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5.xml" ContentType="application/vnd.openxmlformats-officedocument.drawing+xml"/>
  <Override PartName="/xl/comments6.xml" ContentType="application/vnd.openxmlformats-officedocument.spreadsheetml.comments+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usepa.sharepoint.com/sites/SuRGE/Shared Documents/data/chemistry/nutrients/"/>
    </mc:Choice>
  </mc:AlternateContent>
  <xr:revisionPtr revIDLastSave="159" documentId="8_{B9833CEC-EF0C-4F0F-A7A4-C154F94D858A}" xr6:coauthVersionLast="47" xr6:coauthVersionMax="47" xr10:uidLastSave="{1AF5BB33-16D4-4E1C-AE1B-E8D73C7E1CC0}"/>
  <bookViews>
    <workbookView xWindow="79080" yWindow="5520" windowWidth="21840" windowHeight="13020" xr2:uid="{5174E6A5-C77A-4239-A4A8-274F4E03B4E2}"/>
  </bookViews>
  <sheets>
    <sheet name="2023 Data" sheetId="1" r:id="rId1"/>
    <sheet name="TPCalibEq150" sheetId="5" r:id="rId2"/>
    <sheet name="TPCalibEq300" sheetId="6" r:id="rId3"/>
    <sheet name="TPCalibEq500" sheetId="7" r:id="rId4"/>
    <sheet name="TPCalibEqFull" sheetId="8" r:id="rId5"/>
    <sheet name="TNCalibEq2500" sheetId="9" r:id="rId6"/>
    <sheet name="TNCalibEqFull" sheetId="10" r:id="rId7"/>
    <sheet name="METADATA" sheetId="11" r:id="rId8"/>
    <sheet name="IDs" sheetId="12" r:id="rId9"/>
    <sheet name="QCEQUATIONS" sheetId="13" r:id="rId10"/>
    <sheet name="QCACTUAL" sheetId="14" r:id="rId11"/>
    <sheet name="QC Pivot" sheetId="2" r:id="rId12"/>
    <sheet name="ChangeLog" sheetId="15" r:id="rId13"/>
  </sheets>
  <externalReferences>
    <externalReference r:id="rId14"/>
  </externalReferences>
  <definedNames>
    <definedName name="_xlnm._FilterDatabase" localSheetId="0" hidden="1">'2023 Data'!$A$2:$AV$2</definedName>
    <definedName name="QCATP_P" localSheetId="8">[1]QCACTUAL!$C$2:$D$4</definedName>
    <definedName name="QCATP_P" localSheetId="7">[1]QCACTUAL!$C$2:$D$4</definedName>
    <definedName name="QCATP_P" localSheetId="10">QCACTUAL!$C$2:$D$4</definedName>
    <definedName name="QCATP_P" localSheetId="9">[1]QCACTUAL!$C$2:$D$4</definedName>
    <definedName name="QCATP_P">QCACTUAL!$C$2:$D$4</definedName>
    <definedName name="QCCHK" localSheetId="8">[1]QCACTUAL!$B$8:$D$22</definedName>
    <definedName name="QCCHK" localSheetId="7">[1]QCACTUAL!$B$8:$D$22</definedName>
    <definedName name="QCCHK" localSheetId="10">QCACTUAL!$B$8:$D$22</definedName>
    <definedName name="QCCHK" localSheetId="9">[1]QCACTUAL!$B$8:$D$22</definedName>
    <definedName name="QCCHK">QCACTUAL!$B$8:$D$22</definedName>
    <definedName name="QCEQUATIONS" localSheetId="8">[1]QCEQUATIONS!$A$2:$B$11</definedName>
    <definedName name="QCEQUATIONS" localSheetId="7">[1]QCEQUATIONS!$A$2:$B$11</definedName>
    <definedName name="QCEQUATIONS" localSheetId="10">[1]QCEQUATIONS!$A$2:$B$11</definedName>
    <definedName name="QCEQUATIONS" localSheetId="9">QCEQUATIONS!$A$2:$B$11</definedName>
    <definedName name="QCEQUATIONS">QCEQUATIONS!$A$2:$B$11</definedName>
    <definedName name="QCGUP" localSheetId="8">[1]QCACTUAL!$C$23:$D$25</definedName>
    <definedName name="QCGUP" localSheetId="7">[1]QCACTUAL!$C$23:$D$25</definedName>
    <definedName name="QCGUP" localSheetId="10">QCACTUAL!$C$23:$D$25</definedName>
    <definedName name="QCGUP" localSheetId="9">[1]QCACTUAL!$C$23:$D$25</definedName>
    <definedName name="QCGUP">QCACTUAL!$C$23:$D$25</definedName>
    <definedName name="QCNIC_N" localSheetId="8">[1]QCACTUAL!$C$44:$D$47</definedName>
    <definedName name="QCNIC_N" localSheetId="7">[1]QCACTUAL!$C$44:$D$47</definedName>
    <definedName name="QCNIC_N" localSheetId="10">QCACTUAL!$C$44:$D$47</definedName>
    <definedName name="QCNIC_N" localSheetId="9">[1]QCACTUAL!$C$44:$D$47</definedName>
    <definedName name="QCNIC_N">QCACTUAL!$C$44:$D$47</definedName>
    <definedName name="QCPER" localSheetId="8">[1]QCACTUAL!$J$25:$X$37</definedName>
    <definedName name="QCPER" localSheetId="7">[1]QCACTUAL!$J$25:$X$37</definedName>
    <definedName name="QCPER" localSheetId="10">QCACTUAL!$J$25:$AA$37</definedName>
    <definedName name="QCPER" localSheetId="9">[1]QCACTUAL!$J$25:$X$37</definedName>
    <definedName name="QCPER">QCACTUAL!$J$25:$AA$37</definedName>
    <definedName name="QCREC_N" localSheetId="8">[1]QCACTUAL!$C$40:$D$43</definedName>
    <definedName name="QCREC_N" localSheetId="7">[1]QCACTUAL!$C$40:$D$43</definedName>
    <definedName name="QCREC_N" localSheetId="10">QCACTUAL!$C$40:$D$43</definedName>
    <definedName name="QCREC_N" localSheetId="9">[1]QCACTUAL!$C$40:$D$43</definedName>
    <definedName name="QCREC_N">QCACTUAL!$C$40:$D$43</definedName>
    <definedName name="QCSPK" localSheetId="8">[1]QCACTUAL!$B$26:$D$39</definedName>
    <definedName name="QCSPK" localSheetId="7">[1]QCACTUAL!$B$26:$D$39</definedName>
    <definedName name="QCSPK" localSheetId="10">QCACTUAL!$B$26:$D$39</definedName>
    <definedName name="QCSPK" localSheetId="9">[1]QCACTUAL!$B$26:$D$39</definedName>
    <definedName name="QCSPK">QCACTUAL!$B$26:$D$39</definedName>
    <definedName name="QCUREA_N" localSheetId="8">[1]QCACTUAL!$C$5:$D$7</definedName>
    <definedName name="QCUREA_N" localSheetId="7">[1]QCACTUAL!$C$5:$D$7</definedName>
    <definedName name="QCUREA_N" localSheetId="10">QCACTUAL!$C$5:$D$7</definedName>
    <definedName name="QCUREA_N" localSheetId="9">[1]QCACTUAL!$C$5:$D$7</definedName>
    <definedName name="QCUREA_N">QCACTUAL!$C$5:$D$7</definedName>
  </definedNames>
  <calcPr calcId="191029" concurrentManualCount="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016" i="1" l="1"/>
  <c r="AG4015" i="1"/>
  <c r="AG4014" i="1"/>
  <c r="AG4011" i="1"/>
  <c r="AG4010" i="1"/>
  <c r="AG4008" i="1"/>
  <c r="AG4007" i="1"/>
  <c r="AG4006" i="1"/>
  <c r="AG4003" i="1"/>
  <c r="AG4002" i="1"/>
  <c r="AG4001" i="1"/>
  <c r="AG4000" i="1"/>
  <c r="AG3998" i="1"/>
  <c r="AG3996" i="1"/>
  <c r="AG3995" i="1"/>
  <c r="AG3994" i="1"/>
  <c r="AG3993" i="1"/>
  <c r="AG3990" i="1"/>
  <c r="AG3989" i="1"/>
  <c r="AG3988" i="1"/>
  <c r="AG3986" i="1"/>
  <c r="AG3985" i="1"/>
  <c r="AG3984" i="1"/>
  <c r="AG3983" i="1"/>
  <c r="AG3982" i="1"/>
  <c r="AG3981" i="1"/>
  <c r="AG3980" i="1"/>
  <c r="AG3977" i="1"/>
  <c r="AG3976" i="1"/>
  <c r="AG3975" i="1"/>
  <c r="AG3974" i="1"/>
  <c r="AG3973" i="1"/>
  <c r="AG3970" i="1"/>
  <c r="AG3969" i="1"/>
  <c r="AG3967" i="1"/>
  <c r="AG3966" i="1"/>
  <c r="AG3965" i="1"/>
  <c r="AG3915" i="1"/>
  <c r="AG3914" i="1"/>
  <c r="AG3912" i="1"/>
  <c r="AG3910" i="1"/>
  <c r="AG3908" i="1"/>
  <c r="AG3907" i="1"/>
  <c r="AG3906" i="1"/>
  <c r="AG3905" i="1"/>
  <c r="AG3903" i="1"/>
  <c r="AG3900" i="1"/>
  <c r="AG3894" i="1"/>
  <c r="AG3891" i="1"/>
  <c r="AG3890" i="1"/>
  <c r="AG3889" i="1"/>
  <c r="AG3888" i="1"/>
  <c r="AG3887" i="1"/>
  <c r="AG3886" i="1"/>
  <c r="AG3880" i="1"/>
  <c r="AG3879" i="1"/>
  <c r="AG3878" i="1"/>
  <c r="AK4018" i="1"/>
  <c r="AK4017" i="1"/>
  <c r="AK4016" i="1"/>
  <c r="AI4016" i="1"/>
  <c r="AH4016" i="1"/>
  <c r="AK4015" i="1"/>
  <c r="AI4015" i="1"/>
  <c r="AH4015" i="1"/>
  <c r="AK4014" i="1"/>
  <c r="AI4014" i="1"/>
  <c r="AH4014" i="1"/>
  <c r="AK4013" i="1"/>
  <c r="AI4013" i="1"/>
  <c r="AH4013" i="1"/>
  <c r="AK4012" i="1"/>
  <c r="AI4012" i="1"/>
  <c r="AH4012" i="1"/>
  <c r="AK4011" i="1"/>
  <c r="AI4011" i="1"/>
  <c r="AH4011" i="1"/>
  <c r="AK4010" i="1"/>
  <c r="AI4010" i="1"/>
  <c r="AH4010" i="1"/>
  <c r="AK4009" i="1"/>
  <c r="AI4009" i="1"/>
  <c r="AH4009" i="1"/>
  <c r="AK4008" i="1"/>
  <c r="AI4008" i="1"/>
  <c r="AH4008" i="1"/>
  <c r="AK4007" i="1"/>
  <c r="AI4007" i="1"/>
  <c r="AH4007" i="1"/>
  <c r="AK4006" i="1"/>
  <c r="AI4006" i="1"/>
  <c r="AH4006" i="1"/>
  <c r="AK4005" i="1"/>
  <c r="AK4004" i="1"/>
  <c r="AK4003" i="1"/>
  <c r="AI4003" i="1"/>
  <c r="AH4003" i="1"/>
  <c r="AK4002" i="1"/>
  <c r="AI4002" i="1"/>
  <c r="AH4002" i="1"/>
  <c r="AK4001" i="1"/>
  <c r="AI4001" i="1"/>
  <c r="AH4001" i="1"/>
  <c r="AK4000" i="1"/>
  <c r="AI4000" i="1"/>
  <c r="AH4000" i="1"/>
  <c r="AK3999" i="1"/>
  <c r="AI3999" i="1"/>
  <c r="AH3999" i="1"/>
  <c r="AK3998" i="1"/>
  <c r="AI3998" i="1"/>
  <c r="AH3998" i="1"/>
  <c r="AK3997" i="1"/>
  <c r="AI3997" i="1"/>
  <c r="AH3997" i="1"/>
  <c r="AK3996" i="1"/>
  <c r="AI3996" i="1"/>
  <c r="AH3996" i="1"/>
  <c r="AK3995" i="1"/>
  <c r="AI3995" i="1"/>
  <c r="AH3995" i="1"/>
  <c r="AK3994" i="1"/>
  <c r="AI3994" i="1"/>
  <c r="AH3994" i="1"/>
  <c r="AK3993" i="1"/>
  <c r="AI3993" i="1"/>
  <c r="AH3993" i="1"/>
  <c r="AK3992" i="1"/>
  <c r="AK3991" i="1"/>
  <c r="AK3990" i="1"/>
  <c r="AI3990" i="1"/>
  <c r="AH3990" i="1"/>
  <c r="AK3989" i="1"/>
  <c r="AI3989" i="1"/>
  <c r="AH3989" i="1"/>
  <c r="AK3988" i="1"/>
  <c r="AI3988" i="1"/>
  <c r="AH3988" i="1"/>
  <c r="AK3987" i="1"/>
  <c r="AI3987" i="1"/>
  <c r="AH3987" i="1"/>
  <c r="AK3986" i="1"/>
  <c r="AI3986" i="1"/>
  <c r="AH3986" i="1"/>
  <c r="AK3985" i="1"/>
  <c r="AI3985" i="1"/>
  <c r="AH3985" i="1"/>
  <c r="AK3984" i="1"/>
  <c r="AI3984" i="1"/>
  <c r="AH3984" i="1"/>
  <c r="AK3983" i="1"/>
  <c r="AI3983" i="1"/>
  <c r="AH3983" i="1"/>
  <c r="AK3982" i="1"/>
  <c r="AI3982" i="1"/>
  <c r="AH3982" i="1"/>
  <c r="AK3981" i="1"/>
  <c r="AI3981" i="1"/>
  <c r="AH3981" i="1"/>
  <c r="AK3980" i="1"/>
  <c r="AI3980" i="1"/>
  <c r="AH3980" i="1"/>
  <c r="AK3979" i="1"/>
  <c r="AK3978" i="1"/>
  <c r="AK3977" i="1"/>
  <c r="AI3977" i="1"/>
  <c r="AH3977" i="1"/>
  <c r="AK3976" i="1"/>
  <c r="AI3976" i="1"/>
  <c r="AH3976" i="1"/>
  <c r="AK3975" i="1"/>
  <c r="AI3975" i="1"/>
  <c r="AH3975" i="1"/>
  <c r="AK3974" i="1"/>
  <c r="AI3974" i="1"/>
  <c r="AH3974" i="1"/>
  <c r="AK3973" i="1"/>
  <c r="AI3973" i="1"/>
  <c r="AH3973" i="1"/>
  <c r="AK3972" i="1"/>
  <c r="AK3971" i="1"/>
  <c r="AK3970" i="1"/>
  <c r="AI3970" i="1"/>
  <c r="AH3970" i="1"/>
  <c r="AK3969" i="1"/>
  <c r="AI3969" i="1"/>
  <c r="AH3969" i="1"/>
  <c r="AK3968" i="1"/>
  <c r="AI3968" i="1"/>
  <c r="AH3968" i="1"/>
  <c r="AK3967" i="1"/>
  <c r="AI3967" i="1"/>
  <c r="AH3967" i="1"/>
  <c r="AK3966" i="1"/>
  <c r="AI3966" i="1"/>
  <c r="AH3966" i="1"/>
  <c r="AK3965" i="1"/>
  <c r="AI3965" i="1"/>
  <c r="AH3965" i="1"/>
  <c r="AK3964" i="1"/>
  <c r="AI3964" i="1"/>
  <c r="AH3964" i="1"/>
  <c r="AK3963" i="1"/>
  <c r="AK3962" i="1"/>
  <c r="AK3961" i="1"/>
  <c r="AI3961" i="1"/>
  <c r="AH3961" i="1"/>
  <c r="AK3960" i="1"/>
  <c r="AI3960" i="1"/>
  <c r="AH3960" i="1"/>
  <c r="AK3959" i="1"/>
  <c r="AI3959" i="1"/>
  <c r="AH3959" i="1"/>
  <c r="AK3958" i="1"/>
  <c r="AI3958" i="1"/>
  <c r="AH3958" i="1"/>
  <c r="AK3957" i="1"/>
  <c r="AI3957" i="1"/>
  <c r="AH3957" i="1"/>
  <c r="AK3956" i="1"/>
  <c r="AI3956" i="1"/>
  <c r="AH3956" i="1"/>
  <c r="AK3955" i="1"/>
  <c r="AI3955" i="1"/>
  <c r="AH3955" i="1"/>
  <c r="AK3954" i="1"/>
  <c r="AI3954" i="1"/>
  <c r="AH3954" i="1"/>
  <c r="AK3953" i="1"/>
  <c r="AI3953" i="1"/>
  <c r="AH3953" i="1"/>
  <c r="AK3952" i="1"/>
  <c r="AI3952" i="1"/>
  <c r="AH3952" i="1"/>
  <c r="AK3951" i="1"/>
  <c r="AI3951" i="1"/>
  <c r="AH3951" i="1"/>
  <c r="AK3950" i="1"/>
  <c r="AK3949" i="1"/>
  <c r="AK3948" i="1"/>
  <c r="AI3948" i="1"/>
  <c r="AH3948" i="1"/>
  <c r="AK3947" i="1"/>
  <c r="AI3947" i="1"/>
  <c r="AH3947" i="1"/>
  <c r="AK3946" i="1"/>
  <c r="AI3946" i="1"/>
  <c r="AH3946" i="1"/>
  <c r="AK3945" i="1"/>
  <c r="AI3945" i="1"/>
  <c r="AH3945" i="1"/>
  <c r="AK3944" i="1"/>
  <c r="AI3944" i="1"/>
  <c r="AH3944" i="1"/>
  <c r="AK3943" i="1"/>
  <c r="AI3943" i="1"/>
  <c r="AH3943" i="1"/>
  <c r="AK3942" i="1"/>
  <c r="AI3942" i="1"/>
  <c r="AH3942" i="1"/>
  <c r="AK3941" i="1"/>
  <c r="AI3941" i="1"/>
  <c r="AH3941" i="1"/>
  <c r="AK3940" i="1"/>
  <c r="AI3940" i="1"/>
  <c r="AH3940" i="1"/>
  <c r="AK3939" i="1"/>
  <c r="AI3939" i="1"/>
  <c r="AH3939" i="1"/>
  <c r="AK3938" i="1"/>
  <c r="AI3938" i="1"/>
  <c r="AH3938" i="1"/>
  <c r="AK3937" i="1"/>
  <c r="AK3936" i="1"/>
  <c r="AK3935" i="1"/>
  <c r="AI3935" i="1"/>
  <c r="AH3935" i="1"/>
  <c r="AK3934" i="1"/>
  <c r="AI3934" i="1"/>
  <c r="AH3934" i="1"/>
  <c r="AK3933" i="1"/>
  <c r="AI3933" i="1"/>
  <c r="AK3932" i="1"/>
  <c r="AI3932" i="1"/>
  <c r="AK3931" i="1"/>
  <c r="AI3931" i="1"/>
  <c r="AK3930" i="1"/>
  <c r="AI3930" i="1"/>
  <c r="AK3929" i="1"/>
  <c r="AI3929" i="1"/>
  <c r="AK3928" i="1"/>
  <c r="AI3928" i="1"/>
  <c r="AK3927" i="1"/>
  <c r="AI3927" i="1"/>
  <c r="AK3926" i="1"/>
  <c r="AI3926" i="1"/>
  <c r="AK3925" i="1"/>
  <c r="AI3925" i="1"/>
  <c r="AH3925" i="1"/>
  <c r="AK3924" i="1"/>
  <c r="AK3923" i="1"/>
  <c r="AK3922" i="1"/>
  <c r="AI3922" i="1"/>
  <c r="AH3922" i="1"/>
  <c r="AK3921" i="1"/>
  <c r="AI3921" i="1"/>
  <c r="AH3921" i="1"/>
  <c r="AK3920" i="1"/>
  <c r="AI3920" i="1"/>
  <c r="AK3919" i="1"/>
  <c r="AI3919" i="1"/>
  <c r="AH3919" i="1"/>
  <c r="AK3918" i="1"/>
  <c r="AI3918" i="1"/>
  <c r="AH3918" i="1"/>
  <c r="AK3917" i="1"/>
  <c r="AI3917" i="1"/>
  <c r="AK3916" i="1"/>
  <c r="AK3915" i="1"/>
  <c r="AI3915" i="1"/>
  <c r="AH3915" i="1"/>
  <c r="AK3914" i="1"/>
  <c r="AI3914" i="1"/>
  <c r="AH3914" i="1"/>
  <c r="AK3913" i="1"/>
  <c r="AI3913" i="1"/>
  <c r="AH3913" i="1"/>
  <c r="AK3912" i="1"/>
  <c r="AI3912" i="1"/>
  <c r="AH3912" i="1"/>
  <c r="AK3911" i="1"/>
  <c r="AI3911" i="1"/>
  <c r="AK3910" i="1"/>
  <c r="AI3910" i="1"/>
  <c r="AH3910" i="1"/>
  <c r="AK3909" i="1"/>
  <c r="AI3909" i="1"/>
  <c r="AH3909" i="1"/>
  <c r="AK3908" i="1"/>
  <c r="AI3908" i="1"/>
  <c r="AH3908" i="1"/>
  <c r="AK3907" i="1"/>
  <c r="AI3907" i="1"/>
  <c r="AH3907" i="1"/>
  <c r="AK3906" i="1"/>
  <c r="AI3906" i="1"/>
  <c r="AH3906" i="1"/>
  <c r="AK3905" i="1"/>
  <c r="AI3905" i="1"/>
  <c r="AH3905" i="1"/>
  <c r="AK3904" i="1"/>
  <c r="AI3904" i="1"/>
  <c r="AK3903" i="1"/>
  <c r="AI3903" i="1"/>
  <c r="AH3903" i="1"/>
  <c r="AK3902" i="1"/>
  <c r="AI3902" i="1"/>
  <c r="AH3902" i="1"/>
  <c r="AK3901" i="1"/>
  <c r="AK3900" i="1"/>
  <c r="AI3900" i="1"/>
  <c r="AH3900" i="1"/>
  <c r="AK3899" i="1"/>
  <c r="AI3899" i="1"/>
  <c r="AH3899" i="1"/>
  <c r="AK3898" i="1"/>
  <c r="AK3897" i="1"/>
  <c r="AI3897" i="1"/>
  <c r="AH3897" i="1"/>
  <c r="AK3896" i="1"/>
  <c r="AI3896" i="1"/>
  <c r="AH3896" i="1"/>
  <c r="AK3895" i="1"/>
  <c r="AK3894" i="1"/>
  <c r="AI3894" i="1"/>
  <c r="AH3894" i="1"/>
  <c r="AK3893" i="1"/>
  <c r="AI3893" i="1"/>
  <c r="AK3892" i="1"/>
  <c r="AI3892" i="1"/>
  <c r="AH3892" i="1"/>
  <c r="AK3891" i="1"/>
  <c r="AI3891" i="1"/>
  <c r="AH3891" i="1"/>
  <c r="AK3890" i="1"/>
  <c r="AI3890" i="1"/>
  <c r="AH3890" i="1"/>
  <c r="AK3889" i="1"/>
  <c r="AI3889" i="1"/>
  <c r="AH3889" i="1"/>
  <c r="AK3888" i="1"/>
  <c r="AI3888" i="1"/>
  <c r="AH3888" i="1"/>
  <c r="AK3887" i="1"/>
  <c r="AI3887" i="1"/>
  <c r="AH3887" i="1"/>
  <c r="AK3886" i="1"/>
  <c r="AI3886" i="1"/>
  <c r="AH3886" i="1"/>
  <c r="AK3885" i="1"/>
  <c r="AK3884" i="1"/>
  <c r="AK3883" i="1"/>
  <c r="AK3882" i="1"/>
  <c r="AI3882" i="1"/>
  <c r="AK3881" i="1"/>
  <c r="AI3881" i="1"/>
  <c r="AH3881" i="1"/>
  <c r="AK3880" i="1"/>
  <c r="AI3880" i="1"/>
  <c r="AH3880" i="1"/>
  <c r="AK3879" i="1"/>
  <c r="AI3879" i="1"/>
  <c r="AH3879" i="1"/>
  <c r="AK3878" i="1"/>
  <c r="AI3878" i="1"/>
  <c r="AH3878" i="1"/>
  <c r="BA8" i="5"/>
  <c r="AX8" i="5"/>
  <c r="V37" i="5"/>
  <c r="V38" i="5"/>
  <c r="V39" i="5"/>
  <c r="V40" i="5"/>
  <c r="V41" i="5"/>
  <c r="V36" i="5"/>
  <c r="S41" i="5"/>
  <c r="S40" i="5"/>
  <c r="S39" i="5"/>
  <c r="S38" i="5"/>
  <c r="S37" i="5"/>
  <c r="S36" i="5"/>
  <c r="BA8" i="6"/>
  <c r="AX8" i="6"/>
  <c r="V43" i="6"/>
  <c r="V44" i="6"/>
  <c r="V45" i="6"/>
  <c r="V46" i="6"/>
  <c r="V47" i="6"/>
  <c r="V48" i="6"/>
  <c r="V42" i="6"/>
  <c r="S48" i="6"/>
  <c r="S47" i="6"/>
  <c r="S46" i="6"/>
  <c r="S45" i="6"/>
  <c r="S44" i="6"/>
  <c r="S43" i="6"/>
  <c r="S42" i="6"/>
  <c r="BA8" i="7"/>
  <c r="AX8" i="7"/>
  <c r="V80" i="7"/>
  <c r="V81" i="7"/>
  <c r="V82" i="7"/>
  <c r="V83" i="7"/>
  <c r="V84" i="7"/>
  <c r="V85" i="7"/>
  <c r="V86" i="7"/>
  <c r="V87" i="7"/>
  <c r="V88" i="7"/>
  <c r="V89" i="7"/>
  <c r="V90" i="7"/>
  <c r="V91" i="7"/>
  <c r="V79" i="7"/>
  <c r="S91" i="7"/>
  <c r="S90" i="7"/>
  <c r="S89" i="7"/>
  <c r="S88" i="7"/>
  <c r="S87" i="7"/>
  <c r="S86" i="7"/>
  <c r="S85" i="7"/>
  <c r="S84" i="7"/>
  <c r="S83" i="7"/>
  <c r="S82" i="7"/>
  <c r="S81" i="7"/>
  <c r="S80" i="7"/>
  <c r="S79" i="7"/>
  <c r="BA8" i="8"/>
  <c r="AX8" i="8"/>
  <c r="V98" i="8"/>
  <c r="V99" i="8"/>
  <c r="V100" i="8"/>
  <c r="V101" i="8"/>
  <c r="V102" i="8"/>
  <c r="V103" i="8"/>
  <c r="V104" i="8"/>
  <c r="V105" i="8"/>
  <c r="V106" i="8"/>
  <c r="V107" i="8"/>
  <c r="V108" i="8"/>
  <c r="V109" i="8"/>
  <c r="V110" i="8"/>
  <c r="V111" i="8"/>
  <c r="V112" i="8"/>
  <c r="V97" i="8"/>
  <c r="S112" i="8"/>
  <c r="S111" i="8"/>
  <c r="S110" i="8"/>
  <c r="S109" i="8"/>
  <c r="S108" i="8"/>
  <c r="S107" i="8"/>
  <c r="S106" i="8"/>
  <c r="S105" i="8"/>
  <c r="S104" i="8"/>
  <c r="S103" i="8"/>
  <c r="S102" i="8"/>
  <c r="S101" i="8"/>
  <c r="S100" i="8"/>
  <c r="S99" i="8"/>
  <c r="S98" i="8"/>
  <c r="S97" i="8"/>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U3878" i="1"/>
  <c r="AP3878" i="1" s="1"/>
  <c r="AU3879" i="1"/>
  <c r="AU3880" i="1"/>
  <c r="AU3881" i="1"/>
  <c r="AP3881" i="1" s="1"/>
  <c r="AU3882" i="1"/>
  <c r="AU3883" i="1"/>
  <c r="AU3884" i="1"/>
  <c r="AU3885" i="1"/>
  <c r="AP3885" i="1" s="1"/>
  <c r="AU3886" i="1"/>
  <c r="AU3887" i="1"/>
  <c r="AU3888" i="1"/>
  <c r="AU3889" i="1"/>
  <c r="AP3889" i="1" s="1"/>
  <c r="AU3890" i="1"/>
  <c r="AU3891" i="1"/>
  <c r="AU3892" i="1"/>
  <c r="AU3893" i="1"/>
  <c r="AP3893" i="1" s="1"/>
  <c r="AU3894" i="1"/>
  <c r="AP3894" i="1" s="1"/>
  <c r="AU3895" i="1"/>
  <c r="AU3896" i="1"/>
  <c r="AU3897" i="1"/>
  <c r="AP3897" i="1" s="1"/>
  <c r="AU3898" i="1"/>
  <c r="AU3899" i="1"/>
  <c r="AU3900" i="1"/>
  <c r="AU3901" i="1"/>
  <c r="AP3901" i="1" s="1"/>
  <c r="AU3902" i="1"/>
  <c r="AU3903" i="1"/>
  <c r="AU3904" i="1"/>
  <c r="AU3905" i="1"/>
  <c r="AP3905" i="1" s="1"/>
  <c r="AU3906" i="1"/>
  <c r="AU3907" i="1"/>
  <c r="AU3908" i="1"/>
  <c r="AU3909" i="1"/>
  <c r="AP3909" i="1" s="1"/>
  <c r="AU3910" i="1"/>
  <c r="AP3910" i="1" s="1"/>
  <c r="AU3911" i="1"/>
  <c r="AU3912" i="1"/>
  <c r="AU3913" i="1"/>
  <c r="AP3913" i="1" s="1"/>
  <c r="AU3914" i="1"/>
  <c r="AU3915" i="1"/>
  <c r="AU3916" i="1"/>
  <c r="AU3917" i="1"/>
  <c r="AP3917" i="1" s="1"/>
  <c r="AU3918" i="1"/>
  <c r="AU3919" i="1"/>
  <c r="AU3920" i="1"/>
  <c r="AU3921" i="1"/>
  <c r="AP3921" i="1" s="1"/>
  <c r="AU3922" i="1"/>
  <c r="AU3923" i="1"/>
  <c r="AU3924" i="1"/>
  <c r="AU3925" i="1"/>
  <c r="AP3925" i="1" s="1"/>
  <c r="AU3926" i="1"/>
  <c r="AP3926" i="1" s="1"/>
  <c r="AU3927" i="1"/>
  <c r="AU3928" i="1"/>
  <c r="AU3929" i="1"/>
  <c r="AP3929" i="1" s="1"/>
  <c r="AU3930" i="1"/>
  <c r="AU3931" i="1"/>
  <c r="AU3932" i="1"/>
  <c r="AU3933" i="1"/>
  <c r="AP3933" i="1" s="1"/>
  <c r="AU3934" i="1"/>
  <c r="AU3935" i="1"/>
  <c r="AU3936" i="1"/>
  <c r="AU3937" i="1"/>
  <c r="AP3937" i="1" s="1"/>
  <c r="AU3938" i="1"/>
  <c r="AU3939" i="1"/>
  <c r="AU3940" i="1"/>
  <c r="AU3941" i="1"/>
  <c r="AP3941" i="1" s="1"/>
  <c r="AU3942" i="1"/>
  <c r="AP3942" i="1" s="1"/>
  <c r="AU3943" i="1"/>
  <c r="AU3944" i="1"/>
  <c r="AU3945" i="1"/>
  <c r="AP3945" i="1" s="1"/>
  <c r="AU3946" i="1"/>
  <c r="AU3947" i="1"/>
  <c r="AU3948" i="1"/>
  <c r="AU3949" i="1"/>
  <c r="AP3949" i="1" s="1"/>
  <c r="AU3950" i="1"/>
  <c r="AU3951" i="1"/>
  <c r="AU3952" i="1"/>
  <c r="AU3953" i="1"/>
  <c r="AP3953" i="1" s="1"/>
  <c r="AU3954" i="1"/>
  <c r="AU3955" i="1"/>
  <c r="AU3956" i="1"/>
  <c r="AU3957" i="1"/>
  <c r="AP3957" i="1" s="1"/>
  <c r="AU3958" i="1"/>
  <c r="AU3959" i="1"/>
  <c r="AU3960" i="1"/>
  <c r="AU3961" i="1"/>
  <c r="AP3961" i="1" s="1"/>
  <c r="AU3962" i="1"/>
  <c r="AU3963" i="1"/>
  <c r="AU3964" i="1"/>
  <c r="AU3965" i="1"/>
  <c r="AP3965" i="1" s="1"/>
  <c r="AU3966" i="1"/>
  <c r="AU3967" i="1"/>
  <c r="AU3968" i="1"/>
  <c r="AU3969" i="1"/>
  <c r="AP3969" i="1" s="1"/>
  <c r="AU3970" i="1"/>
  <c r="AU3971" i="1"/>
  <c r="AU3972" i="1"/>
  <c r="AU3973" i="1"/>
  <c r="AP3973" i="1" s="1"/>
  <c r="AU3974" i="1"/>
  <c r="AU3975" i="1"/>
  <c r="AU3976" i="1"/>
  <c r="AU3977" i="1"/>
  <c r="AP3977" i="1" s="1"/>
  <c r="AU3978" i="1"/>
  <c r="AU3979" i="1"/>
  <c r="AU3980" i="1"/>
  <c r="AU3981" i="1"/>
  <c r="AP3981" i="1" s="1"/>
  <c r="AU3982" i="1"/>
  <c r="AU3983" i="1"/>
  <c r="AU3984" i="1"/>
  <c r="AU3985" i="1"/>
  <c r="AP3985" i="1" s="1"/>
  <c r="AU3986" i="1"/>
  <c r="AU3987" i="1"/>
  <c r="AU3988" i="1"/>
  <c r="AU3989" i="1"/>
  <c r="AP3989" i="1" s="1"/>
  <c r="AU3990" i="1"/>
  <c r="AU3991" i="1"/>
  <c r="AU3992" i="1"/>
  <c r="AU3993" i="1"/>
  <c r="AP3993" i="1" s="1"/>
  <c r="AU3994" i="1"/>
  <c r="AU3995" i="1"/>
  <c r="AU3996" i="1"/>
  <c r="AU3997" i="1"/>
  <c r="AP3997" i="1" s="1"/>
  <c r="AU3998" i="1"/>
  <c r="AU3999" i="1"/>
  <c r="AU4000" i="1"/>
  <c r="AU4001" i="1"/>
  <c r="AP4001" i="1" s="1"/>
  <c r="AU4002" i="1"/>
  <c r="AU4003" i="1"/>
  <c r="AU4004" i="1"/>
  <c r="AU4005" i="1"/>
  <c r="AP4005" i="1" s="1"/>
  <c r="AU4006" i="1"/>
  <c r="AU4007" i="1"/>
  <c r="AU4008" i="1"/>
  <c r="AU4009" i="1"/>
  <c r="AP4009" i="1" s="1"/>
  <c r="AU4010" i="1"/>
  <c r="AU4011" i="1"/>
  <c r="AU4012" i="1"/>
  <c r="AU4013" i="1"/>
  <c r="AP4013" i="1" s="1"/>
  <c r="AU4014" i="1"/>
  <c r="AU4015" i="1"/>
  <c r="AU4016" i="1"/>
  <c r="AU4017" i="1"/>
  <c r="AP4017" i="1" s="1"/>
  <c r="AU4018" i="1"/>
  <c r="AP3879" i="1"/>
  <c r="AP3880" i="1"/>
  <c r="AP3882" i="1"/>
  <c r="AP3883" i="1"/>
  <c r="AP3884" i="1"/>
  <c r="AP3886" i="1"/>
  <c r="AP3887" i="1"/>
  <c r="AP3888" i="1"/>
  <c r="AP3890" i="1"/>
  <c r="AP3891" i="1"/>
  <c r="AP3892" i="1"/>
  <c r="AP3895" i="1"/>
  <c r="AP3896" i="1"/>
  <c r="AP3898" i="1"/>
  <c r="AP3899" i="1"/>
  <c r="AP3900" i="1"/>
  <c r="AP3902" i="1"/>
  <c r="AP3903" i="1"/>
  <c r="AP3904" i="1"/>
  <c r="AP3906" i="1"/>
  <c r="AP3907" i="1"/>
  <c r="AP3908" i="1"/>
  <c r="AP3911" i="1"/>
  <c r="AP3912" i="1"/>
  <c r="AP3914" i="1"/>
  <c r="AP3915" i="1"/>
  <c r="AP3916" i="1"/>
  <c r="AP3918" i="1"/>
  <c r="AP3919" i="1"/>
  <c r="AP3920" i="1"/>
  <c r="AP3922" i="1"/>
  <c r="AP3923" i="1"/>
  <c r="AP3924" i="1"/>
  <c r="AP3927" i="1"/>
  <c r="AP3928" i="1"/>
  <c r="AP3930" i="1"/>
  <c r="AP3931" i="1"/>
  <c r="AP3932" i="1"/>
  <c r="AP3934" i="1"/>
  <c r="AP3935" i="1"/>
  <c r="AP3936" i="1"/>
  <c r="AP3938" i="1"/>
  <c r="AP3939" i="1"/>
  <c r="AP3940" i="1"/>
  <c r="AP3943" i="1"/>
  <c r="AP3944" i="1"/>
  <c r="AP3946" i="1"/>
  <c r="AP3947" i="1"/>
  <c r="AP3948" i="1"/>
  <c r="AP3950" i="1"/>
  <c r="AP3951" i="1"/>
  <c r="AP3952" i="1"/>
  <c r="AP3954" i="1"/>
  <c r="AP3955" i="1"/>
  <c r="AP3956" i="1"/>
  <c r="AP3958" i="1"/>
  <c r="AP3959" i="1"/>
  <c r="AP3960" i="1"/>
  <c r="AP3962" i="1"/>
  <c r="AP3963" i="1"/>
  <c r="AP3964" i="1"/>
  <c r="AP3966" i="1"/>
  <c r="AP3967" i="1"/>
  <c r="AP3968" i="1"/>
  <c r="AP3970" i="1"/>
  <c r="AP3971" i="1"/>
  <c r="AP3972" i="1"/>
  <c r="AP3974" i="1"/>
  <c r="AP3975" i="1"/>
  <c r="AP3976" i="1"/>
  <c r="AP3978" i="1"/>
  <c r="AP3979" i="1"/>
  <c r="AP3980" i="1"/>
  <c r="AP3982" i="1"/>
  <c r="AP3983" i="1"/>
  <c r="AP3984" i="1"/>
  <c r="AP3986" i="1"/>
  <c r="AP3987" i="1"/>
  <c r="AP3988" i="1"/>
  <c r="AP3990" i="1"/>
  <c r="AP3991" i="1"/>
  <c r="AP3992" i="1"/>
  <c r="AP3994" i="1"/>
  <c r="AP3995" i="1"/>
  <c r="AP3996" i="1"/>
  <c r="AP3998" i="1"/>
  <c r="AP3999" i="1"/>
  <c r="AP4000" i="1"/>
  <c r="AP4002" i="1"/>
  <c r="AP4003" i="1"/>
  <c r="AP4004" i="1"/>
  <c r="AP4006" i="1"/>
  <c r="AP4007" i="1"/>
  <c r="AP4008" i="1"/>
  <c r="AP4010" i="1"/>
  <c r="AP4011" i="1"/>
  <c r="AP4012" i="1"/>
  <c r="AP4014" i="1"/>
  <c r="AP4015" i="1"/>
  <c r="AP4016" i="1"/>
  <c r="AP4018"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U3878" i="1"/>
  <c r="W3878" i="1" s="1"/>
  <c r="U3879" i="1"/>
  <c r="W3879" i="1" s="1"/>
  <c r="U3880" i="1"/>
  <c r="W3880" i="1" s="1"/>
  <c r="U3881" i="1"/>
  <c r="W3881" i="1" s="1"/>
  <c r="U3882" i="1"/>
  <c r="W3882" i="1" s="1"/>
  <c r="U3883" i="1"/>
  <c r="W3883" i="1" s="1"/>
  <c r="U3884" i="1"/>
  <c r="W3884" i="1" s="1"/>
  <c r="U3885" i="1"/>
  <c r="W3885" i="1" s="1"/>
  <c r="U3886" i="1"/>
  <c r="W3886" i="1" s="1"/>
  <c r="U3887" i="1"/>
  <c r="W3887" i="1" s="1"/>
  <c r="U3888" i="1"/>
  <c r="W3888" i="1" s="1"/>
  <c r="U3889" i="1"/>
  <c r="W3889" i="1" s="1"/>
  <c r="U3890" i="1"/>
  <c r="W3890" i="1" s="1"/>
  <c r="U3891" i="1"/>
  <c r="W3891" i="1" s="1"/>
  <c r="U3892" i="1"/>
  <c r="W3892" i="1" s="1"/>
  <c r="U3893" i="1"/>
  <c r="W3893" i="1" s="1"/>
  <c r="U3909" i="1"/>
  <c r="W3909" i="1" s="1"/>
  <c r="U3910" i="1"/>
  <c r="W3910" i="1" s="1"/>
  <c r="U3911" i="1"/>
  <c r="W3911" i="1" s="1"/>
  <c r="U3912" i="1"/>
  <c r="W3912" i="1" s="1"/>
  <c r="U3913" i="1"/>
  <c r="W3913" i="1" s="1"/>
  <c r="U3914" i="1"/>
  <c r="W3914" i="1" s="1"/>
  <c r="U3918" i="1"/>
  <c r="W3918" i="1" s="1"/>
  <c r="U3919" i="1"/>
  <c r="W3919" i="1" s="1"/>
  <c r="U3920" i="1"/>
  <c r="W3920" i="1" s="1"/>
  <c r="U3921" i="1"/>
  <c r="W3921" i="1" s="1"/>
  <c r="U3925" i="1"/>
  <c r="W3925" i="1" s="1"/>
  <c r="U3926" i="1"/>
  <c r="W3926" i="1" s="1"/>
  <c r="U3927" i="1"/>
  <c r="W3927" i="1" s="1"/>
  <c r="U3928" i="1"/>
  <c r="W3928" i="1" s="1"/>
  <c r="U3929" i="1"/>
  <c r="W3929" i="1" s="1"/>
  <c r="U3930" i="1"/>
  <c r="W3930" i="1" s="1"/>
  <c r="U3931" i="1"/>
  <c r="W3931" i="1" s="1"/>
  <c r="U3932" i="1"/>
  <c r="W3932" i="1" s="1"/>
  <c r="U3933" i="1"/>
  <c r="W3933" i="1" s="1"/>
  <c r="U3934" i="1"/>
  <c r="W3934" i="1" s="1"/>
  <c r="U3938" i="1"/>
  <c r="W3938" i="1" s="1"/>
  <c r="U3939" i="1"/>
  <c r="W3939" i="1" s="1"/>
  <c r="U3940" i="1"/>
  <c r="W3940" i="1" s="1"/>
  <c r="U3941" i="1"/>
  <c r="W3941" i="1" s="1"/>
  <c r="U3942" i="1"/>
  <c r="W3942" i="1" s="1"/>
  <c r="U3943" i="1"/>
  <c r="W3943" i="1" s="1"/>
  <c r="U3944" i="1"/>
  <c r="W3944" i="1" s="1"/>
  <c r="U3945" i="1"/>
  <c r="W3945" i="1" s="1"/>
  <c r="U3946" i="1"/>
  <c r="W3946" i="1" s="1"/>
  <c r="U3947" i="1"/>
  <c r="W3947" i="1" s="1"/>
  <c r="U3951" i="1"/>
  <c r="W3951" i="1" s="1"/>
  <c r="U3952" i="1"/>
  <c r="W3952" i="1" s="1"/>
  <c r="U3953" i="1"/>
  <c r="W3953" i="1" s="1"/>
  <c r="U3954" i="1"/>
  <c r="W3954" i="1" s="1"/>
  <c r="U3955" i="1"/>
  <c r="W3955" i="1" s="1"/>
  <c r="U3956" i="1"/>
  <c r="W3956" i="1" s="1"/>
  <c r="U3957" i="1"/>
  <c r="W3957" i="1" s="1"/>
  <c r="U3958" i="1"/>
  <c r="W3958" i="1" s="1"/>
  <c r="U3959" i="1"/>
  <c r="W3959" i="1" s="1"/>
  <c r="U3960" i="1"/>
  <c r="W3960" i="1" s="1"/>
  <c r="U3964" i="1"/>
  <c r="W3964" i="1" s="1"/>
  <c r="U3965" i="1"/>
  <c r="W3965" i="1" s="1"/>
  <c r="U3966" i="1"/>
  <c r="W3966" i="1" s="1"/>
  <c r="U3967" i="1"/>
  <c r="W3967" i="1" s="1"/>
  <c r="U3968" i="1"/>
  <c r="W3968" i="1" s="1"/>
  <c r="U3969" i="1"/>
  <c r="W3969" i="1" s="1"/>
  <c r="U3973" i="1"/>
  <c r="W3973" i="1" s="1"/>
  <c r="U3974" i="1"/>
  <c r="W3974" i="1" s="1"/>
  <c r="U3975" i="1"/>
  <c r="W3975" i="1" s="1"/>
  <c r="U3976" i="1"/>
  <c r="W3976" i="1" s="1"/>
  <c r="U3980" i="1"/>
  <c r="W3980" i="1" s="1"/>
  <c r="U3981" i="1"/>
  <c r="W3981" i="1" s="1"/>
  <c r="U3982" i="1"/>
  <c r="W3982" i="1" s="1"/>
  <c r="U3983" i="1"/>
  <c r="W3983" i="1" s="1"/>
  <c r="U3984" i="1"/>
  <c r="W3984" i="1" s="1"/>
  <c r="U3985" i="1"/>
  <c r="W3985" i="1" s="1"/>
  <c r="U3986" i="1"/>
  <c r="W3986" i="1" s="1"/>
  <c r="U3987" i="1"/>
  <c r="W3987" i="1" s="1"/>
  <c r="U3988" i="1"/>
  <c r="W3988" i="1" s="1"/>
  <c r="U3989" i="1"/>
  <c r="W3989" i="1" s="1"/>
  <c r="U3993" i="1"/>
  <c r="W3993" i="1" s="1"/>
  <c r="U3994" i="1"/>
  <c r="W3994" i="1" s="1"/>
  <c r="U3995" i="1"/>
  <c r="W3995" i="1" s="1"/>
  <c r="U3996" i="1"/>
  <c r="W3996" i="1" s="1"/>
  <c r="U3997" i="1"/>
  <c r="W3997" i="1" s="1"/>
  <c r="U3998" i="1"/>
  <c r="W3998" i="1" s="1"/>
  <c r="U3999" i="1"/>
  <c r="W3999" i="1" s="1"/>
  <c r="U4000" i="1"/>
  <c r="W4000" i="1" s="1"/>
  <c r="U4001" i="1"/>
  <c r="W4001" i="1" s="1"/>
  <c r="U4002" i="1"/>
  <c r="W4002" i="1" s="1"/>
  <c r="U4006" i="1"/>
  <c r="W4006" i="1" s="1"/>
  <c r="U4007" i="1"/>
  <c r="W4007" i="1" s="1"/>
  <c r="U4008" i="1"/>
  <c r="W4008" i="1" s="1"/>
  <c r="U4009" i="1"/>
  <c r="W4009" i="1" s="1"/>
  <c r="U4010" i="1"/>
  <c r="W4010" i="1" s="1"/>
  <c r="U4011" i="1"/>
  <c r="W4011" i="1" s="1"/>
  <c r="U4012" i="1"/>
  <c r="W4012" i="1" s="1"/>
  <c r="U4013" i="1"/>
  <c r="W4013" i="1" s="1"/>
  <c r="U4014" i="1"/>
  <c r="W4014" i="1" s="1"/>
  <c r="U4015" i="1"/>
  <c r="W4015" i="1" s="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AK3877" i="1"/>
  <c r="AJ3877" i="1"/>
  <c r="AK3876" i="1"/>
  <c r="AK3875" i="1"/>
  <c r="AJ3875" i="1"/>
  <c r="AK3874" i="1"/>
  <c r="AJ3874" i="1"/>
  <c r="AK3873" i="1"/>
  <c r="AJ3873" i="1"/>
  <c r="AK3872" i="1"/>
  <c r="AJ3872" i="1"/>
  <c r="AK3871" i="1"/>
  <c r="AJ3871" i="1"/>
  <c r="AK3870" i="1"/>
  <c r="AJ3870" i="1"/>
  <c r="AK3869" i="1"/>
  <c r="AJ3869" i="1"/>
  <c r="AK3868" i="1"/>
  <c r="AJ3868" i="1"/>
  <c r="AK3867" i="1"/>
  <c r="AJ3867" i="1"/>
  <c r="AK3866" i="1"/>
  <c r="AJ3866" i="1"/>
  <c r="AK3865" i="1"/>
  <c r="AJ3865" i="1"/>
  <c r="AK3864" i="1"/>
  <c r="AJ3864" i="1"/>
  <c r="AK3863" i="1"/>
  <c r="AK3862" i="1"/>
  <c r="AJ3862" i="1"/>
  <c r="AK3861" i="1"/>
  <c r="AJ3861" i="1"/>
  <c r="AK3860" i="1"/>
  <c r="AJ3860" i="1"/>
  <c r="AK3859" i="1"/>
  <c r="AJ3859" i="1"/>
  <c r="AK3858" i="1"/>
  <c r="AJ3858" i="1"/>
  <c r="AK3857" i="1"/>
  <c r="AJ3857" i="1"/>
  <c r="AK3856" i="1"/>
  <c r="AJ3856" i="1"/>
  <c r="AK3855" i="1"/>
  <c r="AJ3855" i="1"/>
  <c r="AK3854" i="1"/>
  <c r="AJ3854" i="1"/>
  <c r="AK3853" i="1"/>
  <c r="AJ3853" i="1"/>
  <c r="AK3852" i="1"/>
  <c r="AJ3852" i="1"/>
  <c r="AK3851" i="1"/>
  <c r="AJ3851" i="1"/>
  <c r="AK3850" i="1"/>
  <c r="AK3849" i="1"/>
  <c r="AJ3849" i="1"/>
  <c r="AK3848" i="1"/>
  <c r="AJ3848" i="1"/>
  <c r="AK3847" i="1"/>
  <c r="AJ3847" i="1"/>
  <c r="AK3846" i="1"/>
  <c r="AJ3846" i="1"/>
  <c r="AK3845" i="1"/>
  <c r="AJ3845" i="1"/>
  <c r="AK3844" i="1"/>
  <c r="AJ3844" i="1"/>
  <c r="AK3843" i="1"/>
  <c r="AJ3843" i="1"/>
  <c r="AK3842" i="1"/>
  <c r="AJ3842" i="1"/>
  <c r="AK3841" i="1"/>
  <c r="AJ3841" i="1"/>
  <c r="AK3840" i="1"/>
  <c r="AJ3840" i="1"/>
  <c r="AK3839" i="1"/>
  <c r="AJ3839" i="1"/>
  <c r="AK3838" i="1"/>
  <c r="AJ3838" i="1"/>
  <c r="AK3837" i="1"/>
  <c r="AK3836" i="1"/>
  <c r="AJ3836" i="1"/>
  <c r="AK3835" i="1"/>
  <c r="AJ3835" i="1"/>
  <c r="AK3834" i="1"/>
  <c r="AJ3834" i="1"/>
  <c r="AK3833" i="1"/>
  <c r="AJ3833" i="1"/>
  <c r="AK3832" i="1"/>
  <c r="AJ3832" i="1"/>
  <c r="AK3831" i="1"/>
  <c r="AJ3831" i="1"/>
  <c r="AK3830" i="1"/>
  <c r="AK3829" i="1"/>
  <c r="AJ3829" i="1"/>
  <c r="AK3828" i="1"/>
  <c r="AJ3828" i="1"/>
  <c r="AK3827" i="1"/>
  <c r="AJ3827" i="1"/>
  <c r="AK3826" i="1"/>
  <c r="AJ3826" i="1"/>
  <c r="AK3825" i="1"/>
  <c r="AJ3825" i="1"/>
  <c r="AK3824" i="1"/>
  <c r="AJ3824" i="1"/>
  <c r="AK3823" i="1"/>
  <c r="AJ3823" i="1"/>
  <c r="AK3822" i="1"/>
  <c r="AJ3822" i="1"/>
  <c r="AK3821" i="1"/>
  <c r="AK3820" i="1"/>
  <c r="AJ3820" i="1"/>
  <c r="AK3819" i="1"/>
  <c r="AJ3819" i="1"/>
  <c r="AK3818" i="1"/>
  <c r="AJ3818" i="1"/>
  <c r="AK3817" i="1"/>
  <c r="AJ3817" i="1"/>
  <c r="AK3816" i="1"/>
  <c r="AJ3816" i="1"/>
  <c r="AK3815" i="1"/>
  <c r="AJ3815" i="1"/>
  <c r="AK3814" i="1"/>
  <c r="AJ3814" i="1"/>
  <c r="AK3813" i="1"/>
  <c r="AJ3813" i="1"/>
  <c r="AK3812" i="1"/>
  <c r="AJ3812" i="1"/>
  <c r="AK3811" i="1"/>
  <c r="AJ3811" i="1"/>
  <c r="AK3810" i="1"/>
  <c r="AJ3810" i="1"/>
  <c r="AK3809" i="1"/>
  <c r="AJ3809" i="1"/>
  <c r="AK3808" i="1"/>
  <c r="AK3807" i="1"/>
  <c r="AJ3807" i="1"/>
  <c r="AK3806" i="1"/>
  <c r="AJ3806" i="1"/>
  <c r="AK3805" i="1"/>
  <c r="AJ3805" i="1"/>
  <c r="AK3804" i="1"/>
  <c r="AJ3804" i="1"/>
  <c r="AK3803" i="1"/>
  <c r="AJ3803" i="1"/>
  <c r="AK3802" i="1"/>
  <c r="AJ3802" i="1"/>
  <c r="AK3801" i="1"/>
  <c r="AJ3801" i="1"/>
  <c r="AK3800" i="1"/>
  <c r="AJ3800" i="1"/>
  <c r="AK3799" i="1"/>
  <c r="AJ3799" i="1"/>
  <c r="AK3798" i="1"/>
  <c r="AJ3798" i="1"/>
  <c r="AK3797" i="1"/>
  <c r="AJ3797" i="1"/>
  <c r="AK3796" i="1"/>
  <c r="AJ3796" i="1"/>
  <c r="AK3795" i="1"/>
  <c r="AK3794" i="1"/>
  <c r="AJ3794" i="1"/>
  <c r="AK3793" i="1"/>
  <c r="AJ3793" i="1"/>
  <c r="AK3792" i="1"/>
  <c r="AJ3792" i="1"/>
  <c r="AK3791" i="1"/>
  <c r="AJ3791" i="1"/>
  <c r="AK3790" i="1"/>
  <c r="AJ3790" i="1"/>
  <c r="AK3789" i="1"/>
  <c r="AJ3789" i="1"/>
  <c r="AK3788" i="1"/>
  <c r="AJ3788" i="1"/>
  <c r="AK3787" i="1"/>
  <c r="AJ3787" i="1"/>
  <c r="AK3786" i="1"/>
  <c r="AJ3786" i="1"/>
  <c r="AK3785" i="1"/>
  <c r="AJ3785" i="1"/>
  <c r="AK3784" i="1"/>
  <c r="AJ3784" i="1"/>
  <c r="AK3783" i="1"/>
  <c r="AJ3783" i="1"/>
  <c r="AK3782" i="1"/>
  <c r="AK3781" i="1"/>
  <c r="AJ3781" i="1"/>
  <c r="AK3780" i="1"/>
  <c r="AJ3780" i="1"/>
  <c r="AK3779" i="1"/>
  <c r="AJ3779" i="1"/>
  <c r="AK3778" i="1"/>
  <c r="AJ3778" i="1"/>
  <c r="AK3777" i="1"/>
  <c r="AJ3777" i="1"/>
  <c r="AK3776" i="1"/>
  <c r="AJ3776" i="1"/>
  <c r="AK3775" i="1"/>
  <c r="AK3774" i="1"/>
  <c r="AJ3774" i="1"/>
  <c r="AK3773" i="1"/>
  <c r="AJ3773" i="1"/>
  <c r="AK3772" i="1"/>
  <c r="AJ3772" i="1"/>
  <c r="AK3771" i="1"/>
  <c r="AJ3771" i="1"/>
  <c r="AK3770" i="1"/>
  <c r="AJ3770" i="1"/>
  <c r="AK3769" i="1"/>
  <c r="AJ3769" i="1"/>
  <c r="AK3768" i="1"/>
  <c r="AJ3768" i="1"/>
  <c r="AK3767" i="1"/>
  <c r="AJ3767" i="1"/>
  <c r="AK3766" i="1"/>
  <c r="AJ3766" i="1"/>
  <c r="AK3765" i="1"/>
  <c r="AJ3765" i="1"/>
  <c r="AK3764" i="1"/>
  <c r="AJ3764" i="1"/>
  <c r="AK3763" i="1"/>
  <c r="AK3762" i="1"/>
  <c r="AJ3762" i="1"/>
  <c r="AK3761" i="1"/>
  <c r="AJ3761" i="1"/>
  <c r="AK3760" i="1"/>
  <c r="AJ3760" i="1"/>
  <c r="AK3759" i="1"/>
  <c r="AJ3759" i="1"/>
  <c r="AK3758" i="1"/>
  <c r="AJ3758" i="1"/>
  <c r="AK3757" i="1"/>
  <c r="AJ3757" i="1"/>
  <c r="AK3756" i="1"/>
  <c r="AJ3756" i="1"/>
  <c r="AK3755" i="1"/>
  <c r="AJ3755" i="1"/>
  <c r="AK3754" i="1"/>
  <c r="AJ3754" i="1"/>
  <c r="AK3753" i="1"/>
  <c r="AJ3753" i="1"/>
  <c r="AK3752" i="1"/>
  <c r="AJ3752" i="1"/>
  <c r="AK3751" i="1"/>
  <c r="AJ3751" i="1"/>
  <c r="AK3750" i="1"/>
  <c r="AK3749" i="1"/>
  <c r="AK3748" i="1"/>
  <c r="AJ3748" i="1"/>
  <c r="AK3747" i="1"/>
  <c r="AJ3747" i="1"/>
  <c r="AK3746" i="1"/>
  <c r="AJ3746" i="1"/>
  <c r="AK3745" i="1"/>
  <c r="AJ3745" i="1"/>
  <c r="AK3744" i="1"/>
  <c r="AJ3744" i="1"/>
  <c r="AK3743" i="1"/>
  <c r="AJ3743" i="1"/>
  <c r="BA8" i="9"/>
  <c r="AX8" i="9"/>
  <c r="V39" i="9"/>
  <c r="V40" i="9"/>
  <c r="V41" i="9"/>
  <c r="V42" i="9"/>
  <c r="V43" i="9"/>
  <c r="V38" i="9"/>
  <c r="S43" i="9"/>
  <c r="S42" i="9"/>
  <c r="S41" i="9"/>
  <c r="S40" i="9"/>
  <c r="S39" i="9"/>
  <c r="S38" i="9"/>
  <c r="BA8" i="10"/>
  <c r="AX8" i="10"/>
  <c r="V51" i="10"/>
  <c r="V52" i="10"/>
  <c r="V53" i="10"/>
  <c r="V54" i="10"/>
  <c r="V55" i="10"/>
  <c r="V56" i="10"/>
  <c r="V57" i="10"/>
  <c r="V50" i="10"/>
  <c r="S57" i="10"/>
  <c r="S56" i="10"/>
  <c r="S55" i="10"/>
  <c r="S54" i="10"/>
  <c r="S53" i="10"/>
  <c r="S52" i="10"/>
  <c r="S51" i="10"/>
  <c r="S50" i="10"/>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U3743" i="1"/>
  <c r="AP3743" i="1" s="1"/>
  <c r="AU3744" i="1"/>
  <c r="AU3745" i="1"/>
  <c r="AP3745" i="1" s="1"/>
  <c r="AU3746" i="1"/>
  <c r="AU3747" i="1"/>
  <c r="AU3748" i="1"/>
  <c r="AP3748" i="1" s="1"/>
  <c r="AU3749" i="1"/>
  <c r="AP3749" i="1" s="1"/>
  <c r="AU3750" i="1"/>
  <c r="AU3751" i="1"/>
  <c r="AU3752" i="1"/>
  <c r="AU3753" i="1"/>
  <c r="AP3753" i="1" s="1"/>
  <c r="AU3754" i="1"/>
  <c r="AU3755" i="1"/>
  <c r="AU3756" i="1"/>
  <c r="AU3757" i="1"/>
  <c r="AP3757" i="1" s="1"/>
  <c r="AU3758" i="1"/>
  <c r="AU3759" i="1"/>
  <c r="AP3759" i="1" s="1"/>
  <c r="AU3760" i="1"/>
  <c r="AU3761" i="1"/>
  <c r="AP3761" i="1" s="1"/>
  <c r="AU3762" i="1"/>
  <c r="AU3763" i="1"/>
  <c r="AU3764" i="1"/>
  <c r="AP3764" i="1" s="1"/>
  <c r="AU3765" i="1"/>
  <c r="AP3765" i="1" s="1"/>
  <c r="AU3766" i="1"/>
  <c r="AU3767" i="1"/>
  <c r="AU3768" i="1"/>
  <c r="AU3769" i="1"/>
  <c r="AP3769" i="1" s="1"/>
  <c r="AU3770" i="1"/>
  <c r="AU3771" i="1"/>
  <c r="AU3772" i="1"/>
  <c r="AU3773" i="1"/>
  <c r="AP3773" i="1" s="1"/>
  <c r="AU3774" i="1"/>
  <c r="AU3775" i="1"/>
  <c r="AP3775" i="1" s="1"/>
  <c r="AU3776" i="1"/>
  <c r="AU3777" i="1"/>
  <c r="AP3777" i="1" s="1"/>
  <c r="AU3778" i="1"/>
  <c r="AU3779" i="1"/>
  <c r="AU3780" i="1"/>
  <c r="AP3780" i="1" s="1"/>
  <c r="AU3781" i="1"/>
  <c r="AP3781" i="1" s="1"/>
  <c r="AU3782" i="1"/>
  <c r="AU3783" i="1"/>
  <c r="AU3784" i="1"/>
  <c r="AU3785" i="1"/>
  <c r="AP3785" i="1" s="1"/>
  <c r="AU3786" i="1"/>
  <c r="AU3787" i="1"/>
  <c r="AU3788" i="1"/>
  <c r="AU3789" i="1"/>
  <c r="AP3789" i="1" s="1"/>
  <c r="AU3790" i="1"/>
  <c r="AU3791" i="1"/>
  <c r="AP3791" i="1" s="1"/>
  <c r="AU3792" i="1"/>
  <c r="AU3793" i="1"/>
  <c r="AP3793" i="1" s="1"/>
  <c r="AU3794" i="1"/>
  <c r="AU3795" i="1"/>
  <c r="AU3796" i="1"/>
  <c r="AP3796" i="1" s="1"/>
  <c r="AU3797" i="1"/>
  <c r="AP3797" i="1" s="1"/>
  <c r="AU3798" i="1"/>
  <c r="AU3799" i="1"/>
  <c r="AU3800" i="1"/>
  <c r="AU3801" i="1"/>
  <c r="AP3801" i="1" s="1"/>
  <c r="AU3802" i="1"/>
  <c r="AU3803" i="1"/>
  <c r="AU3804" i="1"/>
  <c r="AU3805" i="1"/>
  <c r="AP3805" i="1" s="1"/>
  <c r="AU3806" i="1"/>
  <c r="AU3807" i="1"/>
  <c r="AP3807" i="1" s="1"/>
  <c r="AU3808" i="1"/>
  <c r="AU3809" i="1"/>
  <c r="AP3809" i="1" s="1"/>
  <c r="AU3810" i="1"/>
  <c r="AU3811" i="1"/>
  <c r="AU3812" i="1"/>
  <c r="AP3812" i="1" s="1"/>
  <c r="AU3813" i="1"/>
  <c r="AP3813" i="1" s="1"/>
  <c r="AU3814" i="1"/>
  <c r="AU3815" i="1"/>
  <c r="AU3816" i="1"/>
  <c r="AU3817" i="1"/>
  <c r="AP3817" i="1" s="1"/>
  <c r="AU3818" i="1"/>
  <c r="AU3819" i="1"/>
  <c r="AU3820" i="1"/>
  <c r="AU3821" i="1"/>
  <c r="AP3821" i="1" s="1"/>
  <c r="AU3822" i="1"/>
  <c r="AU3823" i="1"/>
  <c r="AP3823" i="1" s="1"/>
  <c r="AU3824" i="1"/>
  <c r="AU3825" i="1"/>
  <c r="AP3825" i="1" s="1"/>
  <c r="AU3826" i="1"/>
  <c r="AU3827" i="1"/>
  <c r="AU3828" i="1"/>
  <c r="AP3828" i="1" s="1"/>
  <c r="AU3829" i="1"/>
  <c r="AP3829" i="1" s="1"/>
  <c r="AU3830" i="1"/>
  <c r="AU3831" i="1"/>
  <c r="AU3832" i="1"/>
  <c r="AU3833" i="1"/>
  <c r="AP3833" i="1" s="1"/>
  <c r="AU3834" i="1"/>
  <c r="AU3835" i="1"/>
  <c r="AU3836" i="1"/>
  <c r="AU3837" i="1"/>
  <c r="AP3837" i="1" s="1"/>
  <c r="AU3838" i="1"/>
  <c r="AU3839" i="1"/>
  <c r="AP3839" i="1" s="1"/>
  <c r="AU3840" i="1"/>
  <c r="AU3841" i="1"/>
  <c r="AP3841" i="1" s="1"/>
  <c r="AU3842" i="1"/>
  <c r="AU3843" i="1"/>
  <c r="AU3844" i="1"/>
  <c r="AP3844" i="1" s="1"/>
  <c r="AU3845" i="1"/>
  <c r="AP3845" i="1" s="1"/>
  <c r="AU3846" i="1"/>
  <c r="AU3847" i="1"/>
  <c r="AU3848" i="1"/>
  <c r="AU3849" i="1"/>
  <c r="AP3849" i="1" s="1"/>
  <c r="AU3850" i="1"/>
  <c r="AU3851" i="1"/>
  <c r="AU3852" i="1"/>
  <c r="AU3853" i="1"/>
  <c r="AP3853" i="1" s="1"/>
  <c r="AU3854" i="1"/>
  <c r="AU3855" i="1"/>
  <c r="AP3855" i="1" s="1"/>
  <c r="AU3856" i="1"/>
  <c r="AU3857" i="1"/>
  <c r="AP3857" i="1" s="1"/>
  <c r="AU3858" i="1"/>
  <c r="AU3859" i="1"/>
  <c r="AU3860" i="1"/>
  <c r="AP3860" i="1" s="1"/>
  <c r="AU3861" i="1"/>
  <c r="AP3861" i="1" s="1"/>
  <c r="AU3862" i="1"/>
  <c r="AU3863" i="1"/>
  <c r="AU3864" i="1"/>
  <c r="AU3865" i="1"/>
  <c r="AP3865" i="1" s="1"/>
  <c r="AU3866" i="1"/>
  <c r="AU3867" i="1"/>
  <c r="AU3868" i="1"/>
  <c r="AU3869" i="1"/>
  <c r="AP3869" i="1" s="1"/>
  <c r="AU3870" i="1"/>
  <c r="AU3871" i="1"/>
  <c r="AP3871" i="1" s="1"/>
  <c r="AU3872" i="1"/>
  <c r="AU3873" i="1"/>
  <c r="AP3873" i="1" s="1"/>
  <c r="AU3874" i="1"/>
  <c r="AU3875" i="1"/>
  <c r="AU3876" i="1"/>
  <c r="AP3876" i="1" s="1"/>
  <c r="AU3877" i="1"/>
  <c r="AP3877" i="1" s="1"/>
  <c r="AP3744" i="1"/>
  <c r="AP3746" i="1"/>
  <c r="AP3747" i="1"/>
  <c r="AP3750" i="1"/>
  <c r="AP3751" i="1"/>
  <c r="AP3752" i="1"/>
  <c r="AP3754" i="1"/>
  <c r="AP3755" i="1"/>
  <c r="AP3756" i="1"/>
  <c r="AP3758" i="1"/>
  <c r="AP3760" i="1"/>
  <c r="AP3762" i="1"/>
  <c r="AP3763" i="1"/>
  <c r="AP3766" i="1"/>
  <c r="AP3767" i="1"/>
  <c r="AP3768" i="1"/>
  <c r="AP3770" i="1"/>
  <c r="AP3771" i="1"/>
  <c r="AP3772" i="1"/>
  <c r="AP3774" i="1"/>
  <c r="AP3776" i="1"/>
  <c r="AP3778" i="1"/>
  <c r="AP3779" i="1"/>
  <c r="AP3782" i="1"/>
  <c r="AP3783" i="1"/>
  <c r="AP3784" i="1"/>
  <c r="AP3786" i="1"/>
  <c r="AP3787" i="1"/>
  <c r="AP3788" i="1"/>
  <c r="AP3790" i="1"/>
  <c r="AP3792" i="1"/>
  <c r="AP3794" i="1"/>
  <c r="AP3795" i="1"/>
  <c r="AP3798" i="1"/>
  <c r="AP3799" i="1"/>
  <c r="AP3800" i="1"/>
  <c r="AP3802" i="1"/>
  <c r="AP3803" i="1"/>
  <c r="AP3804" i="1"/>
  <c r="AP3806" i="1"/>
  <c r="AP3808" i="1"/>
  <c r="AP3810" i="1"/>
  <c r="AP3811" i="1"/>
  <c r="AP3814" i="1"/>
  <c r="AP3815" i="1"/>
  <c r="AP3816" i="1"/>
  <c r="AP3818" i="1"/>
  <c r="AP3819" i="1"/>
  <c r="AP3820" i="1"/>
  <c r="AP3822" i="1"/>
  <c r="AP3824" i="1"/>
  <c r="AP3826" i="1"/>
  <c r="AP3827" i="1"/>
  <c r="AP3830" i="1"/>
  <c r="AP3831" i="1"/>
  <c r="AP3832" i="1"/>
  <c r="AP3834" i="1"/>
  <c r="AP3835" i="1"/>
  <c r="AP3836" i="1"/>
  <c r="AP3838" i="1"/>
  <c r="AP3840" i="1"/>
  <c r="AP3842" i="1"/>
  <c r="AP3843" i="1"/>
  <c r="AP3846" i="1"/>
  <c r="AP3847" i="1"/>
  <c r="AP3848" i="1"/>
  <c r="AP3850" i="1"/>
  <c r="AP3851" i="1"/>
  <c r="AP3852" i="1"/>
  <c r="AP3854" i="1"/>
  <c r="AP3856" i="1"/>
  <c r="AP3858" i="1"/>
  <c r="AP3859" i="1"/>
  <c r="AP3862" i="1"/>
  <c r="AP3863" i="1"/>
  <c r="AP3864" i="1"/>
  <c r="AP3866" i="1"/>
  <c r="AP3867" i="1"/>
  <c r="AP3868" i="1"/>
  <c r="AP3870" i="1"/>
  <c r="AP3872" i="1"/>
  <c r="AP3874" i="1"/>
  <c r="AP3875"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U3743" i="1"/>
  <c r="W3743" i="1" s="1"/>
  <c r="U3744" i="1"/>
  <c r="W3744" i="1" s="1"/>
  <c r="U3745" i="1"/>
  <c r="W3745" i="1" s="1"/>
  <c r="U3746" i="1"/>
  <c r="W3746" i="1" s="1"/>
  <c r="U3747" i="1"/>
  <c r="W3747" i="1" s="1"/>
  <c r="U3748" i="1"/>
  <c r="W3748" i="1" s="1"/>
  <c r="U3749" i="1"/>
  <c r="W3749" i="1" s="1"/>
  <c r="U3750" i="1"/>
  <c r="W3750" i="1" s="1"/>
  <c r="U3768" i="1"/>
  <c r="W3768" i="1" s="1"/>
  <c r="U3769" i="1"/>
  <c r="W3769" i="1" s="1"/>
  <c r="U3770" i="1"/>
  <c r="W3770" i="1" s="1"/>
  <c r="U3771" i="1"/>
  <c r="W3771" i="1" s="1"/>
  <c r="U3772" i="1"/>
  <c r="W3772" i="1" s="1"/>
  <c r="U3773" i="1"/>
  <c r="W3773" i="1" s="1"/>
  <c r="U3777" i="1"/>
  <c r="W3777" i="1" s="1"/>
  <c r="U3778" i="1"/>
  <c r="W3778" i="1" s="1"/>
  <c r="U3779" i="1"/>
  <c r="W3779" i="1" s="1"/>
  <c r="U3780" i="1"/>
  <c r="W3780" i="1" s="1"/>
  <c r="U3784" i="1"/>
  <c r="W3784" i="1" s="1"/>
  <c r="U3785" i="1"/>
  <c r="W3785" i="1" s="1"/>
  <c r="U3786" i="1"/>
  <c r="W3786" i="1" s="1"/>
  <c r="U3787" i="1"/>
  <c r="W3787" i="1" s="1"/>
  <c r="U3788" i="1"/>
  <c r="W3788" i="1" s="1"/>
  <c r="U3789" i="1"/>
  <c r="W3789" i="1" s="1"/>
  <c r="U3790" i="1"/>
  <c r="W3790" i="1" s="1"/>
  <c r="U3791" i="1"/>
  <c r="W3791" i="1" s="1"/>
  <c r="U3792" i="1"/>
  <c r="W3792" i="1" s="1"/>
  <c r="U3793" i="1"/>
  <c r="W3793" i="1" s="1"/>
  <c r="U3797" i="1"/>
  <c r="W3797" i="1" s="1"/>
  <c r="U3798" i="1"/>
  <c r="W3798" i="1" s="1"/>
  <c r="U3799" i="1"/>
  <c r="W3799" i="1" s="1"/>
  <c r="U3800" i="1"/>
  <c r="W3800" i="1" s="1"/>
  <c r="U3801" i="1"/>
  <c r="W3801" i="1" s="1"/>
  <c r="U3802" i="1"/>
  <c r="W3802" i="1" s="1"/>
  <c r="U3803" i="1"/>
  <c r="W3803" i="1" s="1"/>
  <c r="U3804" i="1"/>
  <c r="W3804" i="1" s="1"/>
  <c r="U3805" i="1"/>
  <c r="W3805" i="1" s="1"/>
  <c r="U3806" i="1"/>
  <c r="W3806" i="1" s="1"/>
  <c r="U3810" i="1"/>
  <c r="W3810" i="1" s="1"/>
  <c r="U3811" i="1"/>
  <c r="W3811" i="1" s="1"/>
  <c r="U3812" i="1"/>
  <c r="W3812" i="1" s="1"/>
  <c r="U3813" i="1"/>
  <c r="W3813" i="1" s="1"/>
  <c r="U3814" i="1"/>
  <c r="W3814" i="1" s="1"/>
  <c r="U3815" i="1"/>
  <c r="W3815" i="1" s="1"/>
  <c r="U3816" i="1"/>
  <c r="W3816" i="1" s="1"/>
  <c r="U3817" i="1"/>
  <c r="W3817" i="1" s="1"/>
  <c r="U3818" i="1"/>
  <c r="W3818" i="1" s="1"/>
  <c r="U3819" i="1"/>
  <c r="W3819" i="1" s="1"/>
  <c r="U3823" i="1"/>
  <c r="W3823" i="1" s="1"/>
  <c r="U3824" i="1"/>
  <c r="W3824" i="1" s="1"/>
  <c r="U3825" i="1"/>
  <c r="W3825" i="1" s="1"/>
  <c r="U3826" i="1"/>
  <c r="W3826" i="1" s="1"/>
  <c r="U3827" i="1"/>
  <c r="W3827" i="1" s="1"/>
  <c r="U3828" i="1"/>
  <c r="W3828" i="1" s="1"/>
  <c r="U3832" i="1"/>
  <c r="W3832" i="1" s="1"/>
  <c r="U3833" i="1"/>
  <c r="W3833" i="1" s="1"/>
  <c r="U3834" i="1"/>
  <c r="W3834" i="1" s="1"/>
  <c r="U3835" i="1"/>
  <c r="W3835" i="1" s="1"/>
  <c r="U3839" i="1"/>
  <c r="W3839" i="1" s="1"/>
  <c r="U3840" i="1"/>
  <c r="W3840" i="1" s="1"/>
  <c r="U3841" i="1"/>
  <c r="W3841" i="1" s="1"/>
  <c r="U3842" i="1"/>
  <c r="W3842" i="1" s="1"/>
  <c r="U3843" i="1"/>
  <c r="W3843" i="1" s="1"/>
  <c r="U3844" i="1"/>
  <c r="W3844" i="1" s="1"/>
  <c r="U3845" i="1"/>
  <c r="W3845" i="1" s="1"/>
  <c r="U3846" i="1"/>
  <c r="W3846" i="1" s="1"/>
  <c r="U3847" i="1"/>
  <c r="W3847" i="1" s="1"/>
  <c r="U3848" i="1"/>
  <c r="W3848" i="1" s="1"/>
  <c r="U3852" i="1"/>
  <c r="W3852" i="1" s="1"/>
  <c r="U3853" i="1"/>
  <c r="W3853" i="1" s="1"/>
  <c r="U3854" i="1"/>
  <c r="W3854" i="1" s="1"/>
  <c r="U3855" i="1"/>
  <c r="W3855" i="1" s="1"/>
  <c r="U3856" i="1"/>
  <c r="W3856" i="1" s="1"/>
  <c r="U3857" i="1"/>
  <c r="W3857" i="1" s="1"/>
  <c r="U3858" i="1"/>
  <c r="W3858" i="1" s="1"/>
  <c r="U3859" i="1"/>
  <c r="W3859" i="1" s="1"/>
  <c r="U3860" i="1"/>
  <c r="W3860" i="1" s="1"/>
  <c r="U3861" i="1"/>
  <c r="W3861" i="1" s="1"/>
  <c r="U3865" i="1"/>
  <c r="W3865" i="1" s="1"/>
  <c r="U3866" i="1"/>
  <c r="W3866" i="1" s="1"/>
  <c r="U3867" i="1"/>
  <c r="W3867" i="1" s="1"/>
  <c r="U3868" i="1"/>
  <c r="W3868" i="1" s="1"/>
  <c r="U3869" i="1"/>
  <c r="W3869" i="1" s="1"/>
  <c r="U3870" i="1"/>
  <c r="W3870" i="1" s="1"/>
  <c r="U3871" i="1"/>
  <c r="W3871" i="1" s="1"/>
  <c r="U3872" i="1"/>
  <c r="W3872" i="1" s="1"/>
  <c r="U3873" i="1"/>
  <c r="W3873" i="1" s="1"/>
  <c r="U3874" i="1"/>
  <c r="W3874" i="1" s="1"/>
  <c r="S3743" i="1"/>
  <c r="S3744" i="1"/>
  <c r="S3745" i="1"/>
  <c r="S3746" i="1"/>
  <c r="S3747" i="1"/>
  <c r="S3748" i="1"/>
  <c r="S3749" i="1"/>
  <c r="S3750" i="1"/>
  <c r="S3751" i="1"/>
  <c r="U3751" i="1" s="1"/>
  <c r="W3751" i="1" s="1"/>
  <c r="S3752" i="1"/>
  <c r="S3753" i="1"/>
  <c r="S3754" i="1"/>
  <c r="S3755" i="1"/>
  <c r="U3755" i="1" s="1"/>
  <c r="W3755" i="1" s="1"/>
  <c r="S3756" i="1"/>
  <c r="S3757" i="1"/>
  <c r="S3758" i="1"/>
  <c r="S3759" i="1"/>
  <c r="U3759" i="1" s="1"/>
  <c r="W3759" i="1" s="1"/>
  <c r="S3760" i="1"/>
  <c r="S3761" i="1"/>
  <c r="S3762" i="1"/>
  <c r="S3763" i="1"/>
  <c r="U3763" i="1" s="1"/>
  <c r="W3763" i="1" s="1"/>
  <c r="S3764" i="1"/>
  <c r="S3765" i="1"/>
  <c r="S3766" i="1"/>
  <c r="S3767" i="1"/>
  <c r="U3767" i="1" s="1"/>
  <c r="W3767" i="1" s="1"/>
  <c r="S3768" i="1"/>
  <c r="S3769" i="1"/>
  <c r="S3770" i="1"/>
  <c r="S3771" i="1"/>
  <c r="S3772" i="1"/>
  <c r="S3773" i="1"/>
  <c r="S3774" i="1"/>
  <c r="S3775" i="1"/>
  <c r="S3776" i="1"/>
  <c r="S3777" i="1"/>
  <c r="S3778" i="1"/>
  <c r="S3779" i="1"/>
  <c r="S3780" i="1"/>
  <c r="S3781" i="1"/>
  <c r="S3782" i="1"/>
  <c r="S3783" i="1"/>
  <c r="U3783" i="1" s="1"/>
  <c r="W3783" i="1" s="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U3831" i="1" s="1"/>
  <c r="W3831" i="1" s="1"/>
  <c r="S3832" i="1"/>
  <c r="S3833" i="1"/>
  <c r="S3834" i="1"/>
  <c r="S3835" i="1"/>
  <c r="S3836" i="1"/>
  <c r="S3837" i="1"/>
  <c r="S3838" i="1"/>
  <c r="S3839" i="1"/>
  <c r="S3840" i="1"/>
  <c r="S3841" i="1"/>
  <c r="S3842" i="1"/>
  <c r="S3843" i="1"/>
  <c r="S3844" i="1"/>
  <c r="S3845" i="1"/>
  <c r="S3846" i="1"/>
  <c r="S3847" i="1"/>
  <c r="S3848" i="1"/>
  <c r="S3849" i="1"/>
  <c r="S3850" i="1"/>
  <c r="S3851" i="1"/>
  <c r="U3851" i="1" s="1"/>
  <c r="W3851" i="1" s="1"/>
  <c r="S3852" i="1"/>
  <c r="S3853" i="1"/>
  <c r="S3854" i="1"/>
  <c r="S3855" i="1"/>
  <c r="S3856" i="1"/>
  <c r="S3857" i="1"/>
  <c r="S3858" i="1"/>
  <c r="S3859" i="1"/>
  <c r="S3860" i="1"/>
  <c r="S3861" i="1"/>
  <c r="S3862" i="1"/>
  <c r="S3863" i="1"/>
  <c r="S3864" i="1"/>
  <c r="U3864" i="1" s="1"/>
  <c r="W3864" i="1" s="1"/>
  <c r="S3865" i="1"/>
  <c r="S3866" i="1"/>
  <c r="S3867" i="1"/>
  <c r="S3868" i="1"/>
  <c r="S3869" i="1"/>
  <c r="S3870" i="1"/>
  <c r="S3871" i="1"/>
  <c r="S3872" i="1"/>
  <c r="S3873" i="1"/>
  <c r="S3874" i="1"/>
  <c r="S3875" i="1"/>
  <c r="S3876" i="1"/>
  <c r="S3877" i="1"/>
  <c r="U3877" i="1" s="1"/>
  <c r="W3877" i="1" s="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U3367" i="1"/>
  <c r="AU3368" i="1"/>
  <c r="AU3369" i="1"/>
  <c r="AU3370" i="1"/>
  <c r="AU3371" i="1"/>
  <c r="AU3372" i="1"/>
  <c r="AU3373" i="1"/>
  <c r="AU3374" i="1"/>
  <c r="AU3375" i="1"/>
  <c r="AU3376" i="1"/>
  <c r="AU3377" i="1"/>
  <c r="AU3378" i="1"/>
  <c r="AU3379" i="1"/>
  <c r="AU3380" i="1"/>
  <c r="AU3381" i="1"/>
  <c r="AU3382" i="1"/>
  <c r="AU3383" i="1"/>
  <c r="AU3384" i="1"/>
  <c r="AU3385" i="1"/>
  <c r="AU3386" i="1"/>
  <c r="AU3387" i="1"/>
  <c r="AU3388" i="1"/>
  <c r="AU3389" i="1"/>
  <c r="AU3390" i="1"/>
  <c r="AU3391" i="1"/>
  <c r="AU3392" i="1"/>
  <c r="AU3393" i="1"/>
  <c r="AU3394" i="1"/>
  <c r="AU3395" i="1"/>
  <c r="AU3396" i="1"/>
  <c r="AU3397" i="1"/>
  <c r="AU3398" i="1"/>
  <c r="AU3399" i="1"/>
  <c r="AU3400" i="1"/>
  <c r="AU3401" i="1"/>
  <c r="AU3402" i="1"/>
  <c r="AU3403" i="1"/>
  <c r="AU3404" i="1"/>
  <c r="AU3405" i="1"/>
  <c r="AU3406" i="1"/>
  <c r="AU3407" i="1"/>
  <c r="AU3408" i="1"/>
  <c r="AU3409" i="1"/>
  <c r="AU3410" i="1"/>
  <c r="AU3411" i="1"/>
  <c r="AU3412" i="1"/>
  <c r="AU3413" i="1"/>
  <c r="AU3414" i="1"/>
  <c r="AU3415" i="1"/>
  <c r="AU3416" i="1"/>
  <c r="AU3417" i="1"/>
  <c r="AU3418" i="1"/>
  <c r="AU3419" i="1"/>
  <c r="AU3420" i="1"/>
  <c r="AU3421" i="1"/>
  <c r="AU3422" i="1"/>
  <c r="AU3423" i="1"/>
  <c r="AU3424" i="1"/>
  <c r="AU3425" i="1"/>
  <c r="AU3426" i="1"/>
  <c r="AU3427" i="1"/>
  <c r="AU3428" i="1"/>
  <c r="AU3429" i="1"/>
  <c r="AU3430" i="1"/>
  <c r="AU3431" i="1"/>
  <c r="AU3432" i="1"/>
  <c r="AU3433" i="1"/>
  <c r="AU3434" i="1"/>
  <c r="AU3435" i="1"/>
  <c r="AU3436" i="1"/>
  <c r="AU3437" i="1"/>
  <c r="AU3438" i="1"/>
  <c r="AU3439" i="1"/>
  <c r="AU3440" i="1"/>
  <c r="AU3441" i="1"/>
  <c r="AU3442" i="1"/>
  <c r="AU3443" i="1"/>
  <c r="AU3444" i="1"/>
  <c r="AU3445" i="1"/>
  <c r="AU3446" i="1"/>
  <c r="AU3447" i="1"/>
  <c r="AU3448" i="1"/>
  <c r="AU3449" i="1"/>
  <c r="AU3450" i="1"/>
  <c r="AU3451" i="1"/>
  <c r="AU3452" i="1"/>
  <c r="AU3453" i="1"/>
  <c r="AU3454" i="1"/>
  <c r="AU3455" i="1"/>
  <c r="AU3456" i="1"/>
  <c r="AU3457" i="1"/>
  <c r="AU3458" i="1"/>
  <c r="AU3459" i="1"/>
  <c r="AU3460" i="1"/>
  <c r="AU3461" i="1"/>
  <c r="AU3462" i="1"/>
  <c r="AU3463" i="1"/>
  <c r="AU3464" i="1"/>
  <c r="AU3465" i="1"/>
  <c r="AU3466" i="1"/>
  <c r="AU3467" i="1"/>
  <c r="AU3468" i="1"/>
  <c r="AU3469" i="1"/>
  <c r="AU3470" i="1"/>
  <c r="AU3471" i="1"/>
  <c r="AU3472" i="1"/>
  <c r="AU3473" i="1"/>
  <c r="AU3474" i="1"/>
  <c r="AU3475" i="1"/>
  <c r="AU3476" i="1"/>
  <c r="AU3477" i="1"/>
  <c r="AU3478" i="1"/>
  <c r="AU3479" i="1"/>
  <c r="AU3480" i="1"/>
  <c r="AU3481" i="1"/>
  <c r="AU3482" i="1"/>
  <c r="AU3483" i="1"/>
  <c r="AU3484" i="1"/>
  <c r="AU3485" i="1"/>
  <c r="AU3486" i="1"/>
  <c r="AU3487" i="1"/>
  <c r="AU3488" i="1"/>
  <c r="AU3489" i="1"/>
  <c r="AU3490" i="1"/>
  <c r="AU3491" i="1"/>
  <c r="AU3492" i="1"/>
  <c r="AU3493" i="1"/>
  <c r="AU3494" i="1"/>
  <c r="AU3495" i="1"/>
  <c r="AU3496" i="1"/>
  <c r="AU3497" i="1"/>
  <c r="AU3498" i="1"/>
  <c r="AU3499" i="1"/>
  <c r="AU3500" i="1"/>
  <c r="AU3501" i="1"/>
  <c r="AU3502" i="1"/>
  <c r="AU3503" i="1"/>
  <c r="AU3504" i="1"/>
  <c r="AU3505" i="1"/>
  <c r="AU3506" i="1"/>
  <c r="AU3507" i="1"/>
  <c r="AU3508" i="1"/>
  <c r="AU3509" i="1"/>
  <c r="AU3510" i="1"/>
  <c r="AU3511" i="1"/>
  <c r="AU3512" i="1"/>
  <c r="AU3513" i="1"/>
  <c r="AU3514" i="1"/>
  <c r="AU3515" i="1"/>
  <c r="AU3516" i="1"/>
  <c r="AU3517" i="1"/>
  <c r="AU3518" i="1"/>
  <c r="AU3519" i="1"/>
  <c r="AU3520" i="1"/>
  <c r="AU3521" i="1"/>
  <c r="AU3522" i="1"/>
  <c r="AU3523" i="1"/>
  <c r="AU3524" i="1"/>
  <c r="AU3525" i="1"/>
  <c r="AU3526" i="1"/>
  <c r="AU3527" i="1"/>
  <c r="AU3528" i="1"/>
  <c r="AU3529" i="1"/>
  <c r="AU3530" i="1"/>
  <c r="AU3531" i="1"/>
  <c r="AU3532" i="1"/>
  <c r="AU3533" i="1"/>
  <c r="AU3534" i="1"/>
  <c r="AU3535" i="1"/>
  <c r="AU3536" i="1"/>
  <c r="AU3537" i="1"/>
  <c r="AU3538" i="1"/>
  <c r="AU3539" i="1"/>
  <c r="AU3540" i="1"/>
  <c r="AU3541" i="1"/>
  <c r="AU3542" i="1"/>
  <c r="AU3543" i="1"/>
  <c r="AU3544" i="1"/>
  <c r="AU3545" i="1"/>
  <c r="AU3546" i="1"/>
  <c r="AU3547" i="1"/>
  <c r="AU3548" i="1"/>
  <c r="AU3549" i="1"/>
  <c r="AU3550" i="1"/>
  <c r="AU3551" i="1"/>
  <c r="AU3552" i="1"/>
  <c r="AU3553" i="1"/>
  <c r="AU3554" i="1"/>
  <c r="AU3555" i="1"/>
  <c r="AU3556" i="1"/>
  <c r="AU3557" i="1"/>
  <c r="AU3558" i="1"/>
  <c r="AU3559" i="1"/>
  <c r="AU3560" i="1"/>
  <c r="AU3561" i="1"/>
  <c r="AU3562" i="1"/>
  <c r="AU3563" i="1"/>
  <c r="AU3564" i="1"/>
  <c r="AU3565" i="1"/>
  <c r="AU3566" i="1"/>
  <c r="AU3567" i="1"/>
  <c r="AU3568" i="1"/>
  <c r="AU3569" i="1"/>
  <c r="AU3570" i="1"/>
  <c r="AU3571" i="1"/>
  <c r="AU3572" i="1"/>
  <c r="AU3573" i="1"/>
  <c r="AU3574" i="1"/>
  <c r="AU3575" i="1"/>
  <c r="AU3576" i="1"/>
  <c r="AU3577" i="1"/>
  <c r="AU3578" i="1"/>
  <c r="AU3579" i="1"/>
  <c r="AU3580" i="1"/>
  <c r="AU3581" i="1"/>
  <c r="AU3582" i="1"/>
  <c r="AU3583" i="1"/>
  <c r="AU3584" i="1"/>
  <c r="AU3585" i="1"/>
  <c r="AU3586" i="1"/>
  <c r="AU3587" i="1"/>
  <c r="AU3588" i="1"/>
  <c r="AU3589" i="1"/>
  <c r="AU3590" i="1"/>
  <c r="AU3591" i="1"/>
  <c r="AU3592" i="1"/>
  <c r="AU3593" i="1"/>
  <c r="AU3594" i="1"/>
  <c r="AU3595" i="1"/>
  <c r="AU3596" i="1"/>
  <c r="AU3597" i="1"/>
  <c r="AU3598" i="1"/>
  <c r="AU3599" i="1"/>
  <c r="AU3600" i="1"/>
  <c r="AU3601" i="1"/>
  <c r="AU3602" i="1"/>
  <c r="AU3603" i="1"/>
  <c r="AU3604" i="1"/>
  <c r="AU3605" i="1"/>
  <c r="AU3606" i="1"/>
  <c r="AU3607" i="1"/>
  <c r="AU3608" i="1"/>
  <c r="AU3609" i="1"/>
  <c r="AU3610" i="1"/>
  <c r="AU3611" i="1"/>
  <c r="AU3612" i="1"/>
  <c r="AU3613" i="1"/>
  <c r="AU3614" i="1"/>
  <c r="AU3615" i="1"/>
  <c r="AU3616" i="1"/>
  <c r="AU3617" i="1"/>
  <c r="AU3618" i="1"/>
  <c r="AU3619" i="1"/>
  <c r="AU3620" i="1"/>
  <c r="AU3621" i="1"/>
  <c r="AU3622" i="1"/>
  <c r="AU3623" i="1"/>
  <c r="AU3624" i="1"/>
  <c r="AU3625" i="1"/>
  <c r="AU3626" i="1"/>
  <c r="AU3627" i="1"/>
  <c r="AU3628" i="1"/>
  <c r="AU3629" i="1"/>
  <c r="AU3630" i="1"/>
  <c r="AU3631" i="1"/>
  <c r="AU3632" i="1"/>
  <c r="AU3633" i="1"/>
  <c r="AU3634" i="1"/>
  <c r="AU3635" i="1"/>
  <c r="AU3636" i="1"/>
  <c r="AU3637" i="1"/>
  <c r="AU3638" i="1"/>
  <c r="AU3639" i="1"/>
  <c r="AU3640" i="1"/>
  <c r="AU3641" i="1"/>
  <c r="AU3642" i="1"/>
  <c r="AU3643" i="1"/>
  <c r="AU3644" i="1"/>
  <c r="AU3645" i="1"/>
  <c r="AU3646" i="1"/>
  <c r="AU3647" i="1"/>
  <c r="AU3648" i="1"/>
  <c r="AU3649" i="1"/>
  <c r="AU3650" i="1"/>
  <c r="AU3651" i="1"/>
  <c r="AU3652" i="1"/>
  <c r="AU3653" i="1"/>
  <c r="AU3654" i="1"/>
  <c r="AU3655" i="1"/>
  <c r="AU3656" i="1"/>
  <c r="AU3657" i="1"/>
  <c r="AU3658" i="1"/>
  <c r="AU3659" i="1"/>
  <c r="AU3660" i="1"/>
  <c r="AU3661" i="1"/>
  <c r="AU3662" i="1"/>
  <c r="AU3663" i="1"/>
  <c r="AU3664" i="1"/>
  <c r="AU3665" i="1"/>
  <c r="AU3666" i="1"/>
  <c r="AU3667" i="1"/>
  <c r="AU3668" i="1"/>
  <c r="AU3669" i="1"/>
  <c r="AU3670" i="1"/>
  <c r="AU3671" i="1"/>
  <c r="AU3672" i="1"/>
  <c r="AU3673" i="1"/>
  <c r="AU3674" i="1"/>
  <c r="AU3675" i="1"/>
  <c r="AU3676" i="1"/>
  <c r="AU3677" i="1"/>
  <c r="AU3678" i="1"/>
  <c r="AU3679" i="1"/>
  <c r="AU3680" i="1"/>
  <c r="AU3681" i="1"/>
  <c r="AU3682" i="1"/>
  <c r="AU3683" i="1"/>
  <c r="AU3684" i="1"/>
  <c r="AU3685" i="1"/>
  <c r="AU3686" i="1"/>
  <c r="AU3687" i="1"/>
  <c r="AU3688" i="1"/>
  <c r="AU3689" i="1"/>
  <c r="AU3690" i="1"/>
  <c r="AU3691" i="1"/>
  <c r="AU3692" i="1"/>
  <c r="AU3693" i="1"/>
  <c r="AU3694" i="1"/>
  <c r="AU3695" i="1"/>
  <c r="AU3696" i="1"/>
  <c r="AU3697" i="1"/>
  <c r="AU3698" i="1"/>
  <c r="AU3699" i="1"/>
  <c r="AU3700" i="1"/>
  <c r="AU3701" i="1"/>
  <c r="AU3702" i="1"/>
  <c r="AU3703" i="1"/>
  <c r="AU3704" i="1"/>
  <c r="AU3705" i="1"/>
  <c r="AU3706" i="1"/>
  <c r="AU3707" i="1"/>
  <c r="AU3708" i="1"/>
  <c r="AU3709" i="1"/>
  <c r="AU3710" i="1"/>
  <c r="AU3711" i="1"/>
  <c r="AU3712" i="1"/>
  <c r="AU3713" i="1"/>
  <c r="AU3714" i="1"/>
  <c r="AU3715" i="1"/>
  <c r="AU3716" i="1"/>
  <c r="AU3717" i="1"/>
  <c r="AU3718" i="1"/>
  <c r="AU3719" i="1"/>
  <c r="AU3720" i="1"/>
  <c r="AU3721" i="1"/>
  <c r="AU3722" i="1"/>
  <c r="AU3723" i="1"/>
  <c r="AU3724" i="1"/>
  <c r="AU3725" i="1"/>
  <c r="AU3726" i="1"/>
  <c r="AU3727" i="1"/>
  <c r="AU3728" i="1"/>
  <c r="AU3729" i="1"/>
  <c r="AU3730" i="1"/>
  <c r="AU3731" i="1"/>
  <c r="AU3732" i="1"/>
  <c r="AU3733" i="1"/>
  <c r="AU3734" i="1"/>
  <c r="AU3735" i="1"/>
  <c r="AU3736" i="1"/>
  <c r="AU3737" i="1"/>
  <c r="AU3738" i="1"/>
  <c r="AU3739" i="1"/>
  <c r="AU3740" i="1"/>
  <c r="AU3741" i="1"/>
  <c r="AU3742" i="1"/>
  <c r="AT3367" i="1"/>
  <c r="AT3368" i="1"/>
  <c r="AT3369" i="1"/>
  <c r="AT3370" i="1"/>
  <c r="AT3371" i="1"/>
  <c r="AT3372" i="1"/>
  <c r="AT3373" i="1"/>
  <c r="AT3374" i="1"/>
  <c r="AT3375" i="1"/>
  <c r="AT3376" i="1"/>
  <c r="AT3377" i="1"/>
  <c r="AT3378" i="1"/>
  <c r="AT3379" i="1"/>
  <c r="AT3380" i="1"/>
  <c r="AT3381" i="1"/>
  <c r="AT3382" i="1"/>
  <c r="AT3383" i="1"/>
  <c r="AT3384" i="1"/>
  <c r="AT3385" i="1"/>
  <c r="AT3386" i="1"/>
  <c r="AT3387" i="1"/>
  <c r="AT3388" i="1"/>
  <c r="AT3389" i="1"/>
  <c r="AT3390" i="1"/>
  <c r="AT3391" i="1"/>
  <c r="AT3392" i="1"/>
  <c r="AT3393" i="1"/>
  <c r="AT3394" i="1"/>
  <c r="AT3395" i="1"/>
  <c r="AT3396" i="1"/>
  <c r="AT3397" i="1"/>
  <c r="AT3398" i="1"/>
  <c r="AT3399" i="1"/>
  <c r="AT3400" i="1"/>
  <c r="AT3401" i="1"/>
  <c r="AT3402" i="1"/>
  <c r="AT3403" i="1"/>
  <c r="AT3404" i="1"/>
  <c r="AT3405" i="1"/>
  <c r="AT3406" i="1"/>
  <c r="AT3407" i="1"/>
  <c r="AT3408" i="1"/>
  <c r="AT3409" i="1"/>
  <c r="AT3410" i="1"/>
  <c r="AT3411" i="1"/>
  <c r="AT3412" i="1"/>
  <c r="AT3413" i="1"/>
  <c r="AT3414" i="1"/>
  <c r="AT3415" i="1"/>
  <c r="AT3416" i="1"/>
  <c r="AT3417" i="1"/>
  <c r="AT3418" i="1"/>
  <c r="AT3419" i="1"/>
  <c r="AT3420" i="1"/>
  <c r="AT3421" i="1"/>
  <c r="AT3422" i="1"/>
  <c r="AT3423" i="1"/>
  <c r="AT3424" i="1"/>
  <c r="AT3425" i="1"/>
  <c r="AT3426" i="1"/>
  <c r="AT3427" i="1"/>
  <c r="AT3428" i="1"/>
  <c r="AT3429" i="1"/>
  <c r="AT3430" i="1"/>
  <c r="AT3431" i="1"/>
  <c r="AT3432" i="1"/>
  <c r="AT3433" i="1"/>
  <c r="AT3434" i="1"/>
  <c r="AT3435" i="1"/>
  <c r="AT3436" i="1"/>
  <c r="AT3437" i="1"/>
  <c r="AT3438" i="1"/>
  <c r="AT3439" i="1"/>
  <c r="AT3440" i="1"/>
  <c r="AT3441" i="1"/>
  <c r="AT3442" i="1"/>
  <c r="AT3443" i="1"/>
  <c r="AT3444" i="1"/>
  <c r="AT3445" i="1"/>
  <c r="AT3446" i="1"/>
  <c r="AT3447" i="1"/>
  <c r="AT3448" i="1"/>
  <c r="AT3449" i="1"/>
  <c r="AT3450" i="1"/>
  <c r="AT3451" i="1"/>
  <c r="AT3452" i="1"/>
  <c r="AT3453" i="1"/>
  <c r="AT3454" i="1"/>
  <c r="AT3455" i="1"/>
  <c r="AT3456" i="1"/>
  <c r="AT3457" i="1"/>
  <c r="AT3458" i="1"/>
  <c r="AT3459" i="1"/>
  <c r="AT3460" i="1"/>
  <c r="AT3461" i="1"/>
  <c r="AT3462" i="1"/>
  <c r="AT3463" i="1"/>
  <c r="AT3464" i="1"/>
  <c r="AT3465" i="1"/>
  <c r="AT3466" i="1"/>
  <c r="AT3467" i="1"/>
  <c r="AT3468" i="1"/>
  <c r="AT3469" i="1"/>
  <c r="AT3470" i="1"/>
  <c r="AT3471" i="1"/>
  <c r="AT3472" i="1"/>
  <c r="AT3473" i="1"/>
  <c r="AT3474" i="1"/>
  <c r="AT3475" i="1"/>
  <c r="AT3476" i="1"/>
  <c r="AT3477" i="1"/>
  <c r="AT3478" i="1"/>
  <c r="AT3479" i="1"/>
  <c r="AT3480" i="1"/>
  <c r="AT3481" i="1"/>
  <c r="AT3482" i="1"/>
  <c r="AT3483" i="1"/>
  <c r="AT3484" i="1"/>
  <c r="AT3485" i="1"/>
  <c r="AT3486" i="1"/>
  <c r="AT3487" i="1"/>
  <c r="AT3488" i="1"/>
  <c r="AT3489" i="1"/>
  <c r="AT3490" i="1"/>
  <c r="AT3491" i="1"/>
  <c r="AT3492" i="1"/>
  <c r="AT3493" i="1"/>
  <c r="AT3494" i="1"/>
  <c r="AT3495" i="1"/>
  <c r="AT3496" i="1"/>
  <c r="AT3497" i="1"/>
  <c r="AT3498" i="1"/>
  <c r="AT3499" i="1"/>
  <c r="AT3500" i="1"/>
  <c r="AT3501" i="1"/>
  <c r="AT3502" i="1"/>
  <c r="AT3503" i="1"/>
  <c r="AT3504" i="1"/>
  <c r="AT3505" i="1"/>
  <c r="AT3506" i="1"/>
  <c r="AT3507" i="1"/>
  <c r="AT3508" i="1"/>
  <c r="AT3509" i="1"/>
  <c r="AT3510" i="1"/>
  <c r="AT3511" i="1"/>
  <c r="AT3512" i="1"/>
  <c r="AT3513" i="1"/>
  <c r="AT3514" i="1"/>
  <c r="AT3515" i="1"/>
  <c r="AT3516" i="1"/>
  <c r="AT3517" i="1"/>
  <c r="AT3518" i="1"/>
  <c r="AT3519" i="1"/>
  <c r="AT3520" i="1"/>
  <c r="AT3521" i="1"/>
  <c r="AT3522" i="1"/>
  <c r="AT3523" i="1"/>
  <c r="AT3524" i="1"/>
  <c r="AT3525" i="1"/>
  <c r="AT3526" i="1"/>
  <c r="AT3527" i="1"/>
  <c r="AT3528" i="1"/>
  <c r="AT3529" i="1"/>
  <c r="AT3530" i="1"/>
  <c r="AT3531" i="1"/>
  <c r="AT3532" i="1"/>
  <c r="AT3533" i="1"/>
  <c r="AT3534" i="1"/>
  <c r="AT3535" i="1"/>
  <c r="AT3536" i="1"/>
  <c r="AT3537" i="1"/>
  <c r="AT3538" i="1"/>
  <c r="AT3539" i="1"/>
  <c r="AT3540" i="1"/>
  <c r="AT3541" i="1"/>
  <c r="AT3542" i="1"/>
  <c r="AT3543" i="1"/>
  <c r="AT3544" i="1"/>
  <c r="AT3545" i="1"/>
  <c r="AT3546" i="1"/>
  <c r="AT3547" i="1"/>
  <c r="AT3548" i="1"/>
  <c r="AT3549" i="1"/>
  <c r="AT3550" i="1"/>
  <c r="AT3551" i="1"/>
  <c r="AT3552" i="1"/>
  <c r="AT3553" i="1"/>
  <c r="AT3554" i="1"/>
  <c r="AT3555" i="1"/>
  <c r="AT3556" i="1"/>
  <c r="AT3557" i="1"/>
  <c r="AT3558" i="1"/>
  <c r="AT3559" i="1"/>
  <c r="AT3560" i="1"/>
  <c r="AT3561" i="1"/>
  <c r="AT3562" i="1"/>
  <c r="AT3563" i="1"/>
  <c r="AT3564" i="1"/>
  <c r="AT3565" i="1"/>
  <c r="AT3566" i="1"/>
  <c r="AT3567" i="1"/>
  <c r="AT3568" i="1"/>
  <c r="AT3569" i="1"/>
  <c r="AT3570" i="1"/>
  <c r="AT3571" i="1"/>
  <c r="AT3572" i="1"/>
  <c r="AT3573" i="1"/>
  <c r="AT3574" i="1"/>
  <c r="AT3575" i="1"/>
  <c r="AT3576" i="1"/>
  <c r="AT3577" i="1"/>
  <c r="AT3578" i="1"/>
  <c r="AT3579" i="1"/>
  <c r="AT3580" i="1"/>
  <c r="AT3581" i="1"/>
  <c r="AT3582" i="1"/>
  <c r="AT3583" i="1"/>
  <c r="AT3584" i="1"/>
  <c r="AT3585" i="1"/>
  <c r="AT3586" i="1"/>
  <c r="AT3587" i="1"/>
  <c r="AT3588" i="1"/>
  <c r="AT3589" i="1"/>
  <c r="AT3590" i="1"/>
  <c r="AT3591" i="1"/>
  <c r="AT3592" i="1"/>
  <c r="AT3593" i="1"/>
  <c r="AT3594" i="1"/>
  <c r="AT3595" i="1"/>
  <c r="AT3596" i="1"/>
  <c r="AT3597" i="1"/>
  <c r="AT3598" i="1"/>
  <c r="AT3599" i="1"/>
  <c r="AT3600" i="1"/>
  <c r="AT3601" i="1"/>
  <c r="AT3602" i="1"/>
  <c r="AT3603" i="1"/>
  <c r="AT3604" i="1"/>
  <c r="AT3605" i="1"/>
  <c r="AT3606" i="1"/>
  <c r="AT3607" i="1"/>
  <c r="AT3608" i="1"/>
  <c r="AT3609" i="1"/>
  <c r="AT3610" i="1"/>
  <c r="AT3611" i="1"/>
  <c r="AT3612" i="1"/>
  <c r="AT3613" i="1"/>
  <c r="AT3614" i="1"/>
  <c r="AT3615" i="1"/>
  <c r="AT3616" i="1"/>
  <c r="AT3617" i="1"/>
  <c r="AT3618" i="1"/>
  <c r="AT3619" i="1"/>
  <c r="AT3620" i="1"/>
  <c r="AT3621" i="1"/>
  <c r="AT3622" i="1"/>
  <c r="AT3623" i="1"/>
  <c r="AT3624" i="1"/>
  <c r="AT3625" i="1"/>
  <c r="AT3626" i="1"/>
  <c r="AT3627" i="1"/>
  <c r="AT3628" i="1"/>
  <c r="AT3629" i="1"/>
  <c r="AT3630" i="1"/>
  <c r="AT3631" i="1"/>
  <c r="AT3632" i="1"/>
  <c r="AT3633" i="1"/>
  <c r="AT3634" i="1"/>
  <c r="AT3635" i="1"/>
  <c r="AT3636" i="1"/>
  <c r="AT3637" i="1"/>
  <c r="AT3638" i="1"/>
  <c r="AT3639" i="1"/>
  <c r="AT3640" i="1"/>
  <c r="AT3641" i="1"/>
  <c r="AT3642" i="1"/>
  <c r="AT3643" i="1"/>
  <c r="AT3644" i="1"/>
  <c r="AT3645" i="1"/>
  <c r="AT3646" i="1"/>
  <c r="AT3647" i="1"/>
  <c r="AT3648" i="1"/>
  <c r="AT3649" i="1"/>
  <c r="AT3650" i="1"/>
  <c r="AT3651" i="1"/>
  <c r="AT3652" i="1"/>
  <c r="AT3653" i="1"/>
  <c r="AT3654" i="1"/>
  <c r="AT3655" i="1"/>
  <c r="AT3656" i="1"/>
  <c r="AT3657" i="1"/>
  <c r="AT3658" i="1"/>
  <c r="AT3659" i="1"/>
  <c r="AT3660" i="1"/>
  <c r="AT3661" i="1"/>
  <c r="AT3662" i="1"/>
  <c r="AT3663" i="1"/>
  <c r="AT3664" i="1"/>
  <c r="AT3665" i="1"/>
  <c r="AT3666" i="1"/>
  <c r="AT3667" i="1"/>
  <c r="AT3668" i="1"/>
  <c r="AT3669" i="1"/>
  <c r="AT3670" i="1"/>
  <c r="AT3671" i="1"/>
  <c r="AT3672" i="1"/>
  <c r="AT3673" i="1"/>
  <c r="AT3674" i="1"/>
  <c r="AT3675" i="1"/>
  <c r="AT3676" i="1"/>
  <c r="AT3677" i="1"/>
  <c r="AT3678" i="1"/>
  <c r="AT3679" i="1"/>
  <c r="AT3680" i="1"/>
  <c r="AT3681" i="1"/>
  <c r="AT3682" i="1"/>
  <c r="AT3683" i="1"/>
  <c r="AT3684" i="1"/>
  <c r="AT3685" i="1"/>
  <c r="AT3686" i="1"/>
  <c r="AT3687" i="1"/>
  <c r="AT3688" i="1"/>
  <c r="AT3689" i="1"/>
  <c r="AT3690" i="1"/>
  <c r="AT3691" i="1"/>
  <c r="AT3692" i="1"/>
  <c r="AT3693" i="1"/>
  <c r="AT3694" i="1"/>
  <c r="AT3695" i="1"/>
  <c r="AT3696" i="1"/>
  <c r="AT3697" i="1"/>
  <c r="AT3698" i="1"/>
  <c r="AT3699" i="1"/>
  <c r="AT3700" i="1"/>
  <c r="AT3701" i="1"/>
  <c r="AT3702" i="1"/>
  <c r="AT3703" i="1"/>
  <c r="AT3704" i="1"/>
  <c r="AT3705" i="1"/>
  <c r="AT3706" i="1"/>
  <c r="AT3707" i="1"/>
  <c r="AT3708" i="1"/>
  <c r="AT3709" i="1"/>
  <c r="AT3710" i="1"/>
  <c r="AT3711" i="1"/>
  <c r="AT3712" i="1"/>
  <c r="AT3713" i="1"/>
  <c r="AT3714" i="1"/>
  <c r="AT3715" i="1"/>
  <c r="AT3716" i="1"/>
  <c r="AT3717" i="1"/>
  <c r="AT3718" i="1"/>
  <c r="AT3719" i="1"/>
  <c r="AT3720" i="1"/>
  <c r="AT3721" i="1"/>
  <c r="AT3722" i="1"/>
  <c r="AT3723" i="1"/>
  <c r="AT3724" i="1"/>
  <c r="AT3725" i="1"/>
  <c r="AT3726" i="1"/>
  <c r="AT3727" i="1"/>
  <c r="AT3728" i="1"/>
  <c r="AT3729" i="1"/>
  <c r="AT3730" i="1"/>
  <c r="AT3731" i="1"/>
  <c r="AT3732" i="1"/>
  <c r="AT3733" i="1"/>
  <c r="AT3734" i="1"/>
  <c r="AT3735" i="1"/>
  <c r="AT3736" i="1"/>
  <c r="AT3737" i="1"/>
  <c r="AT3738" i="1"/>
  <c r="AT3739" i="1"/>
  <c r="AT3740" i="1"/>
  <c r="AT3741" i="1"/>
  <c r="AT3742" i="1"/>
  <c r="AS3367" i="1"/>
  <c r="AS3368" i="1"/>
  <c r="AS3369" i="1"/>
  <c r="AS3370" i="1"/>
  <c r="AS3371" i="1"/>
  <c r="AS3372" i="1"/>
  <c r="AS3373" i="1"/>
  <c r="AS3374" i="1"/>
  <c r="AS3375" i="1"/>
  <c r="AS3376" i="1"/>
  <c r="AS3377" i="1"/>
  <c r="AS3378" i="1"/>
  <c r="AS3379" i="1"/>
  <c r="AS3380" i="1"/>
  <c r="AS3381" i="1"/>
  <c r="AS3382" i="1"/>
  <c r="AS3383" i="1"/>
  <c r="AS3384" i="1"/>
  <c r="AS3385" i="1"/>
  <c r="AS3386" i="1"/>
  <c r="AS3387" i="1"/>
  <c r="AS3388" i="1"/>
  <c r="AS3389" i="1"/>
  <c r="AS3390" i="1"/>
  <c r="AS3391" i="1"/>
  <c r="AS3392" i="1"/>
  <c r="AS3393" i="1"/>
  <c r="AS3394" i="1"/>
  <c r="AS3395" i="1"/>
  <c r="AS3396" i="1"/>
  <c r="AS3397" i="1"/>
  <c r="AS3398" i="1"/>
  <c r="AS3399" i="1"/>
  <c r="AS3400" i="1"/>
  <c r="AS3401" i="1"/>
  <c r="AS3402" i="1"/>
  <c r="AS3403" i="1"/>
  <c r="AS3404" i="1"/>
  <c r="AS3405" i="1"/>
  <c r="AS3406" i="1"/>
  <c r="AS3407" i="1"/>
  <c r="AS3408" i="1"/>
  <c r="AS3409" i="1"/>
  <c r="AS3410" i="1"/>
  <c r="AS3411" i="1"/>
  <c r="AS3412" i="1"/>
  <c r="AS3413" i="1"/>
  <c r="AS3414" i="1"/>
  <c r="AS3415" i="1"/>
  <c r="AS3416" i="1"/>
  <c r="AS3417" i="1"/>
  <c r="AS3418" i="1"/>
  <c r="AS3419" i="1"/>
  <c r="AS3420" i="1"/>
  <c r="AS3421" i="1"/>
  <c r="AS3422" i="1"/>
  <c r="AS3423" i="1"/>
  <c r="AS3424" i="1"/>
  <c r="AS3425" i="1"/>
  <c r="AS3426" i="1"/>
  <c r="AS3427" i="1"/>
  <c r="AS3428" i="1"/>
  <c r="AS3429" i="1"/>
  <c r="AS3430" i="1"/>
  <c r="AS3431" i="1"/>
  <c r="AS3432" i="1"/>
  <c r="AS3433" i="1"/>
  <c r="AS3434" i="1"/>
  <c r="AS3435" i="1"/>
  <c r="AS3436" i="1"/>
  <c r="AS3437" i="1"/>
  <c r="AS3438" i="1"/>
  <c r="AS3439" i="1"/>
  <c r="AS3440" i="1"/>
  <c r="AS3441" i="1"/>
  <c r="AS3442" i="1"/>
  <c r="AS3443" i="1"/>
  <c r="AS3444" i="1"/>
  <c r="AS3445" i="1"/>
  <c r="AS3446" i="1"/>
  <c r="AS3447" i="1"/>
  <c r="AS3448" i="1"/>
  <c r="AS3449" i="1"/>
  <c r="AS3450" i="1"/>
  <c r="AS3451" i="1"/>
  <c r="AS3452" i="1"/>
  <c r="AS3453" i="1"/>
  <c r="AS3454" i="1"/>
  <c r="AS3455" i="1"/>
  <c r="AS3456" i="1"/>
  <c r="AS3457" i="1"/>
  <c r="AS3458" i="1"/>
  <c r="AS3459" i="1"/>
  <c r="AS3460" i="1"/>
  <c r="AS3461" i="1"/>
  <c r="AS3462" i="1"/>
  <c r="AS3463" i="1"/>
  <c r="AS3464" i="1"/>
  <c r="AS3465" i="1"/>
  <c r="AS3466" i="1"/>
  <c r="AS3467" i="1"/>
  <c r="AS3468" i="1"/>
  <c r="AS3469" i="1"/>
  <c r="AS3470" i="1"/>
  <c r="AS3471" i="1"/>
  <c r="AS3472" i="1"/>
  <c r="AS3473" i="1"/>
  <c r="AS3474" i="1"/>
  <c r="AS3475" i="1"/>
  <c r="AS3476" i="1"/>
  <c r="AS3477" i="1"/>
  <c r="AS3478" i="1"/>
  <c r="AS3479" i="1"/>
  <c r="AS3480" i="1"/>
  <c r="AS3481" i="1"/>
  <c r="AS3482" i="1"/>
  <c r="AS3483" i="1"/>
  <c r="AS3484" i="1"/>
  <c r="AS3485" i="1"/>
  <c r="AS3486" i="1"/>
  <c r="AS3487" i="1"/>
  <c r="AS3488" i="1"/>
  <c r="AS3489" i="1"/>
  <c r="AS3490" i="1"/>
  <c r="AS3491" i="1"/>
  <c r="AS3492" i="1"/>
  <c r="AS3493" i="1"/>
  <c r="AS3494" i="1"/>
  <c r="AS3495" i="1"/>
  <c r="AS3496" i="1"/>
  <c r="AS3497" i="1"/>
  <c r="AS3498" i="1"/>
  <c r="AS3499" i="1"/>
  <c r="AS3500" i="1"/>
  <c r="AS3501" i="1"/>
  <c r="AS3502" i="1"/>
  <c r="AS3503" i="1"/>
  <c r="AS3504" i="1"/>
  <c r="AS3505" i="1"/>
  <c r="AS3506" i="1"/>
  <c r="AS3507" i="1"/>
  <c r="AS3508" i="1"/>
  <c r="AS3509" i="1"/>
  <c r="AS3510" i="1"/>
  <c r="AS3511" i="1"/>
  <c r="AS3512" i="1"/>
  <c r="AS3513" i="1"/>
  <c r="AS3514" i="1"/>
  <c r="AS3515" i="1"/>
  <c r="AS3516" i="1"/>
  <c r="AS3517" i="1"/>
  <c r="AS3518" i="1"/>
  <c r="AS3519" i="1"/>
  <c r="AS3520" i="1"/>
  <c r="AS3521" i="1"/>
  <c r="AS3522" i="1"/>
  <c r="AS3523" i="1"/>
  <c r="AS3524" i="1"/>
  <c r="AS3525" i="1"/>
  <c r="AS3526" i="1"/>
  <c r="AS3527" i="1"/>
  <c r="AS3528" i="1"/>
  <c r="AS3529" i="1"/>
  <c r="AS3530" i="1"/>
  <c r="AS3531" i="1"/>
  <c r="AS3532" i="1"/>
  <c r="AS3533" i="1"/>
  <c r="AS3534" i="1"/>
  <c r="AS3535" i="1"/>
  <c r="AS3536" i="1"/>
  <c r="AS3537" i="1"/>
  <c r="AS3538" i="1"/>
  <c r="AS3539" i="1"/>
  <c r="AS3540" i="1"/>
  <c r="AS3541" i="1"/>
  <c r="AS3542" i="1"/>
  <c r="AS3543" i="1"/>
  <c r="AS3544" i="1"/>
  <c r="AS3545" i="1"/>
  <c r="AS3546" i="1"/>
  <c r="AS3547" i="1"/>
  <c r="AS3548" i="1"/>
  <c r="AS3549" i="1"/>
  <c r="AS3550" i="1"/>
  <c r="AS3551" i="1"/>
  <c r="AS3552" i="1"/>
  <c r="AS3553" i="1"/>
  <c r="AS3554" i="1"/>
  <c r="AS3555" i="1"/>
  <c r="AS3556" i="1"/>
  <c r="AS3557" i="1"/>
  <c r="AS3558" i="1"/>
  <c r="AS3559" i="1"/>
  <c r="AS3560" i="1"/>
  <c r="AS3561" i="1"/>
  <c r="AS3562" i="1"/>
  <c r="AS3563" i="1"/>
  <c r="AS3564" i="1"/>
  <c r="AS3565" i="1"/>
  <c r="AS3566" i="1"/>
  <c r="AS3567" i="1"/>
  <c r="AS3568" i="1"/>
  <c r="AS3569" i="1"/>
  <c r="AS3570" i="1"/>
  <c r="AS3571" i="1"/>
  <c r="AS3572" i="1"/>
  <c r="AS3573" i="1"/>
  <c r="AS3574" i="1"/>
  <c r="AS3575" i="1"/>
  <c r="AS3576" i="1"/>
  <c r="AS3577" i="1"/>
  <c r="AS3578" i="1"/>
  <c r="AS3579" i="1"/>
  <c r="AS3580" i="1"/>
  <c r="AS3581" i="1"/>
  <c r="AS3582" i="1"/>
  <c r="AS3583" i="1"/>
  <c r="AS3584" i="1"/>
  <c r="AS3585" i="1"/>
  <c r="AS3586" i="1"/>
  <c r="AS3587" i="1"/>
  <c r="AS3588" i="1"/>
  <c r="AS3589" i="1"/>
  <c r="AS3590" i="1"/>
  <c r="AS3591" i="1"/>
  <c r="AS3592" i="1"/>
  <c r="AS3593" i="1"/>
  <c r="AS3594" i="1"/>
  <c r="AS3595" i="1"/>
  <c r="AS3596" i="1"/>
  <c r="AS3597" i="1"/>
  <c r="AS3598" i="1"/>
  <c r="AS3599" i="1"/>
  <c r="AS3600" i="1"/>
  <c r="AS3601" i="1"/>
  <c r="AS3602" i="1"/>
  <c r="AS3603" i="1"/>
  <c r="AS3604" i="1"/>
  <c r="AS3605" i="1"/>
  <c r="AS3606" i="1"/>
  <c r="AS3607" i="1"/>
  <c r="AS3608" i="1"/>
  <c r="AS3609" i="1"/>
  <c r="AS3610" i="1"/>
  <c r="AS3611" i="1"/>
  <c r="AS3612" i="1"/>
  <c r="AS3613" i="1"/>
  <c r="AS3614" i="1"/>
  <c r="AS3615" i="1"/>
  <c r="AS3616" i="1"/>
  <c r="AS3617" i="1"/>
  <c r="AS3618" i="1"/>
  <c r="AS3619" i="1"/>
  <c r="AS3620" i="1"/>
  <c r="AS3621" i="1"/>
  <c r="AS3622" i="1"/>
  <c r="AS3623" i="1"/>
  <c r="AS3624" i="1"/>
  <c r="AS3625" i="1"/>
  <c r="AS3626" i="1"/>
  <c r="AS3627" i="1"/>
  <c r="AS3628" i="1"/>
  <c r="AS3629" i="1"/>
  <c r="AS3630" i="1"/>
  <c r="AS3631" i="1"/>
  <c r="AS3632" i="1"/>
  <c r="AS3633" i="1"/>
  <c r="AS3634" i="1"/>
  <c r="AS3635" i="1"/>
  <c r="AS3636" i="1"/>
  <c r="AS3637" i="1"/>
  <c r="AS3638" i="1"/>
  <c r="AS3639" i="1"/>
  <c r="AS3640" i="1"/>
  <c r="AS3641" i="1"/>
  <c r="AS3642" i="1"/>
  <c r="AS3643" i="1"/>
  <c r="AS3644" i="1"/>
  <c r="AS3645" i="1"/>
  <c r="AS3646" i="1"/>
  <c r="AS3647" i="1"/>
  <c r="AS3648" i="1"/>
  <c r="AS3649" i="1"/>
  <c r="AS3650" i="1"/>
  <c r="AS3651" i="1"/>
  <c r="AS3652" i="1"/>
  <c r="AS3653" i="1"/>
  <c r="AS3654" i="1"/>
  <c r="AS3655" i="1"/>
  <c r="AS3656" i="1"/>
  <c r="AS3657" i="1"/>
  <c r="AS3658" i="1"/>
  <c r="AS3659" i="1"/>
  <c r="AS3660" i="1"/>
  <c r="AS3661" i="1"/>
  <c r="AS3662" i="1"/>
  <c r="AS3663" i="1"/>
  <c r="AS3664" i="1"/>
  <c r="AS3665" i="1"/>
  <c r="AS3666" i="1"/>
  <c r="AS3667" i="1"/>
  <c r="AS3668" i="1"/>
  <c r="AS3669" i="1"/>
  <c r="AS3670" i="1"/>
  <c r="AS3671" i="1"/>
  <c r="AS3672" i="1"/>
  <c r="AS3673" i="1"/>
  <c r="AS3674" i="1"/>
  <c r="AS3675" i="1"/>
  <c r="AS3676" i="1"/>
  <c r="AS3677" i="1"/>
  <c r="AS3678" i="1"/>
  <c r="AS3679" i="1"/>
  <c r="AS3680" i="1"/>
  <c r="AS3681" i="1"/>
  <c r="AS3682" i="1"/>
  <c r="AS3683" i="1"/>
  <c r="AS3684" i="1"/>
  <c r="AS3685" i="1"/>
  <c r="AS3686" i="1"/>
  <c r="AS3687" i="1"/>
  <c r="AS3688" i="1"/>
  <c r="AS3689" i="1"/>
  <c r="AS3690" i="1"/>
  <c r="AS3691" i="1"/>
  <c r="AS3692" i="1"/>
  <c r="AS3693" i="1"/>
  <c r="AS3694" i="1"/>
  <c r="AS3695" i="1"/>
  <c r="AS3696" i="1"/>
  <c r="AS3697" i="1"/>
  <c r="AS3698" i="1"/>
  <c r="AS3699" i="1"/>
  <c r="AS3700" i="1"/>
  <c r="AS3701" i="1"/>
  <c r="AS3702" i="1"/>
  <c r="AS3703" i="1"/>
  <c r="AS3704" i="1"/>
  <c r="AS3705" i="1"/>
  <c r="AS3706" i="1"/>
  <c r="AS3707" i="1"/>
  <c r="AS3708" i="1"/>
  <c r="AS3709" i="1"/>
  <c r="AS3710" i="1"/>
  <c r="AS3711" i="1"/>
  <c r="AS3712" i="1"/>
  <c r="AS3713" i="1"/>
  <c r="AS3714" i="1"/>
  <c r="AS3715" i="1"/>
  <c r="AS3716" i="1"/>
  <c r="AS3717" i="1"/>
  <c r="AS3718" i="1"/>
  <c r="AS3719" i="1"/>
  <c r="AS3720" i="1"/>
  <c r="AS3721" i="1"/>
  <c r="AS3722" i="1"/>
  <c r="AS3723" i="1"/>
  <c r="AS3724" i="1"/>
  <c r="AS3725" i="1"/>
  <c r="AS3726" i="1"/>
  <c r="AS3727" i="1"/>
  <c r="AS3728" i="1"/>
  <c r="AS3729" i="1"/>
  <c r="AS3730" i="1"/>
  <c r="AS3731" i="1"/>
  <c r="AS3732" i="1"/>
  <c r="AS3733" i="1"/>
  <c r="AS3734" i="1"/>
  <c r="AS3735" i="1"/>
  <c r="AS3736" i="1"/>
  <c r="AS3737" i="1"/>
  <c r="AS3738" i="1"/>
  <c r="AS3739" i="1"/>
  <c r="AS3740" i="1"/>
  <c r="AS3741" i="1"/>
  <c r="AS3742" i="1"/>
  <c r="AR3367" i="1"/>
  <c r="AR3368" i="1"/>
  <c r="AR3369" i="1"/>
  <c r="AR3370" i="1"/>
  <c r="AR3371" i="1"/>
  <c r="AR3372" i="1"/>
  <c r="AR3373" i="1"/>
  <c r="AR3374" i="1"/>
  <c r="AR3375" i="1"/>
  <c r="AR3376" i="1"/>
  <c r="AR3377" i="1"/>
  <c r="AR3378" i="1"/>
  <c r="AR3379" i="1"/>
  <c r="AR3380" i="1"/>
  <c r="AR3381" i="1"/>
  <c r="AR3382" i="1"/>
  <c r="AR3383" i="1"/>
  <c r="AR3384" i="1"/>
  <c r="AR3385" i="1"/>
  <c r="AR3386" i="1"/>
  <c r="AR3387" i="1"/>
  <c r="AR3388" i="1"/>
  <c r="AR3389" i="1"/>
  <c r="AR3390" i="1"/>
  <c r="AR3391" i="1"/>
  <c r="AR3392" i="1"/>
  <c r="AR3393" i="1"/>
  <c r="AR3394" i="1"/>
  <c r="AR3395" i="1"/>
  <c r="AR3396" i="1"/>
  <c r="AR3397" i="1"/>
  <c r="AR3398" i="1"/>
  <c r="AR3399" i="1"/>
  <c r="AR3400" i="1"/>
  <c r="AR3401" i="1"/>
  <c r="AR3402" i="1"/>
  <c r="AR3403" i="1"/>
  <c r="AR3404" i="1"/>
  <c r="AR3405" i="1"/>
  <c r="AR3406" i="1"/>
  <c r="AR3407" i="1"/>
  <c r="AR3408" i="1"/>
  <c r="AR3409" i="1"/>
  <c r="AR3410" i="1"/>
  <c r="AR3411" i="1"/>
  <c r="AR3412" i="1"/>
  <c r="AR3413" i="1"/>
  <c r="AR3414" i="1"/>
  <c r="AR3415" i="1"/>
  <c r="AR3416" i="1"/>
  <c r="AR3417" i="1"/>
  <c r="AR3418" i="1"/>
  <c r="AR3419" i="1"/>
  <c r="AR3420" i="1"/>
  <c r="AR3421" i="1"/>
  <c r="AR3422" i="1"/>
  <c r="AR3423" i="1"/>
  <c r="AR3424" i="1"/>
  <c r="AR3425" i="1"/>
  <c r="AR3426" i="1"/>
  <c r="AR3427" i="1"/>
  <c r="AR3428" i="1"/>
  <c r="AR3429" i="1"/>
  <c r="AR3430" i="1"/>
  <c r="AR3431" i="1"/>
  <c r="AR3432" i="1"/>
  <c r="AR3433" i="1"/>
  <c r="AR3434" i="1"/>
  <c r="AR3435" i="1"/>
  <c r="AR3436" i="1"/>
  <c r="AR3437" i="1"/>
  <c r="AR3438" i="1"/>
  <c r="AR3439" i="1"/>
  <c r="AR3440" i="1"/>
  <c r="AR3441" i="1"/>
  <c r="AR3442" i="1"/>
  <c r="AR3443" i="1"/>
  <c r="AR3444" i="1"/>
  <c r="AR3445" i="1"/>
  <c r="AR3446" i="1"/>
  <c r="AR3447" i="1"/>
  <c r="AR3448" i="1"/>
  <c r="AR3449" i="1"/>
  <c r="AR3450" i="1"/>
  <c r="AR3451" i="1"/>
  <c r="AR3452" i="1"/>
  <c r="AR3453" i="1"/>
  <c r="AR3454" i="1"/>
  <c r="AR3455" i="1"/>
  <c r="AR3456" i="1"/>
  <c r="AR3457" i="1"/>
  <c r="AR3458" i="1"/>
  <c r="AR3459" i="1"/>
  <c r="AR3460" i="1"/>
  <c r="AR3461" i="1"/>
  <c r="AR3462" i="1"/>
  <c r="AR3463" i="1"/>
  <c r="AR3464" i="1"/>
  <c r="AR3465" i="1"/>
  <c r="AR3466" i="1"/>
  <c r="AR3467" i="1"/>
  <c r="AR3468" i="1"/>
  <c r="AR3469" i="1"/>
  <c r="AR3470" i="1"/>
  <c r="AR3471" i="1"/>
  <c r="AR3472" i="1"/>
  <c r="AR3473" i="1"/>
  <c r="AR3474" i="1"/>
  <c r="AR3475" i="1"/>
  <c r="AR3476" i="1"/>
  <c r="AR3477" i="1"/>
  <c r="AR3478" i="1"/>
  <c r="AR3479" i="1"/>
  <c r="AR3480" i="1"/>
  <c r="AR3481" i="1"/>
  <c r="AR3482" i="1"/>
  <c r="AR3483" i="1"/>
  <c r="AR3484" i="1"/>
  <c r="AR3485" i="1"/>
  <c r="AR3486" i="1"/>
  <c r="AR3487" i="1"/>
  <c r="AR3488" i="1"/>
  <c r="AR3489" i="1"/>
  <c r="AR3490" i="1"/>
  <c r="AR3491" i="1"/>
  <c r="AR3492" i="1"/>
  <c r="AR3493" i="1"/>
  <c r="AR3494" i="1"/>
  <c r="AR3495" i="1"/>
  <c r="AR3496" i="1"/>
  <c r="AR3497" i="1"/>
  <c r="AR3498" i="1"/>
  <c r="AR3499" i="1"/>
  <c r="AR3500" i="1"/>
  <c r="AR3501" i="1"/>
  <c r="AR3502" i="1"/>
  <c r="AR3503" i="1"/>
  <c r="AR3504" i="1"/>
  <c r="AR3505" i="1"/>
  <c r="AR3506" i="1"/>
  <c r="AR3507" i="1"/>
  <c r="AR3508" i="1"/>
  <c r="AR3509" i="1"/>
  <c r="AR3510" i="1"/>
  <c r="AR3511" i="1"/>
  <c r="AR3512" i="1"/>
  <c r="AR3513" i="1"/>
  <c r="AR3514" i="1"/>
  <c r="AR3515" i="1"/>
  <c r="AR3516" i="1"/>
  <c r="AR3517" i="1"/>
  <c r="AR3518" i="1"/>
  <c r="AR3519" i="1"/>
  <c r="AR3520" i="1"/>
  <c r="AR3521" i="1"/>
  <c r="AR3522" i="1"/>
  <c r="AR3523" i="1"/>
  <c r="AR3524" i="1"/>
  <c r="AR3525" i="1"/>
  <c r="AR3526" i="1"/>
  <c r="AR3527" i="1"/>
  <c r="AR3528" i="1"/>
  <c r="AR3529" i="1"/>
  <c r="AR3530" i="1"/>
  <c r="AR3531" i="1"/>
  <c r="AR3532" i="1"/>
  <c r="AR3533" i="1"/>
  <c r="AR3534" i="1"/>
  <c r="AR3535" i="1"/>
  <c r="AR3536" i="1"/>
  <c r="AR3537" i="1"/>
  <c r="AR3538" i="1"/>
  <c r="AR3539" i="1"/>
  <c r="AR3540" i="1"/>
  <c r="AR3541" i="1"/>
  <c r="AR3542" i="1"/>
  <c r="AR3543" i="1"/>
  <c r="AR3544" i="1"/>
  <c r="AR3545" i="1"/>
  <c r="AR3546" i="1"/>
  <c r="AR3547" i="1"/>
  <c r="AR3548" i="1"/>
  <c r="AR3549" i="1"/>
  <c r="AR3550" i="1"/>
  <c r="AR3551" i="1"/>
  <c r="AR3552" i="1"/>
  <c r="AR3553" i="1"/>
  <c r="AR3554" i="1"/>
  <c r="AR3555" i="1"/>
  <c r="AR3556" i="1"/>
  <c r="AR3557" i="1"/>
  <c r="AR3558" i="1"/>
  <c r="AR3559" i="1"/>
  <c r="AR3560" i="1"/>
  <c r="AR3561" i="1"/>
  <c r="AR3562" i="1"/>
  <c r="AR3563" i="1"/>
  <c r="AR3564" i="1"/>
  <c r="AR3565" i="1"/>
  <c r="AR3566" i="1"/>
  <c r="AR3567" i="1"/>
  <c r="AR3568" i="1"/>
  <c r="AR3569" i="1"/>
  <c r="AR3570" i="1"/>
  <c r="AR3571" i="1"/>
  <c r="AR3572" i="1"/>
  <c r="AR3573" i="1"/>
  <c r="AR3574" i="1"/>
  <c r="AR3575" i="1"/>
  <c r="AR3576" i="1"/>
  <c r="AR3577" i="1"/>
  <c r="AR3578" i="1"/>
  <c r="AR3579" i="1"/>
  <c r="AR3580" i="1"/>
  <c r="AR3581" i="1"/>
  <c r="AR3582" i="1"/>
  <c r="AR3583" i="1"/>
  <c r="AR3584" i="1"/>
  <c r="AR3585" i="1"/>
  <c r="AR3586" i="1"/>
  <c r="AR3587" i="1"/>
  <c r="AR3588" i="1"/>
  <c r="AR3589" i="1"/>
  <c r="AR3590" i="1"/>
  <c r="AR3591" i="1"/>
  <c r="AR3592" i="1"/>
  <c r="AR3593" i="1"/>
  <c r="AR3594" i="1"/>
  <c r="AR3595" i="1"/>
  <c r="AR3596" i="1"/>
  <c r="AR3597" i="1"/>
  <c r="AR3598" i="1"/>
  <c r="AR3599" i="1"/>
  <c r="AR3600" i="1"/>
  <c r="AR3601" i="1"/>
  <c r="AR3602" i="1"/>
  <c r="AR3603" i="1"/>
  <c r="AR3604" i="1"/>
  <c r="AR3605" i="1"/>
  <c r="AR3606" i="1"/>
  <c r="AR3607" i="1"/>
  <c r="AR3608" i="1"/>
  <c r="AR3609" i="1"/>
  <c r="AR3610" i="1"/>
  <c r="AR3611" i="1"/>
  <c r="AR3612" i="1"/>
  <c r="AR3613" i="1"/>
  <c r="AR3614" i="1"/>
  <c r="AR3615" i="1"/>
  <c r="AR3616" i="1"/>
  <c r="AR3617" i="1"/>
  <c r="AR3618" i="1"/>
  <c r="AR3619" i="1"/>
  <c r="AR3620" i="1"/>
  <c r="AR3621" i="1"/>
  <c r="AR3622" i="1"/>
  <c r="AR3623" i="1"/>
  <c r="AR3624" i="1"/>
  <c r="AR3625" i="1"/>
  <c r="AR3626" i="1"/>
  <c r="AR3627" i="1"/>
  <c r="AR3628" i="1"/>
  <c r="AR3629" i="1"/>
  <c r="AR3630" i="1"/>
  <c r="AR3631" i="1"/>
  <c r="AR3632" i="1"/>
  <c r="AR3633" i="1"/>
  <c r="AR3634" i="1"/>
  <c r="AR3635" i="1"/>
  <c r="AR3636" i="1"/>
  <c r="AR3637" i="1"/>
  <c r="AR3638" i="1"/>
  <c r="AR3639" i="1"/>
  <c r="AR3640" i="1"/>
  <c r="AR3641" i="1"/>
  <c r="AR3642" i="1"/>
  <c r="AR3643" i="1"/>
  <c r="AR3644" i="1"/>
  <c r="AR3645" i="1"/>
  <c r="AR3646" i="1"/>
  <c r="AR3647" i="1"/>
  <c r="AR3648" i="1"/>
  <c r="AR3649" i="1"/>
  <c r="AR3650" i="1"/>
  <c r="AR3651" i="1"/>
  <c r="AR3652" i="1"/>
  <c r="AR3653" i="1"/>
  <c r="AR3654" i="1"/>
  <c r="AR3655" i="1"/>
  <c r="AR3656" i="1"/>
  <c r="AR3657" i="1"/>
  <c r="AR3658" i="1"/>
  <c r="AR3659" i="1"/>
  <c r="AR3660" i="1"/>
  <c r="AR3661" i="1"/>
  <c r="AR3662" i="1"/>
  <c r="AR3663" i="1"/>
  <c r="AR3664" i="1"/>
  <c r="AR3665" i="1"/>
  <c r="AR3666" i="1"/>
  <c r="AR3667" i="1"/>
  <c r="AR3668" i="1"/>
  <c r="AR3669" i="1"/>
  <c r="AR3670" i="1"/>
  <c r="AR3671" i="1"/>
  <c r="AR3672" i="1"/>
  <c r="AR3673" i="1"/>
  <c r="AR3674" i="1"/>
  <c r="AR3675" i="1"/>
  <c r="AR3676" i="1"/>
  <c r="AR3677" i="1"/>
  <c r="AR3678" i="1"/>
  <c r="AR3679" i="1"/>
  <c r="AR3680" i="1"/>
  <c r="AR3681" i="1"/>
  <c r="AR3682" i="1"/>
  <c r="AR3683" i="1"/>
  <c r="AR3684" i="1"/>
  <c r="AR3685" i="1"/>
  <c r="AR3686" i="1"/>
  <c r="AR3687" i="1"/>
  <c r="AR3688" i="1"/>
  <c r="AR3689" i="1"/>
  <c r="AR3690" i="1"/>
  <c r="AR3691" i="1"/>
  <c r="AR3692" i="1"/>
  <c r="AR3693" i="1"/>
  <c r="AR3694" i="1"/>
  <c r="AR3695" i="1"/>
  <c r="AR3696" i="1"/>
  <c r="AR3697" i="1"/>
  <c r="AR3698" i="1"/>
  <c r="AR3699" i="1"/>
  <c r="AR3700" i="1"/>
  <c r="AR3701" i="1"/>
  <c r="AR3702" i="1"/>
  <c r="AR3703" i="1"/>
  <c r="AR3704" i="1"/>
  <c r="AR3705" i="1"/>
  <c r="AR3706" i="1"/>
  <c r="AR3707" i="1"/>
  <c r="AR3708" i="1"/>
  <c r="AR3709" i="1"/>
  <c r="AR3710" i="1"/>
  <c r="AR3711" i="1"/>
  <c r="AR3712" i="1"/>
  <c r="AR3713" i="1"/>
  <c r="AR3714" i="1"/>
  <c r="AR3715" i="1"/>
  <c r="AR3716" i="1"/>
  <c r="AR3717" i="1"/>
  <c r="AR3718" i="1"/>
  <c r="AR3719" i="1"/>
  <c r="AR3720" i="1"/>
  <c r="AR3721" i="1"/>
  <c r="AR3722" i="1"/>
  <c r="AR3723" i="1"/>
  <c r="AR3724" i="1"/>
  <c r="AR3725" i="1"/>
  <c r="AR3726" i="1"/>
  <c r="AR3727" i="1"/>
  <c r="AR3728" i="1"/>
  <c r="AR3729" i="1"/>
  <c r="AR3730" i="1"/>
  <c r="AR3731" i="1"/>
  <c r="AR3732" i="1"/>
  <c r="AR3733" i="1"/>
  <c r="AR3734" i="1"/>
  <c r="AR3735" i="1"/>
  <c r="AR3736" i="1"/>
  <c r="AR3737" i="1"/>
  <c r="AR3738" i="1"/>
  <c r="AR3739" i="1"/>
  <c r="AR3740" i="1"/>
  <c r="AR3741" i="1"/>
  <c r="AR3742"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3403" i="1"/>
  <c r="AQ3404" i="1"/>
  <c r="AQ3405" i="1"/>
  <c r="AQ3406" i="1"/>
  <c r="AQ3407" i="1"/>
  <c r="AQ3408" i="1"/>
  <c r="AQ3409" i="1"/>
  <c r="AQ3410" i="1"/>
  <c r="AQ3411" i="1"/>
  <c r="AQ3412" i="1"/>
  <c r="AQ3413" i="1"/>
  <c r="AQ3414" i="1"/>
  <c r="AQ3415" i="1"/>
  <c r="AQ3416" i="1"/>
  <c r="AQ3417" i="1"/>
  <c r="AQ3418" i="1"/>
  <c r="AQ3419" i="1"/>
  <c r="AQ3420" i="1"/>
  <c r="AQ3421" i="1"/>
  <c r="AQ3422" i="1"/>
  <c r="AQ3423" i="1"/>
  <c r="AQ3424" i="1"/>
  <c r="AQ3425" i="1"/>
  <c r="AQ3426" i="1"/>
  <c r="AQ3427" i="1"/>
  <c r="AQ3428" i="1"/>
  <c r="AQ3429" i="1"/>
  <c r="AQ3430" i="1"/>
  <c r="AQ3431" i="1"/>
  <c r="AQ3432" i="1"/>
  <c r="AQ3433" i="1"/>
  <c r="AQ3434" i="1"/>
  <c r="AQ3435" i="1"/>
  <c r="AQ3436" i="1"/>
  <c r="AQ3437" i="1"/>
  <c r="AQ3438" i="1"/>
  <c r="AQ3439" i="1"/>
  <c r="AQ3440" i="1"/>
  <c r="AQ3441" i="1"/>
  <c r="AQ3442" i="1"/>
  <c r="AQ3443" i="1"/>
  <c r="AQ3444" i="1"/>
  <c r="AQ3445" i="1"/>
  <c r="AQ3446" i="1"/>
  <c r="AQ3447" i="1"/>
  <c r="AQ3448" i="1"/>
  <c r="AQ3449" i="1"/>
  <c r="AQ3450" i="1"/>
  <c r="AQ3451" i="1"/>
  <c r="AQ3452" i="1"/>
  <c r="AQ3453" i="1"/>
  <c r="AQ3454" i="1"/>
  <c r="AQ3455" i="1"/>
  <c r="AQ3456" i="1"/>
  <c r="AQ3457" i="1"/>
  <c r="AQ3458" i="1"/>
  <c r="AQ3459" i="1"/>
  <c r="AQ3460" i="1"/>
  <c r="AQ3461" i="1"/>
  <c r="AQ3462" i="1"/>
  <c r="AQ3463" i="1"/>
  <c r="AQ3464" i="1"/>
  <c r="AQ3465" i="1"/>
  <c r="AQ3466" i="1"/>
  <c r="AQ3467" i="1"/>
  <c r="AQ3468" i="1"/>
  <c r="AQ3469" i="1"/>
  <c r="AQ3470" i="1"/>
  <c r="AQ3471" i="1"/>
  <c r="AQ3472" i="1"/>
  <c r="AQ3473" i="1"/>
  <c r="AQ3474" i="1"/>
  <c r="AQ3475" i="1"/>
  <c r="AQ3476" i="1"/>
  <c r="AQ3477" i="1"/>
  <c r="AQ3478" i="1"/>
  <c r="AQ3479" i="1"/>
  <c r="AQ3480" i="1"/>
  <c r="AQ3481" i="1"/>
  <c r="AQ3482" i="1"/>
  <c r="AQ3483" i="1"/>
  <c r="AQ3484" i="1"/>
  <c r="AQ3485" i="1"/>
  <c r="AQ3486" i="1"/>
  <c r="AQ3487" i="1"/>
  <c r="AQ3488" i="1"/>
  <c r="AQ3489" i="1"/>
  <c r="AQ3490" i="1"/>
  <c r="AQ3491" i="1"/>
  <c r="AQ3492" i="1"/>
  <c r="AQ3493" i="1"/>
  <c r="AQ3494" i="1"/>
  <c r="AQ3495" i="1"/>
  <c r="AQ3496" i="1"/>
  <c r="AQ3497" i="1"/>
  <c r="AQ3498" i="1"/>
  <c r="AQ3499" i="1"/>
  <c r="AQ3500" i="1"/>
  <c r="AQ3501" i="1"/>
  <c r="AQ3502" i="1"/>
  <c r="AQ3503" i="1"/>
  <c r="AQ3504" i="1"/>
  <c r="AQ3505" i="1"/>
  <c r="AQ3506" i="1"/>
  <c r="AQ3507" i="1"/>
  <c r="AQ3508" i="1"/>
  <c r="AQ3509" i="1"/>
  <c r="AQ3510" i="1"/>
  <c r="AQ3511" i="1"/>
  <c r="AQ3512" i="1"/>
  <c r="AQ3513" i="1"/>
  <c r="AQ3514" i="1"/>
  <c r="AQ3515" i="1"/>
  <c r="AQ3516" i="1"/>
  <c r="AQ3517" i="1"/>
  <c r="AQ3518" i="1"/>
  <c r="AQ3519" i="1"/>
  <c r="AQ3520" i="1"/>
  <c r="AQ3521" i="1"/>
  <c r="AQ3522" i="1"/>
  <c r="AQ3523" i="1"/>
  <c r="AQ3524" i="1"/>
  <c r="AQ3525" i="1"/>
  <c r="AQ3526" i="1"/>
  <c r="AQ3527" i="1"/>
  <c r="AQ3528" i="1"/>
  <c r="AQ3529" i="1"/>
  <c r="AQ3530" i="1"/>
  <c r="AQ3531" i="1"/>
  <c r="AQ3532" i="1"/>
  <c r="AQ3533" i="1"/>
  <c r="AQ3534" i="1"/>
  <c r="AQ3535" i="1"/>
  <c r="AQ3536" i="1"/>
  <c r="AQ3537" i="1"/>
  <c r="AQ3538" i="1"/>
  <c r="AQ3539" i="1"/>
  <c r="AQ3540" i="1"/>
  <c r="AQ3541" i="1"/>
  <c r="AQ3542" i="1"/>
  <c r="AQ3543" i="1"/>
  <c r="AQ3544" i="1"/>
  <c r="AQ3545" i="1"/>
  <c r="AQ3546" i="1"/>
  <c r="AQ3547" i="1"/>
  <c r="AQ3548" i="1"/>
  <c r="AQ3549" i="1"/>
  <c r="AQ3550" i="1"/>
  <c r="AQ3551" i="1"/>
  <c r="AQ3552" i="1"/>
  <c r="AQ3553" i="1"/>
  <c r="AQ3554" i="1"/>
  <c r="AQ3555" i="1"/>
  <c r="AQ3556" i="1"/>
  <c r="AQ3557" i="1"/>
  <c r="AQ3558" i="1"/>
  <c r="AQ3559" i="1"/>
  <c r="AQ3560" i="1"/>
  <c r="AQ3561" i="1"/>
  <c r="AQ3562" i="1"/>
  <c r="AQ3563" i="1"/>
  <c r="AQ3564" i="1"/>
  <c r="AQ3565" i="1"/>
  <c r="AQ3566" i="1"/>
  <c r="AQ3567" i="1"/>
  <c r="AQ3568" i="1"/>
  <c r="AQ3569" i="1"/>
  <c r="AQ3570" i="1"/>
  <c r="AQ3571" i="1"/>
  <c r="AQ3572" i="1"/>
  <c r="AQ3573" i="1"/>
  <c r="AQ3574" i="1"/>
  <c r="AQ3575" i="1"/>
  <c r="AQ3576" i="1"/>
  <c r="AQ3577" i="1"/>
  <c r="AQ3578" i="1"/>
  <c r="AQ3579" i="1"/>
  <c r="AQ3580" i="1"/>
  <c r="AQ3581" i="1"/>
  <c r="AQ3582" i="1"/>
  <c r="AQ3583" i="1"/>
  <c r="AQ3584" i="1"/>
  <c r="AQ3585" i="1"/>
  <c r="AQ3586" i="1"/>
  <c r="AQ3587" i="1"/>
  <c r="AQ3588" i="1"/>
  <c r="AQ3589" i="1"/>
  <c r="AQ3590" i="1"/>
  <c r="AQ3591" i="1"/>
  <c r="AQ3592" i="1"/>
  <c r="AQ3593" i="1"/>
  <c r="AQ3594" i="1"/>
  <c r="AQ3595" i="1"/>
  <c r="AQ3596" i="1"/>
  <c r="AQ3597" i="1"/>
  <c r="AQ3598" i="1"/>
  <c r="AQ3599" i="1"/>
  <c r="AQ3600" i="1"/>
  <c r="AQ3601" i="1"/>
  <c r="AQ3602" i="1"/>
  <c r="AQ3603" i="1"/>
  <c r="AQ3604" i="1"/>
  <c r="AQ3605" i="1"/>
  <c r="AQ3606" i="1"/>
  <c r="AQ3607" i="1"/>
  <c r="AQ3608" i="1"/>
  <c r="AQ3609" i="1"/>
  <c r="AQ3610" i="1"/>
  <c r="AQ3611" i="1"/>
  <c r="AQ3612" i="1"/>
  <c r="AQ3613" i="1"/>
  <c r="AQ3614" i="1"/>
  <c r="AQ3615" i="1"/>
  <c r="AQ3616" i="1"/>
  <c r="AQ3617" i="1"/>
  <c r="AQ3618" i="1"/>
  <c r="AQ3619" i="1"/>
  <c r="AQ3620" i="1"/>
  <c r="AQ3621" i="1"/>
  <c r="AQ3622" i="1"/>
  <c r="AQ3623" i="1"/>
  <c r="AQ3624" i="1"/>
  <c r="AQ3625" i="1"/>
  <c r="AQ3626" i="1"/>
  <c r="AQ3627" i="1"/>
  <c r="AQ3628" i="1"/>
  <c r="AQ3629" i="1"/>
  <c r="AQ3630" i="1"/>
  <c r="AQ3631" i="1"/>
  <c r="AQ3632" i="1"/>
  <c r="AQ3633" i="1"/>
  <c r="AQ3634" i="1"/>
  <c r="AQ3635" i="1"/>
  <c r="AQ3636" i="1"/>
  <c r="AQ3637" i="1"/>
  <c r="AQ3638" i="1"/>
  <c r="AQ3639" i="1"/>
  <c r="AQ3640" i="1"/>
  <c r="AQ3641" i="1"/>
  <c r="AQ3642" i="1"/>
  <c r="AQ3643" i="1"/>
  <c r="AQ3644" i="1"/>
  <c r="AQ3645" i="1"/>
  <c r="AQ3646" i="1"/>
  <c r="AQ3647" i="1"/>
  <c r="AQ3648" i="1"/>
  <c r="AQ3649" i="1"/>
  <c r="AQ3650" i="1"/>
  <c r="AQ3651" i="1"/>
  <c r="AQ3652" i="1"/>
  <c r="AQ3653" i="1"/>
  <c r="AQ3654" i="1"/>
  <c r="AQ3655" i="1"/>
  <c r="AQ3656" i="1"/>
  <c r="AQ3657" i="1"/>
  <c r="AQ3658" i="1"/>
  <c r="AQ3659" i="1"/>
  <c r="AQ3660" i="1"/>
  <c r="AQ3661" i="1"/>
  <c r="AQ3662" i="1"/>
  <c r="AQ3663" i="1"/>
  <c r="AQ3664" i="1"/>
  <c r="AQ3665" i="1"/>
  <c r="AQ3666" i="1"/>
  <c r="AQ3667" i="1"/>
  <c r="AQ3668" i="1"/>
  <c r="AQ3669" i="1"/>
  <c r="AQ3670" i="1"/>
  <c r="AQ3671" i="1"/>
  <c r="AQ3672" i="1"/>
  <c r="AQ3673" i="1"/>
  <c r="AQ3674" i="1"/>
  <c r="AQ3675" i="1"/>
  <c r="AQ3676" i="1"/>
  <c r="AQ3677" i="1"/>
  <c r="AQ3678" i="1"/>
  <c r="AQ3679" i="1"/>
  <c r="AQ3680" i="1"/>
  <c r="AQ3681" i="1"/>
  <c r="AQ3682" i="1"/>
  <c r="AQ3683" i="1"/>
  <c r="AQ3684" i="1"/>
  <c r="AQ3685" i="1"/>
  <c r="AQ3686" i="1"/>
  <c r="AQ3687" i="1"/>
  <c r="AQ3688" i="1"/>
  <c r="AQ3689" i="1"/>
  <c r="AQ3690" i="1"/>
  <c r="AQ3691" i="1"/>
  <c r="AQ3692" i="1"/>
  <c r="AQ3693" i="1"/>
  <c r="AQ3694" i="1"/>
  <c r="AQ3695" i="1"/>
  <c r="AQ3696" i="1"/>
  <c r="AQ3697" i="1"/>
  <c r="AQ3698" i="1"/>
  <c r="AQ3699" i="1"/>
  <c r="AQ3700" i="1"/>
  <c r="AQ3701" i="1"/>
  <c r="AQ3702" i="1"/>
  <c r="AQ3703" i="1"/>
  <c r="AQ3704" i="1"/>
  <c r="AQ3705" i="1"/>
  <c r="AQ3706" i="1"/>
  <c r="AQ3707" i="1"/>
  <c r="AQ3708" i="1"/>
  <c r="AQ3709" i="1"/>
  <c r="AQ3710" i="1"/>
  <c r="AQ3711" i="1"/>
  <c r="AQ3712" i="1"/>
  <c r="AQ3713" i="1"/>
  <c r="AQ3714" i="1"/>
  <c r="AQ3715" i="1"/>
  <c r="AQ3716" i="1"/>
  <c r="AQ3717" i="1"/>
  <c r="AQ3718" i="1"/>
  <c r="AQ3719" i="1"/>
  <c r="AQ3720" i="1"/>
  <c r="AQ3721" i="1"/>
  <c r="AQ3722" i="1"/>
  <c r="AQ3723" i="1"/>
  <c r="AQ3724" i="1"/>
  <c r="AQ3725" i="1"/>
  <c r="AQ3726" i="1"/>
  <c r="AQ3727" i="1"/>
  <c r="AQ3728" i="1"/>
  <c r="AQ3729" i="1"/>
  <c r="AQ3730" i="1"/>
  <c r="AQ3731" i="1"/>
  <c r="AQ3732" i="1"/>
  <c r="AQ3733" i="1"/>
  <c r="AQ3734" i="1"/>
  <c r="AQ3735" i="1"/>
  <c r="AQ3736" i="1"/>
  <c r="AQ3737" i="1"/>
  <c r="AQ3738" i="1"/>
  <c r="AQ3739" i="1"/>
  <c r="AQ3740" i="1"/>
  <c r="AQ3741" i="1"/>
  <c r="AQ3742"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L3367" i="1"/>
  <c r="AL3368" i="1"/>
  <c r="AL3369" i="1"/>
  <c r="AL3370" i="1"/>
  <c r="AL3371" i="1"/>
  <c r="AL3372" i="1"/>
  <c r="AL3373" i="1"/>
  <c r="AL3374" i="1"/>
  <c r="AL3375" i="1"/>
  <c r="AL3376" i="1"/>
  <c r="AL3377" i="1"/>
  <c r="AL3378" i="1"/>
  <c r="AL3379" i="1"/>
  <c r="AL3380" i="1"/>
  <c r="AL3381" i="1"/>
  <c r="AL3382" i="1"/>
  <c r="AL3383" i="1"/>
  <c r="AL3384" i="1"/>
  <c r="AL3385" i="1"/>
  <c r="AL3386" i="1"/>
  <c r="AL3387" i="1"/>
  <c r="AL3388" i="1"/>
  <c r="AL3389" i="1"/>
  <c r="AL3390" i="1"/>
  <c r="AL3391" i="1"/>
  <c r="AL3392" i="1"/>
  <c r="AL3393" i="1"/>
  <c r="AL3394" i="1"/>
  <c r="AL3395" i="1"/>
  <c r="AL3396" i="1"/>
  <c r="AL3397" i="1"/>
  <c r="AL3398" i="1"/>
  <c r="AL3399" i="1"/>
  <c r="AL3400" i="1"/>
  <c r="AL3401" i="1"/>
  <c r="AL3402" i="1"/>
  <c r="AL3403" i="1"/>
  <c r="AL3404" i="1"/>
  <c r="AL3405" i="1"/>
  <c r="AL3406" i="1"/>
  <c r="AL3407" i="1"/>
  <c r="AL3408" i="1"/>
  <c r="AL3409" i="1"/>
  <c r="AL3410" i="1"/>
  <c r="AL3411" i="1"/>
  <c r="AL3412" i="1"/>
  <c r="AL3413" i="1"/>
  <c r="AL3414" i="1"/>
  <c r="AL3415" i="1"/>
  <c r="AL3416" i="1"/>
  <c r="AL3417" i="1"/>
  <c r="AL3418" i="1"/>
  <c r="AL3419" i="1"/>
  <c r="AL3420" i="1"/>
  <c r="AL3421" i="1"/>
  <c r="AL3422" i="1"/>
  <c r="AL3423" i="1"/>
  <c r="AL3424" i="1"/>
  <c r="AL3425" i="1"/>
  <c r="AL3426" i="1"/>
  <c r="AL3427" i="1"/>
  <c r="AL3428" i="1"/>
  <c r="AL3429" i="1"/>
  <c r="AL3430" i="1"/>
  <c r="AL3431" i="1"/>
  <c r="AL3432" i="1"/>
  <c r="AL3433" i="1"/>
  <c r="AL3434" i="1"/>
  <c r="AL3435" i="1"/>
  <c r="AL3436" i="1"/>
  <c r="AL3437" i="1"/>
  <c r="AL3438" i="1"/>
  <c r="AL3439" i="1"/>
  <c r="AL3440" i="1"/>
  <c r="AL3441" i="1"/>
  <c r="AL3442" i="1"/>
  <c r="AL3443" i="1"/>
  <c r="AL3444" i="1"/>
  <c r="AL3445" i="1"/>
  <c r="AL3446" i="1"/>
  <c r="AL3447" i="1"/>
  <c r="AL3448" i="1"/>
  <c r="AL3449" i="1"/>
  <c r="AL3450" i="1"/>
  <c r="AL3451" i="1"/>
  <c r="AL3452" i="1"/>
  <c r="AL3453" i="1"/>
  <c r="AL3454" i="1"/>
  <c r="AL3455" i="1"/>
  <c r="AL3456" i="1"/>
  <c r="AL3457" i="1"/>
  <c r="AL3458" i="1"/>
  <c r="AL3459" i="1"/>
  <c r="AL3460" i="1"/>
  <c r="AL3461" i="1"/>
  <c r="AL3462" i="1"/>
  <c r="AL3463" i="1"/>
  <c r="AL3464" i="1"/>
  <c r="AL3465" i="1"/>
  <c r="AL3466" i="1"/>
  <c r="AL3467" i="1"/>
  <c r="AL3468" i="1"/>
  <c r="AL3469" i="1"/>
  <c r="AL3470" i="1"/>
  <c r="AL3471" i="1"/>
  <c r="AL3472" i="1"/>
  <c r="AL3473" i="1"/>
  <c r="AL3474" i="1"/>
  <c r="AL3475" i="1"/>
  <c r="AL3476" i="1"/>
  <c r="AL3477" i="1"/>
  <c r="AL3478" i="1"/>
  <c r="AL3479" i="1"/>
  <c r="AL3480" i="1"/>
  <c r="AL3481" i="1"/>
  <c r="AL3482" i="1"/>
  <c r="AL3483" i="1"/>
  <c r="AL3484" i="1"/>
  <c r="AL3485" i="1"/>
  <c r="AL3486" i="1"/>
  <c r="AL3487" i="1"/>
  <c r="AL3488" i="1"/>
  <c r="AL3489" i="1"/>
  <c r="AL3490" i="1"/>
  <c r="AL3491" i="1"/>
  <c r="AL3492" i="1"/>
  <c r="AL3493" i="1"/>
  <c r="AL3494" i="1"/>
  <c r="AL3495" i="1"/>
  <c r="AL3496" i="1"/>
  <c r="AL3497" i="1"/>
  <c r="AL3498" i="1"/>
  <c r="AL3499" i="1"/>
  <c r="AL3500" i="1"/>
  <c r="AL3501" i="1"/>
  <c r="AL3502" i="1"/>
  <c r="AL3503" i="1"/>
  <c r="AL3504" i="1"/>
  <c r="AL3505" i="1"/>
  <c r="AL3506" i="1"/>
  <c r="AL3507" i="1"/>
  <c r="AL3508" i="1"/>
  <c r="AL3509" i="1"/>
  <c r="AL3510" i="1"/>
  <c r="AL3511" i="1"/>
  <c r="AL3512" i="1"/>
  <c r="AL3513" i="1"/>
  <c r="AL3514" i="1"/>
  <c r="AL3515" i="1"/>
  <c r="AL3516" i="1"/>
  <c r="AL3517" i="1"/>
  <c r="AL3518" i="1"/>
  <c r="AL3519" i="1"/>
  <c r="AL3520" i="1"/>
  <c r="AL3521" i="1"/>
  <c r="AL3522" i="1"/>
  <c r="AL3523" i="1"/>
  <c r="AL3524" i="1"/>
  <c r="AL3525" i="1"/>
  <c r="AL3526" i="1"/>
  <c r="AL3527" i="1"/>
  <c r="AL3528" i="1"/>
  <c r="AL3529" i="1"/>
  <c r="AL3530" i="1"/>
  <c r="AL3531" i="1"/>
  <c r="AL3532" i="1"/>
  <c r="AL3533" i="1"/>
  <c r="AL3534" i="1"/>
  <c r="AL3535" i="1"/>
  <c r="AL3536" i="1"/>
  <c r="AL3537" i="1"/>
  <c r="AL3538" i="1"/>
  <c r="AL3539" i="1"/>
  <c r="AL3540" i="1"/>
  <c r="AL3541" i="1"/>
  <c r="AL3542" i="1"/>
  <c r="AL3543" i="1"/>
  <c r="AL3544" i="1"/>
  <c r="AL3545" i="1"/>
  <c r="AL3546" i="1"/>
  <c r="AL3547" i="1"/>
  <c r="AL3548" i="1"/>
  <c r="AL3549" i="1"/>
  <c r="AL3550" i="1"/>
  <c r="AL3551" i="1"/>
  <c r="AL3552" i="1"/>
  <c r="AL3553" i="1"/>
  <c r="AL3554" i="1"/>
  <c r="AL3555" i="1"/>
  <c r="AL3556" i="1"/>
  <c r="AL3557" i="1"/>
  <c r="AL3558" i="1"/>
  <c r="AL3559" i="1"/>
  <c r="AL3560" i="1"/>
  <c r="AL3561" i="1"/>
  <c r="AL3562" i="1"/>
  <c r="AL3563" i="1"/>
  <c r="AL3564" i="1"/>
  <c r="AL3565" i="1"/>
  <c r="AL3566" i="1"/>
  <c r="AL3567" i="1"/>
  <c r="AL3568" i="1"/>
  <c r="AL3569" i="1"/>
  <c r="AL3570" i="1"/>
  <c r="AL3571" i="1"/>
  <c r="AL3572" i="1"/>
  <c r="AL3573" i="1"/>
  <c r="AL3574" i="1"/>
  <c r="AL3575" i="1"/>
  <c r="AL3576" i="1"/>
  <c r="AL3577" i="1"/>
  <c r="AL3578" i="1"/>
  <c r="AL3579" i="1"/>
  <c r="AL3580" i="1"/>
  <c r="AL3581" i="1"/>
  <c r="AL3582" i="1"/>
  <c r="AL3583" i="1"/>
  <c r="AL3584" i="1"/>
  <c r="AL3585" i="1"/>
  <c r="AL3586" i="1"/>
  <c r="AL3587" i="1"/>
  <c r="AL3588" i="1"/>
  <c r="AL3589" i="1"/>
  <c r="AL3590" i="1"/>
  <c r="AL3591" i="1"/>
  <c r="AL3592" i="1"/>
  <c r="AL3593" i="1"/>
  <c r="AL3594" i="1"/>
  <c r="AL3595" i="1"/>
  <c r="AL3596" i="1"/>
  <c r="AL3597" i="1"/>
  <c r="AL3598" i="1"/>
  <c r="AL3599" i="1"/>
  <c r="AL3600" i="1"/>
  <c r="AL3601" i="1"/>
  <c r="AL3602" i="1"/>
  <c r="AL3603" i="1"/>
  <c r="AL3604" i="1"/>
  <c r="AL3605" i="1"/>
  <c r="AL3606" i="1"/>
  <c r="AL3607" i="1"/>
  <c r="AL3608" i="1"/>
  <c r="AL3609" i="1"/>
  <c r="AL3610" i="1"/>
  <c r="AL3611" i="1"/>
  <c r="AL3612" i="1"/>
  <c r="AL3613" i="1"/>
  <c r="AL3614" i="1"/>
  <c r="AL3615" i="1"/>
  <c r="AL3616" i="1"/>
  <c r="AL3617" i="1"/>
  <c r="AL3618" i="1"/>
  <c r="AL3619" i="1"/>
  <c r="AL3620" i="1"/>
  <c r="AL3621" i="1"/>
  <c r="AL3622" i="1"/>
  <c r="AL3623" i="1"/>
  <c r="AL3624" i="1"/>
  <c r="AL3625" i="1"/>
  <c r="AL3626" i="1"/>
  <c r="AL3627" i="1"/>
  <c r="AL3628" i="1"/>
  <c r="AL3629" i="1"/>
  <c r="AL3630" i="1"/>
  <c r="AL3631" i="1"/>
  <c r="AL3632" i="1"/>
  <c r="AL3633" i="1"/>
  <c r="AL3634" i="1"/>
  <c r="AL3635" i="1"/>
  <c r="AL3636" i="1"/>
  <c r="AL3637" i="1"/>
  <c r="AL3638" i="1"/>
  <c r="AL3639" i="1"/>
  <c r="AL3640" i="1"/>
  <c r="AL3641" i="1"/>
  <c r="AL3642" i="1"/>
  <c r="AL3643" i="1"/>
  <c r="AL3644" i="1"/>
  <c r="AL3645" i="1"/>
  <c r="AL3646" i="1"/>
  <c r="AL3647" i="1"/>
  <c r="AL3648" i="1"/>
  <c r="AL3649" i="1"/>
  <c r="AL3650" i="1"/>
  <c r="AL3651" i="1"/>
  <c r="AL3652" i="1"/>
  <c r="AL3653" i="1"/>
  <c r="AL3654" i="1"/>
  <c r="AL3655" i="1"/>
  <c r="AL3656" i="1"/>
  <c r="AL3657" i="1"/>
  <c r="AL3658" i="1"/>
  <c r="AL3659" i="1"/>
  <c r="AL3660" i="1"/>
  <c r="AL3661" i="1"/>
  <c r="AL3662" i="1"/>
  <c r="AL3663" i="1"/>
  <c r="AL3664" i="1"/>
  <c r="AL3665" i="1"/>
  <c r="AL3666" i="1"/>
  <c r="AL3667" i="1"/>
  <c r="AL3668" i="1"/>
  <c r="AL3669" i="1"/>
  <c r="AL3670" i="1"/>
  <c r="AL3671" i="1"/>
  <c r="AL3672" i="1"/>
  <c r="AL3673" i="1"/>
  <c r="AL3674" i="1"/>
  <c r="AL3675" i="1"/>
  <c r="AL3676" i="1"/>
  <c r="AL3677" i="1"/>
  <c r="AL3678" i="1"/>
  <c r="AL3679" i="1"/>
  <c r="AL3680" i="1"/>
  <c r="AL3681" i="1"/>
  <c r="AL3682" i="1"/>
  <c r="AL3683" i="1"/>
  <c r="AL3684" i="1"/>
  <c r="AL3685" i="1"/>
  <c r="AL3686" i="1"/>
  <c r="AL3687" i="1"/>
  <c r="AL3688" i="1"/>
  <c r="AL3689" i="1"/>
  <c r="AL3690" i="1"/>
  <c r="AL3691" i="1"/>
  <c r="AL3692" i="1"/>
  <c r="AL3693" i="1"/>
  <c r="AL3694" i="1"/>
  <c r="AL3695" i="1"/>
  <c r="AL3696" i="1"/>
  <c r="AL3697" i="1"/>
  <c r="AL3698" i="1"/>
  <c r="AL3699" i="1"/>
  <c r="AL3700" i="1"/>
  <c r="AL3701" i="1"/>
  <c r="AL3702" i="1"/>
  <c r="AL3703" i="1"/>
  <c r="AL3704" i="1"/>
  <c r="AL3705" i="1"/>
  <c r="AL3706" i="1"/>
  <c r="AL3707" i="1"/>
  <c r="AL3708" i="1"/>
  <c r="AL3709" i="1"/>
  <c r="AL3710" i="1"/>
  <c r="AL3711" i="1"/>
  <c r="AL3712" i="1"/>
  <c r="AL3713" i="1"/>
  <c r="AL3714" i="1"/>
  <c r="AL3715" i="1"/>
  <c r="AL3716" i="1"/>
  <c r="AL3717" i="1"/>
  <c r="AL3718" i="1"/>
  <c r="AL3719" i="1"/>
  <c r="AL3720" i="1"/>
  <c r="AL3721" i="1"/>
  <c r="AL3722" i="1"/>
  <c r="AL3723" i="1"/>
  <c r="AL3724" i="1"/>
  <c r="AL3725" i="1"/>
  <c r="AL3726" i="1"/>
  <c r="AL3727" i="1"/>
  <c r="AL3728" i="1"/>
  <c r="AL3729" i="1"/>
  <c r="AL3730" i="1"/>
  <c r="AL3731" i="1"/>
  <c r="AL3732" i="1"/>
  <c r="AL3733" i="1"/>
  <c r="AL3734" i="1"/>
  <c r="AL3735" i="1"/>
  <c r="AL3736" i="1"/>
  <c r="AL3737" i="1"/>
  <c r="AL3738" i="1"/>
  <c r="AL3739" i="1"/>
  <c r="AL3740" i="1"/>
  <c r="AL3741" i="1"/>
  <c r="AL3742"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W3367" i="1"/>
  <c r="W3368" i="1"/>
  <c r="W3369" i="1"/>
  <c r="W3370" i="1"/>
  <c r="W3371" i="1"/>
  <c r="W3372" i="1"/>
  <c r="W3373" i="1"/>
  <c r="W3374" i="1"/>
  <c r="W3375" i="1"/>
  <c r="W3376" i="1"/>
  <c r="W3378" i="1"/>
  <c r="W3379" i="1"/>
  <c r="W3380" i="1"/>
  <c r="W3381" i="1"/>
  <c r="W3382" i="1"/>
  <c r="W3383" i="1"/>
  <c r="W3384" i="1"/>
  <c r="W3385" i="1"/>
  <c r="W3386" i="1"/>
  <c r="W3387"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U3367" i="1"/>
  <c r="U3368" i="1"/>
  <c r="U3369" i="1"/>
  <c r="U3370" i="1"/>
  <c r="U3371" i="1"/>
  <c r="U3372" i="1"/>
  <c r="U3373" i="1"/>
  <c r="U3374" i="1"/>
  <c r="U3375" i="1"/>
  <c r="U3376" i="1"/>
  <c r="U3377" i="1"/>
  <c r="W3377" i="1" s="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W3502" i="1" s="1"/>
  <c r="U3503" i="1"/>
  <c r="W3503" i="1" s="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3" i="1"/>
  <c r="V92" i="1"/>
  <c r="AT4018" i="1" l="1"/>
  <c r="AO4018" i="1" s="1"/>
  <c r="AS4018" i="1"/>
  <c r="AN4018" i="1" s="1"/>
  <c r="AR4018" i="1"/>
  <c r="AM4018" i="1" s="1"/>
  <c r="AQ4018" i="1"/>
  <c r="AL4018" i="1" s="1"/>
  <c r="AT4014" i="1"/>
  <c r="AO4014" i="1" s="1"/>
  <c r="AR4014" i="1"/>
  <c r="AM4014" i="1" s="1"/>
  <c r="AQ4014" i="1"/>
  <c r="AL4014" i="1" s="1"/>
  <c r="AS4014" i="1"/>
  <c r="AN4014" i="1" s="1"/>
  <c r="AT4010" i="1"/>
  <c r="AO4010" i="1" s="1"/>
  <c r="AS4010" i="1"/>
  <c r="AN4010" i="1" s="1"/>
  <c r="AR4010" i="1"/>
  <c r="AM4010" i="1" s="1"/>
  <c r="AQ4010" i="1"/>
  <c r="AL4010" i="1" s="1"/>
  <c r="AT4006" i="1"/>
  <c r="AO4006" i="1" s="1"/>
  <c r="AR4006" i="1"/>
  <c r="AM4006" i="1" s="1"/>
  <c r="AQ4006" i="1"/>
  <c r="AL4006" i="1" s="1"/>
  <c r="AS4006" i="1"/>
  <c r="AN4006" i="1" s="1"/>
  <c r="AT4002" i="1"/>
  <c r="AO4002" i="1" s="1"/>
  <c r="AS4002" i="1"/>
  <c r="AN4002" i="1" s="1"/>
  <c r="AR4002" i="1"/>
  <c r="AM4002" i="1" s="1"/>
  <c r="AQ4002" i="1"/>
  <c r="AL4002" i="1" s="1"/>
  <c r="AT3998" i="1"/>
  <c r="AO3998" i="1" s="1"/>
  <c r="AR3998" i="1"/>
  <c r="AM3998" i="1" s="1"/>
  <c r="AQ3998" i="1"/>
  <c r="AL3998" i="1" s="1"/>
  <c r="AS3998" i="1"/>
  <c r="AN3998" i="1" s="1"/>
  <c r="AT3994" i="1"/>
  <c r="AO3994" i="1" s="1"/>
  <c r="AS3994" i="1"/>
  <c r="AN3994" i="1" s="1"/>
  <c r="AR3994" i="1"/>
  <c r="AM3994" i="1" s="1"/>
  <c r="AQ3994" i="1"/>
  <c r="AL3994" i="1" s="1"/>
  <c r="AT3990" i="1"/>
  <c r="AO3990" i="1" s="1"/>
  <c r="AR3990" i="1"/>
  <c r="AM3990" i="1" s="1"/>
  <c r="AQ3990" i="1"/>
  <c r="AL3990" i="1" s="1"/>
  <c r="AS3990" i="1"/>
  <c r="AN3990" i="1" s="1"/>
  <c r="AT3986" i="1"/>
  <c r="AO3986" i="1" s="1"/>
  <c r="AS3986" i="1"/>
  <c r="AN3986" i="1" s="1"/>
  <c r="AR3986" i="1"/>
  <c r="AM3986" i="1" s="1"/>
  <c r="AQ3986" i="1"/>
  <c r="AL3986" i="1" s="1"/>
  <c r="AT3982" i="1"/>
  <c r="AO3982" i="1" s="1"/>
  <c r="AR3982" i="1"/>
  <c r="AM3982" i="1" s="1"/>
  <c r="AQ3982" i="1"/>
  <c r="AL3982" i="1" s="1"/>
  <c r="AS3982" i="1"/>
  <c r="AN3982" i="1" s="1"/>
  <c r="AT3978" i="1"/>
  <c r="AO3978" i="1" s="1"/>
  <c r="AS3978" i="1"/>
  <c r="AN3978" i="1" s="1"/>
  <c r="AR3978" i="1"/>
  <c r="AM3978" i="1" s="1"/>
  <c r="AQ3978" i="1"/>
  <c r="AL3978" i="1" s="1"/>
  <c r="AT3974" i="1"/>
  <c r="AO3974" i="1" s="1"/>
  <c r="AR3974" i="1"/>
  <c r="AM3974" i="1" s="1"/>
  <c r="AQ3974" i="1"/>
  <c r="AL3974" i="1" s="1"/>
  <c r="AS3974" i="1"/>
  <c r="AN3974" i="1" s="1"/>
  <c r="AT3970" i="1"/>
  <c r="AO3970" i="1" s="1"/>
  <c r="AS3970" i="1"/>
  <c r="AN3970" i="1" s="1"/>
  <c r="AR3970" i="1"/>
  <c r="AM3970" i="1" s="1"/>
  <c r="AQ3970" i="1"/>
  <c r="AL3970" i="1" s="1"/>
  <c r="AT3966" i="1"/>
  <c r="AO3966" i="1" s="1"/>
  <c r="AR3966" i="1"/>
  <c r="AM3966" i="1" s="1"/>
  <c r="AQ3966" i="1"/>
  <c r="AL3966" i="1" s="1"/>
  <c r="AS3966" i="1"/>
  <c r="AN3966" i="1" s="1"/>
  <c r="AT3962" i="1"/>
  <c r="AO3962" i="1" s="1"/>
  <c r="AS3962" i="1"/>
  <c r="AN3962" i="1" s="1"/>
  <c r="AR3962" i="1"/>
  <c r="AM3962" i="1" s="1"/>
  <c r="AQ3962" i="1"/>
  <c r="AL3962" i="1" s="1"/>
  <c r="AT3958" i="1"/>
  <c r="AO3958" i="1" s="1"/>
  <c r="AR3958" i="1"/>
  <c r="AM3958" i="1" s="1"/>
  <c r="AQ3958" i="1"/>
  <c r="AL3958" i="1" s="1"/>
  <c r="AS3958" i="1"/>
  <c r="AN3958" i="1" s="1"/>
  <c r="AT3954" i="1"/>
  <c r="AO3954" i="1" s="1"/>
  <c r="AS3954" i="1"/>
  <c r="AN3954" i="1" s="1"/>
  <c r="AR3954" i="1"/>
  <c r="AM3954" i="1" s="1"/>
  <c r="AQ3954" i="1"/>
  <c r="AL3954" i="1" s="1"/>
  <c r="AT3950" i="1"/>
  <c r="AO3950" i="1" s="1"/>
  <c r="AR3950" i="1"/>
  <c r="AM3950" i="1" s="1"/>
  <c r="AQ3950" i="1"/>
  <c r="AL3950" i="1" s="1"/>
  <c r="AS3950" i="1"/>
  <c r="AN3950" i="1" s="1"/>
  <c r="AT3946" i="1"/>
  <c r="AO3946" i="1" s="1"/>
  <c r="AS3946" i="1"/>
  <c r="AN3946" i="1" s="1"/>
  <c r="AR3946" i="1"/>
  <c r="AM3946" i="1" s="1"/>
  <c r="AQ3946" i="1"/>
  <c r="AL3946" i="1" s="1"/>
  <c r="AT3942" i="1"/>
  <c r="AO3942" i="1" s="1"/>
  <c r="AR3942" i="1"/>
  <c r="AM3942" i="1" s="1"/>
  <c r="AQ3942" i="1"/>
  <c r="AL3942" i="1" s="1"/>
  <c r="AS3942" i="1"/>
  <c r="AN3942" i="1" s="1"/>
  <c r="AT3938" i="1"/>
  <c r="AO3938" i="1" s="1"/>
  <c r="AS3938" i="1"/>
  <c r="AN3938" i="1" s="1"/>
  <c r="AR3938" i="1"/>
  <c r="AM3938" i="1" s="1"/>
  <c r="AQ3938" i="1"/>
  <c r="AL3938" i="1" s="1"/>
  <c r="AT3934" i="1"/>
  <c r="AO3934" i="1" s="1"/>
  <c r="AR3934" i="1"/>
  <c r="AM3934" i="1" s="1"/>
  <c r="AQ3934" i="1"/>
  <c r="AL3934" i="1" s="1"/>
  <c r="AS3934" i="1"/>
  <c r="AN3934" i="1" s="1"/>
  <c r="AT3930" i="1"/>
  <c r="AO3930" i="1" s="1"/>
  <c r="AS3930" i="1"/>
  <c r="AN3930" i="1" s="1"/>
  <c r="AR3930" i="1"/>
  <c r="AM3930" i="1" s="1"/>
  <c r="AQ3930" i="1"/>
  <c r="AL3930" i="1" s="1"/>
  <c r="AT3926" i="1"/>
  <c r="AO3926" i="1" s="1"/>
  <c r="AQ3926" i="1"/>
  <c r="AL3926" i="1" s="1"/>
  <c r="AR3926" i="1"/>
  <c r="AM3926" i="1" s="1"/>
  <c r="AS3926" i="1"/>
  <c r="AN3926" i="1" s="1"/>
  <c r="AT3922" i="1"/>
  <c r="AO3922" i="1" s="1"/>
  <c r="AS3922" i="1"/>
  <c r="AN3922" i="1" s="1"/>
  <c r="AQ3922" i="1"/>
  <c r="AL3922" i="1" s="1"/>
  <c r="AR3922" i="1"/>
  <c r="AM3922" i="1" s="1"/>
  <c r="AR3918" i="1"/>
  <c r="AM3918" i="1" s="1"/>
  <c r="AT3918" i="1"/>
  <c r="AO3918" i="1" s="1"/>
  <c r="AQ3918" i="1"/>
  <c r="AL3918" i="1" s="1"/>
  <c r="AS3918" i="1"/>
  <c r="AN3918" i="1" s="1"/>
  <c r="AR3914" i="1"/>
  <c r="AM3914" i="1" s="1"/>
  <c r="AT3914" i="1"/>
  <c r="AO3914" i="1" s="1"/>
  <c r="AS3914" i="1"/>
  <c r="AN3914" i="1" s="1"/>
  <c r="AQ3914" i="1"/>
  <c r="AL3914" i="1" s="1"/>
  <c r="AR3910" i="1"/>
  <c r="AM3910" i="1" s="1"/>
  <c r="AT3910" i="1"/>
  <c r="AO3910" i="1" s="1"/>
  <c r="AQ3910" i="1"/>
  <c r="AL3910" i="1" s="1"/>
  <c r="AS3910" i="1"/>
  <c r="AN3910" i="1" s="1"/>
  <c r="AR3906" i="1"/>
  <c r="AM3906" i="1" s="1"/>
  <c r="AT3906" i="1"/>
  <c r="AO3906" i="1" s="1"/>
  <c r="AS3906" i="1"/>
  <c r="AN3906" i="1" s="1"/>
  <c r="AQ3906" i="1"/>
  <c r="AL3906" i="1" s="1"/>
  <c r="AR3902" i="1"/>
  <c r="AM3902" i="1" s="1"/>
  <c r="AT3902" i="1"/>
  <c r="AO3902" i="1" s="1"/>
  <c r="AQ3902" i="1"/>
  <c r="AL3902" i="1" s="1"/>
  <c r="AS3902" i="1"/>
  <c r="AN3902" i="1" s="1"/>
  <c r="AR3898" i="1"/>
  <c r="AM3898" i="1" s="1"/>
  <c r="AT3898" i="1"/>
  <c r="AO3898" i="1" s="1"/>
  <c r="AS3898" i="1"/>
  <c r="AN3898" i="1" s="1"/>
  <c r="AQ3898" i="1"/>
  <c r="AL3898" i="1" s="1"/>
  <c r="AR3894" i="1"/>
  <c r="AM3894" i="1" s="1"/>
  <c r="AT3894" i="1"/>
  <c r="AO3894" i="1" s="1"/>
  <c r="AQ3894" i="1"/>
  <c r="AL3894" i="1" s="1"/>
  <c r="AS3894" i="1"/>
  <c r="AN3894" i="1" s="1"/>
  <c r="AR3890" i="1"/>
  <c r="AM3890" i="1" s="1"/>
  <c r="AT3890" i="1"/>
  <c r="AO3890" i="1" s="1"/>
  <c r="AS3890" i="1"/>
  <c r="AN3890" i="1" s="1"/>
  <c r="AQ3890" i="1"/>
  <c r="AL3890" i="1" s="1"/>
  <c r="AR3886" i="1"/>
  <c r="AM3886" i="1" s="1"/>
  <c r="AT3886" i="1"/>
  <c r="AO3886" i="1" s="1"/>
  <c r="AQ3886" i="1"/>
  <c r="AL3886" i="1" s="1"/>
  <c r="AS3886" i="1"/>
  <c r="AN3886" i="1" s="1"/>
  <c r="AR3882" i="1"/>
  <c r="AM3882" i="1" s="1"/>
  <c r="AT3882" i="1"/>
  <c r="AO3882" i="1" s="1"/>
  <c r="AS3882" i="1"/>
  <c r="AN3882" i="1" s="1"/>
  <c r="AQ3882" i="1"/>
  <c r="AL3882" i="1" s="1"/>
  <c r="AR3878" i="1"/>
  <c r="AM3878" i="1" s="1"/>
  <c r="AT3878" i="1"/>
  <c r="AO3878" i="1" s="1"/>
  <c r="AQ3878" i="1"/>
  <c r="AL3878" i="1" s="1"/>
  <c r="AS3878" i="1"/>
  <c r="AN3878" i="1" s="1"/>
  <c r="U3990" i="1"/>
  <c r="W3990" i="1" s="1"/>
  <c r="U3978" i="1"/>
  <c r="W3978" i="1" s="1"/>
  <c r="U3970" i="1"/>
  <c r="W3970" i="1" s="1"/>
  <c r="U3962" i="1"/>
  <c r="W3962" i="1" s="1"/>
  <c r="U3950" i="1"/>
  <c r="W3950" i="1" s="1"/>
  <c r="U3922" i="1"/>
  <c r="W3922" i="1" s="1"/>
  <c r="U3906" i="1"/>
  <c r="W3906" i="1" s="1"/>
  <c r="U3902" i="1"/>
  <c r="W3902" i="1" s="1"/>
  <c r="U3898" i="1"/>
  <c r="W3898" i="1" s="1"/>
  <c r="U3894" i="1"/>
  <c r="W3894" i="1" s="1"/>
  <c r="AS4017" i="1"/>
  <c r="AN4017" i="1" s="1"/>
  <c r="AT4017" i="1"/>
  <c r="AO4017" i="1" s="1"/>
  <c r="AR4017" i="1"/>
  <c r="AM4017" i="1" s="1"/>
  <c r="AQ4017" i="1"/>
  <c r="AL4017" i="1" s="1"/>
  <c r="AS4013" i="1"/>
  <c r="AN4013" i="1" s="1"/>
  <c r="AR4013" i="1"/>
  <c r="AM4013" i="1" s="1"/>
  <c r="AT4013" i="1"/>
  <c r="AO4013" i="1" s="1"/>
  <c r="AQ4013" i="1"/>
  <c r="AL4013" i="1" s="1"/>
  <c r="AS4009" i="1"/>
  <c r="AN4009" i="1" s="1"/>
  <c r="AT4009" i="1"/>
  <c r="AO4009" i="1" s="1"/>
  <c r="AR4009" i="1"/>
  <c r="AM4009" i="1" s="1"/>
  <c r="AQ4009" i="1"/>
  <c r="AL4009" i="1" s="1"/>
  <c r="AS4005" i="1"/>
  <c r="AN4005" i="1" s="1"/>
  <c r="AT4005" i="1"/>
  <c r="AO4005" i="1" s="1"/>
  <c r="AR4005" i="1"/>
  <c r="AM4005" i="1" s="1"/>
  <c r="AQ4005" i="1"/>
  <c r="AL4005" i="1" s="1"/>
  <c r="AS4001" i="1"/>
  <c r="AN4001" i="1" s="1"/>
  <c r="AT4001" i="1"/>
  <c r="AO4001" i="1" s="1"/>
  <c r="AR4001" i="1"/>
  <c r="AM4001" i="1" s="1"/>
  <c r="AQ4001" i="1"/>
  <c r="AL4001" i="1" s="1"/>
  <c r="AS3997" i="1"/>
  <c r="AN3997" i="1" s="1"/>
  <c r="AT3997" i="1"/>
  <c r="AO3997" i="1" s="1"/>
  <c r="AR3997" i="1"/>
  <c r="AM3997" i="1" s="1"/>
  <c r="AQ3997" i="1"/>
  <c r="AL3997" i="1" s="1"/>
  <c r="AS3993" i="1"/>
  <c r="AN3993" i="1" s="1"/>
  <c r="AT3993" i="1"/>
  <c r="AO3993" i="1" s="1"/>
  <c r="AR3993" i="1"/>
  <c r="AM3993" i="1" s="1"/>
  <c r="AQ3993" i="1"/>
  <c r="AL3993" i="1" s="1"/>
  <c r="AS3989" i="1"/>
  <c r="AN3989" i="1" s="1"/>
  <c r="AT3989" i="1"/>
  <c r="AO3989" i="1" s="1"/>
  <c r="AR3989" i="1"/>
  <c r="AM3989" i="1" s="1"/>
  <c r="AQ3989" i="1"/>
  <c r="AL3989" i="1" s="1"/>
  <c r="AS3985" i="1"/>
  <c r="AN3985" i="1" s="1"/>
  <c r="AT3985" i="1"/>
  <c r="AO3985" i="1" s="1"/>
  <c r="AR3985" i="1"/>
  <c r="AM3985" i="1" s="1"/>
  <c r="AQ3985" i="1"/>
  <c r="AL3985" i="1" s="1"/>
  <c r="AS3981" i="1"/>
  <c r="AN3981" i="1" s="1"/>
  <c r="AR3981" i="1"/>
  <c r="AM3981" i="1" s="1"/>
  <c r="AT3981" i="1"/>
  <c r="AO3981" i="1" s="1"/>
  <c r="AQ3981" i="1"/>
  <c r="AL3981" i="1" s="1"/>
  <c r="AS3977" i="1"/>
  <c r="AN3977" i="1" s="1"/>
  <c r="AQ3977" i="1"/>
  <c r="AL3977" i="1" s="1"/>
  <c r="AT3977" i="1"/>
  <c r="AO3977" i="1" s="1"/>
  <c r="AR3977" i="1"/>
  <c r="AM3977" i="1" s="1"/>
  <c r="AS3973" i="1"/>
  <c r="AN3973" i="1" s="1"/>
  <c r="AQ3973" i="1"/>
  <c r="AL3973" i="1" s="1"/>
  <c r="AT3973" i="1"/>
  <c r="AO3973" i="1" s="1"/>
  <c r="AR3973" i="1"/>
  <c r="AM3973" i="1" s="1"/>
  <c r="AS3969" i="1"/>
  <c r="AN3969" i="1" s="1"/>
  <c r="AQ3969" i="1"/>
  <c r="AL3969" i="1" s="1"/>
  <c r="AT3969" i="1"/>
  <c r="AO3969" i="1" s="1"/>
  <c r="AR3969" i="1"/>
  <c r="AM3969" i="1" s="1"/>
  <c r="AS3965" i="1"/>
  <c r="AN3965" i="1" s="1"/>
  <c r="AQ3965" i="1"/>
  <c r="AL3965" i="1" s="1"/>
  <c r="AT3965" i="1"/>
  <c r="AO3965" i="1" s="1"/>
  <c r="AR3965" i="1"/>
  <c r="AM3965" i="1" s="1"/>
  <c r="AS3961" i="1"/>
  <c r="AN3961" i="1" s="1"/>
  <c r="AQ3961" i="1"/>
  <c r="AL3961" i="1" s="1"/>
  <c r="AT3961" i="1"/>
  <c r="AO3961" i="1" s="1"/>
  <c r="AR3961" i="1"/>
  <c r="AM3961" i="1" s="1"/>
  <c r="AS3957" i="1"/>
  <c r="AN3957" i="1" s="1"/>
  <c r="AQ3957" i="1"/>
  <c r="AL3957" i="1" s="1"/>
  <c r="AT3957" i="1"/>
  <c r="AO3957" i="1" s="1"/>
  <c r="AR3957" i="1"/>
  <c r="AM3957" i="1" s="1"/>
  <c r="AS3953" i="1"/>
  <c r="AN3953" i="1" s="1"/>
  <c r="AQ3953" i="1"/>
  <c r="AL3953" i="1" s="1"/>
  <c r="AT3953" i="1"/>
  <c r="AO3953" i="1" s="1"/>
  <c r="AR3953" i="1"/>
  <c r="AM3953" i="1" s="1"/>
  <c r="AS3949" i="1"/>
  <c r="AN3949" i="1" s="1"/>
  <c r="AQ3949" i="1"/>
  <c r="AL3949" i="1" s="1"/>
  <c r="AR3949" i="1"/>
  <c r="AM3949" i="1" s="1"/>
  <c r="AT3949" i="1"/>
  <c r="AO3949" i="1" s="1"/>
  <c r="AT3945" i="1"/>
  <c r="AO3945" i="1" s="1"/>
  <c r="AS3945" i="1"/>
  <c r="AN3945" i="1" s="1"/>
  <c r="AQ3945" i="1"/>
  <c r="AL3945" i="1" s="1"/>
  <c r="AR3945" i="1"/>
  <c r="AM3945" i="1" s="1"/>
  <c r="AT3941" i="1"/>
  <c r="AO3941" i="1" s="1"/>
  <c r="AS3941" i="1"/>
  <c r="AN3941" i="1" s="1"/>
  <c r="AQ3941" i="1"/>
  <c r="AL3941" i="1" s="1"/>
  <c r="AR3941" i="1"/>
  <c r="AM3941" i="1" s="1"/>
  <c r="AT3937" i="1"/>
  <c r="AO3937" i="1" s="1"/>
  <c r="AS3937" i="1"/>
  <c r="AN3937" i="1" s="1"/>
  <c r="AQ3937" i="1"/>
  <c r="AL3937" i="1" s="1"/>
  <c r="AR3937" i="1"/>
  <c r="AM3937" i="1" s="1"/>
  <c r="AT3933" i="1"/>
  <c r="AO3933" i="1" s="1"/>
  <c r="AS3933" i="1"/>
  <c r="AN3933" i="1" s="1"/>
  <c r="AQ3933" i="1"/>
  <c r="AL3933" i="1" s="1"/>
  <c r="AR3933" i="1"/>
  <c r="AM3933" i="1" s="1"/>
  <c r="AT3929" i="1"/>
  <c r="AO3929" i="1" s="1"/>
  <c r="AS3929" i="1"/>
  <c r="AN3929" i="1" s="1"/>
  <c r="AR3929" i="1"/>
  <c r="AM3929" i="1" s="1"/>
  <c r="AQ3929" i="1"/>
  <c r="AL3929" i="1" s="1"/>
  <c r="AT3925" i="1"/>
  <c r="AO3925" i="1" s="1"/>
  <c r="AS3925" i="1"/>
  <c r="AN3925" i="1" s="1"/>
  <c r="AQ3925" i="1"/>
  <c r="AL3925" i="1" s="1"/>
  <c r="AR3925" i="1"/>
  <c r="AM3925" i="1" s="1"/>
  <c r="AT3921" i="1"/>
  <c r="AO3921" i="1" s="1"/>
  <c r="AS3921" i="1"/>
  <c r="AN3921" i="1" s="1"/>
  <c r="AQ3921" i="1"/>
  <c r="AL3921" i="1" s="1"/>
  <c r="AR3921" i="1"/>
  <c r="AM3921" i="1" s="1"/>
  <c r="AT3917" i="1"/>
  <c r="AO3917" i="1" s="1"/>
  <c r="AS3917" i="1"/>
  <c r="AN3917" i="1" s="1"/>
  <c r="AR3917" i="1"/>
  <c r="AM3917" i="1" s="1"/>
  <c r="AQ3917" i="1"/>
  <c r="AL3917" i="1" s="1"/>
  <c r="AT3913" i="1"/>
  <c r="AO3913" i="1" s="1"/>
  <c r="AS3913" i="1"/>
  <c r="AN3913" i="1" s="1"/>
  <c r="AQ3913" i="1"/>
  <c r="AL3913" i="1" s="1"/>
  <c r="AR3913" i="1"/>
  <c r="AM3913" i="1" s="1"/>
  <c r="AT3909" i="1"/>
  <c r="AO3909" i="1" s="1"/>
  <c r="AS3909" i="1"/>
  <c r="AN3909" i="1" s="1"/>
  <c r="AR3909" i="1"/>
  <c r="AM3909" i="1" s="1"/>
  <c r="AQ3909" i="1"/>
  <c r="AL3909" i="1" s="1"/>
  <c r="AT3905" i="1"/>
  <c r="AO3905" i="1" s="1"/>
  <c r="AS3905" i="1"/>
  <c r="AN3905" i="1" s="1"/>
  <c r="AQ3905" i="1"/>
  <c r="AL3905" i="1" s="1"/>
  <c r="AR3905" i="1"/>
  <c r="AM3905" i="1" s="1"/>
  <c r="AT3901" i="1"/>
  <c r="AO3901" i="1" s="1"/>
  <c r="AS3901" i="1"/>
  <c r="AN3901" i="1" s="1"/>
  <c r="AR3901" i="1"/>
  <c r="AM3901" i="1" s="1"/>
  <c r="AQ3901" i="1"/>
  <c r="AL3901" i="1" s="1"/>
  <c r="AT3897" i="1"/>
  <c r="AO3897" i="1" s="1"/>
  <c r="AS3897" i="1"/>
  <c r="AN3897" i="1" s="1"/>
  <c r="AQ3897" i="1"/>
  <c r="AL3897" i="1" s="1"/>
  <c r="AR3897" i="1"/>
  <c r="AM3897" i="1" s="1"/>
  <c r="AT3893" i="1"/>
  <c r="AO3893" i="1" s="1"/>
  <c r="AS3893" i="1"/>
  <c r="AN3893" i="1" s="1"/>
  <c r="AR3893" i="1"/>
  <c r="AM3893" i="1" s="1"/>
  <c r="AQ3893" i="1"/>
  <c r="AL3893" i="1" s="1"/>
  <c r="AT3889" i="1"/>
  <c r="AO3889" i="1" s="1"/>
  <c r="AS3889" i="1"/>
  <c r="AN3889" i="1" s="1"/>
  <c r="AQ3889" i="1"/>
  <c r="AL3889" i="1" s="1"/>
  <c r="AR3889" i="1"/>
  <c r="AM3889" i="1" s="1"/>
  <c r="AT3885" i="1"/>
  <c r="AO3885" i="1" s="1"/>
  <c r="AS3885" i="1"/>
  <c r="AN3885" i="1" s="1"/>
  <c r="AR3885" i="1"/>
  <c r="AM3885" i="1" s="1"/>
  <c r="AQ3885" i="1"/>
  <c r="AL3885" i="1" s="1"/>
  <c r="AT3881" i="1"/>
  <c r="AO3881" i="1" s="1"/>
  <c r="AS3881" i="1"/>
  <c r="AN3881" i="1" s="1"/>
  <c r="AQ3881" i="1"/>
  <c r="AL3881" i="1" s="1"/>
  <c r="AR3881" i="1"/>
  <c r="AM3881" i="1" s="1"/>
  <c r="U4017" i="1"/>
  <c r="W4017" i="1" s="1"/>
  <c r="U4005" i="1"/>
  <c r="W4005" i="1" s="1"/>
  <c r="U3977" i="1"/>
  <c r="W3977" i="1" s="1"/>
  <c r="U3961" i="1"/>
  <c r="W3961" i="1" s="1"/>
  <c r="U3949" i="1"/>
  <c r="W3949" i="1" s="1"/>
  <c r="U3937" i="1"/>
  <c r="W3937" i="1" s="1"/>
  <c r="U3917" i="1"/>
  <c r="W3917" i="1" s="1"/>
  <c r="U3905" i="1"/>
  <c r="W3905" i="1" s="1"/>
  <c r="U3901" i="1"/>
  <c r="W3901" i="1" s="1"/>
  <c r="U3897" i="1"/>
  <c r="W3897" i="1" s="1"/>
  <c r="AT4016" i="1"/>
  <c r="AO4016" i="1" s="1"/>
  <c r="AR4016" i="1"/>
  <c r="AM4016" i="1" s="1"/>
  <c r="AQ4016" i="1"/>
  <c r="AL4016" i="1" s="1"/>
  <c r="AS4016" i="1"/>
  <c r="AN4016" i="1" s="1"/>
  <c r="AT4012" i="1"/>
  <c r="AO4012" i="1" s="1"/>
  <c r="AS4012" i="1"/>
  <c r="AN4012" i="1" s="1"/>
  <c r="AQ4012" i="1"/>
  <c r="AL4012" i="1" s="1"/>
  <c r="AR4012" i="1"/>
  <c r="AM4012" i="1" s="1"/>
  <c r="AT4008" i="1"/>
  <c r="AO4008" i="1" s="1"/>
  <c r="AS4008" i="1"/>
  <c r="AN4008" i="1" s="1"/>
  <c r="AQ4008" i="1"/>
  <c r="AL4008" i="1" s="1"/>
  <c r="AR4008" i="1"/>
  <c r="AM4008" i="1" s="1"/>
  <c r="AT4004" i="1"/>
  <c r="AO4004" i="1" s="1"/>
  <c r="AS4004" i="1"/>
  <c r="AN4004" i="1" s="1"/>
  <c r="AR4004" i="1"/>
  <c r="AM4004" i="1" s="1"/>
  <c r="AQ4004" i="1"/>
  <c r="AL4004" i="1" s="1"/>
  <c r="AT4000" i="1"/>
  <c r="AO4000" i="1" s="1"/>
  <c r="AQ4000" i="1"/>
  <c r="AL4000" i="1" s="1"/>
  <c r="AS4000" i="1"/>
  <c r="AN4000" i="1" s="1"/>
  <c r="AR4000" i="1"/>
  <c r="AM4000" i="1" s="1"/>
  <c r="AT3996" i="1"/>
  <c r="AO3996" i="1" s="1"/>
  <c r="AS3996" i="1"/>
  <c r="AN3996" i="1" s="1"/>
  <c r="AQ3996" i="1"/>
  <c r="AL3996" i="1" s="1"/>
  <c r="AR3996" i="1"/>
  <c r="AM3996" i="1" s="1"/>
  <c r="AT3992" i="1"/>
  <c r="AO3992" i="1" s="1"/>
  <c r="AS3992" i="1"/>
  <c r="AN3992" i="1" s="1"/>
  <c r="AR3992" i="1"/>
  <c r="AM3992" i="1" s="1"/>
  <c r="AQ3992" i="1"/>
  <c r="AL3992" i="1" s="1"/>
  <c r="AT3988" i="1"/>
  <c r="AO3988" i="1" s="1"/>
  <c r="AS3988" i="1"/>
  <c r="AN3988" i="1" s="1"/>
  <c r="AQ3988" i="1"/>
  <c r="AL3988" i="1" s="1"/>
  <c r="AR3988" i="1"/>
  <c r="AM3988" i="1" s="1"/>
  <c r="AT3984" i="1"/>
  <c r="AO3984" i="1" s="1"/>
  <c r="AS3984" i="1"/>
  <c r="AN3984" i="1" s="1"/>
  <c r="AR3984" i="1"/>
  <c r="AM3984" i="1" s="1"/>
  <c r="AQ3984" i="1"/>
  <c r="AL3984" i="1" s="1"/>
  <c r="AT3980" i="1"/>
  <c r="AO3980" i="1" s="1"/>
  <c r="AS3980" i="1"/>
  <c r="AN3980" i="1" s="1"/>
  <c r="AQ3980" i="1"/>
  <c r="AL3980" i="1" s="1"/>
  <c r="AR3980" i="1"/>
  <c r="AM3980" i="1" s="1"/>
  <c r="AT3976" i="1"/>
  <c r="AO3976" i="1" s="1"/>
  <c r="AS3976" i="1"/>
  <c r="AN3976" i="1" s="1"/>
  <c r="AQ3976" i="1"/>
  <c r="AL3976" i="1" s="1"/>
  <c r="AR3976" i="1"/>
  <c r="AM3976" i="1" s="1"/>
  <c r="AT3972" i="1"/>
  <c r="AO3972" i="1" s="1"/>
  <c r="AS3972" i="1"/>
  <c r="AN3972" i="1" s="1"/>
  <c r="AQ3972" i="1"/>
  <c r="AL3972" i="1" s="1"/>
  <c r="AR3972" i="1"/>
  <c r="AM3972" i="1" s="1"/>
  <c r="AT3968" i="1"/>
  <c r="AO3968" i="1" s="1"/>
  <c r="AQ3968" i="1"/>
  <c r="AL3968" i="1" s="1"/>
  <c r="AS3968" i="1"/>
  <c r="AN3968" i="1" s="1"/>
  <c r="AR3968" i="1"/>
  <c r="AM3968" i="1" s="1"/>
  <c r="AT3964" i="1"/>
  <c r="AO3964" i="1" s="1"/>
  <c r="AS3964" i="1"/>
  <c r="AN3964" i="1" s="1"/>
  <c r="AQ3964" i="1"/>
  <c r="AL3964" i="1" s="1"/>
  <c r="AR3964" i="1"/>
  <c r="AM3964" i="1" s="1"/>
  <c r="AT3960" i="1"/>
  <c r="AO3960" i="1" s="1"/>
  <c r="AS3960" i="1"/>
  <c r="AN3960" i="1" s="1"/>
  <c r="AR3960" i="1"/>
  <c r="AM3960" i="1" s="1"/>
  <c r="AQ3960" i="1"/>
  <c r="AL3960" i="1" s="1"/>
  <c r="AT3956" i="1"/>
  <c r="AO3956" i="1" s="1"/>
  <c r="AS3956" i="1"/>
  <c r="AN3956" i="1" s="1"/>
  <c r="AQ3956" i="1"/>
  <c r="AL3956" i="1" s="1"/>
  <c r="AR3956" i="1"/>
  <c r="AM3956" i="1" s="1"/>
  <c r="AT3952" i="1"/>
  <c r="AO3952" i="1" s="1"/>
  <c r="AR3952" i="1"/>
  <c r="AM3952" i="1" s="1"/>
  <c r="AS3952" i="1"/>
  <c r="AN3952" i="1" s="1"/>
  <c r="AQ3952" i="1"/>
  <c r="AL3952" i="1" s="1"/>
  <c r="AT3948" i="1"/>
  <c r="AO3948" i="1" s="1"/>
  <c r="AS3948" i="1"/>
  <c r="AN3948" i="1" s="1"/>
  <c r="AQ3948" i="1"/>
  <c r="AL3948" i="1" s="1"/>
  <c r="AR3948" i="1"/>
  <c r="AM3948" i="1" s="1"/>
  <c r="AT3944" i="1"/>
  <c r="AO3944" i="1" s="1"/>
  <c r="AS3944" i="1"/>
  <c r="AN3944" i="1" s="1"/>
  <c r="AQ3944" i="1"/>
  <c r="AL3944" i="1" s="1"/>
  <c r="AR3944" i="1"/>
  <c r="AM3944" i="1" s="1"/>
  <c r="AT3940" i="1"/>
  <c r="AO3940" i="1" s="1"/>
  <c r="AS3940" i="1"/>
  <c r="AN3940" i="1" s="1"/>
  <c r="AQ3940" i="1"/>
  <c r="AL3940" i="1" s="1"/>
  <c r="AR3940" i="1"/>
  <c r="AM3940" i="1" s="1"/>
  <c r="AT3936" i="1"/>
  <c r="AO3936" i="1" s="1"/>
  <c r="AQ3936" i="1"/>
  <c r="AL3936" i="1" s="1"/>
  <c r="AS3936" i="1"/>
  <c r="AN3936" i="1" s="1"/>
  <c r="AR3936" i="1"/>
  <c r="AM3936" i="1" s="1"/>
  <c r="AT3932" i="1"/>
  <c r="AO3932" i="1" s="1"/>
  <c r="AR3932" i="1"/>
  <c r="AM3932" i="1" s="1"/>
  <c r="AS3932" i="1"/>
  <c r="AN3932" i="1" s="1"/>
  <c r="AQ3932" i="1"/>
  <c r="AL3932" i="1" s="1"/>
  <c r="AT3928" i="1"/>
  <c r="AO3928" i="1" s="1"/>
  <c r="AR3928" i="1"/>
  <c r="AM3928" i="1" s="1"/>
  <c r="AS3928" i="1"/>
  <c r="AN3928" i="1" s="1"/>
  <c r="AQ3928" i="1"/>
  <c r="AL3928" i="1" s="1"/>
  <c r="AT3924" i="1"/>
  <c r="AO3924" i="1" s="1"/>
  <c r="AR3924" i="1"/>
  <c r="AM3924" i="1" s="1"/>
  <c r="AS3924" i="1"/>
  <c r="AN3924" i="1" s="1"/>
  <c r="AQ3924" i="1"/>
  <c r="AL3924" i="1" s="1"/>
  <c r="AT3920" i="1"/>
  <c r="AO3920" i="1" s="1"/>
  <c r="AR3920" i="1"/>
  <c r="AM3920" i="1" s="1"/>
  <c r="AS3920" i="1"/>
  <c r="AN3920" i="1" s="1"/>
  <c r="AQ3920" i="1"/>
  <c r="AL3920" i="1" s="1"/>
  <c r="AT3916" i="1"/>
  <c r="AO3916" i="1" s="1"/>
  <c r="AR3916" i="1"/>
  <c r="AM3916" i="1" s="1"/>
  <c r="AS3916" i="1"/>
  <c r="AN3916" i="1" s="1"/>
  <c r="AQ3916" i="1"/>
  <c r="AL3916" i="1" s="1"/>
  <c r="AT3912" i="1"/>
  <c r="AO3912" i="1" s="1"/>
  <c r="AR3912" i="1"/>
  <c r="AM3912" i="1" s="1"/>
  <c r="AS3912" i="1"/>
  <c r="AN3912" i="1" s="1"/>
  <c r="AQ3912" i="1"/>
  <c r="AL3912" i="1" s="1"/>
  <c r="AT3908" i="1"/>
  <c r="AO3908" i="1" s="1"/>
  <c r="AR3908" i="1"/>
  <c r="AM3908" i="1" s="1"/>
  <c r="AS3908" i="1"/>
  <c r="AN3908" i="1" s="1"/>
  <c r="AQ3908" i="1"/>
  <c r="AL3908" i="1" s="1"/>
  <c r="AT3904" i="1"/>
  <c r="AO3904" i="1" s="1"/>
  <c r="AR3904" i="1"/>
  <c r="AM3904" i="1" s="1"/>
  <c r="AQ3904" i="1"/>
  <c r="AL3904" i="1" s="1"/>
  <c r="AS3904" i="1"/>
  <c r="AN3904" i="1" s="1"/>
  <c r="AT3900" i="1"/>
  <c r="AO3900" i="1" s="1"/>
  <c r="AR3900" i="1"/>
  <c r="AM3900" i="1" s="1"/>
  <c r="AS3900" i="1"/>
  <c r="AN3900" i="1" s="1"/>
  <c r="AQ3900" i="1"/>
  <c r="AL3900" i="1" s="1"/>
  <c r="AT3896" i="1"/>
  <c r="AO3896" i="1" s="1"/>
  <c r="AR3896" i="1"/>
  <c r="AM3896" i="1" s="1"/>
  <c r="AS3896" i="1"/>
  <c r="AN3896" i="1" s="1"/>
  <c r="AQ3896" i="1"/>
  <c r="AL3896" i="1" s="1"/>
  <c r="AT3892" i="1"/>
  <c r="AO3892" i="1" s="1"/>
  <c r="AR3892" i="1"/>
  <c r="AM3892" i="1" s="1"/>
  <c r="AS3892" i="1"/>
  <c r="AN3892" i="1" s="1"/>
  <c r="AQ3892" i="1"/>
  <c r="AL3892" i="1" s="1"/>
  <c r="AT3888" i="1"/>
  <c r="AO3888" i="1" s="1"/>
  <c r="AR3888" i="1"/>
  <c r="AM3888" i="1" s="1"/>
  <c r="AS3888" i="1"/>
  <c r="AN3888" i="1" s="1"/>
  <c r="AQ3888" i="1"/>
  <c r="AL3888" i="1" s="1"/>
  <c r="AT3884" i="1"/>
  <c r="AO3884" i="1" s="1"/>
  <c r="AR3884" i="1"/>
  <c r="AM3884" i="1" s="1"/>
  <c r="AS3884" i="1"/>
  <c r="AN3884" i="1" s="1"/>
  <c r="AQ3884" i="1"/>
  <c r="AL3884" i="1" s="1"/>
  <c r="AT3880" i="1"/>
  <c r="AO3880" i="1" s="1"/>
  <c r="AR3880" i="1"/>
  <c r="AM3880" i="1" s="1"/>
  <c r="AS3880" i="1"/>
  <c r="AN3880" i="1" s="1"/>
  <c r="AQ3880" i="1"/>
  <c r="AL3880" i="1" s="1"/>
  <c r="U4016" i="1"/>
  <c r="W4016" i="1" s="1"/>
  <c r="U4004" i="1"/>
  <c r="W4004" i="1" s="1"/>
  <c r="U3992" i="1"/>
  <c r="W3992" i="1" s="1"/>
  <c r="U3972" i="1"/>
  <c r="W3972" i="1" s="1"/>
  <c r="U3948" i="1"/>
  <c r="W3948" i="1" s="1"/>
  <c r="U3936" i="1"/>
  <c r="W3936" i="1" s="1"/>
  <c r="U3924" i="1"/>
  <c r="W3924" i="1" s="1"/>
  <c r="U3916" i="1"/>
  <c r="W3916" i="1" s="1"/>
  <c r="U3908" i="1"/>
  <c r="W3908" i="1" s="1"/>
  <c r="U3904" i="1"/>
  <c r="W3904" i="1" s="1"/>
  <c r="U3900" i="1"/>
  <c r="W3900" i="1" s="1"/>
  <c r="U3896" i="1"/>
  <c r="W3896" i="1" s="1"/>
  <c r="AS4015" i="1"/>
  <c r="AN4015" i="1" s="1"/>
  <c r="AT4015" i="1"/>
  <c r="AO4015" i="1" s="1"/>
  <c r="AR4015" i="1"/>
  <c r="AM4015" i="1" s="1"/>
  <c r="AQ4015" i="1"/>
  <c r="AL4015" i="1" s="1"/>
  <c r="AS4011" i="1"/>
  <c r="AN4011" i="1" s="1"/>
  <c r="AR4011" i="1"/>
  <c r="AM4011" i="1" s="1"/>
  <c r="AT4011" i="1"/>
  <c r="AO4011" i="1" s="1"/>
  <c r="AQ4011" i="1"/>
  <c r="AL4011" i="1" s="1"/>
  <c r="AS4007" i="1"/>
  <c r="AN4007" i="1" s="1"/>
  <c r="AT4007" i="1"/>
  <c r="AO4007" i="1" s="1"/>
  <c r="AR4007" i="1"/>
  <c r="AM4007" i="1" s="1"/>
  <c r="AQ4007" i="1"/>
  <c r="AL4007" i="1" s="1"/>
  <c r="AS4003" i="1"/>
  <c r="AN4003" i="1" s="1"/>
  <c r="AR4003" i="1"/>
  <c r="AM4003" i="1" s="1"/>
  <c r="AT4003" i="1"/>
  <c r="AO4003" i="1" s="1"/>
  <c r="AQ4003" i="1"/>
  <c r="AL4003" i="1" s="1"/>
  <c r="AS3999" i="1"/>
  <c r="AN3999" i="1" s="1"/>
  <c r="AT3999" i="1"/>
  <c r="AO3999" i="1" s="1"/>
  <c r="AR3999" i="1"/>
  <c r="AM3999" i="1" s="1"/>
  <c r="AQ3999" i="1"/>
  <c r="AL3999" i="1" s="1"/>
  <c r="AS3995" i="1"/>
  <c r="AN3995" i="1" s="1"/>
  <c r="AR3995" i="1"/>
  <c r="AM3995" i="1" s="1"/>
  <c r="AQ3995" i="1"/>
  <c r="AL3995" i="1" s="1"/>
  <c r="AT3995" i="1"/>
  <c r="AO3995" i="1" s="1"/>
  <c r="AS3991" i="1"/>
  <c r="AN3991" i="1" s="1"/>
  <c r="AT3991" i="1"/>
  <c r="AO3991" i="1" s="1"/>
  <c r="AR3991" i="1"/>
  <c r="AM3991" i="1" s="1"/>
  <c r="AQ3991" i="1"/>
  <c r="AL3991" i="1" s="1"/>
  <c r="AS3987" i="1"/>
  <c r="AN3987" i="1" s="1"/>
  <c r="AR3987" i="1"/>
  <c r="AM3987" i="1" s="1"/>
  <c r="AQ3987" i="1"/>
  <c r="AL3987" i="1" s="1"/>
  <c r="AT3987" i="1"/>
  <c r="AO3987" i="1" s="1"/>
  <c r="AS3983" i="1"/>
  <c r="AN3983" i="1" s="1"/>
  <c r="AT3983" i="1"/>
  <c r="AO3983" i="1" s="1"/>
  <c r="AR3983" i="1"/>
  <c r="AM3983" i="1" s="1"/>
  <c r="AQ3983" i="1"/>
  <c r="AL3983" i="1" s="1"/>
  <c r="AS3979" i="1"/>
  <c r="AN3979" i="1" s="1"/>
  <c r="AR3979" i="1"/>
  <c r="AM3979" i="1" s="1"/>
  <c r="AT3979" i="1"/>
  <c r="AO3979" i="1" s="1"/>
  <c r="AQ3979" i="1"/>
  <c r="AL3979" i="1" s="1"/>
  <c r="AS3975" i="1"/>
  <c r="AN3975" i="1" s="1"/>
  <c r="AT3975" i="1"/>
  <c r="AO3975" i="1" s="1"/>
  <c r="AR3975" i="1"/>
  <c r="AM3975" i="1" s="1"/>
  <c r="AQ3975" i="1"/>
  <c r="AL3975" i="1" s="1"/>
  <c r="AS3971" i="1"/>
  <c r="AN3971" i="1" s="1"/>
  <c r="AR3971" i="1"/>
  <c r="AM3971" i="1" s="1"/>
  <c r="AQ3971" i="1"/>
  <c r="AL3971" i="1" s="1"/>
  <c r="AT3971" i="1"/>
  <c r="AO3971" i="1" s="1"/>
  <c r="AS3967" i="1"/>
  <c r="AN3967" i="1" s="1"/>
  <c r="AT3967" i="1"/>
  <c r="AO3967" i="1" s="1"/>
  <c r="AR3967" i="1"/>
  <c r="AM3967" i="1" s="1"/>
  <c r="AQ3967" i="1"/>
  <c r="AL3967" i="1" s="1"/>
  <c r="AS3963" i="1"/>
  <c r="AN3963" i="1" s="1"/>
  <c r="AR3963" i="1"/>
  <c r="AM3963" i="1" s="1"/>
  <c r="AT3963" i="1"/>
  <c r="AO3963" i="1" s="1"/>
  <c r="AQ3963" i="1"/>
  <c r="AL3963" i="1" s="1"/>
  <c r="AS3959" i="1"/>
  <c r="AN3959" i="1" s="1"/>
  <c r="AT3959" i="1"/>
  <c r="AO3959" i="1" s="1"/>
  <c r="AR3959" i="1"/>
  <c r="AM3959" i="1" s="1"/>
  <c r="AQ3959" i="1"/>
  <c r="AL3959" i="1" s="1"/>
  <c r="AS3955" i="1"/>
  <c r="AN3955" i="1" s="1"/>
  <c r="AR3955" i="1"/>
  <c r="AM3955" i="1" s="1"/>
  <c r="AT3955" i="1"/>
  <c r="AO3955" i="1" s="1"/>
  <c r="AQ3955" i="1"/>
  <c r="AL3955" i="1" s="1"/>
  <c r="AS3951" i="1"/>
  <c r="AN3951" i="1" s="1"/>
  <c r="AT3951" i="1"/>
  <c r="AO3951" i="1" s="1"/>
  <c r="AR3951" i="1"/>
  <c r="AM3951" i="1" s="1"/>
  <c r="AQ3951" i="1"/>
  <c r="AL3951" i="1" s="1"/>
  <c r="AS3947" i="1"/>
  <c r="AN3947" i="1" s="1"/>
  <c r="AR3947" i="1"/>
  <c r="AM3947" i="1" s="1"/>
  <c r="AQ3947" i="1"/>
  <c r="AL3947" i="1" s="1"/>
  <c r="AT3947" i="1"/>
  <c r="AO3947" i="1" s="1"/>
  <c r="AS3943" i="1"/>
  <c r="AN3943" i="1" s="1"/>
  <c r="AT3943" i="1"/>
  <c r="AO3943" i="1" s="1"/>
  <c r="AR3943" i="1"/>
  <c r="AM3943" i="1" s="1"/>
  <c r="AQ3943" i="1"/>
  <c r="AL3943" i="1" s="1"/>
  <c r="AS3939" i="1"/>
  <c r="AN3939" i="1" s="1"/>
  <c r="AT3939" i="1"/>
  <c r="AO3939" i="1" s="1"/>
  <c r="AR3939" i="1"/>
  <c r="AM3939" i="1" s="1"/>
  <c r="AQ3939" i="1"/>
  <c r="AL3939" i="1" s="1"/>
  <c r="AS3935" i="1"/>
  <c r="AN3935" i="1" s="1"/>
  <c r="AR3935" i="1"/>
  <c r="AM3935" i="1" s="1"/>
  <c r="AT3935" i="1"/>
  <c r="AO3935" i="1" s="1"/>
  <c r="AQ3935" i="1"/>
  <c r="AL3935" i="1" s="1"/>
  <c r="AS3931" i="1"/>
  <c r="AN3931" i="1" s="1"/>
  <c r="AT3931" i="1"/>
  <c r="AO3931" i="1" s="1"/>
  <c r="AR3931" i="1"/>
  <c r="AM3931" i="1" s="1"/>
  <c r="AQ3931" i="1"/>
  <c r="AL3931" i="1" s="1"/>
  <c r="AS3927" i="1"/>
  <c r="AN3927" i="1" s="1"/>
  <c r="AT3927" i="1"/>
  <c r="AO3927" i="1" s="1"/>
  <c r="AR3927" i="1"/>
  <c r="AM3927" i="1" s="1"/>
  <c r="AQ3927" i="1"/>
  <c r="AL3927" i="1" s="1"/>
  <c r="AS3923" i="1"/>
  <c r="AN3923" i="1" s="1"/>
  <c r="AT3923" i="1"/>
  <c r="AO3923" i="1" s="1"/>
  <c r="AR3923" i="1"/>
  <c r="AM3923" i="1" s="1"/>
  <c r="AQ3923" i="1"/>
  <c r="AL3923" i="1" s="1"/>
  <c r="AS3919" i="1"/>
  <c r="AN3919" i="1" s="1"/>
  <c r="AR3919" i="1"/>
  <c r="AM3919" i="1" s="1"/>
  <c r="AT3919" i="1"/>
  <c r="AO3919" i="1" s="1"/>
  <c r="AQ3919" i="1"/>
  <c r="AL3919" i="1" s="1"/>
  <c r="AS3915" i="1"/>
  <c r="AN3915" i="1" s="1"/>
  <c r="AR3915" i="1"/>
  <c r="AM3915" i="1" s="1"/>
  <c r="AQ3915" i="1"/>
  <c r="AL3915" i="1" s="1"/>
  <c r="AT3915" i="1"/>
  <c r="AO3915" i="1" s="1"/>
  <c r="AS3911" i="1"/>
  <c r="AN3911" i="1" s="1"/>
  <c r="AT3911" i="1"/>
  <c r="AO3911" i="1" s="1"/>
  <c r="AR3911" i="1"/>
  <c r="AM3911" i="1" s="1"/>
  <c r="AQ3911" i="1"/>
  <c r="AL3911" i="1" s="1"/>
  <c r="AS3907" i="1"/>
  <c r="AN3907" i="1" s="1"/>
  <c r="AT3907" i="1"/>
  <c r="AO3907" i="1" s="1"/>
  <c r="AR3907" i="1"/>
  <c r="AM3907" i="1" s="1"/>
  <c r="AQ3907" i="1"/>
  <c r="AL3907" i="1" s="1"/>
  <c r="AS3903" i="1"/>
  <c r="AN3903" i="1" s="1"/>
  <c r="AR3903" i="1"/>
  <c r="AM3903" i="1" s="1"/>
  <c r="AT3903" i="1"/>
  <c r="AO3903" i="1" s="1"/>
  <c r="AQ3903" i="1"/>
  <c r="AL3903" i="1" s="1"/>
  <c r="AS3899" i="1"/>
  <c r="AN3899" i="1" s="1"/>
  <c r="AT3899" i="1"/>
  <c r="AO3899" i="1" s="1"/>
  <c r="AR3899" i="1"/>
  <c r="AM3899" i="1" s="1"/>
  <c r="AQ3899" i="1"/>
  <c r="AL3899" i="1" s="1"/>
  <c r="AS3895" i="1"/>
  <c r="AN3895" i="1" s="1"/>
  <c r="AT3895" i="1"/>
  <c r="AO3895" i="1" s="1"/>
  <c r="AR3895" i="1"/>
  <c r="AM3895" i="1" s="1"/>
  <c r="AQ3895" i="1"/>
  <c r="AL3895" i="1" s="1"/>
  <c r="AS3891" i="1"/>
  <c r="AN3891" i="1" s="1"/>
  <c r="AT3891" i="1"/>
  <c r="AO3891" i="1" s="1"/>
  <c r="AR3891" i="1"/>
  <c r="AM3891" i="1" s="1"/>
  <c r="AQ3891" i="1"/>
  <c r="AL3891" i="1" s="1"/>
  <c r="AS3887" i="1"/>
  <c r="AN3887" i="1" s="1"/>
  <c r="AR3887" i="1"/>
  <c r="AM3887" i="1" s="1"/>
  <c r="AQ3887" i="1"/>
  <c r="AL3887" i="1" s="1"/>
  <c r="AT3887" i="1"/>
  <c r="AO3887" i="1" s="1"/>
  <c r="AS3883" i="1"/>
  <c r="AN3883" i="1" s="1"/>
  <c r="AR3883" i="1"/>
  <c r="AM3883" i="1" s="1"/>
  <c r="AT3883" i="1"/>
  <c r="AO3883" i="1" s="1"/>
  <c r="AQ3883" i="1"/>
  <c r="AL3883" i="1" s="1"/>
  <c r="AS3879" i="1"/>
  <c r="AN3879" i="1" s="1"/>
  <c r="AT3879" i="1"/>
  <c r="AO3879" i="1" s="1"/>
  <c r="AR3879" i="1"/>
  <c r="AM3879" i="1" s="1"/>
  <c r="AQ3879" i="1"/>
  <c r="AL3879" i="1" s="1"/>
  <c r="U4003" i="1"/>
  <c r="W4003" i="1" s="1"/>
  <c r="U3991" i="1"/>
  <c r="W3991" i="1" s="1"/>
  <c r="U3979" i="1"/>
  <c r="W3979" i="1" s="1"/>
  <c r="U3971" i="1"/>
  <c r="W3971" i="1" s="1"/>
  <c r="U3963" i="1"/>
  <c r="W3963" i="1" s="1"/>
  <c r="U3935" i="1"/>
  <c r="W3935" i="1" s="1"/>
  <c r="U3923" i="1"/>
  <c r="W3923" i="1" s="1"/>
  <c r="U3915" i="1"/>
  <c r="W3915" i="1" s="1"/>
  <c r="U3907" i="1"/>
  <c r="W3907" i="1" s="1"/>
  <c r="U3903" i="1"/>
  <c r="W3903" i="1" s="1"/>
  <c r="U3899" i="1"/>
  <c r="W3899" i="1" s="1"/>
  <c r="U3895" i="1"/>
  <c r="W3895" i="1" s="1"/>
  <c r="U4018" i="1"/>
  <c r="W4018" i="1" s="1"/>
  <c r="U3876" i="1"/>
  <c r="W3876" i="1" s="1"/>
  <c r="U3875" i="1"/>
  <c r="W3875" i="1" s="1"/>
  <c r="U3863" i="1"/>
  <c r="W3863" i="1" s="1"/>
  <c r="U3807" i="1"/>
  <c r="W3807" i="1" s="1"/>
  <c r="U3795" i="1"/>
  <c r="W3795" i="1" s="1"/>
  <c r="U3775" i="1"/>
  <c r="W3775" i="1" s="1"/>
  <c r="AT3874" i="1"/>
  <c r="AO3874" i="1" s="1"/>
  <c r="AS3874" i="1"/>
  <c r="AN3874" i="1" s="1"/>
  <c r="AQ3874" i="1"/>
  <c r="AL3874" i="1" s="1"/>
  <c r="AR3874" i="1"/>
  <c r="AM3874" i="1" s="1"/>
  <c r="AT3870" i="1"/>
  <c r="AO3870" i="1" s="1"/>
  <c r="AQ3870" i="1"/>
  <c r="AL3870" i="1" s="1"/>
  <c r="AR3870" i="1"/>
  <c r="AM3870" i="1" s="1"/>
  <c r="AS3870" i="1"/>
  <c r="AN3870" i="1" s="1"/>
  <c r="AT3866" i="1"/>
  <c r="AO3866" i="1" s="1"/>
  <c r="AQ3866" i="1"/>
  <c r="AL3866" i="1" s="1"/>
  <c r="AS3866" i="1"/>
  <c r="AN3866" i="1" s="1"/>
  <c r="AR3866" i="1"/>
  <c r="AM3866" i="1" s="1"/>
  <c r="AT3862" i="1"/>
  <c r="AO3862" i="1" s="1"/>
  <c r="AS3862" i="1"/>
  <c r="AN3862" i="1" s="1"/>
  <c r="AQ3862" i="1"/>
  <c r="AL3862" i="1" s="1"/>
  <c r="AR3862" i="1"/>
  <c r="AM3862" i="1" s="1"/>
  <c r="AT3858" i="1"/>
  <c r="AO3858" i="1" s="1"/>
  <c r="AS3858" i="1"/>
  <c r="AN3858" i="1" s="1"/>
  <c r="AQ3858" i="1"/>
  <c r="AL3858" i="1" s="1"/>
  <c r="AR3858" i="1"/>
  <c r="AM3858" i="1" s="1"/>
  <c r="AT3854" i="1"/>
  <c r="AO3854" i="1" s="1"/>
  <c r="AQ3854" i="1"/>
  <c r="AL3854" i="1" s="1"/>
  <c r="AR3854" i="1"/>
  <c r="AM3854" i="1" s="1"/>
  <c r="AS3854" i="1"/>
  <c r="AN3854" i="1" s="1"/>
  <c r="AT3850" i="1"/>
  <c r="AO3850" i="1" s="1"/>
  <c r="AQ3850" i="1"/>
  <c r="AL3850" i="1" s="1"/>
  <c r="AS3850" i="1"/>
  <c r="AN3850" i="1" s="1"/>
  <c r="AR3850" i="1"/>
  <c r="AM3850" i="1" s="1"/>
  <c r="AT3846" i="1"/>
  <c r="AO3846" i="1" s="1"/>
  <c r="AS3846" i="1"/>
  <c r="AN3846" i="1" s="1"/>
  <c r="AQ3846" i="1"/>
  <c r="AL3846" i="1" s="1"/>
  <c r="AR3846" i="1"/>
  <c r="AM3846" i="1" s="1"/>
  <c r="AT3842" i="1"/>
  <c r="AO3842" i="1" s="1"/>
  <c r="AS3842" i="1"/>
  <c r="AN3842" i="1" s="1"/>
  <c r="AQ3842" i="1"/>
  <c r="AL3842" i="1" s="1"/>
  <c r="AR3842" i="1"/>
  <c r="AM3842" i="1" s="1"/>
  <c r="AT3838" i="1"/>
  <c r="AO3838" i="1" s="1"/>
  <c r="AQ3838" i="1"/>
  <c r="AL3838" i="1" s="1"/>
  <c r="AR3838" i="1"/>
  <c r="AM3838" i="1" s="1"/>
  <c r="AS3838" i="1"/>
  <c r="AN3838" i="1" s="1"/>
  <c r="AT3834" i="1"/>
  <c r="AO3834" i="1" s="1"/>
  <c r="AQ3834" i="1"/>
  <c r="AL3834" i="1" s="1"/>
  <c r="AS3834" i="1"/>
  <c r="AN3834" i="1" s="1"/>
  <c r="AR3834" i="1"/>
  <c r="AM3834" i="1" s="1"/>
  <c r="AT3830" i="1"/>
  <c r="AO3830" i="1" s="1"/>
  <c r="AS3830" i="1"/>
  <c r="AN3830" i="1" s="1"/>
  <c r="AQ3830" i="1"/>
  <c r="AL3830" i="1" s="1"/>
  <c r="AR3830" i="1"/>
  <c r="AM3830" i="1" s="1"/>
  <c r="AT3826" i="1"/>
  <c r="AO3826" i="1" s="1"/>
  <c r="AS3826" i="1"/>
  <c r="AN3826" i="1" s="1"/>
  <c r="AQ3826" i="1"/>
  <c r="AL3826" i="1" s="1"/>
  <c r="AR3826" i="1"/>
  <c r="AM3826" i="1" s="1"/>
  <c r="AT3822" i="1"/>
  <c r="AO3822" i="1" s="1"/>
  <c r="AQ3822" i="1"/>
  <c r="AL3822" i="1" s="1"/>
  <c r="AR3822" i="1"/>
  <c r="AM3822" i="1" s="1"/>
  <c r="AS3822" i="1"/>
  <c r="AN3822" i="1" s="1"/>
  <c r="AT3818" i="1"/>
  <c r="AO3818" i="1" s="1"/>
  <c r="AQ3818" i="1"/>
  <c r="AL3818" i="1" s="1"/>
  <c r="AS3818" i="1"/>
  <c r="AN3818" i="1" s="1"/>
  <c r="AR3818" i="1"/>
  <c r="AM3818" i="1" s="1"/>
  <c r="AT3814" i="1"/>
  <c r="AO3814" i="1" s="1"/>
  <c r="AS3814" i="1"/>
  <c r="AN3814" i="1" s="1"/>
  <c r="AQ3814" i="1"/>
  <c r="AL3814" i="1" s="1"/>
  <c r="AR3814" i="1"/>
  <c r="AM3814" i="1" s="1"/>
  <c r="AT3810" i="1"/>
  <c r="AO3810" i="1" s="1"/>
  <c r="AR3810" i="1"/>
  <c r="AM3810" i="1" s="1"/>
  <c r="AS3810" i="1"/>
  <c r="AN3810" i="1" s="1"/>
  <c r="AQ3810" i="1"/>
  <c r="AL3810" i="1" s="1"/>
  <c r="AT3806" i="1"/>
  <c r="AO3806" i="1" s="1"/>
  <c r="AR3806" i="1"/>
  <c r="AM3806" i="1" s="1"/>
  <c r="AQ3806" i="1"/>
  <c r="AL3806" i="1" s="1"/>
  <c r="AS3806" i="1"/>
  <c r="AN3806" i="1" s="1"/>
  <c r="AT3802" i="1"/>
  <c r="AO3802" i="1" s="1"/>
  <c r="AR3802" i="1"/>
  <c r="AM3802" i="1" s="1"/>
  <c r="AQ3802" i="1"/>
  <c r="AL3802" i="1" s="1"/>
  <c r="AS3802" i="1"/>
  <c r="AN3802" i="1" s="1"/>
  <c r="AT3798" i="1"/>
  <c r="AO3798" i="1" s="1"/>
  <c r="AR3798" i="1"/>
  <c r="AM3798" i="1" s="1"/>
  <c r="AS3798" i="1"/>
  <c r="AN3798" i="1" s="1"/>
  <c r="AQ3798" i="1"/>
  <c r="AL3798" i="1" s="1"/>
  <c r="AT3794" i="1"/>
  <c r="AO3794" i="1" s="1"/>
  <c r="AR3794" i="1"/>
  <c r="AM3794" i="1" s="1"/>
  <c r="AS3794" i="1"/>
  <c r="AN3794" i="1" s="1"/>
  <c r="AQ3794" i="1"/>
  <c r="AL3794" i="1" s="1"/>
  <c r="AT3790" i="1"/>
  <c r="AO3790" i="1" s="1"/>
  <c r="AR3790" i="1"/>
  <c r="AM3790" i="1" s="1"/>
  <c r="AQ3790" i="1"/>
  <c r="AL3790" i="1" s="1"/>
  <c r="AS3790" i="1"/>
  <c r="AN3790" i="1" s="1"/>
  <c r="AT3786" i="1"/>
  <c r="AO3786" i="1" s="1"/>
  <c r="AR3786" i="1"/>
  <c r="AM3786" i="1" s="1"/>
  <c r="AQ3786" i="1"/>
  <c r="AL3786" i="1" s="1"/>
  <c r="AS3786" i="1"/>
  <c r="AN3786" i="1" s="1"/>
  <c r="AT3782" i="1"/>
  <c r="AO3782" i="1" s="1"/>
  <c r="AR3782" i="1"/>
  <c r="AM3782" i="1" s="1"/>
  <c r="AS3782" i="1"/>
  <c r="AN3782" i="1" s="1"/>
  <c r="AQ3782" i="1"/>
  <c r="AL3782" i="1" s="1"/>
  <c r="AT3778" i="1"/>
  <c r="AO3778" i="1" s="1"/>
  <c r="AR3778" i="1"/>
  <c r="AM3778" i="1" s="1"/>
  <c r="AS3778" i="1"/>
  <c r="AN3778" i="1" s="1"/>
  <c r="AQ3778" i="1"/>
  <c r="AL3778" i="1" s="1"/>
  <c r="AT3774" i="1"/>
  <c r="AO3774" i="1" s="1"/>
  <c r="AR3774" i="1"/>
  <c r="AM3774" i="1" s="1"/>
  <c r="AQ3774" i="1"/>
  <c r="AL3774" i="1" s="1"/>
  <c r="AS3774" i="1"/>
  <c r="AN3774" i="1" s="1"/>
  <c r="AT3770" i="1"/>
  <c r="AO3770" i="1" s="1"/>
  <c r="AR3770" i="1"/>
  <c r="AM3770" i="1" s="1"/>
  <c r="AQ3770" i="1"/>
  <c r="AL3770" i="1" s="1"/>
  <c r="AS3770" i="1"/>
  <c r="AN3770" i="1" s="1"/>
  <c r="AT3766" i="1"/>
  <c r="AO3766" i="1" s="1"/>
  <c r="AR3766" i="1"/>
  <c r="AM3766" i="1" s="1"/>
  <c r="AS3766" i="1"/>
  <c r="AN3766" i="1" s="1"/>
  <c r="AQ3766" i="1"/>
  <c r="AL3766" i="1" s="1"/>
  <c r="AT3762" i="1"/>
  <c r="AO3762" i="1" s="1"/>
  <c r="AR3762" i="1"/>
  <c r="AM3762" i="1" s="1"/>
  <c r="AS3762" i="1"/>
  <c r="AN3762" i="1" s="1"/>
  <c r="AQ3762" i="1"/>
  <c r="AL3762" i="1" s="1"/>
  <c r="AT3758" i="1"/>
  <c r="AO3758" i="1" s="1"/>
  <c r="AR3758" i="1"/>
  <c r="AM3758" i="1" s="1"/>
  <c r="AQ3758" i="1"/>
  <c r="AL3758" i="1" s="1"/>
  <c r="AS3758" i="1"/>
  <c r="AN3758" i="1" s="1"/>
  <c r="AT3754" i="1"/>
  <c r="AO3754" i="1" s="1"/>
  <c r="AR3754" i="1"/>
  <c r="AM3754" i="1" s="1"/>
  <c r="AQ3754" i="1"/>
  <c r="AL3754" i="1" s="1"/>
  <c r="AS3754" i="1"/>
  <c r="AN3754" i="1" s="1"/>
  <c r="AT3750" i="1"/>
  <c r="AO3750" i="1" s="1"/>
  <c r="AR3750" i="1"/>
  <c r="AM3750" i="1" s="1"/>
  <c r="AS3750" i="1"/>
  <c r="AN3750" i="1" s="1"/>
  <c r="AQ3750" i="1"/>
  <c r="AL3750" i="1" s="1"/>
  <c r="AT3746" i="1"/>
  <c r="AO3746" i="1" s="1"/>
  <c r="AR3746" i="1"/>
  <c r="AM3746" i="1" s="1"/>
  <c r="AS3746" i="1"/>
  <c r="AN3746" i="1" s="1"/>
  <c r="AQ3746" i="1"/>
  <c r="AL3746" i="1" s="1"/>
  <c r="U3850" i="1"/>
  <c r="W3850" i="1" s="1"/>
  <c r="U3838" i="1"/>
  <c r="W3838" i="1" s="1"/>
  <c r="AS3877" i="1"/>
  <c r="AN3877" i="1" s="1"/>
  <c r="AQ3877" i="1"/>
  <c r="AL3877" i="1" s="1"/>
  <c r="AR3877" i="1"/>
  <c r="AM3877" i="1" s="1"/>
  <c r="AT3877" i="1"/>
  <c r="AO3877" i="1" s="1"/>
  <c r="AS3873" i="1"/>
  <c r="AN3873" i="1" s="1"/>
  <c r="AQ3873" i="1"/>
  <c r="AL3873" i="1" s="1"/>
  <c r="AR3873" i="1"/>
  <c r="AM3873" i="1" s="1"/>
  <c r="AT3873" i="1"/>
  <c r="AO3873" i="1" s="1"/>
  <c r="AS3869" i="1"/>
  <c r="AN3869" i="1" s="1"/>
  <c r="AQ3869" i="1"/>
  <c r="AL3869" i="1" s="1"/>
  <c r="AT3869" i="1"/>
  <c r="AO3869" i="1" s="1"/>
  <c r="AR3869" i="1"/>
  <c r="AM3869" i="1" s="1"/>
  <c r="AS3865" i="1"/>
  <c r="AN3865" i="1" s="1"/>
  <c r="AT3865" i="1"/>
  <c r="AO3865" i="1" s="1"/>
  <c r="AQ3865" i="1"/>
  <c r="AL3865" i="1" s="1"/>
  <c r="AR3865" i="1"/>
  <c r="AM3865" i="1" s="1"/>
  <c r="AS3861" i="1"/>
  <c r="AN3861" i="1" s="1"/>
  <c r="AQ3861" i="1"/>
  <c r="AL3861" i="1" s="1"/>
  <c r="AR3861" i="1"/>
  <c r="AM3861" i="1" s="1"/>
  <c r="AT3861" i="1"/>
  <c r="AO3861" i="1" s="1"/>
  <c r="AS3857" i="1"/>
  <c r="AN3857" i="1" s="1"/>
  <c r="AQ3857" i="1"/>
  <c r="AL3857" i="1" s="1"/>
  <c r="AR3857" i="1"/>
  <c r="AM3857" i="1" s="1"/>
  <c r="AT3857" i="1"/>
  <c r="AO3857" i="1" s="1"/>
  <c r="AS3853" i="1"/>
  <c r="AN3853" i="1" s="1"/>
  <c r="AQ3853" i="1"/>
  <c r="AL3853" i="1" s="1"/>
  <c r="AT3853" i="1"/>
  <c r="AO3853" i="1" s="1"/>
  <c r="AR3853" i="1"/>
  <c r="AM3853" i="1" s="1"/>
  <c r="AS3849" i="1"/>
  <c r="AN3849" i="1" s="1"/>
  <c r="AT3849" i="1"/>
  <c r="AO3849" i="1" s="1"/>
  <c r="AQ3849" i="1"/>
  <c r="AL3849" i="1" s="1"/>
  <c r="AR3849" i="1"/>
  <c r="AM3849" i="1" s="1"/>
  <c r="AS3845" i="1"/>
  <c r="AN3845" i="1" s="1"/>
  <c r="AQ3845" i="1"/>
  <c r="AL3845" i="1" s="1"/>
  <c r="AR3845" i="1"/>
  <c r="AM3845" i="1" s="1"/>
  <c r="AT3845" i="1"/>
  <c r="AO3845" i="1" s="1"/>
  <c r="AS3841" i="1"/>
  <c r="AN3841" i="1" s="1"/>
  <c r="AQ3841" i="1"/>
  <c r="AL3841" i="1" s="1"/>
  <c r="AR3841" i="1"/>
  <c r="AM3841" i="1" s="1"/>
  <c r="AT3841" i="1"/>
  <c r="AO3841" i="1" s="1"/>
  <c r="AS3837" i="1"/>
  <c r="AN3837" i="1" s="1"/>
  <c r="AQ3837" i="1"/>
  <c r="AL3837" i="1" s="1"/>
  <c r="AT3837" i="1"/>
  <c r="AO3837" i="1" s="1"/>
  <c r="AR3837" i="1"/>
  <c r="AM3837" i="1" s="1"/>
  <c r="AS3833" i="1"/>
  <c r="AN3833" i="1" s="1"/>
  <c r="AT3833" i="1"/>
  <c r="AO3833" i="1" s="1"/>
  <c r="AQ3833" i="1"/>
  <c r="AL3833" i="1" s="1"/>
  <c r="AR3833" i="1"/>
  <c r="AM3833" i="1" s="1"/>
  <c r="AS3829" i="1"/>
  <c r="AN3829" i="1" s="1"/>
  <c r="AQ3829" i="1"/>
  <c r="AL3829" i="1" s="1"/>
  <c r="AR3829" i="1"/>
  <c r="AM3829" i="1" s="1"/>
  <c r="AT3829" i="1"/>
  <c r="AO3829" i="1" s="1"/>
  <c r="AS3825" i="1"/>
  <c r="AN3825" i="1" s="1"/>
  <c r="AQ3825" i="1"/>
  <c r="AL3825" i="1" s="1"/>
  <c r="AR3825" i="1"/>
  <c r="AM3825" i="1" s="1"/>
  <c r="AT3825" i="1"/>
  <c r="AO3825" i="1" s="1"/>
  <c r="AS3821" i="1"/>
  <c r="AN3821" i="1" s="1"/>
  <c r="AQ3821" i="1"/>
  <c r="AL3821" i="1" s="1"/>
  <c r="AT3821" i="1"/>
  <c r="AO3821" i="1" s="1"/>
  <c r="AR3821" i="1"/>
  <c r="AM3821" i="1" s="1"/>
  <c r="AS3817" i="1"/>
  <c r="AN3817" i="1" s="1"/>
  <c r="AT3817" i="1"/>
  <c r="AO3817" i="1" s="1"/>
  <c r="AQ3817" i="1"/>
  <c r="AL3817" i="1" s="1"/>
  <c r="AR3817" i="1"/>
  <c r="AM3817" i="1" s="1"/>
  <c r="AS3813" i="1"/>
  <c r="AN3813" i="1" s="1"/>
  <c r="AQ3813" i="1"/>
  <c r="AL3813" i="1" s="1"/>
  <c r="AR3813" i="1"/>
  <c r="AM3813" i="1" s="1"/>
  <c r="AT3813" i="1"/>
  <c r="AO3813" i="1" s="1"/>
  <c r="AS3809" i="1"/>
  <c r="AN3809" i="1" s="1"/>
  <c r="AQ3809" i="1"/>
  <c r="AL3809" i="1" s="1"/>
  <c r="AT3809" i="1"/>
  <c r="AO3809" i="1" s="1"/>
  <c r="AR3809" i="1"/>
  <c r="AM3809" i="1" s="1"/>
  <c r="AS3805" i="1"/>
  <c r="AN3805" i="1" s="1"/>
  <c r="AQ3805" i="1"/>
  <c r="AL3805" i="1" s="1"/>
  <c r="AT3805" i="1"/>
  <c r="AO3805" i="1" s="1"/>
  <c r="AR3805" i="1"/>
  <c r="AM3805" i="1" s="1"/>
  <c r="AS3801" i="1"/>
  <c r="AN3801" i="1" s="1"/>
  <c r="AT3801" i="1"/>
  <c r="AO3801" i="1" s="1"/>
  <c r="AQ3801" i="1"/>
  <c r="AL3801" i="1" s="1"/>
  <c r="AR3801" i="1"/>
  <c r="AM3801" i="1" s="1"/>
  <c r="AS3797" i="1"/>
  <c r="AN3797" i="1" s="1"/>
  <c r="AQ3797" i="1"/>
  <c r="AL3797" i="1" s="1"/>
  <c r="AR3797" i="1"/>
  <c r="AM3797" i="1" s="1"/>
  <c r="AT3797" i="1"/>
  <c r="AO3797" i="1" s="1"/>
  <c r="AS3793" i="1"/>
  <c r="AN3793" i="1" s="1"/>
  <c r="AQ3793" i="1"/>
  <c r="AL3793" i="1" s="1"/>
  <c r="AT3793" i="1"/>
  <c r="AO3793" i="1" s="1"/>
  <c r="AR3793" i="1"/>
  <c r="AM3793" i="1" s="1"/>
  <c r="AS3789" i="1"/>
  <c r="AN3789" i="1" s="1"/>
  <c r="AQ3789" i="1"/>
  <c r="AL3789" i="1" s="1"/>
  <c r="AT3789" i="1"/>
  <c r="AO3789" i="1" s="1"/>
  <c r="AR3789" i="1"/>
  <c r="AM3789" i="1" s="1"/>
  <c r="AS3785" i="1"/>
  <c r="AN3785" i="1" s="1"/>
  <c r="AT3785" i="1"/>
  <c r="AO3785" i="1" s="1"/>
  <c r="AQ3785" i="1"/>
  <c r="AL3785" i="1" s="1"/>
  <c r="AR3785" i="1"/>
  <c r="AM3785" i="1" s="1"/>
  <c r="AS3781" i="1"/>
  <c r="AN3781" i="1" s="1"/>
  <c r="AQ3781" i="1"/>
  <c r="AL3781" i="1" s="1"/>
  <c r="AR3781" i="1"/>
  <c r="AM3781" i="1" s="1"/>
  <c r="AT3781" i="1"/>
  <c r="AO3781" i="1" s="1"/>
  <c r="AS3777" i="1"/>
  <c r="AN3777" i="1" s="1"/>
  <c r="AQ3777" i="1"/>
  <c r="AL3777" i="1" s="1"/>
  <c r="AT3777" i="1"/>
  <c r="AO3777" i="1" s="1"/>
  <c r="AR3777" i="1"/>
  <c r="AM3777" i="1" s="1"/>
  <c r="AS3773" i="1"/>
  <c r="AN3773" i="1" s="1"/>
  <c r="AQ3773" i="1"/>
  <c r="AL3773" i="1" s="1"/>
  <c r="AT3773" i="1"/>
  <c r="AO3773" i="1" s="1"/>
  <c r="AR3773" i="1"/>
  <c r="AM3773" i="1" s="1"/>
  <c r="AS3769" i="1"/>
  <c r="AN3769" i="1" s="1"/>
  <c r="AT3769" i="1"/>
  <c r="AO3769" i="1" s="1"/>
  <c r="AQ3769" i="1"/>
  <c r="AL3769" i="1" s="1"/>
  <c r="AR3769" i="1"/>
  <c r="AM3769" i="1" s="1"/>
  <c r="AS3765" i="1"/>
  <c r="AN3765" i="1" s="1"/>
  <c r="AQ3765" i="1"/>
  <c r="AL3765" i="1" s="1"/>
  <c r="AR3765" i="1"/>
  <c r="AM3765" i="1" s="1"/>
  <c r="AT3765" i="1"/>
  <c r="AO3765" i="1" s="1"/>
  <c r="AS3761" i="1"/>
  <c r="AN3761" i="1" s="1"/>
  <c r="AQ3761" i="1"/>
  <c r="AL3761" i="1" s="1"/>
  <c r="AT3761" i="1"/>
  <c r="AO3761" i="1" s="1"/>
  <c r="AR3761" i="1"/>
  <c r="AM3761" i="1" s="1"/>
  <c r="AS3757" i="1"/>
  <c r="AN3757" i="1" s="1"/>
  <c r="AQ3757" i="1"/>
  <c r="AL3757" i="1" s="1"/>
  <c r="AT3757" i="1"/>
  <c r="AO3757" i="1" s="1"/>
  <c r="AR3757" i="1"/>
  <c r="AM3757" i="1" s="1"/>
  <c r="AR3753" i="1"/>
  <c r="AM3753" i="1" s="1"/>
  <c r="AS3753" i="1"/>
  <c r="AN3753" i="1" s="1"/>
  <c r="AT3753" i="1"/>
  <c r="AO3753" i="1" s="1"/>
  <c r="AQ3753" i="1"/>
  <c r="AL3753" i="1" s="1"/>
  <c r="AR3749" i="1"/>
  <c r="AM3749" i="1" s="1"/>
  <c r="AS3749" i="1"/>
  <c r="AN3749" i="1" s="1"/>
  <c r="AQ3749" i="1"/>
  <c r="AL3749" i="1" s="1"/>
  <c r="AT3749" i="1"/>
  <c r="AO3749" i="1" s="1"/>
  <c r="AR3745" i="1"/>
  <c r="AM3745" i="1" s="1"/>
  <c r="AS3745" i="1"/>
  <c r="AN3745" i="1" s="1"/>
  <c r="AQ3745" i="1"/>
  <c r="AL3745" i="1" s="1"/>
  <c r="AT3745" i="1"/>
  <c r="AO3745" i="1" s="1"/>
  <c r="U3830" i="1"/>
  <c r="W3830" i="1" s="1"/>
  <c r="U3822" i="1"/>
  <c r="W3822" i="1" s="1"/>
  <c r="U3794" i="1"/>
  <c r="W3794" i="1" s="1"/>
  <c r="U3782" i="1"/>
  <c r="W3782" i="1" s="1"/>
  <c r="U3774" i="1"/>
  <c r="W3774" i="1" s="1"/>
  <c r="U3766" i="1"/>
  <c r="W3766" i="1" s="1"/>
  <c r="U3762" i="1"/>
  <c r="W3762" i="1" s="1"/>
  <c r="U3758" i="1"/>
  <c r="W3758" i="1" s="1"/>
  <c r="U3754" i="1"/>
  <c r="W3754" i="1" s="1"/>
  <c r="AS3876" i="1"/>
  <c r="AN3876" i="1" s="1"/>
  <c r="AT3876" i="1"/>
  <c r="AO3876" i="1" s="1"/>
  <c r="AR3876" i="1"/>
  <c r="AM3876" i="1" s="1"/>
  <c r="AQ3876" i="1"/>
  <c r="AL3876" i="1" s="1"/>
  <c r="AS3872" i="1"/>
  <c r="AN3872" i="1" s="1"/>
  <c r="AT3872" i="1"/>
  <c r="AO3872" i="1" s="1"/>
  <c r="AR3872" i="1"/>
  <c r="AM3872" i="1" s="1"/>
  <c r="AQ3872" i="1"/>
  <c r="AL3872" i="1" s="1"/>
  <c r="AS3868" i="1"/>
  <c r="AN3868" i="1" s="1"/>
  <c r="AT3868" i="1"/>
  <c r="AO3868" i="1" s="1"/>
  <c r="AR3868" i="1"/>
  <c r="AM3868" i="1" s="1"/>
  <c r="AQ3868" i="1"/>
  <c r="AL3868" i="1" s="1"/>
  <c r="AS3864" i="1"/>
  <c r="AN3864" i="1" s="1"/>
  <c r="AT3864" i="1"/>
  <c r="AO3864" i="1" s="1"/>
  <c r="AR3864" i="1"/>
  <c r="AM3864" i="1" s="1"/>
  <c r="AQ3864" i="1"/>
  <c r="AL3864" i="1" s="1"/>
  <c r="AS3860" i="1"/>
  <c r="AN3860" i="1" s="1"/>
  <c r="AT3860" i="1"/>
  <c r="AO3860" i="1" s="1"/>
  <c r="AR3860" i="1"/>
  <c r="AM3860" i="1" s="1"/>
  <c r="AQ3860" i="1"/>
  <c r="AL3860" i="1" s="1"/>
  <c r="AS3856" i="1"/>
  <c r="AN3856" i="1" s="1"/>
  <c r="AT3856" i="1"/>
  <c r="AO3856" i="1" s="1"/>
  <c r="AR3856" i="1"/>
  <c r="AM3856" i="1" s="1"/>
  <c r="AQ3856" i="1"/>
  <c r="AL3856" i="1" s="1"/>
  <c r="AS3852" i="1"/>
  <c r="AN3852" i="1" s="1"/>
  <c r="AT3852" i="1"/>
  <c r="AO3852" i="1" s="1"/>
  <c r="AR3852" i="1"/>
  <c r="AM3852" i="1" s="1"/>
  <c r="AQ3852" i="1"/>
  <c r="AL3852" i="1" s="1"/>
  <c r="AS3848" i="1"/>
  <c r="AN3848" i="1" s="1"/>
  <c r="AT3848" i="1"/>
  <c r="AO3848" i="1" s="1"/>
  <c r="AR3848" i="1"/>
  <c r="AM3848" i="1" s="1"/>
  <c r="AQ3848" i="1"/>
  <c r="AL3848" i="1" s="1"/>
  <c r="AS3844" i="1"/>
  <c r="AN3844" i="1" s="1"/>
  <c r="AT3844" i="1"/>
  <c r="AO3844" i="1" s="1"/>
  <c r="AR3844" i="1"/>
  <c r="AM3844" i="1" s="1"/>
  <c r="AQ3844" i="1"/>
  <c r="AL3844" i="1" s="1"/>
  <c r="AS3840" i="1"/>
  <c r="AN3840" i="1" s="1"/>
  <c r="AT3840" i="1"/>
  <c r="AO3840" i="1" s="1"/>
  <c r="AR3840" i="1"/>
  <c r="AM3840" i="1" s="1"/>
  <c r="AQ3840" i="1"/>
  <c r="AL3840" i="1" s="1"/>
  <c r="AS3836" i="1"/>
  <c r="AN3836" i="1" s="1"/>
  <c r="AT3836" i="1"/>
  <c r="AO3836" i="1" s="1"/>
  <c r="AR3836" i="1"/>
  <c r="AM3836" i="1" s="1"/>
  <c r="AQ3836" i="1"/>
  <c r="AL3836" i="1" s="1"/>
  <c r="AS3832" i="1"/>
  <c r="AN3832" i="1" s="1"/>
  <c r="AT3832" i="1"/>
  <c r="AO3832" i="1" s="1"/>
  <c r="AR3832" i="1"/>
  <c r="AM3832" i="1" s="1"/>
  <c r="AQ3832" i="1"/>
  <c r="AL3832" i="1" s="1"/>
  <c r="AS3828" i="1"/>
  <c r="AN3828" i="1" s="1"/>
  <c r="AT3828" i="1"/>
  <c r="AO3828" i="1" s="1"/>
  <c r="AR3828" i="1"/>
  <c r="AM3828" i="1" s="1"/>
  <c r="AQ3828" i="1"/>
  <c r="AL3828" i="1" s="1"/>
  <c r="AS3824" i="1"/>
  <c r="AN3824" i="1" s="1"/>
  <c r="AT3824" i="1"/>
  <c r="AO3824" i="1" s="1"/>
  <c r="AR3824" i="1"/>
  <c r="AM3824" i="1" s="1"/>
  <c r="AQ3824" i="1"/>
  <c r="AL3824" i="1" s="1"/>
  <c r="AS3820" i="1"/>
  <c r="AN3820" i="1" s="1"/>
  <c r="AT3820" i="1"/>
  <c r="AO3820" i="1" s="1"/>
  <c r="AR3820" i="1"/>
  <c r="AM3820" i="1" s="1"/>
  <c r="AQ3820" i="1"/>
  <c r="AL3820" i="1" s="1"/>
  <c r="AS3816" i="1"/>
  <c r="AN3816" i="1" s="1"/>
  <c r="AT3816" i="1"/>
  <c r="AO3816" i="1" s="1"/>
  <c r="AR3816" i="1"/>
  <c r="AM3816" i="1" s="1"/>
  <c r="AQ3816" i="1"/>
  <c r="AL3816" i="1" s="1"/>
  <c r="AR3812" i="1"/>
  <c r="AM3812" i="1" s="1"/>
  <c r="AS3812" i="1"/>
  <c r="AN3812" i="1" s="1"/>
  <c r="AT3812" i="1"/>
  <c r="AO3812" i="1" s="1"/>
  <c r="AQ3812" i="1"/>
  <c r="AL3812" i="1" s="1"/>
  <c r="AR3808" i="1"/>
  <c r="AM3808" i="1" s="1"/>
  <c r="AS3808" i="1"/>
  <c r="AN3808" i="1" s="1"/>
  <c r="AT3808" i="1"/>
  <c r="AO3808" i="1" s="1"/>
  <c r="AQ3808" i="1"/>
  <c r="AL3808" i="1" s="1"/>
  <c r="AR3804" i="1"/>
  <c r="AM3804" i="1" s="1"/>
  <c r="AS3804" i="1"/>
  <c r="AN3804" i="1" s="1"/>
  <c r="AT3804" i="1"/>
  <c r="AO3804" i="1" s="1"/>
  <c r="AQ3804" i="1"/>
  <c r="AL3804" i="1" s="1"/>
  <c r="AR3800" i="1"/>
  <c r="AM3800" i="1" s="1"/>
  <c r="AS3800" i="1"/>
  <c r="AN3800" i="1" s="1"/>
  <c r="AT3800" i="1"/>
  <c r="AO3800" i="1" s="1"/>
  <c r="AQ3800" i="1"/>
  <c r="AL3800" i="1" s="1"/>
  <c r="AR3796" i="1"/>
  <c r="AM3796" i="1" s="1"/>
  <c r="AS3796" i="1"/>
  <c r="AN3796" i="1" s="1"/>
  <c r="AT3796" i="1"/>
  <c r="AO3796" i="1" s="1"/>
  <c r="AQ3796" i="1"/>
  <c r="AL3796" i="1" s="1"/>
  <c r="AR3792" i="1"/>
  <c r="AM3792" i="1" s="1"/>
  <c r="AS3792" i="1"/>
  <c r="AN3792" i="1" s="1"/>
  <c r="AT3792" i="1"/>
  <c r="AO3792" i="1" s="1"/>
  <c r="AQ3792" i="1"/>
  <c r="AL3792" i="1" s="1"/>
  <c r="AR3788" i="1"/>
  <c r="AM3788" i="1" s="1"/>
  <c r="AS3788" i="1"/>
  <c r="AN3788" i="1" s="1"/>
  <c r="AT3788" i="1"/>
  <c r="AO3788" i="1" s="1"/>
  <c r="AQ3788" i="1"/>
  <c r="AL3788" i="1" s="1"/>
  <c r="AR3784" i="1"/>
  <c r="AM3784" i="1" s="1"/>
  <c r="AS3784" i="1"/>
  <c r="AN3784" i="1" s="1"/>
  <c r="AT3784" i="1"/>
  <c r="AO3784" i="1" s="1"/>
  <c r="AQ3784" i="1"/>
  <c r="AL3784" i="1" s="1"/>
  <c r="AR3780" i="1"/>
  <c r="AM3780" i="1" s="1"/>
  <c r="AS3780" i="1"/>
  <c r="AN3780" i="1" s="1"/>
  <c r="AT3780" i="1"/>
  <c r="AO3780" i="1" s="1"/>
  <c r="AQ3780" i="1"/>
  <c r="AL3780" i="1" s="1"/>
  <c r="AR3776" i="1"/>
  <c r="AM3776" i="1" s="1"/>
  <c r="AS3776" i="1"/>
  <c r="AN3776" i="1" s="1"/>
  <c r="AT3776" i="1"/>
  <c r="AO3776" i="1" s="1"/>
  <c r="AQ3776" i="1"/>
  <c r="AL3776" i="1" s="1"/>
  <c r="AR3772" i="1"/>
  <c r="AM3772" i="1" s="1"/>
  <c r="AS3772" i="1"/>
  <c r="AN3772" i="1" s="1"/>
  <c r="AT3772" i="1"/>
  <c r="AO3772" i="1" s="1"/>
  <c r="AQ3772" i="1"/>
  <c r="AL3772" i="1" s="1"/>
  <c r="AR3768" i="1"/>
  <c r="AM3768" i="1" s="1"/>
  <c r="AS3768" i="1"/>
  <c r="AN3768" i="1" s="1"/>
  <c r="AT3768" i="1"/>
  <c r="AO3768" i="1" s="1"/>
  <c r="AQ3768" i="1"/>
  <c r="AL3768" i="1" s="1"/>
  <c r="AR3764" i="1"/>
  <c r="AM3764" i="1" s="1"/>
  <c r="AS3764" i="1"/>
  <c r="AN3764" i="1" s="1"/>
  <c r="AT3764" i="1"/>
  <c r="AO3764" i="1" s="1"/>
  <c r="AQ3764" i="1"/>
  <c r="AL3764" i="1" s="1"/>
  <c r="AR3760" i="1"/>
  <c r="AM3760" i="1" s="1"/>
  <c r="AS3760" i="1"/>
  <c r="AN3760" i="1" s="1"/>
  <c r="AT3760" i="1"/>
  <c r="AO3760" i="1" s="1"/>
  <c r="AQ3760" i="1"/>
  <c r="AL3760" i="1" s="1"/>
  <c r="AR3756" i="1"/>
  <c r="AM3756" i="1" s="1"/>
  <c r="AS3756" i="1"/>
  <c r="AN3756" i="1" s="1"/>
  <c r="AT3756" i="1"/>
  <c r="AO3756" i="1" s="1"/>
  <c r="AQ3756" i="1"/>
  <c r="AL3756" i="1" s="1"/>
  <c r="AR3752" i="1"/>
  <c r="AM3752" i="1" s="1"/>
  <c r="AS3752" i="1"/>
  <c r="AN3752" i="1" s="1"/>
  <c r="AT3752" i="1"/>
  <c r="AO3752" i="1" s="1"/>
  <c r="AQ3752" i="1"/>
  <c r="AL3752" i="1" s="1"/>
  <c r="AR3748" i="1"/>
  <c r="AM3748" i="1" s="1"/>
  <c r="AS3748" i="1"/>
  <c r="AN3748" i="1" s="1"/>
  <c r="AT3748" i="1"/>
  <c r="AO3748" i="1" s="1"/>
  <c r="AQ3748" i="1"/>
  <c r="AL3748" i="1" s="1"/>
  <c r="AR3744" i="1"/>
  <c r="AM3744" i="1" s="1"/>
  <c r="AS3744" i="1"/>
  <c r="AN3744" i="1" s="1"/>
  <c r="AT3744" i="1"/>
  <c r="AO3744" i="1" s="1"/>
  <c r="AQ3744" i="1"/>
  <c r="AL3744" i="1" s="1"/>
  <c r="U3837" i="1"/>
  <c r="W3837" i="1" s="1"/>
  <c r="U3829" i="1"/>
  <c r="W3829" i="1" s="1"/>
  <c r="U3821" i="1"/>
  <c r="W3821" i="1" s="1"/>
  <c r="U3809" i="1"/>
  <c r="W3809" i="1" s="1"/>
  <c r="U3781" i="1"/>
  <c r="W3781" i="1" s="1"/>
  <c r="U3765" i="1"/>
  <c r="W3765" i="1" s="1"/>
  <c r="U3761" i="1"/>
  <c r="W3761" i="1" s="1"/>
  <c r="U3757" i="1"/>
  <c r="W3757" i="1" s="1"/>
  <c r="U3753" i="1"/>
  <c r="W3753" i="1" s="1"/>
  <c r="AS3875" i="1"/>
  <c r="AN3875" i="1" s="1"/>
  <c r="AT3875" i="1"/>
  <c r="AO3875" i="1" s="1"/>
  <c r="AQ3875" i="1"/>
  <c r="AL3875" i="1" s="1"/>
  <c r="AR3875" i="1"/>
  <c r="AM3875" i="1" s="1"/>
  <c r="AS3871" i="1"/>
  <c r="AN3871" i="1" s="1"/>
  <c r="AT3871" i="1"/>
  <c r="AO3871" i="1" s="1"/>
  <c r="AQ3871" i="1"/>
  <c r="AL3871" i="1" s="1"/>
  <c r="AR3871" i="1"/>
  <c r="AM3871" i="1" s="1"/>
  <c r="AS3867" i="1"/>
  <c r="AN3867" i="1" s="1"/>
  <c r="AT3867" i="1"/>
  <c r="AO3867" i="1" s="1"/>
  <c r="AQ3867" i="1"/>
  <c r="AL3867" i="1" s="1"/>
  <c r="AR3867" i="1"/>
  <c r="AM3867" i="1" s="1"/>
  <c r="AS3863" i="1"/>
  <c r="AN3863" i="1" s="1"/>
  <c r="AT3863" i="1"/>
  <c r="AO3863" i="1" s="1"/>
  <c r="AQ3863" i="1"/>
  <c r="AL3863" i="1" s="1"/>
  <c r="AR3863" i="1"/>
  <c r="AM3863" i="1" s="1"/>
  <c r="AS3859" i="1"/>
  <c r="AN3859" i="1" s="1"/>
  <c r="AT3859" i="1"/>
  <c r="AO3859" i="1" s="1"/>
  <c r="AQ3859" i="1"/>
  <c r="AL3859" i="1" s="1"/>
  <c r="AR3859" i="1"/>
  <c r="AM3859" i="1" s="1"/>
  <c r="AS3855" i="1"/>
  <c r="AN3855" i="1" s="1"/>
  <c r="AT3855" i="1"/>
  <c r="AO3855" i="1" s="1"/>
  <c r="AQ3855" i="1"/>
  <c r="AL3855" i="1" s="1"/>
  <c r="AR3855" i="1"/>
  <c r="AM3855" i="1" s="1"/>
  <c r="AS3851" i="1"/>
  <c r="AN3851" i="1" s="1"/>
  <c r="AT3851" i="1"/>
  <c r="AO3851" i="1" s="1"/>
  <c r="AQ3851" i="1"/>
  <c r="AL3851" i="1" s="1"/>
  <c r="AR3851" i="1"/>
  <c r="AM3851" i="1" s="1"/>
  <c r="AS3847" i="1"/>
  <c r="AN3847" i="1" s="1"/>
  <c r="AT3847" i="1"/>
  <c r="AO3847" i="1" s="1"/>
  <c r="AQ3847" i="1"/>
  <c r="AL3847" i="1" s="1"/>
  <c r="AR3847" i="1"/>
  <c r="AM3847" i="1" s="1"/>
  <c r="AS3843" i="1"/>
  <c r="AN3843" i="1" s="1"/>
  <c r="AT3843" i="1"/>
  <c r="AO3843" i="1" s="1"/>
  <c r="AQ3843" i="1"/>
  <c r="AL3843" i="1" s="1"/>
  <c r="AR3843" i="1"/>
  <c r="AM3843" i="1" s="1"/>
  <c r="AS3839" i="1"/>
  <c r="AN3839" i="1" s="1"/>
  <c r="AT3839" i="1"/>
  <c r="AO3839" i="1" s="1"/>
  <c r="AQ3839" i="1"/>
  <c r="AL3839" i="1" s="1"/>
  <c r="AR3839" i="1"/>
  <c r="AM3839" i="1" s="1"/>
  <c r="AS3835" i="1"/>
  <c r="AN3835" i="1" s="1"/>
  <c r="AT3835" i="1"/>
  <c r="AO3835" i="1" s="1"/>
  <c r="AQ3835" i="1"/>
  <c r="AL3835" i="1" s="1"/>
  <c r="AR3835" i="1"/>
  <c r="AM3835" i="1" s="1"/>
  <c r="AS3831" i="1"/>
  <c r="AN3831" i="1" s="1"/>
  <c r="AT3831" i="1"/>
  <c r="AO3831" i="1" s="1"/>
  <c r="AQ3831" i="1"/>
  <c r="AL3831" i="1" s="1"/>
  <c r="AR3831" i="1"/>
  <c r="AM3831" i="1" s="1"/>
  <c r="AS3827" i="1"/>
  <c r="AN3827" i="1" s="1"/>
  <c r="AT3827" i="1"/>
  <c r="AO3827" i="1" s="1"/>
  <c r="AQ3827" i="1"/>
  <c r="AL3827" i="1" s="1"/>
  <c r="AR3827" i="1"/>
  <c r="AM3827" i="1" s="1"/>
  <c r="AS3823" i="1"/>
  <c r="AN3823" i="1" s="1"/>
  <c r="AT3823" i="1"/>
  <c r="AO3823" i="1" s="1"/>
  <c r="AQ3823" i="1"/>
  <c r="AL3823" i="1" s="1"/>
  <c r="AR3823" i="1"/>
  <c r="AM3823" i="1" s="1"/>
  <c r="AS3819" i="1"/>
  <c r="AN3819" i="1" s="1"/>
  <c r="AT3819" i="1"/>
  <c r="AO3819" i="1" s="1"/>
  <c r="AQ3819" i="1"/>
  <c r="AL3819" i="1" s="1"/>
  <c r="AR3819" i="1"/>
  <c r="AM3819" i="1" s="1"/>
  <c r="AS3815" i="1"/>
  <c r="AN3815" i="1" s="1"/>
  <c r="AT3815" i="1"/>
  <c r="AO3815" i="1" s="1"/>
  <c r="AQ3815" i="1"/>
  <c r="AL3815" i="1" s="1"/>
  <c r="AR3815" i="1"/>
  <c r="AM3815" i="1" s="1"/>
  <c r="AS3811" i="1"/>
  <c r="AN3811" i="1" s="1"/>
  <c r="AT3811" i="1"/>
  <c r="AO3811" i="1" s="1"/>
  <c r="AR3811" i="1"/>
  <c r="AM3811" i="1" s="1"/>
  <c r="AQ3811" i="1"/>
  <c r="AL3811" i="1" s="1"/>
  <c r="AS3807" i="1"/>
  <c r="AN3807" i="1" s="1"/>
  <c r="AT3807" i="1"/>
  <c r="AO3807" i="1" s="1"/>
  <c r="AQ3807" i="1"/>
  <c r="AL3807" i="1" s="1"/>
  <c r="AR3807" i="1"/>
  <c r="AM3807" i="1" s="1"/>
  <c r="AS3803" i="1"/>
  <c r="AN3803" i="1" s="1"/>
  <c r="AT3803" i="1"/>
  <c r="AO3803" i="1" s="1"/>
  <c r="AR3803" i="1"/>
  <c r="AM3803" i="1" s="1"/>
  <c r="AQ3803" i="1"/>
  <c r="AL3803" i="1" s="1"/>
  <c r="AS3799" i="1"/>
  <c r="AN3799" i="1" s="1"/>
  <c r="AT3799" i="1"/>
  <c r="AO3799" i="1" s="1"/>
  <c r="AR3799" i="1"/>
  <c r="AM3799" i="1" s="1"/>
  <c r="AQ3799" i="1"/>
  <c r="AL3799" i="1" s="1"/>
  <c r="AS3795" i="1"/>
  <c r="AN3795" i="1" s="1"/>
  <c r="AT3795" i="1"/>
  <c r="AO3795" i="1" s="1"/>
  <c r="AR3795" i="1"/>
  <c r="AM3795" i="1" s="1"/>
  <c r="AQ3795" i="1"/>
  <c r="AL3795" i="1" s="1"/>
  <c r="AS3791" i="1"/>
  <c r="AN3791" i="1" s="1"/>
  <c r="AT3791" i="1"/>
  <c r="AO3791" i="1" s="1"/>
  <c r="AQ3791" i="1"/>
  <c r="AL3791" i="1" s="1"/>
  <c r="AR3791" i="1"/>
  <c r="AM3791" i="1" s="1"/>
  <c r="AS3787" i="1"/>
  <c r="AN3787" i="1" s="1"/>
  <c r="AT3787" i="1"/>
  <c r="AO3787" i="1" s="1"/>
  <c r="AR3787" i="1"/>
  <c r="AM3787" i="1" s="1"/>
  <c r="AQ3787" i="1"/>
  <c r="AL3787" i="1" s="1"/>
  <c r="AS3783" i="1"/>
  <c r="AN3783" i="1" s="1"/>
  <c r="AT3783" i="1"/>
  <c r="AO3783" i="1" s="1"/>
  <c r="AR3783" i="1"/>
  <c r="AM3783" i="1" s="1"/>
  <c r="AQ3783" i="1"/>
  <c r="AL3783" i="1" s="1"/>
  <c r="AS3779" i="1"/>
  <c r="AN3779" i="1" s="1"/>
  <c r="AT3779" i="1"/>
  <c r="AO3779" i="1" s="1"/>
  <c r="AR3779" i="1"/>
  <c r="AM3779" i="1" s="1"/>
  <c r="AQ3779" i="1"/>
  <c r="AL3779" i="1" s="1"/>
  <c r="AS3775" i="1"/>
  <c r="AN3775" i="1" s="1"/>
  <c r="AT3775" i="1"/>
  <c r="AO3775" i="1" s="1"/>
  <c r="AQ3775" i="1"/>
  <c r="AL3775" i="1" s="1"/>
  <c r="AR3775" i="1"/>
  <c r="AM3775" i="1" s="1"/>
  <c r="AS3771" i="1"/>
  <c r="AN3771" i="1" s="1"/>
  <c r="AT3771" i="1"/>
  <c r="AO3771" i="1" s="1"/>
  <c r="AR3771" i="1"/>
  <c r="AM3771" i="1" s="1"/>
  <c r="AQ3771" i="1"/>
  <c r="AL3771" i="1" s="1"/>
  <c r="AS3767" i="1"/>
  <c r="AN3767" i="1" s="1"/>
  <c r="AT3767" i="1"/>
  <c r="AO3767" i="1" s="1"/>
  <c r="AR3767" i="1"/>
  <c r="AM3767" i="1" s="1"/>
  <c r="AQ3767" i="1"/>
  <c r="AL3767" i="1" s="1"/>
  <c r="AS3763" i="1"/>
  <c r="AN3763" i="1" s="1"/>
  <c r="AT3763" i="1"/>
  <c r="AO3763" i="1" s="1"/>
  <c r="AR3763" i="1"/>
  <c r="AM3763" i="1" s="1"/>
  <c r="AQ3763" i="1"/>
  <c r="AL3763" i="1" s="1"/>
  <c r="AS3759" i="1"/>
  <c r="AN3759" i="1" s="1"/>
  <c r="AT3759" i="1"/>
  <c r="AO3759" i="1" s="1"/>
  <c r="AQ3759" i="1"/>
  <c r="AL3759" i="1" s="1"/>
  <c r="AR3759" i="1"/>
  <c r="AM3759" i="1" s="1"/>
  <c r="AS3755" i="1"/>
  <c r="AN3755" i="1" s="1"/>
  <c r="AT3755" i="1"/>
  <c r="AO3755" i="1" s="1"/>
  <c r="AR3755" i="1"/>
  <c r="AM3755" i="1" s="1"/>
  <c r="AQ3755" i="1"/>
  <c r="AL3755" i="1" s="1"/>
  <c r="AS3751" i="1"/>
  <c r="AN3751" i="1" s="1"/>
  <c r="AT3751" i="1"/>
  <c r="AO3751" i="1" s="1"/>
  <c r="AQ3751" i="1"/>
  <c r="AL3751" i="1" s="1"/>
  <c r="AR3751" i="1"/>
  <c r="AM3751" i="1" s="1"/>
  <c r="AS3747" i="1"/>
  <c r="AN3747" i="1" s="1"/>
  <c r="AT3747" i="1"/>
  <c r="AO3747" i="1" s="1"/>
  <c r="AR3747" i="1"/>
  <c r="AM3747" i="1" s="1"/>
  <c r="AQ3747" i="1"/>
  <c r="AL3747" i="1" s="1"/>
  <c r="AS3743" i="1"/>
  <c r="AN3743" i="1" s="1"/>
  <c r="AT3743" i="1"/>
  <c r="AO3743" i="1" s="1"/>
  <c r="AR3743" i="1"/>
  <c r="AM3743" i="1" s="1"/>
  <c r="AQ3743" i="1"/>
  <c r="AL3743" i="1" s="1"/>
  <c r="U3862" i="1"/>
  <c r="W3862" i="1" s="1"/>
  <c r="U3849" i="1"/>
  <c r="W3849" i="1" s="1"/>
  <c r="U3836" i="1"/>
  <c r="W3836" i="1" s="1"/>
  <c r="U3820" i="1"/>
  <c r="W3820" i="1" s="1"/>
  <c r="U3808" i="1"/>
  <c r="W3808" i="1" s="1"/>
  <c r="U3796" i="1"/>
  <c r="W3796" i="1" s="1"/>
  <c r="U3776" i="1"/>
  <c r="W3776" i="1" s="1"/>
  <c r="U3764" i="1"/>
  <c r="W3764" i="1" s="1"/>
  <c r="U3760" i="1"/>
  <c r="W3760" i="1" s="1"/>
  <c r="U3756" i="1"/>
  <c r="W3756" i="1" s="1"/>
  <c r="U3752" i="1"/>
  <c r="W3752" i="1" s="1"/>
  <c r="AK3366" i="1"/>
  <c r="AK3365" i="1"/>
  <c r="AK3364" i="1"/>
  <c r="AI3364" i="1"/>
  <c r="AH3364" i="1"/>
  <c r="AG3364" i="1"/>
  <c r="AK3363" i="1"/>
  <c r="AI3363" i="1"/>
  <c r="AH3363" i="1"/>
  <c r="AG3363" i="1"/>
  <c r="AK3362" i="1"/>
  <c r="AI3362" i="1"/>
  <c r="AH3362" i="1"/>
  <c r="AG3362" i="1"/>
  <c r="AK3361" i="1"/>
  <c r="AI3361" i="1"/>
  <c r="S3361" i="1" s="1"/>
  <c r="AH3361" i="1"/>
  <c r="AG3361" i="1"/>
  <c r="AK3360" i="1"/>
  <c r="AK3359" i="1"/>
  <c r="AK3358" i="1"/>
  <c r="AI3358" i="1"/>
  <c r="AH3358" i="1"/>
  <c r="AK3357" i="1"/>
  <c r="AI3357" i="1"/>
  <c r="AH3357" i="1"/>
  <c r="AK3356" i="1"/>
  <c r="AI3356" i="1"/>
  <c r="AH3356" i="1"/>
  <c r="AK3355" i="1"/>
  <c r="AI3355" i="1"/>
  <c r="AH3355" i="1"/>
  <c r="S3355" i="1" s="1"/>
  <c r="AT3355" i="1" s="1"/>
  <c r="AO3355" i="1" s="1"/>
  <c r="AG3355" i="1"/>
  <c r="AK3354" i="1"/>
  <c r="AI3354" i="1"/>
  <c r="AH3354" i="1"/>
  <c r="AG3354" i="1"/>
  <c r="AK3353" i="1"/>
  <c r="AI3353" i="1"/>
  <c r="AH3353" i="1"/>
  <c r="AG3353" i="1"/>
  <c r="AK3352" i="1"/>
  <c r="AI3352" i="1"/>
  <c r="AH3352" i="1"/>
  <c r="AG3352" i="1"/>
  <c r="AK3351" i="1"/>
  <c r="AI3351" i="1"/>
  <c r="AH3351" i="1"/>
  <c r="S3351" i="1" s="1"/>
  <c r="AG3351" i="1"/>
  <c r="AK3350" i="1"/>
  <c r="AI3350" i="1"/>
  <c r="AH3350" i="1"/>
  <c r="AG3350" i="1"/>
  <c r="AK3349" i="1"/>
  <c r="AI3349" i="1"/>
  <c r="AH3349" i="1"/>
  <c r="AG3349" i="1"/>
  <c r="AK3348" i="1"/>
  <c r="AI3348" i="1"/>
  <c r="AH3348" i="1"/>
  <c r="AK3347" i="1"/>
  <c r="AK3346" i="1"/>
  <c r="AK3345" i="1"/>
  <c r="AI3345" i="1"/>
  <c r="S3345" i="1" s="1"/>
  <c r="AH3345" i="1"/>
  <c r="AG3345" i="1"/>
  <c r="AK3344" i="1"/>
  <c r="AI3344" i="1"/>
  <c r="AH3344" i="1"/>
  <c r="AG3344" i="1"/>
  <c r="AK3343" i="1"/>
  <c r="AI3343" i="1"/>
  <c r="AH3343" i="1"/>
  <c r="AG3343" i="1"/>
  <c r="AK3342" i="1"/>
  <c r="AI3342" i="1"/>
  <c r="AH3342" i="1"/>
  <c r="AG3342" i="1"/>
  <c r="S3342" i="1" s="1"/>
  <c r="AK3341" i="1"/>
  <c r="AI3341" i="1"/>
  <c r="S3341" i="1" s="1"/>
  <c r="AT3341" i="1" s="1"/>
  <c r="AO3341" i="1" s="1"/>
  <c r="AH3341" i="1"/>
  <c r="AK3340" i="1"/>
  <c r="AI3340" i="1"/>
  <c r="AH3340" i="1"/>
  <c r="AG3340" i="1"/>
  <c r="AK3339" i="1"/>
  <c r="AI3339" i="1"/>
  <c r="AH3339" i="1"/>
  <c r="AK3338" i="1"/>
  <c r="AI3338" i="1"/>
  <c r="AH3338" i="1"/>
  <c r="AK3337" i="1"/>
  <c r="AI3337" i="1"/>
  <c r="AH3337" i="1"/>
  <c r="AK3336" i="1"/>
  <c r="AI3336" i="1"/>
  <c r="S3336" i="1" s="1"/>
  <c r="AT3336" i="1" s="1"/>
  <c r="AO3336" i="1" s="1"/>
  <c r="AH3336" i="1"/>
  <c r="AK3335" i="1"/>
  <c r="AI3335" i="1"/>
  <c r="AH3335" i="1"/>
  <c r="AK3334" i="1"/>
  <c r="AK3333" i="1"/>
  <c r="AK3332" i="1"/>
  <c r="AI3332" i="1"/>
  <c r="AH3332" i="1"/>
  <c r="AG3332" i="1"/>
  <c r="AK3331" i="1"/>
  <c r="AI3331" i="1"/>
  <c r="AH3331" i="1"/>
  <c r="AG3331" i="1"/>
  <c r="AK3330" i="1"/>
  <c r="AI3330" i="1"/>
  <c r="S3330" i="1" s="1"/>
  <c r="AH3330" i="1"/>
  <c r="AG3330" i="1"/>
  <c r="AK3329" i="1"/>
  <c r="AI3329" i="1"/>
  <c r="AH3329" i="1"/>
  <c r="AG3329" i="1"/>
  <c r="AK3328" i="1"/>
  <c r="AI3328" i="1"/>
  <c r="AH3328" i="1"/>
  <c r="AG3328" i="1"/>
  <c r="AK3327" i="1"/>
  <c r="AK3326" i="1"/>
  <c r="S3326" i="1" s="1"/>
  <c r="AK3325" i="1"/>
  <c r="AI3325" i="1"/>
  <c r="AH3325" i="1"/>
  <c r="S3325" i="1" s="1"/>
  <c r="AT3325" i="1" s="1"/>
  <c r="AO3325" i="1" s="1"/>
  <c r="AK3324" i="1"/>
  <c r="S3324" i="1" s="1"/>
  <c r="AT3324" i="1" s="1"/>
  <c r="AO3324" i="1" s="1"/>
  <c r="AI3324" i="1"/>
  <c r="AH3324" i="1"/>
  <c r="AK3323" i="1"/>
  <c r="AI3323" i="1"/>
  <c r="AH3323" i="1"/>
  <c r="AK3322" i="1"/>
  <c r="AI3322" i="1"/>
  <c r="AH3322" i="1"/>
  <c r="AG3322" i="1"/>
  <c r="AK3321" i="1"/>
  <c r="AI3321" i="1"/>
  <c r="AH3321" i="1"/>
  <c r="AG3321" i="1"/>
  <c r="AK3320" i="1"/>
  <c r="AI3320" i="1"/>
  <c r="AH3320" i="1"/>
  <c r="S3320" i="1" s="1"/>
  <c r="AT3320" i="1" s="1"/>
  <c r="AO3320" i="1" s="1"/>
  <c r="AG3320" i="1"/>
  <c r="AK3319" i="1"/>
  <c r="AI3319" i="1"/>
  <c r="AH3319" i="1"/>
  <c r="AG3319" i="1"/>
  <c r="AK3318" i="1"/>
  <c r="AI3318" i="1"/>
  <c r="AH3318" i="1"/>
  <c r="AG3318" i="1"/>
  <c r="AK3317" i="1"/>
  <c r="AI3317" i="1"/>
  <c r="AH3317" i="1"/>
  <c r="AK3316" i="1"/>
  <c r="AI3316" i="1"/>
  <c r="AH3316" i="1"/>
  <c r="AG3316" i="1"/>
  <c r="S3316" i="1" s="1"/>
  <c r="AK3315" i="1"/>
  <c r="AI3315" i="1"/>
  <c r="AH3315" i="1"/>
  <c r="AK3314" i="1"/>
  <c r="AK3313" i="1"/>
  <c r="AK3312" i="1"/>
  <c r="AI3312" i="1"/>
  <c r="AH3312" i="1"/>
  <c r="AG3312" i="1"/>
  <c r="AK3311" i="1"/>
  <c r="AI3311" i="1"/>
  <c r="AH3311" i="1"/>
  <c r="AG3311" i="1"/>
  <c r="AK3310" i="1"/>
  <c r="AI3310" i="1"/>
  <c r="AH3310" i="1"/>
  <c r="S3310" i="1" s="1"/>
  <c r="AK3309" i="1"/>
  <c r="AI3309" i="1"/>
  <c r="AH3309" i="1"/>
  <c r="AG3309" i="1"/>
  <c r="AK3308" i="1"/>
  <c r="AI3308" i="1"/>
  <c r="AH3308" i="1"/>
  <c r="AK3307" i="1"/>
  <c r="AI3307" i="1"/>
  <c r="AH3307" i="1"/>
  <c r="AK3306" i="1"/>
  <c r="AI3306" i="1"/>
  <c r="AH3306" i="1"/>
  <c r="AK3305" i="1"/>
  <c r="AI3305" i="1"/>
  <c r="AH3305" i="1"/>
  <c r="S3305" i="1" s="1"/>
  <c r="AK3304" i="1"/>
  <c r="AI3304" i="1"/>
  <c r="AH3304" i="1"/>
  <c r="AK3303" i="1"/>
  <c r="AI3303" i="1"/>
  <c r="AH3303" i="1"/>
  <c r="AK3302" i="1"/>
  <c r="AI3302" i="1"/>
  <c r="AH3302" i="1"/>
  <c r="AK3301" i="1"/>
  <c r="AI3301" i="1"/>
  <c r="AH3301" i="1"/>
  <c r="AG3301" i="1"/>
  <c r="AK3300" i="1"/>
  <c r="AI3300" i="1"/>
  <c r="AH3300" i="1"/>
  <c r="S3300" i="1" s="1"/>
  <c r="AG3300" i="1"/>
  <c r="AK3299" i="1"/>
  <c r="AI3299" i="1"/>
  <c r="AH3299" i="1"/>
  <c r="AG3299" i="1"/>
  <c r="AK3298" i="1"/>
  <c r="AI3298" i="1"/>
  <c r="AH3298" i="1"/>
  <c r="AG3298" i="1"/>
  <c r="AK3297" i="1"/>
  <c r="AK3296" i="1"/>
  <c r="AI3296" i="1"/>
  <c r="AH3296" i="1"/>
  <c r="AG3296" i="1"/>
  <c r="S3296" i="1" s="1"/>
  <c r="AK3295" i="1"/>
  <c r="AI3295" i="1"/>
  <c r="S3295" i="1" s="1"/>
  <c r="AH3295" i="1"/>
  <c r="AK3294" i="1"/>
  <c r="AK3293" i="1"/>
  <c r="AI3293" i="1"/>
  <c r="AH3293" i="1"/>
  <c r="AG3293" i="1"/>
  <c r="AK3292" i="1"/>
  <c r="AI3292" i="1"/>
  <c r="AH3292" i="1"/>
  <c r="AK3291" i="1"/>
  <c r="AK3290" i="1"/>
  <c r="AI3290" i="1"/>
  <c r="AH3290" i="1"/>
  <c r="AK3289" i="1"/>
  <c r="AI3289" i="1"/>
  <c r="AK3288" i="1"/>
  <c r="S3288" i="1" s="1"/>
  <c r="AT3288" i="1" s="1"/>
  <c r="AO3288" i="1" s="1"/>
  <c r="AI3288" i="1"/>
  <c r="AK3287" i="1"/>
  <c r="AK3286" i="1"/>
  <c r="AI3286" i="1"/>
  <c r="AH3286" i="1"/>
  <c r="AG3286" i="1"/>
  <c r="AK3285" i="1"/>
  <c r="AI3285" i="1"/>
  <c r="AK3284" i="1"/>
  <c r="AI3284" i="1"/>
  <c r="AH3284" i="1"/>
  <c r="AK3283" i="1"/>
  <c r="AI3283" i="1"/>
  <c r="AH3283" i="1"/>
  <c r="AG3283" i="1"/>
  <c r="AK3282" i="1"/>
  <c r="AI3282" i="1"/>
  <c r="AH3282" i="1"/>
  <c r="AG3282" i="1"/>
  <c r="AK3281" i="1"/>
  <c r="AI3281" i="1"/>
  <c r="AH3281" i="1"/>
  <c r="AG3281" i="1"/>
  <c r="AK3280" i="1"/>
  <c r="AI3280" i="1"/>
  <c r="AH3280" i="1"/>
  <c r="AG3280" i="1"/>
  <c r="AK3279" i="1"/>
  <c r="AI3279" i="1"/>
  <c r="AH3279" i="1"/>
  <c r="AG3279" i="1"/>
  <c r="AK3278" i="1"/>
  <c r="AI3278" i="1"/>
  <c r="AH3278" i="1"/>
  <c r="AG3278" i="1"/>
  <c r="BA7" i="5"/>
  <c r="AX7" i="5"/>
  <c r="V31" i="5"/>
  <c r="V32" i="5"/>
  <c r="V33" i="5"/>
  <c r="V34" i="5"/>
  <c r="V35" i="5"/>
  <c r="V30" i="5"/>
  <c r="S35" i="5"/>
  <c r="S34" i="5"/>
  <c r="S33" i="5"/>
  <c r="S32" i="5"/>
  <c r="S31" i="5"/>
  <c r="S30" i="5"/>
  <c r="BA7" i="6"/>
  <c r="AX7" i="6"/>
  <c r="V36" i="6"/>
  <c r="V37" i="6"/>
  <c r="V38" i="6"/>
  <c r="V39" i="6"/>
  <c r="V40" i="6"/>
  <c r="V41" i="6"/>
  <c r="V35" i="6"/>
  <c r="S41" i="6"/>
  <c r="S40" i="6"/>
  <c r="S39" i="6"/>
  <c r="S38" i="6"/>
  <c r="S37" i="6"/>
  <c r="S36" i="6"/>
  <c r="S35" i="6"/>
  <c r="BA7" i="7"/>
  <c r="AX7" i="7"/>
  <c r="V67" i="7"/>
  <c r="V68" i="7"/>
  <c r="V69" i="7"/>
  <c r="V70" i="7"/>
  <c r="V71" i="7"/>
  <c r="V72" i="7"/>
  <c r="V73" i="7"/>
  <c r="V74" i="7"/>
  <c r="V75" i="7"/>
  <c r="V76" i="7"/>
  <c r="V77" i="7"/>
  <c r="V78" i="7"/>
  <c r="V66" i="7"/>
  <c r="S78" i="7"/>
  <c r="S77" i="7"/>
  <c r="S76" i="7"/>
  <c r="S75" i="7"/>
  <c r="S74" i="7"/>
  <c r="S73" i="7"/>
  <c r="S72" i="7"/>
  <c r="S71" i="7"/>
  <c r="S70" i="7"/>
  <c r="S69" i="7"/>
  <c r="S68" i="7"/>
  <c r="S67" i="7"/>
  <c r="S66" i="7"/>
  <c r="BA7" i="8"/>
  <c r="AX7" i="8"/>
  <c r="V82" i="8"/>
  <c r="V83" i="8"/>
  <c r="V84" i="8"/>
  <c r="V85" i="8"/>
  <c r="V86" i="8"/>
  <c r="V87" i="8"/>
  <c r="V88" i="8"/>
  <c r="V89" i="8"/>
  <c r="V90" i="8"/>
  <c r="V91" i="8"/>
  <c r="V92" i="8"/>
  <c r="V93" i="8"/>
  <c r="V94" i="8"/>
  <c r="V95" i="8"/>
  <c r="V96" i="8"/>
  <c r="V81" i="8"/>
  <c r="S96" i="8"/>
  <c r="S95" i="8"/>
  <c r="S94" i="8"/>
  <c r="S93" i="8"/>
  <c r="S92" i="8"/>
  <c r="S91" i="8"/>
  <c r="S90" i="8"/>
  <c r="S89" i="8"/>
  <c r="S88" i="8"/>
  <c r="S87" i="8"/>
  <c r="S86" i="8"/>
  <c r="S85" i="8"/>
  <c r="S84" i="8"/>
  <c r="S83" i="8"/>
  <c r="S82" i="8"/>
  <c r="S81" i="8"/>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U3270" i="1"/>
  <c r="AU3271" i="1"/>
  <c r="AP3271" i="1" s="1"/>
  <c r="AU3272" i="1"/>
  <c r="AP3272" i="1" s="1"/>
  <c r="AU3273" i="1"/>
  <c r="AU3274" i="1"/>
  <c r="AP3274" i="1" s="1"/>
  <c r="AU3275" i="1"/>
  <c r="AP3275" i="1" s="1"/>
  <c r="AU3276" i="1"/>
  <c r="AP3276" i="1" s="1"/>
  <c r="AU3277" i="1"/>
  <c r="AP3277" i="1" s="1"/>
  <c r="AU3278" i="1"/>
  <c r="AP3278" i="1" s="1"/>
  <c r="AU3279" i="1"/>
  <c r="AU3280" i="1"/>
  <c r="AU3281" i="1"/>
  <c r="AP3281" i="1" s="1"/>
  <c r="AU3282" i="1"/>
  <c r="AP3282" i="1" s="1"/>
  <c r="AU3283" i="1"/>
  <c r="AP3283" i="1" s="1"/>
  <c r="AU3284" i="1"/>
  <c r="AP3284" i="1" s="1"/>
  <c r="AU3285" i="1"/>
  <c r="AP3285" i="1" s="1"/>
  <c r="AU3286" i="1"/>
  <c r="AU3287" i="1"/>
  <c r="AU3288" i="1"/>
  <c r="AP3288" i="1" s="1"/>
  <c r="AU3289" i="1"/>
  <c r="AP3289" i="1" s="1"/>
  <c r="AU3290" i="1"/>
  <c r="AP3290" i="1" s="1"/>
  <c r="AU3291" i="1"/>
  <c r="AP3291" i="1" s="1"/>
  <c r="AU3292" i="1"/>
  <c r="AP3292" i="1" s="1"/>
  <c r="AU3293" i="1"/>
  <c r="AP3293" i="1" s="1"/>
  <c r="AU3294" i="1"/>
  <c r="AP3294" i="1" s="1"/>
  <c r="AU3295" i="1"/>
  <c r="AU3296" i="1"/>
  <c r="AP3296" i="1" s="1"/>
  <c r="AU3297" i="1"/>
  <c r="AP3297" i="1" s="1"/>
  <c r="AU3298" i="1"/>
  <c r="AP3298" i="1" s="1"/>
  <c r="AU3299" i="1"/>
  <c r="AP3299" i="1" s="1"/>
  <c r="AU3300" i="1"/>
  <c r="AP3300" i="1" s="1"/>
  <c r="AU3301" i="1"/>
  <c r="AP3301" i="1" s="1"/>
  <c r="AU3302" i="1"/>
  <c r="AU3303" i="1"/>
  <c r="AU3304" i="1"/>
  <c r="AU3305" i="1"/>
  <c r="AP3305" i="1" s="1"/>
  <c r="AU3306" i="1"/>
  <c r="AP3306" i="1" s="1"/>
  <c r="AU3307" i="1"/>
  <c r="AP3307" i="1" s="1"/>
  <c r="AU3308" i="1"/>
  <c r="AP3308" i="1" s="1"/>
  <c r="AU3309" i="1"/>
  <c r="AP3309" i="1" s="1"/>
  <c r="AU3310" i="1"/>
  <c r="AP3310" i="1" s="1"/>
  <c r="AU3311" i="1"/>
  <c r="AU3312" i="1"/>
  <c r="AP3312" i="1" s="1"/>
  <c r="AU3313" i="1"/>
  <c r="AP3313" i="1" s="1"/>
  <c r="AU3314" i="1"/>
  <c r="AP3314" i="1" s="1"/>
  <c r="AU3315" i="1"/>
  <c r="AP3315" i="1" s="1"/>
  <c r="AU3316" i="1"/>
  <c r="AP3316" i="1" s="1"/>
  <c r="AU3317" i="1"/>
  <c r="AP3317" i="1" s="1"/>
  <c r="AU3318" i="1"/>
  <c r="AU3319" i="1"/>
  <c r="AU3320" i="1"/>
  <c r="AP3320" i="1" s="1"/>
  <c r="AU3321" i="1"/>
  <c r="AP3321" i="1" s="1"/>
  <c r="AU3322" i="1"/>
  <c r="AP3322" i="1" s="1"/>
  <c r="AU3323" i="1"/>
  <c r="AP3323" i="1" s="1"/>
  <c r="AU3324" i="1"/>
  <c r="AP3324" i="1" s="1"/>
  <c r="AU3325" i="1"/>
  <c r="AP3325" i="1" s="1"/>
  <c r="AU3326" i="1"/>
  <c r="AP3326" i="1" s="1"/>
  <c r="AU3327" i="1"/>
  <c r="AU3328" i="1"/>
  <c r="AU3329" i="1"/>
  <c r="AP3329" i="1" s="1"/>
  <c r="AU3330" i="1"/>
  <c r="AP3330" i="1" s="1"/>
  <c r="AU3331" i="1"/>
  <c r="AP3331" i="1" s="1"/>
  <c r="AU3332" i="1"/>
  <c r="AP3332" i="1" s="1"/>
  <c r="AU3333" i="1"/>
  <c r="AP3333" i="1" s="1"/>
  <c r="AU3334" i="1"/>
  <c r="AU3335" i="1"/>
  <c r="AP3335" i="1" s="1"/>
  <c r="AU3336" i="1"/>
  <c r="AP3336" i="1" s="1"/>
  <c r="AU3337" i="1"/>
  <c r="AP3337" i="1" s="1"/>
  <c r="AU3338" i="1"/>
  <c r="AP3338" i="1" s="1"/>
  <c r="AU3339" i="1"/>
  <c r="AP3339" i="1" s="1"/>
  <c r="AU3340" i="1"/>
  <c r="AP3340" i="1" s="1"/>
  <c r="AU3341" i="1"/>
  <c r="AP3341" i="1" s="1"/>
  <c r="AU3342" i="1"/>
  <c r="AP3342" i="1" s="1"/>
  <c r="AU3343" i="1"/>
  <c r="AU3344" i="1"/>
  <c r="AU3345" i="1"/>
  <c r="AP3345" i="1" s="1"/>
  <c r="AU3346" i="1"/>
  <c r="AP3346" i="1" s="1"/>
  <c r="AU3347" i="1"/>
  <c r="AP3347" i="1" s="1"/>
  <c r="AU3348" i="1"/>
  <c r="AP3348" i="1" s="1"/>
  <c r="AU3349" i="1"/>
  <c r="AP3349" i="1" s="1"/>
  <c r="AU3350" i="1"/>
  <c r="AU3351" i="1"/>
  <c r="AP3351" i="1" s="1"/>
  <c r="AU3352" i="1"/>
  <c r="AP3352" i="1" s="1"/>
  <c r="AU3353" i="1"/>
  <c r="AP3353" i="1" s="1"/>
  <c r="AU3354" i="1"/>
  <c r="AP3354" i="1" s="1"/>
  <c r="AU3355" i="1"/>
  <c r="AP3355" i="1" s="1"/>
  <c r="AU3356" i="1"/>
  <c r="AP3356" i="1" s="1"/>
  <c r="AU3357" i="1"/>
  <c r="AP3357" i="1" s="1"/>
  <c r="AU3358" i="1"/>
  <c r="AP3358" i="1" s="1"/>
  <c r="AU3359" i="1"/>
  <c r="AU3360" i="1"/>
  <c r="AU3361" i="1"/>
  <c r="AP3361" i="1" s="1"/>
  <c r="AU3362" i="1"/>
  <c r="AP3362" i="1" s="1"/>
  <c r="AU3363" i="1"/>
  <c r="AP3363" i="1" s="1"/>
  <c r="AU3364" i="1"/>
  <c r="AP3364" i="1" s="1"/>
  <c r="AU3365" i="1"/>
  <c r="AP3365" i="1" s="1"/>
  <c r="AU3366" i="1"/>
  <c r="AT3270" i="1"/>
  <c r="AT3271" i="1"/>
  <c r="AO3271" i="1" s="1"/>
  <c r="AT3272" i="1"/>
  <c r="AT3273" i="1"/>
  <c r="AT3274" i="1"/>
  <c r="AT3275" i="1"/>
  <c r="AO3275" i="1" s="1"/>
  <c r="AT3276" i="1"/>
  <c r="AT3277" i="1"/>
  <c r="AS3270" i="1"/>
  <c r="AN3270" i="1" s="1"/>
  <c r="AS3271" i="1"/>
  <c r="AS3272" i="1"/>
  <c r="AN3272" i="1" s="1"/>
  <c r="AS3273" i="1"/>
  <c r="AN3273" i="1" s="1"/>
  <c r="AS3274" i="1"/>
  <c r="AN3274" i="1" s="1"/>
  <c r="AS3275" i="1"/>
  <c r="AN3275" i="1" s="1"/>
  <c r="AS3276" i="1"/>
  <c r="AS3277" i="1"/>
  <c r="AN3277" i="1" s="1"/>
  <c r="AR3270" i="1"/>
  <c r="AR3271" i="1"/>
  <c r="AM3271" i="1" s="1"/>
  <c r="AR3272" i="1"/>
  <c r="AM3272" i="1" s="1"/>
  <c r="AR3273" i="1"/>
  <c r="AM3273" i="1" s="1"/>
  <c r="AR3274" i="1"/>
  <c r="AR3275" i="1"/>
  <c r="AM3275" i="1" s="1"/>
  <c r="AR3276" i="1"/>
  <c r="AM3276" i="1" s="1"/>
  <c r="AR3277" i="1"/>
  <c r="AM3277" i="1" s="1"/>
  <c r="AR3284" i="1"/>
  <c r="AM3284" i="1" s="1"/>
  <c r="AR3348" i="1"/>
  <c r="AM3348" i="1" s="1"/>
  <c r="AQ3270" i="1"/>
  <c r="AL3270" i="1" s="1"/>
  <c r="AQ3271" i="1"/>
  <c r="AL3271" i="1" s="1"/>
  <c r="AQ3272" i="1"/>
  <c r="AL3272" i="1" s="1"/>
  <c r="AQ3273" i="1"/>
  <c r="AL3273" i="1" s="1"/>
  <c r="AQ3274" i="1"/>
  <c r="AL3274" i="1" s="1"/>
  <c r="AQ3275" i="1"/>
  <c r="AL3275" i="1" s="1"/>
  <c r="AQ3276" i="1"/>
  <c r="AL3276" i="1" s="1"/>
  <c r="AQ3277" i="1"/>
  <c r="AL3277" i="1" s="1"/>
  <c r="AQ3284" i="1"/>
  <c r="AL3284" i="1" s="1"/>
  <c r="AQ3329" i="1"/>
  <c r="AL3329" i="1" s="1"/>
  <c r="AQ3364" i="1"/>
  <c r="AL3364" i="1" s="1"/>
  <c r="AP3270" i="1"/>
  <c r="AP3273" i="1"/>
  <c r="AP3279" i="1"/>
  <c r="AP3280" i="1"/>
  <c r="AP3286" i="1"/>
  <c r="AP3287" i="1"/>
  <c r="AP3295" i="1"/>
  <c r="AP3302" i="1"/>
  <c r="AP3303" i="1"/>
  <c r="AP3304" i="1"/>
  <c r="AP3311" i="1"/>
  <c r="AP3318" i="1"/>
  <c r="AP3319" i="1"/>
  <c r="AP3327" i="1"/>
  <c r="AP3328" i="1"/>
  <c r="AP3334" i="1"/>
  <c r="AP3343" i="1"/>
  <c r="AP3344" i="1"/>
  <c r="AP3350" i="1"/>
  <c r="AP3359" i="1"/>
  <c r="AP3360" i="1"/>
  <c r="AP3366" i="1"/>
  <c r="AO3270" i="1"/>
  <c r="AO3272" i="1"/>
  <c r="AO3273" i="1"/>
  <c r="AO3274" i="1"/>
  <c r="AO3276" i="1"/>
  <c r="AO3277" i="1"/>
  <c r="AN3271" i="1"/>
  <c r="AN3276" i="1"/>
  <c r="AM3270" i="1"/>
  <c r="AM3274"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U3270" i="1"/>
  <c r="W3270" i="1" s="1"/>
  <c r="U3271" i="1"/>
  <c r="W3271" i="1" s="1"/>
  <c r="U3272" i="1"/>
  <c r="W3272" i="1" s="1"/>
  <c r="U3273" i="1"/>
  <c r="W3273" i="1" s="1"/>
  <c r="U3274" i="1"/>
  <c r="W3274" i="1" s="1"/>
  <c r="U3275" i="1"/>
  <c r="W3275" i="1" s="1"/>
  <c r="U3276" i="1"/>
  <c r="W3276" i="1" s="1"/>
  <c r="U3277" i="1"/>
  <c r="W3277" i="1" s="1"/>
  <c r="U3278" i="1"/>
  <c r="W3278" i="1" s="1"/>
  <c r="U3279" i="1"/>
  <c r="W3279" i="1" s="1"/>
  <c r="U3280" i="1"/>
  <c r="W3280" i="1" s="1"/>
  <c r="U3281" i="1"/>
  <c r="W3281" i="1" s="1"/>
  <c r="U3282" i="1"/>
  <c r="W3282" i="1" s="1"/>
  <c r="U3283" i="1"/>
  <c r="W3283" i="1" s="1"/>
  <c r="U3284" i="1"/>
  <c r="W3284" i="1" s="1"/>
  <c r="U3285" i="1"/>
  <c r="W3285" i="1" s="1"/>
  <c r="U3302" i="1"/>
  <c r="W3302" i="1" s="1"/>
  <c r="U3303" i="1"/>
  <c r="W3303" i="1" s="1"/>
  <c r="U3304" i="1"/>
  <c r="W3304" i="1" s="1"/>
  <c r="U3305" i="1"/>
  <c r="W3305" i="1" s="1"/>
  <c r="U3306" i="1"/>
  <c r="W3306" i="1" s="1"/>
  <c r="U3307" i="1"/>
  <c r="W3307" i="1" s="1"/>
  <c r="U3308" i="1"/>
  <c r="W3308" i="1" s="1"/>
  <c r="U3309" i="1"/>
  <c r="W3309" i="1" s="1"/>
  <c r="U3310" i="1"/>
  <c r="W3310" i="1" s="1"/>
  <c r="U3311" i="1"/>
  <c r="W3311" i="1" s="1"/>
  <c r="U3315" i="1"/>
  <c r="W3315" i="1" s="1"/>
  <c r="U3316" i="1"/>
  <c r="W3316" i="1" s="1"/>
  <c r="U3317" i="1"/>
  <c r="W3317" i="1" s="1"/>
  <c r="U3318" i="1"/>
  <c r="W3318" i="1" s="1"/>
  <c r="U3319" i="1"/>
  <c r="W3319" i="1" s="1"/>
  <c r="U3320" i="1"/>
  <c r="W3320" i="1" s="1"/>
  <c r="U3321" i="1"/>
  <c r="W3321" i="1" s="1"/>
  <c r="U3322" i="1"/>
  <c r="W3322" i="1" s="1"/>
  <c r="U3323" i="1"/>
  <c r="W3323" i="1" s="1"/>
  <c r="U3324" i="1"/>
  <c r="W3324" i="1" s="1"/>
  <c r="U3328" i="1"/>
  <c r="W3328" i="1" s="1"/>
  <c r="U3329" i="1"/>
  <c r="W3329" i="1" s="1"/>
  <c r="U3330" i="1"/>
  <c r="W3330" i="1" s="1"/>
  <c r="U3331" i="1"/>
  <c r="W3331" i="1" s="1"/>
  <c r="U3335" i="1"/>
  <c r="W3335" i="1" s="1"/>
  <c r="U3336" i="1"/>
  <c r="W3336" i="1" s="1"/>
  <c r="U3337" i="1"/>
  <c r="W3337" i="1" s="1"/>
  <c r="U3338" i="1"/>
  <c r="W3338" i="1" s="1"/>
  <c r="U3339" i="1"/>
  <c r="W3339" i="1" s="1"/>
  <c r="U3340" i="1"/>
  <c r="W3340" i="1" s="1"/>
  <c r="U3341" i="1"/>
  <c r="W3341" i="1" s="1"/>
  <c r="U3342" i="1"/>
  <c r="W3342" i="1" s="1"/>
  <c r="U3343" i="1"/>
  <c r="W3343" i="1" s="1"/>
  <c r="U3344" i="1"/>
  <c r="W3344" i="1" s="1"/>
  <c r="U3348" i="1"/>
  <c r="W3348" i="1" s="1"/>
  <c r="U3349" i="1"/>
  <c r="W3349" i="1" s="1"/>
  <c r="U3350" i="1"/>
  <c r="W3350" i="1" s="1"/>
  <c r="U3351" i="1"/>
  <c r="W3351" i="1" s="1"/>
  <c r="U3352" i="1"/>
  <c r="W3352" i="1" s="1"/>
  <c r="U3353" i="1"/>
  <c r="W3353" i="1" s="1"/>
  <c r="U3354" i="1"/>
  <c r="W3354" i="1" s="1"/>
  <c r="U3355" i="1"/>
  <c r="W3355" i="1" s="1"/>
  <c r="U3356" i="1"/>
  <c r="W3356" i="1" s="1"/>
  <c r="U3357" i="1"/>
  <c r="W3357" i="1" s="1"/>
  <c r="U3361" i="1"/>
  <c r="W3361" i="1" s="1"/>
  <c r="U3362" i="1"/>
  <c r="W3362" i="1" s="1"/>
  <c r="U3363" i="1"/>
  <c r="W3363" i="1" s="1"/>
  <c r="S3270" i="1"/>
  <c r="S3271" i="1"/>
  <c r="S3272" i="1"/>
  <c r="S3273" i="1"/>
  <c r="S3274" i="1"/>
  <c r="S3275" i="1"/>
  <c r="S3276" i="1"/>
  <c r="S3277" i="1"/>
  <c r="S3278" i="1"/>
  <c r="AT3278" i="1" s="1"/>
  <c r="AO3278" i="1" s="1"/>
  <c r="S3279" i="1"/>
  <c r="AT3279" i="1" s="1"/>
  <c r="AO3279" i="1" s="1"/>
  <c r="S3280" i="1"/>
  <c r="AT3280" i="1" s="1"/>
  <c r="AO3280" i="1" s="1"/>
  <c r="S3281" i="1"/>
  <c r="AT3281" i="1" s="1"/>
  <c r="AO3281" i="1" s="1"/>
  <c r="S3282" i="1"/>
  <c r="AT3282" i="1" s="1"/>
  <c r="AO3282" i="1" s="1"/>
  <c r="S3283" i="1"/>
  <c r="AT3283" i="1" s="1"/>
  <c r="AO3283" i="1" s="1"/>
  <c r="S3284" i="1"/>
  <c r="AS3284" i="1" s="1"/>
  <c r="AN3284" i="1" s="1"/>
  <c r="S3285" i="1"/>
  <c r="AQ3285" i="1" s="1"/>
  <c r="AL3285" i="1" s="1"/>
  <c r="S3286" i="1"/>
  <c r="AR3286" i="1" s="1"/>
  <c r="AM3286" i="1" s="1"/>
  <c r="S3287" i="1"/>
  <c r="AS3287" i="1" s="1"/>
  <c r="AN3287" i="1" s="1"/>
  <c r="S3289" i="1"/>
  <c r="AT3289" i="1" s="1"/>
  <c r="AO3289" i="1" s="1"/>
  <c r="S3290" i="1"/>
  <c r="AT3290" i="1" s="1"/>
  <c r="AO3290" i="1" s="1"/>
  <c r="S3291" i="1"/>
  <c r="AT3291" i="1" s="1"/>
  <c r="AO3291" i="1" s="1"/>
  <c r="S3292" i="1"/>
  <c r="AT3292" i="1" s="1"/>
  <c r="AO3292" i="1" s="1"/>
  <c r="S3293" i="1"/>
  <c r="AT3293" i="1" s="1"/>
  <c r="AO3293" i="1" s="1"/>
  <c r="S3294" i="1"/>
  <c r="AT3294" i="1" s="1"/>
  <c r="AO3294" i="1" s="1"/>
  <c r="S3297" i="1"/>
  <c r="AT3297" i="1" s="1"/>
  <c r="AO3297" i="1" s="1"/>
  <c r="S3298" i="1"/>
  <c r="AT3298" i="1" s="1"/>
  <c r="AO3298" i="1" s="1"/>
  <c r="S3299" i="1"/>
  <c r="AT3299" i="1" s="1"/>
  <c r="AO3299" i="1" s="1"/>
  <c r="S3301" i="1"/>
  <c r="AQ3301" i="1" s="1"/>
  <c r="AL3301" i="1" s="1"/>
  <c r="S3302" i="1"/>
  <c r="AR3302" i="1" s="1"/>
  <c r="AM3302" i="1" s="1"/>
  <c r="S3303" i="1"/>
  <c r="AS3303" i="1" s="1"/>
  <c r="AN3303" i="1" s="1"/>
  <c r="S3304" i="1"/>
  <c r="AT3304" i="1" s="1"/>
  <c r="AO3304" i="1" s="1"/>
  <c r="S3306" i="1"/>
  <c r="AT3306" i="1" s="1"/>
  <c r="AO3306" i="1" s="1"/>
  <c r="S3307" i="1"/>
  <c r="AT3307" i="1" s="1"/>
  <c r="AO3307" i="1" s="1"/>
  <c r="S3308" i="1"/>
  <c r="AT3308" i="1" s="1"/>
  <c r="AO3308" i="1" s="1"/>
  <c r="S3309" i="1"/>
  <c r="AT3309" i="1" s="1"/>
  <c r="AO3309" i="1" s="1"/>
  <c r="S3311" i="1"/>
  <c r="AT3311" i="1" s="1"/>
  <c r="AO3311" i="1" s="1"/>
  <c r="S3312" i="1"/>
  <c r="AT3312" i="1" s="1"/>
  <c r="AO3312" i="1" s="1"/>
  <c r="S3313" i="1"/>
  <c r="AT3313" i="1" s="1"/>
  <c r="AO3313" i="1" s="1"/>
  <c r="S3314" i="1"/>
  <c r="AT3314" i="1" s="1"/>
  <c r="AO3314" i="1" s="1"/>
  <c r="S3315" i="1"/>
  <c r="AT3315" i="1" s="1"/>
  <c r="AO3315" i="1" s="1"/>
  <c r="S3317" i="1"/>
  <c r="AQ3317" i="1" s="1"/>
  <c r="AL3317" i="1" s="1"/>
  <c r="S3318" i="1"/>
  <c r="AR3318" i="1" s="1"/>
  <c r="AM3318" i="1" s="1"/>
  <c r="S3319" i="1"/>
  <c r="AS3319" i="1" s="1"/>
  <c r="AN3319" i="1" s="1"/>
  <c r="S3321" i="1"/>
  <c r="AT3321" i="1" s="1"/>
  <c r="AO3321" i="1" s="1"/>
  <c r="S3322" i="1"/>
  <c r="AT3322" i="1" s="1"/>
  <c r="AO3322" i="1" s="1"/>
  <c r="S3323" i="1"/>
  <c r="AT3323" i="1" s="1"/>
  <c r="AO3323" i="1" s="1"/>
  <c r="S3327" i="1"/>
  <c r="AT3327" i="1" s="1"/>
  <c r="AO3327" i="1" s="1"/>
  <c r="S3328" i="1"/>
  <c r="AT3328" i="1" s="1"/>
  <c r="AO3328" i="1" s="1"/>
  <c r="S3329" i="1"/>
  <c r="AT3329" i="1" s="1"/>
  <c r="AO3329" i="1" s="1"/>
  <c r="S3331" i="1"/>
  <c r="AT3331" i="1" s="1"/>
  <c r="AO3331" i="1" s="1"/>
  <c r="S3332" i="1"/>
  <c r="AT3332" i="1" s="1"/>
  <c r="AO3332" i="1" s="1"/>
  <c r="S3333" i="1"/>
  <c r="AQ3333" i="1" s="1"/>
  <c r="AL3333" i="1" s="1"/>
  <c r="S3334" i="1"/>
  <c r="AR3334" i="1" s="1"/>
  <c r="AM3334" i="1" s="1"/>
  <c r="S3335" i="1"/>
  <c r="AS3335" i="1" s="1"/>
  <c r="AN3335" i="1" s="1"/>
  <c r="S3337" i="1"/>
  <c r="AT3337" i="1" s="1"/>
  <c r="AO3337" i="1" s="1"/>
  <c r="S3338" i="1"/>
  <c r="AT3338" i="1" s="1"/>
  <c r="AO3338" i="1" s="1"/>
  <c r="S3339" i="1"/>
  <c r="AT3339" i="1" s="1"/>
  <c r="AO3339" i="1" s="1"/>
  <c r="S3340" i="1"/>
  <c r="AT3340" i="1" s="1"/>
  <c r="AO3340" i="1" s="1"/>
  <c r="S3343" i="1"/>
  <c r="AT3343" i="1" s="1"/>
  <c r="AO3343" i="1" s="1"/>
  <c r="S3344" i="1"/>
  <c r="AT3344" i="1" s="1"/>
  <c r="AO3344" i="1" s="1"/>
  <c r="S3346" i="1"/>
  <c r="AT3346" i="1" s="1"/>
  <c r="AO3346" i="1" s="1"/>
  <c r="S3347" i="1"/>
  <c r="AT3347" i="1" s="1"/>
  <c r="AO3347" i="1" s="1"/>
  <c r="S3348" i="1"/>
  <c r="AT3348" i="1" s="1"/>
  <c r="AO3348" i="1" s="1"/>
  <c r="S3349" i="1"/>
  <c r="AQ3349" i="1" s="1"/>
  <c r="AL3349" i="1" s="1"/>
  <c r="S3350" i="1"/>
  <c r="AR3350" i="1" s="1"/>
  <c r="AM3350" i="1" s="1"/>
  <c r="S3352" i="1"/>
  <c r="AT3352" i="1" s="1"/>
  <c r="AO3352" i="1" s="1"/>
  <c r="S3353" i="1"/>
  <c r="AT3353" i="1" s="1"/>
  <c r="AO3353" i="1" s="1"/>
  <c r="S3354" i="1"/>
  <c r="AT3354" i="1" s="1"/>
  <c r="AO3354" i="1" s="1"/>
  <c r="S3356" i="1"/>
  <c r="AT3356" i="1" s="1"/>
  <c r="AO3356" i="1" s="1"/>
  <c r="S3357" i="1"/>
  <c r="AT3357" i="1" s="1"/>
  <c r="AO3357" i="1" s="1"/>
  <c r="S3358" i="1"/>
  <c r="AT3358" i="1" s="1"/>
  <c r="AO3358" i="1" s="1"/>
  <c r="S3359" i="1"/>
  <c r="AT3359" i="1" s="1"/>
  <c r="AO3359" i="1" s="1"/>
  <c r="S3360" i="1"/>
  <c r="AT3360" i="1" s="1"/>
  <c r="AO3360" i="1" s="1"/>
  <c r="S3362" i="1"/>
  <c r="AT3362" i="1" s="1"/>
  <c r="AO3362" i="1" s="1"/>
  <c r="S3363" i="1"/>
  <c r="AT3363" i="1" s="1"/>
  <c r="AO3363" i="1" s="1"/>
  <c r="S3364" i="1"/>
  <c r="AR3364" i="1" s="1"/>
  <c r="AM3364" i="1" s="1"/>
  <c r="S3365" i="1"/>
  <c r="AQ3365" i="1" s="1"/>
  <c r="AL3365" i="1" s="1"/>
  <c r="S3366" i="1"/>
  <c r="AR3366" i="1" s="1"/>
  <c r="AM3366" i="1" s="1"/>
  <c r="AK3269" i="1"/>
  <c r="AJ3269" i="1"/>
  <c r="AK3268" i="1"/>
  <c r="AK3267" i="1"/>
  <c r="AJ3267" i="1"/>
  <c r="AK3266" i="1"/>
  <c r="AJ3266" i="1"/>
  <c r="AK3265" i="1"/>
  <c r="AJ3265" i="1"/>
  <c r="AK3264" i="1"/>
  <c r="AJ3264" i="1"/>
  <c r="AK3263" i="1"/>
  <c r="AJ3263" i="1"/>
  <c r="S3263" i="1" s="1"/>
  <c r="AK3262" i="1"/>
  <c r="AJ3262" i="1"/>
  <c r="S3262" i="1" s="1"/>
  <c r="U3262" i="1" s="1"/>
  <c r="W3262" i="1" s="1"/>
  <c r="AK3261" i="1"/>
  <c r="S3261" i="1" s="1"/>
  <c r="AT3261" i="1" s="1"/>
  <c r="AO3261" i="1" s="1"/>
  <c r="AK3260" i="1"/>
  <c r="AJ3260" i="1"/>
  <c r="AK3259" i="1"/>
  <c r="AJ3259" i="1"/>
  <c r="AK3258" i="1"/>
  <c r="AJ3258" i="1"/>
  <c r="AK3257" i="1"/>
  <c r="AJ3257" i="1"/>
  <c r="AK3256" i="1"/>
  <c r="AJ3256" i="1"/>
  <c r="AK3255" i="1"/>
  <c r="AJ3255" i="1"/>
  <c r="AK3254" i="1"/>
  <c r="AJ3254" i="1"/>
  <c r="AK3253" i="1"/>
  <c r="AJ3253" i="1"/>
  <c r="S3253" i="1" s="1"/>
  <c r="AK3252" i="1"/>
  <c r="AJ3252" i="1"/>
  <c r="AK3251" i="1"/>
  <c r="AJ3251" i="1"/>
  <c r="AK3250" i="1"/>
  <c r="AJ3250" i="1"/>
  <c r="AK3249" i="1"/>
  <c r="AJ3249" i="1"/>
  <c r="AK3248" i="1"/>
  <c r="S3248" i="1" s="1"/>
  <c r="AK3247" i="1"/>
  <c r="AJ3247" i="1"/>
  <c r="AK3246" i="1"/>
  <c r="AJ3246" i="1"/>
  <c r="S3246" i="1" s="1"/>
  <c r="AT3246" i="1" s="1"/>
  <c r="AO3246" i="1" s="1"/>
  <c r="AK3245" i="1"/>
  <c r="AJ3245" i="1"/>
  <c r="AK3244" i="1"/>
  <c r="AJ3244" i="1"/>
  <c r="AK3243" i="1"/>
  <c r="AJ3243" i="1"/>
  <c r="AK3242" i="1"/>
  <c r="AJ3242" i="1"/>
  <c r="AK3241" i="1"/>
  <c r="AJ3241" i="1"/>
  <c r="AK3240" i="1"/>
  <c r="AJ3240" i="1"/>
  <c r="AK3239" i="1"/>
  <c r="AJ3239" i="1"/>
  <c r="AK3238" i="1"/>
  <c r="AJ3238" i="1"/>
  <c r="AK3237" i="1"/>
  <c r="AJ3237" i="1"/>
  <c r="AK3236" i="1"/>
  <c r="S3236" i="1" s="1"/>
  <c r="AT3236" i="1" s="1"/>
  <c r="AO3236" i="1" s="1"/>
  <c r="AJ3236" i="1"/>
  <c r="AK3235" i="1"/>
  <c r="AK3234" i="1"/>
  <c r="AJ3234" i="1"/>
  <c r="AK3233" i="1"/>
  <c r="AJ3233" i="1"/>
  <c r="AK3232" i="1"/>
  <c r="AJ3232" i="1"/>
  <c r="S3232" i="1" s="1"/>
  <c r="AK3231" i="1"/>
  <c r="S3231" i="1" s="1"/>
  <c r="AS3231" i="1" s="1"/>
  <c r="AN3231" i="1" s="1"/>
  <c r="AJ3231" i="1"/>
  <c r="AK3230" i="1"/>
  <c r="AJ3230" i="1"/>
  <c r="S3230" i="1" s="1"/>
  <c r="AQ3230" i="1" s="1"/>
  <c r="AL3230" i="1" s="1"/>
  <c r="AK3229" i="1"/>
  <c r="AJ3229" i="1"/>
  <c r="AK3228" i="1"/>
  <c r="AK3227" i="1"/>
  <c r="S3227" i="1" s="1"/>
  <c r="AJ3227" i="1"/>
  <c r="AK3226" i="1"/>
  <c r="AJ3226" i="1"/>
  <c r="AK3225" i="1"/>
  <c r="AJ3225" i="1"/>
  <c r="AK3224" i="1"/>
  <c r="AJ3224" i="1"/>
  <c r="AK3223" i="1"/>
  <c r="AJ3223" i="1"/>
  <c r="AK3222" i="1"/>
  <c r="AJ3222" i="1"/>
  <c r="AK3221" i="1"/>
  <c r="AJ3221" i="1"/>
  <c r="AK3220" i="1"/>
  <c r="AJ3220" i="1"/>
  <c r="AK3219" i="1"/>
  <c r="S3219" i="1" s="1"/>
  <c r="AT3219" i="1" s="1"/>
  <c r="AO3219" i="1" s="1"/>
  <c r="AJ3219" i="1"/>
  <c r="AK3218" i="1"/>
  <c r="AJ3218" i="1"/>
  <c r="AK3217" i="1"/>
  <c r="AJ3217" i="1"/>
  <c r="AK3216" i="1"/>
  <c r="AJ3216" i="1"/>
  <c r="S3216" i="1" s="1"/>
  <c r="AK3215" i="1"/>
  <c r="S3215" i="1" s="1"/>
  <c r="AK3214" i="1"/>
  <c r="S3214" i="1" s="1"/>
  <c r="AQ3214" i="1" s="1"/>
  <c r="AL3214" i="1" s="1"/>
  <c r="AJ3214" i="1"/>
  <c r="AK3213" i="1"/>
  <c r="AJ3213" i="1"/>
  <c r="S3213" i="1" s="1"/>
  <c r="AT3213" i="1" s="1"/>
  <c r="AO3213" i="1" s="1"/>
  <c r="AK3212" i="1"/>
  <c r="AJ3212" i="1"/>
  <c r="AK3211" i="1"/>
  <c r="AJ3211" i="1"/>
  <c r="S3211" i="1" s="1"/>
  <c r="AT3211" i="1" s="1"/>
  <c r="AO3211" i="1" s="1"/>
  <c r="AK3210" i="1"/>
  <c r="AJ3210" i="1"/>
  <c r="AK3209" i="1"/>
  <c r="AJ3209" i="1"/>
  <c r="AK3208" i="1"/>
  <c r="AJ3208" i="1"/>
  <c r="AK3207" i="1"/>
  <c r="AJ3207" i="1"/>
  <c r="AK3206" i="1"/>
  <c r="S3206" i="1" s="1"/>
  <c r="AT3206" i="1" s="1"/>
  <c r="AO3206" i="1" s="1"/>
  <c r="AJ3206" i="1"/>
  <c r="AK3205" i="1"/>
  <c r="AJ3205" i="1"/>
  <c r="AK3204" i="1"/>
  <c r="AJ3204" i="1"/>
  <c r="AK3203" i="1"/>
  <c r="AJ3203" i="1"/>
  <c r="S3203" i="1" s="1"/>
  <c r="AT3203" i="1" s="1"/>
  <c r="AO3203" i="1" s="1"/>
  <c r="AK3202" i="1"/>
  <c r="AJ3202" i="1"/>
  <c r="AK3201" i="1"/>
  <c r="AJ3201" i="1"/>
  <c r="AK3200" i="1"/>
  <c r="AJ3200" i="1"/>
  <c r="S3200" i="1" s="1"/>
  <c r="AK3199" i="1"/>
  <c r="AJ3199" i="1"/>
  <c r="S3199" i="1" s="1"/>
  <c r="AK3198" i="1"/>
  <c r="S3198" i="1" s="1"/>
  <c r="AR3198" i="1" s="1"/>
  <c r="AM3198" i="1" s="1"/>
  <c r="AK3197" i="1"/>
  <c r="AK3196" i="1"/>
  <c r="AJ3196" i="1"/>
  <c r="AK3195" i="1"/>
  <c r="AJ3195" i="1"/>
  <c r="AK3194" i="1"/>
  <c r="AJ3194" i="1"/>
  <c r="S3194" i="1" s="1"/>
  <c r="AK3193" i="1"/>
  <c r="AJ3193" i="1"/>
  <c r="AK3192" i="1"/>
  <c r="AJ3192" i="1"/>
  <c r="AK3191" i="1"/>
  <c r="AJ3191" i="1"/>
  <c r="AK3190" i="1"/>
  <c r="AJ3190" i="1"/>
  <c r="S3190" i="1" s="1"/>
  <c r="AT3190" i="1" s="1"/>
  <c r="AO3190" i="1" s="1"/>
  <c r="AK3189" i="1"/>
  <c r="AJ3189" i="1"/>
  <c r="AK3188" i="1"/>
  <c r="AJ3188" i="1"/>
  <c r="AK3187" i="1"/>
  <c r="AJ3187" i="1"/>
  <c r="AK3186" i="1"/>
  <c r="AJ3186" i="1"/>
  <c r="S3186" i="1" s="1"/>
  <c r="AK3185" i="1"/>
  <c r="AJ3185" i="1"/>
  <c r="AK3184" i="1"/>
  <c r="AJ3184" i="1"/>
  <c r="AK3183" i="1"/>
  <c r="AJ3183" i="1"/>
  <c r="S3183" i="1" s="1"/>
  <c r="AR3183" i="1" s="1"/>
  <c r="AM3183" i="1" s="1"/>
  <c r="AK3182" i="1"/>
  <c r="S3182" i="1" s="1"/>
  <c r="AQ3182" i="1" s="1"/>
  <c r="AL3182" i="1" s="1"/>
  <c r="AJ3182" i="1"/>
  <c r="AK3181" i="1"/>
  <c r="S3181" i="1" s="1"/>
  <c r="AQ3181" i="1" s="1"/>
  <c r="AL3181" i="1" s="1"/>
  <c r="AJ3181" i="1"/>
  <c r="AK3180" i="1"/>
  <c r="AK3179" i="1"/>
  <c r="AK3178" i="1"/>
  <c r="AJ3178" i="1"/>
  <c r="AK3177" i="1"/>
  <c r="AJ3177" i="1"/>
  <c r="AK3176" i="1"/>
  <c r="AJ3176" i="1"/>
  <c r="AK3175" i="1"/>
  <c r="AJ3175" i="1"/>
  <c r="AK3174" i="1"/>
  <c r="AJ3174" i="1"/>
  <c r="AK3173" i="1"/>
  <c r="AJ3173" i="1"/>
  <c r="BA7" i="9"/>
  <c r="AX7" i="9"/>
  <c r="V33" i="9"/>
  <c r="V34" i="9"/>
  <c r="V35" i="9"/>
  <c r="V36" i="9"/>
  <c r="V37" i="9"/>
  <c r="V32" i="9"/>
  <c r="S37" i="9"/>
  <c r="S36" i="9"/>
  <c r="S35" i="9"/>
  <c r="S34" i="9"/>
  <c r="S33" i="9"/>
  <c r="S32" i="9"/>
  <c r="BA7" i="10"/>
  <c r="AX7" i="10"/>
  <c r="V43" i="10"/>
  <c r="V44" i="10"/>
  <c r="V45" i="10"/>
  <c r="V46" i="10"/>
  <c r="V47" i="10"/>
  <c r="V48" i="10"/>
  <c r="V49" i="10"/>
  <c r="V42" i="10"/>
  <c r="S49" i="10"/>
  <c r="S48" i="10"/>
  <c r="S47" i="10"/>
  <c r="S46" i="10"/>
  <c r="S45" i="10"/>
  <c r="S44" i="10"/>
  <c r="S43" i="10"/>
  <c r="S42" i="10"/>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U3173" i="1"/>
  <c r="AU3174" i="1"/>
  <c r="AU3175" i="1"/>
  <c r="AU3176" i="1"/>
  <c r="AU3177" i="1"/>
  <c r="AP3177" i="1" s="1"/>
  <c r="AU3178" i="1"/>
  <c r="AP3178" i="1" s="1"/>
  <c r="AU3179" i="1"/>
  <c r="AP3179" i="1" s="1"/>
  <c r="AU3180" i="1"/>
  <c r="AP3180" i="1" s="1"/>
  <c r="AU3181" i="1"/>
  <c r="AU3182" i="1"/>
  <c r="AU3183" i="1"/>
  <c r="AU3184" i="1"/>
  <c r="AP3184" i="1" s="1"/>
  <c r="AU3185" i="1"/>
  <c r="AP3185" i="1" s="1"/>
  <c r="AU3186" i="1"/>
  <c r="AP3186" i="1" s="1"/>
  <c r="AU3187" i="1"/>
  <c r="AP3187" i="1" s="1"/>
  <c r="AU3188" i="1"/>
  <c r="AP3188" i="1" s="1"/>
  <c r="AU3189" i="1"/>
  <c r="AP3189" i="1" s="1"/>
  <c r="AU3190" i="1"/>
  <c r="AU3191" i="1"/>
  <c r="AP3191" i="1" s="1"/>
  <c r="AU3192" i="1"/>
  <c r="AP3192" i="1" s="1"/>
  <c r="AU3193" i="1"/>
  <c r="AP3193" i="1" s="1"/>
  <c r="AU3194" i="1"/>
  <c r="AP3194" i="1" s="1"/>
  <c r="AU3195" i="1"/>
  <c r="AP3195" i="1" s="1"/>
  <c r="AU3196" i="1"/>
  <c r="AP3196" i="1" s="1"/>
  <c r="AU3197" i="1"/>
  <c r="AP3197" i="1" s="1"/>
  <c r="AU3198" i="1"/>
  <c r="AP3198" i="1" s="1"/>
  <c r="AU3199" i="1"/>
  <c r="AP3199" i="1" s="1"/>
  <c r="AU3200" i="1"/>
  <c r="AP3200" i="1" s="1"/>
  <c r="AU3201" i="1"/>
  <c r="AP3201" i="1" s="1"/>
  <c r="AU3202" i="1"/>
  <c r="AP3202" i="1" s="1"/>
  <c r="AU3203" i="1"/>
  <c r="AP3203" i="1" s="1"/>
  <c r="AU3204" i="1"/>
  <c r="AP3204" i="1" s="1"/>
  <c r="AU3205" i="1"/>
  <c r="AU3206" i="1"/>
  <c r="AU3207" i="1"/>
  <c r="AU3208" i="1"/>
  <c r="AP3208" i="1" s="1"/>
  <c r="AU3209" i="1"/>
  <c r="AP3209" i="1" s="1"/>
  <c r="AU3210" i="1"/>
  <c r="AP3210" i="1" s="1"/>
  <c r="AU3211" i="1"/>
  <c r="AP3211" i="1" s="1"/>
  <c r="AU3212" i="1"/>
  <c r="AP3212" i="1" s="1"/>
  <c r="AU3213" i="1"/>
  <c r="AP3213" i="1" s="1"/>
  <c r="AU3214" i="1"/>
  <c r="AP3214" i="1" s="1"/>
  <c r="AU3215" i="1"/>
  <c r="AU3216" i="1"/>
  <c r="AP3216" i="1" s="1"/>
  <c r="AU3217" i="1"/>
  <c r="AP3217" i="1" s="1"/>
  <c r="AU3218" i="1"/>
  <c r="AP3218" i="1" s="1"/>
  <c r="AU3219" i="1"/>
  <c r="AP3219" i="1" s="1"/>
  <c r="AU3220" i="1"/>
  <c r="AP3220" i="1" s="1"/>
  <c r="AU3221" i="1"/>
  <c r="AU3222" i="1"/>
  <c r="AP3222" i="1" s="1"/>
  <c r="AU3223" i="1"/>
  <c r="AU3224" i="1"/>
  <c r="AP3224" i="1" s="1"/>
  <c r="AU3225" i="1"/>
  <c r="AP3225" i="1" s="1"/>
  <c r="AU3226" i="1"/>
  <c r="AP3226" i="1" s="1"/>
  <c r="AU3227" i="1"/>
  <c r="AP3227" i="1" s="1"/>
  <c r="AU3228" i="1"/>
  <c r="AP3228" i="1" s="1"/>
  <c r="AU3229" i="1"/>
  <c r="AP3229" i="1" s="1"/>
  <c r="AU3230" i="1"/>
  <c r="AP3230" i="1" s="1"/>
  <c r="AU3231" i="1"/>
  <c r="AP3231" i="1" s="1"/>
  <c r="AU3232" i="1"/>
  <c r="AP3232" i="1" s="1"/>
  <c r="AU3233" i="1"/>
  <c r="AP3233" i="1" s="1"/>
  <c r="AU3234" i="1"/>
  <c r="AP3234" i="1" s="1"/>
  <c r="AU3235" i="1"/>
  <c r="AP3235" i="1" s="1"/>
  <c r="AU3236" i="1"/>
  <c r="AP3236" i="1" s="1"/>
  <c r="AU3237" i="1"/>
  <c r="AU3238" i="1"/>
  <c r="AU3239" i="1"/>
  <c r="AU3240" i="1"/>
  <c r="AU3241" i="1"/>
  <c r="AP3241" i="1" s="1"/>
  <c r="AU3242" i="1"/>
  <c r="AP3242" i="1" s="1"/>
  <c r="AU3243" i="1"/>
  <c r="AP3243" i="1" s="1"/>
  <c r="AU3244" i="1"/>
  <c r="AP3244" i="1" s="1"/>
  <c r="AU3245" i="1"/>
  <c r="AU3246" i="1"/>
  <c r="AP3246" i="1" s="1"/>
  <c r="AU3247" i="1"/>
  <c r="AP3247" i="1" s="1"/>
  <c r="AU3248" i="1"/>
  <c r="AP3248" i="1" s="1"/>
  <c r="AU3249" i="1"/>
  <c r="AP3249" i="1" s="1"/>
  <c r="AU3250" i="1"/>
  <c r="AP3250" i="1" s="1"/>
  <c r="AU3251" i="1"/>
  <c r="AP3251" i="1" s="1"/>
  <c r="AU3252" i="1"/>
  <c r="AP3252" i="1" s="1"/>
  <c r="AU3253" i="1"/>
  <c r="AP3253" i="1" s="1"/>
  <c r="AU3254" i="1"/>
  <c r="AU3255" i="1"/>
  <c r="AP3255" i="1" s="1"/>
  <c r="AU3256" i="1"/>
  <c r="AP3256" i="1" s="1"/>
  <c r="AU3257" i="1"/>
  <c r="AP3257" i="1" s="1"/>
  <c r="AU3258" i="1"/>
  <c r="AP3258" i="1" s="1"/>
  <c r="AU3259" i="1"/>
  <c r="AP3259" i="1" s="1"/>
  <c r="AU3260" i="1"/>
  <c r="AP3260" i="1" s="1"/>
  <c r="AU3261" i="1"/>
  <c r="AP3261" i="1" s="1"/>
  <c r="AU3262" i="1"/>
  <c r="AP3262" i="1" s="1"/>
  <c r="AU3263" i="1"/>
  <c r="AP3263" i="1" s="1"/>
  <c r="AU3264" i="1"/>
  <c r="AP3264" i="1" s="1"/>
  <c r="AU3265" i="1"/>
  <c r="AP3265" i="1" s="1"/>
  <c r="AU3266" i="1"/>
  <c r="AP3266" i="1" s="1"/>
  <c r="AU3267" i="1"/>
  <c r="AP3267" i="1" s="1"/>
  <c r="AU3268" i="1"/>
  <c r="AP3268" i="1" s="1"/>
  <c r="AU3269" i="1"/>
  <c r="AP3269" i="1" s="1"/>
  <c r="AT3217" i="1"/>
  <c r="AO3217" i="1" s="1"/>
  <c r="AT3264" i="1"/>
  <c r="AO3264" i="1" s="1"/>
  <c r="AS3217" i="1"/>
  <c r="AN3217" i="1" s="1"/>
  <c r="AS3221" i="1"/>
  <c r="AN3221" i="1" s="1"/>
  <c r="AR3247" i="1"/>
  <c r="AM3247" i="1" s="1"/>
  <c r="AQ3221" i="1"/>
  <c r="AL3221" i="1" s="1"/>
  <c r="AP3173" i="1"/>
  <c r="AP3174" i="1"/>
  <c r="AP3175" i="1"/>
  <c r="AP3176" i="1"/>
  <c r="AP3181" i="1"/>
  <c r="AP3182" i="1"/>
  <c r="AP3183" i="1"/>
  <c r="AP3190" i="1"/>
  <c r="AP3205" i="1"/>
  <c r="AP3206" i="1"/>
  <c r="AP3207" i="1"/>
  <c r="AP3215" i="1"/>
  <c r="AP3221" i="1"/>
  <c r="AP3223" i="1"/>
  <c r="AP3237" i="1"/>
  <c r="AP3238" i="1"/>
  <c r="AP3239" i="1"/>
  <c r="AP3240" i="1"/>
  <c r="AP3245" i="1"/>
  <c r="AP3254"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U3173" i="1"/>
  <c r="W3173" i="1" s="1"/>
  <c r="U3174" i="1"/>
  <c r="W3174" i="1" s="1"/>
  <c r="U3175" i="1"/>
  <c r="W3175" i="1" s="1"/>
  <c r="U3176" i="1"/>
  <c r="W3176" i="1" s="1"/>
  <c r="U3177" i="1"/>
  <c r="W3177" i="1" s="1"/>
  <c r="U3178" i="1"/>
  <c r="W3178" i="1" s="1"/>
  <c r="U3179" i="1"/>
  <c r="W3179" i="1" s="1"/>
  <c r="U3180" i="1"/>
  <c r="W3180" i="1" s="1"/>
  <c r="U3204" i="1"/>
  <c r="W3204" i="1" s="1"/>
  <c r="U3205" i="1"/>
  <c r="W3205" i="1" s="1"/>
  <c r="U3206" i="1"/>
  <c r="W3206" i="1" s="1"/>
  <c r="U3207" i="1"/>
  <c r="W3207" i="1" s="1"/>
  <c r="U3208" i="1"/>
  <c r="W3208" i="1" s="1"/>
  <c r="U3209" i="1"/>
  <c r="W3209" i="1" s="1"/>
  <c r="U3210" i="1"/>
  <c r="W3210" i="1" s="1"/>
  <c r="U3211" i="1"/>
  <c r="W3211" i="1" s="1"/>
  <c r="U3212" i="1"/>
  <c r="W3212" i="1" s="1"/>
  <c r="U3213" i="1"/>
  <c r="W3213" i="1" s="1"/>
  <c r="U3217" i="1"/>
  <c r="W3217" i="1" s="1"/>
  <c r="U3218" i="1"/>
  <c r="W3218" i="1" s="1"/>
  <c r="U3219" i="1"/>
  <c r="W3219" i="1" s="1"/>
  <c r="U3220" i="1"/>
  <c r="W3220" i="1" s="1"/>
  <c r="U3221" i="1"/>
  <c r="W3221" i="1" s="1"/>
  <c r="U3222" i="1"/>
  <c r="W3222" i="1" s="1"/>
  <c r="U3223" i="1"/>
  <c r="W3223" i="1" s="1"/>
  <c r="U3224" i="1"/>
  <c r="W3224" i="1" s="1"/>
  <c r="U3225" i="1"/>
  <c r="W3225" i="1" s="1"/>
  <c r="U3226" i="1"/>
  <c r="W3226" i="1" s="1"/>
  <c r="U3230" i="1"/>
  <c r="W3230" i="1" s="1"/>
  <c r="U3231" i="1"/>
  <c r="W3231" i="1" s="1"/>
  <c r="U3232" i="1"/>
  <c r="W3232" i="1" s="1"/>
  <c r="U3233" i="1"/>
  <c r="W3233" i="1" s="1"/>
  <c r="U3234" i="1"/>
  <c r="W3234" i="1" s="1"/>
  <c r="U3237" i="1"/>
  <c r="W3237" i="1" s="1"/>
  <c r="U3238" i="1"/>
  <c r="W3238" i="1" s="1"/>
  <c r="U3239" i="1"/>
  <c r="W3239" i="1" s="1"/>
  <c r="U3240" i="1"/>
  <c r="W3240" i="1" s="1"/>
  <c r="U3241" i="1"/>
  <c r="W3241" i="1" s="1"/>
  <c r="U3242" i="1"/>
  <c r="W3242" i="1" s="1"/>
  <c r="U3243" i="1"/>
  <c r="W3243" i="1" s="1"/>
  <c r="U3244" i="1"/>
  <c r="W3244" i="1" s="1"/>
  <c r="U3245" i="1"/>
  <c r="W3245" i="1" s="1"/>
  <c r="U3246" i="1"/>
  <c r="W3246" i="1" s="1"/>
  <c r="U3250" i="1"/>
  <c r="W3250" i="1" s="1"/>
  <c r="U3251" i="1"/>
  <c r="W3251" i="1" s="1"/>
  <c r="U3252" i="1"/>
  <c r="W3252" i="1" s="1"/>
  <c r="U3253" i="1"/>
  <c r="W3253" i="1" s="1"/>
  <c r="U3254" i="1"/>
  <c r="W3254" i="1" s="1"/>
  <c r="U3255" i="1"/>
  <c r="W3255" i="1" s="1"/>
  <c r="U3256" i="1"/>
  <c r="W3256" i="1" s="1"/>
  <c r="U3257" i="1"/>
  <c r="W3257" i="1" s="1"/>
  <c r="U3258" i="1"/>
  <c r="W3258" i="1" s="1"/>
  <c r="U3259" i="1"/>
  <c r="W3259" i="1" s="1"/>
  <c r="U3263" i="1"/>
  <c r="W3263" i="1" s="1"/>
  <c r="U3264" i="1"/>
  <c r="W3264" i="1" s="1"/>
  <c r="U3265" i="1"/>
  <c r="W3265" i="1" s="1"/>
  <c r="U3266" i="1"/>
  <c r="W3266" i="1" s="1"/>
  <c r="S3173" i="1"/>
  <c r="AT3173" i="1" s="1"/>
  <c r="AO3173" i="1" s="1"/>
  <c r="S3174" i="1"/>
  <c r="AT3174" i="1" s="1"/>
  <c r="AO3174" i="1" s="1"/>
  <c r="S3175" i="1"/>
  <c r="AT3175" i="1" s="1"/>
  <c r="AO3175" i="1" s="1"/>
  <c r="S3176" i="1"/>
  <c r="AT3176" i="1" s="1"/>
  <c r="AO3176" i="1" s="1"/>
  <c r="S3177" i="1"/>
  <c r="AR3177" i="1" s="1"/>
  <c r="AM3177" i="1" s="1"/>
  <c r="S3178" i="1"/>
  <c r="AR3178" i="1" s="1"/>
  <c r="AM3178" i="1" s="1"/>
  <c r="S3179" i="1"/>
  <c r="AT3179" i="1" s="1"/>
  <c r="AO3179" i="1" s="1"/>
  <c r="S3180" i="1"/>
  <c r="AT3180" i="1" s="1"/>
  <c r="AO3180" i="1" s="1"/>
  <c r="S3184" i="1"/>
  <c r="AQ3184" i="1" s="1"/>
  <c r="AL3184" i="1" s="1"/>
  <c r="S3185" i="1"/>
  <c r="AR3185" i="1" s="1"/>
  <c r="AM3185" i="1" s="1"/>
  <c r="S3187" i="1"/>
  <c r="AT3187" i="1" s="1"/>
  <c r="AO3187" i="1" s="1"/>
  <c r="S3188" i="1"/>
  <c r="AR3188" i="1" s="1"/>
  <c r="AM3188" i="1" s="1"/>
  <c r="S3189" i="1"/>
  <c r="AT3189" i="1" s="1"/>
  <c r="AO3189" i="1" s="1"/>
  <c r="S3191" i="1"/>
  <c r="AT3191" i="1" s="1"/>
  <c r="AO3191" i="1" s="1"/>
  <c r="S3192" i="1"/>
  <c r="AT3192" i="1" s="1"/>
  <c r="AO3192" i="1" s="1"/>
  <c r="S3193" i="1"/>
  <c r="AR3193" i="1" s="1"/>
  <c r="AM3193" i="1" s="1"/>
  <c r="S3195" i="1"/>
  <c r="U3195" i="1" s="1"/>
  <c r="W3195" i="1" s="1"/>
  <c r="S3196" i="1"/>
  <c r="U3196" i="1" s="1"/>
  <c r="W3196" i="1" s="1"/>
  <c r="S3197" i="1"/>
  <c r="AT3197" i="1" s="1"/>
  <c r="AO3197" i="1" s="1"/>
  <c r="S3201" i="1"/>
  <c r="AR3201" i="1" s="1"/>
  <c r="AM3201" i="1" s="1"/>
  <c r="S3202" i="1"/>
  <c r="AS3202" i="1" s="1"/>
  <c r="AN3202" i="1" s="1"/>
  <c r="S3204" i="1"/>
  <c r="AT3204" i="1" s="1"/>
  <c r="AO3204" i="1" s="1"/>
  <c r="S3205" i="1"/>
  <c r="AT3205" i="1" s="1"/>
  <c r="AO3205" i="1" s="1"/>
  <c r="S3207" i="1"/>
  <c r="AT3207" i="1" s="1"/>
  <c r="AO3207" i="1" s="1"/>
  <c r="S3208" i="1"/>
  <c r="AT3208" i="1" s="1"/>
  <c r="AO3208" i="1" s="1"/>
  <c r="S3209" i="1"/>
  <c r="AT3209" i="1" s="1"/>
  <c r="AO3209" i="1" s="1"/>
  <c r="S3210" i="1"/>
  <c r="AR3210" i="1" s="1"/>
  <c r="AM3210" i="1" s="1"/>
  <c r="S3212" i="1"/>
  <c r="AT3212" i="1" s="1"/>
  <c r="AO3212" i="1" s="1"/>
  <c r="S3217" i="1"/>
  <c r="AR3217" i="1" s="1"/>
  <c r="AM3217" i="1" s="1"/>
  <c r="S3218" i="1"/>
  <c r="AS3218" i="1" s="1"/>
  <c r="AN3218" i="1" s="1"/>
  <c r="S3220" i="1"/>
  <c r="AT3220" i="1" s="1"/>
  <c r="AO3220" i="1" s="1"/>
  <c r="S3221" i="1"/>
  <c r="AT3221" i="1" s="1"/>
  <c r="AO3221" i="1" s="1"/>
  <c r="S3222" i="1"/>
  <c r="AT3222" i="1" s="1"/>
  <c r="AO3222" i="1" s="1"/>
  <c r="S3223" i="1"/>
  <c r="AT3223" i="1" s="1"/>
  <c r="AO3223" i="1" s="1"/>
  <c r="S3224" i="1"/>
  <c r="AT3224" i="1" s="1"/>
  <c r="AO3224" i="1" s="1"/>
  <c r="S3225" i="1"/>
  <c r="AR3225" i="1" s="1"/>
  <c r="AM3225" i="1" s="1"/>
  <c r="S3226" i="1"/>
  <c r="AR3226" i="1" s="1"/>
  <c r="AM3226" i="1" s="1"/>
  <c r="S3228" i="1"/>
  <c r="S3229" i="1"/>
  <c r="AQ3229" i="1" s="1"/>
  <c r="AL3229" i="1" s="1"/>
  <c r="S3233" i="1"/>
  <c r="AR3233" i="1" s="1"/>
  <c r="AM3233" i="1" s="1"/>
  <c r="S3234" i="1"/>
  <c r="AS3234" i="1" s="1"/>
  <c r="AN3234" i="1" s="1"/>
  <c r="S3235" i="1"/>
  <c r="AT3235" i="1" s="1"/>
  <c r="AO3235" i="1" s="1"/>
  <c r="S3237" i="1"/>
  <c r="AT3237" i="1" s="1"/>
  <c r="AO3237" i="1" s="1"/>
  <c r="S3238" i="1"/>
  <c r="AT3238" i="1" s="1"/>
  <c r="AO3238" i="1" s="1"/>
  <c r="S3239" i="1"/>
  <c r="AT3239" i="1" s="1"/>
  <c r="AO3239" i="1" s="1"/>
  <c r="S3240" i="1"/>
  <c r="AQ3240" i="1" s="1"/>
  <c r="AL3240" i="1" s="1"/>
  <c r="S3241" i="1"/>
  <c r="AT3241" i="1" s="1"/>
  <c r="AO3241" i="1" s="1"/>
  <c r="S3242" i="1"/>
  <c r="AR3242" i="1" s="1"/>
  <c r="AM3242" i="1" s="1"/>
  <c r="S3243" i="1"/>
  <c r="AT3243" i="1" s="1"/>
  <c r="AO3243" i="1" s="1"/>
  <c r="S3244" i="1"/>
  <c r="AT3244" i="1" s="1"/>
  <c r="AO3244" i="1" s="1"/>
  <c r="S3245" i="1"/>
  <c r="AQ3245" i="1" s="1"/>
  <c r="AL3245" i="1" s="1"/>
  <c r="S3247" i="1"/>
  <c r="S3249" i="1"/>
  <c r="AR3249" i="1" s="1"/>
  <c r="AM3249" i="1" s="1"/>
  <c r="S3250" i="1"/>
  <c r="AS3250" i="1" s="1"/>
  <c r="AN3250" i="1" s="1"/>
  <c r="S3251" i="1"/>
  <c r="AT3251" i="1" s="1"/>
  <c r="AO3251" i="1" s="1"/>
  <c r="S3252" i="1"/>
  <c r="AT3252" i="1" s="1"/>
  <c r="AO3252" i="1" s="1"/>
  <c r="S3254" i="1"/>
  <c r="AT3254" i="1" s="1"/>
  <c r="AO3254" i="1" s="1"/>
  <c r="S3255" i="1"/>
  <c r="AT3255" i="1" s="1"/>
  <c r="AO3255" i="1" s="1"/>
  <c r="S3256" i="1"/>
  <c r="AQ3256" i="1" s="1"/>
  <c r="AL3256" i="1" s="1"/>
  <c r="S3257" i="1"/>
  <c r="AR3257" i="1" s="1"/>
  <c r="AM3257" i="1" s="1"/>
  <c r="S3258" i="1"/>
  <c r="AR3258" i="1" s="1"/>
  <c r="AM3258" i="1" s="1"/>
  <c r="S3259" i="1"/>
  <c r="AT3259" i="1" s="1"/>
  <c r="AO3259" i="1" s="1"/>
  <c r="S3260" i="1"/>
  <c r="AT3260" i="1" s="1"/>
  <c r="AO3260" i="1" s="1"/>
  <c r="S3264" i="1"/>
  <c r="AQ3264" i="1" s="1"/>
  <c r="AL3264" i="1" s="1"/>
  <c r="S3265" i="1"/>
  <c r="AR3265" i="1" s="1"/>
  <c r="AM3265" i="1" s="1"/>
  <c r="S3266" i="1"/>
  <c r="AS3266" i="1" s="1"/>
  <c r="AN3266" i="1" s="1"/>
  <c r="S3267" i="1"/>
  <c r="AT3267" i="1" s="1"/>
  <c r="AO3267" i="1" s="1"/>
  <c r="S3268" i="1"/>
  <c r="AQ3268" i="1" s="1"/>
  <c r="AL3268" i="1" s="1"/>
  <c r="S3269" i="1"/>
  <c r="AT3269" i="1" s="1"/>
  <c r="AO3269" i="1" s="1"/>
  <c r="U3199" i="1" l="1"/>
  <c r="W3199" i="1" s="1"/>
  <c r="AQ3362" i="1"/>
  <c r="AL3362" i="1" s="1"/>
  <c r="AR3301" i="1"/>
  <c r="AM3301" i="1" s="1"/>
  <c r="U3312" i="1"/>
  <c r="W3312" i="1" s="1"/>
  <c r="AQ3283" i="1"/>
  <c r="AL3283" i="1" s="1"/>
  <c r="U3332" i="1"/>
  <c r="W3332" i="1" s="1"/>
  <c r="AQ3281" i="1"/>
  <c r="AL3281" i="1" s="1"/>
  <c r="AQ3279" i="1"/>
  <c r="AL3279" i="1" s="1"/>
  <c r="AT3318" i="1"/>
  <c r="AO3318" i="1" s="1"/>
  <c r="AS3364" i="1"/>
  <c r="AN3364" i="1" s="1"/>
  <c r="AS3318" i="1"/>
  <c r="AN3318" i="1" s="1"/>
  <c r="AS3317" i="1"/>
  <c r="AN3317" i="1" s="1"/>
  <c r="U3291" i="1"/>
  <c r="W3291" i="1" s="1"/>
  <c r="AR3362" i="1"/>
  <c r="AM3362" i="1" s="1"/>
  <c r="AT3310" i="1"/>
  <c r="AO3310" i="1" s="1"/>
  <c r="AS3310" i="1"/>
  <c r="AN3310" i="1" s="1"/>
  <c r="AT3342" i="1"/>
  <c r="AO3342" i="1" s="1"/>
  <c r="AS3342" i="1"/>
  <c r="AN3342" i="1" s="1"/>
  <c r="AT3326" i="1"/>
  <c r="AO3326" i="1" s="1"/>
  <c r="AS3326" i="1"/>
  <c r="AN3326" i="1" s="1"/>
  <c r="AT3296" i="1"/>
  <c r="AO3296" i="1" s="1"/>
  <c r="U3296" i="1"/>
  <c r="W3296" i="1" s="1"/>
  <c r="AT3305" i="1"/>
  <c r="AO3305" i="1" s="1"/>
  <c r="AQ3305" i="1"/>
  <c r="AL3305" i="1" s="1"/>
  <c r="AS3351" i="1"/>
  <c r="AN3351" i="1" s="1"/>
  <c r="AT3351" i="1"/>
  <c r="AO3351" i="1" s="1"/>
  <c r="AT3345" i="1"/>
  <c r="AO3345" i="1" s="1"/>
  <c r="U3346" i="1"/>
  <c r="W3346" i="1" s="1"/>
  <c r="AQ3345" i="1"/>
  <c r="AL3345" i="1" s="1"/>
  <c r="AT3295" i="1"/>
  <c r="AO3295" i="1" s="1"/>
  <c r="AQ3295" i="1"/>
  <c r="AL3295" i="1" s="1"/>
  <c r="AT3330" i="1"/>
  <c r="AO3330" i="1" s="1"/>
  <c r="AR3330" i="1"/>
  <c r="AM3330" i="1" s="1"/>
  <c r="AQ3330" i="1"/>
  <c r="AL3330" i="1" s="1"/>
  <c r="AR3316" i="1"/>
  <c r="AM3316" i="1" s="1"/>
  <c r="AT3316" i="1"/>
  <c r="AO3316" i="1" s="1"/>
  <c r="AQ3316" i="1"/>
  <c r="AL3316" i="1" s="1"/>
  <c r="AS3316" i="1"/>
  <c r="AN3316" i="1" s="1"/>
  <c r="U3300" i="1"/>
  <c r="W3300" i="1" s="1"/>
  <c r="AQ3300" i="1"/>
  <c r="AL3300" i="1" s="1"/>
  <c r="AS3300" i="1"/>
  <c r="AN3300" i="1" s="1"/>
  <c r="AT3300" i="1"/>
  <c r="AO3300" i="1" s="1"/>
  <c r="AR3300" i="1"/>
  <c r="AM3300" i="1" s="1"/>
  <c r="AT3361" i="1"/>
  <c r="AO3361" i="1" s="1"/>
  <c r="AQ3361" i="1"/>
  <c r="AL3361" i="1" s="1"/>
  <c r="AQ3327" i="1"/>
  <c r="AL3327" i="1" s="1"/>
  <c r="AQ3282" i="1"/>
  <c r="AL3282" i="1" s="1"/>
  <c r="AR3349" i="1"/>
  <c r="AM3349" i="1" s="1"/>
  <c r="AS3366" i="1"/>
  <c r="AN3366" i="1" s="1"/>
  <c r="AT3303" i="1"/>
  <c r="AO3303" i="1" s="1"/>
  <c r="AR3306" i="1"/>
  <c r="AM3306" i="1" s="1"/>
  <c r="AQ3363" i="1"/>
  <c r="AL3363" i="1" s="1"/>
  <c r="AQ3321" i="1"/>
  <c r="AL3321" i="1" s="1"/>
  <c r="AR3299" i="1"/>
  <c r="AM3299" i="1" s="1"/>
  <c r="AS3365" i="1"/>
  <c r="AN3365" i="1" s="1"/>
  <c r="AS3315" i="1"/>
  <c r="AN3315" i="1" s="1"/>
  <c r="AT3302" i="1"/>
  <c r="AO3302" i="1" s="1"/>
  <c r="AR3347" i="1"/>
  <c r="AM3347" i="1" s="1"/>
  <c r="AR3298" i="1"/>
  <c r="AM3298" i="1" s="1"/>
  <c r="AQ3315" i="1"/>
  <c r="AL3315" i="1" s="1"/>
  <c r="AR3346" i="1"/>
  <c r="AM3346" i="1" s="1"/>
  <c r="AR3290" i="1"/>
  <c r="AM3290" i="1" s="1"/>
  <c r="AS3363" i="1"/>
  <c r="AN3363" i="1" s="1"/>
  <c r="AS3302" i="1"/>
  <c r="AN3302" i="1" s="1"/>
  <c r="AT3287" i="1"/>
  <c r="AO3287" i="1" s="1"/>
  <c r="U3364" i="1"/>
  <c r="W3364" i="1" s="1"/>
  <c r="AQ3359" i="1"/>
  <c r="AL3359" i="1" s="1"/>
  <c r="AQ3314" i="1"/>
  <c r="AL3314" i="1" s="1"/>
  <c r="AR3338" i="1"/>
  <c r="AM3338" i="1" s="1"/>
  <c r="AR3285" i="1"/>
  <c r="AM3285" i="1" s="1"/>
  <c r="AS3350" i="1"/>
  <c r="AN3350" i="1" s="1"/>
  <c r="AS3301" i="1"/>
  <c r="AN3301" i="1" s="1"/>
  <c r="AT3284" i="1"/>
  <c r="AO3284" i="1" s="1"/>
  <c r="AQ3353" i="1"/>
  <c r="AL3353" i="1" s="1"/>
  <c r="AQ3313" i="1"/>
  <c r="AL3313" i="1" s="1"/>
  <c r="AR3333" i="1"/>
  <c r="AM3333" i="1" s="1"/>
  <c r="AS3349" i="1"/>
  <c r="AN3349" i="1" s="1"/>
  <c r="AT3366" i="1"/>
  <c r="AO3366" i="1" s="1"/>
  <c r="U3290" i="1"/>
  <c r="W3290" i="1" s="1"/>
  <c r="AQ3348" i="1"/>
  <c r="AL3348" i="1" s="1"/>
  <c r="AQ3311" i="1"/>
  <c r="AL3311" i="1" s="1"/>
  <c r="AR3332" i="1"/>
  <c r="AM3332" i="1" s="1"/>
  <c r="AR3283" i="1"/>
  <c r="AM3283" i="1" s="1"/>
  <c r="AS3348" i="1"/>
  <c r="AN3348" i="1" s="1"/>
  <c r="AS3299" i="1"/>
  <c r="AN3299" i="1" s="1"/>
  <c r="AT3364" i="1"/>
  <c r="AO3364" i="1" s="1"/>
  <c r="U3359" i="1"/>
  <c r="W3359" i="1" s="1"/>
  <c r="AQ3347" i="1"/>
  <c r="AL3347" i="1" s="1"/>
  <c r="AR3331" i="1"/>
  <c r="AM3331" i="1" s="1"/>
  <c r="AR3282" i="1"/>
  <c r="AM3282" i="1" s="1"/>
  <c r="AS3347" i="1"/>
  <c r="AN3347" i="1" s="1"/>
  <c r="AS3294" i="1"/>
  <c r="AN3294" i="1" s="1"/>
  <c r="U3326" i="1"/>
  <c r="W3326" i="1" s="1"/>
  <c r="U3294" i="1"/>
  <c r="W3294" i="1" s="1"/>
  <c r="AQ3346" i="1"/>
  <c r="AL3346" i="1" s="1"/>
  <c r="AS3286" i="1"/>
  <c r="AN3286" i="1" s="1"/>
  <c r="AT3350" i="1"/>
  <c r="AO3350" i="1" s="1"/>
  <c r="U3301" i="1"/>
  <c r="W3301" i="1" s="1"/>
  <c r="AQ3299" i="1"/>
  <c r="AL3299" i="1" s="1"/>
  <c r="AR3322" i="1"/>
  <c r="AM3322" i="1" s="1"/>
  <c r="AS3334" i="1"/>
  <c r="AN3334" i="1" s="1"/>
  <c r="AS3285" i="1"/>
  <c r="AN3285" i="1" s="1"/>
  <c r="AQ3343" i="1"/>
  <c r="AL3343" i="1" s="1"/>
  <c r="AQ3298" i="1"/>
  <c r="AL3298" i="1" s="1"/>
  <c r="AR3317" i="1"/>
  <c r="AM3317" i="1" s="1"/>
  <c r="AS3333" i="1"/>
  <c r="AN3333" i="1" s="1"/>
  <c r="AT3335" i="1"/>
  <c r="AO3335" i="1" s="1"/>
  <c r="AR3354" i="1"/>
  <c r="AM3354" i="1" s="1"/>
  <c r="U3299" i="1"/>
  <c r="W3299" i="1" s="1"/>
  <c r="AQ3337" i="1"/>
  <c r="AL3337" i="1" s="1"/>
  <c r="AQ3297" i="1"/>
  <c r="AL3297" i="1" s="1"/>
  <c r="AR3365" i="1"/>
  <c r="AM3365" i="1" s="1"/>
  <c r="AS3332" i="1"/>
  <c r="AN3332" i="1" s="1"/>
  <c r="AS3283" i="1"/>
  <c r="AN3283" i="1" s="1"/>
  <c r="AT3334" i="1"/>
  <c r="AO3334" i="1" s="1"/>
  <c r="U3298" i="1"/>
  <c r="W3298" i="1" s="1"/>
  <c r="AQ3332" i="1"/>
  <c r="AL3332" i="1" s="1"/>
  <c r="AR3315" i="1"/>
  <c r="AM3315" i="1" s="1"/>
  <c r="AS3331" i="1"/>
  <c r="AN3331" i="1" s="1"/>
  <c r="AS3278" i="1"/>
  <c r="AN3278" i="1" s="1"/>
  <c r="U3333" i="1"/>
  <c r="W3333" i="1" s="1"/>
  <c r="U3314" i="1"/>
  <c r="W3314" i="1" s="1"/>
  <c r="AQ3331" i="1"/>
  <c r="AL3331" i="1" s="1"/>
  <c r="AQ3289" i="1"/>
  <c r="AL3289" i="1" s="1"/>
  <c r="AR3363" i="1"/>
  <c r="AM3363" i="1" s="1"/>
  <c r="AR3314" i="1"/>
  <c r="AM3314" i="1" s="1"/>
  <c r="AT3319" i="1"/>
  <c r="AO3319" i="1" s="1"/>
  <c r="AT3365" i="1"/>
  <c r="AO3365" i="1" s="1"/>
  <c r="AT3349" i="1"/>
  <c r="AO3349" i="1" s="1"/>
  <c r="AT3333" i="1"/>
  <c r="AO3333" i="1" s="1"/>
  <c r="AT3317" i="1"/>
  <c r="AO3317" i="1" s="1"/>
  <c r="AT3301" i="1"/>
  <c r="AO3301" i="1" s="1"/>
  <c r="AT3285" i="1"/>
  <c r="AO3285" i="1" s="1"/>
  <c r="U3347" i="1"/>
  <c r="W3347" i="1" s="1"/>
  <c r="U3313" i="1"/>
  <c r="W3313" i="1" s="1"/>
  <c r="U3297" i="1"/>
  <c r="W3297" i="1" s="1"/>
  <c r="AQ3360" i="1"/>
  <c r="AL3360" i="1" s="1"/>
  <c r="AQ3344" i="1"/>
  <c r="AL3344" i="1" s="1"/>
  <c r="AQ3328" i="1"/>
  <c r="AL3328" i="1" s="1"/>
  <c r="AQ3312" i="1"/>
  <c r="AL3312" i="1" s="1"/>
  <c r="AQ3296" i="1"/>
  <c r="AL3296" i="1" s="1"/>
  <c r="AQ3280" i="1"/>
  <c r="AL3280" i="1" s="1"/>
  <c r="AR3361" i="1"/>
  <c r="AM3361" i="1" s="1"/>
  <c r="AR3345" i="1"/>
  <c r="AM3345" i="1" s="1"/>
  <c r="AR3329" i="1"/>
  <c r="AM3329" i="1" s="1"/>
  <c r="AR3313" i="1"/>
  <c r="AM3313" i="1" s="1"/>
  <c r="AR3297" i="1"/>
  <c r="AM3297" i="1" s="1"/>
  <c r="AR3281" i="1"/>
  <c r="AM3281" i="1" s="1"/>
  <c r="AS3362" i="1"/>
  <c r="AN3362" i="1" s="1"/>
  <c r="AS3346" i="1"/>
  <c r="AN3346" i="1" s="1"/>
  <c r="AS3330" i="1"/>
  <c r="AN3330" i="1" s="1"/>
  <c r="AS3314" i="1"/>
  <c r="AN3314" i="1" s="1"/>
  <c r="AS3298" i="1"/>
  <c r="AN3298" i="1" s="1"/>
  <c r="AS3282" i="1"/>
  <c r="AN3282" i="1" s="1"/>
  <c r="AR3360" i="1"/>
  <c r="AM3360" i="1" s="1"/>
  <c r="AR3344" i="1"/>
  <c r="AM3344" i="1" s="1"/>
  <c r="AR3328" i="1"/>
  <c r="AM3328" i="1" s="1"/>
  <c r="AR3312" i="1"/>
  <c r="AM3312" i="1" s="1"/>
  <c r="AR3296" i="1"/>
  <c r="AM3296" i="1" s="1"/>
  <c r="AR3280" i="1"/>
  <c r="AM3280" i="1" s="1"/>
  <c r="AS3361" i="1"/>
  <c r="AN3361" i="1" s="1"/>
  <c r="AS3345" i="1"/>
  <c r="AN3345" i="1" s="1"/>
  <c r="AS3329" i="1"/>
  <c r="AN3329" i="1" s="1"/>
  <c r="AS3313" i="1"/>
  <c r="AN3313" i="1" s="1"/>
  <c r="AS3297" i="1"/>
  <c r="AN3297" i="1" s="1"/>
  <c r="AS3281" i="1"/>
  <c r="AN3281" i="1" s="1"/>
  <c r="U3345" i="1"/>
  <c r="W3345" i="1" s="1"/>
  <c r="U3295" i="1"/>
  <c r="W3295" i="1" s="1"/>
  <c r="U3293" i="1"/>
  <c r="W3293" i="1" s="1"/>
  <c r="AQ3358" i="1"/>
  <c r="AL3358" i="1" s="1"/>
  <c r="AQ3342" i="1"/>
  <c r="AL3342" i="1" s="1"/>
  <c r="AQ3326" i="1"/>
  <c r="AL3326" i="1" s="1"/>
  <c r="AQ3310" i="1"/>
  <c r="AL3310" i="1" s="1"/>
  <c r="AQ3294" i="1"/>
  <c r="AL3294" i="1" s="1"/>
  <c r="AQ3278" i="1"/>
  <c r="AL3278" i="1" s="1"/>
  <c r="AR3359" i="1"/>
  <c r="AM3359" i="1" s="1"/>
  <c r="AR3343" i="1"/>
  <c r="AM3343" i="1" s="1"/>
  <c r="AR3327" i="1"/>
  <c r="AM3327" i="1" s="1"/>
  <c r="AR3311" i="1"/>
  <c r="AM3311" i="1" s="1"/>
  <c r="AR3295" i="1"/>
  <c r="AM3295" i="1" s="1"/>
  <c r="AR3279" i="1"/>
  <c r="AM3279" i="1" s="1"/>
  <c r="AS3360" i="1"/>
  <c r="AN3360" i="1" s="1"/>
  <c r="AS3344" i="1"/>
  <c r="AN3344" i="1" s="1"/>
  <c r="AS3328" i="1"/>
  <c r="AN3328" i="1" s="1"/>
  <c r="AS3312" i="1"/>
  <c r="AN3312" i="1" s="1"/>
  <c r="AS3296" i="1"/>
  <c r="AN3296" i="1" s="1"/>
  <c r="AS3280" i="1"/>
  <c r="AN3280" i="1" s="1"/>
  <c r="AT3286" i="1"/>
  <c r="AO3286" i="1" s="1"/>
  <c r="U3360" i="1"/>
  <c r="W3360" i="1" s="1"/>
  <c r="U3327" i="1"/>
  <c r="W3327" i="1" s="1"/>
  <c r="U3292" i="1"/>
  <c r="W3292" i="1" s="1"/>
  <c r="AQ3357" i="1"/>
  <c r="AL3357" i="1" s="1"/>
  <c r="AQ3341" i="1"/>
  <c r="AL3341" i="1" s="1"/>
  <c r="AQ3325" i="1"/>
  <c r="AL3325" i="1" s="1"/>
  <c r="AQ3309" i="1"/>
  <c r="AL3309" i="1" s="1"/>
  <c r="AQ3293" i="1"/>
  <c r="AL3293" i="1" s="1"/>
  <c r="AR3358" i="1"/>
  <c r="AM3358" i="1" s="1"/>
  <c r="AR3342" i="1"/>
  <c r="AM3342" i="1" s="1"/>
  <c r="AR3326" i="1"/>
  <c r="AM3326" i="1" s="1"/>
  <c r="AR3310" i="1"/>
  <c r="AM3310" i="1" s="1"/>
  <c r="AR3294" i="1"/>
  <c r="AM3294" i="1" s="1"/>
  <c r="AR3278" i="1"/>
  <c r="AM3278" i="1" s="1"/>
  <c r="AS3359" i="1"/>
  <c r="AN3359" i="1" s="1"/>
  <c r="AS3343" i="1"/>
  <c r="AN3343" i="1" s="1"/>
  <c r="AS3327" i="1"/>
  <c r="AN3327" i="1" s="1"/>
  <c r="AS3311" i="1"/>
  <c r="AN3311" i="1" s="1"/>
  <c r="AS3295" i="1"/>
  <c r="AN3295" i="1" s="1"/>
  <c r="AS3279" i="1"/>
  <c r="AN3279" i="1" s="1"/>
  <c r="U3325" i="1"/>
  <c r="W3325" i="1" s="1"/>
  <c r="AQ3356" i="1"/>
  <c r="AL3356" i="1" s="1"/>
  <c r="AQ3340" i="1"/>
  <c r="AL3340" i="1" s="1"/>
  <c r="AQ3324" i="1"/>
  <c r="AL3324" i="1" s="1"/>
  <c r="AQ3308" i="1"/>
  <c r="AL3308" i="1" s="1"/>
  <c r="AQ3292" i="1"/>
  <c r="AL3292" i="1" s="1"/>
  <c r="AR3357" i="1"/>
  <c r="AM3357" i="1" s="1"/>
  <c r="AR3341" i="1"/>
  <c r="AM3341" i="1" s="1"/>
  <c r="AR3325" i="1"/>
  <c r="AM3325" i="1" s="1"/>
  <c r="AR3309" i="1"/>
  <c r="AM3309" i="1" s="1"/>
  <c r="AR3293" i="1"/>
  <c r="AM3293" i="1" s="1"/>
  <c r="AS3358" i="1"/>
  <c r="AN3358" i="1" s="1"/>
  <c r="U3358" i="1"/>
  <c r="W3358" i="1" s="1"/>
  <c r="AQ3355" i="1"/>
  <c r="AL3355" i="1" s="1"/>
  <c r="AQ3339" i="1"/>
  <c r="AL3339" i="1" s="1"/>
  <c r="AQ3323" i="1"/>
  <c r="AL3323" i="1" s="1"/>
  <c r="AQ3307" i="1"/>
  <c r="AL3307" i="1" s="1"/>
  <c r="AQ3291" i="1"/>
  <c r="AL3291" i="1" s="1"/>
  <c r="AR3356" i="1"/>
  <c r="AM3356" i="1" s="1"/>
  <c r="AR3340" i="1"/>
  <c r="AM3340" i="1" s="1"/>
  <c r="AR3324" i="1"/>
  <c r="AM3324" i="1" s="1"/>
  <c r="AR3308" i="1"/>
  <c r="AM3308" i="1" s="1"/>
  <c r="AR3292" i="1"/>
  <c r="AM3292" i="1" s="1"/>
  <c r="AS3357" i="1"/>
  <c r="AN3357" i="1" s="1"/>
  <c r="AS3341" i="1"/>
  <c r="AN3341" i="1" s="1"/>
  <c r="AS3325" i="1"/>
  <c r="AN3325" i="1" s="1"/>
  <c r="AS3309" i="1"/>
  <c r="AN3309" i="1" s="1"/>
  <c r="AS3293" i="1"/>
  <c r="AN3293" i="1" s="1"/>
  <c r="U3289" i="1"/>
  <c r="W3289" i="1" s="1"/>
  <c r="AQ3354" i="1"/>
  <c r="AL3354" i="1" s="1"/>
  <c r="AQ3338" i="1"/>
  <c r="AL3338" i="1" s="1"/>
  <c r="AQ3322" i="1"/>
  <c r="AL3322" i="1" s="1"/>
  <c r="AQ3306" i="1"/>
  <c r="AL3306" i="1" s="1"/>
  <c r="AQ3290" i="1"/>
  <c r="AL3290" i="1" s="1"/>
  <c r="AR3355" i="1"/>
  <c r="AM3355" i="1" s="1"/>
  <c r="AR3339" i="1"/>
  <c r="AM3339" i="1" s="1"/>
  <c r="AR3323" i="1"/>
  <c r="AM3323" i="1" s="1"/>
  <c r="AR3307" i="1"/>
  <c r="AM3307" i="1" s="1"/>
  <c r="AR3291" i="1"/>
  <c r="AM3291" i="1" s="1"/>
  <c r="AS3356" i="1"/>
  <c r="AN3356" i="1" s="1"/>
  <c r="AS3340" i="1"/>
  <c r="AN3340" i="1" s="1"/>
  <c r="AS3324" i="1"/>
  <c r="AN3324" i="1" s="1"/>
  <c r="AS3308" i="1"/>
  <c r="AN3308" i="1" s="1"/>
  <c r="AS3292" i="1"/>
  <c r="AN3292" i="1" s="1"/>
  <c r="U3287" i="1"/>
  <c r="W3287" i="1" s="1"/>
  <c r="AS3355" i="1"/>
  <c r="AN3355" i="1" s="1"/>
  <c r="AS3339" i="1"/>
  <c r="AN3339" i="1" s="1"/>
  <c r="AS3323" i="1"/>
  <c r="AN3323" i="1" s="1"/>
  <c r="AS3307" i="1"/>
  <c r="AN3307" i="1" s="1"/>
  <c r="AS3291" i="1"/>
  <c r="AN3291" i="1" s="1"/>
  <c r="U3286" i="1"/>
  <c r="W3286" i="1" s="1"/>
  <c r="AQ3352" i="1"/>
  <c r="AL3352" i="1" s="1"/>
  <c r="AQ3336" i="1"/>
  <c r="AL3336" i="1" s="1"/>
  <c r="AQ3320" i="1"/>
  <c r="AL3320" i="1" s="1"/>
  <c r="AQ3304" i="1"/>
  <c r="AL3304" i="1" s="1"/>
  <c r="AQ3288" i="1"/>
  <c r="AL3288" i="1" s="1"/>
  <c r="AR3353" i="1"/>
  <c r="AM3353" i="1" s="1"/>
  <c r="AR3337" i="1"/>
  <c r="AM3337" i="1" s="1"/>
  <c r="AR3321" i="1"/>
  <c r="AM3321" i="1" s="1"/>
  <c r="AR3305" i="1"/>
  <c r="AM3305" i="1" s="1"/>
  <c r="AR3289" i="1"/>
  <c r="AM3289" i="1" s="1"/>
  <c r="AS3354" i="1"/>
  <c r="AN3354" i="1" s="1"/>
  <c r="AS3338" i="1"/>
  <c r="AN3338" i="1" s="1"/>
  <c r="AS3322" i="1"/>
  <c r="AN3322" i="1" s="1"/>
  <c r="AS3306" i="1"/>
  <c r="AN3306" i="1" s="1"/>
  <c r="AS3290" i="1"/>
  <c r="AN3290" i="1" s="1"/>
  <c r="U3366" i="1"/>
  <c r="W3366" i="1" s="1"/>
  <c r="U3334" i="1"/>
  <c r="W3334" i="1" s="1"/>
  <c r="AQ3351" i="1"/>
  <c r="AL3351" i="1" s="1"/>
  <c r="AQ3335" i="1"/>
  <c r="AL3335" i="1" s="1"/>
  <c r="AQ3319" i="1"/>
  <c r="AL3319" i="1" s="1"/>
  <c r="AQ3303" i="1"/>
  <c r="AL3303" i="1" s="1"/>
  <c r="AQ3287" i="1"/>
  <c r="AL3287" i="1" s="1"/>
  <c r="AR3352" i="1"/>
  <c r="AM3352" i="1" s="1"/>
  <c r="AR3336" i="1"/>
  <c r="AM3336" i="1" s="1"/>
  <c r="AR3320" i="1"/>
  <c r="AM3320" i="1" s="1"/>
  <c r="AR3304" i="1"/>
  <c r="AM3304" i="1" s="1"/>
  <c r="AR3288" i="1"/>
  <c r="AM3288" i="1" s="1"/>
  <c r="AS3353" i="1"/>
  <c r="AN3353" i="1" s="1"/>
  <c r="AS3337" i="1"/>
  <c r="AN3337" i="1" s="1"/>
  <c r="AS3321" i="1"/>
  <c r="AN3321" i="1" s="1"/>
  <c r="AS3305" i="1"/>
  <c r="AN3305" i="1" s="1"/>
  <c r="AS3289" i="1"/>
  <c r="AN3289" i="1" s="1"/>
  <c r="U3365" i="1"/>
  <c r="W3365" i="1" s="1"/>
  <c r="AQ3366" i="1"/>
  <c r="AL3366" i="1" s="1"/>
  <c r="AQ3350" i="1"/>
  <c r="AL3350" i="1" s="1"/>
  <c r="AQ3334" i="1"/>
  <c r="AL3334" i="1" s="1"/>
  <c r="AQ3318" i="1"/>
  <c r="AL3318" i="1" s="1"/>
  <c r="AQ3302" i="1"/>
  <c r="AL3302" i="1" s="1"/>
  <c r="AQ3286" i="1"/>
  <c r="AL3286" i="1" s="1"/>
  <c r="AR3351" i="1"/>
  <c r="AM3351" i="1" s="1"/>
  <c r="AR3335" i="1"/>
  <c r="AM3335" i="1" s="1"/>
  <c r="AR3319" i="1"/>
  <c r="AM3319" i="1" s="1"/>
  <c r="AR3303" i="1"/>
  <c r="AM3303" i="1" s="1"/>
  <c r="AR3287" i="1"/>
  <c r="AM3287" i="1" s="1"/>
  <c r="AS3352" i="1"/>
  <c r="AN3352" i="1" s="1"/>
  <c r="AS3336" i="1"/>
  <c r="AN3336" i="1" s="1"/>
  <c r="AS3320" i="1"/>
  <c r="AN3320" i="1" s="1"/>
  <c r="AS3304" i="1"/>
  <c r="AN3304" i="1" s="1"/>
  <c r="AS3288" i="1"/>
  <c r="AN3288" i="1" s="1"/>
  <c r="U3288" i="1"/>
  <c r="W3288" i="1" s="1"/>
  <c r="AR3194" i="1"/>
  <c r="AM3194" i="1" s="1"/>
  <c r="AS3194" i="1"/>
  <c r="AN3194" i="1" s="1"/>
  <c r="AQ3194" i="1"/>
  <c r="AL3194" i="1" s="1"/>
  <c r="AT3253" i="1"/>
  <c r="AO3253" i="1" s="1"/>
  <c r="AR3253" i="1"/>
  <c r="AM3253" i="1" s="1"/>
  <c r="AQ3263" i="1"/>
  <c r="AL3263" i="1" s="1"/>
  <c r="AS3263" i="1"/>
  <c r="AN3263" i="1" s="1"/>
  <c r="AT3263" i="1"/>
  <c r="AO3263" i="1" s="1"/>
  <c r="AR3263" i="1"/>
  <c r="AM3263" i="1" s="1"/>
  <c r="AS3186" i="1"/>
  <c r="AN3186" i="1" s="1"/>
  <c r="AT3186" i="1"/>
  <c r="AO3186" i="1" s="1"/>
  <c r="AT3227" i="1"/>
  <c r="AO3227" i="1" s="1"/>
  <c r="U3227" i="1"/>
  <c r="W3227" i="1" s="1"/>
  <c r="AQ3248" i="1"/>
  <c r="AL3248" i="1" s="1"/>
  <c r="AT3248" i="1"/>
  <c r="AO3248" i="1" s="1"/>
  <c r="AR3248" i="1"/>
  <c r="AM3248" i="1" s="1"/>
  <c r="AR3215" i="1"/>
  <c r="AM3215" i="1" s="1"/>
  <c r="AS3215" i="1"/>
  <c r="AN3215" i="1" s="1"/>
  <c r="AT3215" i="1"/>
  <c r="AO3215" i="1" s="1"/>
  <c r="AQ3215" i="1"/>
  <c r="AL3215" i="1" s="1"/>
  <c r="AQ3232" i="1"/>
  <c r="AL3232" i="1" s="1"/>
  <c r="AR3232" i="1"/>
  <c r="AM3232" i="1" s="1"/>
  <c r="AQ3216" i="1"/>
  <c r="AL3216" i="1" s="1"/>
  <c r="AS3216" i="1"/>
  <c r="AN3216" i="1" s="1"/>
  <c r="AT3216" i="1"/>
  <c r="AO3216" i="1" s="1"/>
  <c r="U3216" i="1"/>
  <c r="W3216" i="1" s="1"/>
  <c r="AQ3200" i="1"/>
  <c r="AL3200" i="1" s="1"/>
  <c r="AS3200" i="1"/>
  <c r="AN3200" i="1" s="1"/>
  <c r="AQ3210" i="1"/>
  <c r="AL3210" i="1" s="1"/>
  <c r="U3228" i="1"/>
  <c r="W3228" i="1" s="1"/>
  <c r="AT3210" i="1"/>
  <c r="AO3210" i="1" s="1"/>
  <c r="AS3210" i="1"/>
  <c r="AN3210" i="1" s="1"/>
  <c r="AT3202" i="1"/>
  <c r="AO3202" i="1" s="1"/>
  <c r="AT3266" i="1"/>
  <c r="AO3266" i="1" s="1"/>
  <c r="AT3265" i="1"/>
  <c r="AO3265" i="1" s="1"/>
  <c r="AS3269" i="1"/>
  <c r="AN3269" i="1" s="1"/>
  <c r="AS3265" i="1"/>
  <c r="AN3265" i="1" s="1"/>
  <c r="AT3258" i="1"/>
  <c r="AO3258" i="1" s="1"/>
  <c r="AR3173" i="1"/>
  <c r="AM3173" i="1" s="1"/>
  <c r="U3260" i="1"/>
  <c r="W3260" i="1" s="1"/>
  <c r="U3193" i="1"/>
  <c r="W3193" i="1" s="1"/>
  <c r="U3184" i="1"/>
  <c r="W3184" i="1" s="1"/>
  <c r="AS3264" i="1"/>
  <c r="AN3264" i="1" s="1"/>
  <c r="AT3250" i="1"/>
  <c r="AO3250" i="1" s="1"/>
  <c r="U3247" i="1"/>
  <c r="W3247" i="1" s="1"/>
  <c r="U3187" i="1"/>
  <c r="W3187" i="1" s="1"/>
  <c r="U3183" i="1"/>
  <c r="W3183" i="1" s="1"/>
  <c r="U3185" i="1"/>
  <c r="W3185" i="1" s="1"/>
  <c r="AS3258" i="1"/>
  <c r="AN3258" i="1" s="1"/>
  <c r="AT3242" i="1"/>
  <c r="AO3242" i="1" s="1"/>
  <c r="AQ3258" i="1"/>
  <c r="AL3258" i="1" s="1"/>
  <c r="AS3242" i="1"/>
  <c r="AN3242" i="1" s="1"/>
  <c r="AT3234" i="1"/>
  <c r="AO3234" i="1" s="1"/>
  <c r="AQ3208" i="1"/>
  <c r="AL3208" i="1" s="1"/>
  <c r="AQ3205" i="1"/>
  <c r="AL3205" i="1" s="1"/>
  <c r="AS3205" i="1"/>
  <c r="AN3205" i="1" s="1"/>
  <c r="AT3201" i="1"/>
  <c r="AO3201" i="1" s="1"/>
  <c r="AQ3199" i="1"/>
  <c r="AL3199" i="1" s="1"/>
  <c r="AR3231" i="1"/>
  <c r="AM3231" i="1" s="1"/>
  <c r="AS3253" i="1"/>
  <c r="AN3253" i="1" s="1"/>
  <c r="AS3201" i="1"/>
  <c r="AN3201" i="1" s="1"/>
  <c r="AT3249" i="1"/>
  <c r="AO3249" i="1" s="1"/>
  <c r="AT3200" i="1"/>
  <c r="AO3200" i="1" s="1"/>
  <c r="AQ3224" i="1"/>
  <c r="AL3224" i="1" s="1"/>
  <c r="U3269" i="1"/>
  <c r="W3269" i="1" s="1"/>
  <c r="U3249" i="1"/>
  <c r="W3249" i="1" s="1"/>
  <c r="AQ3269" i="1"/>
  <c r="AL3269" i="1" s="1"/>
  <c r="AR3221" i="1"/>
  <c r="AM3221" i="1" s="1"/>
  <c r="AS3249" i="1"/>
  <c r="AN3249" i="1" s="1"/>
  <c r="AT3199" i="1"/>
  <c r="AO3199" i="1" s="1"/>
  <c r="AQ3192" i="1"/>
  <c r="AL3192" i="1" s="1"/>
  <c r="AR3216" i="1"/>
  <c r="AM3216" i="1" s="1"/>
  <c r="AS3248" i="1"/>
  <c r="AN3248" i="1" s="1"/>
  <c r="AS3199" i="1"/>
  <c r="AN3199" i="1" s="1"/>
  <c r="AT3247" i="1"/>
  <c r="AO3247" i="1" s="1"/>
  <c r="AT3194" i="1"/>
  <c r="AO3194" i="1" s="1"/>
  <c r="AQ3189" i="1"/>
  <c r="AL3189" i="1" s="1"/>
  <c r="AS3247" i="1"/>
  <c r="AN3247" i="1" s="1"/>
  <c r="AQ3253" i="1"/>
  <c r="AL3253" i="1" s="1"/>
  <c r="AQ3183" i="1"/>
  <c r="AL3183" i="1" s="1"/>
  <c r="AT3185" i="1"/>
  <c r="AO3185" i="1" s="1"/>
  <c r="U3203" i="1"/>
  <c r="W3203" i="1" s="1"/>
  <c r="AQ3247" i="1"/>
  <c r="AL3247" i="1" s="1"/>
  <c r="AQ3178" i="1"/>
  <c r="AL3178" i="1" s="1"/>
  <c r="AR3200" i="1"/>
  <c r="AM3200" i="1" s="1"/>
  <c r="AS3237" i="1"/>
  <c r="AN3237" i="1" s="1"/>
  <c r="AS3185" i="1"/>
  <c r="AN3185" i="1" s="1"/>
  <c r="AT3233" i="1"/>
  <c r="AO3233" i="1" s="1"/>
  <c r="AT3184" i="1"/>
  <c r="AO3184" i="1" s="1"/>
  <c r="AR3205" i="1"/>
  <c r="AM3205" i="1" s="1"/>
  <c r="U3201" i="1"/>
  <c r="W3201" i="1" s="1"/>
  <c r="AQ3242" i="1"/>
  <c r="AL3242" i="1" s="1"/>
  <c r="AQ3176" i="1"/>
  <c r="AL3176" i="1" s="1"/>
  <c r="AR3199" i="1"/>
  <c r="AM3199" i="1" s="1"/>
  <c r="AS3233" i="1"/>
  <c r="AN3233" i="1" s="1"/>
  <c r="AS3184" i="1"/>
  <c r="AN3184" i="1" s="1"/>
  <c r="AT3232" i="1"/>
  <c r="AO3232" i="1" s="1"/>
  <c r="AT3183" i="1"/>
  <c r="AO3183" i="1" s="1"/>
  <c r="U3192" i="1"/>
  <c r="W3192" i="1" s="1"/>
  <c r="AR3237" i="1"/>
  <c r="AM3237" i="1" s="1"/>
  <c r="AS3189" i="1"/>
  <c r="AN3189" i="1" s="1"/>
  <c r="U3200" i="1"/>
  <c r="W3200" i="1" s="1"/>
  <c r="U3268" i="1"/>
  <c r="W3268" i="1" s="1"/>
  <c r="U3236" i="1"/>
  <c r="W3236" i="1" s="1"/>
  <c r="U3188" i="1"/>
  <c r="W3188" i="1" s="1"/>
  <c r="AQ3237" i="1"/>
  <c r="AL3237" i="1" s="1"/>
  <c r="AQ3173" i="1"/>
  <c r="AL3173" i="1" s="1"/>
  <c r="AR3189" i="1"/>
  <c r="AM3189" i="1" s="1"/>
  <c r="AS3232" i="1"/>
  <c r="AN3232" i="1" s="1"/>
  <c r="AS3183" i="1"/>
  <c r="AN3183" i="1" s="1"/>
  <c r="AT3231" i="1"/>
  <c r="AO3231" i="1" s="1"/>
  <c r="AT3178" i="1"/>
  <c r="AO3178" i="1" s="1"/>
  <c r="AQ3231" i="1"/>
  <c r="AL3231" i="1" s="1"/>
  <c r="AR3269" i="1"/>
  <c r="AM3269" i="1" s="1"/>
  <c r="AR3184" i="1"/>
  <c r="AM3184" i="1" s="1"/>
  <c r="AS3178" i="1"/>
  <c r="AN3178" i="1" s="1"/>
  <c r="AT3226" i="1"/>
  <c r="AO3226" i="1" s="1"/>
  <c r="U3267" i="1"/>
  <c r="W3267" i="1" s="1"/>
  <c r="U3194" i="1"/>
  <c r="W3194" i="1" s="1"/>
  <c r="AQ3226" i="1"/>
  <c r="AL3226" i="1" s="1"/>
  <c r="AR3264" i="1"/>
  <c r="AM3264" i="1" s="1"/>
  <c r="AS3226" i="1"/>
  <c r="AN3226" i="1" s="1"/>
  <c r="AS3173" i="1"/>
  <c r="AN3173" i="1" s="1"/>
  <c r="AT3218" i="1"/>
  <c r="AO3218" i="1" s="1"/>
  <c r="AR3246" i="1"/>
  <c r="AM3246" i="1" s="1"/>
  <c r="AQ3244" i="1"/>
  <c r="AL3244" i="1" s="1"/>
  <c r="AQ3196" i="1"/>
  <c r="AL3196" i="1" s="1"/>
  <c r="AR3245" i="1"/>
  <c r="AM3245" i="1" s="1"/>
  <c r="AR3197" i="1"/>
  <c r="AM3197" i="1" s="1"/>
  <c r="AS3246" i="1"/>
  <c r="AN3246" i="1" s="1"/>
  <c r="AS3214" i="1"/>
  <c r="AN3214" i="1" s="1"/>
  <c r="AS3198" i="1"/>
  <c r="AN3198" i="1" s="1"/>
  <c r="AS3182" i="1"/>
  <c r="AN3182" i="1" s="1"/>
  <c r="AQ3246" i="1"/>
  <c r="AL3246" i="1" s="1"/>
  <c r="AQ3261" i="1"/>
  <c r="AL3261" i="1" s="1"/>
  <c r="AQ3213" i="1"/>
  <c r="AL3213" i="1" s="1"/>
  <c r="AQ3197" i="1"/>
  <c r="AL3197" i="1" s="1"/>
  <c r="AR3230" i="1"/>
  <c r="AM3230" i="1" s="1"/>
  <c r="AR3182" i="1"/>
  <c r="AM3182" i="1" s="1"/>
  <c r="U3190" i="1"/>
  <c r="W3190" i="1" s="1"/>
  <c r="AQ3260" i="1"/>
  <c r="AL3260" i="1" s="1"/>
  <c r="AQ3228" i="1"/>
  <c r="AL3228" i="1" s="1"/>
  <c r="AQ3212" i="1"/>
  <c r="AL3212" i="1" s="1"/>
  <c r="AQ3180" i="1"/>
  <c r="AL3180" i="1" s="1"/>
  <c r="AR3261" i="1"/>
  <c r="AM3261" i="1" s="1"/>
  <c r="AR3229" i="1"/>
  <c r="AM3229" i="1" s="1"/>
  <c r="AR3213" i="1"/>
  <c r="AM3213" i="1" s="1"/>
  <c r="AR3181" i="1"/>
  <c r="AM3181" i="1" s="1"/>
  <c r="AS3262" i="1"/>
  <c r="AN3262" i="1" s="1"/>
  <c r="AS3230" i="1"/>
  <c r="AN3230" i="1" s="1"/>
  <c r="U3189" i="1"/>
  <c r="W3189" i="1" s="1"/>
  <c r="U3186" i="1"/>
  <c r="W3186" i="1" s="1"/>
  <c r="AQ3259" i="1"/>
  <c r="AL3259" i="1" s="1"/>
  <c r="AQ3243" i="1"/>
  <c r="AL3243" i="1" s="1"/>
  <c r="AQ3227" i="1"/>
  <c r="AL3227" i="1" s="1"/>
  <c r="AQ3211" i="1"/>
  <c r="AL3211" i="1" s="1"/>
  <c r="AQ3195" i="1"/>
  <c r="AL3195" i="1" s="1"/>
  <c r="AQ3179" i="1"/>
  <c r="AL3179" i="1" s="1"/>
  <c r="AR3260" i="1"/>
  <c r="AM3260" i="1" s="1"/>
  <c r="AR3244" i="1"/>
  <c r="AM3244" i="1" s="1"/>
  <c r="AR3228" i="1"/>
  <c r="AM3228" i="1" s="1"/>
  <c r="AR3212" i="1"/>
  <c r="AM3212" i="1" s="1"/>
  <c r="AR3196" i="1"/>
  <c r="AM3196" i="1" s="1"/>
  <c r="AR3180" i="1"/>
  <c r="AM3180" i="1" s="1"/>
  <c r="AS3261" i="1"/>
  <c r="AN3261" i="1" s="1"/>
  <c r="AS3245" i="1"/>
  <c r="AN3245" i="1" s="1"/>
  <c r="AS3229" i="1"/>
  <c r="AN3229" i="1" s="1"/>
  <c r="AS3213" i="1"/>
  <c r="AN3213" i="1" s="1"/>
  <c r="AS3197" i="1"/>
  <c r="AN3197" i="1" s="1"/>
  <c r="AS3181" i="1"/>
  <c r="AN3181" i="1" s="1"/>
  <c r="AT3262" i="1"/>
  <c r="AO3262" i="1" s="1"/>
  <c r="AT3230" i="1"/>
  <c r="AO3230" i="1" s="1"/>
  <c r="AT3214" i="1"/>
  <c r="AO3214" i="1" s="1"/>
  <c r="AT3198" i="1"/>
  <c r="AO3198" i="1" s="1"/>
  <c r="AT3182" i="1"/>
  <c r="AO3182" i="1" s="1"/>
  <c r="AR3259" i="1"/>
  <c r="AM3259" i="1" s="1"/>
  <c r="AR3243" i="1"/>
  <c r="AM3243" i="1" s="1"/>
  <c r="AR3227" i="1"/>
  <c r="AM3227" i="1" s="1"/>
  <c r="AR3211" i="1"/>
  <c r="AM3211" i="1" s="1"/>
  <c r="AR3195" i="1"/>
  <c r="AM3195" i="1" s="1"/>
  <c r="AR3179" i="1"/>
  <c r="AM3179" i="1" s="1"/>
  <c r="AS3260" i="1"/>
  <c r="AN3260" i="1" s="1"/>
  <c r="AS3244" i="1"/>
  <c r="AN3244" i="1" s="1"/>
  <c r="AS3228" i="1"/>
  <c r="AN3228" i="1" s="1"/>
  <c r="AS3212" i="1"/>
  <c r="AN3212" i="1" s="1"/>
  <c r="AS3196" i="1"/>
  <c r="AN3196" i="1" s="1"/>
  <c r="AS3180" i="1"/>
  <c r="AN3180" i="1" s="1"/>
  <c r="AT3245" i="1"/>
  <c r="AO3245" i="1" s="1"/>
  <c r="AT3229" i="1"/>
  <c r="AO3229" i="1" s="1"/>
  <c r="AT3181" i="1"/>
  <c r="AO3181" i="1" s="1"/>
  <c r="AQ3257" i="1"/>
  <c r="AL3257" i="1" s="1"/>
  <c r="AQ3241" i="1"/>
  <c r="AL3241" i="1" s="1"/>
  <c r="AQ3225" i="1"/>
  <c r="AL3225" i="1" s="1"/>
  <c r="AQ3209" i="1"/>
  <c r="AL3209" i="1" s="1"/>
  <c r="AQ3193" i="1"/>
  <c r="AL3193" i="1" s="1"/>
  <c r="AQ3177" i="1"/>
  <c r="AL3177" i="1" s="1"/>
  <c r="AS3259" i="1"/>
  <c r="AN3259" i="1" s="1"/>
  <c r="AS3243" i="1"/>
  <c r="AN3243" i="1" s="1"/>
  <c r="AS3227" i="1"/>
  <c r="AN3227" i="1" s="1"/>
  <c r="AS3211" i="1"/>
  <c r="AN3211" i="1" s="1"/>
  <c r="AS3195" i="1"/>
  <c r="AN3195" i="1" s="1"/>
  <c r="AS3179" i="1"/>
  <c r="AN3179" i="1" s="1"/>
  <c r="AT3228" i="1"/>
  <c r="AO3228" i="1" s="1"/>
  <c r="AT3196" i="1"/>
  <c r="AO3196" i="1" s="1"/>
  <c r="AR3262" i="1"/>
  <c r="AM3262" i="1" s="1"/>
  <c r="AT3195" i="1"/>
  <c r="AO3195" i="1" s="1"/>
  <c r="U3182" i="1"/>
  <c r="W3182" i="1" s="1"/>
  <c r="AR3209" i="1"/>
  <c r="AM3209" i="1" s="1"/>
  <c r="AQ3239" i="1"/>
  <c r="AL3239" i="1" s="1"/>
  <c r="AQ3207" i="1"/>
  <c r="AL3207" i="1" s="1"/>
  <c r="AQ3175" i="1"/>
  <c r="AL3175" i="1" s="1"/>
  <c r="AR3224" i="1"/>
  <c r="AM3224" i="1" s="1"/>
  <c r="AS3241" i="1"/>
  <c r="AN3241" i="1" s="1"/>
  <c r="AR3241" i="1"/>
  <c r="AM3241" i="1" s="1"/>
  <c r="U3181" i="1"/>
  <c r="W3181" i="1" s="1"/>
  <c r="AQ3255" i="1"/>
  <c r="AL3255" i="1" s="1"/>
  <c r="AQ3223" i="1"/>
  <c r="AL3223" i="1" s="1"/>
  <c r="AQ3191" i="1"/>
  <c r="AL3191" i="1" s="1"/>
  <c r="AR3256" i="1"/>
  <c r="AM3256" i="1" s="1"/>
  <c r="AR3240" i="1"/>
  <c r="AM3240" i="1" s="1"/>
  <c r="AR3208" i="1"/>
  <c r="AM3208" i="1" s="1"/>
  <c r="AR3192" i="1"/>
  <c r="AM3192" i="1" s="1"/>
  <c r="AR3176" i="1"/>
  <c r="AM3176" i="1" s="1"/>
  <c r="AS3257" i="1"/>
  <c r="AN3257" i="1" s="1"/>
  <c r="AS3225" i="1"/>
  <c r="AN3225" i="1" s="1"/>
  <c r="AS3209" i="1"/>
  <c r="AN3209" i="1" s="1"/>
  <c r="AS3193" i="1"/>
  <c r="AN3193" i="1" s="1"/>
  <c r="AS3177" i="1"/>
  <c r="AN3177" i="1" s="1"/>
  <c r="U3235" i="1"/>
  <c r="W3235" i="1" s="1"/>
  <c r="U3202" i="1"/>
  <c r="W3202" i="1" s="1"/>
  <c r="U3261" i="1"/>
  <c r="W3261" i="1" s="1"/>
  <c r="U3229" i="1"/>
  <c r="W3229" i="1" s="1"/>
  <c r="U3197" i="1"/>
  <c r="W3197" i="1" s="1"/>
  <c r="AQ3254" i="1"/>
  <c r="AL3254" i="1" s="1"/>
  <c r="AQ3238" i="1"/>
  <c r="AL3238" i="1" s="1"/>
  <c r="AQ3222" i="1"/>
  <c r="AL3222" i="1" s="1"/>
  <c r="AQ3206" i="1"/>
  <c r="AL3206" i="1" s="1"/>
  <c r="AQ3190" i="1"/>
  <c r="AL3190" i="1" s="1"/>
  <c r="AQ3174" i="1"/>
  <c r="AL3174" i="1" s="1"/>
  <c r="AR3255" i="1"/>
  <c r="AM3255" i="1" s="1"/>
  <c r="AR3239" i="1"/>
  <c r="AM3239" i="1" s="1"/>
  <c r="AR3223" i="1"/>
  <c r="AM3223" i="1" s="1"/>
  <c r="AR3207" i="1"/>
  <c r="AM3207" i="1" s="1"/>
  <c r="AR3191" i="1"/>
  <c r="AM3191" i="1" s="1"/>
  <c r="AR3175" i="1"/>
  <c r="AM3175" i="1" s="1"/>
  <c r="AS3256" i="1"/>
  <c r="AN3256" i="1" s="1"/>
  <c r="AS3240" i="1"/>
  <c r="AN3240" i="1" s="1"/>
  <c r="AS3224" i="1"/>
  <c r="AN3224" i="1" s="1"/>
  <c r="AS3208" i="1"/>
  <c r="AN3208" i="1" s="1"/>
  <c r="AS3192" i="1"/>
  <c r="AN3192" i="1" s="1"/>
  <c r="AS3176" i="1"/>
  <c r="AN3176" i="1" s="1"/>
  <c r="AT3257" i="1"/>
  <c r="AO3257" i="1" s="1"/>
  <c r="AT3225" i="1"/>
  <c r="AO3225" i="1" s="1"/>
  <c r="AT3193" i="1"/>
  <c r="AO3193" i="1" s="1"/>
  <c r="AT3177" i="1"/>
  <c r="AO3177" i="1" s="1"/>
  <c r="AQ3262" i="1"/>
  <c r="AL3262" i="1" s="1"/>
  <c r="AR3214" i="1"/>
  <c r="AM3214" i="1" s="1"/>
  <c r="AR3254" i="1"/>
  <c r="AM3254" i="1" s="1"/>
  <c r="AR3238" i="1"/>
  <c r="AM3238" i="1" s="1"/>
  <c r="AR3222" i="1"/>
  <c r="AM3222" i="1" s="1"/>
  <c r="AR3206" i="1"/>
  <c r="AM3206" i="1" s="1"/>
  <c r="AR3190" i="1"/>
  <c r="AM3190" i="1" s="1"/>
  <c r="AR3174" i="1"/>
  <c r="AM3174" i="1" s="1"/>
  <c r="AS3255" i="1"/>
  <c r="AN3255" i="1" s="1"/>
  <c r="AS3239" i="1"/>
  <c r="AN3239" i="1" s="1"/>
  <c r="AS3223" i="1"/>
  <c r="AN3223" i="1" s="1"/>
  <c r="AS3207" i="1"/>
  <c r="AN3207" i="1" s="1"/>
  <c r="AS3191" i="1"/>
  <c r="AN3191" i="1" s="1"/>
  <c r="AS3175" i="1"/>
  <c r="AN3175" i="1" s="1"/>
  <c r="AT3256" i="1"/>
  <c r="AO3256" i="1" s="1"/>
  <c r="AT3240" i="1"/>
  <c r="AO3240" i="1" s="1"/>
  <c r="AS3254" i="1"/>
  <c r="AN3254" i="1" s="1"/>
  <c r="AS3238" i="1"/>
  <c r="AN3238" i="1" s="1"/>
  <c r="AS3222" i="1"/>
  <c r="AN3222" i="1" s="1"/>
  <c r="AS3206" i="1"/>
  <c r="AN3206" i="1" s="1"/>
  <c r="AS3190" i="1"/>
  <c r="AN3190" i="1" s="1"/>
  <c r="AS3174" i="1"/>
  <c r="AN3174" i="1" s="1"/>
  <c r="AQ3198" i="1"/>
  <c r="AL3198" i="1" s="1"/>
  <c r="AQ3252" i="1"/>
  <c r="AL3252" i="1" s="1"/>
  <c r="AQ3220" i="1"/>
  <c r="AL3220" i="1" s="1"/>
  <c r="AQ3188" i="1"/>
  <c r="AL3188" i="1" s="1"/>
  <c r="AQ3267" i="1"/>
  <c r="AL3267" i="1" s="1"/>
  <c r="AQ3219" i="1"/>
  <c r="AL3219" i="1" s="1"/>
  <c r="AR3268" i="1"/>
  <c r="AM3268" i="1" s="1"/>
  <c r="AR3236" i="1"/>
  <c r="AM3236" i="1" s="1"/>
  <c r="AR3204" i="1"/>
  <c r="AM3204" i="1" s="1"/>
  <c r="U3248" i="1"/>
  <c r="W3248" i="1" s="1"/>
  <c r="U3214" i="1"/>
  <c r="W3214" i="1" s="1"/>
  <c r="U3198" i="1"/>
  <c r="W3198" i="1" s="1"/>
  <c r="AQ3266" i="1"/>
  <c r="AL3266" i="1" s="1"/>
  <c r="AQ3250" i="1"/>
  <c r="AL3250" i="1" s="1"/>
  <c r="AQ3234" i="1"/>
  <c r="AL3234" i="1" s="1"/>
  <c r="AQ3218" i="1"/>
  <c r="AL3218" i="1" s="1"/>
  <c r="AQ3202" i="1"/>
  <c r="AL3202" i="1" s="1"/>
  <c r="AQ3186" i="1"/>
  <c r="AL3186" i="1" s="1"/>
  <c r="AR3267" i="1"/>
  <c r="AM3267" i="1" s="1"/>
  <c r="AR3251" i="1"/>
  <c r="AM3251" i="1" s="1"/>
  <c r="AR3235" i="1"/>
  <c r="AM3235" i="1" s="1"/>
  <c r="AR3219" i="1"/>
  <c r="AM3219" i="1" s="1"/>
  <c r="AR3203" i="1"/>
  <c r="AM3203" i="1" s="1"/>
  <c r="AR3187" i="1"/>
  <c r="AM3187" i="1" s="1"/>
  <c r="AS3268" i="1"/>
  <c r="AN3268" i="1" s="1"/>
  <c r="AS3252" i="1"/>
  <c r="AN3252" i="1" s="1"/>
  <c r="AS3236" i="1"/>
  <c r="AN3236" i="1" s="1"/>
  <c r="AS3220" i="1"/>
  <c r="AN3220" i="1" s="1"/>
  <c r="AS3204" i="1"/>
  <c r="AN3204" i="1" s="1"/>
  <c r="AS3188" i="1"/>
  <c r="AN3188" i="1" s="1"/>
  <c r="AQ3236" i="1"/>
  <c r="AL3236" i="1" s="1"/>
  <c r="AQ3204" i="1"/>
  <c r="AL3204" i="1" s="1"/>
  <c r="U3215" i="1"/>
  <c r="W3215" i="1" s="1"/>
  <c r="AQ3235" i="1"/>
  <c r="AL3235" i="1" s="1"/>
  <c r="AQ3203" i="1"/>
  <c r="AL3203" i="1" s="1"/>
  <c r="AR3252" i="1"/>
  <c r="AM3252" i="1" s="1"/>
  <c r="AR3220" i="1"/>
  <c r="AM3220" i="1" s="1"/>
  <c r="AQ3265" i="1"/>
  <c r="AL3265" i="1" s="1"/>
  <c r="AQ3249" i="1"/>
  <c r="AL3249" i="1" s="1"/>
  <c r="AQ3233" i="1"/>
  <c r="AL3233" i="1" s="1"/>
  <c r="AQ3217" i="1"/>
  <c r="AL3217" i="1" s="1"/>
  <c r="AQ3201" i="1"/>
  <c r="AL3201" i="1" s="1"/>
  <c r="AQ3185" i="1"/>
  <c r="AL3185" i="1" s="1"/>
  <c r="AR3266" i="1"/>
  <c r="AM3266" i="1" s="1"/>
  <c r="AR3250" i="1"/>
  <c r="AM3250" i="1" s="1"/>
  <c r="AR3234" i="1"/>
  <c r="AM3234" i="1" s="1"/>
  <c r="AR3218" i="1"/>
  <c r="AM3218" i="1" s="1"/>
  <c r="AR3202" i="1"/>
  <c r="AM3202" i="1" s="1"/>
  <c r="AR3186" i="1"/>
  <c r="AM3186" i="1" s="1"/>
  <c r="AS3267" i="1"/>
  <c r="AN3267" i="1" s="1"/>
  <c r="AS3251" i="1"/>
  <c r="AN3251" i="1" s="1"/>
  <c r="AS3235" i="1"/>
  <c r="AN3235" i="1" s="1"/>
  <c r="AS3219" i="1"/>
  <c r="AN3219" i="1" s="1"/>
  <c r="AS3203" i="1"/>
  <c r="AN3203" i="1" s="1"/>
  <c r="AS3187" i="1"/>
  <c r="AN3187" i="1" s="1"/>
  <c r="AT3268" i="1"/>
  <c r="AO3268" i="1" s="1"/>
  <c r="AT3188" i="1"/>
  <c r="AO3188" i="1" s="1"/>
  <c r="AQ3251" i="1"/>
  <c r="AL3251" i="1" s="1"/>
  <c r="AQ3187" i="1"/>
  <c r="AL3187" i="1" s="1"/>
  <c r="U3191" i="1"/>
  <c r="W3191" i="1" s="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U2927" i="1"/>
  <c r="AU2928" i="1"/>
  <c r="AU2929" i="1"/>
  <c r="AP2929" i="1" s="1"/>
  <c r="AU2930" i="1"/>
  <c r="AP2930" i="1" s="1"/>
  <c r="AU2931" i="1"/>
  <c r="AP2931" i="1" s="1"/>
  <c r="AU2932" i="1"/>
  <c r="AU2933" i="1"/>
  <c r="AU2934" i="1"/>
  <c r="AU2935" i="1"/>
  <c r="AP2935" i="1" s="1"/>
  <c r="AU2936" i="1"/>
  <c r="AP2936" i="1" s="1"/>
  <c r="AU2937" i="1"/>
  <c r="AU2938" i="1"/>
  <c r="AP2938" i="1" s="1"/>
  <c r="AU2939" i="1"/>
  <c r="AP2939" i="1" s="1"/>
  <c r="AU2940" i="1"/>
  <c r="AU2941" i="1"/>
  <c r="AU2942" i="1"/>
  <c r="AP2942" i="1" s="1"/>
  <c r="AU2943" i="1"/>
  <c r="AU2944" i="1"/>
  <c r="AU2945" i="1"/>
  <c r="AP2945" i="1" s="1"/>
  <c r="AU2946" i="1"/>
  <c r="AP2946" i="1" s="1"/>
  <c r="AU2947" i="1"/>
  <c r="AP2947" i="1" s="1"/>
  <c r="AU2948" i="1"/>
  <c r="AU2949" i="1"/>
  <c r="AU2950" i="1"/>
  <c r="AU2951" i="1"/>
  <c r="AP2951" i="1" s="1"/>
  <c r="AU2952" i="1"/>
  <c r="AP2952" i="1" s="1"/>
  <c r="AU2953" i="1"/>
  <c r="AU2954" i="1"/>
  <c r="AP2954" i="1" s="1"/>
  <c r="AU2955" i="1"/>
  <c r="AU2956" i="1"/>
  <c r="AU2957" i="1"/>
  <c r="AU2958" i="1"/>
  <c r="AP2958" i="1" s="1"/>
  <c r="AU2959" i="1"/>
  <c r="AU2960" i="1"/>
  <c r="AU2961" i="1"/>
  <c r="AP2961" i="1" s="1"/>
  <c r="AU2962" i="1"/>
  <c r="AP2962" i="1" s="1"/>
  <c r="AU2963" i="1"/>
  <c r="AU2964" i="1"/>
  <c r="AU2965" i="1"/>
  <c r="AU2966" i="1"/>
  <c r="AU2967" i="1"/>
  <c r="AP2967" i="1" s="1"/>
  <c r="AU2968" i="1"/>
  <c r="AP2968" i="1" s="1"/>
  <c r="AU2969" i="1"/>
  <c r="AU2970" i="1"/>
  <c r="AP2970" i="1" s="1"/>
  <c r="AU2971" i="1"/>
  <c r="AU2972" i="1"/>
  <c r="AU2973" i="1"/>
  <c r="AU2974" i="1"/>
  <c r="AP2974" i="1" s="1"/>
  <c r="AU2975" i="1"/>
  <c r="AU2976" i="1"/>
  <c r="AU2977" i="1"/>
  <c r="AP2977" i="1" s="1"/>
  <c r="AU2978" i="1"/>
  <c r="AP2978" i="1" s="1"/>
  <c r="AU2979" i="1"/>
  <c r="AU2980" i="1"/>
  <c r="AU2981" i="1"/>
  <c r="AU2982" i="1"/>
  <c r="AU2983" i="1"/>
  <c r="AP2983" i="1" s="1"/>
  <c r="AU2984" i="1"/>
  <c r="AU2985" i="1"/>
  <c r="AU2986" i="1"/>
  <c r="AP2986" i="1" s="1"/>
  <c r="AU2987" i="1"/>
  <c r="AU2988" i="1"/>
  <c r="AU2989" i="1"/>
  <c r="AU2990" i="1"/>
  <c r="AP2990" i="1" s="1"/>
  <c r="AU2991" i="1"/>
  <c r="AU2992" i="1"/>
  <c r="AU2993" i="1"/>
  <c r="AP2993" i="1" s="1"/>
  <c r="AU2994" i="1"/>
  <c r="AP2994" i="1" s="1"/>
  <c r="AU2995" i="1"/>
  <c r="AP2995" i="1" s="1"/>
  <c r="AU2996" i="1"/>
  <c r="AU2997" i="1"/>
  <c r="AU2998" i="1"/>
  <c r="AU2999" i="1"/>
  <c r="AP2999" i="1" s="1"/>
  <c r="AU3000" i="1"/>
  <c r="AP3000" i="1" s="1"/>
  <c r="AU3001" i="1"/>
  <c r="AU3002" i="1"/>
  <c r="AP3002" i="1" s="1"/>
  <c r="AU3003" i="1"/>
  <c r="AU3004" i="1"/>
  <c r="AU3005" i="1"/>
  <c r="AU3006" i="1"/>
  <c r="AP3006" i="1" s="1"/>
  <c r="AU3007" i="1"/>
  <c r="AU3008" i="1"/>
  <c r="AU3009" i="1"/>
  <c r="AP3009" i="1" s="1"/>
  <c r="AU3010" i="1"/>
  <c r="AP3010" i="1" s="1"/>
  <c r="AU3011" i="1"/>
  <c r="AU3012" i="1"/>
  <c r="AU3013" i="1"/>
  <c r="AU3014" i="1"/>
  <c r="AU3015" i="1"/>
  <c r="AP3015" i="1" s="1"/>
  <c r="AU3016" i="1"/>
  <c r="AP3016" i="1" s="1"/>
  <c r="AU3017" i="1"/>
  <c r="AU3018" i="1"/>
  <c r="AP3018" i="1" s="1"/>
  <c r="AU3019" i="1"/>
  <c r="AU3020" i="1"/>
  <c r="AU3021" i="1"/>
  <c r="AU3022" i="1"/>
  <c r="AP3022" i="1" s="1"/>
  <c r="AU3023" i="1"/>
  <c r="AU3024" i="1"/>
  <c r="AU3025" i="1"/>
  <c r="AP3025" i="1" s="1"/>
  <c r="AU3026" i="1"/>
  <c r="AP3026" i="1" s="1"/>
  <c r="AU3027" i="1"/>
  <c r="AU3028" i="1"/>
  <c r="AU3029" i="1"/>
  <c r="AU3030" i="1"/>
  <c r="AU3031" i="1"/>
  <c r="AP3031" i="1" s="1"/>
  <c r="AU3032" i="1"/>
  <c r="AP3032" i="1" s="1"/>
  <c r="AU3033" i="1"/>
  <c r="AU3034" i="1"/>
  <c r="AP3034" i="1" s="1"/>
  <c r="AU3035" i="1"/>
  <c r="AU3036" i="1"/>
  <c r="AU3037" i="1"/>
  <c r="AU3038" i="1"/>
  <c r="AP3038" i="1" s="1"/>
  <c r="AU3039" i="1"/>
  <c r="AU3040" i="1"/>
  <c r="AU3041" i="1"/>
  <c r="AP3041" i="1" s="1"/>
  <c r="AU3042" i="1"/>
  <c r="AP3042" i="1" s="1"/>
  <c r="AU3043" i="1"/>
  <c r="AU3044" i="1"/>
  <c r="AU3045" i="1"/>
  <c r="AU3046" i="1"/>
  <c r="AU3047" i="1"/>
  <c r="AP3047" i="1" s="1"/>
  <c r="AU3048" i="1"/>
  <c r="AU3049" i="1"/>
  <c r="AU3050" i="1"/>
  <c r="AP3050" i="1" s="1"/>
  <c r="AU3051" i="1"/>
  <c r="AU3052" i="1"/>
  <c r="AU3053" i="1"/>
  <c r="AU3054" i="1"/>
  <c r="AP3054" i="1" s="1"/>
  <c r="AU3055" i="1"/>
  <c r="AU3056" i="1"/>
  <c r="AU3057" i="1"/>
  <c r="AP3057" i="1" s="1"/>
  <c r="AU3058" i="1"/>
  <c r="AP3058" i="1" s="1"/>
  <c r="AU3059" i="1"/>
  <c r="AU3060" i="1"/>
  <c r="AU3061" i="1"/>
  <c r="AU3062" i="1"/>
  <c r="AU3063" i="1"/>
  <c r="AP3063" i="1" s="1"/>
  <c r="AU3064" i="1"/>
  <c r="AP3064" i="1" s="1"/>
  <c r="AU3065" i="1"/>
  <c r="AU3066" i="1"/>
  <c r="AP3066" i="1" s="1"/>
  <c r="AU3067" i="1"/>
  <c r="AU3068" i="1"/>
  <c r="AU3069" i="1"/>
  <c r="AU3070" i="1"/>
  <c r="AP3070" i="1" s="1"/>
  <c r="AU3071" i="1"/>
  <c r="AU3072" i="1"/>
  <c r="AU3073" i="1"/>
  <c r="AP3073" i="1" s="1"/>
  <c r="AU3074" i="1"/>
  <c r="AP3074" i="1" s="1"/>
  <c r="AU3075" i="1"/>
  <c r="AU3076" i="1"/>
  <c r="AU3077" i="1"/>
  <c r="AU3078" i="1"/>
  <c r="AU3079" i="1"/>
  <c r="AP3079" i="1" s="1"/>
  <c r="AU3080" i="1"/>
  <c r="AP3080" i="1" s="1"/>
  <c r="AU3081" i="1"/>
  <c r="AU3082" i="1"/>
  <c r="AP3082" i="1" s="1"/>
  <c r="AU3083" i="1"/>
  <c r="AU3084" i="1"/>
  <c r="AU3085" i="1"/>
  <c r="AU3086" i="1"/>
  <c r="AP3086" i="1" s="1"/>
  <c r="AU3087" i="1"/>
  <c r="AU3088" i="1"/>
  <c r="AU3089" i="1"/>
  <c r="AP3089" i="1" s="1"/>
  <c r="AU3090" i="1"/>
  <c r="AP3090" i="1" s="1"/>
  <c r="AU3091" i="1"/>
  <c r="AU3092" i="1"/>
  <c r="AU3093" i="1"/>
  <c r="AU3094" i="1"/>
  <c r="AU3095" i="1"/>
  <c r="AP3095" i="1" s="1"/>
  <c r="AU3096" i="1"/>
  <c r="AP3096" i="1" s="1"/>
  <c r="AU3097" i="1"/>
  <c r="AU3098" i="1"/>
  <c r="AP3098" i="1" s="1"/>
  <c r="AU3099" i="1"/>
  <c r="AU3100" i="1"/>
  <c r="AU3101" i="1"/>
  <c r="AU3102" i="1"/>
  <c r="AP3102" i="1" s="1"/>
  <c r="AU3103" i="1"/>
  <c r="AU3104" i="1"/>
  <c r="AU3105" i="1"/>
  <c r="AP3105" i="1" s="1"/>
  <c r="AU3106" i="1"/>
  <c r="AP3106" i="1" s="1"/>
  <c r="AU3107" i="1"/>
  <c r="AU3108" i="1"/>
  <c r="AU3109" i="1"/>
  <c r="AU3110" i="1"/>
  <c r="AU3111" i="1"/>
  <c r="AP3111" i="1" s="1"/>
  <c r="AU3112" i="1"/>
  <c r="AU3113" i="1"/>
  <c r="AU3114" i="1"/>
  <c r="AP3114" i="1" s="1"/>
  <c r="AU3115" i="1"/>
  <c r="AU3116" i="1"/>
  <c r="AU3117" i="1"/>
  <c r="AU3118" i="1"/>
  <c r="AP3118" i="1" s="1"/>
  <c r="AU3119" i="1"/>
  <c r="AU3120" i="1"/>
  <c r="AU3121" i="1"/>
  <c r="AP3121" i="1" s="1"/>
  <c r="AU3122" i="1"/>
  <c r="AP3122" i="1" s="1"/>
  <c r="AU3123" i="1"/>
  <c r="AU3124" i="1"/>
  <c r="AU3125" i="1"/>
  <c r="AU3126" i="1"/>
  <c r="AU3127" i="1"/>
  <c r="AP3127" i="1" s="1"/>
  <c r="AU3128" i="1"/>
  <c r="AP3128" i="1" s="1"/>
  <c r="AU3129" i="1"/>
  <c r="AU3130" i="1"/>
  <c r="AP3130" i="1" s="1"/>
  <c r="AU3131" i="1"/>
  <c r="AU3132" i="1"/>
  <c r="AU3133" i="1"/>
  <c r="AU3134" i="1"/>
  <c r="AP3134" i="1" s="1"/>
  <c r="AU3135" i="1"/>
  <c r="AU3136" i="1"/>
  <c r="AU3137" i="1"/>
  <c r="AP3137" i="1" s="1"/>
  <c r="AU3138" i="1"/>
  <c r="AP3138" i="1" s="1"/>
  <c r="AU3139" i="1"/>
  <c r="AP3139" i="1" s="1"/>
  <c r="AU3140" i="1"/>
  <c r="AU3141" i="1"/>
  <c r="AU3142" i="1"/>
  <c r="AU3143" i="1"/>
  <c r="AP3143" i="1" s="1"/>
  <c r="AU3144" i="1"/>
  <c r="AP3144" i="1" s="1"/>
  <c r="AU3145" i="1"/>
  <c r="AU3146" i="1"/>
  <c r="AP3146" i="1" s="1"/>
  <c r="AU3147" i="1"/>
  <c r="AU3148" i="1"/>
  <c r="AU3149" i="1"/>
  <c r="AU3150" i="1"/>
  <c r="AP3150" i="1" s="1"/>
  <c r="AU3151" i="1"/>
  <c r="AP3151" i="1" s="1"/>
  <c r="AU3152" i="1"/>
  <c r="AU3153" i="1"/>
  <c r="AP3153" i="1" s="1"/>
  <c r="AU3154" i="1"/>
  <c r="AP3154" i="1" s="1"/>
  <c r="AU3155" i="1"/>
  <c r="AU3156" i="1"/>
  <c r="AU3157" i="1"/>
  <c r="AU3158" i="1"/>
  <c r="AU3159" i="1"/>
  <c r="AP3159" i="1" s="1"/>
  <c r="AU3160" i="1"/>
  <c r="AP3160" i="1" s="1"/>
  <c r="AU3161" i="1"/>
  <c r="AU3162" i="1"/>
  <c r="AP3162" i="1" s="1"/>
  <c r="AU3163" i="1"/>
  <c r="AU3164" i="1"/>
  <c r="AU3165" i="1"/>
  <c r="AU3166" i="1"/>
  <c r="AP3166" i="1" s="1"/>
  <c r="AU3167" i="1"/>
  <c r="AU3168" i="1"/>
  <c r="AU3169" i="1"/>
  <c r="AP3169" i="1" s="1"/>
  <c r="AU3170" i="1"/>
  <c r="AP3170" i="1" s="1"/>
  <c r="AU3171" i="1"/>
  <c r="AP3171" i="1" s="1"/>
  <c r="AU3172" i="1"/>
  <c r="AT2927" i="1"/>
  <c r="AT2928" i="1"/>
  <c r="AO2928" i="1" s="1"/>
  <c r="AT2929" i="1"/>
  <c r="AO2929" i="1" s="1"/>
  <c r="AT2930" i="1"/>
  <c r="AO2930" i="1" s="1"/>
  <c r="AT2931" i="1"/>
  <c r="AO2931" i="1" s="1"/>
  <c r="AT2932" i="1"/>
  <c r="AO2932" i="1" s="1"/>
  <c r="AT2933" i="1"/>
  <c r="AT2934" i="1"/>
  <c r="AT2935" i="1"/>
  <c r="AT2936" i="1"/>
  <c r="AT2937" i="1"/>
  <c r="AT2938" i="1"/>
  <c r="AO2938" i="1" s="1"/>
  <c r="AT2939" i="1"/>
  <c r="AT2940" i="1"/>
  <c r="AT2941" i="1"/>
  <c r="AO2941" i="1" s="1"/>
  <c r="AT2942" i="1"/>
  <c r="AO2942" i="1" s="1"/>
  <c r="AT2943" i="1"/>
  <c r="AT2944" i="1"/>
  <c r="AT2945" i="1"/>
  <c r="AO2945" i="1" s="1"/>
  <c r="AT2946" i="1"/>
  <c r="AO2946" i="1" s="1"/>
  <c r="AT2947" i="1"/>
  <c r="AO2947" i="1" s="1"/>
  <c r="AT2948" i="1"/>
  <c r="AO2948" i="1" s="1"/>
  <c r="AT2949" i="1"/>
  <c r="AT2950" i="1"/>
  <c r="AT2951" i="1"/>
  <c r="AT2952" i="1"/>
  <c r="AT2953" i="1"/>
  <c r="AT2954" i="1"/>
  <c r="AO2954" i="1" s="1"/>
  <c r="AT2955" i="1"/>
  <c r="AT2956" i="1"/>
  <c r="AT2957" i="1"/>
  <c r="AO2957" i="1" s="1"/>
  <c r="AT2958" i="1"/>
  <c r="AO2958" i="1" s="1"/>
  <c r="AT2959" i="1"/>
  <c r="AT2960" i="1"/>
  <c r="AO2960" i="1" s="1"/>
  <c r="AT2961" i="1"/>
  <c r="AO2961" i="1" s="1"/>
  <c r="AT2962" i="1"/>
  <c r="AO2962" i="1" s="1"/>
  <c r="AT2963" i="1"/>
  <c r="AO2963" i="1" s="1"/>
  <c r="AT2964" i="1"/>
  <c r="AO2964" i="1" s="1"/>
  <c r="AT2965" i="1"/>
  <c r="AT2966" i="1"/>
  <c r="AT2967" i="1"/>
  <c r="AT2968" i="1"/>
  <c r="AT2969" i="1"/>
  <c r="AT2970" i="1"/>
  <c r="AO2970" i="1" s="1"/>
  <c r="AT2971" i="1"/>
  <c r="AT2972" i="1"/>
  <c r="AT2973" i="1"/>
  <c r="AO2973" i="1" s="1"/>
  <c r="AT2974" i="1"/>
  <c r="AO2974" i="1" s="1"/>
  <c r="AT2975" i="1"/>
  <c r="AT2976" i="1"/>
  <c r="AO2976" i="1" s="1"/>
  <c r="AT2977" i="1"/>
  <c r="AO2977" i="1" s="1"/>
  <c r="AT2978" i="1"/>
  <c r="AO2978" i="1" s="1"/>
  <c r="AT2979" i="1"/>
  <c r="AO2979" i="1" s="1"/>
  <c r="AT2980" i="1"/>
  <c r="AO2980" i="1" s="1"/>
  <c r="AT2981" i="1"/>
  <c r="AT2982" i="1"/>
  <c r="AT2983" i="1"/>
  <c r="AT2984" i="1"/>
  <c r="AT2985" i="1"/>
  <c r="AT2986" i="1"/>
  <c r="AO2986" i="1" s="1"/>
  <c r="AT2987" i="1"/>
  <c r="AT2988" i="1"/>
  <c r="AT2989" i="1"/>
  <c r="AO2989" i="1" s="1"/>
  <c r="AT2990" i="1"/>
  <c r="AO2990" i="1" s="1"/>
  <c r="AT2991" i="1"/>
  <c r="AT2992" i="1"/>
  <c r="AT2993" i="1"/>
  <c r="AT2994" i="1"/>
  <c r="AO2994" i="1" s="1"/>
  <c r="AT2995" i="1"/>
  <c r="AO2995" i="1" s="1"/>
  <c r="AT2996" i="1"/>
  <c r="AO2996" i="1" s="1"/>
  <c r="AT2997" i="1"/>
  <c r="AT2998" i="1"/>
  <c r="AT2999" i="1"/>
  <c r="AT3000" i="1"/>
  <c r="AT3001" i="1"/>
  <c r="AT3002" i="1"/>
  <c r="AO3002" i="1" s="1"/>
  <c r="AT3003" i="1"/>
  <c r="AT3004" i="1"/>
  <c r="AT3005" i="1"/>
  <c r="AO3005" i="1" s="1"/>
  <c r="AT3006" i="1"/>
  <c r="AO3006" i="1" s="1"/>
  <c r="AT3007" i="1"/>
  <c r="AT3008" i="1"/>
  <c r="AO3008" i="1" s="1"/>
  <c r="AT3009" i="1"/>
  <c r="AO3009" i="1" s="1"/>
  <c r="AT3010" i="1"/>
  <c r="AO3010" i="1" s="1"/>
  <c r="AT3011" i="1"/>
  <c r="AO3011" i="1" s="1"/>
  <c r="AT3012" i="1"/>
  <c r="AO3012" i="1" s="1"/>
  <c r="AT3013" i="1"/>
  <c r="AT3014" i="1"/>
  <c r="AT3015" i="1"/>
  <c r="AT3016" i="1"/>
  <c r="AT3017" i="1"/>
  <c r="AT3018" i="1"/>
  <c r="AO3018" i="1" s="1"/>
  <c r="AT3019" i="1"/>
  <c r="AT3020" i="1"/>
  <c r="AT3021" i="1"/>
  <c r="AO3021" i="1" s="1"/>
  <c r="AT3022" i="1"/>
  <c r="AO3022" i="1" s="1"/>
  <c r="AT3023" i="1"/>
  <c r="AT3024" i="1"/>
  <c r="AO3024" i="1" s="1"/>
  <c r="AT3025" i="1"/>
  <c r="AO3025" i="1" s="1"/>
  <c r="AT3026" i="1"/>
  <c r="AO3026" i="1" s="1"/>
  <c r="AT3027" i="1"/>
  <c r="AO3027" i="1" s="1"/>
  <c r="AT3028" i="1"/>
  <c r="AO3028" i="1" s="1"/>
  <c r="AT3029" i="1"/>
  <c r="AT3030" i="1"/>
  <c r="AT3031" i="1"/>
  <c r="AT3032" i="1"/>
  <c r="AT3033" i="1"/>
  <c r="AT3034" i="1"/>
  <c r="AO3034" i="1" s="1"/>
  <c r="AT3035" i="1"/>
  <c r="AT3036" i="1"/>
  <c r="AT3037" i="1"/>
  <c r="AO3037" i="1" s="1"/>
  <c r="AT3038" i="1"/>
  <c r="AO3038" i="1" s="1"/>
  <c r="AT3039" i="1"/>
  <c r="AT3040" i="1"/>
  <c r="AO3040" i="1" s="1"/>
  <c r="AT3041" i="1"/>
  <c r="AO3041" i="1" s="1"/>
  <c r="AT3042" i="1"/>
  <c r="AO3042" i="1" s="1"/>
  <c r="AT3043" i="1"/>
  <c r="AO3043" i="1" s="1"/>
  <c r="AT3044" i="1"/>
  <c r="AO3044" i="1" s="1"/>
  <c r="AT3045" i="1"/>
  <c r="AT3046" i="1"/>
  <c r="AT3047" i="1"/>
  <c r="AT3048" i="1"/>
  <c r="AT3049" i="1"/>
  <c r="AT3050" i="1"/>
  <c r="AO3050" i="1" s="1"/>
  <c r="AT3051" i="1"/>
  <c r="AT3052" i="1"/>
  <c r="AT3053" i="1"/>
  <c r="AO3053" i="1" s="1"/>
  <c r="AT3054" i="1"/>
  <c r="AO3054" i="1" s="1"/>
  <c r="AT3055" i="1"/>
  <c r="AT3056" i="1"/>
  <c r="AO3056" i="1" s="1"/>
  <c r="AT3057" i="1"/>
  <c r="AO3057" i="1" s="1"/>
  <c r="AT3058" i="1"/>
  <c r="AO3058" i="1" s="1"/>
  <c r="AT3059" i="1"/>
  <c r="AO3059" i="1" s="1"/>
  <c r="AT3060" i="1"/>
  <c r="AO3060" i="1" s="1"/>
  <c r="AT3061" i="1"/>
  <c r="AT3062" i="1"/>
  <c r="AT3063" i="1"/>
  <c r="AT3064" i="1"/>
  <c r="AT3065" i="1"/>
  <c r="AT3066" i="1"/>
  <c r="AO3066" i="1" s="1"/>
  <c r="AT3067" i="1"/>
  <c r="AT3068" i="1"/>
  <c r="AT3069" i="1"/>
  <c r="AO3069" i="1" s="1"/>
  <c r="AT3070" i="1"/>
  <c r="AO3070" i="1" s="1"/>
  <c r="AT3071" i="1"/>
  <c r="AT3072" i="1"/>
  <c r="AT3073" i="1"/>
  <c r="AO3073" i="1" s="1"/>
  <c r="AT3074" i="1"/>
  <c r="AO3074" i="1" s="1"/>
  <c r="AT3075" i="1"/>
  <c r="AO3075" i="1" s="1"/>
  <c r="AT3076" i="1"/>
  <c r="AO3076" i="1" s="1"/>
  <c r="AT3077" i="1"/>
  <c r="AT3078" i="1"/>
  <c r="AT3079" i="1"/>
  <c r="AT3080" i="1"/>
  <c r="AT3081" i="1"/>
  <c r="AT3082" i="1"/>
  <c r="AO3082" i="1" s="1"/>
  <c r="AT3083" i="1"/>
  <c r="AT3084" i="1"/>
  <c r="AT3085" i="1"/>
  <c r="AO3085" i="1" s="1"/>
  <c r="AT3086" i="1"/>
  <c r="AO3086" i="1" s="1"/>
  <c r="AT3087" i="1"/>
  <c r="AT3088" i="1"/>
  <c r="AO3088" i="1" s="1"/>
  <c r="AT3089" i="1"/>
  <c r="AO3089" i="1" s="1"/>
  <c r="AT3090" i="1"/>
  <c r="AO3090" i="1" s="1"/>
  <c r="AT3091" i="1"/>
  <c r="AO3091" i="1" s="1"/>
  <c r="AT3092" i="1"/>
  <c r="AO3092" i="1" s="1"/>
  <c r="AT3093" i="1"/>
  <c r="AT3094" i="1"/>
  <c r="AT3095" i="1"/>
  <c r="AT3096" i="1"/>
  <c r="AT3097" i="1"/>
  <c r="AT3098" i="1"/>
  <c r="AO3098" i="1" s="1"/>
  <c r="AT3099" i="1"/>
  <c r="AT3100" i="1"/>
  <c r="AT3101" i="1"/>
  <c r="AO3101" i="1" s="1"/>
  <c r="AT3102" i="1"/>
  <c r="AO3102" i="1" s="1"/>
  <c r="AT3103" i="1"/>
  <c r="AT3104" i="1"/>
  <c r="AO3104" i="1" s="1"/>
  <c r="AT3105" i="1"/>
  <c r="AO3105" i="1" s="1"/>
  <c r="AT3106" i="1"/>
  <c r="AO3106" i="1" s="1"/>
  <c r="AT3107" i="1"/>
  <c r="AO3107" i="1" s="1"/>
  <c r="AT3108" i="1"/>
  <c r="AO3108" i="1" s="1"/>
  <c r="AT3109" i="1"/>
  <c r="AT3110" i="1"/>
  <c r="AT3111" i="1"/>
  <c r="AT3112" i="1"/>
  <c r="AT3113" i="1"/>
  <c r="AT3114" i="1"/>
  <c r="AO3114" i="1" s="1"/>
  <c r="AT3115" i="1"/>
  <c r="AT3116" i="1"/>
  <c r="AT3117" i="1"/>
  <c r="AO3117" i="1" s="1"/>
  <c r="AT3118" i="1"/>
  <c r="AO3118" i="1" s="1"/>
  <c r="AT3119" i="1"/>
  <c r="AT3120" i="1"/>
  <c r="AT3121" i="1"/>
  <c r="AT3122" i="1"/>
  <c r="AO3122" i="1" s="1"/>
  <c r="AT3123" i="1"/>
  <c r="AO3123" i="1" s="1"/>
  <c r="AT3124" i="1"/>
  <c r="AO3124" i="1" s="1"/>
  <c r="AT3125" i="1"/>
  <c r="AT3126" i="1"/>
  <c r="AT3127" i="1"/>
  <c r="AT3128" i="1"/>
  <c r="AT3129" i="1"/>
  <c r="AT3130" i="1"/>
  <c r="AO3130" i="1" s="1"/>
  <c r="AT3131" i="1"/>
  <c r="AT3132" i="1"/>
  <c r="AT3133" i="1"/>
  <c r="AO3133" i="1" s="1"/>
  <c r="AT3134" i="1"/>
  <c r="AO3134" i="1" s="1"/>
  <c r="AT3135" i="1"/>
  <c r="AT3136" i="1"/>
  <c r="AO3136" i="1" s="1"/>
  <c r="AT3137" i="1"/>
  <c r="AO3137" i="1" s="1"/>
  <c r="AT3138" i="1"/>
  <c r="AO3138" i="1" s="1"/>
  <c r="AT3139" i="1"/>
  <c r="AO3139" i="1" s="1"/>
  <c r="AT3140" i="1"/>
  <c r="AO3140" i="1" s="1"/>
  <c r="AT3141" i="1"/>
  <c r="AT3142" i="1"/>
  <c r="AT3143" i="1"/>
  <c r="AT3144" i="1"/>
  <c r="AT3145" i="1"/>
  <c r="AT3146" i="1"/>
  <c r="AO3146" i="1" s="1"/>
  <c r="AT3147" i="1"/>
  <c r="AT3148" i="1"/>
  <c r="AT3149" i="1"/>
  <c r="AO3149" i="1" s="1"/>
  <c r="AT3150" i="1"/>
  <c r="AO3150" i="1" s="1"/>
  <c r="AT3151" i="1"/>
  <c r="AT3152" i="1"/>
  <c r="AO3152" i="1" s="1"/>
  <c r="AT3153" i="1"/>
  <c r="AO3153" i="1" s="1"/>
  <c r="AT3154" i="1"/>
  <c r="AO3154" i="1" s="1"/>
  <c r="AT3155" i="1"/>
  <c r="AO3155" i="1" s="1"/>
  <c r="AT3156" i="1"/>
  <c r="AO3156" i="1" s="1"/>
  <c r="AT3157" i="1"/>
  <c r="AT3158" i="1"/>
  <c r="AT3159" i="1"/>
  <c r="AT3160" i="1"/>
  <c r="AT3161" i="1"/>
  <c r="AT3162" i="1"/>
  <c r="AO3162" i="1" s="1"/>
  <c r="AT3163" i="1"/>
  <c r="AT3164" i="1"/>
  <c r="AT3165" i="1"/>
  <c r="AO3165" i="1" s="1"/>
  <c r="AT3166" i="1"/>
  <c r="AO3166" i="1" s="1"/>
  <c r="AT3167" i="1"/>
  <c r="AT3168" i="1"/>
  <c r="AO3168" i="1" s="1"/>
  <c r="AT3169" i="1"/>
  <c r="AO3169" i="1" s="1"/>
  <c r="AT3170" i="1"/>
  <c r="AO3170" i="1" s="1"/>
  <c r="AT3171" i="1"/>
  <c r="AO3171" i="1" s="1"/>
  <c r="AT3172" i="1"/>
  <c r="AO3172" i="1" s="1"/>
  <c r="AS2927" i="1"/>
  <c r="AS2928" i="1"/>
  <c r="AS2929" i="1"/>
  <c r="AN2929" i="1" s="1"/>
  <c r="AS2930" i="1"/>
  <c r="AN2930" i="1" s="1"/>
  <c r="AS2931" i="1"/>
  <c r="AS2932" i="1"/>
  <c r="AS2933" i="1"/>
  <c r="AS2934" i="1"/>
  <c r="AS2935" i="1"/>
  <c r="AS2936" i="1"/>
  <c r="AS2937" i="1"/>
  <c r="AN2937" i="1" s="1"/>
  <c r="AS2938" i="1"/>
  <c r="AN2938" i="1" s="1"/>
  <c r="AS2939" i="1"/>
  <c r="AN2939" i="1" s="1"/>
  <c r="AS2940" i="1"/>
  <c r="AS2941" i="1"/>
  <c r="AS2942" i="1"/>
  <c r="AN2942" i="1" s="1"/>
  <c r="AS2943" i="1"/>
  <c r="AS2944" i="1"/>
  <c r="AS2945" i="1"/>
  <c r="AN2945" i="1" s="1"/>
  <c r="AS2946" i="1"/>
  <c r="AN2946" i="1" s="1"/>
  <c r="AS2947" i="1"/>
  <c r="AS2948" i="1"/>
  <c r="AS2949" i="1"/>
  <c r="AS2950" i="1"/>
  <c r="AS2951" i="1"/>
  <c r="AS2952" i="1"/>
  <c r="AS2953" i="1"/>
  <c r="AN2953" i="1" s="1"/>
  <c r="AS2954" i="1"/>
  <c r="AN2954" i="1" s="1"/>
  <c r="AS2955" i="1"/>
  <c r="AN2955" i="1" s="1"/>
  <c r="AS2956" i="1"/>
  <c r="AS2957" i="1"/>
  <c r="AS2958" i="1"/>
  <c r="AN2958" i="1" s="1"/>
  <c r="AS2959" i="1"/>
  <c r="AS2960" i="1"/>
  <c r="AS2961" i="1"/>
  <c r="AN2961" i="1" s="1"/>
  <c r="AS2962" i="1"/>
  <c r="AN2962" i="1" s="1"/>
  <c r="AS2963" i="1"/>
  <c r="AS2964" i="1"/>
  <c r="AS2965" i="1"/>
  <c r="AS2966" i="1"/>
  <c r="AS2967" i="1"/>
  <c r="AS2968" i="1"/>
  <c r="AS2969" i="1"/>
  <c r="AS2970" i="1"/>
  <c r="AN2970" i="1" s="1"/>
  <c r="AS2971" i="1"/>
  <c r="AN2971" i="1" s="1"/>
  <c r="AS2972" i="1"/>
  <c r="AS2973" i="1"/>
  <c r="AS2974" i="1"/>
  <c r="AN2974" i="1" s="1"/>
  <c r="AS2975" i="1"/>
  <c r="AS2976" i="1"/>
  <c r="AS2977" i="1"/>
  <c r="AN2977" i="1" s="1"/>
  <c r="AS2978" i="1"/>
  <c r="AN2978" i="1" s="1"/>
  <c r="AS2979" i="1"/>
  <c r="AS2980" i="1"/>
  <c r="AS2981" i="1"/>
  <c r="AS2982" i="1"/>
  <c r="AS2983" i="1"/>
  <c r="AS2984" i="1"/>
  <c r="AS2985" i="1"/>
  <c r="AN2985" i="1" s="1"/>
  <c r="AS2986" i="1"/>
  <c r="AN2986" i="1" s="1"/>
  <c r="AS2987" i="1"/>
  <c r="AN2987" i="1" s="1"/>
  <c r="AS2988" i="1"/>
  <c r="AS2989" i="1"/>
  <c r="AS2990" i="1"/>
  <c r="AN2990" i="1" s="1"/>
  <c r="AS2991" i="1"/>
  <c r="AS2992" i="1"/>
  <c r="AS2993" i="1"/>
  <c r="AN2993" i="1" s="1"/>
  <c r="AS2994" i="1"/>
  <c r="AN2994" i="1" s="1"/>
  <c r="AS2995" i="1"/>
  <c r="AS2996" i="1"/>
  <c r="AS2997" i="1"/>
  <c r="AS2998" i="1"/>
  <c r="AS2999" i="1"/>
  <c r="AS3000" i="1"/>
  <c r="AS3001" i="1"/>
  <c r="AN3001" i="1" s="1"/>
  <c r="AS3002" i="1"/>
  <c r="AN3002" i="1" s="1"/>
  <c r="AS3003" i="1"/>
  <c r="AN3003" i="1" s="1"/>
  <c r="AS3004" i="1"/>
  <c r="AS3005" i="1"/>
  <c r="AS3006" i="1"/>
  <c r="AN3006" i="1" s="1"/>
  <c r="AS3007" i="1"/>
  <c r="AS3008" i="1"/>
  <c r="AS3009" i="1"/>
  <c r="AN3009" i="1" s="1"/>
  <c r="AS3010" i="1"/>
  <c r="AN3010" i="1" s="1"/>
  <c r="AS3011" i="1"/>
  <c r="AS3012" i="1"/>
  <c r="AS3013" i="1"/>
  <c r="AS3014" i="1"/>
  <c r="AS3015" i="1"/>
  <c r="AS3016" i="1"/>
  <c r="AS3017" i="1"/>
  <c r="AN3017" i="1" s="1"/>
  <c r="AS3018" i="1"/>
  <c r="AN3018" i="1" s="1"/>
  <c r="AS3019" i="1"/>
  <c r="AN3019" i="1" s="1"/>
  <c r="AS3020" i="1"/>
  <c r="AS3021" i="1"/>
  <c r="AS3022" i="1"/>
  <c r="AN3022" i="1" s="1"/>
  <c r="AS3023" i="1"/>
  <c r="AS3024" i="1"/>
  <c r="AS3025" i="1"/>
  <c r="AN3025" i="1" s="1"/>
  <c r="AS3026" i="1"/>
  <c r="AN3026" i="1" s="1"/>
  <c r="AS3027" i="1"/>
  <c r="AS3028" i="1"/>
  <c r="AS3029" i="1"/>
  <c r="AS3030" i="1"/>
  <c r="AS3031" i="1"/>
  <c r="AS3032" i="1"/>
  <c r="AS3033" i="1"/>
  <c r="AS3034" i="1"/>
  <c r="AN3034" i="1" s="1"/>
  <c r="AS3035" i="1"/>
  <c r="AN3035" i="1" s="1"/>
  <c r="AS3036" i="1"/>
  <c r="AS3037" i="1"/>
  <c r="AS3038" i="1"/>
  <c r="AN3038" i="1" s="1"/>
  <c r="AS3039" i="1"/>
  <c r="AS3040" i="1"/>
  <c r="AS3041" i="1"/>
  <c r="AN3041" i="1" s="1"/>
  <c r="AS3042" i="1"/>
  <c r="AN3042" i="1" s="1"/>
  <c r="AS3043" i="1"/>
  <c r="AS3044" i="1"/>
  <c r="AS3045" i="1"/>
  <c r="AS3046" i="1"/>
  <c r="AS3047" i="1"/>
  <c r="AS3048" i="1"/>
  <c r="AS3049" i="1"/>
  <c r="AN3049" i="1" s="1"/>
  <c r="AS3050" i="1"/>
  <c r="AN3050" i="1" s="1"/>
  <c r="AS3051" i="1"/>
  <c r="AN3051" i="1" s="1"/>
  <c r="AS3052" i="1"/>
  <c r="AS3053" i="1"/>
  <c r="AS3054" i="1"/>
  <c r="AN3054" i="1" s="1"/>
  <c r="AS3055" i="1"/>
  <c r="AS3056" i="1"/>
  <c r="AS3057" i="1"/>
  <c r="AN3057" i="1" s="1"/>
  <c r="AS3058" i="1"/>
  <c r="AN3058" i="1" s="1"/>
  <c r="AS3059" i="1"/>
  <c r="AS3060" i="1"/>
  <c r="AS3061" i="1"/>
  <c r="AS3062" i="1"/>
  <c r="AS3063" i="1"/>
  <c r="AS3064" i="1"/>
  <c r="AS3065" i="1"/>
  <c r="AN3065" i="1" s="1"/>
  <c r="AS3066" i="1"/>
  <c r="AN3066" i="1" s="1"/>
  <c r="AS3067" i="1"/>
  <c r="AN3067" i="1" s="1"/>
  <c r="AS3068" i="1"/>
  <c r="AS3069" i="1"/>
  <c r="AS3070" i="1"/>
  <c r="AN3070" i="1" s="1"/>
  <c r="AS3071" i="1"/>
  <c r="AS3072" i="1"/>
  <c r="AS3073" i="1"/>
  <c r="AN3073" i="1" s="1"/>
  <c r="AS3074" i="1"/>
  <c r="AN3074" i="1" s="1"/>
  <c r="AS3075" i="1"/>
  <c r="AS3076" i="1"/>
  <c r="AS3077" i="1"/>
  <c r="AS3078" i="1"/>
  <c r="AS3079" i="1"/>
  <c r="AS3080" i="1"/>
  <c r="AS3081" i="1"/>
  <c r="AN3081" i="1" s="1"/>
  <c r="AS3082" i="1"/>
  <c r="AN3082" i="1" s="1"/>
  <c r="AS3083" i="1"/>
  <c r="AN3083" i="1" s="1"/>
  <c r="AS3084" i="1"/>
  <c r="AS3085" i="1"/>
  <c r="AS3086" i="1"/>
  <c r="AN3086" i="1" s="1"/>
  <c r="AS3087" i="1"/>
  <c r="AS3088" i="1"/>
  <c r="AS3089" i="1"/>
  <c r="AN3089" i="1" s="1"/>
  <c r="AS3090" i="1"/>
  <c r="AN3090" i="1" s="1"/>
  <c r="AS3091" i="1"/>
  <c r="AS3092" i="1"/>
  <c r="AS3093" i="1"/>
  <c r="AS3094" i="1"/>
  <c r="AS3095" i="1"/>
  <c r="AS3096" i="1"/>
  <c r="AS3097" i="1"/>
  <c r="AS3098" i="1"/>
  <c r="AN3098" i="1" s="1"/>
  <c r="AS3099" i="1"/>
  <c r="AN3099" i="1" s="1"/>
  <c r="AS3100" i="1"/>
  <c r="AS3101" i="1"/>
  <c r="AS3102" i="1"/>
  <c r="AN3102" i="1" s="1"/>
  <c r="AS3103" i="1"/>
  <c r="AS3104" i="1"/>
  <c r="AS3105" i="1"/>
  <c r="AN3105" i="1" s="1"/>
  <c r="AS3106" i="1"/>
  <c r="AN3106" i="1" s="1"/>
  <c r="AS3107" i="1"/>
  <c r="AS3108" i="1"/>
  <c r="AS3109" i="1"/>
  <c r="AS3110" i="1"/>
  <c r="AS3111" i="1"/>
  <c r="AS3112" i="1"/>
  <c r="AS3113" i="1"/>
  <c r="AN3113" i="1" s="1"/>
  <c r="AS3114" i="1"/>
  <c r="AN3114" i="1" s="1"/>
  <c r="AS3115" i="1"/>
  <c r="AN3115" i="1" s="1"/>
  <c r="AS3116" i="1"/>
  <c r="AS3117" i="1"/>
  <c r="AS3118" i="1"/>
  <c r="AN3118" i="1" s="1"/>
  <c r="AS3119" i="1"/>
  <c r="AS3120" i="1"/>
  <c r="AS3121" i="1"/>
  <c r="AN3121" i="1" s="1"/>
  <c r="AS3122" i="1"/>
  <c r="AN3122" i="1" s="1"/>
  <c r="AS3123" i="1"/>
  <c r="AS3124" i="1"/>
  <c r="AS3125" i="1"/>
  <c r="AS3126" i="1"/>
  <c r="AS3127" i="1"/>
  <c r="AS3128" i="1"/>
  <c r="AS3129" i="1"/>
  <c r="AN3129" i="1" s="1"/>
  <c r="AS3130" i="1"/>
  <c r="AN3130" i="1" s="1"/>
  <c r="AS3131" i="1"/>
  <c r="AN3131" i="1" s="1"/>
  <c r="AS3132" i="1"/>
  <c r="AS3133" i="1"/>
  <c r="AS3134" i="1"/>
  <c r="AN3134" i="1" s="1"/>
  <c r="AS3135" i="1"/>
  <c r="AS3136" i="1"/>
  <c r="AS3137" i="1"/>
  <c r="AN3137" i="1" s="1"/>
  <c r="AS3138" i="1"/>
  <c r="AN3138" i="1" s="1"/>
  <c r="AS3139" i="1"/>
  <c r="AS3140" i="1"/>
  <c r="AS3141" i="1"/>
  <c r="AS3142" i="1"/>
  <c r="AS3143" i="1"/>
  <c r="AS3144" i="1"/>
  <c r="AS3145" i="1"/>
  <c r="AN3145" i="1" s="1"/>
  <c r="AS3146" i="1"/>
  <c r="AN3146" i="1" s="1"/>
  <c r="AS3147" i="1"/>
  <c r="AN3147" i="1" s="1"/>
  <c r="AS3148" i="1"/>
  <c r="AS3149" i="1"/>
  <c r="AS3150" i="1"/>
  <c r="AN3150" i="1" s="1"/>
  <c r="AS3151" i="1"/>
  <c r="AS3152" i="1"/>
  <c r="AS3153" i="1"/>
  <c r="AN3153" i="1" s="1"/>
  <c r="AS3154" i="1"/>
  <c r="AN3154" i="1" s="1"/>
  <c r="AS3155" i="1"/>
  <c r="AS3156" i="1"/>
  <c r="AS3157" i="1"/>
  <c r="AS3158" i="1"/>
  <c r="AS3159" i="1"/>
  <c r="AS3160" i="1"/>
  <c r="AS3161" i="1"/>
  <c r="AS3162" i="1"/>
  <c r="AN3162" i="1" s="1"/>
  <c r="AS3163" i="1"/>
  <c r="AN3163" i="1" s="1"/>
  <c r="AS3164" i="1"/>
  <c r="AS3165" i="1"/>
  <c r="AS3166" i="1"/>
  <c r="AN3166" i="1" s="1"/>
  <c r="AS3167" i="1"/>
  <c r="AS3168" i="1"/>
  <c r="AS3169" i="1"/>
  <c r="AN3169" i="1" s="1"/>
  <c r="AS3170" i="1"/>
  <c r="AN3170" i="1" s="1"/>
  <c r="AS3171" i="1"/>
  <c r="AS3172" i="1"/>
  <c r="AR2927" i="1"/>
  <c r="AM2927" i="1" s="1"/>
  <c r="AR2928" i="1"/>
  <c r="AR2929" i="1"/>
  <c r="AR2930" i="1"/>
  <c r="AR2931" i="1"/>
  <c r="AM2931" i="1" s="1"/>
  <c r="AR2932" i="1"/>
  <c r="AM2932" i="1" s="1"/>
  <c r="AR2933" i="1"/>
  <c r="AM2933" i="1" s="1"/>
  <c r="AR2934" i="1"/>
  <c r="AR2935" i="1"/>
  <c r="AR2936" i="1"/>
  <c r="AR2937" i="1"/>
  <c r="AM2937" i="1" s="1"/>
  <c r="AR2938" i="1"/>
  <c r="AR2939" i="1"/>
  <c r="AM2939" i="1" s="1"/>
  <c r="AR2940" i="1"/>
  <c r="AM2940" i="1" s="1"/>
  <c r="AR2941" i="1"/>
  <c r="AR2942" i="1"/>
  <c r="AM2942" i="1" s="1"/>
  <c r="AR2943" i="1"/>
  <c r="AM2943" i="1" s="1"/>
  <c r="AR2944" i="1"/>
  <c r="AR2945" i="1"/>
  <c r="AR2946" i="1"/>
  <c r="AM2946" i="1" s="1"/>
  <c r="AR2947" i="1"/>
  <c r="AM2947" i="1" s="1"/>
  <c r="AR2948" i="1"/>
  <c r="AM2948" i="1" s="1"/>
  <c r="AR2949" i="1"/>
  <c r="AM2949" i="1" s="1"/>
  <c r="AR2950" i="1"/>
  <c r="AR2951" i="1"/>
  <c r="AR2952" i="1"/>
  <c r="AR2953" i="1"/>
  <c r="AR2954" i="1"/>
  <c r="AR2955" i="1"/>
  <c r="AM2955" i="1" s="1"/>
  <c r="AR2956" i="1"/>
  <c r="AR2957" i="1"/>
  <c r="AR2958" i="1"/>
  <c r="AM2958" i="1" s="1"/>
  <c r="AR2959" i="1"/>
  <c r="AM2959" i="1" s="1"/>
  <c r="AR2960" i="1"/>
  <c r="AR2961" i="1"/>
  <c r="AR2962" i="1"/>
  <c r="AM2962" i="1" s="1"/>
  <c r="AR2963" i="1"/>
  <c r="AM2963" i="1" s="1"/>
  <c r="AR2964" i="1"/>
  <c r="AM2964" i="1" s="1"/>
  <c r="AR2965" i="1"/>
  <c r="AM2965" i="1" s="1"/>
  <c r="AR2966" i="1"/>
  <c r="AR2967" i="1"/>
  <c r="AR2968" i="1"/>
  <c r="AR2969" i="1"/>
  <c r="AM2969" i="1" s="1"/>
  <c r="AR2970" i="1"/>
  <c r="AR2971" i="1"/>
  <c r="AM2971" i="1" s="1"/>
  <c r="AR2972" i="1"/>
  <c r="AR2973" i="1"/>
  <c r="AR2974" i="1"/>
  <c r="AM2974" i="1" s="1"/>
  <c r="AR2975" i="1"/>
  <c r="AM2975" i="1" s="1"/>
  <c r="AR2976" i="1"/>
  <c r="AR2977" i="1"/>
  <c r="AR2978" i="1"/>
  <c r="AR2979" i="1"/>
  <c r="AM2979" i="1" s="1"/>
  <c r="AR2980" i="1"/>
  <c r="AM2980" i="1" s="1"/>
  <c r="AR2981" i="1"/>
  <c r="AM2981" i="1" s="1"/>
  <c r="AR2982" i="1"/>
  <c r="AR2983" i="1"/>
  <c r="AR2984" i="1"/>
  <c r="AR2985" i="1"/>
  <c r="AM2985" i="1" s="1"/>
  <c r="AR2986" i="1"/>
  <c r="AR2987" i="1"/>
  <c r="AM2987" i="1" s="1"/>
  <c r="AR2988" i="1"/>
  <c r="AR2989" i="1"/>
  <c r="AR2990" i="1"/>
  <c r="AM2990" i="1" s="1"/>
  <c r="AR2991" i="1"/>
  <c r="AM2991" i="1" s="1"/>
  <c r="AR2992" i="1"/>
  <c r="AR2993" i="1"/>
  <c r="AR2994" i="1"/>
  <c r="AM2994" i="1" s="1"/>
  <c r="AR2995" i="1"/>
  <c r="AM2995" i="1" s="1"/>
  <c r="AR2996" i="1"/>
  <c r="AM2996" i="1" s="1"/>
  <c r="AR2997" i="1"/>
  <c r="AM2997" i="1" s="1"/>
  <c r="AR2998" i="1"/>
  <c r="AR2999" i="1"/>
  <c r="AR3000" i="1"/>
  <c r="AR3001" i="1"/>
  <c r="AR3002" i="1"/>
  <c r="AR3003" i="1"/>
  <c r="AM3003" i="1" s="1"/>
  <c r="AR3004" i="1"/>
  <c r="AR3005" i="1"/>
  <c r="AR3006" i="1"/>
  <c r="AM3006" i="1" s="1"/>
  <c r="AR3007" i="1"/>
  <c r="AM3007" i="1" s="1"/>
  <c r="AR3008" i="1"/>
  <c r="AR3009" i="1"/>
  <c r="AR3010" i="1"/>
  <c r="AM3010" i="1" s="1"/>
  <c r="AR3011" i="1"/>
  <c r="AM3011" i="1" s="1"/>
  <c r="AR3012" i="1"/>
  <c r="AM3012" i="1" s="1"/>
  <c r="AR3013" i="1"/>
  <c r="AM3013" i="1" s="1"/>
  <c r="AR3014" i="1"/>
  <c r="AR3015" i="1"/>
  <c r="AR3016" i="1"/>
  <c r="AR3017" i="1"/>
  <c r="AR3018" i="1"/>
  <c r="AR3019" i="1"/>
  <c r="AM3019" i="1" s="1"/>
  <c r="AR3020" i="1"/>
  <c r="AR3021" i="1"/>
  <c r="AR3022" i="1"/>
  <c r="AM3022" i="1" s="1"/>
  <c r="AR3023" i="1"/>
  <c r="AM3023" i="1" s="1"/>
  <c r="AR3024" i="1"/>
  <c r="AR3025" i="1"/>
  <c r="AR3026" i="1"/>
  <c r="AR3027" i="1"/>
  <c r="AM3027" i="1" s="1"/>
  <c r="AR3028" i="1"/>
  <c r="AM3028" i="1" s="1"/>
  <c r="AR3029" i="1"/>
  <c r="AR3030" i="1"/>
  <c r="AR3031" i="1"/>
  <c r="AR3032" i="1"/>
  <c r="AR3033" i="1"/>
  <c r="AR3034" i="1"/>
  <c r="AR3035" i="1"/>
  <c r="AM3035" i="1" s="1"/>
  <c r="AR3036" i="1"/>
  <c r="AR3037" i="1"/>
  <c r="AR3038" i="1"/>
  <c r="AM3038" i="1" s="1"/>
  <c r="AR3039" i="1"/>
  <c r="AM3039" i="1" s="1"/>
  <c r="AR3040" i="1"/>
  <c r="AR3041" i="1"/>
  <c r="AR3042" i="1"/>
  <c r="AM3042" i="1" s="1"/>
  <c r="AR3043" i="1"/>
  <c r="AM3043" i="1" s="1"/>
  <c r="AR3044" i="1"/>
  <c r="AM3044" i="1" s="1"/>
  <c r="AR3045" i="1"/>
  <c r="AM3045" i="1" s="1"/>
  <c r="AR3046" i="1"/>
  <c r="AR3047" i="1"/>
  <c r="AR3048" i="1"/>
  <c r="AR3049" i="1"/>
  <c r="AR3050" i="1"/>
  <c r="AR3051" i="1"/>
  <c r="AM3051" i="1" s="1"/>
  <c r="AR3052" i="1"/>
  <c r="AR3053" i="1"/>
  <c r="AR3054" i="1"/>
  <c r="AM3054" i="1" s="1"/>
  <c r="AR3055" i="1"/>
  <c r="AM3055" i="1" s="1"/>
  <c r="AR3056" i="1"/>
  <c r="AR3057" i="1"/>
  <c r="AR3058" i="1"/>
  <c r="AM3058" i="1" s="1"/>
  <c r="AR3059" i="1"/>
  <c r="AM3059" i="1" s="1"/>
  <c r="AR3060" i="1"/>
  <c r="AM3060" i="1" s="1"/>
  <c r="AR3061" i="1"/>
  <c r="AM3061" i="1" s="1"/>
  <c r="AR3062" i="1"/>
  <c r="AR3063" i="1"/>
  <c r="AR3064" i="1"/>
  <c r="AR3065" i="1"/>
  <c r="AR3066" i="1"/>
  <c r="AR3067" i="1"/>
  <c r="AM3067" i="1" s="1"/>
  <c r="AR3068" i="1"/>
  <c r="AR3069" i="1"/>
  <c r="AR3070" i="1"/>
  <c r="AM3070" i="1" s="1"/>
  <c r="AR3071" i="1"/>
  <c r="AM3071" i="1" s="1"/>
  <c r="AR3072" i="1"/>
  <c r="AR3073" i="1"/>
  <c r="AR3074" i="1"/>
  <c r="AR3075" i="1"/>
  <c r="AM3075" i="1" s="1"/>
  <c r="AR3076" i="1"/>
  <c r="AM3076" i="1" s="1"/>
  <c r="AR3077" i="1"/>
  <c r="AM3077" i="1" s="1"/>
  <c r="AR3078" i="1"/>
  <c r="AR3079" i="1"/>
  <c r="AR3080" i="1"/>
  <c r="AR3081" i="1"/>
  <c r="AR3082" i="1"/>
  <c r="AR3083" i="1"/>
  <c r="AM3083" i="1" s="1"/>
  <c r="AR3084" i="1"/>
  <c r="AR3085" i="1"/>
  <c r="AR3086" i="1"/>
  <c r="AM3086" i="1" s="1"/>
  <c r="AR3087" i="1"/>
  <c r="AM3087" i="1" s="1"/>
  <c r="AR3088" i="1"/>
  <c r="AR3089" i="1"/>
  <c r="AR3090" i="1"/>
  <c r="AM3090" i="1" s="1"/>
  <c r="AR3091" i="1"/>
  <c r="AM3091" i="1" s="1"/>
  <c r="AR3092" i="1"/>
  <c r="AM3092" i="1" s="1"/>
  <c r="AR3093" i="1"/>
  <c r="AM3093" i="1" s="1"/>
  <c r="AR3094" i="1"/>
  <c r="AR3095" i="1"/>
  <c r="AR3096" i="1"/>
  <c r="AR3097" i="1"/>
  <c r="AR3098" i="1"/>
  <c r="AR3099" i="1"/>
  <c r="AM3099" i="1" s="1"/>
  <c r="AR3100" i="1"/>
  <c r="AR3101" i="1"/>
  <c r="AR3102" i="1"/>
  <c r="AM3102" i="1" s="1"/>
  <c r="AR3103" i="1"/>
  <c r="AM3103" i="1" s="1"/>
  <c r="AR3104" i="1"/>
  <c r="AR3105" i="1"/>
  <c r="AR3106" i="1"/>
  <c r="AM3106" i="1" s="1"/>
  <c r="AR3107" i="1"/>
  <c r="AM3107" i="1" s="1"/>
  <c r="AR3108" i="1"/>
  <c r="AM3108" i="1" s="1"/>
  <c r="AR3109" i="1"/>
  <c r="AM3109" i="1" s="1"/>
  <c r="AR3110" i="1"/>
  <c r="AR3111" i="1"/>
  <c r="AR3112" i="1"/>
  <c r="AR3113" i="1"/>
  <c r="AR3114" i="1"/>
  <c r="AR3115" i="1"/>
  <c r="AM3115" i="1" s="1"/>
  <c r="AR3116" i="1"/>
  <c r="AR3117" i="1"/>
  <c r="AR3118" i="1"/>
  <c r="AM3118" i="1" s="1"/>
  <c r="AR3119" i="1"/>
  <c r="AM3119" i="1" s="1"/>
  <c r="AR3120" i="1"/>
  <c r="AR3121" i="1"/>
  <c r="AR3122" i="1"/>
  <c r="AM3122" i="1" s="1"/>
  <c r="AR3123" i="1"/>
  <c r="AM3123" i="1" s="1"/>
  <c r="AR3124" i="1"/>
  <c r="AM3124" i="1" s="1"/>
  <c r="AR3125" i="1"/>
  <c r="AM3125" i="1" s="1"/>
  <c r="AR3126" i="1"/>
  <c r="AR3127" i="1"/>
  <c r="AR3128" i="1"/>
  <c r="AR3129" i="1"/>
  <c r="AR3130" i="1"/>
  <c r="AR3131" i="1"/>
  <c r="AM3131" i="1" s="1"/>
  <c r="AR3132" i="1"/>
  <c r="AR3133" i="1"/>
  <c r="AR3134" i="1"/>
  <c r="AM3134" i="1" s="1"/>
  <c r="AR3135" i="1"/>
  <c r="AM3135" i="1" s="1"/>
  <c r="AR3136" i="1"/>
  <c r="AR3137" i="1"/>
  <c r="AR3138" i="1"/>
  <c r="AM3138" i="1" s="1"/>
  <c r="AR3139" i="1"/>
  <c r="AM3139" i="1" s="1"/>
  <c r="AR3140" i="1"/>
  <c r="AM3140" i="1" s="1"/>
  <c r="AR3141" i="1"/>
  <c r="AM3141" i="1" s="1"/>
  <c r="AR3142" i="1"/>
  <c r="AR3143" i="1"/>
  <c r="AR3144" i="1"/>
  <c r="AR3145" i="1"/>
  <c r="AR3146" i="1"/>
  <c r="AR3147" i="1"/>
  <c r="AM3147" i="1" s="1"/>
  <c r="AR3148" i="1"/>
  <c r="AR3149" i="1"/>
  <c r="AR3150" i="1"/>
  <c r="AM3150" i="1" s="1"/>
  <c r="AR3151" i="1"/>
  <c r="AM3151" i="1" s="1"/>
  <c r="AR3152" i="1"/>
  <c r="AR3153" i="1"/>
  <c r="AR3154" i="1"/>
  <c r="AM3154" i="1" s="1"/>
  <c r="AR3155" i="1"/>
  <c r="AM3155" i="1" s="1"/>
  <c r="AR3156" i="1"/>
  <c r="AM3156" i="1" s="1"/>
  <c r="AR3157" i="1"/>
  <c r="AM3157" i="1" s="1"/>
  <c r="AR3158" i="1"/>
  <c r="AR3159" i="1"/>
  <c r="AR3160" i="1"/>
  <c r="AR3161" i="1"/>
  <c r="AR3162" i="1"/>
  <c r="AR3163" i="1"/>
  <c r="AM3163" i="1" s="1"/>
  <c r="AR3164" i="1"/>
  <c r="AR3165" i="1"/>
  <c r="AR3166" i="1"/>
  <c r="AM3166" i="1" s="1"/>
  <c r="AR3167" i="1"/>
  <c r="AM3167" i="1" s="1"/>
  <c r="AR3168" i="1"/>
  <c r="AR3169" i="1"/>
  <c r="AR3170" i="1"/>
  <c r="AM3170" i="1" s="1"/>
  <c r="AR3171" i="1"/>
  <c r="AM3171" i="1" s="1"/>
  <c r="AR3172" i="1"/>
  <c r="AM3172" i="1" s="1"/>
  <c r="AQ2927" i="1"/>
  <c r="AL2927" i="1" s="1"/>
  <c r="AQ2928" i="1"/>
  <c r="AQ2929" i="1"/>
  <c r="AQ2930" i="1"/>
  <c r="AL2930" i="1" s="1"/>
  <c r="AQ2931" i="1"/>
  <c r="AL2931" i="1" s="1"/>
  <c r="AQ2932" i="1"/>
  <c r="AL2932" i="1" s="1"/>
  <c r="AQ2933" i="1"/>
  <c r="AL2933" i="1" s="1"/>
  <c r="AQ2934" i="1"/>
  <c r="AQ2935" i="1"/>
  <c r="AQ2936" i="1"/>
  <c r="AQ2937" i="1"/>
  <c r="AQ2938" i="1"/>
  <c r="AL2938" i="1" s="1"/>
  <c r="AQ2939" i="1"/>
  <c r="AQ2940" i="1"/>
  <c r="AQ2941" i="1"/>
  <c r="AQ2942" i="1"/>
  <c r="AL2942" i="1" s="1"/>
  <c r="AQ2943" i="1"/>
  <c r="AL2943" i="1" s="1"/>
  <c r="AQ2944" i="1"/>
  <c r="AQ2945" i="1"/>
  <c r="AQ2946" i="1"/>
  <c r="AL2946" i="1" s="1"/>
  <c r="AQ2947" i="1"/>
  <c r="AL2947" i="1" s="1"/>
  <c r="AQ2948" i="1"/>
  <c r="AL2948" i="1" s="1"/>
  <c r="AQ2949" i="1"/>
  <c r="AL2949" i="1" s="1"/>
  <c r="AQ2950" i="1"/>
  <c r="AQ2951" i="1"/>
  <c r="AQ2952" i="1"/>
  <c r="AQ2953" i="1"/>
  <c r="AQ2954" i="1"/>
  <c r="AL2954" i="1" s="1"/>
  <c r="AQ2955" i="1"/>
  <c r="AQ2956" i="1"/>
  <c r="AQ2957" i="1"/>
  <c r="AQ2958" i="1"/>
  <c r="AL2958" i="1" s="1"/>
  <c r="AQ2959" i="1"/>
  <c r="AL2959" i="1" s="1"/>
  <c r="AQ2960" i="1"/>
  <c r="AQ2961" i="1"/>
  <c r="AQ2962" i="1"/>
  <c r="AL2962" i="1" s="1"/>
  <c r="AQ2963" i="1"/>
  <c r="AL2963" i="1" s="1"/>
  <c r="AQ2964" i="1"/>
  <c r="AL2964" i="1" s="1"/>
  <c r="AQ2965" i="1"/>
  <c r="AQ2966" i="1"/>
  <c r="AQ2967" i="1"/>
  <c r="AL2967" i="1" s="1"/>
  <c r="AQ2968" i="1"/>
  <c r="AQ2969" i="1"/>
  <c r="AQ2970" i="1"/>
  <c r="AL2970" i="1" s="1"/>
  <c r="AQ2971" i="1"/>
  <c r="AQ2972" i="1"/>
  <c r="AQ2973" i="1"/>
  <c r="AQ2974" i="1"/>
  <c r="AL2974" i="1" s="1"/>
  <c r="AQ2975" i="1"/>
  <c r="AL2975" i="1" s="1"/>
  <c r="AQ2976" i="1"/>
  <c r="AQ2977" i="1"/>
  <c r="AQ2978" i="1"/>
  <c r="AL2978" i="1" s="1"/>
  <c r="AQ2979" i="1"/>
  <c r="AL2979" i="1" s="1"/>
  <c r="AQ2980" i="1"/>
  <c r="AL2980" i="1" s="1"/>
  <c r="AQ2981" i="1"/>
  <c r="AL2981" i="1" s="1"/>
  <c r="AQ2982" i="1"/>
  <c r="AQ2983" i="1"/>
  <c r="AL2983" i="1" s="1"/>
  <c r="AQ2984" i="1"/>
  <c r="AQ2985" i="1"/>
  <c r="AQ2986" i="1"/>
  <c r="AL2986" i="1" s="1"/>
  <c r="AQ2987" i="1"/>
  <c r="AQ2988" i="1"/>
  <c r="AQ2989" i="1"/>
  <c r="AQ2990" i="1"/>
  <c r="AL2990" i="1" s="1"/>
  <c r="AQ2991" i="1"/>
  <c r="AL2991" i="1" s="1"/>
  <c r="AQ2992" i="1"/>
  <c r="AQ2993" i="1"/>
  <c r="AQ2994" i="1"/>
  <c r="AL2994" i="1" s="1"/>
  <c r="AQ2995" i="1"/>
  <c r="AL2995" i="1" s="1"/>
  <c r="AQ2996" i="1"/>
  <c r="AL2996" i="1" s="1"/>
  <c r="AQ2997" i="1"/>
  <c r="AL2997" i="1" s="1"/>
  <c r="AQ2998" i="1"/>
  <c r="AQ2999" i="1"/>
  <c r="AL2999" i="1" s="1"/>
  <c r="AQ3000" i="1"/>
  <c r="AQ3001" i="1"/>
  <c r="AQ3002" i="1"/>
  <c r="AL3002" i="1" s="1"/>
  <c r="AQ3003" i="1"/>
  <c r="AQ3004" i="1"/>
  <c r="AQ3005" i="1"/>
  <c r="AQ3006" i="1"/>
  <c r="AL3006" i="1" s="1"/>
  <c r="AQ3007" i="1"/>
  <c r="AL3007" i="1" s="1"/>
  <c r="AQ3008" i="1"/>
  <c r="AQ3009" i="1"/>
  <c r="AQ3010" i="1"/>
  <c r="AL3010" i="1" s="1"/>
  <c r="AQ3011" i="1"/>
  <c r="AL3011" i="1" s="1"/>
  <c r="AQ3012" i="1"/>
  <c r="AL3012" i="1" s="1"/>
  <c r="AQ3013" i="1"/>
  <c r="AQ3014" i="1"/>
  <c r="AQ3015" i="1"/>
  <c r="AL3015" i="1" s="1"/>
  <c r="AQ3016" i="1"/>
  <c r="AQ3017" i="1"/>
  <c r="AQ3018" i="1"/>
  <c r="AL3018" i="1" s="1"/>
  <c r="AQ3019" i="1"/>
  <c r="AQ3020" i="1"/>
  <c r="AQ3021" i="1"/>
  <c r="AQ3022" i="1"/>
  <c r="AL3022" i="1" s="1"/>
  <c r="AQ3023" i="1"/>
  <c r="AL3023" i="1" s="1"/>
  <c r="AQ3024" i="1"/>
  <c r="AQ3025" i="1"/>
  <c r="AQ3026" i="1"/>
  <c r="AL3026" i="1" s="1"/>
  <c r="AQ3027" i="1"/>
  <c r="AL3027" i="1" s="1"/>
  <c r="AQ3028" i="1"/>
  <c r="AL3028" i="1" s="1"/>
  <c r="AQ3029" i="1"/>
  <c r="AQ3030" i="1"/>
  <c r="AQ3031" i="1"/>
  <c r="AL3031" i="1" s="1"/>
  <c r="AQ3032" i="1"/>
  <c r="AQ3033" i="1"/>
  <c r="AQ3034" i="1"/>
  <c r="AL3034" i="1" s="1"/>
  <c r="AQ3035" i="1"/>
  <c r="AQ3036" i="1"/>
  <c r="AQ3037" i="1"/>
  <c r="AQ3038" i="1"/>
  <c r="AL3038" i="1" s="1"/>
  <c r="AQ3039" i="1"/>
  <c r="AL3039" i="1" s="1"/>
  <c r="AQ3040" i="1"/>
  <c r="AQ3041" i="1"/>
  <c r="AQ3042" i="1"/>
  <c r="AL3042" i="1" s="1"/>
  <c r="AQ3043" i="1"/>
  <c r="AL3043" i="1" s="1"/>
  <c r="AQ3044" i="1"/>
  <c r="AL3044" i="1" s="1"/>
  <c r="AQ3045" i="1"/>
  <c r="AQ3046" i="1"/>
  <c r="AQ3047" i="1"/>
  <c r="AQ3048" i="1"/>
  <c r="AQ3049" i="1"/>
  <c r="AQ3050" i="1"/>
  <c r="AL3050" i="1" s="1"/>
  <c r="AQ3051" i="1"/>
  <c r="AQ3052" i="1"/>
  <c r="AQ3053" i="1"/>
  <c r="AQ3054" i="1"/>
  <c r="AL3054" i="1" s="1"/>
  <c r="AQ3055" i="1"/>
  <c r="AL3055" i="1" s="1"/>
  <c r="AQ3056" i="1"/>
  <c r="AQ3057" i="1"/>
  <c r="AQ3058" i="1"/>
  <c r="AL3058" i="1" s="1"/>
  <c r="AQ3059" i="1"/>
  <c r="AL3059" i="1" s="1"/>
  <c r="AQ3060" i="1"/>
  <c r="AL3060" i="1" s="1"/>
  <c r="AQ3061" i="1"/>
  <c r="AL3061" i="1" s="1"/>
  <c r="AQ3062" i="1"/>
  <c r="AQ3063" i="1"/>
  <c r="AL3063" i="1" s="1"/>
  <c r="AQ3064" i="1"/>
  <c r="AQ3065" i="1"/>
  <c r="AQ3066" i="1"/>
  <c r="AL3066" i="1" s="1"/>
  <c r="AQ3067" i="1"/>
  <c r="AQ3068" i="1"/>
  <c r="AQ3069" i="1"/>
  <c r="AQ3070" i="1"/>
  <c r="AL3070" i="1" s="1"/>
  <c r="AQ3071" i="1"/>
  <c r="AL3071" i="1" s="1"/>
  <c r="AQ3072" i="1"/>
  <c r="AQ3073" i="1"/>
  <c r="AQ3074" i="1"/>
  <c r="AL3074" i="1" s="1"/>
  <c r="AQ3075" i="1"/>
  <c r="AL3075" i="1" s="1"/>
  <c r="AQ3076" i="1"/>
  <c r="AL3076" i="1" s="1"/>
  <c r="AQ3077" i="1"/>
  <c r="AL3077" i="1" s="1"/>
  <c r="AQ3078" i="1"/>
  <c r="AQ3079" i="1"/>
  <c r="AL3079" i="1" s="1"/>
  <c r="AQ3080" i="1"/>
  <c r="AQ3081" i="1"/>
  <c r="AQ3082" i="1"/>
  <c r="AL3082" i="1" s="1"/>
  <c r="AQ3083" i="1"/>
  <c r="AQ3084" i="1"/>
  <c r="AQ3085" i="1"/>
  <c r="AQ3086" i="1"/>
  <c r="AL3086" i="1" s="1"/>
  <c r="AQ3087" i="1"/>
  <c r="AL3087" i="1" s="1"/>
  <c r="AQ3088" i="1"/>
  <c r="AQ3089" i="1"/>
  <c r="AQ3090" i="1"/>
  <c r="AL3090" i="1" s="1"/>
  <c r="AQ3091" i="1"/>
  <c r="AL3091" i="1" s="1"/>
  <c r="AQ3092" i="1"/>
  <c r="AL3092" i="1" s="1"/>
  <c r="AQ3093" i="1"/>
  <c r="AL3093" i="1" s="1"/>
  <c r="AQ3094" i="1"/>
  <c r="AQ3095" i="1"/>
  <c r="AL3095" i="1" s="1"/>
  <c r="AQ3096" i="1"/>
  <c r="AQ3097" i="1"/>
  <c r="AQ3098" i="1"/>
  <c r="AL3098" i="1" s="1"/>
  <c r="AQ3099" i="1"/>
  <c r="AQ3100" i="1"/>
  <c r="AQ3101" i="1"/>
  <c r="AQ3102" i="1"/>
  <c r="AL3102" i="1" s="1"/>
  <c r="AQ3103" i="1"/>
  <c r="AL3103" i="1" s="1"/>
  <c r="AQ3104" i="1"/>
  <c r="AQ3105" i="1"/>
  <c r="AQ3106" i="1"/>
  <c r="AL3106" i="1" s="1"/>
  <c r="AQ3107" i="1"/>
  <c r="AL3107" i="1" s="1"/>
  <c r="AQ3108" i="1"/>
  <c r="AL3108" i="1" s="1"/>
  <c r="AQ3109" i="1"/>
  <c r="AL3109" i="1" s="1"/>
  <c r="AQ3110" i="1"/>
  <c r="AQ3111" i="1"/>
  <c r="AL3111" i="1" s="1"/>
  <c r="AQ3112" i="1"/>
  <c r="AQ3113" i="1"/>
  <c r="AQ3114" i="1"/>
  <c r="AL3114" i="1" s="1"/>
  <c r="AQ3115" i="1"/>
  <c r="AQ3116" i="1"/>
  <c r="AQ3117" i="1"/>
  <c r="AQ3118" i="1"/>
  <c r="AL3118" i="1" s="1"/>
  <c r="AQ3119" i="1"/>
  <c r="AL3119" i="1" s="1"/>
  <c r="AQ3120" i="1"/>
  <c r="AQ3121" i="1"/>
  <c r="AQ3122" i="1"/>
  <c r="AL3122" i="1" s="1"/>
  <c r="AQ3123" i="1"/>
  <c r="AL3123" i="1" s="1"/>
  <c r="AQ3124" i="1"/>
  <c r="AL3124" i="1" s="1"/>
  <c r="AQ3125" i="1"/>
  <c r="AL3125" i="1" s="1"/>
  <c r="AQ3126" i="1"/>
  <c r="AQ3127" i="1"/>
  <c r="AQ3128" i="1"/>
  <c r="AQ3129" i="1"/>
  <c r="AQ3130" i="1"/>
  <c r="AL3130" i="1" s="1"/>
  <c r="AQ3131" i="1"/>
  <c r="AQ3132" i="1"/>
  <c r="AQ3133" i="1"/>
  <c r="AQ3134" i="1"/>
  <c r="AL3134" i="1" s="1"/>
  <c r="AQ3135" i="1"/>
  <c r="AL3135" i="1" s="1"/>
  <c r="AQ3136" i="1"/>
  <c r="AQ3137" i="1"/>
  <c r="AQ3138" i="1"/>
  <c r="AL3138" i="1" s="1"/>
  <c r="AQ3139" i="1"/>
  <c r="AL3139" i="1" s="1"/>
  <c r="AQ3140" i="1"/>
  <c r="AL3140" i="1" s="1"/>
  <c r="AQ3141" i="1"/>
  <c r="AQ3142" i="1"/>
  <c r="AL3142" i="1" s="1"/>
  <c r="AQ3143" i="1"/>
  <c r="AL3143" i="1" s="1"/>
  <c r="AQ3144" i="1"/>
  <c r="AQ3145" i="1"/>
  <c r="AQ3146" i="1"/>
  <c r="AL3146" i="1" s="1"/>
  <c r="AQ3147" i="1"/>
  <c r="AQ3148" i="1"/>
  <c r="AQ3149" i="1"/>
  <c r="AQ3150" i="1"/>
  <c r="AL3150" i="1" s="1"/>
  <c r="AQ3151" i="1"/>
  <c r="AQ3152" i="1"/>
  <c r="AQ3153" i="1"/>
  <c r="AQ3154" i="1"/>
  <c r="AL3154" i="1" s="1"/>
  <c r="AQ3155" i="1"/>
  <c r="AL3155" i="1" s="1"/>
  <c r="AQ3156" i="1"/>
  <c r="AL3156" i="1" s="1"/>
  <c r="AQ3157" i="1"/>
  <c r="AL3157" i="1" s="1"/>
  <c r="AQ3158" i="1"/>
  <c r="AQ3159" i="1"/>
  <c r="AL3159" i="1" s="1"/>
  <c r="AQ3160" i="1"/>
  <c r="AQ3161" i="1"/>
  <c r="AQ3162" i="1"/>
  <c r="AL3162" i="1" s="1"/>
  <c r="AQ3163" i="1"/>
  <c r="AQ3164" i="1"/>
  <c r="AQ3165" i="1"/>
  <c r="AQ3166" i="1"/>
  <c r="AL3166" i="1" s="1"/>
  <c r="AQ3167" i="1"/>
  <c r="AL3167" i="1" s="1"/>
  <c r="AQ3168" i="1"/>
  <c r="AQ3169" i="1"/>
  <c r="AQ3170" i="1"/>
  <c r="AL3170" i="1" s="1"/>
  <c r="AQ3171" i="1"/>
  <c r="AL3171" i="1" s="1"/>
  <c r="AQ3172" i="1"/>
  <c r="AL3172" i="1" s="1"/>
  <c r="AP2927" i="1"/>
  <c r="AP2928" i="1"/>
  <c r="AP2932" i="1"/>
  <c r="AP2933" i="1"/>
  <c r="AP2934" i="1"/>
  <c r="AP2937" i="1"/>
  <c r="AP2940" i="1"/>
  <c r="AP2941" i="1"/>
  <c r="AP2943" i="1"/>
  <c r="AP2944" i="1"/>
  <c r="AP2948" i="1"/>
  <c r="AP2949" i="1"/>
  <c r="AP2950" i="1"/>
  <c r="AP2953" i="1"/>
  <c r="AP2955" i="1"/>
  <c r="AP2956" i="1"/>
  <c r="AP2957" i="1"/>
  <c r="AP2959" i="1"/>
  <c r="AP2960" i="1"/>
  <c r="AP2963" i="1"/>
  <c r="AP2964" i="1"/>
  <c r="AP2965" i="1"/>
  <c r="AP2966" i="1"/>
  <c r="AP2969" i="1"/>
  <c r="AP2971" i="1"/>
  <c r="AP2972" i="1"/>
  <c r="AP2973" i="1"/>
  <c r="AP2975" i="1"/>
  <c r="AP2976" i="1"/>
  <c r="AP2979" i="1"/>
  <c r="AP2980" i="1"/>
  <c r="AP2981" i="1"/>
  <c r="AP2982" i="1"/>
  <c r="AP2984" i="1"/>
  <c r="AP2985" i="1"/>
  <c r="AP2987" i="1"/>
  <c r="AP2988" i="1"/>
  <c r="AP2989" i="1"/>
  <c r="AP2991" i="1"/>
  <c r="AP2992" i="1"/>
  <c r="AP2996" i="1"/>
  <c r="AP2997" i="1"/>
  <c r="AP2998" i="1"/>
  <c r="AP3001" i="1"/>
  <c r="AP3003" i="1"/>
  <c r="AP3004" i="1"/>
  <c r="AP3005" i="1"/>
  <c r="AP3007" i="1"/>
  <c r="AP3008" i="1"/>
  <c r="AP3011" i="1"/>
  <c r="AP3012" i="1"/>
  <c r="AP3013" i="1"/>
  <c r="AP3014" i="1"/>
  <c r="AP3017" i="1"/>
  <c r="AP3019" i="1"/>
  <c r="AP3020" i="1"/>
  <c r="AP3021" i="1"/>
  <c r="AP3023" i="1"/>
  <c r="AP3024" i="1"/>
  <c r="AP3027" i="1"/>
  <c r="AP3028" i="1"/>
  <c r="AP3029" i="1"/>
  <c r="AP3030" i="1"/>
  <c r="AP3033" i="1"/>
  <c r="AP3035" i="1"/>
  <c r="AP3036" i="1"/>
  <c r="AP3037" i="1"/>
  <c r="AP3039" i="1"/>
  <c r="AP3040" i="1"/>
  <c r="AP3043" i="1"/>
  <c r="AP3044" i="1"/>
  <c r="AP3045" i="1"/>
  <c r="AP3046" i="1"/>
  <c r="AP3048" i="1"/>
  <c r="AP3049" i="1"/>
  <c r="AP3051" i="1"/>
  <c r="AP3052" i="1"/>
  <c r="AP3053" i="1"/>
  <c r="AP3055" i="1"/>
  <c r="AP3056" i="1"/>
  <c r="AP3059" i="1"/>
  <c r="AP3060" i="1"/>
  <c r="AP3061" i="1"/>
  <c r="AP3062" i="1"/>
  <c r="AP3065" i="1"/>
  <c r="AP3067" i="1"/>
  <c r="AP3068" i="1"/>
  <c r="AP3069" i="1"/>
  <c r="AP3071" i="1"/>
  <c r="AP3072" i="1"/>
  <c r="AP3075" i="1"/>
  <c r="AP3076" i="1"/>
  <c r="AP3077" i="1"/>
  <c r="AP3078" i="1"/>
  <c r="AP3081" i="1"/>
  <c r="AP3083" i="1"/>
  <c r="AP3084" i="1"/>
  <c r="AP3085" i="1"/>
  <c r="AP3087" i="1"/>
  <c r="AP3088" i="1"/>
  <c r="AP3091" i="1"/>
  <c r="AP3092" i="1"/>
  <c r="AP3093" i="1"/>
  <c r="AP3094" i="1"/>
  <c r="AP3097" i="1"/>
  <c r="AP3099" i="1"/>
  <c r="AP3100" i="1"/>
  <c r="AP3101" i="1"/>
  <c r="AP3103" i="1"/>
  <c r="AP3104" i="1"/>
  <c r="AP3107" i="1"/>
  <c r="AP3108" i="1"/>
  <c r="AP3109" i="1"/>
  <c r="AP3110" i="1"/>
  <c r="AP3112" i="1"/>
  <c r="AP3113" i="1"/>
  <c r="AP3115" i="1"/>
  <c r="AP3116" i="1"/>
  <c r="AP3117" i="1"/>
  <c r="AP3119" i="1"/>
  <c r="AP3120" i="1"/>
  <c r="AP3123" i="1"/>
  <c r="AP3124" i="1"/>
  <c r="AP3125" i="1"/>
  <c r="AP3126" i="1"/>
  <c r="AP3129" i="1"/>
  <c r="AP3131" i="1"/>
  <c r="AP3132" i="1"/>
  <c r="AP3133" i="1"/>
  <c r="AP3135" i="1"/>
  <c r="AP3136" i="1"/>
  <c r="AP3140" i="1"/>
  <c r="AP3141" i="1"/>
  <c r="AP3142" i="1"/>
  <c r="AP3145" i="1"/>
  <c r="AP3147" i="1"/>
  <c r="AP3148" i="1"/>
  <c r="AP3149" i="1"/>
  <c r="AP3152" i="1"/>
  <c r="AP3155" i="1"/>
  <c r="AP3156" i="1"/>
  <c r="AP3157" i="1"/>
  <c r="AP3158" i="1"/>
  <c r="AP3161" i="1"/>
  <c r="AP3163" i="1"/>
  <c r="AP3164" i="1"/>
  <c r="AP3165" i="1"/>
  <c r="AP3167" i="1"/>
  <c r="AP3168" i="1"/>
  <c r="AP3172" i="1"/>
  <c r="AO2927" i="1"/>
  <c r="AO2933" i="1"/>
  <c r="AO2934" i="1"/>
  <c r="AO2935" i="1"/>
  <c r="AO2936" i="1"/>
  <c r="AO2937" i="1"/>
  <c r="AO2939" i="1"/>
  <c r="AO2940" i="1"/>
  <c r="AO2943" i="1"/>
  <c r="AO2944" i="1"/>
  <c r="AO2949" i="1"/>
  <c r="AO2950" i="1"/>
  <c r="AO2951" i="1"/>
  <c r="AO2952" i="1"/>
  <c r="AO2953" i="1"/>
  <c r="AO2955" i="1"/>
  <c r="AO2956" i="1"/>
  <c r="AO2959" i="1"/>
  <c r="AO2965" i="1"/>
  <c r="AO2966" i="1"/>
  <c r="AO2967" i="1"/>
  <c r="AO2968" i="1"/>
  <c r="AO2969" i="1"/>
  <c r="AO2971" i="1"/>
  <c r="AO2972" i="1"/>
  <c r="AO2975" i="1"/>
  <c r="AO2981" i="1"/>
  <c r="AO2982" i="1"/>
  <c r="AO2983" i="1"/>
  <c r="AO2984" i="1"/>
  <c r="AO2985" i="1"/>
  <c r="AO2987" i="1"/>
  <c r="AO2988" i="1"/>
  <c r="AO2991" i="1"/>
  <c r="AO2992" i="1"/>
  <c r="AO2993" i="1"/>
  <c r="AO2997" i="1"/>
  <c r="AO2998" i="1"/>
  <c r="AO2999" i="1"/>
  <c r="AO3000" i="1"/>
  <c r="AO3001" i="1"/>
  <c r="AO3003" i="1"/>
  <c r="AO3004" i="1"/>
  <c r="AO3007" i="1"/>
  <c r="AO3013" i="1"/>
  <c r="AO3014" i="1"/>
  <c r="AO3015" i="1"/>
  <c r="AO3016" i="1"/>
  <c r="AO3017" i="1"/>
  <c r="AO3019" i="1"/>
  <c r="AO3020" i="1"/>
  <c r="AO3023" i="1"/>
  <c r="AO3029" i="1"/>
  <c r="AO3030" i="1"/>
  <c r="AO3031" i="1"/>
  <c r="AO3032" i="1"/>
  <c r="AO3033" i="1"/>
  <c r="AO3035" i="1"/>
  <c r="AO3036" i="1"/>
  <c r="AO3039" i="1"/>
  <c r="AO3045" i="1"/>
  <c r="AO3046" i="1"/>
  <c r="AO3047" i="1"/>
  <c r="AO3048" i="1"/>
  <c r="AO3049" i="1"/>
  <c r="AO3051" i="1"/>
  <c r="AO3052" i="1"/>
  <c r="AO3055" i="1"/>
  <c r="AO3061" i="1"/>
  <c r="AO3062" i="1"/>
  <c r="AO3063" i="1"/>
  <c r="AO3064" i="1"/>
  <c r="AO3065" i="1"/>
  <c r="AO3067" i="1"/>
  <c r="AO3068" i="1"/>
  <c r="AO3071" i="1"/>
  <c r="AO3072" i="1"/>
  <c r="AO3077" i="1"/>
  <c r="AO3078" i="1"/>
  <c r="AO3079" i="1"/>
  <c r="AO3080" i="1"/>
  <c r="AO3081" i="1"/>
  <c r="AO3083" i="1"/>
  <c r="AO3084" i="1"/>
  <c r="AO3087" i="1"/>
  <c r="AO3093" i="1"/>
  <c r="AO3094" i="1"/>
  <c r="AO3095" i="1"/>
  <c r="AO3096" i="1"/>
  <c r="AO3097" i="1"/>
  <c r="AO3099" i="1"/>
  <c r="AO3100" i="1"/>
  <c r="AO3103" i="1"/>
  <c r="AO3109" i="1"/>
  <c r="AO3110" i="1"/>
  <c r="AO3111" i="1"/>
  <c r="AO3112" i="1"/>
  <c r="AO3113" i="1"/>
  <c r="AO3115" i="1"/>
  <c r="AO3116" i="1"/>
  <c r="AO3119" i="1"/>
  <c r="AO3120" i="1"/>
  <c r="AO3121" i="1"/>
  <c r="AO3125" i="1"/>
  <c r="AO3126" i="1"/>
  <c r="AO3127" i="1"/>
  <c r="AO3128" i="1"/>
  <c r="AO3129" i="1"/>
  <c r="AO3131" i="1"/>
  <c r="AO3132" i="1"/>
  <c r="AO3135" i="1"/>
  <c r="AO3141" i="1"/>
  <c r="AO3142" i="1"/>
  <c r="AO3143" i="1"/>
  <c r="AO3144" i="1"/>
  <c r="AO3145" i="1"/>
  <c r="AO3147" i="1"/>
  <c r="AO3148" i="1"/>
  <c r="AO3151" i="1"/>
  <c r="AO3157" i="1"/>
  <c r="AO3158" i="1"/>
  <c r="AO3159" i="1"/>
  <c r="AO3160" i="1"/>
  <c r="AO3161" i="1"/>
  <c r="AO3163" i="1"/>
  <c r="AO3164" i="1"/>
  <c r="AO3167" i="1"/>
  <c r="AN2927" i="1"/>
  <c r="AN2928" i="1"/>
  <c r="AN2931" i="1"/>
  <c r="AN2932" i="1"/>
  <c r="AN2933" i="1"/>
  <c r="AN2934" i="1"/>
  <c r="AN2935" i="1"/>
  <c r="AN2936" i="1"/>
  <c r="AN2940" i="1"/>
  <c r="AN2941" i="1"/>
  <c r="AN2943" i="1"/>
  <c r="AN2944" i="1"/>
  <c r="AN2947" i="1"/>
  <c r="AN2948" i="1"/>
  <c r="AN2949" i="1"/>
  <c r="AN2950" i="1"/>
  <c r="AN2951" i="1"/>
  <c r="AN2952" i="1"/>
  <c r="AN2956" i="1"/>
  <c r="AN2957" i="1"/>
  <c r="AN2959" i="1"/>
  <c r="AN2960" i="1"/>
  <c r="AN2963" i="1"/>
  <c r="AN2964" i="1"/>
  <c r="AN2965" i="1"/>
  <c r="AN2966" i="1"/>
  <c r="AN2967" i="1"/>
  <c r="AN2968" i="1"/>
  <c r="AN2969" i="1"/>
  <c r="AN2972" i="1"/>
  <c r="AN2973" i="1"/>
  <c r="AN2975" i="1"/>
  <c r="AN2976" i="1"/>
  <c r="AN2979" i="1"/>
  <c r="AN2980" i="1"/>
  <c r="AN2981" i="1"/>
  <c r="AN2982" i="1"/>
  <c r="AN2983" i="1"/>
  <c r="AN2984" i="1"/>
  <c r="AN2988" i="1"/>
  <c r="AN2989" i="1"/>
  <c r="AN2991" i="1"/>
  <c r="AN2992" i="1"/>
  <c r="AN2995" i="1"/>
  <c r="AN2996" i="1"/>
  <c r="AN2997" i="1"/>
  <c r="AN2998" i="1"/>
  <c r="AN2999" i="1"/>
  <c r="AN3000" i="1"/>
  <c r="AN3004" i="1"/>
  <c r="AN3005" i="1"/>
  <c r="AN3007" i="1"/>
  <c r="AN3008" i="1"/>
  <c r="AN3011" i="1"/>
  <c r="AN3012" i="1"/>
  <c r="AN3013" i="1"/>
  <c r="AN3014" i="1"/>
  <c r="AN3015" i="1"/>
  <c r="AN3016" i="1"/>
  <c r="AN3020" i="1"/>
  <c r="AN3021" i="1"/>
  <c r="AN3023" i="1"/>
  <c r="AN3024" i="1"/>
  <c r="AN3027" i="1"/>
  <c r="AN3028" i="1"/>
  <c r="AN3029" i="1"/>
  <c r="AN3030" i="1"/>
  <c r="AN3031" i="1"/>
  <c r="AN3032" i="1"/>
  <c r="AN3033" i="1"/>
  <c r="AN3036" i="1"/>
  <c r="AN3037" i="1"/>
  <c r="AN3039" i="1"/>
  <c r="AN3040" i="1"/>
  <c r="AN3043" i="1"/>
  <c r="AN3044" i="1"/>
  <c r="AN3045" i="1"/>
  <c r="AN3046" i="1"/>
  <c r="AN3047" i="1"/>
  <c r="AN3048" i="1"/>
  <c r="AN3052" i="1"/>
  <c r="AN3053" i="1"/>
  <c r="AN3055" i="1"/>
  <c r="AN3056" i="1"/>
  <c r="AN3059" i="1"/>
  <c r="AN3060" i="1"/>
  <c r="AN3061" i="1"/>
  <c r="AN3062" i="1"/>
  <c r="AN3063" i="1"/>
  <c r="AN3064" i="1"/>
  <c r="AN3068" i="1"/>
  <c r="AN3069" i="1"/>
  <c r="AN3071" i="1"/>
  <c r="AN3072" i="1"/>
  <c r="AN3075" i="1"/>
  <c r="AN3076" i="1"/>
  <c r="AN3077" i="1"/>
  <c r="AN3078" i="1"/>
  <c r="AN3079" i="1"/>
  <c r="AN3080" i="1"/>
  <c r="AN3084" i="1"/>
  <c r="AN3085" i="1"/>
  <c r="AN3087" i="1"/>
  <c r="AN3088" i="1"/>
  <c r="AN3091" i="1"/>
  <c r="AN3092" i="1"/>
  <c r="AN3093" i="1"/>
  <c r="AN3094" i="1"/>
  <c r="AN3095" i="1"/>
  <c r="AN3096" i="1"/>
  <c r="AN3097" i="1"/>
  <c r="AN3100" i="1"/>
  <c r="AN3101" i="1"/>
  <c r="AN3103" i="1"/>
  <c r="AN3104" i="1"/>
  <c r="AN3107" i="1"/>
  <c r="AN3108" i="1"/>
  <c r="AN3109" i="1"/>
  <c r="AN3110" i="1"/>
  <c r="AN3111" i="1"/>
  <c r="AN3112" i="1"/>
  <c r="AN3116" i="1"/>
  <c r="AN3117" i="1"/>
  <c r="AN3119" i="1"/>
  <c r="AN3120" i="1"/>
  <c r="AN3123" i="1"/>
  <c r="AN3124" i="1"/>
  <c r="AN3125" i="1"/>
  <c r="AN3126" i="1"/>
  <c r="AN3127" i="1"/>
  <c r="AN3128" i="1"/>
  <c r="AN3132" i="1"/>
  <c r="AN3133" i="1"/>
  <c r="AN3135" i="1"/>
  <c r="AN3136" i="1"/>
  <c r="AN3139" i="1"/>
  <c r="AN3140" i="1"/>
  <c r="AN3141" i="1"/>
  <c r="AN3142" i="1"/>
  <c r="AN3143" i="1"/>
  <c r="AN3144" i="1"/>
  <c r="AN3148" i="1"/>
  <c r="AN3149" i="1"/>
  <c r="AN3151" i="1"/>
  <c r="AN3152" i="1"/>
  <c r="AN3155" i="1"/>
  <c r="AN3156" i="1"/>
  <c r="AN3157" i="1"/>
  <c r="AN3158" i="1"/>
  <c r="AN3159" i="1"/>
  <c r="AN3160" i="1"/>
  <c r="AN3161" i="1"/>
  <c r="AN3164" i="1"/>
  <c r="AN3165" i="1"/>
  <c r="AN3167" i="1"/>
  <c r="AN3168" i="1"/>
  <c r="AN3171" i="1"/>
  <c r="AN3172" i="1"/>
  <c r="AM2928" i="1"/>
  <c r="AM2929" i="1"/>
  <c r="AM2930" i="1"/>
  <c r="AM2934" i="1"/>
  <c r="AM2935" i="1"/>
  <c r="AM2936" i="1"/>
  <c r="AM2938" i="1"/>
  <c r="AM2941" i="1"/>
  <c r="AM2944" i="1"/>
  <c r="AM2945" i="1"/>
  <c r="AM2950" i="1"/>
  <c r="AM2951" i="1"/>
  <c r="AM2952" i="1"/>
  <c r="AM2953" i="1"/>
  <c r="AM2954" i="1"/>
  <c r="AM2956" i="1"/>
  <c r="AM2957" i="1"/>
  <c r="AM2960" i="1"/>
  <c r="AM2961" i="1"/>
  <c r="AM2966" i="1"/>
  <c r="AM2967" i="1"/>
  <c r="AM2968" i="1"/>
  <c r="AM2970" i="1"/>
  <c r="AM2972" i="1"/>
  <c r="AM2973" i="1"/>
  <c r="AM2976" i="1"/>
  <c r="AM2977" i="1"/>
  <c r="AM2978" i="1"/>
  <c r="AM2982" i="1"/>
  <c r="AM2983" i="1"/>
  <c r="AM2984" i="1"/>
  <c r="AM2986" i="1"/>
  <c r="AM2988" i="1"/>
  <c r="AM2989" i="1"/>
  <c r="AM2992" i="1"/>
  <c r="AM2993" i="1"/>
  <c r="AM2998" i="1"/>
  <c r="AM2999" i="1"/>
  <c r="AM3000" i="1"/>
  <c r="AM3001" i="1"/>
  <c r="AM3002" i="1"/>
  <c r="AM3004" i="1"/>
  <c r="AM3005" i="1"/>
  <c r="AM3008" i="1"/>
  <c r="AM3009" i="1"/>
  <c r="AM3014" i="1"/>
  <c r="AM3015" i="1"/>
  <c r="AM3016" i="1"/>
  <c r="AM3017" i="1"/>
  <c r="AM3018" i="1"/>
  <c r="AM3020" i="1"/>
  <c r="AM3021" i="1"/>
  <c r="AM3024" i="1"/>
  <c r="AM3025" i="1"/>
  <c r="AM3026" i="1"/>
  <c r="AM3029" i="1"/>
  <c r="AM3030" i="1"/>
  <c r="AM3031" i="1"/>
  <c r="AM3032" i="1"/>
  <c r="AM3033" i="1"/>
  <c r="AM3034" i="1"/>
  <c r="AM3036" i="1"/>
  <c r="AM3037" i="1"/>
  <c r="AM3040" i="1"/>
  <c r="AM3041" i="1"/>
  <c r="AM3046" i="1"/>
  <c r="AM3047" i="1"/>
  <c r="AM3048" i="1"/>
  <c r="AM3049" i="1"/>
  <c r="AM3050" i="1"/>
  <c r="AM3052" i="1"/>
  <c r="AM3053" i="1"/>
  <c r="AM3056" i="1"/>
  <c r="AM3057" i="1"/>
  <c r="AM3062" i="1"/>
  <c r="AM3063" i="1"/>
  <c r="AM3064" i="1"/>
  <c r="AM3065" i="1"/>
  <c r="AM3066" i="1"/>
  <c r="AM3068" i="1"/>
  <c r="AM3069" i="1"/>
  <c r="AM3072" i="1"/>
  <c r="AM3073" i="1"/>
  <c r="AM3074" i="1"/>
  <c r="AM3078" i="1"/>
  <c r="AM3079" i="1"/>
  <c r="AM3080" i="1"/>
  <c r="AM3081" i="1"/>
  <c r="AM3082" i="1"/>
  <c r="AM3084" i="1"/>
  <c r="AM3085" i="1"/>
  <c r="AM3088" i="1"/>
  <c r="AM3089" i="1"/>
  <c r="AM3094" i="1"/>
  <c r="AM3095" i="1"/>
  <c r="AM3096" i="1"/>
  <c r="AM3097" i="1"/>
  <c r="AM3098" i="1"/>
  <c r="AM3100" i="1"/>
  <c r="AM3101" i="1"/>
  <c r="AM3104" i="1"/>
  <c r="AM3105" i="1"/>
  <c r="AM3110" i="1"/>
  <c r="AM3111" i="1"/>
  <c r="AM3112" i="1"/>
  <c r="AM3113" i="1"/>
  <c r="AM3114" i="1"/>
  <c r="AM3116" i="1"/>
  <c r="AM3117" i="1"/>
  <c r="AM3120" i="1"/>
  <c r="AM3121" i="1"/>
  <c r="AM3126" i="1"/>
  <c r="AM3127" i="1"/>
  <c r="AM3128" i="1"/>
  <c r="AM3129" i="1"/>
  <c r="AM3130" i="1"/>
  <c r="AM3132" i="1"/>
  <c r="AM3133" i="1"/>
  <c r="AM3136" i="1"/>
  <c r="AM3137" i="1"/>
  <c r="AM3142" i="1"/>
  <c r="AM3143" i="1"/>
  <c r="AM3144" i="1"/>
  <c r="AM3145" i="1"/>
  <c r="AM3146" i="1"/>
  <c r="AM3148" i="1"/>
  <c r="AM3149" i="1"/>
  <c r="AM3152" i="1"/>
  <c r="AM3153" i="1"/>
  <c r="AM3158" i="1"/>
  <c r="AM3159" i="1"/>
  <c r="AM3160" i="1"/>
  <c r="AM3161" i="1"/>
  <c r="AM3162" i="1"/>
  <c r="AM3164" i="1"/>
  <c r="AM3165" i="1"/>
  <c r="AM3168" i="1"/>
  <c r="AM3169" i="1"/>
  <c r="AL2928" i="1"/>
  <c r="AL2929" i="1"/>
  <c r="AL2934" i="1"/>
  <c r="AL2935" i="1"/>
  <c r="AL2936" i="1"/>
  <c r="AL2937" i="1"/>
  <c r="AL2939" i="1"/>
  <c r="AL2940" i="1"/>
  <c r="AL2941" i="1"/>
  <c r="AL2944" i="1"/>
  <c r="AL2945" i="1"/>
  <c r="AL2950" i="1"/>
  <c r="AL2951" i="1"/>
  <c r="AL2952" i="1"/>
  <c r="AL2953" i="1"/>
  <c r="AL2955" i="1"/>
  <c r="AL2956" i="1"/>
  <c r="AL2957" i="1"/>
  <c r="AL2960" i="1"/>
  <c r="AL2961" i="1"/>
  <c r="AL2965" i="1"/>
  <c r="AL2966" i="1"/>
  <c r="AL2968" i="1"/>
  <c r="AL2969" i="1"/>
  <c r="AL2971" i="1"/>
  <c r="AL2972" i="1"/>
  <c r="AL2973" i="1"/>
  <c r="AL2976" i="1"/>
  <c r="AL2977" i="1"/>
  <c r="AL2982" i="1"/>
  <c r="AL2984" i="1"/>
  <c r="AL2985" i="1"/>
  <c r="AL2987" i="1"/>
  <c r="AL2988" i="1"/>
  <c r="AL2989" i="1"/>
  <c r="AL2992" i="1"/>
  <c r="AL2993" i="1"/>
  <c r="AL2998" i="1"/>
  <c r="AL3000" i="1"/>
  <c r="AL3001" i="1"/>
  <c r="AL3003" i="1"/>
  <c r="AL3004" i="1"/>
  <c r="AL3005" i="1"/>
  <c r="AL3008" i="1"/>
  <c r="AL3009" i="1"/>
  <c r="AL3013" i="1"/>
  <c r="AL3014" i="1"/>
  <c r="AL3016" i="1"/>
  <c r="AL3017" i="1"/>
  <c r="AL3019" i="1"/>
  <c r="AL3020" i="1"/>
  <c r="AL3021" i="1"/>
  <c r="AL3024" i="1"/>
  <c r="AL3025" i="1"/>
  <c r="AL3029" i="1"/>
  <c r="AL3030" i="1"/>
  <c r="AL3032" i="1"/>
  <c r="AL3033" i="1"/>
  <c r="AL3035" i="1"/>
  <c r="AL3036" i="1"/>
  <c r="AL3037" i="1"/>
  <c r="AL3040" i="1"/>
  <c r="AL3041" i="1"/>
  <c r="AL3045" i="1"/>
  <c r="AL3046" i="1"/>
  <c r="AL3047" i="1"/>
  <c r="AL3048" i="1"/>
  <c r="AL3049" i="1"/>
  <c r="AL3051" i="1"/>
  <c r="AL3052" i="1"/>
  <c r="AL3053" i="1"/>
  <c r="AL3056" i="1"/>
  <c r="AL3057" i="1"/>
  <c r="AL3062" i="1"/>
  <c r="AL3064" i="1"/>
  <c r="AL3065" i="1"/>
  <c r="AL3067" i="1"/>
  <c r="AL3068" i="1"/>
  <c r="AL3069" i="1"/>
  <c r="AL3072" i="1"/>
  <c r="AL3073" i="1"/>
  <c r="AL3078" i="1"/>
  <c r="AL3080" i="1"/>
  <c r="AL3081" i="1"/>
  <c r="AL3083" i="1"/>
  <c r="AL3084" i="1"/>
  <c r="AL3085" i="1"/>
  <c r="AL3088" i="1"/>
  <c r="AL3089" i="1"/>
  <c r="AL3094" i="1"/>
  <c r="AL3096" i="1"/>
  <c r="AL3097" i="1"/>
  <c r="AL3099" i="1"/>
  <c r="AL3100" i="1"/>
  <c r="AL3101" i="1"/>
  <c r="AL3104" i="1"/>
  <c r="AL3105" i="1"/>
  <c r="AL3110" i="1"/>
  <c r="AL3112" i="1"/>
  <c r="AL3113" i="1"/>
  <c r="AL3115" i="1"/>
  <c r="AL3116" i="1"/>
  <c r="AL3117" i="1"/>
  <c r="AL3120" i="1"/>
  <c r="AL3121" i="1"/>
  <c r="AL3126" i="1"/>
  <c r="AL3127" i="1"/>
  <c r="AL3128" i="1"/>
  <c r="AL3129" i="1"/>
  <c r="AL3131" i="1"/>
  <c r="AL3132" i="1"/>
  <c r="AL3133" i="1"/>
  <c r="AL3136" i="1"/>
  <c r="AL3137" i="1"/>
  <c r="AL3141" i="1"/>
  <c r="AL3144" i="1"/>
  <c r="AL3145" i="1"/>
  <c r="AL3147" i="1"/>
  <c r="AL3148" i="1"/>
  <c r="AL3149" i="1"/>
  <c r="AL3151" i="1"/>
  <c r="AL3152" i="1"/>
  <c r="AL3153" i="1"/>
  <c r="AL3158" i="1"/>
  <c r="AL3160" i="1"/>
  <c r="AL3161" i="1"/>
  <c r="AL3163" i="1"/>
  <c r="AL3164" i="1"/>
  <c r="AL3165" i="1"/>
  <c r="AL3168" i="1"/>
  <c r="AL3169"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U2937" i="1"/>
  <c r="W2937" i="1" s="1"/>
  <c r="U2973" i="1"/>
  <c r="W2973" i="1" s="1"/>
  <c r="U2974" i="1"/>
  <c r="W2974" i="1" s="1"/>
  <c r="U2986" i="1"/>
  <c r="W2986" i="1" s="1"/>
  <c r="U3006" i="1"/>
  <c r="W3006" i="1" s="1"/>
  <c r="U3018" i="1"/>
  <c r="W3018" i="1" s="1"/>
  <c r="U3020" i="1"/>
  <c r="W3020" i="1" s="1"/>
  <c r="U3036" i="1"/>
  <c r="W3036" i="1" s="1"/>
  <c r="U3037" i="1"/>
  <c r="W3037" i="1" s="1"/>
  <c r="U3050" i="1"/>
  <c r="W3050" i="1" s="1"/>
  <c r="U3069" i="1"/>
  <c r="W3069" i="1" s="1"/>
  <c r="U3070" i="1"/>
  <c r="W3070" i="1" s="1"/>
  <c r="U3082" i="1"/>
  <c r="W3082" i="1" s="1"/>
  <c r="U3101" i="1"/>
  <c r="W3101" i="1" s="1"/>
  <c r="U3117" i="1"/>
  <c r="W3117" i="1" s="1"/>
  <c r="U3118" i="1"/>
  <c r="W3118" i="1" s="1"/>
  <c r="U3130" i="1"/>
  <c r="W3130" i="1" s="1"/>
  <c r="U3150" i="1"/>
  <c r="W3150" i="1" s="1"/>
  <c r="U3164" i="1"/>
  <c r="W3164" i="1" s="1"/>
  <c r="U2927" i="1"/>
  <c r="W2927" i="1" s="1"/>
  <c r="U2928" i="1"/>
  <c r="W2928" i="1" s="1"/>
  <c r="U2929" i="1"/>
  <c r="W2929" i="1" s="1"/>
  <c r="U2930" i="1"/>
  <c r="W2930" i="1" s="1"/>
  <c r="U2931" i="1"/>
  <c r="W2931" i="1" s="1"/>
  <c r="U2932" i="1"/>
  <c r="W2932" i="1" s="1"/>
  <c r="U2933" i="1"/>
  <c r="W2933" i="1" s="1"/>
  <c r="U2934" i="1"/>
  <c r="W2934" i="1" s="1"/>
  <c r="U2935" i="1"/>
  <c r="W2935" i="1" s="1"/>
  <c r="U2936" i="1"/>
  <c r="W2936" i="1" s="1"/>
  <c r="U2938" i="1"/>
  <c r="W2938" i="1" s="1"/>
  <c r="U2939" i="1"/>
  <c r="W2939" i="1" s="1"/>
  <c r="U2940" i="1"/>
  <c r="W2940" i="1" s="1"/>
  <c r="U2941" i="1"/>
  <c r="W2941" i="1" s="1"/>
  <c r="U2942" i="1"/>
  <c r="W2942" i="1" s="1"/>
  <c r="U2943" i="1"/>
  <c r="W2943" i="1" s="1"/>
  <c r="U2944" i="1"/>
  <c r="W2944" i="1" s="1"/>
  <c r="U2945" i="1"/>
  <c r="W2945" i="1" s="1"/>
  <c r="U2946" i="1"/>
  <c r="W2946" i="1" s="1"/>
  <c r="U2947" i="1"/>
  <c r="W2947" i="1" s="1"/>
  <c r="U2948" i="1"/>
  <c r="W2948" i="1" s="1"/>
  <c r="U2949" i="1"/>
  <c r="W2949" i="1" s="1"/>
  <c r="U2950" i="1"/>
  <c r="W2950" i="1" s="1"/>
  <c r="U2951" i="1"/>
  <c r="W2951" i="1" s="1"/>
  <c r="U2952" i="1"/>
  <c r="U2953" i="1"/>
  <c r="W2953" i="1" s="1"/>
  <c r="U2954" i="1"/>
  <c r="W2954" i="1" s="1"/>
  <c r="U2955" i="1"/>
  <c r="W2955" i="1" s="1"/>
  <c r="U2956" i="1"/>
  <c r="W2956" i="1" s="1"/>
  <c r="U2957" i="1"/>
  <c r="W2957" i="1" s="1"/>
  <c r="U2958" i="1"/>
  <c r="W2958" i="1" s="1"/>
  <c r="U2959" i="1"/>
  <c r="W2959" i="1" s="1"/>
  <c r="U2960" i="1"/>
  <c r="W2960" i="1" s="1"/>
  <c r="U2961" i="1"/>
  <c r="W2961" i="1" s="1"/>
  <c r="U2962" i="1"/>
  <c r="W2962" i="1" s="1"/>
  <c r="U2963" i="1"/>
  <c r="W2963" i="1" s="1"/>
  <c r="U2964" i="1"/>
  <c r="W2964" i="1" s="1"/>
  <c r="U2965" i="1"/>
  <c r="W2965" i="1" s="1"/>
  <c r="U2966" i="1"/>
  <c r="W2966" i="1" s="1"/>
  <c r="U2967" i="1"/>
  <c r="W2967" i="1" s="1"/>
  <c r="U2968" i="1"/>
  <c r="W2968" i="1" s="1"/>
  <c r="U2969" i="1"/>
  <c r="W2969" i="1" s="1"/>
  <c r="U2970" i="1"/>
  <c r="W2970" i="1" s="1"/>
  <c r="U2971" i="1"/>
  <c r="W2971" i="1" s="1"/>
  <c r="U2972" i="1"/>
  <c r="U2975" i="1"/>
  <c r="W2975" i="1" s="1"/>
  <c r="U2976" i="1"/>
  <c r="W2976" i="1" s="1"/>
  <c r="U2977" i="1"/>
  <c r="W2977" i="1" s="1"/>
  <c r="U2978" i="1"/>
  <c r="W2978" i="1" s="1"/>
  <c r="U2979" i="1"/>
  <c r="W2979" i="1" s="1"/>
  <c r="U2980" i="1"/>
  <c r="W2980" i="1" s="1"/>
  <c r="U2981" i="1"/>
  <c r="W2981" i="1" s="1"/>
  <c r="U2982" i="1"/>
  <c r="W2982" i="1" s="1"/>
  <c r="U2983" i="1"/>
  <c r="W2983" i="1" s="1"/>
  <c r="U2984" i="1"/>
  <c r="W2984" i="1" s="1"/>
  <c r="U2985" i="1"/>
  <c r="W2985" i="1" s="1"/>
  <c r="U2987" i="1"/>
  <c r="W2987" i="1" s="1"/>
  <c r="U2988" i="1"/>
  <c r="W2988" i="1" s="1"/>
  <c r="U2989" i="1"/>
  <c r="W2989" i="1" s="1"/>
  <c r="U2990" i="1"/>
  <c r="W2990" i="1" s="1"/>
  <c r="U2991" i="1"/>
  <c r="W2991" i="1" s="1"/>
  <c r="U2992" i="1"/>
  <c r="W2992" i="1" s="1"/>
  <c r="U2993" i="1"/>
  <c r="W2993" i="1" s="1"/>
  <c r="U2994" i="1"/>
  <c r="W2994" i="1" s="1"/>
  <c r="U2995" i="1"/>
  <c r="W2995" i="1" s="1"/>
  <c r="U2996" i="1"/>
  <c r="W2996" i="1" s="1"/>
  <c r="U2997" i="1"/>
  <c r="W2997" i="1" s="1"/>
  <c r="U2998" i="1"/>
  <c r="W2998" i="1" s="1"/>
  <c r="U2999" i="1"/>
  <c r="W2999" i="1" s="1"/>
  <c r="U3000" i="1"/>
  <c r="W3000" i="1" s="1"/>
  <c r="U3001" i="1"/>
  <c r="W3001" i="1" s="1"/>
  <c r="U3002" i="1"/>
  <c r="W3002" i="1" s="1"/>
  <c r="U3003" i="1"/>
  <c r="W3003" i="1" s="1"/>
  <c r="U3004" i="1"/>
  <c r="W3004" i="1" s="1"/>
  <c r="U3005" i="1"/>
  <c r="U3007" i="1"/>
  <c r="W3007" i="1" s="1"/>
  <c r="U3008" i="1"/>
  <c r="W3008" i="1" s="1"/>
  <c r="U3009" i="1"/>
  <c r="W3009" i="1" s="1"/>
  <c r="U3010" i="1"/>
  <c r="W3010" i="1" s="1"/>
  <c r="U3011" i="1"/>
  <c r="W3011" i="1" s="1"/>
  <c r="U3012" i="1"/>
  <c r="W3012" i="1" s="1"/>
  <c r="U3013" i="1"/>
  <c r="W3013" i="1" s="1"/>
  <c r="U3014" i="1"/>
  <c r="W3014" i="1" s="1"/>
  <c r="U3015" i="1"/>
  <c r="W3015" i="1" s="1"/>
  <c r="U3016" i="1"/>
  <c r="W3016" i="1" s="1"/>
  <c r="U3017" i="1"/>
  <c r="W3017" i="1" s="1"/>
  <c r="U3019" i="1"/>
  <c r="W3019" i="1" s="1"/>
  <c r="U3021" i="1"/>
  <c r="W3021" i="1" s="1"/>
  <c r="U3022" i="1"/>
  <c r="W3022" i="1" s="1"/>
  <c r="U3023" i="1"/>
  <c r="W3023" i="1" s="1"/>
  <c r="U3024" i="1"/>
  <c r="W3024" i="1" s="1"/>
  <c r="U3025" i="1"/>
  <c r="W3025" i="1" s="1"/>
  <c r="U3026" i="1"/>
  <c r="W3026" i="1" s="1"/>
  <c r="U3027" i="1"/>
  <c r="W3027" i="1" s="1"/>
  <c r="U3028" i="1"/>
  <c r="W3028" i="1" s="1"/>
  <c r="U3029" i="1"/>
  <c r="W3029" i="1" s="1"/>
  <c r="U3030" i="1"/>
  <c r="W3030" i="1" s="1"/>
  <c r="U3031" i="1"/>
  <c r="W3031" i="1" s="1"/>
  <c r="U3032" i="1"/>
  <c r="W3032" i="1" s="1"/>
  <c r="U3033" i="1"/>
  <c r="W3033" i="1" s="1"/>
  <c r="U3034" i="1"/>
  <c r="W3034" i="1" s="1"/>
  <c r="U3035" i="1"/>
  <c r="W3035" i="1" s="1"/>
  <c r="U3038" i="1"/>
  <c r="W3038" i="1" s="1"/>
  <c r="U3039" i="1"/>
  <c r="W3039" i="1" s="1"/>
  <c r="U3040" i="1"/>
  <c r="W3040" i="1" s="1"/>
  <c r="U3041" i="1"/>
  <c r="W3041" i="1" s="1"/>
  <c r="U3042" i="1"/>
  <c r="W3042" i="1" s="1"/>
  <c r="U3043" i="1"/>
  <c r="W3043" i="1" s="1"/>
  <c r="U3044" i="1"/>
  <c r="W3044" i="1" s="1"/>
  <c r="U3045" i="1"/>
  <c r="W3045" i="1" s="1"/>
  <c r="U3046" i="1"/>
  <c r="W3046" i="1" s="1"/>
  <c r="U3047" i="1"/>
  <c r="W3047" i="1" s="1"/>
  <c r="U3048" i="1"/>
  <c r="W3048" i="1" s="1"/>
  <c r="U3049" i="1"/>
  <c r="W3049" i="1" s="1"/>
  <c r="U3051" i="1"/>
  <c r="W3051" i="1" s="1"/>
  <c r="U3052" i="1"/>
  <c r="W3052" i="1" s="1"/>
  <c r="U3053" i="1"/>
  <c r="W3053" i="1" s="1"/>
  <c r="U3054" i="1"/>
  <c r="W3054" i="1" s="1"/>
  <c r="U3055" i="1"/>
  <c r="U3056" i="1"/>
  <c r="W3056" i="1" s="1"/>
  <c r="U3057" i="1"/>
  <c r="W3057" i="1" s="1"/>
  <c r="U3058" i="1"/>
  <c r="W3058" i="1" s="1"/>
  <c r="U3059" i="1"/>
  <c r="W3059" i="1" s="1"/>
  <c r="U3060" i="1"/>
  <c r="W3060" i="1" s="1"/>
  <c r="U3061" i="1"/>
  <c r="W3061" i="1" s="1"/>
  <c r="U3062" i="1"/>
  <c r="W3062" i="1" s="1"/>
  <c r="U3063" i="1"/>
  <c r="W3063" i="1" s="1"/>
  <c r="U3064" i="1"/>
  <c r="W3064" i="1" s="1"/>
  <c r="U3065" i="1"/>
  <c r="W3065" i="1" s="1"/>
  <c r="U3066" i="1"/>
  <c r="W3066" i="1" s="1"/>
  <c r="U3067" i="1"/>
  <c r="W3067" i="1" s="1"/>
  <c r="U3068" i="1"/>
  <c r="W3068" i="1" s="1"/>
  <c r="U3071" i="1"/>
  <c r="W3071" i="1" s="1"/>
  <c r="U3072" i="1"/>
  <c r="W3072" i="1" s="1"/>
  <c r="U3073" i="1"/>
  <c r="W3073" i="1" s="1"/>
  <c r="U3074" i="1"/>
  <c r="W3074" i="1" s="1"/>
  <c r="U3075" i="1"/>
  <c r="W3075" i="1" s="1"/>
  <c r="U3076" i="1"/>
  <c r="W3076" i="1" s="1"/>
  <c r="U3077" i="1"/>
  <c r="W3077" i="1" s="1"/>
  <c r="U3078" i="1"/>
  <c r="W3078" i="1" s="1"/>
  <c r="U3079" i="1"/>
  <c r="W3079" i="1" s="1"/>
  <c r="U3080" i="1"/>
  <c r="W3080" i="1" s="1"/>
  <c r="U3081" i="1"/>
  <c r="W3081" i="1" s="1"/>
  <c r="U3083" i="1"/>
  <c r="W3083" i="1" s="1"/>
  <c r="U3084" i="1"/>
  <c r="W3084" i="1" s="1"/>
  <c r="U3085" i="1"/>
  <c r="W3085" i="1" s="1"/>
  <c r="U3086" i="1"/>
  <c r="W3086" i="1" s="1"/>
  <c r="U3087" i="1"/>
  <c r="W3087" i="1" s="1"/>
  <c r="U3088" i="1"/>
  <c r="U3089" i="1"/>
  <c r="W3089" i="1" s="1"/>
  <c r="U3090" i="1"/>
  <c r="W3090" i="1" s="1"/>
  <c r="U3091" i="1"/>
  <c r="W3091" i="1" s="1"/>
  <c r="U3092" i="1"/>
  <c r="W3092" i="1" s="1"/>
  <c r="U3093" i="1"/>
  <c r="W3093" i="1" s="1"/>
  <c r="U3094" i="1"/>
  <c r="W3094" i="1" s="1"/>
  <c r="U3095" i="1"/>
  <c r="W3095" i="1" s="1"/>
  <c r="U3096" i="1"/>
  <c r="W3096" i="1" s="1"/>
  <c r="U3097" i="1"/>
  <c r="W3097" i="1" s="1"/>
  <c r="U3098" i="1"/>
  <c r="W3098" i="1" s="1"/>
  <c r="U3099" i="1"/>
  <c r="W3099" i="1" s="1"/>
  <c r="U3100" i="1"/>
  <c r="W3100" i="1" s="1"/>
  <c r="U3102" i="1"/>
  <c r="W3102" i="1" s="1"/>
  <c r="U3103" i="1"/>
  <c r="W3103" i="1" s="1"/>
  <c r="U3104" i="1"/>
  <c r="W3104" i="1" s="1"/>
  <c r="U3105" i="1"/>
  <c r="W3105" i="1" s="1"/>
  <c r="U3106" i="1"/>
  <c r="W3106" i="1" s="1"/>
  <c r="U3107" i="1"/>
  <c r="W3107" i="1" s="1"/>
  <c r="U3108" i="1"/>
  <c r="W3108" i="1" s="1"/>
  <c r="U3109" i="1"/>
  <c r="W3109" i="1" s="1"/>
  <c r="U3110" i="1"/>
  <c r="W3110" i="1" s="1"/>
  <c r="U3111" i="1"/>
  <c r="W3111" i="1" s="1"/>
  <c r="U3112" i="1"/>
  <c r="W3112" i="1" s="1"/>
  <c r="U3113" i="1"/>
  <c r="W3113" i="1" s="1"/>
  <c r="U3114" i="1"/>
  <c r="W3114" i="1" s="1"/>
  <c r="U3115" i="1"/>
  <c r="W3115" i="1" s="1"/>
  <c r="U3116" i="1"/>
  <c r="W3116" i="1" s="1"/>
  <c r="U3119" i="1"/>
  <c r="W3119" i="1" s="1"/>
  <c r="U3120" i="1"/>
  <c r="W3120" i="1" s="1"/>
  <c r="U3121" i="1"/>
  <c r="W3121" i="1" s="1"/>
  <c r="U3122" i="1"/>
  <c r="W3122" i="1" s="1"/>
  <c r="U3123" i="1"/>
  <c r="W3123" i="1" s="1"/>
  <c r="U3124" i="1"/>
  <c r="W3124" i="1" s="1"/>
  <c r="U3125" i="1"/>
  <c r="W3125" i="1" s="1"/>
  <c r="U3126" i="1"/>
  <c r="W3126" i="1" s="1"/>
  <c r="U3127" i="1"/>
  <c r="W3127" i="1" s="1"/>
  <c r="U3128" i="1"/>
  <c r="W3128" i="1" s="1"/>
  <c r="U3129" i="1"/>
  <c r="W3129" i="1" s="1"/>
  <c r="U3131" i="1"/>
  <c r="W3131" i="1" s="1"/>
  <c r="U3132" i="1"/>
  <c r="W3132" i="1" s="1"/>
  <c r="U3133" i="1"/>
  <c r="W3133" i="1" s="1"/>
  <c r="U3134" i="1"/>
  <c r="W3134" i="1" s="1"/>
  <c r="U3135" i="1"/>
  <c r="W3135" i="1" s="1"/>
  <c r="U3136" i="1"/>
  <c r="W3136" i="1" s="1"/>
  <c r="U3137" i="1"/>
  <c r="W3137" i="1" s="1"/>
  <c r="U3138" i="1"/>
  <c r="W3138" i="1" s="1"/>
  <c r="U3139" i="1"/>
  <c r="W3139" i="1" s="1"/>
  <c r="U3140" i="1"/>
  <c r="W3140" i="1" s="1"/>
  <c r="U3141" i="1"/>
  <c r="W3141" i="1" s="1"/>
  <c r="U3142" i="1"/>
  <c r="W3142" i="1" s="1"/>
  <c r="U3143" i="1"/>
  <c r="W3143" i="1" s="1"/>
  <c r="U3144" i="1"/>
  <c r="W3144" i="1" s="1"/>
  <c r="U3145" i="1"/>
  <c r="W3145" i="1" s="1"/>
  <c r="U3146" i="1"/>
  <c r="W3146" i="1" s="1"/>
  <c r="U3147" i="1"/>
  <c r="W3147" i="1" s="1"/>
  <c r="U3148" i="1"/>
  <c r="W3148" i="1" s="1"/>
  <c r="U3149" i="1"/>
  <c r="W3149" i="1" s="1"/>
  <c r="U3151" i="1"/>
  <c r="W3151" i="1" s="1"/>
  <c r="U3152" i="1"/>
  <c r="W3152" i="1" s="1"/>
  <c r="U3153" i="1"/>
  <c r="W3153" i="1" s="1"/>
  <c r="U3154" i="1"/>
  <c r="W3154" i="1" s="1"/>
  <c r="U3155" i="1"/>
  <c r="W3155" i="1" s="1"/>
  <c r="U3156" i="1"/>
  <c r="W3156" i="1" s="1"/>
  <c r="U3157" i="1"/>
  <c r="W3157" i="1" s="1"/>
  <c r="U3158" i="1"/>
  <c r="W3158" i="1" s="1"/>
  <c r="U3159" i="1"/>
  <c r="W3159" i="1" s="1"/>
  <c r="U3160" i="1"/>
  <c r="W3160" i="1" s="1"/>
  <c r="U3161" i="1"/>
  <c r="W3161" i="1" s="1"/>
  <c r="U3162" i="1"/>
  <c r="W3162" i="1" s="1"/>
  <c r="U3163" i="1"/>
  <c r="W3163" i="1" s="1"/>
  <c r="U3165" i="1"/>
  <c r="W3165" i="1" s="1"/>
  <c r="U3166" i="1"/>
  <c r="W3166" i="1" s="1"/>
  <c r="U3167" i="1"/>
  <c r="W3167" i="1" s="1"/>
  <c r="U3168" i="1"/>
  <c r="W3168" i="1" s="1"/>
  <c r="U3169" i="1"/>
  <c r="W3169" i="1" s="1"/>
  <c r="U3170" i="1"/>
  <c r="W3170" i="1" s="1"/>
  <c r="U3171" i="1"/>
  <c r="W3171" i="1" s="1"/>
  <c r="U3172" i="1"/>
  <c r="W3172" i="1" s="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AK2926" i="1"/>
  <c r="AK2925" i="1"/>
  <c r="AK2924" i="1"/>
  <c r="AK2923" i="1"/>
  <c r="AK2922" i="1"/>
  <c r="AK2921" i="1"/>
  <c r="AK2920" i="1"/>
  <c r="AK2919" i="1"/>
  <c r="AK2918" i="1"/>
  <c r="AK2917" i="1"/>
  <c r="AK2916" i="1"/>
  <c r="AK2915" i="1"/>
  <c r="AK2914" i="1"/>
  <c r="AK2913" i="1"/>
  <c r="AK2912" i="1"/>
  <c r="AK2911" i="1"/>
  <c r="AK2910" i="1"/>
  <c r="AK2909" i="1"/>
  <c r="AK2908" i="1"/>
  <c r="AK2907" i="1"/>
  <c r="AK2906" i="1"/>
  <c r="AK2905" i="1"/>
  <c r="AK2904" i="1"/>
  <c r="AK2903" i="1"/>
  <c r="AK2902" i="1"/>
  <c r="AK2901" i="1"/>
  <c r="AK2900" i="1"/>
  <c r="AK2899" i="1"/>
  <c r="AK2898" i="1"/>
  <c r="AK2897" i="1"/>
  <c r="AK2896" i="1"/>
  <c r="AK2895" i="1"/>
  <c r="S2895" i="1" s="1"/>
  <c r="AR2895" i="1" s="1"/>
  <c r="AM2895" i="1" s="1"/>
  <c r="AK2894" i="1"/>
  <c r="AK2893" i="1"/>
  <c r="AK2892" i="1"/>
  <c r="AK2891" i="1"/>
  <c r="AK2890" i="1"/>
  <c r="AK2889" i="1"/>
  <c r="AK2888" i="1"/>
  <c r="AK2887" i="1"/>
  <c r="AK2886" i="1"/>
  <c r="AK2885" i="1"/>
  <c r="AK2884" i="1"/>
  <c r="AK2883" i="1"/>
  <c r="AK2882" i="1"/>
  <c r="AK2881" i="1"/>
  <c r="AK2880" i="1"/>
  <c r="AK2879" i="1"/>
  <c r="S2879" i="1" s="1"/>
  <c r="AR2879" i="1" s="1"/>
  <c r="AM2879" i="1" s="1"/>
  <c r="AK2878" i="1"/>
  <c r="AK2877" i="1"/>
  <c r="AK2876" i="1"/>
  <c r="AK2875" i="1"/>
  <c r="AK2874" i="1"/>
  <c r="AK2873" i="1"/>
  <c r="AK2872" i="1"/>
  <c r="AK2871" i="1"/>
  <c r="AK2870" i="1"/>
  <c r="AK2869" i="1"/>
  <c r="AK2868" i="1"/>
  <c r="AK2867" i="1"/>
  <c r="AK2866" i="1"/>
  <c r="AK2865" i="1"/>
  <c r="AK2864" i="1"/>
  <c r="AK2863" i="1"/>
  <c r="AK2862" i="1"/>
  <c r="AK2861" i="1"/>
  <c r="AK2860" i="1"/>
  <c r="AK2859" i="1"/>
  <c r="AK2858" i="1"/>
  <c r="AK2857" i="1"/>
  <c r="AK2856" i="1"/>
  <c r="AK2855" i="1"/>
  <c r="AK2854" i="1"/>
  <c r="AK2853" i="1"/>
  <c r="AK2852" i="1"/>
  <c r="AK2851" i="1"/>
  <c r="AK2850" i="1"/>
  <c r="AK2849" i="1"/>
  <c r="AK2848" i="1"/>
  <c r="AK2847" i="1"/>
  <c r="AK2846" i="1"/>
  <c r="AK2845" i="1"/>
  <c r="AK2844" i="1"/>
  <c r="AK2843" i="1"/>
  <c r="AK2842" i="1"/>
  <c r="AK2841" i="1"/>
  <c r="AK2840" i="1"/>
  <c r="AK2839" i="1"/>
  <c r="AK2838" i="1"/>
  <c r="AK2837" i="1"/>
  <c r="AK2836" i="1"/>
  <c r="AK2835" i="1"/>
  <c r="AK2834" i="1"/>
  <c r="AK2833" i="1"/>
  <c r="AK2832" i="1"/>
  <c r="AK2831" i="1"/>
  <c r="S2831" i="1" s="1"/>
  <c r="AR2831" i="1" s="1"/>
  <c r="AM2831" i="1" s="1"/>
  <c r="AK2830" i="1"/>
  <c r="AK2829" i="1"/>
  <c r="AK2828" i="1"/>
  <c r="AK2827" i="1"/>
  <c r="AK2826" i="1"/>
  <c r="AK2825" i="1"/>
  <c r="AK2824" i="1"/>
  <c r="AK2823" i="1"/>
  <c r="AK2822" i="1"/>
  <c r="AK2821" i="1"/>
  <c r="AK2820" i="1"/>
  <c r="AK2819" i="1"/>
  <c r="AK2818" i="1"/>
  <c r="AK2817" i="1"/>
  <c r="AK2816" i="1"/>
  <c r="AK2815" i="1"/>
  <c r="S2815" i="1" s="1"/>
  <c r="AR2815" i="1" s="1"/>
  <c r="AM2815" i="1" s="1"/>
  <c r="AK2814" i="1"/>
  <c r="AK2813" i="1"/>
  <c r="AK2812" i="1"/>
  <c r="AK2811" i="1"/>
  <c r="AK2810" i="1"/>
  <c r="AK2809" i="1"/>
  <c r="AK2808" i="1"/>
  <c r="AK2807" i="1"/>
  <c r="AK2806" i="1"/>
  <c r="AK2805" i="1"/>
  <c r="AK2804" i="1"/>
  <c r="AK2803" i="1"/>
  <c r="AK2802" i="1"/>
  <c r="AK2801" i="1"/>
  <c r="AK2800" i="1"/>
  <c r="AK2799" i="1"/>
  <c r="S2799" i="1" s="1"/>
  <c r="AR2799" i="1" s="1"/>
  <c r="AM2799" i="1" s="1"/>
  <c r="AK2798" i="1"/>
  <c r="AK2797" i="1"/>
  <c r="AK2796" i="1"/>
  <c r="AK2795" i="1"/>
  <c r="AK2794" i="1"/>
  <c r="AK2793" i="1"/>
  <c r="AK2792" i="1"/>
  <c r="AK2791" i="1"/>
  <c r="AK2790" i="1"/>
  <c r="AK2789" i="1"/>
  <c r="AK2788" i="1"/>
  <c r="AK2787" i="1"/>
  <c r="AK2786" i="1"/>
  <c r="AK2785" i="1"/>
  <c r="AK2784" i="1"/>
  <c r="AK2783" i="1"/>
  <c r="S2783" i="1" s="1"/>
  <c r="AR2783" i="1" s="1"/>
  <c r="AM2783" i="1" s="1"/>
  <c r="AK2782" i="1"/>
  <c r="AK2781" i="1"/>
  <c r="AK2780" i="1"/>
  <c r="AK2779" i="1"/>
  <c r="AK2778" i="1"/>
  <c r="AK2777" i="1"/>
  <c r="AK2776" i="1"/>
  <c r="AK2775" i="1"/>
  <c r="AK2774" i="1"/>
  <c r="AK2773" i="1"/>
  <c r="AK2772" i="1"/>
  <c r="AK2771" i="1"/>
  <c r="AK2770" i="1"/>
  <c r="AK2769" i="1"/>
  <c r="AK2768" i="1"/>
  <c r="AK2767" i="1"/>
  <c r="S2767" i="1" s="1"/>
  <c r="AR2767" i="1" s="1"/>
  <c r="AM2767" i="1" s="1"/>
  <c r="AK2766" i="1"/>
  <c r="AK2765" i="1"/>
  <c r="AK2764" i="1"/>
  <c r="AK2763" i="1"/>
  <c r="AK2762" i="1"/>
  <c r="AK2761" i="1"/>
  <c r="AK2760" i="1"/>
  <c r="AK2759" i="1"/>
  <c r="AK2758" i="1"/>
  <c r="AK2757" i="1"/>
  <c r="AK2756" i="1"/>
  <c r="AK2755" i="1"/>
  <c r="AK2754" i="1"/>
  <c r="AK2753" i="1"/>
  <c r="AK2752" i="1"/>
  <c r="AK2751" i="1"/>
  <c r="S2751" i="1" s="1"/>
  <c r="AR2751" i="1" s="1"/>
  <c r="AM2751" i="1" s="1"/>
  <c r="AK2750" i="1"/>
  <c r="AK2749" i="1"/>
  <c r="AK2748" i="1"/>
  <c r="AK2747" i="1"/>
  <c r="AK2746" i="1"/>
  <c r="AK2745" i="1"/>
  <c r="AK2744" i="1"/>
  <c r="AK2743" i="1"/>
  <c r="AK2742" i="1"/>
  <c r="AK2741" i="1"/>
  <c r="AK2740" i="1"/>
  <c r="AK2739" i="1"/>
  <c r="AK2738" i="1"/>
  <c r="AK2737" i="1"/>
  <c r="AK2736" i="1"/>
  <c r="AK2735" i="1"/>
  <c r="AK2734" i="1"/>
  <c r="AK2733" i="1"/>
  <c r="AK2732" i="1"/>
  <c r="BA6" i="8"/>
  <c r="AX6" i="8"/>
  <c r="V67" i="8"/>
  <c r="V68" i="8"/>
  <c r="V69" i="8"/>
  <c r="V70" i="8"/>
  <c r="V71" i="8"/>
  <c r="V72" i="8"/>
  <c r="V73" i="8"/>
  <c r="V74" i="8"/>
  <c r="V75" i="8"/>
  <c r="V76" i="8"/>
  <c r="V77" i="8"/>
  <c r="V78" i="8"/>
  <c r="V79" i="8"/>
  <c r="V80" i="8"/>
  <c r="V66" i="8"/>
  <c r="AI2924" i="1"/>
  <c r="AH2924" i="1"/>
  <c r="AI2923" i="1"/>
  <c r="AH2923" i="1"/>
  <c r="AI2922" i="1"/>
  <c r="AH2922" i="1"/>
  <c r="AG2922" i="1"/>
  <c r="S2922" i="1" s="1"/>
  <c r="AR2922" i="1" s="1"/>
  <c r="AM2922" i="1" s="1"/>
  <c r="AI2921" i="1"/>
  <c r="AH2921" i="1"/>
  <c r="S2921" i="1" s="1"/>
  <c r="AT2921" i="1" s="1"/>
  <c r="AO2921" i="1" s="1"/>
  <c r="S2920" i="1"/>
  <c r="AI2920" i="1"/>
  <c r="AH2920" i="1"/>
  <c r="AI2919" i="1"/>
  <c r="AH2919" i="1"/>
  <c r="AI2918" i="1"/>
  <c r="AH2918" i="1"/>
  <c r="AI2917" i="1"/>
  <c r="AH2917" i="1"/>
  <c r="AG2917" i="1"/>
  <c r="AI2916" i="1"/>
  <c r="AH2916" i="1"/>
  <c r="AG2916" i="1"/>
  <c r="AI2915" i="1"/>
  <c r="AH2915" i="1"/>
  <c r="AI2914" i="1"/>
  <c r="AH2914" i="1"/>
  <c r="AI2911" i="1"/>
  <c r="AH2911" i="1"/>
  <c r="S2911" i="1" s="1"/>
  <c r="AR2911" i="1" s="1"/>
  <c r="AM2911" i="1" s="1"/>
  <c r="AI2910" i="1"/>
  <c r="AH2910" i="1"/>
  <c r="AI2909" i="1"/>
  <c r="S2909" i="1" s="1"/>
  <c r="AS2909" i="1" s="1"/>
  <c r="AN2909" i="1" s="1"/>
  <c r="AH2909" i="1"/>
  <c r="AI2908" i="1"/>
  <c r="AH2908" i="1"/>
  <c r="AG2908" i="1"/>
  <c r="AI2907" i="1"/>
  <c r="AH2907" i="1"/>
  <c r="AI2906" i="1"/>
  <c r="AH2906" i="1"/>
  <c r="S2906" i="1" s="1"/>
  <c r="AI2905" i="1"/>
  <c r="AH2905" i="1"/>
  <c r="AG2905" i="1"/>
  <c r="S2905" i="1" s="1"/>
  <c r="AT2905" i="1" s="1"/>
  <c r="AO2905" i="1" s="1"/>
  <c r="S2904" i="1"/>
  <c r="AI2904" i="1"/>
  <c r="AH2904" i="1"/>
  <c r="AI2903" i="1"/>
  <c r="AH2903" i="1"/>
  <c r="AI2902" i="1"/>
  <c r="AH2902" i="1"/>
  <c r="AI2901" i="1"/>
  <c r="AH2901" i="1"/>
  <c r="S2899" i="1"/>
  <c r="AR2899" i="1" s="1"/>
  <c r="AM2899" i="1" s="1"/>
  <c r="AI2898" i="1"/>
  <c r="AH2898" i="1"/>
  <c r="AI2897" i="1"/>
  <c r="AH2897" i="1"/>
  <c r="AI2896" i="1"/>
  <c r="AH2896" i="1"/>
  <c r="AI2895" i="1"/>
  <c r="AH2895" i="1"/>
  <c r="AI2894" i="1"/>
  <c r="AH2894" i="1"/>
  <c r="AI2893" i="1"/>
  <c r="AH2893" i="1"/>
  <c r="S2893" i="1" s="1"/>
  <c r="AS2893" i="1" s="1"/>
  <c r="AN2893" i="1" s="1"/>
  <c r="S2892" i="1"/>
  <c r="AQ2892" i="1" s="1"/>
  <c r="AL2892" i="1" s="1"/>
  <c r="AI2892" i="1"/>
  <c r="AH2892" i="1"/>
  <c r="AI2891" i="1"/>
  <c r="AH2891" i="1"/>
  <c r="AG2891" i="1"/>
  <c r="AI2890" i="1"/>
  <c r="AH2890" i="1"/>
  <c r="AI2889" i="1"/>
  <c r="AH2889" i="1"/>
  <c r="S2889" i="1" s="1"/>
  <c r="AT2889" i="1" s="1"/>
  <c r="AO2889" i="1" s="1"/>
  <c r="AI2888" i="1"/>
  <c r="AH2888" i="1"/>
  <c r="S2888" i="1" s="1"/>
  <c r="AT2888" i="1" s="1"/>
  <c r="AO2888" i="1" s="1"/>
  <c r="AI2885" i="1"/>
  <c r="AH2885" i="1"/>
  <c r="AI2884" i="1"/>
  <c r="AH2884" i="1"/>
  <c r="AI2883" i="1"/>
  <c r="AH2883" i="1"/>
  <c r="AI2882" i="1"/>
  <c r="AH2882" i="1"/>
  <c r="AG2882" i="1"/>
  <c r="S2882" i="1" s="1"/>
  <c r="AI2881" i="1"/>
  <c r="AH2881" i="1"/>
  <c r="AG2881" i="1"/>
  <c r="AI2879" i="1"/>
  <c r="AH2879" i="1"/>
  <c r="AI2878" i="1"/>
  <c r="AH2878" i="1"/>
  <c r="AI2877" i="1"/>
  <c r="AH2877" i="1"/>
  <c r="S2877" i="1" s="1"/>
  <c r="AS2877" i="1" s="1"/>
  <c r="AN2877" i="1" s="1"/>
  <c r="AI2876" i="1"/>
  <c r="AH2876" i="1"/>
  <c r="S2876" i="1" s="1"/>
  <c r="AQ2876" i="1" s="1"/>
  <c r="AL2876" i="1" s="1"/>
  <c r="S2875" i="1"/>
  <c r="AT2875" i="1" s="1"/>
  <c r="AO2875" i="1" s="1"/>
  <c r="AI2875" i="1"/>
  <c r="AH2875" i="1"/>
  <c r="AI2874" i="1"/>
  <c r="AH2874" i="1"/>
  <c r="AG2874" i="1"/>
  <c r="AI2873" i="1"/>
  <c r="AH2873" i="1"/>
  <c r="AG2873" i="1"/>
  <c r="S2872" i="1"/>
  <c r="AI2870" i="1"/>
  <c r="AH2870" i="1"/>
  <c r="AG2870" i="1"/>
  <c r="AI2869" i="1"/>
  <c r="AH2869" i="1"/>
  <c r="AG2869" i="1"/>
  <c r="AI2868" i="1"/>
  <c r="AH2868" i="1"/>
  <c r="AG2868" i="1"/>
  <c r="AI2867" i="1"/>
  <c r="AH2867" i="1"/>
  <c r="AG2867" i="1"/>
  <c r="AI2866" i="1"/>
  <c r="AH2866" i="1"/>
  <c r="AG2866" i="1"/>
  <c r="S2866" i="1" s="1"/>
  <c r="AS2866" i="1" s="1"/>
  <c r="AN2866" i="1" s="1"/>
  <c r="AI2865" i="1"/>
  <c r="AH2865" i="1"/>
  <c r="AG2865" i="1"/>
  <c r="AI2864" i="1"/>
  <c r="AH2864" i="1"/>
  <c r="AG2864" i="1"/>
  <c r="AI2863" i="1"/>
  <c r="AH2863" i="1"/>
  <c r="AG2863" i="1"/>
  <c r="AI2862" i="1"/>
  <c r="AH2862" i="1"/>
  <c r="AG2862" i="1"/>
  <c r="S2862" i="1" s="1"/>
  <c r="AR2862" i="1" s="1"/>
  <c r="AM2862" i="1" s="1"/>
  <c r="AI2861" i="1"/>
  <c r="AI2860" i="1"/>
  <c r="AH2860" i="1"/>
  <c r="AI2857" i="1"/>
  <c r="AH2857" i="1"/>
  <c r="AG2857" i="1"/>
  <c r="S2857" i="1" s="1"/>
  <c r="AI2856" i="1"/>
  <c r="AH2856" i="1"/>
  <c r="AG2856" i="1"/>
  <c r="AI2855" i="1"/>
  <c r="AH2855" i="1"/>
  <c r="AI2854" i="1"/>
  <c r="AH2854" i="1"/>
  <c r="AG2854" i="1"/>
  <c r="AI2853" i="1"/>
  <c r="AH2853" i="1"/>
  <c r="AI2852" i="1"/>
  <c r="AH2852" i="1"/>
  <c r="AG2852" i="1"/>
  <c r="AI2851" i="1"/>
  <c r="AH2851" i="1"/>
  <c r="S2851" i="1" s="1"/>
  <c r="AI2850" i="1"/>
  <c r="AI2849" i="1"/>
  <c r="AI2848" i="1"/>
  <c r="AH2848" i="1"/>
  <c r="AG2848" i="1"/>
  <c r="AI2847" i="1"/>
  <c r="AH2847" i="1"/>
  <c r="AG2847" i="1"/>
  <c r="S2846" i="1"/>
  <c r="AQ2846" i="1" s="1"/>
  <c r="AL2846" i="1" s="1"/>
  <c r="S2845" i="1"/>
  <c r="AS2845" i="1" s="1"/>
  <c r="AN2845" i="1" s="1"/>
  <c r="AI2844" i="1"/>
  <c r="S2844" i="1" s="1"/>
  <c r="AQ2844" i="1" s="1"/>
  <c r="AL2844" i="1" s="1"/>
  <c r="AH2844" i="1"/>
  <c r="AI2843" i="1"/>
  <c r="AH2843" i="1"/>
  <c r="AI2842" i="1"/>
  <c r="AH2842" i="1"/>
  <c r="AI2841" i="1"/>
  <c r="AI2840" i="1"/>
  <c r="AH2840" i="1"/>
  <c r="AG2840" i="1"/>
  <c r="S2840" i="1" s="1"/>
  <c r="AT2840" i="1" s="1"/>
  <c r="AO2840" i="1" s="1"/>
  <c r="AI2839" i="1"/>
  <c r="AH2839" i="1"/>
  <c r="AI2838" i="1"/>
  <c r="AH2838" i="1"/>
  <c r="AI2837" i="1"/>
  <c r="AH2837" i="1"/>
  <c r="AI2836" i="1"/>
  <c r="AH2836" i="1"/>
  <c r="AG2836" i="1"/>
  <c r="AI2835" i="1"/>
  <c r="AH2835" i="1"/>
  <c r="S2835" i="1" s="1"/>
  <c r="AI2834" i="1"/>
  <c r="AH2834" i="1"/>
  <c r="S2834" i="1" s="1"/>
  <c r="AS2834" i="1" s="1"/>
  <c r="AN2834" i="1" s="1"/>
  <c r="AI2831" i="1"/>
  <c r="AH2831" i="1"/>
  <c r="AI2830" i="1"/>
  <c r="AH2830" i="1"/>
  <c r="AI2829" i="1"/>
  <c r="AH2829" i="1"/>
  <c r="S2829" i="1" s="1"/>
  <c r="AS2829" i="1" s="1"/>
  <c r="AN2829" i="1" s="1"/>
  <c r="AI2828" i="1"/>
  <c r="AH2828" i="1"/>
  <c r="S2828" i="1" s="1"/>
  <c r="AQ2828" i="1" s="1"/>
  <c r="AL2828" i="1" s="1"/>
  <c r="AI2827" i="1"/>
  <c r="S2827" i="1" s="1"/>
  <c r="AT2827" i="1" s="1"/>
  <c r="AO2827" i="1" s="1"/>
  <c r="AH2827" i="1"/>
  <c r="AI2826" i="1"/>
  <c r="AH2826" i="1"/>
  <c r="AI2825" i="1"/>
  <c r="AH2825" i="1"/>
  <c r="AI2824" i="1"/>
  <c r="AH2824" i="1"/>
  <c r="AI2823" i="1"/>
  <c r="AH2823" i="1"/>
  <c r="AI2822" i="1"/>
  <c r="AH2822" i="1"/>
  <c r="AG2822" i="1"/>
  <c r="AI2821" i="1"/>
  <c r="AH2821" i="1"/>
  <c r="AI2818" i="1"/>
  <c r="AH2818" i="1"/>
  <c r="AI2817" i="1"/>
  <c r="AH2817" i="1"/>
  <c r="AI2816" i="1"/>
  <c r="AH2816" i="1"/>
  <c r="S2816" i="1" s="1"/>
  <c r="AR2816" i="1" s="1"/>
  <c r="AM2816" i="1" s="1"/>
  <c r="AI2815" i="1"/>
  <c r="AH2815" i="1"/>
  <c r="AG2815" i="1"/>
  <c r="AI2814" i="1"/>
  <c r="AH2814" i="1"/>
  <c r="AI2813" i="1"/>
  <c r="AH2813" i="1"/>
  <c r="AI2812" i="1"/>
  <c r="AH2812" i="1"/>
  <c r="AG2812" i="1"/>
  <c r="S2812" i="1" s="1"/>
  <c r="AI2811" i="1"/>
  <c r="AH2811" i="1"/>
  <c r="S2811" i="1" s="1"/>
  <c r="AT2811" i="1" s="1"/>
  <c r="AO2811" i="1" s="1"/>
  <c r="AI2810" i="1"/>
  <c r="AH2810" i="1"/>
  <c r="AI2809" i="1"/>
  <c r="AH2809" i="1"/>
  <c r="AG2809" i="1"/>
  <c r="AI2808" i="1"/>
  <c r="AH2808" i="1"/>
  <c r="AI2805" i="1"/>
  <c r="AH2805" i="1"/>
  <c r="S2804" i="1"/>
  <c r="AI2804" i="1"/>
  <c r="AH2804" i="1"/>
  <c r="AI2803" i="1"/>
  <c r="AH2803" i="1"/>
  <c r="AI2802" i="1"/>
  <c r="AH2802" i="1"/>
  <c r="AG2802" i="1"/>
  <c r="AI2801" i="1"/>
  <c r="AH2801" i="1"/>
  <c r="AG2801" i="1"/>
  <c r="S2801" i="1" s="1"/>
  <c r="AT2801" i="1" s="1"/>
  <c r="AO2801" i="1" s="1"/>
  <c r="AI2800" i="1"/>
  <c r="S2800" i="1" s="1"/>
  <c r="AI2799" i="1"/>
  <c r="AH2799" i="1"/>
  <c r="AI2798" i="1"/>
  <c r="AH2798" i="1"/>
  <c r="AI2797" i="1"/>
  <c r="AH2797" i="1"/>
  <c r="AI2796" i="1"/>
  <c r="AH2796" i="1"/>
  <c r="AG2796" i="1"/>
  <c r="S2796" i="1" s="1"/>
  <c r="AI2795" i="1"/>
  <c r="AH2795" i="1"/>
  <c r="S2795" i="1" s="1"/>
  <c r="AQ2795" i="1" s="1"/>
  <c r="AL2795" i="1" s="1"/>
  <c r="S2794" i="1"/>
  <c r="AR2794" i="1" s="1"/>
  <c r="AM2794" i="1" s="1"/>
  <c r="AI2794" i="1"/>
  <c r="AH2794" i="1"/>
  <c r="AG2794" i="1"/>
  <c r="AI2793" i="1"/>
  <c r="AH2793" i="1"/>
  <c r="AG2793" i="1"/>
  <c r="AI2792" i="1"/>
  <c r="AI2790" i="1"/>
  <c r="AH2790" i="1"/>
  <c r="AI2789" i="1"/>
  <c r="AH2789" i="1"/>
  <c r="S2789" i="1" s="1"/>
  <c r="AR2789" i="1" s="1"/>
  <c r="AM2789" i="1" s="1"/>
  <c r="AI2788" i="1"/>
  <c r="AH2788" i="1"/>
  <c r="AG2788" i="1"/>
  <c r="AI2787" i="1"/>
  <c r="AH2787" i="1"/>
  <c r="AG2787" i="1"/>
  <c r="AI2786" i="1"/>
  <c r="AH2786" i="1"/>
  <c r="AI2785" i="1"/>
  <c r="AH2785" i="1"/>
  <c r="AG2785" i="1"/>
  <c r="S2784" i="1"/>
  <c r="AI2784" i="1"/>
  <c r="AH2784" i="1"/>
  <c r="AG2784" i="1"/>
  <c r="AI2783" i="1"/>
  <c r="AH2783" i="1"/>
  <c r="AG2783" i="1"/>
  <c r="AI2782" i="1"/>
  <c r="AH2782" i="1"/>
  <c r="AG2782" i="1"/>
  <c r="S2782" i="1" s="1"/>
  <c r="AQ2782" i="1" s="1"/>
  <c r="AL2782" i="1" s="1"/>
  <c r="AI2781" i="1"/>
  <c r="S2781" i="1" s="1"/>
  <c r="AS2781" i="1" s="1"/>
  <c r="AN2781" i="1" s="1"/>
  <c r="AI2780" i="1"/>
  <c r="AH2780" i="1"/>
  <c r="S2780" i="1" s="1"/>
  <c r="AI2779" i="1"/>
  <c r="AI2777" i="1"/>
  <c r="AH2777" i="1"/>
  <c r="AG2777" i="1"/>
  <c r="AI2776" i="1"/>
  <c r="AH2776" i="1"/>
  <c r="AG2776" i="1"/>
  <c r="S2776" i="1" s="1"/>
  <c r="AT2776" i="1" s="1"/>
  <c r="AO2776" i="1" s="1"/>
  <c r="AI2775" i="1"/>
  <c r="AH2775" i="1"/>
  <c r="AG2775" i="1"/>
  <c r="S2774" i="1"/>
  <c r="AS2774" i="1" s="1"/>
  <c r="AN2774" i="1" s="1"/>
  <c r="AI2774" i="1"/>
  <c r="AH2774" i="1"/>
  <c r="AG2774" i="1"/>
  <c r="AI2773" i="1"/>
  <c r="AH2773" i="1"/>
  <c r="AI2772" i="1"/>
  <c r="AH2772" i="1"/>
  <c r="AG2772" i="1"/>
  <c r="AI2771" i="1"/>
  <c r="AH2771" i="1"/>
  <c r="AI2770" i="1"/>
  <c r="AH2770" i="1"/>
  <c r="S2770" i="1" s="1"/>
  <c r="AI2769" i="1"/>
  <c r="AH2769" i="1"/>
  <c r="AI2768" i="1"/>
  <c r="AH2768" i="1"/>
  <c r="AG2768" i="1"/>
  <c r="AI2767" i="1"/>
  <c r="AH2767" i="1"/>
  <c r="AI2766" i="1"/>
  <c r="AH2766" i="1"/>
  <c r="AG2766" i="1"/>
  <c r="S2766" i="1" s="1"/>
  <c r="AR2766" i="1" s="1"/>
  <c r="AM2766" i="1" s="1"/>
  <c r="AI2765" i="1"/>
  <c r="S2765" i="1" s="1"/>
  <c r="AH2765" i="1"/>
  <c r="AG2765" i="1"/>
  <c r="AI2764" i="1"/>
  <c r="AH2764" i="1"/>
  <c r="AG2764" i="1"/>
  <c r="AI2763" i="1"/>
  <c r="AH2763" i="1"/>
  <c r="AG2763" i="1"/>
  <c r="AI2762" i="1"/>
  <c r="AH2762" i="1"/>
  <c r="AG2762" i="1"/>
  <c r="S2762" i="1" s="1"/>
  <c r="AI2761" i="1"/>
  <c r="S2761" i="1" s="1"/>
  <c r="AT2761" i="1" s="1"/>
  <c r="AO2761" i="1" s="1"/>
  <c r="AH2761" i="1"/>
  <c r="AG2761" i="1"/>
  <c r="AI2759" i="1"/>
  <c r="AI2758" i="1"/>
  <c r="AH2758" i="1"/>
  <c r="AG2758" i="1"/>
  <c r="AI2757" i="1"/>
  <c r="AH2757" i="1"/>
  <c r="AI2755" i="1"/>
  <c r="AH2755" i="1"/>
  <c r="S2755" i="1" s="1"/>
  <c r="AR2755" i="1" s="1"/>
  <c r="AM2755" i="1" s="1"/>
  <c r="AG2755" i="1"/>
  <c r="AI2754" i="1"/>
  <c r="AH2754" i="1"/>
  <c r="AI2751" i="1"/>
  <c r="AH2751" i="1"/>
  <c r="AI2750" i="1"/>
  <c r="AH2750" i="1"/>
  <c r="S2750" i="1" s="1"/>
  <c r="S2749" i="1"/>
  <c r="AI2748" i="1"/>
  <c r="AH2748" i="1"/>
  <c r="S2748" i="1" s="1"/>
  <c r="AG2748" i="1"/>
  <c r="AI2747" i="1"/>
  <c r="AI2746" i="1"/>
  <c r="AH2746" i="1"/>
  <c r="AI2745" i="1"/>
  <c r="AH2745" i="1"/>
  <c r="AG2745" i="1"/>
  <c r="AI2744" i="1"/>
  <c r="AH2744" i="1"/>
  <c r="AG2744" i="1"/>
  <c r="AI2743" i="1"/>
  <c r="AH2743" i="1"/>
  <c r="AG2743" i="1"/>
  <c r="AI2742" i="1"/>
  <c r="AH2742" i="1"/>
  <c r="AG2742" i="1"/>
  <c r="AI2741" i="1"/>
  <c r="AH2741" i="1"/>
  <c r="AG2741" i="1"/>
  <c r="AI2740" i="1"/>
  <c r="AH2740" i="1"/>
  <c r="AG2740" i="1"/>
  <c r="AI2736" i="1"/>
  <c r="AI2735" i="1"/>
  <c r="AH2735" i="1"/>
  <c r="AI2734" i="1"/>
  <c r="AH2734" i="1"/>
  <c r="AG2734" i="1"/>
  <c r="AI2733" i="1"/>
  <c r="AH2733" i="1"/>
  <c r="AG2733" i="1"/>
  <c r="AI2732" i="1"/>
  <c r="AH2732" i="1"/>
  <c r="AG2732" i="1"/>
  <c r="BA6" i="5"/>
  <c r="AX6" i="5"/>
  <c r="V26" i="5"/>
  <c r="V27" i="5"/>
  <c r="V28" i="5"/>
  <c r="V29" i="5"/>
  <c r="V25" i="5"/>
  <c r="S29" i="5"/>
  <c r="S28" i="5"/>
  <c r="S27" i="5"/>
  <c r="S26" i="5"/>
  <c r="S25" i="5"/>
  <c r="BA6" i="6"/>
  <c r="AX6" i="6"/>
  <c r="V30" i="6"/>
  <c r="V31" i="6"/>
  <c r="V32" i="6"/>
  <c r="V33" i="6"/>
  <c r="V34" i="6"/>
  <c r="V29" i="6"/>
  <c r="S34" i="6"/>
  <c r="S33" i="6"/>
  <c r="S32" i="6"/>
  <c r="S31" i="6"/>
  <c r="S30" i="6"/>
  <c r="S29" i="6"/>
  <c r="BA6" i="7"/>
  <c r="AX6" i="7"/>
  <c r="V55" i="7"/>
  <c r="V56" i="7"/>
  <c r="V57" i="7"/>
  <c r="V58" i="7"/>
  <c r="V59" i="7"/>
  <c r="V60" i="7"/>
  <c r="V61" i="7"/>
  <c r="V62" i="7"/>
  <c r="V63" i="7"/>
  <c r="V64" i="7"/>
  <c r="V65" i="7"/>
  <c r="V54" i="7"/>
  <c r="S65" i="7"/>
  <c r="S64" i="7"/>
  <c r="S63" i="7"/>
  <c r="S62" i="7"/>
  <c r="S61" i="7"/>
  <c r="S60" i="7"/>
  <c r="S59" i="7"/>
  <c r="S58" i="7"/>
  <c r="S57" i="7"/>
  <c r="S56" i="7"/>
  <c r="S55" i="7"/>
  <c r="S54" i="7"/>
  <c r="S80" i="8"/>
  <c r="S79" i="8"/>
  <c r="S78" i="8"/>
  <c r="S77" i="8"/>
  <c r="S76" i="8"/>
  <c r="S75" i="8"/>
  <c r="S74" i="8"/>
  <c r="S73" i="8"/>
  <c r="S72" i="8"/>
  <c r="S71" i="8"/>
  <c r="S70" i="8"/>
  <c r="S69" i="8"/>
  <c r="S68" i="8"/>
  <c r="S67" i="8"/>
  <c r="S66" i="8"/>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U2732" i="1"/>
  <c r="AP2732" i="1" s="1"/>
  <c r="AU2733" i="1"/>
  <c r="AU2734" i="1"/>
  <c r="AP2734" i="1" s="1"/>
  <c r="AU2735" i="1"/>
  <c r="AP2735" i="1" s="1"/>
  <c r="AU2736" i="1"/>
  <c r="AP2736" i="1" s="1"/>
  <c r="AU2737" i="1"/>
  <c r="AP2737" i="1" s="1"/>
  <c r="AU2738" i="1"/>
  <c r="AP2738" i="1" s="1"/>
  <c r="AU2739" i="1"/>
  <c r="AP2739" i="1" s="1"/>
  <c r="AU2740" i="1"/>
  <c r="AP2740" i="1" s="1"/>
  <c r="AU2741" i="1"/>
  <c r="AP2741" i="1" s="1"/>
  <c r="AU2742" i="1"/>
  <c r="AP2742" i="1" s="1"/>
  <c r="AU2743" i="1"/>
  <c r="AP2743" i="1" s="1"/>
  <c r="AU2744" i="1"/>
  <c r="AU2745" i="1"/>
  <c r="AP2745" i="1" s="1"/>
  <c r="AU2746" i="1"/>
  <c r="AP2746" i="1" s="1"/>
  <c r="AU2747" i="1"/>
  <c r="AP2747" i="1" s="1"/>
  <c r="AU2748" i="1"/>
  <c r="AU2749" i="1"/>
  <c r="AP2749" i="1" s="1"/>
  <c r="AU2750" i="1"/>
  <c r="AP2750" i="1" s="1"/>
  <c r="AU2751" i="1"/>
  <c r="AP2751" i="1" s="1"/>
  <c r="AU2752" i="1"/>
  <c r="AU2753" i="1"/>
  <c r="AP2753" i="1" s="1"/>
  <c r="AU2754" i="1"/>
  <c r="AP2754" i="1" s="1"/>
  <c r="AU2755" i="1"/>
  <c r="AU2756" i="1"/>
  <c r="AP2756" i="1" s="1"/>
  <c r="AU2757" i="1"/>
  <c r="AP2757" i="1" s="1"/>
  <c r="AU2758" i="1"/>
  <c r="AP2758" i="1" s="1"/>
  <c r="AU2759" i="1"/>
  <c r="AP2759" i="1" s="1"/>
  <c r="AU2760" i="1"/>
  <c r="AP2760" i="1" s="1"/>
  <c r="AU2761" i="1"/>
  <c r="AU2762" i="1"/>
  <c r="AP2762" i="1" s="1"/>
  <c r="AU2763" i="1"/>
  <c r="AP2763" i="1" s="1"/>
  <c r="AU2764" i="1"/>
  <c r="AU2765" i="1"/>
  <c r="AP2765" i="1" s="1"/>
  <c r="AU2766" i="1"/>
  <c r="AP2766" i="1" s="1"/>
  <c r="AU2767" i="1"/>
  <c r="AU2768" i="1"/>
  <c r="AU2769" i="1"/>
  <c r="AP2769" i="1" s="1"/>
  <c r="AU2770" i="1"/>
  <c r="AP2770" i="1" s="1"/>
  <c r="AU2771" i="1"/>
  <c r="AP2771" i="1" s="1"/>
  <c r="AU2772" i="1"/>
  <c r="AP2772" i="1" s="1"/>
  <c r="AU2773" i="1"/>
  <c r="AP2773" i="1" s="1"/>
  <c r="AU2774" i="1"/>
  <c r="AP2774" i="1" s="1"/>
  <c r="AU2775" i="1"/>
  <c r="AP2775" i="1" s="1"/>
  <c r="AU2776" i="1"/>
  <c r="AU2777" i="1"/>
  <c r="AP2777" i="1" s="1"/>
  <c r="AU2778" i="1"/>
  <c r="AP2778" i="1" s="1"/>
  <c r="AU2779" i="1"/>
  <c r="AP2779" i="1" s="1"/>
  <c r="AU2780" i="1"/>
  <c r="AU2781" i="1"/>
  <c r="AP2781" i="1" s="1"/>
  <c r="AU2782" i="1"/>
  <c r="AP2782" i="1" s="1"/>
  <c r="AU2783" i="1"/>
  <c r="AP2783" i="1" s="1"/>
  <c r="AU2784" i="1"/>
  <c r="AP2784" i="1" s="1"/>
  <c r="AU2785" i="1"/>
  <c r="AP2785" i="1" s="1"/>
  <c r="AU2786" i="1"/>
  <c r="AP2786" i="1" s="1"/>
  <c r="AU2787" i="1"/>
  <c r="AP2787" i="1" s="1"/>
  <c r="AU2788" i="1"/>
  <c r="AP2788" i="1" s="1"/>
  <c r="AU2789" i="1"/>
  <c r="AP2789" i="1" s="1"/>
  <c r="AU2790" i="1"/>
  <c r="AP2790" i="1" s="1"/>
  <c r="AU2791" i="1"/>
  <c r="AP2791" i="1" s="1"/>
  <c r="AU2792" i="1"/>
  <c r="AU2793" i="1"/>
  <c r="AP2793" i="1" s="1"/>
  <c r="AU2794" i="1"/>
  <c r="AP2794" i="1" s="1"/>
  <c r="AU2795" i="1"/>
  <c r="AP2795" i="1" s="1"/>
  <c r="AU2796" i="1"/>
  <c r="AP2796" i="1" s="1"/>
  <c r="AU2797" i="1"/>
  <c r="AP2797" i="1" s="1"/>
  <c r="AU2798" i="1"/>
  <c r="AP2798" i="1" s="1"/>
  <c r="AU2799" i="1"/>
  <c r="AU2800" i="1"/>
  <c r="AP2800" i="1" s="1"/>
  <c r="AU2801" i="1"/>
  <c r="AP2801" i="1" s="1"/>
  <c r="AU2802" i="1"/>
  <c r="AP2802" i="1" s="1"/>
  <c r="AU2803" i="1"/>
  <c r="AP2803" i="1" s="1"/>
  <c r="AU2804" i="1"/>
  <c r="AP2804" i="1" s="1"/>
  <c r="AU2805" i="1"/>
  <c r="AP2805" i="1" s="1"/>
  <c r="AU2806" i="1"/>
  <c r="AP2806" i="1" s="1"/>
  <c r="AU2807" i="1"/>
  <c r="AP2807" i="1" s="1"/>
  <c r="AU2808" i="1"/>
  <c r="AP2808" i="1" s="1"/>
  <c r="AU2809" i="1"/>
  <c r="AP2809" i="1" s="1"/>
  <c r="AU2810" i="1"/>
  <c r="AP2810" i="1" s="1"/>
  <c r="AU2811" i="1"/>
  <c r="AP2811" i="1" s="1"/>
  <c r="AU2812" i="1"/>
  <c r="AP2812" i="1" s="1"/>
  <c r="AU2813" i="1"/>
  <c r="AU2814" i="1"/>
  <c r="AP2814" i="1" s="1"/>
  <c r="AU2815" i="1"/>
  <c r="AP2815" i="1" s="1"/>
  <c r="AU2816" i="1"/>
  <c r="AP2816" i="1" s="1"/>
  <c r="AU2817" i="1"/>
  <c r="AP2817" i="1" s="1"/>
  <c r="AU2818" i="1"/>
  <c r="AP2818" i="1" s="1"/>
  <c r="AU2819" i="1"/>
  <c r="AP2819" i="1" s="1"/>
  <c r="AU2820" i="1"/>
  <c r="AP2820" i="1" s="1"/>
  <c r="AU2821" i="1"/>
  <c r="AP2821" i="1" s="1"/>
  <c r="AU2822" i="1"/>
  <c r="AP2822" i="1" s="1"/>
  <c r="AU2823" i="1"/>
  <c r="AP2823" i="1" s="1"/>
  <c r="AU2824" i="1"/>
  <c r="AU2825" i="1"/>
  <c r="AP2825" i="1" s="1"/>
  <c r="AU2826" i="1"/>
  <c r="AP2826" i="1" s="1"/>
  <c r="AU2827" i="1"/>
  <c r="AP2827" i="1" s="1"/>
  <c r="AU2828" i="1"/>
  <c r="AP2828" i="1" s="1"/>
  <c r="AU2829" i="1"/>
  <c r="AP2829" i="1" s="1"/>
  <c r="AU2830" i="1"/>
  <c r="AP2830" i="1" s="1"/>
  <c r="AU2831" i="1"/>
  <c r="AP2831" i="1" s="1"/>
  <c r="AU2832" i="1"/>
  <c r="AP2832" i="1" s="1"/>
  <c r="AU2833" i="1"/>
  <c r="AP2833" i="1" s="1"/>
  <c r="AU2834" i="1"/>
  <c r="AP2834" i="1" s="1"/>
  <c r="AU2835" i="1"/>
  <c r="AP2835" i="1" s="1"/>
  <c r="AU2836" i="1"/>
  <c r="AP2836" i="1" s="1"/>
  <c r="AU2837" i="1"/>
  <c r="AP2837" i="1" s="1"/>
  <c r="AU2838" i="1"/>
  <c r="AP2838" i="1" s="1"/>
  <c r="AU2839" i="1"/>
  <c r="AP2839" i="1" s="1"/>
  <c r="AU2840" i="1"/>
  <c r="AU2841" i="1"/>
  <c r="AP2841" i="1" s="1"/>
  <c r="AU2842" i="1"/>
  <c r="AP2842" i="1" s="1"/>
  <c r="AU2843" i="1"/>
  <c r="AP2843" i="1" s="1"/>
  <c r="AU2844" i="1"/>
  <c r="AP2844" i="1" s="1"/>
  <c r="AU2845" i="1"/>
  <c r="AP2845" i="1" s="1"/>
  <c r="AU2846" i="1"/>
  <c r="AP2846" i="1" s="1"/>
  <c r="AU2847" i="1"/>
  <c r="AP2847" i="1" s="1"/>
  <c r="AU2848" i="1"/>
  <c r="AP2848" i="1" s="1"/>
  <c r="AU2849" i="1"/>
  <c r="AU2850" i="1"/>
  <c r="AP2850" i="1" s="1"/>
  <c r="AU2851" i="1"/>
  <c r="AP2851" i="1" s="1"/>
  <c r="AU2852" i="1"/>
  <c r="AP2852" i="1" s="1"/>
  <c r="AU2853" i="1"/>
  <c r="AP2853" i="1" s="1"/>
  <c r="AU2854" i="1"/>
  <c r="AP2854" i="1" s="1"/>
  <c r="AU2855" i="1"/>
  <c r="AP2855" i="1" s="1"/>
  <c r="AU2856" i="1"/>
  <c r="AU2857" i="1"/>
  <c r="AP2857" i="1" s="1"/>
  <c r="AU2858" i="1"/>
  <c r="AP2858" i="1" s="1"/>
  <c r="AU2859" i="1"/>
  <c r="AP2859" i="1" s="1"/>
  <c r="AU2860" i="1"/>
  <c r="AP2860" i="1" s="1"/>
  <c r="AU2861" i="1"/>
  <c r="AP2861" i="1" s="1"/>
  <c r="AU2862" i="1"/>
  <c r="AP2862" i="1" s="1"/>
  <c r="AU2863" i="1"/>
  <c r="AP2863" i="1" s="1"/>
  <c r="AU2864" i="1"/>
  <c r="AP2864" i="1" s="1"/>
  <c r="AU2865" i="1"/>
  <c r="AP2865" i="1" s="1"/>
  <c r="AU2866" i="1"/>
  <c r="AP2866" i="1" s="1"/>
  <c r="AU2867" i="1"/>
  <c r="AP2867" i="1" s="1"/>
  <c r="AU2868" i="1"/>
  <c r="AP2868" i="1" s="1"/>
  <c r="AU2869" i="1"/>
  <c r="AP2869" i="1" s="1"/>
  <c r="AU2870" i="1"/>
  <c r="AP2870" i="1" s="1"/>
  <c r="AU2871" i="1"/>
  <c r="AP2871" i="1" s="1"/>
  <c r="AU2872" i="1"/>
  <c r="AP2872" i="1" s="1"/>
  <c r="AU2873" i="1"/>
  <c r="AP2873" i="1" s="1"/>
  <c r="AU2874" i="1"/>
  <c r="AP2874" i="1" s="1"/>
  <c r="AU2875" i="1"/>
  <c r="AP2875" i="1" s="1"/>
  <c r="AU2876" i="1"/>
  <c r="AU2877" i="1"/>
  <c r="AP2877" i="1" s="1"/>
  <c r="AU2878" i="1"/>
  <c r="AP2878" i="1" s="1"/>
  <c r="AU2879" i="1"/>
  <c r="AP2879" i="1" s="1"/>
  <c r="AU2880" i="1"/>
  <c r="AP2880" i="1" s="1"/>
  <c r="AU2881" i="1"/>
  <c r="AP2881" i="1" s="1"/>
  <c r="AU2882" i="1"/>
  <c r="AP2882" i="1" s="1"/>
  <c r="AU2883" i="1"/>
  <c r="AP2883" i="1" s="1"/>
  <c r="AU2884" i="1"/>
  <c r="AP2884" i="1" s="1"/>
  <c r="AU2885" i="1"/>
  <c r="AP2885" i="1" s="1"/>
  <c r="AU2886" i="1"/>
  <c r="AP2886" i="1" s="1"/>
  <c r="AU2887" i="1"/>
  <c r="AP2887" i="1" s="1"/>
  <c r="AU2888" i="1"/>
  <c r="AU2889" i="1"/>
  <c r="AP2889" i="1" s="1"/>
  <c r="AU2890" i="1"/>
  <c r="AP2890" i="1" s="1"/>
  <c r="AU2891" i="1"/>
  <c r="AP2891" i="1" s="1"/>
  <c r="AU2892" i="1"/>
  <c r="AP2892" i="1" s="1"/>
  <c r="AU2893" i="1"/>
  <c r="AP2893" i="1" s="1"/>
  <c r="AU2894" i="1"/>
  <c r="AP2894" i="1" s="1"/>
  <c r="AU2895" i="1"/>
  <c r="AP2895" i="1" s="1"/>
  <c r="AU2896" i="1"/>
  <c r="AP2896" i="1" s="1"/>
  <c r="AU2897" i="1"/>
  <c r="AP2897" i="1" s="1"/>
  <c r="AU2898" i="1"/>
  <c r="AP2898" i="1" s="1"/>
  <c r="AU2899" i="1"/>
  <c r="AP2899" i="1" s="1"/>
  <c r="AU2900" i="1"/>
  <c r="AP2900" i="1" s="1"/>
  <c r="AU2901" i="1"/>
  <c r="AP2901" i="1" s="1"/>
  <c r="AU2902" i="1"/>
  <c r="AP2902" i="1" s="1"/>
  <c r="AU2903" i="1"/>
  <c r="AP2903" i="1" s="1"/>
  <c r="AU2904" i="1"/>
  <c r="AU2905" i="1"/>
  <c r="AP2905" i="1" s="1"/>
  <c r="AU2906" i="1"/>
  <c r="AP2906" i="1" s="1"/>
  <c r="AU2907" i="1"/>
  <c r="AP2907" i="1" s="1"/>
  <c r="AU2908" i="1"/>
  <c r="AP2908" i="1" s="1"/>
  <c r="AU2909" i="1"/>
  <c r="AP2909" i="1" s="1"/>
  <c r="AU2910" i="1"/>
  <c r="AP2910" i="1" s="1"/>
  <c r="AU2911" i="1"/>
  <c r="AP2911" i="1" s="1"/>
  <c r="AU2912" i="1"/>
  <c r="AP2912" i="1" s="1"/>
  <c r="AU2913" i="1"/>
  <c r="AP2913" i="1" s="1"/>
  <c r="AU2914" i="1"/>
  <c r="AP2914" i="1" s="1"/>
  <c r="AU2915" i="1"/>
  <c r="AP2915" i="1" s="1"/>
  <c r="AU2916" i="1"/>
  <c r="AP2916" i="1" s="1"/>
  <c r="AU2917" i="1"/>
  <c r="AP2917" i="1" s="1"/>
  <c r="AU2918" i="1"/>
  <c r="AP2918" i="1" s="1"/>
  <c r="AU2919" i="1"/>
  <c r="AU2920" i="1"/>
  <c r="AP2920" i="1" s="1"/>
  <c r="AU2921" i="1"/>
  <c r="AP2921" i="1" s="1"/>
  <c r="AU2922" i="1"/>
  <c r="AP2922" i="1" s="1"/>
  <c r="AU2923" i="1"/>
  <c r="AP2923" i="1" s="1"/>
  <c r="AU2924" i="1"/>
  <c r="AP2924" i="1" s="1"/>
  <c r="AU2925" i="1"/>
  <c r="AP2925" i="1" s="1"/>
  <c r="AU2926" i="1"/>
  <c r="AP2926" i="1" s="1"/>
  <c r="AP2733" i="1"/>
  <c r="AP2744" i="1"/>
  <c r="AP2748" i="1"/>
  <c r="AP2752" i="1"/>
  <c r="AP2755" i="1"/>
  <c r="AP2761" i="1"/>
  <c r="AP2764" i="1"/>
  <c r="AP2767" i="1"/>
  <c r="AP2768" i="1"/>
  <c r="AP2776" i="1"/>
  <c r="AP2780" i="1"/>
  <c r="AP2792" i="1"/>
  <c r="AP2799" i="1"/>
  <c r="AP2813" i="1"/>
  <c r="AP2824" i="1"/>
  <c r="AP2840" i="1"/>
  <c r="AP2849" i="1"/>
  <c r="AP2856" i="1"/>
  <c r="AP2876" i="1"/>
  <c r="AP2888" i="1"/>
  <c r="AP2904" i="1"/>
  <c r="AP2919"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U2732" i="1"/>
  <c r="W2732" i="1" s="1"/>
  <c r="U2733" i="1"/>
  <c r="W2733" i="1" s="1"/>
  <c r="U2734" i="1"/>
  <c r="W2734" i="1" s="1"/>
  <c r="U2735" i="1"/>
  <c r="W2735" i="1" s="1"/>
  <c r="U2736" i="1"/>
  <c r="W2736" i="1" s="1"/>
  <c r="U2737" i="1"/>
  <c r="W2737" i="1" s="1"/>
  <c r="U2738" i="1"/>
  <c r="W2738" i="1" s="1"/>
  <c r="U2739" i="1"/>
  <c r="W2739" i="1" s="1"/>
  <c r="U2740" i="1"/>
  <c r="W2740" i="1" s="1"/>
  <c r="U2741" i="1"/>
  <c r="W2741" i="1" s="1"/>
  <c r="U2742" i="1"/>
  <c r="W2742" i="1" s="1"/>
  <c r="U2743" i="1"/>
  <c r="W2743" i="1" s="1"/>
  <c r="U2744" i="1"/>
  <c r="W2744" i="1" s="1"/>
  <c r="U2745" i="1"/>
  <c r="W2745" i="1" s="1"/>
  <c r="U2746" i="1"/>
  <c r="W2746" i="1" s="1"/>
  <c r="U2747" i="1"/>
  <c r="W2747" i="1" s="1"/>
  <c r="U2767" i="1"/>
  <c r="W2767" i="1" s="1"/>
  <c r="U2768" i="1"/>
  <c r="W2768" i="1" s="1"/>
  <c r="U2769" i="1"/>
  <c r="W2769" i="1" s="1"/>
  <c r="U2770" i="1"/>
  <c r="W2770" i="1" s="1"/>
  <c r="U2771" i="1"/>
  <c r="W2771" i="1" s="1"/>
  <c r="U2772" i="1"/>
  <c r="W2772" i="1" s="1"/>
  <c r="U2773" i="1"/>
  <c r="W2773" i="1" s="1"/>
  <c r="U2774" i="1"/>
  <c r="W2774" i="1" s="1"/>
  <c r="U2775" i="1"/>
  <c r="W2775" i="1" s="1"/>
  <c r="U2776" i="1"/>
  <c r="W2776" i="1" s="1"/>
  <c r="U2780" i="1"/>
  <c r="W2780" i="1" s="1"/>
  <c r="U2781" i="1"/>
  <c r="W2781" i="1" s="1"/>
  <c r="U2782" i="1"/>
  <c r="W2782" i="1" s="1"/>
  <c r="U2783" i="1"/>
  <c r="W2783" i="1" s="1"/>
  <c r="U2784" i="1"/>
  <c r="W2784" i="1" s="1"/>
  <c r="U2785" i="1"/>
  <c r="W2785" i="1" s="1"/>
  <c r="U2786" i="1"/>
  <c r="W2786" i="1" s="1"/>
  <c r="U2787" i="1"/>
  <c r="W2787" i="1" s="1"/>
  <c r="U2788" i="1"/>
  <c r="W2788" i="1" s="1"/>
  <c r="U2789" i="1"/>
  <c r="W2789" i="1" s="1"/>
  <c r="U2793" i="1"/>
  <c r="W2793" i="1" s="1"/>
  <c r="U2794" i="1"/>
  <c r="W2794" i="1" s="1"/>
  <c r="U2795" i="1"/>
  <c r="W2795" i="1" s="1"/>
  <c r="U2796" i="1"/>
  <c r="W2796" i="1" s="1"/>
  <c r="U2797" i="1"/>
  <c r="W2797" i="1" s="1"/>
  <c r="U2801" i="1"/>
  <c r="W2801" i="1" s="1"/>
  <c r="U2802" i="1"/>
  <c r="W2802" i="1" s="1"/>
  <c r="U2803" i="1"/>
  <c r="W2803" i="1" s="1"/>
  <c r="U2804" i="1"/>
  <c r="W2804" i="1" s="1"/>
  <c r="U2808" i="1"/>
  <c r="W2808" i="1" s="1"/>
  <c r="U2809" i="1"/>
  <c r="W2809" i="1" s="1"/>
  <c r="U2810" i="1"/>
  <c r="W2810" i="1" s="1"/>
  <c r="U2811" i="1"/>
  <c r="W2811" i="1" s="1"/>
  <c r="U2812" i="1"/>
  <c r="W2812" i="1" s="1"/>
  <c r="U2813" i="1"/>
  <c r="W2813" i="1" s="1"/>
  <c r="U2814" i="1"/>
  <c r="W2814" i="1" s="1"/>
  <c r="U2815" i="1"/>
  <c r="W2815" i="1" s="1"/>
  <c r="U2816" i="1"/>
  <c r="W2816" i="1" s="1"/>
  <c r="U2817" i="1"/>
  <c r="W2817" i="1" s="1"/>
  <c r="U2821" i="1"/>
  <c r="W2821" i="1" s="1"/>
  <c r="U2822" i="1"/>
  <c r="W2822" i="1" s="1"/>
  <c r="U2823" i="1"/>
  <c r="W2823" i="1" s="1"/>
  <c r="U2824" i="1"/>
  <c r="W2824" i="1" s="1"/>
  <c r="U2825" i="1"/>
  <c r="W2825" i="1" s="1"/>
  <c r="U2826" i="1"/>
  <c r="W2826" i="1" s="1"/>
  <c r="U2827" i="1"/>
  <c r="W2827" i="1" s="1"/>
  <c r="U2828" i="1"/>
  <c r="W2828" i="1" s="1"/>
  <c r="U2829" i="1"/>
  <c r="W2829" i="1" s="1"/>
  <c r="U2830" i="1"/>
  <c r="W2830" i="1" s="1"/>
  <c r="U2834" i="1"/>
  <c r="W2834" i="1" s="1"/>
  <c r="U2835" i="1"/>
  <c r="W2835" i="1" s="1"/>
  <c r="U2836" i="1"/>
  <c r="W2836" i="1" s="1"/>
  <c r="U2837" i="1"/>
  <c r="W2837" i="1" s="1"/>
  <c r="U2838" i="1"/>
  <c r="W2838" i="1" s="1"/>
  <c r="U2839" i="1"/>
  <c r="W2839" i="1" s="1"/>
  <c r="U2840" i="1"/>
  <c r="W2840" i="1" s="1"/>
  <c r="U2841" i="1"/>
  <c r="W2841" i="1" s="1"/>
  <c r="U2842" i="1"/>
  <c r="W2842" i="1" s="1"/>
  <c r="U2843" i="1"/>
  <c r="W2843" i="1" s="1"/>
  <c r="U2847" i="1"/>
  <c r="W2847" i="1" s="1"/>
  <c r="U2848" i="1"/>
  <c r="W2848" i="1" s="1"/>
  <c r="U2849" i="1"/>
  <c r="W2849" i="1" s="1"/>
  <c r="U2850" i="1"/>
  <c r="W2850" i="1" s="1"/>
  <c r="U2851" i="1"/>
  <c r="W2851" i="1" s="1"/>
  <c r="U2852" i="1"/>
  <c r="W2852" i="1" s="1"/>
  <c r="U2853" i="1"/>
  <c r="W2853" i="1" s="1"/>
  <c r="U2854" i="1"/>
  <c r="W2854" i="1" s="1"/>
  <c r="U2855" i="1"/>
  <c r="W2855" i="1" s="1"/>
  <c r="U2856" i="1"/>
  <c r="W2856" i="1" s="1"/>
  <c r="U2860" i="1"/>
  <c r="W2860" i="1" s="1"/>
  <c r="U2861" i="1"/>
  <c r="W2861" i="1" s="1"/>
  <c r="U2862" i="1"/>
  <c r="W2862" i="1" s="1"/>
  <c r="U2863" i="1"/>
  <c r="W2863" i="1" s="1"/>
  <c r="U2864" i="1"/>
  <c r="W2864" i="1" s="1"/>
  <c r="U2865" i="1"/>
  <c r="W2865" i="1" s="1"/>
  <c r="U2866" i="1"/>
  <c r="W2866" i="1" s="1"/>
  <c r="U2867" i="1"/>
  <c r="W2867" i="1" s="1"/>
  <c r="U2868" i="1"/>
  <c r="W2868" i="1" s="1"/>
  <c r="U2869" i="1"/>
  <c r="W2869" i="1" s="1"/>
  <c r="U2873" i="1"/>
  <c r="W2873" i="1" s="1"/>
  <c r="U2874" i="1"/>
  <c r="W2874" i="1" s="1"/>
  <c r="U2875" i="1"/>
  <c r="W2875" i="1" s="1"/>
  <c r="U2876" i="1"/>
  <c r="W2876" i="1" s="1"/>
  <c r="U2877" i="1"/>
  <c r="W2877" i="1" s="1"/>
  <c r="U2881" i="1"/>
  <c r="W2881" i="1" s="1"/>
  <c r="U2882" i="1"/>
  <c r="W2882" i="1" s="1"/>
  <c r="U2883" i="1"/>
  <c r="W2883" i="1" s="1"/>
  <c r="U2884" i="1"/>
  <c r="W2884" i="1" s="1"/>
  <c r="U2888" i="1"/>
  <c r="W2888" i="1" s="1"/>
  <c r="U2889" i="1"/>
  <c r="W2889" i="1" s="1"/>
  <c r="U2890" i="1"/>
  <c r="W2890" i="1" s="1"/>
  <c r="U2891" i="1"/>
  <c r="W2891" i="1" s="1"/>
  <c r="U2892" i="1"/>
  <c r="W2892" i="1" s="1"/>
  <c r="U2893" i="1"/>
  <c r="W2893" i="1" s="1"/>
  <c r="U2894" i="1"/>
  <c r="W2894" i="1" s="1"/>
  <c r="U2895" i="1"/>
  <c r="W2895" i="1" s="1"/>
  <c r="U2896" i="1"/>
  <c r="W2896" i="1" s="1"/>
  <c r="U2897" i="1"/>
  <c r="W2897" i="1" s="1"/>
  <c r="U2901" i="1"/>
  <c r="W2901" i="1" s="1"/>
  <c r="U2902" i="1"/>
  <c r="W2902" i="1" s="1"/>
  <c r="U2903" i="1"/>
  <c r="W2903" i="1" s="1"/>
  <c r="U2904" i="1"/>
  <c r="W2904" i="1" s="1"/>
  <c r="U2905" i="1"/>
  <c r="W2905" i="1" s="1"/>
  <c r="U2906" i="1"/>
  <c r="W2906" i="1" s="1"/>
  <c r="U2907" i="1"/>
  <c r="W2907" i="1" s="1"/>
  <c r="U2908" i="1"/>
  <c r="W2908" i="1" s="1"/>
  <c r="U2909" i="1"/>
  <c r="W2909" i="1" s="1"/>
  <c r="U2910" i="1"/>
  <c r="W2910" i="1" s="1"/>
  <c r="U2914" i="1"/>
  <c r="W2914" i="1" s="1"/>
  <c r="U2915" i="1"/>
  <c r="W2915" i="1" s="1"/>
  <c r="U2916" i="1"/>
  <c r="W2916" i="1" s="1"/>
  <c r="U2917" i="1"/>
  <c r="W2917" i="1" s="1"/>
  <c r="U2918" i="1"/>
  <c r="W2918" i="1" s="1"/>
  <c r="U2919" i="1"/>
  <c r="W2919" i="1" s="1"/>
  <c r="U2920" i="1"/>
  <c r="W2920" i="1" s="1"/>
  <c r="U2921" i="1"/>
  <c r="W2921" i="1" s="1"/>
  <c r="U2922" i="1"/>
  <c r="W2922" i="1" s="1"/>
  <c r="U2923" i="1"/>
  <c r="W2923" i="1" s="1"/>
  <c r="S2732" i="1"/>
  <c r="AQ2732" i="1" s="1"/>
  <c r="AL2732" i="1" s="1"/>
  <c r="S2733" i="1"/>
  <c r="AS2733" i="1" s="1"/>
  <c r="AN2733" i="1" s="1"/>
  <c r="S2734" i="1"/>
  <c r="AQ2734" i="1" s="1"/>
  <c r="AL2734" i="1" s="1"/>
  <c r="S2735" i="1"/>
  <c r="AR2735" i="1" s="1"/>
  <c r="AM2735" i="1" s="1"/>
  <c r="S2736" i="1"/>
  <c r="AR2736" i="1" s="1"/>
  <c r="AM2736" i="1" s="1"/>
  <c r="S2737" i="1"/>
  <c r="AT2737" i="1" s="1"/>
  <c r="AO2737" i="1" s="1"/>
  <c r="S2738" i="1"/>
  <c r="AQ2738" i="1" s="1"/>
  <c r="AL2738" i="1" s="1"/>
  <c r="S2739" i="1"/>
  <c r="AR2739" i="1" s="1"/>
  <c r="AM2739" i="1" s="1"/>
  <c r="S2740" i="1"/>
  <c r="AT2740" i="1" s="1"/>
  <c r="AO2740" i="1" s="1"/>
  <c r="S2741" i="1"/>
  <c r="S2742" i="1"/>
  <c r="AS2742" i="1" s="1"/>
  <c r="AN2742" i="1" s="1"/>
  <c r="S2743" i="1"/>
  <c r="AQ2743" i="1" s="1"/>
  <c r="AL2743" i="1" s="1"/>
  <c r="S2744" i="1"/>
  <c r="AS2744" i="1" s="1"/>
  <c r="AN2744" i="1" s="1"/>
  <c r="S2745" i="1"/>
  <c r="AT2745" i="1" s="1"/>
  <c r="AO2745" i="1" s="1"/>
  <c r="S2746" i="1"/>
  <c r="AR2746" i="1" s="1"/>
  <c r="AM2746" i="1" s="1"/>
  <c r="S2747" i="1"/>
  <c r="S2752" i="1"/>
  <c r="AS2752" i="1" s="1"/>
  <c r="AN2752" i="1" s="1"/>
  <c r="S2753" i="1"/>
  <c r="AT2753" i="1" s="1"/>
  <c r="AO2753" i="1" s="1"/>
  <c r="S2754" i="1"/>
  <c r="AS2754" i="1" s="1"/>
  <c r="AN2754" i="1" s="1"/>
  <c r="S2756" i="1"/>
  <c r="U2756" i="1" s="1"/>
  <c r="W2756" i="1" s="1"/>
  <c r="S2757" i="1"/>
  <c r="AR2757" i="1" s="1"/>
  <c r="AM2757" i="1" s="1"/>
  <c r="S2758" i="1"/>
  <c r="AS2758" i="1" s="1"/>
  <c r="AN2758" i="1" s="1"/>
  <c r="S2759" i="1"/>
  <c r="AQ2759" i="1" s="1"/>
  <c r="AL2759" i="1" s="1"/>
  <c r="S2760" i="1"/>
  <c r="AT2760" i="1" s="1"/>
  <c r="AO2760" i="1" s="1"/>
  <c r="S2763" i="1"/>
  <c r="U2763" i="1" s="1"/>
  <c r="W2763" i="1" s="1"/>
  <c r="S2764" i="1"/>
  <c r="AQ2764" i="1" s="1"/>
  <c r="AL2764" i="1" s="1"/>
  <c r="S2768" i="1"/>
  <c r="AR2768" i="1" s="1"/>
  <c r="AM2768" i="1" s="1"/>
  <c r="S2769" i="1"/>
  <c r="AT2769" i="1" s="1"/>
  <c r="AO2769" i="1" s="1"/>
  <c r="S2772" i="1"/>
  <c r="AT2772" i="1" s="1"/>
  <c r="AO2772" i="1" s="1"/>
  <c r="S2773" i="1"/>
  <c r="S2775" i="1"/>
  <c r="AQ2775" i="1" s="1"/>
  <c r="AL2775" i="1" s="1"/>
  <c r="S2777" i="1"/>
  <c r="AT2777" i="1" s="1"/>
  <c r="AO2777" i="1" s="1"/>
  <c r="S2778" i="1"/>
  <c r="AR2778" i="1" s="1"/>
  <c r="AM2778" i="1" s="1"/>
  <c r="S2779" i="1"/>
  <c r="AT2779" i="1" s="1"/>
  <c r="AO2779" i="1" s="1"/>
  <c r="S2786" i="1"/>
  <c r="AS2786" i="1" s="1"/>
  <c r="AN2786" i="1" s="1"/>
  <c r="S2787" i="1"/>
  <c r="AR2787" i="1" s="1"/>
  <c r="AM2787" i="1" s="1"/>
  <c r="S2788" i="1"/>
  <c r="AQ2788" i="1" s="1"/>
  <c r="AL2788" i="1" s="1"/>
  <c r="S2790" i="1"/>
  <c r="AS2790" i="1" s="1"/>
  <c r="AN2790" i="1" s="1"/>
  <c r="S2791" i="1"/>
  <c r="AQ2791" i="1" s="1"/>
  <c r="AL2791" i="1" s="1"/>
  <c r="S2792" i="1"/>
  <c r="AS2792" i="1" s="1"/>
  <c r="AN2792" i="1" s="1"/>
  <c r="S2793" i="1"/>
  <c r="AT2793" i="1" s="1"/>
  <c r="AO2793" i="1" s="1"/>
  <c r="S2797" i="1"/>
  <c r="AS2797" i="1" s="1"/>
  <c r="AN2797" i="1" s="1"/>
  <c r="S2798" i="1"/>
  <c r="S2802" i="1"/>
  <c r="AS2802" i="1" s="1"/>
  <c r="AN2802" i="1" s="1"/>
  <c r="S2803" i="1"/>
  <c r="AR2803" i="1" s="1"/>
  <c r="AM2803" i="1" s="1"/>
  <c r="S2805" i="1"/>
  <c r="S2806" i="1"/>
  <c r="AS2806" i="1" s="1"/>
  <c r="AN2806" i="1" s="1"/>
  <c r="S2807" i="1"/>
  <c r="AQ2807" i="1" s="1"/>
  <c r="AL2807" i="1" s="1"/>
  <c r="S2808" i="1"/>
  <c r="AS2808" i="1" s="1"/>
  <c r="AN2808" i="1" s="1"/>
  <c r="S2809" i="1"/>
  <c r="AT2809" i="1" s="1"/>
  <c r="AO2809" i="1" s="1"/>
  <c r="S2810" i="1"/>
  <c r="AR2810" i="1" s="1"/>
  <c r="AM2810" i="1" s="1"/>
  <c r="S2813" i="1"/>
  <c r="AS2813" i="1" s="1"/>
  <c r="AN2813" i="1" s="1"/>
  <c r="S2814" i="1"/>
  <c r="AR2814" i="1" s="1"/>
  <c r="AM2814" i="1" s="1"/>
  <c r="S2818" i="1"/>
  <c r="AS2818" i="1" s="1"/>
  <c r="AN2818" i="1" s="1"/>
  <c r="S2819" i="1"/>
  <c r="AR2819" i="1" s="1"/>
  <c r="AM2819" i="1" s="1"/>
  <c r="S2820" i="1"/>
  <c r="AR2820" i="1" s="1"/>
  <c r="AM2820" i="1" s="1"/>
  <c r="S2821" i="1"/>
  <c r="S2823" i="1"/>
  <c r="AQ2823" i="1" s="1"/>
  <c r="AL2823" i="1" s="1"/>
  <c r="S2824" i="1"/>
  <c r="AT2824" i="1" s="1"/>
  <c r="AO2824" i="1" s="1"/>
  <c r="S2825" i="1"/>
  <c r="AT2825" i="1" s="1"/>
  <c r="AO2825" i="1" s="1"/>
  <c r="S2826" i="1"/>
  <c r="AR2826" i="1" s="1"/>
  <c r="AM2826" i="1" s="1"/>
  <c r="S2830" i="1"/>
  <c r="AQ2830" i="1" s="1"/>
  <c r="AL2830" i="1" s="1"/>
  <c r="S2832" i="1"/>
  <c r="S2833" i="1"/>
  <c r="AT2833" i="1" s="1"/>
  <c r="AO2833" i="1" s="1"/>
  <c r="S2836" i="1"/>
  <c r="AQ2836" i="1" s="1"/>
  <c r="AL2836" i="1" s="1"/>
  <c r="S2837" i="1"/>
  <c r="AR2837" i="1" s="1"/>
  <c r="AM2837" i="1" s="1"/>
  <c r="S2838" i="1"/>
  <c r="AS2838" i="1" s="1"/>
  <c r="AN2838" i="1" s="1"/>
  <c r="S2839" i="1"/>
  <c r="AQ2839" i="1" s="1"/>
  <c r="AL2839" i="1" s="1"/>
  <c r="S2841" i="1"/>
  <c r="AT2841" i="1" s="1"/>
  <c r="AO2841" i="1" s="1"/>
  <c r="S2842" i="1"/>
  <c r="AR2842" i="1" s="1"/>
  <c r="AM2842" i="1" s="1"/>
  <c r="S2843" i="1"/>
  <c r="AQ2843" i="1" s="1"/>
  <c r="AL2843" i="1" s="1"/>
  <c r="S2848" i="1"/>
  <c r="AS2848" i="1" s="1"/>
  <c r="AN2848" i="1" s="1"/>
  <c r="S2849" i="1"/>
  <c r="AT2849" i="1" s="1"/>
  <c r="AO2849" i="1" s="1"/>
  <c r="S2850" i="1"/>
  <c r="AS2850" i="1" s="1"/>
  <c r="AN2850" i="1" s="1"/>
  <c r="S2852" i="1"/>
  <c r="AS2852" i="1" s="1"/>
  <c r="AN2852" i="1" s="1"/>
  <c r="S2853" i="1"/>
  <c r="S2854" i="1"/>
  <c r="AS2854" i="1" s="1"/>
  <c r="AN2854" i="1" s="1"/>
  <c r="S2855" i="1"/>
  <c r="AQ2855" i="1" s="1"/>
  <c r="AL2855" i="1" s="1"/>
  <c r="S2858" i="1"/>
  <c r="AR2858" i="1" s="1"/>
  <c r="AM2858" i="1" s="1"/>
  <c r="S2859" i="1"/>
  <c r="AT2859" i="1" s="1"/>
  <c r="AO2859" i="1" s="1"/>
  <c r="S2860" i="1"/>
  <c r="AQ2860" i="1" s="1"/>
  <c r="AL2860" i="1" s="1"/>
  <c r="S2861" i="1"/>
  <c r="AS2861" i="1" s="1"/>
  <c r="AN2861" i="1" s="1"/>
  <c r="S2864" i="1"/>
  <c r="AR2864" i="1" s="1"/>
  <c r="AM2864" i="1" s="1"/>
  <c r="S2865" i="1"/>
  <c r="AT2865" i="1" s="1"/>
  <c r="AO2865" i="1" s="1"/>
  <c r="S2867" i="1"/>
  <c r="AR2867" i="1" s="1"/>
  <c r="AM2867" i="1" s="1"/>
  <c r="S2868" i="1"/>
  <c r="AR2868" i="1" s="1"/>
  <c r="AM2868" i="1" s="1"/>
  <c r="S2869" i="1"/>
  <c r="AS2869" i="1" s="1"/>
  <c r="AN2869" i="1" s="1"/>
  <c r="S2871" i="1"/>
  <c r="AQ2871" i="1" s="1"/>
  <c r="AL2871" i="1" s="1"/>
  <c r="S2873" i="1"/>
  <c r="AT2873" i="1" s="1"/>
  <c r="AO2873" i="1" s="1"/>
  <c r="S2874" i="1"/>
  <c r="AR2874" i="1" s="1"/>
  <c r="AM2874" i="1" s="1"/>
  <c r="S2878" i="1"/>
  <c r="AR2878" i="1" s="1"/>
  <c r="AM2878" i="1" s="1"/>
  <c r="S2880" i="1"/>
  <c r="S2883" i="1"/>
  <c r="AR2883" i="1" s="1"/>
  <c r="AM2883" i="1" s="1"/>
  <c r="S2884" i="1"/>
  <c r="AT2884" i="1" s="1"/>
  <c r="AO2884" i="1" s="1"/>
  <c r="S2885" i="1"/>
  <c r="AS2885" i="1" s="1"/>
  <c r="AN2885" i="1" s="1"/>
  <c r="S2886" i="1"/>
  <c r="AS2886" i="1" s="1"/>
  <c r="AN2886" i="1" s="1"/>
  <c r="S2887" i="1"/>
  <c r="AQ2887" i="1" s="1"/>
  <c r="AL2887" i="1" s="1"/>
  <c r="S2890" i="1"/>
  <c r="AR2890" i="1" s="1"/>
  <c r="AM2890" i="1" s="1"/>
  <c r="S2891" i="1"/>
  <c r="AT2891" i="1" s="1"/>
  <c r="AO2891" i="1" s="1"/>
  <c r="S2896" i="1"/>
  <c r="AS2896" i="1" s="1"/>
  <c r="AN2896" i="1" s="1"/>
  <c r="S2897" i="1"/>
  <c r="AT2897" i="1" s="1"/>
  <c r="AO2897" i="1" s="1"/>
  <c r="S2900" i="1"/>
  <c r="AS2900" i="1" s="1"/>
  <c r="AN2900" i="1" s="1"/>
  <c r="S2901" i="1"/>
  <c r="AR2901" i="1" s="1"/>
  <c r="AM2901" i="1" s="1"/>
  <c r="S2902" i="1"/>
  <c r="AS2902" i="1" s="1"/>
  <c r="AN2902" i="1" s="1"/>
  <c r="S2903" i="1"/>
  <c r="AQ2903" i="1" s="1"/>
  <c r="AL2903" i="1" s="1"/>
  <c r="S2907" i="1"/>
  <c r="S2908" i="1"/>
  <c r="AQ2908" i="1" s="1"/>
  <c r="AL2908" i="1" s="1"/>
  <c r="S2912" i="1"/>
  <c r="AR2912" i="1" s="1"/>
  <c r="AM2912" i="1" s="1"/>
  <c r="S2913" i="1"/>
  <c r="AT2913" i="1" s="1"/>
  <c r="AO2913" i="1" s="1"/>
  <c r="S2914" i="1"/>
  <c r="AS2914" i="1" s="1"/>
  <c r="AN2914" i="1" s="1"/>
  <c r="S2915" i="1"/>
  <c r="AR2915" i="1" s="1"/>
  <c r="AM2915" i="1" s="1"/>
  <c r="S2917" i="1"/>
  <c r="AS2917" i="1" s="1"/>
  <c r="AN2917" i="1" s="1"/>
  <c r="S2918" i="1"/>
  <c r="AS2918" i="1" s="1"/>
  <c r="AN2918" i="1" s="1"/>
  <c r="S2919" i="1"/>
  <c r="AQ2919" i="1" s="1"/>
  <c r="AL2919" i="1" s="1"/>
  <c r="S2923" i="1"/>
  <c r="AT2923" i="1" s="1"/>
  <c r="AO2923" i="1" s="1"/>
  <c r="S2924" i="1"/>
  <c r="AQ2924" i="1" s="1"/>
  <c r="AL2924" i="1" s="1"/>
  <c r="S2925" i="1"/>
  <c r="AS2925" i="1" s="1"/>
  <c r="AN2925" i="1" s="1"/>
  <c r="S2926" i="1"/>
  <c r="AR2926" i="1" s="1"/>
  <c r="AM2926" i="1" s="1"/>
  <c r="AK2731" i="1"/>
  <c r="AJ2731" i="1"/>
  <c r="AK2730" i="1"/>
  <c r="AK2729" i="1"/>
  <c r="AJ2729" i="1"/>
  <c r="AK2728" i="1"/>
  <c r="AJ2728" i="1"/>
  <c r="AK2727" i="1"/>
  <c r="AJ2727" i="1"/>
  <c r="AK2726" i="1"/>
  <c r="AJ2726" i="1"/>
  <c r="AK2725" i="1"/>
  <c r="AJ2725" i="1"/>
  <c r="AK2724" i="1"/>
  <c r="AJ2724" i="1"/>
  <c r="AK2723" i="1"/>
  <c r="S2723" i="1" s="1"/>
  <c r="AJ2723" i="1"/>
  <c r="AK2722" i="1"/>
  <c r="AJ2722" i="1"/>
  <c r="AK2721" i="1"/>
  <c r="AJ2721" i="1"/>
  <c r="AK2720" i="1"/>
  <c r="AJ2720" i="1"/>
  <c r="AK2719" i="1"/>
  <c r="AJ2719" i="1"/>
  <c r="AK2718" i="1"/>
  <c r="AJ2718" i="1"/>
  <c r="AK2717" i="1"/>
  <c r="AK2716" i="1"/>
  <c r="AJ2716" i="1"/>
  <c r="AK2715" i="1"/>
  <c r="AJ2715" i="1"/>
  <c r="S2715" i="1" s="1"/>
  <c r="AR2715" i="1" s="1"/>
  <c r="AM2715" i="1" s="1"/>
  <c r="AK2714" i="1"/>
  <c r="AJ2714" i="1"/>
  <c r="AK2713" i="1"/>
  <c r="AJ2713" i="1"/>
  <c r="AK2712" i="1"/>
  <c r="AJ2712" i="1"/>
  <c r="AK2711" i="1"/>
  <c r="AJ2711" i="1"/>
  <c r="AK2710" i="1"/>
  <c r="AJ2710" i="1"/>
  <c r="AK2709" i="1"/>
  <c r="AJ2709" i="1"/>
  <c r="AK2708" i="1"/>
  <c r="AJ2708" i="1"/>
  <c r="AK2707" i="1"/>
  <c r="AJ2707" i="1"/>
  <c r="S2707" i="1" s="1"/>
  <c r="AT2707" i="1" s="1"/>
  <c r="AO2707" i="1" s="1"/>
  <c r="AK2706" i="1"/>
  <c r="AJ2706" i="1"/>
  <c r="AK2705" i="1"/>
  <c r="AJ2705" i="1"/>
  <c r="AK2704" i="1"/>
  <c r="AK2703" i="1"/>
  <c r="AJ2703" i="1"/>
  <c r="AK2702" i="1"/>
  <c r="AJ2702" i="1"/>
  <c r="AK2701" i="1"/>
  <c r="AJ2701" i="1"/>
  <c r="AK2700" i="1"/>
  <c r="AJ2700" i="1"/>
  <c r="AK2699" i="1"/>
  <c r="AJ2699" i="1"/>
  <c r="S2699" i="1" s="1"/>
  <c r="AR2699" i="1" s="1"/>
  <c r="AM2699" i="1" s="1"/>
  <c r="AK2698" i="1"/>
  <c r="S2698" i="1" s="1"/>
  <c r="AJ2698" i="1"/>
  <c r="AK2697" i="1"/>
  <c r="AJ2697" i="1"/>
  <c r="AK2696" i="1"/>
  <c r="AJ2696" i="1"/>
  <c r="AK2695" i="1"/>
  <c r="AJ2695" i="1"/>
  <c r="AK2694" i="1"/>
  <c r="AJ2694" i="1"/>
  <c r="AK2693" i="1"/>
  <c r="AJ2693" i="1"/>
  <c r="AK2692" i="1"/>
  <c r="AJ2692" i="1"/>
  <c r="AK2691" i="1"/>
  <c r="AK2690" i="1"/>
  <c r="AJ2690" i="1"/>
  <c r="S2690" i="1" s="1"/>
  <c r="AK2689" i="1"/>
  <c r="AJ2689" i="1"/>
  <c r="AK2688" i="1"/>
  <c r="AJ2688" i="1"/>
  <c r="AK2687" i="1"/>
  <c r="AJ2687" i="1"/>
  <c r="AK2686" i="1"/>
  <c r="AJ2686" i="1"/>
  <c r="AK2685" i="1"/>
  <c r="AJ2685" i="1"/>
  <c r="AK2684" i="1"/>
  <c r="AK2683" i="1"/>
  <c r="AJ2683" i="1"/>
  <c r="AK2682" i="1"/>
  <c r="AJ2682" i="1"/>
  <c r="S2682" i="1" s="1"/>
  <c r="AK2681" i="1"/>
  <c r="S2681" i="1" s="1"/>
  <c r="AR2681" i="1" s="1"/>
  <c r="AM2681" i="1" s="1"/>
  <c r="AJ2681" i="1"/>
  <c r="AK2680" i="1"/>
  <c r="AJ2680" i="1"/>
  <c r="AK2679" i="1"/>
  <c r="AJ2679" i="1"/>
  <c r="AK2678" i="1"/>
  <c r="AJ2678" i="1"/>
  <c r="AK2677" i="1"/>
  <c r="AJ2677" i="1"/>
  <c r="AK2676" i="1"/>
  <c r="AK2675" i="1"/>
  <c r="AJ2675" i="1"/>
  <c r="AK2674" i="1"/>
  <c r="AJ2674" i="1"/>
  <c r="AK2673" i="1"/>
  <c r="AJ2673" i="1"/>
  <c r="S2673" i="1" s="1"/>
  <c r="AT2673" i="1" s="1"/>
  <c r="AO2673" i="1" s="1"/>
  <c r="AK2672" i="1"/>
  <c r="AJ2672" i="1"/>
  <c r="AK2671" i="1"/>
  <c r="AJ2671" i="1"/>
  <c r="AK2670" i="1"/>
  <c r="AJ2670" i="1"/>
  <c r="AK2669" i="1"/>
  <c r="AJ2669" i="1"/>
  <c r="AK2668" i="1"/>
  <c r="AJ2668" i="1"/>
  <c r="AK2667" i="1"/>
  <c r="AJ2667" i="1"/>
  <c r="AK2666" i="1"/>
  <c r="AJ2666" i="1"/>
  <c r="AK2665" i="1"/>
  <c r="AJ2665" i="1"/>
  <c r="S2665" i="1" s="1"/>
  <c r="AR2665" i="1" s="1"/>
  <c r="AM2665" i="1" s="1"/>
  <c r="AK2664" i="1"/>
  <c r="AJ2664" i="1"/>
  <c r="AK2663" i="1"/>
  <c r="AK2662" i="1"/>
  <c r="AJ2662" i="1"/>
  <c r="AK2661" i="1"/>
  <c r="AJ2661" i="1"/>
  <c r="AK2660" i="1"/>
  <c r="AJ2660" i="1"/>
  <c r="AK2659" i="1"/>
  <c r="AJ2659" i="1"/>
  <c r="AK2658" i="1"/>
  <c r="AJ2658" i="1"/>
  <c r="AK2657" i="1"/>
  <c r="AJ2657" i="1"/>
  <c r="S2657" i="1" s="1"/>
  <c r="AT2657" i="1" s="1"/>
  <c r="AO2657" i="1" s="1"/>
  <c r="AK2656" i="1"/>
  <c r="S2656" i="1" s="1"/>
  <c r="AQ2656" i="1" s="1"/>
  <c r="AL2656" i="1" s="1"/>
  <c r="AJ2656" i="1"/>
  <c r="AK2655" i="1"/>
  <c r="AJ2655" i="1"/>
  <c r="AK2654" i="1"/>
  <c r="AJ2654" i="1"/>
  <c r="AK2653" i="1"/>
  <c r="AJ2653" i="1"/>
  <c r="AK2652" i="1"/>
  <c r="AJ2652" i="1"/>
  <c r="AK2651" i="1"/>
  <c r="AJ2651" i="1"/>
  <c r="AK2650" i="1"/>
  <c r="AK2649" i="1"/>
  <c r="AJ2649" i="1"/>
  <c r="AK2648" i="1"/>
  <c r="AJ2648" i="1"/>
  <c r="S2648" i="1" s="1"/>
  <c r="AS2648" i="1" s="1"/>
  <c r="AN2648" i="1" s="1"/>
  <c r="AK2647" i="1"/>
  <c r="AJ2647" i="1"/>
  <c r="AK2646" i="1"/>
  <c r="AJ2646" i="1"/>
  <c r="AK2645" i="1"/>
  <c r="AJ2645" i="1"/>
  <c r="AK2644" i="1"/>
  <c r="AJ2644" i="1"/>
  <c r="AK2643" i="1"/>
  <c r="AJ2643" i="1"/>
  <c r="AK2642" i="1"/>
  <c r="AJ2642" i="1"/>
  <c r="AK2641" i="1"/>
  <c r="AJ2641" i="1"/>
  <c r="AK2640" i="1"/>
  <c r="AJ2640" i="1"/>
  <c r="S2640" i="1" s="1"/>
  <c r="AQ2640" i="1" s="1"/>
  <c r="AL2640" i="1" s="1"/>
  <c r="AK2639" i="1"/>
  <c r="AJ2639" i="1"/>
  <c r="AK2638" i="1"/>
  <c r="AJ2638" i="1"/>
  <c r="AK2637" i="1"/>
  <c r="AK2636" i="1"/>
  <c r="AJ2636" i="1"/>
  <c r="AK2635" i="1"/>
  <c r="AJ2635" i="1"/>
  <c r="AK2634" i="1"/>
  <c r="AJ2634" i="1"/>
  <c r="AK2633" i="1"/>
  <c r="AJ2633" i="1"/>
  <c r="AK2632" i="1"/>
  <c r="AJ2632" i="1"/>
  <c r="S2632" i="1" s="1"/>
  <c r="AS2632" i="1" s="1"/>
  <c r="AN2632" i="1" s="1"/>
  <c r="AK2631" i="1"/>
  <c r="S2631" i="1" s="1"/>
  <c r="AS2631" i="1" s="1"/>
  <c r="AN2631" i="1" s="1"/>
  <c r="AJ2631" i="1"/>
  <c r="AK2630" i="1"/>
  <c r="AJ2630" i="1"/>
  <c r="AK2629" i="1"/>
  <c r="AJ2629" i="1"/>
  <c r="AK2628" i="1"/>
  <c r="AJ2628" i="1"/>
  <c r="AK2627" i="1"/>
  <c r="AJ2627" i="1"/>
  <c r="AK2626" i="1"/>
  <c r="AJ2626" i="1"/>
  <c r="AK2625" i="1"/>
  <c r="AJ2625" i="1"/>
  <c r="AK2624" i="1"/>
  <c r="AK2623" i="1"/>
  <c r="AJ2623" i="1"/>
  <c r="S2623" i="1" s="1"/>
  <c r="AQ2623" i="1" s="1"/>
  <c r="AL2623" i="1" s="1"/>
  <c r="AK2622" i="1"/>
  <c r="AJ2622" i="1"/>
  <c r="AK2621" i="1"/>
  <c r="AJ2621" i="1"/>
  <c r="AK2620" i="1"/>
  <c r="AJ2620" i="1"/>
  <c r="AK2619" i="1"/>
  <c r="AJ2619" i="1"/>
  <c r="AK2618" i="1"/>
  <c r="AJ2618" i="1"/>
  <c r="AK2617" i="1"/>
  <c r="AJ2617" i="1"/>
  <c r="AK2616" i="1"/>
  <c r="AJ2616" i="1"/>
  <c r="AK2615" i="1"/>
  <c r="AJ2615" i="1"/>
  <c r="S2615" i="1" s="1"/>
  <c r="AS2615" i="1" s="1"/>
  <c r="AN2615" i="1" s="1"/>
  <c r="AK2614" i="1"/>
  <c r="AJ2614" i="1"/>
  <c r="AK2613" i="1"/>
  <c r="AJ2613" i="1"/>
  <c r="AK2612" i="1"/>
  <c r="AK2611" i="1"/>
  <c r="AJ2611" i="1"/>
  <c r="AK2610" i="1"/>
  <c r="AJ2610" i="1"/>
  <c r="AK2609" i="1"/>
  <c r="AJ2609" i="1"/>
  <c r="AK2608" i="1"/>
  <c r="AJ2608" i="1"/>
  <c r="AK2607" i="1"/>
  <c r="AJ2607" i="1"/>
  <c r="S2607" i="1" s="1"/>
  <c r="AK2606" i="1"/>
  <c r="S2606" i="1" s="1"/>
  <c r="AT2606" i="1" s="1"/>
  <c r="AO2606" i="1" s="1"/>
  <c r="AJ2606" i="1"/>
  <c r="AK2605" i="1"/>
  <c r="AK2604" i="1"/>
  <c r="AJ2604" i="1"/>
  <c r="AK2603" i="1"/>
  <c r="AJ2603" i="1"/>
  <c r="AK2602" i="1"/>
  <c r="AJ2602" i="1"/>
  <c r="AK2601" i="1"/>
  <c r="AJ2601" i="1"/>
  <c r="AK2600" i="1"/>
  <c r="AJ2600" i="1"/>
  <c r="AK2599" i="1"/>
  <c r="AJ2599" i="1"/>
  <c r="AK2598" i="1"/>
  <c r="AJ2598" i="1"/>
  <c r="S2598" i="1" s="1"/>
  <c r="AK2597" i="1"/>
  <c r="AK2596" i="1"/>
  <c r="AJ2596" i="1"/>
  <c r="AK2595" i="1"/>
  <c r="AJ2595" i="1"/>
  <c r="AK2594" i="1"/>
  <c r="AJ2594" i="1"/>
  <c r="AK2593" i="1"/>
  <c r="AJ2593" i="1"/>
  <c r="AK2592" i="1"/>
  <c r="AJ2592" i="1"/>
  <c r="AK2591" i="1"/>
  <c r="AJ2591" i="1"/>
  <c r="AK2590" i="1"/>
  <c r="AJ2590" i="1"/>
  <c r="S2590" i="1" s="1"/>
  <c r="AK2589" i="1"/>
  <c r="S2589" i="1" s="1"/>
  <c r="AQ2589" i="1" s="1"/>
  <c r="AL2589" i="1" s="1"/>
  <c r="AJ2589" i="1"/>
  <c r="AK2588" i="1"/>
  <c r="AJ2588" i="1"/>
  <c r="AK2587" i="1"/>
  <c r="AJ2587" i="1"/>
  <c r="AK2586" i="1"/>
  <c r="AJ2586" i="1"/>
  <c r="AK2585" i="1"/>
  <c r="AJ2585" i="1"/>
  <c r="AK2584" i="1"/>
  <c r="AK2583" i="1"/>
  <c r="AJ2583" i="1"/>
  <c r="AK2582" i="1"/>
  <c r="AJ2582" i="1"/>
  <c r="S2582" i="1" s="1"/>
  <c r="AR2582" i="1" s="1"/>
  <c r="AM2582" i="1" s="1"/>
  <c r="AK2581" i="1"/>
  <c r="AJ2581" i="1"/>
  <c r="S2581" i="1" s="1"/>
  <c r="AS2581" i="1" s="1"/>
  <c r="AN2581" i="1" s="1"/>
  <c r="AK2580" i="1"/>
  <c r="AJ2580" i="1"/>
  <c r="AK2579" i="1"/>
  <c r="AJ2579" i="1"/>
  <c r="AK2578" i="1"/>
  <c r="AJ2578" i="1"/>
  <c r="AK2577" i="1"/>
  <c r="AJ2577" i="1"/>
  <c r="AK2576" i="1"/>
  <c r="AJ2576" i="1"/>
  <c r="AK2575" i="1"/>
  <c r="AJ2575" i="1"/>
  <c r="AK2574" i="1"/>
  <c r="AJ2574" i="1"/>
  <c r="S2574" i="1" s="1"/>
  <c r="AT2574" i="1" s="1"/>
  <c r="AO2574" i="1" s="1"/>
  <c r="AK2573" i="1"/>
  <c r="AJ2573" i="1"/>
  <c r="S2573" i="1" s="1"/>
  <c r="AQ2573" i="1" s="1"/>
  <c r="AL2573" i="1" s="1"/>
  <c r="AK2572" i="1"/>
  <c r="AJ2572" i="1"/>
  <c r="AK2571" i="1"/>
  <c r="AJ2571" i="1"/>
  <c r="AK2570" i="1"/>
  <c r="AJ2570" i="1"/>
  <c r="AK2569" i="1"/>
  <c r="AJ2569" i="1"/>
  <c r="AK2568" i="1"/>
  <c r="AJ2568" i="1"/>
  <c r="AK2567" i="1"/>
  <c r="AJ2567" i="1"/>
  <c r="S2567" i="1" s="1"/>
  <c r="AS2567" i="1" s="1"/>
  <c r="AN2567" i="1" s="1"/>
  <c r="AK2566" i="1"/>
  <c r="AJ2566" i="1"/>
  <c r="S2566" i="1" s="1"/>
  <c r="AT2566" i="1" s="1"/>
  <c r="AO2566" i="1" s="1"/>
  <c r="AK2565" i="1"/>
  <c r="S2565" i="1" s="1"/>
  <c r="AS2565" i="1" s="1"/>
  <c r="AN2565" i="1" s="1"/>
  <c r="AK2564" i="1"/>
  <c r="AJ2564" i="1"/>
  <c r="AK2563" i="1"/>
  <c r="AJ2563" i="1"/>
  <c r="AK2562" i="1"/>
  <c r="AJ2562" i="1"/>
  <c r="AK2561" i="1"/>
  <c r="AJ2561" i="1"/>
  <c r="AK2560" i="1"/>
  <c r="AJ2560" i="1"/>
  <c r="AK2559" i="1"/>
  <c r="AJ2559" i="1"/>
  <c r="AK2558" i="1"/>
  <c r="AJ2558" i="1"/>
  <c r="S2558" i="1" s="1"/>
  <c r="AT2558" i="1" s="1"/>
  <c r="AO2558" i="1" s="1"/>
  <c r="AK2557" i="1"/>
  <c r="AJ2557" i="1"/>
  <c r="S2557" i="1" s="1"/>
  <c r="AQ2557" i="1" s="1"/>
  <c r="AL2557" i="1" s="1"/>
  <c r="AK2556" i="1"/>
  <c r="S2556" i="1" s="1"/>
  <c r="AR2556" i="1" s="1"/>
  <c r="AM2556" i="1" s="1"/>
  <c r="AJ2556" i="1"/>
  <c r="AK2555" i="1"/>
  <c r="AJ2555" i="1"/>
  <c r="AK2554" i="1"/>
  <c r="AJ2554" i="1"/>
  <c r="AK2553" i="1"/>
  <c r="AJ2553" i="1"/>
  <c r="AK2552" i="1"/>
  <c r="AJ2552" i="1"/>
  <c r="AK2551" i="1"/>
  <c r="AK2550" i="1"/>
  <c r="AK2549" i="1"/>
  <c r="AJ2549" i="1"/>
  <c r="AK2548" i="1"/>
  <c r="AJ2548" i="1"/>
  <c r="AK2547" i="1"/>
  <c r="AJ2547" i="1"/>
  <c r="AK2546" i="1"/>
  <c r="AJ2546" i="1"/>
  <c r="AK2545" i="1"/>
  <c r="AJ2545" i="1"/>
  <c r="AK2544" i="1"/>
  <c r="AJ2544" i="1"/>
  <c r="BA6" i="9"/>
  <c r="AX6" i="9"/>
  <c r="V27" i="9"/>
  <c r="V28" i="9"/>
  <c r="V29" i="9"/>
  <c r="V30" i="9"/>
  <c r="V31" i="9"/>
  <c r="V26" i="9"/>
  <c r="S31" i="9"/>
  <c r="S30" i="9"/>
  <c r="S29" i="9"/>
  <c r="S28" i="9"/>
  <c r="S27" i="9"/>
  <c r="S26" i="9"/>
  <c r="BA6" i="10"/>
  <c r="AX6" i="10"/>
  <c r="V35" i="10"/>
  <c r="V36" i="10"/>
  <c r="V37" i="10"/>
  <c r="V38" i="10"/>
  <c r="V39" i="10"/>
  <c r="V40" i="10"/>
  <c r="V41" i="10"/>
  <c r="V34" i="10"/>
  <c r="S41" i="10"/>
  <c r="S40" i="10"/>
  <c r="S39" i="10"/>
  <c r="S38" i="10"/>
  <c r="S37" i="10"/>
  <c r="S36" i="10"/>
  <c r="S35" i="10"/>
  <c r="S34" i="10"/>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U2544" i="1"/>
  <c r="AP2544" i="1" s="1"/>
  <c r="AU2545" i="1"/>
  <c r="AP2545" i="1" s="1"/>
  <c r="AU2546" i="1"/>
  <c r="AP2546" i="1" s="1"/>
  <c r="AU2547" i="1"/>
  <c r="AP2547" i="1" s="1"/>
  <c r="AU2548" i="1"/>
  <c r="AU2549" i="1"/>
  <c r="AP2549" i="1" s="1"/>
  <c r="AU2550" i="1"/>
  <c r="AP2550" i="1" s="1"/>
  <c r="AU2551" i="1"/>
  <c r="AP2551" i="1" s="1"/>
  <c r="AU2552" i="1"/>
  <c r="AP2552" i="1" s="1"/>
  <c r="AU2553" i="1"/>
  <c r="AP2553" i="1" s="1"/>
  <c r="AU2554" i="1"/>
  <c r="AP2554" i="1" s="1"/>
  <c r="AU2555" i="1"/>
  <c r="AP2555" i="1" s="1"/>
  <c r="AU2556" i="1"/>
  <c r="AP2556" i="1" s="1"/>
  <c r="AU2557" i="1"/>
  <c r="AP2557" i="1" s="1"/>
  <c r="AU2558" i="1"/>
  <c r="AP2558" i="1" s="1"/>
  <c r="AU2559" i="1"/>
  <c r="AP2559" i="1" s="1"/>
  <c r="AU2560" i="1"/>
  <c r="AP2560" i="1" s="1"/>
  <c r="AU2561" i="1"/>
  <c r="AP2561" i="1" s="1"/>
  <c r="AU2562" i="1"/>
  <c r="AP2562" i="1" s="1"/>
  <c r="AU2563" i="1"/>
  <c r="AP2563" i="1" s="1"/>
  <c r="AU2564" i="1"/>
  <c r="AU2565" i="1"/>
  <c r="AP2565" i="1" s="1"/>
  <c r="AU2566" i="1"/>
  <c r="AP2566" i="1" s="1"/>
  <c r="AU2567" i="1"/>
  <c r="AP2567" i="1" s="1"/>
  <c r="AU2568" i="1"/>
  <c r="AP2568" i="1" s="1"/>
  <c r="AU2569" i="1"/>
  <c r="AP2569" i="1" s="1"/>
  <c r="AU2570" i="1"/>
  <c r="AP2570" i="1" s="1"/>
  <c r="AU2571" i="1"/>
  <c r="AP2571" i="1" s="1"/>
  <c r="AU2572" i="1"/>
  <c r="AP2572" i="1" s="1"/>
  <c r="AU2573" i="1"/>
  <c r="AP2573" i="1" s="1"/>
  <c r="AU2574" i="1"/>
  <c r="AP2574" i="1" s="1"/>
  <c r="AU2575" i="1"/>
  <c r="AP2575" i="1" s="1"/>
  <c r="AU2576" i="1"/>
  <c r="AP2576" i="1" s="1"/>
  <c r="AU2577" i="1"/>
  <c r="AP2577" i="1" s="1"/>
  <c r="AU2578" i="1"/>
  <c r="AP2578" i="1" s="1"/>
  <c r="AU2579" i="1"/>
  <c r="AP2579" i="1" s="1"/>
  <c r="AU2580" i="1"/>
  <c r="AP2580" i="1" s="1"/>
  <c r="AU2581" i="1"/>
  <c r="AP2581" i="1" s="1"/>
  <c r="AU2582" i="1"/>
  <c r="AP2582" i="1" s="1"/>
  <c r="AU2583" i="1"/>
  <c r="AP2583" i="1" s="1"/>
  <c r="AU2584" i="1"/>
  <c r="AP2584" i="1" s="1"/>
  <c r="AU2585" i="1"/>
  <c r="AP2585" i="1" s="1"/>
  <c r="AU2586" i="1"/>
  <c r="AP2586" i="1" s="1"/>
  <c r="AU2587" i="1"/>
  <c r="AP2587" i="1" s="1"/>
  <c r="AU2588" i="1"/>
  <c r="AP2588" i="1" s="1"/>
  <c r="AU2589" i="1"/>
  <c r="AP2589" i="1" s="1"/>
  <c r="AU2590" i="1"/>
  <c r="AP2590" i="1" s="1"/>
  <c r="AU2591" i="1"/>
  <c r="AP2591" i="1" s="1"/>
  <c r="AU2592" i="1"/>
  <c r="AP2592" i="1" s="1"/>
  <c r="AU2593" i="1"/>
  <c r="AP2593" i="1" s="1"/>
  <c r="AU2594" i="1"/>
  <c r="AP2594" i="1" s="1"/>
  <c r="AU2595" i="1"/>
  <c r="AP2595" i="1" s="1"/>
  <c r="AU2596" i="1"/>
  <c r="AP2596" i="1" s="1"/>
  <c r="AU2597" i="1"/>
  <c r="AP2597" i="1" s="1"/>
  <c r="AU2598" i="1"/>
  <c r="AP2598" i="1" s="1"/>
  <c r="AU2599" i="1"/>
  <c r="AU2600" i="1"/>
  <c r="AP2600" i="1" s="1"/>
  <c r="AU2601" i="1"/>
  <c r="AU2602" i="1"/>
  <c r="AP2602" i="1" s="1"/>
  <c r="AU2603" i="1"/>
  <c r="AP2603" i="1" s="1"/>
  <c r="AU2604" i="1"/>
  <c r="AP2604" i="1" s="1"/>
  <c r="AU2605" i="1"/>
  <c r="AP2605" i="1" s="1"/>
  <c r="AU2606" i="1"/>
  <c r="AP2606" i="1" s="1"/>
  <c r="AU2607" i="1"/>
  <c r="AP2607" i="1" s="1"/>
  <c r="AU2608" i="1"/>
  <c r="AP2608" i="1" s="1"/>
  <c r="AU2609" i="1"/>
  <c r="AP2609" i="1" s="1"/>
  <c r="AU2610" i="1"/>
  <c r="AP2610" i="1" s="1"/>
  <c r="AU2611" i="1"/>
  <c r="AP2611" i="1" s="1"/>
  <c r="AU2612" i="1"/>
  <c r="AP2612" i="1" s="1"/>
  <c r="AU2613" i="1"/>
  <c r="AP2613" i="1" s="1"/>
  <c r="AU2614" i="1"/>
  <c r="AP2614" i="1" s="1"/>
  <c r="AU2615" i="1"/>
  <c r="AP2615" i="1" s="1"/>
  <c r="AU2616" i="1"/>
  <c r="AP2616" i="1" s="1"/>
  <c r="AU2617" i="1"/>
  <c r="AP2617" i="1" s="1"/>
  <c r="AU2618" i="1"/>
  <c r="AP2618" i="1" s="1"/>
  <c r="AU2619" i="1"/>
  <c r="AP2619" i="1" s="1"/>
  <c r="AU2620" i="1"/>
  <c r="AP2620" i="1" s="1"/>
  <c r="AU2621" i="1"/>
  <c r="AP2621" i="1" s="1"/>
  <c r="AU2622" i="1"/>
  <c r="AP2622" i="1" s="1"/>
  <c r="AU2623" i="1"/>
  <c r="AP2623" i="1" s="1"/>
  <c r="AU2624" i="1"/>
  <c r="AU2625" i="1"/>
  <c r="AP2625" i="1" s="1"/>
  <c r="AU2626" i="1"/>
  <c r="AP2626" i="1" s="1"/>
  <c r="AU2627" i="1"/>
  <c r="AP2627" i="1" s="1"/>
  <c r="AU2628" i="1"/>
  <c r="AP2628" i="1" s="1"/>
  <c r="AU2629" i="1"/>
  <c r="AP2629" i="1" s="1"/>
  <c r="AU2630" i="1"/>
  <c r="AP2630" i="1" s="1"/>
  <c r="AU2631" i="1"/>
  <c r="AP2631" i="1" s="1"/>
  <c r="AU2632" i="1"/>
  <c r="AP2632" i="1" s="1"/>
  <c r="AU2633" i="1"/>
  <c r="AP2633" i="1" s="1"/>
  <c r="AU2634" i="1"/>
  <c r="AP2634" i="1" s="1"/>
  <c r="AU2635" i="1"/>
  <c r="AP2635" i="1" s="1"/>
  <c r="AU2636" i="1"/>
  <c r="AP2636" i="1" s="1"/>
  <c r="AU2637" i="1"/>
  <c r="AP2637" i="1" s="1"/>
  <c r="AU2638" i="1"/>
  <c r="AP2638" i="1" s="1"/>
  <c r="AU2639" i="1"/>
  <c r="AP2639" i="1" s="1"/>
  <c r="AU2640" i="1"/>
  <c r="AP2640" i="1" s="1"/>
  <c r="AU2641" i="1"/>
  <c r="AP2641" i="1" s="1"/>
  <c r="AU2642" i="1"/>
  <c r="AP2642" i="1" s="1"/>
  <c r="AU2643" i="1"/>
  <c r="AP2643" i="1" s="1"/>
  <c r="AU2644" i="1"/>
  <c r="AP2644" i="1" s="1"/>
  <c r="AU2645" i="1"/>
  <c r="AP2645" i="1" s="1"/>
  <c r="AU2646" i="1"/>
  <c r="AP2646" i="1" s="1"/>
  <c r="AU2647" i="1"/>
  <c r="AP2647" i="1" s="1"/>
  <c r="AU2648" i="1"/>
  <c r="AP2648" i="1" s="1"/>
  <c r="AU2649" i="1"/>
  <c r="AP2649" i="1" s="1"/>
  <c r="AU2650" i="1"/>
  <c r="AP2650" i="1" s="1"/>
  <c r="AU2651" i="1"/>
  <c r="AP2651" i="1" s="1"/>
  <c r="AU2652" i="1"/>
  <c r="AP2652" i="1" s="1"/>
  <c r="AU2653" i="1"/>
  <c r="AP2653" i="1" s="1"/>
  <c r="AU2654" i="1"/>
  <c r="AP2654" i="1" s="1"/>
  <c r="AU2655" i="1"/>
  <c r="AP2655" i="1" s="1"/>
  <c r="AU2656" i="1"/>
  <c r="AU2657" i="1"/>
  <c r="AP2657" i="1" s="1"/>
  <c r="AU2658" i="1"/>
  <c r="AP2658" i="1" s="1"/>
  <c r="AU2659" i="1"/>
  <c r="AP2659" i="1" s="1"/>
  <c r="AU2660" i="1"/>
  <c r="AP2660" i="1" s="1"/>
  <c r="AU2661" i="1"/>
  <c r="AP2661" i="1" s="1"/>
  <c r="AU2662" i="1"/>
  <c r="AP2662" i="1" s="1"/>
  <c r="AU2663" i="1"/>
  <c r="AP2663" i="1" s="1"/>
  <c r="AU2664" i="1"/>
  <c r="AP2664" i="1" s="1"/>
  <c r="AU2665" i="1"/>
  <c r="AP2665" i="1" s="1"/>
  <c r="AU2666" i="1"/>
  <c r="AP2666" i="1" s="1"/>
  <c r="AU2667" i="1"/>
  <c r="AP2667" i="1" s="1"/>
  <c r="AU2668" i="1"/>
  <c r="AP2668" i="1" s="1"/>
  <c r="AU2669" i="1"/>
  <c r="AP2669" i="1" s="1"/>
  <c r="AU2670" i="1"/>
  <c r="AP2670" i="1" s="1"/>
  <c r="AU2671" i="1"/>
  <c r="AP2671" i="1" s="1"/>
  <c r="AU2672" i="1"/>
  <c r="AP2672" i="1" s="1"/>
  <c r="AU2673" i="1"/>
  <c r="AP2673" i="1" s="1"/>
  <c r="AU2674" i="1"/>
  <c r="AP2674" i="1" s="1"/>
  <c r="AU2675" i="1"/>
  <c r="AP2675" i="1" s="1"/>
  <c r="AU2676" i="1"/>
  <c r="AP2676" i="1" s="1"/>
  <c r="AU2677" i="1"/>
  <c r="AP2677" i="1" s="1"/>
  <c r="AU2678" i="1"/>
  <c r="AP2678" i="1" s="1"/>
  <c r="AU2679" i="1"/>
  <c r="AP2679" i="1" s="1"/>
  <c r="AU2680" i="1"/>
  <c r="AP2680" i="1" s="1"/>
  <c r="AU2681" i="1"/>
  <c r="AP2681" i="1" s="1"/>
  <c r="AU2682" i="1"/>
  <c r="AP2682" i="1" s="1"/>
  <c r="AU2683" i="1"/>
  <c r="AP2683" i="1" s="1"/>
  <c r="AU2684" i="1"/>
  <c r="AP2684" i="1" s="1"/>
  <c r="AU2685" i="1"/>
  <c r="AP2685" i="1" s="1"/>
  <c r="AU2686" i="1"/>
  <c r="AP2686" i="1" s="1"/>
  <c r="AU2687" i="1"/>
  <c r="AP2687" i="1" s="1"/>
  <c r="AU2688" i="1"/>
  <c r="AP2688" i="1" s="1"/>
  <c r="AU2689" i="1"/>
  <c r="AP2689" i="1" s="1"/>
  <c r="AU2690" i="1"/>
  <c r="AP2690" i="1" s="1"/>
  <c r="AU2691" i="1"/>
  <c r="AP2691" i="1" s="1"/>
  <c r="AU2692" i="1"/>
  <c r="AP2692" i="1" s="1"/>
  <c r="AU2693" i="1"/>
  <c r="AP2693" i="1" s="1"/>
  <c r="AU2694" i="1"/>
  <c r="AP2694" i="1" s="1"/>
  <c r="AU2695" i="1"/>
  <c r="AP2695" i="1" s="1"/>
  <c r="AU2696" i="1"/>
  <c r="AP2696" i="1" s="1"/>
  <c r="AU2697" i="1"/>
  <c r="AP2697" i="1" s="1"/>
  <c r="AU2698" i="1"/>
  <c r="AP2698" i="1" s="1"/>
  <c r="AU2699" i="1"/>
  <c r="AP2699" i="1" s="1"/>
  <c r="AU2700" i="1"/>
  <c r="AP2700" i="1" s="1"/>
  <c r="AU2701" i="1"/>
  <c r="AP2701" i="1" s="1"/>
  <c r="AU2702" i="1"/>
  <c r="AP2702" i="1" s="1"/>
  <c r="AU2703" i="1"/>
  <c r="AP2703" i="1" s="1"/>
  <c r="AU2704" i="1"/>
  <c r="AP2704" i="1" s="1"/>
  <c r="AU2705" i="1"/>
  <c r="AP2705" i="1" s="1"/>
  <c r="AU2706" i="1"/>
  <c r="AP2706" i="1" s="1"/>
  <c r="AU2707" i="1"/>
  <c r="AP2707" i="1" s="1"/>
  <c r="AU2708" i="1"/>
  <c r="AP2708" i="1" s="1"/>
  <c r="AU2709" i="1"/>
  <c r="AP2709" i="1" s="1"/>
  <c r="AU2710" i="1"/>
  <c r="AP2710" i="1" s="1"/>
  <c r="AU2711" i="1"/>
  <c r="AP2711" i="1" s="1"/>
  <c r="AU2712" i="1"/>
  <c r="AP2712" i="1" s="1"/>
  <c r="AU2713" i="1"/>
  <c r="AP2713" i="1" s="1"/>
  <c r="AU2714" i="1"/>
  <c r="AP2714" i="1" s="1"/>
  <c r="AU2715" i="1"/>
  <c r="AP2715" i="1" s="1"/>
  <c r="AU2716" i="1"/>
  <c r="AP2716" i="1" s="1"/>
  <c r="AU2717" i="1"/>
  <c r="AP2717" i="1" s="1"/>
  <c r="AU2718" i="1"/>
  <c r="AP2718" i="1" s="1"/>
  <c r="AU2719" i="1"/>
  <c r="AP2719" i="1" s="1"/>
  <c r="AU2720" i="1"/>
  <c r="AP2720" i="1" s="1"/>
  <c r="AU2721" i="1"/>
  <c r="AP2721" i="1" s="1"/>
  <c r="AU2722" i="1"/>
  <c r="AP2722" i="1" s="1"/>
  <c r="AU2723" i="1"/>
  <c r="AP2723" i="1" s="1"/>
  <c r="AU2724" i="1"/>
  <c r="AP2724" i="1" s="1"/>
  <c r="AU2725" i="1"/>
  <c r="AP2725" i="1" s="1"/>
  <c r="AU2726" i="1"/>
  <c r="AP2726" i="1" s="1"/>
  <c r="AU2727" i="1"/>
  <c r="AP2727" i="1" s="1"/>
  <c r="AU2728" i="1"/>
  <c r="AP2728" i="1" s="1"/>
  <c r="AU2729" i="1"/>
  <c r="AP2729" i="1" s="1"/>
  <c r="AU2730" i="1"/>
  <c r="AP2730" i="1" s="1"/>
  <c r="AU2731" i="1"/>
  <c r="AP2731" i="1" s="1"/>
  <c r="AR2726" i="1"/>
  <c r="AM2726" i="1" s="1"/>
  <c r="AP2548" i="1"/>
  <c r="AP2564" i="1"/>
  <c r="AP2599" i="1"/>
  <c r="AP2601" i="1"/>
  <c r="AP2624" i="1"/>
  <c r="AP2656"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U2544" i="1"/>
  <c r="W2544" i="1" s="1"/>
  <c r="U2545" i="1"/>
  <c r="W2545" i="1" s="1"/>
  <c r="U2546" i="1"/>
  <c r="W2546" i="1" s="1"/>
  <c r="U2547" i="1"/>
  <c r="W2547" i="1" s="1"/>
  <c r="U2548" i="1"/>
  <c r="W2548" i="1" s="1"/>
  <c r="U2549" i="1"/>
  <c r="W2549" i="1" s="1"/>
  <c r="U2550" i="1"/>
  <c r="W2550" i="1" s="1"/>
  <c r="U2551" i="1"/>
  <c r="W2551" i="1" s="1"/>
  <c r="U2573" i="1"/>
  <c r="W2573" i="1" s="1"/>
  <c r="U2574" i="1"/>
  <c r="W2574" i="1" s="1"/>
  <c r="U2575" i="1"/>
  <c r="W2575" i="1" s="1"/>
  <c r="U2576" i="1"/>
  <c r="W2576" i="1" s="1"/>
  <c r="U2577" i="1"/>
  <c r="W2577" i="1" s="1"/>
  <c r="U2578" i="1"/>
  <c r="W2578" i="1" s="1"/>
  <c r="U2579" i="1"/>
  <c r="W2579" i="1" s="1"/>
  <c r="U2580" i="1"/>
  <c r="W2580" i="1" s="1"/>
  <c r="U2581" i="1"/>
  <c r="W2581" i="1" s="1"/>
  <c r="U2582" i="1"/>
  <c r="W2582" i="1" s="1"/>
  <c r="U2586" i="1"/>
  <c r="W2586" i="1" s="1"/>
  <c r="U2587" i="1"/>
  <c r="W2587" i="1" s="1"/>
  <c r="U2588" i="1"/>
  <c r="W2588" i="1" s="1"/>
  <c r="U2589" i="1"/>
  <c r="W2589" i="1" s="1"/>
  <c r="U2590" i="1"/>
  <c r="W2590" i="1" s="1"/>
  <c r="U2591" i="1"/>
  <c r="W2591" i="1" s="1"/>
  <c r="U2592" i="1"/>
  <c r="W2592" i="1" s="1"/>
  <c r="U2593" i="1"/>
  <c r="W2593" i="1" s="1"/>
  <c r="U2594" i="1"/>
  <c r="W2594" i="1" s="1"/>
  <c r="U2595" i="1"/>
  <c r="W2595" i="1" s="1"/>
  <c r="U2599" i="1"/>
  <c r="W2599" i="1" s="1"/>
  <c r="U2600" i="1"/>
  <c r="W2600" i="1" s="1"/>
  <c r="U2601" i="1"/>
  <c r="W2601" i="1" s="1"/>
  <c r="U2602" i="1"/>
  <c r="W2602" i="1" s="1"/>
  <c r="U2603" i="1"/>
  <c r="W2603" i="1" s="1"/>
  <c r="U2607" i="1"/>
  <c r="W2607" i="1" s="1"/>
  <c r="U2608" i="1"/>
  <c r="W2608" i="1" s="1"/>
  <c r="U2609" i="1"/>
  <c r="W2609" i="1" s="1"/>
  <c r="U2610" i="1"/>
  <c r="W2610" i="1" s="1"/>
  <c r="U2613" i="1"/>
  <c r="W2613" i="1" s="1"/>
  <c r="U2614" i="1"/>
  <c r="W2614" i="1" s="1"/>
  <c r="U2615" i="1"/>
  <c r="W2615" i="1" s="1"/>
  <c r="U2616" i="1"/>
  <c r="W2616" i="1" s="1"/>
  <c r="U2617" i="1"/>
  <c r="W2617" i="1" s="1"/>
  <c r="U2618" i="1"/>
  <c r="W2618" i="1" s="1"/>
  <c r="U2619" i="1"/>
  <c r="W2619" i="1" s="1"/>
  <c r="U2620" i="1"/>
  <c r="W2620" i="1" s="1"/>
  <c r="U2621" i="1"/>
  <c r="W2621" i="1" s="1"/>
  <c r="U2622" i="1"/>
  <c r="W2622" i="1" s="1"/>
  <c r="U2626" i="1"/>
  <c r="W2626" i="1" s="1"/>
  <c r="U2627" i="1"/>
  <c r="W2627" i="1" s="1"/>
  <c r="U2628" i="1"/>
  <c r="W2628" i="1" s="1"/>
  <c r="U2629" i="1"/>
  <c r="W2629" i="1" s="1"/>
  <c r="U2630" i="1"/>
  <c r="W2630" i="1" s="1"/>
  <c r="U2631" i="1"/>
  <c r="W2631" i="1" s="1"/>
  <c r="U2632" i="1"/>
  <c r="W2632" i="1" s="1"/>
  <c r="U2633" i="1"/>
  <c r="W2633" i="1" s="1"/>
  <c r="U2634" i="1"/>
  <c r="W2634" i="1" s="1"/>
  <c r="U2635" i="1"/>
  <c r="W2635" i="1" s="1"/>
  <c r="U2639" i="1"/>
  <c r="W2639" i="1" s="1"/>
  <c r="U2640" i="1"/>
  <c r="W2640" i="1" s="1"/>
  <c r="U2641" i="1"/>
  <c r="W2641" i="1" s="1"/>
  <c r="U2642" i="1"/>
  <c r="W2642" i="1" s="1"/>
  <c r="U2643" i="1"/>
  <c r="W2643" i="1" s="1"/>
  <c r="U2644" i="1"/>
  <c r="W2644" i="1" s="1"/>
  <c r="U2645" i="1"/>
  <c r="W2645" i="1" s="1"/>
  <c r="U2646" i="1"/>
  <c r="W2646" i="1" s="1"/>
  <c r="U2647" i="1"/>
  <c r="W2647" i="1" s="1"/>
  <c r="U2648" i="1"/>
  <c r="W2648" i="1" s="1"/>
  <c r="U2652" i="1"/>
  <c r="W2652" i="1" s="1"/>
  <c r="U2653" i="1"/>
  <c r="W2653" i="1" s="1"/>
  <c r="U2654" i="1"/>
  <c r="W2654" i="1" s="1"/>
  <c r="U2655" i="1"/>
  <c r="W2655" i="1" s="1"/>
  <c r="U2656" i="1"/>
  <c r="W2656" i="1" s="1"/>
  <c r="U2657" i="1"/>
  <c r="W2657" i="1" s="1"/>
  <c r="U2658" i="1"/>
  <c r="W2658" i="1" s="1"/>
  <c r="U2659" i="1"/>
  <c r="W2659" i="1" s="1"/>
  <c r="U2660" i="1"/>
  <c r="W2660" i="1" s="1"/>
  <c r="U2661" i="1"/>
  <c r="W2661" i="1" s="1"/>
  <c r="U2665" i="1"/>
  <c r="W2665" i="1" s="1"/>
  <c r="U2666" i="1"/>
  <c r="W2666" i="1" s="1"/>
  <c r="U2667" i="1"/>
  <c r="W2667" i="1" s="1"/>
  <c r="U2668" i="1"/>
  <c r="W2668" i="1" s="1"/>
  <c r="U2669" i="1"/>
  <c r="W2669" i="1" s="1"/>
  <c r="U2670" i="1"/>
  <c r="W2670" i="1" s="1"/>
  <c r="U2671" i="1"/>
  <c r="W2671" i="1" s="1"/>
  <c r="U2672" i="1"/>
  <c r="W2672" i="1" s="1"/>
  <c r="U2673" i="1"/>
  <c r="W2673" i="1" s="1"/>
  <c r="U2674" i="1"/>
  <c r="W2674" i="1" s="1"/>
  <c r="U2678" i="1"/>
  <c r="W2678" i="1" s="1"/>
  <c r="U2679" i="1"/>
  <c r="W2679" i="1" s="1"/>
  <c r="U2680" i="1"/>
  <c r="W2680" i="1" s="1"/>
  <c r="U2681" i="1"/>
  <c r="W2681" i="1" s="1"/>
  <c r="U2682" i="1"/>
  <c r="W2682" i="1" s="1"/>
  <c r="U2686" i="1"/>
  <c r="W2686" i="1" s="1"/>
  <c r="U2687" i="1"/>
  <c r="W2687" i="1" s="1"/>
  <c r="U2688" i="1"/>
  <c r="W2688" i="1" s="1"/>
  <c r="U2689" i="1"/>
  <c r="W2689" i="1" s="1"/>
  <c r="U2693" i="1"/>
  <c r="W2693" i="1" s="1"/>
  <c r="U2694" i="1"/>
  <c r="W2694" i="1" s="1"/>
  <c r="U2695" i="1"/>
  <c r="W2695" i="1" s="1"/>
  <c r="U2696" i="1"/>
  <c r="W2696" i="1" s="1"/>
  <c r="U2697" i="1"/>
  <c r="W2697" i="1" s="1"/>
  <c r="U2698" i="1"/>
  <c r="W2698" i="1" s="1"/>
  <c r="U2699" i="1"/>
  <c r="W2699" i="1" s="1"/>
  <c r="U2700" i="1"/>
  <c r="W2700" i="1" s="1"/>
  <c r="U2701" i="1"/>
  <c r="W2701" i="1" s="1"/>
  <c r="U2702" i="1"/>
  <c r="W2702" i="1" s="1"/>
  <c r="U2706" i="1"/>
  <c r="W2706" i="1" s="1"/>
  <c r="U2707" i="1"/>
  <c r="W2707" i="1" s="1"/>
  <c r="U2708" i="1"/>
  <c r="W2708" i="1" s="1"/>
  <c r="U2709" i="1"/>
  <c r="W2709" i="1" s="1"/>
  <c r="U2710" i="1"/>
  <c r="W2710" i="1" s="1"/>
  <c r="U2711" i="1"/>
  <c r="W2711" i="1" s="1"/>
  <c r="U2712" i="1"/>
  <c r="W2712" i="1" s="1"/>
  <c r="U2713" i="1"/>
  <c r="W2713" i="1" s="1"/>
  <c r="U2714" i="1"/>
  <c r="W2714" i="1" s="1"/>
  <c r="U2715" i="1"/>
  <c r="W2715" i="1" s="1"/>
  <c r="U2719" i="1"/>
  <c r="W2719" i="1" s="1"/>
  <c r="U2720" i="1"/>
  <c r="W2720" i="1" s="1"/>
  <c r="U2721" i="1"/>
  <c r="W2721" i="1" s="1"/>
  <c r="U2722" i="1"/>
  <c r="W2722" i="1" s="1"/>
  <c r="U2723" i="1"/>
  <c r="W2723" i="1" s="1"/>
  <c r="U2724" i="1"/>
  <c r="W2724" i="1" s="1"/>
  <c r="U2725" i="1"/>
  <c r="W2725" i="1" s="1"/>
  <c r="U2726" i="1"/>
  <c r="W2726" i="1" s="1"/>
  <c r="U2727" i="1"/>
  <c r="W2727" i="1" s="1"/>
  <c r="U2728" i="1"/>
  <c r="W2728" i="1" s="1"/>
  <c r="S2544" i="1"/>
  <c r="AQ2544" i="1" s="1"/>
  <c r="AL2544" i="1" s="1"/>
  <c r="S2545" i="1"/>
  <c r="AT2545" i="1" s="1"/>
  <c r="AO2545" i="1" s="1"/>
  <c r="S2546" i="1"/>
  <c r="S2547" i="1"/>
  <c r="AT2547" i="1" s="1"/>
  <c r="AO2547" i="1" s="1"/>
  <c r="S2548" i="1"/>
  <c r="AT2548" i="1" s="1"/>
  <c r="AO2548" i="1" s="1"/>
  <c r="S2549" i="1"/>
  <c r="AS2549" i="1" s="1"/>
  <c r="AN2549" i="1" s="1"/>
  <c r="S2550" i="1"/>
  <c r="S2551" i="1"/>
  <c r="AS2551" i="1" s="1"/>
  <c r="AN2551" i="1" s="1"/>
  <c r="S2552" i="1"/>
  <c r="AS2552" i="1" s="1"/>
  <c r="AN2552" i="1" s="1"/>
  <c r="S2553" i="1"/>
  <c r="AR2553" i="1" s="1"/>
  <c r="AM2553" i="1" s="1"/>
  <c r="S2554" i="1"/>
  <c r="U2554" i="1" s="1"/>
  <c r="W2554" i="1" s="1"/>
  <c r="S2555" i="1"/>
  <c r="AR2555" i="1" s="1"/>
  <c r="AM2555" i="1" s="1"/>
  <c r="S2559" i="1"/>
  <c r="AQ2559" i="1" s="1"/>
  <c r="AL2559" i="1" s="1"/>
  <c r="S2560" i="1"/>
  <c r="AQ2560" i="1" s="1"/>
  <c r="AL2560" i="1" s="1"/>
  <c r="S2561" i="1"/>
  <c r="AT2561" i="1" s="1"/>
  <c r="AO2561" i="1" s="1"/>
  <c r="S2562" i="1"/>
  <c r="AS2562" i="1" s="1"/>
  <c r="AN2562" i="1" s="1"/>
  <c r="S2563" i="1"/>
  <c r="AT2563" i="1" s="1"/>
  <c r="AO2563" i="1" s="1"/>
  <c r="S2564" i="1"/>
  <c r="AT2564" i="1" s="1"/>
  <c r="AO2564" i="1" s="1"/>
  <c r="S2568" i="1"/>
  <c r="AS2568" i="1" s="1"/>
  <c r="AN2568" i="1" s="1"/>
  <c r="S2569" i="1"/>
  <c r="AR2569" i="1" s="1"/>
  <c r="AM2569" i="1" s="1"/>
  <c r="S2570" i="1"/>
  <c r="U2570" i="1" s="1"/>
  <c r="W2570" i="1" s="1"/>
  <c r="S2571" i="1"/>
  <c r="AR2571" i="1" s="1"/>
  <c r="AM2571" i="1" s="1"/>
  <c r="S2572" i="1"/>
  <c r="AR2572" i="1" s="1"/>
  <c r="AM2572" i="1" s="1"/>
  <c r="S2575" i="1"/>
  <c r="AQ2575" i="1" s="1"/>
  <c r="AL2575" i="1" s="1"/>
  <c r="S2576" i="1"/>
  <c r="AQ2576" i="1" s="1"/>
  <c r="AL2576" i="1" s="1"/>
  <c r="S2577" i="1"/>
  <c r="AT2577" i="1" s="1"/>
  <c r="AO2577" i="1" s="1"/>
  <c r="S2578" i="1"/>
  <c r="AS2578" i="1" s="1"/>
  <c r="AN2578" i="1" s="1"/>
  <c r="S2579" i="1"/>
  <c r="AT2579" i="1" s="1"/>
  <c r="AO2579" i="1" s="1"/>
  <c r="S2580" i="1"/>
  <c r="AT2580" i="1" s="1"/>
  <c r="AO2580" i="1" s="1"/>
  <c r="S2583" i="1"/>
  <c r="AS2583" i="1" s="1"/>
  <c r="AN2583" i="1" s="1"/>
  <c r="S2584" i="1"/>
  <c r="AS2584" i="1" s="1"/>
  <c r="AN2584" i="1" s="1"/>
  <c r="S2585" i="1"/>
  <c r="AR2585" i="1" s="1"/>
  <c r="AM2585" i="1" s="1"/>
  <c r="S2586" i="1"/>
  <c r="AQ2586" i="1" s="1"/>
  <c r="AL2586" i="1" s="1"/>
  <c r="S2587" i="1"/>
  <c r="AR2587" i="1" s="1"/>
  <c r="AM2587" i="1" s="1"/>
  <c r="S2588" i="1"/>
  <c r="AR2588" i="1" s="1"/>
  <c r="AM2588" i="1" s="1"/>
  <c r="S2591" i="1"/>
  <c r="AQ2591" i="1" s="1"/>
  <c r="AL2591" i="1" s="1"/>
  <c r="S2592" i="1"/>
  <c r="AQ2592" i="1" s="1"/>
  <c r="AL2592" i="1" s="1"/>
  <c r="S2593" i="1"/>
  <c r="AT2593" i="1" s="1"/>
  <c r="AO2593" i="1" s="1"/>
  <c r="S2594" i="1"/>
  <c r="S2595" i="1"/>
  <c r="AT2595" i="1" s="1"/>
  <c r="AO2595" i="1" s="1"/>
  <c r="S2596" i="1"/>
  <c r="AT2596" i="1" s="1"/>
  <c r="AO2596" i="1" s="1"/>
  <c r="S2597" i="1"/>
  <c r="AS2597" i="1" s="1"/>
  <c r="AN2597" i="1" s="1"/>
  <c r="S2599" i="1"/>
  <c r="AS2599" i="1" s="1"/>
  <c r="AN2599" i="1" s="1"/>
  <c r="S2600" i="1"/>
  <c r="AS2600" i="1" s="1"/>
  <c r="AN2600" i="1" s="1"/>
  <c r="S2601" i="1"/>
  <c r="AR2601" i="1" s="1"/>
  <c r="AM2601" i="1" s="1"/>
  <c r="S2602" i="1"/>
  <c r="S2603" i="1"/>
  <c r="AR2603" i="1" s="1"/>
  <c r="AM2603" i="1" s="1"/>
  <c r="S2604" i="1"/>
  <c r="AR2604" i="1" s="1"/>
  <c r="AM2604" i="1" s="1"/>
  <c r="S2605" i="1"/>
  <c r="AQ2605" i="1" s="1"/>
  <c r="AL2605" i="1" s="1"/>
  <c r="S2608" i="1"/>
  <c r="AQ2608" i="1" s="1"/>
  <c r="AL2608" i="1" s="1"/>
  <c r="S2609" i="1"/>
  <c r="AT2609" i="1" s="1"/>
  <c r="AO2609" i="1" s="1"/>
  <c r="S2610" i="1"/>
  <c r="AS2610" i="1" s="1"/>
  <c r="AN2610" i="1" s="1"/>
  <c r="S2611" i="1"/>
  <c r="AT2611" i="1" s="1"/>
  <c r="AO2611" i="1" s="1"/>
  <c r="S2612" i="1"/>
  <c r="AT2612" i="1" s="1"/>
  <c r="AO2612" i="1" s="1"/>
  <c r="S2613" i="1"/>
  <c r="AS2613" i="1" s="1"/>
  <c r="AN2613" i="1" s="1"/>
  <c r="S2614" i="1"/>
  <c r="AT2614" i="1" s="1"/>
  <c r="AO2614" i="1" s="1"/>
  <c r="S2616" i="1"/>
  <c r="AS2616" i="1" s="1"/>
  <c r="AN2616" i="1" s="1"/>
  <c r="S2617" i="1"/>
  <c r="AR2617" i="1" s="1"/>
  <c r="AM2617" i="1" s="1"/>
  <c r="S2618" i="1"/>
  <c r="S2619" i="1"/>
  <c r="AR2619" i="1" s="1"/>
  <c r="AM2619" i="1" s="1"/>
  <c r="S2620" i="1"/>
  <c r="AR2620" i="1" s="1"/>
  <c r="AM2620" i="1" s="1"/>
  <c r="S2621" i="1"/>
  <c r="AQ2621" i="1" s="1"/>
  <c r="AL2621" i="1" s="1"/>
  <c r="S2622" i="1"/>
  <c r="AT2622" i="1" s="1"/>
  <c r="AO2622" i="1" s="1"/>
  <c r="S2624" i="1"/>
  <c r="AQ2624" i="1" s="1"/>
  <c r="AL2624" i="1" s="1"/>
  <c r="S2625" i="1"/>
  <c r="AT2625" i="1" s="1"/>
  <c r="AO2625" i="1" s="1"/>
  <c r="S2626" i="1"/>
  <c r="AS2626" i="1" s="1"/>
  <c r="AN2626" i="1" s="1"/>
  <c r="S2627" i="1"/>
  <c r="AT2627" i="1" s="1"/>
  <c r="AO2627" i="1" s="1"/>
  <c r="S2628" i="1"/>
  <c r="AT2628" i="1" s="1"/>
  <c r="AO2628" i="1" s="1"/>
  <c r="S2629" i="1"/>
  <c r="AS2629" i="1" s="1"/>
  <c r="AN2629" i="1" s="1"/>
  <c r="S2630" i="1"/>
  <c r="AR2630" i="1" s="1"/>
  <c r="AM2630" i="1" s="1"/>
  <c r="S2633" i="1"/>
  <c r="AR2633" i="1" s="1"/>
  <c r="AM2633" i="1" s="1"/>
  <c r="S2634" i="1"/>
  <c r="S2635" i="1"/>
  <c r="AR2635" i="1" s="1"/>
  <c r="AM2635" i="1" s="1"/>
  <c r="S2636" i="1"/>
  <c r="AR2636" i="1" s="1"/>
  <c r="AM2636" i="1" s="1"/>
  <c r="S2637" i="1"/>
  <c r="AQ2637" i="1" s="1"/>
  <c r="AL2637" i="1" s="1"/>
  <c r="S2638" i="1"/>
  <c r="AT2638" i="1" s="1"/>
  <c r="AO2638" i="1" s="1"/>
  <c r="S2639" i="1"/>
  <c r="AQ2639" i="1" s="1"/>
  <c r="AL2639" i="1" s="1"/>
  <c r="S2641" i="1"/>
  <c r="AT2641" i="1" s="1"/>
  <c r="AO2641" i="1" s="1"/>
  <c r="S2642" i="1"/>
  <c r="S2643" i="1"/>
  <c r="AT2643" i="1" s="1"/>
  <c r="AO2643" i="1" s="1"/>
  <c r="S2644" i="1"/>
  <c r="AT2644" i="1" s="1"/>
  <c r="AO2644" i="1" s="1"/>
  <c r="S2645" i="1"/>
  <c r="AS2645" i="1" s="1"/>
  <c r="AN2645" i="1" s="1"/>
  <c r="S2646" i="1"/>
  <c r="S2647" i="1"/>
  <c r="AS2647" i="1" s="1"/>
  <c r="AN2647" i="1" s="1"/>
  <c r="S2649" i="1"/>
  <c r="AR2649" i="1" s="1"/>
  <c r="AM2649" i="1" s="1"/>
  <c r="S2650" i="1"/>
  <c r="AQ2650" i="1" s="1"/>
  <c r="AL2650" i="1" s="1"/>
  <c r="S2651" i="1"/>
  <c r="AR2651" i="1" s="1"/>
  <c r="AM2651" i="1" s="1"/>
  <c r="S2652" i="1"/>
  <c r="AR2652" i="1" s="1"/>
  <c r="AM2652" i="1" s="1"/>
  <c r="S2653" i="1"/>
  <c r="AQ2653" i="1" s="1"/>
  <c r="AL2653" i="1" s="1"/>
  <c r="S2654" i="1"/>
  <c r="AT2654" i="1" s="1"/>
  <c r="AO2654" i="1" s="1"/>
  <c r="S2655" i="1"/>
  <c r="AQ2655" i="1" s="1"/>
  <c r="AL2655" i="1" s="1"/>
  <c r="S2658" i="1"/>
  <c r="AS2658" i="1" s="1"/>
  <c r="AN2658" i="1" s="1"/>
  <c r="S2659" i="1"/>
  <c r="AT2659" i="1" s="1"/>
  <c r="AO2659" i="1" s="1"/>
  <c r="S2660" i="1"/>
  <c r="AT2660" i="1" s="1"/>
  <c r="AO2660" i="1" s="1"/>
  <c r="S2661" i="1"/>
  <c r="AS2661" i="1" s="1"/>
  <c r="AN2661" i="1" s="1"/>
  <c r="S2662" i="1"/>
  <c r="AT2662" i="1" s="1"/>
  <c r="AO2662" i="1" s="1"/>
  <c r="S2663" i="1"/>
  <c r="AS2663" i="1" s="1"/>
  <c r="AN2663" i="1" s="1"/>
  <c r="S2664" i="1"/>
  <c r="AS2664" i="1" s="1"/>
  <c r="AN2664" i="1" s="1"/>
  <c r="S2666" i="1"/>
  <c r="S2667" i="1"/>
  <c r="AR2667" i="1" s="1"/>
  <c r="AM2667" i="1" s="1"/>
  <c r="S2668" i="1"/>
  <c r="AR2668" i="1" s="1"/>
  <c r="AM2668" i="1" s="1"/>
  <c r="S2669" i="1"/>
  <c r="AQ2669" i="1" s="1"/>
  <c r="AL2669" i="1" s="1"/>
  <c r="S2670" i="1"/>
  <c r="AT2670" i="1" s="1"/>
  <c r="AO2670" i="1" s="1"/>
  <c r="S2671" i="1"/>
  <c r="AQ2671" i="1" s="1"/>
  <c r="AL2671" i="1" s="1"/>
  <c r="S2672" i="1"/>
  <c r="AQ2672" i="1" s="1"/>
  <c r="AL2672" i="1" s="1"/>
  <c r="S2674" i="1"/>
  <c r="AS2674" i="1" s="1"/>
  <c r="AN2674" i="1" s="1"/>
  <c r="S2675" i="1"/>
  <c r="AT2675" i="1" s="1"/>
  <c r="AO2675" i="1" s="1"/>
  <c r="S2676" i="1"/>
  <c r="AT2676" i="1" s="1"/>
  <c r="AO2676" i="1" s="1"/>
  <c r="S2677" i="1"/>
  <c r="AS2677" i="1" s="1"/>
  <c r="AN2677" i="1" s="1"/>
  <c r="S2678" i="1"/>
  <c r="AR2678" i="1" s="1"/>
  <c r="AM2678" i="1" s="1"/>
  <c r="S2679" i="1"/>
  <c r="AS2679" i="1" s="1"/>
  <c r="AN2679" i="1" s="1"/>
  <c r="S2680" i="1"/>
  <c r="AS2680" i="1" s="1"/>
  <c r="AN2680" i="1" s="1"/>
  <c r="S2683" i="1"/>
  <c r="AR2683" i="1" s="1"/>
  <c r="AM2683" i="1" s="1"/>
  <c r="S2684" i="1"/>
  <c r="AR2684" i="1" s="1"/>
  <c r="AM2684" i="1" s="1"/>
  <c r="S2685" i="1"/>
  <c r="AQ2685" i="1" s="1"/>
  <c r="AL2685" i="1" s="1"/>
  <c r="S2686" i="1"/>
  <c r="S2687" i="1"/>
  <c r="AQ2687" i="1" s="1"/>
  <c r="AL2687" i="1" s="1"/>
  <c r="S2688" i="1"/>
  <c r="AQ2688" i="1" s="1"/>
  <c r="AL2688" i="1" s="1"/>
  <c r="S2689" i="1"/>
  <c r="AT2689" i="1" s="1"/>
  <c r="AO2689" i="1" s="1"/>
  <c r="S2691" i="1"/>
  <c r="AT2691" i="1" s="1"/>
  <c r="AO2691" i="1" s="1"/>
  <c r="S2692" i="1"/>
  <c r="AT2692" i="1" s="1"/>
  <c r="AO2692" i="1" s="1"/>
  <c r="S2693" i="1"/>
  <c r="AS2693" i="1" s="1"/>
  <c r="AN2693" i="1" s="1"/>
  <c r="S2694" i="1"/>
  <c r="S2695" i="1"/>
  <c r="AS2695" i="1" s="1"/>
  <c r="AN2695" i="1" s="1"/>
  <c r="S2696" i="1"/>
  <c r="AS2696" i="1" s="1"/>
  <c r="AN2696" i="1" s="1"/>
  <c r="S2697" i="1"/>
  <c r="AR2697" i="1" s="1"/>
  <c r="AM2697" i="1" s="1"/>
  <c r="S2700" i="1"/>
  <c r="AR2700" i="1" s="1"/>
  <c r="AM2700" i="1" s="1"/>
  <c r="S2701" i="1"/>
  <c r="AQ2701" i="1" s="1"/>
  <c r="AL2701" i="1" s="1"/>
  <c r="S2702" i="1"/>
  <c r="AR2702" i="1" s="1"/>
  <c r="AM2702" i="1" s="1"/>
  <c r="S2703" i="1"/>
  <c r="AQ2703" i="1" s="1"/>
  <c r="AL2703" i="1" s="1"/>
  <c r="S2704" i="1"/>
  <c r="AQ2704" i="1" s="1"/>
  <c r="AL2704" i="1" s="1"/>
  <c r="S2705" i="1"/>
  <c r="AT2705" i="1" s="1"/>
  <c r="AO2705" i="1" s="1"/>
  <c r="S2706" i="1"/>
  <c r="AS2706" i="1" s="1"/>
  <c r="AN2706" i="1" s="1"/>
  <c r="S2708" i="1"/>
  <c r="AT2708" i="1" s="1"/>
  <c r="AO2708" i="1" s="1"/>
  <c r="S2709" i="1"/>
  <c r="AS2709" i="1" s="1"/>
  <c r="AN2709" i="1" s="1"/>
  <c r="S2710" i="1"/>
  <c r="AT2710" i="1" s="1"/>
  <c r="AO2710" i="1" s="1"/>
  <c r="S2711" i="1"/>
  <c r="AS2711" i="1" s="1"/>
  <c r="AN2711" i="1" s="1"/>
  <c r="S2712" i="1"/>
  <c r="AS2712" i="1" s="1"/>
  <c r="AN2712" i="1" s="1"/>
  <c r="S2713" i="1"/>
  <c r="AR2713" i="1" s="1"/>
  <c r="AM2713" i="1" s="1"/>
  <c r="S2714" i="1"/>
  <c r="S2716" i="1"/>
  <c r="AR2716" i="1" s="1"/>
  <c r="AM2716" i="1" s="1"/>
  <c r="S2717" i="1"/>
  <c r="AQ2717" i="1" s="1"/>
  <c r="AL2717" i="1" s="1"/>
  <c r="S2718" i="1"/>
  <c r="AT2718" i="1" s="1"/>
  <c r="AO2718" i="1" s="1"/>
  <c r="S2719" i="1"/>
  <c r="AQ2719" i="1" s="1"/>
  <c r="AL2719" i="1" s="1"/>
  <c r="S2720" i="1"/>
  <c r="AQ2720" i="1" s="1"/>
  <c r="AL2720" i="1" s="1"/>
  <c r="S2721" i="1"/>
  <c r="AT2721" i="1" s="1"/>
  <c r="AO2721" i="1" s="1"/>
  <c r="S2722" i="1"/>
  <c r="AS2722" i="1" s="1"/>
  <c r="AN2722" i="1" s="1"/>
  <c r="S2724" i="1"/>
  <c r="AT2724" i="1" s="1"/>
  <c r="AO2724" i="1" s="1"/>
  <c r="S2725" i="1"/>
  <c r="AS2725" i="1" s="1"/>
  <c r="AN2725" i="1" s="1"/>
  <c r="S2726" i="1"/>
  <c r="AT2726" i="1" s="1"/>
  <c r="AO2726" i="1" s="1"/>
  <c r="S2727" i="1"/>
  <c r="AS2727" i="1" s="1"/>
  <c r="AN2727" i="1" s="1"/>
  <c r="S2728" i="1"/>
  <c r="AS2728" i="1" s="1"/>
  <c r="AN2728" i="1" s="1"/>
  <c r="S2729" i="1"/>
  <c r="AR2729" i="1" s="1"/>
  <c r="AM2729" i="1" s="1"/>
  <c r="S2730" i="1"/>
  <c r="AS2730" i="1" s="1"/>
  <c r="AN2730" i="1" s="1"/>
  <c r="S2731" i="1"/>
  <c r="AR2731" i="1" s="1"/>
  <c r="AM2731" i="1" s="1"/>
  <c r="AU1981" i="1"/>
  <c r="AP1981" i="1" s="1"/>
  <c r="AU1982" i="1"/>
  <c r="AP1982" i="1" s="1"/>
  <c r="AU1983" i="1"/>
  <c r="AP1983" i="1" s="1"/>
  <c r="AU1984" i="1"/>
  <c r="AU1985" i="1"/>
  <c r="AP1985" i="1" s="1"/>
  <c r="AU1986" i="1"/>
  <c r="AP1986" i="1" s="1"/>
  <c r="AU1987" i="1"/>
  <c r="AP1987" i="1" s="1"/>
  <c r="AU1988" i="1"/>
  <c r="AP1988" i="1" s="1"/>
  <c r="AU1989" i="1"/>
  <c r="AP1989" i="1" s="1"/>
  <c r="AU1990" i="1"/>
  <c r="AP1990" i="1" s="1"/>
  <c r="AU1991" i="1"/>
  <c r="AP1991" i="1" s="1"/>
  <c r="AU1992" i="1"/>
  <c r="AP1992" i="1" s="1"/>
  <c r="AU1993" i="1"/>
  <c r="AP1993" i="1" s="1"/>
  <c r="AU1994" i="1"/>
  <c r="AU1995" i="1"/>
  <c r="AP1995" i="1" s="1"/>
  <c r="AU1996" i="1"/>
  <c r="AP1996" i="1" s="1"/>
  <c r="AU1997" i="1"/>
  <c r="AP1997" i="1" s="1"/>
  <c r="AU1998" i="1"/>
  <c r="AP1998" i="1" s="1"/>
  <c r="AU1999" i="1"/>
  <c r="AP1999" i="1" s="1"/>
  <c r="AU2000" i="1"/>
  <c r="AP2000" i="1" s="1"/>
  <c r="AU2001" i="1"/>
  <c r="AP2001" i="1" s="1"/>
  <c r="AU2002" i="1"/>
  <c r="AU2003" i="1"/>
  <c r="AP2003" i="1" s="1"/>
  <c r="AU2004" i="1"/>
  <c r="AP2004" i="1" s="1"/>
  <c r="AU2005" i="1"/>
  <c r="AP2005" i="1" s="1"/>
  <c r="AU2006" i="1"/>
  <c r="AP2006" i="1" s="1"/>
  <c r="AU2007" i="1"/>
  <c r="AP2007" i="1" s="1"/>
  <c r="AU2008" i="1"/>
  <c r="AP2008" i="1" s="1"/>
  <c r="AU2009" i="1"/>
  <c r="AU2010" i="1"/>
  <c r="AP2010" i="1" s="1"/>
  <c r="AU2011" i="1"/>
  <c r="AP2011" i="1" s="1"/>
  <c r="AU2012" i="1"/>
  <c r="AP2012" i="1" s="1"/>
  <c r="AU2013" i="1"/>
  <c r="AP2013" i="1" s="1"/>
  <c r="AU2014" i="1"/>
  <c r="AP2014" i="1" s="1"/>
  <c r="AU2015" i="1"/>
  <c r="AP2015" i="1" s="1"/>
  <c r="AU2016" i="1"/>
  <c r="AU2017" i="1"/>
  <c r="AP2017" i="1" s="1"/>
  <c r="AU2018" i="1"/>
  <c r="AU2019" i="1"/>
  <c r="AP2019" i="1" s="1"/>
  <c r="AU2020" i="1"/>
  <c r="AP2020" i="1" s="1"/>
  <c r="AU2021" i="1"/>
  <c r="AP2021" i="1" s="1"/>
  <c r="AU2022" i="1"/>
  <c r="AP2022" i="1" s="1"/>
  <c r="AU2023" i="1"/>
  <c r="AP2023" i="1" s="1"/>
  <c r="AU2024" i="1"/>
  <c r="AP2024" i="1" s="1"/>
  <c r="AU2025" i="1"/>
  <c r="AP2025" i="1" s="1"/>
  <c r="AU2026" i="1"/>
  <c r="AP2026" i="1" s="1"/>
  <c r="AU2027" i="1"/>
  <c r="AP2027" i="1" s="1"/>
  <c r="AU2028" i="1"/>
  <c r="AP2028" i="1" s="1"/>
  <c r="AU2029" i="1"/>
  <c r="AP2029" i="1" s="1"/>
  <c r="AU2030" i="1"/>
  <c r="AP2030" i="1" s="1"/>
  <c r="AU2031" i="1"/>
  <c r="AP2031" i="1" s="1"/>
  <c r="AU2032" i="1"/>
  <c r="AU2033" i="1"/>
  <c r="AU2034" i="1"/>
  <c r="AP2034" i="1" s="1"/>
  <c r="AU2035" i="1"/>
  <c r="AP2035" i="1" s="1"/>
  <c r="AU2036" i="1"/>
  <c r="AP2036" i="1" s="1"/>
  <c r="AU2037" i="1"/>
  <c r="AP2037" i="1" s="1"/>
  <c r="AU2038" i="1"/>
  <c r="AP2038" i="1" s="1"/>
  <c r="AU2039" i="1"/>
  <c r="AP2039" i="1" s="1"/>
  <c r="AU2040" i="1"/>
  <c r="AP2040" i="1" s="1"/>
  <c r="AU2041" i="1"/>
  <c r="AP2041" i="1" s="1"/>
  <c r="AU2042" i="1"/>
  <c r="AP2042" i="1" s="1"/>
  <c r="AU2043" i="1"/>
  <c r="AP2043" i="1" s="1"/>
  <c r="AU2044" i="1"/>
  <c r="AP2044" i="1" s="1"/>
  <c r="AU2045" i="1"/>
  <c r="AP2045" i="1" s="1"/>
  <c r="AU2046" i="1"/>
  <c r="AP2046" i="1" s="1"/>
  <c r="AU2047" i="1"/>
  <c r="AP2047" i="1" s="1"/>
  <c r="AU2048" i="1"/>
  <c r="AP2048" i="1" s="1"/>
  <c r="AU2049" i="1"/>
  <c r="AP2049" i="1" s="1"/>
  <c r="AU2050" i="1"/>
  <c r="AU2051" i="1"/>
  <c r="AP2051" i="1" s="1"/>
  <c r="AU2052" i="1"/>
  <c r="AP2052" i="1" s="1"/>
  <c r="AU2053" i="1"/>
  <c r="AP2053" i="1" s="1"/>
  <c r="AU2054" i="1"/>
  <c r="AP2054" i="1" s="1"/>
  <c r="AU2055" i="1"/>
  <c r="AP2055" i="1" s="1"/>
  <c r="AU2056" i="1"/>
  <c r="AP2056" i="1" s="1"/>
  <c r="AU2057" i="1"/>
  <c r="AP2057" i="1" s="1"/>
  <c r="AU2058" i="1"/>
  <c r="AU2059" i="1"/>
  <c r="AP2059" i="1" s="1"/>
  <c r="AU2060" i="1"/>
  <c r="AP2060" i="1" s="1"/>
  <c r="AU2061" i="1"/>
  <c r="AP2061" i="1" s="1"/>
  <c r="AU2062" i="1"/>
  <c r="AP2062" i="1" s="1"/>
  <c r="AU2063" i="1"/>
  <c r="AP2063" i="1" s="1"/>
  <c r="AU2064" i="1"/>
  <c r="AP2064" i="1" s="1"/>
  <c r="AU2065" i="1"/>
  <c r="AU2066" i="1"/>
  <c r="AU2067" i="1"/>
  <c r="AP2067" i="1" s="1"/>
  <c r="AU2068" i="1"/>
  <c r="AP2068" i="1" s="1"/>
  <c r="AU2069" i="1"/>
  <c r="AU2070" i="1"/>
  <c r="AP2070" i="1" s="1"/>
  <c r="AU2071" i="1"/>
  <c r="AP2071" i="1" s="1"/>
  <c r="AU2072" i="1"/>
  <c r="AP2072" i="1" s="1"/>
  <c r="AU2073" i="1"/>
  <c r="AP2073" i="1" s="1"/>
  <c r="AU2074" i="1"/>
  <c r="AU2075" i="1"/>
  <c r="AP2075" i="1" s="1"/>
  <c r="AU2076" i="1"/>
  <c r="AP2076" i="1" s="1"/>
  <c r="AU2077" i="1"/>
  <c r="AP2077" i="1" s="1"/>
  <c r="AU2078" i="1"/>
  <c r="AP2078" i="1" s="1"/>
  <c r="AU2079" i="1"/>
  <c r="AP2079" i="1" s="1"/>
  <c r="AU2080" i="1"/>
  <c r="AU2081" i="1"/>
  <c r="AP2081" i="1" s="1"/>
  <c r="AU2082" i="1"/>
  <c r="AU2083" i="1"/>
  <c r="AP2083" i="1" s="1"/>
  <c r="AU2084" i="1"/>
  <c r="AP2084" i="1" s="1"/>
  <c r="AU2085" i="1"/>
  <c r="AP2085" i="1" s="1"/>
  <c r="AU2086" i="1"/>
  <c r="AP2086" i="1" s="1"/>
  <c r="AU2087" i="1"/>
  <c r="AP2087" i="1" s="1"/>
  <c r="AU2088" i="1"/>
  <c r="AP2088" i="1" s="1"/>
  <c r="AU2089" i="1"/>
  <c r="AP2089" i="1" s="1"/>
  <c r="AU2090" i="1"/>
  <c r="AP2090" i="1" s="1"/>
  <c r="AU2091" i="1"/>
  <c r="AP2091" i="1" s="1"/>
  <c r="AU2092" i="1"/>
  <c r="AP2092" i="1" s="1"/>
  <c r="AU2093" i="1"/>
  <c r="AP2093" i="1" s="1"/>
  <c r="AU2094" i="1"/>
  <c r="AP2094" i="1" s="1"/>
  <c r="AU2095" i="1"/>
  <c r="AP2095" i="1" s="1"/>
  <c r="AU2096" i="1"/>
  <c r="AU2097" i="1"/>
  <c r="AP2097" i="1" s="1"/>
  <c r="AU2098" i="1"/>
  <c r="AU2099" i="1"/>
  <c r="AP2099" i="1" s="1"/>
  <c r="AU2100" i="1"/>
  <c r="AP2100" i="1" s="1"/>
  <c r="AU2101" i="1"/>
  <c r="AP2101" i="1" s="1"/>
  <c r="AU2102" i="1"/>
  <c r="AP2102" i="1" s="1"/>
  <c r="AU2103" i="1"/>
  <c r="AP2103" i="1" s="1"/>
  <c r="AU2104" i="1"/>
  <c r="AP2104" i="1" s="1"/>
  <c r="AU2105" i="1"/>
  <c r="AP2105" i="1" s="1"/>
  <c r="AU2106" i="1"/>
  <c r="AU2107" i="1"/>
  <c r="AU2108" i="1"/>
  <c r="AP2108" i="1" s="1"/>
  <c r="AU2109" i="1"/>
  <c r="AU2110" i="1"/>
  <c r="AP2110" i="1" s="1"/>
  <c r="AU2111" i="1"/>
  <c r="AP2111" i="1" s="1"/>
  <c r="AU2112" i="1"/>
  <c r="AU2113" i="1"/>
  <c r="AP2113" i="1" s="1"/>
  <c r="AU2114" i="1"/>
  <c r="AP2114" i="1" s="1"/>
  <c r="AU2115" i="1"/>
  <c r="AP2115" i="1" s="1"/>
  <c r="AU2116" i="1"/>
  <c r="AP2116" i="1" s="1"/>
  <c r="AU2117" i="1"/>
  <c r="AP2117" i="1" s="1"/>
  <c r="AU2118" i="1"/>
  <c r="AP2118" i="1" s="1"/>
  <c r="AU2119" i="1"/>
  <c r="AP2119" i="1" s="1"/>
  <c r="AU2120" i="1"/>
  <c r="AP2120" i="1" s="1"/>
  <c r="AU2121" i="1"/>
  <c r="AP2121" i="1" s="1"/>
  <c r="AU2122" i="1"/>
  <c r="AP2122" i="1" s="1"/>
  <c r="AU2123" i="1"/>
  <c r="AP2123" i="1" s="1"/>
  <c r="AU2124" i="1"/>
  <c r="AP2124" i="1" s="1"/>
  <c r="AU2125" i="1"/>
  <c r="AP2125" i="1" s="1"/>
  <c r="AU2126" i="1"/>
  <c r="AP2126" i="1" s="1"/>
  <c r="AU2127" i="1"/>
  <c r="AP2127" i="1" s="1"/>
  <c r="AU2128" i="1"/>
  <c r="AU2129" i="1"/>
  <c r="AP2129" i="1" s="1"/>
  <c r="AU2130" i="1"/>
  <c r="AU2131" i="1"/>
  <c r="AP2131" i="1" s="1"/>
  <c r="AU2132" i="1"/>
  <c r="AP2132" i="1" s="1"/>
  <c r="AU2133" i="1"/>
  <c r="AU2134" i="1"/>
  <c r="AP2134" i="1" s="1"/>
  <c r="AU2135" i="1"/>
  <c r="AP2135" i="1" s="1"/>
  <c r="AU2136" i="1"/>
  <c r="AP2136" i="1" s="1"/>
  <c r="AU2137" i="1"/>
  <c r="AP2137" i="1" s="1"/>
  <c r="AU2138" i="1"/>
  <c r="AP2138" i="1" s="1"/>
  <c r="AU2139" i="1"/>
  <c r="AP2139" i="1" s="1"/>
  <c r="AU2140" i="1"/>
  <c r="AP2140" i="1" s="1"/>
  <c r="AU2141" i="1"/>
  <c r="AP2141" i="1" s="1"/>
  <c r="AU2142" i="1"/>
  <c r="AP2142" i="1" s="1"/>
  <c r="AU2143" i="1"/>
  <c r="AP2143" i="1" s="1"/>
  <c r="AU2144" i="1"/>
  <c r="AU2145" i="1"/>
  <c r="AP2145" i="1" s="1"/>
  <c r="AU2146" i="1"/>
  <c r="AU2147" i="1"/>
  <c r="AP2147" i="1" s="1"/>
  <c r="AU2148" i="1"/>
  <c r="AP2148" i="1" s="1"/>
  <c r="AU2149" i="1"/>
  <c r="AP2149" i="1" s="1"/>
  <c r="AU2150" i="1"/>
  <c r="AP2150" i="1" s="1"/>
  <c r="AU2151" i="1"/>
  <c r="AP2151" i="1" s="1"/>
  <c r="AU2152" i="1"/>
  <c r="AP2152" i="1" s="1"/>
  <c r="AU2153" i="1"/>
  <c r="AP2153" i="1" s="1"/>
  <c r="AU2154" i="1"/>
  <c r="AP2154" i="1" s="1"/>
  <c r="AU2155" i="1"/>
  <c r="AP2155" i="1" s="1"/>
  <c r="AU2156" i="1"/>
  <c r="AP2156" i="1" s="1"/>
  <c r="AU2157" i="1"/>
  <c r="AP2157" i="1" s="1"/>
  <c r="AU2158" i="1"/>
  <c r="AP2158" i="1" s="1"/>
  <c r="AU2159" i="1"/>
  <c r="AP2159" i="1" s="1"/>
  <c r="AU2160" i="1"/>
  <c r="AU2161" i="1"/>
  <c r="AP2161" i="1" s="1"/>
  <c r="AU2162" i="1"/>
  <c r="AU2163" i="1"/>
  <c r="AP2163" i="1" s="1"/>
  <c r="AU2164" i="1"/>
  <c r="AP2164" i="1" s="1"/>
  <c r="AU2165" i="1"/>
  <c r="AP2165" i="1" s="1"/>
  <c r="AU2166" i="1"/>
  <c r="AP2166" i="1" s="1"/>
  <c r="AU2167" i="1"/>
  <c r="AP2167" i="1" s="1"/>
  <c r="AU2168" i="1"/>
  <c r="AP2168" i="1" s="1"/>
  <c r="AU2169" i="1"/>
  <c r="AP2169" i="1" s="1"/>
  <c r="AU2170" i="1"/>
  <c r="AP2170" i="1" s="1"/>
  <c r="AU2171" i="1"/>
  <c r="AP2171" i="1" s="1"/>
  <c r="AU2172" i="1"/>
  <c r="AP2172" i="1" s="1"/>
  <c r="AU2173" i="1"/>
  <c r="AP2173" i="1" s="1"/>
  <c r="AU2174" i="1"/>
  <c r="AP2174" i="1" s="1"/>
  <c r="AU2175" i="1"/>
  <c r="AP2175" i="1" s="1"/>
  <c r="AU2176" i="1"/>
  <c r="AP2176" i="1" s="1"/>
  <c r="AU2177" i="1"/>
  <c r="AP2177" i="1" s="1"/>
  <c r="AU2178" i="1"/>
  <c r="AU2179" i="1"/>
  <c r="AP2179" i="1" s="1"/>
  <c r="AU2180" i="1"/>
  <c r="AP2180" i="1" s="1"/>
  <c r="AU2181" i="1"/>
  <c r="AP2181" i="1" s="1"/>
  <c r="AU2182" i="1"/>
  <c r="AP2182" i="1" s="1"/>
  <c r="AU2183" i="1"/>
  <c r="AP2183" i="1" s="1"/>
  <c r="AU2184" i="1"/>
  <c r="AP2184" i="1" s="1"/>
  <c r="AU2185" i="1"/>
  <c r="AP2185" i="1" s="1"/>
  <c r="AU2186" i="1"/>
  <c r="AU2187" i="1"/>
  <c r="AP2187" i="1" s="1"/>
  <c r="AU2188" i="1"/>
  <c r="AP2188" i="1" s="1"/>
  <c r="AU2189" i="1"/>
  <c r="AP2189" i="1" s="1"/>
  <c r="AU2190" i="1"/>
  <c r="AP2190" i="1" s="1"/>
  <c r="AU2191" i="1"/>
  <c r="AP2191" i="1" s="1"/>
  <c r="AU2192" i="1"/>
  <c r="AP2192" i="1" s="1"/>
  <c r="AU2193" i="1"/>
  <c r="AP2193" i="1" s="1"/>
  <c r="AU2194" i="1"/>
  <c r="AP2194" i="1" s="1"/>
  <c r="AU2195" i="1"/>
  <c r="AP2195" i="1" s="1"/>
  <c r="AU2196" i="1"/>
  <c r="AP2196" i="1" s="1"/>
  <c r="AU2197" i="1"/>
  <c r="AP2197" i="1" s="1"/>
  <c r="AU2198" i="1"/>
  <c r="AP2198" i="1" s="1"/>
  <c r="AU2199" i="1"/>
  <c r="AP2199" i="1" s="1"/>
  <c r="AU2200" i="1"/>
  <c r="AP2200" i="1" s="1"/>
  <c r="AU2201" i="1"/>
  <c r="AP2201" i="1" s="1"/>
  <c r="AU2202" i="1"/>
  <c r="AU2203" i="1"/>
  <c r="AP2203" i="1" s="1"/>
  <c r="AU2204" i="1"/>
  <c r="AP2204" i="1" s="1"/>
  <c r="AU2205" i="1"/>
  <c r="AP2205" i="1" s="1"/>
  <c r="AU2206" i="1"/>
  <c r="AP2206" i="1" s="1"/>
  <c r="AU2207" i="1"/>
  <c r="AP2207" i="1" s="1"/>
  <c r="AU2208" i="1"/>
  <c r="AU2209" i="1"/>
  <c r="AP2209" i="1" s="1"/>
  <c r="AU2210" i="1"/>
  <c r="AU2211" i="1"/>
  <c r="AP2211" i="1" s="1"/>
  <c r="AU2212" i="1"/>
  <c r="AP2212" i="1" s="1"/>
  <c r="AU2213" i="1"/>
  <c r="AP2213" i="1" s="1"/>
  <c r="AU2214" i="1"/>
  <c r="AP2214" i="1" s="1"/>
  <c r="AU2215" i="1"/>
  <c r="AP2215" i="1" s="1"/>
  <c r="AU2216" i="1"/>
  <c r="AP2216" i="1" s="1"/>
  <c r="AU2217" i="1"/>
  <c r="AP2217" i="1" s="1"/>
  <c r="AU2218" i="1"/>
  <c r="AP2218" i="1" s="1"/>
  <c r="AU2219" i="1"/>
  <c r="AP2219" i="1" s="1"/>
  <c r="AU2220" i="1"/>
  <c r="AP2220" i="1" s="1"/>
  <c r="AU2221" i="1"/>
  <c r="AP2221" i="1" s="1"/>
  <c r="AU2222" i="1"/>
  <c r="AP2222" i="1" s="1"/>
  <c r="AU2223" i="1"/>
  <c r="AP2223" i="1" s="1"/>
  <c r="AU2224" i="1"/>
  <c r="AU2225" i="1"/>
  <c r="AP2225" i="1" s="1"/>
  <c r="AU2226" i="1"/>
  <c r="AU2227" i="1"/>
  <c r="AP2227" i="1" s="1"/>
  <c r="AU2228" i="1"/>
  <c r="AP2228" i="1" s="1"/>
  <c r="AU2229" i="1"/>
  <c r="AP2229" i="1" s="1"/>
  <c r="AU2230" i="1"/>
  <c r="AP2230" i="1" s="1"/>
  <c r="AU2231" i="1"/>
  <c r="AP2231" i="1" s="1"/>
  <c r="AU2232" i="1"/>
  <c r="AP2232" i="1" s="1"/>
  <c r="AU2233" i="1"/>
  <c r="AP2233" i="1" s="1"/>
  <c r="AU2234" i="1"/>
  <c r="AP2234" i="1" s="1"/>
  <c r="AU2235" i="1"/>
  <c r="AP2235" i="1" s="1"/>
  <c r="AU2236" i="1"/>
  <c r="AP2236" i="1" s="1"/>
  <c r="AU2237" i="1"/>
  <c r="AP2237" i="1" s="1"/>
  <c r="AU2238" i="1"/>
  <c r="AP2238" i="1" s="1"/>
  <c r="AU2239" i="1"/>
  <c r="AP2239" i="1" s="1"/>
  <c r="AU2240" i="1"/>
  <c r="AU2241" i="1"/>
  <c r="AP2241" i="1" s="1"/>
  <c r="AU2242" i="1"/>
  <c r="AP2242" i="1" s="1"/>
  <c r="AU2243" i="1"/>
  <c r="AP2243" i="1" s="1"/>
  <c r="AU2244" i="1"/>
  <c r="AP2244" i="1" s="1"/>
  <c r="AU2245" i="1"/>
  <c r="AP2245" i="1" s="1"/>
  <c r="AU2246" i="1"/>
  <c r="AP2246" i="1" s="1"/>
  <c r="AU2247" i="1"/>
  <c r="AP2247" i="1" s="1"/>
  <c r="AU2248" i="1"/>
  <c r="AP2248" i="1" s="1"/>
  <c r="AU2249" i="1"/>
  <c r="AP2249" i="1" s="1"/>
  <c r="AU2250" i="1"/>
  <c r="AU2251" i="1"/>
  <c r="AP2251" i="1" s="1"/>
  <c r="AU2252" i="1"/>
  <c r="AP2252" i="1" s="1"/>
  <c r="AU2253" i="1"/>
  <c r="AP2253" i="1" s="1"/>
  <c r="AU2254" i="1"/>
  <c r="AP2254" i="1" s="1"/>
  <c r="AU2255" i="1"/>
  <c r="AP2255" i="1" s="1"/>
  <c r="AU2256" i="1"/>
  <c r="AP2256" i="1" s="1"/>
  <c r="AU2257" i="1"/>
  <c r="AP2257" i="1" s="1"/>
  <c r="AU2258" i="1"/>
  <c r="AP2258" i="1" s="1"/>
  <c r="AU2259" i="1"/>
  <c r="AP2259" i="1" s="1"/>
  <c r="AU2260" i="1"/>
  <c r="AP2260" i="1" s="1"/>
  <c r="AU2261" i="1"/>
  <c r="AP2261" i="1" s="1"/>
  <c r="AU2262" i="1"/>
  <c r="AP2262" i="1" s="1"/>
  <c r="AU2263" i="1"/>
  <c r="AP2263" i="1" s="1"/>
  <c r="AU2264" i="1"/>
  <c r="AP2264" i="1" s="1"/>
  <c r="AU2265" i="1"/>
  <c r="AU2266" i="1"/>
  <c r="AP2266" i="1" s="1"/>
  <c r="AU2267" i="1"/>
  <c r="AP2267" i="1" s="1"/>
  <c r="AU2268" i="1"/>
  <c r="AP2268" i="1" s="1"/>
  <c r="AU2269" i="1"/>
  <c r="AP2269" i="1" s="1"/>
  <c r="AU2270" i="1"/>
  <c r="AP2270" i="1" s="1"/>
  <c r="AU2271" i="1"/>
  <c r="AP2271" i="1" s="1"/>
  <c r="AU2272" i="1"/>
  <c r="AP2272" i="1" s="1"/>
  <c r="AU2273" i="1"/>
  <c r="AU2274" i="1"/>
  <c r="AP2274" i="1" s="1"/>
  <c r="AU2275" i="1"/>
  <c r="AP2275" i="1" s="1"/>
  <c r="AU2276" i="1"/>
  <c r="AP2276" i="1" s="1"/>
  <c r="AU2277" i="1"/>
  <c r="AP2277" i="1" s="1"/>
  <c r="AU2278" i="1"/>
  <c r="AP2278" i="1" s="1"/>
  <c r="AU2279" i="1"/>
  <c r="AP2279" i="1" s="1"/>
  <c r="AU2280" i="1"/>
  <c r="AP2280" i="1" s="1"/>
  <c r="AU2281" i="1"/>
  <c r="AP2281" i="1" s="1"/>
  <c r="AU2282" i="1"/>
  <c r="AU2283" i="1"/>
  <c r="AP2283" i="1" s="1"/>
  <c r="AU2284" i="1"/>
  <c r="AP2284" i="1" s="1"/>
  <c r="AU2285" i="1"/>
  <c r="AP2285" i="1" s="1"/>
  <c r="AU2286" i="1"/>
  <c r="AP2286" i="1" s="1"/>
  <c r="AU2287" i="1"/>
  <c r="AP2287" i="1" s="1"/>
  <c r="AU2288" i="1"/>
  <c r="AU2289" i="1"/>
  <c r="AP2289" i="1" s="1"/>
  <c r="AU2290" i="1"/>
  <c r="AP2290" i="1" s="1"/>
  <c r="AU2291" i="1"/>
  <c r="AP2291" i="1" s="1"/>
  <c r="AU2292" i="1"/>
  <c r="AP2292" i="1" s="1"/>
  <c r="AU2293" i="1"/>
  <c r="AP2293" i="1" s="1"/>
  <c r="AU2294" i="1"/>
  <c r="AP2294" i="1" s="1"/>
  <c r="AU2295" i="1"/>
  <c r="AP2295" i="1" s="1"/>
  <c r="AU2296" i="1"/>
  <c r="AP2296" i="1" s="1"/>
  <c r="AU2297" i="1"/>
  <c r="AP2297" i="1" s="1"/>
  <c r="AU2298" i="1"/>
  <c r="AP2298" i="1" s="1"/>
  <c r="AU2299" i="1"/>
  <c r="AP2299" i="1" s="1"/>
  <c r="AU2300" i="1"/>
  <c r="AP2300" i="1" s="1"/>
  <c r="AU2301" i="1"/>
  <c r="AP2301" i="1" s="1"/>
  <c r="AU2302" i="1"/>
  <c r="AP2302" i="1" s="1"/>
  <c r="AU2303" i="1"/>
  <c r="AP2303" i="1" s="1"/>
  <c r="AU2304" i="1"/>
  <c r="AU2305" i="1"/>
  <c r="AP2305" i="1" s="1"/>
  <c r="AU2306" i="1"/>
  <c r="AP2306" i="1" s="1"/>
  <c r="AU2307" i="1"/>
  <c r="AP2307" i="1" s="1"/>
  <c r="AU2308" i="1"/>
  <c r="AP2308" i="1" s="1"/>
  <c r="AU2309" i="1"/>
  <c r="AP2309" i="1" s="1"/>
  <c r="AU2310" i="1"/>
  <c r="AP2310" i="1" s="1"/>
  <c r="AU2311" i="1"/>
  <c r="AP2311" i="1" s="1"/>
  <c r="AU2312" i="1"/>
  <c r="AP2312" i="1" s="1"/>
  <c r="AU2313" i="1"/>
  <c r="AP2313" i="1" s="1"/>
  <c r="AU2314" i="1"/>
  <c r="AP2314" i="1" s="1"/>
  <c r="AU2315" i="1"/>
  <c r="AP2315" i="1" s="1"/>
  <c r="AU2316" i="1"/>
  <c r="AP2316" i="1" s="1"/>
  <c r="AU2317" i="1"/>
  <c r="AP2317" i="1" s="1"/>
  <c r="AU2318" i="1"/>
  <c r="AP2318" i="1" s="1"/>
  <c r="AU2319" i="1"/>
  <c r="AP2319" i="1" s="1"/>
  <c r="AU2320" i="1"/>
  <c r="AU2321" i="1"/>
  <c r="AP2321" i="1" s="1"/>
  <c r="AU2322" i="1"/>
  <c r="AU2323" i="1"/>
  <c r="AP2323" i="1" s="1"/>
  <c r="AU2324" i="1"/>
  <c r="AP2324" i="1" s="1"/>
  <c r="AU2325" i="1"/>
  <c r="AP2325" i="1" s="1"/>
  <c r="AU2326" i="1"/>
  <c r="AP2326" i="1" s="1"/>
  <c r="AU2327" i="1"/>
  <c r="AP2327" i="1" s="1"/>
  <c r="AU2328" i="1"/>
  <c r="AP2328" i="1" s="1"/>
  <c r="AU2329" i="1"/>
  <c r="AP2329" i="1" s="1"/>
  <c r="AU2330" i="1"/>
  <c r="AP2330" i="1" s="1"/>
  <c r="AU2331" i="1"/>
  <c r="AP2331" i="1" s="1"/>
  <c r="AU2332" i="1"/>
  <c r="AP2332" i="1" s="1"/>
  <c r="AU2333" i="1"/>
  <c r="AP2333" i="1" s="1"/>
  <c r="AU2334" i="1"/>
  <c r="AP2334" i="1" s="1"/>
  <c r="AU2335" i="1"/>
  <c r="AP2335" i="1" s="1"/>
  <c r="AU2336" i="1"/>
  <c r="AP2336" i="1" s="1"/>
  <c r="AU2337" i="1"/>
  <c r="AP2337" i="1" s="1"/>
  <c r="AU2338" i="1"/>
  <c r="AU2339" i="1"/>
  <c r="AP2339" i="1" s="1"/>
  <c r="AU2340" i="1"/>
  <c r="AP2340" i="1" s="1"/>
  <c r="AU2341" i="1"/>
  <c r="AP2341" i="1" s="1"/>
  <c r="AU2342" i="1"/>
  <c r="AP2342" i="1" s="1"/>
  <c r="AU2343" i="1"/>
  <c r="AP2343" i="1" s="1"/>
  <c r="AU2344" i="1"/>
  <c r="AP2344" i="1" s="1"/>
  <c r="AU2345" i="1"/>
  <c r="AP2345" i="1" s="1"/>
  <c r="AU2346" i="1"/>
  <c r="AP2346" i="1" s="1"/>
  <c r="AU2347" i="1"/>
  <c r="AP2347" i="1" s="1"/>
  <c r="AU2348" i="1"/>
  <c r="AP2348" i="1" s="1"/>
  <c r="AU2349" i="1"/>
  <c r="AP2349" i="1" s="1"/>
  <c r="AU2350" i="1"/>
  <c r="AP2350" i="1" s="1"/>
  <c r="AU2351" i="1"/>
  <c r="AP2351" i="1" s="1"/>
  <c r="AU2352" i="1"/>
  <c r="AU2353" i="1"/>
  <c r="AP2353" i="1" s="1"/>
  <c r="AU2354" i="1"/>
  <c r="AU2355" i="1"/>
  <c r="AP2355" i="1" s="1"/>
  <c r="AU2356" i="1"/>
  <c r="AP2356" i="1" s="1"/>
  <c r="AU2357" i="1"/>
  <c r="AP2357" i="1" s="1"/>
  <c r="AU2358" i="1"/>
  <c r="AP2358" i="1" s="1"/>
  <c r="AU2359" i="1"/>
  <c r="AP2359" i="1" s="1"/>
  <c r="AU2360" i="1"/>
  <c r="AP2360" i="1" s="1"/>
  <c r="AU2361" i="1"/>
  <c r="AP2361" i="1" s="1"/>
  <c r="AU2362" i="1"/>
  <c r="AP2362" i="1" s="1"/>
  <c r="AU2363" i="1"/>
  <c r="AP2363" i="1" s="1"/>
  <c r="AU2364" i="1"/>
  <c r="AP2364" i="1" s="1"/>
  <c r="AU2365" i="1"/>
  <c r="AP2365" i="1" s="1"/>
  <c r="AU2366" i="1"/>
  <c r="AP2366" i="1" s="1"/>
  <c r="AU2367" i="1"/>
  <c r="AP2367" i="1" s="1"/>
  <c r="AU2368" i="1"/>
  <c r="AP2368" i="1" s="1"/>
  <c r="AU2369" i="1"/>
  <c r="AP2369" i="1" s="1"/>
  <c r="AU2370" i="1"/>
  <c r="AP2370" i="1" s="1"/>
  <c r="AU2371" i="1"/>
  <c r="AP2371" i="1" s="1"/>
  <c r="AU2372" i="1"/>
  <c r="AP2372" i="1" s="1"/>
  <c r="AU2373" i="1"/>
  <c r="AP2373" i="1" s="1"/>
  <c r="AU2374" i="1"/>
  <c r="AP2374" i="1" s="1"/>
  <c r="AU2375" i="1"/>
  <c r="AP2375" i="1" s="1"/>
  <c r="AU2376" i="1"/>
  <c r="AP2376" i="1" s="1"/>
  <c r="AU2377" i="1"/>
  <c r="AP2377" i="1" s="1"/>
  <c r="AU2378" i="1"/>
  <c r="AP2378" i="1" s="1"/>
  <c r="AU2379" i="1"/>
  <c r="AP2379" i="1" s="1"/>
  <c r="AU2380" i="1"/>
  <c r="AP2380" i="1" s="1"/>
  <c r="AU2381" i="1"/>
  <c r="AP2381" i="1" s="1"/>
  <c r="AU2382" i="1"/>
  <c r="AP2382" i="1" s="1"/>
  <c r="AU2383" i="1"/>
  <c r="AP2383" i="1" s="1"/>
  <c r="AU2384" i="1"/>
  <c r="AU2385" i="1"/>
  <c r="AP2385" i="1" s="1"/>
  <c r="AU2386" i="1"/>
  <c r="AP2386" i="1" s="1"/>
  <c r="AU2387" i="1"/>
  <c r="AP2387" i="1" s="1"/>
  <c r="AU2388" i="1"/>
  <c r="AP2388" i="1" s="1"/>
  <c r="AU2389" i="1"/>
  <c r="AP2389" i="1" s="1"/>
  <c r="AU2390" i="1"/>
  <c r="AP2390" i="1" s="1"/>
  <c r="AU2391" i="1"/>
  <c r="AU2392" i="1"/>
  <c r="AU2393" i="1"/>
  <c r="AP2393" i="1" s="1"/>
  <c r="AU2394" i="1"/>
  <c r="AP2394" i="1" s="1"/>
  <c r="AU2395" i="1"/>
  <c r="AP2395" i="1" s="1"/>
  <c r="AU2396" i="1"/>
  <c r="AP2396" i="1" s="1"/>
  <c r="AU2397" i="1"/>
  <c r="AP2397" i="1" s="1"/>
  <c r="AU2398" i="1"/>
  <c r="AP2398" i="1" s="1"/>
  <c r="AU2399" i="1"/>
  <c r="AP2399" i="1" s="1"/>
  <c r="AU2400" i="1"/>
  <c r="AP2400" i="1" s="1"/>
  <c r="AU2401" i="1"/>
  <c r="AP2401" i="1" s="1"/>
  <c r="AU2402" i="1"/>
  <c r="AP2402" i="1" s="1"/>
  <c r="AU2403" i="1"/>
  <c r="AP2403" i="1" s="1"/>
  <c r="AU2404" i="1"/>
  <c r="AP2404" i="1" s="1"/>
  <c r="AU2405" i="1"/>
  <c r="AP2405" i="1" s="1"/>
  <c r="AU2406" i="1"/>
  <c r="AP2406" i="1" s="1"/>
  <c r="AU2407" i="1"/>
  <c r="AP2407" i="1" s="1"/>
  <c r="AU2408" i="1"/>
  <c r="AP2408" i="1" s="1"/>
  <c r="AU2409" i="1"/>
  <c r="AP2409" i="1" s="1"/>
  <c r="AU2410" i="1"/>
  <c r="AP2410" i="1" s="1"/>
  <c r="AU2411" i="1"/>
  <c r="AP2411" i="1" s="1"/>
  <c r="AU2412" i="1"/>
  <c r="AP2412" i="1" s="1"/>
  <c r="AU2413" i="1"/>
  <c r="AP2413" i="1" s="1"/>
  <c r="AU2414" i="1"/>
  <c r="AP2414" i="1" s="1"/>
  <c r="AU2415" i="1"/>
  <c r="AP2415" i="1" s="1"/>
  <c r="AU2416" i="1"/>
  <c r="AU2417" i="1"/>
  <c r="AU2418" i="1"/>
  <c r="AP2418" i="1" s="1"/>
  <c r="AU2419" i="1"/>
  <c r="AP2419" i="1" s="1"/>
  <c r="AU2420" i="1"/>
  <c r="AP2420" i="1" s="1"/>
  <c r="AU2421" i="1"/>
  <c r="AP2421" i="1" s="1"/>
  <c r="AU2422" i="1"/>
  <c r="AP2422" i="1" s="1"/>
  <c r="AU2423" i="1"/>
  <c r="AP2423" i="1" s="1"/>
  <c r="AU2424" i="1"/>
  <c r="AP2424" i="1" s="1"/>
  <c r="AU2425" i="1"/>
  <c r="AP2425" i="1" s="1"/>
  <c r="AU2426" i="1"/>
  <c r="AP2426" i="1" s="1"/>
  <c r="AU2427" i="1"/>
  <c r="AP2427" i="1" s="1"/>
  <c r="AU2428" i="1"/>
  <c r="AP2428" i="1" s="1"/>
  <c r="AU2429" i="1"/>
  <c r="AP2429" i="1" s="1"/>
  <c r="AU2430" i="1"/>
  <c r="AP2430" i="1" s="1"/>
  <c r="AU2431" i="1"/>
  <c r="AP2431" i="1" s="1"/>
  <c r="AU2432" i="1"/>
  <c r="AU2433" i="1"/>
  <c r="AP2433" i="1" s="1"/>
  <c r="AU2434" i="1"/>
  <c r="AP2434" i="1" s="1"/>
  <c r="AU2435" i="1"/>
  <c r="AP2435" i="1" s="1"/>
  <c r="AU2436" i="1"/>
  <c r="AP2436" i="1" s="1"/>
  <c r="AU2437" i="1"/>
  <c r="AP2437" i="1" s="1"/>
  <c r="AU2438" i="1"/>
  <c r="AP2438" i="1" s="1"/>
  <c r="AU2439" i="1"/>
  <c r="AP2439" i="1" s="1"/>
  <c r="AU2440" i="1"/>
  <c r="AP2440" i="1" s="1"/>
  <c r="AU2441" i="1"/>
  <c r="AP2441" i="1" s="1"/>
  <c r="AU2442" i="1"/>
  <c r="AP2442" i="1" s="1"/>
  <c r="AU2443" i="1"/>
  <c r="AP2443" i="1" s="1"/>
  <c r="AU2444" i="1"/>
  <c r="AP2444" i="1" s="1"/>
  <c r="AU2445" i="1"/>
  <c r="AP2445" i="1" s="1"/>
  <c r="AU2446" i="1"/>
  <c r="AP2446" i="1" s="1"/>
  <c r="AU2447" i="1"/>
  <c r="AP2447" i="1" s="1"/>
  <c r="AU2448" i="1"/>
  <c r="AP2448" i="1" s="1"/>
  <c r="AU2449" i="1"/>
  <c r="AP2449" i="1" s="1"/>
  <c r="AU2450" i="1"/>
  <c r="AP2450" i="1" s="1"/>
  <c r="AU2451" i="1"/>
  <c r="AP2451" i="1" s="1"/>
  <c r="AU2452" i="1"/>
  <c r="AP2452" i="1" s="1"/>
  <c r="AU2453" i="1"/>
  <c r="AP2453" i="1" s="1"/>
  <c r="AU2454" i="1"/>
  <c r="AP2454" i="1" s="1"/>
  <c r="AU2455" i="1"/>
  <c r="AP2455" i="1" s="1"/>
  <c r="AU2456" i="1"/>
  <c r="AP2456" i="1" s="1"/>
  <c r="AU2457" i="1"/>
  <c r="AP2457" i="1" s="1"/>
  <c r="AU2458" i="1"/>
  <c r="AP2458" i="1" s="1"/>
  <c r="AU2459" i="1"/>
  <c r="AP2459" i="1" s="1"/>
  <c r="AU2460" i="1"/>
  <c r="AP2460" i="1" s="1"/>
  <c r="AU2461" i="1"/>
  <c r="AP2461" i="1" s="1"/>
  <c r="AU2462" i="1"/>
  <c r="AP2462" i="1" s="1"/>
  <c r="AU2463" i="1"/>
  <c r="AP2463" i="1" s="1"/>
  <c r="AU2464" i="1"/>
  <c r="AP2464" i="1" s="1"/>
  <c r="AU2465" i="1"/>
  <c r="AU2466" i="1"/>
  <c r="AU2467" i="1"/>
  <c r="AP2467" i="1" s="1"/>
  <c r="AU2468" i="1"/>
  <c r="AP2468" i="1" s="1"/>
  <c r="AU2469" i="1"/>
  <c r="AP2469" i="1" s="1"/>
  <c r="AU2470" i="1"/>
  <c r="AP2470" i="1" s="1"/>
  <c r="AU2471" i="1"/>
  <c r="AP2471" i="1" s="1"/>
  <c r="AU2472" i="1"/>
  <c r="AP2472" i="1" s="1"/>
  <c r="AU2473" i="1"/>
  <c r="AP2473" i="1" s="1"/>
  <c r="AU2474" i="1"/>
  <c r="AP2474" i="1" s="1"/>
  <c r="AU2475" i="1"/>
  <c r="AP2475" i="1" s="1"/>
  <c r="AU2476" i="1"/>
  <c r="AP2476" i="1" s="1"/>
  <c r="AU2477" i="1"/>
  <c r="AP2477" i="1" s="1"/>
  <c r="AU2478" i="1"/>
  <c r="AP2478" i="1" s="1"/>
  <c r="AU2479" i="1"/>
  <c r="AP2479" i="1" s="1"/>
  <c r="AU2480" i="1"/>
  <c r="AU2481" i="1"/>
  <c r="AP2481" i="1" s="1"/>
  <c r="AU2482" i="1"/>
  <c r="AP2482" i="1" s="1"/>
  <c r="AU2483" i="1"/>
  <c r="AP2483" i="1" s="1"/>
  <c r="AU2484" i="1"/>
  <c r="AP2484" i="1" s="1"/>
  <c r="AU2485" i="1"/>
  <c r="AP2485" i="1" s="1"/>
  <c r="AU2486" i="1"/>
  <c r="AP2486" i="1" s="1"/>
  <c r="AU2487" i="1"/>
  <c r="AP2487" i="1" s="1"/>
  <c r="AU2488" i="1"/>
  <c r="AP2488" i="1" s="1"/>
  <c r="AU2489" i="1"/>
  <c r="AP2489" i="1" s="1"/>
  <c r="AU2490" i="1"/>
  <c r="AP2490" i="1" s="1"/>
  <c r="AU2491" i="1"/>
  <c r="AP2491" i="1" s="1"/>
  <c r="AU2492" i="1"/>
  <c r="AP2492" i="1" s="1"/>
  <c r="AU2493" i="1"/>
  <c r="AP2493" i="1" s="1"/>
  <c r="AU2494" i="1"/>
  <c r="AP2494" i="1" s="1"/>
  <c r="AU2495" i="1"/>
  <c r="AP2495" i="1" s="1"/>
  <c r="AU2496" i="1"/>
  <c r="AP2496" i="1" s="1"/>
  <c r="AU2497" i="1"/>
  <c r="AP2497" i="1" s="1"/>
  <c r="AU2498" i="1"/>
  <c r="AP2498" i="1" s="1"/>
  <c r="AU2499" i="1"/>
  <c r="AP2499" i="1" s="1"/>
  <c r="AU2500" i="1"/>
  <c r="AP2500" i="1" s="1"/>
  <c r="AU2501" i="1"/>
  <c r="AP2501" i="1" s="1"/>
  <c r="AU2502" i="1"/>
  <c r="AP2502" i="1" s="1"/>
  <c r="AU2503" i="1"/>
  <c r="AP2503" i="1" s="1"/>
  <c r="AU2504" i="1"/>
  <c r="AP2504" i="1" s="1"/>
  <c r="AU2505" i="1"/>
  <c r="AP2505" i="1" s="1"/>
  <c r="AU2506" i="1"/>
  <c r="AP2506" i="1" s="1"/>
  <c r="AU2507" i="1"/>
  <c r="AP2507" i="1" s="1"/>
  <c r="AU2508" i="1"/>
  <c r="AP2508" i="1" s="1"/>
  <c r="AU2509" i="1"/>
  <c r="AP2509" i="1" s="1"/>
  <c r="AU2510" i="1"/>
  <c r="AP2510" i="1" s="1"/>
  <c r="AU2511" i="1"/>
  <c r="AP2511" i="1" s="1"/>
  <c r="AU2512" i="1"/>
  <c r="AU2513" i="1"/>
  <c r="AU2514" i="1"/>
  <c r="AP2514" i="1" s="1"/>
  <c r="AU2515" i="1"/>
  <c r="AP2515" i="1" s="1"/>
  <c r="AU2516" i="1"/>
  <c r="AP2516" i="1" s="1"/>
  <c r="AU2517" i="1"/>
  <c r="AP2517" i="1" s="1"/>
  <c r="AU2518" i="1"/>
  <c r="AP2518" i="1" s="1"/>
  <c r="AU2519" i="1"/>
  <c r="AP2519" i="1" s="1"/>
  <c r="AU2520" i="1"/>
  <c r="AP2520" i="1" s="1"/>
  <c r="AU2521" i="1"/>
  <c r="AP2521" i="1" s="1"/>
  <c r="AU2522" i="1"/>
  <c r="AP2522" i="1" s="1"/>
  <c r="AU2523" i="1"/>
  <c r="AP2523" i="1" s="1"/>
  <c r="AU2524" i="1"/>
  <c r="AP2524" i="1" s="1"/>
  <c r="AU2525" i="1"/>
  <c r="AP2525" i="1" s="1"/>
  <c r="AU2526" i="1"/>
  <c r="AP2526" i="1" s="1"/>
  <c r="AU2527" i="1"/>
  <c r="AP2527" i="1" s="1"/>
  <c r="AU2528" i="1"/>
  <c r="AP2528" i="1" s="1"/>
  <c r="AU2529" i="1"/>
  <c r="AP2529" i="1" s="1"/>
  <c r="AU2530" i="1"/>
  <c r="AP2530" i="1" s="1"/>
  <c r="AU2531" i="1"/>
  <c r="AP2531" i="1" s="1"/>
  <c r="AU2532" i="1"/>
  <c r="AP2532" i="1" s="1"/>
  <c r="AU2533" i="1"/>
  <c r="AP2533" i="1" s="1"/>
  <c r="AU2534" i="1"/>
  <c r="AP2534" i="1" s="1"/>
  <c r="AU2535" i="1"/>
  <c r="AP2535" i="1" s="1"/>
  <c r="AU2536" i="1"/>
  <c r="AU2537" i="1"/>
  <c r="AP2537" i="1" s="1"/>
  <c r="AU2538" i="1"/>
  <c r="AP2538" i="1" s="1"/>
  <c r="AU2539" i="1"/>
  <c r="AP2539" i="1" s="1"/>
  <c r="AU2540" i="1"/>
  <c r="AP2540" i="1" s="1"/>
  <c r="AU2541" i="1"/>
  <c r="AP2541" i="1" s="1"/>
  <c r="AU2542" i="1"/>
  <c r="AP2542" i="1" s="1"/>
  <c r="AU2543" i="1"/>
  <c r="AP2543" i="1" s="1"/>
  <c r="AT1981" i="1"/>
  <c r="AT1982" i="1"/>
  <c r="AT1983" i="1"/>
  <c r="AT1984" i="1"/>
  <c r="AT1985" i="1"/>
  <c r="AT1986" i="1"/>
  <c r="AT1987" i="1"/>
  <c r="AO1987" i="1" s="1"/>
  <c r="AT1988" i="1"/>
  <c r="AO1988" i="1" s="1"/>
  <c r="AT1989" i="1"/>
  <c r="AO1989" i="1" s="1"/>
  <c r="AT1990" i="1"/>
  <c r="AO1990" i="1" s="1"/>
  <c r="AT1991" i="1"/>
  <c r="AT1992" i="1"/>
  <c r="AO1992" i="1" s="1"/>
  <c r="AT1993" i="1"/>
  <c r="AT1994" i="1"/>
  <c r="AO1994" i="1" s="1"/>
  <c r="AT1995" i="1"/>
  <c r="AO1995" i="1" s="1"/>
  <c r="AT1996" i="1"/>
  <c r="AO1996" i="1" s="1"/>
  <c r="AT1997" i="1"/>
  <c r="AT1998" i="1"/>
  <c r="AT1999" i="1"/>
  <c r="AT2000" i="1"/>
  <c r="AT2001" i="1"/>
  <c r="AT2002" i="1"/>
  <c r="AT2003" i="1"/>
  <c r="AO2003" i="1" s="1"/>
  <c r="AT2004" i="1"/>
  <c r="AO2004" i="1" s="1"/>
  <c r="AT2005" i="1"/>
  <c r="AO2005" i="1" s="1"/>
  <c r="AT2006" i="1"/>
  <c r="AO2006" i="1" s="1"/>
  <c r="AT2007" i="1"/>
  <c r="AT2008" i="1"/>
  <c r="AT2009" i="1"/>
  <c r="AT2010" i="1"/>
  <c r="AO2010" i="1" s="1"/>
  <c r="AT2011" i="1"/>
  <c r="AO2011" i="1" s="1"/>
  <c r="AT2012" i="1"/>
  <c r="AO2012" i="1" s="1"/>
  <c r="AT2013" i="1"/>
  <c r="AT2014" i="1"/>
  <c r="AT2015" i="1"/>
  <c r="AT2016" i="1"/>
  <c r="AT2017" i="1"/>
  <c r="AT2018" i="1"/>
  <c r="AT2019" i="1"/>
  <c r="AO2019" i="1" s="1"/>
  <c r="AT2020" i="1"/>
  <c r="AO2020" i="1" s="1"/>
  <c r="AT2021" i="1"/>
  <c r="AO2021" i="1" s="1"/>
  <c r="AT2022" i="1"/>
  <c r="AO2022" i="1" s="1"/>
  <c r="AT2023" i="1"/>
  <c r="AT2024" i="1"/>
  <c r="AT2025" i="1"/>
  <c r="AT2026" i="1"/>
  <c r="AO2026" i="1" s="1"/>
  <c r="AT2027" i="1"/>
  <c r="AO2027" i="1" s="1"/>
  <c r="AT2028" i="1"/>
  <c r="AO2028" i="1" s="1"/>
  <c r="AT2029" i="1"/>
  <c r="AT2030" i="1"/>
  <c r="AT2031" i="1"/>
  <c r="AT2032" i="1"/>
  <c r="AT2033" i="1"/>
  <c r="AT2034" i="1"/>
  <c r="AT2035" i="1"/>
  <c r="AO2035" i="1" s="1"/>
  <c r="AT2036" i="1"/>
  <c r="AO2036" i="1" s="1"/>
  <c r="AT2037" i="1"/>
  <c r="AO2037" i="1" s="1"/>
  <c r="AT2038" i="1"/>
  <c r="AO2038" i="1" s="1"/>
  <c r="AT2039" i="1"/>
  <c r="AT2040" i="1"/>
  <c r="AT2041" i="1"/>
  <c r="AT2042" i="1"/>
  <c r="AO2042" i="1" s="1"/>
  <c r="AT2043" i="1"/>
  <c r="AO2043" i="1" s="1"/>
  <c r="AT2044" i="1"/>
  <c r="AO2044" i="1" s="1"/>
  <c r="AT2045" i="1"/>
  <c r="AT2046" i="1"/>
  <c r="AT2047" i="1"/>
  <c r="AT2048" i="1"/>
  <c r="AT2049" i="1"/>
  <c r="AT2050" i="1"/>
  <c r="AT2051" i="1"/>
  <c r="AT2052" i="1"/>
  <c r="AO2052" i="1" s="1"/>
  <c r="AT2053" i="1"/>
  <c r="AO2053" i="1" s="1"/>
  <c r="AT2054" i="1"/>
  <c r="AO2054" i="1" s="1"/>
  <c r="AT2055" i="1"/>
  <c r="AT2056" i="1"/>
  <c r="AT2057" i="1"/>
  <c r="AT2058" i="1"/>
  <c r="AO2058" i="1" s="1"/>
  <c r="AT2059" i="1"/>
  <c r="AO2059" i="1" s="1"/>
  <c r="AT2060" i="1"/>
  <c r="AO2060" i="1" s="1"/>
  <c r="AT2061" i="1"/>
  <c r="AT2062" i="1"/>
  <c r="AT2063" i="1"/>
  <c r="AT2064" i="1"/>
  <c r="AT2065" i="1"/>
  <c r="AT2066" i="1"/>
  <c r="AT2067" i="1"/>
  <c r="AO2067" i="1" s="1"/>
  <c r="AT2068" i="1"/>
  <c r="AO2068" i="1" s="1"/>
  <c r="AT2069" i="1"/>
  <c r="AO2069" i="1" s="1"/>
  <c r="AT2070" i="1"/>
  <c r="AO2070" i="1" s="1"/>
  <c r="AT2071" i="1"/>
  <c r="AT2072" i="1"/>
  <c r="AT2073" i="1"/>
  <c r="AT2074" i="1"/>
  <c r="AO2074" i="1" s="1"/>
  <c r="AT2075" i="1"/>
  <c r="AO2075" i="1" s="1"/>
  <c r="AT2076" i="1"/>
  <c r="AO2076" i="1" s="1"/>
  <c r="AT2077" i="1"/>
  <c r="AT2078" i="1"/>
  <c r="AT2079" i="1"/>
  <c r="AT2080" i="1"/>
  <c r="AT2081" i="1"/>
  <c r="AT2082" i="1"/>
  <c r="AT2083" i="1"/>
  <c r="AO2083" i="1" s="1"/>
  <c r="AT2084" i="1"/>
  <c r="AO2084" i="1" s="1"/>
  <c r="AT2085" i="1"/>
  <c r="AO2085" i="1" s="1"/>
  <c r="AT2086" i="1"/>
  <c r="AO2086" i="1" s="1"/>
  <c r="AT2087" i="1"/>
  <c r="AT2088" i="1"/>
  <c r="AT2089" i="1"/>
  <c r="AT2090" i="1"/>
  <c r="AO2090" i="1" s="1"/>
  <c r="AT2091" i="1"/>
  <c r="AO2091" i="1" s="1"/>
  <c r="AT2092" i="1"/>
  <c r="AO2092" i="1" s="1"/>
  <c r="AT2093" i="1"/>
  <c r="AT2094" i="1"/>
  <c r="AT2095" i="1"/>
  <c r="AT2096" i="1"/>
  <c r="AT2097" i="1"/>
  <c r="AT2098" i="1"/>
  <c r="AT2099" i="1"/>
  <c r="AO2099" i="1" s="1"/>
  <c r="AT2100" i="1"/>
  <c r="AO2100" i="1" s="1"/>
  <c r="AT2101" i="1"/>
  <c r="AO2101" i="1" s="1"/>
  <c r="AT2102" i="1"/>
  <c r="AO2102" i="1" s="1"/>
  <c r="AT2103" i="1"/>
  <c r="AT2104" i="1"/>
  <c r="AT2105" i="1"/>
  <c r="AT2106" i="1"/>
  <c r="AO2106" i="1" s="1"/>
  <c r="AT2107" i="1"/>
  <c r="AO2107" i="1" s="1"/>
  <c r="AT2108" i="1"/>
  <c r="AO2108" i="1" s="1"/>
  <c r="AT2109" i="1"/>
  <c r="AT2110" i="1"/>
  <c r="AT2111" i="1"/>
  <c r="AT2112" i="1"/>
  <c r="AT2113" i="1"/>
  <c r="AT2114" i="1"/>
  <c r="AT2115" i="1"/>
  <c r="AT2116" i="1"/>
  <c r="AO2116" i="1" s="1"/>
  <c r="AT2117" i="1"/>
  <c r="AO2117" i="1" s="1"/>
  <c r="AT2118" i="1"/>
  <c r="AO2118" i="1" s="1"/>
  <c r="AT2119" i="1"/>
  <c r="AT2120" i="1"/>
  <c r="AT2121" i="1"/>
  <c r="AT2122" i="1"/>
  <c r="AO2122" i="1" s="1"/>
  <c r="AT2123" i="1"/>
  <c r="AO2123" i="1" s="1"/>
  <c r="AT2124" i="1"/>
  <c r="AO2124" i="1" s="1"/>
  <c r="AT2125" i="1"/>
  <c r="AT2126" i="1"/>
  <c r="AT2127" i="1"/>
  <c r="AT2128" i="1"/>
  <c r="AT2129" i="1"/>
  <c r="AT2130" i="1"/>
  <c r="AT2131" i="1"/>
  <c r="AO2131" i="1" s="1"/>
  <c r="AT2132" i="1"/>
  <c r="AO2132" i="1" s="1"/>
  <c r="AT2133" i="1"/>
  <c r="AO2133" i="1" s="1"/>
  <c r="AT2134" i="1"/>
  <c r="AO2134" i="1" s="1"/>
  <c r="AT2135" i="1"/>
  <c r="AT2136" i="1"/>
  <c r="AT2137" i="1"/>
  <c r="AT2138" i="1"/>
  <c r="AO2138" i="1" s="1"/>
  <c r="AT2139" i="1"/>
  <c r="AO2139" i="1" s="1"/>
  <c r="AT2140" i="1"/>
  <c r="AO2140" i="1" s="1"/>
  <c r="AT2141" i="1"/>
  <c r="AT2142" i="1"/>
  <c r="AT2143" i="1"/>
  <c r="AT2144" i="1"/>
  <c r="AT2145" i="1"/>
  <c r="AT2146" i="1"/>
  <c r="AT2147" i="1"/>
  <c r="AO2147" i="1" s="1"/>
  <c r="AT2148" i="1"/>
  <c r="AO2148" i="1" s="1"/>
  <c r="AT2149" i="1"/>
  <c r="AO2149" i="1" s="1"/>
  <c r="AT2150" i="1"/>
  <c r="AO2150" i="1" s="1"/>
  <c r="AT2151" i="1"/>
  <c r="AT2152" i="1"/>
  <c r="AT2153" i="1"/>
  <c r="AT2154" i="1"/>
  <c r="AO2154" i="1" s="1"/>
  <c r="AT2155" i="1"/>
  <c r="AO2155" i="1" s="1"/>
  <c r="AT2156" i="1"/>
  <c r="AO2156" i="1" s="1"/>
  <c r="AT2157" i="1"/>
  <c r="AT2158" i="1"/>
  <c r="AT2159" i="1"/>
  <c r="AT2160" i="1"/>
  <c r="AT2161" i="1"/>
  <c r="AT2162" i="1"/>
  <c r="AT2163" i="1"/>
  <c r="AO2163" i="1" s="1"/>
  <c r="AT2164" i="1"/>
  <c r="AO2164" i="1" s="1"/>
  <c r="AT2165" i="1"/>
  <c r="AO2165" i="1" s="1"/>
  <c r="AT2166" i="1"/>
  <c r="AO2166" i="1" s="1"/>
  <c r="AT2167" i="1"/>
  <c r="AT2168" i="1"/>
  <c r="AT2169" i="1"/>
  <c r="AT2170" i="1"/>
  <c r="AO2170" i="1" s="1"/>
  <c r="AT2171" i="1"/>
  <c r="AO2171" i="1" s="1"/>
  <c r="AT2172" i="1"/>
  <c r="AO2172" i="1" s="1"/>
  <c r="AT2173" i="1"/>
  <c r="AT2174" i="1"/>
  <c r="AT2175" i="1"/>
  <c r="AT2176" i="1"/>
  <c r="AT2177" i="1"/>
  <c r="AT2178" i="1"/>
  <c r="AT2179" i="1"/>
  <c r="AT2180" i="1"/>
  <c r="AO2180" i="1" s="1"/>
  <c r="AT2181" i="1"/>
  <c r="AO2181" i="1" s="1"/>
  <c r="AT2182" i="1"/>
  <c r="AO2182" i="1" s="1"/>
  <c r="AT2183" i="1"/>
  <c r="AT2184" i="1"/>
  <c r="AT2185" i="1"/>
  <c r="AT2186" i="1"/>
  <c r="AO2186" i="1" s="1"/>
  <c r="AT2187" i="1"/>
  <c r="AO2187" i="1" s="1"/>
  <c r="AT2188" i="1"/>
  <c r="AO2188" i="1" s="1"/>
  <c r="AT2189" i="1"/>
  <c r="AT2190" i="1"/>
  <c r="AT2191" i="1"/>
  <c r="AT2192" i="1"/>
  <c r="AT2193" i="1"/>
  <c r="AT2194" i="1"/>
  <c r="AT2195" i="1"/>
  <c r="AO2195" i="1" s="1"/>
  <c r="AT2196" i="1"/>
  <c r="AO2196" i="1" s="1"/>
  <c r="AT2197" i="1"/>
  <c r="AO2197" i="1" s="1"/>
  <c r="AT2198" i="1"/>
  <c r="AO2198" i="1" s="1"/>
  <c r="AT2199" i="1"/>
  <c r="AT2200" i="1"/>
  <c r="AT2201" i="1"/>
  <c r="AT2202" i="1"/>
  <c r="AO2202" i="1" s="1"/>
  <c r="AT2203" i="1"/>
  <c r="AO2203" i="1" s="1"/>
  <c r="AT2204" i="1"/>
  <c r="AO2204" i="1" s="1"/>
  <c r="AT2205" i="1"/>
  <c r="AT2206" i="1"/>
  <c r="AT2207" i="1"/>
  <c r="AT2208" i="1"/>
  <c r="AT2209" i="1"/>
  <c r="AT2210" i="1"/>
  <c r="AT2211" i="1"/>
  <c r="AO2211" i="1" s="1"/>
  <c r="AT2212" i="1"/>
  <c r="AO2212" i="1" s="1"/>
  <c r="AT2213" i="1"/>
  <c r="AO2213" i="1" s="1"/>
  <c r="AT2214" i="1"/>
  <c r="AO2214" i="1" s="1"/>
  <c r="AT2215" i="1"/>
  <c r="AT2216" i="1"/>
  <c r="AT2217" i="1"/>
  <c r="AT2218" i="1"/>
  <c r="AO2218" i="1" s="1"/>
  <c r="AT2219" i="1"/>
  <c r="AO2219" i="1" s="1"/>
  <c r="AT2220" i="1"/>
  <c r="AO2220" i="1" s="1"/>
  <c r="AT2221" i="1"/>
  <c r="AT2222" i="1"/>
  <c r="AT2223" i="1"/>
  <c r="AT2224" i="1"/>
  <c r="AT2225" i="1"/>
  <c r="AT2226" i="1"/>
  <c r="AT2227" i="1"/>
  <c r="AO2227" i="1" s="1"/>
  <c r="AT2228" i="1"/>
  <c r="AO2228" i="1" s="1"/>
  <c r="AT2229" i="1"/>
  <c r="AO2229" i="1" s="1"/>
  <c r="AT2230" i="1"/>
  <c r="AO2230" i="1" s="1"/>
  <c r="AT2231" i="1"/>
  <c r="AT2232" i="1"/>
  <c r="AT2233" i="1"/>
  <c r="AT2234" i="1"/>
  <c r="AO2234" i="1" s="1"/>
  <c r="AT2235" i="1"/>
  <c r="AO2235" i="1" s="1"/>
  <c r="AT2236" i="1"/>
  <c r="AO2236" i="1" s="1"/>
  <c r="AT2237" i="1"/>
  <c r="AT2238" i="1"/>
  <c r="AT2239" i="1"/>
  <c r="AT2240" i="1"/>
  <c r="AT2241" i="1"/>
  <c r="AT2242" i="1"/>
  <c r="AT2243" i="1"/>
  <c r="AT2244" i="1"/>
  <c r="AO2244" i="1" s="1"/>
  <c r="AT2245" i="1"/>
  <c r="AO2245" i="1" s="1"/>
  <c r="AT2246" i="1"/>
  <c r="AO2246" i="1" s="1"/>
  <c r="AT2247" i="1"/>
  <c r="AT2248" i="1"/>
  <c r="AT2249" i="1"/>
  <c r="AT2250" i="1"/>
  <c r="AO2250" i="1" s="1"/>
  <c r="AT2251" i="1"/>
  <c r="AO2251" i="1" s="1"/>
  <c r="AT2252" i="1"/>
  <c r="AO2252" i="1" s="1"/>
  <c r="AT2253" i="1"/>
  <c r="AT2254" i="1"/>
  <c r="AT2255" i="1"/>
  <c r="AT2256" i="1"/>
  <c r="AT2257" i="1"/>
  <c r="AT2258" i="1"/>
  <c r="AT2259" i="1"/>
  <c r="AO2259" i="1" s="1"/>
  <c r="AT2260" i="1"/>
  <c r="AO2260" i="1" s="1"/>
  <c r="AT2261" i="1"/>
  <c r="AO2261" i="1" s="1"/>
  <c r="AT2262" i="1"/>
  <c r="AO2262" i="1" s="1"/>
  <c r="AT2263" i="1"/>
  <c r="AT2264" i="1"/>
  <c r="AT2265" i="1"/>
  <c r="AT2266" i="1"/>
  <c r="AO2266" i="1" s="1"/>
  <c r="AT2267" i="1"/>
  <c r="AO2267" i="1" s="1"/>
  <c r="AT2268" i="1"/>
  <c r="AO2268" i="1" s="1"/>
  <c r="AT2269" i="1"/>
  <c r="AT2270" i="1"/>
  <c r="AT2271" i="1"/>
  <c r="AT2272" i="1"/>
  <c r="AT2273" i="1"/>
  <c r="AT2274" i="1"/>
  <c r="AT2275" i="1"/>
  <c r="AO2275" i="1" s="1"/>
  <c r="AT2276" i="1"/>
  <c r="AO2276" i="1" s="1"/>
  <c r="AT2277" i="1"/>
  <c r="AO2277" i="1" s="1"/>
  <c r="AT2278" i="1"/>
  <c r="AO2278" i="1" s="1"/>
  <c r="AT2279" i="1"/>
  <c r="AT2280" i="1"/>
  <c r="AT2281" i="1"/>
  <c r="AT2282" i="1"/>
  <c r="AO2282" i="1" s="1"/>
  <c r="AT2283" i="1"/>
  <c r="AO2283" i="1" s="1"/>
  <c r="AT2284" i="1"/>
  <c r="AO2284" i="1" s="1"/>
  <c r="AT2285" i="1"/>
  <c r="AT2286" i="1"/>
  <c r="AT2287" i="1"/>
  <c r="AT2288" i="1"/>
  <c r="AT2289" i="1"/>
  <c r="AT2290" i="1"/>
  <c r="AT2291" i="1"/>
  <c r="AO2291" i="1" s="1"/>
  <c r="AT2292" i="1"/>
  <c r="AO2292" i="1" s="1"/>
  <c r="AT2293" i="1"/>
  <c r="AO2293" i="1" s="1"/>
  <c r="AT2294" i="1"/>
  <c r="AO2294" i="1" s="1"/>
  <c r="AT2295" i="1"/>
  <c r="AT2296" i="1"/>
  <c r="AT2297" i="1"/>
  <c r="AT2298" i="1"/>
  <c r="AO2298" i="1" s="1"/>
  <c r="AT2299" i="1"/>
  <c r="AO2299" i="1" s="1"/>
  <c r="AT2300" i="1"/>
  <c r="AO2300" i="1" s="1"/>
  <c r="AT2301" i="1"/>
  <c r="AT2302" i="1"/>
  <c r="AT2303" i="1"/>
  <c r="AT2304" i="1"/>
  <c r="AT2305" i="1"/>
  <c r="AT2306" i="1"/>
  <c r="AT2307" i="1"/>
  <c r="AT2308" i="1"/>
  <c r="AO2308" i="1" s="1"/>
  <c r="AT2309" i="1"/>
  <c r="AO2309" i="1" s="1"/>
  <c r="AT2310" i="1"/>
  <c r="AO2310" i="1" s="1"/>
  <c r="AT2311" i="1"/>
  <c r="AT2312" i="1"/>
  <c r="AT2313" i="1"/>
  <c r="AT2314" i="1"/>
  <c r="AO2314" i="1" s="1"/>
  <c r="AT2315" i="1"/>
  <c r="AO2315" i="1" s="1"/>
  <c r="AT2316" i="1"/>
  <c r="AO2316" i="1" s="1"/>
  <c r="AT2317" i="1"/>
  <c r="AT2318" i="1"/>
  <c r="AT2319" i="1"/>
  <c r="AT2320" i="1"/>
  <c r="AT2321" i="1"/>
  <c r="AT2322" i="1"/>
  <c r="AT2323" i="1"/>
  <c r="AO2323" i="1" s="1"/>
  <c r="AT2324" i="1"/>
  <c r="AO2324" i="1" s="1"/>
  <c r="AT2325" i="1"/>
  <c r="AO2325" i="1" s="1"/>
  <c r="AT2326" i="1"/>
  <c r="AO2326" i="1" s="1"/>
  <c r="AT2327" i="1"/>
  <c r="AT2328" i="1"/>
  <c r="AT2329" i="1"/>
  <c r="AT2330" i="1"/>
  <c r="AO2330" i="1" s="1"/>
  <c r="AT2331" i="1"/>
  <c r="AO2331" i="1" s="1"/>
  <c r="AT2332" i="1"/>
  <c r="AO2332" i="1" s="1"/>
  <c r="AT2333" i="1"/>
  <c r="AT2334" i="1"/>
  <c r="AT2335" i="1"/>
  <c r="AT2336" i="1"/>
  <c r="AT2337" i="1"/>
  <c r="AT2338" i="1"/>
  <c r="AT2339" i="1"/>
  <c r="AO2339" i="1" s="1"/>
  <c r="AT2340" i="1"/>
  <c r="AO2340" i="1" s="1"/>
  <c r="AT2341" i="1"/>
  <c r="AO2341" i="1" s="1"/>
  <c r="AT2342" i="1"/>
  <c r="AO2342" i="1" s="1"/>
  <c r="AT2343" i="1"/>
  <c r="AT2344" i="1"/>
  <c r="AT2345" i="1"/>
  <c r="AT2346" i="1"/>
  <c r="AO2346" i="1" s="1"/>
  <c r="AT2347" i="1"/>
  <c r="AO2347" i="1" s="1"/>
  <c r="AT2348" i="1"/>
  <c r="AO2348" i="1" s="1"/>
  <c r="AT2349" i="1"/>
  <c r="AT2350" i="1"/>
  <c r="AT2351" i="1"/>
  <c r="AT2352" i="1"/>
  <c r="AT2353" i="1"/>
  <c r="AT2354" i="1"/>
  <c r="AT2355" i="1"/>
  <c r="AO2355" i="1" s="1"/>
  <c r="AT2356" i="1"/>
  <c r="AO2356" i="1" s="1"/>
  <c r="AT2357" i="1"/>
  <c r="AO2357" i="1" s="1"/>
  <c r="AT2358" i="1"/>
  <c r="AO2358" i="1" s="1"/>
  <c r="AT2359" i="1"/>
  <c r="AT2360" i="1"/>
  <c r="AT2361" i="1"/>
  <c r="AT2362" i="1"/>
  <c r="AO2362" i="1" s="1"/>
  <c r="AT2363" i="1"/>
  <c r="AO2363" i="1" s="1"/>
  <c r="AT2364" i="1"/>
  <c r="AO2364" i="1" s="1"/>
  <c r="AT2365" i="1"/>
  <c r="AT2366" i="1"/>
  <c r="AT2367" i="1"/>
  <c r="AT2368" i="1"/>
  <c r="AT2369" i="1"/>
  <c r="AT2370" i="1"/>
  <c r="AT2371" i="1"/>
  <c r="AT2372" i="1"/>
  <c r="AO2372" i="1" s="1"/>
  <c r="AT2373" i="1"/>
  <c r="AO2373" i="1" s="1"/>
  <c r="AT2374" i="1"/>
  <c r="AO2374" i="1" s="1"/>
  <c r="AT2375" i="1"/>
  <c r="AT2376" i="1"/>
  <c r="AT2377" i="1"/>
  <c r="AT2378" i="1"/>
  <c r="AO2378" i="1" s="1"/>
  <c r="AT2379" i="1"/>
  <c r="AO2379" i="1" s="1"/>
  <c r="AT2380" i="1"/>
  <c r="AO2380" i="1" s="1"/>
  <c r="AT2381" i="1"/>
  <c r="AT2382" i="1"/>
  <c r="AT2383" i="1"/>
  <c r="AT2384" i="1"/>
  <c r="AT2385" i="1"/>
  <c r="AT2386" i="1"/>
  <c r="AT2387" i="1"/>
  <c r="AO2387" i="1" s="1"/>
  <c r="AT2388" i="1"/>
  <c r="AO2388" i="1" s="1"/>
  <c r="AT2389" i="1"/>
  <c r="AO2389" i="1" s="1"/>
  <c r="AT2390" i="1"/>
  <c r="AO2390" i="1" s="1"/>
  <c r="AT2391" i="1"/>
  <c r="AT2392" i="1"/>
  <c r="AT2393" i="1"/>
  <c r="AT2394" i="1"/>
  <c r="AO2394" i="1" s="1"/>
  <c r="AT2395" i="1"/>
  <c r="AO2395" i="1" s="1"/>
  <c r="AT2396" i="1"/>
  <c r="AO2396" i="1" s="1"/>
  <c r="AT2397" i="1"/>
  <c r="AT2398" i="1"/>
  <c r="AT2399" i="1"/>
  <c r="AT2400" i="1"/>
  <c r="AT2401" i="1"/>
  <c r="AT2402" i="1"/>
  <c r="AT2403" i="1"/>
  <c r="AO2403" i="1" s="1"/>
  <c r="AT2404" i="1"/>
  <c r="AO2404" i="1" s="1"/>
  <c r="AT2405" i="1"/>
  <c r="AO2405" i="1" s="1"/>
  <c r="AT2406" i="1"/>
  <c r="AO2406" i="1" s="1"/>
  <c r="AT2407" i="1"/>
  <c r="AT2408" i="1"/>
  <c r="AT2409" i="1"/>
  <c r="AT2410" i="1"/>
  <c r="AO2410" i="1" s="1"/>
  <c r="AT2411" i="1"/>
  <c r="AO2411" i="1" s="1"/>
  <c r="AT2412" i="1"/>
  <c r="AO2412" i="1" s="1"/>
  <c r="AT2413" i="1"/>
  <c r="AT2414" i="1"/>
  <c r="AT2415" i="1"/>
  <c r="AT2416" i="1"/>
  <c r="AT2417" i="1"/>
  <c r="AT2418" i="1"/>
  <c r="AT2419" i="1"/>
  <c r="AO2419" i="1" s="1"/>
  <c r="AT2420" i="1"/>
  <c r="AO2420" i="1" s="1"/>
  <c r="AT2421" i="1"/>
  <c r="AO2421" i="1" s="1"/>
  <c r="AT2422" i="1"/>
  <c r="AO2422" i="1" s="1"/>
  <c r="AT2423" i="1"/>
  <c r="AT2424" i="1"/>
  <c r="AT2425" i="1"/>
  <c r="AT2426" i="1"/>
  <c r="AO2426" i="1" s="1"/>
  <c r="AT2427" i="1"/>
  <c r="AO2427" i="1" s="1"/>
  <c r="AT2428" i="1"/>
  <c r="AO2428" i="1" s="1"/>
  <c r="AT2429" i="1"/>
  <c r="AT2430" i="1"/>
  <c r="AT2431" i="1"/>
  <c r="AT2432" i="1"/>
  <c r="AT2433" i="1"/>
  <c r="AT2434" i="1"/>
  <c r="AT2435" i="1"/>
  <c r="AT2436" i="1"/>
  <c r="AO2436" i="1" s="1"/>
  <c r="AT2437" i="1"/>
  <c r="AO2437" i="1" s="1"/>
  <c r="AT2438" i="1"/>
  <c r="AO2438" i="1" s="1"/>
  <c r="AT2439" i="1"/>
  <c r="AT2440" i="1"/>
  <c r="AT2441" i="1"/>
  <c r="AT2442" i="1"/>
  <c r="AO2442" i="1" s="1"/>
  <c r="AT2443" i="1"/>
  <c r="AO2443" i="1" s="1"/>
  <c r="AT2444" i="1"/>
  <c r="AO2444" i="1" s="1"/>
  <c r="AT2445" i="1"/>
  <c r="AT2446" i="1"/>
  <c r="AT2447" i="1"/>
  <c r="AT2448" i="1"/>
  <c r="AT2449" i="1"/>
  <c r="AT2450" i="1"/>
  <c r="AT2451" i="1"/>
  <c r="AO2451" i="1" s="1"/>
  <c r="AT2452" i="1"/>
  <c r="AO2452" i="1" s="1"/>
  <c r="AT2453" i="1"/>
  <c r="AO2453" i="1" s="1"/>
  <c r="AT2454" i="1"/>
  <c r="AO2454" i="1" s="1"/>
  <c r="AT2455" i="1"/>
  <c r="AT2456" i="1"/>
  <c r="AT2457" i="1"/>
  <c r="AT2458" i="1"/>
  <c r="AO2458" i="1" s="1"/>
  <c r="AT2459" i="1"/>
  <c r="AO2459" i="1" s="1"/>
  <c r="AT2460" i="1"/>
  <c r="AO2460" i="1" s="1"/>
  <c r="AT2461" i="1"/>
  <c r="AT2462" i="1"/>
  <c r="AT2463" i="1"/>
  <c r="AT2464" i="1"/>
  <c r="AT2465" i="1"/>
  <c r="AT2466" i="1"/>
  <c r="AT2467" i="1"/>
  <c r="AO2467" i="1" s="1"/>
  <c r="AT2468" i="1"/>
  <c r="AO2468" i="1" s="1"/>
  <c r="AT2469" i="1"/>
  <c r="AO2469" i="1" s="1"/>
  <c r="AT2470" i="1"/>
  <c r="AO2470" i="1" s="1"/>
  <c r="AT2471" i="1"/>
  <c r="AT2472" i="1"/>
  <c r="AT2473" i="1"/>
  <c r="AT2474" i="1"/>
  <c r="AO2474" i="1" s="1"/>
  <c r="AT2475" i="1"/>
  <c r="AO2475" i="1" s="1"/>
  <c r="AT2476" i="1"/>
  <c r="AO2476" i="1" s="1"/>
  <c r="AT2477" i="1"/>
  <c r="AT2478" i="1"/>
  <c r="AT2479" i="1"/>
  <c r="AT2480" i="1"/>
  <c r="AT2481" i="1"/>
  <c r="AT2482" i="1"/>
  <c r="AT2483" i="1"/>
  <c r="AO2483" i="1" s="1"/>
  <c r="AT2484" i="1"/>
  <c r="AO2484" i="1" s="1"/>
  <c r="AT2485" i="1"/>
  <c r="AO2485" i="1" s="1"/>
  <c r="AT2486" i="1"/>
  <c r="AO2486" i="1" s="1"/>
  <c r="AT2487" i="1"/>
  <c r="AT2488" i="1"/>
  <c r="AT2489" i="1"/>
  <c r="AT2490" i="1"/>
  <c r="AO2490" i="1" s="1"/>
  <c r="AT2491" i="1"/>
  <c r="AO2491" i="1" s="1"/>
  <c r="AT2492" i="1"/>
  <c r="AO2492" i="1" s="1"/>
  <c r="AT2493" i="1"/>
  <c r="AT2494" i="1"/>
  <c r="AT2495" i="1"/>
  <c r="AT2496" i="1"/>
  <c r="AT2497" i="1"/>
  <c r="AT2498" i="1"/>
  <c r="AT2499" i="1"/>
  <c r="AT2500" i="1"/>
  <c r="AO2500" i="1" s="1"/>
  <c r="AT2501" i="1"/>
  <c r="AO2501" i="1" s="1"/>
  <c r="AT2502" i="1"/>
  <c r="AO2502" i="1" s="1"/>
  <c r="AT2503" i="1"/>
  <c r="AT2504" i="1"/>
  <c r="AT2505" i="1"/>
  <c r="AT2506" i="1"/>
  <c r="AO2506" i="1" s="1"/>
  <c r="AT2507" i="1"/>
  <c r="AO2507" i="1" s="1"/>
  <c r="AT2508" i="1"/>
  <c r="AO2508" i="1" s="1"/>
  <c r="AT2509" i="1"/>
  <c r="AT2510" i="1"/>
  <c r="AT2511" i="1"/>
  <c r="AT2512" i="1"/>
  <c r="AT2513" i="1"/>
  <c r="AT2514" i="1"/>
  <c r="AT2515" i="1"/>
  <c r="AO2515" i="1" s="1"/>
  <c r="AT2516" i="1"/>
  <c r="AO2516" i="1" s="1"/>
  <c r="AT2517" i="1"/>
  <c r="AO2517" i="1" s="1"/>
  <c r="AT2518" i="1"/>
  <c r="AO2518" i="1" s="1"/>
  <c r="AT2519" i="1"/>
  <c r="AT2520" i="1"/>
  <c r="AT2521" i="1"/>
  <c r="AT2522" i="1"/>
  <c r="AO2522" i="1" s="1"/>
  <c r="AT2523" i="1"/>
  <c r="AO2523" i="1" s="1"/>
  <c r="AT2524" i="1"/>
  <c r="AO2524" i="1" s="1"/>
  <c r="AT2525" i="1"/>
  <c r="AT2526" i="1"/>
  <c r="AT2527" i="1"/>
  <c r="AT2528" i="1"/>
  <c r="AT2529" i="1"/>
  <c r="AT2530" i="1"/>
  <c r="AT2531" i="1"/>
  <c r="AO2531" i="1" s="1"/>
  <c r="AT2532" i="1"/>
  <c r="AO2532" i="1" s="1"/>
  <c r="AT2533" i="1"/>
  <c r="AO2533" i="1" s="1"/>
  <c r="AT2534" i="1"/>
  <c r="AO2534" i="1" s="1"/>
  <c r="AT2535" i="1"/>
  <c r="AT2536" i="1"/>
  <c r="AT2537" i="1"/>
  <c r="AT2538" i="1"/>
  <c r="AO2538" i="1" s="1"/>
  <c r="AT2539" i="1"/>
  <c r="AO2539" i="1" s="1"/>
  <c r="AT2540" i="1"/>
  <c r="AO2540" i="1" s="1"/>
  <c r="AT2541" i="1"/>
  <c r="AT2542" i="1"/>
  <c r="AT2543" i="1"/>
  <c r="AS1981" i="1"/>
  <c r="AN1981" i="1" s="1"/>
  <c r="AS1982" i="1"/>
  <c r="AN1982" i="1" s="1"/>
  <c r="AS1983" i="1"/>
  <c r="AN1983" i="1" s="1"/>
  <c r="AS1984" i="1"/>
  <c r="AS1985" i="1"/>
  <c r="AN1985" i="1" s="1"/>
  <c r="AS1986" i="1"/>
  <c r="AN1986" i="1" s="1"/>
  <c r="AS1987" i="1"/>
  <c r="AS1988" i="1"/>
  <c r="AS1989" i="1"/>
  <c r="AN1989" i="1" s="1"/>
  <c r="AS1990" i="1"/>
  <c r="AN1990" i="1" s="1"/>
  <c r="AS1991" i="1"/>
  <c r="AN1991" i="1" s="1"/>
  <c r="AS1992" i="1"/>
  <c r="AS1993" i="1"/>
  <c r="AN1993" i="1" s="1"/>
  <c r="AS1994" i="1"/>
  <c r="AN1994" i="1" s="1"/>
  <c r="AS1995" i="1"/>
  <c r="AN1995" i="1" s="1"/>
  <c r="AS1996" i="1"/>
  <c r="AN1996" i="1" s="1"/>
  <c r="AS1997" i="1"/>
  <c r="AN1997" i="1" s="1"/>
  <c r="AS1998" i="1"/>
  <c r="AN1998" i="1" s="1"/>
  <c r="AS1999" i="1"/>
  <c r="AN1999" i="1" s="1"/>
  <c r="AS2000" i="1"/>
  <c r="AS2001" i="1"/>
  <c r="AS2002" i="1"/>
  <c r="AN2002" i="1" s="1"/>
  <c r="AS2003" i="1"/>
  <c r="AS2004" i="1"/>
  <c r="AS2005" i="1"/>
  <c r="AS2006" i="1"/>
  <c r="AS2007" i="1"/>
  <c r="AS2008" i="1"/>
  <c r="AS2009" i="1"/>
  <c r="AN2009" i="1" s="1"/>
  <c r="AS2010" i="1"/>
  <c r="AN2010" i="1" s="1"/>
  <c r="AS2011" i="1"/>
  <c r="AN2011" i="1" s="1"/>
  <c r="AS2012" i="1"/>
  <c r="AN2012" i="1" s="1"/>
  <c r="AS2013" i="1"/>
  <c r="AN2013" i="1" s="1"/>
  <c r="AS2014" i="1"/>
  <c r="AN2014" i="1" s="1"/>
  <c r="AS2015" i="1"/>
  <c r="AN2015" i="1" s="1"/>
  <c r="AS2016" i="1"/>
  <c r="AS2017" i="1"/>
  <c r="AN2017" i="1" s="1"/>
  <c r="AS2018" i="1"/>
  <c r="AN2018" i="1" s="1"/>
  <c r="AS2019" i="1"/>
  <c r="AS2020" i="1"/>
  <c r="AS2021" i="1"/>
  <c r="AN2021" i="1" s="1"/>
  <c r="AS2022" i="1"/>
  <c r="AN2022" i="1" s="1"/>
  <c r="AS2023" i="1"/>
  <c r="AN2023" i="1" s="1"/>
  <c r="AS2024" i="1"/>
  <c r="AS2025" i="1"/>
  <c r="AN2025" i="1" s="1"/>
  <c r="AS2026" i="1"/>
  <c r="AN2026" i="1" s="1"/>
  <c r="AS2027" i="1"/>
  <c r="AN2027" i="1" s="1"/>
  <c r="AS2028" i="1"/>
  <c r="AN2028" i="1" s="1"/>
  <c r="AS2029" i="1"/>
  <c r="AN2029" i="1" s="1"/>
  <c r="AS2030" i="1"/>
  <c r="AN2030" i="1" s="1"/>
  <c r="AS2031" i="1"/>
  <c r="AN2031" i="1" s="1"/>
  <c r="AS2032" i="1"/>
  <c r="AS2033" i="1"/>
  <c r="AS2034" i="1"/>
  <c r="AN2034" i="1" s="1"/>
  <c r="AS2035" i="1"/>
  <c r="AS2036" i="1"/>
  <c r="AS2037" i="1"/>
  <c r="AN2037" i="1" s="1"/>
  <c r="AS2038" i="1"/>
  <c r="AS2039" i="1"/>
  <c r="AS2040" i="1"/>
  <c r="AS2041" i="1"/>
  <c r="AN2041" i="1" s="1"/>
  <c r="AS2042" i="1"/>
  <c r="AN2042" i="1" s="1"/>
  <c r="AS2043" i="1"/>
  <c r="AN2043" i="1" s="1"/>
  <c r="AS2044" i="1"/>
  <c r="AN2044" i="1" s="1"/>
  <c r="AS2045" i="1"/>
  <c r="AN2045" i="1" s="1"/>
  <c r="AS2046" i="1"/>
  <c r="AN2046" i="1" s="1"/>
  <c r="AS2047" i="1"/>
  <c r="AN2047" i="1" s="1"/>
  <c r="AS2048" i="1"/>
  <c r="AS2049" i="1"/>
  <c r="AN2049" i="1" s="1"/>
  <c r="AS2050" i="1"/>
  <c r="AN2050" i="1" s="1"/>
  <c r="AS2051" i="1"/>
  <c r="AS2052" i="1"/>
  <c r="AS2053" i="1"/>
  <c r="AN2053" i="1" s="1"/>
  <c r="AS2054" i="1"/>
  <c r="AN2054" i="1" s="1"/>
  <c r="AS2055" i="1"/>
  <c r="AN2055" i="1" s="1"/>
  <c r="AS2056" i="1"/>
  <c r="AS2057" i="1"/>
  <c r="AN2057" i="1" s="1"/>
  <c r="AS2058" i="1"/>
  <c r="AN2058" i="1" s="1"/>
  <c r="AS2059" i="1"/>
  <c r="AN2059" i="1" s="1"/>
  <c r="AS2060" i="1"/>
  <c r="AN2060" i="1" s="1"/>
  <c r="AS2061" i="1"/>
  <c r="AN2061" i="1" s="1"/>
  <c r="AS2062" i="1"/>
  <c r="AN2062" i="1" s="1"/>
  <c r="AS2063" i="1"/>
  <c r="AN2063" i="1" s="1"/>
  <c r="AS2064" i="1"/>
  <c r="AS2065" i="1"/>
  <c r="AS2066" i="1"/>
  <c r="AN2066" i="1" s="1"/>
  <c r="AS2067" i="1"/>
  <c r="AS2068" i="1"/>
  <c r="AS2069" i="1"/>
  <c r="AN2069" i="1" s="1"/>
  <c r="AS2070" i="1"/>
  <c r="AN2070" i="1" s="1"/>
  <c r="AS2071" i="1"/>
  <c r="AN2071" i="1" s="1"/>
  <c r="AS2072" i="1"/>
  <c r="AS2073" i="1"/>
  <c r="AN2073" i="1" s="1"/>
  <c r="AS2074" i="1"/>
  <c r="AN2074" i="1" s="1"/>
  <c r="AS2075" i="1"/>
  <c r="AN2075" i="1" s="1"/>
  <c r="AS2076" i="1"/>
  <c r="AN2076" i="1" s="1"/>
  <c r="AS2077" i="1"/>
  <c r="AN2077" i="1" s="1"/>
  <c r="AS2078" i="1"/>
  <c r="AN2078" i="1" s="1"/>
  <c r="AS2079" i="1"/>
  <c r="AN2079" i="1" s="1"/>
  <c r="AS2080" i="1"/>
  <c r="AS2081" i="1"/>
  <c r="AN2081" i="1" s="1"/>
  <c r="AS2082" i="1"/>
  <c r="AN2082" i="1" s="1"/>
  <c r="AS2083" i="1"/>
  <c r="AS2084" i="1"/>
  <c r="AS2085" i="1"/>
  <c r="AS2086" i="1"/>
  <c r="AN2086" i="1" s="1"/>
  <c r="AS2087" i="1"/>
  <c r="AS2088" i="1"/>
  <c r="AS2089" i="1"/>
  <c r="AN2089" i="1" s="1"/>
  <c r="AS2090" i="1"/>
  <c r="AN2090" i="1" s="1"/>
  <c r="AS2091" i="1"/>
  <c r="AN2091" i="1" s="1"/>
  <c r="AS2092" i="1"/>
  <c r="AN2092" i="1" s="1"/>
  <c r="AS2093" i="1"/>
  <c r="AN2093" i="1" s="1"/>
  <c r="AS2094" i="1"/>
  <c r="AN2094" i="1" s="1"/>
  <c r="AS2095" i="1"/>
  <c r="AN2095" i="1" s="1"/>
  <c r="AS2096" i="1"/>
  <c r="AS2097" i="1"/>
  <c r="AN2097" i="1" s="1"/>
  <c r="AS2098" i="1"/>
  <c r="AN2098" i="1" s="1"/>
  <c r="AS2099" i="1"/>
  <c r="AS2100" i="1"/>
  <c r="AS2101" i="1"/>
  <c r="AN2101" i="1" s="1"/>
  <c r="AS2102" i="1"/>
  <c r="AN2102" i="1" s="1"/>
  <c r="AS2103" i="1"/>
  <c r="AS2104" i="1"/>
  <c r="AS2105" i="1"/>
  <c r="AN2105" i="1" s="1"/>
  <c r="AS2106" i="1"/>
  <c r="AN2106" i="1" s="1"/>
  <c r="AS2107" i="1"/>
  <c r="AN2107" i="1" s="1"/>
  <c r="AS2108" i="1"/>
  <c r="AN2108" i="1" s="1"/>
  <c r="AS2109" i="1"/>
  <c r="AS2110" i="1"/>
  <c r="AN2110" i="1" s="1"/>
  <c r="AS2111" i="1"/>
  <c r="AN2111" i="1" s="1"/>
  <c r="AS2112" i="1"/>
  <c r="AS2113" i="1"/>
  <c r="AN2113" i="1" s="1"/>
  <c r="AS2114" i="1"/>
  <c r="AN2114" i="1" s="1"/>
  <c r="AS2115" i="1"/>
  <c r="AS2116" i="1"/>
  <c r="AS2117" i="1"/>
  <c r="AN2117" i="1" s="1"/>
  <c r="AS2118" i="1"/>
  <c r="AN2118" i="1" s="1"/>
  <c r="AS2119" i="1"/>
  <c r="AS2120" i="1"/>
  <c r="AS2121" i="1"/>
  <c r="AN2121" i="1" s="1"/>
  <c r="AS2122" i="1"/>
  <c r="AN2122" i="1" s="1"/>
  <c r="AS2123" i="1"/>
  <c r="AN2123" i="1" s="1"/>
  <c r="AS2124" i="1"/>
  <c r="AN2124" i="1" s="1"/>
  <c r="AS2125" i="1"/>
  <c r="AN2125" i="1" s="1"/>
  <c r="AS2126" i="1"/>
  <c r="AN2126" i="1" s="1"/>
  <c r="AS2127" i="1"/>
  <c r="AN2127" i="1" s="1"/>
  <c r="AS2128" i="1"/>
  <c r="AS2129" i="1"/>
  <c r="AN2129" i="1" s="1"/>
  <c r="AS2130" i="1"/>
  <c r="AN2130" i="1" s="1"/>
  <c r="AS2131" i="1"/>
  <c r="AS2132" i="1"/>
  <c r="AS2133" i="1"/>
  <c r="AN2133" i="1" s="1"/>
  <c r="AS2134" i="1"/>
  <c r="AN2134" i="1" s="1"/>
  <c r="AS2135" i="1"/>
  <c r="AS2136" i="1"/>
  <c r="AS2137" i="1"/>
  <c r="AN2137" i="1" s="1"/>
  <c r="AS2138" i="1"/>
  <c r="AN2138" i="1" s="1"/>
  <c r="AS2139" i="1"/>
  <c r="AN2139" i="1" s="1"/>
  <c r="AS2140" i="1"/>
  <c r="AN2140" i="1" s="1"/>
  <c r="AS2141" i="1"/>
  <c r="AS2142" i="1"/>
  <c r="AS2143" i="1"/>
  <c r="AN2143" i="1" s="1"/>
  <c r="AS2144" i="1"/>
  <c r="AS2145" i="1"/>
  <c r="AN2145" i="1" s="1"/>
  <c r="AS2146" i="1"/>
  <c r="AN2146" i="1" s="1"/>
  <c r="AS2147" i="1"/>
  <c r="AS2148" i="1"/>
  <c r="AS2149" i="1"/>
  <c r="AN2149" i="1" s="1"/>
  <c r="AS2150" i="1"/>
  <c r="AN2150" i="1" s="1"/>
  <c r="AS2151" i="1"/>
  <c r="AN2151" i="1" s="1"/>
  <c r="AS2152" i="1"/>
  <c r="AS2153" i="1"/>
  <c r="AN2153" i="1" s="1"/>
  <c r="AS2154" i="1"/>
  <c r="AN2154" i="1" s="1"/>
  <c r="AS2155" i="1"/>
  <c r="AN2155" i="1" s="1"/>
  <c r="AS2156" i="1"/>
  <c r="AN2156" i="1" s="1"/>
  <c r="AS2157" i="1"/>
  <c r="AN2157" i="1" s="1"/>
  <c r="AS2158" i="1"/>
  <c r="AN2158" i="1" s="1"/>
  <c r="AS2159" i="1"/>
  <c r="AN2159" i="1" s="1"/>
  <c r="AS2160" i="1"/>
  <c r="AS2161" i="1"/>
  <c r="AN2161" i="1" s="1"/>
  <c r="AS2162" i="1"/>
  <c r="AN2162" i="1" s="1"/>
  <c r="AS2163" i="1"/>
  <c r="AS2164" i="1"/>
  <c r="AS2165" i="1"/>
  <c r="AS2166" i="1"/>
  <c r="AS2167" i="1"/>
  <c r="AN2167" i="1" s="1"/>
  <c r="AS2168" i="1"/>
  <c r="AS2169" i="1"/>
  <c r="AN2169" i="1" s="1"/>
  <c r="AS2170" i="1"/>
  <c r="AN2170" i="1" s="1"/>
  <c r="AS2171" i="1"/>
  <c r="AN2171" i="1" s="1"/>
  <c r="AS2172" i="1"/>
  <c r="AN2172" i="1" s="1"/>
  <c r="AS2173" i="1"/>
  <c r="AN2173" i="1" s="1"/>
  <c r="AS2174" i="1"/>
  <c r="AN2174" i="1" s="1"/>
  <c r="AS2175" i="1"/>
  <c r="AN2175" i="1" s="1"/>
  <c r="AS2176" i="1"/>
  <c r="AS2177" i="1"/>
  <c r="AN2177" i="1" s="1"/>
  <c r="AS2178" i="1"/>
  <c r="AN2178" i="1" s="1"/>
  <c r="AS2179" i="1"/>
  <c r="AS2180" i="1"/>
  <c r="AS2181" i="1"/>
  <c r="AS2182" i="1"/>
  <c r="AN2182" i="1" s="1"/>
  <c r="AS2183" i="1"/>
  <c r="AS2184" i="1"/>
  <c r="AS2185" i="1"/>
  <c r="AN2185" i="1" s="1"/>
  <c r="AS2186" i="1"/>
  <c r="AN2186" i="1" s="1"/>
  <c r="AS2187" i="1"/>
  <c r="AN2187" i="1" s="1"/>
  <c r="AS2188" i="1"/>
  <c r="AN2188" i="1" s="1"/>
  <c r="AS2189" i="1"/>
  <c r="AN2189" i="1" s="1"/>
  <c r="AS2190" i="1"/>
  <c r="AN2190" i="1" s="1"/>
  <c r="AS2191" i="1"/>
  <c r="AN2191" i="1" s="1"/>
  <c r="AS2192" i="1"/>
  <c r="AS2193" i="1"/>
  <c r="AS2194" i="1"/>
  <c r="AN2194" i="1" s="1"/>
  <c r="AS2195" i="1"/>
  <c r="AS2196" i="1"/>
  <c r="AS2197" i="1"/>
  <c r="AN2197" i="1" s="1"/>
  <c r="AS2198" i="1"/>
  <c r="AS2199" i="1"/>
  <c r="AS2200" i="1"/>
  <c r="AS2201" i="1"/>
  <c r="AN2201" i="1" s="1"/>
  <c r="AS2202" i="1"/>
  <c r="AN2202" i="1" s="1"/>
  <c r="AS2203" i="1"/>
  <c r="AN2203" i="1" s="1"/>
  <c r="AS2204" i="1"/>
  <c r="AN2204" i="1" s="1"/>
  <c r="AS2205" i="1"/>
  <c r="AN2205" i="1" s="1"/>
  <c r="AS2206" i="1"/>
  <c r="AN2206" i="1" s="1"/>
  <c r="AS2207" i="1"/>
  <c r="AN2207" i="1" s="1"/>
  <c r="AS2208" i="1"/>
  <c r="AS2209" i="1"/>
  <c r="AS2210" i="1"/>
  <c r="AN2210" i="1" s="1"/>
  <c r="AS2211" i="1"/>
  <c r="AS2212" i="1"/>
  <c r="AS2213" i="1"/>
  <c r="AN2213" i="1" s="1"/>
  <c r="AS2214" i="1"/>
  <c r="AN2214" i="1" s="1"/>
  <c r="AS2215" i="1"/>
  <c r="AS2216" i="1"/>
  <c r="AS2217" i="1"/>
  <c r="AN2217" i="1" s="1"/>
  <c r="AS2218" i="1"/>
  <c r="AN2218" i="1" s="1"/>
  <c r="AS2219" i="1"/>
  <c r="AN2219" i="1" s="1"/>
  <c r="AS2220" i="1"/>
  <c r="AN2220" i="1" s="1"/>
  <c r="AS2221" i="1"/>
  <c r="AN2221" i="1" s="1"/>
  <c r="AS2222" i="1"/>
  <c r="AN2222" i="1" s="1"/>
  <c r="AS2223" i="1"/>
  <c r="AN2223" i="1" s="1"/>
  <c r="AS2224" i="1"/>
  <c r="AS2225" i="1"/>
  <c r="AN2225" i="1" s="1"/>
  <c r="AS2226" i="1"/>
  <c r="AN2226" i="1" s="1"/>
  <c r="AS2227" i="1"/>
  <c r="AS2228" i="1"/>
  <c r="AS2229" i="1"/>
  <c r="AN2229" i="1" s="1"/>
  <c r="AS2230" i="1"/>
  <c r="AN2230" i="1" s="1"/>
  <c r="AS2231" i="1"/>
  <c r="AN2231" i="1" s="1"/>
  <c r="AS2232" i="1"/>
  <c r="AS2233" i="1"/>
  <c r="AN2233" i="1" s="1"/>
  <c r="AS2234" i="1"/>
  <c r="AN2234" i="1" s="1"/>
  <c r="AS2235" i="1"/>
  <c r="AN2235" i="1" s="1"/>
  <c r="AS2236" i="1"/>
  <c r="AN2236" i="1" s="1"/>
  <c r="AS2237" i="1"/>
  <c r="AN2237" i="1" s="1"/>
  <c r="AS2238" i="1"/>
  <c r="AN2238" i="1" s="1"/>
  <c r="AS2239" i="1"/>
  <c r="AN2239" i="1" s="1"/>
  <c r="AS2240" i="1"/>
  <c r="AS2241" i="1"/>
  <c r="AN2241" i="1" s="1"/>
  <c r="AS2242" i="1"/>
  <c r="AN2242" i="1" s="1"/>
  <c r="AS2243" i="1"/>
  <c r="AS2244" i="1"/>
  <c r="AS2245" i="1"/>
  <c r="AN2245" i="1" s="1"/>
  <c r="AS2246" i="1"/>
  <c r="AN2246" i="1" s="1"/>
  <c r="AS2247" i="1"/>
  <c r="AS2248" i="1"/>
  <c r="AS2249" i="1"/>
  <c r="AN2249" i="1" s="1"/>
  <c r="AS2250" i="1"/>
  <c r="AN2250" i="1" s="1"/>
  <c r="AS2251" i="1"/>
  <c r="AN2251" i="1" s="1"/>
  <c r="AS2252" i="1"/>
  <c r="AN2252" i="1" s="1"/>
  <c r="AS2253" i="1"/>
  <c r="AN2253" i="1" s="1"/>
  <c r="AS2254" i="1"/>
  <c r="AN2254" i="1" s="1"/>
  <c r="AS2255" i="1"/>
  <c r="AN2255" i="1" s="1"/>
  <c r="AS2256" i="1"/>
  <c r="AS2257" i="1"/>
  <c r="AN2257" i="1" s="1"/>
  <c r="AS2258" i="1"/>
  <c r="AN2258" i="1" s="1"/>
  <c r="AS2259" i="1"/>
  <c r="AS2260" i="1"/>
  <c r="AS2261" i="1"/>
  <c r="AS2262" i="1"/>
  <c r="AN2262" i="1" s="1"/>
  <c r="AS2263" i="1"/>
  <c r="AN2263" i="1" s="1"/>
  <c r="AS2264" i="1"/>
  <c r="AS2265" i="1"/>
  <c r="AN2265" i="1" s="1"/>
  <c r="AS2266" i="1"/>
  <c r="AN2266" i="1" s="1"/>
  <c r="AS2267" i="1"/>
  <c r="AN2267" i="1" s="1"/>
  <c r="AS2268" i="1"/>
  <c r="AN2268" i="1" s="1"/>
  <c r="AS2269" i="1"/>
  <c r="AN2269" i="1" s="1"/>
  <c r="AS2270" i="1"/>
  <c r="AN2270" i="1" s="1"/>
  <c r="AS2271" i="1"/>
  <c r="AN2271" i="1" s="1"/>
  <c r="AS2272" i="1"/>
  <c r="AS2273" i="1"/>
  <c r="AN2273" i="1" s="1"/>
  <c r="AS2274" i="1"/>
  <c r="AN2274" i="1" s="1"/>
  <c r="AS2275" i="1"/>
  <c r="AS2276" i="1"/>
  <c r="AS2277" i="1"/>
  <c r="AS2278" i="1"/>
  <c r="AN2278" i="1" s="1"/>
  <c r="AS2279" i="1"/>
  <c r="AS2280" i="1"/>
  <c r="AS2281" i="1"/>
  <c r="AN2281" i="1" s="1"/>
  <c r="AS2282" i="1"/>
  <c r="AN2282" i="1" s="1"/>
  <c r="AS2283" i="1"/>
  <c r="AN2283" i="1" s="1"/>
  <c r="AS2284" i="1"/>
  <c r="AN2284" i="1" s="1"/>
  <c r="AS2285" i="1"/>
  <c r="AN2285" i="1" s="1"/>
  <c r="AS2286" i="1"/>
  <c r="AN2286" i="1" s="1"/>
  <c r="AS2287" i="1"/>
  <c r="AN2287" i="1" s="1"/>
  <c r="AS2288" i="1"/>
  <c r="AS2289" i="1"/>
  <c r="AS2290" i="1"/>
  <c r="AN2290" i="1" s="1"/>
  <c r="AS2291" i="1"/>
  <c r="AS2292" i="1"/>
  <c r="AS2293" i="1"/>
  <c r="AN2293" i="1" s="1"/>
  <c r="AS2294" i="1"/>
  <c r="AN2294" i="1" s="1"/>
  <c r="AS2295" i="1"/>
  <c r="AS2296" i="1"/>
  <c r="AS2297" i="1"/>
  <c r="AN2297" i="1" s="1"/>
  <c r="AS2298" i="1"/>
  <c r="AN2298" i="1" s="1"/>
  <c r="AS2299" i="1"/>
  <c r="AN2299" i="1" s="1"/>
  <c r="AS2300" i="1"/>
  <c r="AN2300" i="1" s="1"/>
  <c r="AS2301" i="1"/>
  <c r="AN2301" i="1" s="1"/>
  <c r="AS2302" i="1"/>
  <c r="AN2302" i="1" s="1"/>
  <c r="AS2303" i="1"/>
  <c r="AN2303" i="1" s="1"/>
  <c r="AS2304" i="1"/>
  <c r="AS2305" i="1"/>
  <c r="AS2306" i="1"/>
  <c r="AN2306" i="1" s="1"/>
  <c r="AS2307" i="1"/>
  <c r="AS2308" i="1"/>
  <c r="AS2309" i="1"/>
  <c r="AN2309" i="1" s="1"/>
  <c r="AS2310" i="1"/>
  <c r="AN2310" i="1" s="1"/>
  <c r="AS2311" i="1"/>
  <c r="AN2311" i="1" s="1"/>
  <c r="AS2312" i="1"/>
  <c r="AS2313" i="1"/>
  <c r="AN2313" i="1" s="1"/>
  <c r="AS2314" i="1"/>
  <c r="AN2314" i="1" s="1"/>
  <c r="AS2315" i="1"/>
  <c r="AN2315" i="1" s="1"/>
  <c r="AS2316" i="1"/>
  <c r="AN2316" i="1" s="1"/>
  <c r="AS2317" i="1"/>
  <c r="AN2317" i="1" s="1"/>
  <c r="AS2318" i="1"/>
  <c r="AN2318" i="1" s="1"/>
  <c r="AS2319" i="1"/>
  <c r="AN2319" i="1" s="1"/>
  <c r="AS2320" i="1"/>
  <c r="AS2321" i="1"/>
  <c r="AS2322" i="1"/>
  <c r="AN2322" i="1" s="1"/>
  <c r="AS2323" i="1"/>
  <c r="AS2324" i="1"/>
  <c r="AS2325" i="1"/>
  <c r="AN2325" i="1" s="1"/>
  <c r="AS2326" i="1"/>
  <c r="AN2326" i="1" s="1"/>
  <c r="AS2327" i="1"/>
  <c r="AS2328" i="1"/>
  <c r="AS2329" i="1"/>
  <c r="AN2329" i="1" s="1"/>
  <c r="AS2330" i="1"/>
  <c r="AN2330" i="1" s="1"/>
  <c r="AS2331" i="1"/>
  <c r="AN2331" i="1" s="1"/>
  <c r="AS2332" i="1"/>
  <c r="AN2332" i="1" s="1"/>
  <c r="AS2333" i="1"/>
  <c r="AN2333" i="1" s="1"/>
  <c r="AS2334" i="1"/>
  <c r="AN2334" i="1" s="1"/>
  <c r="AS2335" i="1"/>
  <c r="AN2335" i="1" s="1"/>
  <c r="AS2336" i="1"/>
  <c r="AS2337" i="1"/>
  <c r="AN2337" i="1" s="1"/>
  <c r="AS2338" i="1"/>
  <c r="AN2338" i="1" s="1"/>
  <c r="AS2339" i="1"/>
  <c r="AS2340" i="1"/>
  <c r="AS2341" i="1"/>
  <c r="AS2342" i="1"/>
  <c r="AN2342" i="1" s="1"/>
  <c r="AS2343" i="1"/>
  <c r="AN2343" i="1" s="1"/>
  <c r="AS2344" i="1"/>
  <c r="AS2345" i="1"/>
  <c r="AN2345" i="1" s="1"/>
  <c r="AS2346" i="1"/>
  <c r="AN2346" i="1" s="1"/>
  <c r="AS2347" i="1"/>
  <c r="AN2347" i="1" s="1"/>
  <c r="AS2348" i="1"/>
  <c r="AN2348" i="1" s="1"/>
  <c r="AS2349" i="1"/>
  <c r="AN2349" i="1" s="1"/>
  <c r="AS2350" i="1"/>
  <c r="AN2350" i="1" s="1"/>
  <c r="AS2351" i="1"/>
  <c r="AN2351" i="1" s="1"/>
  <c r="AS2352" i="1"/>
  <c r="AS2353" i="1"/>
  <c r="AN2353" i="1" s="1"/>
  <c r="AS2354" i="1"/>
  <c r="AN2354" i="1" s="1"/>
  <c r="AS2355" i="1"/>
  <c r="AS2356" i="1"/>
  <c r="AS2357" i="1"/>
  <c r="AS2358" i="1"/>
  <c r="AN2358" i="1" s="1"/>
  <c r="AS2359" i="1"/>
  <c r="AN2359" i="1" s="1"/>
  <c r="AS2360" i="1"/>
  <c r="AS2361" i="1"/>
  <c r="AN2361" i="1" s="1"/>
  <c r="AS2362" i="1"/>
  <c r="AN2362" i="1" s="1"/>
  <c r="AS2363" i="1"/>
  <c r="AN2363" i="1" s="1"/>
  <c r="AS2364" i="1"/>
  <c r="AN2364" i="1" s="1"/>
  <c r="AS2365" i="1"/>
  <c r="AN2365" i="1" s="1"/>
  <c r="AS2366" i="1"/>
  <c r="AN2366" i="1" s="1"/>
  <c r="AS2367" i="1"/>
  <c r="AN2367" i="1" s="1"/>
  <c r="AS2368" i="1"/>
  <c r="AS2369" i="1"/>
  <c r="AS2370" i="1"/>
  <c r="AN2370" i="1" s="1"/>
  <c r="AS2371" i="1"/>
  <c r="AS2372" i="1"/>
  <c r="AS2373" i="1"/>
  <c r="AS2374" i="1"/>
  <c r="AN2374" i="1" s="1"/>
  <c r="AS2375" i="1"/>
  <c r="AS2376" i="1"/>
  <c r="AS2377" i="1"/>
  <c r="AN2377" i="1" s="1"/>
  <c r="AS2378" i="1"/>
  <c r="AN2378" i="1" s="1"/>
  <c r="AS2379" i="1"/>
  <c r="AN2379" i="1" s="1"/>
  <c r="AS2380" i="1"/>
  <c r="AN2380" i="1" s="1"/>
  <c r="AS2381" i="1"/>
  <c r="AN2381" i="1" s="1"/>
  <c r="AS2382" i="1"/>
  <c r="AN2382" i="1" s="1"/>
  <c r="AS2383" i="1"/>
  <c r="AN2383" i="1" s="1"/>
  <c r="AS2384" i="1"/>
  <c r="AS2385" i="1"/>
  <c r="AN2385" i="1" s="1"/>
  <c r="AS2386" i="1"/>
  <c r="AN2386" i="1" s="1"/>
  <c r="AS2387" i="1"/>
  <c r="AS2388" i="1"/>
  <c r="AS2389" i="1"/>
  <c r="AN2389" i="1" s="1"/>
  <c r="AS2390" i="1"/>
  <c r="AN2390" i="1" s="1"/>
  <c r="AS2391" i="1"/>
  <c r="AS2392" i="1"/>
  <c r="AS2393" i="1"/>
  <c r="AN2393" i="1" s="1"/>
  <c r="AS2394" i="1"/>
  <c r="AN2394" i="1" s="1"/>
  <c r="AS2395" i="1"/>
  <c r="AN2395" i="1" s="1"/>
  <c r="AS2396" i="1"/>
  <c r="AN2396" i="1" s="1"/>
  <c r="AS2397" i="1"/>
  <c r="AN2397" i="1" s="1"/>
  <c r="AS2398" i="1"/>
  <c r="AN2398" i="1" s="1"/>
  <c r="AS2399" i="1"/>
  <c r="AN2399" i="1" s="1"/>
  <c r="AS2400" i="1"/>
  <c r="AS2401" i="1"/>
  <c r="AN2401" i="1" s="1"/>
  <c r="AS2402" i="1"/>
  <c r="AN2402" i="1" s="1"/>
  <c r="AS2403" i="1"/>
  <c r="AS2404" i="1"/>
  <c r="AS2405" i="1"/>
  <c r="AS2406" i="1"/>
  <c r="AN2406" i="1" s="1"/>
  <c r="AS2407" i="1"/>
  <c r="AS2408" i="1"/>
  <c r="AS2409" i="1"/>
  <c r="AN2409" i="1" s="1"/>
  <c r="AS2410" i="1"/>
  <c r="AN2410" i="1" s="1"/>
  <c r="AS2411" i="1"/>
  <c r="AN2411" i="1" s="1"/>
  <c r="AS2412" i="1"/>
  <c r="AN2412" i="1" s="1"/>
  <c r="AS2413" i="1"/>
  <c r="AN2413" i="1" s="1"/>
  <c r="AS2414" i="1"/>
  <c r="AN2414" i="1" s="1"/>
  <c r="AS2415" i="1"/>
  <c r="AN2415" i="1" s="1"/>
  <c r="AS2416" i="1"/>
  <c r="AS2417" i="1"/>
  <c r="AN2417" i="1" s="1"/>
  <c r="AS2418" i="1"/>
  <c r="AN2418" i="1" s="1"/>
  <c r="AS2419" i="1"/>
  <c r="AS2420" i="1"/>
  <c r="AS2421" i="1"/>
  <c r="AS2422" i="1"/>
  <c r="AN2422" i="1" s="1"/>
  <c r="AS2423" i="1"/>
  <c r="AN2423" i="1" s="1"/>
  <c r="AS2424" i="1"/>
  <c r="AS2425" i="1"/>
  <c r="AN2425" i="1" s="1"/>
  <c r="AS2426" i="1"/>
  <c r="AN2426" i="1" s="1"/>
  <c r="AS2427" i="1"/>
  <c r="AN2427" i="1" s="1"/>
  <c r="AS2428" i="1"/>
  <c r="AN2428" i="1" s="1"/>
  <c r="AS2429" i="1"/>
  <c r="AN2429" i="1" s="1"/>
  <c r="AS2430" i="1"/>
  <c r="AN2430" i="1" s="1"/>
  <c r="AS2431" i="1"/>
  <c r="AN2431" i="1" s="1"/>
  <c r="AS2432" i="1"/>
  <c r="AS2433" i="1"/>
  <c r="AS2434" i="1"/>
  <c r="AN2434" i="1" s="1"/>
  <c r="AS2435" i="1"/>
  <c r="AS2436" i="1"/>
  <c r="AS2437" i="1"/>
  <c r="AN2437" i="1" s="1"/>
  <c r="AS2438" i="1"/>
  <c r="AN2438" i="1" s="1"/>
  <c r="AS2439" i="1"/>
  <c r="AN2439" i="1" s="1"/>
  <c r="AS2440" i="1"/>
  <c r="AS2441" i="1"/>
  <c r="AN2441" i="1" s="1"/>
  <c r="AS2442" i="1"/>
  <c r="AN2442" i="1" s="1"/>
  <c r="AS2443" i="1"/>
  <c r="AN2443" i="1" s="1"/>
  <c r="AS2444" i="1"/>
  <c r="AN2444" i="1" s="1"/>
  <c r="AS2445" i="1"/>
  <c r="AS2446" i="1"/>
  <c r="AN2446" i="1" s="1"/>
  <c r="AS2447" i="1"/>
  <c r="AN2447" i="1" s="1"/>
  <c r="AS2448" i="1"/>
  <c r="AS2449" i="1"/>
  <c r="AN2449" i="1" s="1"/>
  <c r="AS2450" i="1"/>
  <c r="AN2450" i="1" s="1"/>
  <c r="AS2451" i="1"/>
  <c r="AS2452" i="1"/>
  <c r="AS2453" i="1"/>
  <c r="AS2454" i="1"/>
  <c r="AN2454" i="1" s="1"/>
  <c r="AS2455" i="1"/>
  <c r="AN2455" i="1" s="1"/>
  <c r="AS2456" i="1"/>
  <c r="AS2457" i="1"/>
  <c r="AN2457" i="1" s="1"/>
  <c r="AS2458" i="1"/>
  <c r="AN2458" i="1" s="1"/>
  <c r="AS2459" i="1"/>
  <c r="AN2459" i="1" s="1"/>
  <c r="AS2460" i="1"/>
  <c r="AN2460" i="1" s="1"/>
  <c r="AS2461" i="1"/>
  <c r="AN2461" i="1" s="1"/>
  <c r="AS2462" i="1"/>
  <c r="AN2462" i="1" s="1"/>
  <c r="AS2463" i="1"/>
  <c r="AN2463" i="1" s="1"/>
  <c r="AS2464" i="1"/>
  <c r="AS2465" i="1"/>
  <c r="AN2465" i="1" s="1"/>
  <c r="AS2466" i="1"/>
  <c r="AN2466" i="1" s="1"/>
  <c r="AS2467" i="1"/>
  <c r="AS2468" i="1"/>
  <c r="AS2469" i="1"/>
  <c r="AS2470" i="1"/>
  <c r="AN2470" i="1" s="1"/>
  <c r="AS2471" i="1"/>
  <c r="AS2472" i="1"/>
  <c r="AS2473" i="1"/>
  <c r="AN2473" i="1" s="1"/>
  <c r="AS2474" i="1"/>
  <c r="AN2474" i="1" s="1"/>
  <c r="AS2475" i="1"/>
  <c r="AN2475" i="1" s="1"/>
  <c r="AS2476" i="1"/>
  <c r="AN2476" i="1" s="1"/>
  <c r="AS2477" i="1"/>
  <c r="AN2477" i="1" s="1"/>
  <c r="AS2478" i="1"/>
  <c r="AN2478" i="1" s="1"/>
  <c r="AS2479" i="1"/>
  <c r="AN2479" i="1" s="1"/>
  <c r="AS2480" i="1"/>
  <c r="AS2481" i="1"/>
  <c r="AN2481" i="1" s="1"/>
  <c r="AS2482" i="1"/>
  <c r="AN2482" i="1" s="1"/>
  <c r="AS2483" i="1"/>
  <c r="AS2484" i="1"/>
  <c r="AS2485" i="1"/>
  <c r="AN2485" i="1" s="1"/>
  <c r="AS2486" i="1"/>
  <c r="AS2487" i="1"/>
  <c r="AS2488" i="1"/>
  <c r="AS2489" i="1"/>
  <c r="AN2489" i="1" s="1"/>
  <c r="AS2490" i="1"/>
  <c r="AN2490" i="1" s="1"/>
  <c r="AS2491" i="1"/>
  <c r="AN2491" i="1" s="1"/>
  <c r="AS2492" i="1"/>
  <c r="AN2492" i="1" s="1"/>
  <c r="AS2493" i="1"/>
  <c r="AN2493" i="1" s="1"/>
  <c r="AS2494" i="1"/>
  <c r="AN2494" i="1" s="1"/>
  <c r="AS2495" i="1"/>
  <c r="AN2495" i="1" s="1"/>
  <c r="AS2496" i="1"/>
  <c r="AS2497" i="1"/>
  <c r="AS2498" i="1"/>
  <c r="AS2499" i="1"/>
  <c r="AS2500" i="1"/>
  <c r="AS2501" i="1"/>
  <c r="AS2502" i="1"/>
  <c r="AN2502" i="1" s="1"/>
  <c r="AS2503" i="1"/>
  <c r="AS2504" i="1"/>
  <c r="AS2505" i="1"/>
  <c r="AN2505" i="1" s="1"/>
  <c r="AS2506" i="1"/>
  <c r="AN2506" i="1" s="1"/>
  <c r="AS2507" i="1"/>
  <c r="AN2507" i="1" s="1"/>
  <c r="AS2508" i="1"/>
  <c r="AN2508" i="1" s="1"/>
  <c r="AS2509" i="1"/>
  <c r="AN2509" i="1" s="1"/>
  <c r="AS2510" i="1"/>
  <c r="AN2510" i="1" s="1"/>
  <c r="AS2511" i="1"/>
  <c r="AN2511" i="1" s="1"/>
  <c r="AS2512" i="1"/>
  <c r="AS2513" i="1"/>
  <c r="AS2514" i="1"/>
  <c r="AN2514" i="1" s="1"/>
  <c r="AS2515" i="1"/>
  <c r="AS2516" i="1"/>
  <c r="AS2517" i="1"/>
  <c r="AN2517" i="1" s="1"/>
  <c r="AS2518" i="1"/>
  <c r="AN2518" i="1" s="1"/>
  <c r="AS2519" i="1"/>
  <c r="AN2519" i="1" s="1"/>
  <c r="AS2520" i="1"/>
  <c r="AS2521" i="1"/>
  <c r="AS2522" i="1"/>
  <c r="AN2522" i="1" s="1"/>
  <c r="AS2523" i="1"/>
  <c r="AN2523" i="1" s="1"/>
  <c r="AS2524" i="1"/>
  <c r="AN2524" i="1" s="1"/>
  <c r="AS2525" i="1"/>
  <c r="AN2525" i="1" s="1"/>
  <c r="AS2526" i="1"/>
  <c r="AN2526" i="1" s="1"/>
  <c r="AS2527" i="1"/>
  <c r="AN2527" i="1" s="1"/>
  <c r="AS2528" i="1"/>
  <c r="AS2529" i="1"/>
  <c r="AN2529" i="1" s="1"/>
  <c r="AS2530" i="1"/>
  <c r="AN2530" i="1" s="1"/>
  <c r="AS2531" i="1"/>
  <c r="AS2532" i="1"/>
  <c r="AS2533" i="1"/>
  <c r="AS2534" i="1"/>
  <c r="AN2534" i="1" s="1"/>
  <c r="AS2535" i="1"/>
  <c r="AN2535" i="1" s="1"/>
  <c r="AS2536" i="1"/>
  <c r="AS2537" i="1"/>
  <c r="AN2537" i="1" s="1"/>
  <c r="AS2538" i="1"/>
  <c r="AN2538" i="1" s="1"/>
  <c r="AS2539" i="1"/>
  <c r="AN2539" i="1" s="1"/>
  <c r="AS2540" i="1"/>
  <c r="AN2540" i="1" s="1"/>
  <c r="AS2541" i="1"/>
  <c r="AN2541" i="1" s="1"/>
  <c r="AS2542" i="1"/>
  <c r="AN2542" i="1" s="1"/>
  <c r="AS2543" i="1"/>
  <c r="AN2543" i="1" s="1"/>
  <c r="AR1981" i="1"/>
  <c r="AR1982" i="1"/>
  <c r="AR1983" i="1"/>
  <c r="AR1984" i="1"/>
  <c r="AR1985" i="1"/>
  <c r="AR1986" i="1"/>
  <c r="AR1987" i="1"/>
  <c r="AR1988" i="1"/>
  <c r="AM1988" i="1" s="1"/>
  <c r="AR1989" i="1"/>
  <c r="AM1989" i="1" s="1"/>
  <c r="AR1990" i="1"/>
  <c r="AM1990" i="1" s="1"/>
  <c r="AR1991" i="1"/>
  <c r="AR1992" i="1"/>
  <c r="AR1993" i="1"/>
  <c r="AR1994" i="1"/>
  <c r="AR1995" i="1"/>
  <c r="AR1996" i="1"/>
  <c r="AM1996" i="1" s="1"/>
  <c r="AR1997" i="1"/>
  <c r="AR1998" i="1"/>
  <c r="AR1999" i="1"/>
  <c r="AR2000" i="1"/>
  <c r="AR2001" i="1"/>
  <c r="AR2002" i="1"/>
  <c r="AR2003" i="1"/>
  <c r="AR2004" i="1"/>
  <c r="AM2004" i="1" s="1"/>
  <c r="AR2005" i="1"/>
  <c r="AM2005" i="1" s="1"/>
  <c r="AR2006" i="1"/>
  <c r="AM2006" i="1" s="1"/>
  <c r="AR2007" i="1"/>
  <c r="AR2008" i="1"/>
  <c r="AR2009" i="1"/>
  <c r="AR2010" i="1"/>
  <c r="AR2011" i="1"/>
  <c r="AR2012" i="1"/>
  <c r="AM2012" i="1" s="1"/>
  <c r="AR2013" i="1"/>
  <c r="AR2014" i="1"/>
  <c r="AR2015" i="1"/>
  <c r="AR2016" i="1"/>
  <c r="AR2017" i="1"/>
  <c r="AR2018" i="1"/>
  <c r="AR2019" i="1"/>
  <c r="AR2020" i="1"/>
  <c r="AM2020" i="1" s="1"/>
  <c r="AR2021" i="1"/>
  <c r="AM2021" i="1" s="1"/>
  <c r="AR2022" i="1"/>
  <c r="AM2022" i="1" s="1"/>
  <c r="AR2023" i="1"/>
  <c r="AR2024" i="1"/>
  <c r="AR2025" i="1"/>
  <c r="AR2026" i="1"/>
  <c r="AR2027" i="1"/>
  <c r="AR2028" i="1"/>
  <c r="AM2028" i="1" s="1"/>
  <c r="AR2029" i="1"/>
  <c r="AM2029" i="1" s="1"/>
  <c r="AR2030" i="1"/>
  <c r="AR2031" i="1"/>
  <c r="AR2032" i="1"/>
  <c r="AR2033" i="1"/>
  <c r="AR2034" i="1"/>
  <c r="AR2035" i="1"/>
  <c r="AR2036" i="1"/>
  <c r="AM2036" i="1" s="1"/>
  <c r="AR2037" i="1"/>
  <c r="AM2037" i="1" s="1"/>
  <c r="AR2038" i="1"/>
  <c r="AM2038" i="1" s="1"/>
  <c r="AR2039" i="1"/>
  <c r="AR2040" i="1"/>
  <c r="AR2041" i="1"/>
  <c r="AR2042" i="1"/>
  <c r="AR2043" i="1"/>
  <c r="AR2044" i="1"/>
  <c r="AM2044" i="1" s="1"/>
  <c r="AR2045" i="1"/>
  <c r="AM2045" i="1" s="1"/>
  <c r="AR2046" i="1"/>
  <c r="AR2047" i="1"/>
  <c r="AR2048" i="1"/>
  <c r="AR2049" i="1"/>
  <c r="AR2050" i="1"/>
  <c r="AR2051" i="1"/>
  <c r="AR2052" i="1"/>
  <c r="AM2052" i="1" s="1"/>
  <c r="AR2053" i="1"/>
  <c r="AM2053" i="1" s="1"/>
  <c r="AR2054" i="1"/>
  <c r="AM2054" i="1" s="1"/>
  <c r="AR2055" i="1"/>
  <c r="AR2056" i="1"/>
  <c r="AR2057" i="1"/>
  <c r="AR2058" i="1"/>
  <c r="AR2059" i="1"/>
  <c r="AR2060" i="1"/>
  <c r="AM2060" i="1" s="1"/>
  <c r="AR2061" i="1"/>
  <c r="AM2061" i="1" s="1"/>
  <c r="AR2062" i="1"/>
  <c r="AR2063" i="1"/>
  <c r="AR2064" i="1"/>
  <c r="AR2065" i="1"/>
  <c r="AR2066" i="1"/>
  <c r="AR2067" i="1"/>
  <c r="AR2068" i="1"/>
  <c r="AM2068" i="1" s="1"/>
  <c r="AR2069" i="1"/>
  <c r="AM2069" i="1" s="1"/>
  <c r="AR2070" i="1"/>
  <c r="AM2070" i="1" s="1"/>
  <c r="AR2071" i="1"/>
  <c r="AR2072" i="1"/>
  <c r="AR2073" i="1"/>
  <c r="AR2074" i="1"/>
  <c r="AR2075" i="1"/>
  <c r="AR2076" i="1"/>
  <c r="AM2076" i="1" s="1"/>
  <c r="AR2077" i="1"/>
  <c r="AR2078" i="1"/>
  <c r="AR2079" i="1"/>
  <c r="AR2080" i="1"/>
  <c r="AR2081" i="1"/>
  <c r="AR2082" i="1"/>
  <c r="AR2083" i="1"/>
  <c r="AR2084" i="1"/>
  <c r="AM2084" i="1" s="1"/>
  <c r="AR2085" i="1"/>
  <c r="AM2085" i="1" s="1"/>
  <c r="AR2086" i="1"/>
  <c r="AM2086" i="1" s="1"/>
  <c r="AR2087" i="1"/>
  <c r="AR2088" i="1"/>
  <c r="AR2089" i="1"/>
  <c r="AR2090" i="1"/>
  <c r="AR2091" i="1"/>
  <c r="AR2092" i="1"/>
  <c r="AM2092" i="1" s="1"/>
  <c r="AR2093" i="1"/>
  <c r="AR2094" i="1"/>
  <c r="AR2095" i="1"/>
  <c r="AR2096" i="1"/>
  <c r="AR2097" i="1"/>
  <c r="AR2098" i="1"/>
  <c r="AR2099" i="1"/>
  <c r="AR2100" i="1"/>
  <c r="AM2100" i="1" s="1"/>
  <c r="AR2101" i="1"/>
  <c r="AM2101" i="1" s="1"/>
  <c r="AR2102" i="1"/>
  <c r="AM2102" i="1" s="1"/>
  <c r="AR2103" i="1"/>
  <c r="AR2104" i="1"/>
  <c r="AR2105" i="1"/>
  <c r="AR2106" i="1"/>
  <c r="AR2107" i="1"/>
  <c r="AR2108" i="1"/>
  <c r="AM2108" i="1" s="1"/>
  <c r="AR2109" i="1"/>
  <c r="AR2110" i="1"/>
  <c r="AR2111" i="1"/>
  <c r="AR2112" i="1"/>
  <c r="AR2113" i="1"/>
  <c r="AR2114" i="1"/>
  <c r="AR2115" i="1"/>
  <c r="AR2116" i="1"/>
  <c r="AM2116" i="1" s="1"/>
  <c r="AR2117" i="1"/>
  <c r="AM2117" i="1" s="1"/>
  <c r="AR2118" i="1"/>
  <c r="AM2118" i="1" s="1"/>
  <c r="AR2119" i="1"/>
  <c r="AR2120" i="1"/>
  <c r="AR2121" i="1"/>
  <c r="AR2122" i="1"/>
  <c r="AR2123" i="1"/>
  <c r="AR2124" i="1"/>
  <c r="AM2124" i="1" s="1"/>
  <c r="AR2125" i="1"/>
  <c r="AR2126" i="1"/>
  <c r="AR2127" i="1"/>
  <c r="AR2128" i="1"/>
  <c r="AR2129" i="1"/>
  <c r="AR2130" i="1"/>
  <c r="AR2131" i="1"/>
  <c r="AR2132" i="1"/>
  <c r="AM2132" i="1" s="1"/>
  <c r="AR2133" i="1"/>
  <c r="AM2133" i="1" s="1"/>
  <c r="AR2134" i="1"/>
  <c r="AM2134" i="1" s="1"/>
  <c r="AR2135" i="1"/>
  <c r="AR2136" i="1"/>
  <c r="AR2137" i="1"/>
  <c r="AR2138" i="1"/>
  <c r="AR2139" i="1"/>
  <c r="AR2140" i="1"/>
  <c r="AM2140" i="1" s="1"/>
  <c r="AR2141" i="1"/>
  <c r="AR2142" i="1"/>
  <c r="AR2143" i="1"/>
  <c r="AR2144" i="1"/>
  <c r="AR2145" i="1"/>
  <c r="AR2146" i="1"/>
  <c r="AR2147" i="1"/>
  <c r="AR2148" i="1"/>
  <c r="AM2148" i="1" s="1"/>
  <c r="AR2149" i="1"/>
  <c r="AM2149" i="1" s="1"/>
  <c r="AR2150" i="1"/>
  <c r="AM2150" i="1" s="1"/>
  <c r="AR2151" i="1"/>
  <c r="AR2152" i="1"/>
  <c r="AR2153" i="1"/>
  <c r="AR2154" i="1"/>
  <c r="AR2155" i="1"/>
  <c r="AR2156" i="1"/>
  <c r="AM2156" i="1" s="1"/>
  <c r="AR2157" i="1"/>
  <c r="AR2158" i="1"/>
  <c r="AR2159" i="1"/>
  <c r="AR2160" i="1"/>
  <c r="AR2161" i="1"/>
  <c r="AR2162" i="1"/>
  <c r="AR2163" i="1"/>
  <c r="AR2164" i="1"/>
  <c r="AM2164" i="1" s="1"/>
  <c r="AR2165" i="1"/>
  <c r="AM2165" i="1" s="1"/>
  <c r="AR2166" i="1"/>
  <c r="AM2166" i="1" s="1"/>
  <c r="AR2167" i="1"/>
  <c r="AR2168" i="1"/>
  <c r="AR2169" i="1"/>
  <c r="AR2170" i="1"/>
  <c r="AR2171" i="1"/>
  <c r="AR2172" i="1"/>
  <c r="AM2172" i="1" s="1"/>
  <c r="AR2173" i="1"/>
  <c r="AR2174" i="1"/>
  <c r="AR2175" i="1"/>
  <c r="AR2176" i="1"/>
  <c r="AR2177" i="1"/>
  <c r="AR2178" i="1"/>
  <c r="AR2179" i="1"/>
  <c r="AR2180" i="1"/>
  <c r="AM2180" i="1" s="1"/>
  <c r="AR2181" i="1"/>
  <c r="AM2181" i="1" s="1"/>
  <c r="AR2182" i="1"/>
  <c r="AM2182" i="1" s="1"/>
  <c r="AR2183" i="1"/>
  <c r="AR2184" i="1"/>
  <c r="AR2185" i="1"/>
  <c r="AR2186" i="1"/>
  <c r="AR2187" i="1"/>
  <c r="AR2188" i="1"/>
  <c r="AM2188" i="1" s="1"/>
  <c r="AR2189" i="1"/>
  <c r="AR2190" i="1"/>
  <c r="AR2191" i="1"/>
  <c r="AR2192" i="1"/>
  <c r="AR2193" i="1"/>
  <c r="AR2194" i="1"/>
  <c r="AR2195" i="1"/>
  <c r="AR2196" i="1"/>
  <c r="AM2196" i="1" s="1"/>
  <c r="AR2197" i="1"/>
  <c r="AM2197" i="1" s="1"/>
  <c r="AR2198" i="1"/>
  <c r="AM2198" i="1" s="1"/>
  <c r="AR2199" i="1"/>
  <c r="AR2200" i="1"/>
  <c r="AR2201" i="1"/>
  <c r="AR2202" i="1"/>
  <c r="AR2203" i="1"/>
  <c r="AR2204" i="1"/>
  <c r="AM2204" i="1" s="1"/>
  <c r="AR2205" i="1"/>
  <c r="AR2206" i="1"/>
  <c r="AR2207" i="1"/>
  <c r="AR2208" i="1"/>
  <c r="AR2209" i="1"/>
  <c r="AR2210" i="1"/>
  <c r="AR2211" i="1"/>
  <c r="AR2212" i="1"/>
  <c r="AM2212" i="1" s="1"/>
  <c r="AR2213" i="1"/>
  <c r="AM2213" i="1" s="1"/>
  <c r="AR2214" i="1"/>
  <c r="AM2214" i="1" s="1"/>
  <c r="AR2215" i="1"/>
  <c r="AR2216" i="1"/>
  <c r="AR2217" i="1"/>
  <c r="AR2218" i="1"/>
  <c r="AR2219" i="1"/>
  <c r="AR2220" i="1"/>
  <c r="AM2220" i="1" s="1"/>
  <c r="AR2221" i="1"/>
  <c r="AR2222" i="1"/>
  <c r="AR2223" i="1"/>
  <c r="AR2224" i="1"/>
  <c r="AR2225" i="1"/>
  <c r="AR2226" i="1"/>
  <c r="AR2227" i="1"/>
  <c r="AR2228" i="1"/>
  <c r="AM2228" i="1" s="1"/>
  <c r="AR2229" i="1"/>
  <c r="AM2229" i="1" s="1"/>
  <c r="AR2230" i="1"/>
  <c r="AM2230" i="1" s="1"/>
  <c r="AR2231" i="1"/>
  <c r="AR2232" i="1"/>
  <c r="AR2233" i="1"/>
  <c r="AR2234" i="1"/>
  <c r="AR2235" i="1"/>
  <c r="AR2236" i="1"/>
  <c r="AM2236" i="1" s="1"/>
  <c r="AR2237" i="1"/>
  <c r="AR2238" i="1"/>
  <c r="AR2239" i="1"/>
  <c r="AR2240" i="1"/>
  <c r="AR2241" i="1"/>
  <c r="AR2242" i="1"/>
  <c r="AR2243" i="1"/>
  <c r="AR2244" i="1"/>
  <c r="AM2244" i="1" s="1"/>
  <c r="AR2245" i="1"/>
  <c r="AM2245" i="1" s="1"/>
  <c r="AR2246" i="1"/>
  <c r="AM2246" i="1" s="1"/>
  <c r="AR2247" i="1"/>
  <c r="AR2248" i="1"/>
  <c r="AR2249" i="1"/>
  <c r="AR2250" i="1"/>
  <c r="AR2251" i="1"/>
  <c r="AR2252" i="1"/>
  <c r="AM2252" i="1" s="1"/>
  <c r="AR2253" i="1"/>
  <c r="AR2254" i="1"/>
  <c r="AR2255" i="1"/>
  <c r="AR2256" i="1"/>
  <c r="AR2257" i="1"/>
  <c r="AR2258" i="1"/>
  <c r="AR2259" i="1"/>
  <c r="AR2260" i="1"/>
  <c r="AM2260" i="1" s="1"/>
  <c r="AR2261" i="1"/>
  <c r="AM2261" i="1" s="1"/>
  <c r="AR2262" i="1"/>
  <c r="AM2262" i="1" s="1"/>
  <c r="AR2263" i="1"/>
  <c r="AR2264" i="1"/>
  <c r="AR2265" i="1"/>
  <c r="AR2266" i="1"/>
  <c r="AR2267" i="1"/>
  <c r="AR2268" i="1"/>
  <c r="AM2268" i="1" s="1"/>
  <c r="AR2269" i="1"/>
  <c r="AR2270" i="1"/>
  <c r="AR2271" i="1"/>
  <c r="AR2272" i="1"/>
  <c r="AR2273" i="1"/>
  <c r="AR2274" i="1"/>
  <c r="AR2275" i="1"/>
  <c r="AR2276" i="1"/>
  <c r="AM2276" i="1" s="1"/>
  <c r="AR2277" i="1"/>
  <c r="AM2277" i="1" s="1"/>
  <c r="AR2278" i="1"/>
  <c r="AM2278" i="1" s="1"/>
  <c r="AR2279" i="1"/>
  <c r="AR2280" i="1"/>
  <c r="AR2281" i="1"/>
  <c r="AR2282" i="1"/>
  <c r="AR2283" i="1"/>
  <c r="AR2284" i="1"/>
  <c r="AM2284" i="1" s="1"/>
  <c r="AR2285" i="1"/>
  <c r="AR2286" i="1"/>
  <c r="AR2287" i="1"/>
  <c r="AR2288" i="1"/>
  <c r="AR2289" i="1"/>
  <c r="AR2290" i="1"/>
  <c r="AR2291" i="1"/>
  <c r="AR2292" i="1"/>
  <c r="AM2292" i="1" s="1"/>
  <c r="AR2293" i="1"/>
  <c r="AM2293" i="1" s="1"/>
  <c r="AR2294" i="1"/>
  <c r="AR2295" i="1"/>
  <c r="AR2296" i="1"/>
  <c r="AR2297" i="1"/>
  <c r="AR2298" i="1"/>
  <c r="AR2299" i="1"/>
  <c r="AR2300" i="1"/>
  <c r="AM2300" i="1" s="1"/>
  <c r="AR2301" i="1"/>
  <c r="AR2302" i="1"/>
  <c r="AR2303" i="1"/>
  <c r="AR2304" i="1"/>
  <c r="AR2305" i="1"/>
  <c r="AR2306" i="1"/>
  <c r="AR2307" i="1"/>
  <c r="AR2308" i="1"/>
  <c r="AM2308" i="1" s="1"/>
  <c r="AR2309" i="1"/>
  <c r="AM2309" i="1" s="1"/>
  <c r="AR2310" i="1"/>
  <c r="AM2310" i="1" s="1"/>
  <c r="AR2311" i="1"/>
  <c r="AR2312" i="1"/>
  <c r="AR2313" i="1"/>
  <c r="AR2314" i="1"/>
  <c r="AR2315" i="1"/>
  <c r="AR2316" i="1"/>
  <c r="AM2316" i="1" s="1"/>
  <c r="AR2317" i="1"/>
  <c r="AR2318" i="1"/>
  <c r="AR2319" i="1"/>
  <c r="AR2320" i="1"/>
  <c r="AR2321" i="1"/>
  <c r="AR2322" i="1"/>
  <c r="AR2323" i="1"/>
  <c r="AR2324" i="1"/>
  <c r="AM2324" i="1" s="1"/>
  <c r="AR2325" i="1"/>
  <c r="AM2325" i="1" s="1"/>
  <c r="AR2326" i="1"/>
  <c r="AM2326" i="1" s="1"/>
  <c r="AR2327" i="1"/>
  <c r="AR2328" i="1"/>
  <c r="AR2329" i="1"/>
  <c r="AR2330" i="1"/>
  <c r="AR2331" i="1"/>
  <c r="AR2332" i="1"/>
  <c r="AM2332" i="1" s="1"/>
  <c r="AR2333" i="1"/>
  <c r="AR2334" i="1"/>
  <c r="AR2335" i="1"/>
  <c r="AR2336" i="1"/>
  <c r="AR2337" i="1"/>
  <c r="AR2338" i="1"/>
  <c r="AR2339" i="1"/>
  <c r="AR2340" i="1"/>
  <c r="AM2340" i="1" s="1"/>
  <c r="AR2341" i="1"/>
  <c r="AM2341" i="1" s="1"/>
  <c r="AR2342" i="1"/>
  <c r="AM2342" i="1" s="1"/>
  <c r="AR2343" i="1"/>
  <c r="AR2344" i="1"/>
  <c r="AR2345" i="1"/>
  <c r="AR2346" i="1"/>
  <c r="AR2347" i="1"/>
  <c r="AR2348" i="1"/>
  <c r="AM2348" i="1" s="1"/>
  <c r="AR2349" i="1"/>
  <c r="AR2350" i="1"/>
  <c r="AR2351" i="1"/>
  <c r="AR2352" i="1"/>
  <c r="AR2353" i="1"/>
  <c r="AR2354" i="1"/>
  <c r="AR2355" i="1"/>
  <c r="AR2356" i="1"/>
  <c r="AM2356" i="1" s="1"/>
  <c r="AR2357" i="1"/>
  <c r="AM2357" i="1" s="1"/>
  <c r="AR2358" i="1"/>
  <c r="AM2358" i="1" s="1"/>
  <c r="AR2359" i="1"/>
  <c r="AR2360" i="1"/>
  <c r="AR2361" i="1"/>
  <c r="AR2362" i="1"/>
  <c r="AR2363" i="1"/>
  <c r="AR2364" i="1"/>
  <c r="AM2364" i="1" s="1"/>
  <c r="AR2365" i="1"/>
  <c r="AR2366" i="1"/>
  <c r="AR2367" i="1"/>
  <c r="AR2368" i="1"/>
  <c r="AR2369" i="1"/>
  <c r="AR2370" i="1"/>
  <c r="AR2371" i="1"/>
  <c r="AR2372" i="1"/>
  <c r="AM2372" i="1" s="1"/>
  <c r="AR2373" i="1"/>
  <c r="AM2373" i="1" s="1"/>
  <c r="AR2374" i="1"/>
  <c r="AM2374" i="1" s="1"/>
  <c r="AR2375" i="1"/>
  <c r="AR2376" i="1"/>
  <c r="AR2377" i="1"/>
  <c r="AR2378" i="1"/>
  <c r="AR2379" i="1"/>
  <c r="AR2380" i="1"/>
  <c r="AM2380" i="1" s="1"/>
  <c r="AR2381" i="1"/>
  <c r="AR2382" i="1"/>
  <c r="AR2383" i="1"/>
  <c r="AR2384" i="1"/>
  <c r="AR2385" i="1"/>
  <c r="AR2386" i="1"/>
  <c r="AR2387" i="1"/>
  <c r="AR2388" i="1"/>
  <c r="AM2388" i="1" s="1"/>
  <c r="AR2389" i="1"/>
  <c r="AM2389" i="1" s="1"/>
  <c r="AR2390" i="1"/>
  <c r="AM2390" i="1" s="1"/>
  <c r="AR2391" i="1"/>
  <c r="AR2392" i="1"/>
  <c r="AR2393" i="1"/>
  <c r="AR2394" i="1"/>
  <c r="AR2395" i="1"/>
  <c r="AR2396" i="1"/>
  <c r="AM2396" i="1" s="1"/>
  <c r="AR2397" i="1"/>
  <c r="AR2398" i="1"/>
  <c r="AR2399" i="1"/>
  <c r="AR2400" i="1"/>
  <c r="AR2401" i="1"/>
  <c r="AR2402" i="1"/>
  <c r="AR2403" i="1"/>
  <c r="AR2404" i="1"/>
  <c r="AM2404" i="1" s="1"/>
  <c r="AR2405" i="1"/>
  <c r="AM2405" i="1" s="1"/>
  <c r="AR2406" i="1"/>
  <c r="AM2406" i="1" s="1"/>
  <c r="AR2407" i="1"/>
  <c r="AR2408" i="1"/>
  <c r="AR2409" i="1"/>
  <c r="AR2410" i="1"/>
  <c r="AR2411" i="1"/>
  <c r="AR2412" i="1"/>
  <c r="AM2412" i="1" s="1"/>
  <c r="AR2413" i="1"/>
  <c r="AR2414" i="1"/>
  <c r="AR2415" i="1"/>
  <c r="AR2416" i="1"/>
  <c r="AR2417" i="1"/>
  <c r="AR2418" i="1"/>
  <c r="AR2419" i="1"/>
  <c r="AR2420" i="1"/>
  <c r="AM2420" i="1" s="1"/>
  <c r="AR2421" i="1"/>
  <c r="AM2421" i="1" s="1"/>
  <c r="AR2422" i="1"/>
  <c r="AM2422" i="1" s="1"/>
  <c r="AR2423" i="1"/>
  <c r="AR2424" i="1"/>
  <c r="AR2425" i="1"/>
  <c r="AR2426" i="1"/>
  <c r="AR2427" i="1"/>
  <c r="AR2428" i="1"/>
  <c r="AM2428" i="1" s="1"/>
  <c r="AR2429" i="1"/>
  <c r="AR2430" i="1"/>
  <c r="AR2431" i="1"/>
  <c r="AR2432" i="1"/>
  <c r="AR2433" i="1"/>
  <c r="AR2434" i="1"/>
  <c r="AR2435" i="1"/>
  <c r="AR2436" i="1"/>
  <c r="AM2436" i="1" s="1"/>
  <c r="AR2437" i="1"/>
  <c r="AM2437" i="1" s="1"/>
  <c r="AR2438" i="1"/>
  <c r="AM2438" i="1" s="1"/>
  <c r="AR2439" i="1"/>
  <c r="AR2440" i="1"/>
  <c r="AR2441" i="1"/>
  <c r="AR2442" i="1"/>
  <c r="AR2443" i="1"/>
  <c r="AR2444" i="1"/>
  <c r="AM2444" i="1" s="1"/>
  <c r="AR2445" i="1"/>
  <c r="AR2446" i="1"/>
  <c r="AR2447" i="1"/>
  <c r="AR2448" i="1"/>
  <c r="AR2449" i="1"/>
  <c r="AR2450" i="1"/>
  <c r="AR2451" i="1"/>
  <c r="AR2452" i="1"/>
  <c r="AM2452" i="1" s="1"/>
  <c r="AR2453" i="1"/>
  <c r="AM2453" i="1" s="1"/>
  <c r="AR2454" i="1"/>
  <c r="AM2454" i="1" s="1"/>
  <c r="AR2455" i="1"/>
  <c r="AR2456" i="1"/>
  <c r="AR2457" i="1"/>
  <c r="AR2458" i="1"/>
  <c r="AR2459" i="1"/>
  <c r="AR2460" i="1"/>
  <c r="AM2460" i="1" s="1"/>
  <c r="AR2461" i="1"/>
  <c r="AR2462" i="1"/>
  <c r="AR2463" i="1"/>
  <c r="AR2464" i="1"/>
  <c r="AR2465" i="1"/>
  <c r="AR2466" i="1"/>
  <c r="AR2467" i="1"/>
  <c r="AR2468" i="1"/>
  <c r="AM2468" i="1" s="1"/>
  <c r="AR2469" i="1"/>
  <c r="AM2469" i="1" s="1"/>
  <c r="AR2470" i="1"/>
  <c r="AM2470" i="1" s="1"/>
  <c r="AR2471" i="1"/>
  <c r="AR2472" i="1"/>
  <c r="AR2473" i="1"/>
  <c r="AR2474" i="1"/>
  <c r="AR2475" i="1"/>
  <c r="AR2476" i="1"/>
  <c r="AM2476" i="1" s="1"/>
  <c r="AR2477" i="1"/>
  <c r="AR2478" i="1"/>
  <c r="AR2479" i="1"/>
  <c r="AR2480" i="1"/>
  <c r="AR2481" i="1"/>
  <c r="AR2482" i="1"/>
  <c r="AR2483" i="1"/>
  <c r="AR2484" i="1"/>
  <c r="AM2484" i="1" s="1"/>
  <c r="AR2485" i="1"/>
  <c r="AM2485" i="1" s="1"/>
  <c r="AR2486" i="1"/>
  <c r="AM2486" i="1" s="1"/>
  <c r="AR2487" i="1"/>
  <c r="AR2488" i="1"/>
  <c r="AR2489" i="1"/>
  <c r="AR2490" i="1"/>
  <c r="AR2491" i="1"/>
  <c r="AR2492" i="1"/>
  <c r="AM2492" i="1" s="1"/>
  <c r="AR2493" i="1"/>
  <c r="AR2494" i="1"/>
  <c r="AR2495" i="1"/>
  <c r="AR2496" i="1"/>
  <c r="AR2497" i="1"/>
  <c r="AR2498" i="1"/>
  <c r="AR2499" i="1"/>
  <c r="AR2500" i="1"/>
  <c r="AM2500" i="1" s="1"/>
  <c r="AR2501" i="1"/>
  <c r="AM2501" i="1" s="1"/>
  <c r="AR2502" i="1"/>
  <c r="AM2502" i="1" s="1"/>
  <c r="AR2503" i="1"/>
  <c r="AR2504" i="1"/>
  <c r="AR2505" i="1"/>
  <c r="AR2506" i="1"/>
  <c r="AR2507" i="1"/>
  <c r="AR2508" i="1"/>
  <c r="AM2508" i="1" s="1"/>
  <c r="AR2509" i="1"/>
  <c r="AR2510" i="1"/>
  <c r="AR2511" i="1"/>
  <c r="AR2512" i="1"/>
  <c r="AR2513" i="1"/>
  <c r="AR2514" i="1"/>
  <c r="AR2515" i="1"/>
  <c r="AR2516" i="1"/>
  <c r="AM2516" i="1" s="1"/>
  <c r="AR2517" i="1"/>
  <c r="AM2517" i="1" s="1"/>
  <c r="AR2518" i="1"/>
  <c r="AM2518" i="1" s="1"/>
  <c r="AR2519" i="1"/>
  <c r="AR2520" i="1"/>
  <c r="AR2521" i="1"/>
  <c r="AR2522" i="1"/>
  <c r="AR2523" i="1"/>
  <c r="AR2524" i="1"/>
  <c r="AM2524" i="1" s="1"/>
  <c r="AR2525" i="1"/>
  <c r="AR2526" i="1"/>
  <c r="AR2527" i="1"/>
  <c r="AR2528" i="1"/>
  <c r="AR2529" i="1"/>
  <c r="AR2530" i="1"/>
  <c r="AR2531" i="1"/>
  <c r="AR2532" i="1"/>
  <c r="AM2532" i="1" s="1"/>
  <c r="AR2533" i="1"/>
  <c r="AM2533" i="1" s="1"/>
  <c r="AR2534" i="1"/>
  <c r="AM2534" i="1" s="1"/>
  <c r="AR2535" i="1"/>
  <c r="AR2536" i="1"/>
  <c r="AR2537" i="1"/>
  <c r="AR2538" i="1"/>
  <c r="AR2539" i="1"/>
  <c r="AR2540" i="1"/>
  <c r="AM2540" i="1" s="1"/>
  <c r="AR2541" i="1"/>
  <c r="AR2542" i="1"/>
  <c r="AR2543" i="1"/>
  <c r="AQ1981" i="1"/>
  <c r="AQ1982" i="1"/>
  <c r="AQ1983" i="1"/>
  <c r="AL1983" i="1" s="1"/>
  <c r="AQ1984" i="1"/>
  <c r="AL1984" i="1" s="1"/>
  <c r="AQ1985" i="1"/>
  <c r="AQ1986" i="1"/>
  <c r="AQ1987" i="1"/>
  <c r="AL1987" i="1" s="1"/>
  <c r="AQ1988" i="1"/>
  <c r="AQ1989" i="1"/>
  <c r="AQ1990" i="1"/>
  <c r="AQ1991" i="1"/>
  <c r="AQ1992" i="1"/>
  <c r="AQ1993" i="1"/>
  <c r="AL1993" i="1" s="1"/>
  <c r="AQ1994" i="1"/>
  <c r="AL1994" i="1" s="1"/>
  <c r="AQ1995" i="1"/>
  <c r="AL1995" i="1" s="1"/>
  <c r="AQ1996" i="1"/>
  <c r="AL1996" i="1" s="1"/>
  <c r="AQ1997" i="1"/>
  <c r="AQ1998" i="1"/>
  <c r="AQ1999" i="1"/>
  <c r="AL1999" i="1" s="1"/>
  <c r="AQ2000" i="1"/>
  <c r="AL2000" i="1" s="1"/>
  <c r="AQ2001" i="1"/>
  <c r="AQ2002" i="1"/>
  <c r="AQ2003" i="1"/>
  <c r="AL2003" i="1" s="1"/>
  <c r="AQ2004" i="1"/>
  <c r="AQ2005" i="1"/>
  <c r="AQ2006" i="1"/>
  <c r="AQ2007" i="1"/>
  <c r="AQ2008" i="1"/>
  <c r="AQ2009" i="1"/>
  <c r="AL2009" i="1" s="1"/>
  <c r="AQ2010" i="1"/>
  <c r="AL2010" i="1" s="1"/>
  <c r="AQ2011" i="1"/>
  <c r="AL2011" i="1" s="1"/>
  <c r="AQ2012" i="1"/>
  <c r="AL2012" i="1" s="1"/>
  <c r="AQ2013" i="1"/>
  <c r="AQ2014" i="1"/>
  <c r="AQ2015" i="1"/>
  <c r="AL2015" i="1" s="1"/>
  <c r="AQ2016" i="1"/>
  <c r="AL2016" i="1" s="1"/>
  <c r="AQ2017" i="1"/>
  <c r="AQ2018" i="1"/>
  <c r="AQ2019" i="1"/>
  <c r="AL2019" i="1" s="1"/>
  <c r="AQ2020" i="1"/>
  <c r="AQ2021" i="1"/>
  <c r="AQ2022" i="1"/>
  <c r="AQ2023" i="1"/>
  <c r="AQ2024" i="1"/>
  <c r="AQ2025" i="1"/>
  <c r="AL2025" i="1" s="1"/>
  <c r="AQ2026" i="1"/>
  <c r="AL2026" i="1" s="1"/>
  <c r="AQ2027" i="1"/>
  <c r="AL2027" i="1" s="1"/>
  <c r="AQ2028" i="1"/>
  <c r="AL2028" i="1" s="1"/>
  <c r="AQ2029" i="1"/>
  <c r="AQ2030" i="1"/>
  <c r="AQ2031" i="1"/>
  <c r="AL2031" i="1" s="1"/>
  <c r="AQ2032" i="1"/>
  <c r="AL2032" i="1" s="1"/>
  <c r="AQ2033" i="1"/>
  <c r="AQ2034" i="1"/>
  <c r="AQ2035" i="1"/>
  <c r="AL2035" i="1" s="1"/>
  <c r="AQ2036" i="1"/>
  <c r="AQ2037" i="1"/>
  <c r="AQ2038" i="1"/>
  <c r="AQ2039" i="1"/>
  <c r="AQ2040" i="1"/>
  <c r="AQ2041" i="1"/>
  <c r="AL2041" i="1" s="1"/>
  <c r="AQ2042" i="1"/>
  <c r="AL2042" i="1" s="1"/>
  <c r="AQ2043" i="1"/>
  <c r="AL2043" i="1" s="1"/>
  <c r="AQ2044" i="1"/>
  <c r="AL2044" i="1" s="1"/>
  <c r="AQ2045" i="1"/>
  <c r="AQ2046" i="1"/>
  <c r="AQ2047" i="1"/>
  <c r="AL2047" i="1" s="1"/>
  <c r="AQ2048" i="1"/>
  <c r="AL2048" i="1" s="1"/>
  <c r="AQ2049" i="1"/>
  <c r="AQ2050" i="1"/>
  <c r="AQ2051" i="1"/>
  <c r="AL2051" i="1" s="1"/>
  <c r="AQ2052" i="1"/>
  <c r="AQ2053" i="1"/>
  <c r="AQ2054" i="1"/>
  <c r="AQ2055" i="1"/>
  <c r="AQ2056" i="1"/>
  <c r="AQ2057" i="1"/>
  <c r="AL2057" i="1" s="1"/>
  <c r="AQ2058" i="1"/>
  <c r="AL2058" i="1" s="1"/>
  <c r="AQ2059" i="1"/>
  <c r="AL2059" i="1" s="1"/>
  <c r="AQ2060" i="1"/>
  <c r="AL2060" i="1" s="1"/>
  <c r="AQ2061" i="1"/>
  <c r="AQ2062" i="1"/>
  <c r="AQ2063" i="1"/>
  <c r="AL2063" i="1" s="1"/>
  <c r="AQ2064" i="1"/>
  <c r="AL2064" i="1" s="1"/>
  <c r="AQ2065" i="1"/>
  <c r="AQ2066" i="1"/>
  <c r="AQ2067" i="1"/>
  <c r="AL2067" i="1" s="1"/>
  <c r="AQ2068" i="1"/>
  <c r="AQ2069" i="1"/>
  <c r="AQ2070" i="1"/>
  <c r="AQ2071" i="1"/>
  <c r="AQ2072" i="1"/>
  <c r="AQ2073" i="1"/>
  <c r="AL2073" i="1" s="1"/>
  <c r="AQ2074" i="1"/>
  <c r="AL2074" i="1" s="1"/>
  <c r="AQ2075" i="1"/>
  <c r="AL2075" i="1" s="1"/>
  <c r="AQ2076" i="1"/>
  <c r="AL2076" i="1" s="1"/>
  <c r="AQ2077" i="1"/>
  <c r="AQ2078" i="1"/>
  <c r="AQ2079" i="1"/>
  <c r="AL2079" i="1" s="1"/>
  <c r="AQ2080" i="1"/>
  <c r="AL2080" i="1" s="1"/>
  <c r="AQ2081" i="1"/>
  <c r="AQ2082" i="1"/>
  <c r="AQ2083" i="1"/>
  <c r="AL2083" i="1" s="1"/>
  <c r="AQ2084" i="1"/>
  <c r="AQ2085" i="1"/>
  <c r="AQ2086" i="1"/>
  <c r="AQ2087" i="1"/>
  <c r="AQ2088" i="1"/>
  <c r="AQ2089" i="1"/>
  <c r="AL2089" i="1" s="1"/>
  <c r="AQ2090" i="1"/>
  <c r="AL2090" i="1" s="1"/>
  <c r="AQ2091" i="1"/>
  <c r="AL2091" i="1" s="1"/>
  <c r="AQ2092" i="1"/>
  <c r="AL2092" i="1" s="1"/>
  <c r="AQ2093" i="1"/>
  <c r="AQ2094" i="1"/>
  <c r="AQ2095" i="1"/>
  <c r="AL2095" i="1" s="1"/>
  <c r="AQ2096" i="1"/>
  <c r="AL2096" i="1" s="1"/>
  <c r="AQ2097" i="1"/>
  <c r="AQ2098" i="1"/>
  <c r="AQ2099" i="1"/>
  <c r="AL2099" i="1" s="1"/>
  <c r="AQ2100" i="1"/>
  <c r="AQ2101" i="1"/>
  <c r="AQ2102" i="1"/>
  <c r="AQ2103" i="1"/>
  <c r="AQ2104" i="1"/>
  <c r="AQ2105" i="1"/>
  <c r="AL2105" i="1" s="1"/>
  <c r="AQ2106" i="1"/>
  <c r="AL2106" i="1" s="1"/>
  <c r="AQ2107" i="1"/>
  <c r="AL2107" i="1" s="1"/>
  <c r="AQ2108" i="1"/>
  <c r="AL2108" i="1" s="1"/>
  <c r="AQ2109" i="1"/>
  <c r="AQ2110" i="1"/>
  <c r="AQ2111" i="1"/>
  <c r="AL2111" i="1" s="1"/>
  <c r="AQ2112" i="1"/>
  <c r="AL2112" i="1" s="1"/>
  <c r="AQ2113" i="1"/>
  <c r="AQ2114" i="1"/>
  <c r="AQ2115" i="1"/>
  <c r="AL2115" i="1" s="1"/>
  <c r="AQ2116" i="1"/>
  <c r="AQ2117" i="1"/>
  <c r="AQ2118" i="1"/>
  <c r="AQ2119" i="1"/>
  <c r="AQ2120" i="1"/>
  <c r="AQ2121" i="1"/>
  <c r="AL2121" i="1" s="1"/>
  <c r="AQ2122" i="1"/>
  <c r="AL2122" i="1" s="1"/>
  <c r="AQ2123" i="1"/>
  <c r="AL2123" i="1" s="1"/>
  <c r="AQ2124" i="1"/>
  <c r="AL2124" i="1" s="1"/>
  <c r="AQ2125" i="1"/>
  <c r="AQ2126" i="1"/>
  <c r="AQ2127" i="1"/>
  <c r="AL2127" i="1" s="1"/>
  <c r="AQ2128" i="1"/>
  <c r="AL2128" i="1" s="1"/>
  <c r="AQ2129" i="1"/>
  <c r="AQ2130" i="1"/>
  <c r="AQ2131" i="1"/>
  <c r="AL2131" i="1" s="1"/>
  <c r="AQ2132" i="1"/>
  <c r="AQ2133" i="1"/>
  <c r="AQ2134" i="1"/>
  <c r="AQ2135" i="1"/>
  <c r="AQ2136" i="1"/>
  <c r="AQ2137" i="1"/>
  <c r="AL2137" i="1" s="1"/>
  <c r="AQ2138" i="1"/>
  <c r="AL2138" i="1" s="1"/>
  <c r="AQ2139" i="1"/>
  <c r="AL2139" i="1" s="1"/>
  <c r="AQ2140" i="1"/>
  <c r="AL2140" i="1" s="1"/>
  <c r="AQ2141" i="1"/>
  <c r="AQ2142" i="1"/>
  <c r="AQ2143" i="1"/>
  <c r="AQ2144" i="1"/>
  <c r="AQ2145" i="1"/>
  <c r="AQ2146" i="1"/>
  <c r="AQ2147" i="1"/>
  <c r="AL2147" i="1" s="1"/>
  <c r="AQ2148" i="1"/>
  <c r="AQ2149" i="1"/>
  <c r="AQ2150" i="1"/>
  <c r="AQ2151" i="1"/>
  <c r="AQ2152" i="1"/>
  <c r="AQ2153" i="1"/>
  <c r="AL2153" i="1" s="1"/>
  <c r="AQ2154" i="1"/>
  <c r="AL2154" i="1" s="1"/>
  <c r="AQ2155" i="1"/>
  <c r="AL2155" i="1" s="1"/>
  <c r="AQ2156" i="1"/>
  <c r="AL2156" i="1" s="1"/>
  <c r="AQ2157" i="1"/>
  <c r="AQ2158" i="1"/>
  <c r="AQ2159" i="1"/>
  <c r="AL2159" i="1" s="1"/>
  <c r="AQ2160" i="1"/>
  <c r="AL2160" i="1" s="1"/>
  <c r="AQ2161" i="1"/>
  <c r="AQ2162" i="1"/>
  <c r="AQ2163" i="1"/>
  <c r="AL2163" i="1" s="1"/>
  <c r="AQ2164" i="1"/>
  <c r="AQ2165" i="1"/>
  <c r="AQ2166" i="1"/>
  <c r="AQ2167" i="1"/>
  <c r="AQ2168" i="1"/>
  <c r="AQ2169" i="1"/>
  <c r="AL2169" i="1" s="1"/>
  <c r="AQ2170" i="1"/>
  <c r="AL2170" i="1" s="1"/>
  <c r="AQ2171" i="1"/>
  <c r="AL2171" i="1" s="1"/>
  <c r="AQ2172" i="1"/>
  <c r="AL2172" i="1" s="1"/>
  <c r="AQ2173" i="1"/>
  <c r="AQ2174" i="1"/>
  <c r="AQ2175" i="1"/>
  <c r="AL2175" i="1" s="1"/>
  <c r="AQ2176" i="1"/>
  <c r="AL2176" i="1" s="1"/>
  <c r="AQ2177" i="1"/>
  <c r="AQ2178" i="1"/>
  <c r="AQ2179" i="1"/>
  <c r="AL2179" i="1" s="1"/>
  <c r="AQ2180" i="1"/>
  <c r="AQ2181" i="1"/>
  <c r="AQ2182" i="1"/>
  <c r="AQ2183" i="1"/>
  <c r="AQ2184" i="1"/>
  <c r="AQ2185" i="1"/>
  <c r="AL2185" i="1" s="1"/>
  <c r="AQ2186" i="1"/>
  <c r="AL2186" i="1" s="1"/>
  <c r="AQ2187" i="1"/>
  <c r="AL2187" i="1" s="1"/>
  <c r="AQ2188" i="1"/>
  <c r="AL2188" i="1" s="1"/>
  <c r="AQ2189" i="1"/>
  <c r="AQ2190" i="1"/>
  <c r="AQ2191" i="1"/>
  <c r="AQ2192" i="1"/>
  <c r="AL2192" i="1" s="1"/>
  <c r="AQ2193" i="1"/>
  <c r="AQ2194" i="1"/>
  <c r="AQ2195" i="1"/>
  <c r="AL2195" i="1" s="1"/>
  <c r="AQ2196" i="1"/>
  <c r="AQ2197" i="1"/>
  <c r="AQ2198" i="1"/>
  <c r="AQ2199" i="1"/>
  <c r="AQ2200" i="1"/>
  <c r="AQ2201" i="1"/>
  <c r="AL2201" i="1" s="1"/>
  <c r="AQ2202" i="1"/>
  <c r="AL2202" i="1" s="1"/>
  <c r="AQ2203" i="1"/>
  <c r="AL2203" i="1" s="1"/>
  <c r="AQ2204" i="1"/>
  <c r="AL2204" i="1" s="1"/>
  <c r="AQ2205" i="1"/>
  <c r="AQ2206" i="1"/>
  <c r="AQ2207" i="1"/>
  <c r="AL2207" i="1" s="1"/>
  <c r="AQ2208" i="1"/>
  <c r="AL2208" i="1" s="1"/>
  <c r="AQ2209" i="1"/>
  <c r="AQ2210" i="1"/>
  <c r="AQ2211" i="1"/>
  <c r="AL2211" i="1" s="1"/>
  <c r="AQ2212" i="1"/>
  <c r="AQ2213" i="1"/>
  <c r="AQ2214" i="1"/>
  <c r="AQ2215" i="1"/>
  <c r="AQ2216" i="1"/>
  <c r="AQ2217" i="1"/>
  <c r="AL2217" i="1" s="1"/>
  <c r="AQ2218" i="1"/>
  <c r="AL2218" i="1" s="1"/>
  <c r="AQ2219" i="1"/>
  <c r="AL2219" i="1" s="1"/>
  <c r="AQ2220" i="1"/>
  <c r="AL2220" i="1" s="1"/>
  <c r="AQ2221" i="1"/>
  <c r="AQ2222" i="1"/>
  <c r="AQ2223" i="1"/>
  <c r="AL2223" i="1" s="1"/>
  <c r="AQ2224" i="1"/>
  <c r="AL2224" i="1" s="1"/>
  <c r="AQ2225" i="1"/>
  <c r="AQ2226" i="1"/>
  <c r="AQ2227" i="1"/>
  <c r="AL2227" i="1" s="1"/>
  <c r="AQ2228" i="1"/>
  <c r="AQ2229" i="1"/>
  <c r="AQ2230" i="1"/>
  <c r="AQ2231" i="1"/>
  <c r="AQ2232" i="1"/>
  <c r="AQ2233" i="1"/>
  <c r="AL2233" i="1" s="1"/>
  <c r="AQ2234" i="1"/>
  <c r="AL2234" i="1" s="1"/>
  <c r="AQ2235" i="1"/>
  <c r="AL2235" i="1" s="1"/>
  <c r="AQ2236" i="1"/>
  <c r="AL2236" i="1" s="1"/>
  <c r="AQ2237" i="1"/>
  <c r="AQ2238" i="1"/>
  <c r="AQ2239" i="1"/>
  <c r="AL2239" i="1" s="1"/>
  <c r="AQ2240" i="1"/>
  <c r="AL2240" i="1" s="1"/>
  <c r="AQ2241" i="1"/>
  <c r="AQ2242" i="1"/>
  <c r="AQ2243" i="1"/>
  <c r="AL2243" i="1" s="1"/>
  <c r="AQ2244" i="1"/>
  <c r="AQ2245" i="1"/>
  <c r="AQ2246" i="1"/>
  <c r="AQ2247" i="1"/>
  <c r="AQ2248" i="1"/>
  <c r="AQ2249" i="1"/>
  <c r="AL2249" i="1" s="1"/>
  <c r="AQ2250" i="1"/>
  <c r="AL2250" i="1" s="1"/>
  <c r="AQ2251" i="1"/>
  <c r="AL2251" i="1" s="1"/>
  <c r="AQ2252" i="1"/>
  <c r="AL2252" i="1" s="1"/>
  <c r="AQ2253" i="1"/>
  <c r="AQ2254" i="1"/>
  <c r="AQ2255" i="1"/>
  <c r="AL2255" i="1" s="1"/>
  <c r="AQ2256" i="1"/>
  <c r="AL2256" i="1" s="1"/>
  <c r="AQ2257" i="1"/>
  <c r="AQ2258" i="1"/>
  <c r="AQ2259" i="1"/>
  <c r="AL2259" i="1" s="1"/>
  <c r="AQ2260" i="1"/>
  <c r="AQ2261" i="1"/>
  <c r="AQ2262" i="1"/>
  <c r="AQ2263" i="1"/>
  <c r="AQ2264" i="1"/>
  <c r="AQ2265" i="1"/>
  <c r="AL2265" i="1" s="1"/>
  <c r="AQ2266" i="1"/>
  <c r="AL2266" i="1" s="1"/>
  <c r="AQ2267" i="1"/>
  <c r="AL2267" i="1" s="1"/>
  <c r="AQ2268" i="1"/>
  <c r="AL2268" i="1" s="1"/>
  <c r="AQ2269" i="1"/>
  <c r="AQ2270" i="1"/>
  <c r="AQ2271" i="1"/>
  <c r="AL2271" i="1" s="1"/>
  <c r="AQ2272" i="1"/>
  <c r="AL2272" i="1" s="1"/>
  <c r="AQ2273" i="1"/>
  <c r="AQ2274" i="1"/>
  <c r="AQ2275" i="1"/>
  <c r="AL2275" i="1" s="1"/>
  <c r="AQ2276" i="1"/>
  <c r="AQ2277" i="1"/>
  <c r="AQ2278" i="1"/>
  <c r="AQ2279" i="1"/>
  <c r="AQ2280" i="1"/>
  <c r="AQ2281" i="1"/>
  <c r="AL2281" i="1" s="1"/>
  <c r="AQ2282" i="1"/>
  <c r="AL2282" i="1" s="1"/>
  <c r="AQ2283" i="1"/>
  <c r="AL2283" i="1" s="1"/>
  <c r="AQ2284" i="1"/>
  <c r="AL2284" i="1" s="1"/>
  <c r="AQ2285" i="1"/>
  <c r="AQ2286" i="1"/>
  <c r="AQ2287" i="1"/>
  <c r="AL2287" i="1" s="1"/>
  <c r="AQ2288" i="1"/>
  <c r="AL2288" i="1" s="1"/>
  <c r="AQ2289" i="1"/>
  <c r="AQ2290" i="1"/>
  <c r="AQ2291" i="1"/>
  <c r="AL2291" i="1" s="1"/>
  <c r="AQ2292" i="1"/>
  <c r="AQ2293" i="1"/>
  <c r="AQ2294" i="1"/>
  <c r="AQ2295" i="1"/>
  <c r="AQ2296" i="1"/>
  <c r="AQ2297" i="1"/>
  <c r="AL2297" i="1" s="1"/>
  <c r="AQ2298" i="1"/>
  <c r="AL2298" i="1" s="1"/>
  <c r="AQ2299" i="1"/>
  <c r="AL2299" i="1" s="1"/>
  <c r="AQ2300" i="1"/>
  <c r="AL2300" i="1" s="1"/>
  <c r="AQ2301" i="1"/>
  <c r="AQ2302" i="1"/>
  <c r="AQ2303" i="1"/>
  <c r="AL2303" i="1" s="1"/>
  <c r="AQ2304" i="1"/>
  <c r="AL2304" i="1" s="1"/>
  <c r="AQ2305" i="1"/>
  <c r="AQ2306" i="1"/>
  <c r="AQ2307" i="1"/>
  <c r="AL2307" i="1" s="1"/>
  <c r="AQ2308" i="1"/>
  <c r="AQ2309" i="1"/>
  <c r="AQ2310" i="1"/>
  <c r="AQ2311" i="1"/>
  <c r="AQ2312" i="1"/>
  <c r="AQ2313" i="1"/>
  <c r="AL2313" i="1" s="1"/>
  <c r="AQ2314" i="1"/>
  <c r="AL2314" i="1" s="1"/>
  <c r="AQ2315" i="1"/>
  <c r="AL2315" i="1" s="1"/>
  <c r="AQ2316" i="1"/>
  <c r="AL2316" i="1" s="1"/>
  <c r="AQ2317" i="1"/>
  <c r="AQ2318" i="1"/>
  <c r="AQ2319" i="1"/>
  <c r="AL2319" i="1" s="1"/>
  <c r="AQ2320" i="1"/>
  <c r="AL2320" i="1" s="1"/>
  <c r="AQ2321" i="1"/>
  <c r="AQ2322" i="1"/>
  <c r="AQ2323" i="1"/>
  <c r="AL2323" i="1" s="1"/>
  <c r="AQ2324" i="1"/>
  <c r="AQ2325" i="1"/>
  <c r="AQ2326" i="1"/>
  <c r="AQ2327" i="1"/>
  <c r="AL2327" i="1" s="1"/>
  <c r="AQ2328" i="1"/>
  <c r="AQ2329" i="1"/>
  <c r="AL2329" i="1" s="1"/>
  <c r="AQ2330" i="1"/>
  <c r="AL2330" i="1" s="1"/>
  <c r="AQ2331" i="1"/>
  <c r="AL2331" i="1" s="1"/>
  <c r="AQ2332" i="1"/>
  <c r="AL2332" i="1" s="1"/>
  <c r="AQ2333" i="1"/>
  <c r="AQ2334" i="1"/>
  <c r="AQ2335" i="1"/>
  <c r="AL2335" i="1" s="1"/>
  <c r="AQ2336" i="1"/>
  <c r="AL2336" i="1" s="1"/>
  <c r="AQ2337" i="1"/>
  <c r="AQ2338" i="1"/>
  <c r="AQ2339" i="1"/>
  <c r="AL2339" i="1" s="1"/>
  <c r="AQ2340" i="1"/>
  <c r="AQ2341" i="1"/>
  <c r="AQ2342" i="1"/>
  <c r="AQ2343" i="1"/>
  <c r="AL2343" i="1" s="1"/>
  <c r="AQ2344" i="1"/>
  <c r="AQ2345" i="1"/>
  <c r="AL2345" i="1" s="1"/>
  <c r="AQ2346" i="1"/>
  <c r="AL2346" i="1" s="1"/>
  <c r="AQ2347" i="1"/>
  <c r="AL2347" i="1" s="1"/>
  <c r="AQ2348" i="1"/>
  <c r="AL2348" i="1" s="1"/>
  <c r="AQ2349" i="1"/>
  <c r="AQ2350" i="1"/>
  <c r="AQ2351" i="1"/>
  <c r="AL2351" i="1" s="1"/>
  <c r="AQ2352" i="1"/>
  <c r="AL2352" i="1" s="1"/>
  <c r="AQ2353" i="1"/>
  <c r="AQ2354" i="1"/>
  <c r="AQ2355" i="1"/>
  <c r="AL2355" i="1" s="1"/>
  <c r="AQ2356" i="1"/>
  <c r="AQ2357" i="1"/>
  <c r="AQ2358" i="1"/>
  <c r="AQ2359" i="1"/>
  <c r="AQ2360" i="1"/>
  <c r="AQ2361" i="1"/>
  <c r="AL2361" i="1" s="1"/>
  <c r="AQ2362" i="1"/>
  <c r="AL2362" i="1" s="1"/>
  <c r="AQ2363" i="1"/>
  <c r="AL2363" i="1" s="1"/>
  <c r="AQ2364" i="1"/>
  <c r="AL2364" i="1" s="1"/>
  <c r="AQ2365" i="1"/>
  <c r="AQ2366" i="1"/>
  <c r="AQ2367" i="1"/>
  <c r="AL2367" i="1" s="1"/>
  <c r="AQ2368" i="1"/>
  <c r="AL2368" i="1" s="1"/>
  <c r="AQ2369" i="1"/>
  <c r="AQ2370" i="1"/>
  <c r="AQ2371" i="1"/>
  <c r="AL2371" i="1" s="1"/>
  <c r="AQ2372" i="1"/>
  <c r="AQ2373" i="1"/>
  <c r="AQ2374" i="1"/>
  <c r="AQ2375" i="1"/>
  <c r="AQ2376" i="1"/>
  <c r="AQ2377" i="1"/>
  <c r="AL2377" i="1" s="1"/>
  <c r="AQ2378" i="1"/>
  <c r="AL2378" i="1" s="1"/>
  <c r="AQ2379" i="1"/>
  <c r="AL2379" i="1" s="1"/>
  <c r="AQ2380" i="1"/>
  <c r="AL2380" i="1" s="1"/>
  <c r="AQ2381" i="1"/>
  <c r="AQ2382" i="1"/>
  <c r="AQ2383" i="1"/>
  <c r="AL2383" i="1" s="1"/>
  <c r="AQ2384" i="1"/>
  <c r="AL2384" i="1" s="1"/>
  <c r="AQ2385" i="1"/>
  <c r="AQ2386" i="1"/>
  <c r="AQ2387" i="1"/>
  <c r="AL2387" i="1" s="1"/>
  <c r="AQ2388" i="1"/>
  <c r="AQ2389" i="1"/>
  <c r="AQ2390" i="1"/>
  <c r="AQ2391" i="1"/>
  <c r="AL2391" i="1" s="1"/>
  <c r="AQ2392" i="1"/>
  <c r="AQ2393" i="1"/>
  <c r="AL2393" i="1" s="1"/>
  <c r="AQ2394" i="1"/>
  <c r="AL2394" i="1" s="1"/>
  <c r="AQ2395" i="1"/>
  <c r="AL2395" i="1" s="1"/>
  <c r="AQ2396" i="1"/>
  <c r="AL2396" i="1" s="1"/>
  <c r="AQ2397" i="1"/>
  <c r="AQ2398" i="1"/>
  <c r="AQ2399" i="1"/>
  <c r="AL2399" i="1" s="1"/>
  <c r="AQ2400" i="1"/>
  <c r="AQ2401" i="1"/>
  <c r="AQ2402" i="1"/>
  <c r="AQ2403" i="1"/>
  <c r="AL2403" i="1" s="1"/>
  <c r="AQ2404" i="1"/>
  <c r="AQ2405" i="1"/>
  <c r="AQ2406" i="1"/>
  <c r="AQ2407" i="1"/>
  <c r="AQ2408" i="1"/>
  <c r="AQ2409" i="1"/>
  <c r="AL2409" i="1" s="1"/>
  <c r="AQ2410" i="1"/>
  <c r="AL2410" i="1" s="1"/>
  <c r="AQ2411" i="1"/>
  <c r="AL2411" i="1" s="1"/>
  <c r="AQ2412" i="1"/>
  <c r="AL2412" i="1" s="1"/>
  <c r="AQ2413" i="1"/>
  <c r="AQ2414" i="1"/>
  <c r="AQ2415" i="1"/>
  <c r="AL2415" i="1" s="1"/>
  <c r="AQ2416" i="1"/>
  <c r="AL2416" i="1" s="1"/>
  <c r="AQ2417" i="1"/>
  <c r="AQ2418" i="1"/>
  <c r="AQ2419" i="1"/>
  <c r="AL2419" i="1" s="1"/>
  <c r="AQ2420" i="1"/>
  <c r="AQ2421" i="1"/>
  <c r="AQ2422" i="1"/>
  <c r="AQ2423" i="1"/>
  <c r="AL2423" i="1" s="1"/>
  <c r="AQ2424" i="1"/>
  <c r="AQ2425" i="1"/>
  <c r="AL2425" i="1" s="1"/>
  <c r="AQ2426" i="1"/>
  <c r="AL2426" i="1" s="1"/>
  <c r="AQ2427" i="1"/>
  <c r="AL2427" i="1" s="1"/>
  <c r="AQ2428" i="1"/>
  <c r="AL2428" i="1" s="1"/>
  <c r="AQ2429" i="1"/>
  <c r="AQ2430" i="1"/>
  <c r="AQ2431" i="1"/>
  <c r="AL2431" i="1" s="1"/>
  <c r="AQ2432" i="1"/>
  <c r="AL2432" i="1" s="1"/>
  <c r="AQ2433" i="1"/>
  <c r="AQ2434" i="1"/>
  <c r="AQ2435" i="1"/>
  <c r="AL2435" i="1" s="1"/>
  <c r="AQ2436" i="1"/>
  <c r="AQ2437" i="1"/>
  <c r="AQ2438" i="1"/>
  <c r="AQ2439" i="1"/>
  <c r="AL2439" i="1" s="1"/>
  <c r="AQ2440" i="1"/>
  <c r="AQ2441" i="1"/>
  <c r="AL2441" i="1" s="1"/>
  <c r="AQ2442" i="1"/>
  <c r="AL2442" i="1" s="1"/>
  <c r="AQ2443" i="1"/>
  <c r="AL2443" i="1" s="1"/>
  <c r="AQ2444" i="1"/>
  <c r="AL2444" i="1" s="1"/>
  <c r="AQ2445" i="1"/>
  <c r="AQ2446" i="1"/>
  <c r="AQ2447" i="1"/>
  <c r="AL2447" i="1" s="1"/>
  <c r="AQ2448" i="1"/>
  <c r="AL2448" i="1" s="1"/>
  <c r="AQ2449" i="1"/>
  <c r="AQ2450" i="1"/>
  <c r="AQ2451" i="1"/>
  <c r="AL2451" i="1" s="1"/>
  <c r="AQ2452" i="1"/>
  <c r="AQ2453" i="1"/>
  <c r="AQ2454" i="1"/>
  <c r="AQ2455" i="1"/>
  <c r="AQ2456" i="1"/>
  <c r="AQ2457" i="1"/>
  <c r="AL2457" i="1" s="1"/>
  <c r="AQ2458" i="1"/>
  <c r="AL2458" i="1" s="1"/>
  <c r="AQ2459" i="1"/>
  <c r="AL2459" i="1" s="1"/>
  <c r="AQ2460" i="1"/>
  <c r="AL2460" i="1" s="1"/>
  <c r="AQ2461" i="1"/>
  <c r="AQ2462" i="1"/>
  <c r="AQ2463" i="1"/>
  <c r="AL2463" i="1" s="1"/>
  <c r="AQ2464" i="1"/>
  <c r="AL2464" i="1" s="1"/>
  <c r="AQ2465" i="1"/>
  <c r="AQ2466" i="1"/>
  <c r="AQ2467" i="1"/>
  <c r="AL2467" i="1" s="1"/>
  <c r="AQ2468" i="1"/>
  <c r="AQ2469" i="1"/>
  <c r="AQ2470" i="1"/>
  <c r="AQ2471" i="1"/>
  <c r="AL2471" i="1" s="1"/>
  <c r="AQ2472" i="1"/>
  <c r="AQ2473" i="1"/>
  <c r="AL2473" i="1" s="1"/>
  <c r="AQ2474" i="1"/>
  <c r="AL2474" i="1" s="1"/>
  <c r="AQ2475" i="1"/>
  <c r="AL2475" i="1" s="1"/>
  <c r="AQ2476" i="1"/>
  <c r="AL2476" i="1" s="1"/>
  <c r="AQ2477" i="1"/>
  <c r="AQ2478" i="1"/>
  <c r="AQ2479" i="1"/>
  <c r="AL2479" i="1" s="1"/>
  <c r="AQ2480" i="1"/>
  <c r="AL2480" i="1" s="1"/>
  <c r="AQ2481" i="1"/>
  <c r="AQ2482" i="1"/>
  <c r="AQ2483" i="1"/>
  <c r="AL2483" i="1" s="1"/>
  <c r="AQ2484" i="1"/>
  <c r="AQ2485" i="1"/>
  <c r="AQ2486" i="1"/>
  <c r="AQ2487" i="1"/>
  <c r="AL2487" i="1" s="1"/>
  <c r="AQ2488" i="1"/>
  <c r="AQ2489" i="1"/>
  <c r="AL2489" i="1" s="1"/>
  <c r="AQ2490" i="1"/>
  <c r="AL2490" i="1" s="1"/>
  <c r="AQ2491" i="1"/>
  <c r="AL2491" i="1" s="1"/>
  <c r="AQ2492" i="1"/>
  <c r="AL2492" i="1" s="1"/>
  <c r="AQ2493" i="1"/>
  <c r="AQ2494" i="1"/>
  <c r="AQ2495" i="1"/>
  <c r="AL2495" i="1" s="1"/>
  <c r="AQ2496" i="1"/>
  <c r="AL2496" i="1" s="1"/>
  <c r="AQ2497" i="1"/>
  <c r="AQ2498" i="1"/>
  <c r="AQ2499" i="1"/>
  <c r="AL2499" i="1" s="1"/>
  <c r="AQ2500" i="1"/>
  <c r="AQ2501" i="1"/>
  <c r="AQ2502" i="1"/>
  <c r="AQ2503" i="1"/>
  <c r="AQ2504" i="1"/>
  <c r="AQ2505" i="1"/>
  <c r="AL2505" i="1" s="1"/>
  <c r="AQ2506" i="1"/>
  <c r="AL2506" i="1" s="1"/>
  <c r="AQ2507" i="1"/>
  <c r="AL2507" i="1" s="1"/>
  <c r="AQ2508" i="1"/>
  <c r="AL2508" i="1" s="1"/>
  <c r="AQ2509" i="1"/>
  <c r="AQ2510" i="1"/>
  <c r="AQ2511" i="1"/>
  <c r="AL2511" i="1" s="1"/>
  <c r="AQ2512" i="1"/>
  <c r="AL2512" i="1" s="1"/>
  <c r="AQ2513" i="1"/>
  <c r="AQ2514" i="1"/>
  <c r="AQ2515" i="1"/>
  <c r="AL2515" i="1" s="1"/>
  <c r="AQ2516" i="1"/>
  <c r="AL2516" i="1" s="1"/>
  <c r="AQ2517" i="1"/>
  <c r="AQ2518" i="1"/>
  <c r="AQ2519" i="1"/>
  <c r="AQ2520" i="1"/>
  <c r="AL2520" i="1" s="1"/>
  <c r="AQ2521" i="1"/>
  <c r="AL2521" i="1" s="1"/>
  <c r="AQ2522" i="1"/>
  <c r="AL2522" i="1" s="1"/>
  <c r="AQ2523" i="1"/>
  <c r="AL2523" i="1" s="1"/>
  <c r="AQ2524" i="1"/>
  <c r="AL2524" i="1" s="1"/>
  <c r="AQ2525" i="1"/>
  <c r="AQ2526" i="1"/>
  <c r="AQ2527" i="1"/>
  <c r="AL2527" i="1" s="1"/>
  <c r="AQ2528" i="1"/>
  <c r="AL2528" i="1" s="1"/>
  <c r="AQ2529" i="1"/>
  <c r="AQ2530" i="1"/>
  <c r="AQ2531" i="1"/>
  <c r="AL2531" i="1" s="1"/>
  <c r="AQ2532" i="1"/>
  <c r="AL2532" i="1" s="1"/>
  <c r="AQ2533" i="1"/>
  <c r="AQ2534" i="1"/>
  <c r="AQ2535" i="1"/>
  <c r="AL2535" i="1" s="1"/>
  <c r="AQ2536" i="1"/>
  <c r="AL2536" i="1" s="1"/>
  <c r="AQ2537" i="1"/>
  <c r="AL2537" i="1" s="1"/>
  <c r="AQ2538" i="1"/>
  <c r="AL2538" i="1" s="1"/>
  <c r="AQ2539" i="1"/>
  <c r="AL2539" i="1" s="1"/>
  <c r="AQ2540" i="1"/>
  <c r="AL2540" i="1" s="1"/>
  <c r="AQ2541" i="1"/>
  <c r="AQ2542" i="1"/>
  <c r="AQ2543" i="1"/>
  <c r="AL2543" i="1" s="1"/>
  <c r="AP1984" i="1"/>
  <c r="AP1994" i="1"/>
  <c r="AP2002" i="1"/>
  <c r="AP2009" i="1"/>
  <c r="AP2016" i="1"/>
  <c r="AP2018" i="1"/>
  <c r="AP2032" i="1"/>
  <c r="AP2033" i="1"/>
  <c r="AP2050" i="1"/>
  <c r="AP2058" i="1"/>
  <c r="AP2065" i="1"/>
  <c r="AP2066" i="1"/>
  <c r="AP2069" i="1"/>
  <c r="AP2074" i="1"/>
  <c r="AP2080" i="1"/>
  <c r="AP2082" i="1"/>
  <c r="AP2096" i="1"/>
  <c r="AP2098" i="1"/>
  <c r="AP2106" i="1"/>
  <c r="AP2107" i="1"/>
  <c r="AP2109" i="1"/>
  <c r="AP2112" i="1"/>
  <c r="AP2128" i="1"/>
  <c r="AP2130" i="1"/>
  <c r="AP2133" i="1"/>
  <c r="AP2144" i="1"/>
  <c r="AP2146" i="1"/>
  <c r="AP2160" i="1"/>
  <c r="AP2162" i="1"/>
  <c r="AP2178" i="1"/>
  <c r="AP2186" i="1"/>
  <c r="AP2202" i="1"/>
  <c r="AP2208" i="1"/>
  <c r="AP2210" i="1"/>
  <c r="AP2224" i="1"/>
  <c r="AP2226" i="1"/>
  <c r="AP2240" i="1"/>
  <c r="AP2250" i="1"/>
  <c r="AP2265" i="1"/>
  <c r="AP2273" i="1"/>
  <c r="AP2282" i="1"/>
  <c r="AP2288" i="1"/>
  <c r="AP2304" i="1"/>
  <c r="AP2320" i="1"/>
  <c r="AP2322" i="1"/>
  <c r="AP2338" i="1"/>
  <c r="AP2352" i="1"/>
  <c r="AP2354" i="1"/>
  <c r="AP2384" i="1"/>
  <c r="AP2391" i="1"/>
  <c r="AP2392" i="1"/>
  <c r="AP2416" i="1"/>
  <c r="AP2417" i="1"/>
  <c r="AP2432" i="1"/>
  <c r="AP2465" i="1"/>
  <c r="AP2466" i="1"/>
  <c r="AP2480" i="1"/>
  <c r="AP2512" i="1"/>
  <c r="AP2513" i="1"/>
  <c r="AP2536" i="1"/>
  <c r="AO1981" i="1"/>
  <c r="AO1982" i="1"/>
  <c r="AO1983" i="1"/>
  <c r="AO1984" i="1"/>
  <c r="AO1985" i="1"/>
  <c r="AO1986" i="1"/>
  <c r="AO1991" i="1"/>
  <c r="AO1993" i="1"/>
  <c r="AO1997" i="1"/>
  <c r="AO1998" i="1"/>
  <c r="AO1999" i="1"/>
  <c r="AO2000" i="1"/>
  <c r="AO2001" i="1"/>
  <c r="AO2002" i="1"/>
  <c r="AO2007" i="1"/>
  <c r="AO2008" i="1"/>
  <c r="AO2009" i="1"/>
  <c r="AO2013" i="1"/>
  <c r="AO2014" i="1"/>
  <c r="AO2015" i="1"/>
  <c r="AO2016" i="1"/>
  <c r="AO2017" i="1"/>
  <c r="AO2018" i="1"/>
  <c r="AO2023" i="1"/>
  <c r="AO2024" i="1"/>
  <c r="AO2025" i="1"/>
  <c r="AO2029" i="1"/>
  <c r="AO2030" i="1"/>
  <c r="AO2031" i="1"/>
  <c r="AO2032" i="1"/>
  <c r="AO2033" i="1"/>
  <c r="AO2034" i="1"/>
  <c r="AO2039" i="1"/>
  <c r="AO2040" i="1"/>
  <c r="AO2041" i="1"/>
  <c r="AO2045" i="1"/>
  <c r="AO2046" i="1"/>
  <c r="AO2047" i="1"/>
  <c r="AO2048" i="1"/>
  <c r="AO2049" i="1"/>
  <c r="AO2050" i="1"/>
  <c r="AO2051" i="1"/>
  <c r="AO2055" i="1"/>
  <c r="AO2056" i="1"/>
  <c r="AO2057" i="1"/>
  <c r="AO2061" i="1"/>
  <c r="AO2062" i="1"/>
  <c r="AO2063" i="1"/>
  <c r="AO2064" i="1"/>
  <c r="AO2065" i="1"/>
  <c r="AO2066" i="1"/>
  <c r="AO2071" i="1"/>
  <c r="AO2072" i="1"/>
  <c r="AO2073" i="1"/>
  <c r="AO2077" i="1"/>
  <c r="AO2078" i="1"/>
  <c r="AO2079" i="1"/>
  <c r="AO2080" i="1"/>
  <c r="AO2081" i="1"/>
  <c r="AO2082" i="1"/>
  <c r="AO2087" i="1"/>
  <c r="AO2088" i="1"/>
  <c r="AO2089" i="1"/>
  <c r="AO2093" i="1"/>
  <c r="AO2094" i="1"/>
  <c r="AO2095" i="1"/>
  <c r="AO2096" i="1"/>
  <c r="AO2097" i="1"/>
  <c r="AO2098" i="1"/>
  <c r="AO2103" i="1"/>
  <c r="AO2104" i="1"/>
  <c r="AO2105" i="1"/>
  <c r="AO2109" i="1"/>
  <c r="AO2110" i="1"/>
  <c r="AO2111" i="1"/>
  <c r="AO2112" i="1"/>
  <c r="AO2113" i="1"/>
  <c r="AO2114" i="1"/>
  <c r="AO2115" i="1"/>
  <c r="AO2119" i="1"/>
  <c r="AO2120" i="1"/>
  <c r="AO2121" i="1"/>
  <c r="AO2125" i="1"/>
  <c r="AO2126" i="1"/>
  <c r="AO2127" i="1"/>
  <c r="AO2128" i="1"/>
  <c r="AO2129" i="1"/>
  <c r="AO2130" i="1"/>
  <c r="AO2135" i="1"/>
  <c r="AO2136" i="1"/>
  <c r="AO2137" i="1"/>
  <c r="AO2141" i="1"/>
  <c r="AO2142" i="1"/>
  <c r="AO2143" i="1"/>
  <c r="AO2144" i="1"/>
  <c r="AO2145" i="1"/>
  <c r="AO2146" i="1"/>
  <c r="AO2151" i="1"/>
  <c r="AO2152" i="1"/>
  <c r="AO2153" i="1"/>
  <c r="AO2157" i="1"/>
  <c r="AO2158" i="1"/>
  <c r="AO2159" i="1"/>
  <c r="AO2160" i="1"/>
  <c r="AO2161" i="1"/>
  <c r="AO2162" i="1"/>
  <c r="AO2167" i="1"/>
  <c r="AO2168" i="1"/>
  <c r="AO2169" i="1"/>
  <c r="AO2173" i="1"/>
  <c r="AO2174" i="1"/>
  <c r="AO2175" i="1"/>
  <c r="AO2176" i="1"/>
  <c r="AO2177" i="1"/>
  <c r="AO2178" i="1"/>
  <c r="AO2179" i="1"/>
  <c r="AO2183" i="1"/>
  <c r="AO2184" i="1"/>
  <c r="AO2185" i="1"/>
  <c r="AO2189" i="1"/>
  <c r="AO2190" i="1"/>
  <c r="AO2191" i="1"/>
  <c r="AO2192" i="1"/>
  <c r="AO2193" i="1"/>
  <c r="AO2194" i="1"/>
  <c r="AO2199" i="1"/>
  <c r="AO2200" i="1"/>
  <c r="AO2201" i="1"/>
  <c r="AO2205" i="1"/>
  <c r="AO2206" i="1"/>
  <c r="AO2207" i="1"/>
  <c r="AO2208" i="1"/>
  <c r="AO2209" i="1"/>
  <c r="AO2210" i="1"/>
  <c r="AO2215" i="1"/>
  <c r="AO2216" i="1"/>
  <c r="AO2217" i="1"/>
  <c r="AO2221" i="1"/>
  <c r="AO2222" i="1"/>
  <c r="AO2223" i="1"/>
  <c r="AO2224" i="1"/>
  <c r="AO2225" i="1"/>
  <c r="AO2226" i="1"/>
  <c r="AO2231" i="1"/>
  <c r="AO2232" i="1"/>
  <c r="AO2233" i="1"/>
  <c r="AO2237" i="1"/>
  <c r="AO2238" i="1"/>
  <c r="AO2239" i="1"/>
  <c r="AO2240" i="1"/>
  <c r="AO2241" i="1"/>
  <c r="AO2242" i="1"/>
  <c r="AO2243" i="1"/>
  <c r="AO2247" i="1"/>
  <c r="AO2248" i="1"/>
  <c r="AO2249" i="1"/>
  <c r="AO2253" i="1"/>
  <c r="AO2254" i="1"/>
  <c r="AO2255" i="1"/>
  <c r="AO2256" i="1"/>
  <c r="AO2257" i="1"/>
  <c r="AO2258" i="1"/>
  <c r="AO2263" i="1"/>
  <c r="AO2264" i="1"/>
  <c r="AO2265" i="1"/>
  <c r="AO2269" i="1"/>
  <c r="AO2270" i="1"/>
  <c r="AO2271" i="1"/>
  <c r="AO2272" i="1"/>
  <c r="AO2273" i="1"/>
  <c r="AO2274" i="1"/>
  <c r="AO2279" i="1"/>
  <c r="AO2280" i="1"/>
  <c r="AO2281" i="1"/>
  <c r="AO2285" i="1"/>
  <c r="AO2286" i="1"/>
  <c r="AO2287" i="1"/>
  <c r="AO2288" i="1"/>
  <c r="AO2289" i="1"/>
  <c r="AO2290" i="1"/>
  <c r="AO2295" i="1"/>
  <c r="AO2296" i="1"/>
  <c r="AO2297" i="1"/>
  <c r="AO2301" i="1"/>
  <c r="AO2302" i="1"/>
  <c r="AO2303" i="1"/>
  <c r="AO2304" i="1"/>
  <c r="AO2305" i="1"/>
  <c r="AO2306" i="1"/>
  <c r="AO2307" i="1"/>
  <c r="AO2311" i="1"/>
  <c r="AO2312" i="1"/>
  <c r="AO2313" i="1"/>
  <c r="AO2317" i="1"/>
  <c r="AO2318" i="1"/>
  <c r="AO2319" i="1"/>
  <c r="AO2320" i="1"/>
  <c r="AO2321" i="1"/>
  <c r="AO2322" i="1"/>
  <c r="AO2327" i="1"/>
  <c r="AO2328" i="1"/>
  <c r="AO2329" i="1"/>
  <c r="AO2333" i="1"/>
  <c r="AO2334" i="1"/>
  <c r="AO2335" i="1"/>
  <c r="AO2336" i="1"/>
  <c r="AO2337" i="1"/>
  <c r="AO2338" i="1"/>
  <c r="AO2343" i="1"/>
  <c r="AO2344" i="1"/>
  <c r="AO2345" i="1"/>
  <c r="AO2349" i="1"/>
  <c r="AO2350" i="1"/>
  <c r="AO2351" i="1"/>
  <c r="AO2352" i="1"/>
  <c r="AO2353" i="1"/>
  <c r="AO2354" i="1"/>
  <c r="AO2359" i="1"/>
  <c r="AO2360" i="1"/>
  <c r="AO2361" i="1"/>
  <c r="AO2365" i="1"/>
  <c r="AO2366" i="1"/>
  <c r="AO2367" i="1"/>
  <c r="AO2368" i="1"/>
  <c r="AO2369" i="1"/>
  <c r="AO2370" i="1"/>
  <c r="AO2371" i="1"/>
  <c r="AO2375" i="1"/>
  <c r="AO2376" i="1"/>
  <c r="AO2377" i="1"/>
  <c r="AO2381" i="1"/>
  <c r="AO2382" i="1"/>
  <c r="AO2383" i="1"/>
  <c r="AO2384" i="1"/>
  <c r="AO2385" i="1"/>
  <c r="AO2386" i="1"/>
  <c r="AO2391" i="1"/>
  <c r="AO2392" i="1"/>
  <c r="AO2393" i="1"/>
  <c r="AO2397" i="1"/>
  <c r="AO2398" i="1"/>
  <c r="AO2399" i="1"/>
  <c r="AO2400" i="1"/>
  <c r="AO2401" i="1"/>
  <c r="AO2402" i="1"/>
  <c r="AO2407" i="1"/>
  <c r="AO2408" i="1"/>
  <c r="AO2409" i="1"/>
  <c r="AO2413" i="1"/>
  <c r="AO2414" i="1"/>
  <c r="AO2415" i="1"/>
  <c r="AO2416" i="1"/>
  <c r="AO2417" i="1"/>
  <c r="AO2418" i="1"/>
  <c r="AO2423" i="1"/>
  <c r="AO2424" i="1"/>
  <c r="AO2425" i="1"/>
  <c r="AO2429" i="1"/>
  <c r="AO2430" i="1"/>
  <c r="AO2431" i="1"/>
  <c r="AO2432" i="1"/>
  <c r="AO2433" i="1"/>
  <c r="AO2434" i="1"/>
  <c r="AO2435" i="1"/>
  <c r="AO2439" i="1"/>
  <c r="AO2440" i="1"/>
  <c r="AO2441" i="1"/>
  <c r="AO2445" i="1"/>
  <c r="AO2446" i="1"/>
  <c r="AO2447" i="1"/>
  <c r="AO2448" i="1"/>
  <c r="AO2449" i="1"/>
  <c r="AO2450" i="1"/>
  <c r="AO2455" i="1"/>
  <c r="AO2456" i="1"/>
  <c r="AO2457" i="1"/>
  <c r="AO2461" i="1"/>
  <c r="AO2462" i="1"/>
  <c r="AO2463" i="1"/>
  <c r="AO2464" i="1"/>
  <c r="AO2465" i="1"/>
  <c r="AO2466" i="1"/>
  <c r="AO2471" i="1"/>
  <c r="AO2472" i="1"/>
  <c r="AO2473" i="1"/>
  <c r="AO2477" i="1"/>
  <c r="AO2478" i="1"/>
  <c r="AO2479" i="1"/>
  <c r="AO2480" i="1"/>
  <c r="AO2481" i="1"/>
  <c r="AO2482" i="1"/>
  <c r="AO2487" i="1"/>
  <c r="AO2488" i="1"/>
  <c r="AO2489" i="1"/>
  <c r="AO2493" i="1"/>
  <c r="AO2494" i="1"/>
  <c r="AO2495" i="1"/>
  <c r="AO2496" i="1"/>
  <c r="AO2497" i="1"/>
  <c r="AO2498" i="1"/>
  <c r="AO2499" i="1"/>
  <c r="AO2503" i="1"/>
  <c r="AO2504" i="1"/>
  <c r="AO2505" i="1"/>
  <c r="AO2509" i="1"/>
  <c r="AO2510" i="1"/>
  <c r="AO2511" i="1"/>
  <c r="AO2512" i="1"/>
  <c r="AO2513" i="1"/>
  <c r="AO2514" i="1"/>
  <c r="AO2519" i="1"/>
  <c r="AO2520" i="1"/>
  <c r="AO2521" i="1"/>
  <c r="AO2525" i="1"/>
  <c r="AO2526" i="1"/>
  <c r="AO2527" i="1"/>
  <c r="AO2528" i="1"/>
  <c r="AO2529" i="1"/>
  <c r="AO2530" i="1"/>
  <c r="AO2535" i="1"/>
  <c r="AO2536" i="1"/>
  <c r="AO2537" i="1"/>
  <c r="AO2541" i="1"/>
  <c r="AO2542" i="1"/>
  <c r="AO2543" i="1"/>
  <c r="AN1984" i="1"/>
  <c r="AN1987" i="1"/>
  <c r="AN1988" i="1"/>
  <c r="AN1992" i="1"/>
  <c r="AN2000" i="1"/>
  <c r="AN2001" i="1"/>
  <c r="AN2003" i="1"/>
  <c r="AN2004" i="1"/>
  <c r="AN2005" i="1"/>
  <c r="AN2006" i="1"/>
  <c r="AN2007" i="1"/>
  <c r="AN2008" i="1"/>
  <c r="AN2016" i="1"/>
  <c r="AN2019" i="1"/>
  <c r="AN2020" i="1"/>
  <c r="AN2024" i="1"/>
  <c r="AN2032" i="1"/>
  <c r="AN2033" i="1"/>
  <c r="AN2035" i="1"/>
  <c r="AN2036" i="1"/>
  <c r="AN2038" i="1"/>
  <c r="AN2039" i="1"/>
  <c r="AN2040" i="1"/>
  <c r="AN2048" i="1"/>
  <c r="AN2051" i="1"/>
  <c r="AN2052" i="1"/>
  <c r="AN2056" i="1"/>
  <c r="AN2064" i="1"/>
  <c r="AN2065" i="1"/>
  <c r="AN2067" i="1"/>
  <c r="AN2068" i="1"/>
  <c r="AN2072" i="1"/>
  <c r="AN2080" i="1"/>
  <c r="AN2083" i="1"/>
  <c r="AN2084" i="1"/>
  <c r="AN2085" i="1"/>
  <c r="AN2087" i="1"/>
  <c r="AN2088" i="1"/>
  <c r="AN2096" i="1"/>
  <c r="AN2099" i="1"/>
  <c r="AN2100" i="1"/>
  <c r="AN2103" i="1"/>
  <c r="AN2104" i="1"/>
  <c r="AN2109" i="1"/>
  <c r="AN2112" i="1"/>
  <c r="AN2115" i="1"/>
  <c r="AN2116" i="1"/>
  <c r="AN2119" i="1"/>
  <c r="AN2120" i="1"/>
  <c r="AN2128" i="1"/>
  <c r="AN2131" i="1"/>
  <c r="AN2132" i="1"/>
  <c r="AN2135" i="1"/>
  <c r="AN2136" i="1"/>
  <c r="AN2141" i="1"/>
  <c r="AN2142" i="1"/>
  <c r="AN2144" i="1"/>
  <c r="AN2147" i="1"/>
  <c r="AN2148" i="1"/>
  <c r="AN2152" i="1"/>
  <c r="AN2160" i="1"/>
  <c r="AN2163" i="1"/>
  <c r="AN2164" i="1"/>
  <c r="AN2165" i="1"/>
  <c r="AN2166" i="1"/>
  <c r="AN2168" i="1"/>
  <c r="AN2176" i="1"/>
  <c r="AN2179" i="1"/>
  <c r="AN2180" i="1"/>
  <c r="AN2181" i="1"/>
  <c r="AN2183" i="1"/>
  <c r="AN2184" i="1"/>
  <c r="AN2192" i="1"/>
  <c r="AN2193" i="1"/>
  <c r="AN2195" i="1"/>
  <c r="AN2196" i="1"/>
  <c r="AN2198" i="1"/>
  <c r="AN2199" i="1"/>
  <c r="AN2200" i="1"/>
  <c r="AN2208" i="1"/>
  <c r="AN2209" i="1"/>
  <c r="AN2211" i="1"/>
  <c r="AN2212" i="1"/>
  <c r="AN2215" i="1"/>
  <c r="AN2216" i="1"/>
  <c r="AN2224" i="1"/>
  <c r="AN2227" i="1"/>
  <c r="AN2228" i="1"/>
  <c r="AN2232" i="1"/>
  <c r="AN2240" i="1"/>
  <c r="AN2243" i="1"/>
  <c r="AN2244" i="1"/>
  <c r="AN2247" i="1"/>
  <c r="AN2248" i="1"/>
  <c r="AN2256" i="1"/>
  <c r="AN2259" i="1"/>
  <c r="AN2260" i="1"/>
  <c r="AN2261" i="1"/>
  <c r="AN2264" i="1"/>
  <c r="AN2272" i="1"/>
  <c r="AN2275" i="1"/>
  <c r="AN2276" i="1"/>
  <c r="AN2277" i="1"/>
  <c r="AN2279" i="1"/>
  <c r="AN2280" i="1"/>
  <c r="AN2288" i="1"/>
  <c r="AN2289" i="1"/>
  <c r="AN2291" i="1"/>
  <c r="AN2292" i="1"/>
  <c r="AN2295" i="1"/>
  <c r="AN2296" i="1"/>
  <c r="AN2304" i="1"/>
  <c r="AN2305" i="1"/>
  <c r="AN2307" i="1"/>
  <c r="AN2308" i="1"/>
  <c r="AN2312" i="1"/>
  <c r="AN2320" i="1"/>
  <c r="AN2321" i="1"/>
  <c r="AN2323" i="1"/>
  <c r="AN2324" i="1"/>
  <c r="AN2327" i="1"/>
  <c r="AN2328" i="1"/>
  <c r="AN2336" i="1"/>
  <c r="AN2339" i="1"/>
  <c r="AN2340" i="1"/>
  <c r="AN2341" i="1"/>
  <c r="AN2344" i="1"/>
  <c r="AN2352" i="1"/>
  <c r="AN2355" i="1"/>
  <c r="AN2356" i="1"/>
  <c r="AN2357" i="1"/>
  <c r="AN2360" i="1"/>
  <c r="AN2368" i="1"/>
  <c r="AN2369" i="1"/>
  <c r="AN2371" i="1"/>
  <c r="AN2372" i="1"/>
  <c r="AN2373" i="1"/>
  <c r="AN2375" i="1"/>
  <c r="AN2376" i="1"/>
  <c r="AN2384" i="1"/>
  <c r="AN2387" i="1"/>
  <c r="AN2388" i="1"/>
  <c r="AN2391" i="1"/>
  <c r="AN2392" i="1"/>
  <c r="AN2400" i="1"/>
  <c r="AN2403" i="1"/>
  <c r="AN2404" i="1"/>
  <c r="AN2405" i="1"/>
  <c r="AN2407" i="1"/>
  <c r="AN2408" i="1"/>
  <c r="AN2416" i="1"/>
  <c r="AN2419" i="1"/>
  <c r="AN2420" i="1"/>
  <c r="AN2421" i="1"/>
  <c r="AN2424" i="1"/>
  <c r="AN2432" i="1"/>
  <c r="AN2433" i="1"/>
  <c r="AN2435" i="1"/>
  <c r="AN2436" i="1"/>
  <c r="AN2440" i="1"/>
  <c r="AN2445" i="1"/>
  <c r="AN2448" i="1"/>
  <c r="AN2451" i="1"/>
  <c r="AN2452" i="1"/>
  <c r="AN2453" i="1"/>
  <c r="AN2456" i="1"/>
  <c r="AN2464" i="1"/>
  <c r="AN2467" i="1"/>
  <c r="AN2468" i="1"/>
  <c r="AN2469" i="1"/>
  <c r="AN2471" i="1"/>
  <c r="AN2472" i="1"/>
  <c r="AN2480" i="1"/>
  <c r="AN2483" i="1"/>
  <c r="AN2484" i="1"/>
  <c r="AN2486" i="1"/>
  <c r="AN2487" i="1"/>
  <c r="AN2488" i="1"/>
  <c r="AN2496" i="1"/>
  <c r="AN2497" i="1"/>
  <c r="AN2498" i="1"/>
  <c r="AN2499" i="1"/>
  <c r="AN2500" i="1"/>
  <c r="AN2501" i="1"/>
  <c r="AN2503" i="1"/>
  <c r="AN2504" i="1"/>
  <c r="AN2512" i="1"/>
  <c r="AN2513" i="1"/>
  <c r="AN2515" i="1"/>
  <c r="AN2516" i="1"/>
  <c r="AN2520" i="1"/>
  <c r="AN2521" i="1"/>
  <c r="AN2528" i="1"/>
  <c r="AN2531" i="1"/>
  <c r="AN2532" i="1"/>
  <c r="AN2533" i="1"/>
  <c r="AN2536" i="1"/>
  <c r="AM1981" i="1"/>
  <c r="AM1982" i="1"/>
  <c r="AM1983" i="1"/>
  <c r="AM1984" i="1"/>
  <c r="AM1985" i="1"/>
  <c r="AM1986" i="1"/>
  <c r="AM1987" i="1"/>
  <c r="AM1991" i="1"/>
  <c r="AM1992" i="1"/>
  <c r="AM1993" i="1"/>
  <c r="AM1994" i="1"/>
  <c r="AM1995" i="1"/>
  <c r="AM1997" i="1"/>
  <c r="AM1998" i="1"/>
  <c r="AM1999" i="1"/>
  <c r="AM2000" i="1"/>
  <c r="AM2001" i="1"/>
  <c r="AM2002" i="1"/>
  <c r="AM2003" i="1"/>
  <c r="AM2007" i="1"/>
  <c r="AM2008" i="1"/>
  <c r="AM2009" i="1"/>
  <c r="AM2010" i="1"/>
  <c r="AM2011" i="1"/>
  <c r="AM2013" i="1"/>
  <c r="AM2014" i="1"/>
  <c r="AM2015" i="1"/>
  <c r="AM2016" i="1"/>
  <c r="AM2017" i="1"/>
  <c r="AM2018" i="1"/>
  <c r="AM2019" i="1"/>
  <c r="AM2023" i="1"/>
  <c r="AM2024" i="1"/>
  <c r="AM2025" i="1"/>
  <c r="AM2026" i="1"/>
  <c r="AM2027" i="1"/>
  <c r="AM2030" i="1"/>
  <c r="AM2031" i="1"/>
  <c r="AM2032" i="1"/>
  <c r="AM2033" i="1"/>
  <c r="AM2034" i="1"/>
  <c r="AM2035" i="1"/>
  <c r="AM2039" i="1"/>
  <c r="AM2040" i="1"/>
  <c r="AM2041" i="1"/>
  <c r="AM2042" i="1"/>
  <c r="AM2043" i="1"/>
  <c r="AM2046" i="1"/>
  <c r="AM2047" i="1"/>
  <c r="AM2048" i="1"/>
  <c r="AM2049" i="1"/>
  <c r="AM2050" i="1"/>
  <c r="AM2051" i="1"/>
  <c r="AM2055" i="1"/>
  <c r="AM2056" i="1"/>
  <c r="AM2057" i="1"/>
  <c r="AM2058" i="1"/>
  <c r="AM2059" i="1"/>
  <c r="AM2062" i="1"/>
  <c r="AM2063" i="1"/>
  <c r="AM2064" i="1"/>
  <c r="AM2065" i="1"/>
  <c r="AM2066" i="1"/>
  <c r="AM2067" i="1"/>
  <c r="AM2071" i="1"/>
  <c r="AM2072" i="1"/>
  <c r="AM2073" i="1"/>
  <c r="AM2074" i="1"/>
  <c r="AM2075" i="1"/>
  <c r="AM2077" i="1"/>
  <c r="AM2078" i="1"/>
  <c r="AM2079" i="1"/>
  <c r="AM2080" i="1"/>
  <c r="AM2081" i="1"/>
  <c r="AM2082" i="1"/>
  <c r="AM2083" i="1"/>
  <c r="AM2087" i="1"/>
  <c r="AM2088" i="1"/>
  <c r="AM2089" i="1"/>
  <c r="AM2090" i="1"/>
  <c r="AM2091" i="1"/>
  <c r="AM2093" i="1"/>
  <c r="AM2094" i="1"/>
  <c r="AM2095" i="1"/>
  <c r="AM2096" i="1"/>
  <c r="AM2097" i="1"/>
  <c r="AM2098" i="1"/>
  <c r="AM2099" i="1"/>
  <c r="AM2103" i="1"/>
  <c r="AM2104" i="1"/>
  <c r="AM2105" i="1"/>
  <c r="AM2106" i="1"/>
  <c r="AM2107" i="1"/>
  <c r="AM2109" i="1"/>
  <c r="AM2110" i="1"/>
  <c r="AM2111" i="1"/>
  <c r="AM2112" i="1"/>
  <c r="AM2113" i="1"/>
  <c r="AM2114" i="1"/>
  <c r="AM2115" i="1"/>
  <c r="AM2119" i="1"/>
  <c r="AM2120" i="1"/>
  <c r="AM2121" i="1"/>
  <c r="AM2122" i="1"/>
  <c r="AM2123" i="1"/>
  <c r="AM2125" i="1"/>
  <c r="AM2126" i="1"/>
  <c r="AM2127" i="1"/>
  <c r="AM2128" i="1"/>
  <c r="AM2129" i="1"/>
  <c r="AM2130" i="1"/>
  <c r="AM2131" i="1"/>
  <c r="AM2135" i="1"/>
  <c r="AM2136" i="1"/>
  <c r="AM2137" i="1"/>
  <c r="AM2138" i="1"/>
  <c r="AM2139" i="1"/>
  <c r="AM2141" i="1"/>
  <c r="AM2142" i="1"/>
  <c r="AM2143" i="1"/>
  <c r="AM2144" i="1"/>
  <c r="AM2145" i="1"/>
  <c r="AM2146" i="1"/>
  <c r="AM2147" i="1"/>
  <c r="AM2151" i="1"/>
  <c r="AM2152" i="1"/>
  <c r="AM2153" i="1"/>
  <c r="AM2154" i="1"/>
  <c r="AM2155" i="1"/>
  <c r="AM2157" i="1"/>
  <c r="AM2158" i="1"/>
  <c r="AM2159" i="1"/>
  <c r="AM2160" i="1"/>
  <c r="AM2161" i="1"/>
  <c r="AM2162" i="1"/>
  <c r="AM2163" i="1"/>
  <c r="AM2167" i="1"/>
  <c r="AM2168" i="1"/>
  <c r="AM2169" i="1"/>
  <c r="AM2170" i="1"/>
  <c r="AM2171" i="1"/>
  <c r="AM2173" i="1"/>
  <c r="AM2174" i="1"/>
  <c r="AM2175" i="1"/>
  <c r="AM2176" i="1"/>
  <c r="AM2177" i="1"/>
  <c r="AM2178" i="1"/>
  <c r="AM2179" i="1"/>
  <c r="AM2183" i="1"/>
  <c r="AM2184" i="1"/>
  <c r="AM2185" i="1"/>
  <c r="AM2186" i="1"/>
  <c r="AM2187" i="1"/>
  <c r="AM2189" i="1"/>
  <c r="AM2190" i="1"/>
  <c r="AM2191" i="1"/>
  <c r="AM2192" i="1"/>
  <c r="AM2193" i="1"/>
  <c r="AM2194" i="1"/>
  <c r="AM2195" i="1"/>
  <c r="AM2199" i="1"/>
  <c r="AM2200" i="1"/>
  <c r="AM2201" i="1"/>
  <c r="AM2202" i="1"/>
  <c r="AM2203" i="1"/>
  <c r="AM2205" i="1"/>
  <c r="AM2206" i="1"/>
  <c r="AM2207" i="1"/>
  <c r="AM2208" i="1"/>
  <c r="AM2209" i="1"/>
  <c r="AM2210" i="1"/>
  <c r="AM2211" i="1"/>
  <c r="AM2215" i="1"/>
  <c r="AM2216" i="1"/>
  <c r="AM2217" i="1"/>
  <c r="AM2218" i="1"/>
  <c r="AM2219" i="1"/>
  <c r="AM2221" i="1"/>
  <c r="AM2222" i="1"/>
  <c r="AM2223" i="1"/>
  <c r="AM2224" i="1"/>
  <c r="AM2225" i="1"/>
  <c r="AM2226" i="1"/>
  <c r="AM2227" i="1"/>
  <c r="AM2231" i="1"/>
  <c r="AM2232" i="1"/>
  <c r="AM2233" i="1"/>
  <c r="AM2234" i="1"/>
  <c r="AM2235" i="1"/>
  <c r="AM2237" i="1"/>
  <c r="AM2238" i="1"/>
  <c r="AM2239" i="1"/>
  <c r="AM2240" i="1"/>
  <c r="AM2241" i="1"/>
  <c r="AM2242" i="1"/>
  <c r="AM2243" i="1"/>
  <c r="AM2247" i="1"/>
  <c r="AM2248" i="1"/>
  <c r="AM2249" i="1"/>
  <c r="AM2250" i="1"/>
  <c r="AM2251" i="1"/>
  <c r="AM2253" i="1"/>
  <c r="AM2254" i="1"/>
  <c r="AM2255" i="1"/>
  <c r="AM2256" i="1"/>
  <c r="AM2257" i="1"/>
  <c r="AM2258" i="1"/>
  <c r="AM2259" i="1"/>
  <c r="AM2263" i="1"/>
  <c r="AM2264" i="1"/>
  <c r="AM2265" i="1"/>
  <c r="AM2266" i="1"/>
  <c r="AM2267" i="1"/>
  <c r="AM2269" i="1"/>
  <c r="AM2270" i="1"/>
  <c r="AM2271" i="1"/>
  <c r="AM2272" i="1"/>
  <c r="AM2273" i="1"/>
  <c r="AM2274" i="1"/>
  <c r="AM2275" i="1"/>
  <c r="AM2279" i="1"/>
  <c r="AM2280" i="1"/>
  <c r="AM2281" i="1"/>
  <c r="AM2282" i="1"/>
  <c r="AM2283" i="1"/>
  <c r="AM2285" i="1"/>
  <c r="AM2286" i="1"/>
  <c r="AM2287" i="1"/>
  <c r="AM2288" i="1"/>
  <c r="AM2289" i="1"/>
  <c r="AM2290" i="1"/>
  <c r="AM2291" i="1"/>
  <c r="AM2294" i="1"/>
  <c r="AM2295" i="1"/>
  <c r="AM2296" i="1"/>
  <c r="AM2297" i="1"/>
  <c r="AM2298" i="1"/>
  <c r="AM2299" i="1"/>
  <c r="AM2301" i="1"/>
  <c r="AM2302" i="1"/>
  <c r="AM2303" i="1"/>
  <c r="AM2304" i="1"/>
  <c r="AM2305" i="1"/>
  <c r="AM2306" i="1"/>
  <c r="AM2307" i="1"/>
  <c r="AM2311" i="1"/>
  <c r="AM2312" i="1"/>
  <c r="AM2313" i="1"/>
  <c r="AM2314" i="1"/>
  <c r="AM2315" i="1"/>
  <c r="AM2317" i="1"/>
  <c r="AM2318" i="1"/>
  <c r="AM2319" i="1"/>
  <c r="AM2320" i="1"/>
  <c r="AM2321" i="1"/>
  <c r="AM2322" i="1"/>
  <c r="AM2323" i="1"/>
  <c r="AM2327" i="1"/>
  <c r="AM2328" i="1"/>
  <c r="AM2329" i="1"/>
  <c r="AM2330" i="1"/>
  <c r="AM2331" i="1"/>
  <c r="AM2333" i="1"/>
  <c r="AM2334" i="1"/>
  <c r="AM2335" i="1"/>
  <c r="AM2336" i="1"/>
  <c r="AM2337" i="1"/>
  <c r="AM2338" i="1"/>
  <c r="AM2339" i="1"/>
  <c r="AM2343" i="1"/>
  <c r="AM2344" i="1"/>
  <c r="AM2345" i="1"/>
  <c r="AM2346" i="1"/>
  <c r="AM2347" i="1"/>
  <c r="AM2349" i="1"/>
  <c r="AM2350" i="1"/>
  <c r="AM2351" i="1"/>
  <c r="AM2352" i="1"/>
  <c r="AM2353" i="1"/>
  <c r="AM2354" i="1"/>
  <c r="AM2355" i="1"/>
  <c r="AM2359" i="1"/>
  <c r="AM2360" i="1"/>
  <c r="AM2361" i="1"/>
  <c r="AM2362" i="1"/>
  <c r="AM2363" i="1"/>
  <c r="AM2365" i="1"/>
  <c r="AM2366" i="1"/>
  <c r="AM2367" i="1"/>
  <c r="AM2368" i="1"/>
  <c r="AM2369" i="1"/>
  <c r="AM2370" i="1"/>
  <c r="AM2371" i="1"/>
  <c r="AM2375" i="1"/>
  <c r="AM2376" i="1"/>
  <c r="AM2377" i="1"/>
  <c r="AM2378" i="1"/>
  <c r="AM2379" i="1"/>
  <c r="AM2381" i="1"/>
  <c r="AM2382" i="1"/>
  <c r="AM2383" i="1"/>
  <c r="AM2384" i="1"/>
  <c r="AM2385" i="1"/>
  <c r="AM2386" i="1"/>
  <c r="AM2387" i="1"/>
  <c r="AM2391" i="1"/>
  <c r="AM2392" i="1"/>
  <c r="AM2393" i="1"/>
  <c r="AM2394" i="1"/>
  <c r="AM2395" i="1"/>
  <c r="AM2397" i="1"/>
  <c r="AM2398" i="1"/>
  <c r="AM2399" i="1"/>
  <c r="AM2400" i="1"/>
  <c r="AM2401" i="1"/>
  <c r="AM2402" i="1"/>
  <c r="AM2403" i="1"/>
  <c r="AM2407" i="1"/>
  <c r="AM2408" i="1"/>
  <c r="AM2409" i="1"/>
  <c r="AM2410" i="1"/>
  <c r="AM2411" i="1"/>
  <c r="AM2413" i="1"/>
  <c r="AM2414" i="1"/>
  <c r="AM2415" i="1"/>
  <c r="AM2416" i="1"/>
  <c r="AM2417" i="1"/>
  <c r="AM2418" i="1"/>
  <c r="AM2419" i="1"/>
  <c r="AM2423" i="1"/>
  <c r="AM2424" i="1"/>
  <c r="AM2425" i="1"/>
  <c r="AM2426" i="1"/>
  <c r="AM2427" i="1"/>
  <c r="AM2429" i="1"/>
  <c r="AM2430" i="1"/>
  <c r="AM2431" i="1"/>
  <c r="AM2432" i="1"/>
  <c r="AM2433" i="1"/>
  <c r="AM2434" i="1"/>
  <c r="AM2435" i="1"/>
  <c r="AM2439" i="1"/>
  <c r="AM2440" i="1"/>
  <c r="AM2441" i="1"/>
  <c r="AM2442" i="1"/>
  <c r="AM2443" i="1"/>
  <c r="AM2445" i="1"/>
  <c r="AM2446" i="1"/>
  <c r="AM2447" i="1"/>
  <c r="AM2448" i="1"/>
  <c r="AM2449" i="1"/>
  <c r="AM2450" i="1"/>
  <c r="AM2451" i="1"/>
  <c r="AM2455" i="1"/>
  <c r="AM2456" i="1"/>
  <c r="AM2457" i="1"/>
  <c r="AM2458" i="1"/>
  <c r="AM2459" i="1"/>
  <c r="AM2461" i="1"/>
  <c r="AM2462" i="1"/>
  <c r="AM2463" i="1"/>
  <c r="AM2464" i="1"/>
  <c r="AM2465" i="1"/>
  <c r="AM2466" i="1"/>
  <c r="AM2467" i="1"/>
  <c r="AM2471" i="1"/>
  <c r="AM2472" i="1"/>
  <c r="AM2473" i="1"/>
  <c r="AM2474" i="1"/>
  <c r="AM2475" i="1"/>
  <c r="AM2477" i="1"/>
  <c r="AM2478" i="1"/>
  <c r="AM2479" i="1"/>
  <c r="AM2480" i="1"/>
  <c r="AM2481" i="1"/>
  <c r="AM2482" i="1"/>
  <c r="AM2483" i="1"/>
  <c r="AM2487" i="1"/>
  <c r="AM2488" i="1"/>
  <c r="AM2489" i="1"/>
  <c r="AM2490" i="1"/>
  <c r="AM2491" i="1"/>
  <c r="AM2493" i="1"/>
  <c r="AM2494" i="1"/>
  <c r="AM2495" i="1"/>
  <c r="AM2496" i="1"/>
  <c r="AM2497" i="1"/>
  <c r="AM2498" i="1"/>
  <c r="AM2499" i="1"/>
  <c r="AM2503" i="1"/>
  <c r="AM2504" i="1"/>
  <c r="AM2505" i="1"/>
  <c r="AM2506" i="1"/>
  <c r="AM2507" i="1"/>
  <c r="AM2509" i="1"/>
  <c r="AM2510" i="1"/>
  <c r="AM2511" i="1"/>
  <c r="AM2512" i="1"/>
  <c r="AM2513" i="1"/>
  <c r="AM2514" i="1"/>
  <c r="AM2515" i="1"/>
  <c r="AM2519" i="1"/>
  <c r="AM2520" i="1"/>
  <c r="AM2521" i="1"/>
  <c r="AM2522" i="1"/>
  <c r="AM2523" i="1"/>
  <c r="AM2525" i="1"/>
  <c r="AM2526" i="1"/>
  <c r="AM2527" i="1"/>
  <c r="AM2528" i="1"/>
  <c r="AM2529" i="1"/>
  <c r="AM2530" i="1"/>
  <c r="AM2531" i="1"/>
  <c r="AM2535" i="1"/>
  <c r="AM2536" i="1"/>
  <c r="AM2537" i="1"/>
  <c r="AM2538" i="1"/>
  <c r="AM2539" i="1"/>
  <c r="AM2541" i="1"/>
  <c r="AM2542" i="1"/>
  <c r="AM2543" i="1"/>
  <c r="AL1997" i="1"/>
  <c r="AL1998" i="1"/>
  <c r="AL2001" i="1"/>
  <c r="AL2002" i="1"/>
  <c r="AL2004" i="1"/>
  <c r="AL2005" i="1"/>
  <c r="AL2006" i="1"/>
  <c r="AL2007" i="1"/>
  <c r="AL2008" i="1"/>
  <c r="AL2013" i="1"/>
  <c r="AL2014" i="1"/>
  <c r="AL2017" i="1"/>
  <c r="AL2018" i="1"/>
  <c r="AL2020" i="1"/>
  <c r="AL2021" i="1"/>
  <c r="AL2022" i="1"/>
  <c r="AL2023" i="1"/>
  <c r="AL2024" i="1"/>
  <c r="AL2029" i="1"/>
  <c r="AL2030" i="1"/>
  <c r="AL2033" i="1"/>
  <c r="AL2034" i="1"/>
  <c r="AL2036" i="1"/>
  <c r="AL2037" i="1"/>
  <c r="AL2038" i="1"/>
  <c r="AL2039" i="1"/>
  <c r="AL2040" i="1"/>
  <c r="AL2045" i="1"/>
  <c r="AL2046" i="1"/>
  <c r="AL2049" i="1"/>
  <c r="AL2050" i="1"/>
  <c r="AL2052" i="1"/>
  <c r="AL2053" i="1"/>
  <c r="AL2054" i="1"/>
  <c r="AL2055" i="1"/>
  <c r="AL2056" i="1"/>
  <c r="AL2061" i="1"/>
  <c r="AL2062" i="1"/>
  <c r="AL2065" i="1"/>
  <c r="AL2066" i="1"/>
  <c r="AL2068" i="1"/>
  <c r="AL2069" i="1"/>
  <c r="AL2070" i="1"/>
  <c r="AL2071" i="1"/>
  <c r="AL2072" i="1"/>
  <c r="AL2077" i="1"/>
  <c r="AL2078" i="1"/>
  <c r="AL2081" i="1"/>
  <c r="AL2082" i="1"/>
  <c r="AL2084" i="1"/>
  <c r="AL2085" i="1"/>
  <c r="AL2086" i="1"/>
  <c r="AL2087" i="1"/>
  <c r="AL2088" i="1"/>
  <c r="AL2093" i="1"/>
  <c r="AL2094" i="1"/>
  <c r="AL2097" i="1"/>
  <c r="AL2098" i="1"/>
  <c r="AL2100" i="1"/>
  <c r="AL2101" i="1"/>
  <c r="AL2102" i="1"/>
  <c r="AL2103" i="1"/>
  <c r="AL2104" i="1"/>
  <c r="AL2109" i="1"/>
  <c r="AL2110" i="1"/>
  <c r="AL2113" i="1"/>
  <c r="AL2114" i="1"/>
  <c r="AL2116" i="1"/>
  <c r="AL2117" i="1"/>
  <c r="AL2118" i="1"/>
  <c r="AL2119" i="1"/>
  <c r="AL2120" i="1"/>
  <c r="AL2125" i="1"/>
  <c r="AL2126" i="1"/>
  <c r="AL2129" i="1"/>
  <c r="AL2130" i="1"/>
  <c r="AL2132" i="1"/>
  <c r="AL2133" i="1"/>
  <c r="AL2134" i="1"/>
  <c r="AL2135" i="1"/>
  <c r="AL2136" i="1"/>
  <c r="AL2141" i="1"/>
  <c r="AL2142" i="1"/>
  <c r="AL2143" i="1"/>
  <c r="AL2144" i="1"/>
  <c r="AL2145" i="1"/>
  <c r="AL2146" i="1"/>
  <c r="AL2148" i="1"/>
  <c r="AL2149" i="1"/>
  <c r="AL2150" i="1"/>
  <c r="AL2151" i="1"/>
  <c r="AL2152" i="1"/>
  <c r="AL2157" i="1"/>
  <c r="AL2158" i="1"/>
  <c r="AL2161" i="1"/>
  <c r="AL2162" i="1"/>
  <c r="AL2164" i="1"/>
  <c r="AL2165" i="1"/>
  <c r="AL2166" i="1"/>
  <c r="AL2167" i="1"/>
  <c r="AL2168" i="1"/>
  <c r="AL2173" i="1"/>
  <c r="AL2174" i="1"/>
  <c r="AL2177" i="1"/>
  <c r="AL2178" i="1"/>
  <c r="AL2180" i="1"/>
  <c r="AL2181" i="1"/>
  <c r="AL2182" i="1"/>
  <c r="AL2183" i="1"/>
  <c r="AL2184" i="1"/>
  <c r="AL2189" i="1"/>
  <c r="AL2190" i="1"/>
  <c r="AL2191" i="1"/>
  <c r="AL2193" i="1"/>
  <c r="AL2194" i="1"/>
  <c r="AL2196" i="1"/>
  <c r="AL2197" i="1"/>
  <c r="AL2198" i="1"/>
  <c r="AL2199" i="1"/>
  <c r="AL2200" i="1"/>
  <c r="AL2205" i="1"/>
  <c r="AL2206" i="1"/>
  <c r="AL2209" i="1"/>
  <c r="AL2210" i="1"/>
  <c r="AL2212" i="1"/>
  <c r="AL2213" i="1"/>
  <c r="AL2214" i="1"/>
  <c r="AL2215" i="1"/>
  <c r="AL2216" i="1"/>
  <c r="AL2221" i="1"/>
  <c r="AL2222" i="1"/>
  <c r="AL2225" i="1"/>
  <c r="AL2226" i="1"/>
  <c r="AL2228" i="1"/>
  <c r="AL2229" i="1"/>
  <c r="AL2230" i="1"/>
  <c r="AL2231" i="1"/>
  <c r="AL2232" i="1"/>
  <c r="AL2237" i="1"/>
  <c r="AL2238" i="1"/>
  <c r="AL2241" i="1"/>
  <c r="AL2242" i="1"/>
  <c r="AL2244" i="1"/>
  <c r="AL2245" i="1"/>
  <c r="AL2246" i="1"/>
  <c r="AL2247" i="1"/>
  <c r="AL2248" i="1"/>
  <c r="AL2253" i="1"/>
  <c r="AL2254" i="1"/>
  <c r="AL2257" i="1"/>
  <c r="AL2258" i="1"/>
  <c r="AL2260" i="1"/>
  <c r="AL2261" i="1"/>
  <c r="AL2262" i="1"/>
  <c r="AL2263" i="1"/>
  <c r="AL2264" i="1"/>
  <c r="AL2269" i="1"/>
  <c r="AL2270" i="1"/>
  <c r="AL2273" i="1"/>
  <c r="AL2274" i="1"/>
  <c r="AL2276" i="1"/>
  <c r="AL2277" i="1"/>
  <c r="AL2278" i="1"/>
  <c r="AL2279" i="1"/>
  <c r="AL2280" i="1"/>
  <c r="AL2285" i="1"/>
  <c r="AL2286" i="1"/>
  <c r="AL2289" i="1"/>
  <c r="AL2290" i="1"/>
  <c r="AL2292" i="1"/>
  <c r="AL2293" i="1"/>
  <c r="AL2294" i="1"/>
  <c r="AL2295" i="1"/>
  <c r="AL2296" i="1"/>
  <c r="AL2301" i="1"/>
  <c r="AL2302" i="1"/>
  <c r="AL2305" i="1"/>
  <c r="AL2306" i="1"/>
  <c r="AL2308" i="1"/>
  <c r="AL2309" i="1"/>
  <c r="AL2310" i="1"/>
  <c r="AL2311" i="1"/>
  <c r="AL2312" i="1"/>
  <c r="AL2317" i="1"/>
  <c r="AL2318" i="1"/>
  <c r="AL2321" i="1"/>
  <c r="AL2322" i="1"/>
  <c r="AL2324" i="1"/>
  <c r="AL2325" i="1"/>
  <c r="AL2326" i="1"/>
  <c r="AL2328" i="1"/>
  <c r="AL2333" i="1"/>
  <c r="AL2334" i="1"/>
  <c r="AL2337" i="1"/>
  <c r="AL2338" i="1"/>
  <c r="AL2340" i="1"/>
  <c r="AL2341" i="1"/>
  <c r="AL2342" i="1"/>
  <c r="AL2344" i="1"/>
  <c r="AL2349" i="1"/>
  <c r="AL2350" i="1"/>
  <c r="AL2353" i="1"/>
  <c r="AL2354" i="1"/>
  <c r="AL2356" i="1"/>
  <c r="AL2357" i="1"/>
  <c r="AL2358" i="1"/>
  <c r="AL2359" i="1"/>
  <c r="AL2360" i="1"/>
  <c r="AL2365" i="1"/>
  <c r="AL2366" i="1"/>
  <c r="AL2369" i="1"/>
  <c r="AL2370" i="1"/>
  <c r="AL2372" i="1"/>
  <c r="AL2373" i="1"/>
  <c r="AL2374" i="1"/>
  <c r="AL2375" i="1"/>
  <c r="AL2376" i="1"/>
  <c r="AL2381" i="1"/>
  <c r="AL2382" i="1"/>
  <c r="AL2385" i="1"/>
  <c r="AL2386" i="1"/>
  <c r="AL2388" i="1"/>
  <c r="AL2389" i="1"/>
  <c r="AL2390" i="1"/>
  <c r="AL2392" i="1"/>
  <c r="AL2397" i="1"/>
  <c r="AL2398" i="1"/>
  <c r="AL2400" i="1"/>
  <c r="AL2401" i="1"/>
  <c r="AL2402" i="1"/>
  <c r="AL2404" i="1"/>
  <c r="AL2405" i="1"/>
  <c r="AL2406" i="1"/>
  <c r="AL2407" i="1"/>
  <c r="AL2408" i="1"/>
  <c r="AL2413" i="1"/>
  <c r="AL2414" i="1"/>
  <c r="AL2417" i="1"/>
  <c r="AL2418" i="1"/>
  <c r="AL2420" i="1"/>
  <c r="AL2421" i="1"/>
  <c r="AL2422" i="1"/>
  <c r="AL2424" i="1"/>
  <c r="AL2429" i="1"/>
  <c r="AL2430" i="1"/>
  <c r="AL2433" i="1"/>
  <c r="AL2434" i="1"/>
  <c r="AL2436" i="1"/>
  <c r="AL2437" i="1"/>
  <c r="AL2438" i="1"/>
  <c r="AL2440" i="1"/>
  <c r="AL2445" i="1"/>
  <c r="AL2446" i="1"/>
  <c r="AL2449" i="1"/>
  <c r="AL2450" i="1"/>
  <c r="AL2452" i="1"/>
  <c r="AL2453" i="1"/>
  <c r="AL2454" i="1"/>
  <c r="AL2455" i="1"/>
  <c r="AL2456" i="1"/>
  <c r="AL2461" i="1"/>
  <c r="AL2462" i="1"/>
  <c r="AL2465" i="1"/>
  <c r="AL2466" i="1"/>
  <c r="AL2468" i="1"/>
  <c r="AL2469" i="1"/>
  <c r="AL2470" i="1"/>
  <c r="AL2472" i="1"/>
  <c r="AL2477" i="1"/>
  <c r="AL2478" i="1"/>
  <c r="AL2481" i="1"/>
  <c r="AL2482" i="1"/>
  <c r="AL2484" i="1"/>
  <c r="AL2485" i="1"/>
  <c r="AL2486" i="1"/>
  <c r="AL2488" i="1"/>
  <c r="AL2493" i="1"/>
  <c r="AL2494" i="1"/>
  <c r="AL2497" i="1"/>
  <c r="AL2498" i="1"/>
  <c r="AL2500" i="1"/>
  <c r="AL2501" i="1"/>
  <c r="AL2502" i="1"/>
  <c r="AL2503" i="1"/>
  <c r="AL2504" i="1"/>
  <c r="AL2509" i="1"/>
  <c r="AL2510" i="1"/>
  <c r="AL2513" i="1"/>
  <c r="AL2514" i="1"/>
  <c r="AL2517" i="1"/>
  <c r="AL2518" i="1"/>
  <c r="AL2519" i="1"/>
  <c r="AL2525" i="1"/>
  <c r="AL2526" i="1"/>
  <c r="AL2529" i="1"/>
  <c r="AL2530" i="1"/>
  <c r="AL2533" i="1"/>
  <c r="AL2534" i="1"/>
  <c r="AL2541" i="1"/>
  <c r="AL2542" i="1"/>
  <c r="AL1981" i="1"/>
  <c r="AL1982" i="1"/>
  <c r="AL1985" i="1"/>
  <c r="AL1986" i="1"/>
  <c r="AL1988" i="1"/>
  <c r="AL1989" i="1"/>
  <c r="AL1990" i="1"/>
  <c r="AL1991" i="1"/>
  <c r="AL1992"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U1996" i="1"/>
  <c r="W1996" i="1" s="1"/>
  <c r="U2028" i="1"/>
  <c r="W2028" i="1" s="1"/>
  <c r="U2044" i="1"/>
  <c r="W2044" i="1" s="1"/>
  <c r="U2108" i="1"/>
  <c r="W2108" i="1" s="1"/>
  <c r="U2110" i="1"/>
  <c r="W2110" i="1" s="1"/>
  <c r="U2124" i="1"/>
  <c r="W2124" i="1" s="1"/>
  <c r="U2184" i="1"/>
  <c r="W2184" i="1" s="1"/>
  <c r="U2204" i="1"/>
  <c r="W2204" i="1" s="1"/>
  <c r="U2258" i="1"/>
  <c r="W2258" i="1" s="1"/>
  <c r="U2270" i="1"/>
  <c r="W2270" i="1" s="1"/>
  <c r="U2284" i="1"/>
  <c r="W2284" i="1" s="1"/>
  <c r="U2306" i="1"/>
  <c r="W2306" i="1" s="1"/>
  <c r="U2338" i="1"/>
  <c r="W2338" i="1" s="1"/>
  <c r="U2339" i="1"/>
  <c r="W2339" i="1" s="1"/>
  <c r="U2354" i="1"/>
  <c r="W2354" i="1" s="1"/>
  <c r="U2371" i="1"/>
  <c r="W2371" i="1" s="1"/>
  <c r="U2391" i="1"/>
  <c r="W2391" i="1" s="1"/>
  <c r="U2412" i="1"/>
  <c r="W2412" i="1" s="1"/>
  <c r="U2419" i="1"/>
  <c r="W2419" i="1" s="1"/>
  <c r="U2446" i="1"/>
  <c r="W2446" i="1" s="1"/>
  <c r="U2471" i="1"/>
  <c r="W2471" i="1" s="1"/>
  <c r="U2494" i="1"/>
  <c r="W2494" i="1" s="1"/>
  <c r="U2514" i="1"/>
  <c r="W2514" i="1" s="1"/>
  <c r="U2526" i="1"/>
  <c r="W2526" i="1" s="1"/>
  <c r="U2540" i="1"/>
  <c r="W2540" i="1" s="1"/>
  <c r="U2542" i="1"/>
  <c r="W2542" i="1" s="1"/>
  <c r="U1981" i="1"/>
  <c r="W1981" i="1" s="1"/>
  <c r="U1982" i="1"/>
  <c r="W1982" i="1" s="1"/>
  <c r="U1983" i="1"/>
  <c r="W1983" i="1" s="1"/>
  <c r="U1984" i="1"/>
  <c r="W1984" i="1" s="1"/>
  <c r="U1985" i="1"/>
  <c r="W1985" i="1" s="1"/>
  <c r="U1986" i="1"/>
  <c r="W1986" i="1" s="1"/>
  <c r="U1987" i="1"/>
  <c r="W1987" i="1" s="1"/>
  <c r="U1988" i="1"/>
  <c r="W1988" i="1" s="1"/>
  <c r="U1989" i="1"/>
  <c r="W1989" i="1" s="1"/>
  <c r="U1990" i="1"/>
  <c r="W1990" i="1" s="1"/>
  <c r="U1991" i="1"/>
  <c r="W1991" i="1" s="1"/>
  <c r="U1992" i="1"/>
  <c r="W1992" i="1" s="1"/>
  <c r="U1993" i="1"/>
  <c r="W1993" i="1" s="1"/>
  <c r="U1994" i="1"/>
  <c r="W1994" i="1" s="1"/>
  <c r="U1995" i="1"/>
  <c r="W1995" i="1" s="1"/>
  <c r="U1997" i="1"/>
  <c r="W1997" i="1" s="1"/>
  <c r="U1998" i="1"/>
  <c r="W1998" i="1" s="1"/>
  <c r="U1999" i="1"/>
  <c r="W1999" i="1" s="1"/>
  <c r="U2000" i="1"/>
  <c r="W2000" i="1" s="1"/>
  <c r="U2001" i="1"/>
  <c r="W2001" i="1" s="1"/>
  <c r="U2002" i="1"/>
  <c r="W2002" i="1" s="1"/>
  <c r="U2003" i="1"/>
  <c r="W2003" i="1" s="1"/>
  <c r="U2004" i="1"/>
  <c r="W2004" i="1" s="1"/>
  <c r="U2005" i="1"/>
  <c r="W2005" i="1" s="1"/>
  <c r="U2006" i="1"/>
  <c r="W2006" i="1" s="1"/>
  <c r="U2007" i="1"/>
  <c r="W2007" i="1" s="1"/>
  <c r="U2008" i="1"/>
  <c r="W2008" i="1" s="1"/>
  <c r="U2009" i="1"/>
  <c r="W2009" i="1" s="1"/>
  <c r="U2010" i="1"/>
  <c r="W2010" i="1" s="1"/>
  <c r="U2011" i="1"/>
  <c r="W2011" i="1" s="1"/>
  <c r="U2012" i="1"/>
  <c r="W2012" i="1" s="1"/>
  <c r="U2013" i="1"/>
  <c r="W2013" i="1" s="1"/>
  <c r="U2014" i="1"/>
  <c r="W2014" i="1" s="1"/>
  <c r="U2015" i="1"/>
  <c r="W2015" i="1" s="1"/>
  <c r="U2016" i="1"/>
  <c r="W2016" i="1" s="1"/>
  <c r="U2017" i="1"/>
  <c r="W2017" i="1" s="1"/>
  <c r="U2018" i="1"/>
  <c r="W2018" i="1" s="1"/>
  <c r="U2019" i="1"/>
  <c r="W2019" i="1" s="1"/>
  <c r="U2020" i="1"/>
  <c r="W2020" i="1" s="1"/>
  <c r="U2021" i="1"/>
  <c r="W2021" i="1" s="1"/>
  <c r="U2022" i="1"/>
  <c r="W2022" i="1" s="1"/>
  <c r="U2023" i="1"/>
  <c r="W2023" i="1" s="1"/>
  <c r="U2024" i="1"/>
  <c r="W2024" i="1" s="1"/>
  <c r="U2025" i="1"/>
  <c r="W2025" i="1" s="1"/>
  <c r="U2026" i="1"/>
  <c r="W2026" i="1" s="1"/>
  <c r="U2027" i="1"/>
  <c r="W2027" i="1" s="1"/>
  <c r="U2029" i="1"/>
  <c r="W2029" i="1" s="1"/>
  <c r="U2030" i="1"/>
  <c r="W2030" i="1" s="1"/>
  <c r="U2031" i="1"/>
  <c r="W2031" i="1" s="1"/>
  <c r="U2032" i="1"/>
  <c r="W2032" i="1" s="1"/>
  <c r="U2033" i="1"/>
  <c r="W2033" i="1" s="1"/>
  <c r="U2034" i="1"/>
  <c r="W2034" i="1" s="1"/>
  <c r="U2035" i="1"/>
  <c r="W2035" i="1" s="1"/>
  <c r="U2036" i="1"/>
  <c r="W2036" i="1" s="1"/>
  <c r="U2037" i="1"/>
  <c r="W2037" i="1" s="1"/>
  <c r="U2038" i="1"/>
  <c r="W2038" i="1" s="1"/>
  <c r="U2039" i="1"/>
  <c r="W2039" i="1" s="1"/>
  <c r="U2040" i="1"/>
  <c r="W2040" i="1" s="1"/>
  <c r="U2041" i="1"/>
  <c r="W2041" i="1" s="1"/>
  <c r="U2042" i="1"/>
  <c r="W2042" i="1" s="1"/>
  <c r="U2043" i="1"/>
  <c r="W2043" i="1" s="1"/>
  <c r="U2045" i="1"/>
  <c r="W2045" i="1" s="1"/>
  <c r="U2046" i="1"/>
  <c r="W2046" i="1" s="1"/>
  <c r="U2047" i="1"/>
  <c r="W2047" i="1" s="1"/>
  <c r="U2048" i="1"/>
  <c r="W2048" i="1" s="1"/>
  <c r="U2049" i="1"/>
  <c r="W2049" i="1" s="1"/>
  <c r="U2050" i="1"/>
  <c r="W2050" i="1" s="1"/>
  <c r="U2051" i="1"/>
  <c r="W2051" i="1" s="1"/>
  <c r="U2052" i="1"/>
  <c r="W2052" i="1" s="1"/>
  <c r="U2053" i="1"/>
  <c r="W2053" i="1" s="1"/>
  <c r="U2054" i="1"/>
  <c r="W2054" i="1" s="1"/>
  <c r="U2055" i="1"/>
  <c r="W2055" i="1" s="1"/>
  <c r="U2056" i="1"/>
  <c r="W2056" i="1" s="1"/>
  <c r="U2057" i="1"/>
  <c r="W2057" i="1" s="1"/>
  <c r="U2058" i="1"/>
  <c r="W2058" i="1" s="1"/>
  <c r="U2059" i="1"/>
  <c r="W2059" i="1" s="1"/>
  <c r="U2060" i="1"/>
  <c r="W2060" i="1" s="1"/>
  <c r="U2061" i="1"/>
  <c r="W2061" i="1" s="1"/>
  <c r="U2062" i="1"/>
  <c r="W2062" i="1" s="1"/>
  <c r="U2063" i="1"/>
  <c r="W2063" i="1" s="1"/>
  <c r="U2064" i="1"/>
  <c r="W2064" i="1" s="1"/>
  <c r="U2065" i="1"/>
  <c r="W2065" i="1" s="1"/>
  <c r="U2066" i="1"/>
  <c r="W2066" i="1" s="1"/>
  <c r="U2067" i="1"/>
  <c r="W2067" i="1" s="1"/>
  <c r="U2068" i="1"/>
  <c r="W2068" i="1" s="1"/>
  <c r="U2069" i="1"/>
  <c r="W2069" i="1" s="1"/>
  <c r="U2070" i="1"/>
  <c r="W2070" i="1" s="1"/>
  <c r="U2071" i="1"/>
  <c r="W2071" i="1" s="1"/>
  <c r="U2072" i="1"/>
  <c r="W2072" i="1" s="1"/>
  <c r="U2073" i="1"/>
  <c r="W2073" i="1" s="1"/>
  <c r="U2074" i="1"/>
  <c r="W2074" i="1" s="1"/>
  <c r="U2075" i="1"/>
  <c r="W2075" i="1" s="1"/>
  <c r="U2076" i="1"/>
  <c r="W2076" i="1" s="1"/>
  <c r="U2077" i="1"/>
  <c r="W2077" i="1" s="1"/>
  <c r="U2078" i="1"/>
  <c r="W2078" i="1" s="1"/>
  <c r="U2079" i="1"/>
  <c r="W2079" i="1" s="1"/>
  <c r="U2080" i="1"/>
  <c r="W2080" i="1" s="1"/>
  <c r="U2081" i="1"/>
  <c r="W2081" i="1" s="1"/>
  <c r="U2082" i="1"/>
  <c r="W2082" i="1" s="1"/>
  <c r="U2083" i="1"/>
  <c r="W2083" i="1" s="1"/>
  <c r="U2084" i="1"/>
  <c r="W2084" i="1" s="1"/>
  <c r="U2085" i="1"/>
  <c r="W2085" i="1" s="1"/>
  <c r="U2086" i="1"/>
  <c r="W2086" i="1" s="1"/>
  <c r="U2087" i="1"/>
  <c r="W2087" i="1" s="1"/>
  <c r="U2088" i="1"/>
  <c r="W2088" i="1" s="1"/>
  <c r="U2089" i="1"/>
  <c r="W2089" i="1" s="1"/>
  <c r="U2090" i="1"/>
  <c r="W2090" i="1" s="1"/>
  <c r="U2091" i="1"/>
  <c r="W2091" i="1" s="1"/>
  <c r="U2092" i="1"/>
  <c r="W2092" i="1" s="1"/>
  <c r="U2093" i="1"/>
  <c r="W2093" i="1" s="1"/>
  <c r="U2094" i="1"/>
  <c r="U2095" i="1"/>
  <c r="W2095" i="1" s="1"/>
  <c r="U2096" i="1"/>
  <c r="W2096" i="1" s="1"/>
  <c r="U2097" i="1"/>
  <c r="W2097" i="1" s="1"/>
  <c r="U2098" i="1"/>
  <c r="W2098" i="1" s="1"/>
  <c r="U2099" i="1"/>
  <c r="W2099" i="1" s="1"/>
  <c r="U2100" i="1"/>
  <c r="W2100" i="1" s="1"/>
  <c r="U2101" i="1"/>
  <c r="W2101" i="1" s="1"/>
  <c r="U2102" i="1"/>
  <c r="W2102" i="1" s="1"/>
  <c r="U2103" i="1"/>
  <c r="W2103" i="1" s="1"/>
  <c r="U2104" i="1"/>
  <c r="W2104" i="1" s="1"/>
  <c r="U2105" i="1"/>
  <c r="W2105" i="1" s="1"/>
  <c r="U2106" i="1"/>
  <c r="W2106" i="1" s="1"/>
  <c r="U2107" i="1"/>
  <c r="U2109" i="1"/>
  <c r="W2109" i="1" s="1"/>
  <c r="U2111" i="1"/>
  <c r="W2111" i="1" s="1"/>
  <c r="U2112" i="1"/>
  <c r="W2112" i="1" s="1"/>
  <c r="U2113" i="1"/>
  <c r="W2113" i="1" s="1"/>
  <c r="U2114" i="1"/>
  <c r="W2114" i="1" s="1"/>
  <c r="U2115" i="1"/>
  <c r="W2115" i="1" s="1"/>
  <c r="U2116" i="1"/>
  <c r="W2116" i="1" s="1"/>
  <c r="U2117" i="1"/>
  <c r="W2117" i="1" s="1"/>
  <c r="U2118" i="1"/>
  <c r="W2118" i="1" s="1"/>
  <c r="U2119" i="1"/>
  <c r="W2119" i="1" s="1"/>
  <c r="U2120" i="1"/>
  <c r="W2120" i="1" s="1"/>
  <c r="U2121" i="1"/>
  <c r="W2121" i="1" s="1"/>
  <c r="U2122" i="1"/>
  <c r="W2122" i="1" s="1"/>
  <c r="U2123" i="1"/>
  <c r="W2123" i="1" s="1"/>
  <c r="U2125" i="1"/>
  <c r="W2125" i="1" s="1"/>
  <c r="U2126" i="1"/>
  <c r="W2126" i="1" s="1"/>
  <c r="U2127" i="1"/>
  <c r="W2127" i="1" s="1"/>
  <c r="U2128" i="1"/>
  <c r="W2128" i="1" s="1"/>
  <c r="U2129" i="1"/>
  <c r="W2129" i="1" s="1"/>
  <c r="U2130" i="1"/>
  <c r="W2130" i="1" s="1"/>
  <c r="U2131" i="1"/>
  <c r="W2131" i="1" s="1"/>
  <c r="U2132" i="1"/>
  <c r="W2132" i="1" s="1"/>
  <c r="U2133" i="1"/>
  <c r="W2133" i="1" s="1"/>
  <c r="U2134" i="1"/>
  <c r="W2134" i="1" s="1"/>
  <c r="U2135" i="1"/>
  <c r="W2135" i="1" s="1"/>
  <c r="U2136" i="1"/>
  <c r="W2136" i="1" s="1"/>
  <c r="U2137" i="1"/>
  <c r="W2137" i="1" s="1"/>
  <c r="U2138" i="1"/>
  <c r="W2138" i="1" s="1"/>
  <c r="U2139" i="1"/>
  <c r="W2139" i="1" s="1"/>
  <c r="U2140" i="1"/>
  <c r="W2140" i="1" s="1"/>
  <c r="U2141" i="1"/>
  <c r="W2141" i="1" s="1"/>
  <c r="U2142" i="1"/>
  <c r="W2142" i="1" s="1"/>
  <c r="U2143" i="1"/>
  <c r="W2143" i="1" s="1"/>
  <c r="U2144" i="1"/>
  <c r="W2144" i="1" s="1"/>
  <c r="U2145" i="1"/>
  <c r="W2145" i="1" s="1"/>
  <c r="U2146" i="1"/>
  <c r="W2146" i="1" s="1"/>
  <c r="U2147" i="1"/>
  <c r="W2147" i="1" s="1"/>
  <c r="U2148" i="1"/>
  <c r="W2148" i="1" s="1"/>
  <c r="U2149" i="1"/>
  <c r="W2149" i="1" s="1"/>
  <c r="U2150" i="1"/>
  <c r="W2150" i="1" s="1"/>
  <c r="U2151" i="1"/>
  <c r="W2151" i="1" s="1"/>
  <c r="U2152" i="1"/>
  <c r="W2152" i="1" s="1"/>
  <c r="U2153" i="1"/>
  <c r="W2153" i="1" s="1"/>
  <c r="U2154" i="1"/>
  <c r="W2154" i="1" s="1"/>
  <c r="U2155" i="1"/>
  <c r="W2155" i="1" s="1"/>
  <c r="U2156" i="1"/>
  <c r="W2156" i="1" s="1"/>
  <c r="U2157" i="1"/>
  <c r="W2157" i="1" s="1"/>
  <c r="U2158" i="1"/>
  <c r="W2158" i="1" s="1"/>
  <c r="U2159" i="1"/>
  <c r="W2159" i="1" s="1"/>
  <c r="U2160" i="1"/>
  <c r="W2160" i="1" s="1"/>
  <c r="U2161" i="1"/>
  <c r="W2161" i="1" s="1"/>
  <c r="U2162" i="1"/>
  <c r="W2162" i="1" s="1"/>
  <c r="U2163" i="1"/>
  <c r="W2163" i="1" s="1"/>
  <c r="U2164" i="1"/>
  <c r="W2164" i="1" s="1"/>
  <c r="U2165" i="1"/>
  <c r="W2165" i="1" s="1"/>
  <c r="U2166" i="1"/>
  <c r="W2166" i="1" s="1"/>
  <c r="U2167" i="1"/>
  <c r="W2167" i="1" s="1"/>
  <c r="U2168" i="1"/>
  <c r="W2168" i="1" s="1"/>
  <c r="U2169" i="1"/>
  <c r="W2169" i="1" s="1"/>
  <c r="U2170" i="1"/>
  <c r="W2170" i="1" s="1"/>
  <c r="U2171" i="1"/>
  <c r="W2171" i="1" s="1"/>
  <c r="U2172" i="1"/>
  <c r="W2172" i="1" s="1"/>
  <c r="U2173" i="1"/>
  <c r="W2173" i="1" s="1"/>
  <c r="U2174" i="1"/>
  <c r="W2174" i="1" s="1"/>
  <c r="U2175" i="1"/>
  <c r="W2175" i="1" s="1"/>
  <c r="U2176" i="1"/>
  <c r="W2176" i="1" s="1"/>
  <c r="U2177" i="1"/>
  <c r="W2177" i="1" s="1"/>
  <c r="U2178" i="1"/>
  <c r="W2178" i="1" s="1"/>
  <c r="U2179" i="1"/>
  <c r="W2179" i="1" s="1"/>
  <c r="U2180" i="1"/>
  <c r="W2180" i="1" s="1"/>
  <c r="U2181" i="1"/>
  <c r="W2181" i="1" s="1"/>
  <c r="U2182" i="1"/>
  <c r="W2182" i="1" s="1"/>
  <c r="U2183" i="1"/>
  <c r="W2183" i="1" s="1"/>
  <c r="U2185" i="1"/>
  <c r="W2185" i="1" s="1"/>
  <c r="U2186" i="1"/>
  <c r="W2186" i="1" s="1"/>
  <c r="U2187" i="1"/>
  <c r="W2187" i="1" s="1"/>
  <c r="U2188" i="1"/>
  <c r="W2188" i="1" s="1"/>
  <c r="U2189" i="1"/>
  <c r="W2189" i="1" s="1"/>
  <c r="U2190" i="1"/>
  <c r="W2190" i="1" s="1"/>
  <c r="U2191" i="1"/>
  <c r="W2191" i="1" s="1"/>
  <c r="U2192" i="1"/>
  <c r="W2192" i="1" s="1"/>
  <c r="U2193" i="1"/>
  <c r="W2193" i="1" s="1"/>
  <c r="U2194" i="1"/>
  <c r="W2194" i="1" s="1"/>
  <c r="U2195" i="1"/>
  <c r="W2195" i="1" s="1"/>
  <c r="U2196" i="1"/>
  <c r="W2196" i="1" s="1"/>
  <c r="U2197" i="1"/>
  <c r="W2197" i="1" s="1"/>
  <c r="U2198" i="1"/>
  <c r="W2198" i="1" s="1"/>
  <c r="U2199" i="1"/>
  <c r="W2199" i="1" s="1"/>
  <c r="U2200" i="1"/>
  <c r="W2200" i="1" s="1"/>
  <c r="U2201" i="1"/>
  <c r="W2201" i="1" s="1"/>
  <c r="U2202" i="1"/>
  <c r="W2202" i="1" s="1"/>
  <c r="U2203" i="1"/>
  <c r="W2203" i="1" s="1"/>
  <c r="U2205" i="1"/>
  <c r="W2205" i="1" s="1"/>
  <c r="U2206" i="1"/>
  <c r="W2206" i="1" s="1"/>
  <c r="U2207" i="1"/>
  <c r="W2207" i="1" s="1"/>
  <c r="U2208" i="1"/>
  <c r="W2208" i="1" s="1"/>
  <c r="U2209" i="1"/>
  <c r="W2209" i="1" s="1"/>
  <c r="U2210" i="1"/>
  <c r="W2210" i="1" s="1"/>
  <c r="U2211" i="1"/>
  <c r="W2211" i="1" s="1"/>
  <c r="U2212" i="1"/>
  <c r="W2212" i="1" s="1"/>
  <c r="U2213" i="1"/>
  <c r="W2213" i="1" s="1"/>
  <c r="U2214" i="1"/>
  <c r="W2214" i="1" s="1"/>
  <c r="U2215" i="1"/>
  <c r="W2215" i="1" s="1"/>
  <c r="U2216" i="1"/>
  <c r="W2216" i="1" s="1"/>
  <c r="U2217" i="1"/>
  <c r="W2217" i="1" s="1"/>
  <c r="U2218" i="1"/>
  <c r="W2218" i="1" s="1"/>
  <c r="U2219" i="1"/>
  <c r="W2219" i="1" s="1"/>
  <c r="U2220" i="1"/>
  <c r="W2220" i="1" s="1"/>
  <c r="U2221" i="1"/>
  <c r="W2221" i="1" s="1"/>
  <c r="U2222" i="1"/>
  <c r="W2222" i="1" s="1"/>
  <c r="U2223" i="1"/>
  <c r="W2223" i="1" s="1"/>
  <c r="U2224" i="1"/>
  <c r="W2224" i="1" s="1"/>
  <c r="U2225" i="1"/>
  <c r="W2225" i="1" s="1"/>
  <c r="U2226" i="1"/>
  <c r="W2226" i="1" s="1"/>
  <c r="U2227" i="1"/>
  <c r="W2227" i="1" s="1"/>
  <c r="U2228" i="1"/>
  <c r="W2228" i="1" s="1"/>
  <c r="U2229" i="1"/>
  <c r="W2229" i="1" s="1"/>
  <c r="U2230" i="1"/>
  <c r="W2230" i="1" s="1"/>
  <c r="U2231" i="1"/>
  <c r="W2231" i="1" s="1"/>
  <c r="U2232" i="1"/>
  <c r="W2232" i="1" s="1"/>
  <c r="U2233" i="1"/>
  <c r="W2233" i="1" s="1"/>
  <c r="U2234" i="1"/>
  <c r="W2234" i="1" s="1"/>
  <c r="U2235" i="1"/>
  <c r="W2235" i="1" s="1"/>
  <c r="U2236" i="1"/>
  <c r="W2236" i="1" s="1"/>
  <c r="U2237" i="1"/>
  <c r="W2237" i="1" s="1"/>
  <c r="U2238" i="1"/>
  <c r="W2238" i="1" s="1"/>
  <c r="U2239" i="1"/>
  <c r="W2239" i="1" s="1"/>
  <c r="U2240" i="1"/>
  <c r="W2240" i="1" s="1"/>
  <c r="U2241" i="1"/>
  <c r="W2241" i="1" s="1"/>
  <c r="U2242" i="1"/>
  <c r="W2242" i="1" s="1"/>
  <c r="U2243" i="1"/>
  <c r="W2243" i="1" s="1"/>
  <c r="U2244" i="1"/>
  <c r="W2244" i="1" s="1"/>
  <c r="U2245" i="1"/>
  <c r="W2245" i="1" s="1"/>
  <c r="U2246" i="1"/>
  <c r="W2246" i="1" s="1"/>
  <c r="U2247" i="1"/>
  <c r="W2247" i="1" s="1"/>
  <c r="U2248" i="1"/>
  <c r="W2248" i="1" s="1"/>
  <c r="U2249" i="1"/>
  <c r="W2249" i="1" s="1"/>
  <c r="U2250" i="1"/>
  <c r="W2250" i="1" s="1"/>
  <c r="U2251" i="1"/>
  <c r="W2251" i="1" s="1"/>
  <c r="U2252" i="1"/>
  <c r="W2252" i="1" s="1"/>
  <c r="U2253" i="1"/>
  <c r="W2253" i="1" s="1"/>
  <c r="U2254" i="1"/>
  <c r="W2254" i="1" s="1"/>
  <c r="U2255" i="1"/>
  <c r="W2255" i="1" s="1"/>
  <c r="U2256" i="1"/>
  <c r="W2256" i="1" s="1"/>
  <c r="U2257" i="1"/>
  <c r="W2257" i="1" s="1"/>
  <c r="U2259" i="1"/>
  <c r="W2259" i="1" s="1"/>
  <c r="U2260" i="1"/>
  <c r="W2260" i="1" s="1"/>
  <c r="U2261" i="1"/>
  <c r="W2261" i="1" s="1"/>
  <c r="U2262" i="1"/>
  <c r="W2262" i="1" s="1"/>
  <c r="U2263" i="1"/>
  <c r="W2263" i="1" s="1"/>
  <c r="U2264" i="1"/>
  <c r="W2264" i="1" s="1"/>
  <c r="U2265" i="1"/>
  <c r="W2265" i="1" s="1"/>
  <c r="U2266" i="1"/>
  <c r="W2266" i="1" s="1"/>
  <c r="U2267" i="1"/>
  <c r="W2267" i="1" s="1"/>
  <c r="U2268" i="1"/>
  <c r="W2268" i="1" s="1"/>
  <c r="U2269" i="1"/>
  <c r="W2269" i="1" s="1"/>
  <c r="U2271" i="1"/>
  <c r="W2271" i="1" s="1"/>
  <c r="U2272" i="1"/>
  <c r="W2272" i="1" s="1"/>
  <c r="U2273" i="1"/>
  <c r="W2273" i="1" s="1"/>
  <c r="U2274" i="1"/>
  <c r="W2274" i="1" s="1"/>
  <c r="U2275" i="1"/>
  <c r="W2275" i="1" s="1"/>
  <c r="U2276" i="1"/>
  <c r="W2276" i="1" s="1"/>
  <c r="U2277" i="1"/>
  <c r="W2277" i="1" s="1"/>
  <c r="U2278" i="1"/>
  <c r="W2278" i="1" s="1"/>
  <c r="U2279" i="1"/>
  <c r="W2279" i="1" s="1"/>
  <c r="U2280" i="1"/>
  <c r="W2280" i="1" s="1"/>
  <c r="U2281" i="1"/>
  <c r="W2281" i="1" s="1"/>
  <c r="U2282" i="1"/>
  <c r="W2282" i="1" s="1"/>
  <c r="U2283" i="1"/>
  <c r="W2283" i="1" s="1"/>
  <c r="U2285" i="1"/>
  <c r="W2285" i="1" s="1"/>
  <c r="U2286" i="1"/>
  <c r="W2286" i="1" s="1"/>
  <c r="U2287" i="1"/>
  <c r="W2287" i="1" s="1"/>
  <c r="U2288" i="1"/>
  <c r="W2288" i="1" s="1"/>
  <c r="U2289" i="1"/>
  <c r="W2289" i="1" s="1"/>
  <c r="U2290" i="1"/>
  <c r="W2290" i="1" s="1"/>
  <c r="U2291" i="1"/>
  <c r="W2291" i="1" s="1"/>
  <c r="U2292" i="1"/>
  <c r="W2292" i="1" s="1"/>
  <c r="U2293" i="1"/>
  <c r="W2293" i="1" s="1"/>
  <c r="U2294" i="1"/>
  <c r="W2294" i="1" s="1"/>
  <c r="U2295" i="1"/>
  <c r="W2295" i="1" s="1"/>
  <c r="U2296" i="1"/>
  <c r="W2296" i="1" s="1"/>
  <c r="U2297" i="1"/>
  <c r="W2297" i="1" s="1"/>
  <c r="U2298" i="1"/>
  <c r="W2298" i="1" s="1"/>
  <c r="U2299" i="1"/>
  <c r="W2299" i="1" s="1"/>
  <c r="U2300" i="1"/>
  <c r="W2300" i="1" s="1"/>
  <c r="U2301" i="1"/>
  <c r="W2301" i="1" s="1"/>
  <c r="U2302" i="1"/>
  <c r="W2302" i="1" s="1"/>
  <c r="U2303" i="1"/>
  <c r="W2303" i="1" s="1"/>
  <c r="U2304" i="1"/>
  <c r="W2304" i="1" s="1"/>
  <c r="U2305" i="1"/>
  <c r="W2305" i="1" s="1"/>
  <c r="U2307" i="1"/>
  <c r="W2307" i="1" s="1"/>
  <c r="U2308" i="1"/>
  <c r="W2308" i="1" s="1"/>
  <c r="U2309" i="1"/>
  <c r="W2309" i="1" s="1"/>
  <c r="U2310" i="1"/>
  <c r="W2310" i="1" s="1"/>
  <c r="U2311" i="1"/>
  <c r="W2311" i="1" s="1"/>
  <c r="U2312" i="1"/>
  <c r="W2312" i="1" s="1"/>
  <c r="U2313" i="1"/>
  <c r="W2313" i="1" s="1"/>
  <c r="U2314" i="1"/>
  <c r="W2314" i="1" s="1"/>
  <c r="U2315" i="1"/>
  <c r="W2315" i="1" s="1"/>
  <c r="U2316" i="1"/>
  <c r="W2316" i="1" s="1"/>
  <c r="U2317" i="1"/>
  <c r="W2317" i="1" s="1"/>
  <c r="U2318" i="1"/>
  <c r="W2318" i="1" s="1"/>
  <c r="U2319" i="1"/>
  <c r="W2319" i="1" s="1"/>
  <c r="U2320" i="1"/>
  <c r="W2320" i="1" s="1"/>
  <c r="U2321" i="1"/>
  <c r="W2321" i="1" s="1"/>
  <c r="U2322" i="1"/>
  <c r="W2322" i="1" s="1"/>
  <c r="U2323" i="1"/>
  <c r="W2323" i="1" s="1"/>
  <c r="U2324" i="1"/>
  <c r="W2324" i="1" s="1"/>
  <c r="U2325" i="1"/>
  <c r="W2325" i="1" s="1"/>
  <c r="U2326" i="1"/>
  <c r="W2326" i="1" s="1"/>
  <c r="U2327" i="1"/>
  <c r="W2327" i="1" s="1"/>
  <c r="U2328" i="1"/>
  <c r="W2328" i="1" s="1"/>
  <c r="U2329" i="1"/>
  <c r="W2329" i="1" s="1"/>
  <c r="U2330" i="1"/>
  <c r="W2330" i="1" s="1"/>
  <c r="U2331" i="1"/>
  <c r="W2331" i="1" s="1"/>
  <c r="U2332" i="1"/>
  <c r="W2332" i="1" s="1"/>
  <c r="U2333" i="1"/>
  <c r="W2333" i="1" s="1"/>
  <c r="U2334" i="1"/>
  <c r="W2334" i="1" s="1"/>
  <c r="U2335" i="1"/>
  <c r="W2335" i="1" s="1"/>
  <c r="U2336" i="1"/>
  <c r="W2336" i="1" s="1"/>
  <c r="U2337" i="1"/>
  <c r="W2337" i="1" s="1"/>
  <c r="U2340" i="1"/>
  <c r="W2340" i="1" s="1"/>
  <c r="U2341" i="1"/>
  <c r="W2341" i="1" s="1"/>
  <c r="U2342" i="1"/>
  <c r="W2342" i="1" s="1"/>
  <c r="U2343" i="1"/>
  <c r="W2343" i="1" s="1"/>
  <c r="U2344" i="1"/>
  <c r="W2344" i="1" s="1"/>
  <c r="U2345" i="1"/>
  <c r="W2345" i="1" s="1"/>
  <c r="U2346" i="1"/>
  <c r="W2346" i="1" s="1"/>
  <c r="U2347" i="1"/>
  <c r="W2347" i="1" s="1"/>
  <c r="U2348" i="1"/>
  <c r="W2348" i="1" s="1"/>
  <c r="U2349" i="1"/>
  <c r="W2349" i="1" s="1"/>
  <c r="U2350" i="1"/>
  <c r="W2350" i="1" s="1"/>
  <c r="U2351" i="1"/>
  <c r="W2351" i="1" s="1"/>
  <c r="U2352" i="1"/>
  <c r="W2352" i="1" s="1"/>
  <c r="U2353" i="1"/>
  <c r="W2353" i="1" s="1"/>
  <c r="U2355" i="1"/>
  <c r="W2355" i="1" s="1"/>
  <c r="U2356" i="1"/>
  <c r="W2356" i="1" s="1"/>
  <c r="U2357" i="1"/>
  <c r="W2357" i="1" s="1"/>
  <c r="U2358" i="1"/>
  <c r="W2358" i="1" s="1"/>
  <c r="U2359" i="1"/>
  <c r="W2359" i="1" s="1"/>
  <c r="U2360" i="1"/>
  <c r="W2360" i="1" s="1"/>
  <c r="U2361" i="1"/>
  <c r="W2361" i="1" s="1"/>
  <c r="U2362" i="1"/>
  <c r="W2362" i="1" s="1"/>
  <c r="U2363" i="1"/>
  <c r="W2363" i="1" s="1"/>
  <c r="U2364" i="1"/>
  <c r="W2364" i="1" s="1"/>
  <c r="U2365" i="1"/>
  <c r="W2365" i="1" s="1"/>
  <c r="U2366" i="1"/>
  <c r="W2366" i="1" s="1"/>
  <c r="U2367" i="1"/>
  <c r="W2367" i="1" s="1"/>
  <c r="U2368" i="1"/>
  <c r="W2368" i="1" s="1"/>
  <c r="U2369" i="1"/>
  <c r="W2369" i="1" s="1"/>
  <c r="U2370" i="1"/>
  <c r="W2370" i="1" s="1"/>
  <c r="U2372" i="1"/>
  <c r="W2372" i="1" s="1"/>
  <c r="U2373" i="1"/>
  <c r="W2373" i="1" s="1"/>
  <c r="U2374" i="1"/>
  <c r="W2374" i="1" s="1"/>
  <c r="U2375" i="1"/>
  <c r="W2375" i="1" s="1"/>
  <c r="U2376" i="1"/>
  <c r="W2376" i="1" s="1"/>
  <c r="U2377" i="1"/>
  <c r="W2377" i="1" s="1"/>
  <c r="U2378" i="1"/>
  <c r="W2378" i="1" s="1"/>
  <c r="U2379" i="1"/>
  <c r="W2379" i="1" s="1"/>
  <c r="U2380" i="1"/>
  <c r="W2380" i="1" s="1"/>
  <c r="U2381" i="1"/>
  <c r="W2381" i="1" s="1"/>
  <c r="U2382" i="1"/>
  <c r="W2382" i="1" s="1"/>
  <c r="U2383" i="1"/>
  <c r="W2383" i="1" s="1"/>
  <c r="U2384" i="1"/>
  <c r="W2384" i="1" s="1"/>
  <c r="U2385" i="1"/>
  <c r="W2385" i="1" s="1"/>
  <c r="U2386" i="1"/>
  <c r="W2386" i="1" s="1"/>
  <c r="U2387" i="1"/>
  <c r="W2387" i="1" s="1"/>
  <c r="U2388" i="1"/>
  <c r="W2388" i="1" s="1"/>
  <c r="U2389" i="1"/>
  <c r="W2389" i="1" s="1"/>
  <c r="U2390" i="1"/>
  <c r="W2390" i="1" s="1"/>
  <c r="U2392" i="1"/>
  <c r="W2392" i="1" s="1"/>
  <c r="U2393" i="1"/>
  <c r="W2393" i="1" s="1"/>
  <c r="U2394" i="1"/>
  <c r="W2394" i="1" s="1"/>
  <c r="U2395" i="1"/>
  <c r="W2395" i="1" s="1"/>
  <c r="U2396" i="1"/>
  <c r="W2396" i="1" s="1"/>
  <c r="U2397" i="1"/>
  <c r="W2397" i="1" s="1"/>
  <c r="U2398" i="1"/>
  <c r="W2398" i="1" s="1"/>
  <c r="U2399" i="1"/>
  <c r="W2399" i="1" s="1"/>
  <c r="U2400" i="1"/>
  <c r="W2400" i="1" s="1"/>
  <c r="U2401" i="1"/>
  <c r="W2401" i="1" s="1"/>
  <c r="U2402" i="1"/>
  <c r="W2402" i="1" s="1"/>
  <c r="U2403" i="1"/>
  <c r="W2403" i="1" s="1"/>
  <c r="U2404" i="1"/>
  <c r="W2404" i="1" s="1"/>
  <c r="U2405" i="1"/>
  <c r="W2405" i="1" s="1"/>
  <c r="U2406" i="1"/>
  <c r="W2406" i="1" s="1"/>
  <c r="U2407" i="1"/>
  <c r="W2407" i="1" s="1"/>
  <c r="U2408" i="1"/>
  <c r="W2408" i="1" s="1"/>
  <c r="U2409" i="1"/>
  <c r="W2409" i="1" s="1"/>
  <c r="U2410" i="1"/>
  <c r="W2410" i="1" s="1"/>
  <c r="U2411" i="1"/>
  <c r="W2411" i="1" s="1"/>
  <c r="U2413" i="1"/>
  <c r="W2413" i="1" s="1"/>
  <c r="U2414" i="1"/>
  <c r="W2414" i="1" s="1"/>
  <c r="U2415" i="1"/>
  <c r="W2415" i="1" s="1"/>
  <c r="U2416" i="1"/>
  <c r="W2416" i="1" s="1"/>
  <c r="U2417" i="1"/>
  <c r="W2417" i="1" s="1"/>
  <c r="U2418" i="1"/>
  <c r="W2418" i="1" s="1"/>
  <c r="U2420" i="1"/>
  <c r="W2420" i="1" s="1"/>
  <c r="U2421" i="1"/>
  <c r="W2421" i="1" s="1"/>
  <c r="U2422" i="1"/>
  <c r="W2422" i="1" s="1"/>
  <c r="U2423" i="1"/>
  <c r="W2423" i="1" s="1"/>
  <c r="U2424" i="1"/>
  <c r="W2424" i="1" s="1"/>
  <c r="U2425" i="1"/>
  <c r="W2425" i="1" s="1"/>
  <c r="U2426" i="1"/>
  <c r="W2426" i="1" s="1"/>
  <c r="U2427" i="1"/>
  <c r="W2427" i="1" s="1"/>
  <c r="U2428" i="1"/>
  <c r="W2428" i="1" s="1"/>
  <c r="U2429" i="1"/>
  <c r="W2429" i="1" s="1"/>
  <c r="U2430" i="1"/>
  <c r="W2430" i="1" s="1"/>
  <c r="U2431" i="1"/>
  <c r="W2431" i="1" s="1"/>
  <c r="U2432" i="1"/>
  <c r="W2432" i="1" s="1"/>
  <c r="U2433" i="1"/>
  <c r="W2433" i="1" s="1"/>
  <c r="U2434" i="1"/>
  <c r="W2434" i="1" s="1"/>
  <c r="U2435" i="1"/>
  <c r="W2435" i="1" s="1"/>
  <c r="U2436" i="1"/>
  <c r="W2436" i="1" s="1"/>
  <c r="U2437" i="1"/>
  <c r="W2437" i="1" s="1"/>
  <c r="U2438" i="1"/>
  <c r="W2438" i="1" s="1"/>
  <c r="U2439" i="1"/>
  <c r="W2439" i="1" s="1"/>
  <c r="U2440" i="1"/>
  <c r="W2440" i="1" s="1"/>
  <c r="U2441" i="1"/>
  <c r="W2441" i="1" s="1"/>
  <c r="U2442" i="1"/>
  <c r="W2442" i="1" s="1"/>
  <c r="U2443" i="1"/>
  <c r="W2443" i="1" s="1"/>
  <c r="U2444" i="1"/>
  <c r="W2444" i="1" s="1"/>
  <c r="U2445" i="1"/>
  <c r="W2445" i="1" s="1"/>
  <c r="U2447" i="1"/>
  <c r="W2447" i="1" s="1"/>
  <c r="U2448" i="1"/>
  <c r="W2448" i="1" s="1"/>
  <c r="U2449" i="1"/>
  <c r="W2449" i="1" s="1"/>
  <c r="U2450" i="1"/>
  <c r="W2450" i="1" s="1"/>
  <c r="U2451" i="1"/>
  <c r="W2451" i="1" s="1"/>
  <c r="U2452" i="1"/>
  <c r="W2452" i="1" s="1"/>
  <c r="U2453" i="1"/>
  <c r="W2453" i="1" s="1"/>
  <c r="U2454" i="1"/>
  <c r="W2454" i="1" s="1"/>
  <c r="U2455" i="1"/>
  <c r="W2455" i="1" s="1"/>
  <c r="U2456" i="1"/>
  <c r="W2456" i="1" s="1"/>
  <c r="U2457" i="1"/>
  <c r="W2457" i="1" s="1"/>
  <c r="U2458" i="1"/>
  <c r="W2458" i="1" s="1"/>
  <c r="U2459" i="1"/>
  <c r="W2459" i="1" s="1"/>
  <c r="U2460" i="1"/>
  <c r="W2460" i="1" s="1"/>
  <c r="U2461" i="1"/>
  <c r="W2461" i="1" s="1"/>
  <c r="U2462" i="1"/>
  <c r="W2462" i="1" s="1"/>
  <c r="U2463" i="1"/>
  <c r="W2463" i="1" s="1"/>
  <c r="U2464" i="1"/>
  <c r="W2464" i="1" s="1"/>
  <c r="U2465" i="1"/>
  <c r="W2465" i="1" s="1"/>
  <c r="U2466" i="1"/>
  <c r="W2466" i="1" s="1"/>
  <c r="U2467" i="1"/>
  <c r="W2467" i="1" s="1"/>
  <c r="U2468" i="1"/>
  <c r="W2468" i="1" s="1"/>
  <c r="U2469" i="1"/>
  <c r="W2469" i="1" s="1"/>
  <c r="U2470" i="1"/>
  <c r="W2470" i="1" s="1"/>
  <c r="U2472" i="1"/>
  <c r="W2472" i="1" s="1"/>
  <c r="U2473" i="1"/>
  <c r="W2473" i="1" s="1"/>
  <c r="U2474" i="1"/>
  <c r="W2474" i="1" s="1"/>
  <c r="U2475" i="1"/>
  <c r="W2475" i="1" s="1"/>
  <c r="U2476" i="1"/>
  <c r="W2476" i="1" s="1"/>
  <c r="U2477" i="1"/>
  <c r="W2477" i="1" s="1"/>
  <c r="U2478" i="1"/>
  <c r="W2478" i="1" s="1"/>
  <c r="U2479" i="1"/>
  <c r="W2479" i="1" s="1"/>
  <c r="U2480" i="1"/>
  <c r="W2480" i="1" s="1"/>
  <c r="U2481" i="1"/>
  <c r="W2481" i="1" s="1"/>
  <c r="U2482" i="1"/>
  <c r="W2482" i="1" s="1"/>
  <c r="U2483" i="1"/>
  <c r="W2483" i="1" s="1"/>
  <c r="U2484" i="1"/>
  <c r="W2484" i="1" s="1"/>
  <c r="U2485" i="1"/>
  <c r="W2485" i="1" s="1"/>
  <c r="U2486" i="1"/>
  <c r="W2486" i="1" s="1"/>
  <c r="U2487" i="1"/>
  <c r="W2487" i="1" s="1"/>
  <c r="U2488" i="1"/>
  <c r="W2488" i="1" s="1"/>
  <c r="U2489" i="1"/>
  <c r="W2489" i="1" s="1"/>
  <c r="U2490" i="1"/>
  <c r="W2490" i="1" s="1"/>
  <c r="U2491" i="1"/>
  <c r="W2491" i="1" s="1"/>
  <c r="U2492" i="1"/>
  <c r="W2492" i="1" s="1"/>
  <c r="U2493" i="1"/>
  <c r="W2493" i="1" s="1"/>
  <c r="U2495" i="1"/>
  <c r="W2495" i="1" s="1"/>
  <c r="U2496" i="1"/>
  <c r="W2496" i="1" s="1"/>
  <c r="U2497" i="1"/>
  <c r="W2497" i="1" s="1"/>
  <c r="U2498" i="1"/>
  <c r="W2498" i="1" s="1"/>
  <c r="U2499" i="1"/>
  <c r="W2499" i="1" s="1"/>
  <c r="U2500" i="1"/>
  <c r="W2500" i="1" s="1"/>
  <c r="U2501" i="1"/>
  <c r="W2501" i="1" s="1"/>
  <c r="U2502" i="1"/>
  <c r="W2502" i="1" s="1"/>
  <c r="U2503" i="1"/>
  <c r="W2503" i="1" s="1"/>
  <c r="U2504" i="1"/>
  <c r="W2504" i="1" s="1"/>
  <c r="U2505" i="1"/>
  <c r="W2505" i="1" s="1"/>
  <c r="U2506" i="1"/>
  <c r="W2506" i="1" s="1"/>
  <c r="U2507" i="1"/>
  <c r="W2507" i="1" s="1"/>
  <c r="U2508" i="1"/>
  <c r="W2508" i="1" s="1"/>
  <c r="U2509" i="1"/>
  <c r="W2509" i="1" s="1"/>
  <c r="U2510" i="1"/>
  <c r="W2510" i="1" s="1"/>
  <c r="U2511" i="1"/>
  <c r="W2511" i="1" s="1"/>
  <c r="U2512" i="1"/>
  <c r="W2512" i="1" s="1"/>
  <c r="U2513" i="1"/>
  <c r="W2513" i="1" s="1"/>
  <c r="U2515" i="1"/>
  <c r="W2515" i="1" s="1"/>
  <c r="U2516" i="1"/>
  <c r="W2516" i="1" s="1"/>
  <c r="U2517" i="1"/>
  <c r="W2517" i="1" s="1"/>
  <c r="U2518" i="1"/>
  <c r="W2518" i="1" s="1"/>
  <c r="U2519" i="1"/>
  <c r="W2519" i="1" s="1"/>
  <c r="U2520" i="1"/>
  <c r="W2520" i="1" s="1"/>
  <c r="U2521" i="1"/>
  <c r="W2521" i="1" s="1"/>
  <c r="U2522" i="1"/>
  <c r="W2522" i="1" s="1"/>
  <c r="U2523" i="1"/>
  <c r="W2523" i="1" s="1"/>
  <c r="U2524" i="1"/>
  <c r="W2524" i="1" s="1"/>
  <c r="U2525" i="1"/>
  <c r="W2525" i="1" s="1"/>
  <c r="U2527" i="1"/>
  <c r="W2527" i="1" s="1"/>
  <c r="U2528" i="1"/>
  <c r="W2528" i="1" s="1"/>
  <c r="U2529" i="1"/>
  <c r="W2529" i="1" s="1"/>
  <c r="U2530" i="1"/>
  <c r="W2530" i="1" s="1"/>
  <c r="U2531" i="1"/>
  <c r="W2531" i="1" s="1"/>
  <c r="U2532" i="1"/>
  <c r="W2532" i="1" s="1"/>
  <c r="U2533" i="1"/>
  <c r="W2533" i="1" s="1"/>
  <c r="U2534" i="1"/>
  <c r="W2534" i="1" s="1"/>
  <c r="U2535" i="1"/>
  <c r="W2535" i="1" s="1"/>
  <c r="U2536" i="1"/>
  <c r="W2536" i="1" s="1"/>
  <c r="U2537" i="1"/>
  <c r="W2537" i="1" s="1"/>
  <c r="U2538" i="1"/>
  <c r="W2538" i="1" s="1"/>
  <c r="U2539" i="1"/>
  <c r="W2539" i="1" s="1"/>
  <c r="U2541" i="1"/>
  <c r="W2541" i="1" s="1"/>
  <c r="U2543" i="1"/>
  <c r="W2543" i="1" s="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AK1980" i="1"/>
  <c r="AK1979" i="1"/>
  <c r="AK1978" i="1"/>
  <c r="AI1978" i="1"/>
  <c r="AH1978" i="1"/>
  <c r="AG1978" i="1"/>
  <c r="AK1977" i="1"/>
  <c r="AI1977" i="1"/>
  <c r="AH1977" i="1"/>
  <c r="AG1977" i="1"/>
  <c r="AK1976" i="1"/>
  <c r="AI1976" i="1"/>
  <c r="AH1976" i="1"/>
  <c r="AG1976" i="1"/>
  <c r="AK1975" i="1"/>
  <c r="AI1975" i="1"/>
  <c r="S1975" i="1" s="1"/>
  <c r="AS1975" i="1" s="1"/>
  <c r="AN1975" i="1" s="1"/>
  <c r="AH1975" i="1"/>
  <c r="AG1975" i="1"/>
  <c r="AK1974" i="1"/>
  <c r="AK1973" i="1"/>
  <c r="AK1972" i="1"/>
  <c r="AI1972" i="1"/>
  <c r="AH1972" i="1"/>
  <c r="AK1971" i="1"/>
  <c r="AI1971" i="1"/>
  <c r="AH1971" i="1"/>
  <c r="AK1970" i="1"/>
  <c r="AI1970" i="1"/>
  <c r="AH1970" i="1"/>
  <c r="AG1970" i="1"/>
  <c r="AK1969" i="1"/>
  <c r="AI1969" i="1"/>
  <c r="S1969" i="1" s="1"/>
  <c r="AQ1969" i="1" s="1"/>
  <c r="AL1969" i="1" s="1"/>
  <c r="AH1969" i="1"/>
  <c r="AG1969" i="1"/>
  <c r="AK1968" i="1"/>
  <c r="AI1968" i="1"/>
  <c r="AH1968" i="1"/>
  <c r="AG1968" i="1"/>
  <c r="AK1967" i="1"/>
  <c r="AI1967" i="1"/>
  <c r="AH1967" i="1"/>
  <c r="AK1966" i="1"/>
  <c r="AI1966" i="1"/>
  <c r="AH1966" i="1"/>
  <c r="AK1965" i="1"/>
  <c r="AI1965" i="1"/>
  <c r="AH1965" i="1"/>
  <c r="S1965" i="1" s="1"/>
  <c r="AT1965" i="1" s="1"/>
  <c r="AO1965" i="1" s="1"/>
  <c r="AK1964" i="1"/>
  <c r="AI1964" i="1"/>
  <c r="AH1964" i="1"/>
  <c r="AK1963" i="1"/>
  <c r="AI1963" i="1"/>
  <c r="AH1963" i="1"/>
  <c r="AK1962" i="1"/>
  <c r="AK1961" i="1"/>
  <c r="AK1960" i="1"/>
  <c r="AI1960" i="1"/>
  <c r="AH1960" i="1"/>
  <c r="AK1959" i="1"/>
  <c r="AI1959" i="1"/>
  <c r="AH1959" i="1"/>
  <c r="AK1958" i="1"/>
  <c r="AI1958" i="1"/>
  <c r="AH1958" i="1"/>
  <c r="S1958" i="1" s="1"/>
  <c r="AR1958" i="1" s="1"/>
  <c r="AM1958" i="1" s="1"/>
  <c r="AK1957" i="1"/>
  <c r="AI1957" i="1"/>
  <c r="AH1957" i="1"/>
  <c r="AK1956" i="1"/>
  <c r="AI1956" i="1"/>
  <c r="AH1956" i="1"/>
  <c r="AK1955" i="1"/>
  <c r="AK1954" i="1"/>
  <c r="AK1953" i="1"/>
  <c r="AI1953" i="1"/>
  <c r="AH1953" i="1"/>
  <c r="AK1952" i="1"/>
  <c r="AI1952" i="1"/>
  <c r="AH1952" i="1"/>
  <c r="AK1951" i="1"/>
  <c r="AI1951" i="1"/>
  <c r="S1951" i="1" s="1"/>
  <c r="AQ1951" i="1" s="1"/>
  <c r="AL1951" i="1" s="1"/>
  <c r="AH1951" i="1"/>
  <c r="AK1950" i="1"/>
  <c r="AI1950" i="1"/>
  <c r="AH1950" i="1"/>
  <c r="AG1950" i="1"/>
  <c r="AK1949" i="1"/>
  <c r="AI1949" i="1"/>
  <c r="AH1949" i="1"/>
  <c r="AG1949" i="1"/>
  <c r="AK1948" i="1"/>
  <c r="AI1948" i="1"/>
  <c r="AH1948" i="1"/>
  <c r="AG1948" i="1"/>
  <c r="AK1947" i="1"/>
  <c r="AI1947" i="1"/>
  <c r="AH1947" i="1"/>
  <c r="S1947" i="1" s="1"/>
  <c r="AT1947" i="1" s="1"/>
  <c r="AO1947" i="1" s="1"/>
  <c r="AG1947" i="1"/>
  <c r="AK1946" i="1"/>
  <c r="AI1946" i="1"/>
  <c r="AH1946" i="1"/>
  <c r="AG1946" i="1"/>
  <c r="AK1945" i="1"/>
  <c r="AI1945" i="1"/>
  <c r="AH1945" i="1"/>
  <c r="AK1944" i="1"/>
  <c r="AI1944" i="1"/>
  <c r="AH1944" i="1"/>
  <c r="AK1943" i="1"/>
  <c r="AI1943" i="1"/>
  <c r="AH1943" i="1"/>
  <c r="AK1942" i="1"/>
  <c r="S1942" i="1" s="1"/>
  <c r="AR1942" i="1" s="1"/>
  <c r="AM1942" i="1" s="1"/>
  <c r="AK1941" i="1"/>
  <c r="S1941" i="1" s="1"/>
  <c r="AR1941" i="1" s="1"/>
  <c r="AM1941" i="1" s="1"/>
  <c r="AK1940" i="1"/>
  <c r="AI1940" i="1"/>
  <c r="AH1940" i="1"/>
  <c r="AG1940" i="1"/>
  <c r="AK1939" i="1"/>
  <c r="AI1939" i="1"/>
  <c r="AH1939" i="1"/>
  <c r="AG1939" i="1"/>
  <c r="AK1938" i="1"/>
  <c r="AI1938" i="1"/>
  <c r="AH1938" i="1"/>
  <c r="AG1938" i="1"/>
  <c r="AK1937" i="1"/>
  <c r="AI1937" i="1"/>
  <c r="AH1937" i="1"/>
  <c r="AG1937" i="1"/>
  <c r="S1937" i="1" s="1"/>
  <c r="AQ1937" i="1" s="1"/>
  <c r="AL1937" i="1" s="1"/>
  <c r="AK1936" i="1"/>
  <c r="AI1936" i="1"/>
  <c r="AH1936" i="1"/>
  <c r="AK1935" i="1"/>
  <c r="AK1934" i="1"/>
  <c r="AK1933" i="1"/>
  <c r="AI1933" i="1"/>
  <c r="AH1933" i="1"/>
  <c r="AG1933" i="1"/>
  <c r="AK1932" i="1"/>
  <c r="AI1932" i="1"/>
  <c r="AH1932" i="1"/>
  <c r="AG1932" i="1"/>
  <c r="AK1931" i="1"/>
  <c r="AI1931" i="1"/>
  <c r="AH1931" i="1"/>
  <c r="S1931" i="1" s="1"/>
  <c r="AT1931" i="1" s="1"/>
  <c r="AO1931" i="1" s="1"/>
  <c r="AK1930" i="1"/>
  <c r="AI1930" i="1"/>
  <c r="AH1930" i="1"/>
  <c r="AG1930" i="1"/>
  <c r="AK1929" i="1"/>
  <c r="AI1929" i="1"/>
  <c r="AH1929" i="1"/>
  <c r="AK1928" i="1"/>
  <c r="AI1928" i="1"/>
  <c r="AH1928" i="1"/>
  <c r="AK1927" i="1"/>
  <c r="AI1927" i="1"/>
  <c r="AH1927" i="1"/>
  <c r="AG1927" i="1"/>
  <c r="AK1926" i="1"/>
  <c r="AI1926" i="1"/>
  <c r="S1926" i="1" s="1"/>
  <c r="AR1926" i="1" s="1"/>
  <c r="AM1926" i="1" s="1"/>
  <c r="AH1926" i="1"/>
  <c r="AK1925" i="1"/>
  <c r="AI1925" i="1"/>
  <c r="AH1925" i="1"/>
  <c r="AK1924" i="1"/>
  <c r="AI1924" i="1"/>
  <c r="AH1924" i="1"/>
  <c r="AG1924" i="1"/>
  <c r="AK1923" i="1"/>
  <c r="AI1923" i="1"/>
  <c r="AH1923" i="1"/>
  <c r="AG1923" i="1"/>
  <c r="AK1922" i="1"/>
  <c r="AI1922" i="1"/>
  <c r="AH1922" i="1"/>
  <c r="AG1922" i="1"/>
  <c r="S1922" i="1" s="1"/>
  <c r="AQ1922" i="1" s="1"/>
  <c r="AL1922" i="1" s="1"/>
  <c r="AK1921" i="1"/>
  <c r="AI1921" i="1"/>
  <c r="AH1921" i="1"/>
  <c r="AK1920" i="1"/>
  <c r="AI1920" i="1"/>
  <c r="AH1920" i="1"/>
  <c r="AG1920" i="1"/>
  <c r="AK1919" i="1"/>
  <c r="AK1918" i="1"/>
  <c r="AK1917" i="1"/>
  <c r="AI1917" i="1"/>
  <c r="AH1917" i="1"/>
  <c r="AK1916" i="1"/>
  <c r="AI1916" i="1"/>
  <c r="AH1916" i="1"/>
  <c r="S1916" i="1" s="1"/>
  <c r="AT1916" i="1" s="1"/>
  <c r="AO1916" i="1" s="1"/>
  <c r="AK1915" i="1"/>
  <c r="S1915" i="1" s="1"/>
  <c r="AT1915" i="1" s="1"/>
  <c r="AO1915" i="1" s="1"/>
  <c r="AI1915" i="1"/>
  <c r="AH1915" i="1"/>
  <c r="AG1915" i="1"/>
  <c r="AK1914" i="1"/>
  <c r="AI1914" i="1"/>
  <c r="AH1914" i="1"/>
  <c r="AK1913" i="1"/>
  <c r="AI1913" i="1"/>
  <c r="AH1913" i="1"/>
  <c r="AG1913" i="1"/>
  <c r="AK1912" i="1"/>
  <c r="AI1912" i="1"/>
  <c r="AH1912" i="1"/>
  <c r="AG1912" i="1"/>
  <c r="AK1911" i="1"/>
  <c r="AI1911" i="1"/>
  <c r="S1911" i="1" s="1"/>
  <c r="AS1911" i="1" s="1"/>
  <c r="AN1911" i="1" s="1"/>
  <c r="AH1911" i="1"/>
  <c r="AK1910" i="1"/>
  <c r="AI1910" i="1"/>
  <c r="AH1910" i="1"/>
  <c r="AK1909" i="1"/>
  <c r="AI1909" i="1"/>
  <c r="AH1909" i="1"/>
  <c r="AK1908" i="1"/>
  <c r="AI1908" i="1"/>
  <c r="AH1908" i="1"/>
  <c r="AK1907" i="1"/>
  <c r="AK1906" i="1"/>
  <c r="AK1905" i="1"/>
  <c r="AI1905" i="1"/>
  <c r="AH1905" i="1"/>
  <c r="S1905" i="1" s="1"/>
  <c r="AQ1905" i="1" s="1"/>
  <c r="AL1905" i="1" s="1"/>
  <c r="AK1904" i="1"/>
  <c r="S1904" i="1" s="1"/>
  <c r="AQ1904" i="1" s="1"/>
  <c r="AL1904" i="1" s="1"/>
  <c r="AI1904" i="1"/>
  <c r="AH1904" i="1"/>
  <c r="AK1903" i="1"/>
  <c r="AI1903" i="1"/>
  <c r="AH1903" i="1"/>
  <c r="AK1902" i="1"/>
  <c r="AI1902" i="1"/>
  <c r="AH1902" i="1"/>
  <c r="AG1902" i="1"/>
  <c r="AK1901" i="1"/>
  <c r="AI1901" i="1"/>
  <c r="AH1901" i="1"/>
  <c r="AK1900" i="1"/>
  <c r="AK1899" i="1"/>
  <c r="AK1898" i="1"/>
  <c r="AI1898" i="1"/>
  <c r="S1898" i="1" s="1"/>
  <c r="AS1898" i="1" s="1"/>
  <c r="AN1898" i="1" s="1"/>
  <c r="AK1897" i="1"/>
  <c r="AI1897" i="1"/>
  <c r="AK1896" i="1"/>
  <c r="AI1896" i="1"/>
  <c r="AH1896" i="1"/>
  <c r="AK1895" i="1"/>
  <c r="AI1895" i="1"/>
  <c r="AH1895" i="1"/>
  <c r="AK1894" i="1"/>
  <c r="AI1894" i="1"/>
  <c r="AH1894" i="1"/>
  <c r="AG1894" i="1"/>
  <c r="AK1893" i="1"/>
  <c r="AI1893" i="1"/>
  <c r="AH1893" i="1"/>
  <c r="AG1893" i="1"/>
  <c r="S1893" i="1" s="1"/>
  <c r="AR1893" i="1" s="1"/>
  <c r="AM1893" i="1" s="1"/>
  <c r="AK1892" i="1"/>
  <c r="AI1892" i="1"/>
  <c r="AH1892" i="1"/>
  <c r="AG1892" i="1"/>
  <c r="AK1891" i="1"/>
  <c r="AI1891" i="1"/>
  <c r="AH1891" i="1"/>
  <c r="AG1891" i="1"/>
  <c r="AK1890" i="1"/>
  <c r="AI1890" i="1"/>
  <c r="AH1890" i="1"/>
  <c r="AK1889" i="1"/>
  <c r="AI1889" i="1"/>
  <c r="AH1889" i="1"/>
  <c r="AK1888" i="1"/>
  <c r="AI1888" i="1"/>
  <c r="S1888" i="1" s="1"/>
  <c r="AQ1888" i="1" s="1"/>
  <c r="AL1888" i="1" s="1"/>
  <c r="AH1888" i="1"/>
  <c r="AK1887" i="1"/>
  <c r="AK1886" i="1"/>
  <c r="AK1885" i="1"/>
  <c r="AI1885" i="1"/>
  <c r="AH1885" i="1"/>
  <c r="AK1884" i="1"/>
  <c r="AI1884" i="1"/>
  <c r="AH1884" i="1"/>
  <c r="AK1883" i="1"/>
  <c r="AI1883" i="1"/>
  <c r="AH1883" i="1"/>
  <c r="AK1882" i="1"/>
  <c r="AI1882" i="1"/>
  <c r="AH1882" i="1"/>
  <c r="AG1882" i="1"/>
  <c r="S1882" i="1" s="1"/>
  <c r="AS1882" i="1" s="1"/>
  <c r="AN1882" i="1" s="1"/>
  <c r="AK1880" i="1"/>
  <c r="AK1879" i="1"/>
  <c r="AK1878" i="1"/>
  <c r="AI1878" i="1"/>
  <c r="AH1878" i="1"/>
  <c r="AK1877" i="1"/>
  <c r="AI1877" i="1"/>
  <c r="AH1877" i="1"/>
  <c r="AK1876" i="1"/>
  <c r="AI1876" i="1"/>
  <c r="AH1876" i="1"/>
  <c r="AG1876" i="1"/>
  <c r="AK1875" i="1"/>
  <c r="AI1875" i="1"/>
  <c r="AH1875" i="1"/>
  <c r="AG1875" i="1"/>
  <c r="S1875" i="1" s="1"/>
  <c r="AR1875" i="1" s="1"/>
  <c r="AM1875" i="1" s="1"/>
  <c r="AK1874" i="1"/>
  <c r="AI1874" i="1"/>
  <c r="AH1874" i="1"/>
  <c r="AK1873" i="1"/>
  <c r="AI1873" i="1"/>
  <c r="AH1873" i="1"/>
  <c r="AK1872" i="1"/>
  <c r="AI1872" i="1"/>
  <c r="AH1872" i="1"/>
  <c r="AK1871" i="1"/>
  <c r="AI1871" i="1"/>
  <c r="AH1871" i="1"/>
  <c r="AK1870" i="1"/>
  <c r="AI1870" i="1"/>
  <c r="AH1870" i="1"/>
  <c r="AG1870" i="1"/>
  <c r="S1870" i="1" s="1"/>
  <c r="AT1870" i="1" s="1"/>
  <c r="AO1870" i="1" s="1"/>
  <c r="AK1869" i="1"/>
  <c r="AI1869" i="1"/>
  <c r="AH1869" i="1"/>
  <c r="AG1869" i="1"/>
  <c r="AK1868" i="1"/>
  <c r="AI1868" i="1"/>
  <c r="AH1868" i="1"/>
  <c r="AK1867" i="1"/>
  <c r="AI1867" i="1"/>
  <c r="AH1867" i="1"/>
  <c r="AG1867" i="1"/>
  <c r="AK1866" i="1"/>
  <c r="AI1866" i="1"/>
  <c r="AH1866" i="1"/>
  <c r="AG1866" i="1"/>
  <c r="AK1865" i="1"/>
  <c r="S1865" i="1" s="1"/>
  <c r="AS1865" i="1" s="1"/>
  <c r="AN1865" i="1" s="1"/>
  <c r="AI1865" i="1"/>
  <c r="AH1865" i="1"/>
  <c r="AG1865" i="1"/>
  <c r="AK1864" i="1"/>
  <c r="AI1864" i="1"/>
  <c r="AH1864" i="1"/>
  <c r="AG1864" i="1"/>
  <c r="S1864" i="1" s="1"/>
  <c r="AS1864" i="1" s="1"/>
  <c r="AN1864" i="1" s="1"/>
  <c r="AK1863" i="1"/>
  <c r="AI1863" i="1"/>
  <c r="AH1863" i="1"/>
  <c r="AG1863" i="1"/>
  <c r="AK1862" i="1"/>
  <c r="AI1862" i="1"/>
  <c r="AH1862" i="1"/>
  <c r="AG1862" i="1"/>
  <c r="S1862" i="1" s="1"/>
  <c r="AR1862" i="1" s="1"/>
  <c r="AM1862" i="1" s="1"/>
  <c r="AK1861" i="1"/>
  <c r="S1861" i="1" s="1"/>
  <c r="AR1861" i="1" s="1"/>
  <c r="AM1861" i="1" s="1"/>
  <c r="AK1860" i="1"/>
  <c r="AI1860" i="1"/>
  <c r="AH1860" i="1"/>
  <c r="AG1860" i="1"/>
  <c r="AK1859" i="1"/>
  <c r="AI1859" i="1"/>
  <c r="AH1859" i="1"/>
  <c r="AK1858" i="1"/>
  <c r="S1858" i="1" s="1"/>
  <c r="AQ1858" i="1" s="1"/>
  <c r="AL1858" i="1" s="1"/>
  <c r="AK1857" i="1"/>
  <c r="AI1857" i="1"/>
  <c r="AH1857" i="1"/>
  <c r="AG1857" i="1"/>
  <c r="S1857" i="1" s="1"/>
  <c r="AK1856" i="1"/>
  <c r="AI1856" i="1"/>
  <c r="AH1856" i="1"/>
  <c r="S1856" i="1" s="1"/>
  <c r="AK1855" i="1"/>
  <c r="AK1854" i="1"/>
  <c r="AK1853" i="1"/>
  <c r="AI1853" i="1"/>
  <c r="AH1853" i="1"/>
  <c r="AK1852" i="1"/>
  <c r="AI1852" i="1"/>
  <c r="AK1851" i="1"/>
  <c r="AK1850" i="1"/>
  <c r="AI1850" i="1"/>
  <c r="AH1850" i="1"/>
  <c r="AG1850" i="1"/>
  <c r="AK1849" i="1"/>
  <c r="AK1848" i="1"/>
  <c r="AI1848" i="1"/>
  <c r="AK1847" i="1"/>
  <c r="AI1847" i="1"/>
  <c r="AH1847" i="1"/>
  <c r="AK1846" i="1"/>
  <c r="AI1846" i="1"/>
  <c r="AH1846" i="1"/>
  <c r="AG1846" i="1"/>
  <c r="AK1845" i="1"/>
  <c r="AI1845" i="1"/>
  <c r="AH1845" i="1"/>
  <c r="AG1845" i="1"/>
  <c r="AK1844" i="1"/>
  <c r="AI1844" i="1"/>
  <c r="AH1844" i="1"/>
  <c r="AG1844" i="1"/>
  <c r="AK1843" i="1"/>
  <c r="AI1843" i="1"/>
  <c r="AH1843" i="1"/>
  <c r="AG1843" i="1"/>
  <c r="AK1842" i="1"/>
  <c r="AI1842" i="1"/>
  <c r="AH1842" i="1"/>
  <c r="AG1842" i="1"/>
  <c r="AK1841" i="1"/>
  <c r="AI1841" i="1"/>
  <c r="AH1841" i="1"/>
  <c r="AG1841" i="1"/>
  <c r="AK1840" i="1"/>
  <c r="AK1839" i="1"/>
  <c r="AK1838" i="1"/>
  <c r="AK1837" i="1"/>
  <c r="AI1837" i="1"/>
  <c r="AK1836" i="1"/>
  <c r="AI1836" i="1"/>
  <c r="AH1836" i="1"/>
  <c r="AK1835" i="1"/>
  <c r="AI1835" i="1"/>
  <c r="AH1835" i="1"/>
  <c r="AG1835" i="1"/>
  <c r="AK1834" i="1"/>
  <c r="AI1834" i="1"/>
  <c r="AH1834" i="1"/>
  <c r="AG1834" i="1"/>
  <c r="AK1833" i="1"/>
  <c r="AI1833" i="1"/>
  <c r="AH1833" i="1"/>
  <c r="AG1833" i="1"/>
  <c r="BA5" i="6"/>
  <c r="AX5" i="6"/>
  <c r="V24" i="6"/>
  <c r="V25" i="6"/>
  <c r="V26" i="6"/>
  <c r="V27" i="6"/>
  <c r="V28" i="6"/>
  <c r="V23" i="6"/>
  <c r="S1912" i="1"/>
  <c r="AS1912" i="1" s="1"/>
  <c r="AN1912" i="1" s="1"/>
  <c r="S1866" i="1"/>
  <c r="AS1866" i="1" s="1"/>
  <c r="AN1866" i="1" s="1"/>
  <c r="BA5" i="5"/>
  <c r="AX5" i="5"/>
  <c r="V21" i="5"/>
  <c r="V22" i="5"/>
  <c r="V23" i="5"/>
  <c r="V24" i="5"/>
  <c r="V20" i="5"/>
  <c r="S24" i="5"/>
  <c r="S23" i="5"/>
  <c r="S22" i="5"/>
  <c r="S21" i="5"/>
  <c r="S20" i="5"/>
  <c r="S28" i="6"/>
  <c r="S27" i="6"/>
  <c r="S26" i="6"/>
  <c r="S25" i="6"/>
  <c r="S24" i="6"/>
  <c r="S23" i="6"/>
  <c r="BA5" i="7"/>
  <c r="AX5" i="7"/>
  <c r="V42" i="7"/>
  <c r="V43" i="7"/>
  <c r="V44" i="7"/>
  <c r="V45" i="7"/>
  <c r="V46" i="7"/>
  <c r="V47" i="7"/>
  <c r="V48" i="7"/>
  <c r="V49" i="7"/>
  <c r="V50" i="7"/>
  <c r="V51" i="7"/>
  <c r="V52" i="7"/>
  <c r="V53" i="7"/>
  <c r="V41" i="7"/>
  <c r="S53" i="7"/>
  <c r="S52" i="7"/>
  <c r="S51" i="7"/>
  <c r="S50" i="7"/>
  <c r="S49" i="7"/>
  <c r="S48" i="7"/>
  <c r="S47" i="7"/>
  <c r="S46" i="7"/>
  <c r="S45" i="7"/>
  <c r="S44" i="7"/>
  <c r="S43" i="7"/>
  <c r="S42" i="7"/>
  <c r="S41" i="7"/>
  <c r="BA5" i="8"/>
  <c r="AX5" i="8"/>
  <c r="V51" i="8"/>
  <c r="V52" i="8"/>
  <c r="V53" i="8"/>
  <c r="V54" i="8"/>
  <c r="V55" i="8"/>
  <c r="V56" i="8"/>
  <c r="V57" i="8"/>
  <c r="V58" i="8"/>
  <c r="V59" i="8"/>
  <c r="V60" i="8"/>
  <c r="V61" i="8"/>
  <c r="V62" i="8"/>
  <c r="V63" i="8"/>
  <c r="V64" i="8"/>
  <c r="V65" i="8"/>
  <c r="V50" i="8"/>
  <c r="S65" i="8"/>
  <c r="S64" i="8"/>
  <c r="S63" i="8"/>
  <c r="S62" i="8"/>
  <c r="S61" i="8"/>
  <c r="S60" i="8"/>
  <c r="S59" i="8"/>
  <c r="S58" i="8"/>
  <c r="S57" i="8"/>
  <c r="S56" i="8"/>
  <c r="S55" i="8"/>
  <c r="S54" i="8"/>
  <c r="S53" i="8"/>
  <c r="S52" i="8"/>
  <c r="S51" i="8"/>
  <c r="S50" i="8"/>
  <c r="AU1833" i="1"/>
  <c r="AP1833" i="1" s="1"/>
  <c r="AU1834" i="1"/>
  <c r="AP1834" i="1" s="1"/>
  <c r="AU1835" i="1"/>
  <c r="AP1835" i="1" s="1"/>
  <c r="AU1836" i="1"/>
  <c r="AP1836" i="1" s="1"/>
  <c r="AU1837" i="1"/>
  <c r="AU1838" i="1"/>
  <c r="AP1838" i="1" s="1"/>
  <c r="AU1839" i="1"/>
  <c r="AP1839" i="1" s="1"/>
  <c r="AU1840" i="1"/>
  <c r="AP1840" i="1" s="1"/>
  <c r="AU1841" i="1"/>
  <c r="AP1841" i="1" s="1"/>
  <c r="AU1842" i="1"/>
  <c r="AP1842" i="1" s="1"/>
  <c r="AU1843" i="1"/>
  <c r="AP1843" i="1" s="1"/>
  <c r="AU1844" i="1"/>
  <c r="AP1844" i="1" s="1"/>
  <c r="AU1845" i="1"/>
  <c r="AP1845" i="1" s="1"/>
  <c r="AU1846" i="1"/>
  <c r="AP1846" i="1" s="1"/>
  <c r="AU1847" i="1"/>
  <c r="AP1847" i="1" s="1"/>
  <c r="AU1848" i="1"/>
  <c r="AP1848" i="1" s="1"/>
  <c r="AU1849" i="1"/>
  <c r="AP1849" i="1" s="1"/>
  <c r="AU1850" i="1"/>
  <c r="AP1850" i="1" s="1"/>
  <c r="AU1851" i="1"/>
  <c r="AP1851" i="1" s="1"/>
  <c r="AU1852" i="1"/>
  <c r="AP1852" i="1" s="1"/>
  <c r="AU1853" i="1"/>
  <c r="AP1853" i="1" s="1"/>
  <c r="AU1854" i="1"/>
  <c r="AP1854" i="1" s="1"/>
  <c r="AU1855" i="1"/>
  <c r="AP1855" i="1" s="1"/>
  <c r="AU1856" i="1"/>
  <c r="AP1856" i="1" s="1"/>
  <c r="AU1857" i="1"/>
  <c r="AP1857" i="1" s="1"/>
  <c r="AU1858" i="1"/>
  <c r="AP1858" i="1" s="1"/>
  <c r="AU1859" i="1"/>
  <c r="AP1859" i="1" s="1"/>
  <c r="AU1860" i="1"/>
  <c r="AP1860" i="1" s="1"/>
  <c r="AU1861" i="1"/>
  <c r="AP1861" i="1" s="1"/>
  <c r="AU1862" i="1"/>
  <c r="AP1862" i="1" s="1"/>
  <c r="AU1863" i="1"/>
  <c r="AP1863" i="1" s="1"/>
  <c r="AU1864" i="1"/>
  <c r="AP1864" i="1" s="1"/>
  <c r="AU1865" i="1"/>
  <c r="AP1865" i="1" s="1"/>
  <c r="AU1866" i="1"/>
  <c r="AP1866" i="1" s="1"/>
  <c r="AU1867" i="1"/>
  <c r="AP1867" i="1" s="1"/>
  <c r="AU1868" i="1"/>
  <c r="AP1868" i="1" s="1"/>
  <c r="AU1869" i="1"/>
  <c r="AP1869" i="1" s="1"/>
  <c r="AU1870" i="1"/>
  <c r="AP1870" i="1" s="1"/>
  <c r="AU1871" i="1"/>
  <c r="AP1871" i="1" s="1"/>
  <c r="AU1872" i="1"/>
  <c r="AP1872" i="1" s="1"/>
  <c r="AU1873" i="1"/>
  <c r="AP1873" i="1" s="1"/>
  <c r="AU1874" i="1"/>
  <c r="AP1874" i="1" s="1"/>
  <c r="AU1875" i="1"/>
  <c r="AP1875" i="1" s="1"/>
  <c r="AU1876" i="1"/>
  <c r="AP1876" i="1" s="1"/>
  <c r="AU1877" i="1"/>
  <c r="AP1877" i="1" s="1"/>
  <c r="AU1878" i="1"/>
  <c r="AP1878" i="1" s="1"/>
  <c r="AU1879" i="1"/>
  <c r="AP1879" i="1" s="1"/>
  <c r="AU1880" i="1"/>
  <c r="AP1880" i="1" s="1"/>
  <c r="AU1881" i="1"/>
  <c r="AP1881" i="1" s="1"/>
  <c r="AU1882" i="1"/>
  <c r="AP1882" i="1" s="1"/>
  <c r="AU1883" i="1"/>
  <c r="AP1883" i="1" s="1"/>
  <c r="AU1884" i="1"/>
  <c r="AP1884" i="1" s="1"/>
  <c r="AU1885" i="1"/>
  <c r="AP1885" i="1" s="1"/>
  <c r="AU1886" i="1"/>
  <c r="AP1886" i="1" s="1"/>
  <c r="AU1887" i="1"/>
  <c r="AP1887" i="1" s="1"/>
  <c r="AU1888" i="1"/>
  <c r="AP1888" i="1" s="1"/>
  <c r="AU1889" i="1"/>
  <c r="AP1889" i="1" s="1"/>
  <c r="AU1890" i="1"/>
  <c r="AP1890" i="1" s="1"/>
  <c r="AU1891" i="1"/>
  <c r="AP1891" i="1" s="1"/>
  <c r="AU1892" i="1"/>
  <c r="AP1892" i="1" s="1"/>
  <c r="AU1893" i="1"/>
  <c r="AP1893" i="1" s="1"/>
  <c r="AU1894" i="1"/>
  <c r="AP1894" i="1" s="1"/>
  <c r="AU1895" i="1"/>
  <c r="AP1895" i="1" s="1"/>
  <c r="AU1896" i="1"/>
  <c r="AP1896" i="1" s="1"/>
  <c r="AU1897" i="1"/>
  <c r="AP1897" i="1" s="1"/>
  <c r="AU1898" i="1"/>
  <c r="AP1898" i="1" s="1"/>
  <c r="AU1899" i="1"/>
  <c r="AP1899" i="1" s="1"/>
  <c r="AU1900" i="1"/>
  <c r="AP1900" i="1" s="1"/>
  <c r="AU1901" i="1"/>
  <c r="AP1901" i="1" s="1"/>
  <c r="AU1902" i="1"/>
  <c r="AP1902" i="1" s="1"/>
  <c r="AU1903" i="1"/>
  <c r="AP1903" i="1" s="1"/>
  <c r="AU1904" i="1"/>
  <c r="AP1904" i="1" s="1"/>
  <c r="AU1905" i="1"/>
  <c r="AP1905" i="1" s="1"/>
  <c r="AU1906" i="1"/>
  <c r="AP1906" i="1" s="1"/>
  <c r="AU1907" i="1"/>
  <c r="AP1907" i="1" s="1"/>
  <c r="AU1908" i="1"/>
  <c r="AP1908" i="1" s="1"/>
  <c r="AU1909" i="1"/>
  <c r="AP1909" i="1" s="1"/>
  <c r="AU1910" i="1"/>
  <c r="AP1910" i="1" s="1"/>
  <c r="AU1911" i="1"/>
  <c r="AP1911" i="1" s="1"/>
  <c r="AU1912" i="1"/>
  <c r="AP1912" i="1" s="1"/>
  <c r="AU1913" i="1"/>
  <c r="AP1913" i="1" s="1"/>
  <c r="AU1914" i="1"/>
  <c r="AP1914" i="1" s="1"/>
  <c r="AU1915" i="1"/>
  <c r="AP1915" i="1" s="1"/>
  <c r="AU1916" i="1"/>
  <c r="AP1916" i="1" s="1"/>
  <c r="AU1917" i="1"/>
  <c r="AP1917" i="1" s="1"/>
  <c r="AU1918" i="1"/>
  <c r="AP1918" i="1" s="1"/>
  <c r="AU1919" i="1"/>
  <c r="AP1919" i="1" s="1"/>
  <c r="AU1920" i="1"/>
  <c r="AP1920" i="1" s="1"/>
  <c r="AU1921" i="1"/>
  <c r="AP1921" i="1" s="1"/>
  <c r="AU1922" i="1"/>
  <c r="AP1922" i="1" s="1"/>
  <c r="AU1923" i="1"/>
  <c r="AP1923" i="1" s="1"/>
  <c r="AU1924" i="1"/>
  <c r="AP1924" i="1" s="1"/>
  <c r="AU1925" i="1"/>
  <c r="AP1925" i="1" s="1"/>
  <c r="AU1926" i="1"/>
  <c r="AP1926" i="1" s="1"/>
  <c r="AU1927" i="1"/>
  <c r="AP1927" i="1" s="1"/>
  <c r="AU1928" i="1"/>
  <c r="AP1928" i="1" s="1"/>
  <c r="AU1929" i="1"/>
  <c r="AP1929" i="1" s="1"/>
  <c r="AU1930" i="1"/>
  <c r="AP1930" i="1" s="1"/>
  <c r="AU1931" i="1"/>
  <c r="AP1931" i="1" s="1"/>
  <c r="AU1932" i="1"/>
  <c r="AP1932" i="1" s="1"/>
  <c r="AU1933" i="1"/>
  <c r="AP1933" i="1" s="1"/>
  <c r="AU1934" i="1"/>
  <c r="AP1934" i="1" s="1"/>
  <c r="AU1935" i="1"/>
  <c r="AP1935" i="1" s="1"/>
  <c r="AU1936" i="1"/>
  <c r="AP1936" i="1" s="1"/>
  <c r="AU1937" i="1"/>
  <c r="AP1937" i="1" s="1"/>
  <c r="AU1938" i="1"/>
  <c r="AP1938" i="1" s="1"/>
  <c r="AU1939" i="1"/>
  <c r="AP1939" i="1" s="1"/>
  <c r="AU1940" i="1"/>
  <c r="AP1940" i="1" s="1"/>
  <c r="AU1941" i="1"/>
  <c r="AP1941" i="1" s="1"/>
  <c r="AU1942" i="1"/>
  <c r="AP1942" i="1" s="1"/>
  <c r="AU1943" i="1"/>
  <c r="AP1943" i="1" s="1"/>
  <c r="AU1944" i="1"/>
  <c r="AP1944" i="1" s="1"/>
  <c r="AU1945" i="1"/>
  <c r="AP1945" i="1" s="1"/>
  <c r="AU1946" i="1"/>
  <c r="AP1946" i="1" s="1"/>
  <c r="AU1947" i="1"/>
  <c r="AP1947" i="1" s="1"/>
  <c r="AU1948" i="1"/>
  <c r="AP1948" i="1" s="1"/>
  <c r="AU1949" i="1"/>
  <c r="AP1949" i="1" s="1"/>
  <c r="AU1950" i="1"/>
  <c r="AP1950" i="1" s="1"/>
  <c r="AU1951" i="1"/>
  <c r="AP1951" i="1" s="1"/>
  <c r="AU1952" i="1"/>
  <c r="AP1952" i="1" s="1"/>
  <c r="AU1953" i="1"/>
  <c r="AP1953" i="1" s="1"/>
  <c r="AU1954" i="1"/>
  <c r="AP1954" i="1" s="1"/>
  <c r="AU1955" i="1"/>
  <c r="AP1955" i="1" s="1"/>
  <c r="AU1956" i="1"/>
  <c r="AP1956" i="1" s="1"/>
  <c r="AU1957" i="1"/>
  <c r="AP1957" i="1" s="1"/>
  <c r="AU1958" i="1"/>
  <c r="AP1958" i="1" s="1"/>
  <c r="AU1959" i="1"/>
  <c r="AP1959" i="1" s="1"/>
  <c r="AU1960" i="1"/>
  <c r="AP1960" i="1" s="1"/>
  <c r="AU1961" i="1"/>
  <c r="AP1961" i="1" s="1"/>
  <c r="AU1962" i="1"/>
  <c r="AP1962" i="1" s="1"/>
  <c r="AU1963" i="1"/>
  <c r="AP1963" i="1" s="1"/>
  <c r="AU1964" i="1"/>
  <c r="AP1964" i="1" s="1"/>
  <c r="AU1965" i="1"/>
  <c r="AP1965" i="1" s="1"/>
  <c r="AU1966" i="1"/>
  <c r="AP1966" i="1" s="1"/>
  <c r="AU1967" i="1"/>
  <c r="AP1967" i="1" s="1"/>
  <c r="AU1968" i="1"/>
  <c r="AP1968" i="1" s="1"/>
  <c r="AU1969" i="1"/>
  <c r="AP1969" i="1" s="1"/>
  <c r="AU1970" i="1"/>
  <c r="AP1970" i="1" s="1"/>
  <c r="AU1971" i="1"/>
  <c r="AP1971" i="1" s="1"/>
  <c r="AU1972" i="1"/>
  <c r="AP1972" i="1" s="1"/>
  <c r="AU1973" i="1"/>
  <c r="AP1973" i="1" s="1"/>
  <c r="AU1974" i="1"/>
  <c r="AP1974" i="1" s="1"/>
  <c r="AU1975" i="1"/>
  <c r="AP1975" i="1" s="1"/>
  <c r="AU1976" i="1"/>
  <c r="AP1976" i="1" s="1"/>
  <c r="AU1977" i="1"/>
  <c r="AP1977" i="1" s="1"/>
  <c r="AU1978" i="1"/>
  <c r="AP1978" i="1" s="1"/>
  <c r="AU1979" i="1"/>
  <c r="AP1979" i="1" s="1"/>
  <c r="AU1980" i="1"/>
  <c r="AP1980" i="1" s="1"/>
  <c r="AP1837"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U1833" i="1"/>
  <c r="W1833" i="1" s="1"/>
  <c r="U1834" i="1"/>
  <c r="W1834" i="1" s="1"/>
  <c r="U1835" i="1"/>
  <c r="W1835" i="1" s="1"/>
  <c r="U1836" i="1"/>
  <c r="W1836" i="1" s="1"/>
  <c r="U1837" i="1"/>
  <c r="W1837" i="1" s="1"/>
  <c r="U1838" i="1"/>
  <c r="W1838" i="1" s="1"/>
  <c r="U1839" i="1"/>
  <c r="W1839" i="1" s="1"/>
  <c r="U1840" i="1"/>
  <c r="W1840" i="1" s="1"/>
  <c r="U1841" i="1"/>
  <c r="W1841" i="1" s="1"/>
  <c r="U1842" i="1"/>
  <c r="W1842" i="1" s="1"/>
  <c r="U1843" i="1"/>
  <c r="W1843" i="1" s="1"/>
  <c r="U1844" i="1"/>
  <c r="W1844" i="1" s="1"/>
  <c r="U1845" i="1"/>
  <c r="W1845" i="1" s="1"/>
  <c r="U1846" i="1"/>
  <c r="W1846" i="1" s="1"/>
  <c r="U1847" i="1"/>
  <c r="W1847" i="1" s="1"/>
  <c r="U1848" i="1"/>
  <c r="W1848" i="1" s="1"/>
  <c r="U1849" i="1"/>
  <c r="W1849" i="1" s="1"/>
  <c r="U1868" i="1"/>
  <c r="W1868" i="1" s="1"/>
  <c r="U1869" i="1"/>
  <c r="W1869" i="1" s="1"/>
  <c r="U1870" i="1"/>
  <c r="W1870" i="1" s="1"/>
  <c r="U1871" i="1"/>
  <c r="W1871" i="1" s="1"/>
  <c r="U1872" i="1"/>
  <c r="W1872" i="1" s="1"/>
  <c r="U1873" i="1"/>
  <c r="W1873" i="1" s="1"/>
  <c r="U1874" i="1"/>
  <c r="W1874" i="1" s="1"/>
  <c r="U1875" i="1"/>
  <c r="W1875" i="1" s="1"/>
  <c r="U1876" i="1"/>
  <c r="W1876" i="1" s="1"/>
  <c r="U1877" i="1"/>
  <c r="W1877" i="1" s="1"/>
  <c r="U1881" i="1"/>
  <c r="W1881" i="1" s="1"/>
  <c r="U1882" i="1"/>
  <c r="W1882" i="1" s="1"/>
  <c r="U1883" i="1"/>
  <c r="W1883" i="1" s="1"/>
  <c r="U1884" i="1"/>
  <c r="W1884" i="1" s="1"/>
  <c r="U1888" i="1"/>
  <c r="W1888" i="1" s="1"/>
  <c r="U1889" i="1"/>
  <c r="W1889" i="1" s="1"/>
  <c r="U1890" i="1"/>
  <c r="W1890" i="1" s="1"/>
  <c r="U1891" i="1"/>
  <c r="W1891" i="1" s="1"/>
  <c r="U1892" i="1"/>
  <c r="W1892" i="1" s="1"/>
  <c r="U1893" i="1"/>
  <c r="W1893" i="1" s="1"/>
  <c r="U1894" i="1"/>
  <c r="W1894" i="1" s="1"/>
  <c r="U1895" i="1"/>
  <c r="W1895" i="1" s="1"/>
  <c r="U1896" i="1"/>
  <c r="W1896" i="1" s="1"/>
  <c r="U1897" i="1"/>
  <c r="W1897" i="1" s="1"/>
  <c r="U1901" i="1"/>
  <c r="W1901" i="1" s="1"/>
  <c r="U1902" i="1"/>
  <c r="W1902" i="1" s="1"/>
  <c r="U1903" i="1"/>
  <c r="W1903" i="1" s="1"/>
  <c r="U1904" i="1"/>
  <c r="W1904" i="1" s="1"/>
  <c r="U1908" i="1"/>
  <c r="W1908" i="1" s="1"/>
  <c r="U1909" i="1"/>
  <c r="W1909" i="1" s="1"/>
  <c r="U1910" i="1"/>
  <c r="W1910" i="1" s="1"/>
  <c r="U1911" i="1"/>
  <c r="W1911" i="1" s="1"/>
  <c r="U1912" i="1"/>
  <c r="W1912" i="1" s="1"/>
  <c r="U1913" i="1"/>
  <c r="W1913" i="1" s="1"/>
  <c r="U1914" i="1"/>
  <c r="W1914" i="1" s="1"/>
  <c r="U1915" i="1"/>
  <c r="W1915" i="1" s="1"/>
  <c r="U1916" i="1"/>
  <c r="W1916" i="1" s="1"/>
  <c r="U1920" i="1"/>
  <c r="W1920" i="1" s="1"/>
  <c r="U1921" i="1"/>
  <c r="W1921" i="1" s="1"/>
  <c r="U1922" i="1"/>
  <c r="W1922" i="1" s="1"/>
  <c r="U1923" i="1"/>
  <c r="W1923" i="1" s="1"/>
  <c r="U1924" i="1"/>
  <c r="W1924" i="1" s="1"/>
  <c r="U1925" i="1"/>
  <c r="W1925" i="1" s="1"/>
  <c r="U1926" i="1"/>
  <c r="W1926" i="1" s="1"/>
  <c r="U1927" i="1"/>
  <c r="W1927" i="1" s="1"/>
  <c r="U1928" i="1"/>
  <c r="W1928" i="1" s="1"/>
  <c r="U1929" i="1"/>
  <c r="W1929" i="1" s="1"/>
  <c r="U1930" i="1"/>
  <c r="W1930" i="1" s="1"/>
  <c r="U1931" i="1"/>
  <c r="W1931" i="1" s="1"/>
  <c r="U1932" i="1"/>
  <c r="W1932" i="1" s="1"/>
  <c r="U1936" i="1"/>
  <c r="W1936" i="1" s="1"/>
  <c r="U1937" i="1"/>
  <c r="W1937" i="1" s="1"/>
  <c r="U1938" i="1"/>
  <c r="W1938" i="1" s="1"/>
  <c r="U1939" i="1"/>
  <c r="W1939" i="1" s="1"/>
  <c r="U1943" i="1"/>
  <c r="W1943" i="1" s="1"/>
  <c r="U1944" i="1"/>
  <c r="W1944" i="1" s="1"/>
  <c r="U1945" i="1"/>
  <c r="W1945" i="1" s="1"/>
  <c r="U1946" i="1"/>
  <c r="W1946" i="1" s="1"/>
  <c r="U1947" i="1"/>
  <c r="W1947" i="1" s="1"/>
  <c r="U1948" i="1"/>
  <c r="W1948" i="1" s="1"/>
  <c r="U1949" i="1"/>
  <c r="W1949" i="1" s="1"/>
  <c r="U1950" i="1"/>
  <c r="W1950" i="1" s="1"/>
  <c r="U1951" i="1"/>
  <c r="W1951" i="1" s="1"/>
  <c r="U1952" i="1"/>
  <c r="W1952" i="1" s="1"/>
  <c r="U1956" i="1"/>
  <c r="W1956" i="1" s="1"/>
  <c r="U1957" i="1"/>
  <c r="W1957" i="1" s="1"/>
  <c r="U1958" i="1"/>
  <c r="W1958" i="1" s="1"/>
  <c r="U1959" i="1"/>
  <c r="W1959" i="1" s="1"/>
  <c r="U1963" i="1"/>
  <c r="W1963" i="1" s="1"/>
  <c r="U1964" i="1"/>
  <c r="W1964" i="1" s="1"/>
  <c r="U1965" i="1"/>
  <c r="W1965" i="1" s="1"/>
  <c r="U1966" i="1"/>
  <c r="W1966" i="1" s="1"/>
  <c r="U1967" i="1"/>
  <c r="W1967" i="1" s="1"/>
  <c r="U1968" i="1"/>
  <c r="W1968" i="1" s="1"/>
  <c r="U1969" i="1"/>
  <c r="W1969" i="1" s="1"/>
  <c r="U1970" i="1"/>
  <c r="W1970" i="1" s="1"/>
  <c r="U1971" i="1"/>
  <c r="W1971" i="1" s="1"/>
  <c r="U1975" i="1"/>
  <c r="W1975" i="1" s="1"/>
  <c r="U1976" i="1"/>
  <c r="W1976" i="1" s="1"/>
  <c r="U1977" i="1"/>
  <c r="W1977" i="1" s="1"/>
  <c r="S1833" i="1"/>
  <c r="AS1833" i="1" s="1"/>
  <c r="AN1833" i="1" s="1"/>
  <c r="S1834" i="1"/>
  <c r="AS1834" i="1" s="1"/>
  <c r="AN1834" i="1" s="1"/>
  <c r="S1835" i="1"/>
  <c r="AT1835" i="1" s="1"/>
  <c r="AO1835" i="1" s="1"/>
  <c r="S1836" i="1"/>
  <c r="AT1836" i="1" s="1"/>
  <c r="AO1836" i="1" s="1"/>
  <c r="S1837" i="1"/>
  <c r="AT1837" i="1" s="1"/>
  <c r="AO1837" i="1" s="1"/>
  <c r="S1838" i="1"/>
  <c r="AT1838" i="1" s="1"/>
  <c r="AO1838" i="1" s="1"/>
  <c r="S1839" i="1"/>
  <c r="AQ1839" i="1" s="1"/>
  <c r="AL1839" i="1" s="1"/>
  <c r="S1840" i="1"/>
  <c r="AQ1840" i="1" s="1"/>
  <c r="AL1840" i="1" s="1"/>
  <c r="S1841" i="1"/>
  <c r="AQ1841" i="1" s="1"/>
  <c r="AL1841" i="1" s="1"/>
  <c r="S1842" i="1"/>
  <c r="AQ1842" i="1" s="1"/>
  <c r="AL1842" i="1" s="1"/>
  <c r="S1843" i="1"/>
  <c r="AR1843" i="1" s="1"/>
  <c r="AM1843" i="1" s="1"/>
  <c r="S1844" i="1"/>
  <c r="AR1844" i="1" s="1"/>
  <c r="AM1844" i="1" s="1"/>
  <c r="S1845" i="1"/>
  <c r="AR1845" i="1" s="1"/>
  <c r="AM1845" i="1" s="1"/>
  <c r="S1846" i="1"/>
  <c r="AR1846" i="1" s="1"/>
  <c r="AM1846" i="1" s="1"/>
  <c r="S1847" i="1"/>
  <c r="AS1847" i="1" s="1"/>
  <c r="AN1847" i="1" s="1"/>
  <c r="S1848" i="1"/>
  <c r="AS1848" i="1" s="1"/>
  <c r="AN1848" i="1" s="1"/>
  <c r="S1849" i="1"/>
  <c r="AS1849" i="1" s="1"/>
  <c r="AN1849" i="1" s="1"/>
  <c r="S1850" i="1"/>
  <c r="AS1850" i="1" s="1"/>
  <c r="AN1850" i="1" s="1"/>
  <c r="S1851" i="1"/>
  <c r="AT1851" i="1" s="1"/>
  <c r="AO1851" i="1" s="1"/>
  <c r="S1852" i="1"/>
  <c r="AT1852" i="1" s="1"/>
  <c r="AO1852" i="1" s="1"/>
  <c r="S1853" i="1"/>
  <c r="AT1853" i="1" s="1"/>
  <c r="AO1853" i="1" s="1"/>
  <c r="S1854" i="1"/>
  <c r="AT1854" i="1" s="1"/>
  <c r="AO1854" i="1" s="1"/>
  <c r="S1855" i="1"/>
  <c r="AQ1855" i="1" s="1"/>
  <c r="AL1855" i="1" s="1"/>
  <c r="S1859" i="1"/>
  <c r="AR1859" i="1" s="1"/>
  <c r="AM1859" i="1" s="1"/>
  <c r="S1860" i="1"/>
  <c r="AR1860" i="1" s="1"/>
  <c r="AM1860" i="1" s="1"/>
  <c r="S1863" i="1"/>
  <c r="AS1863" i="1" s="1"/>
  <c r="AN1863" i="1" s="1"/>
  <c r="S1867" i="1"/>
  <c r="AT1867" i="1" s="1"/>
  <c r="AO1867" i="1" s="1"/>
  <c r="S1868" i="1"/>
  <c r="AT1868" i="1" s="1"/>
  <c r="AO1868" i="1" s="1"/>
  <c r="S1869" i="1"/>
  <c r="AT1869" i="1" s="1"/>
  <c r="AO1869" i="1" s="1"/>
  <c r="S1871" i="1"/>
  <c r="AQ1871" i="1" s="1"/>
  <c r="AL1871" i="1" s="1"/>
  <c r="S1872" i="1"/>
  <c r="AQ1872" i="1" s="1"/>
  <c r="AL1872" i="1" s="1"/>
  <c r="S1873" i="1"/>
  <c r="AQ1873" i="1" s="1"/>
  <c r="AL1873" i="1" s="1"/>
  <c r="S1874" i="1"/>
  <c r="AQ1874" i="1" s="1"/>
  <c r="AL1874" i="1" s="1"/>
  <c r="S1876" i="1"/>
  <c r="AR1876" i="1" s="1"/>
  <c r="AM1876" i="1" s="1"/>
  <c r="S1877" i="1"/>
  <c r="AR1877" i="1" s="1"/>
  <c r="AM1877" i="1" s="1"/>
  <c r="S1878" i="1"/>
  <c r="AS1878" i="1" s="1"/>
  <c r="AN1878" i="1" s="1"/>
  <c r="S1879" i="1"/>
  <c r="AS1879" i="1" s="1"/>
  <c r="AN1879" i="1" s="1"/>
  <c r="S1880" i="1"/>
  <c r="AS1880" i="1" s="1"/>
  <c r="AN1880" i="1" s="1"/>
  <c r="S1881" i="1"/>
  <c r="AS1881" i="1" s="1"/>
  <c r="AN1881" i="1" s="1"/>
  <c r="S1883" i="1"/>
  <c r="AT1883" i="1" s="1"/>
  <c r="AO1883" i="1" s="1"/>
  <c r="S1884" i="1"/>
  <c r="AT1884" i="1" s="1"/>
  <c r="AO1884" i="1" s="1"/>
  <c r="S1885" i="1"/>
  <c r="AT1885" i="1" s="1"/>
  <c r="AO1885" i="1" s="1"/>
  <c r="S1886" i="1"/>
  <c r="AT1886" i="1" s="1"/>
  <c r="AO1886" i="1" s="1"/>
  <c r="S1887" i="1"/>
  <c r="AQ1887" i="1" s="1"/>
  <c r="AL1887" i="1" s="1"/>
  <c r="S1889" i="1"/>
  <c r="AQ1889" i="1" s="1"/>
  <c r="AL1889" i="1" s="1"/>
  <c r="S1890" i="1"/>
  <c r="AQ1890" i="1" s="1"/>
  <c r="AL1890" i="1" s="1"/>
  <c r="S1891" i="1"/>
  <c r="AR1891" i="1" s="1"/>
  <c r="AM1891" i="1" s="1"/>
  <c r="S1892" i="1"/>
  <c r="AR1892" i="1" s="1"/>
  <c r="AM1892" i="1" s="1"/>
  <c r="S1894" i="1"/>
  <c r="AR1894" i="1" s="1"/>
  <c r="AM1894" i="1" s="1"/>
  <c r="S1895" i="1"/>
  <c r="AS1895" i="1" s="1"/>
  <c r="AN1895" i="1" s="1"/>
  <c r="S1896" i="1"/>
  <c r="AS1896" i="1" s="1"/>
  <c r="AN1896" i="1" s="1"/>
  <c r="S1897" i="1"/>
  <c r="AS1897" i="1" s="1"/>
  <c r="AN1897" i="1" s="1"/>
  <c r="S1899" i="1"/>
  <c r="AT1899" i="1" s="1"/>
  <c r="AO1899" i="1" s="1"/>
  <c r="S1900" i="1"/>
  <c r="AT1900" i="1" s="1"/>
  <c r="AO1900" i="1" s="1"/>
  <c r="S1901" i="1"/>
  <c r="AT1901" i="1" s="1"/>
  <c r="AO1901" i="1" s="1"/>
  <c r="S1902" i="1"/>
  <c r="AT1902" i="1" s="1"/>
  <c r="AO1902" i="1" s="1"/>
  <c r="S1903" i="1"/>
  <c r="AQ1903" i="1" s="1"/>
  <c r="AL1903" i="1" s="1"/>
  <c r="S1906" i="1"/>
  <c r="AQ1906" i="1" s="1"/>
  <c r="AL1906" i="1" s="1"/>
  <c r="S1907" i="1"/>
  <c r="AR1907" i="1" s="1"/>
  <c r="AM1907" i="1" s="1"/>
  <c r="S1908" i="1"/>
  <c r="AR1908" i="1" s="1"/>
  <c r="AM1908" i="1" s="1"/>
  <c r="S1909" i="1"/>
  <c r="AR1909" i="1" s="1"/>
  <c r="AM1909" i="1" s="1"/>
  <c r="S1910" i="1"/>
  <c r="AR1910" i="1" s="1"/>
  <c r="AM1910" i="1" s="1"/>
  <c r="S1913" i="1"/>
  <c r="AS1913" i="1" s="1"/>
  <c r="AN1913" i="1" s="1"/>
  <c r="S1914" i="1"/>
  <c r="AS1914" i="1" s="1"/>
  <c r="AN1914" i="1" s="1"/>
  <c r="S1917" i="1"/>
  <c r="AT1917" i="1" s="1"/>
  <c r="AO1917" i="1" s="1"/>
  <c r="S1918" i="1"/>
  <c r="AT1918" i="1" s="1"/>
  <c r="AO1918" i="1" s="1"/>
  <c r="S1919" i="1"/>
  <c r="AQ1919" i="1" s="1"/>
  <c r="AL1919" i="1" s="1"/>
  <c r="S1920" i="1"/>
  <c r="AQ1920" i="1" s="1"/>
  <c r="AL1920" i="1" s="1"/>
  <c r="S1921" i="1"/>
  <c r="AQ1921" i="1" s="1"/>
  <c r="AL1921" i="1" s="1"/>
  <c r="S1923" i="1"/>
  <c r="AR1923" i="1" s="1"/>
  <c r="AM1923" i="1" s="1"/>
  <c r="S1924" i="1"/>
  <c r="AR1924" i="1" s="1"/>
  <c r="AM1924" i="1" s="1"/>
  <c r="S1925" i="1"/>
  <c r="AR1925" i="1" s="1"/>
  <c r="AM1925" i="1" s="1"/>
  <c r="S1927" i="1"/>
  <c r="AS1927" i="1" s="1"/>
  <c r="AN1927" i="1" s="1"/>
  <c r="S1928" i="1"/>
  <c r="AS1928" i="1" s="1"/>
  <c r="AN1928" i="1" s="1"/>
  <c r="S1929" i="1"/>
  <c r="AS1929" i="1" s="1"/>
  <c r="AN1929" i="1" s="1"/>
  <c r="S1930" i="1"/>
  <c r="AS1930" i="1" s="1"/>
  <c r="AN1930" i="1" s="1"/>
  <c r="S1932" i="1"/>
  <c r="AT1932" i="1" s="1"/>
  <c r="AO1932" i="1" s="1"/>
  <c r="S1933" i="1"/>
  <c r="AT1933" i="1" s="1"/>
  <c r="AO1933" i="1" s="1"/>
  <c r="S1934" i="1"/>
  <c r="AT1934" i="1" s="1"/>
  <c r="AO1934" i="1" s="1"/>
  <c r="S1935" i="1"/>
  <c r="AQ1935" i="1" s="1"/>
  <c r="AL1935" i="1" s="1"/>
  <c r="S1936" i="1"/>
  <c r="AQ1936" i="1" s="1"/>
  <c r="AL1936" i="1" s="1"/>
  <c r="S1938" i="1"/>
  <c r="AQ1938" i="1" s="1"/>
  <c r="AL1938" i="1" s="1"/>
  <c r="S1939" i="1"/>
  <c r="AR1939" i="1" s="1"/>
  <c r="AM1939" i="1" s="1"/>
  <c r="S1940" i="1"/>
  <c r="AR1940" i="1" s="1"/>
  <c r="AM1940" i="1" s="1"/>
  <c r="S1943" i="1"/>
  <c r="AS1943" i="1" s="1"/>
  <c r="AN1943" i="1" s="1"/>
  <c r="S1944" i="1"/>
  <c r="AS1944" i="1" s="1"/>
  <c r="AN1944" i="1" s="1"/>
  <c r="S1945" i="1"/>
  <c r="AS1945" i="1" s="1"/>
  <c r="AN1945" i="1" s="1"/>
  <c r="S1946" i="1"/>
  <c r="AS1946" i="1" s="1"/>
  <c r="AN1946" i="1" s="1"/>
  <c r="S1948" i="1"/>
  <c r="AT1948" i="1" s="1"/>
  <c r="AO1948" i="1" s="1"/>
  <c r="S1949" i="1"/>
  <c r="AT1949" i="1" s="1"/>
  <c r="AO1949" i="1" s="1"/>
  <c r="S1950" i="1"/>
  <c r="AT1950" i="1" s="1"/>
  <c r="AO1950" i="1" s="1"/>
  <c r="S1952" i="1"/>
  <c r="AQ1952" i="1" s="1"/>
  <c r="AL1952" i="1" s="1"/>
  <c r="S1953" i="1"/>
  <c r="AQ1953" i="1" s="1"/>
  <c r="AL1953" i="1" s="1"/>
  <c r="S1954" i="1"/>
  <c r="AQ1954" i="1" s="1"/>
  <c r="AL1954" i="1" s="1"/>
  <c r="S1955" i="1"/>
  <c r="AR1955" i="1" s="1"/>
  <c r="AM1955" i="1" s="1"/>
  <c r="S1956" i="1"/>
  <c r="AR1956" i="1" s="1"/>
  <c r="AM1956" i="1" s="1"/>
  <c r="S1957" i="1"/>
  <c r="AR1957" i="1" s="1"/>
  <c r="AM1957" i="1" s="1"/>
  <c r="S1959" i="1"/>
  <c r="AS1959" i="1" s="1"/>
  <c r="AN1959" i="1" s="1"/>
  <c r="S1960" i="1"/>
  <c r="AS1960" i="1" s="1"/>
  <c r="AN1960" i="1" s="1"/>
  <c r="S1961" i="1"/>
  <c r="AT1961" i="1" s="1"/>
  <c r="AO1961" i="1" s="1"/>
  <c r="S1962" i="1"/>
  <c r="U1962" i="1" s="1"/>
  <c r="W1962" i="1" s="1"/>
  <c r="S1963" i="1"/>
  <c r="AT1963" i="1" s="1"/>
  <c r="AO1963" i="1" s="1"/>
  <c r="S1964" i="1"/>
  <c r="AT1964" i="1" s="1"/>
  <c r="AO1964" i="1" s="1"/>
  <c r="S1966" i="1"/>
  <c r="AT1966" i="1" s="1"/>
  <c r="AO1966" i="1" s="1"/>
  <c r="S1967" i="1"/>
  <c r="AQ1967" i="1" s="1"/>
  <c r="AL1967" i="1" s="1"/>
  <c r="S1968" i="1"/>
  <c r="AQ1968" i="1" s="1"/>
  <c r="AL1968" i="1" s="1"/>
  <c r="S1970" i="1"/>
  <c r="AQ1970" i="1" s="1"/>
  <c r="AL1970" i="1" s="1"/>
  <c r="S1971" i="1"/>
  <c r="AR1971" i="1" s="1"/>
  <c r="AM1971" i="1" s="1"/>
  <c r="S1972" i="1"/>
  <c r="AR1972" i="1" s="1"/>
  <c r="AM1972" i="1" s="1"/>
  <c r="S1973" i="1"/>
  <c r="AR1973" i="1" s="1"/>
  <c r="AM1973" i="1" s="1"/>
  <c r="S1974" i="1"/>
  <c r="AR1974" i="1" s="1"/>
  <c r="AM1974" i="1" s="1"/>
  <c r="S1976" i="1"/>
  <c r="AS1976" i="1" s="1"/>
  <c r="AN1976" i="1" s="1"/>
  <c r="S1977" i="1"/>
  <c r="AS1977" i="1" s="1"/>
  <c r="AN1977" i="1" s="1"/>
  <c r="S1978" i="1"/>
  <c r="AS1978" i="1" s="1"/>
  <c r="AN1978" i="1" s="1"/>
  <c r="S1979" i="1"/>
  <c r="AT1979" i="1" s="1"/>
  <c r="AO1979" i="1" s="1"/>
  <c r="S1980" i="1"/>
  <c r="AT1980" i="1" s="1"/>
  <c r="AO1980" i="1" s="1"/>
  <c r="AK1832" i="1"/>
  <c r="AJ1832" i="1"/>
  <c r="AK1831" i="1"/>
  <c r="AJ1831" i="1"/>
  <c r="AK1830" i="1"/>
  <c r="AJ1830" i="1"/>
  <c r="AK1829" i="1"/>
  <c r="AJ1829" i="1"/>
  <c r="AK1828" i="1"/>
  <c r="AJ1828" i="1"/>
  <c r="AK1827" i="1"/>
  <c r="AJ1827" i="1"/>
  <c r="AK1826" i="1"/>
  <c r="AK1825" i="1"/>
  <c r="AJ1825" i="1"/>
  <c r="AK1824" i="1"/>
  <c r="S1824" i="1" s="1"/>
  <c r="AT1824" i="1" s="1"/>
  <c r="AO1824" i="1" s="1"/>
  <c r="AJ1824" i="1"/>
  <c r="AK1823" i="1"/>
  <c r="AJ1823" i="1"/>
  <c r="AK1822" i="1"/>
  <c r="AJ1822" i="1"/>
  <c r="AK1821" i="1"/>
  <c r="AJ1821" i="1"/>
  <c r="AK1820" i="1"/>
  <c r="AJ1820" i="1"/>
  <c r="AK1819" i="1"/>
  <c r="AJ1819" i="1"/>
  <c r="AK1818" i="1"/>
  <c r="AJ1818" i="1"/>
  <c r="AK1817" i="1"/>
  <c r="AJ1817" i="1"/>
  <c r="AK1816" i="1"/>
  <c r="S1816" i="1" s="1"/>
  <c r="AQ1816" i="1" s="1"/>
  <c r="AL1816" i="1" s="1"/>
  <c r="AJ1816" i="1"/>
  <c r="AK1815" i="1"/>
  <c r="AJ1815" i="1"/>
  <c r="AK1814" i="1"/>
  <c r="AK1813" i="1"/>
  <c r="AJ1813" i="1"/>
  <c r="AK1812" i="1"/>
  <c r="AJ1812" i="1"/>
  <c r="AK1811" i="1"/>
  <c r="AJ1811" i="1"/>
  <c r="AK1810" i="1"/>
  <c r="AJ1810" i="1"/>
  <c r="AK1809" i="1"/>
  <c r="AJ1809" i="1"/>
  <c r="AK1808" i="1"/>
  <c r="AJ1808" i="1"/>
  <c r="S1808" i="1" s="1"/>
  <c r="AK1807" i="1"/>
  <c r="AK1806" i="1"/>
  <c r="AJ1806" i="1"/>
  <c r="AK1805" i="1"/>
  <c r="AJ1805" i="1"/>
  <c r="AK1804" i="1"/>
  <c r="AJ1804" i="1"/>
  <c r="AK1803" i="1"/>
  <c r="AJ1803" i="1"/>
  <c r="AK1802" i="1"/>
  <c r="AJ1802" i="1"/>
  <c r="AK1801" i="1"/>
  <c r="AJ1801" i="1"/>
  <c r="AK1800" i="1"/>
  <c r="AJ1800" i="1"/>
  <c r="AK1799" i="1"/>
  <c r="S1799" i="1" s="1"/>
  <c r="AQ1799" i="1" s="1"/>
  <c r="AL1799" i="1" s="1"/>
  <c r="AJ1799" i="1"/>
  <c r="AK1798" i="1"/>
  <c r="AJ1798" i="1"/>
  <c r="AK1797" i="1"/>
  <c r="AJ1797" i="1"/>
  <c r="AK1796" i="1"/>
  <c r="AJ1796" i="1"/>
  <c r="AK1795" i="1"/>
  <c r="AJ1795" i="1"/>
  <c r="AK1794" i="1"/>
  <c r="AK1793" i="1"/>
  <c r="S1793" i="1" s="1"/>
  <c r="AS1793" i="1" s="1"/>
  <c r="AN1793" i="1" s="1"/>
  <c r="AJ1793" i="1"/>
  <c r="AK1792" i="1"/>
  <c r="AJ1792" i="1"/>
  <c r="AK1791" i="1"/>
  <c r="AJ1791" i="1"/>
  <c r="S1791" i="1" s="1"/>
  <c r="AT1791" i="1" s="1"/>
  <c r="AO1791" i="1" s="1"/>
  <c r="AK1790" i="1"/>
  <c r="AJ1790" i="1"/>
  <c r="AK1789" i="1"/>
  <c r="AJ1789" i="1"/>
  <c r="AK1788" i="1"/>
  <c r="AJ1788" i="1"/>
  <c r="AK1787" i="1"/>
  <c r="AK1786" i="1"/>
  <c r="AJ1786" i="1"/>
  <c r="AK1785" i="1"/>
  <c r="AJ1785" i="1"/>
  <c r="AK1784" i="1"/>
  <c r="AJ1784" i="1"/>
  <c r="AK1783" i="1"/>
  <c r="AJ1783" i="1"/>
  <c r="AK1782" i="1"/>
  <c r="S1782" i="1" s="1"/>
  <c r="AQ1782" i="1" s="1"/>
  <c r="AL1782" i="1" s="1"/>
  <c r="AJ1782" i="1"/>
  <c r="AK1781" i="1"/>
  <c r="AJ1781" i="1"/>
  <c r="AK1780" i="1"/>
  <c r="AJ1780" i="1"/>
  <c r="AK1779" i="1"/>
  <c r="AJ1779" i="1"/>
  <c r="AK1778" i="1"/>
  <c r="AJ1778" i="1"/>
  <c r="AK1777" i="1"/>
  <c r="AJ1777" i="1"/>
  <c r="S1777" i="1" s="1"/>
  <c r="AS1777" i="1" s="1"/>
  <c r="AN1777" i="1" s="1"/>
  <c r="AK1776" i="1"/>
  <c r="AJ1776" i="1"/>
  <c r="AK1775" i="1"/>
  <c r="AJ1775" i="1"/>
  <c r="AK1774" i="1"/>
  <c r="S1774" i="1" s="1"/>
  <c r="AQ1774" i="1" s="1"/>
  <c r="AL1774" i="1" s="1"/>
  <c r="AJ1774" i="1"/>
  <c r="AK1773" i="1"/>
  <c r="AJ1773" i="1"/>
  <c r="AK1772" i="1"/>
  <c r="AJ1772" i="1"/>
  <c r="AK1771" i="1"/>
  <c r="AK1770" i="1"/>
  <c r="AJ1770" i="1"/>
  <c r="AK1769" i="1"/>
  <c r="AJ1769" i="1"/>
  <c r="AK1768" i="1"/>
  <c r="AJ1768" i="1"/>
  <c r="AK1767" i="1"/>
  <c r="AJ1767" i="1"/>
  <c r="AK1766" i="1"/>
  <c r="AJ1766" i="1"/>
  <c r="S1766" i="1" s="1"/>
  <c r="AQ1766" i="1" s="1"/>
  <c r="AL1766" i="1" s="1"/>
  <c r="AK1765" i="1"/>
  <c r="AJ1765" i="1"/>
  <c r="AK1764" i="1"/>
  <c r="AJ1764" i="1"/>
  <c r="AK1763" i="1"/>
  <c r="AJ1763" i="1"/>
  <c r="AK1762" i="1"/>
  <c r="AJ1762" i="1"/>
  <c r="AK1761" i="1"/>
  <c r="S1761" i="1" s="1"/>
  <c r="AS1761" i="1" s="1"/>
  <c r="AN1761" i="1" s="1"/>
  <c r="AJ1761" i="1"/>
  <c r="AK1760" i="1"/>
  <c r="AJ1760" i="1"/>
  <c r="S1760" i="1" s="1"/>
  <c r="AT1760" i="1" s="1"/>
  <c r="AO1760" i="1" s="1"/>
  <c r="AK1759" i="1"/>
  <c r="S1759" i="1" s="1"/>
  <c r="AK1758" i="1"/>
  <c r="AJ1758" i="1"/>
  <c r="S1758" i="1" s="1"/>
  <c r="AQ1758" i="1" s="1"/>
  <c r="AL1758" i="1" s="1"/>
  <c r="AK1757" i="1"/>
  <c r="S1757" i="1" s="1"/>
  <c r="AQ1757" i="1" s="1"/>
  <c r="AL1757" i="1" s="1"/>
  <c r="AJ1757" i="1"/>
  <c r="AK1756" i="1"/>
  <c r="AJ1756" i="1"/>
  <c r="AK1755" i="1"/>
  <c r="AJ1755" i="1"/>
  <c r="AK1754" i="1"/>
  <c r="AJ1754" i="1"/>
  <c r="AK1753" i="1"/>
  <c r="AJ1753" i="1"/>
  <c r="AK1752" i="1"/>
  <c r="AK1751" i="1"/>
  <c r="AJ1751" i="1"/>
  <c r="AK1750" i="1"/>
  <c r="AJ1750" i="1"/>
  <c r="S1750" i="1" s="1"/>
  <c r="AQ1750" i="1" s="1"/>
  <c r="AL1750" i="1" s="1"/>
  <c r="AK1749" i="1"/>
  <c r="AJ1749" i="1"/>
  <c r="S1749" i="1" s="1"/>
  <c r="AQ1749" i="1" s="1"/>
  <c r="AL1749" i="1" s="1"/>
  <c r="AK1748" i="1"/>
  <c r="AJ1748" i="1"/>
  <c r="AK1747" i="1"/>
  <c r="AJ1747" i="1"/>
  <c r="AK1746" i="1"/>
  <c r="AJ1746" i="1"/>
  <c r="AK1745" i="1"/>
  <c r="S1745" i="1" s="1"/>
  <c r="AS1745" i="1" s="1"/>
  <c r="AN1745" i="1" s="1"/>
  <c r="AJ1745" i="1"/>
  <c r="AK1744" i="1"/>
  <c r="S1744" i="1" s="1"/>
  <c r="AJ1744" i="1"/>
  <c r="AK1743" i="1"/>
  <c r="AJ1743" i="1"/>
  <c r="S1743" i="1" s="1"/>
  <c r="AT1743" i="1" s="1"/>
  <c r="AO1743" i="1" s="1"/>
  <c r="AK1742" i="1"/>
  <c r="AJ1742" i="1"/>
  <c r="S1742" i="1" s="1"/>
  <c r="AQ1742" i="1" s="1"/>
  <c r="AL1742" i="1" s="1"/>
  <c r="AK1741" i="1"/>
  <c r="AJ1741" i="1"/>
  <c r="S1741" i="1" s="1"/>
  <c r="AK1740" i="1"/>
  <c r="AJ1740" i="1"/>
  <c r="AK1739" i="1"/>
  <c r="AK1738" i="1"/>
  <c r="AJ1738" i="1"/>
  <c r="AK1737" i="1"/>
  <c r="AJ1737" i="1"/>
  <c r="AK1736" i="1"/>
  <c r="AJ1736" i="1"/>
  <c r="AK1735" i="1"/>
  <c r="AJ1735" i="1"/>
  <c r="AK1734" i="1"/>
  <c r="AJ1734" i="1"/>
  <c r="S1734" i="1" s="1"/>
  <c r="AQ1734" i="1" s="1"/>
  <c r="AL1734" i="1" s="1"/>
  <c r="AK1733" i="1"/>
  <c r="AJ1733" i="1"/>
  <c r="AK1732" i="1"/>
  <c r="S1732" i="1" s="1"/>
  <c r="AR1732" i="1" s="1"/>
  <c r="AM1732" i="1" s="1"/>
  <c r="AK1731" i="1"/>
  <c r="AJ1731" i="1"/>
  <c r="AK1730" i="1"/>
  <c r="AJ1730" i="1"/>
  <c r="AK1729" i="1"/>
  <c r="AJ1729" i="1"/>
  <c r="S1729" i="1" s="1"/>
  <c r="AS1729" i="1" s="1"/>
  <c r="AN1729" i="1" s="1"/>
  <c r="AK1728" i="1"/>
  <c r="S1728" i="1" s="1"/>
  <c r="AT1728" i="1" s="1"/>
  <c r="AO1728" i="1" s="1"/>
  <c r="AJ1728" i="1"/>
  <c r="AK1727" i="1"/>
  <c r="S1727" i="1" s="1"/>
  <c r="AJ1727" i="1"/>
  <c r="AK1726" i="1"/>
  <c r="AJ1726" i="1"/>
  <c r="S1726" i="1" s="1"/>
  <c r="AQ1726" i="1" s="1"/>
  <c r="AL1726" i="1" s="1"/>
  <c r="AK1725" i="1"/>
  <c r="AJ1725" i="1"/>
  <c r="S1725" i="1" s="1"/>
  <c r="AQ1725" i="1" s="1"/>
  <c r="AL1725" i="1" s="1"/>
  <c r="AK1724" i="1"/>
  <c r="AJ1724" i="1"/>
  <c r="S1724" i="1" s="1"/>
  <c r="AQ1724" i="1" s="1"/>
  <c r="AL1724" i="1" s="1"/>
  <c r="AK1723" i="1"/>
  <c r="AJ1723" i="1"/>
  <c r="AK1722" i="1"/>
  <c r="AJ1722" i="1"/>
  <c r="AK1721" i="1"/>
  <c r="AJ1721" i="1"/>
  <c r="AK1720" i="1"/>
  <c r="AJ1720" i="1"/>
  <c r="AK1719" i="1"/>
  <c r="AJ1719" i="1"/>
  <c r="AK1718" i="1"/>
  <c r="AJ1718" i="1"/>
  <c r="S1718" i="1" s="1"/>
  <c r="AQ1718" i="1" s="1"/>
  <c r="AL1718" i="1" s="1"/>
  <c r="AK1717" i="1"/>
  <c r="AJ1717" i="1"/>
  <c r="AK1716" i="1"/>
  <c r="AJ1716" i="1"/>
  <c r="S1716" i="1" s="1"/>
  <c r="AR1716" i="1" s="1"/>
  <c r="AM1716" i="1" s="1"/>
  <c r="AK1715" i="1"/>
  <c r="AJ1715" i="1"/>
  <c r="AK1714" i="1"/>
  <c r="AJ1714" i="1"/>
  <c r="AK1713" i="1"/>
  <c r="AJ1713" i="1"/>
  <c r="S1713" i="1" s="1"/>
  <c r="AS1713" i="1" s="1"/>
  <c r="AN1713" i="1" s="1"/>
  <c r="AK1712" i="1"/>
  <c r="S1712" i="1" s="1"/>
  <c r="AT1712" i="1" s="1"/>
  <c r="AO1712" i="1" s="1"/>
  <c r="AJ1712" i="1"/>
  <c r="AK1711" i="1"/>
  <c r="S1711" i="1" s="1"/>
  <c r="AJ1711" i="1"/>
  <c r="AK1710" i="1"/>
  <c r="S1710" i="1" s="1"/>
  <c r="AK1709" i="1"/>
  <c r="AJ1709" i="1"/>
  <c r="S1709" i="1" s="1"/>
  <c r="AK1708" i="1"/>
  <c r="AJ1708" i="1"/>
  <c r="AK1707" i="1"/>
  <c r="S1707" i="1" s="1"/>
  <c r="AQ1707" i="1" s="1"/>
  <c r="AL1707" i="1" s="1"/>
  <c r="AJ1707" i="1"/>
  <c r="AK1706" i="1"/>
  <c r="AJ1706" i="1"/>
  <c r="AK1705" i="1"/>
  <c r="AJ1705" i="1"/>
  <c r="AK1704" i="1"/>
  <c r="AJ1704" i="1"/>
  <c r="AK1703" i="1"/>
  <c r="AJ1703" i="1"/>
  <c r="AK1702" i="1"/>
  <c r="AJ1702" i="1"/>
  <c r="S1702" i="1" s="1"/>
  <c r="AQ1702" i="1" s="1"/>
  <c r="AL1702" i="1" s="1"/>
  <c r="AK1701" i="1"/>
  <c r="AJ1701" i="1"/>
  <c r="AK1700" i="1"/>
  <c r="AJ1700" i="1"/>
  <c r="S1700" i="1" s="1"/>
  <c r="AR1700" i="1" s="1"/>
  <c r="AM1700" i="1" s="1"/>
  <c r="AK1699" i="1"/>
  <c r="AK1698" i="1"/>
  <c r="AK1697" i="1"/>
  <c r="AK1696" i="1"/>
  <c r="AJ1696" i="1"/>
  <c r="AK1695" i="1"/>
  <c r="AJ1695" i="1"/>
  <c r="AK1694" i="1"/>
  <c r="AJ1694" i="1"/>
  <c r="AK1693" i="1"/>
  <c r="AJ1693" i="1"/>
  <c r="AK1692" i="1"/>
  <c r="AJ1692" i="1"/>
  <c r="AK1691" i="1"/>
  <c r="AJ1691" i="1"/>
  <c r="BA5" i="9"/>
  <c r="AX5" i="9"/>
  <c r="V21" i="9"/>
  <c r="V22" i="9"/>
  <c r="V23" i="9"/>
  <c r="V24" i="9"/>
  <c r="V25" i="9"/>
  <c r="V20" i="9"/>
  <c r="S25" i="9"/>
  <c r="S24" i="9"/>
  <c r="S23" i="9"/>
  <c r="S22" i="9"/>
  <c r="S21" i="9"/>
  <c r="S20" i="9"/>
  <c r="BA5" i="10"/>
  <c r="AX5" i="10"/>
  <c r="V27" i="10"/>
  <c r="V28" i="10"/>
  <c r="V29" i="10"/>
  <c r="V30" i="10"/>
  <c r="V31" i="10"/>
  <c r="V32" i="10"/>
  <c r="V33" i="10"/>
  <c r="V26" i="10"/>
  <c r="S33" i="10"/>
  <c r="S32" i="10"/>
  <c r="S31" i="10"/>
  <c r="S30" i="10"/>
  <c r="S29" i="10"/>
  <c r="S28" i="10"/>
  <c r="S27" i="10"/>
  <c r="S26" i="10"/>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U1691" i="1"/>
  <c r="AP1691" i="1" s="1"/>
  <c r="AU1692" i="1"/>
  <c r="AP1692" i="1" s="1"/>
  <c r="AU1693" i="1"/>
  <c r="AP1693" i="1" s="1"/>
  <c r="AU1694" i="1"/>
  <c r="AP1694" i="1" s="1"/>
  <c r="AU1695" i="1"/>
  <c r="AP1695" i="1" s="1"/>
  <c r="AU1696" i="1"/>
  <c r="AP1696" i="1" s="1"/>
  <c r="AU1697" i="1"/>
  <c r="AP1697" i="1" s="1"/>
  <c r="AU1698" i="1"/>
  <c r="AP1698" i="1" s="1"/>
  <c r="AU1699" i="1"/>
  <c r="AP1699" i="1" s="1"/>
  <c r="AU1700" i="1"/>
  <c r="AP1700" i="1" s="1"/>
  <c r="AU1701" i="1"/>
  <c r="AP1701" i="1" s="1"/>
  <c r="AU1702" i="1"/>
  <c r="AP1702" i="1" s="1"/>
  <c r="AU1703" i="1"/>
  <c r="AP1703" i="1" s="1"/>
  <c r="AU1704" i="1"/>
  <c r="AP1704" i="1" s="1"/>
  <c r="AU1705" i="1"/>
  <c r="AP1705" i="1" s="1"/>
  <c r="AU1706" i="1"/>
  <c r="AP1706" i="1" s="1"/>
  <c r="AU1707" i="1"/>
  <c r="AP1707" i="1" s="1"/>
  <c r="AU1708" i="1"/>
  <c r="AP1708" i="1" s="1"/>
  <c r="AU1709" i="1"/>
  <c r="AP1709" i="1" s="1"/>
  <c r="AU1710" i="1"/>
  <c r="AP1710" i="1" s="1"/>
  <c r="AU1711" i="1"/>
  <c r="AP1711" i="1" s="1"/>
  <c r="AU1712" i="1"/>
  <c r="AP1712" i="1" s="1"/>
  <c r="AU1713" i="1"/>
  <c r="AP1713" i="1" s="1"/>
  <c r="AU1714" i="1"/>
  <c r="AP1714" i="1" s="1"/>
  <c r="AU1715" i="1"/>
  <c r="AP1715" i="1" s="1"/>
  <c r="AU1716" i="1"/>
  <c r="AP1716" i="1" s="1"/>
  <c r="AU1717" i="1"/>
  <c r="AP1717" i="1" s="1"/>
  <c r="AU1718" i="1"/>
  <c r="AP1718" i="1" s="1"/>
  <c r="AU1719" i="1"/>
  <c r="AP1719" i="1" s="1"/>
  <c r="AU1720" i="1"/>
  <c r="AP1720" i="1" s="1"/>
  <c r="AU1721" i="1"/>
  <c r="AP1721" i="1" s="1"/>
  <c r="AU1722" i="1"/>
  <c r="AP1722" i="1" s="1"/>
  <c r="AU1723" i="1"/>
  <c r="AP1723" i="1" s="1"/>
  <c r="AU1724" i="1"/>
  <c r="AP1724" i="1" s="1"/>
  <c r="AU1725" i="1"/>
  <c r="AP1725" i="1" s="1"/>
  <c r="AU1726" i="1"/>
  <c r="AP1726" i="1" s="1"/>
  <c r="AU1727" i="1"/>
  <c r="AP1727" i="1" s="1"/>
  <c r="AU1728" i="1"/>
  <c r="AP1728" i="1" s="1"/>
  <c r="AU1729" i="1"/>
  <c r="AP1729" i="1" s="1"/>
  <c r="AU1730" i="1"/>
  <c r="AP1730" i="1" s="1"/>
  <c r="AU1731" i="1"/>
  <c r="AP1731" i="1" s="1"/>
  <c r="AU1732" i="1"/>
  <c r="AP1732" i="1" s="1"/>
  <c r="AU1733" i="1"/>
  <c r="AP1733" i="1" s="1"/>
  <c r="AU1734" i="1"/>
  <c r="AP1734" i="1" s="1"/>
  <c r="AU1735" i="1"/>
  <c r="AP1735" i="1" s="1"/>
  <c r="AU1736" i="1"/>
  <c r="AP1736" i="1" s="1"/>
  <c r="AU1737" i="1"/>
  <c r="AP1737" i="1" s="1"/>
  <c r="AU1738" i="1"/>
  <c r="AP1738" i="1" s="1"/>
  <c r="AU1739" i="1"/>
  <c r="AP1739" i="1" s="1"/>
  <c r="AU1740" i="1"/>
  <c r="AP1740" i="1" s="1"/>
  <c r="AU1741" i="1"/>
  <c r="AP1741" i="1" s="1"/>
  <c r="AU1742" i="1"/>
  <c r="AP1742" i="1" s="1"/>
  <c r="AU1743" i="1"/>
  <c r="AP1743" i="1" s="1"/>
  <c r="AU1744" i="1"/>
  <c r="AP1744" i="1" s="1"/>
  <c r="AU1745" i="1"/>
  <c r="AP1745" i="1" s="1"/>
  <c r="AU1746" i="1"/>
  <c r="AP1746" i="1" s="1"/>
  <c r="AU1747" i="1"/>
  <c r="AP1747" i="1" s="1"/>
  <c r="AU1748" i="1"/>
  <c r="AP1748" i="1" s="1"/>
  <c r="AU1749" i="1"/>
  <c r="AP1749" i="1" s="1"/>
  <c r="AU1750" i="1"/>
  <c r="AP1750" i="1" s="1"/>
  <c r="AU1751" i="1"/>
  <c r="AP1751" i="1" s="1"/>
  <c r="AU1752" i="1"/>
  <c r="AP1752" i="1" s="1"/>
  <c r="AU1753" i="1"/>
  <c r="AP1753" i="1" s="1"/>
  <c r="AU1754" i="1"/>
  <c r="AP1754" i="1" s="1"/>
  <c r="AU1755" i="1"/>
  <c r="AP1755" i="1" s="1"/>
  <c r="AU1756" i="1"/>
  <c r="AP1756" i="1" s="1"/>
  <c r="AU1757" i="1"/>
  <c r="AP1757" i="1" s="1"/>
  <c r="AU1758" i="1"/>
  <c r="AP1758" i="1" s="1"/>
  <c r="AU1759" i="1"/>
  <c r="AP1759" i="1" s="1"/>
  <c r="AU1760" i="1"/>
  <c r="AP1760" i="1" s="1"/>
  <c r="AU1761" i="1"/>
  <c r="AP1761" i="1" s="1"/>
  <c r="AU1762" i="1"/>
  <c r="AP1762" i="1" s="1"/>
  <c r="AU1763" i="1"/>
  <c r="AP1763" i="1" s="1"/>
  <c r="AU1764" i="1"/>
  <c r="AP1764" i="1" s="1"/>
  <c r="AU1765" i="1"/>
  <c r="AP1765" i="1" s="1"/>
  <c r="AU1766" i="1"/>
  <c r="AP1766" i="1" s="1"/>
  <c r="AU1767" i="1"/>
  <c r="AP1767" i="1" s="1"/>
  <c r="AU1768" i="1"/>
  <c r="AP1768" i="1" s="1"/>
  <c r="AU1769" i="1"/>
  <c r="AP1769" i="1" s="1"/>
  <c r="AU1770" i="1"/>
  <c r="AP1770" i="1" s="1"/>
  <c r="AU1771" i="1"/>
  <c r="AP1771" i="1" s="1"/>
  <c r="AU1772" i="1"/>
  <c r="AP1772" i="1" s="1"/>
  <c r="AU1773" i="1"/>
  <c r="AP1773" i="1" s="1"/>
  <c r="AU1774" i="1"/>
  <c r="AP1774" i="1" s="1"/>
  <c r="AU1775" i="1"/>
  <c r="AP1775" i="1" s="1"/>
  <c r="AU1776" i="1"/>
  <c r="AP1776" i="1" s="1"/>
  <c r="AU1777" i="1"/>
  <c r="AP1777" i="1" s="1"/>
  <c r="AU1778" i="1"/>
  <c r="AP1778" i="1" s="1"/>
  <c r="AU1779" i="1"/>
  <c r="AP1779" i="1" s="1"/>
  <c r="AU1780" i="1"/>
  <c r="AP1780" i="1" s="1"/>
  <c r="AU1781" i="1"/>
  <c r="AP1781" i="1" s="1"/>
  <c r="AU1782" i="1"/>
  <c r="AP1782" i="1" s="1"/>
  <c r="AU1783" i="1"/>
  <c r="AP1783" i="1" s="1"/>
  <c r="AU1784" i="1"/>
  <c r="AP1784" i="1" s="1"/>
  <c r="AU1785" i="1"/>
  <c r="AP1785" i="1" s="1"/>
  <c r="AU1786" i="1"/>
  <c r="AP1786" i="1" s="1"/>
  <c r="AU1787" i="1"/>
  <c r="AP1787" i="1" s="1"/>
  <c r="AU1788" i="1"/>
  <c r="AP1788" i="1" s="1"/>
  <c r="AU1789" i="1"/>
  <c r="AP1789" i="1" s="1"/>
  <c r="AU1790" i="1"/>
  <c r="AP1790" i="1" s="1"/>
  <c r="AU1791" i="1"/>
  <c r="AP1791" i="1" s="1"/>
  <c r="AU1792" i="1"/>
  <c r="AP1792" i="1" s="1"/>
  <c r="AU1793" i="1"/>
  <c r="AP1793" i="1" s="1"/>
  <c r="AU1794" i="1"/>
  <c r="AP1794" i="1" s="1"/>
  <c r="AU1795" i="1"/>
  <c r="AP1795" i="1" s="1"/>
  <c r="AU1796" i="1"/>
  <c r="AP1796" i="1" s="1"/>
  <c r="AU1797" i="1"/>
  <c r="AP1797" i="1" s="1"/>
  <c r="AU1798" i="1"/>
  <c r="AP1798" i="1" s="1"/>
  <c r="AU1799" i="1"/>
  <c r="AP1799" i="1" s="1"/>
  <c r="AU1800" i="1"/>
  <c r="AP1800" i="1" s="1"/>
  <c r="AU1801" i="1"/>
  <c r="AP1801" i="1" s="1"/>
  <c r="AU1802" i="1"/>
  <c r="AP1802" i="1" s="1"/>
  <c r="AU1803" i="1"/>
  <c r="AP1803" i="1" s="1"/>
  <c r="AU1804" i="1"/>
  <c r="AP1804" i="1" s="1"/>
  <c r="AU1805" i="1"/>
  <c r="AP1805" i="1" s="1"/>
  <c r="AU1806" i="1"/>
  <c r="AP1806" i="1" s="1"/>
  <c r="AU1807" i="1"/>
  <c r="AP1807" i="1" s="1"/>
  <c r="AU1808" i="1"/>
  <c r="AP1808" i="1" s="1"/>
  <c r="AU1809" i="1"/>
  <c r="AP1809" i="1" s="1"/>
  <c r="AU1810" i="1"/>
  <c r="AP1810" i="1" s="1"/>
  <c r="AU1811" i="1"/>
  <c r="AP1811" i="1" s="1"/>
  <c r="AU1812" i="1"/>
  <c r="AP1812" i="1" s="1"/>
  <c r="AU1813" i="1"/>
  <c r="AP1813" i="1" s="1"/>
  <c r="AU1814" i="1"/>
  <c r="AP1814" i="1" s="1"/>
  <c r="AU1815" i="1"/>
  <c r="AP1815" i="1" s="1"/>
  <c r="AU1816" i="1"/>
  <c r="AP1816" i="1" s="1"/>
  <c r="AU1817" i="1"/>
  <c r="AP1817" i="1" s="1"/>
  <c r="AU1818" i="1"/>
  <c r="AP1818" i="1" s="1"/>
  <c r="AU1819" i="1"/>
  <c r="AP1819" i="1" s="1"/>
  <c r="AU1820" i="1"/>
  <c r="AP1820" i="1" s="1"/>
  <c r="AU1821" i="1"/>
  <c r="AP1821" i="1" s="1"/>
  <c r="AU1822" i="1"/>
  <c r="AP1822" i="1" s="1"/>
  <c r="AU1823" i="1"/>
  <c r="AP1823" i="1" s="1"/>
  <c r="AU1824" i="1"/>
  <c r="AP1824" i="1" s="1"/>
  <c r="AU1825" i="1"/>
  <c r="AP1825" i="1" s="1"/>
  <c r="AU1826" i="1"/>
  <c r="AP1826" i="1" s="1"/>
  <c r="AU1827" i="1"/>
  <c r="AP1827" i="1" s="1"/>
  <c r="AU1828" i="1"/>
  <c r="AP1828" i="1" s="1"/>
  <c r="AU1829" i="1"/>
  <c r="AP1829" i="1" s="1"/>
  <c r="AU1830" i="1"/>
  <c r="AP1830" i="1" s="1"/>
  <c r="AU1831" i="1"/>
  <c r="AP1831" i="1" s="1"/>
  <c r="AU1832" i="1"/>
  <c r="AP1832" i="1" s="1"/>
  <c r="AT1693" i="1"/>
  <c r="AO1693" i="1" s="1"/>
  <c r="AS1695" i="1"/>
  <c r="AN1695" i="1" s="1"/>
  <c r="AS1823" i="1"/>
  <c r="AN1823" i="1" s="1"/>
  <c r="AQ1695" i="1"/>
  <c r="AL1695" i="1" s="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U1691" i="1"/>
  <c r="W1691" i="1" s="1"/>
  <c r="U1692" i="1"/>
  <c r="W1692" i="1" s="1"/>
  <c r="U1693" i="1"/>
  <c r="W1693" i="1" s="1"/>
  <c r="U1694" i="1"/>
  <c r="W1694" i="1" s="1"/>
  <c r="U1695" i="1"/>
  <c r="W1695" i="1" s="1"/>
  <c r="U1696" i="1"/>
  <c r="W1696" i="1" s="1"/>
  <c r="U1697" i="1"/>
  <c r="W1697" i="1" s="1"/>
  <c r="U1698" i="1"/>
  <c r="W1698" i="1" s="1"/>
  <c r="U1699" i="1"/>
  <c r="W1699" i="1" s="1"/>
  <c r="U1721" i="1"/>
  <c r="W1721" i="1" s="1"/>
  <c r="U1722" i="1"/>
  <c r="W1722" i="1" s="1"/>
  <c r="U1723" i="1"/>
  <c r="W1723" i="1" s="1"/>
  <c r="U1724" i="1"/>
  <c r="W1724" i="1" s="1"/>
  <c r="U1725" i="1"/>
  <c r="W1725" i="1" s="1"/>
  <c r="U1726" i="1"/>
  <c r="W1726" i="1" s="1"/>
  <c r="U1727" i="1"/>
  <c r="W1727" i="1" s="1"/>
  <c r="U1728" i="1"/>
  <c r="W1728" i="1" s="1"/>
  <c r="U1729" i="1"/>
  <c r="W1729" i="1" s="1"/>
  <c r="U1730" i="1"/>
  <c r="W1730" i="1" s="1"/>
  <c r="U1734" i="1"/>
  <c r="W1734" i="1" s="1"/>
  <c r="U1735" i="1"/>
  <c r="W1735" i="1" s="1"/>
  <c r="U1736" i="1"/>
  <c r="W1736" i="1" s="1"/>
  <c r="U1737" i="1"/>
  <c r="W1737" i="1" s="1"/>
  <c r="U1741" i="1"/>
  <c r="W1741" i="1" s="1"/>
  <c r="U1742" i="1"/>
  <c r="W1742" i="1" s="1"/>
  <c r="U1743" i="1"/>
  <c r="W1743" i="1" s="1"/>
  <c r="U1744" i="1"/>
  <c r="W1744" i="1" s="1"/>
  <c r="U1745" i="1"/>
  <c r="W1745" i="1" s="1"/>
  <c r="U1746" i="1"/>
  <c r="W1746" i="1" s="1"/>
  <c r="U1747" i="1"/>
  <c r="W1747" i="1" s="1"/>
  <c r="U1748" i="1"/>
  <c r="W1748" i="1" s="1"/>
  <c r="U1749" i="1"/>
  <c r="W1749" i="1" s="1"/>
  <c r="U1750" i="1"/>
  <c r="W1750" i="1" s="1"/>
  <c r="U1754" i="1"/>
  <c r="W1754" i="1" s="1"/>
  <c r="U1755" i="1"/>
  <c r="W1755" i="1" s="1"/>
  <c r="U1756" i="1"/>
  <c r="W1756" i="1" s="1"/>
  <c r="U1757" i="1"/>
  <c r="W1757" i="1" s="1"/>
  <c r="U1761" i="1"/>
  <c r="W1761" i="1" s="1"/>
  <c r="U1762" i="1"/>
  <c r="W1762" i="1" s="1"/>
  <c r="U1763" i="1"/>
  <c r="W1763" i="1" s="1"/>
  <c r="U1764" i="1"/>
  <c r="W1764" i="1" s="1"/>
  <c r="U1765" i="1"/>
  <c r="W1765" i="1" s="1"/>
  <c r="U1766" i="1"/>
  <c r="W1766" i="1" s="1"/>
  <c r="U1767" i="1"/>
  <c r="W1767" i="1" s="1"/>
  <c r="U1768" i="1"/>
  <c r="W1768" i="1" s="1"/>
  <c r="U1769" i="1"/>
  <c r="W1769" i="1" s="1"/>
  <c r="U1773" i="1"/>
  <c r="W1773" i="1" s="1"/>
  <c r="U1774" i="1"/>
  <c r="W1774" i="1" s="1"/>
  <c r="U1775" i="1"/>
  <c r="W1775" i="1" s="1"/>
  <c r="U1776" i="1"/>
  <c r="W1776" i="1" s="1"/>
  <c r="U1777" i="1"/>
  <c r="W1777" i="1" s="1"/>
  <c r="U1778" i="1"/>
  <c r="W1778" i="1" s="1"/>
  <c r="U1779" i="1"/>
  <c r="W1779" i="1" s="1"/>
  <c r="U1780" i="1"/>
  <c r="W1780" i="1" s="1"/>
  <c r="U1781" i="1"/>
  <c r="W1781" i="1" s="1"/>
  <c r="U1782" i="1"/>
  <c r="W1782" i="1" s="1"/>
  <c r="U1783" i="1"/>
  <c r="W1783" i="1" s="1"/>
  <c r="U1784" i="1"/>
  <c r="W1784" i="1" s="1"/>
  <c r="U1785" i="1"/>
  <c r="W1785" i="1" s="1"/>
  <c r="U1789" i="1"/>
  <c r="W1789" i="1" s="1"/>
  <c r="U1790" i="1"/>
  <c r="W1790" i="1" s="1"/>
  <c r="U1791" i="1"/>
  <c r="W1791" i="1" s="1"/>
  <c r="U1792" i="1"/>
  <c r="W1792" i="1" s="1"/>
  <c r="U1796" i="1"/>
  <c r="W1796" i="1" s="1"/>
  <c r="U1797" i="1"/>
  <c r="W1797" i="1" s="1"/>
  <c r="U1798" i="1"/>
  <c r="W1798" i="1" s="1"/>
  <c r="U1799" i="1"/>
  <c r="W1799" i="1" s="1"/>
  <c r="U1800" i="1"/>
  <c r="W1800" i="1" s="1"/>
  <c r="U1801" i="1"/>
  <c r="W1801" i="1" s="1"/>
  <c r="U1802" i="1"/>
  <c r="W1802" i="1" s="1"/>
  <c r="U1803" i="1"/>
  <c r="W1803" i="1" s="1"/>
  <c r="U1804" i="1"/>
  <c r="W1804" i="1" s="1"/>
  <c r="U1805" i="1"/>
  <c r="W1805" i="1" s="1"/>
  <c r="U1809" i="1"/>
  <c r="W1809" i="1" s="1"/>
  <c r="U1810" i="1"/>
  <c r="W1810" i="1" s="1"/>
  <c r="U1811" i="1"/>
  <c r="W1811" i="1" s="1"/>
  <c r="U1812" i="1"/>
  <c r="W1812" i="1" s="1"/>
  <c r="U1816" i="1"/>
  <c r="W1816" i="1" s="1"/>
  <c r="U1817" i="1"/>
  <c r="W1817" i="1" s="1"/>
  <c r="U1818" i="1"/>
  <c r="W1818" i="1" s="1"/>
  <c r="U1819" i="1"/>
  <c r="W1819" i="1" s="1"/>
  <c r="U1820" i="1"/>
  <c r="W1820" i="1" s="1"/>
  <c r="U1821" i="1"/>
  <c r="W1821" i="1" s="1"/>
  <c r="U1822" i="1"/>
  <c r="W1822" i="1" s="1"/>
  <c r="U1823" i="1"/>
  <c r="W1823" i="1" s="1"/>
  <c r="U1824" i="1"/>
  <c r="W1824" i="1" s="1"/>
  <c r="U1828" i="1"/>
  <c r="W1828" i="1" s="1"/>
  <c r="U1829" i="1"/>
  <c r="W1829" i="1" s="1"/>
  <c r="U1830" i="1"/>
  <c r="W1830" i="1" s="1"/>
  <c r="S1691" i="1"/>
  <c r="AQ1691" i="1" s="1"/>
  <c r="AL1691" i="1" s="1"/>
  <c r="S1692" i="1"/>
  <c r="AQ1692" i="1" s="1"/>
  <c r="AL1692" i="1" s="1"/>
  <c r="S1693" i="1"/>
  <c r="AQ1693" i="1" s="1"/>
  <c r="AL1693" i="1" s="1"/>
  <c r="S1694" i="1"/>
  <c r="AQ1694" i="1" s="1"/>
  <c r="AL1694" i="1" s="1"/>
  <c r="S1695" i="1"/>
  <c r="AT1695" i="1" s="1"/>
  <c r="AO1695" i="1" s="1"/>
  <c r="S1696" i="1"/>
  <c r="AT1696" i="1" s="1"/>
  <c r="AO1696" i="1" s="1"/>
  <c r="S1697" i="1"/>
  <c r="AS1697" i="1" s="1"/>
  <c r="AN1697" i="1" s="1"/>
  <c r="S1698" i="1"/>
  <c r="AS1698" i="1" s="1"/>
  <c r="AN1698" i="1" s="1"/>
  <c r="S1699" i="1"/>
  <c r="AR1699" i="1" s="1"/>
  <c r="AM1699" i="1" s="1"/>
  <c r="S1701" i="1"/>
  <c r="AQ1701" i="1" s="1"/>
  <c r="AL1701" i="1" s="1"/>
  <c r="S1703" i="1"/>
  <c r="AQ1703" i="1" s="1"/>
  <c r="AL1703" i="1" s="1"/>
  <c r="S1704" i="1"/>
  <c r="AQ1704" i="1" s="1"/>
  <c r="AL1704" i="1" s="1"/>
  <c r="S1705" i="1"/>
  <c r="AQ1705" i="1" s="1"/>
  <c r="AL1705" i="1" s="1"/>
  <c r="S1706" i="1"/>
  <c r="AQ1706" i="1" s="1"/>
  <c r="AL1706" i="1" s="1"/>
  <c r="S1708" i="1"/>
  <c r="AQ1708" i="1" s="1"/>
  <c r="AL1708" i="1" s="1"/>
  <c r="S1714" i="1"/>
  <c r="AS1714" i="1" s="1"/>
  <c r="AN1714" i="1" s="1"/>
  <c r="S1715" i="1"/>
  <c r="AR1715" i="1" s="1"/>
  <c r="AM1715" i="1" s="1"/>
  <c r="S1717" i="1"/>
  <c r="AQ1717" i="1" s="1"/>
  <c r="AL1717" i="1" s="1"/>
  <c r="S1719" i="1"/>
  <c r="U1719" i="1" s="1"/>
  <c r="W1719" i="1" s="1"/>
  <c r="S1720" i="1"/>
  <c r="U1720" i="1" s="1"/>
  <c r="W1720" i="1" s="1"/>
  <c r="S1721" i="1"/>
  <c r="AQ1721" i="1" s="1"/>
  <c r="AL1721" i="1" s="1"/>
  <c r="S1722" i="1"/>
  <c r="AQ1722" i="1" s="1"/>
  <c r="AL1722" i="1" s="1"/>
  <c r="S1723" i="1"/>
  <c r="AQ1723" i="1" s="1"/>
  <c r="AL1723" i="1" s="1"/>
  <c r="S1730" i="1"/>
  <c r="AS1730" i="1" s="1"/>
  <c r="AN1730" i="1" s="1"/>
  <c r="S1731" i="1"/>
  <c r="AR1731" i="1" s="1"/>
  <c r="AM1731" i="1" s="1"/>
  <c r="S1733" i="1"/>
  <c r="AQ1733" i="1" s="1"/>
  <c r="AL1733" i="1" s="1"/>
  <c r="S1735" i="1"/>
  <c r="AQ1735" i="1" s="1"/>
  <c r="AL1735" i="1" s="1"/>
  <c r="S1736" i="1"/>
  <c r="AQ1736" i="1" s="1"/>
  <c r="AL1736" i="1" s="1"/>
  <c r="S1737" i="1"/>
  <c r="AQ1737" i="1" s="1"/>
  <c r="AL1737" i="1" s="1"/>
  <c r="S1738" i="1"/>
  <c r="S1739" i="1"/>
  <c r="U1739" i="1" s="1"/>
  <c r="W1739" i="1" s="1"/>
  <c r="S1740" i="1"/>
  <c r="U1740" i="1" s="1"/>
  <c r="W1740" i="1" s="1"/>
  <c r="S1746" i="1"/>
  <c r="AS1746" i="1" s="1"/>
  <c r="AN1746" i="1" s="1"/>
  <c r="S1747" i="1"/>
  <c r="AR1747" i="1" s="1"/>
  <c r="AM1747" i="1" s="1"/>
  <c r="S1748" i="1"/>
  <c r="AR1748" i="1" s="1"/>
  <c r="AM1748" i="1" s="1"/>
  <c r="S1751" i="1"/>
  <c r="S1752" i="1"/>
  <c r="S1753" i="1"/>
  <c r="AQ1753" i="1" s="1"/>
  <c r="AL1753" i="1" s="1"/>
  <c r="S1754" i="1"/>
  <c r="AQ1754" i="1" s="1"/>
  <c r="AL1754" i="1" s="1"/>
  <c r="S1755" i="1"/>
  <c r="AQ1755" i="1" s="1"/>
  <c r="AL1755" i="1" s="1"/>
  <c r="S1756" i="1"/>
  <c r="AQ1756" i="1" s="1"/>
  <c r="AL1756" i="1" s="1"/>
  <c r="S1762" i="1"/>
  <c r="AS1762" i="1" s="1"/>
  <c r="AN1762" i="1" s="1"/>
  <c r="S1763" i="1"/>
  <c r="AR1763" i="1" s="1"/>
  <c r="AM1763" i="1" s="1"/>
  <c r="S1764" i="1"/>
  <c r="AR1764" i="1" s="1"/>
  <c r="AM1764" i="1" s="1"/>
  <c r="S1765" i="1"/>
  <c r="AQ1765" i="1" s="1"/>
  <c r="AL1765" i="1" s="1"/>
  <c r="S1767" i="1"/>
  <c r="AQ1767" i="1" s="1"/>
  <c r="AL1767" i="1" s="1"/>
  <c r="S1768" i="1"/>
  <c r="AQ1768" i="1" s="1"/>
  <c r="AL1768" i="1" s="1"/>
  <c r="S1769" i="1"/>
  <c r="AQ1769" i="1" s="1"/>
  <c r="AL1769" i="1" s="1"/>
  <c r="S1770" i="1"/>
  <c r="S1771" i="1"/>
  <c r="U1771" i="1" s="1"/>
  <c r="W1771" i="1" s="1"/>
  <c r="S1772" i="1"/>
  <c r="U1772" i="1" s="1"/>
  <c r="W1772" i="1" s="1"/>
  <c r="S1773" i="1"/>
  <c r="AQ1773" i="1" s="1"/>
  <c r="AL1773" i="1" s="1"/>
  <c r="S1775" i="1"/>
  <c r="AT1775" i="1" s="1"/>
  <c r="AO1775" i="1" s="1"/>
  <c r="S1776" i="1"/>
  <c r="AT1776" i="1" s="1"/>
  <c r="AO1776" i="1" s="1"/>
  <c r="S1778" i="1"/>
  <c r="AS1778" i="1" s="1"/>
  <c r="AN1778" i="1" s="1"/>
  <c r="S1779" i="1"/>
  <c r="AR1779" i="1" s="1"/>
  <c r="AM1779" i="1" s="1"/>
  <c r="S1780" i="1"/>
  <c r="AR1780" i="1" s="1"/>
  <c r="AM1780" i="1" s="1"/>
  <c r="S1781" i="1"/>
  <c r="AQ1781" i="1" s="1"/>
  <c r="AL1781" i="1" s="1"/>
  <c r="S1783" i="1"/>
  <c r="AQ1783" i="1" s="1"/>
  <c r="AL1783" i="1" s="1"/>
  <c r="S1784" i="1"/>
  <c r="AQ1784" i="1" s="1"/>
  <c r="AL1784" i="1" s="1"/>
  <c r="S1785" i="1"/>
  <c r="AQ1785" i="1" s="1"/>
  <c r="AL1785" i="1" s="1"/>
  <c r="S1786" i="1"/>
  <c r="S1787" i="1"/>
  <c r="U1787" i="1" s="1"/>
  <c r="W1787" i="1" s="1"/>
  <c r="S1788" i="1"/>
  <c r="U1788" i="1" s="1"/>
  <c r="W1788" i="1" s="1"/>
  <c r="S1789" i="1"/>
  <c r="AQ1789" i="1" s="1"/>
  <c r="AL1789" i="1" s="1"/>
  <c r="S1790" i="1"/>
  <c r="AQ1790" i="1" s="1"/>
  <c r="AL1790" i="1" s="1"/>
  <c r="S1792" i="1"/>
  <c r="AT1792" i="1" s="1"/>
  <c r="AO1792" i="1" s="1"/>
  <c r="S1794" i="1"/>
  <c r="AS1794" i="1" s="1"/>
  <c r="AN1794" i="1" s="1"/>
  <c r="S1795" i="1"/>
  <c r="AR1795" i="1" s="1"/>
  <c r="AM1795" i="1" s="1"/>
  <c r="S1796" i="1"/>
  <c r="AR1796" i="1" s="1"/>
  <c r="AM1796" i="1" s="1"/>
  <c r="S1797" i="1"/>
  <c r="AQ1797" i="1" s="1"/>
  <c r="AL1797" i="1" s="1"/>
  <c r="S1798" i="1"/>
  <c r="AQ1798" i="1" s="1"/>
  <c r="AL1798" i="1" s="1"/>
  <c r="S1800" i="1"/>
  <c r="AQ1800" i="1" s="1"/>
  <c r="AL1800" i="1" s="1"/>
  <c r="S1801" i="1"/>
  <c r="AQ1801" i="1" s="1"/>
  <c r="AL1801" i="1" s="1"/>
  <c r="S1802" i="1"/>
  <c r="AQ1802" i="1" s="1"/>
  <c r="AL1802" i="1" s="1"/>
  <c r="S1803" i="1"/>
  <c r="AQ1803" i="1" s="1"/>
  <c r="AL1803" i="1" s="1"/>
  <c r="S1804" i="1"/>
  <c r="AQ1804" i="1" s="1"/>
  <c r="AL1804" i="1" s="1"/>
  <c r="S1805" i="1"/>
  <c r="AQ1805" i="1" s="1"/>
  <c r="AL1805" i="1" s="1"/>
  <c r="S1806" i="1"/>
  <c r="S1807" i="1"/>
  <c r="AT1807" i="1" s="1"/>
  <c r="AO1807" i="1" s="1"/>
  <c r="S1809" i="1"/>
  <c r="AS1809" i="1" s="1"/>
  <c r="AN1809" i="1" s="1"/>
  <c r="S1810" i="1"/>
  <c r="AS1810" i="1" s="1"/>
  <c r="AN1810" i="1" s="1"/>
  <c r="S1811" i="1"/>
  <c r="AR1811" i="1" s="1"/>
  <c r="AM1811" i="1" s="1"/>
  <c r="S1812" i="1"/>
  <c r="AR1812" i="1" s="1"/>
  <c r="AM1812" i="1" s="1"/>
  <c r="S1813" i="1"/>
  <c r="AQ1813" i="1" s="1"/>
  <c r="AL1813" i="1" s="1"/>
  <c r="S1814" i="1"/>
  <c r="AQ1814" i="1" s="1"/>
  <c r="AL1814" i="1" s="1"/>
  <c r="S1815" i="1"/>
  <c r="AQ1815" i="1" s="1"/>
  <c r="AL1815" i="1" s="1"/>
  <c r="S1817" i="1"/>
  <c r="AQ1817" i="1" s="1"/>
  <c r="AL1817" i="1" s="1"/>
  <c r="S1818" i="1"/>
  <c r="AQ1818" i="1" s="1"/>
  <c r="AL1818" i="1" s="1"/>
  <c r="S1819" i="1"/>
  <c r="AQ1819" i="1" s="1"/>
  <c r="AL1819" i="1" s="1"/>
  <c r="S1820" i="1"/>
  <c r="AQ1820" i="1" s="1"/>
  <c r="AL1820" i="1" s="1"/>
  <c r="S1821" i="1"/>
  <c r="AQ1821" i="1" s="1"/>
  <c r="AL1821" i="1" s="1"/>
  <c r="S1822" i="1"/>
  <c r="AQ1822" i="1" s="1"/>
  <c r="AL1822" i="1" s="1"/>
  <c r="S1823" i="1"/>
  <c r="AT1823" i="1" s="1"/>
  <c r="AO1823" i="1" s="1"/>
  <c r="S1825" i="1"/>
  <c r="AS1825" i="1" s="1"/>
  <c r="AN1825" i="1" s="1"/>
  <c r="S1826" i="1"/>
  <c r="AS1826" i="1" s="1"/>
  <c r="AN1826" i="1" s="1"/>
  <c r="S1827" i="1"/>
  <c r="AR1827" i="1" s="1"/>
  <c r="AM1827" i="1" s="1"/>
  <c r="S1828" i="1"/>
  <c r="AR1828" i="1" s="1"/>
  <c r="AM1828" i="1" s="1"/>
  <c r="S1829" i="1"/>
  <c r="AQ1829" i="1" s="1"/>
  <c r="AL1829" i="1" s="1"/>
  <c r="S1830" i="1"/>
  <c r="AQ1830" i="1" s="1"/>
  <c r="AL1830" i="1" s="1"/>
  <c r="S1831" i="1"/>
  <c r="AQ1831" i="1" s="1"/>
  <c r="AL1831" i="1" s="1"/>
  <c r="S1832" i="1"/>
  <c r="AQ1832" i="1" s="1"/>
  <c r="AL1832" i="1" s="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U1296" i="1"/>
  <c r="AP1296" i="1" s="1"/>
  <c r="AU1297" i="1"/>
  <c r="AP1297" i="1" s="1"/>
  <c r="AU1298" i="1"/>
  <c r="AP1298" i="1" s="1"/>
  <c r="AU1299" i="1"/>
  <c r="AP1299" i="1" s="1"/>
  <c r="AU1300" i="1"/>
  <c r="AP1300" i="1" s="1"/>
  <c r="AU1301" i="1"/>
  <c r="AP1301" i="1" s="1"/>
  <c r="AU1302" i="1"/>
  <c r="AP1302" i="1" s="1"/>
  <c r="AU1303" i="1"/>
  <c r="AP1303" i="1" s="1"/>
  <c r="AU1304" i="1"/>
  <c r="AP1304" i="1" s="1"/>
  <c r="AU1305" i="1"/>
  <c r="AP1305" i="1" s="1"/>
  <c r="AU1306" i="1"/>
  <c r="AP1306" i="1" s="1"/>
  <c r="AU1307" i="1"/>
  <c r="AP1307" i="1" s="1"/>
  <c r="AU1308" i="1"/>
  <c r="AP1308" i="1" s="1"/>
  <c r="AU1309" i="1"/>
  <c r="AP1309" i="1" s="1"/>
  <c r="AU1310" i="1"/>
  <c r="AP1310" i="1" s="1"/>
  <c r="AU1311" i="1"/>
  <c r="AP1311" i="1" s="1"/>
  <c r="AU1312" i="1"/>
  <c r="AU1313" i="1"/>
  <c r="AP1313" i="1" s="1"/>
  <c r="AU1314" i="1"/>
  <c r="AP1314" i="1" s="1"/>
  <c r="AU1315" i="1"/>
  <c r="AP1315" i="1" s="1"/>
  <c r="AU1316" i="1"/>
  <c r="AP1316" i="1" s="1"/>
  <c r="AU1317" i="1"/>
  <c r="AP1317" i="1" s="1"/>
  <c r="AU1318" i="1"/>
  <c r="AU1319" i="1"/>
  <c r="AP1319" i="1" s="1"/>
  <c r="AU1320" i="1"/>
  <c r="AP1320" i="1" s="1"/>
  <c r="AU1321" i="1"/>
  <c r="AP1321" i="1" s="1"/>
  <c r="AU1322" i="1"/>
  <c r="AP1322" i="1" s="1"/>
  <c r="AU1323" i="1"/>
  <c r="AP1323" i="1" s="1"/>
  <c r="AU1324" i="1"/>
  <c r="AP1324" i="1" s="1"/>
  <c r="AU1325" i="1"/>
  <c r="AP1325" i="1" s="1"/>
  <c r="AU1326" i="1"/>
  <c r="AP1326" i="1" s="1"/>
  <c r="AU1327" i="1"/>
  <c r="AP1327" i="1" s="1"/>
  <c r="AU1328" i="1"/>
  <c r="AP1328" i="1" s="1"/>
  <c r="AU1329" i="1"/>
  <c r="AP1329" i="1" s="1"/>
  <c r="AU1330" i="1"/>
  <c r="AP1330" i="1" s="1"/>
  <c r="AU1331" i="1"/>
  <c r="AP1331" i="1" s="1"/>
  <c r="AU1332" i="1"/>
  <c r="AP1332" i="1" s="1"/>
  <c r="AU1333" i="1"/>
  <c r="AP1333" i="1" s="1"/>
  <c r="AU1334" i="1"/>
  <c r="AP1334" i="1" s="1"/>
  <c r="AU1335" i="1"/>
  <c r="AP1335" i="1" s="1"/>
  <c r="AU1336" i="1"/>
  <c r="AP1336" i="1" s="1"/>
  <c r="AU1337" i="1"/>
  <c r="AP1337" i="1" s="1"/>
  <c r="AU1338" i="1"/>
  <c r="AP1338" i="1" s="1"/>
  <c r="AU1339" i="1"/>
  <c r="AP1339" i="1" s="1"/>
  <c r="AU1340" i="1"/>
  <c r="AP1340" i="1" s="1"/>
  <c r="AU1341" i="1"/>
  <c r="AP1341" i="1" s="1"/>
  <c r="AU1342" i="1"/>
  <c r="AP1342" i="1" s="1"/>
  <c r="AU1343" i="1"/>
  <c r="AP1343" i="1" s="1"/>
  <c r="AU1344" i="1"/>
  <c r="AU1345" i="1"/>
  <c r="AP1345" i="1" s="1"/>
  <c r="AU1346" i="1"/>
  <c r="AP1346" i="1" s="1"/>
  <c r="AU1347" i="1"/>
  <c r="AP1347" i="1" s="1"/>
  <c r="AU1348" i="1"/>
  <c r="AP1348" i="1" s="1"/>
  <c r="AU1349" i="1"/>
  <c r="AP1349" i="1" s="1"/>
  <c r="AU1350" i="1"/>
  <c r="AP1350" i="1" s="1"/>
  <c r="AU1351" i="1"/>
  <c r="AP1351" i="1" s="1"/>
  <c r="AU1352" i="1"/>
  <c r="AP1352" i="1" s="1"/>
  <c r="AU1353" i="1"/>
  <c r="AP1353" i="1" s="1"/>
  <c r="AU1354" i="1"/>
  <c r="AP1354" i="1" s="1"/>
  <c r="AU1355" i="1"/>
  <c r="AP1355" i="1" s="1"/>
  <c r="AU1356" i="1"/>
  <c r="AP1356" i="1" s="1"/>
  <c r="AU1357" i="1"/>
  <c r="AP1357" i="1" s="1"/>
  <c r="AU1358" i="1"/>
  <c r="AP1358" i="1" s="1"/>
  <c r="AU1359" i="1"/>
  <c r="AP1359" i="1" s="1"/>
  <c r="AU1360" i="1"/>
  <c r="AP1360" i="1" s="1"/>
  <c r="AU1361" i="1"/>
  <c r="AP1361" i="1" s="1"/>
  <c r="AU1362" i="1"/>
  <c r="AP1362" i="1" s="1"/>
  <c r="AU1363" i="1"/>
  <c r="AP1363" i="1" s="1"/>
  <c r="AU1364" i="1"/>
  <c r="AP1364" i="1" s="1"/>
  <c r="AU1365" i="1"/>
  <c r="AP1365" i="1" s="1"/>
  <c r="AU1366" i="1"/>
  <c r="AP1366" i="1" s="1"/>
  <c r="AU1367" i="1"/>
  <c r="AP1367" i="1" s="1"/>
  <c r="AU1368" i="1"/>
  <c r="AP1368" i="1" s="1"/>
  <c r="AU1369" i="1"/>
  <c r="AP1369" i="1" s="1"/>
  <c r="AU1370" i="1"/>
  <c r="AP1370" i="1" s="1"/>
  <c r="AU1371" i="1"/>
  <c r="AP1371" i="1" s="1"/>
  <c r="AU1372" i="1"/>
  <c r="AP1372" i="1" s="1"/>
  <c r="AU1373" i="1"/>
  <c r="AP1373" i="1" s="1"/>
  <c r="AU1374" i="1"/>
  <c r="AP1374" i="1" s="1"/>
  <c r="AU1375" i="1"/>
  <c r="AP1375" i="1" s="1"/>
  <c r="AU1376" i="1"/>
  <c r="AP1376" i="1" s="1"/>
  <c r="AU1377" i="1"/>
  <c r="AP1377" i="1" s="1"/>
  <c r="AU1378" i="1"/>
  <c r="AP1378" i="1" s="1"/>
  <c r="AU1379" i="1"/>
  <c r="AP1379" i="1" s="1"/>
  <c r="AU1380" i="1"/>
  <c r="AP1380" i="1" s="1"/>
  <c r="AU1381" i="1"/>
  <c r="AP1381" i="1" s="1"/>
  <c r="AU1382" i="1"/>
  <c r="AP1382" i="1" s="1"/>
  <c r="AU1383" i="1"/>
  <c r="AP1383" i="1" s="1"/>
  <c r="AU1384" i="1"/>
  <c r="AU1385" i="1"/>
  <c r="AP1385" i="1" s="1"/>
  <c r="AU1386" i="1"/>
  <c r="AP1386" i="1" s="1"/>
  <c r="AU1387" i="1"/>
  <c r="AP1387" i="1" s="1"/>
  <c r="AU1388" i="1"/>
  <c r="AP1388" i="1" s="1"/>
  <c r="AU1389" i="1"/>
  <c r="AP1389" i="1" s="1"/>
  <c r="AU1390" i="1"/>
  <c r="AP1390" i="1" s="1"/>
  <c r="AU1391" i="1"/>
  <c r="AP1391" i="1" s="1"/>
  <c r="AU1392" i="1"/>
  <c r="AP1392" i="1" s="1"/>
  <c r="AU1393" i="1"/>
  <c r="AP1393" i="1" s="1"/>
  <c r="AU1394" i="1"/>
  <c r="AP1394" i="1" s="1"/>
  <c r="AU1395" i="1"/>
  <c r="AP1395" i="1" s="1"/>
  <c r="AU1396" i="1"/>
  <c r="AP1396" i="1" s="1"/>
  <c r="AU1397" i="1"/>
  <c r="AP1397" i="1" s="1"/>
  <c r="AU1398" i="1"/>
  <c r="AP1398" i="1" s="1"/>
  <c r="AU1399" i="1"/>
  <c r="AP1399" i="1" s="1"/>
  <c r="AU1400" i="1"/>
  <c r="AU1401" i="1"/>
  <c r="AP1401" i="1" s="1"/>
  <c r="AU1402" i="1"/>
  <c r="AP1402" i="1" s="1"/>
  <c r="AU1403" i="1"/>
  <c r="AP1403" i="1" s="1"/>
  <c r="AU1404" i="1"/>
  <c r="AP1404" i="1" s="1"/>
  <c r="AU1405" i="1"/>
  <c r="AP1405" i="1" s="1"/>
  <c r="AU1406" i="1"/>
  <c r="AP1406" i="1" s="1"/>
  <c r="AU1407" i="1"/>
  <c r="AP1407" i="1" s="1"/>
  <c r="AU1408" i="1"/>
  <c r="AP1408" i="1" s="1"/>
  <c r="AU1409" i="1"/>
  <c r="AP1409" i="1" s="1"/>
  <c r="AU1410" i="1"/>
  <c r="AP1410" i="1" s="1"/>
  <c r="AU1411" i="1"/>
  <c r="AP1411" i="1" s="1"/>
  <c r="AU1412" i="1"/>
  <c r="AP1412" i="1" s="1"/>
  <c r="AU1413" i="1"/>
  <c r="AP1413" i="1" s="1"/>
  <c r="AU1414" i="1"/>
  <c r="AP1414" i="1" s="1"/>
  <c r="AU1415" i="1"/>
  <c r="AP1415" i="1" s="1"/>
  <c r="AU1416" i="1"/>
  <c r="AP1416" i="1" s="1"/>
  <c r="AU1417" i="1"/>
  <c r="AP1417" i="1" s="1"/>
  <c r="AU1418" i="1"/>
  <c r="AP1418" i="1" s="1"/>
  <c r="AU1419" i="1"/>
  <c r="AP1419" i="1" s="1"/>
  <c r="AU1420" i="1"/>
  <c r="AP1420" i="1" s="1"/>
  <c r="AU1421" i="1"/>
  <c r="AP1421" i="1" s="1"/>
  <c r="AU1422" i="1"/>
  <c r="AP1422" i="1" s="1"/>
  <c r="AU1423" i="1"/>
  <c r="AP1423" i="1" s="1"/>
  <c r="AU1424" i="1"/>
  <c r="AP1424" i="1" s="1"/>
  <c r="AU1425" i="1"/>
  <c r="AP1425" i="1" s="1"/>
  <c r="AU1426" i="1"/>
  <c r="AP1426" i="1" s="1"/>
  <c r="AU1427" i="1"/>
  <c r="AP1427" i="1" s="1"/>
  <c r="AU1428" i="1"/>
  <c r="AP1428" i="1" s="1"/>
  <c r="AU1429" i="1"/>
  <c r="AP1429" i="1" s="1"/>
  <c r="AU1430" i="1"/>
  <c r="AU1431" i="1"/>
  <c r="AP1431" i="1" s="1"/>
  <c r="AU1432" i="1"/>
  <c r="AP1432" i="1" s="1"/>
  <c r="AU1433" i="1"/>
  <c r="AP1433" i="1" s="1"/>
  <c r="AU1434" i="1"/>
  <c r="AP1434" i="1" s="1"/>
  <c r="AU1435" i="1"/>
  <c r="AP1435" i="1" s="1"/>
  <c r="AU1436" i="1"/>
  <c r="AP1436" i="1" s="1"/>
  <c r="AU1437" i="1"/>
  <c r="AP1437" i="1" s="1"/>
  <c r="AU1438" i="1"/>
  <c r="AP1438" i="1" s="1"/>
  <c r="AU1439" i="1"/>
  <c r="AP1439" i="1" s="1"/>
  <c r="AU1440" i="1"/>
  <c r="AP1440" i="1" s="1"/>
  <c r="AU1441" i="1"/>
  <c r="AP1441" i="1" s="1"/>
  <c r="AU1442" i="1"/>
  <c r="AU1443" i="1"/>
  <c r="AP1443" i="1" s="1"/>
  <c r="AU1444" i="1"/>
  <c r="AP1444" i="1" s="1"/>
  <c r="AU1445" i="1"/>
  <c r="AP1445" i="1" s="1"/>
  <c r="AU1446" i="1"/>
  <c r="AP1446" i="1" s="1"/>
  <c r="AU1447" i="1"/>
  <c r="AP1447" i="1" s="1"/>
  <c r="AU1448" i="1"/>
  <c r="AP1448" i="1" s="1"/>
  <c r="AU1449" i="1"/>
  <c r="AP1449" i="1" s="1"/>
  <c r="AU1450" i="1"/>
  <c r="AP1450" i="1" s="1"/>
  <c r="AU1451" i="1"/>
  <c r="AP1451" i="1" s="1"/>
  <c r="AU1452" i="1"/>
  <c r="AP1452" i="1" s="1"/>
  <c r="AU1453" i="1"/>
  <c r="AP1453" i="1" s="1"/>
  <c r="AU1454" i="1"/>
  <c r="AP1454" i="1" s="1"/>
  <c r="AU1455" i="1"/>
  <c r="AP1455" i="1" s="1"/>
  <c r="AU1456" i="1"/>
  <c r="AP1456" i="1" s="1"/>
  <c r="AU1457" i="1"/>
  <c r="AP1457" i="1" s="1"/>
  <c r="AU1458" i="1"/>
  <c r="AP1458" i="1" s="1"/>
  <c r="AU1459" i="1"/>
  <c r="AP1459" i="1" s="1"/>
  <c r="AU1460" i="1"/>
  <c r="AP1460" i="1" s="1"/>
  <c r="AU1461" i="1"/>
  <c r="AP1461" i="1" s="1"/>
  <c r="AU1462" i="1"/>
  <c r="AU1463" i="1"/>
  <c r="AP1463" i="1" s="1"/>
  <c r="AU1464" i="1"/>
  <c r="AP1464" i="1" s="1"/>
  <c r="AU1465" i="1"/>
  <c r="AP1465" i="1" s="1"/>
  <c r="AU1466" i="1"/>
  <c r="AP1466" i="1" s="1"/>
  <c r="AU1467" i="1"/>
  <c r="AP1467" i="1" s="1"/>
  <c r="AU1468" i="1"/>
  <c r="AP1468" i="1" s="1"/>
  <c r="AU1469" i="1"/>
  <c r="AP1469" i="1" s="1"/>
  <c r="AU1470" i="1"/>
  <c r="AP1470" i="1" s="1"/>
  <c r="AU1471" i="1"/>
  <c r="AP1471" i="1" s="1"/>
  <c r="AU1472" i="1"/>
  <c r="AP1472" i="1" s="1"/>
  <c r="AU1473" i="1"/>
  <c r="AP1473" i="1" s="1"/>
  <c r="AU1474" i="1"/>
  <c r="AP1474" i="1" s="1"/>
  <c r="AU1475" i="1"/>
  <c r="AP1475" i="1" s="1"/>
  <c r="AU1476" i="1"/>
  <c r="AP1476" i="1" s="1"/>
  <c r="AU1477" i="1"/>
  <c r="AP1477" i="1" s="1"/>
  <c r="AU1478" i="1"/>
  <c r="AP1478" i="1" s="1"/>
  <c r="AU1479" i="1"/>
  <c r="AP1479" i="1" s="1"/>
  <c r="AU1480" i="1"/>
  <c r="AU1481" i="1"/>
  <c r="AP1481" i="1" s="1"/>
  <c r="AU1482" i="1"/>
  <c r="AP1482" i="1" s="1"/>
  <c r="AU1483" i="1"/>
  <c r="AP1483" i="1" s="1"/>
  <c r="AU1484" i="1"/>
  <c r="AP1484" i="1" s="1"/>
  <c r="AU1485" i="1"/>
  <c r="AP1485" i="1" s="1"/>
  <c r="AU1486" i="1"/>
  <c r="AP1486" i="1" s="1"/>
  <c r="AU1487" i="1"/>
  <c r="AP1487" i="1" s="1"/>
  <c r="AU1488" i="1"/>
  <c r="AP1488" i="1" s="1"/>
  <c r="AU1489" i="1"/>
  <c r="AP1489" i="1" s="1"/>
  <c r="AU1490" i="1"/>
  <c r="AP1490" i="1" s="1"/>
  <c r="AU1491" i="1"/>
  <c r="AP1491" i="1" s="1"/>
  <c r="AU1492" i="1"/>
  <c r="AP1492" i="1" s="1"/>
  <c r="AU1493" i="1"/>
  <c r="AP1493" i="1" s="1"/>
  <c r="AU1494" i="1"/>
  <c r="AP1494" i="1" s="1"/>
  <c r="AU1495" i="1"/>
  <c r="AP1495" i="1" s="1"/>
  <c r="AU1496" i="1"/>
  <c r="AP1496" i="1" s="1"/>
  <c r="AU1497" i="1"/>
  <c r="AP1497" i="1" s="1"/>
  <c r="AU1498" i="1"/>
  <c r="AP1498" i="1" s="1"/>
  <c r="AU1499" i="1"/>
  <c r="AP1499" i="1" s="1"/>
  <c r="AU1500" i="1"/>
  <c r="AP1500" i="1" s="1"/>
  <c r="AU1501" i="1"/>
  <c r="AP1501" i="1" s="1"/>
  <c r="AU1502" i="1"/>
  <c r="AP1502" i="1" s="1"/>
  <c r="AU1503" i="1"/>
  <c r="AP1503" i="1" s="1"/>
  <c r="AU1504" i="1"/>
  <c r="AP1504" i="1" s="1"/>
  <c r="AU1505" i="1"/>
  <c r="AP1505" i="1" s="1"/>
  <c r="AU1506" i="1"/>
  <c r="AP1506" i="1" s="1"/>
  <c r="AU1507" i="1"/>
  <c r="AP1507" i="1" s="1"/>
  <c r="AU1508" i="1"/>
  <c r="AP1508" i="1" s="1"/>
  <c r="AU1509" i="1"/>
  <c r="AP1509" i="1" s="1"/>
  <c r="AU1510" i="1"/>
  <c r="AP1510" i="1" s="1"/>
  <c r="AU1511" i="1"/>
  <c r="AP1511" i="1" s="1"/>
  <c r="AU1512" i="1"/>
  <c r="AP1512" i="1" s="1"/>
  <c r="AU1513" i="1"/>
  <c r="AP1513" i="1" s="1"/>
  <c r="AU1514" i="1"/>
  <c r="AP1514" i="1" s="1"/>
  <c r="AU1515" i="1"/>
  <c r="AP1515" i="1" s="1"/>
  <c r="AU1516" i="1"/>
  <c r="AP1516" i="1" s="1"/>
  <c r="AU1517" i="1"/>
  <c r="AP1517" i="1" s="1"/>
  <c r="AU1518" i="1"/>
  <c r="AP1518" i="1" s="1"/>
  <c r="AU1519" i="1"/>
  <c r="AP1519" i="1" s="1"/>
  <c r="AU1520" i="1"/>
  <c r="AP1520" i="1" s="1"/>
  <c r="AU1521" i="1"/>
  <c r="AP1521" i="1" s="1"/>
  <c r="AU1522" i="1"/>
  <c r="AP1522" i="1" s="1"/>
  <c r="AU1523" i="1"/>
  <c r="AP1523" i="1" s="1"/>
  <c r="AU1524" i="1"/>
  <c r="AP1524" i="1" s="1"/>
  <c r="AU1525" i="1"/>
  <c r="AP1525" i="1" s="1"/>
  <c r="AU1526" i="1"/>
  <c r="AP1526" i="1" s="1"/>
  <c r="AU1527" i="1"/>
  <c r="AU1528" i="1"/>
  <c r="AU1529" i="1"/>
  <c r="AP1529" i="1" s="1"/>
  <c r="AU1530" i="1"/>
  <c r="AP1530" i="1" s="1"/>
  <c r="AU1531" i="1"/>
  <c r="AP1531" i="1" s="1"/>
  <c r="AU1532" i="1"/>
  <c r="AP1532" i="1" s="1"/>
  <c r="AU1533" i="1"/>
  <c r="AP1533" i="1" s="1"/>
  <c r="AU1534" i="1"/>
  <c r="AP1534" i="1" s="1"/>
  <c r="AU1535" i="1"/>
  <c r="AP1535" i="1" s="1"/>
  <c r="AU1536" i="1"/>
  <c r="AU1537" i="1"/>
  <c r="AP1537" i="1" s="1"/>
  <c r="AU1538" i="1"/>
  <c r="AP1538" i="1" s="1"/>
  <c r="AU1539" i="1"/>
  <c r="AP1539" i="1" s="1"/>
  <c r="AU1540" i="1"/>
  <c r="AP1540" i="1" s="1"/>
  <c r="AU1541" i="1"/>
  <c r="AP1541" i="1" s="1"/>
  <c r="AU1542" i="1"/>
  <c r="AP1542" i="1" s="1"/>
  <c r="AU1543" i="1"/>
  <c r="AP1543" i="1" s="1"/>
  <c r="AU1544" i="1"/>
  <c r="AP1544" i="1" s="1"/>
  <c r="AU1545" i="1"/>
  <c r="AP1545" i="1" s="1"/>
  <c r="AU1546" i="1"/>
  <c r="AP1546" i="1" s="1"/>
  <c r="AU1547" i="1"/>
  <c r="AP1547" i="1" s="1"/>
  <c r="AU1548" i="1"/>
  <c r="AP1548" i="1" s="1"/>
  <c r="AU1549" i="1"/>
  <c r="AP1549" i="1" s="1"/>
  <c r="AU1550" i="1"/>
  <c r="AP1550" i="1" s="1"/>
  <c r="AU1551" i="1"/>
  <c r="AP1551" i="1" s="1"/>
  <c r="AU1552" i="1"/>
  <c r="AP1552" i="1" s="1"/>
  <c r="AU1553" i="1"/>
  <c r="AP1553" i="1" s="1"/>
  <c r="AU1554" i="1"/>
  <c r="AP1554" i="1" s="1"/>
  <c r="AU1555" i="1"/>
  <c r="AP1555" i="1" s="1"/>
  <c r="AU1556" i="1"/>
  <c r="AP1556" i="1" s="1"/>
  <c r="AU1557" i="1"/>
  <c r="AP1557" i="1" s="1"/>
  <c r="AU1558" i="1"/>
  <c r="AP1558" i="1" s="1"/>
  <c r="AU1559" i="1"/>
  <c r="AP1559" i="1" s="1"/>
  <c r="AU1560" i="1"/>
  <c r="AP1560" i="1" s="1"/>
  <c r="AU1561" i="1"/>
  <c r="AP1561" i="1" s="1"/>
  <c r="AU1562" i="1"/>
  <c r="AP1562" i="1" s="1"/>
  <c r="AU1563" i="1"/>
  <c r="AP1563" i="1" s="1"/>
  <c r="AU1564" i="1"/>
  <c r="AP1564" i="1" s="1"/>
  <c r="AU1565" i="1"/>
  <c r="AP1565" i="1" s="1"/>
  <c r="AU1566" i="1"/>
  <c r="AP1566" i="1" s="1"/>
  <c r="AU1567" i="1"/>
  <c r="AP1567" i="1" s="1"/>
  <c r="AU1568" i="1"/>
  <c r="AU1569" i="1"/>
  <c r="AP1569" i="1" s="1"/>
  <c r="AU1570" i="1"/>
  <c r="AP1570" i="1" s="1"/>
  <c r="AU1571" i="1"/>
  <c r="AP1571" i="1" s="1"/>
  <c r="AU1572" i="1"/>
  <c r="AP1572" i="1" s="1"/>
  <c r="AU1573" i="1"/>
  <c r="AP1573" i="1" s="1"/>
  <c r="AU1574" i="1"/>
  <c r="AP1574" i="1" s="1"/>
  <c r="AU1575" i="1"/>
  <c r="AU1576" i="1"/>
  <c r="AP1576" i="1" s="1"/>
  <c r="AU1577" i="1"/>
  <c r="AP1577" i="1" s="1"/>
  <c r="AU1578" i="1"/>
  <c r="AP1578" i="1" s="1"/>
  <c r="AU1579" i="1"/>
  <c r="AP1579" i="1" s="1"/>
  <c r="AU1580" i="1"/>
  <c r="AP1580" i="1" s="1"/>
  <c r="AU1581" i="1"/>
  <c r="AP1581" i="1" s="1"/>
  <c r="AU1582" i="1"/>
  <c r="AP1582" i="1" s="1"/>
  <c r="AU1583" i="1"/>
  <c r="AP1583" i="1" s="1"/>
  <c r="AU1584" i="1"/>
  <c r="AP1584" i="1" s="1"/>
  <c r="AU1585" i="1"/>
  <c r="AP1585" i="1" s="1"/>
  <c r="AU1586" i="1"/>
  <c r="AP1586" i="1" s="1"/>
  <c r="AU1587" i="1"/>
  <c r="AP1587" i="1" s="1"/>
  <c r="AU1588" i="1"/>
  <c r="AP1588" i="1" s="1"/>
  <c r="AU1589" i="1"/>
  <c r="AP1589" i="1" s="1"/>
  <c r="AU1590" i="1"/>
  <c r="AP1590" i="1" s="1"/>
  <c r="AU1591" i="1"/>
  <c r="AP1591" i="1" s="1"/>
  <c r="AU1592" i="1"/>
  <c r="AP1592" i="1" s="1"/>
  <c r="AU1593" i="1"/>
  <c r="AP1593" i="1" s="1"/>
  <c r="AU1594" i="1"/>
  <c r="AP1594" i="1" s="1"/>
  <c r="AU1595" i="1"/>
  <c r="AP1595" i="1" s="1"/>
  <c r="AU1596" i="1"/>
  <c r="AP1596" i="1" s="1"/>
  <c r="AU1597" i="1"/>
  <c r="AP1597" i="1" s="1"/>
  <c r="AU1598" i="1"/>
  <c r="AP1598" i="1" s="1"/>
  <c r="AU1599" i="1"/>
  <c r="AP1599" i="1" s="1"/>
  <c r="AU1600" i="1"/>
  <c r="AP1600" i="1" s="1"/>
  <c r="AU1601" i="1"/>
  <c r="AP1601" i="1" s="1"/>
  <c r="AU1602" i="1"/>
  <c r="AP1602" i="1" s="1"/>
  <c r="AU1603" i="1"/>
  <c r="AP1603" i="1" s="1"/>
  <c r="AU1604" i="1"/>
  <c r="AP1604" i="1" s="1"/>
  <c r="AU1605" i="1"/>
  <c r="AP1605" i="1" s="1"/>
  <c r="AU1606" i="1"/>
  <c r="AP1606" i="1" s="1"/>
  <c r="AU1607" i="1"/>
  <c r="AP1607" i="1" s="1"/>
  <c r="AU1608" i="1"/>
  <c r="AU1609" i="1"/>
  <c r="AP1609" i="1" s="1"/>
  <c r="AU1610" i="1"/>
  <c r="AP1610" i="1" s="1"/>
  <c r="AU1611" i="1"/>
  <c r="AP1611" i="1" s="1"/>
  <c r="AU1612" i="1"/>
  <c r="AP1612" i="1" s="1"/>
  <c r="AU1613" i="1"/>
  <c r="AP1613" i="1" s="1"/>
  <c r="AU1614" i="1"/>
  <c r="AP1614" i="1" s="1"/>
  <c r="AU1615" i="1"/>
  <c r="AP1615" i="1" s="1"/>
  <c r="AU1616" i="1"/>
  <c r="AP1616" i="1" s="1"/>
  <c r="AU1617" i="1"/>
  <c r="AP1617" i="1" s="1"/>
  <c r="AU1618" i="1"/>
  <c r="AP1618" i="1" s="1"/>
  <c r="AU1619" i="1"/>
  <c r="AP1619" i="1" s="1"/>
  <c r="AU1620" i="1"/>
  <c r="AP1620" i="1" s="1"/>
  <c r="AU1621" i="1"/>
  <c r="AP1621" i="1" s="1"/>
  <c r="AU1622" i="1"/>
  <c r="AP1622" i="1" s="1"/>
  <c r="AU1623" i="1"/>
  <c r="AP1623" i="1" s="1"/>
  <c r="AU1624" i="1"/>
  <c r="AP1624" i="1" s="1"/>
  <c r="AU1625" i="1"/>
  <c r="AP1625" i="1" s="1"/>
  <c r="AU1626" i="1"/>
  <c r="AP1626" i="1" s="1"/>
  <c r="AU1627" i="1"/>
  <c r="AP1627" i="1" s="1"/>
  <c r="AU1628" i="1"/>
  <c r="AP1628" i="1" s="1"/>
  <c r="AU1629" i="1"/>
  <c r="AP1629" i="1" s="1"/>
  <c r="AU1630" i="1"/>
  <c r="AP1630" i="1" s="1"/>
  <c r="AU1631" i="1"/>
  <c r="AP1631" i="1" s="1"/>
  <c r="AU1632" i="1"/>
  <c r="AP1632" i="1" s="1"/>
  <c r="AU1633" i="1"/>
  <c r="AP1633" i="1" s="1"/>
  <c r="AU1634" i="1"/>
  <c r="AP1634" i="1" s="1"/>
  <c r="AU1635" i="1"/>
  <c r="AP1635" i="1" s="1"/>
  <c r="AU1636" i="1"/>
  <c r="AP1636" i="1" s="1"/>
  <c r="AU1637" i="1"/>
  <c r="AP1637" i="1" s="1"/>
  <c r="AU1638" i="1"/>
  <c r="AP1638" i="1" s="1"/>
  <c r="AU1639" i="1"/>
  <c r="AP1639" i="1" s="1"/>
  <c r="AU1640" i="1"/>
  <c r="AP1640" i="1" s="1"/>
  <c r="AU1641" i="1"/>
  <c r="AP1641" i="1" s="1"/>
  <c r="AU1642" i="1"/>
  <c r="AP1642" i="1" s="1"/>
  <c r="AU1643" i="1"/>
  <c r="AP1643" i="1" s="1"/>
  <c r="AU1644" i="1"/>
  <c r="AP1644" i="1" s="1"/>
  <c r="AU1645" i="1"/>
  <c r="AP1645" i="1" s="1"/>
  <c r="AU1646" i="1"/>
  <c r="AP1646" i="1" s="1"/>
  <c r="AU1647" i="1"/>
  <c r="AP1647" i="1" s="1"/>
  <c r="AU1648" i="1"/>
  <c r="AP1648" i="1" s="1"/>
  <c r="AU1649" i="1"/>
  <c r="AP1649" i="1" s="1"/>
  <c r="AU1650" i="1"/>
  <c r="AP1650" i="1" s="1"/>
  <c r="AU1651" i="1"/>
  <c r="AP1651" i="1" s="1"/>
  <c r="AU1652" i="1"/>
  <c r="AP1652" i="1" s="1"/>
  <c r="AU1653" i="1"/>
  <c r="AP1653" i="1" s="1"/>
  <c r="AU1654" i="1"/>
  <c r="AP1654" i="1" s="1"/>
  <c r="AU1655" i="1"/>
  <c r="AP1655" i="1" s="1"/>
  <c r="AU1656" i="1"/>
  <c r="AU1657" i="1"/>
  <c r="AP1657" i="1" s="1"/>
  <c r="AU1658" i="1"/>
  <c r="AP1658" i="1" s="1"/>
  <c r="AU1659" i="1"/>
  <c r="AP1659" i="1" s="1"/>
  <c r="AU1660" i="1"/>
  <c r="AP1660" i="1" s="1"/>
  <c r="AU1661" i="1"/>
  <c r="AP1661" i="1" s="1"/>
  <c r="AU1662" i="1"/>
  <c r="AP1662" i="1" s="1"/>
  <c r="AU1663" i="1"/>
  <c r="AP1663" i="1" s="1"/>
  <c r="AU1664" i="1"/>
  <c r="AP1664" i="1" s="1"/>
  <c r="AU1665" i="1"/>
  <c r="AP1665" i="1" s="1"/>
  <c r="AU1666" i="1"/>
  <c r="AP1666" i="1" s="1"/>
  <c r="AU1667" i="1"/>
  <c r="AP1667" i="1" s="1"/>
  <c r="AU1668" i="1"/>
  <c r="AP1668" i="1" s="1"/>
  <c r="AU1669" i="1"/>
  <c r="AP1669" i="1" s="1"/>
  <c r="AU1670" i="1"/>
  <c r="AP1670" i="1" s="1"/>
  <c r="AU1671" i="1"/>
  <c r="AP1671" i="1" s="1"/>
  <c r="AU1672" i="1"/>
  <c r="AP1672" i="1" s="1"/>
  <c r="AU1673" i="1"/>
  <c r="AP1673" i="1" s="1"/>
  <c r="AU1674" i="1"/>
  <c r="AP1674" i="1" s="1"/>
  <c r="AU1675" i="1"/>
  <c r="AP1675" i="1" s="1"/>
  <c r="AU1676" i="1"/>
  <c r="AP1676" i="1" s="1"/>
  <c r="AU1677" i="1"/>
  <c r="AP1677" i="1" s="1"/>
  <c r="AU1678" i="1"/>
  <c r="AP1678" i="1" s="1"/>
  <c r="AU1679" i="1"/>
  <c r="AP1679" i="1" s="1"/>
  <c r="AU1680" i="1"/>
  <c r="AP1680" i="1" s="1"/>
  <c r="AU1681" i="1"/>
  <c r="AP1681" i="1" s="1"/>
  <c r="AU1682" i="1"/>
  <c r="AP1682" i="1" s="1"/>
  <c r="AU1683" i="1"/>
  <c r="AP1683" i="1" s="1"/>
  <c r="AU1684" i="1"/>
  <c r="AP1684" i="1" s="1"/>
  <c r="AU1685" i="1"/>
  <c r="AP1685" i="1" s="1"/>
  <c r="AU1686" i="1"/>
  <c r="AP1686" i="1" s="1"/>
  <c r="AU1687" i="1"/>
  <c r="AP1687" i="1" s="1"/>
  <c r="AU1688" i="1"/>
  <c r="AP1688" i="1" s="1"/>
  <c r="AU1689" i="1"/>
  <c r="AP1689" i="1" s="1"/>
  <c r="AU1690" i="1"/>
  <c r="AP1690" i="1" s="1"/>
  <c r="AT1296" i="1"/>
  <c r="AO1296" i="1" s="1"/>
  <c r="AT1297" i="1"/>
  <c r="AO1297" i="1" s="1"/>
  <c r="AT1298" i="1"/>
  <c r="AO1298" i="1" s="1"/>
  <c r="AT1299" i="1"/>
  <c r="AO1299" i="1" s="1"/>
  <c r="AT1300" i="1"/>
  <c r="AT1301" i="1"/>
  <c r="AO1301" i="1" s="1"/>
  <c r="AT1302" i="1"/>
  <c r="AO1302" i="1" s="1"/>
  <c r="AT1303" i="1"/>
  <c r="AO1303" i="1" s="1"/>
  <c r="AT1304" i="1"/>
  <c r="AT1305" i="1"/>
  <c r="AO1305" i="1" s="1"/>
  <c r="AT1306" i="1"/>
  <c r="AT1307" i="1"/>
  <c r="AT1308" i="1"/>
  <c r="AT1309" i="1"/>
  <c r="AT1310" i="1"/>
  <c r="AO1310" i="1" s="1"/>
  <c r="AT1311" i="1"/>
  <c r="AO1311" i="1" s="1"/>
  <c r="AT1312" i="1"/>
  <c r="AO1312" i="1" s="1"/>
  <c r="AT1313" i="1"/>
  <c r="AO1313" i="1" s="1"/>
  <c r="AT1314" i="1"/>
  <c r="AT1315" i="1"/>
  <c r="AO1315" i="1" s="1"/>
  <c r="AT1316" i="1"/>
  <c r="AT1317" i="1"/>
  <c r="AO1317" i="1" s="1"/>
  <c r="AT1318" i="1"/>
  <c r="AO1318" i="1" s="1"/>
  <c r="AT1319" i="1"/>
  <c r="AO1319" i="1" s="1"/>
  <c r="AT1320" i="1"/>
  <c r="AT1321" i="1"/>
  <c r="AO1321" i="1" s="1"/>
  <c r="AT1322" i="1"/>
  <c r="AT1323" i="1"/>
  <c r="AT1324" i="1"/>
  <c r="AT1325" i="1"/>
  <c r="AT1326" i="1"/>
  <c r="AO1326" i="1" s="1"/>
  <c r="AT1327" i="1"/>
  <c r="AO1327" i="1" s="1"/>
  <c r="AT1328" i="1"/>
  <c r="AO1328" i="1" s="1"/>
  <c r="AT1329" i="1"/>
  <c r="AT1330" i="1"/>
  <c r="AT1331" i="1"/>
  <c r="AO1331" i="1" s="1"/>
  <c r="AT1332" i="1"/>
  <c r="AT1333" i="1"/>
  <c r="AO1333" i="1" s="1"/>
  <c r="AT1334" i="1"/>
  <c r="AO1334" i="1" s="1"/>
  <c r="AT1335" i="1"/>
  <c r="AO1335" i="1" s="1"/>
  <c r="AT1336" i="1"/>
  <c r="AT1337" i="1"/>
  <c r="AO1337" i="1" s="1"/>
  <c r="AT1338" i="1"/>
  <c r="AT1339" i="1"/>
  <c r="AT1340" i="1"/>
  <c r="AT1341" i="1"/>
  <c r="AO1341" i="1" s="1"/>
  <c r="AT1342" i="1"/>
  <c r="AO1342" i="1" s="1"/>
  <c r="AT1343" i="1"/>
  <c r="AO1343" i="1" s="1"/>
  <c r="AT1344" i="1"/>
  <c r="AO1344" i="1" s="1"/>
  <c r="AT1345" i="1"/>
  <c r="AT1346" i="1"/>
  <c r="AT1347" i="1"/>
  <c r="AT1348" i="1"/>
  <c r="AO1348" i="1" s="1"/>
  <c r="AT1349" i="1"/>
  <c r="AO1349" i="1" s="1"/>
  <c r="AT1350" i="1"/>
  <c r="AO1350" i="1" s="1"/>
  <c r="AT1351" i="1"/>
  <c r="AO1351" i="1" s="1"/>
  <c r="AT1352" i="1"/>
  <c r="AT1353" i="1"/>
  <c r="AO1353" i="1" s="1"/>
  <c r="AT1354" i="1"/>
  <c r="AT1355" i="1"/>
  <c r="AT1356" i="1"/>
  <c r="AT1357" i="1"/>
  <c r="AT1358" i="1"/>
  <c r="AO1358" i="1" s="1"/>
  <c r="AT1359" i="1"/>
  <c r="AO1359" i="1" s="1"/>
  <c r="AT1360" i="1"/>
  <c r="AO1360" i="1" s="1"/>
  <c r="AT1361" i="1"/>
  <c r="AO1361" i="1" s="1"/>
  <c r="AT1362" i="1"/>
  <c r="AO1362" i="1" s="1"/>
  <c r="AT1363" i="1"/>
  <c r="AO1363" i="1" s="1"/>
  <c r="AT1364" i="1"/>
  <c r="AT1365" i="1"/>
  <c r="AO1365" i="1" s="1"/>
  <c r="AT1366" i="1"/>
  <c r="AO1366" i="1" s="1"/>
  <c r="AT1367" i="1"/>
  <c r="AO1367" i="1" s="1"/>
  <c r="AT1368" i="1"/>
  <c r="AT1369" i="1"/>
  <c r="AO1369" i="1" s="1"/>
  <c r="AT1370" i="1"/>
  <c r="AT1371" i="1"/>
  <c r="AT1372" i="1"/>
  <c r="AT1373" i="1"/>
  <c r="AT1374" i="1"/>
  <c r="AO1374" i="1" s="1"/>
  <c r="AT1375" i="1"/>
  <c r="AT1376" i="1"/>
  <c r="AT1377" i="1"/>
  <c r="AT1378" i="1"/>
  <c r="AT1379" i="1"/>
  <c r="AO1379" i="1" s="1"/>
  <c r="AT1380" i="1"/>
  <c r="AT1381" i="1"/>
  <c r="AO1381" i="1" s="1"/>
  <c r="AT1382" i="1"/>
  <c r="AO1382" i="1" s="1"/>
  <c r="AT1383" i="1"/>
  <c r="AO1383" i="1" s="1"/>
  <c r="AT1384" i="1"/>
  <c r="AT1385" i="1"/>
  <c r="AO1385" i="1" s="1"/>
  <c r="AT1386" i="1"/>
  <c r="AT1387" i="1"/>
  <c r="AT1388" i="1"/>
  <c r="AT1389" i="1"/>
  <c r="AT1390" i="1"/>
  <c r="AO1390" i="1" s="1"/>
  <c r="AT1391" i="1"/>
  <c r="AO1391" i="1" s="1"/>
  <c r="AT1392" i="1"/>
  <c r="AO1392" i="1" s="1"/>
  <c r="AT1393" i="1"/>
  <c r="AO1393" i="1" s="1"/>
  <c r="AT1394" i="1"/>
  <c r="AT1395" i="1"/>
  <c r="AO1395" i="1" s="1"/>
  <c r="AT1396" i="1"/>
  <c r="AT1397" i="1"/>
  <c r="AO1397" i="1" s="1"/>
  <c r="AT1398" i="1"/>
  <c r="AO1398" i="1" s="1"/>
  <c r="AT1399" i="1"/>
  <c r="AO1399" i="1" s="1"/>
  <c r="AT1400" i="1"/>
  <c r="AT1401" i="1"/>
  <c r="AO1401" i="1" s="1"/>
  <c r="AT1402" i="1"/>
  <c r="AT1403" i="1"/>
  <c r="AT1404" i="1"/>
  <c r="AT1405" i="1"/>
  <c r="AO1405" i="1" s="1"/>
  <c r="AT1406" i="1"/>
  <c r="AO1406" i="1" s="1"/>
  <c r="AT1407" i="1"/>
  <c r="AO1407" i="1" s="1"/>
  <c r="AT1408" i="1"/>
  <c r="AO1408" i="1" s="1"/>
  <c r="AT1409" i="1"/>
  <c r="AT1410" i="1"/>
  <c r="AT1411" i="1"/>
  <c r="AO1411" i="1" s="1"/>
  <c r="AT1412" i="1"/>
  <c r="AO1412" i="1" s="1"/>
  <c r="AT1413" i="1"/>
  <c r="AO1413" i="1" s="1"/>
  <c r="AT1414" i="1"/>
  <c r="AO1414" i="1" s="1"/>
  <c r="AT1415" i="1"/>
  <c r="AO1415" i="1" s="1"/>
  <c r="AT1416" i="1"/>
  <c r="AT1417" i="1"/>
  <c r="AO1417" i="1" s="1"/>
  <c r="AT1418" i="1"/>
  <c r="AT1419" i="1"/>
  <c r="AT1420" i="1"/>
  <c r="AT1421" i="1"/>
  <c r="AT1422" i="1"/>
  <c r="AO1422" i="1" s="1"/>
  <c r="AT1423" i="1"/>
  <c r="AO1423" i="1" s="1"/>
  <c r="AT1424" i="1"/>
  <c r="AO1424" i="1" s="1"/>
  <c r="AT1425" i="1"/>
  <c r="AO1425" i="1" s="1"/>
  <c r="AT1426" i="1"/>
  <c r="AO1426" i="1" s="1"/>
  <c r="AT1427" i="1"/>
  <c r="AO1427" i="1" s="1"/>
  <c r="AT1428" i="1"/>
  <c r="AT1429" i="1"/>
  <c r="AO1429" i="1" s="1"/>
  <c r="AT1430" i="1"/>
  <c r="AO1430" i="1" s="1"/>
  <c r="AT1431" i="1"/>
  <c r="AO1431" i="1" s="1"/>
  <c r="AT1432" i="1"/>
  <c r="AT1433" i="1"/>
  <c r="AO1433" i="1" s="1"/>
  <c r="AT1434" i="1"/>
  <c r="AT1435" i="1"/>
  <c r="AT1436" i="1"/>
  <c r="AT1437" i="1"/>
  <c r="AT1438" i="1"/>
  <c r="AO1438" i="1" s="1"/>
  <c r="AT1439" i="1"/>
  <c r="AO1439" i="1" s="1"/>
  <c r="AT1440" i="1"/>
  <c r="AO1440" i="1" s="1"/>
  <c r="AT1441" i="1"/>
  <c r="AO1441" i="1" s="1"/>
  <c r="AT1442" i="1"/>
  <c r="AT1443" i="1"/>
  <c r="AO1443" i="1" s="1"/>
  <c r="AT1444" i="1"/>
  <c r="AT1445" i="1"/>
  <c r="AO1445" i="1" s="1"/>
  <c r="AT1446" i="1"/>
  <c r="AO1446" i="1" s="1"/>
  <c r="AT1447" i="1"/>
  <c r="AO1447" i="1" s="1"/>
  <c r="AT1448" i="1"/>
  <c r="AT1449" i="1"/>
  <c r="AO1449" i="1" s="1"/>
  <c r="AT1450" i="1"/>
  <c r="AT1451" i="1"/>
  <c r="AT1452" i="1"/>
  <c r="AT1453" i="1"/>
  <c r="AT1454" i="1"/>
  <c r="AO1454" i="1" s="1"/>
  <c r="AT1455" i="1"/>
  <c r="AO1455" i="1" s="1"/>
  <c r="AT1456" i="1"/>
  <c r="AO1456" i="1" s="1"/>
  <c r="AT1457" i="1"/>
  <c r="AT1458" i="1"/>
  <c r="AT1459" i="1"/>
  <c r="AO1459" i="1" s="1"/>
  <c r="AT1460" i="1"/>
  <c r="AT1461" i="1"/>
  <c r="AO1461" i="1" s="1"/>
  <c r="AT1462" i="1"/>
  <c r="AO1462" i="1" s="1"/>
  <c r="AT1463" i="1"/>
  <c r="AO1463" i="1" s="1"/>
  <c r="AT1464" i="1"/>
  <c r="AT1465" i="1"/>
  <c r="AO1465" i="1" s="1"/>
  <c r="AT1466" i="1"/>
  <c r="AT1467" i="1"/>
  <c r="AT1468" i="1"/>
  <c r="AT1469" i="1"/>
  <c r="AO1469" i="1" s="1"/>
  <c r="AT1470" i="1"/>
  <c r="AO1470" i="1" s="1"/>
  <c r="AT1471" i="1"/>
  <c r="AO1471" i="1" s="1"/>
  <c r="AT1472" i="1"/>
  <c r="AO1472" i="1" s="1"/>
  <c r="AT1473" i="1"/>
  <c r="AT1474" i="1"/>
  <c r="AT1475" i="1"/>
  <c r="AO1475" i="1" s="1"/>
  <c r="AT1476" i="1"/>
  <c r="AO1476" i="1" s="1"/>
  <c r="AT1477" i="1"/>
  <c r="AO1477" i="1" s="1"/>
  <c r="AT1478" i="1"/>
  <c r="AO1478" i="1" s="1"/>
  <c r="AT1479" i="1"/>
  <c r="AO1479" i="1" s="1"/>
  <c r="AT1480" i="1"/>
  <c r="AT1481" i="1"/>
  <c r="AO1481" i="1" s="1"/>
  <c r="AT1482" i="1"/>
  <c r="AT1483" i="1"/>
  <c r="AT1484" i="1"/>
  <c r="AT1485" i="1"/>
  <c r="AT1486" i="1"/>
  <c r="AO1486" i="1" s="1"/>
  <c r="AT1487" i="1"/>
  <c r="AO1487" i="1" s="1"/>
  <c r="AT1488" i="1"/>
  <c r="AO1488" i="1" s="1"/>
  <c r="AT1489" i="1"/>
  <c r="AT1490" i="1"/>
  <c r="AO1490" i="1" s="1"/>
  <c r="AT1491" i="1"/>
  <c r="AO1491" i="1" s="1"/>
  <c r="AT1492" i="1"/>
  <c r="AT1493" i="1"/>
  <c r="AO1493" i="1" s="1"/>
  <c r="AT1494" i="1"/>
  <c r="AO1494" i="1" s="1"/>
  <c r="AT1495" i="1"/>
  <c r="AO1495" i="1" s="1"/>
  <c r="AT1496" i="1"/>
  <c r="AT1497" i="1"/>
  <c r="AO1497" i="1" s="1"/>
  <c r="AT1498" i="1"/>
  <c r="AT1499" i="1"/>
  <c r="AT1500" i="1"/>
  <c r="AT1501" i="1"/>
  <c r="AT1502" i="1"/>
  <c r="AO1502" i="1" s="1"/>
  <c r="AT1503" i="1"/>
  <c r="AO1503" i="1" s="1"/>
  <c r="AT1504" i="1"/>
  <c r="AO1504" i="1" s="1"/>
  <c r="AT1505" i="1"/>
  <c r="AT1506" i="1"/>
  <c r="AT1507" i="1"/>
  <c r="AO1507" i="1" s="1"/>
  <c r="AT1508" i="1"/>
  <c r="AT1509" i="1"/>
  <c r="AO1509" i="1" s="1"/>
  <c r="AT1510" i="1"/>
  <c r="AO1510" i="1" s="1"/>
  <c r="AT1511" i="1"/>
  <c r="AO1511" i="1" s="1"/>
  <c r="AT1512" i="1"/>
  <c r="AT1513" i="1"/>
  <c r="AO1513" i="1" s="1"/>
  <c r="AT1514" i="1"/>
  <c r="AT1515" i="1"/>
  <c r="AT1516" i="1"/>
  <c r="AT1517" i="1"/>
  <c r="AT1518" i="1"/>
  <c r="AO1518" i="1" s="1"/>
  <c r="AT1519" i="1"/>
  <c r="AT1520" i="1"/>
  <c r="AT1521" i="1"/>
  <c r="AT1522" i="1"/>
  <c r="AT1523" i="1"/>
  <c r="AO1523" i="1" s="1"/>
  <c r="AT1524" i="1"/>
  <c r="AT1525" i="1"/>
  <c r="AO1525" i="1" s="1"/>
  <c r="AT1526" i="1"/>
  <c r="AO1526" i="1" s="1"/>
  <c r="AT1527" i="1"/>
  <c r="AO1527" i="1" s="1"/>
  <c r="AT1528" i="1"/>
  <c r="AT1529" i="1"/>
  <c r="AO1529" i="1" s="1"/>
  <c r="AT1530" i="1"/>
  <c r="AT1531" i="1"/>
  <c r="AT1532" i="1"/>
  <c r="AT1533" i="1"/>
  <c r="AO1533" i="1" s="1"/>
  <c r="AT1534" i="1"/>
  <c r="AO1534" i="1" s="1"/>
  <c r="AT1535" i="1"/>
  <c r="AO1535" i="1" s="1"/>
  <c r="AT1536" i="1"/>
  <c r="AO1536" i="1" s="1"/>
  <c r="AT1537" i="1"/>
  <c r="AT1538" i="1"/>
  <c r="AT1539" i="1"/>
  <c r="AO1539" i="1" s="1"/>
  <c r="AT1540" i="1"/>
  <c r="AO1540" i="1" s="1"/>
  <c r="AT1541" i="1"/>
  <c r="AO1541" i="1" s="1"/>
  <c r="AT1542" i="1"/>
  <c r="AO1542" i="1" s="1"/>
  <c r="AT1543" i="1"/>
  <c r="AO1543" i="1" s="1"/>
  <c r="AT1544" i="1"/>
  <c r="AT1545" i="1"/>
  <c r="AO1545" i="1" s="1"/>
  <c r="AT1546" i="1"/>
  <c r="AT1547" i="1"/>
  <c r="AT1548" i="1"/>
  <c r="AT1549" i="1"/>
  <c r="AT1550" i="1"/>
  <c r="AO1550" i="1" s="1"/>
  <c r="AT1551" i="1"/>
  <c r="AO1551" i="1" s="1"/>
  <c r="AT1552" i="1"/>
  <c r="AT1553" i="1"/>
  <c r="AT1554" i="1"/>
  <c r="AO1554" i="1" s="1"/>
  <c r="AT1555" i="1"/>
  <c r="AO1555" i="1" s="1"/>
  <c r="AT1556" i="1"/>
  <c r="AT1557" i="1"/>
  <c r="AO1557" i="1" s="1"/>
  <c r="AT1558" i="1"/>
  <c r="AO1558" i="1" s="1"/>
  <c r="AT1559" i="1"/>
  <c r="AO1559" i="1" s="1"/>
  <c r="AT1560" i="1"/>
  <c r="AT1561" i="1"/>
  <c r="AO1561" i="1" s="1"/>
  <c r="AT1562" i="1"/>
  <c r="AT1563" i="1"/>
  <c r="AT1564" i="1"/>
  <c r="AT1565" i="1"/>
  <c r="AT1566" i="1"/>
  <c r="AO1566" i="1" s="1"/>
  <c r="AT1567" i="1"/>
  <c r="AO1567" i="1" s="1"/>
  <c r="AT1568" i="1"/>
  <c r="AO1568" i="1" s="1"/>
  <c r="AT1569" i="1"/>
  <c r="AO1569" i="1" s="1"/>
  <c r="AT1570" i="1"/>
  <c r="AT1571" i="1"/>
  <c r="AO1571" i="1" s="1"/>
  <c r="AT1572" i="1"/>
  <c r="AT1573" i="1"/>
  <c r="AO1573" i="1" s="1"/>
  <c r="AT1574" i="1"/>
  <c r="AO1574" i="1" s="1"/>
  <c r="AT1575" i="1"/>
  <c r="AO1575" i="1" s="1"/>
  <c r="AT1576" i="1"/>
  <c r="AT1577" i="1"/>
  <c r="AO1577" i="1" s="1"/>
  <c r="AT1578" i="1"/>
  <c r="AT1579" i="1"/>
  <c r="AT1580" i="1"/>
  <c r="AT1581" i="1"/>
  <c r="AT1582" i="1"/>
  <c r="AO1582" i="1" s="1"/>
  <c r="AT1583" i="1"/>
  <c r="AO1583" i="1" s="1"/>
  <c r="AT1584" i="1"/>
  <c r="AO1584" i="1" s="1"/>
  <c r="AT1585" i="1"/>
  <c r="AO1585" i="1" s="1"/>
  <c r="AT1586" i="1"/>
  <c r="AT1587" i="1"/>
  <c r="AO1587" i="1" s="1"/>
  <c r="AT1588" i="1"/>
  <c r="AT1589" i="1"/>
  <c r="AO1589" i="1" s="1"/>
  <c r="AT1590" i="1"/>
  <c r="AO1590" i="1" s="1"/>
  <c r="AT1591" i="1"/>
  <c r="AO1591" i="1" s="1"/>
  <c r="AT1592" i="1"/>
  <c r="AT1593" i="1"/>
  <c r="AO1593" i="1" s="1"/>
  <c r="AT1594" i="1"/>
  <c r="AT1595" i="1"/>
  <c r="AT1596" i="1"/>
  <c r="AT1597" i="1"/>
  <c r="AO1597" i="1" s="1"/>
  <c r="AT1598" i="1"/>
  <c r="AO1598" i="1" s="1"/>
  <c r="AT1599" i="1"/>
  <c r="AO1599" i="1" s="1"/>
  <c r="AT1600" i="1"/>
  <c r="AO1600" i="1" s="1"/>
  <c r="AT1601" i="1"/>
  <c r="AO1601" i="1" s="1"/>
  <c r="AT1602" i="1"/>
  <c r="AT1603" i="1"/>
  <c r="AT1604" i="1"/>
  <c r="AT1605" i="1"/>
  <c r="AO1605" i="1" s="1"/>
  <c r="AT1606" i="1"/>
  <c r="AO1606" i="1" s="1"/>
  <c r="AT1607" i="1"/>
  <c r="AO1607" i="1" s="1"/>
  <c r="AT1608" i="1"/>
  <c r="AT1609" i="1"/>
  <c r="AO1609" i="1" s="1"/>
  <c r="AT1610" i="1"/>
  <c r="AT1611" i="1"/>
  <c r="AT1612" i="1"/>
  <c r="AT1613" i="1"/>
  <c r="AT1614" i="1"/>
  <c r="AO1614" i="1" s="1"/>
  <c r="AT1615" i="1"/>
  <c r="AO1615" i="1" s="1"/>
  <c r="AT1616" i="1"/>
  <c r="AO1616" i="1" s="1"/>
  <c r="AT1617" i="1"/>
  <c r="AT1618" i="1"/>
  <c r="AO1618" i="1" s="1"/>
  <c r="AT1619" i="1"/>
  <c r="AO1619" i="1" s="1"/>
  <c r="AT1620" i="1"/>
  <c r="AT1621" i="1"/>
  <c r="AO1621" i="1" s="1"/>
  <c r="AT1622" i="1"/>
  <c r="AO1622" i="1" s="1"/>
  <c r="AT1623" i="1"/>
  <c r="AO1623" i="1" s="1"/>
  <c r="AT1624" i="1"/>
  <c r="AT1625" i="1"/>
  <c r="AO1625" i="1" s="1"/>
  <c r="AT1626" i="1"/>
  <c r="AT1627" i="1"/>
  <c r="AT1628" i="1"/>
  <c r="AT1629" i="1"/>
  <c r="AT1630" i="1"/>
  <c r="AO1630" i="1" s="1"/>
  <c r="AT1631" i="1"/>
  <c r="AO1631" i="1" s="1"/>
  <c r="AT1632" i="1"/>
  <c r="AO1632" i="1" s="1"/>
  <c r="AT1633" i="1"/>
  <c r="AT1634" i="1"/>
  <c r="AT1635" i="1"/>
  <c r="AO1635" i="1" s="1"/>
  <c r="AT1636" i="1"/>
  <c r="AT1637" i="1"/>
  <c r="AO1637" i="1" s="1"/>
  <c r="AT1638" i="1"/>
  <c r="AO1638" i="1" s="1"/>
  <c r="AT1639" i="1"/>
  <c r="AO1639" i="1" s="1"/>
  <c r="AT1640" i="1"/>
  <c r="AT1641" i="1"/>
  <c r="AO1641" i="1" s="1"/>
  <c r="AT1642" i="1"/>
  <c r="AT1643" i="1"/>
  <c r="AT1644" i="1"/>
  <c r="AT1645" i="1"/>
  <c r="AT1646" i="1"/>
  <c r="AO1646" i="1" s="1"/>
  <c r="AT1647" i="1"/>
  <c r="AO1647" i="1" s="1"/>
  <c r="AT1648" i="1"/>
  <c r="AO1648" i="1" s="1"/>
  <c r="AT1649" i="1"/>
  <c r="AT1650" i="1"/>
  <c r="AT1651" i="1"/>
  <c r="AO1651" i="1" s="1"/>
  <c r="AT1652" i="1"/>
  <c r="AT1653" i="1"/>
  <c r="AO1653" i="1" s="1"/>
  <c r="AT1654" i="1"/>
  <c r="AO1654" i="1" s="1"/>
  <c r="AT1655" i="1"/>
  <c r="AO1655" i="1" s="1"/>
  <c r="AT1656" i="1"/>
  <c r="AT1657" i="1"/>
  <c r="AO1657" i="1" s="1"/>
  <c r="AT1658" i="1"/>
  <c r="AT1659" i="1"/>
  <c r="AT1660" i="1"/>
  <c r="AT1661" i="1"/>
  <c r="AO1661" i="1" s="1"/>
  <c r="AT1662" i="1"/>
  <c r="AO1662" i="1" s="1"/>
  <c r="AT1663" i="1"/>
  <c r="AO1663" i="1" s="1"/>
  <c r="AT1664" i="1"/>
  <c r="AT1665" i="1"/>
  <c r="AT1666" i="1"/>
  <c r="AT1667" i="1"/>
  <c r="AO1667" i="1" s="1"/>
  <c r="AT1668" i="1"/>
  <c r="AT1669" i="1"/>
  <c r="AO1669" i="1" s="1"/>
  <c r="AT1670" i="1"/>
  <c r="AO1670" i="1" s="1"/>
  <c r="AT1671" i="1"/>
  <c r="AO1671" i="1" s="1"/>
  <c r="AT1672" i="1"/>
  <c r="AT1673" i="1"/>
  <c r="AO1673" i="1" s="1"/>
  <c r="AT1674" i="1"/>
  <c r="AT1675" i="1"/>
  <c r="AT1676" i="1"/>
  <c r="AT1677" i="1"/>
  <c r="AT1678" i="1"/>
  <c r="AO1678" i="1" s="1"/>
  <c r="AT1679" i="1"/>
  <c r="AO1679" i="1" s="1"/>
  <c r="AT1680" i="1"/>
  <c r="AO1680" i="1" s="1"/>
  <c r="AT1681" i="1"/>
  <c r="AO1681" i="1" s="1"/>
  <c r="AT1682" i="1"/>
  <c r="AO1682" i="1" s="1"/>
  <c r="AT1683" i="1"/>
  <c r="AO1683" i="1" s="1"/>
  <c r="AT1684" i="1"/>
  <c r="AT1685" i="1"/>
  <c r="AO1685" i="1" s="1"/>
  <c r="AT1686" i="1"/>
  <c r="AO1686" i="1" s="1"/>
  <c r="AT1687" i="1"/>
  <c r="AO1687" i="1" s="1"/>
  <c r="AT1688" i="1"/>
  <c r="AT1689" i="1"/>
  <c r="AO1689" i="1" s="1"/>
  <c r="AT1690" i="1"/>
  <c r="AS1296" i="1"/>
  <c r="AN1296" i="1" s="1"/>
  <c r="AS1297" i="1"/>
  <c r="AN1297" i="1" s="1"/>
  <c r="AS1298" i="1"/>
  <c r="AN1298" i="1" s="1"/>
  <c r="AS1299" i="1"/>
  <c r="AS1300" i="1"/>
  <c r="AN1300" i="1" s="1"/>
  <c r="AS1301" i="1"/>
  <c r="AN1301" i="1" s="1"/>
  <c r="AS1302" i="1"/>
  <c r="AS1303" i="1"/>
  <c r="AN1303" i="1" s="1"/>
  <c r="AS1304" i="1"/>
  <c r="AN1304" i="1" s="1"/>
  <c r="AS1305" i="1"/>
  <c r="AN1305" i="1" s="1"/>
  <c r="AS1306" i="1"/>
  <c r="AN1306" i="1" s="1"/>
  <c r="AS1307" i="1"/>
  <c r="AN1307" i="1" s="1"/>
  <c r="AS1308" i="1"/>
  <c r="AN1308" i="1" s="1"/>
  <c r="AS1309" i="1"/>
  <c r="AN1309" i="1" s="1"/>
  <c r="AS1310" i="1"/>
  <c r="AS1311" i="1"/>
  <c r="AN1311" i="1" s="1"/>
  <c r="AS1312" i="1"/>
  <c r="AN1312" i="1" s="1"/>
  <c r="AS1313" i="1"/>
  <c r="AN1313" i="1" s="1"/>
  <c r="AS1314" i="1"/>
  <c r="AN1314" i="1" s="1"/>
  <c r="AS1315" i="1"/>
  <c r="AS1316" i="1"/>
  <c r="AN1316" i="1" s="1"/>
  <c r="AS1317" i="1"/>
  <c r="AN1317" i="1" s="1"/>
  <c r="AS1318" i="1"/>
  <c r="AS1319" i="1"/>
  <c r="AN1319" i="1" s="1"/>
  <c r="AS1320" i="1"/>
  <c r="AN1320" i="1" s="1"/>
  <c r="AS1321" i="1"/>
  <c r="AN1321" i="1" s="1"/>
  <c r="AS1322" i="1"/>
  <c r="AS1323" i="1"/>
  <c r="AS1324" i="1"/>
  <c r="AN1324" i="1" s="1"/>
  <c r="AS1325" i="1"/>
  <c r="AN1325" i="1" s="1"/>
  <c r="AS1326" i="1"/>
  <c r="AN1326" i="1" s="1"/>
  <c r="AS1327" i="1"/>
  <c r="AN1327" i="1" s="1"/>
  <c r="AS1328" i="1"/>
  <c r="AN1328" i="1" s="1"/>
  <c r="AS1329" i="1"/>
  <c r="AN1329" i="1" s="1"/>
  <c r="AS1330" i="1"/>
  <c r="AN1330" i="1" s="1"/>
  <c r="AS1331" i="1"/>
  <c r="AS1332" i="1"/>
  <c r="AN1332" i="1" s="1"/>
  <c r="AS1333" i="1"/>
  <c r="AN1333" i="1" s="1"/>
  <c r="AS1334" i="1"/>
  <c r="AS1335" i="1"/>
  <c r="AN1335" i="1" s="1"/>
  <c r="AS1336" i="1"/>
  <c r="AN1336" i="1" s="1"/>
  <c r="AS1337" i="1"/>
  <c r="AN1337" i="1" s="1"/>
  <c r="AS1338" i="1"/>
  <c r="AN1338" i="1" s="1"/>
  <c r="AS1339" i="1"/>
  <c r="AS1340" i="1"/>
  <c r="AN1340" i="1" s="1"/>
  <c r="AS1341" i="1"/>
  <c r="AN1341" i="1" s="1"/>
  <c r="AS1342" i="1"/>
  <c r="AN1342" i="1" s="1"/>
  <c r="AS1343" i="1"/>
  <c r="AN1343" i="1" s="1"/>
  <c r="AS1344" i="1"/>
  <c r="AN1344" i="1" s="1"/>
  <c r="AS1345" i="1"/>
  <c r="AN1345" i="1" s="1"/>
  <c r="AS1346" i="1"/>
  <c r="AN1346" i="1" s="1"/>
  <c r="AS1347" i="1"/>
  <c r="AS1348" i="1"/>
  <c r="AN1348" i="1" s="1"/>
  <c r="AS1349" i="1"/>
  <c r="AN1349" i="1" s="1"/>
  <c r="AS1350" i="1"/>
  <c r="AS1351" i="1"/>
  <c r="AN1351" i="1" s="1"/>
  <c r="AS1352" i="1"/>
  <c r="AN1352" i="1" s="1"/>
  <c r="AS1353" i="1"/>
  <c r="AN1353" i="1" s="1"/>
  <c r="AS1354" i="1"/>
  <c r="AN1354" i="1" s="1"/>
  <c r="AS1355" i="1"/>
  <c r="AS1356" i="1"/>
  <c r="AN1356" i="1" s="1"/>
  <c r="AS1357" i="1"/>
  <c r="AN1357" i="1" s="1"/>
  <c r="AS1358" i="1"/>
  <c r="AS1359" i="1"/>
  <c r="AN1359" i="1" s="1"/>
  <c r="AS1360" i="1"/>
  <c r="AN1360" i="1" s="1"/>
  <c r="AS1361" i="1"/>
  <c r="AN1361" i="1" s="1"/>
  <c r="AS1362" i="1"/>
  <c r="AS1363" i="1"/>
  <c r="AS1364" i="1"/>
  <c r="AN1364" i="1" s="1"/>
  <c r="AS1365" i="1"/>
  <c r="AN1365" i="1" s="1"/>
  <c r="AS1366" i="1"/>
  <c r="AN1366" i="1" s="1"/>
  <c r="AS1367" i="1"/>
  <c r="AS1368" i="1"/>
  <c r="AN1368" i="1" s="1"/>
  <c r="AS1369" i="1"/>
  <c r="AN1369" i="1" s="1"/>
  <c r="AS1370" i="1"/>
  <c r="AN1370" i="1" s="1"/>
  <c r="AS1371" i="1"/>
  <c r="AN1371" i="1" s="1"/>
  <c r="AS1372" i="1"/>
  <c r="AN1372" i="1" s="1"/>
  <c r="AS1373" i="1"/>
  <c r="AN1373" i="1" s="1"/>
  <c r="AS1374" i="1"/>
  <c r="AN1374" i="1" s="1"/>
  <c r="AS1375" i="1"/>
  <c r="AN1375" i="1" s="1"/>
  <c r="AS1376" i="1"/>
  <c r="AN1376" i="1" s="1"/>
  <c r="AS1377" i="1"/>
  <c r="AN1377" i="1" s="1"/>
  <c r="AS1378" i="1"/>
  <c r="AN1378" i="1" s="1"/>
  <c r="AS1379" i="1"/>
  <c r="AS1380" i="1"/>
  <c r="AN1380" i="1" s="1"/>
  <c r="AS1381" i="1"/>
  <c r="AN1381" i="1" s="1"/>
  <c r="AS1382" i="1"/>
  <c r="AN1382" i="1" s="1"/>
  <c r="AS1383" i="1"/>
  <c r="AN1383" i="1" s="1"/>
  <c r="AS1384" i="1"/>
  <c r="AN1384" i="1" s="1"/>
  <c r="AS1385" i="1"/>
  <c r="AN1385" i="1" s="1"/>
  <c r="AS1386" i="1"/>
  <c r="AN1386" i="1" s="1"/>
  <c r="AS1387" i="1"/>
  <c r="AS1388" i="1"/>
  <c r="AN1388" i="1" s="1"/>
  <c r="AS1389" i="1"/>
  <c r="AN1389" i="1" s="1"/>
  <c r="AS1390" i="1"/>
  <c r="AN1390" i="1" s="1"/>
  <c r="AS1391" i="1"/>
  <c r="AN1391" i="1" s="1"/>
  <c r="AS1392" i="1"/>
  <c r="AN1392" i="1" s="1"/>
  <c r="AS1393" i="1"/>
  <c r="AN1393" i="1" s="1"/>
  <c r="AS1394" i="1"/>
  <c r="AN1394" i="1" s="1"/>
  <c r="AS1395" i="1"/>
  <c r="AS1396" i="1"/>
  <c r="AN1396" i="1" s="1"/>
  <c r="AS1397" i="1"/>
  <c r="AN1397" i="1" s="1"/>
  <c r="AS1398" i="1"/>
  <c r="AN1398" i="1" s="1"/>
  <c r="AS1399" i="1"/>
  <c r="AN1399" i="1" s="1"/>
  <c r="AS1400" i="1"/>
  <c r="AS1401" i="1"/>
  <c r="AN1401" i="1" s="1"/>
  <c r="AS1402" i="1"/>
  <c r="AN1402" i="1" s="1"/>
  <c r="AS1403" i="1"/>
  <c r="AS1404" i="1"/>
  <c r="AS1405" i="1"/>
  <c r="AN1405" i="1" s="1"/>
  <c r="AS1406" i="1"/>
  <c r="AN1406" i="1" s="1"/>
  <c r="AS1407" i="1"/>
  <c r="AN1407" i="1" s="1"/>
  <c r="AS1408" i="1"/>
  <c r="AN1408" i="1" s="1"/>
  <c r="AS1409" i="1"/>
  <c r="AN1409" i="1" s="1"/>
  <c r="AS1410" i="1"/>
  <c r="AN1410" i="1" s="1"/>
  <c r="AS1411" i="1"/>
  <c r="AS1412" i="1"/>
  <c r="AN1412" i="1" s="1"/>
  <c r="AS1413" i="1"/>
  <c r="AN1413" i="1" s="1"/>
  <c r="AS1414" i="1"/>
  <c r="AN1414" i="1" s="1"/>
  <c r="AS1415" i="1"/>
  <c r="AN1415" i="1" s="1"/>
  <c r="AS1416" i="1"/>
  <c r="AN1416" i="1" s="1"/>
  <c r="AS1417" i="1"/>
  <c r="AN1417" i="1" s="1"/>
  <c r="AS1418" i="1"/>
  <c r="AN1418" i="1" s="1"/>
  <c r="AS1419" i="1"/>
  <c r="AS1420" i="1"/>
  <c r="AN1420" i="1" s="1"/>
  <c r="AS1421" i="1"/>
  <c r="AN1421" i="1" s="1"/>
  <c r="AS1422" i="1"/>
  <c r="AN1422" i="1" s="1"/>
  <c r="AS1423" i="1"/>
  <c r="AN1423" i="1" s="1"/>
  <c r="AS1424" i="1"/>
  <c r="AS1425" i="1"/>
  <c r="AS1426" i="1"/>
  <c r="AN1426" i="1" s="1"/>
  <c r="AS1427" i="1"/>
  <c r="AS1428" i="1"/>
  <c r="AN1428" i="1" s="1"/>
  <c r="AS1429" i="1"/>
  <c r="AN1429" i="1" s="1"/>
  <c r="AS1430" i="1"/>
  <c r="AN1430" i="1" s="1"/>
  <c r="AS1431" i="1"/>
  <c r="AS1432" i="1"/>
  <c r="AN1432" i="1" s="1"/>
  <c r="AS1433" i="1"/>
  <c r="AN1433" i="1" s="1"/>
  <c r="AS1434" i="1"/>
  <c r="AN1434" i="1" s="1"/>
  <c r="AS1435" i="1"/>
  <c r="AN1435" i="1" s="1"/>
  <c r="AS1436" i="1"/>
  <c r="AN1436" i="1" s="1"/>
  <c r="AS1437" i="1"/>
  <c r="AN1437" i="1" s="1"/>
  <c r="AS1438" i="1"/>
  <c r="AN1438" i="1" s="1"/>
  <c r="AS1439" i="1"/>
  <c r="AN1439" i="1" s="1"/>
  <c r="AS1440" i="1"/>
  <c r="AN1440" i="1" s="1"/>
  <c r="AS1441" i="1"/>
  <c r="AN1441" i="1" s="1"/>
  <c r="AS1442" i="1"/>
  <c r="AN1442" i="1" s="1"/>
  <c r="AS1443" i="1"/>
  <c r="AS1444" i="1"/>
  <c r="AN1444" i="1" s="1"/>
  <c r="AS1445" i="1"/>
  <c r="AN1445" i="1" s="1"/>
  <c r="AS1446" i="1"/>
  <c r="AN1446" i="1" s="1"/>
  <c r="AS1447" i="1"/>
  <c r="AN1447" i="1" s="1"/>
  <c r="AS1448" i="1"/>
  <c r="AN1448" i="1" s="1"/>
  <c r="AS1449" i="1"/>
  <c r="AN1449" i="1" s="1"/>
  <c r="AS1450" i="1"/>
  <c r="AN1450" i="1" s="1"/>
  <c r="AS1451" i="1"/>
  <c r="AS1452" i="1"/>
  <c r="AN1452" i="1" s="1"/>
  <c r="AS1453" i="1"/>
  <c r="AN1453" i="1" s="1"/>
  <c r="AS1454" i="1"/>
  <c r="AN1454" i="1" s="1"/>
  <c r="AS1455" i="1"/>
  <c r="AN1455" i="1" s="1"/>
  <c r="AS1456" i="1"/>
  <c r="AN1456" i="1" s="1"/>
  <c r="AS1457" i="1"/>
  <c r="AN1457" i="1" s="1"/>
  <c r="AS1458" i="1"/>
  <c r="AN1458" i="1" s="1"/>
  <c r="AS1459" i="1"/>
  <c r="AS1460" i="1"/>
  <c r="AN1460" i="1" s="1"/>
  <c r="AS1461" i="1"/>
  <c r="AN1461" i="1" s="1"/>
  <c r="AS1462" i="1"/>
  <c r="AS1463" i="1"/>
  <c r="AN1463" i="1" s="1"/>
  <c r="AS1464" i="1"/>
  <c r="AN1464" i="1" s="1"/>
  <c r="AS1465" i="1"/>
  <c r="AN1465" i="1" s="1"/>
  <c r="AS1466" i="1"/>
  <c r="AN1466" i="1" s="1"/>
  <c r="AS1467" i="1"/>
  <c r="AS1468" i="1"/>
  <c r="AN1468" i="1" s="1"/>
  <c r="AS1469" i="1"/>
  <c r="AN1469" i="1" s="1"/>
  <c r="AS1470" i="1"/>
  <c r="AN1470" i="1" s="1"/>
  <c r="AS1471" i="1"/>
  <c r="AN1471" i="1" s="1"/>
  <c r="AS1472" i="1"/>
  <c r="AN1472" i="1" s="1"/>
  <c r="AS1473" i="1"/>
  <c r="AN1473" i="1" s="1"/>
  <c r="AS1474" i="1"/>
  <c r="AN1474" i="1" s="1"/>
  <c r="AS1475" i="1"/>
  <c r="AS1476" i="1"/>
  <c r="AN1476" i="1" s="1"/>
  <c r="AS1477" i="1"/>
  <c r="AN1477" i="1" s="1"/>
  <c r="AS1478" i="1"/>
  <c r="AN1478" i="1" s="1"/>
  <c r="AS1479" i="1"/>
  <c r="AN1479" i="1" s="1"/>
  <c r="AS1480" i="1"/>
  <c r="AS1481" i="1"/>
  <c r="AN1481" i="1" s="1"/>
  <c r="AS1482" i="1"/>
  <c r="AN1482" i="1" s="1"/>
  <c r="AS1483" i="1"/>
  <c r="AS1484" i="1"/>
  <c r="AS1485" i="1"/>
  <c r="AN1485" i="1" s="1"/>
  <c r="AS1486" i="1"/>
  <c r="AN1486" i="1" s="1"/>
  <c r="AS1487" i="1"/>
  <c r="AN1487" i="1" s="1"/>
  <c r="AS1488" i="1"/>
  <c r="AN1488" i="1" s="1"/>
  <c r="AS1489" i="1"/>
  <c r="AN1489" i="1" s="1"/>
  <c r="AS1490" i="1"/>
  <c r="AN1490" i="1" s="1"/>
  <c r="AS1491" i="1"/>
  <c r="AS1492" i="1"/>
  <c r="AN1492" i="1" s="1"/>
  <c r="AS1493" i="1"/>
  <c r="AN1493" i="1" s="1"/>
  <c r="AS1494" i="1"/>
  <c r="AN1494" i="1" s="1"/>
  <c r="AS1495" i="1"/>
  <c r="AS1496" i="1"/>
  <c r="AN1496" i="1" s="1"/>
  <c r="AS1497" i="1"/>
  <c r="AN1497" i="1" s="1"/>
  <c r="AS1498" i="1"/>
  <c r="AN1498" i="1" s="1"/>
  <c r="AS1499" i="1"/>
  <c r="AN1499" i="1" s="1"/>
  <c r="AS1500" i="1"/>
  <c r="AN1500" i="1" s="1"/>
  <c r="AS1501" i="1"/>
  <c r="AN1501" i="1" s="1"/>
  <c r="AS1502" i="1"/>
  <c r="AN1502" i="1" s="1"/>
  <c r="AS1503" i="1"/>
  <c r="AN1503" i="1" s="1"/>
  <c r="AS1504" i="1"/>
  <c r="AN1504" i="1" s="1"/>
  <c r="AS1505" i="1"/>
  <c r="AN1505" i="1" s="1"/>
  <c r="AS1506" i="1"/>
  <c r="AN1506" i="1" s="1"/>
  <c r="AS1507" i="1"/>
  <c r="AS1508" i="1"/>
  <c r="AN1508" i="1" s="1"/>
  <c r="AS1509" i="1"/>
  <c r="AN1509" i="1" s="1"/>
  <c r="AS1510" i="1"/>
  <c r="AN1510" i="1" s="1"/>
  <c r="AS1511" i="1"/>
  <c r="AN1511" i="1" s="1"/>
  <c r="AS1512" i="1"/>
  <c r="AN1512" i="1" s="1"/>
  <c r="AS1513" i="1"/>
  <c r="AN1513" i="1" s="1"/>
  <c r="AS1514" i="1"/>
  <c r="AN1514" i="1" s="1"/>
  <c r="AS1515" i="1"/>
  <c r="AS1516" i="1"/>
  <c r="AS1517" i="1"/>
  <c r="AN1517" i="1" s="1"/>
  <c r="AS1518" i="1"/>
  <c r="AN1518" i="1" s="1"/>
  <c r="AS1519" i="1"/>
  <c r="AN1519" i="1" s="1"/>
  <c r="AS1520" i="1"/>
  <c r="AN1520" i="1" s="1"/>
  <c r="AS1521" i="1"/>
  <c r="AN1521" i="1" s="1"/>
  <c r="AS1522" i="1"/>
  <c r="AN1522" i="1" s="1"/>
  <c r="AS1523" i="1"/>
  <c r="AS1524" i="1"/>
  <c r="AN1524" i="1" s="1"/>
  <c r="AS1525" i="1"/>
  <c r="AN1525" i="1" s="1"/>
  <c r="AS1526" i="1"/>
  <c r="AN1526" i="1" s="1"/>
  <c r="AS1527" i="1"/>
  <c r="AS1528" i="1"/>
  <c r="AN1528" i="1" s="1"/>
  <c r="AS1529" i="1"/>
  <c r="AN1529" i="1" s="1"/>
  <c r="AS1530" i="1"/>
  <c r="AN1530" i="1" s="1"/>
  <c r="AS1531" i="1"/>
  <c r="AS1532" i="1"/>
  <c r="AN1532" i="1" s="1"/>
  <c r="AS1533" i="1"/>
  <c r="AN1533" i="1" s="1"/>
  <c r="AS1534" i="1"/>
  <c r="AN1534" i="1" s="1"/>
  <c r="AS1535" i="1"/>
  <c r="AN1535" i="1" s="1"/>
  <c r="AS1536" i="1"/>
  <c r="AN1536" i="1" s="1"/>
  <c r="AS1537" i="1"/>
  <c r="AN1537" i="1" s="1"/>
  <c r="AS1538" i="1"/>
  <c r="AN1538" i="1" s="1"/>
  <c r="AS1539" i="1"/>
  <c r="AS1540" i="1"/>
  <c r="AN1540" i="1" s="1"/>
  <c r="AS1541" i="1"/>
  <c r="AN1541" i="1" s="1"/>
  <c r="AS1542" i="1"/>
  <c r="AN1542" i="1" s="1"/>
  <c r="AS1543" i="1"/>
  <c r="AN1543" i="1" s="1"/>
  <c r="AS1544" i="1"/>
  <c r="AN1544" i="1" s="1"/>
  <c r="AS1545" i="1"/>
  <c r="AN1545" i="1" s="1"/>
  <c r="AS1546" i="1"/>
  <c r="AN1546" i="1" s="1"/>
  <c r="AS1547" i="1"/>
  <c r="AS1548" i="1"/>
  <c r="AN1548" i="1" s="1"/>
  <c r="AS1549" i="1"/>
  <c r="AN1549" i="1" s="1"/>
  <c r="AS1550" i="1"/>
  <c r="AN1550" i="1" s="1"/>
  <c r="AS1551" i="1"/>
  <c r="AN1551" i="1" s="1"/>
  <c r="AS1552" i="1"/>
  <c r="AN1552" i="1" s="1"/>
  <c r="AS1553" i="1"/>
  <c r="AN1553" i="1" s="1"/>
  <c r="AS1554" i="1"/>
  <c r="AN1554" i="1" s="1"/>
  <c r="AS1555" i="1"/>
  <c r="AS1556" i="1"/>
  <c r="AN1556" i="1" s="1"/>
  <c r="AS1557" i="1"/>
  <c r="AN1557" i="1" s="1"/>
  <c r="AS1558" i="1"/>
  <c r="AN1558" i="1" s="1"/>
  <c r="AS1559" i="1"/>
  <c r="AS1560" i="1"/>
  <c r="AN1560" i="1" s="1"/>
  <c r="AS1561" i="1"/>
  <c r="AN1561" i="1" s="1"/>
  <c r="AS1562" i="1"/>
  <c r="AN1562" i="1" s="1"/>
  <c r="AS1563" i="1"/>
  <c r="AN1563" i="1" s="1"/>
  <c r="AS1564" i="1"/>
  <c r="AS1565" i="1"/>
  <c r="AN1565" i="1" s="1"/>
  <c r="AS1566" i="1"/>
  <c r="AN1566" i="1" s="1"/>
  <c r="AS1567" i="1"/>
  <c r="AN1567" i="1" s="1"/>
  <c r="AS1568" i="1"/>
  <c r="AN1568" i="1" s="1"/>
  <c r="AS1569" i="1"/>
  <c r="AN1569" i="1" s="1"/>
  <c r="AS1570" i="1"/>
  <c r="AN1570" i="1" s="1"/>
  <c r="AS1571" i="1"/>
  <c r="AS1572" i="1"/>
  <c r="AN1572" i="1" s="1"/>
  <c r="AS1573" i="1"/>
  <c r="AN1573" i="1" s="1"/>
  <c r="AS1574" i="1"/>
  <c r="AN1574" i="1" s="1"/>
  <c r="AS1575" i="1"/>
  <c r="AN1575" i="1" s="1"/>
  <c r="AS1576" i="1"/>
  <c r="AN1576" i="1" s="1"/>
  <c r="AS1577" i="1"/>
  <c r="AN1577" i="1" s="1"/>
  <c r="AS1578" i="1"/>
  <c r="AN1578" i="1" s="1"/>
  <c r="AS1579" i="1"/>
  <c r="AS1580" i="1"/>
  <c r="AN1580" i="1" s="1"/>
  <c r="AS1581" i="1"/>
  <c r="AN1581" i="1" s="1"/>
  <c r="AS1582" i="1"/>
  <c r="AN1582" i="1" s="1"/>
  <c r="AS1583" i="1"/>
  <c r="AN1583" i="1" s="1"/>
  <c r="AS1584" i="1"/>
  <c r="AS1585" i="1"/>
  <c r="AN1585" i="1" s="1"/>
  <c r="AS1586" i="1"/>
  <c r="AN1586" i="1" s="1"/>
  <c r="AS1587" i="1"/>
  <c r="AS1588" i="1"/>
  <c r="AN1588" i="1" s="1"/>
  <c r="AS1589" i="1"/>
  <c r="AN1589" i="1" s="1"/>
  <c r="AS1590" i="1"/>
  <c r="AN1590" i="1" s="1"/>
  <c r="AS1591" i="1"/>
  <c r="AN1591" i="1" s="1"/>
  <c r="AS1592" i="1"/>
  <c r="AS1593" i="1"/>
  <c r="AN1593" i="1" s="1"/>
  <c r="AS1594" i="1"/>
  <c r="AN1594" i="1" s="1"/>
  <c r="AS1595" i="1"/>
  <c r="AS1596" i="1"/>
  <c r="AS1597" i="1"/>
  <c r="AN1597" i="1" s="1"/>
  <c r="AS1598" i="1"/>
  <c r="AN1598" i="1" s="1"/>
  <c r="AS1599" i="1"/>
  <c r="AN1599" i="1" s="1"/>
  <c r="AS1600" i="1"/>
  <c r="AN1600" i="1" s="1"/>
  <c r="AS1601" i="1"/>
  <c r="AN1601" i="1" s="1"/>
  <c r="AS1602" i="1"/>
  <c r="AN1602" i="1" s="1"/>
  <c r="AS1603" i="1"/>
  <c r="AS1604" i="1"/>
  <c r="AN1604" i="1" s="1"/>
  <c r="AS1605" i="1"/>
  <c r="AN1605" i="1" s="1"/>
  <c r="AS1606" i="1"/>
  <c r="AS1607" i="1"/>
  <c r="AN1607" i="1" s="1"/>
  <c r="AS1608" i="1"/>
  <c r="AN1608" i="1" s="1"/>
  <c r="AS1609" i="1"/>
  <c r="AN1609" i="1" s="1"/>
  <c r="AS1610" i="1"/>
  <c r="AN1610" i="1" s="1"/>
  <c r="AS1611" i="1"/>
  <c r="AS1612" i="1"/>
  <c r="AN1612" i="1" s="1"/>
  <c r="AS1613" i="1"/>
  <c r="AN1613" i="1" s="1"/>
  <c r="AS1614" i="1"/>
  <c r="AN1614" i="1" s="1"/>
  <c r="AS1615" i="1"/>
  <c r="AN1615" i="1" s="1"/>
  <c r="AS1616" i="1"/>
  <c r="AN1616" i="1" s="1"/>
  <c r="AS1617" i="1"/>
  <c r="AN1617" i="1" s="1"/>
  <c r="AS1618" i="1"/>
  <c r="AN1618" i="1" s="1"/>
  <c r="AS1619" i="1"/>
  <c r="AS1620" i="1"/>
  <c r="AN1620" i="1" s="1"/>
  <c r="AS1621" i="1"/>
  <c r="AN1621" i="1" s="1"/>
  <c r="AS1622" i="1"/>
  <c r="AN1622" i="1" s="1"/>
  <c r="AS1623" i="1"/>
  <c r="AS1624" i="1"/>
  <c r="AN1624" i="1" s="1"/>
  <c r="AS1625" i="1"/>
  <c r="AN1625" i="1" s="1"/>
  <c r="AS1626" i="1"/>
  <c r="AN1626" i="1" s="1"/>
  <c r="AS1627" i="1"/>
  <c r="AN1627" i="1" s="1"/>
  <c r="AS1628" i="1"/>
  <c r="AN1628" i="1" s="1"/>
  <c r="AS1629" i="1"/>
  <c r="AN1629" i="1" s="1"/>
  <c r="AS1630" i="1"/>
  <c r="AN1630" i="1" s="1"/>
  <c r="AS1631" i="1"/>
  <c r="AN1631" i="1" s="1"/>
  <c r="AS1632" i="1"/>
  <c r="AS1633" i="1"/>
  <c r="AS1634" i="1"/>
  <c r="AN1634" i="1" s="1"/>
  <c r="AS1635" i="1"/>
  <c r="AS1636" i="1"/>
  <c r="AN1636" i="1" s="1"/>
  <c r="AS1637" i="1"/>
  <c r="AN1637" i="1" s="1"/>
  <c r="AS1638" i="1"/>
  <c r="AS1639" i="1"/>
  <c r="AN1639" i="1" s="1"/>
  <c r="AS1640" i="1"/>
  <c r="AN1640" i="1" s="1"/>
  <c r="AS1641" i="1"/>
  <c r="AN1641" i="1" s="1"/>
  <c r="AS1642" i="1"/>
  <c r="AN1642" i="1" s="1"/>
  <c r="AS1643" i="1"/>
  <c r="AS1644" i="1"/>
  <c r="AN1644" i="1" s="1"/>
  <c r="AS1645" i="1"/>
  <c r="AN1645" i="1" s="1"/>
  <c r="AS1646" i="1"/>
  <c r="AN1646" i="1" s="1"/>
  <c r="AS1647" i="1"/>
  <c r="AN1647" i="1" s="1"/>
  <c r="AS1648" i="1"/>
  <c r="AN1648" i="1" s="1"/>
  <c r="AS1649" i="1"/>
  <c r="AN1649" i="1" s="1"/>
  <c r="AS1650" i="1"/>
  <c r="AN1650" i="1" s="1"/>
  <c r="AS1651" i="1"/>
  <c r="AS1652" i="1"/>
  <c r="AN1652" i="1" s="1"/>
  <c r="AS1653" i="1"/>
  <c r="AN1653" i="1" s="1"/>
  <c r="AS1654" i="1"/>
  <c r="AN1654" i="1" s="1"/>
  <c r="AS1655" i="1"/>
  <c r="AS1656" i="1"/>
  <c r="AN1656" i="1" s="1"/>
  <c r="AS1657" i="1"/>
  <c r="AN1657" i="1" s="1"/>
  <c r="AS1658" i="1"/>
  <c r="AN1658" i="1" s="1"/>
  <c r="AS1659" i="1"/>
  <c r="AS1660" i="1"/>
  <c r="AN1660" i="1" s="1"/>
  <c r="AS1661" i="1"/>
  <c r="AN1661" i="1" s="1"/>
  <c r="AS1662" i="1"/>
  <c r="AN1662" i="1" s="1"/>
  <c r="AS1663" i="1"/>
  <c r="AN1663" i="1" s="1"/>
  <c r="AS1664" i="1"/>
  <c r="AN1664" i="1" s="1"/>
  <c r="AS1665" i="1"/>
  <c r="AN1665" i="1" s="1"/>
  <c r="AS1666" i="1"/>
  <c r="AN1666" i="1" s="1"/>
  <c r="AS1667" i="1"/>
  <c r="AS1668" i="1"/>
  <c r="AN1668" i="1" s="1"/>
  <c r="AS1669" i="1"/>
  <c r="AN1669" i="1" s="1"/>
  <c r="AS1670" i="1"/>
  <c r="AN1670" i="1" s="1"/>
  <c r="AS1671" i="1"/>
  <c r="AN1671" i="1" s="1"/>
  <c r="AS1672" i="1"/>
  <c r="AN1672" i="1" s="1"/>
  <c r="AS1673" i="1"/>
  <c r="AN1673" i="1" s="1"/>
  <c r="AS1674" i="1"/>
  <c r="AN1674" i="1" s="1"/>
  <c r="AS1675" i="1"/>
  <c r="AS1676" i="1"/>
  <c r="AS1677" i="1"/>
  <c r="AN1677" i="1" s="1"/>
  <c r="AS1678" i="1"/>
  <c r="AN1678" i="1" s="1"/>
  <c r="AS1679" i="1"/>
  <c r="AN1679" i="1" s="1"/>
  <c r="AS1680" i="1"/>
  <c r="AN1680" i="1" s="1"/>
  <c r="AS1681" i="1"/>
  <c r="AN1681" i="1" s="1"/>
  <c r="AS1682" i="1"/>
  <c r="AN1682" i="1" s="1"/>
  <c r="AS1683" i="1"/>
  <c r="AS1684" i="1"/>
  <c r="AN1684" i="1" s="1"/>
  <c r="AS1685" i="1"/>
  <c r="AN1685" i="1" s="1"/>
  <c r="AS1686" i="1"/>
  <c r="AN1686" i="1" s="1"/>
  <c r="AS1687" i="1"/>
  <c r="AN1687" i="1" s="1"/>
  <c r="AS1688" i="1"/>
  <c r="AN1688" i="1" s="1"/>
  <c r="AS1689" i="1"/>
  <c r="AN1689" i="1" s="1"/>
  <c r="AS1690" i="1"/>
  <c r="AN1690" i="1" s="1"/>
  <c r="AR1296" i="1"/>
  <c r="AM1296" i="1" s="1"/>
  <c r="AR1297" i="1"/>
  <c r="AM1297" i="1" s="1"/>
  <c r="AR1298" i="1"/>
  <c r="AR1299" i="1"/>
  <c r="AM1299" i="1" s="1"/>
  <c r="AR1300" i="1"/>
  <c r="AM1300" i="1" s="1"/>
  <c r="AR1301" i="1"/>
  <c r="AM1301" i="1" s="1"/>
  <c r="AR1302" i="1"/>
  <c r="AM1302" i="1" s="1"/>
  <c r="AR1303" i="1"/>
  <c r="AM1303" i="1" s="1"/>
  <c r="AR1304" i="1"/>
  <c r="AM1304" i="1" s="1"/>
  <c r="AR1305" i="1"/>
  <c r="AM1305" i="1" s="1"/>
  <c r="AR1306" i="1"/>
  <c r="AM1306" i="1" s="1"/>
  <c r="AR1307" i="1"/>
  <c r="AM1307" i="1" s="1"/>
  <c r="AR1308" i="1"/>
  <c r="AM1308" i="1" s="1"/>
  <c r="AR1309" i="1"/>
  <c r="AM1309" i="1" s="1"/>
  <c r="AR1310" i="1"/>
  <c r="AM1310" i="1" s="1"/>
  <c r="AR1311" i="1"/>
  <c r="AM1311" i="1" s="1"/>
  <c r="AR1312" i="1"/>
  <c r="AM1312" i="1" s="1"/>
  <c r="AR1313" i="1"/>
  <c r="AM1313" i="1" s="1"/>
  <c r="AR1314" i="1"/>
  <c r="AR1315" i="1"/>
  <c r="AR1316" i="1"/>
  <c r="AM1316" i="1" s="1"/>
  <c r="AR1317" i="1"/>
  <c r="AM1317" i="1" s="1"/>
  <c r="AR1318" i="1"/>
  <c r="AM1318" i="1" s="1"/>
  <c r="AR1319" i="1"/>
  <c r="AM1319" i="1" s="1"/>
  <c r="AR1320" i="1"/>
  <c r="AM1320" i="1" s="1"/>
  <c r="AR1321" i="1"/>
  <c r="AR1322" i="1"/>
  <c r="AM1322" i="1" s="1"/>
  <c r="AR1323" i="1"/>
  <c r="AM1323" i="1" s="1"/>
  <c r="AR1324" i="1"/>
  <c r="AM1324" i="1" s="1"/>
  <c r="AR1325" i="1"/>
  <c r="AM1325" i="1" s="1"/>
  <c r="AR1326" i="1"/>
  <c r="AM1326" i="1" s="1"/>
  <c r="AR1327" i="1"/>
  <c r="AM1327" i="1" s="1"/>
  <c r="AR1328" i="1"/>
  <c r="AM1328" i="1" s="1"/>
  <c r="AR1329" i="1"/>
  <c r="AM1329" i="1" s="1"/>
  <c r="AR1330" i="1"/>
  <c r="AR1331" i="1"/>
  <c r="AR1332" i="1"/>
  <c r="AM1332" i="1" s="1"/>
  <c r="AR1333" i="1"/>
  <c r="AM1333" i="1" s="1"/>
  <c r="AR1334" i="1"/>
  <c r="AM1334" i="1" s="1"/>
  <c r="AR1335" i="1"/>
  <c r="AM1335" i="1" s="1"/>
  <c r="AR1336" i="1"/>
  <c r="AM1336" i="1" s="1"/>
  <c r="AR1337" i="1"/>
  <c r="AM1337" i="1" s="1"/>
  <c r="AR1338" i="1"/>
  <c r="AM1338" i="1" s="1"/>
  <c r="AR1339" i="1"/>
  <c r="AM1339" i="1" s="1"/>
  <c r="AR1340" i="1"/>
  <c r="AM1340" i="1" s="1"/>
  <c r="AR1341" i="1"/>
  <c r="AM1341" i="1" s="1"/>
  <c r="AR1342" i="1"/>
  <c r="AM1342" i="1" s="1"/>
  <c r="AR1343" i="1"/>
  <c r="AM1343" i="1" s="1"/>
  <c r="AR1344" i="1"/>
  <c r="AM1344" i="1" s="1"/>
  <c r="AR1345" i="1"/>
  <c r="AM1345" i="1" s="1"/>
  <c r="AR1346" i="1"/>
  <c r="AM1346" i="1" s="1"/>
  <c r="AR1347" i="1"/>
  <c r="AR1348" i="1"/>
  <c r="AM1348" i="1" s="1"/>
  <c r="AR1349" i="1"/>
  <c r="AM1349" i="1" s="1"/>
  <c r="AR1350" i="1"/>
  <c r="AM1350" i="1" s="1"/>
  <c r="AR1351" i="1"/>
  <c r="AM1351" i="1" s="1"/>
  <c r="AR1352" i="1"/>
  <c r="AM1352" i="1" s="1"/>
  <c r="AR1353" i="1"/>
  <c r="AM1353" i="1" s="1"/>
  <c r="AR1354" i="1"/>
  <c r="AM1354" i="1" s="1"/>
  <c r="AR1355" i="1"/>
  <c r="AM1355" i="1" s="1"/>
  <c r="AR1356" i="1"/>
  <c r="AM1356" i="1" s="1"/>
  <c r="AR1357" i="1"/>
  <c r="AM1357" i="1" s="1"/>
  <c r="AR1358" i="1"/>
  <c r="AM1358" i="1" s="1"/>
  <c r="AR1359" i="1"/>
  <c r="AM1359" i="1" s="1"/>
  <c r="AR1360" i="1"/>
  <c r="AM1360" i="1" s="1"/>
  <c r="AR1361" i="1"/>
  <c r="AM1361" i="1" s="1"/>
  <c r="AR1362" i="1"/>
  <c r="AR1363" i="1"/>
  <c r="AR1364" i="1"/>
  <c r="AM1364" i="1" s="1"/>
  <c r="AR1365" i="1"/>
  <c r="AM1365" i="1" s="1"/>
  <c r="AR1366" i="1"/>
  <c r="AM1366" i="1" s="1"/>
  <c r="AR1367" i="1"/>
  <c r="AM1367" i="1" s="1"/>
  <c r="AR1368" i="1"/>
  <c r="AM1368" i="1" s="1"/>
  <c r="AR1369" i="1"/>
  <c r="AR1370" i="1"/>
  <c r="AM1370" i="1" s="1"/>
  <c r="AR1371" i="1"/>
  <c r="AM1371" i="1" s="1"/>
  <c r="AR1372" i="1"/>
  <c r="AM1372" i="1" s="1"/>
  <c r="AR1373" i="1"/>
  <c r="AM1373" i="1" s="1"/>
  <c r="AR1374" i="1"/>
  <c r="AM1374" i="1" s="1"/>
  <c r="AR1375" i="1"/>
  <c r="AM1375" i="1" s="1"/>
  <c r="AR1376" i="1"/>
  <c r="AM1376" i="1" s="1"/>
  <c r="AR1377" i="1"/>
  <c r="AM1377" i="1" s="1"/>
  <c r="AR1378" i="1"/>
  <c r="AR1379" i="1"/>
  <c r="AR1380" i="1"/>
  <c r="AM1380" i="1" s="1"/>
  <c r="AR1381" i="1"/>
  <c r="AM1381" i="1" s="1"/>
  <c r="AR1382" i="1"/>
  <c r="AM1382" i="1" s="1"/>
  <c r="AR1383" i="1"/>
  <c r="AM1383" i="1" s="1"/>
  <c r="AR1384" i="1"/>
  <c r="AM1384" i="1" s="1"/>
  <c r="AR1385" i="1"/>
  <c r="AM1385" i="1" s="1"/>
  <c r="AR1386" i="1"/>
  <c r="AM1386" i="1" s="1"/>
  <c r="AR1387" i="1"/>
  <c r="AM1387" i="1" s="1"/>
  <c r="AR1388" i="1"/>
  <c r="AM1388" i="1" s="1"/>
  <c r="AR1389" i="1"/>
  <c r="AM1389" i="1" s="1"/>
  <c r="AR1390" i="1"/>
  <c r="AM1390" i="1" s="1"/>
  <c r="AR1391" i="1"/>
  <c r="AM1391" i="1" s="1"/>
  <c r="AR1392" i="1"/>
  <c r="AM1392" i="1" s="1"/>
  <c r="AR1393" i="1"/>
  <c r="AM1393" i="1" s="1"/>
  <c r="AR1394" i="1"/>
  <c r="AR1395" i="1"/>
  <c r="AM1395" i="1" s="1"/>
  <c r="AR1396" i="1"/>
  <c r="AM1396" i="1" s="1"/>
  <c r="AR1397" i="1"/>
  <c r="AM1397" i="1" s="1"/>
  <c r="AR1398" i="1"/>
  <c r="AM1398" i="1" s="1"/>
  <c r="AR1399" i="1"/>
  <c r="AM1399" i="1" s="1"/>
  <c r="AR1400" i="1"/>
  <c r="AM1400" i="1" s="1"/>
  <c r="AR1401" i="1"/>
  <c r="AM1401" i="1" s="1"/>
  <c r="AR1402" i="1"/>
  <c r="AM1402" i="1" s="1"/>
  <c r="AR1403" i="1"/>
  <c r="AM1403" i="1" s="1"/>
  <c r="AR1404" i="1"/>
  <c r="AM1404" i="1" s="1"/>
  <c r="AR1405" i="1"/>
  <c r="AM1405" i="1" s="1"/>
  <c r="AR1406" i="1"/>
  <c r="AM1406" i="1" s="1"/>
  <c r="AR1407" i="1"/>
  <c r="AM1407" i="1" s="1"/>
  <c r="AR1408" i="1"/>
  <c r="AM1408" i="1" s="1"/>
  <c r="AR1409" i="1"/>
  <c r="AM1409" i="1" s="1"/>
  <c r="AR1410" i="1"/>
  <c r="AR1411" i="1"/>
  <c r="AM1411" i="1" s="1"/>
  <c r="AR1412" i="1"/>
  <c r="AM1412" i="1" s="1"/>
  <c r="AR1413" i="1"/>
  <c r="AM1413" i="1" s="1"/>
  <c r="AR1414" i="1"/>
  <c r="AM1414" i="1" s="1"/>
  <c r="AR1415" i="1"/>
  <c r="AM1415" i="1" s="1"/>
  <c r="AR1416" i="1"/>
  <c r="AM1416" i="1" s="1"/>
  <c r="AR1417" i="1"/>
  <c r="AM1417" i="1" s="1"/>
  <c r="AR1418" i="1"/>
  <c r="AM1418" i="1" s="1"/>
  <c r="AR1419" i="1"/>
  <c r="AM1419" i="1" s="1"/>
  <c r="AR1420" i="1"/>
  <c r="AM1420" i="1" s="1"/>
  <c r="AR1421" i="1"/>
  <c r="AM1421" i="1" s="1"/>
  <c r="AR1422" i="1"/>
  <c r="AM1422" i="1" s="1"/>
  <c r="AR1423" i="1"/>
  <c r="AM1423" i="1" s="1"/>
  <c r="AR1424" i="1"/>
  <c r="AM1424" i="1" s="1"/>
  <c r="AR1425" i="1"/>
  <c r="AM1425" i="1" s="1"/>
  <c r="AR1426" i="1"/>
  <c r="AR1427" i="1"/>
  <c r="AR1428" i="1"/>
  <c r="AM1428" i="1" s="1"/>
  <c r="AR1429" i="1"/>
  <c r="AM1429" i="1" s="1"/>
  <c r="AR1430" i="1"/>
  <c r="AM1430" i="1" s="1"/>
  <c r="AR1431" i="1"/>
  <c r="AM1431" i="1" s="1"/>
  <c r="AR1432" i="1"/>
  <c r="AM1432" i="1" s="1"/>
  <c r="AR1433" i="1"/>
  <c r="AR1434" i="1"/>
  <c r="AR1435" i="1"/>
  <c r="AR1436" i="1"/>
  <c r="AM1436" i="1" s="1"/>
  <c r="AR1437" i="1"/>
  <c r="AM1437" i="1" s="1"/>
  <c r="AR1438" i="1"/>
  <c r="AM1438" i="1" s="1"/>
  <c r="AR1439" i="1"/>
  <c r="AM1439" i="1" s="1"/>
  <c r="AR1440" i="1"/>
  <c r="AM1440" i="1" s="1"/>
  <c r="AR1441" i="1"/>
  <c r="AM1441" i="1" s="1"/>
  <c r="AR1442" i="1"/>
  <c r="AR1443" i="1"/>
  <c r="AM1443" i="1" s="1"/>
  <c r="AR1444" i="1"/>
  <c r="AM1444" i="1" s="1"/>
  <c r="AR1445" i="1"/>
  <c r="AM1445" i="1" s="1"/>
  <c r="AR1446" i="1"/>
  <c r="AM1446" i="1" s="1"/>
  <c r="AR1447" i="1"/>
  <c r="AM1447" i="1" s="1"/>
  <c r="AR1448" i="1"/>
  <c r="AM1448" i="1" s="1"/>
  <c r="AR1449" i="1"/>
  <c r="AM1449" i="1" s="1"/>
  <c r="AR1450" i="1"/>
  <c r="AM1450" i="1" s="1"/>
  <c r="AR1451" i="1"/>
  <c r="AM1451" i="1" s="1"/>
  <c r="AR1452" i="1"/>
  <c r="AM1452" i="1" s="1"/>
  <c r="AR1453" i="1"/>
  <c r="AM1453" i="1" s="1"/>
  <c r="AR1454" i="1"/>
  <c r="AM1454" i="1" s="1"/>
  <c r="AR1455" i="1"/>
  <c r="AM1455" i="1" s="1"/>
  <c r="AR1456" i="1"/>
  <c r="AM1456" i="1" s="1"/>
  <c r="AR1457" i="1"/>
  <c r="AM1457" i="1" s="1"/>
  <c r="AR1458" i="1"/>
  <c r="AR1459" i="1"/>
  <c r="AR1460" i="1"/>
  <c r="AM1460" i="1" s="1"/>
  <c r="AR1461" i="1"/>
  <c r="AM1461" i="1" s="1"/>
  <c r="AR1462" i="1"/>
  <c r="AM1462" i="1" s="1"/>
  <c r="AR1463" i="1"/>
  <c r="AM1463" i="1" s="1"/>
  <c r="AR1464" i="1"/>
  <c r="AM1464" i="1" s="1"/>
  <c r="AR1465" i="1"/>
  <c r="AM1465" i="1" s="1"/>
  <c r="AR1466" i="1"/>
  <c r="AM1466" i="1" s="1"/>
  <c r="AR1467" i="1"/>
  <c r="AM1467" i="1" s="1"/>
  <c r="AR1468" i="1"/>
  <c r="AM1468" i="1" s="1"/>
  <c r="AR1469" i="1"/>
  <c r="AM1469" i="1" s="1"/>
  <c r="AR1470" i="1"/>
  <c r="AM1470" i="1" s="1"/>
  <c r="AR1471" i="1"/>
  <c r="AM1471" i="1" s="1"/>
  <c r="AR1472" i="1"/>
  <c r="AM1472" i="1" s="1"/>
  <c r="AR1473" i="1"/>
  <c r="AM1473" i="1" s="1"/>
  <c r="AR1474" i="1"/>
  <c r="AM1474" i="1" s="1"/>
  <c r="AR1475" i="1"/>
  <c r="AM1475" i="1" s="1"/>
  <c r="AR1476" i="1"/>
  <c r="AM1476" i="1" s="1"/>
  <c r="AR1477" i="1"/>
  <c r="AM1477" i="1" s="1"/>
  <c r="AR1478" i="1"/>
  <c r="AM1478" i="1" s="1"/>
  <c r="AR1479" i="1"/>
  <c r="AM1479" i="1" s="1"/>
  <c r="AR1480" i="1"/>
  <c r="AM1480" i="1" s="1"/>
  <c r="AR1481" i="1"/>
  <c r="AM1481" i="1" s="1"/>
  <c r="AR1482" i="1"/>
  <c r="AM1482" i="1" s="1"/>
  <c r="AR1483" i="1"/>
  <c r="AM1483" i="1" s="1"/>
  <c r="AR1484" i="1"/>
  <c r="AM1484" i="1" s="1"/>
  <c r="AR1485" i="1"/>
  <c r="AM1485" i="1" s="1"/>
  <c r="AR1486" i="1"/>
  <c r="AM1486" i="1" s="1"/>
  <c r="AR1487" i="1"/>
  <c r="AM1487" i="1" s="1"/>
  <c r="AR1488" i="1"/>
  <c r="AM1488" i="1" s="1"/>
  <c r="AR1489" i="1"/>
  <c r="AM1489" i="1" s="1"/>
  <c r="AR1490" i="1"/>
  <c r="AR1491" i="1"/>
  <c r="AM1491" i="1" s="1"/>
  <c r="AR1492" i="1"/>
  <c r="AM1492" i="1" s="1"/>
  <c r="AR1493" i="1"/>
  <c r="AM1493" i="1" s="1"/>
  <c r="AR1494" i="1"/>
  <c r="AM1494" i="1" s="1"/>
  <c r="AR1495" i="1"/>
  <c r="AM1495" i="1" s="1"/>
  <c r="AR1496" i="1"/>
  <c r="AM1496" i="1" s="1"/>
  <c r="AR1497" i="1"/>
  <c r="AR1498" i="1"/>
  <c r="AR1499" i="1"/>
  <c r="AR1500" i="1"/>
  <c r="AM1500" i="1" s="1"/>
  <c r="AR1501" i="1"/>
  <c r="AM1501" i="1" s="1"/>
  <c r="AR1502" i="1"/>
  <c r="AM1502" i="1" s="1"/>
  <c r="AR1503" i="1"/>
  <c r="AM1503" i="1" s="1"/>
  <c r="AR1504" i="1"/>
  <c r="AM1504" i="1" s="1"/>
  <c r="AR1505" i="1"/>
  <c r="AM1505" i="1" s="1"/>
  <c r="AR1506" i="1"/>
  <c r="AR1507" i="1"/>
  <c r="AR1508" i="1"/>
  <c r="AM1508" i="1" s="1"/>
  <c r="AR1509" i="1"/>
  <c r="AM1509" i="1" s="1"/>
  <c r="AR1510" i="1"/>
  <c r="AM1510" i="1" s="1"/>
  <c r="AR1511" i="1"/>
  <c r="AM1511" i="1" s="1"/>
  <c r="AR1512" i="1"/>
  <c r="AM1512" i="1" s="1"/>
  <c r="AR1513" i="1"/>
  <c r="AM1513" i="1" s="1"/>
  <c r="AR1514" i="1"/>
  <c r="AM1514" i="1" s="1"/>
  <c r="AR1515" i="1"/>
  <c r="AM1515" i="1" s="1"/>
  <c r="AR1516" i="1"/>
  <c r="AM1516" i="1" s="1"/>
  <c r="AR1517" i="1"/>
  <c r="AM1517" i="1" s="1"/>
  <c r="AR1518" i="1"/>
  <c r="AM1518" i="1" s="1"/>
  <c r="AR1519" i="1"/>
  <c r="AM1519" i="1" s="1"/>
  <c r="AR1520" i="1"/>
  <c r="AM1520" i="1" s="1"/>
  <c r="AR1521" i="1"/>
  <c r="AM1521" i="1" s="1"/>
  <c r="AR1522" i="1"/>
  <c r="AM1522" i="1" s="1"/>
  <c r="AR1523" i="1"/>
  <c r="AR1524" i="1"/>
  <c r="AM1524" i="1" s="1"/>
  <c r="AR1525" i="1"/>
  <c r="AM1525" i="1" s="1"/>
  <c r="AR1526" i="1"/>
  <c r="AM1526" i="1" s="1"/>
  <c r="AR1527" i="1"/>
  <c r="AM1527" i="1" s="1"/>
  <c r="AR1528" i="1"/>
  <c r="AM1528" i="1" s="1"/>
  <c r="AR1529" i="1"/>
  <c r="AM1529" i="1" s="1"/>
  <c r="AR1530" i="1"/>
  <c r="AM1530" i="1" s="1"/>
  <c r="AR1531" i="1"/>
  <c r="AM1531" i="1" s="1"/>
  <c r="AR1532" i="1"/>
  <c r="AM1532" i="1" s="1"/>
  <c r="AR1533" i="1"/>
  <c r="AM1533" i="1" s="1"/>
  <c r="AR1534" i="1"/>
  <c r="AM1534" i="1" s="1"/>
  <c r="AR1535" i="1"/>
  <c r="AM1535" i="1" s="1"/>
  <c r="AR1536" i="1"/>
  <c r="AM1536" i="1" s="1"/>
  <c r="AR1537" i="1"/>
  <c r="AM1537" i="1" s="1"/>
  <c r="AR1538" i="1"/>
  <c r="AR1539" i="1"/>
  <c r="AR1540" i="1"/>
  <c r="AM1540" i="1" s="1"/>
  <c r="AR1541" i="1"/>
  <c r="AM1541" i="1" s="1"/>
  <c r="AR1542" i="1"/>
  <c r="AM1542" i="1" s="1"/>
  <c r="AR1543" i="1"/>
  <c r="AM1543" i="1" s="1"/>
  <c r="AR1544" i="1"/>
  <c r="AM1544" i="1" s="1"/>
  <c r="AR1545" i="1"/>
  <c r="AM1545" i="1" s="1"/>
  <c r="AR1546" i="1"/>
  <c r="AM1546" i="1" s="1"/>
  <c r="AR1547" i="1"/>
  <c r="AM1547" i="1" s="1"/>
  <c r="AR1548" i="1"/>
  <c r="AM1548" i="1" s="1"/>
  <c r="AR1549" i="1"/>
  <c r="AM1549" i="1" s="1"/>
  <c r="AR1550" i="1"/>
  <c r="AM1550" i="1" s="1"/>
  <c r="AR1551" i="1"/>
  <c r="AM1551" i="1" s="1"/>
  <c r="AR1552" i="1"/>
  <c r="AM1552" i="1" s="1"/>
  <c r="AR1553" i="1"/>
  <c r="AM1553" i="1" s="1"/>
  <c r="AR1554" i="1"/>
  <c r="AM1554" i="1" s="1"/>
  <c r="AR1555" i="1"/>
  <c r="AM1555" i="1" s="1"/>
  <c r="AR1556" i="1"/>
  <c r="AM1556" i="1" s="1"/>
  <c r="AR1557" i="1"/>
  <c r="AM1557" i="1" s="1"/>
  <c r="AR1558" i="1"/>
  <c r="AM1558" i="1" s="1"/>
  <c r="AR1559" i="1"/>
  <c r="AM1559" i="1" s="1"/>
  <c r="AR1560" i="1"/>
  <c r="AM1560" i="1" s="1"/>
  <c r="AR1561" i="1"/>
  <c r="AR1562" i="1"/>
  <c r="AR1563" i="1"/>
  <c r="AM1563" i="1" s="1"/>
  <c r="AR1564" i="1"/>
  <c r="AM1564" i="1" s="1"/>
  <c r="AR1565" i="1"/>
  <c r="AM1565" i="1" s="1"/>
  <c r="AR1566" i="1"/>
  <c r="AM1566" i="1" s="1"/>
  <c r="AR1567" i="1"/>
  <c r="AM1567" i="1" s="1"/>
  <c r="AR1568" i="1"/>
  <c r="AM1568" i="1" s="1"/>
  <c r="AR1569" i="1"/>
  <c r="AM1569" i="1" s="1"/>
  <c r="AR1570" i="1"/>
  <c r="AR1571" i="1"/>
  <c r="AR1572" i="1"/>
  <c r="AM1572" i="1" s="1"/>
  <c r="AR1573" i="1"/>
  <c r="AM1573" i="1" s="1"/>
  <c r="AR1574" i="1"/>
  <c r="AM1574" i="1" s="1"/>
  <c r="AR1575" i="1"/>
  <c r="AM1575" i="1" s="1"/>
  <c r="AR1576" i="1"/>
  <c r="AM1576" i="1" s="1"/>
  <c r="AR1577" i="1"/>
  <c r="AM1577" i="1" s="1"/>
  <c r="AR1578" i="1"/>
  <c r="AM1578" i="1" s="1"/>
  <c r="AR1579" i="1"/>
  <c r="AM1579" i="1" s="1"/>
  <c r="AR1580" i="1"/>
  <c r="AM1580" i="1" s="1"/>
  <c r="AR1581" i="1"/>
  <c r="AM1581" i="1" s="1"/>
  <c r="AR1582" i="1"/>
  <c r="AM1582" i="1" s="1"/>
  <c r="AR1583" i="1"/>
  <c r="AM1583" i="1" s="1"/>
  <c r="AR1584" i="1"/>
  <c r="AM1584" i="1" s="1"/>
  <c r="AR1585" i="1"/>
  <c r="AM1585" i="1" s="1"/>
  <c r="AR1586" i="1"/>
  <c r="AR1587" i="1"/>
  <c r="AM1587" i="1" s="1"/>
  <c r="AR1588" i="1"/>
  <c r="AM1588" i="1" s="1"/>
  <c r="AR1589" i="1"/>
  <c r="AM1589" i="1" s="1"/>
  <c r="AR1590" i="1"/>
  <c r="AM1590" i="1" s="1"/>
  <c r="AR1591" i="1"/>
  <c r="AM1591" i="1" s="1"/>
  <c r="AR1592" i="1"/>
  <c r="AM1592" i="1" s="1"/>
  <c r="AR1593" i="1"/>
  <c r="AM1593" i="1" s="1"/>
  <c r="AR1594" i="1"/>
  <c r="AM1594" i="1" s="1"/>
  <c r="AR1595" i="1"/>
  <c r="AM1595" i="1" s="1"/>
  <c r="AR1596" i="1"/>
  <c r="AM1596" i="1" s="1"/>
  <c r="AR1597" i="1"/>
  <c r="AM1597" i="1" s="1"/>
  <c r="AR1598" i="1"/>
  <c r="AM1598" i="1" s="1"/>
  <c r="AR1599" i="1"/>
  <c r="AM1599" i="1" s="1"/>
  <c r="AR1600" i="1"/>
  <c r="AM1600" i="1" s="1"/>
  <c r="AR1601" i="1"/>
  <c r="AM1601" i="1" s="1"/>
  <c r="AR1602" i="1"/>
  <c r="AM1602" i="1" s="1"/>
  <c r="AR1603" i="1"/>
  <c r="AR1604" i="1"/>
  <c r="AM1604" i="1" s="1"/>
  <c r="AR1605" i="1"/>
  <c r="AM1605" i="1" s="1"/>
  <c r="AR1606" i="1"/>
  <c r="AM1606" i="1" s="1"/>
  <c r="AR1607" i="1"/>
  <c r="AM1607" i="1" s="1"/>
  <c r="AR1608" i="1"/>
  <c r="AM1608" i="1" s="1"/>
  <c r="AR1609" i="1"/>
  <c r="AM1609" i="1" s="1"/>
  <c r="AR1610" i="1"/>
  <c r="AM1610" i="1" s="1"/>
  <c r="AR1611" i="1"/>
  <c r="AM1611" i="1" s="1"/>
  <c r="AR1612" i="1"/>
  <c r="AM1612" i="1" s="1"/>
  <c r="AR1613" i="1"/>
  <c r="AM1613" i="1" s="1"/>
  <c r="AR1614" i="1"/>
  <c r="AM1614" i="1" s="1"/>
  <c r="AR1615" i="1"/>
  <c r="AM1615" i="1" s="1"/>
  <c r="AR1616" i="1"/>
  <c r="AM1616" i="1" s="1"/>
  <c r="AR1617" i="1"/>
  <c r="AM1617" i="1" s="1"/>
  <c r="AR1618" i="1"/>
  <c r="AR1619" i="1"/>
  <c r="AM1619" i="1" s="1"/>
  <c r="AR1620" i="1"/>
  <c r="AM1620" i="1" s="1"/>
  <c r="AR1621" i="1"/>
  <c r="AM1621" i="1" s="1"/>
  <c r="AR1622" i="1"/>
  <c r="AM1622" i="1" s="1"/>
  <c r="AR1623" i="1"/>
  <c r="AM1623" i="1" s="1"/>
  <c r="AR1624" i="1"/>
  <c r="AM1624" i="1" s="1"/>
  <c r="AR1625" i="1"/>
  <c r="AR1626" i="1"/>
  <c r="AR1627" i="1"/>
  <c r="AM1627" i="1" s="1"/>
  <c r="AR1628" i="1"/>
  <c r="AM1628" i="1" s="1"/>
  <c r="AR1629" i="1"/>
  <c r="AM1629" i="1" s="1"/>
  <c r="AR1630" i="1"/>
  <c r="AM1630" i="1" s="1"/>
  <c r="AR1631" i="1"/>
  <c r="AM1631" i="1" s="1"/>
  <c r="AR1632" i="1"/>
  <c r="AM1632" i="1" s="1"/>
  <c r="AR1633" i="1"/>
  <c r="AM1633" i="1" s="1"/>
  <c r="AR1634" i="1"/>
  <c r="AR1635" i="1"/>
  <c r="AR1636" i="1"/>
  <c r="AM1636" i="1" s="1"/>
  <c r="AR1637" i="1"/>
  <c r="AM1637" i="1" s="1"/>
  <c r="AR1638" i="1"/>
  <c r="AM1638" i="1" s="1"/>
  <c r="AR1639" i="1"/>
  <c r="AM1639" i="1" s="1"/>
  <c r="AR1640" i="1"/>
  <c r="AM1640" i="1" s="1"/>
  <c r="AR1641" i="1"/>
  <c r="AM1641" i="1" s="1"/>
  <c r="AR1642" i="1"/>
  <c r="AM1642" i="1" s="1"/>
  <c r="AR1643" i="1"/>
  <c r="AM1643" i="1" s="1"/>
  <c r="AR1644" i="1"/>
  <c r="AM1644" i="1" s="1"/>
  <c r="AR1645" i="1"/>
  <c r="AM1645" i="1" s="1"/>
  <c r="AR1646" i="1"/>
  <c r="AM1646" i="1" s="1"/>
  <c r="AR1647" i="1"/>
  <c r="AM1647" i="1" s="1"/>
  <c r="AR1648" i="1"/>
  <c r="AM1648" i="1" s="1"/>
  <c r="AR1649" i="1"/>
  <c r="AM1649" i="1" s="1"/>
  <c r="AR1650" i="1"/>
  <c r="AR1651" i="1"/>
  <c r="AM1651" i="1" s="1"/>
  <c r="AR1652" i="1"/>
  <c r="AM1652" i="1" s="1"/>
  <c r="AR1653" i="1"/>
  <c r="AM1653" i="1" s="1"/>
  <c r="AR1654" i="1"/>
  <c r="AM1654" i="1" s="1"/>
  <c r="AR1655" i="1"/>
  <c r="AM1655" i="1" s="1"/>
  <c r="AR1656" i="1"/>
  <c r="AM1656" i="1" s="1"/>
  <c r="AR1657" i="1"/>
  <c r="AM1657" i="1" s="1"/>
  <c r="AR1658" i="1"/>
  <c r="AM1658" i="1" s="1"/>
  <c r="AR1659" i="1"/>
  <c r="AM1659" i="1" s="1"/>
  <c r="AR1660" i="1"/>
  <c r="AM1660" i="1" s="1"/>
  <c r="AR1661" i="1"/>
  <c r="AM1661" i="1" s="1"/>
  <c r="AR1662" i="1"/>
  <c r="AM1662" i="1" s="1"/>
  <c r="AR1663" i="1"/>
  <c r="AM1663" i="1" s="1"/>
  <c r="AR1664" i="1"/>
  <c r="AM1664" i="1" s="1"/>
  <c r="AR1665" i="1"/>
  <c r="AM1665" i="1" s="1"/>
  <c r="AR1666" i="1"/>
  <c r="AR1667" i="1"/>
  <c r="AR1668" i="1"/>
  <c r="AM1668" i="1" s="1"/>
  <c r="AR1669" i="1"/>
  <c r="AM1669" i="1" s="1"/>
  <c r="AR1670" i="1"/>
  <c r="AM1670" i="1" s="1"/>
  <c r="AR1671" i="1"/>
  <c r="AM1671" i="1" s="1"/>
  <c r="AR1672" i="1"/>
  <c r="AM1672" i="1" s="1"/>
  <c r="AR1673" i="1"/>
  <c r="AM1673" i="1" s="1"/>
  <c r="AR1674" i="1"/>
  <c r="AM1674" i="1" s="1"/>
  <c r="AR1675" i="1"/>
  <c r="AM1675" i="1" s="1"/>
  <c r="AR1676" i="1"/>
  <c r="AM1676" i="1" s="1"/>
  <c r="AR1677" i="1"/>
  <c r="AM1677" i="1" s="1"/>
  <c r="AR1678" i="1"/>
  <c r="AM1678" i="1" s="1"/>
  <c r="AR1679" i="1"/>
  <c r="AM1679" i="1" s="1"/>
  <c r="AR1680" i="1"/>
  <c r="AM1680" i="1" s="1"/>
  <c r="AR1681" i="1"/>
  <c r="AM1681" i="1" s="1"/>
  <c r="AR1682" i="1"/>
  <c r="AM1682" i="1" s="1"/>
  <c r="AR1683" i="1"/>
  <c r="AM1683" i="1" s="1"/>
  <c r="AR1684" i="1"/>
  <c r="AM1684" i="1" s="1"/>
  <c r="AR1685" i="1"/>
  <c r="AM1685" i="1" s="1"/>
  <c r="AR1686" i="1"/>
  <c r="AM1686" i="1" s="1"/>
  <c r="AR1687" i="1"/>
  <c r="AM1687" i="1" s="1"/>
  <c r="AR1688" i="1"/>
  <c r="AM1688" i="1" s="1"/>
  <c r="AR1689" i="1"/>
  <c r="AM1689" i="1" s="1"/>
  <c r="AR1690" i="1"/>
  <c r="AM1690" i="1" s="1"/>
  <c r="AQ1296" i="1"/>
  <c r="AL1296" i="1" s="1"/>
  <c r="AQ1297" i="1"/>
  <c r="AQ1298" i="1"/>
  <c r="AL1298" i="1" s="1"/>
  <c r="AQ1299" i="1"/>
  <c r="AQ1300" i="1"/>
  <c r="AL1300" i="1" s="1"/>
  <c r="AQ1301" i="1"/>
  <c r="AL1301" i="1" s="1"/>
  <c r="AQ1302" i="1"/>
  <c r="AL1302" i="1" s="1"/>
  <c r="AQ1303" i="1"/>
  <c r="AQ1304" i="1"/>
  <c r="AQ1305" i="1"/>
  <c r="AQ1306" i="1"/>
  <c r="AL1306" i="1" s="1"/>
  <c r="AQ1307" i="1"/>
  <c r="AL1307" i="1" s="1"/>
  <c r="AQ1308" i="1"/>
  <c r="AQ1309" i="1"/>
  <c r="AL1309" i="1" s="1"/>
  <c r="AQ1310" i="1"/>
  <c r="AL1310" i="1" s="1"/>
  <c r="AQ1311" i="1"/>
  <c r="AL1311" i="1" s="1"/>
  <c r="AQ1312" i="1"/>
  <c r="AL1312" i="1" s="1"/>
  <c r="AQ1313" i="1"/>
  <c r="AL1313" i="1" s="1"/>
  <c r="AQ1314" i="1"/>
  <c r="AL1314" i="1" s="1"/>
  <c r="AQ1315" i="1"/>
  <c r="AL1315" i="1" s="1"/>
  <c r="AQ1316" i="1"/>
  <c r="AL1316" i="1" s="1"/>
  <c r="AQ1317" i="1"/>
  <c r="AL1317" i="1" s="1"/>
  <c r="AQ1318" i="1"/>
  <c r="AL1318" i="1" s="1"/>
  <c r="AQ1319" i="1"/>
  <c r="AQ1320" i="1"/>
  <c r="AQ1321" i="1"/>
  <c r="AQ1322" i="1"/>
  <c r="AL1322" i="1" s="1"/>
  <c r="AQ1323" i="1"/>
  <c r="AL1323" i="1" s="1"/>
  <c r="AQ1324" i="1"/>
  <c r="AQ1325" i="1"/>
  <c r="AL1325" i="1" s="1"/>
  <c r="AQ1326" i="1"/>
  <c r="AL1326" i="1" s="1"/>
  <c r="AQ1327" i="1"/>
  <c r="AL1327" i="1" s="1"/>
  <c r="AQ1328" i="1"/>
  <c r="AL1328" i="1" s="1"/>
  <c r="AQ1329" i="1"/>
  <c r="AQ1330" i="1"/>
  <c r="AL1330" i="1" s="1"/>
  <c r="AQ1331" i="1"/>
  <c r="AL1331" i="1" s="1"/>
  <c r="AQ1332" i="1"/>
  <c r="AL1332" i="1" s="1"/>
  <c r="AQ1333" i="1"/>
  <c r="AL1333" i="1" s="1"/>
  <c r="AQ1334" i="1"/>
  <c r="AL1334" i="1" s="1"/>
  <c r="AQ1335" i="1"/>
  <c r="AL1335" i="1" s="1"/>
  <c r="AQ1336" i="1"/>
  <c r="AQ1337" i="1"/>
  <c r="AL1337" i="1" s="1"/>
  <c r="AQ1338" i="1"/>
  <c r="AL1338" i="1" s="1"/>
  <c r="AQ1339" i="1"/>
  <c r="AL1339" i="1" s="1"/>
  <c r="AQ1340" i="1"/>
  <c r="AQ1341" i="1"/>
  <c r="AL1341" i="1" s="1"/>
  <c r="AQ1342" i="1"/>
  <c r="AL1342" i="1" s="1"/>
  <c r="AQ1343" i="1"/>
  <c r="AL1343" i="1" s="1"/>
  <c r="AQ1344" i="1"/>
  <c r="AL1344" i="1" s="1"/>
  <c r="AQ1345" i="1"/>
  <c r="AL1345" i="1" s="1"/>
  <c r="AQ1346" i="1"/>
  <c r="AL1346" i="1" s="1"/>
  <c r="AQ1347" i="1"/>
  <c r="AQ1348" i="1"/>
  <c r="AL1348" i="1" s="1"/>
  <c r="AQ1349" i="1"/>
  <c r="AL1349" i="1" s="1"/>
  <c r="AQ1350" i="1"/>
  <c r="AL1350" i="1" s="1"/>
  <c r="AQ1351" i="1"/>
  <c r="AL1351" i="1" s="1"/>
  <c r="AQ1352" i="1"/>
  <c r="AQ1353" i="1"/>
  <c r="AL1353" i="1" s="1"/>
  <c r="AQ1354" i="1"/>
  <c r="AL1354" i="1" s="1"/>
  <c r="AQ1355" i="1"/>
  <c r="AL1355" i="1" s="1"/>
  <c r="AQ1356" i="1"/>
  <c r="AQ1357" i="1"/>
  <c r="AL1357" i="1" s="1"/>
  <c r="AQ1358" i="1"/>
  <c r="AL1358" i="1" s="1"/>
  <c r="AQ1359" i="1"/>
  <c r="AL1359" i="1" s="1"/>
  <c r="AQ1360" i="1"/>
  <c r="AL1360" i="1" s="1"/>
  <c r="AQ1361" i="1"/>
  <c r="AQ1362" i="1"/>
  <c r="AL1362" i="1" s="1"/>
  <c r="AQ1363" i="1"/>
  <c r="AQ1364" i="1"/>
  <c r="AL1364" i="1" s="1"/>
  <c r="AQ1365" i="1"/>
  <c r="AL1365" i="1" s="1"/>
  <c r="AQ1366" i="1"/>
  <c r="AL1366" i="1" s="1"/>
  <c r="AQ1367" i="1"/>
  <c r="AQ1368" i="1"/>
  <c r="AQ1369" i="1"/>
  <c r="AQ1370" i="1"/>
  <c r="AL1370" i="1" s="1"/>
  <c r="AQ1371" i="1"/>
  <c r="AL1371" i="1" s="1"/>
  <c r="AQ1372" i="1"/>
  <c r="AL1372" i="1" s="1"/>
  <c r="AQ1373" i="1"/>
  <c r="AL1373" i="1" s="1"/>
  <c r="AQ1374" i="1"/>
  <c r="AL1374" i="1" s="1"/>
  <c r="AQ1375" i="1"/>
  <c r="AL1375" i="1" s="1"/>
  <c r="AQ1376" i="1"/>
  <c r="AL1376" i="1" s="1"/>
  <c r="AQ1377" i="1"/>
  <c r="AL1377" i="1" s="1"/>
  <c r="AQ1378" i="1"/>
  <c r="AL1378" i="1" s="1"/>
  <c r="AQ1379" i="1"/>
  <c r="AL1379" i="1" s="1"/>
  <c r="AQ1380" i="1"/>
  <c r="AL1380" i="1" s="1"/>
  <c r="AQ1381" i="1"/>
  <c r="AL1381" i="1" s="1"/>
  <c r="AQ1382" i="1"/>
  <c r="AL1382" i="1" s="1"/>
  <c r="AQ1383" i="1"/>
  <c r="AQ1384" i="1"/>
  <c r="AQ1385" i="1"/>
  <c r="AL1385" i="1" s="1"/>
  <c r="AQ1386" i="1"/>
  <c r="AL1386" i="1" s="1"/>
  <c r="AQ1387" i="1"/>
  <c r="AL1387" i="1" s="1"/>
  <c r="AQ1388" i="1"/>
  <c r="AQ1389" i="1"/>
  <c r="AL1389" i="1" s="1"/>
  <c r="AQ1390" i="1"/>
  <c r="AL1390" i="1" s="1"/>
  <c r="AQ1391" i="1"/>
  <c r="AL1391" i="1" s="1"/>
  <c r="AQ1392" i="1"/>
  <c r="AL1392" i="1" s="1"/>
  <c r="AQ1393" i="1"/>
  <c r="AQ1394" i="1"/>
  <c r="AL1394" i="1" s="1"/>
  <c r="AQ1395" i="1"/>
  <c r="AL1395" i="1" s="1"/>
  <c r="AQ1396" i="1"/>
  <c r="AL1396" i="1" s="1"/>
  <c r="AQ1397" i="1"/>
  <c r="AL1397" i="1" s="1"/>
  <c r="AQ1398" i="1"/>
  <c r="AL1398" i="1" s="1"/>
  <c r="AQ1399" i="1"/>
  <c r="AL1399" i="1" s="1"/>
  <c r="AQ1400" i="1"/>
  <c r="AQ1401" i="1"/>
  <c r="AQ1402" i="1"/>
  <c r="AL1402" i="1" s="1"/>
  <c r="AQ1403" i="1"/>
  <c r="AL1403" i="1" s="1"/>
  <c r="AQ1404" i="1"/>
  <c r="AL1404" i="1" s="1"/>
  <c r="AQ1405" i="1"/>
  <c r="AL1405" i="1" s="1"/>
  <c r="AQ1406" i="1"/>
  <c r="AL1406" i="1" s="1"/>
  <c r="AQ1407" i="1"/>
  <c r="AL1407" i="1" s="1"/>
  <c r="AQ1408" i="1"/>
  <c r="AL1408" i="1" s="1"/>
  <c r="AQ1409" i="1"/>
  <c r="AL1409" i="1" s="1"/>
  <c r="AQ1410" i="1"/>
  <c r="AL1410" i="1" s="1"/>
  <c r="AQ1411" i="1"/>
  <c r="AQ1412" i="1"/>
  <c r="AL1412" i="1" s="1"/>
  <c r="AQ1413" i="1"/>
  <c r="AL1413" i="1" s="1"/>
  <c r="AQ1414" i="1"/>
  <c r="AL1414" i="1" s="1"/>
  <c r="AQ1415" i="1"/>
  <c r="AQ1416" i="1"/>
  <c r="AQ1417" i="1"/>
  <c r="AQ1418" i="1"/>
  <c r="AL1418" i="1" s="1"/>
  <c r="AQ1419" i="1"/>
  <c r="AL1419" i="1" s="1"/>
  <c r="AQ1420" i="1"/>
  <c r="AQ1421" i="1"/>
  <c r="AL1421" i="1" s="1"/>
  <c r="AQ1422" i="1"/>
  <c r="AL1422" i="1" s="1"/>
  <c r="AQ1423" i="1"/>
  <c r="AL1423" i="1" s="1"/>
  <c r="AQ1424" i="1"/>
  <c r="AL1424" i="1" s="1"/>
  <c r="AQ1425" i="1"/>
  <c r="AL1425" i="1" s="1"/>
  <c r="AQ1426" i="1"/>
  <c r="AL1426" i="1" s="1"/>
  <c r="AQ1427" i="1"/>
  <c r="AQ1428" i="1"/>
  <c r="AL1428" i="1" s="1"/>
  <c r="AQ1429" i="1"/>
  <c r="AL1429" i="1" s="1"/>
  <c r="AQ1430" i="1"/>
  <c r="AL1430" i="1" s="1"/>
  <c r="AQ1431" i="1"/>
  <c r="AQ1432" i="1"/>
  <c r="AQ1433" i="1"/>
  <c r="AL1433" i="1" s="1"/>
  <c r="AQ1434" i="1"/>
  <c r="AL1434" i="1" s="1"/>
  <c r="AQ1435" i="1"/>
  <c r="AL1435" i="1" s="1"/>
  <c r="AQ1436" i="1"/>
  <c r="AL1436" i="1" s="1"/>
  <c r="AQ1437" i="1"/>
  <c r="AL1437" i="1" s="1"/>
  <c r="AQ1438" i="1"/>
  <c r="AL1438" i="1" s="1"/>
  <c r="AQ1439" i="1"/>
  <c r="AL1439" i="1" s="1"/>
  <c r="AQ1440" i="1"/>
  <c r="AL1440" i="1" s="1"/>
  <c r="AQ1441" i="1"/>
  <c r="AQ1442" i="1"/>
  <c r="AL1442" i="1" s="1"/>
  <c r="AQ1443" i="1"/>
  <c r="AL1443" i="1" s="1"/>
  <c r="AQ1444" i="1"/>
  <c r="AL1444" i="1" s="1"/>
  <c r="AQ1445" i="1"/>
  <c r="AL1445" i="1" s="1"/>
  <c r="AQ1446" i="1"/>
  <c r="AQ1447" i="1"/>
  <c r="AQ1448" i="1"/>
  <c r="AQ1449" i="1"/>
  <c r="AQ1450" i="1"/>
  <c r="AL1450" i="1" s="1"/>
  <c r="AQ1451" i="1"/>
  <c r="AL1451" i="1" s="1"/>
  <c r="AQ1452" i="1"/>
  <c r="AQ1453" i="1"/>
  <c r="AL1453" i="1" s="1"/>
  <c r="AQ1454" i="1"/>
  <c r="AL1454" i="1" s="1"/>
  <c r="AQ1455" i="1"/>
  <c r="AL1455" i="1" s="1"/>
  <c r="AQ1456" i="1"/>
  <c r="AL1456" i="1" s="1"/>
  <c r="AQ1457" i="1"/>
  <c r="AL1457" i="1" s="1"/>
  <c r="AQ1458" i="1"/>
  <c r="AL1458" i="1" s="1"/>
  <c r="AQ1459" i="1"/>
  <c r="AL1459" i="1" s="1"/>
  <c r="AQ1460" i="1"/>
  <c r="AL1460" i="1" s="1"/>
  <c r="AQ1461" i="1"/>
  <c r="AL1461" i="1" s="1"/>
  <c r="AQ1462" i="1"/>
  <c r="AL1462" i="1" s="1"/>
  <c r="AQ1463" i="1"/>
  <c r="AL1463" i="1" s="1"/>
  <c r="AQ1464" i="1"/>
  <c r="AQ1465" i="1"/>
  <c r="AQ1466" i="1"/>
  <c r="AL1466" i="1" s="1"/>
  <c r="AQ1467" i="1"/>
  <c r="AL1467" i="1" s="1"/>
  <c r="AQ1468" i="1"/>
  <c r="AL1468" i="1" s="1"/>
  <c r="AQ1469" i="1"/>
  <c r="AL1469" i="1" s="1"/>
  <c r="AQ1470" i="1"/>
  <c r="AL1470" i="1" s="1"/>
  <c r="AQ1471" i="1"/>
  <c r="AL1471" i="1" s="1"/>
  <c r="AQ1472" i="1"/>
  <c r="AL1472" i="1" s="1"/>
  <c r="AQ1473" i="1"/>
  <c r="AQ1474" i="1"/>
  <c r="AL1474" i="1" s="1"/>
  <c r="AQ1475" i="1"/>
  <c r="AQ1476" i="1"/>
  <c r="AL1476" i="1" s="1"/>
  <c r="AQ1477" i="1"/>
  <c r="AL1477" i="1" s="1"/>
  <c r="AQ1478" i="1"/>
  <c r="AL1478" i="1" s="1"/>
  <c r="AQ1479" i="1"/>
  <c r="AQ1480" i="1"/>
  <c r="AQ1481" i="1"/>
  <c r="AL1481" i="1" s="1"/>
  <c r="AQ1482" i="1"/>
  <c r="AL1482" i="1" s="1"/>
  <c r="AQ1483" i="1"/>
  <c r="AL1483" i="1" s="1"/>
  <c r="AQ1484" i="1"/>
  <c r="AQ1485" i="1"/>
  <c r="AL1485" i="1" s="1"/>
  <c r="AQ1486" i="1"/>
  <c r="AL1486" i="1" s="1"/>
  <c r="AQ1487" i="1"/>
  <c r="AL1487" i="1" s="1"/>
  <c r="AQ1488" i="1"/>
  <c r="AL1488" i="1" s="1"/>
  <c r="AQ1489" i="1"/>
  <c r="AL1489" i="1" s="1"/>
  <c r="AQ1490" i="1"/>
  <c r="AL1490" i="1" s="1"/>
  <c r="AQ1491" i="1"/>
  <c r="AQ1492" i="1"/>
  <c r="AL1492" i="1" s="1"/>
  <c r="AQ1493" i="1"/>
  <c r="AL1493" i="1" s="1"/>
  <c r="AQ1494" i="1"/>
  <c r="AL1494" i="1" s="1"/>
  <c r="AQ1495" i="1"/>
  <c r="AQ1496" i="1"/>
  <c r="AQ1497" i="1"/>
  <c r="AL1497" i="1" s="1"/>
  <c r="AQ1498" i="1"/>
  <c r="AL1498" i="1" s="1"/>
  <c r="AQ1499" i="1"/>
  <c r="AL1499" i="1" s="1"/>
  <c r="AQ1500" i="1"/>
  <c r="AQ1501" i="1"/>
  <c r="AL1501" i="1" s="1"/>
  <c r="AQ1502" i="1"/>
  <c r="AL1502" i="1" s="1"/>
  <c r="AQ1503" i="1"/>
  <c r="AL1503" i="1" s="1"/>
  <c r="AQ1504" i="1"/>
  <c r="AL1504" i="1" s="1"/>
  <c r="AQ1505" i="1"/>
  <c r="AQ1506" i="1"/>
  <c r="AL1506" i="1" s="1"/>
  <c r="AQ1507" i="1"/>
  <c r="AL1507" i="1" s="1"/>
  <c r="AQ1508" i="1"/>
  <c r="AL1508" i="1" s="1"/>
  <c r="AQ1509" i="1"/>
  <c r="AL1509" i="1" s="1"/>
  <c r="AQ1510" i="1"/>
  <c r="AL1510" i="1" s="1"/>
  <c r="AQ1511" i="1"/>
  <c r="AQ1512" i="1"/>
  <c r="AQ1513" i="1"/>
  <c r="AQ1514" i="1"/>
  <c r="AL1514" i="1" s="1"/>
  <c r="AQ1515" i="1"/>
  <c r="AL1515" i="1" s="1"/>
  <c r="AQ1516" i="1"/>
  <c r="AQ1517" i="1"/>
  <c r="AL1517" i="1" s="1"/>
  <c r="AQ1518" i="1"/>
  <c r="AL1518" i="1" s="1"/>
  <c r="AQ1519" i="1"/>
  <c r="AL1519" i="1" s="1"/>
  <c r="AQ1520" i="1"/>
  <c r="AQ1521" i="1"/>
  <c r="AL1521" i="1" s="1"/>
  <c r="AQ1522" i="1"/>
  <c r="AL1522" i="1" s="1"/>
  <c r="AQ1523" i="1"/>
  <c r="AL1523" i="1" s="1"/>
  <c r="AQ1524" i="1"/>
  <c r="AL1524" i="1" s="1"/>
  <c r="AQ1525" i="1"/>
  <c r="AL1525" i="1" s="1"/>
  <c r="AQ1526" i="1"/>
  <c r="AL1526" i="1" s="1"/>
  <c r="AQ1527" i="1"/>
  <c r="AL1527" i="1" s="1"/>
  <c r="AQ1528" i="1"/>
  <c r="AQ1529" i="1"/>
  <c r="AQ1530" i="1"/>
  <c r="AL1530" i="1" s="1"/>
  <c r="AQ1531" i="1"/>
  <c r="AL1531" i="1" s="1"/>
  <c r="AQ1532" i="1"/>
  <c r="AQ1533" i="1"/>
  <c r="AL1533" i="1" s="1"/>
  <c r="AQ1534" i="1"/>
  <c r="AL1534" i="1" s="1"/>
  <c r="AQ1535" i="1"/>
  <c r="AL1535" i="1" s="1"/>
  <c r="AQ1536" i="1"/>
  <c r="AL1536" i="1" s="1"/>
  <c r="AQ1537" i="1"/>
  <c r="AL1537" i="1" s="1"/>
  <c r="AQ1538" i="1"/>
  <c r="AL1538" i="1" s="1"/>
  <c r="AQ1539" i="1"/>
  <c r="AQ1540" i="1"/>
  <c r="AL1540" i="1" s="1"/>
  <c r="AQ1541" i="1"/>
  <c r="AL1541" i="1" s="1"/>
  <c r="AQ1542" i="1"/>
  <c r="AL1542" i="1" s="1"/>
  <c r="AQ1543" i="1"/>
  <c r="AQ1544" i="1"/>
  <c r="AQ1545" i="1"/>
  <c r="AL1545" i="1" s="1"/>
  <c r="AQ1546" i="1"/>
  <c r="AL1546" i="1" s="1"/>
  <c r="AQ1547" i="1"/>
  <c r="AL1547" i="1" s="1"/>
  <c r="AQ1548" i="1"/>
  <c r="AQ1549" i="1"/>
  <c r="AL1549" i="1" s="1"/>
  <c r="AQ1550" i="1"/>
  <c r="AL1550" i="1" s="1"/>
  <c r="AQ1551" i="1"/>
  <c r="AL1551" i="1" s="1"/>
  <c r="AQ1552" i="1"/>
  <c r="AL1552" i="1" s="1"/>
  <c r="AQ1553" i="1"/>
  <c r="AL1553" i="1" s="1"/>
  <c r="AQ1554" i="1"/>
  <c r="AL1554" i="1" s="1"/>
  <c r="AQ1555" i="1"/>
  <c r="AQ1556" i="1"/>
  <c r="AL1556" i="1" s="1"/>
  <c r="AQ1557" i="1"/>
  <c r="AL1557" i="1" s="1"/>
  <c r="AQ1558" i="1"/>
  <c r="AL1558" i="1" s="1"/>
  <c r="AQ1559" i="1"/>
  <c r="AQ1560" i="1"/>
  <c r="AQ1561" i="1"/>
  <c r="AL1561" i="1" s="1"/>
  <c r="AQ1562" i="1"/>
  <c r="AL1562" i="1" s="1"/>
  <c r="AQ1563" i="1"/>
  <c r="AL1563" i="1" s="1"/>
  <c r="AQ1564" i="1"/>
  <c r="AQ1565" i="1"/>
  <c r="AL1565" i="1" s="1"/>
  <c r="AQ1566" i="1"/>
  <c r="AL1566" i="1" s="1"/>
  <c r="AQ1567" i="1"/>
  <c r="AL1567" i="1" s="1"/>
  <c r="AQ1568" i="1"/>
  <c r="AL1568" i="1" s="1"/>
  <c r="AQ1569" i="1"/>
  <c r="AL1569" i="1" s="1"/>
  <c r="AQ1570" i="1"/>
  <c r="AL1570" i="1" s="1"/>
  <c r="AQ1571" i="1"/>
  <c r="AL1571" i="1" s="1"/>
  <c r="AQ1572" i="1"/>
  <c r="AL1572" i="1" s="1"/>
  <c r="AQ1573" i="1"/>
  <c r="AL1573" i="1" s="1"/>
  <c r="AQ1574" i="1"/>
  <c r="AL1574" i="1" s="1"/>
  <c r="AQ1575" i="1"/>
  <c r="AQ1576" i="1"/>
  <c r="AQ1577" i="1"/>
  <c r="AL1577" i="1" s="1"/>
  <c r="AQ1578" i="1"/>
  <c r="AL1578" i="1" s="1"/>
  <c r="AQ1579" i="1"/>
  <c r="AL1579" i="1" s="1"/>
  <c r="AQ1580" i="1"/>
  <c r="AQ1581" i="1"/>
  <c r="AL1581" i="1" s="1"/>
  <c r="AQ1582" i="1"/>
  <c r="AL1582" i="1" s="1"/>
  <c r="AQ1583" i="1"/>
  <c r="AL1583" i="1" s="1"/>
  <c r="AQ1584" i="1"/>
  <c r="AL1584" i="1" s="1"/>
  <c r="AQ1585" i="1"/>
  <c r="AL1585" i="1" s="1"/>
  <c r="AQ1586" i="1"/>
  <c r="AL1586" i="1" s="1"/>
  <c r="AQ1587" i="1"/>
  <c r="AL1587" i="1" s="1"/>
  <c r="AQ1588" i="1"/>
  <c r="AL1588" i="1" s="1"/>
  <c r="AQ1589" i="1"/>
  <c r="AL1589" i="1" s="1"/>
  <c r="AQ1590" i="1"/>
  <c r="AL1590" i="1" s="1"/>
  <c r="AQ1591" i="1"/>
  <c r="AL1591" i="1" s="1"/>
  <c r="AQ1592" i="1"/>
  <c r="AQ1593" i="1"/>
  <c r="AQ1594" i="1"/>
  <c r="AL1594" i="1" s="1"/>
  <c r="AQ1595" i="1"/>
  <c r="AL1595" i="1" s="1"/>
  <c r="AQ1596" i="1"/>
  <c r="AQ1597" i="1"/>
  <c r="AL1597" i="1" s="1"/>
  <c r="AQ1598" i="1"/>
  <c r="AL1598" i="1" s="1"/>
  <c r="AQ1599" i="1"/>
  <c r="AL1599" i="1" s="1"/>
  <c r="AQ1600" i="1"/>
  <c r="AL1600" i="1" s="1"/>
  <c r="AQ1601" i="1"/>
  <c r="AL1601" i="1" s="1"/>
  <c r="AQ1602" i="1"/>
  <c r="AL1602" i="1" s="1"/>
  <c r="AQ1603" i="1"/>
  <c r="AQ1604" i="1"/>
  <c r="AL1604" i="1" s="1"/>
  <c r="AQ1605" i="1"/>
  <c r="AL1605" i="1" s="1"/>
  <c r="AQ1606" i="1"/>
  <c r="AL1606" i="1" s="1"/>
  <c r="AQ1607" i="1"/>
  <c r="AQ1608" i="1"/>
  <c r="AQ1609" i="1"/>
  <c r="AL1609" i="1" s="1"/>
  <c r="AQ1610" i="1"/>
  <c r="AL1610" i="1" s="1"/>
  <c r="AQ1611" i="1"/>
  <c r="AL1611" i="1" s="1"/>
  <c r="AQ1612" i="1"/>
  <c r="AQ1613" i="1"/>
  <c r="AL1613" i="1" s="1"/>
  <c r="AQ1614" i="1"/>
  <c r="AL1614" i="1" s="1"/>
  <c r="AQ1615" i="1"/>
  <c r="AL1615" i="1" s="1"/>
  <c r="AQ1616" i="1"/>
  <c r="AL1616" i="1" s="1"/>
  <c r="AQ1617" i="1"/>
  <c r="AL1617" i="1" s="1"/>
  <c r="AQ1618" i="1"/>
  <c r="AL1618" i="1" s="1"/>
  <c r="AQ1619" i="1"/>
  <c r="AQ1620" i="1"/>
  <c r="AL1620" i="1" s="1"/>
  <c r="AQ1621" i="1"/>
  <c r="AL1621" i="1" s="1"/>
  <c r="AQ1622" i="1"/>
  <c r="AL1622" i="1" s="1"/>
  <c r="AQ1623" i="1"/>
  <c r="AQ1624" i="1"/>
  <c r="AQ1625" i="1"/>
  <c r="AQ1626" i="1"/>
  <c r="AL1626" i="1" s="1"/>
  <c r="AQ1627" i="1"/>
  <c r="AL1627" i="1" s="1"/>
  <c r="AQ1628" i="1"/>
  <c r="AQ1629" i="1"/>
  <c r="AL1629" i="1" s="1"/>
  <c r="AQ1630" i="1"/>
  <c r="AL1630" i="1" s="1"/>
  <c r="AQ1631" i="1"/>
  <c r="AL1631" i="1" s="1"/>
  <c r="AQ1632" i="1"/>
  <c r="AL1632" i="1" s="1"/>
  <c r="AQ1633" i="1"/>
  <c r="AL1633" i="1" s="1"/>
  <c r="AQ1634" i="1"/>
  <c r="AL1634" i="1" s="1"/>
  <c r="AQ1635" i="1"/>
  <c r="AL1635" i="1" s="1"/>
  <c r="AQ1636" i="1"/>
  <c r="AL1636" i="1" s="1"/>
  <c r="AQ1637" i="1"/>
  <c r="AL1637" i="1" s="1"/>
  <c r="AQ1638" i="1"/>
  <c r="AL1638" i="1" s="1"/>
  <c r="AQ1639" i="1"/>
  <c r="AQ1640" i="1"/>
  <c r="AQ1641" i="1"/>
  <c r="AQ1642" i="1"/>
  <c r="AL1642" i="1" s="1"/>
  <c r="AQ1643" i="1"/>
  <c r="AL1643" i="1" s="1"/>
  <c r="AQ1644" i="1"/>
  <c r="AL1644" i="1" s="1"/>
  <c r="AQ1645" i="1"/>
  <c r="AL1645" i="1" s="1"/>
  <c r="AQ1646" i="1"/>
  <c r="AL1646" i="1" s="1"/>
  <c r="AQ1647" i="1"/>
  <c r="AL1647" i="1" s="1"/>
  <c r="AQ1648" i="1"/>
  <c r="AL1648" i="1" s="1"/>
  <c r="AQ1649" i="1"/>
  <c r="AL1649" i="1" s="1"/>
  <c r="AQ1650" i="1"/>
  <c r="AL1650" i="1" s="1"/>
  <c r="AQ1651" i="1"/>
  <c r="AL1651" i="1" s="1"/>
  <c r="AQ1652" i="1"/>
  <c r="AL1652" i="1" s="1"/>
  <c r="AQ1653" i="1"/>
  <c r="AL1653" i="1" s="1"/>
  <c r="AQ1654" i="1"/>
  <c r="AL1654" i="1" s="1"/>
  <c r="AQ1655" i="1"/>
  <c r="AL1655" i="1" s="1"/>
  <c r="AQ1656" i="1"/>
  <c r="AQ1657" i="1"/>
  <c r="AL1657" i="1" s="1"/>
  <c r="AQ1658" i="1"/>
  <c r="AL1658" i="1" s="1"/>
  <c r="AQ1659" i="1"/>
  <c r="AL1659" i="1" s="1"/>
  <c r="AQ1660" i="1"/>
  <c r="AQ1661" i="1"/>
  <c r="AL1661" i="1" s="1"/>
  <c r="AQ1662" i="1"/>
  <c r="AL1662" i="1" s="1"/>
  <c r="AQ1663" i="1"/>
  <c r="AL1663" i="1" s="1"/>
  <c r="AQ1664" i="1"/>
  <c r="AL1664" i="1" s="1"/>
  <c r="AQ1665" i="1"/>
  <c r="AL1665" i="1" s="1"/>
  <c r="AQ1666" i="1"/>
  <c r="AL1666" i="1" s="1"/>
  <c r="AQ1667" i="1"/>
  <c r="AQ1668" i="1"/>
  <c r="AL1668" i="1" s="1"/>
  <c r="AQ1669" i="1"/>
  <c r="AL1669" i="1" s="1"/>
  <c r="AQ1670" i="1"/>
  <c r="AL1670" i="1" s="1"/>
  <c r="AQ1671" i="1"/>
  <c r="AQ1672" i="1"/>
  <c r="AQ1673" i="1"/>
  <c r="AL1673" i="1" s="1"/>
  <c r="AQ1674" i="1"/>
  <c r="AL1674" i="1" s="1"/>
  <c r="AQ1675" i="1"/>
  <c r="AL1675" i="1" s="1"/>
  <c r="AQ1676" i="1"/>
  <c r="AL1676" i="1" s="1"/>
  <c r="AQ1677" i="1"/>
  <c r="AL1677" i="1" s="1"/>
  <c r="AQ1678" i="1"/>
  <c r="AL1678" i="1" s="1"/>
  <c r="AQ1679" i="1"/>
  <c r="AL1679" i="1" s="1"/>
  <c r="AQ1680" i="1"/>
  <c r="AL1680" i="1" s="1"/>
  <c r="AQ1681" i="1"/>
  <c r="AL1681" i="1" s="1"/>
  <c r="AQ1682" i="1"/>
  <c r="AL1682" i="1" s="1"/>
  <c r="AQ1683" i="1"/>
  <c r="AQ1684" i="1"/>
  <c r="AL1684" i="1" s="1"/>
  <c r="AQ1685" i="1"/>
  <c r="AL1685" i="1" s="1"/>
  <c r="AQ1686" i="1"/>
  <c r="AL1686" i="1" s="1"/>
  <c r="AQ1687" i="1"/>
  <c r="AQ1688" i="1"/>
  <c r="AQ1689" i="1"/>
  <c r="AL1689" i="1" s="1"/>
  <c r="AQ1690" i="1"/>
  <c r="AL1690" i="1" s="1"/>
  <c r="AP1312" i="1"/>
  <c r="AP1318" i="1"/>
  <c r="AP1344" i="1"/>
  <c r="AP1384" i="1"/>
  <c r="AP1400" i="1"/>
  <c r="AP1430" i="1"/>
  <c r="AP1442" i="1"/>
  <c r="AP1462" i="1"/>
  <c r="AP1480" i="1"/>
  <c r="AP1527" i="1"/>
  <c r="AP1528" i="1"/>
  <c r="AP1536" i="1"/>
  <c r="AP1568" i="1"/>
  <c r="AP1575" i="1"/>
  <c r="AP1608" i="1"/>
  <c r="AP1656" i="1"/>
  <c r="AO1300" i="1"/>
  <c r="AO1304" i="1"/>
  <c r="AO1306" i="1"/>
  <c r="AO1307" i="1"/>
  <c r="AO1308" i="1"/>
  <c r="AO1309" i="1"/>
  <c r="AO1314" i="1"/>
  <c r="AO1316" i="1"/>
  <c r="AO1320" i="1"/>
  <c r="AO1322" i="1"/>
  <c r="AO1323" i="1"/>
  <c r="AO1324" i="1"/>
  <c r="AO1325" i="1"/>
  <c r="AO1329" i="1"/>
  <c r="AO1330" i="1"/>
  <c r="AO1332" i="1"/>
  <c r="AO1336" i="1"/>
  <c r="AO1338" i="1"/>
  <c r="AO1339" i="1"/>
  <c r="AO1340" i="1"/>
  <c r="AO1345" i="1"/>
  <c r="AO1346" i="1"/>
  <c r="AO1347" i="1"/>
  <c r="AO1352" i="1"/>
  <c r="AO1354" i="1"/>
  <c r="AO1355" i="1"/>
  <c r="AO1356" i="1"/>
  <c r="AO1357" i="1"/>
  <c r="AO1364" i="1"/>
  <c r="AO1368" i="1"/>
  <c r="AO1370" i="1"/>
  <c r="AO1371" i="1"/>
  <c r="AO1372" i="1"/>
  <c r="AO1373" i="1"/>
  <c r="AO1375" i="1"/>
  <c r="AO1376" i="1"/>
  <c r="AO1377" i="1"/>
  <c r="AO1378" i="1"/>
  <c r="AO1380" i="1"/>
  <c r="AO1384" i="1"/>
  <c r="AO1386" i="1"/>
  <c r="AO1387" i="1"/>
  <c r="AO1388" i="1"/>
  <c r="AO1389" i="1"/>
  <c r="AO1394" i="1"/>
  <c r="AO1396" i="1"/>
  <c r="AO1400" i="1"/>
  <c r="AO1402" i="1"/>
  <c r="AO1403" i="1"/>
  <c r="AO1404" i="1"/>
  <c r="AO1409" i="1"/>
  <c r="AO1410" i="1"/>
  <c r="AO1416" i="1"/>
  <c r="AO1418" i="1"/>
  <c r="AO1419" i="1"/>
  <c r="AO1420" i="1"/>
  <c r="AO1421" i="1"/>
  <c r="AO1428" i="1"/>
  <c r="AO1432" i="1"/>
  <c r="AO1434" i="1"/>
  <c r="AO1435" i="1"/>
  <c r="AO1436" i="1"/>
  <c r="AO1437" i="1"/>
  <c r="AO1442" i="1"/>
  <c r="AO1444" i="1"/>
  <c r="AO1448" i="1"/>
  <c r="AO1450" i="1"/>
  <c r="AO1451" i="1"/>
  <c r="AO1452" i="1"/>
  <c r="AO1453" i="1"/>
  <c r="AO1457" i="1"/>
  <c r="AO1458" i="1"/>
  <c r="AO1460" i="1"/>
  <c r="AO1464" i="1"/>
  <c r="AO1466" i="1"/>
  <c r="AO1467" i="1"/>
  <c r="AO1468" i="1"/>
  <c r="AO1473" i="1"/>
  <c r="AO1474" i="1"/>
  <c r="AO1480" i="1"/>
  <c r="AO1482" i="1"/>
  <c r="AO1483" i="1"/>
  <c r="AO1484" i="1"/>
  <c r="AO1485" i="1"/>
  <c r="AO1489" i="1"/>
  <c r="AO1492" i="1"/>
  <c r="AO1496" i="1"/>
  <c r="AO1498" i="1"/>
  <c r="AO1499" i="1"/>
  <c r="AO1500" i="1"/>
  <c r="AO1501" i="1"/>
  <c r="AO1505" i="1"/>
  <c r="AO1506" i="1"/>
  <c r="AO1508" i="1"/>
  <c r="AO1512" i="1"/>
  <c r="AO1514" i="1"/>
  <c r="AO1515" i="1"/>
  <c r="AO1516" i="1"/>
  <c r="AO1517" i="1"/>
  <c r="AO1519" i="1"/>
  <c r="AO1520" i="1"/>
  <c r="AO1521" i="1"/>
  <c r="AO1522" i="1"/>
  <c r="AO1524" i="1"/>
  <c r="AO1528" i="1"/>
  <c r="AO1530" i="1"/>
  <c r="AO1531" i="1"/>
  <c r="AO1532" i="1"/>
  <c r="AO1537" i="1"/>
  <c r="AO1538" i="1"/>
  <c r="AO1544" i="1"/>
  <c r="AO1546" i="1"/>
  <c r="AO1547" i="1"/>
  <c r="AO1548" i="1"/>
  <c r="AO1549" i="1"/>
  <c r="AO1552" i="1"/>
  <c r="AO1553" i="1"/>
  <c r="AO1556" i="1"/>
  <c r="AO1560" i="1"/>
  <c r="AO1562" i="1"/>
  <c r="AO1563" i="1"/>
  <c r="AO1564" i="1"/>
  <c r="AO1565" i="1"/>
  <c r="AO1570" i="1"/>
  <c r="AO1572" i="1"/>
  <c r="AO1576" i="1"/>
  <c r="AO1578" i="1"/>
  <c r="AO1579" i="1"/>
  <c r="AO1580" i="1"/>
  <c r="AO1581" i="1"/>
  <c r="AO1586" i="1"/>
  <c r="AO1588" i="1"/>
  <c r="AO1592" i="1"/>
  <c r="AO1594" i="1"/>
  <c r="AO1595" i="1"/>
  <c r="AO1596" i="1"/>
  <c r="AO1602" i="1"/>
  <c r="AO1603" i="1"/>
  <c r="AO1604" i="1"/>
  <c r="AO1608" i="1"/>
  <c r="AO1610" i="1"/>
  <c r="AO1611" i="1"/>
  <c r="AO1612" i="1"/>
  <c r="AO1613" i="1"/>
  <c r="AO1617" i="1"/>
  <c r="AO1620" i="1"/>
  <c r="AO1624" i="1"/>
  <c r="AO1626" i="1"/>
  <c r="AO1627" i="1"/>
  <c r="AO1628" i="1"/>
  <c r="AO1629" i="1"/>
  <c r="AO1633" i="1"/>
  <c r="AO1634" i="1"/>
  <c r="AO1636" i="1"/>
  <c r="AO1640" i="1"/>
  <c r="AO1642" i="1"/>
  <c r="AO1643" i="1"/>
  <c r="AO1644" i="1"/>
  <c r="AO1645" i="1"/>
  <c r="AO1649" i="1"/>
  <c r="AO1650" i="1"/>
  <c r="AO1652" i="1"/>
  <c r="AO1656" i="1"/>
  <c r="AO1658" i="1"/>
  <c r="AO1659" i="1"/>
  <c r="AO1660" i="1"/>
  <c r="AO1664" i="1"/>
  <c r="AO1665" i="1"/>
  <c r="AO1666" i="1"/>
  <c r="AO1668" i="1"/>
  <c r="AO1672" i="1"/>
  <c r="AO1674" i="1"/>
  <c r="AO1675" i="1"/>
  <c r="AO1676" i="1"/>
  <c r="AO1677" i="1"/>
  <c r="AO1684" i="1"/>
  <c r="AO1688" i="1"/>
  <c r="AO1690" i="1"/>
  <c r="AN1299" i="1"/>
  <c r="AN1302" i="1"/>
  <c r="AN1310" i="1"/>
  <c r="AN1315" i="1"/>
  <c r="AN1318" i="1"/>
  <c r="AN1322" i="1"/>
  <c r="AN1323" i="1"/>
  <c r="AN1331" i="1"/>
  <c r="AN1334" i="1"/>
  <c r="AN1339" i="1"/>
  <c r="AN1347" i="1"/>
  <c r="AN1350" i="1"/>
  <c r="AN1355" i="1"/>
  <c r="AN1358" i="1"/>
  <c r="AN1362" i="1"/>
  <c r="AN1363" i="1"/>
  <c r="AN1367" i="1"/>
  <c r="AN1379" i="1"/>
  <c r="AN1387" i="1"/>
  <c r="AN1395" i="1"/>
  <c r="AN1400" i="1"/>
  <c r="AN1403" i="1"/>
  <c r="AN1404" i="1"/>
  <c r="AN1411" i="1"/>
  <c r="AN1419" i="1"/>
  <c r="AN1424" i="1"/>
  <c r="AN1425" i="1"/>
  <c r="AN1427" i="1"/>
  <c r="AN1431" i="1"/>
  <c r="AN1443" i="1"/>
  <c r="AN1451" i="1"/>
  <c r="AN1459" i="1"/>
  <c r="AN1462" i="1"/>
  <c r="AN1467" i="1"/>
  <c r="AN1475" i="1"/>
  <c r="AN1480" i="1"/>
  <c r="AN1483" i="1"/>
  <c r="AN1484" i="1"/>
  <c r="AN1491" i="1"/>
  <c r="AN1495" i="1"/>
  <c r="AN1507" i="1"/>
  <c r="AN1515" i="1"/>
  <c r="AN1516" i="1"/>
  <c r="AN1523" i="1"/>
  <c r="AN1527" i="1"/>
  <c r="AN1531" i="1"/>
  <c r="AN1539" i="1"/>
  <c r="AN1547" i="1"/>
  <c r="AN1555" i="1"/>
  <c r="AN1559" i="1"/>
  <c r="AN1564" i="1"/>
  <c r="AN1571" i="1"/>
  <c r="AN1579" i="1"/>
  <c r="AN1584" i="1"/>
  <c r="AN1587" i="1"/>
  <c r="AN1592" i="1"/>
  <c r="AN1595" i="1"/>
  <c r="AN1596" i="1"/>
  <c r="AN1603" i="1"/>
  <c r="AN1606" i="1"/>
  <c r="AN1611" i="1"/>
  <c r="AN1619" i="1"/>
  <c r="AN1623" i="1"/>
  <c r="AN1632" i="1"/>
  <c r="AN1633" i="1"/>
  <c r="AN1635" i="1"/>
  <c r="AN1638" i="1"/>
  <c r="AN1643" i="1"/>
  <c r="AN1651" i="1"/>
  <c r="AN1655" i="1"/>
  <c r="AN1659" i="1"/>
  <c r="AN1667" i="1"/>
  <c r="AN1675" i="1"/>
  <c r="AN1676" i="1"/>
  <c r="AN1683" i="1"/>
  <c r="AM1298" i="1"/>
  <c r="AM1314" i="1"/>
  <c r="AM1315" i="1"/>
  <c r="AM1321" i="1"/>
  <c r="AM1330" i="1"/>
  <c r="AM1331" i="1"/>
  <c r="AM1347" i="1"/>
  <c r="AM1362" i="1"/>
  <c r="AM1363" i="1"/>
  <c r="AM1369" i="1"/>
  <c r="AM1378" i="1"/>
  <c r="AM1379" i="1"/>
  <c r="AM1394" i="1"/>
  <c r="AM1410" i="1"/>
  <c r="AM1426" i="1"/>
  <c r="AM1427" i="1"/>
  <c r="AM1433" i="1"/>
  <c r="AM1434" i="1"/>
  <c r="AM1435" i="1"/>
  <c r="AM1442" i="1"/>
  <c r="AM1458" i="1"/>
  <c r="AM1459" i="1"/>
  <c r="AM1490" i="1"/>
  <c r="AM1497" i="1"/>
  <c r="AM1498" i="1"/>
  <c r="AM1499" i="1"/>
  <c r="AM1506" i="1"/>
  <c r="AM1507" i="1"/>
  <c r="AM1523" i="1"/>
  <c r="AM1538" i="1"/>
  <c r="AM1539" i="1"/>
  <c r="AM1561" i="1"/>
  <c r="AM1562" i="1"/>
  <c r="AM1570" i="1"/>
  <c r="AM1571" i="1"/>
  <c r="AM1586" i="1"/>
  <c r="AM1603" i="1"/>
  <c r="AM1618" i="1"/>
  <c r="AM1625" i="1"/>
  <c r="AM1626" i="1"/>
  <c r="AM1634" i="1"/>
  <c r="AM1635" i="1"/>
  <c r="AM1650" i="1"/>
  <c r="AM1666" i="1"/>
  <c r="AM1667" i="1"/>
  <c r="AL1297" i="1"/>
  <c r="AL1299" i="1"/>
  <c r="AL1303" i="1"/>
  <c r="AL1304" i="1"/>
  <c r="AL1305" i="1"/>
  <c r="AL1308" i="1"/>
  <c r="AL1319" i="1"/>
  <c r="AL1320" i="1"/>
  <c r="AL1321" i="1"/>
  <c r="AL1324" i="1"/>
  <c r="AL1329" i="1"/>
  <c r="AL1336" i="1"/>
  <c r="AL1340" i="1"/>
  <c r="AL1347" i="1"/>
  <c r="AL1352" i="1"/>
  <c r="AL1356" i="1"/>
  <c r="AL1361" i="1"/>
  <c r="AL1363" i="1"/>
  <c r="AL1367" i="1"/>
  <c r="AL1368" i="1"/>
  <c r="AL1369" i="1"/>
  <c r="AL1383" i="1"/>
  <c r="AL1384" i="1"/>
  <c r="AL1388" i="1"/>
  <c r="AL1393" i="1"/>
  <c r="AL1400" i="1"/>
  <c r="AL1401" i="1"/>
  <c r="AL1411" i="1"/>
  <c r="AL1415" i="1"/>
  <c r="AL1416" i="1"/>
  <c r="AL1417" i="1"/>
  <c r="AL1420" i="1"/>
  <c r="AL1427" i="1"/>
  <c r="AL1431" i="1"/>
  <c r="AL1432" i="1"/>
  <c r="AL1441" i="1"/>
  <c r="AL1446" i="1"/>
  <c r="AL1447" i="1"/>
  <c r="AL1448" i="1"/>
  <c r="AL1449" i="1"/>
  <c r="AL1452" i="1"/>
  <c r="AL1464" i="1"/>
  <c r="AL1465" i="1"/>
  <c r="AL1473" i="1"/>
  <c r="AL1475" i="1"/>
  <c r="AL1479" i="1"/>
  <c r="AL1480" i="1"/>
  <c r="AL1484" i="1"/>
  <c r="AL1491" i="1"/>
  <c r="AL1495" i="1"/>
  <c r="AL1496" i="1"/>
  <c r="AL1500" i="1"/>
  <c r="AL1505" i="1"/>
  <c r="AL1511" i="1"/>
  <c r="AL1512" i="1"/>
  <c r="AL1513" i="1"/>
  <c r="AL1516" i="1"/>
  <c r="AL1520" i="1"/>
  <c r="AL1528" i="1"/>
  <c r="AL1529" i="1"/>
  <c r="AL1532" i="1"/>
  <c r="AL1539" i="1"/>
  <c r="AL1543" i="1"/>
  <c r="AL1544" i="1"/>
  <c r="AL1548" i="1"/>
  <c r="AL1555" i="1"/>
  <c r="AL1559" i="1"/>
  <c r="AL1560" i="1"/>
  <c r="AL1564" i="1"/>
  <c r="AL1575" i="1"/>
  <c r="AL1576" i="1"/>
  <c r="AL1580" i="1"/>
  <c r="AL1592" i="1"/>
  <c r="AL1593" i="1"/>
  <c r="AL1596" i="1"/>
  <c r="AL1603" i="1"/>
  <c r="AL1607" i="1"/>
  <c r="AL1608" i="1"/>
  <c r="AL1612" i="1"/>
  <c r="AL1619" i="1"/>
  <c r="AL1623" i="1"/>
  <c r="AL1624" i="1"/>
  <c r="AL1625" i="1"/>
  <c r="AL1628" i="1"/>
  <c r="AL1639" i="1"/>
  <c r="AL1640" i="1"/>
  <c r="AL1641" i="1"/>
  <c r="AL1656" i="1"/>
  <c r="AL1660" i="1"/>
  <c r="AL1667" i="1"/>
  <c r="AL1671" i="1"/>
  <c r="AL1672" i="1"/>
  <c r="AL1683" i="1"/>
  <c r="AL1687" i="1"/>
  <c r="AL1688"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U1326" i="1"/>
  <c r="W1326" i="1" s="1"/>
  <c r="U1407" i="1"/>
  <c r="W1407" i="1" s="1"/>
  <c r="U1437" i="1"/>
  <c r="W1437" i="1" s="1"/>
  <c r="U1438" i="1"/>
  <c r="W1438" i="1" s="1"/>
  <c r="U1519" i="1"/>
  <c r="W1519" i="1" s="1"/>
  <c r="U1551" i="1"/>
  <c r="W1551" i="1" s="1"/>
  <c r="U1557" i="1"/>
  <c r="W1557" i="1" s="1"/>
  <c r="U1567" i="1"/>
  <c r="W1567" i="1" s="1"/>
  <c r="U1568" i="1"/>
  <c r="W1568" i="1" s="1"/>
  <c r="U1569" i="1"/>
  <c r="W1569" i="1" s="1"/>
  <c r="U1589" i="1"/>
  <c r="W1589" i="1" s="1"/>
  <c r="U1628" i="1"/>
  <c r="W1628" i="1" s="1"/>
  <c r="U1644" i="1"/>
  <c r="W1644" i="1" s="1"/>
  <c r="U1296" i="1"/>
  <c r="W1296" i="1" s="1"/>
  <c r="U1297" i="1"/>
  <c r="W1297" i="1" s="1"/>
  <c r="U1298" i="1"/>
  <c r="W1298" i="1" s="1"/>
  <c r="U1299" i="1"/>
  <c r="W1299" i="1" s="1"/>
  <c r="U1300" i="1"/>
  <c r="W1300" i="1" s="1"/>
  <c r="U1301" i="1"/>
  <c r="W1301" i="1" s="1"/>
  <c r="U1302" i="1"/>
  <c r="W1302" i="1" s="1"/>
  <c r="U1303" i="1"/>
  <c r="W1303" i="1" s="1"/>
  <c r="U1304" i="1"/>
  <c r="W1304" i="1" s="1"/>
  <c r="U1305" i="1"/>
  <c r="W1305" i="1" s="1"/>
  <c r="U1306" i="1"/>
  <c r="W1306" i="1" s="1"/>
  <c r="U1307" i="1"/>
  <c r="W1307" i="1" s="1"/>
  <c r="U1308" i="1"/>
  <c r="W1308" i="1" s="1"/>
  <c r="U1309" i="1"/>
  <c r="W1309" i="1" s="1"/>
  <c r="U1310" i="1"/>
  <c r="W1310" i="1" s="1"/>
  <c r="U1311" i="1"/>
  <c r="W1311" i="1" s="1"/>
  <c r="U1312" i="1"/>
  <c r="W1312" i="1" s="1"/>
  <c r="U1313" i="1"/>
  <c r="W1313" i="1" s="1"/>
  <c r="U1314" i="1"/>
  <c r="W1314" i="1" s="1"/>
  <c r="U1315" i="1"/>
  <c r="W1315" i="1" s="1"/>
  <c r="U1316" i="1"/>
  <c r="W1316" i="1" s="1"/>
  <c r="U1317" i="1"/>
  <c r="W1317" i="1" s="1"/>
  <c r="U1318" i="1"/>
  <c r="W1318" i="1" s="1"/>
  <c r="U1319" i="1"/>
  <c r="W1319" i="1" s="1"/>
  <c r="U1320" i="1"/>
  <c r="W1320" i="1" s="1"/>
  <c r="U1321" i="1"/>
  <c r="W1321" i="1" s="1"/>
  <c r="U1322" i="1"/>
  <c r="W1322" i="1" s="1"/>
  <c r="U1323" i="1"/>
  <c r="W1323" i="1" s="1"/>
  <c r="U1324" i="1"/>
  <c r="W1324" i="1" s="1"/>
  <c r="U1325" i="1"/>
  <c r="W1325" i="1" s="1"/>
  <c r="U1327" i="1"/>
  <c r="W1327" i="1" s="1"/>
  <c r="U1328" i="1"/>
  <c r="W1328" i="1" s="1"/>
  <c r="U1329" i="1"/>
  <c r="W1329" i="1" s="1"/>
  <c r="U1330" i="1"/>
  <c r="W1330" i="1" s="1"/>
  <c r="U1331" i="1"/>
  <c r="W1331" i="1" s="1"/>
  <c r="U1332" i="1"/>
  <c r="W1332" i="1" s="1"/>
  <c r="U1333" i="1"/>
  <c r="W1333" i="1" s="1"/>
  <c r="U1334" i="1"/>
  <c r="W1334" i="1" s="1"/>
  <c r="U1335" i="1"/>
  <c r="W1335" i="1" s="1"/>
  <c r="U1336" i="1"/>
  <c r="W1336" i="1" s="1"/>
  <c r="U1337" i="1"/>
  <c r="W1337" i="1" s="1"/>
  <c r="U1338" i="1"/>
  <c r="W1338" i="1" s="1"/>
  <c r="U1339" i="1"/>
  <c r="W1339" i="1" s="1"/>
  <c r="U1340" i="1"/>
  <c r="W1340" i="1" s="1"/>
  <c r="U1341" i="1"/>
  <c r="W1341" i="1" s="1"/>
  <c r="U1342" i="1"/>
  <c r="W1342" i="1" s="1"/>
  <c r="U1343" i="1"/>
  <c r="W1343" i="1" s="1"/>
  <c r="U1344" i="1"/>
  <c r="W1344" i="1" s="1"/>
  <c r="U1345" i="1"/>
  <c r="W1345" i="1" s="1"/>
  <c r="U1346" i="1"/>
  <c r="W1346" i="1" s="1"/>
  <c r="U1347" i="1"/>
  <c r="W1347" i="1" s="1"/>
  <c r="U1348" i="1"/>
  <c r="W1348" i="1" s="1"/>
  <c r="U1349" i="1"/>
  <c r="W1349" i="1" s="1"/>
  <c r="U1350" i="1"/>
  <c r="W1350" i="1" s="1"/>
  <c r="U1351" i="1"/>
  <c r="W1351" i="1" s="1"/>
  <c r="U1352" i="1"/>
  <c r="W1352" i="1" s="1"/>
  <c r="U1353" i="1"/>
  <c r="W1353" i="1" s="1"/>
  <c r="U1354" i="1"/>
  <c r="W1354" i="1" s="1"/>
  <c r="U1355" i="1"/>
  <c r="W1355" i="1" s="1"/>
  <c r="U1356" i="1"/>
  <c r="W1356" i="1" s="1"/>
  <c r="U1357" i="1"/>
  <c r="W1357" i="1" s="1"/>
  <c r="U1358" i="1"/>
  <c r="W1358" i="1" s="1"/>
  <c r="U1359" i="1"/>
  <c r="W1359" i="1" s="1"/>
  <c r="U1360" i="1"/>
  <c r="W1360" i="1" s="1"/>
  <c r="U1361" i="1"/>
  <c r="W1361" i="1" s="1"/>
  <c r="U1362" i="1"/>
  <c r="W1362" i="1" s="1"/>
  <c r="U1363" i="1"/>
  <c r="W1363" i="1" s="1"/>
  <c r="U1364" i="1"/>
  <c r="W1364" i="1" s="1"/>
  <c r="U1365" i="1"/>
  <c r="W1365" i="1" s="1"/>
  <c r="U1366" i="1"/>
  <c r="W1366" i="1" s="1"/>
  <c r="U1367" i="1"/>
  <c r="W1367" i="1" s="1"/>
  <c r="U1368" i="1"/>
  <c r="W1368" i="1" s="1"/>
  <c r="U1369" i="1"/>
  <c r="W1369" i="1" s="1"/>
  <c r="U1370" i="1"/>
  <c r="W1370" i="1" s="1"/>
  <c r="U1371" i="1"/>
  <c r="W1371" i="1" s="1"/>
  <c r="U1372" i="1"/>
  <c r="W1372" i="1" s="1"/>
  <c r="U1373" i="1"/>
  <c r="W1373" i="1" s="1"/>
  <c r="U1374" i="1"/>
  <c r="W1374" i="1" s="1"/>
  <c r="U1375" i="1"/>
  <c r="W1375" i="1" s="1"/>
  <c r="U1376" i="1"/>
  <c r="W1376" i="1" s="1"/>
  <c r="U1377" i="1"/>
  <c r="W1377" i="1" s="1"/>
  <c r="U1378" i="1"/>
  <c r="W1378" i="1" s="1"/>
  <c r="U1379" i="1"/>
  <c r="U1380" i="1"/>
  <c r="W1380" i="1" s="1"/>
  <c r="U1381" i="1"/>
  <c r="W1381" i="1" s="1"/>
  <c r="U1382" i="1"/>
  <c r="W1382" i="1" s="1"/>
  <c r="U1383" i="1"/>
  <c r="W1383" i="1" s="1"/>
  <c r="U1384" i="1"/>
  <c r="W1384" i="1" s="1"/>
  <c r="U1385" i="1"/>
  <c r="W1385" i="1" s="1"/>
  <c r="U1386" i="1"/>
  <c r="U1387" i="1"/>
  <c r="W1387" i="1" s="1"/>
  <c r="U1388" i="1"/>
  <c r="W1388" i="1" s="1"/>
  <c r="U1389" i="1"/>
  <c r="W1389" i="1" s="1"/>
  <c r="U1390" i="1"/>
  <c r="W1390" i="1" s="1"/>
  <c r="U1391" i="1"/>
  <c r="W1391" i="1" s="1"/>
  <c r="U1392" i="1"/>
  <c r="W1392" i="1" s="1"/>
  <c r="U1393" i="1"/>
  <c r="W1393" i="1" s="1"/>
  <c r="U1394" i="1"/>
  <c r="W1394" i="1" s="1"/>
  <c r="U1395" i="1"/>
  <c r="W1395" i="1" s="1"/>
  <c r="U1396" i="1"/>
  <c r="W1396" i="1" s="1"/>
  <c r="U1397" i="1"/>
  <c r="W1397" i="1" s="1"/>
  <c r="U1398" i="1"/>
  <c r="W1398" i="1" s="1"/>
  <c r="U1399" i="1"/>
  <c r="W1399" i="1" s="1"/>
  <c r="U1400" i="1"/>
  <c r="W1400" i="1" s="1"/>
  <c r="U1401" i="1"/>
  <c r="W1401" i="1" s="1"/>
  <c r="U1402" i="1"/>
  <c r="W1402" i="1" s="1"/>
  <c r="U1403" i="1"/>
  <c r="W1403" i="1" s="1"/>
  <c r="U1404" i="1"/>
  <c r="W1404" i="1" s="1"/>
  <c r="U1405" i="1"/>
  <c r="W1405" i="1" s="1"/>
  <c r="U1406" i="1"/>
  <c r="W1406" i="1" s="1"/>
  <c r="U1408" i="1"/>
  <c r="W1408" i="1" s="1"/>
  <c r="U1409" i="1"/>
  <c r="W1409" i="1" s="1"/>
  <c r="U1410" i="1"/>
  <c r="W1410" i="1" s="1"/>
  <c r="U1411" i="1"/>
  <c r="W1411" i="1" s="1"/>
  <c r="U1412" i="1"/>
  <c r="W1412" i="1" s="1"/>
  <c r="U1413" i="1"/>
  <c r="W1413" i="1" s="1"/>
  <c r="U1414" i="1"/>
  <c r="W1414" i="1" s="1"/>
  <c r="U1415" i="1"/>
  <c r="W1415" i="1" s="1"/>
  <c r="U1416" i="1"/>
  <c r="W1416" i="1" s="1"/>
  <c r="U1417" i="1"/>
  <c r="W1417" i="1" s="1"/>
  <c r="U1418" i="1"/>
  <c r="W1418" i="1" s="1"/>
  <c r="U1419" i="1"/>
  <c r="W1419" i="1" s="1"/>
  <c r="U1420" i="1"/>
  <c r="W1420" i="1" s="1"/>
  <c r="U1421" i="1"/>
  <c r="W1421" i="1" s="1"/>
  <c r="U1422" i="1"/>
  <c r="W1422" i="1" s="1"/>
  <c r="U1423" i="1"/>
  <c r="W1423" i="1" s="1"/>
  <c r="U1424" i="1"/>
  <c r="W1424" i="1" s="1"/>
  <c r="U1425" i="1"/>
  <c r="W1425" i="1" s="1"/>
  <c r="U1426" i="1"/>
  <c r="W1426" i="1" s="1"/>
  <c r="U1427" i="1"/>
  <c r="W1427" i="1" s="1"/>
  <c r="U1428" i="1"/>
  <c r="W1428" i="1" s="1"/>
  <c r="U1429" i="1"/>
  <c r="W1429" i="1" s="1"/>
  <c r="U1430" i="1"/>
  <c r="W1430" i="1" s="1"/>
  <c r="U1431" i="1"/>
  <c r="W1431" i="1" s="1"/>
  <c r="U1432" i="1"/>
  <c r="W1432" i="1" s="1"/>
  <c r="U1433" i="1"/>
  <c r="W1433" i="1" s="1"/>
  <c r="U1434" i="1"/>
  <c r="W1434" i="1" s="1"/>
  <c r="U1435" i="1"/>
  <c r="W1435" i="1" s="1"/>
  <c r="U1436" i="1"/>
  <c r="W1436" i="1" s="1"/>
  <c r="U1439" i="1"/>
  <c r="W1439" i="1" s="1"/>
  <c r="U1440" i="1"/>
  <c r="W1440" i="1" s="1"/>
  <c r="U1441" i="1"/>
  <c r="W1441" i="1" s="1"/>
  <c r="U1442" i="1"/>
  <c r="W1442" i="1" s="1"/>
  <c r="U1443" i="1"/>
  <c r="W1443" i="1" s="1"/>
  <c r="U1444" i="1"/>
  <c r="W1444" i="1" s="1"/>
  <c r="U1445" i="1"/>
  <c r="W1445" i="1" s="1"/>
  <c r="U1446" i="1"/>
  <c r="W1446" i="1" s="1"/>
  <c r="U1447" i="1"/>
  <c r="W1447" i="1" s="1"/>
  <c r="U1448" i="1"/>
  <c r="W1448" i="1" s="1"/>
  <c r="U1449" i="1"/>
  <c r="W1449" i="1" s="1"/>
  <c r="U1450" i="1"/>
  <c r="W1450" i="1" s="1"/>
  <c r="U1451" i="1"/>
  <c r="W1451" i="1" s="1"/>
  <c r="U1452" i="1"/>
  <c r="W1452" i="1" s="1"/>
  <c r="U1453" i="1"/>
  <c r="W1453" i="1" s="1"/>
  <c r="U1454" i="1"/>
  <c r="W1454" i="1" s="1"/>
  <c r="U1455" i="1"/>
  <c r="W1455" i="1" s="1"/>
  <c r="U1456" i="1"/>
  <c r="W1456" i="1" s="1"/>
  <c r="U1457" i="1"/>
  <c r="W1457" i="1" s="1"/>
  <c r="U1458" i="1"/>
  <c r="W1458" i="1" s="1"/>
  <c r="U1459" i="1"/>
  <c r="W1459" i="1" s="1"/>
  <c r="U1460" i="1"/>
  <c r="W1460" i="1" s="1"/>
  <c r="U1461" i="1"/>
  <c r="W1461" i="1" s="1"/>
  <c r="U1462" i="1"/>
  <c r="W1462" i="1" s="1"/>
  <c r="U1463" i="1"/>
  <c r="W1463" i="1" s="1"/>
  <c r="U1464" i="1"/>
  <c r="W1464" i="1" s="1"/>
  <c r="U1465" i="1"/>
  <c r="W1465" i="1" s="1"/>
  <c r="U1466" i="1"/>
  <c r="W1466" i="1" s="1"/>
  <c r="U1467" i="1"/>
  <c r="W1467" i="1" s="1"/>
  <c r="U1468" i="1"/>
  <c r="W1468" i="1" s="1"/>
  <c r="U1469" i="1"/>
  <c r="W1469" i="1" s="1"/>
  <c r="U1470" i="1"/>
  <c r="W1470" i="1" s="1"/>
  <c r="U1471" i="1"/>
  <c r="W1471" i="1" s="1"/>
  <c r="U1472" i="1"/>
  <c r="W1472" i="1" s="1"/>
  <c r="U1473" i="1"/>
  <c r="W1473" i="1" s="1"/>
  <c r="U1474" i="1"/>
  <c r="W1474" i="1" s="1"/>
  <c r="U1475" i="1"/>
  <c r="W1475" i="1" s="1"/>
  <c r="U1476" i="1"/>
  <c r="W1476" i="1" s="1"/>
  <c r="U1477" i="1"/>
  <c r="W1477" i="1" s="1"/>
  <c r="U1478" i="1"/>
  <c r="W1478" i="1" s="1"/>
  <c r="U1479" i="1"/>
  <c r="W1479" i="1" s="1"/>
  <c r="U1480" i="1"/>
  <c r="W1480" i="1" s="1"/>
  <c r="U1481" i="1"/>
  <c r="W1481" i="1" s="1"/>
  <c r="U1482" i="1"/>
  <c r="W1482" i="1" s="1"/>
  <c r="U1483" i="1"/>
  <c r="W1483" i="1" s="1"/>
  <c r="U1484" i="1"/>
  <c r="W1484" i="1" s="1"/>
  <c r="U1485" i="1"/>
  <c r="W1485" i="1" s="1"/>
  <c r="U1486" i="1"/>
  <c r="W1486" i="1" s="1"/>
  <c r="U1487" i="1"/>
  <c r="W1487" i="1" s="1"/>
  <c r="U1488" i="1"/>
  <c r="W1488" i="1" s="1"/>
  <c r="U1489" i="1"/>
  <c r="W1489" i="1" s="1"/>
  <c r="U1490" i="1"/>
  <c r="W1490" i="1" s="1"/>
  <c r="U1491" i="1"/>
  <c r="W1491" i="1" s="1"/>
  <c r="U1492" i="1"/>
  <c r="W1492" i="1" s="1"/>
  <c r="U1493" i="1"/>
  <c r="W1493" i="1" s="1"/>
  <c r="U1494" i="1"/>
  <c r="W1494" i="1" s="1"/>
  <c r="U1495" i="1"/>
  <c r="W1495" i="1" s="1"/>
  <c r="U1496" i="1"/>
  <c r="W1496" i="1" s="1"/>
  <c r="U1497" i="1"/>
  <c r="W1497" i="1" s="1"/>
  <c r="U1498" i="1"/>
  <c r="W1498" i="1" s="1"/>
  <c r="U1499" i="1"/>
  <c r="W1499" i="1" s="1"/>
  <c r="U1500" i="1"/>
  <c r="W1500" i="1" s="1"/>
  <c r="U1501" i="1"/>
  <c r="W1501" i="1" s="1"/>
  <c r="U1502" i="1"/>
  <c r="W1502" i="1" s="1"/>
  <c r="U1503" i="1"/>
  <c r="W1503" i="1" s="1"/>
  <c r="U1504" i="1"/>
  <c r="W1504" i="1" s="1"/>
  <c r="U1505" i="1"/>
  <c r="W1505" i="1" s="1"/>
  <c r="U1506" i="1"/>
  <c r="W1506" i="1" s="1"/>
  <c r="U1507" i="1"/>
  <c r="W1507" i="1" s="1"/>
  <c r="U1508" i="1"/>
  <c r="W1508" i="1" s="1"/>
  <c r="U1509" i="1"/>
  <c r="W1509" i="1" s="1"/>
  <c r="U1510" i="1"/>
  <c r="W1510" i="1" s="1"/>
  <c r="U1511" i="1"/>
  <c r="W1511" i="1" s="1"/>
  <c r="U1512" i="1"/>
  <c r="W1512" i="1" s="1"/>
  <c r="U1513" i="1"/>
  <c r="W1513" i="1" s="1"/>
  <c r="U1514" i="1"/>
  <c r="W1514" i="1" s="1"/>
  <c r="U1515" i="1"/>
  <c r="W1515" i="1" s="1"/>
  <c r="U1516" i="1"/>
  <c r="W1516" i="1" s="1"/>
  <c r="U1517" i="1"/>
  <c r="W1517" i="1" s="1"/>
  <c r="U1518" i="1"/>
  <c r="W1518" i="1" s="1"/>
  <c r="U1520" i="1"/>
  <c r="W1520" i="1" s="1"/>
  <c r="U1521" i="1"/>
  <c r="W1521" i="1" s="1"/>
  <c r="U1522" i="1"/>
  <c r="W1522" i="1" s="1"/>
  <c r="U1523" i="1"/>
  <c r="W1523" i="1" s="1"/>
  <c r="U1524" i="1"/>
  <c r="W1524" i="1" s="1"/>
  <c r="U1525" i="1"/>
  <c r="W1525" i="1" s="1"/>
  <c r="U1526" i="1"/>
  <c r="W1526" i="1" s="1"/>
  <c r="U1527" i="1"/>
  <c r="W1527" i="1" s="1"/>
  <c r="U1528" i="1"/>
  <c r="W1528" i="1" s="1"/>
  <c r="U1529" i="1"/>
  <c r="W1529" i="1" s="1"/>
  <c r="U1530" i="1"/>
  <c r="W1530" i="1" s="1"/>
  <c r="U1531" i="1"/>
  <c r="W1531" i="1" s="1"/>
  <c r="U1532" i="1"/>
  <c r="W1532" i="1" s="1"/>
  <c r="U1533" i="1"/>
  <c r="W1533" i="1" s="1"/>
  <c r="U1534" i="1"/>
  <c r="W1534" i="1" s="1"/>
  <c r="U1535" i="1"/>
  <c r="W1535" i="1" s="1"/>
  <c r="U1536" i="1"/>
  <c r="W1536" i="1" s="1"/>
  <c r="U1537" i="1"/>
  <c r="W1537" i="1" s="1"/>
  <c r="U1538" i="1"/>
  <c r="W1538" i="1" s="1"/>
  <c r="U1539" i="1"/>
  <c r="W1539" i="1" s="1"/>
  <c r="U1540" i="1"/>
  <c r="W1540" i="1" s="1"/>
  <c r="U1541" i="1"/>
  <c r="W1541" i="1" s="1"/>
  <c r="U1542" i="1"/>
  <c r="W1542" i="1" s="1"/>
  <c r="U1543" i="1"/>
  <c r="W1543" i="1" s="1"/>
  <c r="U1544" i="1"/>
  <c r="W1544" i="1" s="1"/>
  <c r="U1545" i="1"/>
  <c r="W1545" i="1" s="1"/>
  <c r="U1546" i="1"/>
  <c r="W1546" i="1" s="1"/>
  <c r="U1547" i="1"/>
  <c r="W1547" i="1" s="1"/>
  <c r="U1548" i="1"/>
  <c r="W1548" i="1" s="1"/>
  <c r="U1549" i="1"/>
  <c r="W1549" i="1" s="1"/>
  <c r="U1550" i="1"/>
  <c r="W1550" i="1" s="1"/>
  <c r="U1552" i="1"/>
  <c r="W1552" i="1" s="1"/>
  <c r="U1553" i="1"/>
  <c r="W1553" i="1" s="1"/>
  <c r="U1554" i="1"/>
  <c r="W1554" i="1" s="1"/>
  <c r="U1555" i="1"/>
  <c r="W1555" i="1" s="1"/>
  <c r="U1556" i="1"/>
  <c r="U1558" i="1"/>
  <c r="W1558" i="1" s="1"/>
  <c r="U1559" i="1"/>
  <c r="W1559" i="1" s="1"/>
  <c r="U1560" i="1"/>
  <c r="W1560" i="1" s="1"/>
  <c r="U1561" i="1"/>
  <c r="W1561" i="1" s="1"/>
  <c r="U1562" i="1"/>
  <c r="W1562" i="1" s="1"/>
  <c r="U1563" i="1"/>
  <c r="W1563" i="1" s="1"/>
  <c r="U1564" i="1"/>
  <c r="W1564" i="1" s="1"/>
  <c r="U1565" i="1"/>
  <c r="W1565" i="1" s="1"/>
  <c r="U1566" i="1"/>
  <c r="W1566" i="1" s="1"/>
  <c r="U1570" i="1"/>
  <c r="W1570" i="1" s="1"/>
  <c r="U1571" i="1"/>
  <c r="W1571" i="1" s="1"/>
  <c r="U1572" i="1"/>
  <c r="W1572" i="1" s="1"/>
  <c r="U1573" i="1"/>
  <c r="W1573" i="1" s="1"/>
  <c r="U1574" i="1"/>
  <c r="W1574" i="1" s="1"/>
  <c r="U1575" i="1"/>
  <c r="W1575" i="1" s="1"/>
  <c r="U1576" i="1"/>
  <c r="W1576" i="1" s="1"/>
  <c r="U1577" i="1"/>
  <c r="W1577" i="1" s="1"/>
  <c r="U1578" i="1"/>
  <c r="W1578" i="1" s="1"/>
  <c r="U1579" i="1"/>
  <c r="W1579" i="1" s="1"/>
  <c r="U1580" i="1"/>
  <c r="W1580" i="1" s="1"/>
  <c r="U1581" i="1"/>
  <c r="W1581" i="1" s="1"/>
  <c r="U1582" i="1"/>
  <c r="W1582" i="1" s="1"/>
  <c r="U1583" i="1"/>
  <c r="W1583" i="1" s="1"/>
  <c r="U1584" i="1"/>
  <c r="W1584" i="1" s="1"/>
  <c r="U1585" i="1"/>
  <c r="W1585" i="1" s="1"/>
  <c r="U1586" i="1"/>
  <c r="W1586" i="1" s="1"/>
  <c r="U1587" i="1"/>
  <c r="W1587" i="1" s="1"/>
  <c r="U1588" i="1"/>
  <c r="W1588" i="1" s="1"/>
  <c r="U1590" i="1"/>
  <c r="W1590" i="1" s="1"/>
  <c r="U1591" i="1"/>
  <c r="W1591" i="1" s="1"/>
  <c r="U1592" i="1"/>
  <c r="W1592" i="1" s="1"/>
  <c r="U1593" i="1"/>
  <c r="W1593" i="1" s="1"/>
  <c r="U1594" i="1"/>
  <c r="W1594" i="1" s="1"/>
  <c r="U1595" i="1"/>
  <c r="W1595" i="1" s="1"/>
  <c r="U1596" i="1"/>
  <c r="W1596" i="1" s="1"/>
  <c r="U1597" i="1"/>
  <c r="W1597" i="1" s="1"/>
  <c r="U1598" i="1"/>
  <c r="W1598" i="1" s="1"/>
  <c r="U1599" i="1"/>
  <c r="W1599" i="1" s="1"/>
  <c r="U1600" i="1"/>
  <c r="W1600" i="1" s="1"/>
  <c r="U1601" i="1"/>
  <c r="W1601" i="1" s="1"/>
  <c r="U1602" i="1"/>
  <c r="W1602" i="1" s="1"/>
  <c r="U1603" i="1"/>
  <c r="W1603" i="1" s="1"/>
  <c r="U1604" i="1"/>
  <c r="W1604" i="1" s="1"/>
  <c r="U1605" i="1"/>
  <c r="W1605" i="1" s="1"/>
  <c r="U1606" i="1"/>
  <c r="W1606" i="1" s="1"/>
  <c r="U1607" i="1"/>
  <c r="W1607" i="1" s="1"/>
  <c r="U1608" i="1"/>
  <c r="W1608" i="1" s="1"/>
  <c r="U1609" i="1"/>
  <c r="W1609" i="1" s="1"/>
  <c r="U1610" i="1"/>
  <c r="W1610" i="1" s="1"/>
  <c r="U1611" i="1"/>
  <c r="W1611" i="1" s="1"/>
  <c r="U1612" i="1"/>
  <c r="W1612" i="1" s="1"/>
  <c r="U1613" i="1"/>
  <c r="W1613" i="1" s="1"/>
  <c r="U1614" i="1"/>
  <c r="W1614" i="1" s="1"/>
  <c r="U1615" i="1"/>
  <c r="W1615" i="1" s="1"/>
  <c r="U1616" i="1"/>
  <c r="W1616" i="1" s="1"/>
  <c r="U1617" i="1"/>
  <c r="W1617" i="1" s="1"/>
  <c r="U1618" i="1"/>
  <c r="W1618" i="1" s="1"/>
  <c r="U1619" i="1"/>
  <c r="W1619" i="1" s="1"/>
  <c r="U1620" i="1"/>
  <c r="W1620" i="1" s="1"/>
  <c r="U1621" i="1"/>
  <c r="W1621" i="1" s="1"/>
  <c r="U1622" i="1"/>
  <c r="W1622" i="1" s="1"/>
  <c r="U1623" i="1"/>
  <c r="W1623" i="1" s="1"/>
  <c r="U1624" i="1"/>
  <c r="W1624" i="1" s="1"/>
  <c r="U1625" i="1"/>
  <c r="W1625" i="1" s="1"/>
  <c r="U1626" i="1"/>
  <c r="W1626" i="1" s="1"/>
  <c r="U1627" i="1"/>
  <c r="W1627" i="1" s="1"/>
  <c r="U1629" i="1"/>
  <c r="W1629" i="1" s="1"/>
  <c r="U1630" i="1"/>
  <c r="W1630" i="1" s="1"/>
  <c r="U1631" i="1"/>
  <c r="W1631" i="1" s="1"/>
  <c r="U1632" i="1"/>
  <c r="W1632" i="1" s="1"/>
  <c r="U1633" i="1"/>
  <c r="W1633" i="1" s="1"/>
  <c r="U1634" i="1"/>
  <c r="W1634" i="1" s="1"/>
  <c r="U1635" i="1"/>
  <c r="W1635" i="1" s="1"/>
  <c r="U1636" i="1"/>
  <c r="W1636" i="1" s="1"/>
  <c r="U1637" i="1"/>
  <c r="W1637" i="1" s="1"/>
  <c r="U1638" i="1"/>
  <c r="W1638" i="1" s="1"/>
  <c r="U1639" i="1"/>
  <c r="W1639" i="1" s="1"/>
  <c r="U1640" i="1"/>
  <c r="W1640" i="1" s="1"/>
  <c r="U1641" i="1"/>
  <c r="W1641" i="1" s="1"/>
  <c r="U1642" i="1"/>
  <c r="W1642" i="1" s="1"/>
  <c r="U1643" i="1"/>
  <c r="W1643" i="1" s="1"/>
  <c r="U1645" i="1"/>
  <c r="W1645" i="1" s="1"/>
  <c r="U1646" i="1"/>
  <c r="W1646" i="1" s="1"/>
  <c r="U1647" i="1"/>
  <c r="W1647" i="1" s="1"/>
  <c r="U1648" i="1"/>
  <c r="W1648" i="1" s="1"/>
  <c r="U1649" i="1"/>
  <c r="W1649" i="1" s="1"/>
  <c r="U1650" i="1"/>
  <c r="W1650" i="1" s="1"/>
  <c r="U1651" i="1"/>
  <c r="W1651" i="1" s="1"/>
  <c r="U1652" i="1"/>
  <c r="W1652" i="1" s="1"/>
  <c r="U1653" i="1"/>
  <c r="W1653" i="1" s="1"/>
  <c r="U1654" i="1"/>
  <c r="W1654" i="1" s="1"/>
  <c r="U1655" i="1"/>
  <c r="W1655" i="1" s="1"/>
  <c r="U1656" i="1"/>
  <c r="W1656" i="1" s="1"/>
  <c r="U1657" i="1"/>
  <c r="W1657" i="1" s="1"/>
  <c r="U1658" i="1"/>
  <c r="W1658" i="1" s="1"/>
  <c r="U1659" i="1"/>
  <c r="W1659" i="1" s="1"/>
  <c r="U1660" i="1"/>
  <c r="W1660" i="1" s="1"/>
  <c r="U1661" i="1"/>
  <c r="W1661" i="1" s="1"/>
  <c r="U1662" i="1"/>
  <c r="W1662" i="1" s="1"/>
  <c r="U1663" i="1"/>
  <c r="W1663" i="1" s="1"/>
  <c r="U1664" i="1"/>
  <c r="W1664" i="1" s="1"/>
  <c r="U1665" i="1"/>
  <c r="W1665" i="1" s="1"/>
  <c r="U1666" i="1"/>
  <c r="W1666" i="1" s="1"/>
  <c r="U1667" i="1"/>
  <c r="W1667" i="1" s="1"/>
  <c r="U1668" i="1"/>
  <c r="W1668" i="1" s="1"/>
  <c r="U1669" i="1"/>
  <c r="W1669" i="1" s="1"/>
  <c r="U1670" i="1"/>
  <c r="W1670" i="1" s="1"/>
  <c r="U1671" i="1"/>
  <c r="W1671" i="1" s="1"/>
  <c r="U1672" i="1"/>
  <c r="W1672" i="1" s="1"/>
  <c r="U1673" i="1"/>
  <c r="W1673" i="1" s="1"/>
  <c r="U1674" i="1"/>
  <c r="W1674" i="1" s="1"/>
  <c r="U1675" i="1"/>
  <c r="W1675" i="1" s="1"/>
  <c r="U1676" i="1"/>
  <c r="W1676" i="1" s="1"/>
  <c r="U1677" i="1"/>
  <c r="W1677" i="1" s="1"/>
  <c r="U1678" i="1"/>
  <c r="W1678" i="1" s="1"/>
  <c r="U1679" i="1"/>
  <c r="W1679" i="1" s="1"/>
  <c r="U1680" i="1"/>
  <c r="W1680" i="1" s="1"/>
  <c r="U1681" i="1"/>
  <c r="W1681" i="1" s="1"/>
  <c r="U1682" i="1"/>
  <c r="W1682" i="1" s="1"/>
  <c r="U1683" i="1"/>
  <c r="W1683" i="1" s="1"/>
  <c r="U1684" i="1"/>
  <c r="W1684" i="1" s="1"/>
  <c r="U1685" i="1"/>
  <c r="W1685" i="1" s="1"/>
  <c r="U1686" i="1"/>
  <c r="W1686" i="1" s="1"/>
  <c r="U1687" i="1"/>
  <c r="W1687" i="1" s="1"/>
  <c r="U1688" i="1"/>
  <c r="W1688" i="1" s="1"/>
  <c r="U1689" i="1"/>
  <c r="W1689" i="1" s="1"/>
  <c r="U1690" i="1"/>
  <c r="W1690" i="1" s="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AK1295" i="1"/>
  <c r="AK1294" i="1"/>
  <c r="AK1293" i="1"/>
  <c r="AI1293" i="1"/>
  <c r="AH1293" i="1"/>
  <c r="AK1292" i="1"/>
  <c r="AI1292" i="1"/>
  <c r="AH1292" i="1"/>
  <c r="AK1291" i="1"/>
  <c r="AI1291" i="1"/>
  <c r="AK1290" i="1"/>
  <c r="AI1290" i="1"/>
  <c r="AH1290" i="1"/>
  <c r="AG1290" i="1"/>
  <c r="AK1289" i="1"/>
  <c r="AI1289" i="1"/>
  <c r="S1289" i="1" s="1"/>
  <c r="AQ1289" i="1" s="1"/>
  <c r="AL1289" i="1" s="1"/>
  <c r="AH1289" i="1"/>
  <c r="AG1289" i="1"/>
  <c r="AK1288" i="1"/>
  <c r="AK1287" i="1"/>
  <c r="AK1286" i="1"/>
  <c r="AI1286" i="1"/>
  <c r="AH1286" i="1"/>
  <c r="AK1285" i="1"/>
  <c r="AI1285" i="1"/>
  <c r="S1285" i="1" s="1"/>
  <c r="AH1285" i="1"/>
  <c r="AK1284" i="1"/>
  <c r="AI1284" i="1"/>
  <c r="AH1284" i="1"/>
  <c r="AK1283" i="1"/>
  <c r="AI1283" i="1"/>
  <c r="AH1283" i="1"/>
  <c r="S1283" i="1" s="1"/>
  <c r="AG1283" i="1"/>
  <c r="AK1282" i="1"/>
  <c r="AI1282" i="1"/>
  <c r="AH1282" i="1"/>
  <c r="AG1282" i="1"/>
  <c r="AK1281" i="1"/>
  <c r="AI1281" i="1"/>
  <c r="AH1281" i="1"/>
  <c r="AG1281" i="1"/>
  <c r="AK1280" i="1"/>
  <c r="AI1280" i="1"/>
  <c r="AH1280" i="1"/>
  <c r="AG1280" i="1"/>
  <c r="AK1279" i="1"/>
  <c r="AI1279" i="1"/>
  <c r="AH1279" i="1"/>
  <c r="S1279" i="1" s="1"/>
  <c r="AS1279" i="1" s="1"/>
  <c r="AN1279" i="1" s="1"/>
  <c r="AG1279" i="1"/>
  <c r="AK1278" i="1"/>
  <c r="AI1278" i="1"/>
  <c r="AH1278" i="1"/>
  <c r="AG1278" i="1"/>
  <c r="AK1277" i="1"/>
  <c r="AI1277" i="1"/>
  <c r="AH1277" i="1"/>
  <c r="AG1277" i="1"/>
  <c r="AK1276" i="1"/>
  <c r="AI1276" i="1"/>
  <c r="AH1276" i="1"/>
  <c r="AK1275" i="1"/>
  <c r="AI1275" i="1"/>
  <c r="AH1275" i="1"/>
  <c r="AG1275" i="1"/>
  <c r="S1275" i="1" s="1"/>
  <c r="AK1274" i="1"/>
  <c r="AI1274" i="1"/>
  <c r="AH1274" i="1"/>
  <c r="AG1274" i="1"/>
  <c r="AK1273" i="1"/>
  <c r="AI1273" i="1"/>
  <c r="AH1273" i="1"/>
  <c r="AG1273" i="1"/>
  <c r="AK1272" i="1"/>
  <c r="S1272" i="1" s="1"/>
  <c r="AQ1272" i="1" s="1"/>
  <c r="AL1272" i="1" s="1"/>
  <c r="AI1272" i="1"/>
  <c r="AH1272" i="1"/>
  <c r="AG1272" i="1"/>
  <c r="AK1271" i="1"/>
  <c r="S1271" i="1" s="1"/>
  <c r="AK1270" i="1"/>
  <c r="S1270" i="1" s="1"/>
  <c r="AK1269" i="1"/>
  <c r="AI1269" i="1"/>
  <c r="S1269" i="1" s="1"/>
  <c r="AH1269" i="1"/>
  <c r="AG1269" i="1"/>
  <c r="AK1268" i="1"/>
  <c r="AI1268" i="1"/>
  <c r="AH1268" i="1"/>
  <c r="AG1268" i="1"/>
  <c r="AK1267" i="1"/>
  <c r="AI1267" i="1"/>
  <c r="AH1267" i="1"/>
  <c r="AG1267" i="1"/>
  <c r="AK1266" i="1"/>
  <c r="AI1266" i="1"/>
  <c r="AH1266" i="1"/>
  <c r="AG1266" i="1"/>
  <c r="AK1265" i="1"/>
  <c r="AI1265" i="1"/>
  <c r="S1265" i="1" s="1"/>
  <c r="AH1265" i="1"/>
  <c r="AG1265" i="1"/>
  <c r="AK1264" i="1"/>
  <c r="AI1264" i="1"/>
  <c r="AH1264" i="1"/>
  <c r="AK1263" i="1"/>
  <c r="AI1263" i="1"/>
  <c r="AH1263" i="1"/>
  <c r="AK1262" i="1"/>
  <c r="AI1262" i="1"/>
  <c r="AH1262" i="1"/>
  <c r="AK1261" i="1"/>
  <c r="AI1261" i="1"/>
  <c r="AH1261" i="1"/>
  <c r="AG1261" i="1"/>
  <c r="AK1259" i="1"/>
  <c r="AI1259" i="1"/>
  <c r="AH1259" i="1"/>
  <c r="AG1259" i="1"/>
  <c r="AK1258" i="1"/>
  <c r="AK1257" i="1"/>
  <c r="AK1256" i="1"/>
  <c r="AI1256" i="1"/>
  <c r="AK1255" i="1"/>
  <c r="S1255" i="1" s="1"/>
  <c r="AI1255" i="1"/>
  <c r="AK1254" i="1"/>
  <c r="AI1254" i="1"/>
  <c r="S1254" i="1" s="1"/>
  <c r="AT1254" i="1" s="1"/>
  <c r="AO1254" i="1" s="1"/>
  <c r="AK1253" i="1"/>
  <c r="AI1253" i="1"/>
  <c r="AH1253" i="1"/>
  <c r="AG1253" i="1"/>
  <c r="S1253" i="1" s="1"/>
  <c r="AK1252" i="1"/>
  <c r="AI1252" i="1"/>
  <c r="AH1252" i="1"/>
  <c r="AG1252" i="1"/>
  <c r="AK1251" i="1"/>
  <c r="AK1250" i="1"/>
  <c r="AK1249" i="1"/>
  <c r="AI1249" i="1"/>
  <c r="AK1248" i="1"/>
  <c r="AI1248" i="1"/>
  <c r="AK1247" i="1"/>
  <c r="AI1247" i="1"/>
  <c r="AH1247" i="1"/>
  <c r="AK1246" i="1"/>
  <c r="AI1246" i="1"/>
  <c r="AH1246" i="1"/>
  <c r="S1246" i="1" s="1"/>
  <c r="AS1246" i="1" s="1"/>
  <c r="AN1246" i="1" s="1"/>
  <c r="AK1245" i="1"/>
  <c r="AI1245" i="1"/>
  <c r="AH1245" i="1"/>
  <c r="AK1244" i="1"/>
  <c r="AI1244" i="1"/>
  <c r="AH1244" i="1"/>
  <c r="AG1244" i="1"/>
  <c r="S1244" i="1" s="1"/>
  <c r="AK1243" i="1"/>
  <c r="AI1243" i="1"/>
  <c r="AH1243" i="1"/>
  <c r="AG1243" i="1"/>
  <c r="AK1242" i="1"/>
  <c r="AI1242" i="1"/>
  <c r="AH1242" i="1"/>
  <c r="AG1242" i="1"/>
  <c r="S1242" i="1" s="1"/>
  <c r="AK1241" i="1"/>
  <c r="S1241" i="1" s="1"/>
  <c r="AQ1241" i="1" s="1"/>
  <c r="AL1241" i="1" s="1"/>
  <c r="AI1241" i="1"/>
  <c r="AH1241" i="1"/>
  <c r="AG1241" i="1"/>
  <c r="AK1240" i="1"/>
  <c r="AI1240" i="1"/>
  <c r="AH1240" i="1"/>
  <c r="AK1239" i="1"/>
  <c r="AI1239" i="1"/>
  <c r="AH1239" i="1"/>
  <c r="S1239" i="1" s="1"/>
  <c r="AK1238" i="1"/>
  <c r="AI1238" i="1"/>
  <c r="AH1238" i="1"/>
  <c r="AG1238" i="1"/>
  <c r="S1238" i="1" s="1"/>
  <c r="AT1238" i="1" s="1"/>
  <c r="AO1238" i="1" s="1"/>
  <c r="AK1237" i="1"/>
  <c r="AI1237" i="1"/>
  <c r="AH1237" i="1"/>
  <c r="S1237" i="1" s="1"/>
  <c r="AK1236" i="1"/>
  <c r="AI1236" i="1"/>
  <c r="AH1236" i="1"/>
  <c r="AG1236" i="1"/>
  <c r="AK1235" i="1"/>
  <c r="AI1235" i="1"/>
  <c r="AH1235" i="1"/>
  <c r="S1235" i="1" s="1"/>
  <c r="AK1234" i="1"/>
  <c r="AK1233" i="1"/>
  <c r="AK1232" i="1"/>
  <c r="AI1232" i="1"/>
  <c r="AH1232" i="1"/>
  <c r="AG1232" i="1"/>
  <c r="AK1231" i="1"/>
  <c r="AI1231" i="1"/>
  <c r="AH1231" i="1"/>
  <c r="S1231" i="1" s="1"/>
  <c r="AS1231" i="1" s="1"/>
  <c r="AN1231" i="1" s="1"/>
  <c r="AG1231" i="1"/>
  <c r="AK1230" i="1"/>
  <c r="AI1230" i="1"/>
  <c r="AH1230" i="1"/>
  <c r="AK1229" i="1"/>
  <c r="AI1229" i="1"/>
  <c r="AH1229" i="1"/>
  <c r="AG1229" i="1"/>
  <c r="AK1228" i="1"/>
  <c r="AI1228" i="1"/>
  <c r="AH1228" i="1"/>
  <c r="S1228" i="1" s="1"/>
  <c r="AK1227" i="1"/>
  <c r="AI1227" i="1"/>
  <c r="AH1227" i="1"/>
  <c r="AK1226" i="1"/>
  <c r="AI1226" i="1"/>
  <c r="S1226" i="1" s="1"/>
  <c r="AH1226" i="1"/>
  <c r="AK1225" i="1"/>
  <c r="AK1224" i="1"/>
  <c r="AK1223" i="1"/>
  <c r="AI1223" i="1"/>
  <c r="AH1223" i="1"/>
  <c r="AG1223" i="1"/>
  <c r="S1223" i="1" s="1"/>
  <c r="AK1222" i="1"/>
  <c r="AI1222" i="1"/>
  <c r="AH1222" i="1"/>
  <c r="AG1222" i="1"/>
  <c r="S1222" i="1" s="1"/>
  <c r="AT1222" i="1" s="1"/>
  <c r="AO1222" i="1" s="1"/>
  <c r="AK1221" i="1"/>
  <c r="AI1221" i="1"/>
  <c r="AH1221" i="1"/>
  <c r="AG1221" i="1"/>
  <c r="S1221" i="1" s="1"/>
  <c r="AK1220" i="1"/>
  <c r="AI1220" i="1"/>
  <c r="AH1220" i="1"/>
  <c r="AG1220" i="1"/>
  <c r="AK1219" i="1"/>
  <c r="AI1219" i="1"/>
  <c r="AH1219" i="1"/>
  <c r="AG1219" i="1"/>
  <c r="AK1218" i="1"/>
  <c r="AI1218" i="1"/>
  <c r="AH1218" i="1"/>
  <c r="AG1218" i="1"/>
  <c r="AK1217" i="1"/>
  <c r="AI1217" i="1"/>
  <c r="AH1217" i="1"/>
  <c r="S1217" i="1" s="1"/>
  <c r="AK1216" i="1"/>
  <c r="AI1216" i="1"/>
  <c r="S1216" i="1" s="1"/>
  <c r="AH1216" i="1"/>
  <c r="AK1215" i="1"/>
  <c r="AI1215" i="1"/>
  <c r="AH1215" i="1"/>
  <c r="AK1214" i="1"/>
  <c r="AK1213" i="1"/>
  <c r="AI1213" i="1"/>
  <c r="AH1213" i="1"/>
  <c r="AG1213" i="1"/>
  <c r="S1213" i="1" s="1"/>
  <c r="AK1212" i="1"/>
  <c r="AK1211" i="1"/>
  <c r="AI1211" i="1"/>
  <c r="AH1211" i="1"/>
  <c r="AK1210" i="1"/>
  <c r="AI1210" i="1"/>
  <c r="S1210" i="1" s="1"/>
  <c r="AK1209" i="1"/>
  <c r="S1209" i="1" s="1"/>
  <c r="AQ1209" i="1" s="1"/>
  <c r="AL1209" i="1" s="1"/>
  <c r="AK1208" i="1"/>
  <c r="AK1207" i="1"/>
  <c r="AK1206" i="1"/>
  <c r="AI1206" i="1"/>
  <c r="AH1206" i="1"/>
  <c r="AG1206" i="1"/>
  <c r="S1206" i="1" s="1"/>
  <c r="AT1206" i="1" s="1"/>
  <c r="AO1206" i="1" s="1"/>
  <c r="AK1205" i="1"/>
  <c r="AI1205" i="1"/>
  <c r="AK1204" i="1"/>
  <c r="AI1204" i="1"/>
  <c r="AH1204" i="1"/>
  <c r="AK1203" i="1"/>
  <c r="AI1203" i="1"/>
  <c r="AH1203" i="1"/>
  <c r="AG1203" i="1"/>
  <c r="AK1202" i="1"/>
  <c r="AI1202" i="1"/>
  <c r="AH1202" i="1"/>
  <c r="AG1202" i="1"/>
  <c r="AK1201" i="1"/>
  <c r="AI1201" i="1"/>
  <c r="AH1201" i="1"/>
  <c r="AG1201" i="1"/>
  <c r="AK1200" i="1"/>
  <c r="AI1200" i="1"/>
  <c r="AH1200" i="1"/>
  <c r="AG1200" i="1"/>
  <c r="AK1199" i="1"/>
  <c r="AI1199" i="1"/>
  <c r="AH1199" i="1"/>
  <c r="AG1199" i="1"/>
  <c r="AK1198" i="1"/>
  <c r="AI1198" i="1"/>
  <c r="AH1198" i="1"/>
  <c r="AG1198" i="1"/>
  <c r="AK1197" i="1"/>
  <c r="AK1196" i="1"/>
  <c r="AK1195" i="1"/>
  <c r="AK1194" i="1"/>
  <c r="AI1194" i="1"/>
  <c r="AK1193" i="1"/>
  <c r="AI1193" i="1"/>
  <c r="AH1193" i="1"/>
  <c r="AK1192" i="1"/>
  <c r="AI1192" i="1"/>
  <c r="AH1192" i="1"/>
  <c r="AG1192" i="1"/>
  <c r="AK1191" i="1"/>
  <c r="AI1191" i="1"/>
  <c r="AH1191" i="1"/>
  <c r="AG1191" i="1"/>
  <c r="AK1190" i="1"/>
  <c r="AI1190" i="1"/>
  <c r="AH1190" i="1"/>
  <c r="AG1190" i="1"/>
  <c r="BA4" i="5"/>
  <c r="AX4" i="5"/>
  <c r="V15" i="5"/>
  <c r="V16" i="5"/>
  <c r="V17" i="5"/>
  <c r="V18" i="5"/>
  <c r="V19" i="5"/>
  <c r="V14" i="5"/>
  <c r="S19" i="5"/>
  <c r="S18" i="5"/>
  <c r="S17" i="5"/>
  <c r="S16" i="5"/>
  <c r="S15" i="5"/>
  <c r="S14" i="5"/>
  <c r="BA4" i="6"/>
  <c r="AX4" i="6"/>
  <c r="V17" i="6"/>
  <c r="V18" i="6"/>
  <c r="V19" i="6"/>
  <c r="V20" i="6"/>
  <c r="V21" i="6"/>
  <c r="V22" i="6"/>
  <c r="V16" i="6"/>
  <c r="S22" i="6"/>
  <c r="S21" i="6"/>
  <c r="S20" i="6"/>
  <c r="S19" i="6"/>
  <c r="S18" i="6"/>
  <c r="S17" i="6"/>
  <c r="S16" i="6"/>
  <c r="BA4" i="7"/>
  <c r="AX4" i="7"/>
  <c r="V29" i="7"/>
  <c r="V30" i="7"/>
  <c r="V31" i="7"/>
  <c r="V32" i="7"/>
  <c r="V33" i="7"/>
  <c r="V34" i="7"/>
  <c r="V35" i="7"/>
  <c r="V36" i="7"/>
  <c r="V37" i="7"/>
  <c r="V38" i="7"/>
  <c r="V39" i="7"/>
  <c r="V40" i="7"/>
  <c r="V28" i="7"/>
  <c r="S40" i="7"/>
  <c r="S39" i="7"/>
  <c r="S38" i="7"/>
  <c r="S37" i="7"/>
  <c r="S36" i="7"/>
  <c r="S35" i="7"/>
  <c r="S34" i="7"/>
  <c r="S33" i="7"/>
  <c r="S32" i="7"/>
  <c r="S31" i="7"/>
  <c r="S30" i="7"/>
  <c r="S29" i="7"/>
  <c r="S28" i="7"/>
  <c r="BA4" i="8"/>
  <c r="AX4" i="8"/>
  <c r="V35" i="8"/>
  <c r="V36" i="8"/>
  <c r="V37" i="8"/>
  <c r="V38" i="8"/>
  <c r="V39" i="8"/>
  <c r="V40" i="8"/>
  <c r="V41" i="8"/>
  <c r="V42" i="8"/>
  <c r="V43" i="8"/>
  <c r="V44" i="8"/>
  <c r="V45" i="8"/>
  <c r="V46" i="8"/>
  <c r="V47" i="8"/>
  <c r="V48" i="8"/>
  <c r="V49" i="8"/>
  <c r="V34" i="8"/>
  <c r="S49" i="8"/>
  <c r="S48" i="8"/>
  <c r="S47" i="8"/>
  <c r="S46" i="8"/>
  <c r="S45" i="8"/>
  <c r="S44" i="8"/>
  <c r="S43" i="8"/>
  <c r="S42" i="8"/>
  <c r="S41" i="8"/>
  <c r="S40" i="8"/>
  <c r="S39" i="8"/>
  <c r="S38" i="8"/>
  <c r="S37" i="8"/>
  <c r="S36" i="8"/>
  <c r="S35" i="8"/>
  <c r="S34" i="8"/>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U1190" i="1"/>
  <c r="AP1190" i="1" s="1"/>
  <c r="AU1191" i="1"/>
  <c r="AP1191" i="1" s="1"/>
  <c r="AU1192" i="1"/>
  <c r="AP1192" i="1" s="1"/>
  <c r="AU1193" i="1"/>
  <c r="AP1193" i="1" s="1"/>
  <c r="AU1194" i="1"/>
  <c r="AP1194" i="1" s="1"/>
  <c r="AU1195" i="1"/>
  <c r="AU1196" i="1"/>
  <c r="AP1196" i="1" s="1"/>
  <c r="AU1197" i="1"/>
  <c r="AP1197" i="1" s="1"/>
  <c r="AU1198" i="1"/>
  <c r="AP1198" i="1" s="1"/>
  <c r="AU1199" i="1"/>
  <c r="AP1199" i="1" s="1"/>
  <c r="AU1200" i="1"/>
  <c r="AP1200" i="1" s="1"/>
  <c r="AU1201" i="1"/>
  <c r="AP1201" i="1" s="1"/>
  <c r="AU1202" i="1"/>
  <c r="AP1202" i="1" s="1"/>
  <c r="AU1203" i="1"/>
  <c r="AU1204" i="1"/>
  <c r="AP1204" i="1" s="1"/>
  <c r="AU1205" i="1"/>
  <c r="AP1205" i="1" s="1"/>
  <c r="AU1206" i="1"/>
  <c r="AP1206" i="1" s="1"/>
  <c r="AU1207" i="1"/>
  <c r="AP1207" i="1" s="1"/>
  <c r="AU1208" i="1"/>
  <c r="AP1208" i="1" s="1"/>
  <c r="AU1209" i="1"/>
  <c r="AP1209" i="1" s="1"/>
  <c r="AU1210" i="1"/>
  <c r="AP1210" i="1" s="1"/>
  <c r="AU1211" i="1"/>
  <c r="AP1211" i="1" s="1"/>
  <c r="AU1212" i="1"/>
  <c r="AP1212" i="1" s="1"/>
  <c r="AU1213" i="1"/>
  <c r="AP1213" i="1" s="1"/>
  <c r="AU1214" i="1"/>
  <c r="AP1214" i="1" s="1"/>
  <c r="AU1215" i="1"/>
  <c r="AP1215" i="1" s="1"/>
  <c r="AU1216" i="1"/>
  <c r="AP1216" i="1" s="1"/>
  <c r="AU1217" i="1"/>
  <c r="AP1217" i="1" s="1"/>
  <c r="AU1218" i="1"/>
  <c r="AP1218" i="1" s="1"/>
  <c r="AU1219" i="1"/>
  <c r="AP1219" i="1" s="1"/>
  <c r="AU1220" i="1"/>
  <c r="AP1220" i="1" s="1"/>
  <c r="AU1221" i="1"/>
  <c r="AP1221" i="1" s="1"/>
  <c r="AU1222" i="1"/>
  <c r="AP1222" i="1" s="1"/>
  <c r="AU1223" i="1"/>
  <c r="AP1223" i="1" s="1"/>
  <c r="AU1224" i="1"/>
  <c r="AP1224" i="1" s="1"/>
  <c r="AU1225" i="1"/>
  <c r="AP1225" i="1" s="1"/>
  <c r="AU1226" i="1"/>
  <c r="AP1226" i="1" s="1"/>
  <c r="AU1227" i="1"/>
  <c r="AP1227" i="1" s="1"/>
  <c r="AU1228" i="1"/>
  <c r="AP1228" i="1" s="1"/>
  <c r="AU1229" i="1"/>
  <c r="AP1229" i="1" s="1"/>
  <c r="AU1230" i="1"/>
  <c r="AP1230" i="1" s="1"/>
  <c r="AU1231" i="1"/>
  <c r="AP1231" i="1" s="1"/>
  <c r="AU1232" i="1"/>
  <c r="AP1232" i="1" s="1"/>
  <c r="AU1233" i="1"/>
  <c r="AP1233" i="1" s="1"/>
  <c r="AU1234" i="1"/>
  <c r="AP1234" i="1" s="1"/>
  <c r="AU1235" i="1"/>
  <c r="AP1235" i="1" s="1"/>
  <c r="AU1236" i="1"/>
  <c r="AP1236" i="1" s="1"/>
  <c r="AU1237" i="1"/>
  <c r="AP1237" i="1" s="1"/>
  <c r="AU1238" i="1"/>
  <c r="AP1238" i="1" s="1"/>
  <c r="AU1239" i="1"/>
  <c r="AP1239" i="1" s="1"/>
  <c r="AU1240" i="1"/>
  <c r="AP1240" i="1" s="1"/>
  <c r="AU1241" i="1"/>
  <c r="AP1241" i="1" s="1"/>
  <c r="AU1242" i="1"/>
  <c r="AP1242" i="1" s="1"/>
  <c r="AU1243" i="1"/>
  <c r="AP1243" i="1" s="1"/>
  <c r="AU1244" i="1"/>
  <c r="AP1244" i="1" s="1"/>
  <c r="AU1245" i="1"/>
  <c r="AP1245" i="1" s="1"/>
  <c r="AU1246" i="1"/>
  <c r="AP1246" i="1" s="1"/>
  <c r="AU1247" i="1"/>
  <c r="AP1247" i="1" s="1"/>
  <c r="AU1248" i="1"/>
  <c r="AP1248" i="1" s="1"/>
  <c r="AU1249" i="1"/>
  <c r="AP1249" i="1" s="1"/>
  <c r="AU1250" i="1"/>
  <c r="AP1250" i="1" s="1"/>
  <c r="AU1251" i="1"/>
  <c r="AP1251" i="1" s="1"/>
  <c r="AU1252" i="1"/>
  <c r="AP1252" i="1" s="1"/>
  <c r="AU1253" i="1"/>
  <c r="AP1253" i="1" s="1"/>
  <c r="AU1254" i="1"/>
  <c r="AP1254" i="1" s="1"/>
  <c r="AU1255" i="1"/>
  <c r="AP1255" i="1" s="1"/>
  <c r="AU1256" i="1"/>
  <c r="AP1256" i="1" s="1"/>
  <c r="AU1257" i="1"/>
  <c r="AP1257" i="1" s="1"/>
  <c r="AU1258" i="1"/>
  <c r="AP1258" i="1" s="1"/>
  <c r="AU1259" i="1"/>
  <c r="AP1259" i="1" s="1"/>
  <c r="AU1260" i="1"/>
  <c r="AP1260" i="1" s="1"/>
  <c r="AU1261" i="1"/>
  <c r="AP1261" i="1" s="1"/>
  <c r="AU1262" i="1"/>
  <c r="AP1262" i="1" s="1"/>
  <c r="AU1263" i="1"/>
  <c r="AP1263" i="1" s="1"/>
  <c r="AU1264" i="1"/>
  <c r="AP1264" i="1" s="1"/>
  <c r="AU1265" i="1"/>
  <c r="AP1265" i="1" s="1"/>
  <c r="AU1266" i="1"/>
  <c r="AP1266" i="1" s="1"/>
  <c r="AU1267" i="1"/>
  <c r="AP1267" i="1" s="1"/>
  <c r="AU1268" i="1"/>
  <c r="AP1268" i="1" s="1"/>
  <c r="AU1269" i="1"/>
  <c r="AP1269" i="1" s="1"/>
  <c r="AU1270" i="1"/>
  <c r="AP1270" i="1" s="1"/>
  <c r="AU1271" i="1"/>
  <c r="AP1271" i="1" s="1"/>
  <c r="AU1272" i="1"/>
  <c r="AP1272" i="1" s="1"/>
  <c r="AU1273" i="1"/>
  <c r="AP1273" i="1" s="1"/>
  <c r="AU1274" i="1"/>
  <c r="AP1274" i="1" s="1"/>
  <c r="AU1275" i="1"/>
  <c r="AP1275" i="1" s="1"/>
  <c r="AU1276" i="1"/>
  <c r="AP1276" i="1" s="1"/>
  <c r="AU1277" i="1"/>
  <c r="AP1277" i="1" s="1"/>
  <c r="AU1278" i="1"/>
  <c r="AP1278" i="1" s="1"/>
  <c r="AU1279" i="1"/>
  <c r="AP1279" i="1" s="1"/>
  <c r="AU1280" i="1"/>
  <c r="AP1280" i="1" s="1"/>
  <c r="AU1281" i="1"/>
  <c r="AP1281" i="1" s="1"/>
  <c r="AU1282" i="1"/>
  <c r="AP1282" i="1" s="1"/>
  <c r="AU1283" i="1"/>
  <c r="AP1283" i="1" s="1"/>
  <c r="AU1284" i="1"/>
  <c r="AP1284" i="1" s="1"/>
  <c r="AU1285" i="1"/>
  <c r="AP1285" i="1" s="1"/>
  <c r="AU1286" i="1"/>
  <c r="AP1286" i="1" s="1"/>
  <c r="AU1287" i="1"/>
  <c r="AP1287" i="1" s="1"/>
  <c r="AU1288" i="1"/>
  <c r="AP1288" i="1" s="1"/>
  <c r="AU1289" i="1"/>
  <c r="AP1289" i="1" s="1"/>
  <c r="AU1290" i="1"/>
  <c r="AP1290" i="1" s="1"/>
  <c r="AU1291" i="1"/>
  <c r="AP1291" i="1" s="1"/>
  <c r="AU1292" i="1"/>
  <c r="AP1292" i="1" s="1"/>
  <c r="AU1293" i="1"/>
  <c r="AP1293" i="1" s="1"/>
  <c r="AU1294" i="1"/>
  <c r="AP1294" i="1" s="1"/>
  <c r="AU1295" i="1"/>
  <c r="AP1295" i="1" s="1"/>
  <c r="AS1194" i="1"/>
  <c r="AN1194" i="1" s="1"/>
  <c r="AS1195" i="1"/>
  <c r="AN1195" i="1" s="1"/>
  <c r="AS1291" i="1"/>
  <c r="AN1291" i="1" s="1"/>
  <c r="AP1195" i="1"/>
  <c r="AP1203" i="1"/>
  <c r="U1205" i="1"/>
  <c r="W1205" i="1" s="1"/>
  <c r="U1222" i="1"/>
  <c r="W1222" i="1" s="1"/>
  <c r="U1223" i="1"/>
  <c r="W1223" i="1" s="1"/>
  <c r="U1224" i="1"/>
  <c r="W1224" i="1" s="1"/>
  <c r="U1225" i="1"/>
  <c r="W1225" i="1" s="1"/>
  <c r="U1226" i="1"/>
  <c r="W1226" i="1" s="1"/>
  <c r="U1227" i="1"/>
  <c r="W1227" i="1" s="1"/>
  <c r="U1228" i="1"/>
  <c r="W1228" i="1" s="1"/>
  <c r="U1229" i="1"/>
  <c r="W1229" i="1" s="1"/>
  <c r="U1230" i="1"/>
  <c r="W1230" i="1" s="1"/>
  <c r="U1231" i="1"/>
  <c r="W1231" i="1" s="1"/>
  <c r="U1235" i="1"/>
  <c r="W1235" i="1" s="1"/>
  <c r="U1236" i="1"/>
  <c r="W1236" i="1" s="1"/>
  <c r="U1237" i="1"/>
  <c r="W1237" i="1" s="1"/>
  <c r="U1238" i="1"/>
  <c r="W1238" i="1" s="1"/>
  <c r="U1239" i="1"/>
  <c r="W1239" i="1" s="1"/>
  <c r="U1240" i="1"/>
  <c r="W1240" i="1" s="1"/>
  <c r="U1241" i="1"/>
  <c r="W1241" i="1" s="1"/>
  <c r="U1242" i="1"/>
  <c r="W1242" i="1" s="1"/>
  <c r="U1243" i="1"/>
  <c r="W1243" i="1" s="1"/>
  <c r="U1244" i="1"/>
  <c r="W1244" i="1" s="1"/>
  <c r="U1245" i="1"/>
  <c r="W1245" i="1" s="1"/>
  <c r="U1246" i="1"/>
  <c r="W1246" i="1" s="1"/>
  <c r="U1247" i="1"/>
  <c r="W1247" i="1" s="1"/>
  <c r="U1248" i="1"/>
  <c r="W1248" i="1" s="1"/>
  <c r="U1252" i="1"/>
  <c r="W1252" i="1" s="1"/>
  <c r="U1253" i="1"/>
  <c r="W1253" i="1" s="1"/>
  <c r="U1254" i="1"/>
  <c r="W1254" i="1" s="1"/>
  <c r="U1255" i="1"/>
  <c r="W1255" i="1" s="1"/>
  <c r="U1259" i="1"/>
  <c r="W1259" i="1" s="1"/>
  <c r="U1260" i="1"/>
  <c r="W1260" i="1" s="1"/>
  <c r="U1261" i="1"/>
  <c r="W1261" i="1" s="1"/>
  <c r="U1262" i="1"/>
  <c r="W1262" i="1" s="1"/>
  <c r="U1263" i="1"/>
  <c r="W1263" i="1" s="1"/>
  <c r="U1264" i="1"/>
  <c r="W1264" i="1" s="1"/>
  <c r="U1265" i="1"/>
  <c r="W1265" i="1" s="1"/>
  <c r="U1266" i="1"/>
  <c r="W1266" i="1" s="1"/>
  <c r="U1267" i="1"/>
  <c r="W1267" i="1" s="1"/>
  <c r="U1268" i="1"/>
  <c r="W1268" i="1" s="1"/>
  <c r="U1272" i="1"/>
  <c r="W1272" i="1" s="1"/>
  <c r="U1273" i="1"/>
  <c r="W1273" i="1" s="1"/>
  <c r="U1274" i="1"/>
  <c r="W1274" i="1" s="1"/>
  <c r="U1275" i="1"/>
  <c r="W1275" i="1" s="1"/>
  <c r="U1276" i="1"/>
  <c r="W1276" i="1" s="1"/>
  <c r="U1277" i="1"/>
  <c r="W1277" i="1" s="1"/>
  <c r="U1278" i="1"/>
  <c r="W1278" i="1" s="1"/>
  <c r="U1279" i="1"/>
  <c r="W1279" i="1" s="1"/>
  <c r="U1280" i="1"/>
  <c r="W1280" i="1" s="1"/>
  <c r="U1281" i="1"/>
  <c r="W1281" i="1" s="1"/>
  <c r="U1282" i="1"/>
  <c r="W1282" i="1" s="1"/>
  <c r="U1283" i="1"/>
  <c r="W1283" i="1" s="1"/>
  <c r="U1284" i="1"/>
  <c r="W1284" i="1" s="1"/>
  <c r="U1285" i="1"/>
  <c r="W1285" i="1" s="1"/>
  <c r="U1289" i="1"/>
  <c r="W1289" i="1" s="1"/>
  <c r="U1290" i="1"/>
  <c r="W1290" i="1" s="1"/>
  <c r="U1291" i="1"/>
  <c r="W1291" i="1" s="1"/>
  <c r="U1292" i="1"/>
  <c r="W1292" i="1" s="1"/>
  <c r="X1190" i="1"/>
  <c r="X1191" i="1"/>
  <c r="X1192" i="1"/>
  <c r="X1193" i="1"/>
  <c r="X1194" i="1"/>
  <c r="X1195" i="1"/>
  <c r="X1196" i="1"/>
  <c r="X1197" i="1"/>
  <c r="X1198" i="1"/>
  <c r="X1199" i="1"/>
  <c r="X1200" i="1"/>
  <c r="X1201" i="1"/>
  <c r="X1202" i="1"/>
  <c r="X1203" i="1"/>
  <c r="X1204" i="1"/>
  <c r="X1205" i="1"/>
  <c r="X1206" i="1"/>
  <c r="X1207" i="1"/>
  <c r="X1208" i="1"/>
  <c r="X1209" i="1"/>
  <c r="X1210" i="1"/>
  <c r="X1211" i="1"/>
  <c r="X1213" i="1"/>
  <c r="X1214" i="1"/>
  <c r="X1215" i="1"/>
  <c r="X1216" i="1"/>
  <c r="X1218" i="1"/>
  <c r="X1219" i="1"/>
  <c r="X1220" i="1"/>
  <c r="X1217" i="1"/>
  <c r="X1212"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U1190" i="1"/>
  <c r="W1190" i="1" s="1"/>
  <c r="U1191" i="1"/>
  <c r="W1191" i="1" s="1"/>
  <c r="U1192" i="1"/>
  <c r="W1192" i="1" s="1"/>
  <c r="U1193" i="1"/>
  <c r="W1193" i="1" s="1"/>
  <c r="U1194" i="1"/>
  <c r="W1194" i="1" s="1"/>
  <c r="U1195" i="1"/>
  <c r="W1195" i="1" s="1"/>
  <c r="U1196" i="1"/>
  <c r="W1196" i="1" s="1"/>
  <c r="U1197" i="1"/>
  <c r="W1197" i="1" s="1"/>
  <c r="U1198" i="1"/>
  <c r="W1198" i="1" s="1"/>
  <c r="U1199" i="1"/>
  <c r="W1199" i="1" s="1"/>
  <c r="U1200" i="1"/>
  <c r="W1200" i="1" s="1"/>
  <c r="U1201" i="1"/>
  <c r="W1201" i="1" s="1"/>
  <c r="U1202" i="1"/>
  <c r="W1202" i="1" s="1"/>
  <c r="U1203" i="1"/>
  <c r="W1203" i="1" s="1"/>
  <c r="U1204" i="1"/>
  <c r="W1204" i="1" s="1"/>
  <c r="S1190" i="1"/>
  <c r="AT1190" i="1" s="1"/>
  <c r="AO1190" i="1" s="1"/>
  <c r="S1191" i="1"/>
  <c r="AT1191" i="1" s="1"/>
  <c r="AO1191" i="1" s="1"/>
  <c r="S1192" i="1"/>
  <c r="AQ1192" i="1" s="1"/>
  <c r="AL1192" i="1" s="1"/>
  <c r="S1193" i="1"/>
  <c r="AQ1193" i="1" s="1"/>
  <c r="AL1193" i="1" s="1"/>
  <c r="S1194" i="1"/>
  <c r="AQ1194" i="1" s="1"/>
  <c r="AL1194" i="1" s="1"/>
  <c r="S1195" i="1"/>
  <c r="AQ1195" i="1" s="1"/>
  <c r="AL1195" i="1" s="1"/>
  <c r="S1196" i="1"/>
  <c r="AS1196" i="1" s="1"/>
  <c r="AN1196" i="1" s="1"/>
  <c r="S1197" i="1"/>
  <c r="AS1197" i="1" s="1"/>
  <c r="AN1197" i="1" s="1"/>
  <c r="S1198" i="1"/>
  <c r="AS1198" i="1" s="1"/>
  <c r="AN1198" i="1" s="1"/>
  <c r="S1199" i="1"/>
  <c r="AS1199" i="1" s="1"/>
  <c r="AN1199" i="1" s="1"/>
  <c r="S1200" i="1"/>
  <c r="AS1200" i="1" s="1"/>
  <c r="AN1200" i="1" s="1"/>
  <c r="S1201" i="1"/>
  <c r="AS1201" i="1" s="1"/>
  <c r="AN1201" i="1" s="1"/>
  <c r="S1202" i="1"/>
  <c r="AR1202" i="1" s="1"/>
  <c r="AM1202" i="1" s="1"/>
  <c r="S1203" i="1"/>
  <c r="AR1203" i="1" s="1"/>
  <c r="AM1203" i="1" s="1"/>
  <c r="S1204" i="1"/>
  <c r="AR1204" i="1" s="1"/>
  <c r="AM1204" i="1" s="1"/>
  <c r="S1205" i="1"/>
  <c r="AR1205" i="1" s="1"/>
  <c r="AM1205" i="1" s="1"/>
  <c r="S1207" i="1"/>
  <c r="AT1207" i="1" s="1"/>
  <c r="AO1207" i="1" s="1"/>
  <c r="S1208" i="1"/>
  <c r="AQ1208" i="1" s="1"/>
  <c r="AL1208" i="1" s="1"/>
  <c r="S1211" i="1"/>
  <c r="AQ1211" i="1" s="1"/>
  <c r="AL1211" i="1" s="1"/>
  <c r="S1214" i="1"/>
  <c r="U1214" i="1" s="1"/>
  <c r="W1214" i="1" s="1"/>
  <c r="S1215" i="1"/>
  <c r="U1215" i="1" s="1"/>
  <c r="W1215" i="1" s="1"/>
  <c r="S1218" i="1"/>
  <c r="AR1218" i="1" s="1"/>
  <c r="AM1218" i="1" s="1"/>
  <c r="S1219" i="1"/>
  <c r="AR1219" i="1" s="1"/>
  <c r="AM1219" i="1" s="1"/>
  <c r="S1220" i="1"/>
  <c r="AR1220" i="1" s="1"/>
  <c r="AM1220" i="1" s="1"/>
  <c r="S1212" i="1"/>
  <c r="AS1212" i="1" s="1"/>
  <c r="AN1212" i="1" s="1"/>
  <c r="S1224" i="1"/>
  <c r="AQ1224" i="1" s="1"/>
  <c r="AL1224" i="1" s="1"/>
  <c r="S1225" i="1"/>
  <c r="AQ1225" i="1" s="1"/>
  <c r="AL1225" i="1" s="1"/>
  <c r="S1227" i="1"/>
  <c r="AQ1227" i="1" s="1"/>
  <c r="AL1227" i="1" s="1"/>
  <c r="S1229" i="1"/>
  <c r="AS1229" i="1" s="1"/>
  <c r="AN1229" i="1" s="1"/>
  <c r="S1230" i="1"/>
  <c r="AS1230" i="1" s="1"/>
  <c r="AN1230" i="1" s="1"/>
  <c r="S1232" i="1"/>
  <c r="S1233" i="1"/>
  <c r="U1233" i="1" s="1"/>
  <c r="W1233" i="1" s="1"/>
  <c r="S1234" i="1"/>
  <c r="AR1234" i="1" s="1"/>
  <c r="AM1234" i="1" s="1"/>
  <c r="S1236" i="1"/>
  <c r="AR1236" i="1" s="1"/>
  <c r="AM1236" i="1" s="1"/>
  <c r="S1240" i="1"/>
  <c r="AQ1240" i="1" s="1"/>
  <c r="AL1240" i="1" s="1"/>
  <c r="S1243" i="1"/>
  <c r="AQ1243" i="1" s="1"/>
  <c r="AL1243" i="1" s="1"/>
  <c r="S1245" i="1"/>
  <c r="AS1245" i="1" s="1"/>
  <c r="AN1245" i="1" s="1"/>
  <c r="S1247" i="1"/>
  <c r="AS1247" i="1" s="1"/>
  <c r="AN1247" i="1" s="1"/>
  <c r="S1248" i="1"/>
  <c r="AS1248" i="1" s="1"/>
  <c r="AN1248" i="1" s="1"/>
  <c r="S1249" i="1"/>
  <c r="U1249" i="1" s="1"/>
  <c r="W1249" i="1" s="1"/>
  <c r="S1250" i="1"/>
  <c r="AR1250" i="1" s="1"/>
  <c r="AM1250" i="1" s="1"/>
  <c r="S1251" i="1"/>
  <c r="AR1251" i="1" s="1"/>
  <c r="AM1251" i="1" s="1"/>
  <c r="S1252" i="1"/>
  <c r="AR1252" i="1" s="1"/>
  <c r="AM1252" i="1" s="1"/>
  <c r="S1256" i="1"/>
  <c r="AQ1256" i="1" s="1"/>
  <c r="AL1256" i="1" s="1"/>
  <c r="S1257" i="1"/>
  <c r="AQ1257" i="1" s="1"/>
  <c r="AL1257" i="1" s="1"/>
  <c r="S1258" i="1"/>
  <c r="AQ1258" i="1" s="1"/>
  <c r="AL1258" i="1" s="1"/>
  <c r="S1259" i="1"/>
  <c r="AQ1259" i="1" s="1"/>
  <c r="AL1259" i="1" s="1"/>
  <c r="S1260" i="1"/>
  <c r="AS1260" i="1" s="1"/>
  <c r="AN1260" i="1" s="1"/>
  <c r="S1261" i="1"/>
  <c r="AS1261" i="1" s="1"/>
  <c r="AN1261" i="1" s="1"/>
  <c r="S1262" i="1"/>
  <c r="AS1262" i="1" s="1"/>
  <c r="AN1262" i="1" s="1"/>
  <c r="S1263" i="1"/>
  <c r="AS1263" i="1" s="1"/>
  <c r="AN1263" i="1" s="1"/>
  <c r="S1264" i="1"/>
  <c r="AS1264" i="1" s="1"/>
  <c r="AN1264" i="1" s="1"/>
  <c r="S1266" i="1"/>
  <c r="AR1266" i="1" s="1"/>
  <c r="AM1266" i="1" s="1"/>
  <c r="S1267" i="1"/>
  <c r="AR1267" i="1" s="1"/>
  <c r="AM1267" i="1" s="1"/>
  <c r="S1268" i="1"/>
  <c r="AR1268" i="1" s="1"/>
  <c r="AM1268" i="1" s="1"/>
  <c r="S1273" i="1"/>
  <c r="AQ1273" i="1" s="1"/>
  <c r="AL1273" i="1" s="1"/>
  <c r="S1274" i="1"/>
  <c r="AQ1274" i="1" s="1"/>
  <c r="AL1274" i="1" s="1"/>
  <c r="S1276" i="1"/>
  <c r="AS1276" i="1" s="1"/>
  <c r="AN1276" i="1" s="1"/>
  <c r="S1277" i="1"/>
  <c r="AS1277" i="1" s="1"/>
  <c r="AN1277" i="1" s="1"/>
  <c r="S1278" i="1"/>
  <c r="AS1278" i="1" s="1"/>
  <c r="AN1278" i="1" s="1"/>
  <c r="S1280" i="1"/>
  <c r="AS1280" i="1" s="1"/>
  <c r="AN1280" i="1" s="1"/>
  <c r="S1281" i="1"/>
  <c r="AS1281" i="1" s="1"/>
  <c r="AN1281" i="1" s="1"/>
  <c r="S1282" i="1"/>
  <c r="AR1282" i="1" s="1"/>
  <c r="AM1282" i="1" s="1"/>
  <c r="S1284" i="1"/>
  <c r="AR1284" i="1" s="1"/>
  <c r="AM1284" i="1" s="1"/>
  <c r="S1286" i="1"/>
  <c r="AT1286" i="1" s="1"/>
  <c r="AO1286" i="1" s="1"/>
  <c r="S1287" i="1"/>
  <c r="AT1287" i="1" s="1"/>
  <c r="AO1287" i="1" s="1"/>
  <c r="S1288" i="1"/>
  <c r="AQ1288" i="1" s="1"/>
  <c r="AL1288" i="1" s="1"/>
  <c r="S1290" i="1"/>
  <c r="AQ1290" i="1" s="1"/>
  <c r="AL1290" i="1" s="1"/>
  <c r="S1291" i="1"/>
  <c r="AQ1291" i="1" s="1"/>
  <c r="AL1291" i="1" s="1"/>
  <c r="S1292" i="1"/>
  <c r="AS1292" i="1" s="1"/>
  <c r="AN1292" i="1" s="1"/>
  <c r="S1293" i="1"/>
  <c r="AS1293" i="1" s="1"/>
  <c r="AN1293" i="1" s="1"/>
  <c r="S1294" i="1"/>
  <c r="AS1294" i="1" s="1"/>
  <c r="AN1294" i="1" s="1"/>
  <c r="S1295" i="1"/>
  <c r="U1295" i="1" s="1"/>
  <c r="W1295" i="1" s="1"/>
  <c r="AK1189" i="1"/>
  <c r="AJ1189" i="1"/>
  <c r="AK1188" i="1"/>
  <c r="S1188" i="1" s="1"/>
  <c r="AQ1188" i="1" s="1"/>
  <c r="AL1188" i="1" s="1"/>
  <c r="AK1187" i="1"/>
  <c r="AJ1187" i="1"/>
  <c r="AK1186" i="1"/>
  <c r="AJ1186" i="1"/>
  <c r="S1186" i="1" s="1"/>
  <c r="AS1186" i="1" s="1"/>
  <c r="AN1186" i="1" s="1"/>
  <c r="AK1185" i="1"/>
  <c r="AJ1185" i="1"/>
  <c r="AK1184" i="1"/>
  <c r="AJ1184" i="1"/>
  <c r="AK1183" i="1"/>
  <c r="AJ1183" i="1"/>
  <c r="AK1182" i="1"/>
  <c r="AJ1182" i="1"/>
  <c r="S1182" i="1" s="1"/>
  <c r="AT1182" i="1" s="1"/>
  <c r="AO1182" i="1" s="1"/>
  <c r="AK1181" i="1"/>
  <c r="S1181" i="1" s="1"/>
  <c r="AT1181" i="1" s="1"/>
  <c r="AO1181" i="1" s="1"/>
  <c r="AK1180" i="1"/>
  <c r="AJ1180" i="1"/>
  <c r="AK1179" i="1"/>
  <c r="AJ1179" i="1"/>
  <c r="AK1178" i="1"/>
  <c r="AJ1178" i="1"/>
  <c r="AK1177" i="1"/>
  <c r="AJ1177" i="1"/>
  <c r="AK1176" i="1"/>
  <c r="AJ1176" i="1"/>
  <c r="AK1175" i="1"/>
  <c r="AJ1175" i="1"/>
  <c r="AK1174" i="1"/>
  <c r="AJ1174" i="1"/>
  <c r="AK1173" i="1"/>
  <c r="S1173" i="1" s="1"/>
  <c r="AQ1173" i="1" s="1"/>
  <c r="AL1173" i="1" s="1"/>
  <c r="AJ1173" i="1"/>
  <c r="AK1172" i="1"/>
  <c r="AJ1172" i="1"/>
  <c r="AK1171" i="1"/>
  <c r="AJ1171" i="1"/>
  <c r="AK1170" i="1"/>
  <c r="AJ1170" i="1"/>
  <c r="AK1169" i="1"/>
  <c r="S1169" i="1" s="1"/>
  <c r="AT1169" i="1" s="1"/>
  <c r="AO1169" i="1" s="1"/>
  <c r="AJ1169" i="1"/>
  <c r="AK1168" i="1"/>
  <c r="AJ1168" i="1"/>
  <c r="AK1167" i="1"/>
  <c r="AJ1167" i="1"/>
  <c r="AK1166" i="1"/>
  <c r="AJ1166" i="1"/>
  <c r="AK1165" i="1"/>
  <c r="AJ1165" i="1"/>
  <c r="AK1164" i="1"/>
  <c r="AK1163" i="1"/>
  <c r="AJ1163" i="1"/>
  <c r="AK1162" i="1"/>
  <c r="AJ1162" i="1"/>
  <c r="AK1161" i="1"/>
  <c r="AJ1161" i="1"/>
  <c r="AK1160" i="1"/>
  <c r="AJ1160" i="1"/>
  <c r="AK1159" i="1"/>
  <c r="AJ1159" i="1"/>
  <c r="AK1158" i="1"/>
  <c r="AJ1158" i="1"/>
  <c r="AK1157" i="1"/>
  <c r="AJ1157" i="1"/>
  <c r="S1157" i="1" s="1"/>
  <c r="AQ1157" i="1" s="1"/>
  <c r="AL1157" i="1" s="1"/>
  <c r="AK1156" i="1"/>
  <c r="S1156" i="1" s="1"/>
  <c r="AQ1156" i="1" s="1"/>
  <c r="AL1156" i="1" s="1"/>
  <c r="AJ1156" i="1"/>
  <c r="AK1155" i="1"/>
  <c r="AJ1155" i="1"/>
  <c r="AK1154" i="1"/>
  <c r="AJ1154" i="1"/>
  <c r="AK1153" i="1"/>
  <c r="AJ1153" i="1"/>
  <c r="S1153" i="1" s="1"/>
  <c r="AT1153" i="1" s="1"/>
  <c r="AO1153" i="1" s="1"/>
  <c r="AK1152" i="1"/>
  <c r="AJ1152" i="1"/>
  <c r="AK1151" i="1"/>
  <c r="AK1150" i="1"/>
  <c r="AJ1150" i="1"/>
  <c r="AK1149" i="1"/>
  <c r="AJ1149" i="1"/>
  <c r="AK1148" i="1"/>
  <c r="AJ1148" i="1"/>
  <c r="AK1147" i="1"/>
  <c r="AJ1147" i="1"/>
  <c r="AK1146" i="1"/>
  <c r="AJ1146" i="1"/>
  <c r="AK1145" i="1"/>
  <c r="AJ1145" i="1"/>
  <c r="AK1144" i="1"/>
  <c r="S1144" i="1" s="1"/>
  <c r="AR1144" i="1" s="1"/>
  <c r="AM1144" i="1" s="1"/>
  <c r="AK1143" i="1"/>
  <c r="AJ1143" i="1"/>
  <c r="AK1142" i="1"/>
  <c r="AJ1142" i="1"/>
  <c r="S1142" i="1" s="1"/>
  <c r="AK1141" i="1"/>
  <c r="AJ1141" i="1"/>
  <c r="AK1140" i="1"/>
  <c r="AJ1140" i="1"/>
  <c r="S1140" i="1" s="1"/>
  <c r="AQ1140" i="1" s="1"/>
  <c r="AL1140" i="1" s="1"/>
  <c r="AK1139" i="1"/>
  <c r="S1139" i="1" s="1"/>
  <c r="AS1139" i="1" s="1"/>
  <c r="AN1139" i="1" s="1"/>
  <c r="AJ1139" i="1"/>
  <c r="AK1138" i="1"/>
  <c r="AJ1138" i="1"/>
  <c r="AK1137" i="1"/>
  <c r="AJ1137" i="1"/>
  <c r="AK1136" i="1"/>
  <c r="AJ1136" i="1"/>
  <c r="S1136" i="1" s="1"/>
  <c r="AT1136" i="1" s="1"/>
  <c r="AO1136" i="1" s="1"/>
  <c r="AK1135" i="1"/>
  <c r="AJ1135" i="1"/>
  <c r="AK1134" i="1"/>
  <c r="AJ1134" i="1"/>
  <c r="AK1133" i="1"/>
  <c r="AJ1133" i="1"/>
  <c r="AK1132" i="1"/>
  <c r="AJ1132" i="1"/>
  <c r="AK1131" i="1"/>
  <c r="S1131" i="1" s="1"/>
  <c r="AS1131" i="1" s="1"/>
  <c r="AN1131" i="1" s="1"/>
  <c r="AJ1131" i="1"/>
  <c r="AK1130" i="1"/>
  <c r="AJ1130" i="1"/>
  <c r="AK1129" i="1"/>
  <c r="AJ1129" i="1"/>
  <c r="AK1128" i="1"/>
  <c r="AJ1128" i="1"/>
  <c r="AK1127" i="1"/>
  <c r="AK1126" i="1"/>
  <c r="AJ1126" i="1"/>
  <c r="AK1125" i="1"/>
  <c r="AJ1125" i="1"/>
  <c r="AK1124" i="1"/>
  <c r="AJ1124" i="1"/>
  <c r="AK1123" i="1"/>
  <c r="AJ1123" i="1"/>
  <c r="AK1122" i="1"/>
  <c r="AJ1122" i="1"/>
  <c r="S1122" i="1" s="1"/>
  <c r="AS1122" i="1" s="1"/>
  <c r="AN1122" i="1" s="1"/>
  <c r="AK1121" i="1"/>
  <c r="S1121" i="1" s="1"/>
  <c r="AT1121" i="1" s="1"/>
  <c r="AO1121" i="1" s="1"/>
  <c r="AJ1121" i="1"/>
  <c r="AK1120" i="1"/>
  <c r="AJ1120" i="1"/>
  <c r="AK1119" i="1"/>
  <c r="S1119" i="1" s="1"/>
  <c r="AT1119" i="1" s="1"/>
  <c r="AO1119" i="1" s="1"/>
  <c r="AJ1119" i="1"/>
  <c r="AK1118" i="1"/>
  <c r="AJ1118" i="1"/>
  <c r="AK1117" i="1"/>
  <c r="AJ1117" i="1"/>
  <c r="AK1116" i="1"/>
  <c r="AJ1116" i="1"/>
  <c r="AK1115" i="1"/>
  <c r="AJ1115" i="1"/>
  <c r="AK1114" i="1"/>
  <c r="AJ1114" i="1"/>
  <c r="AK1113" i="1"/>
  <c r="S1113" i="1" s="1"/>
  <c r="AR1113" i="1" s="1"/>
  <c r="AM1113" i="1" s="1"/>
  <c r="AJ1113" i="1"/>
  <c r="AK1112" i="1"/>
  <c r="AJ1112" i="1"/>
  <c r="AK1111" i="1"/>
  <c r="AK1110" i="1"/>
  <c r="AJ1110" i="1"/>
  <c r="AK1109" i="1"/>
  <c r="AJ1109" i="1"/>
  <c r="AK1108" i="1"/>
  <c r="AJ1108" i="1"/>
  <c r="AK1107" i="1"/>
  <c r="AJ1107" i="1"/>
  <c r="S1107" i="1" s="1"/>
  <c r="AK1106" i="1"/>
  <c r="S1106" i="1" s="1"/>
  <c r="AJ1106" i="1"/>
  <c r="AK1105" i="1"/>
  <c r="AJ1105" i="1"/>
  <c r="AK1104" i="1"/>
  <c r="AJ1104" i="1"/>
  <c r="AK1103" i="1"/>
  <c r="AJ1103" i="1"/>
  <c r="S1103" i="1" s="1"/>
  <c r="AT1103" i="1" s="1"/>
  <c r="AO1103" i="1" s="1"/>
  <c r="AK1102" i="1"/>
  <c r="AJ1102" i="1"/>
  <c r="AK1101" i="1"/>
  <c r="AJ1101" i="1"/>
  <c r="AK1100" i="1"/>
  <c r="AJ1100" i="1"/>
  <c r="AK1099" i="1"/>
  <c r="AJ1099" i="1"/>
  <c r="AK1098" i="1"/>
  <c r="AK1097" i="1"/>
  <c r="AK1096" i="1"/>
  <c r="AJ1096" i="1"/>
  <c r="AK1095" i="1"/>
  <c r="AJ1095" i="1"/>
  <c r="AK1094" i="1"/>
  <c r="AJ1094" i="1"/>
  <c r="AK1093" i="1"/>
  <c r="AJ1093" i="1"/>
  <c r="AK1092" i="1"/>
  <c r="AJ1092" i="1"/>
  <c r="AK1091" i="1"/>
  <c r="AJ1091" i="1"/>
  <c r="BA4" i="9"/>
  <c r="AX4" i="9"/>
  <c r="V15" i="9"/>
  <c r="V16" i="9"/>
  <c r="V17" i="9"/>
  <c r="V18" i="9"/>
  <c r="V19" i="9"/>
  <c r="V14" i="9"/>
  <c r="S19" i="9"/>
  <c r="S18" i="9"/>
  <c r="S17" i="9"/>
  <c r="S16" i="9"/>
  <c r="S15" i="9"/>
  <c r="S14" i="9"/>
  <c r="BA4" i="10"/>
  <c r="AX4" i="10"/>
  <c r="V19" i="10"/>
  <c r="V20" i="10"/>
  <c r="V21" i="10"/>
  <c r="V22" i="10"/>
  <c r="V23" i="10"/>
  <c r="V24" i="10"/>
  <c r="V25" i="10"/>
  <c r="V18" i="10"/>
  <c r="S25" i="10"/>
  <c r="S24" i="10"/>
  <c r="S23" i="10"/>
  <c r="S22" i="10"/>
  <c r="S21" i="10"/>
  <c r="S20" i="10"/>
  <c r="S19" i="10"/>
  <c r="S18" i="10"/>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U1091" i="1"/>
  <c r="AP1091" i="1" s="1"/>
  <c r="AU1092" i="1"/>
  <c r="AP1092" i="1" s="1"/>
  <c r="AU1093" i="1"/>
  <c r="AP1093" i="1" s="1"/>
  <c r="AU1094" i="1"/>
  <c r="AP1094" i="1" s="1"/>
  <c r="AU1095" i="1"/>
  <c r="AP1095" i="1" s="1"/>
  <c r="AU1096" i="1"/>
  <c r="AP1096" i="1" s="1"/>
  <c r="AU1097" i="1"/>
  <c r="AP1097" i="1" s="1"/>
  <c r="AU1098" i="1"/>
  <c r="AP1098" i="1" s="1"/>
  <c r="AU1099" i="1"/>
  <c r="AP1099" i="1" s="1"/>
  <c r="AU1100" i="1"/>
  <c r="AP1100" i="1" s="1"/>
  <c r="AU1101" i="1"/>
  <c r="AP1101" i="1" s="1"/>
  <c r="AU1102" i="1"/>
  <c r="AP1102" i="1" s="1"/>
  <c r="AU1103" i="1"/>
  <c r="AP1103" i="1" s="1"/>
  <c r="AU1104" i="1"/>
  <c r="AP1104" i="1" s="1"/>
  <c r="AU1105" i="1"/>
  <c r="AP1105" i="1" s="1"/>
  <c r="AU1106" i="1"/>
  <c r="AP1106" i="1" s="1"/>
  <c r="AU1107" i="1"/>
  <c r="AP1107" i="1" s="1"/>
  <c r="AU1108" i="1"/>
  <c r="AP1108" i="1" s="1"/>
  <c r="AU1109" i="1"/>
  <c r="AP1109" i="1" s="1"/>
  <c r="AU1110" i="1"/>
  <c r="AP1110" i="1" s="1"/>
  <c r="AU1111" i="1"/>
  <c r="AP1111" i="1" s="1"/>
  <c r="AU1112" i="1"/>
  <c r="AP1112" i="1" s="1"/>
  <c r="AU1113" i="1"/>
  <c r="AP1113" i="1" s="1"/>
  <c r="AU1114" i="1"/>
  <c r="AP1114" i="1" s="1"/>
  <c r="AU1115" i="1"/>
  <c r="AP1115" i="1" s="1"/>
  <c r="AU1116" i="1"/>
  <c r="AP1116" i="1" s="1"/>
  <c r="AU1117" i="1"/>
  <c r="AP1117" i="1" s="1"/>
  <c r="AU1118" i="1"/>
  <c r="AP1118" i="1" s="1"/>
  <c r="AU1119" i="1"/>
  <c r="AP1119" i="1" s="1"/>
  <c r="AU1120" i="1"/>
  <c r="AP1120" i="1" s="1"/>
  <c r="AU1121" i="1"/>
  <c r="AP1121" i="1" s="1"/>
  <c r="AU1122" i="1"/>
  <c r="AP1122" i="1" s="1"/>
  <c r="AU1123" i="1"/>
  <c r="AP1123" i="1" s="1"/>
  <c r="AU1124" i="1"/>
  <c r="AP1124" i="1" s="1"/>
  <c r="AU1125" i="1"/>
  <c r="AP1125" i="1" s="1"/>
  <c r="AU1126" i="1"/>
  <c r="AP1126" i="1" s="1"/>
  <c r="AU1127" i="1"/>
  <c r="AP1127" i="1" s="1"/>
  <c r="AU1128" i="1"/>
  <c r="AP1128" i="1" s="1"/>
  <c r="AU1129" i="1"/>
  <c r="AP1129" i="1" s="1"/>
  <c r="AU1130" i="1"/>
  <c r="AP1130" i="1" s="1"/>
  <c r="AU1131" i="1"/>
  <c r="AP1131" i="1" s="1"/>
  <c r="AU1132" i="1"/>
  <c r="AP1132" i="1" s="1"/>
  <c r="AU1133" i="1"/>
  <c r="AP1133" i="1" s="1"/>
  <c r="AU1134" i="1"/>
  <c r="AP1134" i="1" s="1"/>
  <c r="AU1135" i="1"/>
  <c r="AP1135" i="1" s="1"/>
  <c r="AU1136" i="1"/>
  <c r="AP1136" i="1" s="1"/>
  <c r="AU1137" i="1"/>
  <c r="AP1137" i="1" s="1"/>
  <c r="AU1138" i="1"/>
  <c r="AP1138" i="1" s="1"/>
  <c r="AU1139" i="1"/>
  <c r="AP1139" i="1" s="1"/>
  <c r="AU1140" i="1"/>
  <c r="AP1140" i="1" s="1"/>
  <c r="AU1141" i="1"/>
  <c r="AP1141" i="1" s="1"/>
  <c r="AU1142" i="1"/>
  <c r="AP1142" i="1" s="1"/>
  <c r="AU1143" i="1"/>
  <c r="AP1143" i="1" s="1"/>
  <c r="AU1144" i="1"/>
  <c r="AP1144" i="1" s="1"/>
  <c r="AU1145" i="1"/>
  <c r="AP1145" i="1" s="1"/>
  <c r="AU1146" i="1"/>
  <c r="AP1146" i="1" s="1"/>
  <c r="AU1147" i="1"/>
  <c r="AP1147" i="1" s="1"/>
  <c r="AU1148" i="1"/>
  <c r="AP1148" i="1" s="1"/>
  <c r="AU1149" i="1"/>
  <c r="AP1149" i="1" s="1"/>
  <c r="AU1150" i="1"/>
  <c r="AP1150" i="1" s="1"/>
  <c r="AU1151" i="1"/>
  <c r="AP1151" i="1" s="1"/>
  <c r="AU1152" i="1"/>
  <c r="AP1152" i="1" s="1"/>
  <c r="AU1153" i="1"/>
  <c r="AP1153" i="1" s="1"/>
  <c r="AU1154" i="1"/>
  <c r="AP1154" i="1" s="1"/>
  <c r="AU1155" i="1"/>
  <c r="AP1155" i="1" s="1"/>
  <c r="AU1156" i="1"/>
  <c r="AP1156" i="1" s="1"/>
  <c r="AU1157" i="1"/>
  <c r="AP1157" i="1" s="1"/>
  <c r="AU1158" i="1"/>
  <c r="AP1158" i="1" s="1"/>
  <c r="AU1159" i="1"/>
  <c r="AP1159" i="1" s="1"/>
  <c r="AU1160" i="1"/>
  <c r="AP1160" i="1" s="1"/>
  <c r="AU1161" i="1"/>
  <c r="AP1161" i="1" s="1"/>
  <c r="AU1162" i="1"/>
  <c r="AP1162" i="1" s="1"/>
  <c r="AU1163" i="1"/>
  <c r="AP1163" i="1" s="1"/>
  <c r="AU1164" i="1"/>
  <c r="AP1164" i="1" s="1"/>
  <c r="AU1165" i="1"/>
  <c r="AP1165" i="1" s="1"/>
  <c r="AU1166" i="1"/>
  <c r="AP1166" i="1" s="1"/>
  <c r="AU1167" i="1"/>
  <c r="AP1167" i="1" s="1"/>
  <c r="AU1168" i="1"/>
  <c r="AP1168" i="1" s="1"/>
  <c r="AU1169" i="1"/>
  <c r="AP1169" i="1" s="1"/>
  <c r="AU1170" i="1"/>
  <c r="AP1170" i="1" s="1"/>
  <c r="AU1171" i="1"/>
  <c r="AP1171" i="1" s="1"/>
  <c r="AU1172" i="1"/>
  <c r="AP1172" i="1" s="1"/>
  <c r="AU1173" i="1"/>
  <c r="AP1173" i="1" s="1"/>
  <c r="AU1174" i="1"/>
  <c r="AP1174" i="1" s="1"/>
  <c r="AU1175" i="1"/>
  <c r="AP1175" i="1" s="1"/>
  <c r="AU1176" i="1"/>
  <c r="AP1176" i="1" s="1"/>
  <c r="AU1177" i="1"/>
  <c r="AP1177" i="1" s="1"/>
  <c r="AU1178" i="1"/>
  <c r="AP1178" i="1" s="1"/>
  <c r="AU1179" i="1"/>
  <c r="AP1179" i="1" s="1"/>
  <c r="AU1180" i="1"/>
  <c r="AP1180" i="1" s="1"/>
  <c r="AU1181" i="1"/>
  <c r="AP1181" i="1" s="1"/>
  <c r="AU1182" i="1"/>
  <c r="AP1182" i="1" s="1"/>
  <c r="AU1183" i="1"/>
  <c r="AP1183" i="1" s="1"/>
  <c r="AU1184" i="1"/>
  <c r="AP1184" i="1" s="1"/>
  <c r="AU1185" i="1"/>
  <c r="AP1185" i="1" s="1"/>
  <c r="AU1186" i="1"/>
  <c r="AP1186" i="1" s="1"/>
  <c r="AU1187" i="1"/>
  <c r="AP1187" i="1" s="1"/>
  <c r="AU1188" i="1"/>
  <c r="AP1188" i="1" s="1"/>
  <c r="AU1189" i="1"/>
  <c r="AP1189" i="1" s="1"/>
  <c r="U1116" i="1"/>
  <c r="W1116" i="1" s="1"/>
  <c r="U1117" i="1"/>
  <c r="W1117" i="1" s="1"/>
  <c r="U1118" i="1"/>
  <c r="W1118" i="1" s="1"/>
  <c r="U1119" i="1"/>
  <c r="W1119" i="1" s="1"/>
  <c r="U1120" i="1"/>
  <c r="W1120" i="1" s="1"/>
  <c r="U1121" i="1"/>
  <c r="W1121" i="1" s="1"/>
  <c r="U1122" i="1"/>
  <c r="W1122" i="1" s="1"/>
  <c r="U1123" i="1"/>
  <c r="W1123" i="1" s="1"/>
  <c r="U1124" i="1"/>
  <c r="W1124" i="1" s="1"/>
  <c r="U1125" i="1"/>
  <c r="W1125" i="1" s="1"/>
  <c r="U1129" i="1"/>
  <c r="W1129" i="1" s="1"/>
  <c r="U1130" i="1"/>
  <c r="W1130" i="1" s="1"/>
  <c r="U1131" i="1"/>
  <c r="W1131" i="1" s="1"/>
  <c r="U1132" i="1"/>
  <c r="W1132" i="1" s="1"/>
  <c r="U1133" i="1"/>
  <c r="W1133" i="1" s="1"/>
  <c r="U1134" i="1"/>
  <c r="W1134" i="1" s="1"/>
  <c r="U1135" i="1"/>
  <c r="W1135" i="1" s="1"/>
  <c r="U1136" i="1"/>
  <c r="W1136" i="1" s="1"/>
  <c r="U1137" i="1"/>
  <c r="W1137" i="1" s="1"/>
  <c r="U1138" i="1"/>
  <c r="W1138" i="1" s="1"/>
  <c r="U1139" i="1"/>
  <c r="W1139" i="1" s="1"/>
  <c r="U1140" i="1"/>
  <c r="W1140" i="1" s="1"/>
  <c r="U1141" i="1"/>
  <c r="W1141" i="1" s="1"/>
  <c r="U1142" i="1"/>
  <c r="W1142" i="1" s="1"/>
  <c r="U1146" i="1"/>
  <c r="W1146" i="1" s="1"/>
  <c r="U1147" i="1"/>
  <c r="W1147" i="1" s="1"/>
  <c r="U1148" i="1"/>
  <c r="W1148" i="1" s="1"/>
  <c r="U1149" i="1"/>
  <c r="W1149" i="1" s="1"/>
  <c r="U1153" i="1"/>
  <c r="W1153" i="1" s="1"/>
  <c r="U1154" i="1"/>
  <c r="W1154" i="1" s="1"/>
  <c r="U1155" i="1"/>
  <c r="W1155" i="1" s="1"/>
  <c r="U1156" i="1"/>
  <c r="W1156" i="1" s="1"/>
  <c r="U1157" i="1"/>
  <c r="W1157" i="1" s="1"/>
  <c r="U1158" i="1"/>
  <c r="W1158" i="1" s="1"/>
  <c r="U1159" i="1"/>
  <c r="W1159" i="1" s="1"/>
  <c r="U1160" i="1"/>
  <c r="W1160" i="1" s="1"/>
  <c r="U1161" i="1"/>
  <c r="W1161" i="1" s="1"/>
  <c r="U1162" i="1"/>
  <c r="W1162" i="1" s="1"/>
  <c r="U1166" i="1"/>
  <c r="W1166" i="1" s="1"/>
  <c r="U1167" i="1"/>
  <c r="W1167" i="1" s="1"/>
  <c r="U1168" i="1"/>
  <c r="W1168" i="1" s="1"/>
  <c r="U1169" i="1"/>
  <c r="W1169" i="1" s="1"/>
  <c r="U1170" i="1"/>
  <c r="W1170" i="1" s="1"/>
  <c r="U1171" i="1"/>
  <c r="W1171" i="1" s="1"/>
  <c r="U1172" i="1"/>
  <c r="W1172" i="1" s="1"/>
  <c r="U1173" i="1"/>
  <c r="W1173" i="1" s="1"/>
  <c r="U1174" i="1"/>
  <c r="W1174" i="1" s="1"/>
  <c r="U1175" i="1"/>
  <c r="W1175" i="1" s="1"/>
  <c r="U1176" i="1"/>
  <c r="W1176" i="1" s="1"/>
  <c r="U1177" i="1"/>
  <c r="W1177" i="1" s="1"/>
  <c r="U1178" i="1"/>
  <c r="W1178" i="1" s="1"/>
  <c r="U1179" i="1"/>
  <c r="W1179" i="1" s="1"/>
  <c r="U1183" i="1"/>
  <c r="W1183" i="1" s="1"/>
  <c r="U1184" i="1"/>
  <c r="W1184" i="1" s="1"/>
  <c r="U1185" i="1"/>
  <c r="W1185" i="1" s="1"/>
  <c r="U1186" i="1"/>
  <c r="W1186" i="1" s="1"/>
  <c r="S1117" i="1"/>
  <c r="AT1117" i="1" s="1"/>
  <c r="AO1117" i="1" s="1"/>
  <c r="S1118" i="1"/>
  <c r="AT1118" i="1" s="1"/>
  <c r="AO1118" i="1" s="1"/>
  <c r="S1120" i="1"/>
  <c r="AT1120" i="1" s="1"/>
  <c r="AO1120" i="1" s="1"/>
  <c r="S1124" i="1"/>
  <c r="AQ1124" i="1" s="1"/>
  <c r="AL1124" i="1" s="1"/>
  <c r="S1125" i="1"/>
  <c r="AQ1125" i="1" s="1"/>
  <c r="AL1125" i="1" s="1"/>
  <c r="S1127" i="1"/>
  <c r="AR1127" i="1" s="1"/>
  <c r="AM1127" i="1" s="1"/>
  <c r="S1129" i="1"/>
  <c r="AR1129" i="1" s="1"/>
  <c r="AM1129" i="1" s="1"/>
  <c r="S1133" i="1"/>
  <c r="AT1133" i="1" s="1"/>
  <c r="AO1133" i="1" s="1"/>
  <c r="S1134" i="1"/>
  <c r="AT1134" i="1" s="1"/>
  <c r="AO1134" i="1" s="1"/>
  <c r="S1135" i="1"/>
  <c r="AT1135" i="1" s="1"/>
  <c r="AO1135" i="1" s="1"/>
  <c r="S1137" i="1"/>
  <c r="AT1137" i="1" s="1"/>
  <c r="AO1137" i="1" s="1"/>
  <c r="S1141" i="1"/>
  <c r="AQ1141" i="1" s="1"/>
  <c r="AL1141" i="1" s="1"/>
  <c r="S1143" i="1"/>
  <c r="AR1143" i="1" s="1"/>
  <c r="AM1143" i="1" s="1"/>
  <c r="S1147" i="1"/>
  <c r="AS1147" i="1" s="1"/>
  <c r="AN1147" i="1" s="1"/>
  <c r="S1149" i="1"/>
  <c r="AT1149" i="1" s="1"/>
  <c r="AO1149" i="1" s="1"/>
  <c r="S1150" i="1"/>
  <c r="AT1150" i="1" s="1"/>
  <c r="AO1150" i="1" s="1"/>
  <c r="S1151" i="1"/>
  <c r="AT1151" i="1" s="1"/>
  <c r="AO1151" i="1" s="1"/>
  <c r="S1152" i="1"/>
  <c r="AT1152" i="1" s="1"/>
  <c r="AO1152" i="1" s="1"/>
  <c r="S1154" i="1"/>
  <c r="AT1154" i="1" s="1"/>
  <c r="AO1154" i="1" s="1"/>
  <c r="S1159" i="1"/>
  <c r="AR1159" i="1" s="1"/>
  <c r="AM1159" i="1" s="1"/>
  <c r="S1162" i="1"/>
  <c r="AS1162" i="1" s="1"/>
  <c r="AN1162" i="1" s="1"/>
  <c r="S1164" i="1"/>
  <c r="AS1164" i="1" s="1"/>
  <c r="AN1164" i="1" s="1"/>
  <c r="S1166" i="1"/>
  <c r="AT1166" i="1" s="1"/>
  <c r="AO1166" i="1" s="1"/>
  <c r="S1167" i="1"/>
  <c r="AT1167" i="1" s="1"/>
  <c r="AO1167" i="1" s="1"/>
  <c r="S1168" i="1"/>
  <c r="AT1168" i="1" s="1"/>
  <c r="AO1168" i="1" s="1"/>
  <c r="S1170" i="1"/>
  <c r="AS1170" i="1" s="1"/>
  <c r="AN1170" i="1" s="1"/>
  <c r="S1172" i="1"/>
  <c r="AQ1172" i="1" s="1"/>
  <c r="AL1172" i="1" s="1"/>
  <c r="S1175" i="1"/>
  <c r="AR1175" i="1" s="1"/>
  <c r="AM1175" i="1" s="1"/>
  <c r="S1178" i="1"/>
  <c r="AS1178" i="1" s="1"/>
  <c r="AN1178" i="1" s="1"/>
  <c r="S1180" i="1"/>
  <c r="AS1180" i="1" s="1"/>
  <c r="AN1180" i="1" s="1"/>
  <c r="S1183" i="1"/>
  <c r="AT1183" i="1" s="1"/>
  <c r="AO1183" i="1" s="1"/>
  <c r="S1184" i="1"/>
  <c r="AT1184" i="1" s="1"/>
  <c r="AO1184" i="1" s="1"/>
  <c r="S1185" i="1"/>
  <c r="AT1185" i="1" s="1"/>
  <c r="AO1185" i="1" s="1"/>
  <c r="S1187" i="1"/>
  <c r="S1189" i="1"/>
  <c r="AQ1189" i="1" s="1"/>
  <c r="AL1189" i="1" s="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U1091" i="1"/>
  <c r="W1091" i="1" s="1"/>
  <c r="U1092" i="1"/>
  <c r="W1092" i="1" s="1"/>
  <c r="U1093" i="1"/>
  <c r="W1093" i="1" s="1"/>
  <c r="U1094" i="1"/>
  <c r="W1094" i="1" s="1"/>
  <c r="U1095" i="1"/>
  <c r="W1095" i="1" s="1"/>
  <c r="U1096" i="1"/>
  <c r="W1096" i="1" s="1"/>
  <c r="U1097" i="1"/>
  <c r="W1097" i="1" s="1"/>
  <c r="U1098" i="1"/>
  <c r="W1098" i="1" s="1"/>
  <c r="S1091" i="1"/>
  <c r="AT1091" i="1" s="1"/>
  <c r="AO1091" i="1" s="1"/>
  <c r="S1092" i="1"/>
  <c r="AQ1092" i="1" s="1"/>
  <c r="AL1092" i="1" s="1"/>
  <c r="S1093" i="1"/>
  <c r="AQ1093" i="1" s="1"/>
  <c r="AL1093" i="1" s="1"/>
  <c r="S1094" i="1"/>
  <c r="AQ1094" i="1" s="1"/>
  <c r="AL1094" i="1" s="1"/>
  <c r="S1095" i="1"/>
  <c r="AR1095" i="1" s="1"/>
  <c r="AM1095" i="1" s="1"/>
  <c r="S1096" i="1"/>
  <c r="AR1096" i="1" s="1"/>
  <c r="AM1096" i="1" s="1"/>
  <c r="S1097" i="1"/>
  <c r="AR1097" i="1" s="1"/>
  <c r="AM1097" i="1" s="1"/>
  <c r="S1098" i="1"/>
  <c r="AS1098" i="1" s="1"/>
  <c r="AN1098" i="1" s="1"/>
  <c r="S1100" i="1"/>
  <c r="AS1100" i="1" s="1"/>
  <c r="AN1100" i="1" s="1"/>
  <c r="S1101" i="1"/>
  <c r="AT1101" i="1" s="1"/>
  <c r="AO1101" i="1" s="1"/>
  <c r="S1104" i="1"/>
  <c r="AT1104" i="1" s="1"/>
  <c r="AO1104" i="1" s="1"/>
  <c r="S1108" i="1"/>
  <c r="AQ1108" i="1" s="1"/>
  <c r="AL1108" i="1" s="1"/>
  <c r="S1109" i="1"/>
  <c r="AQ1109" i="1" s="1"/>
  <c r="AL1109" i="1" s="1"/>
  <c r="S1110" i="1"/>
  <c r="AQ1110" i="1" s="1"/>
  <c r="AL1110" i="1" s="1"/>
  <c r="S1111" i="1"/>
  <c r="AR1111" i="1" s="1"/>
  <c r="AM1111" i="1" s="1"/>
  <c r="S1112" i="1"/>
  <c r="AR1112" i="1" s="1"/>
  <c r="AM1112" i="1" s="1"/>
  <c r="S1114" i="1"/>
  <c r="AS1114" i="1" s="1"/>
  <c r="AN1114" i="1" s="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U823" i="1"/>
  <c r="AP823" i="1" s="1"/>
  <c r="AU824" i="1"/>
  <c r="AP824" i="1" s="1"/>
  <c r="AU825" i="1"/>
  <c r="AP825" i="1" s="1"/>
  <c r="AU826" i="1"/>
  <c r="AP826" i="1" s="1"/>
  <c r="AU827" i="1"/>
  <c r="AP827" i="1" s="1"/>
  <c r="AU828" i="1"/>
  <c r="AP828" i="1" s="1"/>
  <c r="AU829" i="1"/>
  <c r="AP829" i="1" s="1"/>
  <c r="AU830" i="1"/>
  <c r="AP830" i="1" s="1"/>
  <c r="AU831" i="1"/>
  <c r="AP831" i="1" s="1"/>
  <c r="AU832" i="1"/>
  <c r="AP832" i="1" s="1"/>
  <c r="AU833" i="1"/>
  <c r="AP833" i="1" s="1"/>
  <c r="AU834" i="1"/>
  <c r="AP834" i="1" s="1"/>
  <c r="AU835" i="1"/>
  <c r="AP835" i="1" s="1"/>
  <c r="AU836" i="1"/>
  <c r="AP836" i="1" s="1"/>
  <c r="AU837" i="1"/>
  <c r="AP837" i="1" s="1"/>
  <c r="AU838" i="1"/>
  <c r="AP838" i="1" s="1"/>
  <c r="AU839" i="1"/>
  <c r="AP839" i="1" s="1"/>
  <c r="AU840" i="1"/>
  <c r="AP840" i="1" s="1"/>
  <c r="AU841" i="1"/>
  <c r="AP841" i="1" s="1"/>
  <c r="AU842" i="1"/>
  <c r="AP842" i="1" s="1"/>
  <c r="AU843" i="1"/>
  <c r="AP843" i="1" s="1"/>
  <c r="AU844" i="1"/>
  <c r="AP844" i="1" s="1"/>
  <c r="AU845" i="1"/>
  <c r="AP845" i="1" s="1"/>
  <c r="AU846" i="1"/>
  <c r="AP846" i="1" s="1"/>
  <c r="AU847" i="1"/>
  <c r="AP847" i="1" s="1"/>
  <c r="AU848" i="1"/>
  <c r="AP848" i="1" s="1"/>
  <c r="AU849" i="1"/>
  <c r="AP849" i="1" s="1"/>
  <c r="AU850" i="1"/>
  <c r="AP850" i="1" s="1"/>
  <c r="AU851" i="1"/>
  <c r="AP851" i="1" s="1"/>
  <c r="AU852" i="1"/>
  <c r="AP852" i="1" s="1"/>
  <c r="AU853" i="1"/>
  <c r="AP853" i="1" s="1"/>
  <c r="AU854" i="1"/>
  <c r="AP854" i="1" s="1"/>
  <c r="AU855" i="1"/>
  <c r="AP855" i="1" s="1"/>
  <c r="AU856" i="1"/>
  <c r="AP856" i="1" s="1"/>
  <c r="AU857" i="1"/>
  <c r="AP857" i="1" s="1"/>
  <c r="AU858" i="1"/>
  <c r="AP858" i="1" s="1"/>
  <c r="AU859" i="1"/>
  <c r="AP859" i="1" s="1"/>
  <c r="AU860" i="1"/>
  <c r="AP860" i="1" s="1"/>
  <c r="AU861" i="1"/>
  <c r="AP861" i="1" s="1"/>
  <c r="AU862" i="1"/>
  <c r="AP862" i="1" s="1"/>
  <c r="AU863" i="1"/>
  <c r="AP863" i="1" s="1"/>
  <c r="AU864" i="1"/>
  <c r="AP864" i="1" s="1"/>
  <c r="AU865" i="1"/>
  <c r="AP865" i="1" s="1"/>
  <c r="AU866" i="1"/>
  <c r="AP866" i="1" s="1"/>
  <c r="AU867" i="1"/>
  <c r="AP867" i="1" s="1"/>
  <c r="AU868" i="1"/>
  <c r="AP868" i="1" s="1"/>
  <c r="AU869" i="1"/>
  <c r="AP869" i="1" s="1"/>
  <c r="AU870" i="1"/>
  <c r="AP870" i="1" s="1"/>
  <c r="AU871" i="1"/>
  <c r="AP871" i="1" s="1"/>
  <c r="AU872" i="1"/>
  <c r="AP872" i="1" s="1"/>
  <c r="AU873" i="1"/>
  <c r="AP873" i="1" s="1"/>
  <c r="AU874" i="1"/>
  <c r="AP874" i="1" s="1"/>
  <c r="AU875" i="1"/>
  <c r="AP875" i="1" s="1"/>
  <c r="AU876" i="1"/>
  <c r="AP876" i="1" s="1"/>
  <c r="AU877" i="1"/>
  <c r="AP877" i="1" s="1"/>
  <c r="AU878" i="1"/>
  <c r="AP878" i="1" s="1"/>
  <c r="AU879" i="1"/>
  <c r="AP879" i="1" s="1"/>
  <c r="AU880" i="1"/>
  <c r="AP880" i="1" s="1"/>
  <c r="AU881" i="1"/>
  <c r="AP881" i="1" s="1"/>
  <c r="AU882" i="1"/>
  <c r="AP882" i="1" s="1"/>
  <c r="AU883" i="1"/>
  <c r="AP883" i="1" s="1"/>
  <c r="AU884" i="1"/>
  <c r="AP884" i="1" s="1"/>
  <c r="AU885" i="1"/>
  <c r="AP885" i="1" s="1"/>
  <c r="AU886" i="1"/>
  <c r="AP886" i="1" s="1"/>
  <c r="AU887" i="1"/>
  <c r="AP887" i="1" s="1"/>
  <c r="AU888" i="1"/>
  <c r="AP888" i="1" s="1"/>
  <c r="AU889" i="1"/>
  <c r="AP889" i="1" s="1"/>
  <c r="AU890" i="1"/>
  <c r="AP890" i="1" s="1"/>
  <c r="AU891" i="1"/>
  <c r="AP891" i="1" s="1"/>
  <c r="AU892" i="1"/>
  <c r="AP892" i="1" s="1"/>
  <c r="AU893" i="1"/>
  <c r="AP893" i="1" s="1"/>
  <c r="AU894" i="1"/>
  <c r="AP894" i="1" s="1"/>
  <c r="AU895" i="1"/>
  <c r="AP895" i="1" s="1"/>
  <c r="AU896" i="1"/>
  <c r="AP896" i="1" s="1"/>
  <c r="AU897" i="1"/>
  <c r="AP897" i="1" s="1"/>
  <c r="AU898" i="1"/>
  <c r="AP898" i="1" s="1"/>
  <c r="AU899" i="1"/>
  <c r="AP899" i="1" s="1"/>
  <c r="AU900" i="1"/>
  <c r="AP900" i="1" s="1"/>
  <c r="AU901" i="1"/>
  <c r="AP901" i="1" s="1"/>
  <c r="AU902" i="1"/>
  <c r="AP902" i="1" s="1"/>
  <c r="AU903" i="1"/>
  <c r="AP903" i="1" s="1"/>
  <c r="AU904" i="1"/>
  <c r="AP904" i="1" s="1"/>
  <c r="AU905" i="1"/>
  <c r="AP905" i="1" s="1"/>
  <c r="AU906" i="1"/>
  <c r="AP906" i="1" s="1"/>
  <c r="AU907" i="1"/>
  <c r="AP907" i="1" s="1"/>
  <c r="AU908" i="1"/>
  <c r="AP908" i="1" s="1"/>
  <c r="AU909" i="1"/>
  <c r="AP909" i="1" s="1"/>
  <c r="AU910" i="1"/>
  <c r="AP910" i="1" s="1"/>
  <c r="AU911" i="1"/>
  <c r="AP911" i="1" s="1"/>
  <c r="AU912" i="1"/>
  <c r="AP912" i="1" s="1"/>
  <c r="AU913" i="1"/>
  <c r="AP913" i="1" s="1"/>
  <c r="AU914" i="1"/>
  <c r="AP914" i="1" s="1"/>
  <c r="AU915" i="1"/>
  <c r="AP915" i="1" s="1"/>
  <c r="AU916" i="1"/>
  <c r="AP916" i="1" s="1"/>
  <c r="AU917" i="1"/>
  <c r="AP917" i="1" s="1"/>
  <c r="AU918" i="1"/>
  <c r="AP918" i="1" s="1"/>
  <c r="AU919" i="1"/>
  <c r="AP919" i="1" s="1"/>
  <c r="AU920" i="1"/>
  <c r="AP920" i="1" s="1"/>
  <c r="AU921" i="1"/>
  <c r="AP921" i="1" s="1"/>
  <c r="AU922" i="1"/>
  <c r="AP922" i="1" s="1"/>
  <c r="AU923" i="1"/>
  <c r="AP923" i="1" s="1"/>
  <c r="AU924" i="1"/>
  <c r="AP924" i="1" s="1"/>
  <c r="AU925" i="1"/>
  <c r="AP925" i="1" s="1"/>
  <c r="AU926" i="1"/>
  <c r="AP926" i="1" s="1"/>
  <c r="AU927" i="1"/>
  <c r="AP927" i="1" s="1"/>
  <c r="AU928" i="1"/>
  <c r="AP928" i="1" s="1"/>
  <c r="AU929" i="1"/>
  <c r="AP929" i="1" s="1"/>
  <c r="AU930" i="1"/>
  <c r="AP930" i="1" s="1"/>
  <c r="AU931" i="1"/>
  <c r="AP931" i="1" s="1"/>
  <c r="AU932" i="1"/>
  <c r="AP932" i="1" s="1"/>
  <c r="AU933" i="1"/>
  <c r="AP933" i="1" s="1"/>
  <c r="AU934" i="1"/>
  <c r="AP934" i="1" s="1"/>
  <c r="AU935" i="1"/>
  <c r="AP935" i="1" s="1"/>
  <c r="AU936" i="1"/>
  <c r="AP936" i="1" s="1"/>
  <c r="AU937" i="1"/>
  <c r="AP937" i="1" s="1"/>
  <c r="AU938" i="1"/>
  <c r="AP938" i="1" s="1"/>
  <c r="AU939" i="1"/>
  <c r="AP939" i="1" s="1"/>
  <c r="AU940" i="1"/>
  <c r="AP940" i="1" s="1"/>
  <c r="AU941" i="1"/>
  <c r="AP941" i="1" s="1"/>
  <c r="AU942" i="1"/>
  <c r="AP942" i="1" s="1"/>
  <c r="AU943" i="1"/>
  <c r="AP943" i="1" s="1"/>
  <c r="AU944" i="1"/>
  <c r="AP944" i="1" s="1"/>
  <c r="AU945" i="1"/>
  <c r="AP945" i="1" s="1"/>
  <c r="AU946" i="1"/>
  <c r="AP946" i="1" s="1"/>
  <c r="AU947" i="1"/>
  <c r="AP947" i="1" s="1"/>
  <c r="AU948" i="1"/>
  <c r="AP948" i="1" s="1"/>
  <c r="AU949" i="1"/>
  <c r="AP949" i="1" s="1"/>
  <c r="AU950" i="1"/>
  <c r="AP950" i="1" s="1"/>
  <c r="AU951" i="1"/>
  <c r="AP951" i="1" s="1"/>
  <c r="AU952" i="1"/>
  <c r="AP952" i="1" s="1"/>
  <c r="AU953" i="1"/>
  <c r="AP953" i="1" s="1"/>
  <c r="AU954" i="1"/>
  <c r="AP954" i="1" s="1"/>
  <c r="AU955" i="1"/>
  <c r="AP955" i="1" s="1"/>
  <c r="AU956" i="1"/>
  <c r="AP956" i="1" s="1"/>
  <c r="AU957" i="1"/>
  <c r="AP957" i="1" s="1"/>
  <c r="AU958" i="1"/>
  <c r="AP958" i="1" s="1"/>
  <c r="AU959" i="1"/>
  <c r="AP959" i="1" s="1"/>
  <c r="AU960" i="1"/>
  <c r="AP960" i="1" s="1"/>
  <c r="AU961" i="1"/>
  <c r="AP961" i="1" s="1"/>
  <c r="AU962" i="1"/>
  <c r="AP962" i="1" s="1"/>
  <c r="AU963" i="1"/>
  <c r="AP963" i="1" s="1"/>
  <c r="AU964" i="1"/>
  <c r="AP964" i="1" s="1"/>
  <c r="AU965" i="1"/>
  <c r="AP965" i="1" s="1"/>
  <c r="AU966" i="1"/>
  <c r="AP966" i="1" s="1"/>
  <c r="AU967" i="1"/>
  <c r="AP967" i="1" s="1"/>
  <c r="AU968" i="1"/>
  <c r="AP968" i="1" s="1"/>
  <c r="AU969" i="1"/>
  <c r="AP969" i="1" s="1"/>
  <c r="AU970" i="1"/>
  <c r="AP970" i="1" s="1"/>
  <c r="AU971" i="1"/>
  <c r="AP971" i="1" s="1"/>
  <c r="AU972" i="1"/>
  <c r="AP972" i="1" s="1"/>
  <c r="AU973" i="1"/>
  <c r="AP973" i="1" s="1"/>
  <c r="AU974" i="1"/>
  <c r="AP974" i="1" s="1"/>
  <c r="AU975" i="1"/>
  <c r="AP975" i="1" s="1"/>
  <c r="AU976" i="1"/>
  <c r="AP976" i="1" s="1"/>
  <c r="AU977" i="1"/>
  <c r="AP977" i="1" s="1"/>
  <c r="AU978" i="1"/>
  <c r="AP978" i="1" s="1"/>
  <c r="AU979" i="1"/>
  <c r="AP979" i="1" s="1"/>
  <c r="AU980" i="1"/>
  <c r="AP980" i="1" s="1"/>
  <c r="AU981" i="1"/>
  <c r="AP981" i="1" s="1"/>
  <c r="AU982" i="1"/>
  <c r="AP982" i="1" s="1"/>
  <c r="AU983" i="1"/>
  <c r="AP983" i="1" s="1"/>
  <c r="AU984" i="1"/>
  <c r="AP984" i="1" s="1"/>
  <c r="AU985" i="1"/>
  <c r="AP985" i="1" s="1"/>
  <c r="AU986" i="1"/>
  <c r="AP986" i="1" s="1"/>
  <c r="AU987" i="1"/>
  <c r="AP987" i="1" s="1"/>
  <c r="AU988" i="1"/>
  <c r="AP988" i="1" s="1"/>
  <c r="AU989" i="1"/>
  <c r="AP989" i="1" s="1"/>
  <c r="AU990" i="1"/>
  <c r="AP990" i="1" s="1"/>
  <c r="AU991" i="1"/>
  <c r="AP991" i="1" s="1"/>
  <c r="AU992" i="1"/>
  <c r="AP992" i="1" s="1"/>
  <c r="AU993" i="1"/>
  <c r="AP993" i="1" s="1"/>
  <c r="AU994" i="1"/>
  <c r="AP994" i="1" s="1"/>
  <c r="AU995" i="1"/>
  <c r="AP995" i="1" s="1"/>
  <c r="AU996" i="1"/>
  <c r="AP996" i="1" s="1"/>
  <c r="AU997" i="1"/>
  <c r="AP997" i="1" s="1"/>
  <c r="AU998" i="1"/>
  <c r="AP998" i="1" s="1"/>
  <c r="AU999" i="1"/>
  <c r="AP999" i="1" s="1"/>
  <c r="AU1000" i="1"/>
  <c r="AP1000" i="1" s="1"/>
  <c r="AU1001" i="1"/>
  <c r="AP1001" i="1" s="1"/>
  <c r="AU1002" i="1"/>
  <c r="AP1002" i="1" s="1"/>
  <c r="AU1003" i="1"/>
  <c r="AP1003" i="1" s="1"/>
  <c r="AU1004" i="1"/>
  <c r="AP1004" i="1" s="1"/>
  <c r="AU1005" i="1"/>
  <c r="AP1005" i="1" s="1"/>
  <c r="AU1006" i="1"/>
  <c r="AP1006" i="1" s="1"/>
  <c r="AU1007" i="1"/>
  <c r="AP1007" i="1" s="1"/>
  <c r="AU1008" i="1"/>
  <c r="AP1008" i="1" s="1"/>
  <c r="AU1009" i="1"/>
  <c r="AP1009" i="1" s="1"/>
  <c r="AU1010" i="1"/>
  <c r="AP1010" i="1" s="1"/>
  <c r="AU1011" i="1"/>
  <c r="AP1011" i="1" s="1"/>
  <c r="AU1012" i="1"/>
  <c r="AP1012" i="1" s="1"/>
  <c r="AU1013" i="1"/>
  <c r="AP1013" i="1" s="1"/>
  <c r="AU1014" i="1"/>
  <c r="AP1014" i="1" s="1"/>
  <c r="AU1015" i="1"/>
  <c r="AP1015" i="1" s="1"/>
  <c r="AU1016" i="1"/>
  <c r="AP1016" i="1" s="1"/>
  <c r="AU1017" i="1"/>
  <c r="AP1017" i="1" s="1"/>
  <c r="AU1018" i="1"/>
  <c r="AP1018" i="1" s="1"/>
  <c r="AU1019" i="1"/>
  <c r="AP1019" i="1" s="1"/>
  <c r="AU1020" i="1"/>
  <c r="AP1020" i="1" s="1"/>
  <c r="AU1021" i="1"/>
  <c r="AP1021" i="1" s="1"/>
  <c r="AU1022" i="1"/>
  <c r="AP1022" i="1" s="1"/>
  <c r="AU1023" i="1"/>
  <c r="AP1023" i="1" s="1"/>
  <c r="AU1024" i="1"/>
  <c r="AP1024" i="1" s="1"/>
  <c r="AU1025" i="1"/>
  <c r="AP1025" i="1" s="1"/>
  <c r="AU1026" i="1"/>
  <c r="AP1026" i="1" s="1"/>
  <c r="AU1027" i="1"/>
  <c r="AP1027" i="1" s="1"/>
  <c r="AU1028" i="1"/>
  <c r="AP1028" i="1" s="1"/>
  <c r="AU1029" i="1"/>
  <c r="AP1029" i="1" s="1"/>
  <c r="AU1030" i="1"/>
  <c r="AP1030" i="1" s="1"/>
  <c r="AU1031" i="1"/>
  <c r="AP1031" i="1" s="1"/>
  <c r="AU1032" i="1"/>
  <c r="AP1032" i="1" s="1"/>
  <c r="AU1033" i="1"/>
  <c r="AP1033" i="1" s="1"/>
  <c r="AU1034" i="1"/>
  <c r="AP1034" i="1" s="1"/>
  <c r="AU1035" i="1"/>
  <c r="AP1035" i="1" s="1"/>
  <c r="AU1036" i="1"/>
  <c r="AP1036" i="1" s="1"/>
  <c r="AU1037" i="1"/>
  <c r="AP1037" i="1" s="1"/>
  <c r="AU1038" i="1"/>
  <c r="AP1038" i="1" s="1"/>
  <c r="AU1039" i="1"/>
  <c r="AP1039" i="1" s="1"/>
  <c r="AU1040" i="1"/>
  <c r="AP1040" i="1" s="1"/>
  <c r="AU1041" i="1"/>
  <c r="AP1041" i="1" s="1"/>
  <c r="AU1042" i="1"/>
  <c r="AP1042" i="1" s="1"/>
  <c r="AU1043" i="1"/>
  <c r="AP1043" i="1" s="1"/>
  <c r="AU1044" i="1"/>
  <c r="AP1044" i="1" s="1"/>
  <c r="AU1045" i="1"/>
  <c r="AP1045" i="1" s="1"/>
  <c r="AU1046" i="1"/>
  <c r="AP1046" i="1" s="1"/>
  <c r="AU1047" i="1"/>
  <c r="AP1047" i="1" s="1"/>
  <c r="AU1048" i="1"/>
  <c r="AP1048" i="1" s="1"/>
  <c r="AU1049" i="1"/>
  <c r="AP1049" i="1" s="1"/>
  <c r="AU1050" i="1"/>
  <c r="AP1050" i="1" s="1"/>
  <c r="AU1051" i="1"/>
  <c r="AP1051" i="1" s="1"/>
  <c r="AU1052" i="1"/>
  <c r="AP1052" i="1" s="1"/>
  <c r="AU1053" i="1"/>
  <c r="AP1053" i="1" s="1"/>
  <c r="AU1054" i="1"/>
  <c r="AP1054" i="1" s="1"/>
  <c r="AU1055" i="1"/>
  <c r="AP1055" i="1" s="1"/>
  <c r="AU1056" i="1"/>
  <c r="AP1056" i="1" s="1"/>
  <c r="AU1057" i="1"/>
  <c r="AP1057" i="1" s="1"/>
  <c r="AU1058" i="1"/>
  <c r="AP1058" i="1" s="1"/>
  <c r="AU1059" i="1"/>
  <c r="AP1059" i="1" s="1"/>
  <c r="AU1060" i="1"/>
  <c r="AP1060" i="1" s="1"/>
  <c r="AU1061" i="1"/>
  <c r="AP1061" i="1" s="1"/>
  <c r="AU1062" i="1"/>
  <c r="AP1062" i="1" s="1"/>
  <c r="AU1063" i="1"/>
  <c r="AP1063" i="1" s="1"/>
  <c r="AU1064" i="1"/>
  <c r="AP1064" i="1" s="1"/>
  <c r="AU1065" i="1"/>
  <c r="AP1065" i="1" s="1"/>
  <c r="AU1066" i="1"/>
  <c r="AP1066" i="1" s="1"/>
  <c r="AU1067" i="1"/>
  <c r="AP1067" i="1" s="1"/>
  <c r="AU1068" i="1"/>
  <c r="AP1068" i="1" s="1"/>
  <c r="AU1069" i="1"/>
  <c r="AP1069" i="1" s="1"/>
  <c r="AU1070" i="1"/>
  <c r="AP1070" i="1" s="1"/>
  <c r="AU1071" i="1"/>
  <c r="AP1071" i="1" s="1"/>
  <c r="AU1072" i="1"/>
  <c r="AP1072" i="1" s="1"/>
  <c r="AU1073" i="1"/>
  <c r="AP1073" i="1" s="1"/>
  <c r="AU1074" i="1"/>
  <c r="AP1074" i="1" s="1"/>
  <c r="AU1075" i="1"/>
  <c r="AP1075" i="1" s="1"/>
  <c r="AU1076" i="1"/>
  <c r="AP1076" i="1" s="1"/>
  <c r="AU1077" i="1"/>
  <c r="AP1077" i="1" s="1"/>
  <c r="AU1078" i="1"/>
  <c r="AP1078" i="1" s="1"/>
  <c r="AU1079" i="1"/>
  <c r="AP1079" i="1" s="1"/>
  <c r="AU1080" i="1"/>
  <c r="AP1080" i="1" s="1"/>
  <c r="AU1081" i="1"/>
  <c r="AP1081" i="1" s="1"/>
  <c r="AU1082" i="1"/>
  <c r="AP1082" i="1" s="1"/>
  <c r="AU1083" i="1"/>
  <c r="AP1083" i="1" s="1"/>
  <c r="AU1084" i="1"/>
  <c r="AP1084" i="1" s="1"/>
  <c r="AU1085" i="1"/>
  <c r="AP1085" i="1" s="1"/>
  <c r="AU1086" i="1"/>
  <c r="AP1086" i="1" s="1"/>
  <c r="AU1087" i="1"/>
  <c r="AP1087" i="1" s="1"/>
  <c r="AU1088" i="1"/>
  <c r="AP1088" i="1" s="1"/>
  <c r="AU1089" i="1"/>
  <c r="AP1089" i="1" s="1"/>
  <c r="AU1090" i="1"/>
  <c r="AP1090" i="1" s="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U823" i="1"/>
  <c r="W823" i="1" s="1"/>
  <c r="U824" i="1"/>
  <c r="W824" i="1" s="1"/>
  <c r="U825" i="1"/>
  <c r="W825" i="1" s="1"/>
  <c r="U826" i="1"/>
  <c r="W826" i="1" s="1"/>
  <c r="U827" i="1"/>
  <c r="W827" i="1" s="1"/>
  <c r="U828" i="1"/>
  <c r="W828" i="1" s="1"/>
  <c r="U829" i="1"/>
  <c r="W829" i="1" s="1"/>
  <c r="U830" i="1"/>
  <c r="W830" i="1" s="1"/>
  <c r="U838" i="1"/>
  <c r="W838" i="1" s="1"/>
  <c r="U839" i="1"/>
  <c r="W839" i="1" s="1"/>
  <c r="U840" i="1"/>
  <c r="W840" i="1" s="1"/>
  <c r="U841" i="1"/>
  <c r="W841" i="1" s="1"/>
  <c r="U842" i="1"/>
  <c r="W842" i="1" s="1"/>
  <c r="U843" i="1"/>
  <c r="W843" i="1" s="1"/>
  <c r="U844" i="1"/>
  <c r="W844" i="1" s="1"/>
  <c r="U845" i="1"/>
  <c r="W845" i="1" s="1"/>
  <c r="U846" i="1"/>
  <c r="W846" i="1" s="1"/>
  <c r="U847" i="1"/>
  <c r="W847" i="1" s="1"/>
  <c r="U851" i="1"/>
  <c r="W851" i="1" s="1"/>
  <c r="U852" i="1"/>
  <c r="W852" i="1" s="1"/>
  <c r="U853" i="1"/>
  <c r="W853" i="1" s="1"/>
  <c r="U854" i="1"/>
  <c r="W854" i="1" s="1"/>
  <c r="U855" i="1"/>
  <c r="W855" i="1" s="1"/>
  <c r="U856" i="1"/>
  <c r="W856" i="1" s="1"/>
  <c r="U857" i="1"/>
  <c r="W857" i="1" s="1"/>
  <c r="U858" i="1"/>
  <c r="W858" i="1" s="1"/>
  <c r="U859" i="1"/>
  <c r="W859" i="1" s="1"/>
  <c r="U860" i="1"/>
  <c r="W860" i="1" s="1"/>
  <c r="U861" i="1"/>
  <c r="W861" i="1" s="1"/>
  <c r="U862" i="1"/>
  <c r="W862" i="1" s="1"/>
  <c r="U863" i="1"/>
  <c r="W863" i="1" s="1"/>
  <c r="U864" i="1"/>
  <c r="W864" i="1" s="1"/>
  <c r="U868" i="1"/>
  <c r="W868" i="1" s="1"/>
  <c r="U869" i="1"/>
  <c r="W869" i="1" s="1"/>
  <c r="U870" i="1"/>
  <c r="W870" i="1" s="1"/>
  <c r="U871" i="1"/>
  <c r="W871" i="1" s="1"/>
  <c r="U875" i="1"/>
  <c r="W875" i="1" s="1"/>
  <c r="U876" i="1"/>
  <c r="W876" i="1" s="1"/>
  <c r="U877" i="1"/>
  <c r="W877" i="1" s="1"/>
  <c r="U878" i="1"/>
  <c r="W878" i="1" s="1"/>
  <c r="U879" i="1"/>
  <c r="W879" i="1" s="1"/>
  <c r="U880" i="1"/>
  <c r="W880" i="1" s="1"/>
  <c r="U881" i="1"/>
  <c r="W881" i="1" s="1"/>
  <c r="U882" i="1"/>
  <c r="W882" i="1" s="1"/>
  <c r="U883" i="1"/>
  <c r="W883" i="1" s="1"/>
  <c r="U884" i="1"/>
  <c r="W884" i="1" s="1"/>
  <c r="U888" i="1"/>
  <c r="W888" i="1" s="1"/>
  <c r="U889" i="1"/>
  <c r="W889" i="1" s="1"/>
  <c r="U890" i="1"/>
  <c r="W890" i="1" s="1"/>
  <c r="U891" i="1"/>
  <c r="W891" i="1" s="1"/>
  <c r="U892" i="1"/>
  <c r="W892" i="1" s="1"/>
  <c r="U893" i="1"/>
  <c r="W893" i="1" s="1"/>
  <c r="U894" i="1"/>
  <c r="W894" i="1" s="1"/>
  <c r="U895" i="1"/>
  <c r="W895" i="1" s="1"/>
  <c r="U896" i="1"/>
  <c r="W896" i="1" s="1"/>
  <c r="U897" i="1"/>
  <c r="W897" i="1" s="1"/>
  <c r="U898" i="1"/>
  <c r="W898" i="1" s="1"/>
  <c r="U899" i="1"/>
  <c r="W899" i="1" s="1"/>
  <c r="U900" i="1"/>
  <c r="W900" i="1" s="1"/>
  <c r="U901" i="1"/>
  <c r="W901" i="1" s="1"/>
  <c r="U905" i="1"/>
  <c r="W905" i="1" s="1"/>
  <c r="U906" i="1"/>
  <c r="W906" i="1" s="1"/>
  <c r="U907" i="1"/>
  <c r="W907" i="1" s="1"/>
  <c r="U908" i="1"/>
  <c r="W908" i="1" s="1"/>
  <c r="U912" i="1"/>
  <c r="W912" i="1" s="1"/>
  <c r="U913" i="1"/>
  <c r="W913" i="1" s="1"/>
  <c r="U914" i="1"/>
  <c r="W914" i="1" s="1"/>
  <c r="U915" i="1"/>
  <c r="W915" i="1" s="1"/>
  <c r="U916" i="1"/>
  <c r="W916" i="1" s="1"/>
  <c r="U917" i="1"/>
  <c r="W917" i="1" s="1"/>
  <c r="U918" i="1"/>
  <c r="W918" i="1" s="1"/>
  <c r="U919" i="1"/>
  <c r="W919" i="1" s="1"/>
  <c r="U928" i="1"/>
  <c r="W928" i="1" s="1"/>
  <c r="U929" i="1"/>
  <c r="W929" i="1" s="1"/>
  <c r="U930" i="1"/>
  <c r="W930" i="1" s="1"/>
  <c r="U931" i="1"/>
  <c r="W931" i="1" s="1"/>
  <c r="U932" i="1"/>
  <c r="W932" i="1" s="1"/>
  <c r="U933" i="1"/>
  <c r="W933" i="1" s="1"/>
  <c r="U934" i="1"/>
  <c r="W934" i="1" s="1"/>
  <c r="U935" i="1"/>
  <c r="W935" i="1" s="1"/>
  <c r="U936" i="1"/>
  <c r="W936" i="1" s="1"/>
  <c r="U937" i="1"/>
  <c r="W937" i="1" s="1"/>
  <c r="U941" i="1"/>
  <c r="W941" i="1" s="1"/>
  <c r="U942" i="1"/>
  <c r="W942" i="1" s="1"/>
  <c r="U943" i="1"/>
  <c r="W943" i="1" s="1"/>
  <c r="U944" i="1"/>
  <c r="W944" i="1" s="1"/>
  <c r="U945" i="1"/>
  <c r="W945" i="1" s="1"/>
  <c r="U946" i="1"/>
  <c r="W946" i="1" s="1"/>
  <c r="U947" i="1"/>
  <c r="W947" i="1" s="1"/>
  <c r="U948" i="1"/>
  <c r="W948" i="1" s="1"/>
  <c r="U949" i="1"/>
  <c r="W949" i="1" s="1"/>
  <c r="U950" i="1"/>
  <c r="W950" i="1" s="1"/>
  <c r="U951" i="1"/>
  <c r="W951" i="1" s="1"/>
  <c r="U952" i="1"/>
  <c r="W952" i="1" s="1"/>
  <c r="U953" i="1"/>
  <c r="W953" i="1" s="1"/>
  <c r="U954" i="1"/>
  <c r="W954" i="1" s="1"/>
  <c r="U958" i="1"/>
  <c r="W958" i="1" s="1"/>
  <c r="U959" i="1"/>
  <c r="W959" i="1" s="1"/>
  <c r="U960" i="1"/>
  <c r="W960" i="1" s="1"/>
  <c r="U961" i="1"/>
  <c r="W961" i="1" s="1"/>
  <c r="U965" i="1"/>
  <c r="W965" i="1" s="1"/>
  <c r="U966" i="1"/>
  <c r="W966" i="1" s="1"/>
  <c r="U967" i="1"/>
  <c r="W967" i="1" s="1"/>
  <c r="U968" i="1"/>
  <c r="W968" i="1" s="1"/>
  <c r="U969" i="1"/>
  <c r="W969" i="1" s="1"/>
  <c r="U970" i="1"/>
  <c r="W970" i="1" s="1"/>
  <c r="U971" i="1"/>
  <c r="W971" i="1" s="1"/>
  <c r="U972" i="1"/>
  <c r="W972" i="1" s="1"/>
  <c r="U973" i="1"/>
  <c r="W973" i="1" s="1"/>
  <c r="U974" i="1"/>
  <c r="W974" i="1" s="1"/>
  <c r="U978" i="1"/>
  <c r="W978" i="1" s="1"/>
  <c r="U979" i="1"/>
  <c r="W979" i="1" s="1"/>
  <c r="U980" i="1"/>
  <c r="W980" i="1" s="1"/>
  <c r="U981" i="1"/>
  <c r="W981" i="1" s="1"/>
  <c r="U982" i="1"/>
  <c r="W982" i="1" s="1"/>
  <c r="U983" i="1"/>
  <c r="W983" i="1" s="1"/>
  <c r="U984" i="1"/>
  <c r="W984" i="1" s="1"/>
  <c r="U985" i="1"/>
  <c r="W985" i="1" s="1"/>
  <c r="U986" i="1"/>
  <c r="W986" i="1" s="1"/>
  <c r="U987" i="1"/>
  <c r="W987" i="1" s="1"/>
  <c r="U988" i="1"/>
  <c r="W988" i="1" s="1"/>
  <c r="U989" i="1"/>
  <c r="W989" i="1" s="1"/>
  <c r="U990" i="1"/>
  <c r="W990" i="1" s="1"/>
  <c r="U991" i="1"/>
  <c r="W991" i="1" s="1"/>
  <c r="U995" i="1"/>
  <c r="W995" i="1" s="1"/>
  <c r="U996" i="1"/>
  <c r="W996" i="1" s="1"/>
  <c r="U997" i="1"/>
  <c r="W997" i="1" s="1"/>
  <c r="U998" i="1"/>
  <c r="W998" i="1" s="1"/>
  <c r="U1002" i="1"/>
  <c r="W1002" i="1" s="1"/>
  <c r="U1003" i="1"/>
  <c r="W1003" i="1" s="1"/>
  <c r="U1004" i="1"/>
  <c r="W1004" i="1" s="1"/>
  <c r="U1005" i="1"/>
  <c r="W1005" i="1" s="1"/>
  <c r="U1006" i="1"/>
  <c r="W1006" i="1" s="1"/>
  <c r="U1007" i="1"/>
  <c r="W1007" i="1" s="1"/>
  <c r="U1008" i="1"/>
  <c r="W1008" i="1" s="1"/>
  <c r="U1009" i="1"/>
  <c r="W1009" i="1" s="1"/>
  <c r="U1012" i="1"/>
  <c r="W1012" i="1" s="1"/>
  <c r="U1017" i="1"/>
  <c r="W1017" i="1" s="1"/>
  <c r="U1018" i="1"/>
  <c r="W1018" i="1" s="1"/>
  <c r="U1019" i="1"/>
  <c r="W1019" i="1" s="1"/>
  <c r="U1020" i="1"/>
  <c r="W1020" i="1" s="1"/>
  <c r="U1021" i="1"/>
  <c r="W1021" i="1" s="1"/>
  <c r="U1022" i="1"/>
  <c r="W1022" i="1" s="1"/>
  <c r="U1023" i="1"/>
  <c r="W1023" i="1" s="1"/>
  <c r="U1024" i="1"/>
  <c r="W1024" i="1" s="1"/>
  <c r="U1025" i="1"/>
  <c r="W1025" i="1" s="1"/>
  <c r="U1026" i="1"/>
  <c r="W1026" i="1" s="1"/>
  <c r="U1030" i="1"/>
  <c r="W1030" i="1" s="1"/>
  <c r="U1031" i="1"/>
  <c r="W1031" i="1" s="1"/>
  <c r="U1032" i="1"/>
  <c r="W1032" i="1" s="1"/>
  <c r="U1033" i="1"/>
  <c r="W1033" i="1" s="1"/>
  <c r="U1034" i="1"/>
  <c r="W1034" i="1" s="1"/>
  <c r="U1035" i="1"/>
  <c r="W1035" i="1" s="1"/>
  <c r="U1036" i="1"/>
  <c r="W1036" i="1" s="1"/>
  <c r="U1037" i="1"/>
  <c r="W1037" i="1" s="1"/>
  <c r="U1038" i="1"/>
  <c r="W1038" i="1" s="1"/>
  <c r="U1039" i="1"/>
  <c r="W1039" i="1" s="1"/>
  <c r="U1040" i="1"/>
  <c r="W1040" i="1" s="1"/>
  <c r="U1041" i="1"/>
  <c r="W1041" i="1" s="1"/>
  <c r="U1042" i="1"/>
  <c r="W1042" i="1" s="1"/>
  <c r="U1043" i="1"/>
  <c r="W1043" i="1" s="1"/>
  <c r="U1047" i="1"/>
  <c r="W1047" i="1" s="1"/>
  <c r="U1048" i="1"/>
  <c r="W1048" i="1" s="1"/>
  <c r="U1049" i="1"/>
  <c r="W1049" i="1" s="1"/>
  <c r="U1050" i="1"/>
  <c r="W1050" i="1" s="1"/>
  <c r="U1054" i="1"/>
  <c r="W1054" i="1" s="1"/>
  <c r="U1055" i="1"/>
  <c r="W1055" i="1" s="1"/>
  <c r="U1056" i="1"/>
  <c r="W1056" i="1" s="1"/>
  <c r="U1057" i="1"/>
  <c r="W1057" i="1" s="1"/>
  <c r="U1058" i="1"/>
  <c r="W1058" i="1" s="1"/>
  <c r="U1059" i="1"/>
  <c r="W1059" i="1" s="1"/>
  <c r="U1060" i="1"/>
  <c r="W1060" i="1" s="1"/>
  <c r="U1061" i="1"/>
  <c r="W1061" i="1" s="1"/>
  <c r="U1062" i="1"/>
  <c r="W1062" i="1" s="1"/>
  <c r="U1063" i="1"/>
  <c r="W1063" i="1" s="1"/>
  <c r="U1067" i="1"/>
  <c r="W1067" i="1" s="1"/>
  <c r="U1068" i="1"/>
  <c r="W1068" i="1" s="1"/>
  <c r="U1069" i="1"/>
  <c r="W1069" i="1" s="1"/>
  <c r="U1070" i="1"/>
  <c r="W1070" i="1" s="1"/>
  <c r="U1071" i="1"/>
  <c r="W1071" i="1" s="1"/>
  <c r="U1072" i="1"/>
  <c r="W1072" i="1" s="1"/>
  <c r="U1073" i="1"/>
  <c r="W1073" i="1" s="1"/>
  <c r="U1074" i="1"/>
  <c r="W1074" i="1" s="1"/>
  <c r="U1075" i="1"/>
  <c r="W1075" i="1" s="1"/>
  <c r="U1076" i="1"/>
  <c r="W1076" i="1" s="1"/>
  <c r="U1077" i="1"/>
  <c r="W1077" i="1" s="1"/>
  <c r="U1078" i="1"/>
  <c r="W1078" i="1" s="1"/>
  <c r="U1079" i="1"/>
  <c r="W1079" i="1" s="1"/>
  <c r="U1080" i="1"/>
  <c r="W1080" i="1" s="1"/>
  <c r="U1084" i="1"/>
  <c r="W1084" i="1" s="1"/>
  <c r="U1085" i="1"/>
  <c r="W1085" i="1" s="1"/>
  <c r="U1086" i="1"/>
  <c r="W1086" i="1" s="1"/>
  <c r="U1087" i="1"/>
  <c r="W1087" i="1" s="1"/>
  <c r="S823" i="1"/>
  <c r="S824" i="1"/>
  <c r="S825" i="1"/>
  <c r="S826" i="1"/>
  <c r="S827" i="1"/>
  <c r="S828" i="1"/>
  <c r="AR828" i="1" s="1"/>
  <c r="AM828" i="1" s="1"/>
  <c r="S829" i="1"/>
  <c r="AR829" i="1" s="1"/>
  <c r="AM829" i="1" s="1"/>
  <c r="S830" i="1"/>
  <c r="S831" i="1"/>
  <c r="S832" i="1"/>
  <c r="S833" i="1"/>
  <c r="S834" i="1"/>
  <c r="S835" i="1"/>
  <c r="S836" i="1"/>
  <c r="U836" i="1" s="1"/>
  <c r="W836" i="1" s="1"/>
  <c r="S837" i="1"/>
  <c r="U837" i="1" s="1"/>
  <c r="W837" i="1" s="1"/>
  <c r="S838" i="1"/>
  <c r="S839" i="1"/>
  <c r="S840" i="1"/>
  <c r="S841" i="1"/>
  <c r="S842" i="1"/>
  <c r="AQ842" i="1" s="1"/>
  <c r="AL842" i="1" s="1"/>
  <c r="S843" i="1"/>
  <c r="S844" i="1"/>
  <c r="AS844" i="1" s="1"/>
  <c r="AN844" i="1" s="1"/>
  <c r="S845" i="1"/>
  <c r="AS845" i="1" s="1"/>
  <c r="AN845" i="1" s="1"/>
  <c r="S846" i="1"/>
  <c r="S847" i="1"/>
  <c r="S848" i="1"/>
  <c r="S849" i="1"/>
  <c r="S850" i="1"/>
  <c r="AR850" i="1" s="1"/>
  <c r="AM850" i="1" s="1"/>
  <c r="S851" i="1"/>
  <c r="S852" i="1"/>
  <c r="AS852" i="1" s="1"/>
  <c r="AN852" i="1" s="1"/>
  <c r="S853" i="1"/>
  <c r="S854" i="1"/>
  <c r="AR854" i="1" s="1"/>
  <c r="AM854" i="1" s="1"/>
  <c r="S855" i="1"/>
  <c r="S856" i="1"/>
  <c r="S857" i="1"/>
  <c r="S858" i="1"/>
  <c r="AS858" i="1" s="1"/>
  <c r="AN858" i="1" s="1"/>
  <c r="S859" i="1"/>
  <c r="S860" i="1"/>
  <c r="AQ860" i="1" s="1"/>
  <c r="AL860" i="1" s="1"/>
  <c r="S861" i="1"/>
  <c r="AQ861" i="1" s="1"/>
  <c r="AL861" i="1" s="1"/>
  <c r="S862" i="1"/>
  <c r="S863" i="1"/>
  <c r="S864" i="1"/>
  <c r="S865" i="1"/>
  <c r="S866" i="1"/>
  <c r="AQ866" i="1" s="1"/>
  <c r="AL866" i="1" s="1"/>
  <c r="S867" i="1"/>
  <c r="S868" i="1"/>
  <c r="S869" i="1"/>
  <c r="AQ869" i="1" s="1"/>
  <c r="AL869" i="1" s="1"/>
  <c r="S870" i="1"/>
  <c r="S871" i="1"/>
  <c r="S872" i="1"/>
  <c r="S873" i="1"/>
  <c r="S874" i="1"/>
  <c r="U874" i="1" s="1"/>
  <c r="W874" i="1" s="1"/>
  <c r="S875" i="1"/>
  <c r="AS875" i="1" s="1"/>
  <c r="AN875" i="1" s="1"/>
  <c r="S876" i="1"/>
  <c r="AR876" i="1" s="1"/>
  <c r="AM876" i="1" s="1"/>
  <c r="S877" i="1"/>
  <c r="S878" i="1"/>
  <c r="S879" i="1"/>
  <c r="S880" i="1"/>
  <c r="AT880" i="1" s="1"/>
  <c r="AO880" i="1" s="1"/>
  <c r="S881" i="1"/>
  <c r="AS881" i="1" s="1"/>
  <c r="AN881" i="1" s="1"/>
  <c r="S882" i="1"/>
  <c r="S883" i="1"/>
  <c r="S884" i="1"/>
  <c r="S885" i="1"/>
  <c r="S886" i="1"/>
  <c r="S887" i="1"/>
  <c r="S888" i="1"/>
  <c r="S889" i="1"/>
  <c r="S890" i="1"/>
  <c r="AQ890" i="1" s="1"/>
  <c r="AL890" i="1" s="1"/>
  <c r="S891" i="1"/>
  <c r="AQ891" i="1" s="1"/>
  <c r="AL891" i="1" s="1"/>
  <c r="S892" i="1"/>
  <c r="AS892" i="1" s="1"/>
  <c r="AN892" i="1" s="1"/>
  <c r="S893" i="1"/>
  <c r="AQ893" i="1" s="1"/>
  <c r="AL893" i="1" s="1"/>
  <c r="S894" i="1"/>
  <c r="S895" i="1"/>
  <c r="S896" i="1"/>
  <c r="AR896" i="1" s="1"/>
  <c r="AM896" i="1" s="1"/>
  <c r="S897" i="1"/>
  <c r="AR897" i="1" s="1"/>
  <c r="AM897" i="1" s="1"/>
  <c r="S898" i="1"/>
  <c r="AT898" i="1" s="1"/>
  <c r="AO898" i="1" s="1"/>
  <c r="S899" i="1"/>
  <c r="S900" i="1"/>
  <c r="S901" i="1"/>
  <c r="S902" i="1"/>
  <c r="S903" i="1"/>
  <c r="S904" i="1"/>
  <c r="S905" i="1"/>
  <c r="S906" i="1"/>
  <c r="AR906" i="1" s="1"/>
  <c r="AM906" i="1" s="1"/>
  <c r="S907" i="1"/>
  <c r="S908" i="1"/>
  <c r="AQ908" i="1" s="1"/>
  <c r="AL908" i="1" s="1"/>
  <c r="S909" i="1"/>
  <c r="AT909" i="1" s="1"/>
  <c r="AO909" i="1" s="1"/>
  <c r="S910" i="1"/>
  <c r="AQ910" i="1" s="1"/>
  <c r="AL910" i="1" s="1"/>
  <c r="S911" i="1"/>
  <c r="S912" i="1"/>
  <c r="S913" i="1"/>
  <c r="AT913" i="1" s="1"/>
  <c r="AO913" i="1" s="1"/>
  <c r="S914" i="1"/>
  <c r="AR914" i="1" s="1"/>
  <c r="AM914" i="1" s="1"/>
  <c r="S915" i="1"/>
  <c r="S916" i="1"/>
  <c r="S917" i="1"/>
  <c r="S918" i="1"/>
  <c r="S919" i="1"/>
  <c r="S920" i="1"/>
  <c r="S921" i="1"/>
  <c r="S922" i="1"/>
  <c r="AS922" i="1" s="1"/>
  <c r="AN922" i="1" s="1"/>
  <c r="S923" i="1"/>
  <c r="AQ923" i="1" s="1"/>
  <c r="AL923" i="1" s="1"/>
  <c r="S924" i="1"/>
  <c r="AS924" i="1" s="1"/>
  <c r="AN924" i="1" s="1"/>
  <c r="S925" i="1"/>
  <c r="AT925" i="1" s="1"/>
  <c r="AO925" i="1" s="1"/>
  <c r="S926" i="1"/>
  <c r="AT926" i="1" s="1"/>
  <c r="AO926" i="1" s="1"/>
  <c r="S927" i="1"/>
  <c r="AQ927" i="1" s="1"/>
  <c r="AL927" i="1" s="1"/>
  <c r="S928" i="1"/>
  <c r="AQ928" i="1" s="1"/>
  <c r="AL928" i="1" s="1"/>
  <c r="S929" i="1"/>
  <c r="S930" i="1"/>
  <c r="S931" i="1"/>
  <c r="S932" i="1"/>
  <c r="S933" i="1"/>
  <c r="S934" i="1"/>
  <c r="S935" i="1"/>
  <c r="S936" i="1"/>
  <c r="S937" i="1"/>
  <c r="S938" i="1"/>
  <c r="S939" i="1"/>
  <c r="S940" i="1"/>
  <c r="S941" i="1"/>
  <c r="S942" i="1"/>
  <c r="S943" i="1"/>
  <c r="S944" i="1"/>
  <c r="AS944" i="1" s="1"/>
  <c r="AN944" i="1" s="1"/>
  <c r="S945" i="1"/>
  <c r="AS945" i="1" s="1"/>
  <c r="AN945" i="1" s="1"/>
  <c r="S946" i="1"/>
  <c r="S947" i="1"/>
  <c r="S948" i="1"/>
  <c r="S949" i="1"/>
  <c r="AS949" i="1" s="1"/>
  <c r="AN949" i="1" s="1"/>
  <c r="S950" i="1"/>
  <c r="S951" i="1"/>
  <c r="S952" i="1"/>
  <c r="S953" i="1"/>
  <c r="S954" i="1"/>
  <c r="AT954" i="1" s="1"/>
  <c r="AO954" i="1" s="1"/>
  <c r="S955" i="1"/>
  <c r="AQ955" i="1" s="1"/>
  <c r="AL955" i="1" s="1"/>
  <c r="S956" i="1"/>
  <c r="AR956" i="1" s="1"/>
  <c r="AM956" i="1" s="1"/>
  <c r="S957" i="1"/>
  <c r="AQ957" i="1" s="1"/>
  <c r="AL957" i="1" s="1"/>
  <c r="S958" i="1"/>
  <c r="AS958" i="1" s="1"/>
  <c r="AN958" i="1" s="1"/>
  <c r="S959" i="1"/>
  <c r="AT959" i="1" s="1"/>
  <c r="AO959" i="1" s="1"/>
  <c r="S960" i="1"/>
  <c r="S961" i="1"/>
  <c r="S962" i="1"/>
  <c r="S963" i="1"/>
  <c r="S964" i="1"/>
  <c r="U964" i="1" s="1"/>
  <c r="W964" i="1" s="1"/>
  <c r="S965" i="1"/>
  <c r="AS965" i="1" s="1"/>
  <c r="AN965" i="1" s="1"/>
  <c r="S966" i="1"/>
  <c r="AS966" i="1" s="1"/>
  <c r="AN966" i="1" s="1"/>
  <c r="S967" i="1"/>
  <c r="S968" i="1"/>
  <c r="S969" i="1"/>
  <c r="S970" i="1"/>
  <c r="AR970" i="1" s="1"/>
  <c r="AM970" i="1" s="1"/>
  <c r="S971" i="1"/>
  <c r="S972" i="1"/>
  <c r="S973" i="1"/>
  <c r="AT973" i="1" s="1"/>
  <c r="AO973" i="1" s="1"/>
  <c r="S974" i="1"/>
  <c r="S975" i="1"/>
  <c r="AQ975" i="1" s="1"/>
  <c r="AL975" i="1" s="1"/>
  <c r="S976" i="1"/>
  <c r="AQ976" i="1" s="1"/>
  <c r="AL976" i="1" s="1"/>
  <c r="S977" i="1"/>
  <c r="S978" i="1"/>
  <c r="AR978" i="1" s="1"/>
  <c r="AM978" i="1" s="1"/>
  <c r="S979" i="1"/>
  <c r="S980" i="1"/>
  <c r="S981" i="1"/>
  <c r="S982" i="1"/>
  <c r="S983" i="1"/>
  <c r="S984" i="1"/>
  <c r="S985" i="1"/>
  <c r="S986" i="1"/>
  <c r="AT986" i="1" s="1"/>
  <c r="AO986" i="1" s="1"/>
  <c r="S987" i="1"/>
  <c r="AR987" i="1" s="1"/>
  <c r="AM987" i="1" s="1"/>
  <c r="S988" i="1"/>
  <c r="S989" i="1"/>
  <c r="S990" i="1"/>
  <c r="S991" i="1"/>
  <c r="S992" i="1"/>
  <c r="AT992" i="1" s="1"/>
  <c r="AO992" i="1" s="1"/>
  <c r="S993" i="1"/>
  <c r="AQ993" i="1" s="1"/>
  <c r="AL993" i="1" s="1"/>
  <c r="S994" i="1"/>
  <c r="S995" i="1"/>
  <c r="S996" i="1"/>
  <c r="AQ996" i="1" s="1"/>
  <c r="AL996" i="1" s="1"/>
  <c r="S997" i="1"/>
  <c r="S998" i="1"/>
  <c r="S999" i="1"/>
  <c r="AR999" i="1" s="1"/>
  <c r="AM999" i="1" s="1"/>
  <c r="S1000" i="1"/>
  <c r="AR1000" i="1" s="1"/>
  <c r="AM1000" i="1" s="1"/>
  <c r="S1001" i="1"/>
  <c r="S1002" i="1"/>
  <c r="S1003" i="1"/>
  <c r="S1004" i="1"/>
  <c r="AQ1004" i="1" s="1"/>
  <c r="AL1004" i="1" s="1"/>
  <c r="S1005" i="1"/>
  <c r="S1006" i="1"/>
  <c r="AT1006" i="1" s="1"/>
  <c r="AO1006" i="1" s="1"/>
  <c r="S1007" i="1"/>
  <c r="S1008" i="1"/>
  <c r="AT1008" i="1" s="1"/>
  <c r="AO1008" i="1" s="1"/>
  <c r="S1009" i="1"/>
  <c r="S1010" i="1"/>
  <c r="U1010" i="1" s="1"/>
  <c r="W1010" i="1" s="1"/>
  <c r="S1011" i="1"/>
  <c r="S1012" i="1"/>
  <c r="S1013" i="1"/>
  <c r="S1014" i="1"/>
  <c r="U1014" i="1" s="1"/>
  <c r="W1014" i="1" s="1"/>
  <c r="S1015" i="1"/>
  <c r="S1016" i="1"/>
  <c r="S1017" i="1"/>
  <c r="S1018" i="1"/>
  <c r="AT1018" i="1" s="1"/>
  <c r="AO1018" i="1" s="1"/>
  <c r="S1019" i="1"/>
  <c r="AS1019" i="1" s="1"/>
  <c r="AN1019" i="1" s="1"/>
  <c r="S1020" i="1"/>
  <c r="AR1020" i="1" s="1"/>
  <c r="AM1020" i="1" s="1"/>
  <c r="S1021" i="1"/>
  <c r="AS1021" i="1" s="1"/>
  <c r="AN1021" i="1" s="1"/>
  <c r="S1022" i="1"/>
  <c r="S1023" i="1"/>
  <c r="S1024" i="1"/>
  <c r="S1025" i="1"/>
  <c r="S1026" i="1"/>
  <c r="S1027" i="1"/>
  <c r="S1028" i="1"/>
  <c r="S1029" i="1"/>
  <c r="S1030" i="1"/>
  <c r="AT1030" i="1" s="1"/>
  <c r="AO1030" i="1" s="1"/>
  <c r="S1031" i="1"/>
  <c r="S1032" i="1"/>
  <c r="S1033" i="1"/>
  <c r="S1034" i="1"/>
  <c r="S1035" i="1"/>
  <c r="AQ1035" i="1" s="1"/>
  <c r="AL1035" i="1" s="1"/>
  <c r="S1036" i="1"/>
  <c r="S1037" i="1"/>
  <c r="AR1037" i="1" s="1"/>
  <c r="AM1037" i="1" s="1"/>
  <c r="S1038" i="1"/>
  <c r="AR1038" i="1" s="1"/>
  <c r="AM1038" i="1" s="1"/>
  <c r="S1039" i="1"/>
  <c r="S1040" i="1"/>
  <c r="AQ1040" i="1" s="1"/>
  <c r="AL1040" i="1" s="1"/>
  <c r="S1041" i="1"/>
  <c r="AR1041" i="1" s="1"/>
  <c r="AM1041" i="1" s="1"/>
  <c r="S1042" i="1"/>
  <c r="AQ1042" i="1" s="1"/>
  <c r="AL1042" i="1" s="1"/>
  <c r="S1043" i="1"/>
  <c r="S1044" i="1"/>
  <c r="AS1044" i="1" s="1"/>
  <c r="AN1044" i="1" s="1"/>
  <c r="S1045" i="1"/>
  <c r="AS1045" i="1" s="1"/>
  <c r="AN1045" i="1" s="1"/>
  <c r="S1046" i="1"/>
  <c r="S1047" i="1"/>
  <c r="S1048" i="1"/>
  <c r="S1049" i="1"/>
  <c r="S1050" i="1"/>
  <c r="AR1050" i="1" s="1"/>
  <c r="AM1050" i="1" s="1"/>
  <c r="S1051" i="1"/>
  <c r="S1052" i="1"/>
  <c r="AQ1052" i="1" s="1"/>
  <c r="AL1052" i="1" s="1"/>
  <c r="S1053" i="1"/>
  <c r="U1053" i="1" s="1"/>
  <c r="W1053" i="1" s="1"/>
  <c r="S1054" i="1"/>
  <c r="AR1054" i="1" s="1"/>
  <c r="AM1054" i="1" s="1"/>
  <c r="S1055" i="1"/>
  <c r="S1056" i="1"/>
  <c r="AT1056" i="1" s="1"/>
  <c r="AO1056" i="1" s="1"/>
  <c r="S1057" i="1"/>
  <c r="S1058" i="1"/>
  <c r="AT1058" i="1" s="1"/>
  <c r="AO1058" i="1" s="1"/>
  <c r="S1059" i="1"/>
  <c r="S1060" i="1"/>
  <c r="AR1060" i="1" s="1"/>
  <c r="AM1060" i="1" s="1"/>
  <c r="S1061" i="1"/>
  <c r="S1062" i="1"/>
  <c r="S1063" i="1"/>
  <c r="S1064" i="1"/>
  <c r="AQ1064" i="1" s="1"/>
  <c r="AL1064" i="1" s="1"/>
  <c r="S1065" i="1"/>
  <c r="S1066" i="1"/>
  <c r="AS1066" i="1" s="1"/>
  <c r="AN1066" i="1" s="1"/>
  <c r="S1067" i="1"/>
  <c r="S1068" i="1"/>
  <c r="S1069" i="1"/>
  <c r="AR1069" i="1" s="1"/>
  <c r="AM1069" i="1" s="1"/>
  <c r="S1070" i="1"/>
  <c r="S1071" i="1"/>
  <c r="AR1071" i="1" s="1"/>
  <c r="AM1071" i="1" s="1"/>
  <c r="S1072" i="1"/>
  <c r="S1073" i="1"/>
  <c r="S1074" i="1"/>
  <c r="S1075" i="1"/>
  <c r="S1076" i="1"/>
  <c r="AT1076" i="1" s="1"/>
  <c r="AO1076" i="1" s="1"/>
  <c r="S1077" i="1"/>
  <c r="S1078" i="1"/>
  <c r="AS1078" i="1" s="1"/>
  <c r="AN1078" i="1" s="1"/>
  <c r="S1079" i="1"/>
  <c r="S1080" i="1"/>
  <c r="S1081" i="1"/>
  <c r="S1082" i="1"/>
  <c r="S1083" i="1"/>
  <c r="S1084" i="1"/>
  <c r="S1085" i="1"/>
  <c r="AS1085" i="1" s="1"/>
  <c r="AN1085" i="1" s="1"/>
  <c r="S1086" i="1"/>
  <c r="S1087" i="1"/>
  <c r="S1088" i="1"/>
  <c r="S1089" i="1"/>
  <c r="AR1089" i="1" s="1"/>
  <c r="AM1089" i="1" s="1"/>
  <c r="S1090" i="1"/>
  <c r="AR1090" i="1" s="1"/>
  <c r="AM1090" i="1" s="1"/>
  <c r="AK822" i="1"/>
  <c r="AK821" i="1"/>
  <c r="AK820" i="1"/>
  <c r="AI820" i="1"/>
  <c r="AH820" i="1"/>
  <c r="AG820" i="1"/>
  <c r="AK819" i="1"/>
  <c r="AI819" i="1"/>
  <c r="AH819" i="1"/>
  <c r="AG819" i="1"/>
  <c r="S819" i="1" s="1"/>
  <c r="AS819" i="1" s="1"/>
  <c r="AN819" i="1" s="1"/>
  <c r="AK818" i="1"/>
  <c r="AI818" i="1"/>
  <c r="AH818" i="1"/>
  <c r="AG818" i="1"/>
  <c r="AK817" i="1"/>
  <c r="AI817" i="1"/>
  <c r="AH817" i="1"/>
  <c r="AG817" i="1"/>
  <c r="AK816" i="1"/>
  <c r="AI816" i="1"/>
  <c r="AH816" i="1"/>
  <c r="AG816" i="1"/>
  <c r="AK815" i="1"/>
  <c r="AK814" i="1"/>
  <c r="AK813" i="1"/>
  <c r="AI813" i="1"/>
  <c r="AH813" i="1"/>
  <c r="AG813" i="1"/>
  <c r="AK812" i="1"/>
  <c r="AI812" i="1"/>
  <c r="AH812" i="1"/>
  <c r="AG812" i="1"/>
  <c r="AK811" i="1"/>
  <c r="AI811" i="1"/>
  <c r="AH811" i="1"/>
  <c r="AG811" i="1"/>
  <c r="AK810" i="1"/>
  <c r="AI810" i="1"/>
  <c r="AH810" i="1"/>
  <c r="AK809" i="1"/>
  <c r="AI809" i="1"/>
  <c r="AH809" i="1"/>
  <c r="AG809" i="1"/>
  <c r="AK808" i="1"/>
  <c r="AK807" i="1"/>
  <c r="S807" i="1" s="1"/>
  <c r="AT807" i="1" s="1"/>
  <c r="AO807" i="1" s="1"/>
  <c r="AK806" i="1"/>
  <c r="AI806" i="1"/>
  <c r="AH806" i="1"/>
  <c r="AG806" i="1"/>
  <c r="AK805" i="1"/>
  <c r="AI805" i="1"/>
  <c r="AH805" i="1"/>
  <c r="AG805" i="1"/>
  <c r="AK804" i="1"/>
  <c r="AI804" i="1"/>
  <c r="AH804" i="1"/>
  <c r="AG804" i="1"/>
  <c r="AK803" i="1"/>
  <c r="AI803" i="1"/>
  <c r="AH803" i="1"/>
  <c r="AG803" i="1"/>
  <c r="AK802" i="1"/>
  <c r="AI802" i="1"/>
  <c r="AH802" i="1"/>
  <c r="AG802" i="1"/>
  <c r="AK801" i="1"/>
  <c r="AI801" i="1"/>
  <c r="AH801" i="1"/>
  <c r="AK800" i="1"/>
  <c r="AI800" i="1"/>
  <c r="AH800" i="1"/>
  <c r="AG800" i="1"/>
  <c r="AK799" i="1"/>
  <c r="AI799" i="1"/>
  <c r="AH799" i="1"/>
  <c r="AG799" i="1"/>
  <c r="AK798" i="1"/>
  <c r="AI798" i="1"/>
  <c r="AH798" i="1"/>
  <c r="AG798" i="1"/>
  <c r="AK797" i="1"/>
  <c r="AI797" i="1"/>
  <c r="AH797" i="1"/>
  <c r="AG797" i="1"/>
  <c r="AK796" i="1"/>
  <c r="AI796" i="1"/>
  <c r="AH796" i="1"/>
  <c r="AK795" i="1"/>
  <c r="AK794" i="1"/>
  <c r="AK793" i="1"/>
  <c r="AI793" i="1"/>
  <c r="S793" i="1" s="1"/>
  <c r="AT793" i="1" s="1"/>
  <c r="AO793" i="1" s="1"/>
  <c r="AH793" i="1"/>
  <c r="AK792" i="1"/>
  <c r="AI792" i="1"/>
  <c r="AH792" i="1"/>
  <c r="AK791" i="1"/>
  <c r="AI791" i="1"/>
  <c r="AH791" i="1"/>
  <c r="AG791" i="1"/>
  <c r="AK790" i="1"/>
  <c r="AI790" i="1"/>
  <c r="AH790" i="1"/>
  <c r="AG790" i="1"/>
  <c r="AK789" i="1"/>
  <c r="AI789" i="1"/>
  <c r="AH789" i="1"/>
  <c r="AG789" i="1"/>
  <c r="AK788" i="1"/>
  <c r="AI788" i="1"/>
  <c r="AH788" i="1"/>
  <c r="AK787" i="1"/>
  <c r="AI787" i="1"/>
  <c r="AH787" i="1"/>
  <c r="AG787" i="1"/>
  <c r="AK786" i="1"/>
  <c r="AI786" i="1"/>
  <c r="AH786" i="1"/>
  <c r="AK785" i="1"/>
  <c r="AI785" i="1"/>
  <c r="AH785" i="1"/>
  <c r="AG785" i="1"/>
  <c r="AK784" i="1"/>
  <c r="AI784" i="1"/>
  <c r="AH784" i="1"/>
  <c r="AK783" i="1"/>
  <c r="AI783" i="1"/>
  <c r="AH783" i="1"/>
  <c r="AK782" i="1"/>
  <c r="S782" i="1" s="1"/>
  <c r="AT782" i="1" s="1"/>
  <c r="AO782" i="1" s="1"/>
  <c r="AK781" i="1"/>
  <c r="S781" i="1" s="1"/>
  <c r="AT781" i="1" s="1"/>
  <c r="AO781" i="1" s="1"/>
  <c r="AK780" i="1"/>
  <c r="AI780" i="1"/>
  <c r="AH780" i="1"/>
  <c r="AG780" i="1"/>
  <c r="AK779" i="1"/>
  <c r="AI779" i="1"/>
  <c r="AH779" i="1"/>
  <c r="AG779" i="1"/>
  <c r="AK778" i="1"/>
  <c r="AI778" i="1"/>
  <c r="AH778" i="1"/>
  <c r="AG778" i="1"/>
  <c r="AK777" i="1"/>
  <c r="AI777" i="1"/>
  <c r="AH777" i="1"/>
  <c r="AK776" i="1"/>
  <c r="AI776" i="1"/>
  <c r="AH776" i="1"/>
  <c r="AG776" i="1"/>
  <c r="AK775" i="1"/>
  <c r="S775" i="1" s="1"/>
  <c r="AT775" i="1" s="1"/>
  <c r="AO775" i="1" s="1"/>
  <c r="AK774" i="1"/>
  <c r="S774" i="1" s="1"/>
  <c r="AT774" i="1" s="1"/>
  <c r="AO774" i="1" s="1"/>
  <c r="AK773" i="1"/>
  <c r="AI773" i="1"/>
  <c r="AH773" i="1"/>
  <c r="AK772" i="1"/>
  <c r="AI772" i="1"/>
  <c r="AH772" i="1"/>
  <c r="AK771" i="1"/>
  <c r="AI771" i="1"/>
  <c r="AH771" i="1"/>
  <c r="AK770" i="1"/>
  <c r="AI770" i="1"/>
  <c r="AH770" i="1"/>
  <c r="AK769" i="1"/>
  <c r="AI769" i="1"/>
  <c r="AH769" i="1"/>
  <c r="AK768" i="1"/>
  <c r="S768" i="1" s="1"/>
  <c r="AK767" i="1"/>
  <c r="AK766" i="1"/>
  <c r="AI766" i="1"/>
  <c r="AH766" i="1"/>
  <c r="AG766" i="1"/>
  <c r="AK765" i="1"/>
  <c r="AI765" i="1"/>
  <c r="AH765" i="1"/>
  <c r="AG765" i="1"/>
  <c r="AK764" i="1"/>
  <c r="AI764" i="1"/>
  <c r="AH764" i="1"/>
  <c r="AG764" i="1"/>
  <c r="AK763" i="1"/>
  <c r="AI763" i="1"/>
  <c r="AH763" i="1"/>
  <c r="AG763" i="1"/>
  <c r="AK762" i="1"/>
  <c r="AI762" i="1"/>
  <c r="AH762" i="1"/>
  <c r="AG762" i="1"/>
  <c r="AK761" i="1"/>
  <c r="AI761" i="1"/>
  <c r="AH761" i="1"/>
  <c r="S761" i="1" s="1"/>
  <c r="AT761" i="1" s="1"/>
  <c r="AO761" i="1" s="1"/>
  <c r="AK760" i="1"/>
  <c r="AI760" i="1"/>
  <c r="AH760" i="1"/>
  <c r="AG760" i="1"/>
  <c r="AK759" i="1"/>
  <c r="AI759" i="1"/>
  <c r="AH759" i="1"/>
  <c r="AG759" i="1"/>
  <c r="AK758" i="1"/>
  <c r="AI758" i="1"/>
  <c r="AH758" i="1"/>
  <c r="AG758" i="1"/>
  <c r="AK757" i="1"/>
  <c r="AI757" i="1"/>
  <c r="AH757" i="1"/>
  <c r="AG757" i="1"/>
  <c r="AK756" i="1"/>
  <c r="AI756" i="1"/>
  <c r="AK755" i="1"/>
  <c r="AI755" i="1"/>
  <c r="AH755" i="1"/>
  <c r="AG755" i="1"/>
  <c r="AK754" i="1"/>
  <c r="AI754" i="1"/>
  <c r="AH754" i="1"/>
  <c r="AG754" i="1"/>
  <c r="AK753" i="1"/>
  <c r="AI753" i="1"/>
  <c r="AH753" i="1"/>
  <c r="AG753" i="1"/>
  <c r="AK752" i="1"/>
  <c r="AI752" i="1"/>
  <c r="AH752" i="1"/>
  <c r="AG752" i="1"/>
  <c r="AK751" i="1"/>
  <c r="S751" i="1" s="1"/>
  <c r="AQ751" i="1" s="1"/>
  <c r="AL751" i="1" s="1"/>
  <c r="AK750" i="1"/>
  <c r="S750" i="1" s="1"/>
  <c r="AT750" i="1" s="1"/>
  <c r="AO750" i="1" s="1"/>
  <c r="AK749" i="1"/>
  <c r="AI749" i="1"/>
  <c r="AH749" i="1"/>
  <c r="AG749" i="1"/>
  <c r="AK748" i="1"/>
  <c r="AI748" i="1"/>
  <c r="AH748" i="1"/>
  <c r="AG748" i="1"/>
  <c r="S748" i="1" s="1"/>
  <c r="AT748" i="1" s="1"/>
  <c r="AO748" i="1" s="1"/>
  <c r="AK747" i="1"/>
  <c r="S747" i="1" s="1"/>
  <c r="AR747" i="1" s="1"/>
  <c r="AM747" i="1" s="1"/>
  <c r="AI747" i="1"/>
  <c r="AH747" i="1"/>
  <c r="AG747" i="1"/>
  <c r="AK746" i="1"/>
  <c r="AI746" i="1"/>
  <c r="AH746" i="1"/>
  <c r="AG746" i="1"/>
  <c r="AK745" i="1"/>
  <c r="AI745" i="1"/>
  <c r="AH745" i="1"/>
  <c r="AG745" i="1"/>
  <c r="AK744" i="1"/>
  <c r="AI744" i="1"/>
  <c r="AH744" i="1"/>
  <c r="AK743" i="1"/>
  <c r="AI743" i="1"/>
  <c r="S743" i="1" s="1"/>
  <c r="AT743" i="1" s="1"/>
  <c r="AO743" i="1" s="1"/>
  <c r="AH743" i="1"/>
  <c r="AK742" i="1"/>
  <c r="AI742" i="1"/>
  <c r="AH742" i="1"/>
  <c r="AK741" i="1"/>
  <c r="AI741" i="1"/>
  <c r="AH741" i="1"/>
  <c r="AK740" i="1"/>
  <c r="AI740" i="1"/>
  <c r="AH740" i="1"/>
  <c r="AK739" i="1"/>
  <c r="S739" i="1" s="1"/>
  <c r="AS739" i="1" s="1"/>
  <c r="AN739" i="1" s="1"/>
  <c r="AI739" i="1"/>
  <c r="AK738" i="1"/>
  <c r="AI738" i="1"/>
  <c r="AH738" i="1"/>
  <c r="AG738" i="1"/>
  <c r="AK737" i="1"/>
  <c r="AI737" i="1"/>
  <c r="AH737" i="1"/>
  <c r="AG737" i="1"/>
  <c r="AK736" i="1"/>
  <c r="AI736" i="1"/>
  <c r="AH736" i="1"/>
  <c r="AG736" i="1"/>
  <c r="AK735" i="1"/>
  <c r="AI735" i="1"/>
  <c r="AH735" i="1"/>
  <c r="AG735" i="1"/>
  <c r="AK734" i="1"/>
  <c r="AI734" i="1"/>
  <c r="AH734" i="1"/>
  <c r="AG734" i="1"/>
  <c r="AK733" i="1"/>
  <c r="AI733" i="1"/>
  <c r="AH733" i="1"/>
  <c r="AK732" i="1"/>
  <c r="S732" i="1" s="1"/>
  <c r="AT732" i="1" s="1"/>
  <c r="AO732" i="1" s="1"/>
  <c r="AK731" i="1"/>
  <c r="AI731" i="1"/>
  <c r="AH731" i="1"/>
  <c r="AG731" i="1"/>
  <c r="AK730" i="1"/>
  <c r="AI730" i="1"/>
  <c r="AH730" i="1"/>
  <c r="AK729" i="1"/>
  <c r="S729" i="1" s="1"/>
  <c r="AT729" i="1" s="1"/>
  <c r="AO729" i="1" s="1"/>
  <c r="AK728" i="1"/>
  <c r="AI728" i="1"/>
  <c r="AH728" i="1"/>
  <c r="AK727" i="1"/>
  <c r="S727" i="1" s="1"/>
  <c r="AT727" i="1" s="1"/>
  <c r="AO727" i="1" s="1"/>
  <c r="AK726" i="1"/>
  <c r="AI726" i="1"/>
  <c r="AH726" i="1"/>
  <c r="AG726" i="1"/>
  <c r="AK725" i="1"/>
  <c r="AI725" i="1"/>
  <c r="AK724" i="1"/>
  <c r="AI724" i="1"/>
  <c r="AK723" i="1"/>
  <c r="AI723" i="1"/>
  <c r="AH723" i="1"/>
  <c r="AK722" i="1"/>
  <c r="AI722" i="1"/>
  <c r="AH722" i="1"/>
  <c r="AG722" i="1"/>
  <c r="AK721" i="1"/>
  <c r="AI721" i="1"/>
  <c r="AH721" i="1"/>
  <c r="AG721" i="1"/>
  <c r="AK720" i="1"/>
  <c r="AI720" i="1"/>
  <c r="AH720" i="1"/>
  <c r="AG720" i="1"/>
  <c r="AK719" i="1"/>
  <c r="AI719" i="1"/>
  <c r="AH719" i="1"/>
  <c r="AG719" i="1"/>
  <c r="AK718" i="1"/>
  <c r="AI718" i="1"/>
  <c r="AH718" i="1"/>
  <c r="AG718" i="1"/>
  <c r="AK717" i="1"/>
  <c r="AI717" i="1"/>
  <c r="AH717" i="1"/>
  <c r="AG717" i="1"/>
  <c r="AK716" i="1"/>
  <c r="AK715" i="1"/>
  <c r="AK714" i="1"/>
  <c r="AK713" i="1"/>
  <c r="AI713" i="1"/>
  <c r="AK712" i="1"/>
  <c r="AI712" i="1"/>
  <c r="AH712" i="1"/>
  <c r="AK711" i="1"/>
  <c r="AI711" i="1"/>
  <c r="AH711" i="1"/>
  <c r="AG711" i="1"/>
  <c r="AK710" i="1"/>
  <c r="AI710" i="1"/>
  <c r="AH710" i="1"/>
  <c r="AG710" i="1"/>
  <c r="AK709" i="1"/>
  <c r="AI709" i="1"/>
  <c r="AH709" i="1"/>
  <c r="AG709" i="1"/>
  <c r="BA3" i="5"/>
  <c r="AX3" i="5"/>
  <c r="V9" i="5"/>
  <c r="V10" i="5"/>
  <c r="V11" i="5"/>
  <c r="V12" i="5"/>
  <c r="V13" i="5"/>
  <c r="V8" i="5"/>
  <c r="S13" i="5"/>
  <c r="S12" i="5"/>
  <c r="S11" i="5"/>
  <c r="S10" i="5"/>
  <c r="S9" i="5"/>
  <c r="S8" i="5"/>
  <c r="BA3" i="6"/>
  <c r="AX3" i="6"/>
  <c r="V10" i="6"/>
  <c r="V11" i="6"/>
  <c r="V12" i="6"/>
  <c r="V13" i="6"/>
  <c r="V14" i="6"/>
  <c r="V15" i="6"/>
  <c r="V9" i="6"/>
  <c r="S15" i="6"/>
  <c r="S14" i="6"/>
  <c r="S13" i="6"/>
  <c r="S12" i="6"/>
  <c r="S11" i="6"/>
  <c r="S10" i="6"/>
  <c r="S9" i="6"/>
  <c r="BA3" i="7"/>
  <c r="AX3" i="7"/>
  <c r="V16" i="7"/>
  <c r="V17" i="7"/>
  <c r="V18" i="7"/>
  <c r="V19" i="7"/>
  <c r="V20" i="7"/>
  <c r="V21" i="7"/>
  <c r="V22" i="7"/>
  <c r="V23" i="7"/>
  <c r="V24" i="7"/>
  <c r="V25" i="7"/>
  <c r="V26" i="7"/>
  <c r="V27" i="7"/>
  <c r="V15" i="7"/>
  <c r="S27" i="7"/>
  <c r="S26" i="7"/>
  <c r="S25" i="7"/>
  <c r="S24" i="7"/>
  <c r="S23" i="7"/>
  <c r="S22" i="7"/>
  <c r="S21" i="7"/>
  <c r="S20" i="7"/>
  <c r="S19" i="7"/>
  <c r="S18" i="7"/>
  <c r="S17" i="7"/>
  <c r="S16" i="7"/>
  <c r="S15" i="7"/>
  <c r="BA3" i="8"/>
  <c r="AX3" i="8"/>
  <c r="V19" i="8"/>
  <c r="V20" i="8"/>
  <c r="V21" i="8"/>
  <c r="V22" i="8"/>
  <c r="V23" i="8"/>
  <c r="V24" i="8"/>
  <c r="V25" i="8"/>
  <c r="V26" i="8"/>
  <c r="V27" i="8"/>
  <c r="V28" i="8"/>
  <c r="V29" i="8"/>
  <c r="V30" i="8"/>
  <c r="V31" i="8"/>
  <c r="V32" i="8"/>
  <c r="V33" i="8"/>
  <c r="V18" i="8"/>
  <c r="S33" i="8"/>
  <c r="S32" i="8"/>
  <c r="S31" i="8"/>
  <c r="S30" i="8"/>
  <c r="S29" i="8"/>
  <c r="S28" i="8"/>
  <c r="S27" i="8"/>
  <c r="S26" i="8"/>
  <c r="S25" i="8"/>
  <c r="S24" i="8"/>
  <c r="S23" i="8"/>
  <c r="S22" i="8"/>
  <c r="S21" i="8"/>
  <c r="S20" i="8"/>
  <c r="S19" i="8"/>
  <c r="S18" i="8"/>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U709" i="1"/>
  <c r="AP709" i="1" s="1"/>
  <c r="AU710" i="1"/>
  <c r="AP710" i="1" s="1"/>
  <c r="AU711" i="1"/>
  <c r="AP711" i="1" s="1"/>
  <c r="AU712" i="1"/>
  <c r="AP712" i="1" s="1"/>
  <c r="AU713" i="1"/>
  <c r="AP713" i="1" s="1"/>
  <c r="AU714" i="1"/>
  <c r="AP714" i="1" s="1"/>
  <c r="AU715" i="1"/>
  <c r="AP715" i="1" s="1"/>
  <c r="AU716" i="1"/>
  <c r="AP716" i="1" s="1"/>
  <c r="AU717" i="1"/>
  <c r="AP717" i="1" s="1"/>
  <c r="AU718" i="1"/>
  <c r="AP718" i="1" s="1"/>
  <c r="AU719" i="1"/>
  <c r="AP719" i="1" s="1"/>
  <c r="AU720" i="1"/>
  <c r="AP720" i="1" s="1"/>
  <c r="AU721" i="1"/>
  <c r="AP721" i="1" s="1"/>
  <c r="AU722" i="1"/>
  <c r="AP722" i="1" s="1"/>
  <c r="AU723" i="1"/>
  <c r="AP723" i="1" s="1"/>
  <c r="AU724" i="1"/>
  <c r="AP724" i="1" s="1"/>
  <c r="AU725" i="1"/>
  <c r="AP725" i="1" s="1"/>
  <c r="AU726" i="1"/>
  <c r="AP726" i="1" s="1"/>
  <c r="AU727" i="1"/>
  <c r="AP727" i="1" s="1"/>
  <c r="AU728" i="1"/>
  <c r="AP728" i="1" s="1"/>
  <c r="AU729" i="1"/>
  <c r="AP729" i="1" s="1"/>
  <c r="AU730" i="1"/>
  <c r="AP730" i="1" s="1"/>
  <c r="AU731" i="1"/>
  <c r="AP731" i="1" s="1"/>
  <c r="AU732" i="1"/>
  <c r="AP732" i="1" s="1"/>
  <c r="AU733" i="1"/>
  <c r="AP733" i="1" s="1"/>
  <c r="AU734" i="1"/>
  <c r="AP734" i="1" s="1"/>
  <c r="AU735" i="1"/>
  <c r="AP735" i="1" s="1"/>
  <c r="AU736" i="1"/>
  <c r="AP736" i="1" s="1"/>
  <c r="AU737" i="1"/>
  <c r="AP737" i="1" s="1"/>
  <c r="AU738" i="1"/>
  <c r="AP738" i="1" s="1"/>
  <c r="AU739" i="1"/>
  <c r="AP739" i="1" s="1"/>
  <c r="AU740" i="1"/>
  <c r="AP740" i="1" s="1"/>
  <c r="AU741" i="1"/>
  <c r="AP741" i="1" s="1"/>
  <c r="AU742" i="1"/>
  <c r="AP742" i="1" s="1"/>
  <c r="AU743" i="1"/>
  <c r="AP743" i="1" s="1"/>
  <c r="AU744" i="1"/>
  <c r="AP744" i="1" s="1"/>
  <c r="AU745" i="1"/>
  <c r="AP745" i="1" s="1"/>
  <c r="AU746" i="1"/>
  <c r="AP746" i="1" s="1"/>
  <c r="AU747" i="1"/>
  <c r="AP747" i="1" s="1"/>
  <c r="AU748" i="1"/>
  <c r="AP748" i="1" s="1"/>
  <c r="AU749" i="1"/>
  <c r="AP749" i="1" s="1"/>
  <c r="AU750" i="1"/>
  <c r="AP750" i="1" s="1"/>
  <c r="AU751" i="1"/>
  <c r="AP751" i="1" s="1"/>
  <c r="AU752" i="1"/>
  <c r="AP752" i="1" s="1"/>
  <c r="AU753" i="1"/>
  <c r="AP753" i="1" s="1"/>
  <c r="AU754" i="1"/>
  <c r="AP754" i="1" s="1"/>
  <c r="AU755" i="1"/>
  <c r="AP755" i="1" s="1"/>
  <c r="AU756" i="1"/>
  <c r="AP756" i="1" s="1"/>
  <c r="AU757" i="1"/>
  <c r="AP757" i="1" s="1"/>
  <c r="AU758" i="1"/>
  <c r="AP758" i="1" s="1"/>
  <c r="AU759" i="1"/>
  <c r="AP759" i="1" s="1"/>
  <c r="AU760" i="1"/>
  <c r="AP760" i="1" s="1"/>
  <c r="AU761" i="1"/>
  <c r="AP761" i="1" s="1"/>
  <c r="AU762" i="1"/>
  <c r="AP762" i="1" s="1"/>
  <c r="AU763" i="1"/>
  <c r="AP763" i="1" s="1"/>
  <c r="AU764" i="1"/>
  <c r="AP764" i="1" s="1"/>
  <c r="AU765" i="1"/>
  <c r="AP765" i="1" s="1"/>
  <c r="AU766" i="1"/>
  <c r="AP766" i="1" s="1"/>
  <c r="AU767" i="1"/>
  <c r="AP767" i="1" s="1"/>
  <c r="AU768" i="1"/>
  <c r="AP768" i="1" s="1"/>
  <c r="AU769" i="1"/>
  <c r="AP769" i="1" s="1"/>
  <c r="AU770" i="1"/>
  <c r="AP770" i="1" s="1"/>
  <c r="AU771" i="1"/>
  <c r="AP771" i="1" s="1"/>
  <c r="AU772" i="1"/>
  <c r="AP772" i="1" s="1"/>
  <c r="AU773" i="1"/>
  <c r="AP773" i="1" s="1"/>
  <c r="AU774" i="1"/>
  <c r="AP774" i="1" s="1"/>
  <c r="AU775" i="1"/>
  <c r="AP775" i="1" s="1"/>
  <c r="AU776" i="1"/>
  <c r="AP776" i="1" s="1"/>
  <c r="AU777" i="1"/>
  <c r="AP777" i="1" s="1"/>
  <c r="AU778" i="1"/>
  <c r="AP778" i="1" s="1"/>
  <c r="AU779" i="1"/>
  <c r="AP779" i="1" s="1"/>
  <c r="AU780" i="1"/>
  <c r="AP780" i="1" s="1"/>
  <c r="AU781" i="1"/>
  <c r="AP781" i="1" s="1"/>
  <c r="AU782" i="1"/>
  <c r="AP782" i="1" s="1"/>
  <c r="AU783" i="1"/>
  <c r="AP783" i="1" s="1"/>
  <c r="AU784" i="1"/>
  <c r="AP784" i="1" s="1"/>
  <c r="AU785" i="1"/>
  <c r="AP785" i="1" s="1"/>
  <c r="AU786" i="1"/>
  <c r="AP786" i="1" s="1"/>
  <c r="AU787" i="1"/>
  <c r="AP787" i="1" s="1"/>
  <c r="AU788" i="1"/>
  <c r="AP788" i="1" s="1"/>
  <c r="AU789" i="1"/>
  <c r="AP789" i="1" s="1"/>
  <c r="AU790" i="1"/>
  <c r="AP790" i="1" s="1"/>
  <c r="AU791" i="1"/>
  <c r="AP791" i="1" s="1"/>
  <c r="AU792" i="1"/>
  <c r="AP792" i="1" s="1"/>
  <c r="AU793" i="1"/>
  <c r="AP793" i="1" s="1"/>
  <c r="AU794" i="1"/>
  <c r="AP794" i="1" s="1"/>
  <c r="AU795" i="1"/>
  <c r="AP795" i="1" s="1"/>
  <c r="AU796" i="1"/>
  <c r="AP796" i="1" s="1"/>
  <c r="AU797" i="1"/>
  <c r="AP797" i="1" s="1"/>
  <c r="AU798" i="1"/>
  <c r="AP798" i="1" s="1"/>
  <c r="AU799" i="1"/>
  <c r="AP799" i="1" s="1"/>
  <c r="AU800" i="1"/>
  <c r="AP800" i="1" s="1"/>
  <c r="AU801" i="1"/>
  <c r="AP801" i="1" s="1"/>
  <c r="AU802" i="1"/>
  <c r="AP802" i="1" s="1"/>
  <c r="AU803" i="1"/>
  <c r="AP803" i="1" s="1"/>
  <c r="AU804" i="1"/>
  <c r="AP804" i="1" s="1"/>
  <c r="AU805" i="1"/>
  <c r="AP805" i="1" s="1"/>
  <c r="AU806" i="1"/>
  <c r="AP806" i="1" s="1"/>
  <c r="AU807" i="1"/>
  <c r="AP807" i="1" s="1"/>
  <c r="AU808" i="1"/>
  <c r="AP808" i="1" s="1"/>
  <c r="AU809" i="1"/>
  <c r="AP809" i="1" s="1"/>
  <c r="AU810" i="1"/>
  <c r="AP810" i="1" s="1"/>
  <c r="AU811" i="1"/>
  <c r="AP811" i="1" s="1"/>
  <c r="AU812" i="1"/>
  <c r="AP812" i="1" s="1"/>
  <c r="AU813" i="1"/>
  <c r="AP813" i="1" s="1"/>
  <c r="AU814" i="1"/>
  <c r="AP814" i="1" s="1"/>
  <c r="AU815" i="1"/>
  <c r="AP815" i="1" s="1"/>
  <c r="AU816" i="1"/>
  <c r="AP816" i="1" s="1"/>
  <c r="AU817" i="1"/>
  <c r="AP817" i="1" s="1"/>
  <c r="AU818" i="1"/>
  <c r="AP818" i="1" s="1"/>
  <c r="AU819" i="1"/>
  <c r="AP819" i="1" s="1"/>
  <c r="AU820" i="1"/>
  <c r="AP820" i="1" s="1"/>
  <c r="AU821" i="1"/>
  <c r="AP821" i="1" s="1"/>
  <c r="AU822" i="1"/>
  <c r="AP822" i="1" s="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U709" i="1"/>
  <c r="W709" i="1" s="1"/>
  <c r="U710" i="1"/>
  <c r="W710" i="1" s="1"/>
  <c r="U711" i="1"/>
  <c r="W711" i="1" s="1"/>
  <c r="U712" i="1"/>
  <c r="W712" i="1" s="1"/>
  <c r="U713" i="1"/>
  <c r="W713" i="1" s="1"/>
  <c r="U714" i="1"/>
  <c r="W714" i="1" s="1"/>
  <c r="U715" i="1"/>
  <c r="W715" i="1" s="1"/>
  <c r="U716" i="1"/>
  <c r="W716" i="1" s="1"/>
  <c r="U717" i="1"/>
  <c r="W717" i="1" s="1"/>
  <c r="U718" i="1"/>
  <c r="W718" i="1" s="1"/>
  <c r="U719" i="1"/>
  <c r="W719" i="1" s="1"/>
  <c r="U720" i="1"/>
  <c r="W720" i="1" s="1"/>
  <c r="U721" i="1"/>
  <c r="W721" i="1" s="1"/>
  <c r="U722" i="1"/>
  <c r="W722" i="1" s="1"/>
  <c r="U723" i="1"/>
  <c r="W723" i="1" s="1"/>
  <c r="U724" i="1"/>
  <c r="W724" i="1" s="1"/>
  <c r="U725" i="1"/>
  <c r="W725" i="1" s="1"/>
  <c r="U739" i="1"/>
  <c r="W739" i="1" s="1"/>
  <c r="U740" i="1"/>
  <c r="W740" i="1" s="1"/>
  <c r="U741" i="1"/>
  <c r="W741" i="1" s="1"/>
  <c r="U742" i="1"/>
  <c r="W742" i="1" s="1"/>
  <c r="U743" i="1"/>
  <c r="W743" i="1" s="1"/>
  <c r="U744" i="1"/>
  <c r="W744" i="1" s="1"/>
  <c r="U745" i="1"/>
  <c r="W745" i="1" s="1"/>
  <c r="U746" i="1"/>
  <c r="W746" i="1" s="1"/>
  <c r="U747" i="1"/>
  <c r="W747" i="1" s="1"/>
  <c r="U748" i="1"/>
  <c r="W748" i="1" s="1"/>
  <c r="U756" i="1"/>
  <c r="W756" i="1" s="1"/>
  <c r="U757" i="1"/>
  <c r="W757" i="1" s="1"/>
  <c r="U758" i="1"/>
  <c r="W758" i="1" s="1"/>
  <c r="U759" i="1"/>
  <c r="W759" i="1" s="1"/>
  <c r="U760" i="1"/>
  <c r="W760" i="1" s="1"/>
  <c r="U761" i="1"/>
  <c r="W761" i="1" s="1"/>
  <c r="U762" i="1"/>
  <c r="W762" i="1" s="1"/>
  <c r="U763" i="1"/>
  <c r="W763" i="1" s="1"/>
  <c r="U764" i="1"/>
  <c r="W764" i="1" s="1"/>
  <c r="U765" i="1"/>
  <c r="W765" i="1" s="1"/>
  <c r="U769" i="1"/>
  <c r="W769" i="1" s="1"/>
  <c r="U770" i="1"/>
  <c r="W770" i="1" s="1"/>
  <c r="U771" i="1"/>
  <c r="W771" i="1" s="1"/>
  <c r="U772" i="1"/>
  <c r="W772" i="1" s="1"/>
  <c r="U776" i="1"/>
  <c r="W776" i="1" s="1"/>
  <c r="U777" i="1"/>
  <c r="W777" i="1" s="1"/>
  <c r="U778" i="1"/>
  <c r="W778" i="1" s="1"/>
  <c r="U779" i="1"/>
  <c r="W779" i="1" s="1"/>
  <c r="U783" i="1"/>
  <c r="W783" i="1" s="1"/>
  <c r="U784" i="1"/>
  <c r="W784" i="1" s="1"/>
  <c r="U785" i="1"/>
  <c r="W785" i="1" s="1"/>
  <c r="U786" i="1"/>
  <c r="W786" i="1" s="1"/>
  <c r="U787" i="1"/>
  <c r="W787" i="1" s="1"/>
  <c r="U788" i="1"/>
  <c r="W788" i="1" s="1"/>
  <c r="U789" i="1"/>
  <c r="W789" i="1" s="1"/>
  <c r="U790" i="1"/>
  <c r="W790" i="1" s="1"/>
  <c r="U791" i="1"/>
  <c r="W791" i="1" s="1"/>
  <c r="U792" i="1"/>
  <c r="W792" i="1" s="1"/>
  <c r="U796" i="1"/>
  <c r="W796" i="1" s="1"/>
  <c r="U797" i="1"/>
  <c r="W797" i="1" s="1"/>
  <c r="U798" i="1"/>
  <c r="W798" i="1" s="1"/>
  <c r="U799" i="1"/>
  <c r="W799" i="1" s="1"/>
  <c r="U800" i="1"/>
  <c r="W800" i="1" s="1"/>
  <c r="U801" i="1"/>
  <c r="W801" i="1" s="1"/>
  <c r="U802" i="1"/>
  <c r="W802" i="1" s="1"/>
  <c r="U803" i="1"/>
  <c r="W803" i="1" s="1"/>
  <c r="U804" i="1"/>
  <c r="W804" i="1" s="1"/>
  <c r="U805" i="1"/>
  <c r="W805" i="1" s="1"/>
  <c r="U809" i="1"/>
  <c r="W809" i="1" s="1"/>
  <c r="U810" i="1"/>
  <c r="W810" i="1" s="1"/>
  <c r="U811" i="1"/>
  <c r="W811" i="1" s="1"/>
  <c r="U812" i="1"/>
  <c r="W812" i="1" s="1"/>
  <c r="U816" i="1"/>
  <c r="W816" i="1" s="1"/>
  <c r="U817" i="1"/>
  <c r="W817" i="1" s="1"/>
  <c r="U818" i="1"/>
  <c r="W818" i="1" s="1"/>
  <c r="U819" i="1"/>
  <c r="W819" i="1" s="1"/>
  <c r="S709" i="1"/>
  <c r="AT709" i="1" s="1"/>
  <c r="AO709" i="1" s="1"/>
  <c r="S710" i="1"/>
  <c r="AT710" i="1" s="1"/>
  <c r="AO710" i="1" s="1"/>
  <c r="S711" i="1"/>
  <c r="AT711" i="1" s="1"/>
  <c r="AO711" i="1" s="1"/>
  <c r="S712" i="1"/>
  <c r="AT712" i="1" s="1"/>
  <c r="AO712" i="1" s="1"/>
  <c r="S713" i="1"/>
  <c r="AT713" i="1" s="1"/>
  <c r="AO713" i="1" s="1"/>
  <c r="S714" i="1"/>
  <c r="AT714" i="1" s="1"/>
  <c r="AO714" i="1" s="1"/>
  <c r="S715" i="1"/>
  <c r="AR715" i="1" s="1"/>
  <c r="AM715" i="1" s="1"/>
  <c r="S716" i="1"/>
  <c r="AT716" i="1" s="1"/>
  <c r="AO716" i="1" s="1"/>
  <c r="S717" i="1"/>
  <c r="AT717" i="1" s="1"/>
  <c r="AO717" i="1" s="1"/>
  <c r="S718" i="1"/>
  <c r="AT718" i="1" s="1"/>
  <c r="AO718" i="1" s="1"/>
  <c r="S719" i="1"/>
  <c r="AQ719" i="1" s="1"/>
  <c r="AL719" i="1" s="1"/>
  <c r="S720" i="1"/>
  <c r="S721" i="1"/>
  <c r="AR721" i="1" s="1"/>
  <c r="AM721" i="1" s="1"/>
  <c r="S722" i="1"/>
  <c r="AR722" i="1" s="1"/>
  <c r="AM722" i="1" s="1"/>
  <c r="S723" i="1"/>
  <c r="AS723" i="1" s="1"/>
  <c r="AN723" i="1" s="1"/>
  <c r="S724" i="1"/>
  <c r="AS724" i="1" s="1"/>
  <c r="AN724" i="1" s="1"/>
  <c r="S725" i="1"/>
  <c r="AT725" i="1" s="1"/>
  <c r="AO725" i="1" s="1"/>
  <c r="S728" i="1"/>
  <c r="AT728" i="1" s="1"/>
  <c r="AO728" i="1" s="1"/>
  <c r="S767" i="1"/>
  <c r="AQ767" i="1" s="1"/>
  <c r="AL767" i="1" s="1"/>
  <c r="S773" i="1"/>
  <c r="AT773" i="1" s="1"/>
  <c r="AO773" i="1" s="1"/>
  <c r="S794" i="1"/>
  <c r="AT794" i="1" s="1"/>
  <c r="AO794" i="1" s="1"/>
  <c r="S795" i="1"/>
  <c r="AR795" i="1" s="1"/>
  <c r="AM795" i="1" s="1"/>
  <c r="S808" i="1"/>
  <c r="AT808" i="1" s="1"/>
  <c r="AO808" i="1" s="1"/>
  <c r="S814" i="1"/>
  <c r="AT814" i="1" s="1"/>
  <c r="AO814" i="1" s="1"/>
  <c r="S815" i="1"/>
  <c r="AQ815" i="1" s="1"/>
  <c r="AL815" i="1" s="1"/>
  <c r="S821" i="1"/>
  <c r="AT821" i="1" s="1"/>
  <c r="AO821" i="1" s="1"/>
  <c r="S822" i="1"/>
  <c r="AT822" i="1" s="1"/>
  <c r="AO822" i="1" s="1"/>
  <c r="AK708" i="1"/>
  <c r="AJ708" i="1"/>
  <c r="AK707" i="1"/>
  <c r="AK706" i="1"/>
  <c r="AJ706" i="1"/>
  <c r="AK705" i="1"/>
  <c r="AJ705" i="1"/>
  <c r="AK704" i="1"/>
  <c r="AJ704" i="1"/>
  <c r="AK703" i="1"/>
  <c r="AJ703" i="1"/>
  <c r="AK702" i="1"/>
  <c r="AJ702" i="1"/>
  <c r="AK701" i="1"/>
  <c r="AJ701" i="1"/>
  <c r="AK700" i="1"/>
  <c r="AK699" i="1"/>
  <c r="AJ699" i="1"/>
  <c r="AK698" i="1"/>
  <c r="AJ698" i="1"/>
  <c r="AK697" i="1"/>
  <c r="AJ697" i="1"/>
  <c r="AK696" i="1"/>
  <c r="AJ696" i="1"/>
  <c r="AK695" i="1"/>
  <c r="AJ695" i="1"/>
  <c r="AK694" i="1"/>
  <c r="AJ694" i="1"/>
  <c r="AK693" i="1"/>
  <c r="AK692" i="1"/>
  <c r="AJ692" i="1"/>
  <c r="AK691" i="1"/>
  <c r="AJ691" i="1"/>
  <c r="AK690" i="1"/>
  <c r="AJ690" i="1"/>
  <c r="AK689" i="1"/>
  <c r="AJ689" i="1"/>
  <c r="AK688" i="1"/>
  <c r="AJ688" i="1"/>
  <c r="AK687" i="1"/>
  <c r="AJ687" i="1"/>
  <c r="AK686" i="1"/>
  <c r="AJ686" i="1"/>
  <c r="AK685" i="1"/>
  <c r="AJ685" i="1"/>
  <c r="AK684" i="1"/>
  <c r="AJ684" i="1"/>
  <c r="AK683" i="1"/>
  <c r="AJ683" i="1"/>
  <c r="AK682" i="1"/>
  <c r="AJ682" i="1"/>
  <c r="AK681" i="1"/>
  <c r="AJ681" i="1"/>
  <c r="AK680" i="1"/>
  <c r="AK679" i="1"/>
  <c r="AJ679" i="1"/>
  <c r="AK678" i="1"/>
  <c r="AJ678" i="1"/>
  <c r="AK677" i="1"/>
  <c r="AJ677" i="1"/>
  <c r="AK676" i="1"/>
  <c r="AJ676" i="1"/>
  <c r="AK675" i="1"/>
  <c r="AJ675" i="1"/>
  <c r="AK674" i="1"/>
  <c r="AJ674" i="1"/>
  <c r="AK673" i="1"/>
  <c r="AJ673" i="1"/>
  <c r="AK672" i="1"/>
  <c r="AJ672" i="1"/>
  <c r="AK671" i="1"/>
  <c r="AJ671" i="1"/>
  <c r="AK670" i="1"/>
  <c r="AJ670" i="1"/>
  <c r="AK669" i="1"/>
  <c r="AJ669" i="1"/>
  <c r="AK668" i="1"/>
  <c r="AJ668" i="1"/>
  <c r="AK667" i="1"/>
  <c r="AK666" i="1"/>
  <c r="AJ666" i="1"/>
  <c r="AK665" i="1"/>
  <c r="AJ665" i="1"/>
  <c r="AK664" i="1"/>
  <c r="AJ664" i="1"/>
  <c r="AK663" i="1"/>
  <c r="AJ663" i="1"/>
  <c r="AK662" i="1"/>
  <c r="AJ662" i="1"/>
  <c r="AK661" i="1"/>
  <c r="AJ661" i="1"/>
  <c r="AK660" i="1"/>
  <c r="AK659" i="1"/>
  <c r="AJ659" i="1"/>
  <c r="AK658" i="1"/>
  <c r="AJ658" i="1"/>
  <c r="AK657" i="1"/>
  <c r="AJ657" i="1"/>
  <c r="AK656" i="1"/>
  <c r="AJ656" i="1"/>
  <c r="AK655" i="1"/>
  <c r="AJ655" i="1"/>
  <c r="AK654" i="1"/>
  <c r="AJ654" i="1"/>
  <c r="AK653" i="1"/>
  <c r="AK652" i="1"/>
  <c r="AJ652" i="1"/>
  <c r="AK651" i="1"/>
  <c r="AJ651" i="1"/>
  <c r="AK650" i="1"/>
  <c r="AJ650" i="1"/>
  <c r="AK649" i="1"/>
  <c r="AJ649" i="1"/>
  <c r="AK648" i="1"/>
  <c r="AJ648" i="1"/>
  <c r="AK647" i="1"/>
  <c r="AJ647" i="1"/>
  <c r="AK646" i="1"/>
  <c r="AJ646" i="1"/>
  <c r="AK645" i="1"/>
  <c r="AJ645" i="1"/>
  <c r="AK644" i="1"/>
  <c r="AJ644" i="1"/>
  <c r="AK643" i="1"/>
  <c r="AJ643" i="1"/>
  <c r="AK642" i="1"/>
  <c r="AJ642" i="1"/>
  <c r="AK641" i="1"/>
  <c r="AJ641" i="1"/>
  <c r="AK640" i="1"/>
  <c r="AJ640" i="1"/>
  <c r="AK639" i="1"/>
  <c r="AJ639" i="1"/>
  <c r="AK638" i="1"/>
  <c r="AJ638" i="1"/>
  <c r="AK637" i="1"/>
  <c r="AJ637" i="1"/>
  <c r="AK636" i="1"/>
  <c r="AK635" i="1"/>
  <c r="AJ635" i="1"/>
  <c r="AK634" i="1"/>
  <c r="AJ634" i="1"/>
  <c r="AK633" i="1"/>
  <c r="AJ633" i="1"/>
  <c r="AK632" i="1"/>
  <c r="AJ632" i="1"/>
  <c r="AK631" i="1"/>
  <c r="AJ631" i="1"/>
  <c r="AK630" i="1"/>
  <c r="AJ630" i="1"/>
  <c r="AK629" i="1"/>
  <c r="AJ629" i="1"/>
  <c r="AK628" i="1"/>
  <c r="AJ628" i="1"/>
  <c r="AK627" i="1"/>
  <c r="AJ627" i="1"/>
  <c r="AK626" i="1"/>
  <c r="AJ626" i="1"/>
  <c r="AK625" i="1"/>
  <c r="AJ625" i="1"/>
  <c r="AK624" i="1"/>
  <c r="AJ624" i="1"/>
  <c r="AK623" i="1"/>
  <c r="AJ623" i="1"/>
  <c r="AK622" i="1"/>
  <c r="AJ622" i="1"/>
  <c r="AK621" i="1"/>
  <c r="AJ621" i="1"/>
  <c r="AK620" i="1"/>
  <c r="AK619" i="1"/>
  <c r="AK618" i="1"/>
  <c r="AJ618" i="1"/>
  <c r="AK617" i="1"/>
  <c r="AJ617" i="1"/>
  <c r="AK616" i="1"/>
  <c r="AJ616" i="1"/>
  <c r="AK615" i="1"/>
  <c r="AJ615" i="1"/>
  <c r="AK614" i="1"/>
  <c r="AJ614" i="1"/>
  <c r="AK613" i="1"/>
  <c r="AJ613" i="1"/>
  <c r="AK612" i="1"/>
  <c r="AJ612" i="1"/>
  <c r="AK611" i="1"/>
  <c r="AJ611" i="1"/>
  <c r="AK610" i="1"/>
  <c r="AJ610" i="1"/>
  <c r="AK609" i="1"/>
  <c r="AJ609" i="1"/>
  <c r="AK608" i="1"/>
  <c r="AJ608" i="1"/>
  <c r="AK607" i="1"/>
  <c r="AJ607" i="1"/>
  <c r="AK606" i="1"/>
  <c r="AJ606" i="1"/>
  <c r="AK605" i="1"/>
  <c r="AJ605" i="1"/>
  <c r="AK604" i="1"/>
  <c r="AJ604" i="1"/>
  <c r="AK603" i="1"/>
  <c r="AK602" i="1"/>
  <c r="AK601" i="1"/>
  <c r="AJ601" i="1"/>
  <c r="AK600" i="1"/>
  <c r="AJ600" i="1"/>
  <c r="AK599" i="1"/>
  <c r="AJ599" i="1"/>
  <c r="AK598" i="1"/>
  <c r="AJ598" i="1"/>
  <c r="AK597" i="1"/>
  <c r="AJ597" i="1"/>
  <c r="AK596" i="1"/>
  <c r="AJ596" i="1"/>
  <c r="AG425" i="1"/>
  <c r="AG424" i="1"/>
  <c r="AG420" i="1"/>
  <c r="AG419" i="1"/>
  <c r="AG417" i="1"/>
  <c r="AG407" i="1"/>
  <c r="AG406" i="1"/>
  <c r="AG405" i="1"/>
  <c r="AG398" i="1"/>
  <c r="AG390" i="1"/>
  <c r="AG389" i="1"/>
  <c r="AG387" i="1"/>
  <c r="AG381" i="1"/>
  <c r="AG380" i="1"/>
  <c r="AG377" i="1"/>
  <c r="AG376" i="1"/>
  <c r="AG374" i="1"/>
  <c r="AG368" i="1"/>
  <c r="AG366" i="1"/>
  <c r="AG365" i="1"/>
  <c r="AG363" i="1"/>
  <c r="AG362" i="1"/>
  <c r="AG361" i="1"/>
  <c r="AG360" i="1"/>
  <c r="AG351" i="1"/>
  <c r="AG350" i="1"/>
  <c r="AG349" i="1"/>
  <c r="AG346" i="1"/>
  <c r="AG345" i="1"/>
  <c r="AG344" i="1"/>
  <c r="AG343" i="1"/>
  <c r="AG342" i="1"/>
  <c r="AG341" i="1"/>
  <c r="AG335" i="1"/>
  <c r="AG334" i="1"/>
  <c r="AG333" i="1"/>
  <c r="BA2" i="5"/>
  <c r="AX2" i="5"/>
  <c r="AU4" i="1"/>
  <c r="AP4" i="1" s="1"/>
  <c r="AU5" i="1"/>
  <c r="AP5" i="1" s="1"/>
  <c r="AU6" i="1"/>
  <c r="AP6" i="1" s="1"/>
  <c r="AU7" i="1"/>
  <c r="AP7" i="1" s="1"/>
  <c r="AU8" i="1"/>
  <c r="AP8" i="1" s="1"/>
  <c r="AU9" i="1"/>
  <c r="AP9" i="1" s="1"/>
  <c r="AU10" i="1"/>
  <c r="AP10" i="1" s="1"/>
  <c r="AU11" i="1"/>
  <c r="AP11" i="1" s="1"/>
  <c r="AU12" i="1"/>
  <c r="AP12" i="1" s="1"/>
  <c r="AU13" i="1"/>
  <c r="AP13" i="1" s="1"/>
  <c r="AU14" i="1"/>
  <c r="AP14" i="1" s="1"/>
  <c r="AU15" i="1"/>
  <c r="AP15" i="1" s="1"/>
  <c r="AU16" i="1"/>
  <c r="AP16" i="1" s="1"/>
  <c r="AU17" i="1"/>
  <c r="AP17" i="1" s="1"/>
  <c r="AU18" i="1"/>
  <c r="AP18" i="1" s="1"/>
  <c r="AU19" i="1"/>
  <c r="AP19" i="1" s="1"/>
  <c r="AU20" i="1"/>
  <c r="AP20" i="1" s="1"/>
  <c r="AU21" i="1"/>
  <c r="AP21" i="1" s="1"/>
  <c r="AU22" i="1"/>
  <c r="AP22" i="1" s="1"/>
  <c r="AU23" i="1"/>
  <c r="AP23" i="1" s="1"/>
  <c r="AU24" i="1"/>
  <c r="AP24" i="1" s="1"/>
  <c r="AU25" i="1"/>
  <c r="AP25" i="1" s="1"/>
  <c r="AU26" i="1"/>
  <c r="AP26" i="1" s="1"/>
  <c r="AU27" i="1"/>
  <c r="AP27" i="1" s="1"/>
  <c r="AU28" i="1"/>
  <c r="AP28" i="1" s="1"/>
  <c r="AU29" i="1"/>
  <c r="AP29" i="1" s="1"/>
  <c r="AU30" i="1"/>
  <c r="AP30" i="1" s="1"/>
  <c r="AU31" i="1"/>
  <c r="AP31" i="1" s="1"/>
  <c r="AU32" i="1"/>
  <c r="AP32" i="1" s="1"/>
  <c r="AU33" i="1"/>
  <c r="AP33" i="1" s="1"/>
  <c r="AU34" i="1"/>
  <c r="AP34" i="1" s="1"/>
  <c r="AU35" i="1"/>
  <c r="AP35" i="1" s="1"/>
  <c r="AU36" i="1"/>
  <c r="AP36" i="1" s="1"/>
  <c r="AU37" i="1"/>
  <c r="AP37" i="1" s="1"/>
  <c r="AU38" i="1"/>
  <c r="AP38" i="1" s="1"/>
  <c r="AU39" i="1"/>
  <c r="AP39" i="1" s="1"/>
  <c r="AU40" i="1"/>
  <c r="AP40" i="1" s="1"/>
  <c r="AU41" i="1"/>
  <c r="AP41" i="1" s="1"/>
  <c r="AU42" i="1"/>
  <c r="AP42" i="1" s="1"/>
  <c r="AU43" i="1"/>
  <c r="AP43" i="1" s="1"/>
  <c r="AU44" i="1"/>
  <c r="AP44" i="1" s="1"/>
  <c r="AU45" i="1"/>
  <c r="AP45" i="1" s="1"/>
  <c r="AU46" i="1"/>
  <c r="AP46" i="1" s="1"/>
  <c r="AU47" i="1"/>
  <c r="AP47" i="1" s="1"/>
  <c r="AU48" i="1"/>
  <c r="AP48" i="1" s="1"/>
  <c r="AU49" i="1"/>
  <c r="AP49" i="1" s="1"/>
  <c r="AU50" i="1"/>
  <c r="AP50" i="1" s="1"/>
  <c r="AU51" i="1"/>
  <c r="AP51" i="1" s="1"/>
  <c r="AU52" i="1"/>
  <c r="AP52" i="1" s="1"/>
  <c r="AU53" i="1"/>
  <c r="AP53" i="1" s="1"/>
  <c r="AU54" i="1"/>
  <c r="AP54" i="1" s="1"/>
  <c r="AU55" i="1"/>
  <c r="AP55" i="1" s="1"/>
  <c r="AU56" i="1"/>
  <c r="AP56" i="1" s="1"/>
  <c r="AU57" i="1"/>
  <c r="AP57" i="1" s="1"/>
  <c r="AU58" i="1"/>
  <c r="AP58" i="1" s="1"/>
  <c r="AU59" i="1"/>
  <c r="AP59" i="1" s="1"/>
  <c r="AU60" i="1"/>
  <c r="AP60" i="1" s="1"/>
  <c r="AU61" i="1"/>
  <c r="AP61" i="1" s="1"/>
  <c r="AU62" i="1"/>
  <c r="AP62" i="1" s="1"/>
  <c r="AU63" i="1"/>
  <c r="AP63" i="1" s="1"/>
  <c r="AU64" i="1"/>
  <c r="AP64" i="1" s="1"/>
  <c r="AU65" i="1"/>
  <c r="AP65" i="1" s="1"/>
  <c r="AU66" i="1"/>
  <c r="AP66" i="1" s="1"/>
  <c r="AU67" i="1"/>
  <c r="AP67" i="1" s="1"/>
  <c r="AU68" i="1"/>
  <c r="AP68" i="1" s="1"/>
  <c r="AU69" i="1"/>
  <c r="AP69" i="1" s="1"/>
  <c r="AU70" i="1"/>
  <c r="AP70" i="1" s="1"/>
  <c r="AU71" i="1"/>
  <c r="AP71" i="1" s="1"/>
  <c r="AU72" i="1"/>
  <c r="AP72" i="1" s="1"/>
  <c r="AU73" i="1"/>
  <c r="AP73" i="1" s="1"/>
  <c r="AU74" i="1"/>
  <c r="AP74" i="1" s="1"/>
  <c r="AU75" i="1"/>
  <c r="AP75" i="1" s="1"/>
  <c r="AU76" i="1"/>
  <c r="AP76" i="1" s="1"/>
  <c r="AU77" i="1"/>
  <c r="AP77" i="1" s="1"/>
  <c r="AU78" i="1"/>
  <c r="AP78" i="1" s="1"/>
  <c r="AU79" i="1"/>
  <c r="AP79" i="1" s="1"/>
  <c r="AU80" i="1"/>
  <c r="AP80" i="1" s="1"/>
  <c r="AU81" i="1"/>
  <c r="AP81" i="1" s="1"/>
  <c r="AU82" i="1"/>
  <c r="AP82" i="1" s="1"/>
  <c r="AU83" i="1"/>
  <c r="AP83" i="1" s="1"/>
  <c r="AU84" i="1"/>
  <c r="AP84" i="1" s="1"/>
  <c r="AU85" i="1"/>
  <c r="AP85" i="1" s="1"/>
  <c r="AU86" i="1"/>
  <c r="AP86" i="1" s="1"/>
  <c r="AU87" i="1"/>
  <c r="AP87" i="1" s="1"/>
  <c r="AU88" i="1"/>
  <c r="AP88" i="1" s="1"/>
  <c r="AU89" i="1"/>
  <c r="AP89" i="1" s="1"/>
  <c r="AU90" i="1"/>
  <c r="AP90" i="1" s="1"/>
  <c r="AU91" i="1"/>
  <c r="AP91" i="1" s="1"/>
  <c r="AU92" i="1"/>
  <c r="AP92" i="1" s="1"/>
  <c r="AU93" i="1"/>
  <c r="AP93" i="1" s="1"/>
  <c r="AU94" i="1"/>
  <c r="AP94" i="1" s="1"/>
  <c r="AU95" i="1"/>
  <c r="AP95" i="1" s="1"/>
  <c r="AU96" i="1"/>
  <c r="AP96" i="1" s="1"/>
  <c r="AU97" i="1"/>
  <c r="AP97" i="1" s="1"/>
  <c r="AU98" i="1"/>
  <c r="AP98" i="1" s="1"/>
  <c r="AU99" i="1"/>
  <c r="AP99" i="1" s="1"/>
  <c r="AU100" i="1"/>
  <c r="AP100" i="1" s="1"/>
  <c r="AU101" i="1"/>
  <c r="AP101" i="1" s="1"/>
  <c r="AU102" i="1"/>
  <c r="AP102" i="1" s="1"/>
  <c r="AU103" i="1"/>
  <c r="AP103" i="1" s="1"/>
  <c r="AU104" i="1"/>
  <c r="AP104" i="1" s="1"/>
  <c r="AU105" i="1"/>
  <c r="AP105" i="1" s="1"/>
  <c r="AU106" i="1"/>
  <c r="AP106" i="1" s="1"/>
  <c r="AU107" i="1"/>
  <c r="AP107" i="1" s="1"/>
  <c r="AU108" i="1"/>
  <c r="AP108" i="1" s="1"/>
  <c r="AU109" i="1"/>
  <c r="AP109" i="1" s="1"/>
  <c r="AU110" i="1"/>
  <c r="AP110" i="1" s="1"/>
  <c r="AU111" i="1"/>
  <c r="AP111" i="1" s="1"/>
  <c r="AU112" i="1"/>
  <c r="AP112" i="1" s="1"/>
  <c r="AU113" i="1"/>
  <c r="AP113" i="1" s="1"/>
  <c r="AU114" i="1"/>
  <c r="AP114" i="1" s="1"/>
  <c r="AU115" i="1"/>
  <c r="AP115" i="1" s="1"/>
  <c r="AU116" i="1"/>
  <c r="AP116" i="1" s="1"/>
  <c r="AU117" i="1"/>
  <c r="AP117" i="1" s="1"/>
  <c r="AU118" i="1"/>
  <c r="AP118" i="1" s="1"/>
  <c r="AU119" i="1"/>
  <c r="AP119" i="1" s="1"/>
  <c r="AU120" i="1"/>
  <c r="AP120" i="1" s="1"/>
  <c r="AU121" i="1"/>
  <c r="AP121" i="1" s="1"/>
  <c r="AU122" i="1"/>
  <c r="AP122" i="1" s="1"/>
  <c r="AU123" i="1"/>
  <c r="AP123" i="1" s="1"/>
  <c r="AU124" i="1"/>
  <c r="AP124" i="1" s="1"/>
  <c r="AU125" i="1"/>
  <c r="AP125" i="1" s="1"/>
  <c r="AU126" i="1"/>
  <c r="AP126" i="1" s="1"/>
  <c r="AU127" i="1"/>
  <c r="AP127" i="1" s="1"/>
  <c r="AU128" i="1"/>
  <c r="AP128" i="1" s="1"/>
  <c r="AU129" i="1"/>
  <c r="AP129" i="1" s="1"/>
  <c r="AU130" i="1"/>
  <c r="AP130" i="1" s="1"/>
  <c r="AU131" i="1"/>
  <c r="AP131" i="1" s="1"/>
  <c r="AU132" i="1"/>
  <c r="AP132" i="1" s="1"/>
  <c r="AU133" i="1"/>
  <c r="AP133" i="1" s="1"/>
  <c r="AU134" i="1"/>
  <c r="AP134" i="1" s="1"/>
  <c r="AU135" i="1"/>
  <c r="AP135" i="1" s="1"/>
  <c r="AU136" i="1"/>
  <c r="AP136" i="1" s="1"/>
  <c r="AU137" i="1"/>
  <c r="AP137" i="1" s="1"/>
  <c r="AU138" i="1"/>
  <c r="AP138" i="1" s="1"/>
  <c r="AU139" i="1"/>
  <c r="AP139" i="1" s="1"/>
  <c r="AU140" i="1"/>
  <c r="AP140" i="1" s="1"/>
  <c r="AU141" i="1"/>
  <c r="AP141" i="1" s="1"/>
  <c r="AU142" i="1"/>
  <c r="AP142" i="1" s="1"/>
  <c r="AU143" i="1"/>
  <c r="AP143" i="1" s="1"/>
  <c r="AU144" i="1"/>
  <c r="AP144" i="1" s="1"/>
  <c r="AU145" i="1"/>
  <c r="AP145" i="1" s="1"/>
  <c r="AU146" i="1"/>
  <c r="AP146" i="1" s="1"/>
  <c r="AU147" i="1"/>
  <c r="AP147" i="1" s="1"/>
  <c r="AU148" i="1"/>
  <c r="AP148" i="1" s="1"/>
  <c r="AU149" i="1"/>
  <c r="AP149" i="1" s="1"/>
  <c r="AU150" i="1"/>
  <c r="AP150" i="1" s="1"/>
  <c r="AU151" i="1"/>
  <c r="AP151" i="1" s="1"/>
  <c r="AU152" i="1"/>
  <c r="AP152" i="1" s="1"/>
  <c r="AU153" i="1"/>
  <c r="AP153" i="1" s="1"/>
  <c r="AU154" i="1"/>
  <c r="AP154" i="1" s="1"/>
  <c r="AU155" i="1"/>
  <c r="AP155" i="1" s="1"/>
  <c r="AU156" i="1"/>
  <c r="AP156" i="1" s="1"/>
  <c r="AU157" i="1"/>
  <c r="AP157" i="1" s="1"/>
  <c r="AU158" i="1"/>
  <c r="AP158" i="1" s="1"/>
  <c r="AU159" i="1"/>
  <c r="AP159" i="1" s="1"/>
  <c r="AU160" i="1"/>
  <c r="AP160" i="1" s="1"/>
  <c r="AU161" i="1"/>
  <c r="AP161" i="1" s="1"/>
  <c r="AU162" i="1"/>
  <c r="AP162" i="1" s="1"/>
  <c r="AU163" i="1"/>
  <c r="AP163" i="1" s="1"/>
  <c r="AU164" i="1"/>
  <c r="AP164" i="1" s="1"/>
  <c r="AU165" i="1"/>
  <c r="AP165" i="1" s="1"/>
  <c r="AU166" i="1"/>
  <c r="AP166" i="1" s="1"/>
  <c r="AU167" i="1"/>
  <c r="AP167" i="1" s="1"/>
  <c r="AU168" i="1"/>
  <c r="AP168" i="1" s="1"/>
  <c r="AU169" i="1"/>
  <c r="AP169" i="1" s="1"/>
  <c r="AU170" i="1"/>
  <c r="AP170" i="1" s="1"/>
  <c r="AU171" i="1"/>
  <c r="AP171" i="1" s="1"/>
  <c r="AU172" i="1"/>
  <c r="AP172" i="1" s="1"/>
  <c r="AU173" i="1"/>
  <c r="AP173" i="1" s="1"/>
  <c r="AU174" i="1"/>
  <c r="AP174" i="1" s="1"/>
  <c r="AU175" i="1"/>
  <c r="AP175" i="1" s="1"/>
  <c r="AU176" i="1"/>
  <c r="AP176" i="1" s="1"/>
  <c r="AU177" i="1"/>
  <c r="AP177" i="1" s="1"/>
  <c r="AU178" i="1"/>
  <c r="AP178" i="1" s="1"/>
  <c r="AU179" i="1"/>
  <c r="AP179" i="1" s="1"/>
  <c r="AU180" i="1"/>
  <c r="AP180" i="1" s="1"/>
  <c r="AU181" i="1"/>
  <c r="AP181" i="1" s="1"/>
  <c r="AU182" i="1"/>
  <c r="AP182" i="1" s="1"/>
  <c r="AU183" i="1"/>
  <c r="AP183" i="1" s="1"/>
  <c r="AU184" i="1"/>
  <c r="AP184" i="1" s="1"/>
  <c r="AU185" i="1"/>
  <c r="AP185" i="1" s="1"/>
  <c r="AU186" i="1"/>
  <c r="AP186" i="1" s="1"/>
  <c r="AU187" i="1"/>
  <c r="AP187" i="1" s="1"/>
  <c r="AU188" i="1"/>
  <c r="AP188" i="1" s="1"/>
  <c r="AU189" i="1"/>
  <c r="AP189" i="1" s="1"/>
  <c r="AU190" i="1"/>
  <c r="AP190" i="1" s="1"/>
  <c r="AU191" i="1"/>
  <c r="AP191" i="1" s="1"/>
  <c r="AU192" i="1"/>
  <c r="AP192" i="1" s="1"/>
  <c r="AU193" i="1"/>
  <c r="AP193" i="1" s="1"/>
  <c r="AU194" i="1"/>
  <c r="AP194" i="1" s="1"/>
  <c r="AU195" i="1"/>
  <c r="AP195" i="1" s="1"/>
  <c r="AU196" i="1"/>
  <c r="AP196" i="1" s="1"/>
  <c r="AU197" i="1"/>
  <c r="AP197" i="1" s="1"/>
  <c r="AU198" i="1"/>
  <c r="AP198" i="1" s="1"/>
  <c r="AU199" i="1"/>
  <c r="AP199" i="1" s="1"/>
  <c r="AU200" i="1"/>
  <c r="AP200" i="1" s="1"/>
  <c r="AU201" i="1"/>
  <c r="AP201" i="1" s="1"/>
  <c r="AU202" i="1"/>
  <c r="AP202" i="1" s="1"/>
  <c r="AU203" i="1"/>
  <c r="AP203" i="1" s="1"/>
  <c r="AU204" i="1"/>
  <c r="AP204" i="1" s="1"/>
  <c r="AU205" i="1"/>
  <c r="AP205" i="1" s="1"/>
  <c r="AU206" i="1"/>
  <c r="AP206" i="1" s="1"/>
  <c r="AU207" i="1"/>
  <c r="AP207" i="1" s="1"/>
  <c r="AU208" i="1"/>
  <c r="AP208" i="1" s="1"/>
  <c r="AU209" i="1"/>
  <c r="AP209" i="1" s="1"/>
  <c r="AU210" i="1"/>
  <c r="AP210" i="1" s="1"/>
  <c r="AU211" i="1"/>
  <c r="AP211" i="1" s="1"/>
  <c r="AU212" i="1"/>
  <c r="AP212" i="1" s="1"/>
  <c r="AU213" i="1"/>
  <c r="AP213" i="1" s="1"/>
  <c r="AU214" i="1"/>
  <c r="AP214" i="1" s="1"/>
  <c r="AU215" i="1"/>
  <c r="AP215" i="1" s="1"/>
  <c r="AU216" i="1"/>
  <c r="AP216" i="1" s="1"/>
  <c r="AU217" i="1"/>
  <c r="AP217" i="1" s="1"/>
  <c r="AU218" i="1"/>
  <c r="AP218" i="1" s="1"/>
  <c r="AU219" i="1"/>
  <c r="AP219" i="1" s="1"/>
  <c r="AU220" i="1"/>
  <c r="AP220" i="1" s="1"/>
  <c r="AU221" i="1"/>
  <c r="AP221" i="1" s="1"/>
  <c r="AU222" i="1"/>
  <c r="AP222" i="1" s="1"/>
  <c r="AU223" i="1"/>
  <c r="AP223" i="1" s="1"/>
  <c r="AU224" i="1"/>
  <c r="AP224" i="1" s="1"/>
  <c r="AU225" i="1"/>
  <c r="AP225" i="1" s="1"/>
  <c r="AU226" i="1"/>
  <c r="AP226" i="1" s="1"/>
  <c r="AU227" i="1"/>
  <c r="AP227" i="1" s="1"/>
  <c r="AU228" i="1"/>
  <c r="AP228" i="1" s="1"/>
  <c r="AU229" i="1"/>
  <c r="AP229" i="1" s="1"/>
  <c r="AU230" i="1"/>
  <c r="AP230" i="1" s="1"/>
  <c r="AU231" i="1"/>
  <c r="AP231" i="1" s="1"/>
  <c r="AU232" i="1"/>
  <c r="AP232" i="1" s="1"/>
  <c r="AU233" i="1"/>
  <c r="AP233" i="1" s="1"/>
  <c r="AU234" i="1"/>
  <c r="AP234" i="1" s="1"/>
  <c r="AU235" i="1"/>
  <c r="AP235" i="1" s="1"/>
  <c r="AU236" i="1"/>
  <c r="AP236" i="1" s="1"/>
  <c r="AU237" i="1"/>
  <c r="AP237" i="1" s="1"/>
  <c r="AU238" i="1"/>
  <c r="AP238" i="1" s="1"/>
  <c r="AU239" i="1"/>
  <c r="AP239" i="1" s="1"/>
  <c r="AU240" i="1"/>
  <c r="AP240" i="1" s="1"/>
  <c r="AU241" i="1"/>
  <c r="AP241" i="1" s="1"/>
  <c r="AU242" i="1"/>
  <c r="AP242" i="1" s="1"/>
  <c r="AU243" i="1"/>
  <c r="AP243" i="1" s="1"/>
  <c r="AU244" i="1"/>
  <c r="AP244" i="1" s="1"/>
  <c r="AU245" i="1"/>
  <c r="AP245" i="1" s="1"/>
  <c r="AU246" i="1"/>
  <c r="AP246" i="1" s="1"/>
  <c r="AU247" i="1"/>
  <c r="AP247" i="1" s="1"/>
  <c r="AU248" i="1"/>
  <c r="AP248" i="1" s="1"/>
  <c r="AU249" i="1"/>
  <c r="AP249" i="1" s="1"/>
  <c r="AU250" i="1"/>
  <c r="AP250" i="1" s="1"/>
  <c r="AU251" i="1"/>
  <c r="AP251" i="1" s="1"/>
  <c r="AU252" i="1"/>
  <c r="AP252" i="1" s="1"/>
  <c r="AU253" i="1"/>
  <c r="AP253" i="1" s="1"/>
  <c r="AU254" i="1"/>
  <c r="AP254" i="1" s="1"/>
  <c r="AU255" i="1"/>
  <c r="AP255" i="1" s="1"/>
  <c r="AU256" i="1"/>
  <c r="AP256" i="1" s="1"/>
  <c r="AU257" i="1"/>
  <c r="AP257" i="1" s="1"/>
  <c r="AU258" i="1"/>
  <c r="AP258" i="1" s="1"/>
  <c r="AU259" i="1"/>
  <c r="AP259" i="1" s="1"/>
  <c r="AU260" i="1"/>
  <c r="AP260" i="1" s="1"/>
  <c r="AU261" i="1"/>
  <c r="AP261" i="1" s="1"/>
  <c r="AU262" i="1"/>
  <c r="AP262" i="1" s="1"/>
  <c r="AU263" i="1"/>
  <c r="AP263" i="1" s="1"/>
  <c r="AU264" i="1"/>
  <c r="AP264" i="1" s="1"/>
  <c r="AU265" i="1"/>
  <c r="AP265" i="1" s="1"/>
  <c r="AU266" i="1"/>
  <c r="AP266" i="1" s="1"/>
  <c r="AU267" i="1"/>
  <c r="AP267" i="1" s="1"/>
  <c r="AU268" i="1"/>
  <c r="AP268" i="1" s="1"/>
  <c r="AU269" i="1"/>
  <c r="AP269" i="1" s="1"/>
  <c r="AU270" i="1"/>
  <c r="AP270" i="1" s="1"/>
  <c r="AU271" i="1"/>
  <c r="AP271" i="1" s="1"/>
  <c r="AU272" i="1"/>
  <c r="AP272" i="1" s="1"/>
  <c r="AU273" i="1"/>
  <c r="AP273" i="1" s="1"/>
  <c r="AU274" i="1"/>
  <c r="AP274" i="1" s="1"/>
  <c r="AU275" i="1"/>
  <c r="AP275" i="1" s="1"/>
  <c r="AU276" i="1"/>
  <c r="AP276" i="1" s="1"/>
  <c r="AU277" i="1"/>
  <c r="AP277" i="1" s="1"/>
  <c r="AU278" i="1"/>
  <c r="AP278" i="1" s="1"/>
  <c r="AU279" i="1"/>
  <c r="AP279" i="1" s="1"/>
  <c r="AU280" i="1"/>
  <c r="AP280" i="1" s="1"/>
  <c r="AU281" i="1"/>
  <c r="AP281" i="1" s="1"/>
  <c r="AU282" i="1"/>
  <c r="AP282" i="1" s="1"/>
  <c r="AU283" i="1"/>
  <c r="AP283" i="1" s="1"/>
  <c r="AU284" i="1"/>
  <c r="AP284" i="1" s="1"/>
  <c r="AU285" i="1"/>
  <c r="AP285" i="1" s="1"/>
  <c r="AU286" i="1"/>
  <c r="AP286" i="1" s="1"/>
  <c r="AU287" i="1"/>
  <c r="AP287" i="1" s="1"/>
  <c r="AU288" i="1"/>
  <c r="AP288" i="1" s="1"/>
  <c r="AU289" i="1"/>
  <c r="AP289" i="1" s="1"/>
  <c r="AU290" i="1"/>
  <c r="AP290" i="1" s="1"/>
  <c r="AU291" i="1"/>
  <c r="AP291" i="1" s="1"/>
  <c r="AU292" i="1"/>
  <c r="AP292" i="1" s="1"/>
  <c r="AU293" i="1"/>
  <c r="AP293" i="1" s="1"/>
  <c r="AU294" i="1"/>
  <c r="AP294" i="1" s="1"/>
  <c r="AU295" i="1"/>
  <c r="AP295" i="1" s="1"/>
  <c r="AU296" i="1"/>
  <c r="AP296" i="1" s="1"/>
  <c r="AU297" i="1"/>
  <c r="AP297" i="1" s="1"/>
  <c r="AU298" i="1"/>
  <c r="AP298" i="1" s="1"/>
  <c r="AU299" i="1"/>
  <c r="AP299" i="1" s="1"/>
  <c r="AU300" i="1"/>
  <c r="AP300" i="1" s="1"/>
  <c r="AU301" i="1"/>
  <c r="AP301" i="1" s="1"/>
  <c r="AU302" i="1"/>
  <c r="AP302" i="1" s="1"/>
  <c r="AU303" i="1"/>
  <c r="AP303" i="1" s="1"/>
  <c r="AU304" i="1"/>
  <c r="AP304" i="1" s="1"/>
  <c r="AU305" i="1"/>
  <c r="AP305" i="1" s="1"/>
  <c r="AU306" i="1"/>
  <c r="AP306" i="1" s="1"/>
  <c r="AU307" i="1"/>
  <c r="AP307" i="1" s="1"/>
  <c r="AU308" i="1"/>
  <c r="AP308" i="1" s="1"/>
  <c r="AU309" i="1"/>
  <c r="AP309" i="1" s="1"/>
  <c r="AU310" i="1"/>
  <c r="AP310" i="1" s="1"/>
  <c r="AU311" i="1"/>
  <c r="AP311" i="1" s="1"/>
  <c r="AU312" i="1"/>
  <c r="AP312" i="1" s="1"/>
  <c r="AU313" i="1"/>
  <c r="AP313" i="1" s="1"/>
  <c r="AU314" i="1"/>
  <c r="AP314" i="1" s="1"/>
  <c r="AU315" i="1"/>
  <c r="AP315" i="1" s="1"/>
  <c r="AU316" i="1"/>
  <c r="AP316" i="1" s="1"/>
  <c r="AU317" i="1"/>
  <c r="AP317" i="1" s="1"/>
  <c r="AU318" i="1"/>
  <c r="AP318" i="1" s="1"/>
  <c r="AU319" i="1"/>
  <c r="AP319" i="1" s="1"/>
  <c r="AU320" i="1"/>
  <c r="AP320" i="1" s="1"/>
  <c r="AU321" i="1"/>
  <c r="AP321" i="1" s="1"/>
  <c r="AU322" i="1"/>
  <c r="AP322" i="1" s="1"/>
  <c r="AU323" i="1"/>
  <c r="AP323" i="1" s="1"/>
  <c r="AU324" i="1"/>
  <c r="AP324" i="1" s="1"/>
  <c r="AU325" i="1"/>
  <c r="AP325" i="1" s="1"/>
  <c r="AU326" i="1"/>
  <c r="AP326" i="1" s="1"/>
  <c r="AU327" i="1"/>
  <c r="AP327" i="1" s="1"/>
  <c r="AU328" i="1"/>
  <c r="AP328" i="1" s="1"/>
  <c r="AU329" i="1"/>
  <c r="AP329" i="1" s="1"/>
  <c r="AU330" i="1"/>
  <c r="AP330" i="1" s="1"/>
  <c r="AU331" i="1"/>
  <c r="AP331" i="1" s="1"/>
  <c r="AU332" i="1"/>
  <c r="AP332" i="1" s="1"/>
  <c r="AU333" i="1"/>
  <c r="AP333" i="1" s="1"/>
  <c r="AU334" i="1"/>
  <c r="AP334" i="1" s="1"/>
  <c r="AU335" i="1"/>
  <c r="AP335" i="1" s="1"/>
  <c r="AU336" i="1"/>
  <c r="AP336" i="1" s="1"/>
  <c r="AU337" i="1"/>
  <c r="AP337" i="1" s="1"/>
  <c r="AU338" i="1"/>
  <c r="AP338" i="1" s="1"/>
  <c r="AU339" i="1"/>
  <c r="AP339" i="1" s="1"/>
  <c r="AU340" i="1"/>
  <c r="AP340" i="1" s="1"/>
  <c r="AU341" i="1"/>
  <c r="AP341" i="1" s="1"/>
  <c r="AU342" i="1"/>
  <c r="AP342" i="1" s="1"/>
  <c r="AU343" i="1"/>
  <c r="AP343" i="1" s="1"/>
  <c r="AU344" i="1"/>
  <c r="AP344" i="1" s="1"/>
  <c r="AU345" i="1"/>
  <c r="AP345" i="1" s="1"/>
  <c r="AU346" i="1"/>
  <c r="AP346" i="1" s="1"/>
  <c r="AU347" i="1"/>
  <c r="AP347" i="1" s="1"/>
  <c r="AU348" i="1"/>
  <c r="AP348" i="1" s="1"/>
  <c r="AU349" i="1"/>
  <c r="AP349" i="1" s="1"/>
  <c r="AU350" i="1"/>
  <c r="AP350" i="1" s="1"/>
  <c r="AU351" i="1"/>
  <c r="AP351" i="1" s="1"/>
  <c r="AU352" i="1"/>
  <c r="AP352" i="1" s="1"/>
  <c r="AU353" i="1"/>
  <c r="AP353" i="1" s="1"/>
  <c r="AU354" i="1"/>
  <c r="AP354" i="1" s="1"/>
  <c r="AU355" i="1"/>
  <c r="AP355" i="1" s="1"/>
  <c r="AU356" i="1"/>
  <c r="AP356" i="1" s="1"/>
  <c r="AU357" i="1"/>
  <c r="AP357" i="1" s="1"/>
  <c r="AU358" i="1"/>
  <c r="AP358" i="1" s="1"/>
  <c r="AU359" i="1"/>
  <c r="AP359" i="1" s="1"/>
  <c r="AU360" i="1"/>
  <c r="AP360" i="1" s="1"/>
  <c r="AU361" i="1"/>
  <c r="AP361" i="1" s="1"/>
  <c r="AU362" i="1"/>
  <c r="AP362" i="1" s="1"/>
  <c r="AU363" i="1"/>
  <c r="AP363" i="1" s="1"/>
  <c r="AU364" i="1"/>
  <c r="AP364" i="1" s="1"/>
  <c r="AU365" i="1"/>
  <c r="AP365" i="1" s="1"/>
  <c r="AU366" i="1"/>
  <c r="AP366" i="1" s="1"/>
  <c r="AU367" i="1"/>
  <c r="AP367" i="1" s="1"/>
  <c r="AU368" i="1"/>
  <c r="AP368" i="1" s="1"/>
  <c r="AU369" i="1"/>
  <c r="AP369" i="1" s="1"/>
  <c r="AU370" i="1"/>
  <c r="AP370" i="1" s="1"/>
  <c r="AU371" i="1"/>
  <c r="AP371" i="1" s="1"/>
  <c r="AU372" i="1"/>
  <c r="AP372" i="1" s="1"/>
  <c r="AU373" i="1"/>
  <c r="AP373" i="1" s="1"/>
  <c r="AU374" i="1"/>
  <c r="AP374" i="1" s="1"/>
  <c r="AU375" i="1"/>
  <c r="AP375" i="1" s="1"/>
  <c r="AU376" i="1"/>
  <c r="AP376" i="1" s="1"/>
  <c r="AU377" i="1"/>
  <c r="AP377" i="1" s="1"/>
  <c r="AU378" i="1"/>
  <c r="AP378" i="1" s="1"/>
  <c r="AU379" i="1"/>
  <c r="AP379" i="1" s="1"/>
  <c r="AU380" i="1"/>
  <c r="AP380" i="1" s="1"/>
  <c r="AU381" i="1"/>
  <c r="AP381" i="1" s="1"/>
  <c r="AU382" i="1"/>
  <c r="AP382" i="1" s="1"/>
  <c r="AU383" i="1"/>
  <c r="AP383" i="1" s="1"/>
  <c r="AU384" i="1"/>
  <c r="AP384" i="1" s="1"/>
  <c r="AU385" i="1"/>
  <c r="AP385" i="1" s="1"/>
  <c r="AU386" i="1"/>
  <c r="AP386" i="1" s="1"/>
  <c r="AU387" i="1"/>
  <c r="AP387" i="1" s="1"/>
  <c r="AU388" i="1"/>
  <c r="AP388" i="1" s="1"/>
  <c r="AU389" i="1"/>
  <c r="AP389" i="1" s="1"/>
  <c r="AU390" i="1"/>
  <c r="AP390" i="1" s="1"/>
  <c r="AU391" i="1"/>
  <c r="AP391" i="1" s="1"/>
  <c r="AU392" i="1"/>
  <c r="AP392" i="1" s="1"/>
  <c r="AU393" i="1"/>
  <c r="AP393" i="1" s="1"/>
  <c r="AU394" i="1"/>
  <c r="AP394" i="1" s="1"/>
  <c r="AU395" i="1"/>
  <c r="AP395" i="1" s="1"/>
  <c r="AU396" i="1"/>
  <c r="AP396" i="1" s="1"/>
  <c r="AU397" i="1"/>
  <c r="AP397" i="1" s="1"/>
  <c r="AU398" i="1"/>
  <c r="AP398" i="1" s="1"/>
  <c r="AU399" i="1"/>
  <c r="AP399" i="1" s="1"/>
  <c r="AU400" i="1"/>
  <c r="AP400" i="1" s="1"/>
  <c r="AU401" i="1"/>
  <c r="AP401" i="1" s="1"/>
  <c r="AU402" i="1"/>
  <c r="AP402" i="1" s="1"/>
  <c r="AU403" i="1"/>
  <c r="AP403" i="1" s="1"/>
  <c r="AU404" i="1"/>
  <c r="AP404" i="1" s="1"/>
  <c r="AU405" i="1"/>
  <c r="AP405" i="1" s="1"/>
  <c r="AU406" i="1"/>
  <c r="AP406" i="1" s="1"/>
  <c r="AU407" i="1"/>
  <c r="AP407" i="1" s="1"/>
  <c r="AU408" i="1"/>
  <c r="AP408" i="1" s="1"/>
  <c r="AU409" i="1"/>
  <c r="AP409" i="1" s="1"/>
  <c r="AU410" i="1"/>
  <c r="AP410" i="1" s="1"/>
  <c r="AU411" i="1"/>
  <c r="AP411" i="1" s="1"/>
  <c r="AU412" i="1"/>
  <c r="AP412" i="1" s="1"/>
  <c r="AU413" i="1"/>
  <c r="AP413" i="1" s="1"/>
  <c r="AU414" i="1"/>
  <c r="AP414" i="1" s="1"/>
  <c r="AU415" i="1"/>
  <c r="AP415" i="1" s="1"/>
  <c r="AU416" i="1"/>
  <c r="AP416" i="1" s="1"/>
  <c r="AU417" i="1"/>
  <c r="AP417" i="1" s="1"/>
  <c r="AU418" i="1"/>
  <c r="AP418" i="1" s="1"/>
  <c r="AU419" i="1"/>
  <c r="AP419" i="1" s="1"/>
  <c r="AU420" i="1"/>
  <c r="AP420" i="1" s="1"/>
  <c r="AU421" i="1"/>
  <c r="AP421" i="1" s="1"/>
  <c r="AU422" i="1"/>
  <c r="AP422" i="1" s="1"/>
  <c r="AU423" i="1"/>
  <c r="AP423" i="1" s="1"/>
  <c r="AU424" i="1"/>
  <c r="AP424" i="1" s="1"/>
  <c r="AU425" i="1"/>
  <c r="AP425" i="1" s="1"/>
  <c r="AU426" i="1"/>
  <c r="AP426" i="1" s="1"/>
  <c r="AU427" i="1"/>
  <c r="AP427" i="1" s="1"/>
  <c r="AU428" i="1"/>
  <c r="AP428" i="1" s="1"/>
  <c r="AU429" i="1"/>
  <c r="AP429" i="1" s="1"/>
  <c r="AU430" i="1"/>
  <c r="AP430" i="1" s="1"/>
  <c r="AU431" i="1"/>
  <c r="AP431" i="1" s="1"/>
  <c r="AU432" i="1"/>
  <c r="AP432" i="1" s="1"/>
  <c r="AU433" i="1"/>
  <c r="AP433" i="1" s="1"/>
  <c r="AU434" i="1"/>
  <c r="AP434" i="1" s="1"/>
  <c r="AU435" i="1"/>
  <c r="AP435" i="1" s="1"/>
  <c r="AU436" i="1"/>
  <c r="AP436" i="1" s="1"/>
  <c r="AU437" i="1"/>
  <c r="AP437" i="1" s="1"/>
  <c r="AU438" i="1"/>
  <c r="AP438" i="1" s="1"/>
  <c r="AU439" i="1"/>
  <c r="AP439" i="1" s="1"/>
  <c r="AU440" i="1"/>
  <c r="AP440" i="1" s="1"/>
  <c r="AU441" i="1"/>
  <c r="AP441" i="1" s="1"/>
  <c r="AU442" i="1"/>
  <c r="AP442" i="1" s="1"/>
  <c r="AU443" i="1"/>
  <c r="AP443" i="1" s="1"/>
  <c r="AU444" i="1"/>
  <c r="AP444" i="1" s="1"/>
  <c r="AU445" i="1"/>
  <c r="AP445" i="1" s="1"/>
  <c r="AU446" i="1"/>
  <c r="AP446" i="1" s="1"/>
  <c r="AU447" i="1"/>
  <c r="AP447" i="1" s="1"/>
  <c r="AU448" i="1"/>
  <c r="AP448" i="1" s="1"/>
  <c r="AU449" i="1"/>
  <c r="AP449" i="1" s="1"/>
  <c r="AU450" i="1"/>
  <c r="AP450" i="1" s="1"/>
  <c r="AU451" i="1"/>
  <c r="AP451" i="1" s="1"/>
  <c r="AU452" i="1"/>
  <c r="AP452" i="1" s="1"/>
  <c r="AU453" i="1"/>
  <c r="AP453" i="1" s="1"/>
  <c r="AU454" i="1"/>
  <c r="AP454" i="1" s="1"/>
  <c r="AU455" i="1"/>
  <c r="AP455" i="1" s="1"/>
  <c r="AU456" i="1"/>
  <c r="AP456" i="1" s="1"/>
  <c r="AU457" i="1"/>
  <c r="AP457" i="1" s="1"/>
  <c r="AU458" i="1"/>
  <c r="AP458" i="1" s="1"/>
  <c r="AU459" i="1"/>
  <c r="AP459" i="1" s="1"/>
  <c r="AU460" i="1"/>
  <c r="AP460" i="1" s="1"/>
  <c r="AU461" i="1"/>
  <c r="AP461" i="1" s="1"/>
  <c r="AU462" i="1"/>
  <c r="AP462" i="1" s="1"/>
  <c r="AU463" i="1"/>
  <c r="AP463" i="1" s="1"/>
  <c r="AU464" i="1"/>
  <c r="AP464" i="1" s="1"/>
  <c r="AU465" i="1"/>
  <c r="AP465" i="1" s="1"/>
  <c r="AU466" i="1"/>
  <c r="AP466" i="1" s="1"/>
  <c r="AU467" i="1"/>
  <c r="AP467" i="1" s="1"/>
  <c r="AU468" i="1"/>
  <c r="AP468" i="1" s="1"/>
  <c r="AU469" i="1"/>
  <c r="AP469" i="1" s="1"/>
  <c r="AU470" i="1"/>
  <c r="AP470" i="1" s="1"/>
  <c r="AU471" i="1"/>
  <c r="AP471" i="1" s="1"/>
  <c r="AU472" i="1"/>
  <c r="AP472" i="1" s="1"/>
  <c r="AU473" i="1"/>
  <c r="AP473" i="1" s="1"/>
  <c r="AU474" i="1"/>
  <c r="AP474" i="1" s="1"/>
  <c r="AU475" i="1"/>
  <c r="AP475" i="1" s="1"/>
  <c r="AU476" i="1"/>
  <c r="AP476" i="1" s="1"/>
  <c r="AU477" i="1"/>
  <c r="AP477" i="1" s="1"/>
  <c r="AU478" i="1"/>
  <c r="AP478" i="1" s="1"/>
  <c r="AU479" i="1"/>
  <c r="AP479" i="1" s="1"/>
  <c r="AU480" i="1"/>
  <c r="AP480" i="1" s="1"/>
  <c r="AU481" i="1"/>
  <c r="AP481" i="1" s="1"/>
  <c r="AU482" i="1"/>
  <c r="AP482" i="1" s="1"/>
  <c r="AU483" i="1"/>
  <c r="AP483" i="1" s="1"/>
  <c r="AU484" i="1"/>
  <c r="AP484" i="1" s="1"/>
  <c r="AU485" i="1"/>
  <c r="AP485" i="1" s="1"/>
  <c r="AU486" i="1"/>
  <c r="AP486" i="1" s="1"/>
  <c r="AU487" i="1"/>
  <c r="AP487" i="1" s="1"/>
  <c r="AU488" i="1"/>
  <c r="AP488" i="1" s="1"/>
  <c r="AU489" i="1"/>
  <c r="AP489" i="1" s="1"/>
  <c r="AU490" i="1"/>
  <c r="AP490" i="1" s="1"/>
  <c r="AU491" i="1"/>
  <c r="AP491" i="1" s="1"/>
  <c r="AU492" i="1"/>
  <c r="AP492" i="1" s="1"/>
  <c r="AU493" i="1"/>
  <c r="AP493" i="1" s="1"/>
  <c r="AU494" i="1"/>
  <c r="AP494" i="1" s="1"/>
  <c r="AU495" i="1"/>
  <c r="AP495" i="1" s="1"/>
  <c r="AU496" i="1"/>
  <c r="AP496" i="1" s="1"/>
  <c r="AU497" i="1"/>
  <c r="AP497" i="1" s="1"/>
  <c r="AU498" i="1"/>
  <c r="AP498" i="1" s="1"/>
  <c r="AU499" i="1"/>
  <c r="AP499" i="1" s="1"/>
  <c r="AU500" i="1"/>
  <c r="AP500" i="1" s="1"/>
  <c r="AU501" i="1"/>
  <c r="AP501" i="1" s="1"/>
  <c r="AU502" i="1"/>
  <c r="AP502" i="1" s="1"/>
  <c r="AU503" i="1"/>
  <c r="AP503" i="1" s="1"/>
  <c r="AU504" i="1"/>
  <c r="AP504" i="1" s="1"/>
  <c r="AU505" i="1"/>
  <c r="AP505" i="1" s="1"/>
  <c r="AU506" i="1"/>
  <c r="AP506" i="1" s="1"/>
  <c r="AU507" i="1"/>
  <c r="AP507" i="1" s="1"/>
  <c r="AU508" i="1"/>
  <c r="AP508" i="1" s="1"/>
  <c r="AU509" i="1"/>
  <c r="AP509" i="1" s="1"/>
  <c r="AU510" i="1"/>
  <c r="AP510" i="1" s="1"/>
  <c r="AU511" i="1"/>
  <c r="AP511" i="1" s="1"/>
  <c r="AU512" i="1"/>
  <c r="AP512" i="1" s="1"/>
  <c r="AU513" i="1"/>
  <c r="AP513" i="1" s="1"/>
  <c r="AU514" i="1"/>
  <c r="AP514" i="1" s="1"/>
  <c r="AU515" i="1"/>
  <c r="AP515" i="1" s="1"/>
  <c r="AU516" i="1"/>
  <c r="AP516" i="1" s="1"/>
  <c r="AU517" i="1"/>
  <c r="AP517" i="1" s="1"/>
  <c r="AU518" i="1"/>
  <c r="AP518" i="1" s="1"/>
  <c r="AU519" i="1"/>
  <c r="AP519" i="1" s="1"/>
  <c r="AU520" i="1"/>
  <c r="AP520" i="1" s="1"/>
  <c r="AU521" i="1"/>
  <c r="AP521" i="1" s="1"/>
  <c r="AU522" i="1"/>
  <c r="AP522" i="1" s="1"/>
  <c r="AU523" i="1"/>
  <c r="AP523" i="1" s="1"/>
  <c r="AU524" i="1"/>
  <c r="AP524" i="1" s="1"/>
  <c r="AU525" i="1"/>
  <c r="AP525" i="1" s="1"/>
  <c r="AU526" i="1"/>
  <c r="AP526" i="1" s="1"/>
  <c r="AU527" i="1"/>
  <c r="AP527" i="1" s="1"/>
  <c r="AU528" i="1"/>
  <c r="AP528" i="1" s="1"/>
  <c r="AU529" i="1"/>
  <c r="AP529" i="1" s="1"/>
  <c r="AU530" i="1"/>
  <c r="AP530" i="1" s="1"/>
  <c r="AU531" i="1"/>
  <c r="AP531" i="1" s="1"/>
  <c r="AU532" i="1"/>
  <c r="AP532" i="1" s="1"/>
  <c r="AU533" i="1"/>
  <c r="AP533" i="1" s="1"/>
  <c r="AU534" i="1"/>
  <c r="AP534" i="1" s="1"/>
  <c r="AU535" i="1"/>
  <c r="AP535" i="1" s="1"/>
  <c r="AU536" i="1"/>
  <c r="AP536" i="1" s="1"/>
  <c r="AU537" i="1"/>
  <c r="AP537" i="1" s="1"/>
  <c r="AU538" i="1"/>
  <c r="AP538" i="1" s="1"/>
  <c r="AU539" i="1"/>
  <c r="AP539" i="1" s="1"/>
  <c r="AU540" i="1"/>
  <c r="AP540" i="1" s="1"/>
  <c r="AU541" i="1"/>
  <c r="AP541" i="1" s="1"/>
  <c r="AU542" i="1"/>
  <c r="AP542" i="1" s="1"/>
  <c r="AU543" i="1"/>
  <c r="AP543" i="1" s="1"/>
  <c r="AU544" i="1"/>
  <c r="AP544" i="1" s="1"/>
  <c r="AU545" i="1"/>
  <c r="AP545" i="1" s="1"/>
  <c r="AU546" i="1"/>
  <c r="AP546" i="1" s="1"/>
  <c r="AU547" i="1"/>
  <c r="AP547" i="1" s="1"/>
  <c r="AU548" i="1"/>
  <c r="AP548" i="1" s="1"/>
  <c r="AU549" i="1"/>
  <c r="AP549" i="1" s="1"/>
  <c r="AU550" i="1"/>
  <c r="AP550" i="1" s="1"/>
  <c r="AU551" i="1"/>
  <c r="AP551" i="1" s="1"/>
  <c r="AU552" i="1"/>
  <c r="AP552" i="1" s="1"/>
  <c r="AU553" i="1"/>
  <c r="AP553" i="1" s="1"/>
  <c r="AU554" i="1"/>
  <c r="AP554" i="1" s="1"/>
  <c r="AU555" i="1"/>
  <c r="AP555" i="1" s="1"/>
  <c r="AU556" i="1"/>
  <c r="AP556" i="1" s="1"/>
  <c r="AU557" i="1"/>
  <c r="AP557" i="1" s="1"/>
  <c r="AU558" i="1"/>
  <c r="AP558" i="1" s="1"/>
  <c r="AU559" i="1"/>
  <c r="AP559" i="1" s="1"/>
  <c r="AU560" i="1"/>
  <c r="AP560" i="1" s="1"/>
  <c r="AU561" i="1"/>
  <c r="AP561" i="1" s="1"/>
  <c r="AU562" i="1"/>
  <c r="AP562" i="1" s="1"/>
  <c r="AU563" i="1"/>
  <c r="AP563" i="1" s="1"/>
  <c r="AU564" i="1"/>
  <c r="AP564" i="1" s="1"/>
  <c r="AU565" i="1"/>
  <c r="AP565" i="1" s="1"/>
  <c r="AU566" i="1"/>
  <c r="AP566" i="1" s="1"/>
  <c r="AU567" i="1"/>
  <c r="AP567" i="1" s="1"/>
  <c r="AU568" i="1"/>
  <c r="AP568" i="1" s="1"/>
  <c r="AU569" i="1"/>
  <c r="AP569" i="1" s="1"/>
  <c r="AU570" i="1"/>
  <c r="AP570" i="1" s="1"/>
  <c r="AU571" i="1"/>
  <c r="AP571" i="1" s="1"/>
  <c r="AU572" i="1"/>
  <c r="AP572" i="1" s="1"/>
  <c r="AU573" i="1"/>
  <c r="AP573" i="1" s="1"/>
  <c r="AU574" i="1"/>
  <c r="AP574" i="1" s="1"/>
  <c r="AU575" i="1"/>
  <c r="AP575" i="1" s="1"/>
  <c r="AU576" i="1"/>
  <c r="AP576" i="1" s="1"/>
  <c r="AU577" i="1"/>
  <c r="AP577" i="1" s="1"/>
  <c r="AU578" i="1"/>
  <c r="AP578" i="1" s="1"/>
  <c r="AU579" i="1"/>
  <c r="AP579" i="1" s="1"/>
  <c r="AU580" i="1"/>
  <c r="AP580" i="1" s="1"/>
  <c r="AU581" i="1"/>
  <c r="AP581" i="1" s="1"/>
  <c r="AU582" i="1"/>
  <c r="AP582" i="1" s="1"/>
  <c r="AU583" i="1"/>
  <c r="AP583" i="1" s="1"/>
  <c r="AU584" i="1"/>
  <c r="AP584" i="1" s="1"/>
  <c r="AU585" i="1"/>
  <c r="AP585" i="1" s="1"/>
  <c r="AU586" i="1"/>
  <c r="AP586" i="1" s="1"/>
  <c r="AU587" i="1"/>
  <c r="AP587" i="1" s="1"/>
  <c r="AU588" i="1"/>
  <c r="AP588" i="1" s="1"/>
  <c r="AU589" i="1"/>
  <c r="AP589" i="1" s="1"/>
  <c r="AU590" i="1"/>
  <c r="AP590" i="1" s="1"/>
  <c r="AU591" i="1"/>
  <c r="AP591" i="1" s="1"/>
  <c r="AU592" i="1"/>
  <c r="AP592" i="1" s="1"/>
  <c r="AU593" i="1"/>
  <c r="AP593" i="1" s="1"/>
  <c r="AU594" i="1"/>
  <c r="AP594" i="1" s="1"/>
  <c r="AU595" i="1"/>
  <c r="AP595" i="1" s="1"/>
  <c r="AU596" i="1"/>
  <c r="AP596" i="1" s="1"/>
  <c r="AU597" i="1"/>
  <c r="AP597" i="1" s="1"/>
  <c r="AU598" i="1"/>
  <c r="AP598" i="1" s="1"/>
  <c r="AU599" i="1"/>
  <c r="AP599" i="1" s="1"/>
  <c r="AU600" i="1"/>
  <c r="AP600" i="1" s="1"/>
  <c r="AU601" i="1"/>
  <c r="AP601" i="1" s="1"/>
  <c r="AU602" i="1"/>
  <c r="AP602" i="1" s="1"/>
  <c r="AU603" i="1"/>
  <c r="AP603" i="1" s="1"/>
  <c r="AU604" i="1"/>
  <c r="AP604" i="1" s="1"/>
  <c r="AU605" i="1"/>
  <c r="AP605" i="1" s="1"/>
  <c r="AU606" i="1"/>
  <c r="AP606" i="1" s="1"/>
  <c r="AU607" i="1"/>
  <c r="AP607" i="1" s="1"/>
  <c r="AU608" i="1"/>
  <c r="AP608" i="1" s="1"/>
  <c r="AU609" i="1"/>
  <c r="AP609" i="1" s="1"/>
  <c r="AU610" i="1"/>
  <c r="AP610" i="1" s="1"/>
  <c r="AU611" i="1"/>
  <c r="AP611" i="1" s="1"/>
  <c r="AU612" i="1"/>
  <c r="AP612" i="1" s="1"/>
  <c r="AU613" i="1"/>
  <c r="AP613" i="1" s="1"/>
  <c r="AU614" i="1"/>
  <c r="AP614" i="1" s="1"/>
  <c r="AU615" i="1"/>
  <c r="AP615" i="1" s="1"/>
  <c r="AU616" i="1"/>
  <c r="AP616" i="1" s="1"/>
  <c r="AU617" i="1"/>
  <c r="AP617" i="1" s="1"/>
  <c r="AU618" i="1"/>
  <c r="AP618" i="1" s="1"/>
  <c r="AU619" i="1"/>
  <c r="AP619" i="1" s="1"/>
  <c r="AU620" i="1"/>
  <c r="AP620" i="1" s="1"/>
  <c r="AU621" i="1"/>
  <c r="AP621" i="1" s="1"/>
  <c r="AU622" i="1"/>
  <c r="AP622" i="1" s="1"/>
  <c r="AU623" i="1"/>
  <c r="AP623" i="1" s="1"/>
  <c r="AU624" i="1"/>
  <c r="AP624" i="1" s="1"/>
  <c r="AU625" i="1"/>
  <c r="AP625" i="1" s="1"/>
  <c r="AU626" i="1"/>
  <c r="AP626" i="1" s="1"/>
  <c r="AU627" i="1"/>
  <c r="AP627" i="1" s="1"/>
  <c r="AU628" i="1"/>
  <c r="AP628" i="1" s="1"/>
  <c r="AU629" i="1"/>
  <c r="AP629" i="1" s="1"/>
  <c r="AU630" i="1"/>
  <c r="AP630" i="1" s="1"/>
  <c r="AU631" i="1"/>
  <c r="AP631" i="1" s="1"/>
  <c r="AU632" i="1"/>
  <c r="AP632" i="1" s="1"/>
  <c r="AU633" i="1"/>
  <c r="AP633" i="1" s="1"/>
  <c r="AU634" i="1"/>
  <c r="AP634" i="1" s="1"/>
  <c r="AU635" i="1"/>
  <c r="AP635" i="1" s="1"/>
  <c r="AU636" i="1"/>
  <c r="AP636" i="1" s="1"/>
  <c r="AU637" i="1"/>
  <c r="AP637" i="1" s="1"/>
  <c r="AU638" i="1"/>
  <c r="AP638" i="1" s="1"/>
  <c r="AU639" i="1"/>
  <c r="AP639" i="1" s="1"/>
  <c r="AU640" i="1"/>
  <c r="AP640" i="1" s="1"/>
  <c r="AU641" i="1"/>
  <c r="AP641" i="1" s="1"/>
  <c r="AU642" i="1"/>
  <c r="AP642" i="1" s="1"/>
  <c r="AU643" i="1"/>
  <c r="AP643" i="1" s="1"/>
  <c r="AU644" i="1"/>
  <c r="AP644" i="1" s="1"/>
  <c r="AU645" i="1"/>
  <c r="AP645" i="1" s="1"/>
  <c r="AU646" i="1"/>
  <c r="AP646" i="1" s="1"/>
  <c r="AU647" i="1"/>
  <c r="AP647" i="1" s="1"/>
  <c r="AU648" i="1"/>
  <c r="AP648" i="1" s="1"/>
  <c r="AU649" i="1"/>
  <c r="AP649" i="1" s="1"/>
  <c r="AU650" i="1"/>
  <c r="AP650" i="1" s="1"/>
  <c r="AU651" i="1"/>
  <c r="AP651" i="1" s="1"/>
  <c r="AU652" i="1"/>
  <c r="AP652" i="1" s="1"/>
  <c r="AU653" i="1"/>
  <c r="AP653" i="1" s="1"/>
  <c r="AU654" i="1"/>
  <c r="AP654" i="1" s="1"/>
  <c r="AU655" i="1"/>
  <c r="AP655" i="1" s="1"/>
  <c r="AU656" i="1"/>
  <c r="AP656" i="1" s="1"/>
  <c r="AU657" i="1"/>
  <c r="AP657" i="1" s="1"/>
  <c r="AU658" i="1"/>
  <c r="AP658" i="1" s="1"/>
  <c r="AU659" i="1"/>
  <c r="AP659" i="1" s="1"/>
  <c r="AU660" i="1"/>
  <c r="AP660" i="1" s="1"/>
  <c r="AU661" i="1"/>
  <c r="AP661" i="1" s="1"/>
  <c r="AU662" i="1"/>
  <c r="AP662" i="1" s="1"/>
  <c r="AU663" i="1"/>
  <c r="AP663" i="1" s="1"/>
  <c r="AU664" i="1"/>
  <c r="AP664" i="1" s="1"/>
  <c r="AU665" i="1"/>
  <c r="AP665" i="1" s="1"/>
  <c r="AU666" i="1"/>
  <c r="AP666" i="1" s="1"/>
  <c r="AU667" i="1"/>
  <c r="AP667" i="1" s="1"/>
  <c r="AU668" i="1"/>
  <c r="AP668" i="1" s="1"/>
  <c r="AU669" i="1"/>
  <c r="AP669" i="1" s="1"/>
  <c r="AU670" i="1"/>
  <c r="AP670" i="1" s="1"/>
  <c r="AU671" i="1"/>
  <c r="AP671" i="1" s="1"/>
  <c r="AU672" i="1"/>
  <c r="AP672" i="1" s="1"/>
  <c r="AU673" i="1"/>
  <c r="AP673" i="1" s="1"/>
  <c r="AU674" i="1"/>
  <c r="AP674" i="1" s="1"/>
  <c r="AU675" i="1"/>
  <c r="AP675" i="1" s="1"/>
  <c r="AU676" i="1"/>
  <c r="AP676" i="1" s="1"/>
  <c r="AU677" i="1"/>
  <c r="AP677" i="1" s="1"/>
  <c r="AU678" i="1"/>
  <c r="AP678" i="1" s="1"/>
  <c r="AU679" i="1"/>
  <c r="AP679" i="1" s="1"/>
  <c r="AU680" i="1"/>
  <c r="AP680" i="1" s="1"/>
  <c r="AU681" i="1"/>
  <c r="AP681" i="1" s="1"/>
  <c r="AU682" i="1"/>
  <c r="AP682" i="1" s="1"/>
  <c r="AU683" i="1"/>
  <c r="AP683" i="1" s="1"/>
  <c r="AU684" i="1"/>
  <c r="AP684" i="1" s="1"/>
  <c r="AU685" i="1"/>
  <c r="AP685" i="1" s="1"/>
  <c r="AU686" i="1"/>
  <c r="AP686" i="1" s="1"/>
  <c r="AU687" i="1"/>
  <c r="AP687" i="1" s="1"/>
  <c r="AU688" i="1"/>
  <c r="AP688" i="1" s="1"/>
  <c r="AU689" i="1"/>
  <c r="AP689" i="1" s="1"/>
  <c r="AU690" i="1"/>
  <c r="AP690" i="1" s="1"/>
  <c r="AU691" i="1"/>
  <c r="AP691" i="1" s="1"/>
  <c r="AU692" i="1"/>
  <c r="AP692" i="1" s="1"/>
  <c r="AU693" i="1"/>
  <c r="AP693" i="1" s="1"/>
  <c r="AU694" i="1"/>
  <c r="AP694" i="1" s="1"/>
  <c r="AU695" i="1"/>
  <c r="AP695" i="1" s="1"/>
  <c r="AU696" i="1"/>
  <c r="AP696" i="1" s="1"/>
  <c r="AU697" i="1"/>
  <c r="AP697" i="1" s="1"/>
  <c r="AU698" i="1"/>
  <c r="AP698" i="1" s="1"/>
  <c r="AU699" i="1"/>
  <c r="AP699" i="1" s="1"/>
  <c r="AU700" i="1"/>
  <c r="AP700" i="1" s="1"/>
  <c r="AU701" i="1"/>
  <c r="AP701" i="1" s="1"/>
  <c r="AU702" i="1"/>
  <c r="AP702" i="1" s="1"/>
  <c r="AU703" i="1"/>
  <c r="AP703" i="1" s="1"/>
  <c r="AU704" i="1"/>
  <c r="AP704" i="1" s="1"/>
  <c r="AU705" i="1"/>
  <c r="AP705" i="1" s="1"/>
  <c r="AU706" i="1"/>
  <c r="AP706" i="1" s="1"/>
  <c r="AU707" i="1"/>
  <c r="AP707" i="1" s="1"/>
  <c r="AU708" i="1"/>
  <c r="AP708" i="1" s="1"/>
  <c r="AU3" i="1"/>
  <c r="AP3" i="1" s="1"/>
  <c r="U1216" i="1" l="1"/>
  <c r="W1216" i="1" s="1"/>
  <c r="U1856" i="1"/>
  <c r="W1856" i="1" s="1"/>
  <c r="U2750" i="1"/>
  <c r="W2750" i="1" s="1"/>
  <c r="U1857" i="1"/>
  <c r="W1857" i="1" s="1"/>
  <c r="S2817" i="1"/>
  <c r="S2881" i="1"/>
  <c r="AT2881" i="1" s="1"/>
  <c r="AO2881" i="1" s="1"/>
  <c r="S2898" i="1"/>
  <c r="AS2898" i="1" s="1"/>
  <c r="AN2898" i="1" s="1"/>
  <c r="S2916" i="1"/>
  <c r="AR2916" i="1" s="1"/>
  <c r="AM2916" i="1" s="1"/>
  <c r="S2847" i="1"/>
  <c r="AR2847" i="1" s="1"/>
  <c r="AM2847" i="1" s="1"/>
  <c r="S2863" i="1"/>
  <c r="AR2863" i="1" s="1"/>
  <c r="AM2863" i="1" s="1"/>
  <c r="S2771" i="1"/>
  <c r="AR2771" i="1" s="1"/>
  <c r="AM2771" i="1" s="1"/>
  <c r="S2822" i="1"/>
  <c r="AS2822" i="1" s="1"/>
  <c r="AN2822" i="1" s="1"/>
  <c r="S2856" i="1"/>
  <c r="AS2856" i="1" s="1"/>
  <c r="AN2856" i="1" s="1"/>
  <c r="S2894" i="1"/>
  <c r="AQ2894" i="1" s="1"/>
  <c r="AL2894" i="1" s="1"/>
  <c r="S2910" i="1"/>
  <c r="AR2910" i="1" s="1"/>
  <c r="AM2910" i="1" s="1"/>
  <c r="S2785" i="1"/>
  <c r="AQ2785" i="1" s="1"/>
  <c r="AL2785" i="1" s="1"/>
  <c r="S2870" i="1"/>
  <c r="AS2870" i="1" s="1"/>
  <c r="AN2870" i="1" s="1"/>
  <c r="AQ2926" i="1"/>
  <c r="AL2926" i="1" s="1"/>
  <c r="AQ2739" i="1"/>
  <c r="AL2739" i="1" s="1"/>
  <c r="AT2739" i="1"/>
  <c r="AO2739" i="1" s="1"/>
  <c r="AT2735" i="1"/>
  <c r="AO2735" i="1" s="1"/>
  <c r="U2798" i="1"/>
  <c r="W2798" i="1" s="1"/>
  <c r="U2792" i="1"/>
  <c r="W2792" i="1" s="1"/>
  <c r="AQ2925" i="1"/>
  <c r="AL2925" i="1" s="1"/>
  <c r="AS2897" i="1"/>
  <c r="AN2897" i="1" s="1"/>
  <c r="AS2756" i="1"/>
  <c r="AN2756" i="1" s="1"/>
  <c r="AS2735" i="1"/>
  <c r="AN2735" i="1" s="1"/>
  <c r="AS2732" i="1"/>
  <c r="AN2732" i="1" s="1"/>
  <c r="AT2785" i="1"/>
  <c r="AO2785" i="1" s="1"/>
  <c r="AS2800" i="1"/>
  <c r="AN2800" i="1" s="1"/>
  <c r="U2800" i="1"/>
  <c r="W2800" i="1" s="1"/>
  <c r="AR2762" i="1"/>
  <c r="AM2762" i="1" s="1"/>
  <c r="AQ2762" i="1"/>
  <c r="AL2762" i="1" s="1"/>
  <c r="AS2882" i="1"/>
  <c r="AN2882" i="1" s="1"/>
  <c r="AT2882" i="1"/>
  <c r="AO2882" i="1" s="1"/>
  <c r="AQ2748" i="1"/>
  <c r="AL2748" i="1" s="1"/>
  <c r="AR2748" i="1"/>
  <c r="AM2748" i="1" s="1"/>
  <c r="AS2765" i="1"/>
  <c r="AN2765" i="1" s="1"/>
  <c r="AT2765" i="1"/>
  <c r="AO2765" i="1" s="1"/>
  <c r="AR2851" i="1"/>
  <c r="AM2851" i="1" s="1"/>
  <c r="AS2851" i="1"/>
  <c r="AN2851" i="1" s="1"/>
  <c r="AT2920" i="1"/>
  <c r="AO2920" i="1" s="1"/>
  <c r="AS2920" i="1"/>
  <c r="AN2920" i="1" s="1"/>
  <c r="AS2749" i="1"/>
  <c r="AN2749" i="1" s="1"/>
  <c r="AR2749" i="1"/>
  <c r="AM2749" i="1" s="1"/>
  <c r="AQ2812" i="1"/>
  <c r="AL2812" i="1" s="1"/>
  <c r="AT2812" i="1"/>
  <c r="AO2812" i="1" s="1"/>
  <c r="AR2835" i="1"/>
  <c r="AM2835" i="1" s="1"/>
  <c r="AT2835" i="1"/>
  <c r="AO2835" i="1" s="1"/>
  <c r="AQ2796" i="1"/>
  <c r="AL2796" i="1" s="1"/>
  <c r="AR2796" i="1"/>
  <c r="AM2796" i="1" s="1"/>
  <c r="AT2817" i="1"/>
  <c r="AO2817" i="1" s="1"/>
  <c r="AR2817" i="1"/>
  <c r="AM2817" i="1" s="1"/>
  <c r="AT2857" i="1"/>
  <c r="AO2857" i="1" s="1"/>
  <c r="AQ2857" i="1"/>
  <c r="AL2857" i="1" s="1"/>
  <c r="AT2872" i="1"/>
  <c r="AO2872" i="1" s="1"/>
  <c r="AS2872" i="1"/>
  <c r="AN2872" i="1" s="1"/>
  <c r="AR2906" i="1"/>
  <c r="AM2906" i="1" s="1"/>
  <c r="AT2906" i="1"/>
  <c r="AO2906" i="1" s="1"/>
  <c r="AQ2780" i="1"/>
  <c r="AL2780" i="1" s="1"/>
  <c r="AS2780" i="1"/>
  <c r="AN2780" i="1" s="1"/>
  <c r="AS2904" i="1"/>
  <c r="AN2904" i="1" s="1"/>
  <c r="AT2904" i="1"/>
  <c r="AO2904" i="1" s="1"/>
  <c r="AS2770" i="1"/>
  <c r="AN2770" i="1" s="1"/>
  <c r="AR2770" i="1"/>
  <c r="AM2770" i="1" s="1"/>
  <c r="AR2804" i="1"/>
  <c r="AM2804" i="1" s="1"/>
  <c r="AS2804" i="1"/>
  <c r="AN2804" i="1" s="1"/>
  <c r="AS2919" i="1"/>
  <c r="AN2919" i="1" s="1"/>
  <c r="AQ2900" i="1"/>
  <c r="AL2900" i="1" s="1"/>
  <c r="AR2865" i="1"/>
  <c r="AM2865" i="1" s="1"/>
  <c r="AS2873" i="1"/>
  <c r="AN2873" i="1" s="1"/>
  <c r="AQ2879" i="1"/>
  <c r="AL2879" i="1" s="1"/>
  <c r="U2753" i="1"/>
  <c r="W2753" i="1" s="1"/>
  <c r="U2880" i="1"/>
  <c r="W2880" i="1" s="1"/>
  <c r="AQ2878" i="1"/>
  <c r="AL2878" i="1" s="1"/>
  <c r="AR2841" i="1"/>
  <c r="AM2841" i="1" s="1"/>
  <c r="AT2858" i="1"/>
  <c r="AO2858" i="1" s="1"/>
  <c r="U2752" i="1"/>
  <c r="W2752" i="1" s="1"/>
  <c r="AR2839" i="1"/>
  <c r="AM2839" i="1" s="1"/>
  <c r="AS2849" i="1"/>
  <c r="AN2849" i="1" s="1"/>
  <c r="AT2836" i="1"/>
  <c r="AO2836" i="1" s="1"/>
  <c r="AQ2833" i="1"/>
  <c r="AL2833" i="1" s="1"/>
  <c r="AR2818" i="1"/>
  <c r="AM2818" i="1" s="1"/>
  <c r="AS2826" i="1"/>
  <c r="AN2826" i="1" s="1"/>
  <c r="U2887" i="1"/>
  <c r="W2887" i="1" s="1"/>
  <c r="AQ2831" i="1"/>
  <c r="AL2831" i="1" s="1"/>
  <c r="U2924" i="1"/>
  <c r="W2924" i="1" s="1"/>
  <c r="AQ2810" i="1"/>
  <c r="AL2810" i="1" s="1"/>
  <c r="AS2803" i="1"/>
  <c r="AN2803" i="1" s="1"/>
  <c r="U2820" i="1"/>
  <c r="W2820" i="1" s="1"/>
  <c r="AQ2786" i="1"/>
  <c r="AL2786" i="1" s="1"/>
  <c r="AR2772" i="1"/>
  <c r="AM2772" i="1" s="1"/>
  <c r="AT2788" i="1"/>
  <c r="AO2788" i="1" s="1"/>
  <c r="AR2887" i="1"/>
  <c r="AM2887" i="1" s="1"/>
  <c r="U2819" i="1"/>
  <c r="W2819" i="1" s="1"/>
  <c r="AS2778" i="1"/>
  <c r="AN2778" i="1" s="1"/>
  <c r="AT2883" i="1"/>
  <c r="AO2883" i="1" s="1"/>
  <c r="AQ2763" i="1"/>
  <c r="AL2763" i="1" s="1"/>
  <c r="AS2757" i="1"/>
  <c r="AN2757" i="1" s="1"/>
  <c r="AT2764" i="1"/>
  <c r="AO2764" i="1" s="1"/>
  <c r="AT2773" i="1"/>
  <c r="AO2773" i="1" s="1"/>
  <c r="AQ2773" i="1"/>
  <c r="AL2773" i="1" s="1"/>
  <c r="U2886" i="1"/>
  <c r="W2886" i="1" s="1"/>
  <c r="U2818" i="1"/>
  <c r="W2818" i="1" s="1"/>
  <c r="AQ2923" i="1"/>
  <c r="AL2923" i="1" s="1"/>
  <c r="AQ2899" i="1"/>
  <c r="AL2899" i="1" s="1"/>
  <c r="AQ2877" i="1"/>
  <c r="AL2877" i="1" s="1"/>
  <c r="AQ2852" i="1"/>
  <c r="AL2852" i="1" s="1"/>
  <c r="AQ2806" i="1"/>
  <c r="AL2806" i="1" s="1"/>
  <c r="AQ2783" i="1"/>
  <c r="AL2783" i="1" s="1"/>
  <c r="AQ2761" i="1"/>
  <c r="AL2761" i="1" s="1"/>
  <c r="AQ2737" i="1"/>
  <c r="AL2737" i="1" s="1"/>
  <c r="AR2909" i="1"/>
  <c r="AM2909" i="1" s="1"/>
  <c r="AR2885" i="1"/>
  <c r="AM2885" i="1" s="1"/>
  <c r="AR2838" i="1"/>
  <c r="AM2838" i="1" s="1"/>
  <c r="AR2791" i="1"/>
  <c r="AM2791" i="1" s="1"/>
  <c r="AR2769" i="1"/>
  <c r="AM2769" i="1" s="1"/>
  <c r="AR2745" i="1"/>
  <c r="AM2745" i="1" s="1"/>
  <c r="AS2895" i="1"/>
  <c r="AN2895" i="1" s="1"/>
  <c r="AS2871" i="1"/>
  <c r="AN2871" i="1" s="1"/>
  <c r="AS2824" i="1"/>
  <c r="AN2824" i="1" s="1"/>
  <c r="AS2801" i="1"/>
  <c r="AN2801" i="1" s="1"/>
  <c r="AS2777" i="1"/>
  <c r="AN2777" i="1" s="1"/>
  <c r="AS2755" i="1"/>
  <c r="AN2755" i="1" s="1"/>
  <c r="AT2925" i="1"/>
  <c r="AO2925" i="1" s="1"/>
  <c r="AT2903" i="1"/>
  <c r="AO2903" i="1" s="1"/>
  <c r="AT2879" i="1"/>
  <c r="AO2879" i="1" s="1"/>
  <c r="AT2856" i="1"/>
  <c r="AO2856" i="1" s="1"/>
  <c r="AT2834" i="1"/>
  <c r="AO2834" i="1" s="1"/>
  <c r="AT2810" i="1"/>
  <c r="AO2810" i="1" s="1"/>
  <c r="AT2787" i="1"/>
  <c r="AO2787" i="1" s="1"/>
  <c r="AT2763" i="1"/>
  <c r="AO2763" i="1" s="1"/>
  <c r="AT2733" i="1"/>
  <c r="AO2733" i="1" s="1"/>
  <c r="AT2821" i="1"/>
  <c r="AO2821" i="1" s="1"/>
  <c r="AQ2821" i="1"/>
  <c r="AL2821" i="1" s="1"/>
  <c r="AQ2809" i="1"/>
  <c r="AL2809" i="1" s="1"/>
  <c r="AR2793" i="1"/>
  <c r="AM2793" i="1" s="1"/>
  <c r="U2885" i="1"/>
  <c r="W2885" i="1" s="1"/>
  <c r="U2749" i="1"/>
  <c r="W2749" i="1" s="1"/>
  <c r="U2912" i="1"/>
  <c r="W2912" i="1" s="1"/>
  <c r="U2832" i="1"/>
  <c r="W2832" i="1" s="1"/>
  <c r="AQ2922" i="1"/>
  <c r="AL2922" i="1" s="1"/>
  <c r="AQ2898" i="1"/>
  <c r="AL2898" i="1" s="1"/>
  <c r="AQ2875" i="1"/>
  <c r="AL2875" i="1" s="1"/>
  <c r="AQ2851" i="1"/>
  <c r="AL2851" i="1" s="1"/>
  <c r="AQ2829" i="1"/>
  <c r="AL2829" i="1" s="1"/>
  <c r="AQ2804" i="1"/>
  <c r="AL2804" i="1" s="1"/>
  <c r="AQ2758" i="1"/>
  <c r="AL2758" i="1" s="1"/>
  <c r="AQ2735" i="1"/>
  <c r="AL2735" i="1" s="1"/>
  <c r="AR2908" i="1"/>
  <c r="AM2908" i="1" s="1"/>
  <c r="AR2884" i="1"/>
  <c r="AM2884" i="1" s="1"/>
  <c r="AR2861" i="1"/>
  <c r="AM2861" i="1" s="1"/>
  <c r="AR2790" i="1"/>
  <c r="AM2790" i="1" s="1"/>
  <c r="AR2743" i="1"/>
  <c r="AM2743" i="1" s="1"/>
  <c r="AS2916" i="1"/>
  <c r="AN2916" i="1" s="1"/>
  <c r="AS2892" i="1"/>
  <c r="AN2892" i="1" s="1"/>
  <c r="AS2823" i="1"/>
  <c r="AN2823" i="1" s="1"/>
  <c r="AS2776" i="1"/>
  <c r="AN2776" i="1" s="1"/>
  <c r="AS2753" i="1"/>
  <c r="AN2753" i="1" s="1"/>
  <c r="AT2924" i="1"/>
  <c r="AO2924" i="1" s="1"/>
  <c r="AT2902" i="1"/>
  <c r="AO2902" i="1" s="1"/>
  <c r="AT2877" i="1"/>
  <c r="AO2877" i="1" s="1"/>
  <c r="AT2855" i="1"/>
  <c r="AO2855" i="1" s="1"/>
  <c r="AT2831" i="1"/>
  <c r="AO2831" i="1" s="1"/>
  <c r="AT2808" i="1"/>
  <c r="AO2808" i="1" s="1"/>
  <c r="AT2786" i="1"/>
  <c r="AO2786" i="1" s="1"/>
  <c r="AT2762" i="1"/>
  <c r="AO2762" i="1" s="1"/>
  <c r="AT2732" i="1"/>
  <c r="AO2732" i="1" s="1"/>
  <c r="AQ2902" i="1"/>
  <c r="AL2902" i="1" s="1"/>
  <c r="AT2869" i="1"/>
  <c r="AO2869" i="1" s="1"/>
  <c r="AQ2869" i="1"/>
  <c r="AL2869" i="1" s="1"/>
  <c r="AR2886" i="1"/>
  <c r="AM2886" i="1" s="1"/>
  <c r="AS2825" i="1"/>
  <c r="AN2825" i="1" s="1"/>
  <c r="AT2738" i="1"/>
  <c r="AO2738" i="1" s="1"/>
  <c r="AS2738" i="1"/>
  <c r="AN2738" i="1" s="1"/>
  <c r="U2900" i="1"/>
  <c r="W2900" i="1" s="1"/>
  <c r="U2833" i="1"/>
  <c r="W2833" i="1" s="1"/>
  <c r="U2766" i="1"/>
  <c r="W2766" i="1" s="1"/>
  <c r="U2748" i="1"/>
  <c r="W2748" i="1" s="1"/>
  <c r="U2751" i="1"/>
  <c r="W2751" i="1" s="1"/>
  <c r="AQ2921" i="1"/>
  <c r="AL2921" i="1" s="1"/>
  <c r="AQ2897" i="1"/>
  <c r="AL2897" i="1" s="1"/>
  <c r="AQ2874" i="1"/>
  <c r="AL2874" i="1" s="1"/>
  <c r="AQ2850" i="1"/>
  <c r="AL2850" i="1" s="1"/>
  <c r="AQ2827" i="1"/>
  <c r="AL2827" i="1" s="1"/>
  <c r="AQ2803" i="1"/>
  <c r="AL2803" i="1" s="1"/>
  <c r="AQ2781" i="1"/>
  <c r="AL2781" i="1" s="1"/>
  <c r="AQ2756" i="1"/>
  <c r="AL2756" i="1" s="1"/>
  <c r="AR2905" i="1"/>
  <c r="AM2905" i="1" s="1"/>
  <c r="AR2882" i="1"/>
  <c r="AM2882" i="1" s="1"/>
  <c r="AR2860" i="1"/>
  <c r="AM2860" i="1" s="1"/>
  <c r="AR2836" i="1"/>
  <c r="AM2836" i="1" s="1"/>
  <c r="AR2813" i="1"/>
  <c r="AM2813" i="1" s="1"/>
  <c r="AR2742" i="1"/>
  <c r="AM2742" i="1" s="1"/>
  <c r="AS2915" i="1"/>
  <c r="AN2915" i="1" s="1"/>
  <c r="AS2890" i="1"/>
  <c r="AN2890" i="1" s="1"/>
  <c r="AS2868" i="1"/>
  <c r="AN2868" i="1" s="1"/>
  <c r="AS2844" i="1"/>
  <c r="AN2844" i="1" s="1"/>
  <c r="AS2821" i="1"/>
  <c r="AN2821" i="1" s="1"/>
  <c r="AS2799" i="1"/>
  <c r="AN2799" i="1" s="1"/>
  <c r="AS2775" i="1"/>
  <c r="AN2775" i="1" s="1"/>
  <c r="AT2900" i="1"/>
  <c r="AO2900" i="1" s="1"/>
  <c r="AT2876" i="1"/>
  <c r="AO2876" i="1" s="1"/>
  <c r="AT2854" i="1"/>
  <c r="AO2854" i="1" s="1"/>
  <c r="AT2829" i="1"/>
  <c r="AO2829" i="1" s="1"/>
  <c r="AT2807" i="1"/>
  <c r="AO2807" i="1" s="1"/>
  <c r="AT2783" i="1"/>
  <c r="AO2783" i="1" s="1"/>
  <c r="AT2853" i="1"/>
  <c r="AO2853" i="1" s="1"/>
  <c r="AQ2853" i="1"/>
  <c r="AL2853" i="1" s="1"/>
  <c r="AT2741" i="1"/>
  <c r="AO2741" i="1" s="1"/>
  <c r="AQ2741" i="1"/>
  <c r="AL2741" i="1" s="1"/>
  <c r="U2899" i="1"/>
  <c r="W2899" i="1" s="1"/>
  <c r="U2831" i="1"/>
  <c r="W2831" i="1" s="1"/>
  <c r="U2799" i="1"/>
  <c r="W2799" i="1" s="1"/>
  <c r="U2765" i="1"/>
  <c r="W2765" i="1" s="1"/>
  <c r="AQ2918" i="1"/>
  <c r="AL2918" i="1" s="1"/>
  <c r="AQ2895" i="1"/>
  <c r="AL2895" i="1" s="1"/>
  <c r="AQ2873" i="1"/>
  <c r="AL2873" i="1" s="1"/>
  <c r="AQ2849" i="1"/>
  <c r="AL2849" i="1" s="1"/>
  <c r="AQ2826" i="1"/>
  <c r="AL2826" i="1" s="1"/>
  <c r="AQ2802" i="1"/>
  <c r="AL2802" i="1" s="1"/>
  <c r="AQ2779" i="1"/>
  <c r="AL2779" i="1" s="1"/>
  <c r="AQ2755" i="1"/>
  <c r="AL2755" i="1" s="1"/>
  <c r="AQ2733" i="1"/>
  <c r="AL2733" i="1" s="1"/>
  <c r="AR2903" i="1"/>
  <c r="AM2903" i="1" s="1"/>
  <c r="AR2881" i="1"/>
  <c r="AM2881" i="1" s="1"/>
  <c r="AR2857" i="1"/>
  <c r="AM2857" i="1" s="1"/>
  <c r="AR2834" i="1"/>
  <c r="AM2834" i="1" s="1"/>
  <c r="AR2812" i="1"/>
  <c r="AM2812" i="1" s="1"/>
  <c r="AR2788" i="1"/>
  <c r="AM2788" i="1" s="1"/>
  <c r="AR2765" i="1"/>
  <c r="AM2765" i="1" s="1"/>
  <c r="AR2741" i="1"/>
  <c r="AM2741" i="1" s="1"/>
  <c r="AS2913" i="1"/>
  <c r="AN2913" i="1" s="1"/>
  <c r="AS2889" i="1"/>
  <c r="AN2889" i="1" s="1"/>
  <c r="AS2867" i="1"/>
  <c r="AN2867" i="1" s="1"/>
  <c r="AS2842" i="1"/>
  <c r="AN2842" i="1" s="1"/>
  <c r="AS2820" i="1"/>
  <c r="AN2820" i="1" s="1"/>
  <c r="AS2796" i="1"/>
  <c r="AN2796" i="1" s="1"/>
  <c r="AS2773" i="1"/>
  <c r="AN2773" i="1" s="1"/>
  <c r="AS2751" i="1"/>
  <c r="AN2751" i="1" s="1"/>
  <c r="AT2922" i="1"/>
  <c r="AO2922" i="1" s="1"/>
  <c r="AT2899" i="1"/>
  <c r="AO2899" i="1" s="1"/>
  <c r="AT2852" i="1"/>
  <c r="AO2852" i="1" s="1"/>
  <c r="AT2828" i="1"/>
  <c r="AO2828" i="1" s="1"/>
  <c r="AT2806" i="1"/>
  <c r="AO2806" i="1" s="1"/>
  <c r="AT2781" i="1"/>
  <c r="AO2781" i="1" s="1"/>
  <c r="AT2759" i="1"/>
  <c r="AO2759" i="1" s="1"/>
  <c r="AT2912" i="1"/>
  <c r="AO2912" i="1" s="1"/>
  <c r="AQ2912" i="1"/>
  <c r="AL2912" i="1" s="1"/>
  <c r="AT2896" i="1"/>
  <c r="AO2896" i="1" s="1"/>
  <c r="AQ2896" i="1"/>
  <c r="AL2896" i="1" s="1"/>
  <c r="AT2880" i="1"/>
  <c r="AO2880" i="1" s="1"/>
  <c r="AQ2880" i="1"/>
  <c r="AL2880" i="1" s="1"/>
  <c r="AT2864" i="1"/>
  <c r="AO2864" i="1" s="1"/>
  <c r="AQ2864" i="1"/>
  <c r="AL2864" i="1" s="1"/>
  <c r="AT2848" i="1"/>
  <c r="AO2848" i="1" s="1"/>
  <c r="AQ2848" i="1"/>
  <c r="AL2848" i="1" s="1"/>
  <c r="AT2832" i="1"/>
  <c r="AO2832" i="1" s="1"/>
  <c r="AQ2832" i="1"/>
  <c r="AL2832" i="1" s="1"/>
  <c r="AT2816" i="1"/>
  <c r="AO2816" i="1" s="1"/>
  <c r="AQ2816" i="1"/>
  <c r="AL2816" i="1" s="1"/>
  <c r="AT2800" i="1"/>
  <c r="AO2800" i="1" s="1"/>
  <c r="AQ2800" i="1"/>
  <c r="AL2800" i="1" s="1"/>
  <c r="AT2784" i="1"/>
  <c r="AO2784" i="1" s="1"/>
  <c r="AQ2784" i="1"/>
  <c r="AL2784" i="1" s="1"/>
  <c r="AT2768" i="1"/>
  <c r="AO2768" i="1" s="1"/>
  <c r="AQ2768" i="1"/>
  <c r="AL2768" i="1" s="1"/>
  <c r="AT2752" i="1"/>
  <c r="AO2752" i="1" s="1"/>
  <c r="AQ2752" i="1"/>
  <c r="AL2752" i="1" s="1"/>
  <c r="AT2736" i="1"/>
  <c r="AO2736" i="1" s="1"/>
  <c r="AQ2736" i="1"/>
  <c r="AL2736" i="1" s="1"/>
  <c r="U2898" i="1"/>
  <c r="W2898" i="1" s="1"/>
  <c r="U2764" i="1"/>
  <c r="W2764" i="1" s="1"/>
  <c r="AQ2916" i="1"/>
  <c r="AL2916" i="1" s="1"/>
  <c r="AQ2870" i="1"/>
  <c r="AL2870" i="1" s="1"/>
  <c r="AQ2847" i="1"/>
  <c r="AL2847" i="1" s="1"/>
  <c r="AQ2825" i="1"/>
  <c r="AL2825" i="1" s="1"/>
  <c r="AQ2801" i="1"/>
  <c r="AL2801" i="1" s="1"/>
  <c r="AQ2778" i="1"/>
  <c r="AL2778" i="1" s="1"/>
  <c r="AQ2754" i="1"/>
  <c r="AL2754" i="1" s="1"/>
  <c r="AR2902" i="1"/>
  <c r="AM2902" i="1" s="1"/>
  <c r="AR2880" i="1"/>
  <c r="AM2880" i="1" s="1"/>
  <c r="AR2855" i="1"/>
  <c r="AM2855" i="1" s="1"/>
  <c r="AR2833" i="1"/>
  <c r="AM2833" i="1" s="1"/>
  <c r="AR2809" i="1"/>
  <c r="AM2809" i="1" s="1"/>
  <c r="AR2786" i="1"/>
  <c r="AM2786" i="1" s="1"/>
  <c r="AR2764" i="1"/>
  <c r="AM2764" i="1" s="1"/>
  <c r="AR2740" i="1"/>
  <c r="AM2740" i="1" s="1"/>
  <c r="AS2912" i="1"/>
  <c r="AN2912" i="1" s="1"/>
  <c r="AS2888" i="1"/>
  <c r="AN2888" i="1" s="1"/>
  <c r="AS2865" i="1"/>
  <c r="AN2865" i="1" s="1"/>
  <c r="AS2841" i="1"/>
  <c r="AN2841" i="1" s="1"/>
  <c r="AS2819" i="1"/>
  <c r="AN2819" i="1" s="1"/>
  <c r="AS2794" i="1"/>
  <c r="AN2794" i="1" s="1"/>
  <c r="AS2772" i="1"/>
  <c r="AN2772" i="1" s="1"/>
  <c r="AS2748" i="1"/>
  <c r="AN2748" i="1" s="1"/>
  <c r="AT2898" i="1"/>
  <c r="AO2898" i="1" s="1"/>
  <c r="AT2874" i="1"/>
  <c r="AO2874" i="1" s="1"/>
  <c r="AT2851" i="1"/>
  <c r="AO2851" i="1" s="1"/>
  <c r="AT2804" i="1"/>
  <c r="AO2804" i="1" s="1"/>
  <c r="AT2780" i="1"/>
  <c r="AO2780" i="1" s="1"/>
  <c r="AT2758" i="1"/>
  <c r="AO2758" i="1" s="1"/>
  <c r="AT2805" i="1"/>
  <c r="AO2805" i="1" s="1"/>
  <c r="AQ2805" i="1"/>
  <c r="AL2805" i="1" s="1"/>
  <c r="U2870" i="1"/>
  <c r="W2870" i="1" s="1"/>
  <c r="AQ2854" i="1"/>
  <c r="AL2854" i="1" s="1"/>
  <c r="U2846" i="1"/>
  <c r="W2846" i="1" s="1"/>
  <c r="AQ2915" i="1"/>
  <c r="AL2915" i="1" s="1"/>
  <c r="AQ2893" i="1"/>
  <c r="AL2893" i="1" s="1"/>
  <c r="AQ2868" i="1"/>
  <c r="AL2868" i="1" s="1"/>
  <c r="AQ2822" i="1"/>
  <c r="AL2822" i="1" s="1"/>
  <c r="AQ2799" i="1"/>
  <c r="AL2799" i="1" s="1"/>
  <c r="AQ2777" i="1"/>
  <c r="AL2777" i="1" s="1"/>
  <c r="AQ2753" i="1"/>
  <c r="AL2753" i="1" s="1"/>
  <c r="AR2925" i="1"/>
  <c r="AM2925" i="1" s="1"/>
  <c r="AR2854" i="1"/>
  <c r="AM2854" i="1" s="1"/>
  <c r="AR2832" i="1"/>
  <c r="AM2832" i="1" s="1"/>
  <c r="AR2807" i="1"/>
  <c r="AM2807" i="1" s="1"/>
  <c r="AR2785" i="1"/>
  <c r="AM2785" i="1" s="1"/>
  <c r="AR2761" i="1"/>
  <c r="AM2761" i="1" s="1"/>
  <c r="AR2738" i="1"/>
  <c r="AM2738" i="1" s="1"/>
  <c r="AS2911" i="1"/>
  <c r="AN2911" i="1" s="1"/>
  <c r="AS2887" i="1"/>
  <c r="AN2887" i="1" s="1"/>
  <c r="AS2864" i="1"/>
  <c r="AN2864" i="1" s="1"/>
  <c r="AS2840" i="1"/>
  <c r="AN2840" i="1" s="1"/>
  <c r="AS2817" i="1"/>
  <c r="AN2817" i="1" s="1"/>
  <c r="AS2793" i="1"/>
  <c r="AN2793" i="1" s="1"/>
  <c r="AS2771" i="1"/>
  <c r="AN2771" i="1" s="1"/>
  <c r="AS2746" i="1"/>
  <c r="AN2746" i="1" s="1"/>
  <c r="AT2919" i="1"/>
  <c r="AO2919" i="1" s="1"/>
  <c r="AT2895" i="1"/>
  <c r="AO2895" i="1" s="1"/>
  <c r="AT2850" i="1"/>
  <c r="AO2850" i="1" s="1"/>
  <c r="AT2826" i="1"/>
  <c r="AO2826" i="1" s="1"/>
  <c r="AT2803" i="1"/>
  <c r="AO2803" i="1" s="1"/>
  <c r="AT2756" i="1"/>
  <c r="AO2756" i="1" s="1"/>
  <c r="AT2837" i="1"/>
  <c r="AO2837" i="1" s="1"/>
  <c r="AQ2837" i="1"/>
  <c r="AL2837" i="1" s="1"/>
  <c r="AS2926" i="1"/>
  <c r="AN2926" i="1" s="1"/>
  <c r="AT2926" i="1"/>
  <c r="AO2926" i="1" s="1"/>
  <c r="AS2910" i="1"/>
  <c r="AN2910" i="1" s="1"/>
  <c r="AT2910" i="1"/>
  <c r="AO2910" i="1" s="1"/>
  <c r="AS2894" i="1"/>
  <c r="AN2894" i="1" s="1"/>
  <c r="AT2894" i="1"/>
  <c r="AO2894" i="1" s="1"/>
  <c r="AS2878" i="1"/>
  <c r="AN2878" i="1" s="1"/>
  <c r="AT2878" i="1"/>
  <c r="AO2878" i="1" s="1"/>
  <c r="AS2862" i="1"/>
  <c r="AN2862" i="1" s="1"/>
  <c r="AT2862" i="1"/>
  <c r="AO2862" i="1" s="1"/>
  <c r="AS2846" i="1"/>
  <c r="AN2846" i="1" s="1"/>
  <c r="AT2846" i="1"/>
  <c r="AO2846" i="1" s="1"/>
  <c r="AS2830" i="1"/>
  <c r="AN2830" i="1" s="1"/>
  <c r="AT2830" i="1"/>
  <c r="AO2830" i="1" s="1"/>
  <c r="AS2814" i="1"/>
  <c r="AN2814" i="1" s="1"/>
  <c r="AT2814" i="1"/>
  <c r="AO2814" i="1" s="1"/>
  <c r="AS2798" i="1"/>
  <c r="AN2798" i="1" s="1"/>
  <c r="AT2798" i="1"/>
  <c r="AO2798" i="1" s="1"/>
  <c r="AS2782" i="1"/>
  <c r="AN2782" i="1" s="1"/>
  <c r="AT2782" i="1"/>
  <c r="AO2782" i="1" s="1"/>
  <c r="AS2766" i="1"/>
  <c r="AN2766" i="1" s="1"/>
  <c r="AT2766" i="1"/>
  <c r="AO2766" i="1" s="1"/>
  <c r="AS2750" i="1"/>
  <c r="AN2750" i="1" s="1"/>
  <c r="AT2750" i="1"/>
  <c r="AO2750" i="1" s="1"/>
  <c r="AS2734" i="1"/>
  <c r="AN2734" i="1" s="1"/>
  <c r="AT2734" i="1"/>
  <c r="AO2734" i="1" s="1"/>
  <c r="U2913" i="1"/>
  <c r="W2913" i="1" s="1"/>
  <c r="U2879" i="1"/>
  <c r="W2879" i="1" s="1"/>
  <c r="U2845" i="1"/>
  <c r="W2845" i="1" s="1"/>
  <c r="U2762" i="1"/>
  <c r="W2762" i="1" s="1"/>
  <c r="U2859" i="1"/>
  <c r="W2859" i="1" s="1"/>
  <c r="U2779" i="1"/>
  <c r="W2779" i="1" s="1"/>
  <c r="AQ2914" i="1"/>
  <c r="AL2914" i="1" s="1"/>
  <c r="AQ2891" i="1"/>
  <c r="AL2891" i="1" s="1"/>
  <c r="AQ2867" i="1"/>
  <c r="AL2867" i="1" s="1"/>
  <c r="AQ2845" i="1"/>
  <c r="AL2845" i="1" s="1"/>
  <c r="AQ2820" i="1"/>
  <c r="AL2820" i="1" s="1"/>
  <c r="AQ2798" i="1"/>
  <c r="AL2798" i="1" s="1"/>
  <c r="AQ2774" i="1"/>
  <c r="AL2774" i="1" s="1"/>
  <c r="AQ2751" i="1"/>
  <c r="AL2751" i="1" s="1"/>
  <c r="AR2924" i="1"/>
  <c r="AM2924" i="1" s="1"/>
  <c r="AR2900" i="1"/>
  <c r="AM2900" i="1" s="1"/>
  <c r="AR2877" i="1"/>
  <c r="AM2877" i="1" s="1"/>
  <c r="AR2853" i="1"/>
  <c r="AM2853" i="1" s="1"/>
  <c r="AR2830" i="1"/>
  <c r="AM2830" i="1" s="1"/>
  <c r="AR2806" i="1"/>
  <c r="AM2806" i="1" s="1"/>
  <c r="AR2784" i="1"/>
  <c r="AM2784" i="1" s="1"/>
  <c r="AR2759" i="1"/>
  <c r="AM2759" i="1" s="1"/>
  <c r="AR2737" i="1"/>
  <c r="AM2737" i="1" s="1"/>
  <c r="AS2908" i="1"/>
  <c r="AN2908" i="1" s="1"/>
  <c r="AS2863" i="1"/>
  <c r="AN2863" i="1" s="1"/>
  <c r="AS2839" i="1"/>
  <c r="AN2839" i="1" s="1"/>
  <c r="AS2816" i="1"/>
  <c r="AN2816" i="1" s="1"/>
  <c r="AS2769" i="1"/>
  <c r="AN2769" i="1" s="1"/>
  <c r="AS2745" i="1"/>
  <c r="AN2745" i="1" s="1"/>
  <c r="AT2918" i="1"/>
  <c r="AO2918" i="1" s="1"/>
  <c r="AT2893" i="1"/>
  <c r="AO2893" i="1" s="1"/>
  <c r="AT2871" i="1"/>
  <c r="AO2871" i="1" s="1"/>
  <c r="AT2847" i="1"/>
  <c r="AO2847" i="1" s="1"/>
  <c r="AT2802" i="1"/>
  <c r="AO2802" i="1" s="1"/>
  <c r="AT2778" i="1"/>
  <c r="AO2778" i="1" s="1"/>
  <c r="AT2755" i="1"/>
  <c r="AO2755" i="1" s="1"/>
  <c r="AT2901" i="1"/>
  <c r="AO2901" i="1" s="1"/>
  <c r="AQ2901" i="1"/>
  <c r="AL2901" i="1" s="1"/>
  <c r="U2911" i="1"/>
  <c r="W2911" i="1" s="1"/>
  <c r="U2878" i="1"/>
  <c r="W2878" i="1" s="1"/>
  <c r="U2844" i="1"/>
  <c r="W2844" i="1" s="1"/>
  <c r="U2777" i="1"/>
  <c r="W2777" i="1" s="1"/>
  <c r="U2761" i="1"/>
  <c r="W2761" i="1" s="1"/>
  <c r="U2858" i="1"/>
  <c r="W2858" i="1" s="1"/>
  <c r="U2778" i="1"/>
  <c r="W2778" i="1" s="1"/>
  <c r="AQ2913" i="1"/>
  <c r="AL2913" i="1" s="1"/>
  <c r="AQ2890" i="1"/>
  <c r="AL2890" i="1" s="1"/>
  <c r="AQ2866" i="1"/>
  <c r="AL2866" i="1" s="1"/>
  <c r="AQ2819" i="1"/>
  <c r="AL2819" i="1" s="1"/>
  <c r="AQ2797" i="1"/>
  <c r="AL2797" i="1" s="1"/>
  <c r="AQ2772" i="1"/>
  <c r="AL2772" i="1" s="1"/>
  <c r="AQ2750" i="1"/>
  <c r="AL2750" i="1" s="1"/>
  <c r="AR2921" i="1"/>
  <c r="AM2921" i="1" s="1"/>
  <c r="AR2898" i="1"/>
  <c r="AM2898" i="1" s="1"/>
  <c r="AR2876" i="1"/>
  <c r="AM2876" i="1" s="1"/>
  <c r="AR2852" i="1"/>
  <c r="AM2852" i="1" s="1"/>
  <c r="AR2829" i="1"/>
  <c r="AM2829" i="1" s="1"/>
  <c r="AR2805" i="1"/>
  <c r="AM2805" i="1" s="1"/>
  <c r="AR2782" i="1"/>
  <c r="AM2782" i="1" s="1"/>
  <c r="AR2758" i="1"/>
  <c r="AM2758" i="1" s="1"/>
  <c r="AS2906" i="1"/>
  <c r="AN2906" i="1" s="1"/>
  <c r="AS2884" i="1"/>
  <c r="AN2884" i="1" s="1"/>
  <c r="AS2860" i="1"/>
  <c r="AN2860" i="1" s="1"/>
  <c r="AS2837" i="1"/>
  <c r="AN2837" i="1" s="1"/>
  <c r="AS2815" i="1"/>
  <c r="AN2815" i="1" s="1"/>
  <c r="AS2791" i="1"/>
  <c r="AN2791" i="1" s="1"/>
  <c r="AS2768" i="1"/>
  <c r="AN2768" i="1" s="1"/>
  <c r="AT2916" i="1"/>
  <c r="AO2916" i="1" s="1"/>
  <c r="AT2892" i="1"/>
  <c r="AO2892" i="1" s="1"/>
  <c r="AT2870" i="1"/>
  <c r="AO2870" i="1" s="1"/>
  <c r="AT2845" i="1"/>
  <c r="AO2845" i="1" s="1"/>
  <c r="AT2823" i="1"/>
  <c r="AO2823" i="1" s="1"/>
  <c r="AT2799" i="1"/>
  <c r="AO2799" i="1" s="1"/>
  <c r="AT2754" i="1"/>
  <c r="AO2754" i="1" s="1"/>
  <c r="AT2789" i="1"/>
  <c r="AO2789" i="1" s="1"/>
  <c r="AQ2789" i="1"/>
  <c r="AL2789" i="1" s="1"/>
  <c r="U2760" i="1"/>
  <c r="W2760" i="1" s="1"/>
  <c r="AQ2911" i="1"/>
  <c r="AL2911" i="1" s="1"/>
  <c r="AQ2889" i="1"/>
  <c r="AL2889" i="1" s="1"/>
  <c r="AQ2865" i="1"/>
  <c r="AL2865" i="1" s="1"/>
  <c r="AQ2842" i="1"/>
  <c r="AL2842" i="1" s="1"/>
  <c r="AQ2818" i="1"/>
  <c r="AL2818" i="1" s="1"/>
  <c r="AQ2771" i="1"/>
  <c r="AL2771" i="1" s="1"/>
  <c r="AQ2749" i="1"/>
  <c r="AL2749" i="1" s="1"/>
  <c r="AR2919" i="1"/>
  <c r="AM2919" i="1" s="1"/>
  <c r="AR2897" i="1"/>
  <c r="AM2897" i="1" s="1"/>
  <c r="AR2873" i="1"/>
  <c r="AM2873" i="1" s="1"/>
  <c r="AR2850" i="1"/>
  <c r="AM2850" i="1" s="1"/>
  <c r="AR2828" i="1"/>
  <c r="AM2828" i="1" s="1"/>
  <c r="AR2781" i="1"/>
  <c r="AM2781" i="1" s="1"/>
  <c r="AR2734" i="1"/>
  <c r="AM2734" i="1" s="1"/>
  <c r="AS2905" i="1"/>
  <c r="AN2905" i="1" s="1"/>
  <c r="AS2883" i="1"/>
  <c r="AN2883" i="1" s="1"/>
  <c r="AS2858" i="1"/>
  <c r="AN2858" i="1" s="1"/>
  <c r="AS2836" i="1"/>
  <c r="AN2836" i="1" s="1"/>
  <c r="AS2812" i="1"/>
  <c r="AN2812" i="1" s="1"/>
  <c r="AS2789" i="1"/>
  <c r="AN2789" i="1" s="1"/>
  <c r="AS2767" i="1"/>
  <c r="AN2767" i="1" s="1"/>
  <c r="AS2743" i="1"/>
  <c r="AN2743" i="1" s="1"/>
  <c r="AT2915" i="1"/>
  <c r="AO2915" i="1" s="1"/>
  <c r="AT2868" i="1"/>
  <c r="AO2868" i="1" s="1"/>
  <c r="AT2844" i="1"/>
  <c r="AO2844" i="1" s="1"/>
  <c r="AT2822" i="1"/>
  <c r="AO2822" i="1" s="1"/>
  <c r="AT2797" i="1"/>
  <c r="AO2797" i="1" s="1"/>
  <c r="AT2775" i="1"/>
  <c r="AO2775" i="1" s="1"/>
  <c r="AT2751" i="1"/>
  <c r="AO2751" i="1" s="1"/>
  <c r="U2871" i="1"/>
  <c r="W2871" i="1" s="1"/>
  <c r="AT2790" i="1"/>
  <c r="AO2790" i="1" s="1"/>
  <c r="AT2885" i="1"/>
  <c r="AO2885" i="1" s="1"/>
  <c r="AQ2885" i="1"/>
  <c r="AL2885" i="1" s="1"/>
  <c r="AR2923" i="1"/>
  <c r="AM2923" i="1" s="1"/>
  <c r="AS2923" i="1"/>
  <c r="AN2923" i="1" s="1"/>
  <c r="AR2907" i="1"/>
  <c r="AM2907" i="1" s="1"/>
  <c r="AS2907" i="1"/>
  <c r="AN2907" i="1" s="1"/>
  <c r="AR2891" i="1"/>
  <c r="AM2891" i="1" s="1"/>
  <c r="AS2891" i="1"/>
  <c r="AN2891" i="1" s="1"/>
  <c r="AR2875" i="1"/>
  <c r="AM2875" i="1" s="1"/>
  <c r="AS2875" i="1"/>
  <c r="AN2875" i="1" s="1"/>
  <c r="AR2859" i="1"/>
  <c r="AM2859" i="1" s="1"/>
  <c r="AS2859" i="1"/>
  <c r="AN2859" i="1" s="1"/>
  <c r="AR2843" i="1"/>
  <c r="AM2843" i="1" s="1"/>
  <c r="AS2843" i="1"/>
  <c r="AN2843" i="1" s="1"/>
  <c r="AR2827" i="1"/>
  <c r="AM2827" i="1" s="1"/>
  <c r="AS2827" i="1"/>
  <c r="AN2827" i="1" s="1"/>
  <c r="AR2811" i="1"/>
  <c r="AM2811" i="1" s="1"/>
  <c r="AS2811" i="1"/>
  <c r="AN2811" i="1" s="1"/>
  <c r="AR2795" i="1"/>
  <c r="AM2795" i="1" s="1"/>
  <c r="AS2795" i="1"/>
  <c r="AN2795" i="1" s="1"/>
  <c r="AR2779" i="1"/>
  <c r="AM2779" i="1" s="1"/>
  <c r="AS2779" i="1"/>
  <c r="AN2779" i="1" s="1"/>
  <c r="AR2763" i="1"/>
  <c r="AM2763" i="1" s="1"/>
  <c r="AS2763" i="1"/>
  <c r="AN2763" i="1" s="1"/>
  <c r="AR2747" i="1"/>
  <c r="AM2747" i="1" s="1"/>
  <c r="AT2747" i="1"/>
  <c r="AO2747" i="1" s="1"/>
  <c r="AS2747" i="1"/>
  <c r="AN2747" i="1" s="1"/>
  <c r="U2926" i="1"/>
  <c r="W2926" i="1" s="1"/>
  <c r="U2759" i="1"/>
  <c r="W2759" i="1" s="1"/>
  <c r="AQ2910" i="1"/>
  <c r="AL2910" i="1" s="1"/>
  <c r="AQ2886" i="1"/>
  <c r="AL2886" i="1" s="1"/>
  <c r="AQ2863" i="1"/>
  <c r="AL2863" i="1" s="1"/>
  <c r="AQ2841" i="1"/>
  <c r="AL2841" i="1" s="1"/>
  <c r="AQ2817" i="1"/>
  <c r="AL2817" i="1" s="1"/>
  <c r="AQ2794" i="1"/>
  <c r="AL2794" i="1" s="1"/>
  <c r="AQ2770" i="1"/>
  <c r="AL2770" i="1" s="1"/>
  <c r="AQ2747" i="1"/>
  <c r="AL2747" i="1" s="1"/>
  <c r="AR2918" i="1"/>
  <c r="AM2918" i="1" s="1"/>
  <c r="AR2896" i="1"/>
  <c r="AM2896" i="1" s="1"/>
  <c r="AR2871" i="1"/>
  <c r="AM2871" i="1" s="1"/>
  <c r="AR2849" i="1"/>
  <c r="AM2849" i="1" s="1"/>
  <c r="AR2825" i="1"/>
  <c r="AM2825" i="1" s="1"/>
  <c r="AR2802" i="1"/>
  <c r="AM2802" i="1" s="1"/>
  <c r="AR2780" i="1"/>
  <c r="AM2780" i="1" s="1"/>
  <c r="AR2756" i="1"/>
  <c r="AM2756" i="1" s="1"/>
  <c r="AR2733" i="1"/>
  <c r="AM2733" i="1" s="1"/>
  <c r="AS2881" i="1"/>
  <c r="AN2881" i="1" s="1"/>
  <c r="AS2857" i="1"/>
  <c r="AN2857" i="1" s="1"/>
  <c r="AS2835" i="1"/>
  <c r="AN2835" i="1" s="1"/>
  <c r="AS2810" i="1"/>
  <c r="AN2810" i="1" s="1"/>
  <c r="AS2788" i="1"/>
  <c r="AN2788" i="1" s="1"/>
  <c r="AS2764" i="1"/>
  <c r="AN2764" i="1" s="1"/>
  <c r="AS2741" i="1"/>
  <c r="AN2741" i="1" s="1"/>
  <c r="AT2914" i="1"/>
  <c r="AO2914" i="1" s="1"/>
  <c r="AT2890" i="1"/>
  <c r="AO2890" i="1" s="1"/>
  <c r="AT2867" i="1"/>
  <c r="AO2867" i="1" s="1"/>
  <c r="AT2843" i="1"/>
  <c r="AO2843" i="1" s="1"/>
  <c r="AT2820" i="1"/>
  <c r="AO2820" i="1" s="1"/>
  <c r="AT2796" i="1"/>
  <c r="AO2796" i="1" s="1"/>
  <c r="AT2774" i="1"/>
  <c r="AO2774" i="1" s="1"/>
  <c r="AT2749" i="1"/>
  <c r="AO2749" i="1" s="1"/>
  <c r="AT2917" i="1"/>
  <c r="AO2917" i="1" s="1"/>
  <c r="AQ2917" i="1"/>
  <c r="AL2917" i="1" s="1"/>
  <c r="AT2757" i="1"/>
  <c r="AO2757" i="1" s="1"/>
  <c r="AQ2757" i="1"/>
  <c r="AL2757" i="1" s="1"/>
  <c r="U2925" i="1"/>
  <c r="W2925" i="1" s="1"/>
  <c r="U2857" i="1"/>
  <c r="W2857" i="1" s="1"/>
  <c r="U2758" i="1"/>
  <c r="W2758" i="1" s="1"/>
  <c r="AQ2909" i="1"/>
  <c r="AL2909" i="1" s="1"/>
  <c r="AQ2884" i="1"/>
  <c r="AL2884" i="1" s="1"/>
  <c r="AQ2862" i="1"/>
  <c r="AL2862" i="1" s="1"/>
  <c r="AQ2838" i="1"/>
  <c r="AL2838" i="1" s="1"/>
  <c r="AQ2815" i="1"/>
  <c r="AL2815" i="1" s="1"/>
  <c r="AQ2793" i="1"/>
  <c r="AL2793" i="1" s="1"/>
  <c r="AQ2769" i="1"/>
  <c r="AL2769" i="1" s="1"/>
  <c r="AQ2746" i="1"/>
  <c r="AL2746" i="1" s="1"/>
  <c r="AR2917" i="1"/>
  <c r="AM2917" i="1" s="1"/>
  <c r="AR2894" i="1"/>
  <c r="AM2894" i="1" s="1"/>
  <c r="AR2870" i="1"/>
  <c r="AM2870" i="1" s="1"/>
  <c r="AR2848" i="1"/>
  <c r="AM2848" i="1" s="1"/>
  <c r="AR2823" i="1"/>
  <c r="AM2823" i="1" s="1"/>
  <c r="AR2801" i="1"/>
  <c r="AM2801" i="1" s="1"/>
  <c r="AR2777" i="1"/>
  <c r="AM2777" i="1" s="1"/>
  <c r="AR2754" i="1"/>
  <c r="AM2754" i="1" s="1"/>
  <c r="AR2732" i="1"/>
  <c r="AM2732" i="1" s="1"/>
  <c r="AS2903" i="1"/>
  <c r="AN2903" i="1" s="1"/>
  <c r="AS2880" i="1"/>
  <c r="AN2880" i="1" s="1"/>
  <c r="AS2833" i="1"/>
  <c r="AN2833" i="1" s="1"/>
  <c r="AS2809" i="1"/>
  <c r="AN2809" i="1" s="1"/>
  <c r="AS2787" i="1"/>
  <c r="AN2787" i="1" s="1"/>
  <c r="AS2762" i="1"/>
  <c r="AN2762" i="1" s="1"/>
  <c r="AS2740" i="1"/>
  <c r="AN2740" i="1" s="1"/>
  <c r="AT2911" i="1"/>
  <c r="AO2911" i="1" s="1"/>
  <c r="AT2866" i="1"/>
  <c r="AO2866" i="1" s="1"/>
  <c r="AT2842" i="1"/>
  <c r="AO2842" i="1" s="1"/>
  <c r="AT2819" i="1"/>
  <c r="AO2819" i="1" s="1"/>
  <c r="AT2795" i="1"/>
  <c r="AO2795" i="1" s="1"/>
  <c r="AT2748" i="1"/>
  <c r="AO2748" i="1" s="1"/>
  <c r="U2807" i="1"/>
  <c r="W2807" i="1" s="1"/>
  <c r="U2791" i="1"/>
  <c r="W2791" i="1" s="1"/>
  <c r="U2757" i="1"/>
  <c r="W2757" i="1" s="1"/>
  <c r="AQ2907" i="1"/>
  <c r="AL2907" i="1" s="1"/>
  <c r="AQ2883" i="1"/>
  <c r="AL2883" i="1" s="1"/>
  <c r="AQ2861" i="1"/>
  <c r="AL2861" i="1" s="1"/>
  <c r="AQ2814" i="1"/>
  <c r="AL2814" i="1" s="1"/>
  <c r="AQ2790" i="1"/>
  <c r="AL2790" i="1" s="1"/>
  <c r="AQ2767" i="1"/>
  <c r="AL2767" i="1" s="1"/>
  <c r="AQ2745" i="1"/>
  <c r="AL2745" i="1" s="1"/>
  <c r="AR2893" i="1"/>
  <c r="AM2893" i="1" s="1"/>
  <c r="AR2869" i="1"/>
  <c r="AM2869" i="1" s="1"/>
  <c r="AR2846" i="1"/>
  <c r="AM2846" i="1" s="1"/>
  <c r="AR2822" i="1"/>
  <c r="AM2822" i="1" s="1"/>
  <c r="AR2800" i="1"/>
  <c r="AM2800" i="1" s="1"/>
  <c r="AR2775" i="1"/>
  <c r="AM2775" i="1" s="1"/>
  <c r="AR2753" i="1"/>
  <c r="AM2753" i="1" s="1"/>
  <c r="AS2924" i="1"/>
  <c r="AN2924" i="1" s="1"/>
  <c r="AS2901" i="1"/>
  <c r="AN2901" i="1" s="1"/>
  <c r="AS2879" i="1"/>
  <c r="AN2879" i="1" s="1"/>
  <c r="AS2855" i="1"/>
  <c r="AN2855" i="1" s="1"/>
  <c r="AS2832" i="1"/>
  <c r="AN2832" i="1" s="1"/>
  <c r="AS2785" i="1"/>
  <c r="AN2785" i="1" s="1"/>
  <c r="AS2761" i="1"/>
  <c r="AN2761" i="1" s="1"/>
  <c r="AS2739" i="1"/>
  <c r="AN2739" i="1" s="1"/>
  <c r="AT2909" i="1"/>
  <c r="AO2909" i="1" s="1"/>
  <c r="AT2887" i="1"/>
  <c r="AO2887" i="1" s="1"/>
  <c r="AT2863" i="1"/>
  <c r="AO2863" i="1" s="1"/>
  <c r="AT2818" i="1"/>
  <c r="AO2818" i="1" s="1"/>
  <c r="AT2794" i="1"/>
  <c r="AO2794" i="1" s="1"/>
  <c r="AT2771" i="1"/>
  <c r="AO2771" i="1" s="1"/>
  <c r="AT2746" i="1"/>
  <c r="AO2746" i="1" s="1"/>
  <c r="AQ2920" i="1"/>
  <c r="AL2920" i="1" s="1"/>
  <c r="AR2920" i="1"/>
  <c r="AM2920" i="1" s="1"/>
  <c r="AQ2904" i="1"/>
  <c r="AL2904" i="1" s="1"/>
  <c r="AR2904" i="1"/>
  <c r="AM2904" i="1" s="1"/>
  <c r="AQ2888" i="1"/>
  <c r="AL2888" i="1" s="1"/>
  <c r="AR2888" i="1"/>
  <c r="AM2888" i="1" s="1"/>
  <c r="AQ2872" i="1"/>
  <c r="AL2872" i="1" s="1"/>
  <c r="AR2872" i="1"/>
  <c r="AM2872" i="1" s="1"/>
  <c r="AQ2856" i="1"/>
  <c r="AL2856" i="1" s="1"/>
  <c r="AR2856" i="1"/>
  <c r="AM2856" i="1" s="1"/>
  <c r="AQ2840" i="1"/>
  <c r="AL2840" i="1" s="1"/>
  <c r="AR2840" i="1"/>
  <c r="AM2840" i="1" s="1"/>
  <c r="AQ2824" i="1"/>
  <c r="AL2824" i="1" s="1"/>
  <c r="AR2824" i="1"/>
  <c r="AM2824" i="1" s="1"/>
  <c r="AQ2808" i="1"/>
  <c r="AL2808" i="1" s="1"/>
  <c r="AR2808" i="1"/>
  <c r="AM2808" i="1" s="1"/>
  <c r="AQ2792" i="1"/>
  <c r="AL2792" i="1" s="1"/>
  <c r="AR2792" i="1"/>
  <c r="AM2792" i="1" s="1"/>
  <c r="AQ2776" i="1"/>
  <c r="AL2776" i="1" s="1"/>
  <c r="AR2776" i="1"/>
  <c r="AM2776" i="1" s="1"/>
  <c r="AQ2760" i="1"/>
  <c r="AL2760" i="1" s="1"/>
  <c r="AR2760" i="1"/>
  <c r="AM2760" i="1" s="1"/>
  <c r="AQ2744" i="1"/>
  <c r="AL2744" i="1" s="1"/>
  <c r="AT2744" i="1"/>
  <c r="AO2744" i="1" s="1"/>
  <c r="AR2744" i="1"/>
  <c r="AM2744" i="1" s="1"/>
  <c r="U2806" i="1"/>
  <c r="W2806" i="1" s="1"/>
  <c r="U2790" i="1"/>
  <c r="W2790" i="1" s="1"/>
  <c r="AQ2906" i="1"/>
  <c r="AL2906" i="1" s="1"/>
  <c r="AQ2882" i="1"/>
  <c r="AL2882" i="1" s="1"/>
  <c r="AQ2859" i="1"/>
  <c r="AL2859" i="1" s="1"/>
  <c r="AQ2835" i="1"/>
  <c r="AL2835" i="1" s="1"/>
  <c r="AQ2813" i="1"/>
  <c r="AL2813" i="1" s="1"/>
  <c r="AQ2766" i="1"/>
  <c r="AL2766" i="1" s="1"/>
  <c r="AQ2742" i="1"/>
  <c r="AL2742" i="1" s="1"/>
  <c r="AR2914" i="1"/>
  <c r="AM2914" i="1" s="1"/>
  <c r="AR2892" i="1"/>
  <c r="AM2892" i="1" s="1"/>
  <c r="AR2845" i="1"/>
  <c r="AM2845" i="1" s="1"/>
  <c r="AR2821" i="1"/>
  <c r="AM2821" i="1" s="1"/>
  <c r="AR2798" i="1"/>
  <c r="AM2798" i="1" s="1"/>
  <c r="AR2774" i="1"/>
  <c r="AM2774" i="1" s="1"/>
  <c r="AR2752" i="1"/>
  <c r="AM2752" i="1" s="1"/>
  <c r="AS2922" i="1"/>
  <c r="AN2922" i="1" s="1"/>
  <c r="AS2876" i="1"/>
  <c r="AN2876" i="1" s="1"/>
  <c r="AS2853" i="1"/>
  <c r="AN2853" i="1" s="1"/>
  <c r="AS2831" i="1"/>
  <c r="AN2831" i="1" s="1"/>
  <c r="AS2807" i="1"/>
  <c r="AN2807" i="1" s="1"/>
  <c r="AS2784" i="1"/>
  <c r="AN2784" i="1" s="1"/>
  <c r="AS2760" i="1"/>
  <c r="AN2760" i="1" s="1"/>
  <c r="AS2737" i="1"/>
  <c r="AN2737" i="1" s="1"/>
  <c r="AT2908" i="1"/>
  <c r="AO2908" i="1" s="1"/>
  <c r="AT2886" i="1"/>
  <c r="AO2886" i="1" s="1"/>
  <c r="AT2861" i="1"/>
  <c r="AO2861" i="1" s="1"/>
  <c r="AT2839" i="1"/>
  <c r="AO2839" i="1" s="1"/>
  <c r="AT2815" i="1"/>
  <c r="AO2815" i="1" s="1"/>
  <c r="AT2792" i="1"/>
  <c r="AO2792" i="1" s="1"/>
  <c r="AT2770" i="1"/>
  <c r="AO2770" i="1" s="1"/>
  <c r="AT2743" i="1"/>
  <c r="AO2743" i="1" s="1"/>
  <c r="U2872" i="1"/>
  <c r="W2872" i="1" s="1"/>
  <c r="U2805" i="1"/>
  <c r="W2805" i="1" s="1"/>
  <c r="U2755" i="1"/>
  <c r="W2755" i="1" s="1"/>
  <c r="AQ2905" i="1"/>
  <c r="AL2905" i="1" s="1"/>
  <c r="AQ2881" i="1"/>
  <c r="AL2881" i="1" s="1"/>
  <c r="AQ2858" i="1"/>
  <c r="AL2858" i="1" s="1"/>
  <c r="AQ2834" i="1"/>
  <c r="AL2834" i="1" s="1"/>
  <c r="AQ2811" i="1"/>
  <c r="AL2811" i="1" s="1"/>
  <c r="AQ2787" i="1"/>
  <c r="AL2787" i="1" s="1"/>
  <c r="AQ2765" i="1"/>
  <c r="AL2765" i="1" s="1"/>
  <c r="AQ2740" i="1"/>
  <c r="AL2740" i="1" s="1"/>
  <c r="AR2913" i="1"/>
  <c r="AM2913" i="1" s="1"/>
  <c r="AR2889" i="1"/>
  <c r="AM2889" i="1" s="1"/>
  <c r="AR2866" i="1"/>
  <c r="AM2866" i="1" s="1"/>
  <c r="AR2844" i="1"/>
  <c r="AM2844" i="1" s="1"/>
  <c r="AR2797" i="1"/>
  <c r="AM2797" i="1" s="1"/>
  <c r="AR2773" i="1"/>
  <c r="AM2773" i="1" s="1"/>
  <c r="AR2750" i="1"/>
  <c r="AM2750" i="1" s="1"/>
  <c r="AS2921" i="1"/>
  <c r="AN2921" i="1" s="1"/>
  <c r="AS2899" i="1"/>
  <c r="AN2899" i="1" s="1"/>
  <c r="AS2874" i="1"/>
  <c r="AN2874" i="1" s="1"/>
  <c r="AS2828" i="1"/>
  <c r="AN2828" i="1" s="1"/>
  <c r="AS2805" i="1"/>
  <c r="AN2805" i="1" s="1"/>
  <c r="AS2783" i="1"/>
  <c r="AN2783" i="1" s="1"/>
  <c r="AS2759" i="1"/>
  <c r="AN2759" i="1" s="1"/>
  <c r="AS2736" i="1"/>
  <c r="AN2736" i="1" s="1"/>
  <c r="AT2907" i="1"/>
  <c r="AO2907" i="1" s="1"/>
  <c r="AT2860" i="1"/>
  <c r="AO2860" i="1" s="1"/>
  <c r="AT2838" i="1"/>
  <c r="AO2838" i="1" s="1"/>
  <c r="AT2813" i="1"/>
  <c r="AO2813" i="1" s="1"/>
  <c r="AT2791" i="1"/>
  <c r="AO2791" i="1" s="1"/>
  <c r="AT2767" i="1"/>
  <c r="AO2767" i="1" s="1"/>
  <c r="AT2742" i="1"/>
  <c r="AO2742" i="1" s="1"/>
  <c r="U2754" i="1"/>
  <c r="W2754" i="1" s="1"/>
  <c r="AT2590" i="1"/>
  <c r="AO2590" i="1" s="1"/>
  <c r="AR2590" i="1"/>
  <c r="AM2590" i="1" s="1"/>
  <c r="AQ2607" i="1"/>
  <c r="AL2607" i="1" s="1"/>
  <c r="AR2607" i="1"/>
  <c r="AM2607" i="1" s="1"/>
  <c r="AT2723" i="1"/>
  <c r="AO2723" i="1" s="1"/>
  <c r="AR2723" i="1"/>
  <c r="AM2723" i="1" s="1"/>
  <c r="AR2564" i="1"/>
  <c r="AM2564" i="1" s="1"/>
  <c r="AS2655" i="1"/>
  <c r="AN2655" i="1" s="1"/>
  <c r="AS2637" i="1"/>
  <c r="AN2637" i="1" s="1"/>
  <c r="AT2702" i="1"/>
  <c r="AO2702" i="1" s="1"/>
  <c r="AT2685" i="1"/>
  <c r="AO2685" i="1" s="1"/>
  <c r="AT2544" i="1"/>
  <c r="AO2544" i="1" s="1"/>
  <c r="U2562" i="1"/>
  <c r="W2562" i="1" s="1"/>
  <c r="AQ2679" i="1"/>
  <c r="AL2679" i="1" s="1"/>
  <c r="AQ2675" i="1"/>
  <c r="AL2675" i="1" s="1"/>
  <c r="U2675" i="1"/>
  <c r="W2675" i="1" s="1"/>
  <c r="AQ2658" i="1"/>
  <c r="AL2658" i="1" s="1"/>
  <c r="AR2705" i="1"/>
  <c r="AM2705" i="1" s="1"/>
  <c r="AR2589" i="1"/>
  <c r="AM2589" i="1" s="1"/>
  <c r="AS2633" i="1"/>
  <c r="AN2633" i="1" s="1"/>
  <c r="AT2663" i="1"/>
  <c r="AO2663" i="1" s="1"/>
  <c r="AQ2657" i="1"/>
  <c r="AL2657" i="1" s="1"/>
  <c r="AR2704" i="1"/>
  <c r="AM2704" i="1" s="1"/>
  <c r="AS2612" i="1"/>
  <c r="AN2612" i="1" s="1"/>
  <c r="AR2701" i="1"/>
  <c r="AM2701" i="1" s="1"/>
  <c r="AR2565" i="1"/>
  <c r="AM2565" i="1" s="1"/>
  <c r="AS2611" i="1"/>
  <c r="AN2611" i="1" s="1"/>
  <c r="AT2655" i="1"/>
  <c r="AO2655" i="1" s="1"/>
  <c r="U2598" i="1"/>
  <c r="W2598" i="1" s="1"/>
  <c r="AQ2633" i="1"/>
  <c r="AL2633" i="1" s="1"/>
  <c r="AR2680" i="1"/>
  <c r="AM2680" i="1" s="1"/>
  <c r="AS2608" i="1"/>
  <c r="AN2608" i="1" s="1"/>
  <c r="U2677" i="1"/>
  <c r="W2677" i="1" s="1"/>
  <c r="AQ2632" i="1"/>
  <c r="AL2632" i="1" s="1"/>
  <c r="AR2679" i="1"/>
  <c r="AM2679" i="1" s="1"/>
  <c r="AR2560" i="1"/>
  <c r="AM2560" i="1" s="1"/>
  <c r="AS2591" i="1"/>
  <c r="AN2591" i="1" s="1"/>
  <c r="AT2637" i="1"/>
  <c r="AO2637" i="1" s="1"/>
  <c r="U2553" i="1"/>
  <c r="W2553" i="1" s="1"/>
  <c r="AQ2628" i="1"/>
  <c r="AL2628" i="1" s="1"/>
  <c r="AR2676" i="1"/>
  <c r="AM2676" i="1" s="1"/>
  <c r="AS2731" i="1"/>
  <c r="AN2731" i="1" s="1"/>
  <c r="AS2589" i="1"/>
  <c r="AN2589" i="1" s="1"/>
  <c r="AT2633" i="1"/>
  <c r="AO2633" i="1" s="1"/>
  <c r="U2690" i="1"/>
  <c r="W2690" i="1" s="1"/>
  <c r="AQ2611" i="1"/>
  <c r="AL2611" i="1" s="1"/>
  <c r="AR2659" i="1"/>
  <c r="AM2659" i="1" s="1"/>
  <c r="AS2586" i="1"/>
  <c r="AN2586" i="1" s="1"/>
  <c r="AT2616" i="1"/>
  <c r="AO2616" i="1" s="1"/>
  <c r="AQ2610" i="1"/>
  <c r="AL2610" i="1" s="1"/>
  <c r="AR2657" i="1"/>
  <c r="AM2657" i="1" s="1"/>
  <c r="AS2723" i="1"/>
  <c r="AN2723" i="1" s="1"/>
  <c r="AS2569" i="1"/>
  <c r="AN2569" i="1" s="1"/>
  <c r="AT2615" i="1"/>
  <c r="AO2615" i="1" s="1"/>
  <c r="AQ2727" i="1"/>
  <c r="AL2727" i="1" s="1"/>
  <c r="AR2654" i="1"/>
  <c r="AM2654" i="1" s="1"/>
  <c r="AS2564" i="1"/>
  <c r="AN2564" i="1" s="1"/>
  <c r="AT2608" i="1"/>
  <c r="AO2608" i="1" s="1"/>
  <c r="U2625" i="1"/>
  <c r="W2625" i="1" s="1"/>
  <c r="AQ2725" i="1"/>
  <c r="AL2725" i="1" s="1"/>
  <c r="AQ2585" i="1"/>
  <c r="AL2585" i="1" s="1"/>
  <c r="AR2637" i="1"/>
  <c r="AM2637" i="1" s="1"/>
  <c r="AS2705" i="1"/>
  <c r="AN2705" i="1" s="1"/>
  <c r="AS2561" i="1"/>
  <c r="AN2561" i="1" s="1"/>
  <c r="AT2591" i="1"/>
  <c r="AO2591" i="1" s="1"/>
  <c r="U2624" i="1"/>
  <c r="W2624" i="1" s="1"/>
  <c r="AQ2722" i="1"/>
  <c r="AL2722" i="1" s="1"/>
  <c r="AQ2581" i="1"/>
  <c r="AL2581" i="1" s="1"/>
  <c r="AR2632" i="1"/>
  <c r="AM2632" i="1" s="1"/>
  <c r="AS2701" i="1"/>
  <c r="AN2701" i="1" s="1"/>
  <c r="AS2544" i="1"/>
  <c r="AN2544" i="1" s="1"/>
  <c r="AQ2705" i="1"/>
  <c r="AL2705" i="1" s="1"/>
  <c r="AQ2564" i="1"/>
  <c r="AL2564" i="1" s="1"/>
  <c r="AR2629" i="1"/>
  <c r="AM2629" i="1" s="1"/>
  <c r="AS2676" i="1"/>
  <c r="AN2676" i="1" s="1"/>
  <c r="AT2727" i="1"/>
  <c r="AO2727" i="1" s="1"/>
  <c r="AT2569" i="1"/>
  <c r="AO2569" i="1" s="1"/>
  <c r="AQ2697" i="1"/>
  <c r="AL2697" i="1" s="1"/>
  <c r="AQ2563" i="1"/>
  <c r="AL2563" i="1" s="1"/>
  <c r="AR2612" i="1"/>
  <c r="AM2612" i="1" s="1"/>
  <c r="AS2659" i="1"/>
  <c r="AN2659" i="1" s="1"/>
  <c r="AT2568" i="1"/>
  <c r="AO2568" i="1" s="1"/>
  <c r="AQ2680" i="1"/>
  <c r="AL2680" i="1" s="1"/>
  <c r="AR2727" i="1"/>
  <c r="AM2727" i="1" s="1"/>
  <c r="AR2611" i="1"/>
  <c r="AM2611" i="1" s="1"/>
  <c r="AT2709" i="1"/>
  <c r="AO2709" i="1" s="1"/>
  <c r="AT2565" i="1"/>
  <c r="AO2565" i="1" s="1"/>
  <c r="AR2730" i="1"/>
  <c r="AM2730" i="1" s="1"/>
  <c r="AT2730" i="1"/>
  <c r="AO2730" i="1" s="1"/>
  <c r="AR2714" i="1"/>
  <c r="AM2714" i="1" s="1"/>
  <c r="AT2714" i="1"/>
  <c r="AO2714" i="1" s="1"/>
  <c r="AR2698" i="1"/>
  <c r="AM2698" i="1" s="1"/>
  <c r="AT2698" i="1"/>
  <c r="AO2698" i="1" s="1"/>
  <c r="AR2682" i="1"/>
  <c r="AM2682" i="1" s="1"/>
  <c r="AT2682" i="1"/>
  <c r="AO2682" i="1" s="1"/>
  <c r="AR2666" i="1"/>
  <c r="AM2666" i="1" s="1"/>
  <c r="AT2666" i="1"/>
  <c r="AO2666" i="1" s="1"/>
  <c r="AR2650" i="1"/>
  <c r="AM2650" i="1" s="1"/>
  <c r="AT2650" i="1"/>
  <c r="AO2650" i="1" s="1"/>
  <c r="AR2634" i="1"/>
  <c r="AM2634" i="1" s="1"/>
  <c r="AT2634" i="1"/>
  <c r="AO2634" i="1" s="1"/>
  <c r="AR2618" i="1"/>
  <c r="AM2618" i="1" s="1"/>
  <c r="AT2618" i="1"/>
  <c r="AO2618" i="1" s="1"/>
  <c r="AR2602" i="1"/>
  <c r="AM2602" i="1" s="1"/>
  <c r="AT2602" i="1"/>
  <c r="AO2602" i="1" s="1"/>
  <c r="AR2586" i="1"/>
  <c r="AM2586" i="1" s="1"/>
  <c r="AT2586" i="1"/>
  <c r="AO2586" i="1" s="1"/>
  <c r="AR2570" i="1"/>
  <c r="AM2570" i="1" s="1"/>
  <c r="AT2570" i="1"/>
  <c r="AO2570" i="1" s="1"/>
  <c r="AR2554" i="1"/>
  <c r="AM2554" i="1" s="1"/>
  <c r="AT2554" i="1"/>
  <c r="AO2554" i="1" s="1"/>
  <c r="U2691" i="1"/>
  <c r="W2691" i="1" s="1"/>
  <c r="U2623" i="1"/>
  <c r="W2623" i="1" s="1"/>
  <c r="U2605" i="1"/>
  <c r="W2605" i="1" s="1"/>
  <c r="U2572" i="1"/>
  <c r="W2572" i="1" s="1"/>
  <c r="U2552" i="1"/>
  <c r="W2552" i="1" s="1"/>
  <c r="U2692" i="1"/>
  <c r="W2692" i="1" s="1"/>
  <c r="U2676" i="1"/>
  <c r="W2676" i="1" s="1"/>
  <c r="U2612" i="1"/>
  <c r="W2612" i="1" s="1"/>
  <c r="U2564" i="1"/>
  <c r="W2564" i="1" s="1"/>
  <c r="AQ2724" i="1"/>
  <c r="AL2724" i="1" s="1"/>
  <c r="AQ2699" i="1"/>
  <c r="AL2699" i="1" s="1"/>
  <c r="AQ2677" i="1"/>
  <c r="AL2677" i="1" s="1"/>
  <c r="AQ2652" i="1"/>
  <c r="AL2652" i="1" s="1"/>
  <c r="AQ2631" i="1"/>
  <c r="AL2631" i="1" s="1"/>
  <c r="AQ2609" i="1"/>
  <c r="AL2609" i="1" s="1"/>
  <c r="AQ2584" i="1"/>
  <c r="AL2584" i="1" s="1"/>
  <c r="AQ2562" i="1"/>
  <c r="AL2562" i="1" s="1"/>
  <c r="AR2725" i="1"/>
  <c r="AM2725" i="1" s="1"/>
  <c r="AR2703" i="1"/>
  <c r="AM2703" i="1" s="1"/>
  <c r="AR2656" i="1"/>
  <c r="AM2656" i="1" s="1"/>
  <c r="AR2631" i="1"/>
  <c r="AM2631" i="1" s="1"/>
  <c r="AR2609" i="1"/>
  <c r="AM2609" i="1" s="1"/>
  <c r="AR2584" i="1"/>
  <c r="AM2584" i="1" s="1"/>
  <c r="AR2563" i="1"/>
  <c r="AM2563" i="1" s="1"/>
  <c r="AS2729" i="1"/>
  <c r="AN2729" i="1" s="1"/>
  <c r="AS2704" i="1"/>
  <c r="AN2704" i="1" s="1"/>
  <c r="AS2682" i="1"/>
  <c r="AN2682" i="1" s="1"/>
  <c r="AS2657" i="1"/>
  <c r="AN2657" i="1" s="1"/>
  <c r="AS2635" i="1"/>
  <c r="AN2635" i="1" s="1"/>
  <c r="AS2588" i="1"/>
  <c r="AN2588" i="1" s="1"/>
  <c r="AS2563" i="1"/>
  <c r="AN2563" i="1" s="1"/>
  <c r="AT2729" i="1"/>
  <c r="AO2729" i="1" s="1"/>
  <c r="AT2704" i="1"/>
  <c r="AO2704" i="1" s="1"/>
  <c r="AT2683" i="1"/>
  <c r="AO2683" i="1" s="1"/>
  <c r="AT2661" i="1"/>
  <c r="AO2661" i="1" s="1"/>
  <c r="AT2636" i="1"/>
  <c r="AO2636" i="1" s="1"/>
  <c r="AT2589" i="1"/>
  <c r="AO2589" i="1" s="1"/>
  <c r="AT2567" i="1"/>
  <c r="AO2567" i="1" s="1"/>
  <c r="AS2683" i="1"/>
  <c r="AN2683" i="1" s="1"/>
  <c r="AT2731" i="1"/>
  <c r="AO2731" i="1" s="1"/>
  <c r="U2604" i="1"/>
  <c r="W2604" i="1" s="1"/>
  <c r="U2571" i="1"/>
  <c r="W2571" i="1" s="1"/>
  <c r="AQ2723" i="1"/>
  <c r="AL2723" i="1" s="1"/>
  <c r="AQ2698" i="1"/>
  <c r="AL2698" i="1" s="1"/>
  <c r="AQ2676" i="1"/>
  <c r="AL2676" i="1" s="1"/>
  <c r="AQ2651" i="1"/>
  <c r="AL2651" i="1" s="1"/>
  <c r="AQ2629" i="1"/>
  <c r="AL2629" i="1" s="1"/>
  <c r="AQ2604" i="1"/>
  <c r="AL2604" i="1" s="1"/>
  <c r="AQ2583" i="1"/>
  <c r="AL2583" i="1" s="1"/>
  <c r="AQ2561" i="1"/>
  <c r="AL2561" i="1" s="1"/>
  <c r="AR2724" i="1"/>
  <c r="AM2724" i="1" s="1"/>
  <c r="AR2677" i="1"/>
  <c r="AM2677" i="1" s="1"/>
  <c r="AR2655" i="1"/>
  <c r="AM2655" i="1" s="1"/>
  <c r="AR2608" i="1"/>
  <c r="AM2608" i="1" s="1"/>
  <c r="AR2583" i="1"/>
  <c r="AM2583" i="1" s="1"/>
  <c r="AR2561" i="1"/>
  <c r="AM2561" i="1" s="1"/>
  <c r="AS2724" i="1"/>
  <c r="AN2724" i="1" s="1"/>
  <c r="AS2703" i="1"/>
  <c r="AN2703" i="1" s="1"/>
  <c r="AS2681" i="1"/>
  <c r="AN2681" i="1" s="1"/>
  <c r="AS2656" i="1"/>
  <c r="AN2656" i="1" s="1"/>
  <c r="AS2634" i="1"/>
  <c r="AN2634" i="1" s="1"/>
  <c r="AS2609" i="1"/>
  <c r="AN2609" i="1" s="1"/>
  <c r="AS2587" i="1"/>
  <c r="AN2587" i="1" s="1"/>
  <c r="AT2728" i="1"/>
  <c r="AO2728" i="1" s="1"/>
  <c r="AT2703" i="1"/>
  <c r="AO2703" i="1" s="1"/>
  <c r="AT2681" i="1"/>
  <c r="AO2681" i="1" s="1"/>
  <c r="AT2656" i="1"/>
  <c r="AO2656" i="1" s="1"/>
  <c r="AT2635" i="1"/>
  <c r="AO2635" i="1" s="1"/>
  <c r="AT2613" i="1"/>
  <c r="AO2613" i="1" s="1"/>
  <c r="AT2588" i="1"/>
  <c r="AO2588" i="1" s="1"/>
  <c r="AQ2700" i="1"/>
  <c r="AL2700" i="1" s="1"/>
  <c r="AS2636" i="1"/>
  <c r="AN2636" i="1" s="1"/>
  <c r="AT2684" i="1"/>
  <c r="AO2684" i="1" s="1"/>
  <c r="U2637" i="1"/>
  <c r="W2637" i="1" s="1"/>
  <c r="AQ2603" i="1"/>
  <c r="AL2603" i="1" s="1"/>
  <c r="AQ2556" i="1"/>
  <c r="AL2556" i="1" s="1"/>
  <c r="AT2680" i="1"/>
  <c r="AO2680" i="1" s="1"/>
  <c r="AT2587" i="1"/>
  <c r="AO2587" i="1" s="1"/>
  <c r="U2705" i="1"/>
  <c r="W2705" i="1" s="1"/>
  <c r="U2636" i="1"/>
  <c r="W2636" i="1" s="1"/>
  <c r="U2585" i="1"/>
  <c r="W2585" i="1" s="1"/>
  <c r="U2569" i="1"/>
  <c r="W2569" i="1" s="1"/>
  <c r="AQ2721" i="1"/>
  <c r="AL2721" i="1" s="1"/>
  <c r="AQ2696" i="1"/>
  <c r="AL2696" i="1" s="1"/>
  <c r="AQ2674" i="1"/>
  <c r="AL2674" i="1" s="1"/>
  <c r="AQ2649" i="1"/>
  <c r="AL2649" i="1" s="1"/>
  <c r="AQ2627" i="1"/>
  <c r="AL2627" i="1" s="1"/>
  <c r="AQ2602" i="1"/>
  <c r="AL2602" i="1" s="1"/>
  <c r="AQ2580" i="1"/>
  <c r="AL2580" i="1" s="1"/>
  <c r="AQ2555" i="1"/>
  <c r="AL2555" i="1" s="1"/>
  <c r="AR2721" i="1"/>
  <c r="AM2721" i="1" s="1"/>
  <c r="AR2696" i="1"/>
  <c r="AM2696" i="1" s="1"/>
  <c r="AR2675" i="1"/>
  <c r="AM2675" i="1" s="1"/>
  <c r="AR2653" i="1"/>
  <c r="AM2653" i="1" s="1"/>
  <c r="AR2628" i="1"/>
  <c r="AM2628" i="1" s="1"/>
  <c r="AR2606" i="1"/>
  <c r="AM2606" i="1" s="1"/>
  <c r="AR2581" i="1"/>
  <c r="AM2581" i="1" s="1"/>
  <c r="AR2559" i="1"/>
  <c r="AM2559" i="1" s="1"/>
  <c r="AS2700" i="1"/>
  <c r="AN2700" i="1" s="1"/>
  <c r="AS2675" i="1"/>
  <c r="AN2675" i="1" s="1"/>
  <c r="AS2653" i="1"/>
  <c r="AN2653" i="1" s="1"/>
  <c r="AS2628" i="1"/>
  <c r="AN2628" i="1" s="1"/>
  <c r="AS2607" i="1"/>
  <c r="AN2607" i="1" s="1"/>
  <c r="AS2585" i="1"/>
  <c r="AN2585" i="1" s="1"/>
  <c r="AS2560" i="1"/>
  <c r="AN2560" i="1" s="1"/>
  <c r="AT2701" i="1"/>
  <c r="AO2701" i="1" s="1"/>
  <c r="AT2679" i="1"/>
  <c r="AO2679" i="1" s="1"/>
  <c r="AT2632" i="1"/>
  <c r="AO2632" i="1" s="1"/>
  <c r="AT2607" i="1"/>
  <c r="AO2607" i="1" s="1"/>
  <c r="AT2585" i="1"/>
  <c r="AO2585" i="1" s="1"/>
  <c r="AT2560" i="1"/>
  <c r="AO2560" i="1" s="1"/>
  <c r="AS2726" i="1"/>
  <c r="AN2726" i="1" s="1"/>
  <c r="AQ2726" i="1"/>
  <c r="AL2726" i="1" s="1"/>
  <c r="AS2710" i="1"/>
  <c r="AN2710" i="1" s="1"/>
  <c r="AQ2710" i="1"/>
  <c r="AL2710" i="1" s="1"/>
  <c r="AS2694" i="1"/>
  <c r="AN2694" i="1" s="1"/>
  <c r="AQ2694" i="1"/>
  <c r="AL2694" i="1" s="1"/>
  <c r="AS2678" i="1"/>
  <c r="AN2678" i="1" s="1"/>
  <c r="AQ2678" i="1"/>
  <c r="AL2678" i="1" s="1"/>
  <c r="AS2662" i="1"/>
  <c r="AN2662" i="1" s="1"/>
  <c r="AQ2662" i="1"/>
  <c r="AL2662" i="1" s="1"/>
  <c r="AS2646" i="1"/>
  <c r="AN2646" i="1" s="1"/>
  <c r="AQ2646" i="1"/>
  <c r="AL2646" i="1" s="1"/>
  <c r="AS2630" i="1"/>
  <c r="AN2630" i="1" s="1"/>
  <c r="AQ2630" i="1"/>
  <c r="AL2630" i="1" s="1"/>
  <c r="AS2614" i="1"/>
  <c r="AN2614" i="1" s="1"/>
  <c r="AQ2614" i="1"/>
  <c r="AL2614" i="1" s="1"/>
  <c r="AS2598" i="1"/>
  <c r="AN2598" i="1" s="1"/>
  <c r="AQ2598" i="1"/>
  <c r="AL2598" i="1" s="1"/>
  <c r="AS2582" i="1"/>
  <c r="AN2582" i="1" s="1"/>
  <c r="AQ2582" i="1"/>
  <c r="AL2582" i="1" s="1"/>
  <c r="AS2566" i="1"/>
  <c r="AN2566" i="1" s="1"/>
  <c r="AQ2566" i="1"/>
  <c r="AL2566" i="1" s="1"/>
  <c r="AS2550" i="1"/>
  <c r="AN2550" i="1" s="1"/>
  <c r="AQ2550" i="1"/>
  <c r="AL2550" i="1" s="1"/>
  <c r="U2704" i="1"/>
  <c r="W2704" i="1" s="1"/>
  <c r="U2584" i="1"/>
  <c r="W2584" i="1" s="1"/>
  <c r="U2568" i="1"/>
  <c r="W2568" i="1" s="1"/>
  <c r="AQ2716" i="1"/>
  <c r="AL2716" i="1" s="1"/>
  <c r="AQ2695" i="1"/>
  <c r="AL2695" i="1" s="1"/>
  <c r="AQ2673" i="1"/>
  <c r="AL2673" i="1" s="1"/>
  <c r="AQ2648" i="1"/>
  <c r="AL2648" i="1" s="1"/>
  <c r="AQ2626" i="1"/>
  <c r="AL2626" i="1" s="1"/>
  <c r="AQ2601" i="1"/>
  <c r="AL2601" i="1" s="1"/>
  <c r="AQ2579" i="1"/>
  <c r="AL2579" i="1" s="1"/>
  <c r="AQ2554" i="1"/>
  <c r="AL2554" i="1" s="1"/>
  <c r="AR2720" i="1"/>
  <c r="AM2720" i="1" s="1"/>
  <c r="AR2695" i="1"/>
  <c r="AM2695" i="1" s="1"/>
  <c r="AR2673" i="1"/>
  <c r="AM2673" i="1" s="1"/>
  <c r="AR2648" i="1"/>
  <c r="AM2648" i="1" s="1"/>
  <c r="AR2627" i="1"/>
  <c r="AM2627" i="1" s="1"/>
  <c r="AR2605" i="1"/>
  <c r="AM2605" i="1" s="1"/>
  <c r="AR2580" i="1"/>
  <c r="AM2580" i="1" s="1"/>
  <c r="AR2558" i="1"/>
  <c r="AM2558" i="1" s="1"/>
  <c r="AS2721" i="1"/>
  <c r="AN2721" i="1" s="1"/>
  <c r="AS2699" i="1"/>
  <c r="AN2699" i="1" s="1"/>
  <c r="AS2652" i="1"/>
  <c r="AN2652" i="1" s="1"/>
  <c r="AS2627" i="1"/>
  <c r="AN2627" i="1" s="1"/>
  <c r="AS2605" i="1"/>
  <c r="AN2605" i="1" s="1"/>
  <c r="AS2580" i="1"/>
  <c r="AN2580" i="1" s="1"/>
  <c r="AS2559" i="1"/>
  <c r="AN2559" i="1" s="1"/>
  <c r="AT2725" i="1"/>
  <c r="AO2725" i="1" s="1"/>
  <c r="AT2700" i="1"/>
  <c r="AO2700" i="1" s="1"/>
  <c r="AT2678" i="1"/>
  <c r="AO2678" i="1" s="1"/>
  <c r="AT2653" i="1"/>
  <c r="AO2653" i="1" s="1"/>
  <c r="AT2631" i="1"/>
  <c r="AO2631" i="1" s="1"/>
  <c r="AT2584" i="1"/>
  <c r="AO2584" i="1" s="1"/>
  <c r="AT2559" i="1"/>
  <c r="AO2559" i="1" s="1"/>
  <c r="U2703" i="1"/>
  <c r="W2703" i="1" s="1"/>
  <c r="U2583" i="1"/>
  <c r="W2583" i="1" s="1"/>
  <c r="U2567" i="1"/>
  <c r="W2567" i="1" s="1"/>
  <c r="U2559" i="1"/>
  <c r="W2559" i="1" s="1"/>
  <c r="AQ2715" i="1"/>
  <c r="AL2715" i="1" s="1"/>
  <c r="AQ2693" i="1"/>
  <c r="AL2693" i="1" s="1"/>
  <c r="AQ2668" i="1"/>
  <c r="AL2668" i="1" s="1"/>
  <c r="AQ2647" i="1"/>
  <c r="AL2647" i="1" s="1"/>
  <c r="AQ2625" i="1"/>
  <c r="AL2625" i="1" s="1"/>
  <c r="AQ2600" i="1"/>
  <c r="AL2600" i="1" s="1"/>
  <c r="AQ2578" i="1"/>
  <c r="AL2578" i="1" s="1"/>
  <c r="AQ2553" i="1"/>
  <c r="AL2553" i="1" s="1"/>
  <c r="AR2719" i="1"/>
  <c r="AM2719" i="1" s="1"/>
  <c r="AR2694" i="1"/>
  <c r="AM2694" i="1" s="1"/>
  <c r="AR2672" i="1"/>
  <c r="AM2672" i="1" s="1"/>
  <c r="AR2647" i="1"/>
  <c r="AM2647" i="1" s="1"/>
  <c r="AR2625" i="1"/>
  <c r="AM2625" i="1" s="1"/>
  <c r="AR2600" i="1"/>
  <c r="AM2600" i="1" s="1"/>
  <c r="AR2579" i="1"/>
  <c r="AM2579" i="1" s="1"/>
  <c r="AR2557" i="1"/>
  <c r="AM2557" i="1" s="1"/>
  <c r="AS2720" i="1"/>
  <c r="AN2720" i="1" s="1"/>
  <c r="AS2698" i="1"/>
  <c r="AN2698" i="1" s="1"/>
  <c r="AS2673" i="1"/>
  <c r="AN2673" i="1" s="1"/>
  <c r="AS2651" i="1"/>
  <c r="AN2651" i="1" s="1"/>
  <c r="AS2604" i="1"/>
  <c r="AN2604" i="1" s="1"/>
  <c r="AS2579" i="1"/>
  <c r="AN2579" i="1" s="1"/>
  <c r="AS2557" i="1"/>
  <c r="AN2557" i="1" s="1"/>
  <c r="AT2720" i="1"/>
  <c r="AO2720" i="1" s="1"/>
  <c r="AT2699" i="1"/>
  <c r="AO2699" i="1" s="1"/>
  <c r="AT2677" i="1"/>
  <c r="AO2677" i="1" s="1"/>
  <c r="AT2652" i="1"/>
  <c r="AO2652" i="1" s="1"/>
  <c r="AT2630" i="1"/>
  <c r="AO2630" i="1" s="1"/>
  <c r="AT2605" i="1"/>
  <c r="AO2605" i="1" s="1"/>
  <c r="AT2583" i="1"/>
  <c r="AO2583" i="1" s="1"/>
  <c r="U2685" i="1"/>
  <c r="W2685" i="1" s="1"/>
  <c r="U2650" i="1"/>
  <c r="W2650" i="1" s="1"/>
  <c r="U2566" i="1"/>
  <c r="W2566" i="1" s="1"/>
  <c r="U2718" i="1"/>
  <c r="W2718" i="1" s="1"/>
  <c r="U2638" i="1"/>
  <c r="W2638" i="1" s="1"/>
  <c r="U2606" i="1"/>
  <c r="W2606" i="1" s="1"/>
  <c r="U2558" i="1"/>
  <c r="W2558" i="1" s="1"/>
  <c r="AQ2714" i="1"/>
  <c r="AL2714" i="1" s="1"/>
  <c r="AQ2692" i="1"/>
  <c r="AL2692" i="1" s="1"/>
  <c r="AQ2667" i="1"/>
  <c r="AL2667" i="1" s="1"/>
  <c r="AQ2645" i="1"/>
  <c r="AL2645" i="1" s="1"/>
  <c r="AQ2620" i="1"/>
  <c r="AL2620" i="1" s="1"/>
  <c r="AQ2599" i="1"/>
  <c r="AL2599" i="1" s="1"/>
  <c r="AQ2577" i="1"/>
  <c r="AL2577" i="1" s="1"/>
  <c r="AQ2552" i="1"/>
  <c r="AL2552" i="1" s="1"/>
  <c r="AR2718" i="1"/>
  <c r="AM2718" i="1" s="1"/>
  <c r="AR2693" i="1"/>
  <c r="AM2693" i="1" s="1"/>
  <c r="AR2671" i="1"/>
  <c r="AM2671" i="1" s="1"/>
  <c r="AR2646" i="1"/>
  <c r="AM2646" i="1" s="1"/>
  <c r="AR2624" i="1"/>
  <c r="AM2624" i="1" s="1"/>
  <c r="AR2599" i="1"/>
  <c r="AM2599" i="1" s="1"/>
  <c r="AR2577" i="1"/>
  <c r="AM2577" i="1" s="1"/>
  <c r="AR2552" i="1"/>
  <c r="AM2552" i="1" s="1"/>
  <c r="AS2719" i="1"/>
  <c r="AN2719" i="1" s="1"/>
  <c r="AS2697" i="1"/>
  <c r="AN2697" i="1" s="1"/>
  <c r="AS2672" i="1"/>
  <c r="AN2672" i="1" s="1"/>
  <c r="AS2650" i="1"/>
  <c r="AN2650" i="1" s="1"/>
  <c r="AS2625" i="1"/>
  <c r="AN2625" i="1" s="1"/>
  <c r="AS2603" i="1"/>
  <c r="AN2603" i="1" s="1"/>
  <c r="AS2556" i="1"/>
  <c r="AN2556" i="1" s="1"/>
  <c r="AT2719" i="1"/>
  <c r="AO2719" i="1" s="1"/>
  <c r="AT2697" i="1"/>
  <c r="AO2697" i="1" s="1"/>
  <c r="AT2672" i="1"/>
  <c r="AO2672" i="1" s="1"/>
  <c r="AT2651" i="1"/>
  <c r="AO2651" i="1" s="1"/>
  <c r="AT2629" i="1"/>
  <c r="AO2629" i="1" s="1"/>
  <c r="AT2604" i="1"/>
  <c r="AO2604" i="1" s="1"/>
  <c r="AT2582" i="1"/>
  <c r="AO2582" i="1" s="1"/>
  <c r="AT2557" i="1"/>
  <c r="AO2557" i="1" s="1"/>
  <c r="U2717" i="1"/>
  <c r="W2717" i="1" s="1"/>
  <c r="U2684" i="1"/>
  <c r="W2684" i="1" s="1"/>
  <c r="U2649" i="1"/>
  <c r="W2649" i="1" s="1"/>
  <c r="U2597" i="1"/>
  <c r="W2597" i="1" s="1"/>
  <c r="U2565" i="1"/>
  <c r="W2565" i="1" s="1"/>
  <c r="AQ2713" i="1"/>
  <c r="AL2713" i="1" s="1"/>
  <c r="AQ2691" i="1"/>
  <c r="AL2691" i="1" s="1"/>
  <c r="AQ2666" i="1"/>
  <c r="AL2666" i="1" s="1"/>
  <c r="AQ2644" i="1"/>
  <c r="AL2644" i="1" s="1"/>
  <c r="AQ2619" i="1"/>
  <c r="AL2619" i="1" s="1"/>
  <c r="AQ2597" i="1"/>
  <c r="AL2597" i="1" s="1"/>
  <c r="AQ2572" i="1"/>
  <c r="AL2572" i="1" s="1"/>
  <c r="AQ2551" i="1"/>
  <c r="AL2551" i="1" s="1"/>
  <c r="AR2717" i="1"/>
  <c r="AM2717" i="1" s="1"/>
  <c r="AR2692" i="1"/>
  <c r="AM2692" i="1" s="1"/>
  <c r="AR2670" i="1"/>
  <c r="AM2670" i="1" s="1"/>
  <c r="AR2645" i="1"/>
  <c r="AM2645" i="1" s="1"/>
  <c r="AR2623" i="1"/>
  <c r="AM2623" i="1" s="1"/>
  <c r="AR2598" i="1"/>
  <c r="AM2598" i="1" s="1"/>
  <c r="AR2576" i="1"/>
  <c r="AM2576" i="1" s="1"/>
  <c r="AR2551" i="1"/>
  <c r="AM2551" i="1" s="1"/>
  <c r="AS2717" i="1"/>
  <c r="AN2717" i="1" s="1"/>
  <c r="AS2692" i="1"/>
  <c r="AN2692" i="1" s="1"/>
  <c r="AS2671" i="1"/>
  <c r="AN2671" i="1" s="1"/>
  <c r="AS2649" i="1"/>
  <c r="AN2649" i="1" s="1"/>
  <c r="AS2624" i="1"/>
  <c r="AN2624" i="1" s="1"/>
  <c r="AS2602" i="1"/>
  <c r="AN2602" i="1" s="1"/>
  <c r="AS2577" i="1"/>
  <c r="AN2577" i="1" s="1"/>
  <c r="AS2555" i="1"/>
  <c r="AN2555" i="1" s="1"/>
  <c r="AT2696" i="1"/>
  <c r="AO2696" i="1" s="1"/>
  <c r="AT2671" i="1"/>
  <c r="AO2671" i="1" s="1"/>
  <c r="AT2649" i="1"/>
  <c r="AO2649" i="1" s="1"/>
  <c r="AT2624" i="1"/>
  <c r="AO2624" i="1" s="1"/>
  <c r="AT2603" i="1"/>
  <c r="AO2603" i="1" s="1"/>
  <c r="AT2581" i="1"/>
  <c r="AO2581" i="1" s="1"/>
  <c r="AT2556" i="1"/>
  <c r="AO2556" i="1" s="1"/>
  <c r="AT2722" i="1"/>
  <c r="AO2722" i="1" s="1"/>
  <c r="AR2722" i="1"/>
  <c r="AM2722" i="1" s="1"/>
  <c r="AT2706" i="1"/>
  <c r="AO2706" i="1" s="1"/>
  <c r="AR2706" i="1"/>
  <c r="AM2706" i="1" s="1"/>
  <c r="AT2690" i="1"/>
  <c r="AO2690" i="1" s="1"/>
  <c r="AR2690" i="1"/>
  <c r="AM2690" i="1" s="1"/>
  <c r="AT2674" i="1"/>
  <c r="AO2674" i="1" s="1"/>
  <c r="AR2674" i="1"/>
  <c r="AM2674" i="1" s="1"/>
  <c r="AT2658" i="1"/>
  <c r="AO2658" i="1" s="1"/>
  <c r="AR2658" i="1"/>
  <c r="AM2658" i="1" s="1"/>
  <c r="AT2642" i="1"/>
  <c r="AO2642" i="1" s="1"/>
  <c r="AR2642" i="1"/>
  <c r="AM2642" i="1" s="1"/>
  <c r="AT2626" i="1"/>
  <c r="AO2626" i="1" s="1"/>
  <c r="AR2626" i="1"/>
  <c r="AM2626" i="1" s="1"/>
  <c r="AT2610" i="1"/>
  <c r="AO2610" i="1" s="1"/>
  <c r="AR2610" i="1"/>
  <c r="AM2610" i="1" s="1"/>
  <c r="AT2594" i="1"/>
  <c r="AO2594" i="1" s="1"/>
  <c r="AR2594" i="1"/>
  <c r="AM2594" i="1" s="1"/>
  <c r="AT2578" i="1"/>
  <c r="AO2578" i="1" s="1"/>
  <c r="AR2578" i="1"/>
  <c r="AM2578" i="1" s="1"/>
  <c r="AT2562" i="1"/>
  <c r="AO2562" i="1" s="1"/>
  <c r="AR2562" i="1"/>
  <c r="AM2562" i="1" s="1"/>
  <c r="AT2546" i="1"/>
  <c r="AO2546" i="1" s="1"/>
  <c r="AR2546" i="1"/>
  <c r="AM2546" i="1" s="1"/>
  <c r="U2716" i="1"/>
  <c r="W2716" i="1" s="1"/>
  <c r="U2683" i="1"/>
  <c r="W2683" i="1" s="1"/>
  <c r="U2596" i="1"/>
  <c r="W2596" i="1" s="1"/>
  <c r="U2563" i="1"/>
  <c r="W2563" i="1" s="1"/>
  <c r="AQ2712" i="1"/>
  <c r="AL2712" i="1" s="1"/>
  <c r="AQ2690" i="1"/>
  <c r="AL2690" i="1" s="1"/>
  <c r="AQ2665" i="1"/>
  <c r="AL2665" i="1" s="1"/>
  <c r="AQ2643" i="1"/>
  <c r="AL2643" i="1" s="1"/>
  <c r="AQ2618" i="1"/>
  <c r="AL2618" i="1" s="1"/>
  <c r="AQ2596" i="1"/>
  <c r="AL2596" i="1" s="1"/>
  <c r="AQ2571" i="1"/>
  <c r="AL2571" i="1" s="1"/>
  <c r="AQ2549" i="1"/>
  <c r="AL2549" i="1" s="1"/>
  <c r="AR2712" i="1"/>
  <c r="AM2712" i="1" s="1"/>
  <c r="AR2691" i="1"/>
  <c r="AM2691" i="1" s="1"/>
  <c r="AR2669" i="1"/>
  <c r="AM2669" i="1" s="1"/>
  <c r="AR2644" i="1"/>
  <c r="AM2644" i="1" s="1"/>
  <c r="AR2622" i="1"/>
  <c r="AM2622" i="1" s="1"/>
  <c r="AR2597" i="1"/>
  <c r="AM2597" i="1" s="1"/>
  <c r="AR2575" i="1"/>
  <c r="AM2575" i="1" s="1"/>
  <c r="AR2550" i="1"/>
  <c r="AM2550" i="1" s="1"/>
  <c r="AS2716" i="1"/>
  <c r="AN2716" i="1" s="1"/>
  <c r="AS2691" i="1"/>
  <c r="AN2691" i="1" s="1"/>
  <c r="AS2669" i="1"/>
  <c r="AN2669" i="1" s="1"/>
  <c r="AS2644" i="1"/>
  <c r="AN2644" i="1" s="1"/>
  <c r="AS2623" i="1"/>
  <c r="AN2623" i="1" s="1"/>
  <c r="AS2601" i="1"/>
  <c r="AN2601" i="1" s="1"/>
  <c r="AS2576" i="1"/>
  <c r="AN2576" i="1" s="1"/>
  <c r="AS2554" i="1"/>
  <c r="AN2554" i="1" s="1"/>
  <c r="AT2717" i="1"/>
  <c r="AO2717" i="1" s="1"/>
  <c r="AT2695" i="1"/>
  <c r="AO2695" i="1" s="1"/>
  <c r="AT2648" i="1"/>
  <c r="AO2648" i="1" s="1"/>
  <c r="AT2623" i="1"/>
  <c r="AO2623" i="1" s="1"/>
  <c r="AT2601" i="1"/>
  <c r="AO2601" i="1" s="1"/>
  <c r="AT2576" i="1"/>
  <c r="AO2576" i="1" s="1"/>
  <c r="AT2555" i="1"/>
  <c r="AO2555" i="1" s="1"/>
  <c r="U2664" i="1"/>
  <c r="W2664" i="1" s="1"/>
  <c r="U2731" i="1"/>
  <c r="W2731" i="1" s="1"/>
  <c r="U2651" i="1"/>
  <c r="W2651" i="1" s="1"/>
  <c r="U2555" i="1"/>
  <c r="W2555" i="1" s="1"/>
  <c r="AQ2711" i="1"/>
  <c r="AL2711" i="1" s="1"/>
  <c r="AQ2689" i="1"/>
  <c r="AL2689" i="1" s="1"/>
  <c r="AQ2664" i="1"/>
  <c r="AL2664" i="1" s="1"/>
  <c r="AQ2642" i="1"/>
  <c r="AL2642" i="1" s="1"/>
  <c r="AQ2617" i="1"/>
  <c r="AL2617" i="1" s="1"/>
  <c r="AQ2595" i="1"/>
  <c r="AL2595" i="1" s="1"/>
  <c r="AQ2570" i="1"/>
  <c r="AL2570" i="1" s="1"/>
  <c r="AQ2548" i="1"/>
  <c r="AL2548" i="1" s="1"/>
  <c r="AR2711" i="1"/>
  <c r="AM2711" i="1" s="1"/>
  <c r="AR2689" i="1"/>
  <c r="AM2689" i="1" s="1"/>
  <c r="AR2664" i="1"/>
  <c r="AM2664" i="1" s="1"/>
  <c r="AR2643" i="1"/>
  <c r="AM2643" i="1" s="1"/>
  <c r="AR2621" i="1"/>
  <c r="AM2621" i="1" s="1"/>
  <c r="AR2596" i="1"/>
  <c r="AM2596" i="1" s="1"/>
  <c r="AR2574" i="1"/>
  <c r="AM2574" i="1" s="1"/>
  <c r="AR2549" i="1"/>
  <c r="AM2549" i="1" s="1"/>
  <c r="AS2715" i="1"/>
  <c r="AN2715" i="1" s="1"/>
  <c r="AS2690" i="1"/>
  <c r="AN2690" i="1" s="1"/>
  <c r="AS2668" i="1"/>
  <c r="AN2668" i="1" s="1"/>
  <c r="AS2643" i="1"/>
  <c r="AN2643" i="1" s="1"/>
  <c r="AS2621" i="1"/>
  <c r="AN2621" i="1" s="1"/>
  <c r="AS2596" i="1"/>
  <c r="AN2596" i="1" s="1"/>
  <c r="AS2575" i="1"/>
  <c r="AN2575" i="1" s="1"/>
  <c r="AS2553" i="1"/>
  <c r="AN2553" i="1" s="1"/>
  <c r="AT2716" i="1"/>
  <c r="AO2716" i="1" s="1"/>
  <c r="AT2694" i="1"/>
  <c r="AO2694" i="1" s="1"/>
  <c r="AT2669" i="1"/>
  <c r="AO2669" i="1" s="1"/>
  <c r="AT2647" i="1"/>
  <c r="AO2647" i="1" s="1"/>
  <c r="AT2600" i="1"/>
  <c r="AO2600" i="1" s="1"/>
  <c r="AT2575" i="1"/>
  <c r="AO2575" i="1" s="1"/>
  <c r="AT2553" i="1"/>
  <c r="AO2553" i="1" s="1"/>
  <c r="U2663" i="1"/>
  <c r="W2663" i="1" s="1"/>
  <c r="U2561" i="1"/>
  <c r="W2561" i="1" s="1"/>
  <c r="AQ2731" i="1"/>
  <c r="AL2731" i="1" s="1"/>
  <c r="AQ2709" i="1"/>
  <c r="AL2709" i="1" s="1"/>
  <c r="AQ2684" i="1"/>
  <c r="AL2684" i="1" s="1"/>
  <c r="AQ2663" i="1"/>
  <c r="AL2663" i="1" s="1"/>
  <c r="AQ2641" i="1"/>
  <c r="AL2641" i="1" s="1"/>
  <c r="AQ2616" i="1"/>
  <c r="AL2616" i="1" s="1"/>
  <c r="AQ2594" i="1"/>
  <c r="AL2594" i="1" s="1"/>
  <c r="AQ2569" i="1"/>
  <c r="AL2569" i="1" s="1"/>
  <c r="AQ2547" i="1"/>
  <c r="AL2547" i="1" s="1"/>
  <c r="AR2710" i="1"/>
  <c r="AM2710" i="1" s="1"/>
  <c r="AR2688" i="1"/>
  <c r="AM2688" i="1" s="1"/>
  <c r="AR2663" i="1"/>
  <c r="AM2663" i="1" s="1"/>
  <c r="AR2641" i="1"/>
  <c r="AM2641" i="1" s="1"/>
  <c r="AR2616" i="1"/>
  <c r="AM2616" i="1" s="1"/>
  <c r="AR2595" i="1"/>
  <c r="AM2595" i="1" s="1"/>
  <c r="AR2573" i="1"/>
  <c r="AM2573" i="1" s="1"/>
  <c r="AR2548" i="1"/>
  <c r="AM2548" i="1" s="1"/>
  <c r="AS2714" i="1"/>
  <c r="AN2714" i="1" s="1"/>
  <c r="AS2689" i="1"/>
  <c r="AN2689" i="1" s="1"/>
  <c r="AS2667" i="1"/>
  <c r="AN2667" i="1" s="1"/>
  <c r="AS2642" i="1"/>
  <c r="AN2642" i="1" s="1"/>
  <c r="AS2620" i="1"/>
  <c r="AN2620" i="1" s="1"/>
  <c r="AS2595" i="1"/>
  <c r="AN2595" i="1" s="1"/>
  <c r="AS2573" i="1"/>
  <c r="AN2573" i="1" s="1"/>
  <c r="AS2548" i="1"/>
  <c r="AN2548" i="1" s="1"/>
  <c r="AT2715" i="1"/>
  <c r="AO2715" i="1" s="1"/>
  <c r="AT2693" i="1"/>
  <c r="AO2693" i="1" s="1"/>
  <c r="AT2668" i="1"/>
  <c r="AO2668" i="1" s="1"/>
  <c r="AT2646" i="1"/>
  <c r="AO2646" i="1" s="1"/>
  <c r="AT2621" i="1"/>
  <c r="AO2621" i="1" s="1"/>
  <c r="AT2599" i="1"/>
  <c r="AO2599" i="1" s="1"/>
  <c r="AT2552" i="1"/>
  <c r="AO2552" i="1" s="1"/>
  <c r="U2730" i="1"/>
  <c r="W2730" i="1" s="1"/>
  <c r="U2662" i="1"/>
  <c r="W2662" i="1" s="1"/>
  <c r="U2611" i="1"/>
  <c r="W2611" i="1" s="1"/>
  <c r="U2560" i="1"/>
  <c r="W2560" i="1" s="1"/>
  <c r="AQ2730" i="1"/>
  <c r="AL2730" i="1" s="1"/>
  <c r="AQ2708" i="1"/>
  <c r="AL2708" i="1" s="1"/>
  <c r="AQ2683" i="1"/>
  <c r="AL2683" i="1" s="1"/>
  <c r="AQ2661" i="1"/>
  <c r="AL2661" i="1" s="1"/>
  <c r="AQ2636" i="1"/>
  <c r="AL2636" i="1" s="1"/>
  <c r="AQ2615" i="1"/>
  <c r="AL2615" i="1" s="1"/>
  <c r="AQ2593" i="1"/>
  <c r="AL2593" i="1" s="1"/>
  <c r="AQ2568" i="1"/>
  <c r="AL2568" i="1" s="1"/>
  <c r="AQ2546" i="1"/>
  <c r="AL2546" i="1" s="1"/>
  <c r="AR2709" i="1"/>
  <c r="AM2709" i="1" s="1"/>
  <c r="AR2687" i="1"/>
  <c r="AM2687" i="1" s="1"/>
  <c r="AR2662" i="1"/>
  <c r="AM2662" i="1" s="1"/>
  <c r="AR2640" i="1"/>
  <c r="AM2640" i="1" s="1"/>
  <c r="AR2615" i="1"/>
  <c r="AM2615" i="1" s="1"/>
  <c r="AR2593" i="1"/>
  <c r="AM2593" i="1" s="1"/>
  <c r="AR2568" i="1"/>
  <c r="AM2568" i="1" s="1"/>
  <c r="AR2547" i="1"/>
  <c r="AM2547" i="1" s="1"/>
  <c r="AS2713" i="1"/>
  <c r="AN2713" i="1" s="1"/>
  <c r="AS2688" i="1"/>
  <c r="AN2688" i="1" s="1"/>
  <c r="AS2666" i="1"/>
  <c r="AN2666" i="1" s="1"/>
  <c r="AS2641" i="1"/>
  <c r="AN2641" i="1" s="1"/>
  <c r="AS2619" i="1"/>
  <c r="AN2619" i="1" s="1"/>
  <c r="AS2594" i="1"/>
  <c r="AN2594" i="1" s="1"/>
  <c r="AS2572" i="1"/>
  <c r="AN2572" i="1" s="1"/>
  <c r="AS2547" i="1"/>
  <c r="AN2547" i="1" s="1"/>
  <c r="AT2713" i="1"/>
  <c r="AO2713" i="1" s="1"/>
  <c r="AT2688" i="1"/>
  <c r="AO2688" i="1" s="1"/>
  <c r="AT2667" i="1"/>
  <c r="AO2667" i="1" s="1"/>
  <c r="AT2645" i="1"/>
  <c r="AO2645" i="1" s="1"/>
  <c r="AT2620" i="1"/>
  <c r="AO2620" i="1" s="1"/>
  <c r="AT2598" i="1"/>
  <c r="AO2598" i="1" s="1"/>
  <c r="AT2573" i="1"/>
  <c r="AO2573" i="1" s="1"/>
  <c r="AT2551" i="1"/>
  <c r="AO2551" i="1" s="1"/>
  <c r="AS2684" i="1"/>
  <c r="AN2684" i="1" s="1"/>
  <c r="AQ2718" i="1"/>
  <c r="AL2718" i="1" s="1"/>
  <c r="AS2718" i="1"/>
  <c r="AN2718" i="1" s="1"/>
  <c r="AQ2702" i="1"/>
  <c r="AL2702" i="1" s="1"/>
  <c r="AS2702" i="1"/>
  <c r="AN2702" i="1" s="1"/>
  <c r="AQ2686" i="1"/>
  <c r="AL2686" i="1" s="1"/>
  <c r="AS2686" i="1"/>
  <c r="AN2686" i="1" s="1"/>
  <c r="AQ2670" i="1"/>
  <c r="AL2670" i="1" s="1"/>
  <c r="AS2670" i="1"/>
  <c r="AN2670" i="1" s="1"/>
  <c r="AQ2654" i="1"/>
  <c r="AL2654" i="1" s="1"/>
  <c r="AS2654" i="1"/>
  <c r="AN2654" i="1" s="1"/>
  <c r="AQ2638" i="1"/>
  <c r="AL2638" i="1" s="1"/>
  <c r="AS2638" i="1"/>
  <c r="AN2638" i="1" s="1"/>
  <c r="AQ2622" i="1"/>
  <c r="AL2622" i="1" s="1"/>
  <c r="AS2622" i="1"/>
  <c r="AN2622" i="1" s="1"/>
  <c r="AQ2606" i="1"/>
  <c r="AL2606" i="1" s="1"/>
  <c r="AS2606" i="1"/>
  <c r="AN2606" i="1" s="1"/>
  <c r="AQ2590" i="1"/>
  <c r="AL2590" i="1" s="1"/>
  <c r="AS2590" i="1"/>
  <c r="AN2590" i="1" s="1"/>
  <c r="AQ2574" i="1"/>
  <c r="AL2574" i="1" s="1"/>
  <c r="AS2574" i="1"/>
  <c r="AN2574" i="1" s="1"/>
  <c r="AQ2558" i="1"/>
  <c r="AL2558" i="1" s="1"/>
  <c r="AS2558" i="1"/>
  <c r="AN2558" i="1" s="1"/>
  <c r="U2729" i="1"/>
  <c r="W2729" i="1" s="1"/>
  <c r="U2557" i="1"/>
  <c r="W2557" i="1" s="1"/>
  <c r="AQ2729" i="1"/>
  <c r="AL2729" i="1" s="1"/>
  <c r="AQ2707" i="1"/>
  <c r="AL2707" i="1" s="1"/>
  <c r="AQ2682" i="1"/>
  <c r="AL2682" i="1" s="1"/>
  <c r="AQ2660" i="1"/>
  <c r="AL2660" i="1" s="1"/>
  <c r="AQ2635" i="1"/>
  <c r="AL2635" i="1" s="1"/>
  <c r="AQ2613" i="1"/>
  <c r="AL2613" i="1" s="1"/>
  <c r="AQ2588" i="1"/>
  <c r="AL2588" i="1" s="1"/>
  <c r="AQ2567" i="1"/>
  <c r="AL2567" i="1" s="1"/>
  <c r="AQ2545" i="1"/>
  <c r="AL2545" i="1" s="1"/>
  <c r="AR2708" i="1"/>
  <c r="AM2708" i="1" s="1"/>
  <c r="AR2686" i="1"/>
  <c r="AM2686" i="1" s="1"/>
  <c r="AR2661" i="1"/>
  <c r="AM2661" i="1" s="1"/>
  <c r="AR2639" i="1"/>
  <c r="AM2639" i="1" s="1"/>
  <c r="AR2614" i="1"/>
  <c r="AM2614" i="1" s="1"/>
  <c r="AR2592" i="1"/>
  <c r="AM2592" i="1" s="1"/>
  <c r="AR2567" i="1"/>
  <c r="AM2567" i="1" s="1"/>
  <c r="AR2545" i="1"/>
  <c r="AM2545" i="1" s="1"/>
  <c r="AS2708" i="1"/>
  <c r="AN2708" i="1" s="1"/>
  <c r="AS2687" i="1"/>
  <c r="AN2687" i="1" s="1"/>
  <c r="AS2665" i="1"/>
  <c r="AN2665" i="1" s="1"/>
  <c r="AS2640" i="1"/>
  <c r="AN2640" i="1" s="1"/>
  <c r="AS2618" i="1"/>
  <c r="AN2618" i="1" s="1"/>
  <c r="AS2593" i="1"/>
  <c r="AN2593" i="1" s="1"/>
  <c r="AS2571" i="1"/>
  <c r="AN2571" i="1" s="1"/>
  <c r="AS2546" i="1"/>
  <c r="AN2546" i="1" s="1"/>
  <c r="AT2712" i="1"/>
  <c r="AO2712" i="1" s="1"/>
  <c r="AT2687" i="1"/>
  <c r="AO2687" i="1" s="1"/>
  <c r="AT2665" i="1"/>
  <c r="AO2665" i="1" s="1"/>
  <c r="AT2640" i="1"/>
  <c r="AO2640" i="1" s="1"/>
  <c r="AT2619" i="1"/>
  <c r="AO2619" i="1" s="1"/>
  <c r="AT2597" i="1"/>
  <c r="AO2597" i="1" s="1"/>
  <c r="AT2572" i="1"/>
  <c r="AO2572" i="1" s="1"/>
  <c r="AT2550" i="1"/>
  <c r="AO2550" i="1" s="1"/>
  <c r="U2556" i="1"/>
  <c r="W2556" i="1" s="1"/>
  <c r="AQ2728" i="1"/>
  <c r="AL2728" i="1" s="1"/>
  <c r="AQ2706" i="1"/>
  <c r="AL2706" i="1" s="1"/>
  <c r="AQ2681" i="1"/>
  <c r="AL2681" i="1" s="1"/>
  <c r="AQ2659" i="1"/>
  <c r="AL2659" i="1" s="1"/>
  <c r="AQ2634" i="1"/>
  <c r="AL2634" i="1" s="1"/>
  <c r="AQ2612" i="1"/>
  <c r="AL2612" i="1" s="1"/>
  <c r="AQ2587" i="1"/>
  <c r="AL2587" i="1" s="1"/>
  <c r="AQ2565" i="1"/>
  <c r="AL2565" i="1" s="1"/>
  <c r="AR2728" i="1"/>
  <c r="AM2728" i="1" s="1"/>
  <c r="AR2707" i="1"/>
  <c r="AM2707" i="1" s="1"/>
  <c r="AR2685" i="1"/>
  <c r="AM2685" i="1" s="1"/>
  <c r="AR2660" i="1"/>
  <c r="AM2660" i="1" s="1"/>
  <c r="AR2638" i="1"/>
  <c r="AM2638" i="1" s="1"/>
  <c r="AR2613" i="1"/>
  <c r="AM2613" i="1" s="1"/>
  <c r="AR2591" i="1"/>
  <c r="AM2591" i="1" s="1"/>
  <c r="AR2566" i="1"/>
  <c r="AM2566" i="1" s="1"/>
  <c r="AR2544" i="1"/>
  <c r="AM2544" i="1" s="1"/>
  <c r="AS2707" i="1"/>
  <c r="AN2707" i="1" s="1"/>
  <c r="AS2685" i="1"/>
  <c r="AN2685" i="1" s="1"/>
  <c r="AS2660" i="1"/>
  <c r="AN2660" i="1" s="1"/>
  <c r="AS2639" i="1"/>
  <c r="AN2639" i="1" s="1"/>
  <c r="AS2617" i="1"/>
  <c r="AN2617" i="1" s="1"/>
  <c r="AS2592" i="1"/>
  <c r="AN2592" i="1" s="1"/>
  <c r="AS2570" i="1"/>
  <c r="AN2570" i="1" s="1"/>
  <c r="AS2545" i="1"/>
  <c r="AN2545" i="1" s="1"/>
  <c r="AT2711" i="1"/>
  <c r="AO2711" i="1" s="1"/>
  <c r="AT2686" i="1"/>
  <c r="AO2686" i="1" s="1"/>
  <c r="AT2664" i="1"/>
  <c r="AO2664" i="1" s="1"/>
  <c r="AT2639" i="1"/>
  <c r="AO2639" i="1" s="1"/>
  <c r="AT2617" i="1"/>
  <c r="AO2617" i="1" s="1"/>
  <c r="AT2592" i="1"/>
  <c r="AO2592" i="1" s="1"/>
  <c r="AT2571" i="1"/>
  <c r="AO2571" i="1" s="1"/>
  <c r="AT2549" i="1"/>
  <c r="AO2549" i="1" s="1"/>
  <c r="AT1881" i="1"/>
  <c r="AO1881" i="1" s="1"/>
  <c r="AT1962" i="1"/>
  <c r="AO1962" i="1" s="1"/>
  <c r="AT1834" i="1"/>
  <c r="AO1834" i="1" s="1"/>
  <c r="AT1833" i="1"/>
  <c r="AO1833" i="1" s="1"/>
  <c r="U1860" i="1"/>
  <c r="W1860" i="1" s="1"/>
  <c r="U1863" i="1"/>
  <c r="W1863" i="1" s="1"/>
  <c r="AQ1972" i="1"/>
  <c r="AL1972" i="1" s="1"/>
  <c r="AQ1971" i="1"/>
  <c r="AL1971" i="1" s="1"/>
  <c r="AQ1917" i="1"/>
  <c r="AL1917" i="1" s="1"/>
  <c r="AQ1863" i="1"/>
  <c r="AL1863" i="1" s="1"/>
  <c r="AQ1860" i="1"/>
  <c r="AL1860" i="1" s="1"/>
  <c r="U1978" i="1"/>
  <c r="W1978" i="1" s="1"/>
  <c r="AQ1843" i="1"/>
  <c r="AL1843" i="1" s="1"/>
  <c r="AQ1911" i="1"/>
  <c r="AL1911" i="1" s="1"/>
  <c r="AR1953" i="1"/>
  <c r="AM1953" i="1" s="1"/>
  <c r="AR1889" i="1"/>
  <c r="AM1889" i="1" s="1"/>
  <c r="U1905" i="1"/>
  <c r="W1905" i="1" s="1"/>
  <c r="U1859" i="1"/>
  <c r="W1859" i="1" s="1"/>
  <c r="AQ1966" i="1"/>
  <c r="AL1966" i="1" s="1"/>
  <c r="AQ1908" i="1"/>
  <c r="AL1908" i="1" s="1"/>
  <c r="AQ1859" i="1"/>
  <c r="AL1859" i="1" s="1"/>
  <c r="AR1944" i="1"/>
  <c r="AM1944" i="1" s="1"/>
  <c r="AR1880" i="1"/>
  <c r="AM1880" i="1" s="1"/>
  <c r="AT1946" i="1"/>
  <c r="AO1946" i="1" s="1"/>
  <c r="U1855" i="1"/>
  <c r="W1855" i="1" s="1"/>
  <c r="AQ1965" i="1"/>
  <c r="AL1965" i="1" s="1"/>
  <c r="AQ1907" i="1"/>
  <c r="AL1907" i="1" s="1"/>
  <c r="AQ1854" i="1"/>
  <c r="AL1854" i="1" s="1"/>
  <c r="AR1943" i="1"/>
  <c r="AM1943" i="1" s="1"/>
  <c r="AR1879" i="1"/>
  <c r="AM1879" i="1" s="1"/>
  <c r="AT1945" i="1"/>
  <c r="AO1945" i="1" s="1"/>
  <c r="U1854" i="1"/>
  <c r="W1854" i="1" s="1"/>
  <c r="AQ1956" i="1"/>
  <c r="AL1956" i="1" s="1"/>
  <c r="AQ1902" i="1"/>
  <c r="AL1902" i="1" s="1"/>
  <c r="AQ1853" i="1"/>
  <c r="AL1853" i="1" s="1"/>
  <c r="AR1938" i="1"/>
  <c r="AM1938" i="1" s="1"/>
  <c r="AR1874" i="1"/>
  <c r="AM1874" i="1" s="1"/>
  <c r="AT1930" i="1"/>
  <c r="AO1930" i="1" s="1"/>
  <c r="AQ1955" i="1"/>
  <c r="AL1955" i="1" s="1"/>
  <c r="AQ1901" i="1"/>
  <c r="AL1901" i="1" s="1"/>
  <c r="AQ1847" i="1"/>
  <c r="AL1847" i="1" s="1"/>
  <c r="AR1937" i="1"/>
  <c r="AM1937" i="1" s="1"/>
  <c r="AR1873" i="1"/>
  <c r="AM1873" i="1" s="1"/>
  <c r="AT1929" i="1"/>
  <c r="AO1929" i="1" s="1"/>
  <c r="AQ1950" i="1"/>
  <c r="AL1950" i="1" s="1"/>
  <c r="AQ1895" i="1"/>
  <c r="AL1895" i="1" s="1"/>
  <c r="AQ1844" i="1"/>
  <c r="AL1844" i="1" s="1"/>
  <c r="AR1928" i="1"/>
  <c r="AM1928" i="1" s="1"/>
  <c r="AR1864" i="1"/>
  <c r="AM1864" i="1" s="1"/>
  <c r="AT1914" i="1"/>
  <c r="AO1914" i="1" s="1"/>
  <c r="U1940" i="1"/>
  <c r="W1940" i="1" s="1"/>
  <c r="AQ1949" i="1"/>
  <c r="AL1949" i="1" s="1"/>
  <c r="AQ1892" i="1"/>
  <c r="AL1892" i="1" s="1"/>
  <c r="AR1927" i="1"/>
  <c r="AM1927" i="1" s="1"/>
  <c r="AR1863" i="1"/>
  <c r="AM1863" i="1" s="1"/>
  <c r="AT1913" i="1"/>
  <c r="AO1913" i="1" s="1"/>
  <c r="U1960" i="1"/>
  <c r="W1960" i="1" s="1"/>
  <c r="AQ1940" i="1"/>
  <c r="AL1940" i="1" s="1"/>
  <c r="AQ1891" i="1"/>
  <c r="AL1891" i="1" s="1"/>
  <c r="AQ1838" i="1"/>
  <c r="AL1838" i="1" s="1"/>
  <c r="AR1922" i="1"/>
  <c r="AM1922" i="1" s="1"/>
  <c r="AR1858" i="1"/>
  <c r="AM1858" i="1" s="1"/>
  <c r="AT1898" i="1"/>
  <c r="AO1898" i="1" s="1"/>
  <c r="U1961" i="1"/>
  <c r="W1961" i="1" s="1"/>
  <c r="AQ1939" i="1"/>
  <c r="AL1939" i="1" s="1"/>
  <c r="AQ1886" i="1"/>
  <c r="AL1886" i="1" s="1"/>
  <c r="AQ1837" i="1"/>
  <c r="AL1837" i="1" s="1"/>
  <c r="AR1921" i="1"/>
  <c r="AM1921" i="1" s="1"/>
  <c r="AR1857" i="1"/>
  <c r="AM1857" i="1" s="1"/>
  <c r="AT1897" i="1"/>
  <c r="AO1897" i="1" s="1"/>
  <c r="AR1954" i="1"/>
  <c r="AM1954" i="1" s="1"/>
  <c r="U1880" i="1"/>
  <c r="W1880" i="1" s="1"/>
  <c r="AQ1934" i="1"/>
  <c r="AL1934" i="1" s="1"/>
  <c r="AQ1885" i="1"/>
  <c r="AL1885" i="1" s="1"/>
  <c r="AR1976" i="1"/>
  <c r="AM1976" i="1" s="1"/>
  <c r="AR1912" i="1"/>
  <c r="AM1912" i="1" s="1"/>
  <c r="AR1848" i="1"/>
  <c r="AM1848" i="1" s="1"/>
  <c r="AT1882" i="1"/>
  <c r="AO1882" i="1" s="1"/>
  <c r="AR1890" i="1"/>
  <c r="AM1890" i="1" s="1"/>
  <c r="AQ1933" i="1"/>
  <c r="AL1933" i="1" s="1"/>
  <c r="AQ1879" i="1"/>
  <c r="AL1879" i="1" s="1"/>
  <c r="AR1975" i="1"/>
  <c r="AM1975" i="1" s="1"/>
  <c r="AR1911" i="1"/>
  <c r="AM1911" i="1" s="1"/>
  <c r="AR1847" i="1"/>
  <c r="AM1847" i="1" s="1"/>
  <c r="AQ1927" i="1"/>
  <c r="AL1927" i="1" s="1"/>
  <c r="AQ1876" i="1"/>
  <c r="AL1876" i="1" s="1"/>
  <c r="AR1970" i="1"/>
  <c r="AM1970" i="1" s="1"/>
  <c r="AR1906" i="1"/>
  <c r="AM1906" i="1" s="1"/>
  <c r="AR1842" i="1"/>
  <c r="AM1842" i="1" s="1"/>
  <c r="AT1866" i="1"/>
  <c r="AO1866" i="1" s="1"/>
  <c r="AQ1924" i="1"/>
  <c r="AL1924" i="1" s="1"/>
  <c r="AQ1875" i="1"/>
  <c r="AL1875" i="1" s="1"/>
  <c r="AR1969" i="1"/>
  <c r="AM1969" i="1" s="1"/>
  <c r="AR1905" i="1"/>
  <c r="AM1905" i="1" s="1"/>
  <c r="AR1841" i="1"/>
  <c r="AM1841" i="1" s="1"/>
  <c r="AT1865" i="1"/>
  <c r="AO1865" i="1" s="1"/>
  <c r="U1972" i="1"/>
  <c r="W1972" i="1" s="1"/>
  <c r="AQ1923" i="1"/>
  <c r="AL1923" i="1" s="1"/>
  <c r="AQ1870" i="1"/>
  <c r="AL1870" i="1" s="1"/>
  <c r="AR1960" i="1"/>
  <c r="AM1960" i="1" s="1"/>
  <c r="AR1896" i="1"/>
  <c r="AM1896" i="1" s="1"/>
  <c r="AT1978" i="1"/>
  <c r="AO1978" i="1" s="1"/>
  <c r="AT1850" i="1"/>
  <c r="AO1850" i="1" s="1"/>
  <c r="U1864" i="1"/>
  <c r="W1864" i="1" s="1"/>
  <c r="AQ1918" i="1"/>
  <c r="AL1918" i="1" s="1"/>
  <c r="AQ1869" i="1"/>
  <c r="AL1869" i="1" s="1"/>
  <c r="AR1959" i="1"/>
  <c r="AM1959" i="1" s="1"/>
  <c r="AR1895" i="1"/>
  <c r="AM1895" i="1" s="1"/>
  <c r="AT1977" i="1"/>
  <c r="AO1977" i="1" s="1"/>
  <c r="AT1849" i="1"/>
  <c r="AO1849" i="1" s="1"/>
  <c r="AS1973" i="1"/>
  <c r="AN1973" i="1" s="1"/>
  <c r="AS1893" i="1"/>
  <c r="AN1893" i="1" s="1"/>
  <c r="U1851" i="1"/>
  <c r="W1851" i="1" s="1"/>
  <c r="AQ1980" i="1"/>
  <c r="AL1980" i="1" s="1"/>
  <c r="AQ1964" i="1"/>
  <c r="AL1964" i="1" s="1"/>
  <c r="AQ1948" i="1"/>
  <c r="AL1948" i="1" s="1"/>
  <c r="AQ1932" i="1"/>
  <c r="AL1932" i="1" s="1"/>
  <c r="AQ1916" i="1"/>
  <c r="AL1916" i="1" s="1"/>
  <c r="AQ1900" i="1"/>
  <c r="AL1900" i="1" s="1"/>
  <c r="AQ1884" i="1"/>
  <c r="AL1884" i="1" s="1"/>
  <c r="AQ1868" i="1"/>
  <c r="AL1868" i="1" s="1"/>
  <c r="AQ1852" i="1"/>
  <c r="AL1852" i="1" s="1"/>
  <c r="AQ1836" i="1"/>
  <c r="AL1836" i="1" s="1"/>
  <c r="AR1968" i="1"/>
  <c r="AM1968" i="1" s="1"/>
  <c r="AR1952" i="1"/>
  <c r="AM1952" i="1" s="1"/>
  <c r="AR1936" i="1"/>
  <c r="AM1936" i="1" s="1"/>
  <c r="AR1920" i="1"/>
  <c r="AM1920" i="1" s="1"/>
  <c r="AR1904" i="1"/>
  <c r="AM1904" i="1" s="1"/>
  <c r="AR1888" i="1"/>
  <c r="AM1888" i="1" s="1"/>
  <c r="AR1872" i="1"/>
  <c r="AM1872" i="1" s="1"/>
  <c r="AR1856" i="1"/>
  <c r="AM1856" i="1" s="1"/>
  <c r="AR1840" i="1"/>
  <c r="AM1840" i="1" s="1"/>
  <c r="AS1972" i="1"/>
  <c r="AN1972" i="1" s="1"/>
  <c r="AS1956" i="1"/>
  <c r="AN1956" i="1" s="1"/>
  <c r="AS1940" i="1"/>
  <c r="AN1940" i="1" s="1"/>
  <c r="AS1924" i="1"/>
  <c r="AN1924" i="1" s="1"/>
  <c r="AS1908" i="1"/>
  <c r="AN1908" i="1" s="1"/>
  <c r="AS1892" i="1"/>
  <c r="AN1892" i="1" s="1"/>
  <c r="AS1876" i="1"/>
  <c r="AN1876" i="1" s="1"/>
  <c r="AS1860" i="1"/>
  <c r="AN1860" i="1" s="1"/>
  <c r="AS1844" i="1"/>
  <c r="AN1844" i="1" s="1"/>
  <c r="AT1976" i="1"/>
  <c r="AO1976" i="1" s="1"/>
  <c r="AT1960" i="1"/>
  <c r="AO1960" i="1" s="1"/>
  <c r="AT1944" i="1"/>
  <c r="AO1944" i="1" s="1"/>
  <c r="AT1928" i="1"/>
  <c r="AO1928" i="1" s="1"/>
  <c r="AT1912" i="1"/>
  <c r="AO1912" i="1" s="1"/>
  <c r="AT1896" i="1"/>
  <c r="AO1896" i="1" s="1"/>
  <c r="AT1880" i="1"/>
  <c r="AO1880" i="1" s="1"/>
  <c r="AT1864" i="1"/>
  <c r="AO1864" i="1" s="1"/>
  <c r="AT1848" i="1"/>
  <c r="AO1848" i="1" s="1"/>
  <c r="AS1974" i="1"/>
  <c r="AN1974" i="1" s="1"/>
  <c r="AS1862" i="1"/>
  <c r="AN1862" i="1" s="1"/>
  <c r="AS1909" i="1"/>
  <c r="AN1909" i="1" s="1"/>
  <c r="U1887" i="1"/>
  <c r="W1887" i="1" s="1"/>
  <c r="U1850" i="1"/>
  <c r="W1850" i="1" s="1"/>
  <c r="AQ1979" i="1"/>
  <c r="AL1979" i="1" s="1"/>
  <c r="AQ1963" i="1"/>
  <c r="AL1963" i="1" s="1"/>
  <c r="AQ1947" i="1"/>
  <c r="AL1947" i="1" s="1"/>
  <c r="AQ1931" i="1"/>
  <c r="AL1931" i="1" s="1"/>
  <c r="AQ1915" i="1"/>
  <c r="AL1915" i="1" s="1"/>
  <c r="AQ1899" i="1"/>
  <c r="AL1899" i="1" s="1"/>
  <c r="AQ1883" i="1"/>
  <c r="AL1883" i="1" s="1"/>
  <c r="AQ1867" i="1"/>
  <c r="AL1867" i="1" s="1"/>
  <c r="AQ1851" i="1"/>
  <c r="AL1851" i="1" s="1"/>
  <c r="AQ1835" i="1"/>
  <c r="AL1835" i="1" s="1"/>
  <c r="AR1967" i="1"/>
  <c r="AM1967" i="1" s="1"/>
  <c r="AR1951" i="1"/>
  <c r="AM1951" i="1" s="1"/>
  <c r="AR1935" i="1"/>
  <c r="AM1935" i="1" s="1"/>
  <c r="AR1919" i="1"/>
  <c r="AM1919" i="1" s="1"/>
  <c r="AR1903" i="1"/>
  <c r="AM1903" i="1" s="1"/>
  <c r="AR1887" i="1"/>
  <c r="AM1887" i="1" s="1"/>
  <c r="AR1871" i="1"/>
  <c r="AM1871" i="1" s="1"/>
  <c r="AR1855" i="1"/>
  <c r="AM1855" i="1" s="1"/>
  <c r="AR1839" i="1"/>
  <c r="AM1839" i="1" s="1"/>
  <c r="AS1971" i="1"/>
  <c r="AN1971" i="1" s="1"/>
  <c r="AS1955" i="1"/>
  <c r="AN1955" i="1" s="1"/>
  <c r="AS1939" i="1"/>
  <c r="AN1939" i="1" s="1"/>
  <c r="AS1923" i="1"/>
  <c r="AN1923" i="1" s="1"/>
  <c r="AS1907" i="1"/>
  <c r="AN1907" i="1" s="1"/>
  <c r="AS1891" i="1"/>
  <c r="AN1891" i="1" s="1"/>
  <c r="AS1875" i="1"/>
  <c r="AN1875" i="1" s="1"/>
  <c r="AS1859" i="1"/>
  <c r="AN1859" i="1" s="1"/>
  <c r="AS1843" i="1"/>
  <c r="AN1843" i="1" s="1"/>
  <c r="AT1975" i="1"/>
  <c r="AO1975" i="1" s="1"/>
  <c r="AT1959" i="1"/>
  <c r="AO1959" i="1" s="1"/>
  <c r="AT1943" i="1"/>
  <c r="AO1943" i="1" s="1"/>
  <c r="AT1927" i="1"/>
  <c r="AO1927" i="1" s="1"/>
  <c r="AT1911" i="1"/>
  <c r="AO1911" i="1" s="1"/>
  <c r="AT1895" i="1"/>
  <c r="AO1895" i="1" s="1"/>
  <c r="AT1879" i="1"/>
  <c r="AO1879" i="1" s="1"/>
  <c r="AT1863" i="1"/>
  <c r="AO1863" i="1" s="1"/>
  <c r="AT1847" i="1"/>
  <c r="AO1847" i="1" s="1"/>
  <c r="AS1942" i="1"/>
  <c r="AN1942" i="1" s="1"/>
  <c r="AS1894" i="1"/>
  <c r="AN1894" i="1" s="1"/>
  <c r="AS1861" i="1"/>
  <c r="AN1861" i="1" s="1"/>
  <c r="U1886" i="1"/>
  <c r="W1886" i="1" s="1"/>
  <c r="U1853" i="1"/>
  <c r="W1853" i="1" s="1"/>
  <c r="AQ1978" i="1"/>
  <c r="AL1978" i="1" s="1"/>
  <c r="AQ1962" i="1"/>
  <c r="AL1962" i="1" s="1"/>
  <c r="AQ1946" i="1"/>
  <c r="AL1946" i="1" s="1"/>
  <c r="AQ1930" i="1"/>
  <c r="AL1930" i="1" s="1"/>
  <c r="AQ1914" i="1"/>
  <c r="AL1914" i="1" s="1"/>
  <c r="AQ1898" i="1"/>
  <c r="AL1898" i="1" s="1"/>
  <c r="AQ1882" i="1"/>
  <c r="AL1882" i="1" s="1"/>
  <c r="AQ1866" i="1"/>
  <c r="AL1866" i="1" s="1"/>
  <c r="AQ1850" i="1"/>
  <c r="AL1850" i="1" s="1"/>
  <c r="AQ1834" i="1"/>
  <c r="AL1834" i="1" s="1"/>
  <c r="AR1966" i="1"/>
  <c r="AM1966" i="1" s="1"/>
  <c r="AR1950" i="1"/>
  <c r="AM1950" i="1" s="1"/>
  <c r="AR1934" i="1"/>
  <c r="AM1934" i="1" s="1"/>
  <c r="AR1918" i="1"/>
  <c r="AM1918" i="1" s="1"/>
  <c r="AR1902" i="1"/>
  <c r="AM1902" i="1" s="1"/>
  <c r="AR1886" i="1"/>
  <c r="AM1886" i="1" s="1"/>
  <c r="AR1870" i="1"/>
  <c r="AM1870" i="1" s="1"/>
  <c r="AR1854" i="1"/>
  <c r="AM1854" i="1" s="1"/>
  <c r="AR1838" i="1"/>
  <c r="AM1838" i="1" s="1"/>
  <c r="AS1970" i="1"/>
  <c r="AN1970" i="1" s="1"/>
  <c r="AS1954" i="1"/>
  <c r="AN1954" i="1" s="1"/>
  <c r="AS1938" i="1"/>
  <c r="AN1938" i="1" s="1"/>
  <c r="AS1922" i="1"/>
  <c r="AN1922" i="1" s="1"/>
  <c r="AS1906" i="1"/>
  <c r="AN1906" i="1" s="1"/>
  <c r="AS1890" i="1"/>
  <c r="AN1890" i="1" s="1"/>
  <c r="AS1874" i="1"/>
  <c r="AN1874" i="1" s="1"/>
  <c r="AS1858" i="1"/>
  <c r="AN1858" i="1" s="1"/>
  <c r="AS1842" i="1"/>
  <c r="AN1842" i="1" s="1"/>
  <c r="AT1974" i="1"/>
  <c r="AO1974" i="1" s="1"/>
  <c r="AT1958" i="1"/>
  <c r="AO1958" i="1" s="1"/>
  <c r="AT1942" i="1"/>
  <c r="AO1942" i="1" s="1"/>
  <c r="AT1926" i="1"/>
  <c r="AO1926" i="1" s="1"/>
  <c r="AT1910" i="1"/>
  <c r="AO1910" i="1" s="1"/>
  <c r="AT1894" i="1"/>
  <c r="AO1894" i="1" s="1"/>
  <c r="AT1878" i="1"/>
  <c r="AO1878" i="1" s="1"/>
  <c r="AT1862" i="1"/>
  <c r="AO1862" i="1" s="1"/>
  <c r="AT1846" i="1"/>
  <c r="AO1846" i="1" s="1"/>
  <c r="AS1957" i="1"/>
  <c r="AN1957" i="1" s="1"/>
  <c r="AS1845" i="1"/>
  <c r="AN1845" i="1" s="1"/>
  <c r="U1953" i="1"/>
  <c r="W1953" i="1" s="1"/>
  <c r="U1935" i="1"/>
  <c r="W1935" i="1" s="1"/>
  <c r="U1919" i="1"/>
  <c r="W1919" i="1" s="1"/>
  <c r="U1885" i="1"/>
  <c r="W1885" i="1" s="1"/>
  <c r="U1852" i="1"/>
  <c r="W1852" i="1" s="1"/>
  <c r="AQ1977" i="1"/>
  <c r="AL1977" i="1" s="1"/>
  <c r="AQ1961" i="1"/>
  <c r="AL1961" i="1" s="1"/>
  <c r="AQ1945" i="1"/>
  <c r="AL1945" i="1" s="1"/>
  <c r="AQ1929" i="1"/>
  <c r="AL1929" i="1" s="1"/>
  <c r="AQ1913" i="1"/>
  <c r="AL1913" i="1" s="1"/>
  <c r="AQ1897" i="1"/>
  <c r="AL1897" i="1" s="1"/>
  <c r="AQ1881" i="1"/>
  <c r="AL1881" i="1" s="1"/>
  <c r="AQ1865" i="1"/>
  <c r="AL1865" i="1" s="1"/>
  <c r="AQ1849" i="1"/>
  <c r="AL1849" i="1" s="1"/>
  <c r="AQ1833" i="1"/>
  <c r="AL1833" i="1" s="1"/>
  <c r="AR1965" i="1"/>
  <c r="AM1965" i="1" s="1"/>
  <c r="AR1949" i="1"/>
  <c r="AM1949" i="1" s="1"/>
  <c r="AR1933" i="1"/>
  <c r="AM1933" i="1" s="1"/>
  <c r="AR1917" i="1"/>
  <c r="AM1917" i="1" s="1"/>
  <c r="AR1901" i="1"/>
  <c r="AM1901" i="1" s="1"/>
  <c r="AR1885" i="1"/>
  <c r="AM1885" i="1" s="1"/>
  <c r="AR1869" i="1"/>
  <c r="AM1869" i="1" s="1"/>
  <c r="AR1853" i="1"/>
  <c r="AM1853" i="1" s="1"/>
  <c r="AR1837" i="1"/>
  <c r="AM1837" i="1" s="1"/>
  <c r="AS1969" i="1"/>
  <c r="AN1969" i="1" s="1"/>
  <c r="AS1953" i="1"/>
  <c r="AN1953" i="1" s="1"/>
  <c r="AS1937" i="1"/>
  <c r="AN1937" i="1" s="1"/>
  <c r="AS1921" i="1"/>
  <c r="AN1921" i="1" s="1"/>
  <c r="AS1905" i="1"/>
  <c r="AN1905" i="1" s="1"/>
  <c r="AS1889" i="1"/>
  <c r="AN1889" i="1" s="1"/>
  <c r="AS1873" i="1"/>
  <c r="AN1873" i="1" s="1"/>
  <c r="AS1857" i="1"/>
  <c r="AN1857" i="1" s="1"/>
  <c r="AS1841" i="1"/>
  <c r="AN1841" i="1" s="1"/>
  <c r="AT1973" i="1"/>
  <c r="AO1973" i="1" s="1"/>
  <c r="AT1957" i="1"/>
  <c r="AO1957" i="1" s="1"/>
  <c r="AT1941" i="1"/>
  <c r="AO1941" i="1" s="1"/>
  <c r="AT1925" i="1"/>
  <c r="AO1925" i="1" s="1"/>
  <c r="AT1909" i="1"/>
  <c r="AO1909" i="1" s="1"/>
  <c r="AT1893" i="1"/>
  <c r="AO1893" i="1" s="1"/>
  <c r="AT1877" i="1"/>
  <c r="AO1877" i="1" s="1"/>
  <c r="AT1861" i="1"/>
  <c r="AO1861" i="1" s="1"/>
  <c r="AT1845" i="1"/>
  <c r="AO1845" i="1" s="1"/>
  <c r="AS1925" i="1"/>
  <c r="AN1925" i="1" s="1"/>
  <c r="U1934" i="1"/>
  <c r="W1934" i="1" s="1"/>
  <c r="U1918" i="1"/>
  <c r="W1918" i="1" s="1"/>
  <c r="U1900" i="1"/>
  <c r="W1900" i="1" s="1"/>
  <c r="U1867" i="1"/>
  <c r="W1867" i="1" s="1"/>
  <c r="AQ1976" i="1"/>
  <c r="AL1976" i="1" s="1"/>
  <c r="AQ1960" i="1"/>
  <c r="AL1960" i="1" s="1"/>
  <c r="AQ1944" i="1"/>
  <c r="AL1944" i="1" s="1"/>
  <c r="AQ1928" i="1"/>
  <c r="AL1928" i="1" s="1"/>
  <c r="AQ1912" i="1"/>
  <c r="AL1912" i="1" s="1"/>
  <c r="AQ1896" i="1"/>
  <c r="AL1896" i="1" s="1"/>
  <c r="AQ1880" i="1"/>
  <c r="AL1880" i="1" s="1"/>
  <c r="AQ1864" i="1"/>
  <c r="AL1864" i="1" s="1"/>
  <c r="AQ1848" i="1"/>
  <c r="AL1848" i="1" s="1"/>
  <c r="AR1980" i="1"/>
  <c r="AM1980" i="1" s="1"/>
  <c r="AR1964" i="1"/>
  <c r="AM1964" i="1" s="1"/>
  <c r="AR1948" i="1"/>
  <c r="AM1948" i="1" s="1"/>
  <c r="AR1932" i="1"/>
  <c r="AM1932" i="1" s="1"/>
  <c r="AR1916" i="1"/>
  <c r="AM1916" i="1" s="1"/>
  <c r="AR1900" i="1"/>
  <c r="AM1900" i="1" s="1"/>
  <c r="AR1884" i="1"/>
  <c r="AM1884" i="1" s="1"/>
  <c r="AR1868" i="1"/>
  <c r="AM1868" i="1" s="1"/>
  <c r="AR1852" i="1"/>
  <c r="AM1852" i="1" s="1"/>
  <c r="AR1836" i="1"/>
  <c r="AM1836" i="1" s="1"/>
  <c r="AS1968" i="1"/>
  <c r="AN1968" i="1" s="1"/>
  <c r="AS1952" i="1"/>
  <c r="AN1952" i="1" s="1"/>
  <c r="AS1936" i="1"/>
  <c r="AN1936" i="1" s="1"/>
  <c r="AS1920" i="1"/>
  <c r="AN1920" i="1" s="1"/>
  <c r="AS1904" i="1"/>
  <c r="AN1904" i="1" s="1"/>
  <c r="AS1888" i="1"/>
  <c r="AN1888" i="1" s="1"/>
  <c r="AS1872" i="1"/>
  <c r="AN1872" i="1" s="1"/>
  <c r="AS1856" i="1"/>
  <c r="AN1856" i="1" s="1"/>
  <c r="AS1840" i="1"/>
  <c r="AN1840" i="1" s="1"/>
  <c r="AT1972" i="1"/>
  <c r="AO1972" i="1" s="1"/>
  <c r="AT1956" i="1"/>
  <c r="AO1956" i="1" s="1"/>
  <c r="AT1940" i="1"/>
  <c r="AO1940" i="1" s="1"/>
  <c r="AT1924" i="1"/>
  <c r="AO1924" i="1" s="1"/>
  <c r="AT1908" i="1"/>
  <c r="AO1908" i="1" s="1"/>
  <c r="AT1892" i="1"/>
  <c r="AO1892" i="1" s="1"/>
  <c r="AT1876" i="1"/>
  <c r="AO1876" i="1" s="1"/>
  <c r="AT1860" i="1"/>
  <c r="AO1860" i="1" s="1"/>
  <c r="AT1844" i="1"/>
  <c r="AO1844" i="1" s="1"/>
  <c r="U1933" i="1"/>
  <c r="W1933" i="1" s="1"/>
  <c r="U1917" i="1"/>
  <c r="W1917" i="1" s="1"/>
  <c r="U1899" i="1"/>
  <c r="W1899" i="1" s="1"/>
  <c r="U1866" i="1"/>
  <c r="W1866" i="1" s="1"/>
  <c r="AQ1975" i="1"/>
  <c r="AL1975" i="1" s="1"/>
  <c r="AQ1959" i="1"/>
  <c r="AL1959" i="1" s="1"/>
  <c r="AQ1943" i="1"/>
  <c r="AL1943" i="1" s="1"/>
  <c r="AR1979" i="1"/>
  <c r="AM1979" i="1" s="1"/>
  <c r="AR1963" i="1"/>
  <c r="AM1963" i="1" s="1"/>
  <c r="AR1947" i="1"/>
  <c r="AM1947" i="1" s="1"/>
  <c r="AR1931" i="1"/>
  <c r="AM1931" i="1" s="1"/>
  <c r="AR1915" i="1"/>
  <c r="AM1915" i="1" s="1"/>
  <c r="AR1899" i="1"/>
  <c r="AM1899" i="1" s="1"/>
  <c r="AR1883" i="1"/>
  <c r="AM1883" i="1" s="1"/>
  <c r="AR1867" i="1"/>
  <c r="AM1867" i="1" s="1"/>
  <c r="AR1851" i="1"/>
  <c r="AM1851" i="1" s="1"/>
  <c r="AR1835" i="1"/>
  <c r="AM1835" i="1" s="1"/>
  <c r="AS1967" i="1"/>
  <c r="AN1967" i="1" s="1"/>
  <c r="AS1951" i="1"/>
  <c r="AN1951" i="1" s="1"/>
  <c r="AS1935" i="1"/>
  <c r="AN1935" i="1" s="1"/>
  <c r="AS1919" i="1"/>
  <c r="AN1919" i="1" s="1"/>
  <c r="AS1903" i="1"/>
  <c r="AN1903" i="1" s="1"/>
  <c r="AS1887" i="1"/>
  <c r="AN1887" i="1" s="1"/>
  <c r="AS1871" i="1"/>
  <c r="AN1871" i="1" s="1"/>
  <c r="AS1855" i="1"/>
  <c r="AN1855" i="1" s="1"/>
  <c r="AS1839" i="1"/>
  <c r="AN1839" i="1" s="1"/>
  <c r="AT1971" i="1"/>
  <c r="AO1971" i="1" s="1"/>
  <c r="AT1955" i="1"/>
  <c r="AO1955" i="1" s="1"/>
  <c r="AT1939" i="1"/>
  <c r="AO1939" i="1" s="1"/>
  <c r="AT1923" i="1"/>
  <c r="AO1923" i="1" s="1"/>
  <c r="AT1907" i="1"/>
  <c r="AO1907" i="1" s="1"/>
  <c r="AT1891" i="1"/>
  <c r="AO1891" i="1" s="1"/>
  <c r="AT1875" i="1"/>
  <c r="AO1875" i="1" s="1"/>
  <c r="AT1859" i="1"/>
  <c r="AO1859" i="1" s="1"/>
  <c r="AT1843" i="1"/>
  <c r="AO1843" i="1" s="1"/>
  <c r="AS1941" i="1"/>
  <c r="AN1941" i="1" s="1"/>
  <c r="U1898" i="1"/>
  <c r="W1898" i="1" s="1"/>
  <c r="U1865" i="1"/>
  <c r="W1865" i="1" s="1"/>
  <c r="AQ1974" i="1"/>
  <c r="AL1974" i="1" s="1"/>
  <c r="AQ1958" i="1"/>
  <c r="AL1958" i="1" s="1"/>
  <c r="AQ1942" i="1"/>
  <c r="AL1942" i="1" s="1"/>
  <c r="AQ1926" i="1"/>
  <c r="AL1926" i="1" s="1"/>
  <c r="AQ1910" i="1"/>
  <c r="AL1910" i="1" s="1"/>
  <c r="AQ1894" i="1"/>
  <c r="AL1894" i="1" s="1"/>
  <c r="AQ1878" i="1"/>
  <c r="AL1878" i="1" s="1"/>
  <c r="AQ1862" i="1"/>
  <c r="AL1862" i="1" s="1"/>
  <c r="AQ1846" i="1"/>
  <c r="AL1846" i="1" s="1"/>
  <c r="AR1978" i="1"/>
  <c r="AM1978" i="1" s="1"/>
  <c r="AR1962" i="1"/>
  <c r="AM1962" i="1" s="1"/>
  <c r="AR1946" i="1"/>
  <c r="AM1946" i="1" s="1"/>
  <c r="AR1930" i="1"/>
  <c r="AM1930" i="1" s="1"/>
  <c r="AR1914" i="1"/>
  <c r="AM1914" i="1" s="1"/>
  <c r="AR1898" i="1"/>
  <c r="AM1898" i="1" s="1"/>
  <c r="AR1882" i="1"/>
  <c r="AM1882" i="1" s="1"/>
  <c r="AR1866" i="1"/>
  <c r="AM1866" i="1" s="1"/>
  <c r="AR1850" i="1"/>
  <c r="AM1850" i="1" s="1"/>
  <c r="AR1834" i="1"/>
  <c r="AM1834" i="1" s="1"/>
  <c r="AS1966" i="1"/>
  <c r="AN1966" i="1" s="1"/>
  <c r="AS1950" i="1"/>
  <c r="AN1950" i="1" s="1"/>
  <c r="AS1934" i="1"/>
  <c r="AN1934" i="1" s="1"/>
  <c r="AS1918" i="1"/>
  <c r="AN1918" i="1" s="1"/>
  <c r="AS1902" i="1"/>
  <c r="AN1902" i="1" s="1"/>
  <c r="AS1886" i="1"/>
  <c r="AN1886" i="1" s="1"/>
  <c r="AS1870" i="1"/>
  <c r="AN1870" i="1" s="1"/>
  <c r="AS1854" i="1"/>
  <c r="AN1854" i="1" s="1"/>
  <c r="AS1838" i="1"/>
  <c r="AN1838" i="1" s="1"/>
  <c r="AT1970" i="1"/>
  <c r="AO1970" i="1" s="1"/>
  <c r="AT1954" i="1"/>
  <c r="AO1954" i="1" s="1"/>
  <c r="AT1938" i="1"/>
  <c r="AO1938" i="1" s="1"/>
  <c r="AT1922" i="1"/>
  <c r="AO1922" i="1" s="1"/>
  <c r="AT1906" i="1"/>
  <c r="AO1906" i="1" s="1"/>
  <c r="AT1890" i="1"/>
  <c r="AO1890" i="1" s="1"/>
  <c r="AT1874" i="1"/>
  <c r="AO1874" i="1" s="1"/>
  <c r="AT1858" i="1"/>
  <c r="AO1858" i="1" s="1"/>
  <c r="AT1842" i="1"/>
  <c r="AO1842" i="1" s="1"/>
  <c r="AS1910" i="1"/>
  <c r="AN1910" i="1" s="1"/>
  <c r="AS1877" i="1"/>
  <c r="AN1877" i="1" s="1"/>
  <c r="AQ1973" i="1"/>
  <c r="AL1973" i="1" s="1"/>
  <c r="AQ1957" i="1"/>
  <c r="AL1957" i="1" s="1"/>
  <c r="AQ1941" i="1"/>
  <c r="AL1941" i="1" s="1"/>
  <c r="AQ1925" i="1"/>
  <c r="AL1925" i="1" s="1"/>
  <c r="AQ1909" i="1"/>
  <c r="AL1909" i="1" s="1"/>
  <c r="AQ1893" i="1"/>
  <c r="AL1893" i="1" s="1"/>
  <c r="AQ1877" i="1"/>
  <c r="AL1877" i="1" s="1"/>
  <c r="AQ1861" i="1"/>
  <c r="AL1861" i="1" s="1"/>
  <c r="AQ1845" i="1"/>
  <c r="AL1845" i="1" s="1"/>
  <c r="AR1977" i="1"/>
  <c r="AM1977" i="1" s="1"/>
  <c r="AR1961" i="1"/>
  <c r="AM1961" i="1" s="1"/>
  <c r="AR1945" i="1"/>
  <c r="AM1945" i="1" s="1"/>
  <c r="AR1929" i="1"/>
  <c r="AM1929" i="1" s="1"/>
  <c r="AR1913" i="1"/>
  <c r="AM1913" i="1" s="1"/>
  <c r="AR1897" i="1"/>
  <c r="AM1897" i="1" s="1"/>
  <c r="AR1881" i="1"/>
  <c r="AM1881" i="1" s="1"/>
  <c r="AR1865" i="1"/>
  <c r="AM1865" i="1" s="1"/>
  <c r="AR1849" i="1"/>
  <c r="AM1849" i="1" s="1"/>
  <c r="AR1833" i="1"/>
  <c r="AM1833" i="1" s="1"/>
  <c r="AS1965" i="1"/>
  <c r="AN1965" i="1" s="1"/>
  <c r="AS1949" i="1"/>
  <c r="AN1949" i="1" s="1"/>
  <c r="AS1933" i="1"/>
  <c r="AN1933" i="1" s="1"/>
  <c r="AS1917" i="1"/>
  <c r="AN1917" i="1" s="1"/>
  <c r="AS1901" i="1"/>
  <c r="AN1901" i="1" s="1"/>
  <c r="AS1885" i="1"/>
  <c r="AN1885" i="1" s="1"/>
  <c r="AS1869" i="1"/>
  <c r="AN1869" i="1" s="1"/>
  <c r="AS1853" i="1"/>
  <c r="AN1853" i="1" s="1"/>
  <c r="AS1837" i="1"/>
  <c r="AN1837" i="1" s="1"/>
  <c r="AT1969" i="1"/>
  <c r="AO1969" i="1" s="1"/>
  <c r="AT1953" i="1"/>
  <c r="AO1953" i="1" s="1"/>
  <c r="AT1937" i="1"/>
  <c r="AO1937" i="1" s="1"/>
  <c r="AT1921" i="1"/>
  <c r="AO1921" i="1" s="1"/>
  <c r="AT1905" i="1"/>
  <c r="AO1905" i="1" s="1"/>
  <c r="AT1889" i="1"/>
  <c r="AO1889" i="1" s="1"/>
  <c r="AT1873" i="1"/>
  <c r="AO1873" i="1" s="1"/>
  <c r="AT1857" i="1"/>
  <c r="AO1857" i="1" s="1"/>
  <c r="AT1841" i="1"/>
  <c r="AO1841" i="1" s="1"/>
  <c r="U1879" i="1"/>
  <c r="W1879" i="1" s="1"/>
  <c r="AS1980" i="1"/>
  <c r="AN1980" i="1" s="1"/>
  <c r="AS1964" i="1"/>
  <c r="AN1964" i="1" s="1"/>
  <c r="AS1948" i="1"/>
  <c r="AN1948" i="1" s="1"/>
  <c r="AS1932" i="1"/>
  <c r="AN1932" i="1" s="1"/>
  <c r="AS1916" i="1"/>
  <c r="AN1916" i="1" s="1"/>
  <c r="AS1900" i="1"/>
  <c r="AN1900" i="1" s="1"/>
  <c r="AS1884" i="1"/>
  <c r="AN1884" i="1" s="1"/>
  <c r="AS1868" i="1"/>
  <c r="AN1868" i="1" s="1"/>
  <c r="AS1852" i="1"/>
  <c r="AN1852" i="1" s="1"/>
  <c r="AS1836" i="1"/>
  <c r="AN1836" i="1" s="1"/>
  <c r="AT1968" i="1"/>
  <c r="AO1968" i="1" s="1"/>
  <c r="AT1952" i="1"/>
  <c r="AO1952" i="1" s="1"/>
  <c r="AT1936" i="1"/>
  <c r="AO1936" i="1" s="1"/>
  <c r="AT1920" i="1"/>
  <c r="AO1920" i="1" s="1"/>
  <c r="AT1904" i="1"/>
  <c r="AO1904" i="1" s="1"/>
  <c r="AT1888" i="1"/>
  <c r="AO1888" i="1" s="1"/>
  <c r="AT1872" i="1"/>
  <c r="AO1872" i="1" s="1"/>
  <c r="AT1856" i="1"/>
  <c r="AO1856" i="1" s="1"/>
  <c r="AT1840" i="1"/>
  <c r="AO1840" i="1" s="1"/>
  <c r="AS1958" i="1"/>
  <c r="AN1958" i="1" s="1"/>
  <c r="AS1846" i="1"/>
  <c r="AN1846" i="1" s="1"/>
  <c r="U1878" i="1"/>
  <c r="W1878" i="1" s="1"/>
  <c r="U1862" i="1"/>
  <c r="W1862" i="1" s="1"/>
  <c r="U1974" i="1"/>
  <c r="W1974" i="1" s="1"/>
  <c r="U1942" i="1"/>
  <c r="W1942" i="1" s="1"/>
  <c r="AS1979" i="1"/>
  <c r="AN1979" i="1" s="1"/>
  <c r="AS1963" i="1"/>
  <c r="AN1963" i="1" s="1"/>
  <c r="AS1947" i="1"/>
  <c r="AN1947" i="1" s="1"/>
  <c r="AS1931" i="1"/>
  <c r="AN1931" i="1" s="1"/>
  <c r="AS1915" i="1"/>
  <c r="AN1915" i="1" s="1"/>
  <c r="AS1899" i="1"/>
  <c r="AN1899" i="1" s="1"/>
  <c r="AS1883" i="1"/>
  <c r="AN1883" i="1" s="1"/>
  <c r="AS1867" i="1"/>
  <c r="AN1867" i="1" s="1"/>
  <c r="AS1851" i="1"/>
  <c r="AN1851" i="1" s="1"/>
  <c r="AS1835" i="1"/>
  <c r="AN1835" i="1" s="1"/>
  <c r="AT1967" i="1"/>
  <c r="AO1967" i="1" s="1"/>
  <c r="AT1951" i="1"/>
  <c r="AO1951" i="1" s="1"/>
  <c r="AT1935" i="1"/>
  <c r="AO1935" i="1" s="1"/>
  <c r="AT1919" i="1"/>
  <c r="AO1919" i="1" s="1"/>
  <c r="AT1903" i="1"/>
  <c r="AO1903" i="1" s="1"/>
  <c r="AT1887" i="1"/>
  <c r="AO1887" i="1" s="1"/>
  <c r="AT1871" i="1"/>
  <c r="AO1871" i="1" s="1"/>
  <c r="AT1855" i="1"/>
  <c r="AO1855" i="1" s="1"/>
  <c r="AT1839" i="1"/>
  <c r="AO1839" i="1" s="1"/>
  <c r="AS1926" i="1"/>
  <c r="AN1926" i="1" s="1"/>
  <c r="U1973" i="1"/>
  <c r="W1973" i="1" s="1"/>
  <c r="U1941" i="1"/>
  <c r="W1941" i="1" s="1"/>
  <c r="U1861" i="1"/>
  <c r="W1861" i="1" s="1"/>
  <c r="AR1878" i="1"/>
  <c r="AM1878" i="1" s="1"/>
  <c r="AS1962" i="1"/>
  <c r="AN1962" i="1" s="1"/>
  <c r="AQ1857" i="1"/>
  <c r="AL1857" i="1" s="1"/>
  <c r="AS1961" i="1"/>
  <c r="AN1961" i="1" s="1"/>
  <c r="U1980" i="1"/>
  <c r="W1980" i="1" s="1"/>
  <c r="U1955" i="1"/>
  <c r="W1955" i="1" s="1"/>
  <c r="U1907" i="1"/>
  <c r="W1907" i="1" s="1"/>
  <c r="AQ1856" i="1"/>
  <c r="AL1856" i="1" s="1"/>
  <c r="U1979" i="1"/>
  <c r="W1979" i="1" s="1"/>
  <c r="U1954" i="1"/>
  <c r="W1954" i="1" s="1"/>
  <c r="U1906" i="1"/>
  <c r="W1906" i="1" s="1"/>
  <c r="U1858" i="1"/>
  <c r="W1858" i="1" s="1"/>
  <c r="AT1808" i="1"/>
  <c r="AO1808" i="1" s="1"/>
  <c r="AR1808" i="1"/>
  <c r="AM1808" i="1" s="1"/>
  <c r="AQ1709" i="1"/>
  <c r="AL1709" i="1" s="1"/>
  <c r="AR1709" i="1"/>
  <c r="AM1709" i="1" s="1"/>
  <c r="AT1709" i="1"/>
  <c r="AO1709" i="1" s="1"/>
  <c r="AT1759" i="1"/>
  <c r="AO1759" i="1" s="1"/>
  <c r="AS1759" i="1"/>
  <c r="AN1759" i="1" s="1"/>
  <c r="AQ1710" i="1"/>
  <c r="AL1710" i="1" s="1"/>
  <c r="AT1710" i="1"/>
  <c r="AO1710" i="1" s="1"/>
  <c r="AT1711" i="1"/>
  <c r="AO1711" i="1" s="1"/>
  <c r="U1711" i="1"/>
  <c r="W1711" i="1" s="1"/>
  <c r="AT1727" i="1"/>
  <c r="AO1727" i="1" s="1"/>
  <c r="AQ1727" i="1"/>
  <c r="AL1727" i="1" s="1"/>
  <c r="AT1744" i="1"/>
  <c r="AO1744" i="1" s="1"/>
  <c r="AR1744" i="1"/>
  <c r="AM1744" i="1" s="1"/>
  <c r="AQ1741" i="1"/>
  <c r="AL1741" i="1" s="1"/>
  <c r="AR1741" i="1"/>
  <c r="AM1741" i="1" s="1"/>
  <c r="U1752" i="1"/>
  <c r="W1752" i="1" s="1"/>
  <c r="U1751" i="1"/>
  <c r="W1751" i="1" s="1"/>
  <c r="AQ1794" i="1"/>
  <c r="AL1794" i="1" s="1"/>
  <c r="AQ1730" i="1"/>
  <c r="AL1730" i="1" s="1"/>
  <c r="U1806" i="1"/>
  <c r="W1806" i="1" s="1"/>
  <c r="AR1696" i="1"/>
  <c r="AM1696" i="1" s="1"/>
  <c r="AR1693" i="1"/>
  <c r="AM1693" i="1" s="1"/>
  <c r="AQ1791" i="1"/>
  <c r="AL1791" i="1" s="1"/>
  <c r="AR1805" i="1"/>
  <c r="AM1805" i="1" s="1"/>
  <c r="AS1822" i="1"/>
  <c r="AN1822" i="1" s="1"/>
  <c r="AS1758" i="1"/>
  <c r="AN1758" i="1" s="1"/>
  <c r="AS1694" i="1"/>
  <c r="AN1694" i="1" s="1"/>
  <c r="AQ1780" i="1"/>
  <c r="AL1780" i="1" s="1"/>
  <c r="AQ1716" i="1"/>
  <c r="AL1716" i="1" s="1"/>
  <c r="AR1794" i="1"/>
  <c r="AM1794" i="1" s="1"/>
  <c r="AR1730" i="1"/>
  <c r="AM1730" i="1" s="1"/>
  <c r="AS1816" i="1"/>
  <c r="AN1816" i="1" s="1"/>
  <c r="AS1752" i="1"/>
  <c r="AN1752" i="1" s="1"/>
  <c r="AT1822" i="1"/>
  <c r="AO1822" i="1" s="1"/>
  <c r="AT1694" i="1"/>
  <c r="AO1694" i="1" s="1"/>
  <c r="AQ1779" i="1"/>
  <c r="AL1779" i="1" s="1"/>
  <c r="AQ1715" i="1"/>
  <c r="AL1715" i="1" s="1"/>
  <c r="AR1793" i="1"/>
  <c r="AM1793" i="1" s="1"/>
  <c r="AR1729" i="1"/>
  <c r="AM1729" i="1" s="1"/>
  <c r="AS1808" i="1"/>
  <c r="AN1808" i="1" s="1"/>
  <c r="AS1744" i="1"/>
  <c r="AN1744" i="1" s="1"/>
  <c r="AT1821" i="1"/>
  <c r="AO1821" i="1" s="1"/>
  <c r="AQ1778" i="1"/>
  <c r="AL1778" i="1" s="1"/>
  <c r="AQ1714" i="1"/>
  <c r="AL1714" i="1" s="1"/>
  <c r="AR1792" i="1"/>
  <c r="AM1792" i="1" s="1"/>
  <c r="AR1728" i="1"/>
  <c r="AM1728" i="1" s="1"/>
  <c r="AS1807" i="1"/>
  <c r="AN1807" i="1" s="1"/>
  <c r="AS1743" i="1"/>
  <c r="AN1743" i="1" s="1"/>
  <c r="AT1806" i="1"/>
  <c r="AO1806" i="1" s="1"/>
  <c r="U1759" i="1"/>
  <c r="W1759" i="1" s="1"/>
  <c r="U1718" i="1"/>
  <c r="W1718" i="1" s="1"/>
  <c r="U1814" i="1"/>
  <c r="W1814" i="1" s="1"/>
  <c r="U1702" i="1"/>
  <c r="W1702" i="1" s="1"/>
  <c r="AQ1775" i="1"/>
  <c r="AL1775" i="1" s="1"/>
  <c r="AQ1711" i="1"/>
  <c r="AL1711" i="1" s="1"/>
  <c r="AR1789" i="1"/>
  <c r="AM1789" i="1" s="1"/>
  <c r="AR1725" i="1"/>
  <c r="AM1725" i="1" s="1"/>
  <c r="AS1806" i="1"/>
  <c r="AN1806" i="1" s="1"/>
  <c r="AS1742" i="1"/>
  <c r="AN1742" i="1" s="1"/>
  <c r="AT1805" i="1"/>
  <c r="AO1805" i="1" s="1"/>
  <c r="U1758" i="1"/>
  <c r="W1758" i="1" s="1"/>
  <c r="U1717" i="1"/>
  <c r="W1717" i="1" s="1"/>
  <c r="AQ1828" i="1"/>
  <c r="AL1828" i="1" s="1"/>
  <c r="AQ1764" i="1"/>
  <c r="AL1764" i="1" s="1"/>
  <c r="AQ1700" i="1"/>
  <c r="AL1700" i="1" s="1"/>
  <c r="AR1778" i="1"/>
  <c r="AM1778" i="1" s="1"/>
  <c r="AR1714" i="1"/>
  <c r="AM1714" i="1" s="1"/>
  <c r="AS1800" i="1"/>
  <c r="AN1800" i="1" s="1"/>
  <c r="AS1736" i="1"/>
  <c r="AN1736" i="1" s="1"/>
  <c r="AT1790" i="1"/>
  <c r="AO1790" i="1" s="1"/>
  <c r="U1716" i="1"/>
  <c r="W1716" i="1" s="1"/>
  <c r="AQ1827" i="1"/>
  <c r="AL1827" i="1" s="1"/>
  <c r="AQ1763" i="1"/>
  <c r="AL1763" i="1" s="1"/>
  <c r="AQ1699" i="1"/>
  <c r="AL1699" i="1" s="1"/>
  <c r="AR1777" i="1"/>
  <c r="AM1777" i="1" s="1"/>
  <c r="AR1713" i="1"/>
  <c r="AM1713" i="1" s="1"/>
  <c r="AS1792" i="1"/>
  <c r="AN1792" i="1" s="1"/>
  <c r="AS1728" i="1"/>
  <c r="AN1728" i="1" s="1"/>
  <c r="AT1789" i="1"/>
  <c r="AO1789" i="1" s="1"/>
  <c r="U1713" i="1"/>
  <c r="W1713" i="1" s="1"/>
  <c r="AQ1826" i="1"/>
  <c r="AL1826" i="1" s="1"/>
  <c r="AQ1762" i="1"/>
  <c r="AL1762" i="1" s="1"/>
  <c r="AQ1698" i="1"/>
  <c r="AL1698" i="1" s="1"/>
  <c r="AR1776" i="1"/>
  <c r="AM1776" i="1" s="1"/>
  <c r="AR1712" i="1"/>
  <c r="AM1712" i="1" s="1"/>
  <c r="AS1791" i="1"/>
  <c r="AN1791" i="1" s="1"/>
  <c r="AS1727" i="1"/>
  <c r="AN1727" i="1" s="1"/>
  <c r="AT1774" i="1"/>
  <c r="AO1774" i="1" s="1"/>
  <c r="U1815" i="1"/>
  <c r="W1815" i="1" s="1"/>
  <c r="U1733" i="1"/>
  <c r="W1733" i="1" s="1"/>
  <c r="AQ1823" i="1"/>
  <c r="AL1823" i="1" s="1"/>
  <c r="AQ1759" i="1"/>
  <c r="AL1759" i="1" s="1"/>
  <c r="AR1773" i="1"/>
  <c r="AM1773" i="1" s="1"/>
  <c r="AS1790" i="1"/>
  <c r="AN1790" i="1" s="1"/>
  <c r="AS1726" i="1"/>
  <c r="AN1726" i="1" s="1"/>
  <c r="AT1773" i="1"/>
  <c r="AO1773" i="1" s="1"/>
  <c r="U1794" i="1"/>
  <c r="W1794" i="1" s="1"/>
  <c r="U1732" i="1"/>
  <c r="W1732" i="1" s="1"/>
  <c r="AQ1812" i="1"/>
  <c r="AL1812" i="1" s="1"/>
  <c r="AQ1748" i="1"/>
  <c r="AL1748" i="1" s="1"/>
  <c r="AR1826" i="1"/>
  <c r="AM1826" i="1" s="1"/>
  <c r="AR1762" i="1"/>
  <c r="AM1762" i="1" s="1"/>
  <c r="AR1698" i="1"/>
  <c r="AM1698" i="1" s="1"/>
  <c r="AS1784" i="1"/>
  <c r="AN1784" i="1" s="1"/>
  <c r="AS1720" i="1"/>
  <c r="AN1720" i="1" s="1"/>
  <c r="AT1758" i="1"/>
  <c r="AO1758" i="1" s="1"/>
  <c r="U1786" i="1"/>
  <c r="W1786" i="1" s="1"/>
  <c r="U1770" i="1"/>
  <c r="W1770" i="1" s="1"/>
  <c r="U1738" i="1"/>
  <c r="W1738" i="1" s="1"/>
  <c r="U1832" i="1"/>
  <c r="W1832" i="1" s="1"/>
  <c r="AQ1811" i="1"/>
  <c r="AL1811" i="1" s="1"/>
  <c r="AQ1747" i="1"/>
  <c r="AL1747" i="1" s="1"/>
  <c r="AR1825" i="1"/>
  <c r="AM1825" i="1" s="1"/>
  <c r="AR1761" i="1"/>
  <c r="AM1761" i="1" s="1"/>
  <c r="AR1697" i="1"/>
  <c r="AM1697" i="1" s="1"/>
  <c r="AS1776" i="1"/>
  <c r="AN1776" i="1" s="1"/>
  <c r="AS1712" i="1"/>
  <c r="AN1712" i="1" s="1"/>
  <c r="AT1757" i="1"/>
  <c r="AO1757" i="1" s="1"/>
  <c r="AQ1810" i="1"/>
  <c r="AL1810" i="1" s="1"/>
  <c r="AQ1746" i="1"/>
  <c r="AL1746" i="1" s="1"/>
  <c r="AR1824" i="1"/>
  <c r="AM1824" i="1" s="1"/>
  <c r="AR1760" i="1"/>
  <c r="AM1760" i="1" s="1"/>
  <c r="AS1775" i="1"/>
  <c r="AN1775" i="1" s="1"/>
  <c r="AS1711" i="1"/>
  <c r="AN1711" i="1" s="1"/>
  <c r="AT1742" i="1"/>
  <c r="AO1742" i="1" s="1"/>
  <c r="U1710" i="1"/>
  <c r="W1710" i="1" s="1"/>
  <c r="AQ1807" i="1"/>
  <c r="AL1807" i="1" s="1"/>
  <c r="AQ1743" i="1"/>
  <c r="AL1743" i="1" s="1"/>
  <c r="AR1821" i="1"/>
  <c r="AM1821" i="1" s="1"/>
  <c r="AR1757" i="1"/>
  <c r="AM1757" i="1" s="1"/>
  <c r="AS1774" i="1"/>
  <c r="AN1774" i="1" s="1"/>
  <c r="AS1710" i="1"/>
  <c r="AN1710" i="1" s="1"/>
  <c r="AT1741" i="1"/>
  <c r="AO1741" i="1" s="1"/>
  <c r="U1808" i="1"/>
  <c r="W1808" i="1" s="1"/>
  <c r="U1709" i="1"/>
  <c r="W1709" i="1" s="1"/>
  <c r="AQ1796" i="1"/>
  <c r="AL1796" i="1" s="1"/>
  <c r="AQ1732" i="1"/>
  <c r="AL1732" i="1" s="1"/>
  <c r="AR1810" i="1"/>
  <c r="AM1810" i="1" s="1"/>
  <c r="AR1746" i="1"/>
  <c r="AM1746" i="1" s="1"/>
  <c r="AS1832" i="1"/>
  <c r="AN1832" i="1" s="1"/>
  <c r="AS1768" i="1"/>
  <c r="AN1768" i="1" s="1"/>
  <c r="AS1704" i="1"/>
  <c r="AN1704" i="1" s="1"/>
  <c r="AT1726" i="1"/>
  <c r="AO1726" i="1" s="1"/>
  <c r="U1825" i="1"/>
  <c r="W1825" i="1" s="1"/>
  <c r="U1807" i="1"/>
  <c r="W1807" i="1" s="1"/>
  <c r="AQ1795" i="1"/>
  <c r="AL1795" i="1" s="1"/>
  <c r="AQ1731" i="1"/>
  <c r="AL1731" i="1" s="1"/>
  <c r="AR1809" i="1"/>
  <c r="AM1809" i="1" s="1"/>
  <c r="AR1745" i="1"/>
  <c r="AM1745" i="1" s="1"/>
  <c r="AS1824" i="1"/>
  <c r="AN1824" i="1" s="1"/>
  <c r="AS1760" i="1"/>
  <c r="AN1760" i="1" s="1"/>
  <c r="AS1696" i="1"/>
  <c r="AN1696" i="1" s="1"/>
  <c r="AT1725" i="1"/>
  <c r="AO1725" i="1" s="1"/>
  <c r="AT1820" i="1"/>
  <c r="AO1820" i="1" s="1"/>
  <c r="AT1804" i="1"/>
  <c r="AO1804" i="1" s="1"/>
  <c r="AT1788" i="1"/>
  <c r="AO1788" i="1" s="1"/>
  <c r="AT1772" i="1"/>
  <c r="AO1772" i="1" s="1"/>
  <c r="AT1756" i="1"/>
  <c r="AO1756" i="1" s="1"/>
  <c r="AT1740" i="1"/>
  <c r="AO1740" i="1" s="1"/>
  <c r="AT1724" i="1"/>
  <c r="AO1724" i="1" s="1"/>
  <c r="AT1708" i="1"/>
  <c r="AO1708" i="1" s="1"/>
  <c r="AT1692" i="1"/>
  <c r="AO1692" i="1" s="1"/>
  <c r="U1831" i="1"/>
  <c r="W1831" i="1" s="1"/>
  <c r="U1813" i="1"/>
  <c r="W1813" i="1" s="1"/>
  <c r="U1731" i="1"/>
  <c r="W1731" i="1" s="1"/>
  <c r="U1715" i="1"/>
  <c r="W1715" i="1" s="1"/>
  <c r="AQ1825" i="1"/>
  <c r="AL1825" i="1" s="1"/>
  <c r="AQ1809" i="1"/>
  <c r="AL1809" i="1" s="1"/>
  <c r="AQ1793" i="1"/>
  <c r="AL1793" i="1" s="1"/>
  <c r="AQ1777" i="1"/>
  <c r="AL1777" i="1" s="1"/>
  <c r="AQ1761" i="1"/>
  <c r="AL1761" i="1" s="1"/>
  <c r="AQ1745" i="1"/>
  <c r="AL1745" i="1" s="1"/>
  <c r="AQ1729" i="1"/>
  <c r="AL1729" i="1" s="1"/>
  <c r="AQ1713" i="1"/>
  <c r="AL1713" i="1" s="1"/>
  <c r="AQ1697" i="1"/>
  <c r="AL1697" i="1" s="1"/>
  <c r="AR1823" i="1"/>
  <c r="AM1823" i="1" s="1"/>
  <c r="AR1807" i="1"/>
  <c r="AM1807" i="1" s="1"/>
  <c r="AR1791" i="1"/>
  <c r="AM1791" i="1" s="1"/>
  <c r="AR1775" i="1"/>
  <c r="AM1775" i="1" s="1"/>
  <c r="AR1759" i="1"/>
  <c r="AM1759" i="1" s="1"/>
  <c r="AR1743" i="1"/>
  <c r="AM1743" i="1" s="1"/>
  <c r="AR1727" i="1"/>
  <c r="AM1727" i="1" s="1"/>
  <c r="AR1711" i="1"/>
  <c r="AM1711" i="1" s="1"/>
  <c r="AR1695" i="1"/>
  <c r="AM1695" i="1" s="1"/>
  <c r="AS1821" i="1"/>
  <c r="AN1821" i="1" s="1"/>
  <c r="AS1805" i="1"/>
  <c r="AN1805" i="1" s="1"/>
  <c r="AS1789" i="1"/>
  <c r="AN1789" i="1" s="1"/>
  <c r="AS1773" i="1"/>
  <c r="AN1773" i="1" s="1"/>
  <c r="AS1757" i="1"/>
  <c r="AN1757" i="1" s="1"/>
  <c r="AS1741" i="1"/>
  <c r="AN1741" i="1" s="1"/>
  <c r="AS1725" i="1"/>
  <c r="AN1725" i="1" s="1"/>
  <c r="AS1709" i="1"/>
  <c r="AN1709" i="1" s="1"/>
  <c r="AS1693" i="1"/>
  <c r="AN1693" i="1" s="1"/>
  <c r="AT1819" i="1"/>
  <c r="AO1819" i="1" s="1"/>
  <c r="AT1803" i="1"/>
  <c r="AO1803" i="1" s="1"/>
  <c r="AT1787" i="1"/>
  <c r="AO1787" i="1" s="1"/>
  <c r="AT1771" i="1"/>
  <c r="AO1771" i="1" s="1"/>
  <c r="AT1755" i="1"/>
  <c r="AO1755" i="1" s="1"/>
  <c r="AT1739" i="1"/>
  <c r="AO1739" i="1" s="1"/>
  <c r="AT1723" i="1"/>
  <c r="AO1723" i="1" s="1"/>
  <c r="AT1707" i="1"/>
  <c r="AO1707" i="1" s="1"/>
  <c r="AT1691" i="1"/>
  <c r="AO1691" i="1" s="1"/>
  <c r="U1714" i="1"/>
  <c r="W1714" i="1" s="1"/>
  <c r="AQ1824" i="1"/>
  <c r="AL1824" i="1" s="1"/>
  <c r="AQ1808" i="1"/>
  <c r="AL1808" i="1" s="1"/>
  <c r="AQ1792" i="1"/>
  <c r="AL1792" i="1" s="1"/>
  <c r="AQ1776" i="1"/>
  <c r="AL1776" i="1" s="1"/>
  <c r="AQ1760" i="1"/>
  <c r="AL1760" i="1" s="1"/>
  <c r="AQ1744" i="1"/>
  <c r="AL1744" i="1" s="1"/>
  <c r="AQ1728" i="1"/>
  <c r="AL1728" i="1" s="1"/>
  <c r="AQ1712" i="1"/>
  <c r="AL1712" i="1" s="1"/>
  <c r="AQ1696" i="1"/>
  <c r="AL1696" i="1" s="1"/>
  <c r="AR1822" i="1"/>
  <c r="AM1822" i="1" s="1"/>
  <c r="AR1806" i="1"/>
  <c r="AM1806" i="1" s="1"/>
  <c r="AR1790" i="1"/>
  <c r="AM1790" i="1" s="1"/>
  <c r="AR1774" i="1"/>
  <c r="AM1774" i="1" s="1"/>
  <c r="AR1758" i="1"/>
  <c r="AM1758" i="1" s="1"/>
  <c r="AR1742" i="1"/>
  <c r="AM1742" i="1" s="1"/>
  <c r="AR1726" i="1"/>
  <c r="AM1726" i="1" s="1"/>
  <c r="AR1710" i="1"/>
  <c r="AM1710" i="1" s="1"/>
  <c r="AR1694" i="1"/>
  <c r="AM1694" i="1" s="1"/>
  <c r="AS1820" i="1"/>
  <c r="AN1820" i="1" s="1"/>
  <c r="AS1804" i="1"/>
  <c r="AN1804" i="1" s="1"/>
  <c r="AS1788" i="1"/>
  <c r="AN1788" i="1" s="1"/>
  <c r="AS1772" i="1"/>
  <c r="AN1772" i="1" s="1"/>
  <c r="AS1756" i="1"/>
  <c r="AN1756" i="1" s="1"/>
  <c r="AS1740" i="1"/>
  <c r="AN1740" i="1" s="1"/>
  <c r="AS1724" i="1"/>
  <c r="AN1724" i="1" s="1"/>
  <c r="AS1708" i="1"/>
  <c r="AN1708" i="1" s="1"/>
  <c r="AS1692" i="1"/>
  <c r="AN1692" i="1" s="1"/>
  <c r="AT1818" i="1"/>
  <c r="AO1818" i="1" s="1"/>
  <c r="AT1802" i="1"/>
  <c r="AO1802" i="1" s="1"/>
  <c r="AT1786" i="1"/>
  <c r="AO1786" i="1" s="1"/>
  <c r="AT1770" i="1"/>
  <c r="AO1770" i="1" s="1"/>
  <c r="AT1754" i="1"/>
  <c r="AO1754" i="1" s="1"/>
  <c r="AT1738" i="1"/>
  <c r="AO1738" i="1" s="1"/>
  <c r="AT1722" i="1"/>
  <c r="AO1722" i="1" s="1"/>
  <c r="AT1706" i="1"/>
  <c r="AO1706" i="1" s="1"/>
  <c r="U1706" i="1"/>
  <c r="W1706" i="1" s="1"/>
  <c r="AS1819" i="1"/>
  <c r="AN1819" i="1" s="1"/>
  <c r="AS1803" i="1"/>
  <c r="AN1803" i="1" s="1"/>
  <c r="AS1787" i="1"/>
  <c r="AN1787" i="1" s="1"/>
  <c r="AS1771" i="1"/>
  <c r="AN1771" i="1" s="1"/>
  <c r="AS1755" i="1"/>
  <c r="AN1755" i="1" s="1"/>
  <c r="AS1739" i="1"/>
  <c r="AN1739" i="1" s="1"/>
  <c r="AS1723" i="1"/>
  <c r="AN1723" i="1" s="1"/>
  <c r="AS1707" i="1"/>
  <c r="AN1707" i="1" s="1"/>
  <c r="AS1691" i="1"/>
  <c r="AN1691" i="1" s="1"/>
  <c r="AT1817" i="1"/>
  <c r="AO1817" i="1" s="1"/>
  <c r="AT1801" i="1"/>
  <c r="AO1801" i="1" s="1"/>
  <c r="AT1785" i="1"/>
  <c r="AO1785" i="1" s="1"/>
  <c r="AT1769" i="1"/>
  <c r="AO1769" i="1" s="1"/>
  <c r="AT1753" i="1"/>
  <c r="AO1753" i="1" s="1"/>
  <c r="AT1737" i="1"/>
  <c r="AO1737" i="1" s="1"/>
  <c r="AT1721" i="1"/>
  <c r="AO1721" i="1" s="1"/>
  <c r="AT1705" i="1"/>
  <c r="AO1705" i="1" s="1"/>
  <c r="U1793" i="1"/>
  <c r="W1793" i="1" s="1"/>
  <c r="U1712" i="1"/>
  <c r="W1712" i="1" s="1"/>
  <c r="U1753" i="1"/>
  <c r="W1753" i="1" s="1"/>
  <c r="U1705" i="1"/>
  <c r="W1705" i="1" s="1"/>
  <c r="AQ1806" i="1"/>
  <c r="AL1806" i="1" s="1"/>
  <c r="AR1820" i="1"/>
  <c r="AM1820" i="1" s="1"/>
  <c r="AR1804" i="1"/>
  <c r="AM1804" i="1" s="1"/>
  <c r="AR1788" i="1"/>
  <c r="AM1788" i="1" s="1"/>
  <c r="AR1772" i="1"/>
  <c r="AM1772" i="1" s="1"/>
  <c r="AR1756" i="1"/>
  <c r="AM1756" i="1" s="1"/>
  <c r="AR1740" i="1"/>
  <c r="AM1740" i="1" s="1"/>
  <c r="AR1724" i="1"/>
  <c r="AM1724" i="1" s="1"/>
  <c r="AR1708" i="1"/>
  <c r="AM1708" i="1" s="1"/>
  <c r="AR1692" i="1"/>
  <c r="AM1692" i="1" s="1"/>
  <c r="AS1818" i="1"/>
  <c r="AN1818" i="1" s="1"/>
  <c r="AS1802" i="1"/>
  <c r="AN1802" i="1" s="1"/>
  <c r="AS1786" i="1"/>
  <c r="AN1786" i="1" s="1"/>
  <c r="AS1770" i="1"/>
  <c r="AN1770" i="1" s="1"/>
  <c r="AS1754" i="1"/>
  <c r="AN1754" i="1" s="1"/>
  <c r="AS1738" i="1"/>
  <c r="AN1738" i="1" s="1"/>
  <c r="AS1722" i="1"/>
  <c r="AN1722" i="1" s="1"/>
  <c r="AS1706" i="1"/>
  <c r="AN1706" i="1" s="1"/>
  <c r="AT1832" i="1"/>
  <c r="AO1832" i="1" s="1"/>
  <c r="AT1816" i="1"/>
  <c r="AO1816" i="1" s="1"/>
  <c r="AT1800" i="1"/>
  <c r="AO1800" i="1" s="1"/>
  <c r="AT1784" i="1"/>
  <c r="AO1784" i="1" s="1"/>
  <c r="AT1768" i="1"/>
  <c r="AO1768" i="1" s="1"/>
  <c r="AT1752" i="1"/>
  <c r="AO1752" i="1" s="1"/>
  <c r="AT1736" i="1"/>
  <c r="AO1736" i="1" s="1"/>
  <c r="AT1720" i="1"/>
  <c r="AO1720" i="1" s="1"/>
  <c r="AT1704" i="1"/>
  <c r="AO1704" i="1" s="1"/>
  <c r="U1826" i="1"/>
  <c r="W1826" i="1" s="1"/>
  <c r="U1760" i="1"/>
  <c r="W1760" i="1" s="1"/>
  <c r="AR1819" i="1"/>
  <c r="AM1819" i="1" s="1"/>
  <c r="AR1803" i="1"/>
  <c r="AM1803" i="1" s="1"/>
  <c r="AR1787" i="1"/>
  <c r="AM1787" i="1" s="1"/>
  <c r="AR1771" i="1"/>
  <c r="AM1771" i="1" s="1"/>
  <c r="AR1755" i="1"/>
  <c r="AM1755" i="1" s="1"/>
  <c r="AR1739" i="1"/>
  <c r="AM1739" i="1" s="1"/>
  <c r="AR1723" i="1"/>
  <c r="AM1723" i="1" s="1"/>
  <c r="AR1707" i="1"/>
  <c r="AM1707" i="1" s="1"/>
  <c r="AR1691" i="1"/>
  <c r="AM1691" i="1" s="1"/>
  <c r="AS1817" i="1"/>
  <c r="AN1817" i="1" s="1"/>
  <c r="AS1801" i="1"/>
  <c r="AN1801" i="1" s="1"/>
  <c r="AS1785" i="1"/>
  <c r="AN1785" i="1" s="1"/>
  <c r="AS1769" i="1"/>
  <c r="AN1769" i="1" s="1"/>
  <c r="AS1753" i="1"/>
  <c r="AN1753" i="1" s="1"/>
  <c r="AS1737" i="1"/>
  <c r="AN1737" i="1" s="1"/>
  <c r="AS1721" i="1"/>
  <c r="AN1721" i="1" s="1"/>
  <c r="AS1705" i="1"/>
  <c r="AN1705" i="1" s="1"/>
  <c r="AT1831" i="1"/>
  <c r="AO1831" i="1" s="1"/>
  <c r="AT1815" i="1"/>
  <c r="AO1815" i="1" s="1"/>
  <c r="AT1799" i="1"/>
  <c r="AO1799" i="1" s="1"/>
  <c r="AT1783" i="1"/>
  <c r="AO1783" i="1" s="1"/>
  <c r="AT1767" i="1"/>
  <c r="AO1767" i="1" s="1"/>
  <c r="AT1751" i="1"/>
  <c r="AO1751" i="1" s="1"/>
  <c r="AT1735" i="1"/>
  <c r="AO1735" i="1" s="1"/>
  <c r="AT1719" i="1"/>
  <c r="AO1719" i="1" s="1"/>
  <c r="AT1703" i="1"/>
  <c r="AO1703" i="1" s="1"/>
  <c r="U1708" i="1"/>
  <c r="W1708" i="1" s="1"/>
  <c r="AQ1788" i="1"/>
  <c r="AL1788" i="1" s="1"/>
  <c r="AQ1772" i="1"/>
  <c r="AL1772" i="1" s="1"/>
  <c r="AQ1740" i="1"/>
  <c r="AL1740" i="1" s="1"/>
  <c r="AR1818" i="1"/>
  <c r="AM1818" i="1" s="1"/>
  <c r="AR1802" i="1"/>
  <c r="AM1802" i="1" s="1"/>
  <c r="AR1786" i="1"/>
  <c r="AM1786" i="1" s="1"/>
  <c r="AR1770" i="1"/>
  <c r="AM1770" i="1" s="1"/>
  <c r="AR1754" i="1"/>
  <c r="AM1754" i="1" s="1"/>
  <c r="AR1738" i="1"/>
  <c r="AM1738" i="1" s="1"/>
  <c r="AR1722" i="1"/>
  <c r="AM1722" i="1" s="1"/>
  <c r="AR1706" i="1"/>
  <c r="AM1706" i="1" s="1"/>
  <c r="AT1830" i="1"/>
  <c r="AO1830" i="1" s="1"/>
  <c r="AT1814" i="1"/>
  <c r="AO1814" i="1" s="1"/>
  <c r="AT1798" i="1"/>
  <c r="AO1798" i="1" s="1"/>
  <c r="AT1782" i="1"/>
  <c r="AO1782" i="1" s="1"/>
  <c r="AT1766" i="1"/>
  <c r="AO1766" i="1" s="1"/>
  <c r="AT1750" i="1"/>
  <c r="AO1750" i="1" s="1"/>
  <c r="AT1734" i="1"/>
  <c r="AO1734" i="1" s="1"/>
  <c r="AT1718" i="1"/>
  <c r="AO1718" i="1" s="1"/>
  <c r="AT1702" i="1"/>
  <c r="AO1702" i="1" s="1"/>
  <c r="U1707" i="1"/>
  <c r="W1707" i="1" s="1"/>
  <c r="AQ1787" i="1"/>
  <c r="AL1787" i="1" s="1"/>
  <c r="AQ1771" i="1"/>
  <c r="AL1771" i="1" s="1"/>
  <c r="AQ1739" i="1"/>
  <c r="AL1739" i="1" s="1"/>
  <c r="AR1817" i="1"/>
  <c r="AM1817" i="1" s="1"/>
  <c r="AR1801" i="1"/>
  <c r="AM1801" i="1" s="1"/>
  <c r="AR1785" i="1"/>
  <c r="AM1785" i="1" s="1"/>
  <c r="AR1769" i="1"/>
  <c r="AM1769" i="1" s="1"/>
  <c r="AR1753" i="1"/>
  <c r="AM1753" i="1" s="1"/>
  <c r="AR1737" i="1"/>
  <c r="AM1737" i="1" s="1"/>
  <c r="AR1721" i="1"/>
  <c r="AM1721" i="1" s="1"/>
  <c r="AR1705" i="1"/>
  <c r="AM1705" i="1" s="1"/>
  <c r="AS1831" i="1"/>
  <c r="AN1831" i="1" s="1"/>
  <c r="AS1815" i="1"/>
  <c r="AN1815" i="1" s="1"/>
  <c r="AS1799" i="1"/>
  <c r="AN1799" i="1" s="1"/>
  <c r="AS1783" i="1"/>
  <c r="AN1783" i="1" s="1"/>
  <c r="AS1767" i="1"/>
  <c r="AN1767" i="1" s="1"/>
  <c r="AS1751" i="1"/>
  <c r="AN1751" i="1" s="1"/>
  <c r="AS1735" i="1"/>
  <c r="AN1735" i="1" s="1"/>
  <c r="AS1719" i="1"/>
  <c r="AN1719" i="1" s="1"/>
  <c r="AS1703" i="1"/>
  <c r="AN1703" i="1" s="1"/>
  <c r="AT1829" i="1"/>
  <c r="AO1829" i="1" s="1"/>
  <c r="AT1813" i="1"/>
  <c r="AO1813" i="1" s="1"/>
  <c r="AT1797" i="1"/>
  <c r="AO1797" i="1" s="1"/>
  <c r="AT1781" i="1"/>
  <c r="AO1781" i="1" s="1"/>
  <c r="AT1765" i="1"/>
  <c r="AO1765" i="1" s="1"/>
  <c r="AT1749" i="1"/>
  <c r="AO1749" i="1" s="1"/>
  <c r="AT1733" i="1"/>
  <c r="AO1733" i="1" s="1"/>
  <c r="AT1717" i="1"/>
  <c r="AO1717" i="1" s="1"/>
  <c r="AT1701" i="1"/>
  <c r="AO1701" i="1" s="1"/>
  <c r="U1704" i="1"/>
  <c r="W1704" i="1" s="1"/>
  <c r="AQ1786" i="1"/>
  <c r="AL1786" i="1" s="1"/>
  <c r="AQ1770" i="1"/>
  <c r="AL1770" i="1" s="1"/>
  <c r="AQ1738" i="1"/>
  <c r="AL1738" i="1" s="1"/>
  <c r="AR1832" i="1"/>
  <c r="AM1832" i="1" s="1"/>
  <c r="AR1816" i="1"/>
  <c r="AM1816" i="1" s="1"/>
  <c r="AR1800" i="1"/>
  <c r="AM1800" i="1" s="1"/>
  <c r="AR1784" i="1"/>
  <c r="AM1784" i="1" s="1"/>
  <c r="AR1768" i="1"/>
  <c r="AM1768" i="1" s="1"/>
  <c r="AR1752" i="1"/>
  <c r="AM1752" i="1" s="1"/>
  <c r="AR1736" i="1"/>
  <c r="AM1736" i="1" s="1"/>
  <c r="AR1720" i="1"/>
  <c r="AM1720" i="1" s="1"/>
  <c r="AR1704" i="1"/>
  <c r="AM1704" i="1" s="1"/>
  <c r="AS1830" i="1"/>
  <c r="AN1830" i="1" s="1"/>
  <c r="AS1814" i="1"/>
  <c r="AN1814" i="1" s="1"/>
  <c r="AS1798" i="1"/>
  <c r="AN1798" i="1" s="1"/>
  <c r="AS1782" i="1"/>
  <c r="AN1782" i="1" s="1"/>
  <c r="AS1766" i="1"/>
  <c r="AN1766" i="1" s="1"/>
  <c r="AS1750" i="1"/>
  <c r="AN1750" i="1" s="1"/>
  <c r="AS1734" i="1"/>
  <c r="AN1734" i="1" s="1"/>
  <c r="AS1718" i="1"/>
  <c r="AN1718" i="1" s="1"/>
  <c r="AS1702" i="1"/>
  <c r="AN1702" i="1" s="1"/>
  <c r="AT1828" i="1"/>
  <c r="AO1828" i="1" s="1"/>
  <c r="AT1812" i="1"/>
  <c r="AO1812" i="1" s="1"/>
  <c r="AT1796" i="1"/>
  <c r="AO1796" i="1" s="1"/>
  <c r="AT1780" i="1"/>
  <c r="AO1780" i="1" s="1"/>
  <c r="AT1764" i="1"/>
  <c r="AO1764" i="1" s="1"/>
  <c r="AT1748" i="1"/>
  <c r="AO1748" i="1" s="1"/>
  <c r="AT1732" i="1"/>
  <c r="AO1732" i="1" s="1"/>
  <c r="AT1716" i="1"/>
  <c r="AO1716" i="1" s="1"/>
  <c r="AT1700" i="1"/>
  <c r="AO1700" i="1" s="1"/>
  <c r="U1703" i="1"/>
  <c r="W1703" i="1" s="1"/>
  <c r="AR1831" i="1"/>
  <c r="AM1831" i="1" s="1"/>
  <c r="AR1815" i="1"/>
  <c r="AM1815" i="1" s="1"/>
  <c r="AR1799" i="1"/>
  <c r="AM1799" i="1" s="1"/>
  <c r="AR1783" i="1"/>
  <c r="AM1783" i="1" s="1"/>
  <c r="AR1767" i="1"/>
  <c r="AM1767" i="1" s="1"/>
  <c r="AR1751" i="1"/>
  <c r="AM1751" i="1" s="1"/>
  <c r="AR1735" i="1"/>
  <c r="AM1735" i="1" s="1"/>
  <c r="AR1719" i="1"/>
  <c r="AM1719" i="1" s="1"/>
  <c r="AR1703" i="1"/>
  <c r="AM1703" i="1" s="1"/>
  <c r="AS1829" i="1"/>
  <c r="AN1829" i="1" s="1"/>
  <c r="AS1813" i="1"/>
  <c r="AN1813" i="1" s="1"/>
  <c r="AS1797" i="1"/>
  <c r="AN1797" i="1" s="1"/>
  <c r="AS1781" i="1"/>
  <c r="AN1781" i="1" s="1"/>
  <c r="AS1765" i="1"/>
  <c r="AN1765" i="1" s="1"/>
  <c r="AS1749" i="1"/>
  <c r="AN1749" i="1" s="1"/>
  <c r="AS1733" i="1"/>
  <c r="AN1733" i="1" s="1"/>
  <c r="AS1717" i="1"/>
  <c r="AN1717" i="1" s="1"/>
  <c r="AS1701" i="1"/>
  <c r="AN1701" i="1" s="1"/>
  <c r="AT1827" i="1"/>
  <c r="AO1827" i="1" s="1"/>
  <c r="AT1811" i="1"/>
  <c r="AO1811" i="1" s="1"/>
  <c r="AT1795" i="1"/>
  <c r="AO1795" i="1" s="1"/>
  <c r="AT1779" i="1"/>
  <c r="AO1779" i="1" s="1"/>
  <c r="AT1763" i="1"/>
  <c r="AO1763" i="1" s="1"/>
  <c r="AT1747" i="1"/>
  <c r="AO1747" i="1" s="1"/>
  <c r="AT1731" i="1"/>
  <c r="AO1731" i="1" s="1"/>
  <c r="AT1715" i="1"/>
  <c r="AO1715" i="1" s="1"/>
  <c r="AT1699" i="1"/>
  <c r="AO1699" i="1" s="1"/>
  <c r="U1701" i="1"/>
  <c r="W1701" i="1" s="1"/>
  <c r="U1827" i="1"/>
  <c r="W1827" i="1" s="1"/>
  <c r="U1795" i="1"/>
  <c r="W1795" i="1" s="1"/>
  <c r="AQ1752" i="1"/>
  <c r="AL1752" i="1" s="1"/>
  <c r="AQ1720" i="1"/>
  <c r="AL1720" i="1" s="1"/>
  <c r="AR1830" i="1"/>
  <c r="AM1830" i="1" s="1"/>
  <c r="AR1814" i="1"/>
  <c r="AM1814" i="1" s="1"/>
  <c r="AR1798" i="1"/>
  <c r="AM1798" i="1" s="1"/>
  <c r="AR1782" i="1"/>
  <c r="AM1782" i="1" s="1"/>
  <c r="AR1766" i="1"/>
  <c r="AM1766" i="1" s="1"/>
  <c r="AR1750" i="1"/>
  <c r="AM1750" i="1" s="1"/>
  <c r="AR1734" i="1"/>
  <c r="AM1734" i="1" s="1"/>
  <c r="AR1718" i="1"/>
  <c r="AM1718" i="1" s="1"/>
  <c r="AR1702" i="1"/>
  <c r="AM1702" i="1" s="1"/>
  <c r="AS1828" i="1"/>
  <c r="AN1828" i="1" s="1"/>
  <c r="AS1812" i="1"/>
  <c r="AN1812" i="1" s="1"/>
  <c r="AS1796" i="1"/>
  <c r="AN1796" i="1" s="1"/>
  <c r="AS1780" i="1"/>
  <c r="AN1780" i="1" s="1"/>
  <c r="AS1764" i="1"/>
  <c r="AN1764" i="1" s="1"/>
  <c r="AS1748" i="1"/>
  <c r="AN1748" i="1" s="1"/>
  <c r="AS1732" i="1"/>
  <c r="AN1732" i="1" s="1"/>
  <c r="AS1716" i="1"/>
  <c r="AN1716" i="1" s="1"/>
  <c r="AS1700" i="1"/>
  <c r="AN1700" i="1" s="1"/>
  <c r="AT1826" i="1"/>
  <c r="AO1826" i="1" s="1"/>
  <c r="AT1810" i="1"/>
  <c r="AO1810" i="1" s="1"/>
  <c r="AT1794" i="1"/>
  <c r="AO1794" i="1" s="1"/>
  <c r="AT1778" i="1"/>
  <c r="AO1778" i="1" s="1"/>
  <c r="AT1762" i="1"/>
  <c r="AO1762" i="1" s="1"/>
  <c r="AT1746" i="1"/>
  <c r="AO1746" i="1" s="1"/>
  <c r="AT1730" i="1"/>
  <c r="AO1730" i="1" s="1"/>
  <c r="AT1714" i="1"/>
  <c r="AO1714" i="1" s="1"/>
  <c r="AT1698" i="1"/>
  <c r="AO1698" i="1" s="1"/>
  <c r="U1700" i="1"/>
  <c r="W1700" i="1" s="1"/>
  <c r="AQ1751" i="1"/>
  <c r="AL1751" i="1" s="1"/>
  <c r="AQ1719" i="1"/>
  <c r="AL1719" i="1" s="1"/>
  <c r="AR1829" i="1"/>
  <c r="AM1829" i="1" s="1"/>
  <c r="AR1813" i="1"/>
  <c r="AM1813" i="1" s="1"/>
  <c r="AR1797" i="1"/>
  <c r="AM1797" i="1" s="1"/>
  <c r="AR1781" i="1"/>
  <c r="AM1781" i="1" s="1"/>
  <c r="AR1765" i="1"/>
  <c r="AM1765" i="1" s="1"/>
  <c r="AR1749" i="1"/>
  <c r="AM1749" i="1" s="1"/>
  <c r="AR1733" i="1"/>
  <c r="AM1733" i="1" s="1"/>
  <c r="AR1717" i="1"/>
  <c r="AM1717" i="1" s="1"/>
  <c r="AR1701" i="1"/>
  <c r="AM1701" i="1" s="1"/>
  <c r="AS1827" i="1"/>
  <c r="AN1827" i="1" s="1"/>
  <c r="AS1811" i="1"/>
  <c r="AN1811" i="1" s="1"/>
  <c r="AS1795" i="1"/>
  <c r="AN1795" i="1" s="1"/>
  <c r="AS1779" i="1"/>
  <c r="AN1779" i="1" s="1"/>
  <c r="AS1763" i="1"/>
  <c r="AN1763" i="1" s="1"/>
  <c r="AS1747" i="1"/>
  <c r="AN1747" i="1" s="1"/>
  <c r="AS1731" i="1"/>
  <c r="AN1731" i="1" s="1"/>
  <c r="AS1715" i="1"/>
  <c r="AN1715" i="1" s="1"/>
  <c r="AS1699" i="1"/>
  <c r="AN1699" i="1" s="1"/>
  <c r="AT1825" i="1"/>
  <c r="AO1825" i="1" s="1"/>
  <c r="AT1809" i="1"/>
  <c r="AO1809" i="1" s="1"/>
  <c r="AT1793" i="1"/>
  <c r="AO1793" i="1" s="1"/>
  <c r="AT1777" i="1"/>
  <c r="AO1777" i="1" s="1"/>
  <c r="AT1761" i="1"/>
  <c r="AO1761" i="1" s="1"/>
  <c r="AT1745" i="1"/>
  <c r="AO1745" i="1" s="1"/>
  <c r="AT1729" i="1"/>
  <c r="AO1729" i="1" s="1"/>
  <c r="AT1713" i="1"/>
  <c r="AO1713" i="1" s="1"/>
  <c r="AT1697" i="1"/>
  <c r="AO1697" i="1" s="1"/>
  <c r="AT1274" i="1"/>
  <c r="AO1274" i="1" s="1"/>
  <c r="AT1260" i="1"/>
  <c r="AO1260" i="1" s="1"/>
  <c r="AT1258" i="1"/>
  <c r="AO1258" i="1" s="1"/>
  <c r="AT1251" i="1"/>
  <c r="AO1251" i="1" s="1"/>
  <c r="AT1211" i="1"/>
  <c r="AO1211" i="1" s="1"/>
  <c r="AQ1287" i="1"/>
  <c r="AL1287" i="1" s="1"/>
  <c r="AT1205" i="1"/>
  <c r="AO1205" i="1" s="1"/>
  <c r="AQ1261" i="1"/>
  <c r="AL1261" i="1" s="1"/>
  <c r="AT1203" i="1"/>
  <c r="AO1203" i="1" s="1"/>
  <c r="AQ1260" i="1"/>
  <c r="AL1260" i="1" s="1"/>
  <c r="AQ1251" i="1"/>
  <c r="AL1251" i="1" s="1"/>
  <c r="AQ1197" i="1"/>
  <c r="AL1197" i="1" s="1"/>
  <c r="AQ1196" i="1"/>
  <c r="AL1196" i="1" s="1"/>
  <c r="AQ1191" i="1"/>
  <c r="AL1191" i="1" s="1"/>
  <c r="AR1260" i="1"/>
  <c r="AM1260" i="1" s="1"/>
  <c r="AR1283" i="1"/>
  <c r="AM1283" i="1" s="1"/>
  <c r="AT1283" i="1"/>
  <c r="AO1283" i="1" s="1"/>
  <c r="AQ1283" i="1"/>
  <c r="AL1283" i="1" s="1"/>
  <c r="AS1283" i="1"/>
  <c r="AN1283" i="1" s="1"/>
  <c r="AT1270" i="1"/>
  <c r="AO1270" i="1" s="1"/>
  <c r="U1270" i="1"/>
  <c r="W1270" i="1" s="1"/>
  <c r="AT1271" i="1"/>
  <c r="AO1271" i="1" s="1"/>
  <c r="AQ1271" i="1"/>
  <c r="AL1271" i="1" s="1"/>
  <c r="AS1265" i="1"/>
  <c r="AN1265" i="1" s="1"/>
  <c r="AR1265" i="1"/>
  <c r="AM1265" i="1" s="1"/>
  <c r="AR1285" i="1"/>
  <c r="AM1285" i="1" s="1"/>
  <c r="AT1285" i="1"/>
  <c r="AO1285" i="1" s="1"/>
  <c r="U1286" i="1"/>
  <c r="W1286" i="1" s="1"/>
  <c r="AR1269" i="1"/>
  <c r="AM1269" i="1" s="1"/>
  <c r="AT1269" i="1"/>
  <c r="AO1269" i="1" s="1"/>
  <c r="AQ1275" i="1"/>
  <c r="AL1275" i="1" s="1"/>
  <c r="AT1275" i="1"/>
  <c r="AO1275" i="1" s="1"/>
  <c r="AS1275" i="1"/>
  <c r="AN1275" i="1" s="1"/>
  <c r="AS1290" i="1"/>
  <c r="AN1290" i="1" s="1"/>
  <c r="U1293" i="1"/>
  <c r="W1293" i="1" s="1"/>
  <c r="AT1267" i="1"/>
  <c r="AO1267" i="1" s="1"/>
  <c r="AT1261" i="1"/>
  <c r="AO1261" i="1" s="1"/>
  <c r="AS1274" i="1"/>
  <c r="AN1274" i="1" s="1"/>
  <c r="AS1267" i="1"/>
  <c r="AN1267" i="1" s="1"/>
  <c r="AQ1293" i="1"/>
  <c r="AL1293" i="1" s="1"/>
  <c r="AR1293" i="1"/>
  <c r="AM1293" i="1" s="1"/>
  <c r="AQ1292" i="1"/>
  <c r="AL1292" i="1" s="1"/>
  <c r="AR1292" i="1"/>
  <c r="AM1292" i="1" s="1"/>
  <c r="AR1290" i="1"/>
  <c r="AM1290" i="1" s="1"/>
  <c r="AT1293" i="1"/>
  <c r="AO1293" i="1" s="1"/>
  <c r="AR1281" i="1"/>
  <c r="AM1281" i="1" s="1"/>
  <c r="AT1292" i="1"/>
  <c r="AO1292" i="1" s="1"/>
  <c r="AQ1280" i="1"/>
  <c r="AL1280" i="1" s="1"/>
  <c r="AR1277" i="1"/>
  <c r="AM1277" i="1" s="1"/>
  <c r="AT1291" i="1"/>
  <c r="AO1291" i="1" s="1"/>
  <c r="AQ1277" i="1"/>
  <c r="AL1277" i="1" s="1"/>
  <c r="AR1276" i="1"/>
  <c r="AM1276" i="1" s="1"/>
  <c r="AQ1276" i="1"/>
  <c r="AL1276" i="1" s="1"/>
  <c r="AR1274" i="1"/>
  <c r="AM1274" i="1" s="1"/>
  <c r="AT1277" i="1"/>
  <c r="AO1277" i="1" s="1"/>
  <c r="AQ1267" i="1"/>
  <c r="AL1267" i="1" s="1"/>
  <c r="AR1261" i="1"/>
  <c r="AM1261" i="1" s="1"/>
  <c r="AT1276" i="1"/>
  <c r="AO1276" i="1" s="1"/>
  <c r="AQ1264" i="1"/>
  <c r="AL1264" i="1" s="1"/>
  <c r="AQ1242" i="1"/>
  <c r="AL1242" i="1" s="1"/>
  <c r="AR1242" i="1"/>
  <c r="AM1242" i="1" s="1"/>
  <c r="AS1242" i="1"/>
  <c r="AN1242" i="1" s="1"/>
  <c r="AT1242" i="1"/>
  <c r="AO1242" i="1" s="1"/>
  <c r="AQ1217" i="1"/>
  <c r="AL1217" i="1" s="1"/>
  <c r="AT1217" i="1"/>
  <c r="AO1217" i="1" s="1"/>
  <c r="AS1217" i="1"/>
  <c r="AN1217" i="1" s="1"/>
  <c r="U1217" i="1"/>
  <c r="W1217" i="1" s="1"/>
  <c r="AR1217" i="1"/>
  <c r="AM1217" i="1" s="1"/>
  <c r="AR1253" i="1"/>
  <c r="AM1253" i="1" s="1"/>
  <c r="AT1253" i="1"/>
  <c r="AO1253" i="1" s="1"/>
  <c r="AS1228" i="1"/>
  <c r="AN1228" i="1" s="1"/>
  <c r="AT1228" i="1"/>
  <c r="AO1228" i="1" s="1"/>
  <c r="AQ1228" i="1"/>
  <c r="AL1228" i="1" s="1"/>
  <c r="AR1228" i="1"/>
  <c r="AM1228" i="1" s="1"/>
  <c r="AR1237" i="1"/>
  <c r="AM1237" i="1" s="1"/>
  <c r="AT1237" i="1"/>
  <c r="AO1237" i="1" s="1"/>
  <c r="AS1213" i="1"/>
  <c r="AN1213" i="1" s="1"/>
  <c r="AQ1213" i="1"/>
  <c r="AL1213" i="1" s="1"/>
  <c r="AT1213" i="1"/>
  <c r="AO1213" i="1" s="1"/>
  <c r="AR1213" i="1"/>
  <c r="AM1213" i="1" s="1"/>
  <c r="AT1239" i="1"/>
  <c r="AO1239" i="1" s="1"/>
  <c r="AQ1239" i="1"/>
  <c r="AL1239" i="1" s="1"/>
  <c r="AT1255" i="1"/>
  <c r="AO1255" i="1" s="1"/>
  <c r="AQ1255" i="1"/>
  <c r="AL1255" i="1" s="1"/>
  <c r="AT1223" i="1"/>
  <c r="AO1223" i="1" s="1"/>
  <c r="AQ1223" i="1"/>
  <c r="AL1223" i="1" s="1"/>
  <c r="AR1235" i="1"/>
  <c r="AM1235" i="1" s="1"/>
  <c r="AS1235" i="1"/>
  <c r="AN1235" i="1" s="1"/>
  <c r="AT1235" i="1"/>
  <c r="AO1235" i="1" s="1"/>
  <c r="AQ1235" i="1"/>
  <c r="AL1235" i="1" s="1"/>
  <c r="AS1244" i="1"/>
  <c r="AN1244" i="1" s="1"/>
  <c r="AR1244" i="1"/>
  <c r="AM1244" i="1" s="1"/>
  <c r="AT1244" i="1"/>
  <c r="AO1244" i="1" s="1"/>
  <c r="AQ1244" i="1"/>
  <c r="AL1244" i="1" s="1"/>
  <c r="AR1221" i="1"/>
  <c r="AM1221" i="1" s="1"/>
  <c r="AT1221" i="1"/>
  <c r="AO1221" i="1" s="1"/>
  <c r="U1221" i="1"/>
  <c r="W1221" i="1" s="1"/>
  <c r="U1210" i="1"/>
  <c r="W1210" i="1" s="1"/>
  <c r="AS1210" i="1"/>
  <c r="AN1210" i="1" s="1"/>
  <c r="AR1210" i="1"/>
  <c r="AM1210" i="1" s="1"/>
  <c r="AT1210" i="1"/>
  <c r="AO1210" i="1" s="1"/>
  <c r="AQ1226" i="1"/>
  <c r="AL1226" i="1" s="1"/>
  <c r="AT1226" i="1"/>
  <c r="AO1226" i="1" s="1"/>
  <c r="AS1226" i="1"/>
  <c r="AN1226" i="1" s="1"/>
  <c r="AR1226" i="1"/>
  <c r="AM1226" i="1" s="1"/>
  <c r="U1232" i="1"/>
  <c r="W1232" i="1" s="1"/>
  <c r="AQ1248" i="1"/>
  <c r="AL1248" i="1" s="1"/>
  <c r="AR1233" i="1"/>
  <c r="AM1233" i="1" s="1"/>
  <c r="AQ1245" i="1"/>
  <c r="AL1245" i="1" s="1"/>
  <c r="AR1229" i="1"/>
  <c r="AM1229" i="1" s="1"/>
  <c r="AT1245" i="1"/>
  <c r="AO1245" i="1" s="1"/>
  <c r="AS1259" i="1"/>
  <c r="AN1259" i="1" s="1"/>
  <c r="AS1258" i="1"/>
  <c r="AN1258" i="1" s="1"/>
  <c r="AT1243" i="1"/>
  <c r="AO1243" i="1" s="1"/>
  <c r="AT1197" i="1"/>
  <c r="AO1197" i="1" s="1"/>
  <c r="U1218" i="1"/>
  <c r="W1218" i="1" s="1"/>
  <c r="AS1251" i="1"/>
  <c r="AN1251" i="1" s="1"/>
  <c r="AT1196" i="1"/>
  <c r="AO1196" i="1" s="1"/>
  <c r="U1258" i="1"/>
  <c r="W1258" i="1" s="1"/>
  <c r="AQ1232" i="1"/>
  <c r="AL1232" i="1" s="1"/>
  <c r="AR1214" i="1"/>
  <c r="AM1214" i="1" s="1"/>
  <c r="AS1243" i="1"/>
  <c r="AN1243" i="1" s="1"/>
  <c r="AT1195" i="1"/>
  <c r="AO1195" i="1" s="1"/>
  <c r="U1208" i="1"/>
  <c r="W1208" i="1" s="1"/>
  <c r="AQ1229" i="1"/>
  <c r="AL1229" i="1" s="1"/>
  <c r="AT1194" i="1"/>
  <c r="AO1194" i="1" s="1"/>
  <c r="AT1229" i="1"/>
  <c r="AO1229" i="1" s="1"/>
  <c r="AR1201" i="1"/>
  <c r="AM1201" i="1" s="1"/>
  <c r="AS1227" i="1"/>
  <c r="AN1227" i="1" s="1"/>
  <c r="AQ1214" i="1"/>
  <c r="AL1214" i="1" s="1"/>
  <c r="AR1197" i="1"/>
  <c r="AM1197" i="1" s="1"/>
  <c r="AT1227" i="1"/>
  <c r="AO1227" i="1" s="1"/>
  <c r="U1251" i="1"/>
  <c r="W1251" i="1" s="1"/>
  <c r="AR1196" i="1"/>
  <c r="AM1196" i="1" s="1"/>
  <c r="U1212" i="1"/>
  <c r="W1212" i="1" s="1"/>
  <c r="AQ1207" i="1"/>
  <c r="AL1207" i="1" s="1"/>
  <c r="AR1258" i="1"/>
  <c r="AM1258" i="1" s="1"/>
  <c r="AR1194" i="1"/>
  <c r="AM1194" i="1" s="1"/>
  <c r="AS1211" i="1"/>
  <c r="AN1211" i="1" s="1"/>
  <c r="U1211" i="1"/>
  <c r="W1211" i="1" s="1"/>
  <c r="AQ1203" i="1"/>
  <c r="AL1203" i="1" s="1"/>
  <c r="AR1249" i="1"/>
  <c r="AM1249" i="1" s="1"/>
  <c r="AQ1200" i="1"/>
  <c r="AL1200" i="1" s="1"/>
  <c r="AR1245" i="1"/>
  <c r="AM1245" i="1" s="1"/>
  <c r="AS1203" i="1"/>
  <c r="AN1203" i="1" s="1"/>
  <c r="AT1259" i="1"/>
  <c r="AO1259" i="1" s="1"/>
  <c r="AT1214" i="1"/>
  <c r="AO1214" i="1" s="1"/>
  <c r="U1207" i="1"/>
  <c r="W1207" i="1" s="1"/>
  <c r="AQ1286" i="1"/>
  <c r="AL1286" i="1" s="1"/>
  <c r="AQ1270" i="1"/>
  <c r="AL1270" i="1" s="1"/>
  <c r="AQ1254" i="1"/>
  <c r="AL1254" i="1" s="1"/>
  <c r="AQ1238" i="1"/>
  <c r="AL1238" i="1" s="1"/>
  <c r="AQ1222" i="1"/>
  <c r="AL1222" i="1" s="1"/>
  <c r="AQ1206" i="1"/>
  <c r="AL1206" i="1" s="1"/>
  <c r="AQ1190" i="1"/>
  <c r="AL1190" i="1" s="1"/>
  <c r="AR1280" i="1"/>
  <c r="AM1280" i="1" s="1"/>
  <c r="AR1264" i="1"/>
  <c r="AM1264" i="1" s="1"/>
  <c r="AR1248" i="1"/>
  <c r="AM1248" i="1" s="1"/>
  <c r="AR1232" i="1"/>
  <c r="AM1232" i="1" s="1"/>
  <c r="AR1216" i="1"/>
  <c r="AM1216" i="1" s="1"/>
  <c r="AR1200" i="1"/>
  <c r="AM1200" i="1" s="1"/>
  <c r="AT1284" i="1"/>
  <c r="AO1284" i="1" s="1"/>
  <c r="AT1268" i="1"/>
  <c r="AO1268" i="1" s="1"/>
  <c r="AT1252" i="1"/>
  <c r="AO1252" i="1" s="1"/>
  <c r="AT1236" i="1"/>
  <c r="AO1236" i="1" s="1"/>
  <c r="AT1220" i="1"/>
  <c r="AO1220" i="1" s="1"/>
  <c r="AT1204" i="1"/>
  <c r="AO1204" i="1" s="1"/>
  <c r="U1206" i="1"/>
  <c r="W1206" i="1" s="1"/>
  <c r="AQ1285" i="1"/>
  <c r="AL1285" i="1" s="1"/>
  <c r="AQ1269" i="1"/>
  <c r="AL1269" i="1" s="1"/>
  <c r="AQ1253" i="1"/>
  <c r="AL1253" i="1" s="1"/>
  <c r="AQ1237" i="1"/>
  <c r="AL1237" i="1" s="1"/>
  <c r="AQ1221" i="1"/>
  <c r="AL1221" i="1" s="1"/>
  <c r="AQ1205" i="1"/>
  <c r="AL1205" i="1" s="1"/>
  <c r="AR1295" i="1"/>
  <c r="AM1295" i="1" s="1"/>
  <c r="AR1279" i="1"/>
  <c r="AM1279" i="1" s="1"/>
  <c r="AR1263" i="1"/>
  <c r="AM1263" i="1" s="1"/>
  <c r="AR1247" i="1"/>
  <c r="AM1247" i="1" s="1"/>
  <c r="AR1231" i="1"/>
  <c r="AM1231" i="1" s="1"/>
  <c r="AR1215" i="1"/>
  <c r="AM1215" i="1" s="1"/>
  <c r="AR1199" i="1"/>
  <c r="AM1199" i="1" s="1"/>
  <c r="AS1289" i="1"/>
  <c r="AN1289" i="1" s="1"/>
  <c r="AS1273" i="1"/>
  <c r="AN1273" i="1" s="1"/>
  <c r="AS1257" i="1"/>
  <c r="AN1257" i="1" s="1"/>
  <c r="AS1241" i="1"/>
  <c r="AN1241" i="1" s="1"/>
  <c r="AS1225" i="1"/>
  <c r="AN1225" i="1" s="1"/>
  <c r="AS1209" i="1"/>
  <c r="AN1209" i="1" s="1"/>
  <c r="AS1193" i="1"/>
  <c r="AN1193" i="1" s="1"/>
  <c r="AT1219" i="1"/>
  <c r="AO1219" i="1" s="1"/>
  <c r="AQ1284" i="1"/>
  <c r="AL1284" i="1" s="1"/>
  <c r="AQ1268" i="1"/>
  <c r="AL1268" i="1" s="1"/>
  <c r="AQ1252" i="1"/>
  <c r="AL1252" i="1" s="1"/>
  <c r="AQ1236" i="1"/>
  <c r="AL1236" i="1" s="1"/>
  <c r="AQ1220" i="1"/>
  <c r="AL1220" i="1" s="1"/>
  <c r="AQ1204" i="1"/>
  <c r="AL1204" i="1" s="1"/>
  <c r="AR1294" i="1"/>
  <c r="AM1294" i="1" s="1"/>
  <c r="AR1278" i="1"/>
  <c r="AM1278" i="1" s="1"/>
  <c r="AR1262" i="1"/>
  <c r="AM1262" i="1" s="1"/>
  <c r="AR1246" i="1"/>
  <c r="AM1246" i="1" s="1"/>
  <c r="AR1230" i="1"/>
  <c r="AM1230" i="1" s="1"/>
  <c r="AR1198" i="1"/>
  <c r="AM1198" i="1" s="1"/>
  <c r="AS1288" i="1"/>
  <c r="AN1288" i="1" s="1"/>
  <c r="AS1272" i="1"/>
  <c r="AN1272" i="1" s="1"/>
  <c r="AS1256" i="1"/>
  <c r="AN1256" i="1" s="1"/>
  <c r="AS1240" i="1"/>
  <c r="AN1240" i="1" s="1"/>
  <c r="AS1224" i="1"/>
  <c r="AN1224" i="1" s="1"/>
  <c r="AS1208" i="1"/>
  <c r="AN1208" i="1" s="1"/>
  <c r="AS1192" i="1"/>
  <c r="AN1192" i="1" s="1"/>
  <c r="AT1282" i="1"/>
  <c r="AO1282" i="1" s="1"/>
  <c r="AT1266" i="1"/>
  <c r="AO1266" i="1" s="1"/>
  <c r="AT1250" i="1"/>
  <c r="AO1250" i="1" s="1"/>
  <c r="AT1234" i="1"/>
  <c r="AO1234" i="1" s="1"/>
  <c r="AT1218" i="1"/>
  <c r="AO1218" i="1" s="1"/>
  <c r="AT1202" i="1"/>
  <c r="AO1202" i="1" s="1"/>
  <c r="U1256" i="1"/>
  <c r="W1256" i="1" s="1"/>
  <c r="AQ1219" i="1"/>
  <c r="AL1219" i="1" s="1"/>
  <c r="AS1287" i="1"/>
  <c r="AN1287" i="1" s="1"/>
  <c r="AS1271" i="1"/>
  <c r="AN1271" i="1" s="1"/>
  <c r="AS1255" i="1"/>
  <c r="AN1255" i="1" s="1"/>
  <c r="AS1239" i="1"/>
  <c r="AN1239" i="1" s="1"/>
  <c r="AS1223" i="1"/>
  <c r="AN1223" i="1" s="1"/>
  <c r="AS1207" i="1"/>
  <c r="AN1207" i="1" s="1"/>
  <c r="AS1191" i="1"/>
  <c r="AN1191" i="1" s="1"/>
  <c r="AT1281" i="1"/>
  <c r="AO1281" i="1" s="1"/>
  <c r="AT1265" i="1"/>
  <c r="AO1265" i="1" s="1"/>
  <c r="AT1249" i="1"/>
  <c r="AO1249" i="1" s="1"/>
  <c r="AT1233" i="1"/>
  <c r="AO1233" i="1" s="1"/>
  <c r="AT1201" i="1"/>
  <c r="AO1201" i="1" s="1"/>
  <c r="U1288" i="1"/>
  <c r="W1288" i="1" s="1"/>
  <c r="U1294" i="1"/>
  <c r="W1294" i="1" s="1"/>
  <c r="AQ1282" i="1"/>
  <c r="AL1282" i="1" s="1"/>
  <c r="AQ1266" i="1"/>
  <c r="AL1266" i="1" s="1"/>
  <c r="AQ1250" i="1"/>
  <c r="AL1250" i="1" s="1"/>
  <c r="AQ1234" i="1"/>
  <c r="AL1234" i="1" s="1"/>
  <c r="AQ1218" i="1"/>
  <c r="AL1218" i="1" s="1"/>
  <c r="AQ1202" i="1"/>
  <c r="AL1202" i="1" s="1"/>
  <c r="AR1212" i="1"/>
  <c r="AM1212" i="1" s="1"/>
  <c r="AS1286" i="1"/>
  <c r="AN1286" i="1" s="1"/>
  <c r="AS1270" i="1"/>
  <c r="AN1270" i="1" s="1"/>
  <c r="AS1254" i="1"/>
  <c r="AN1254" i="1" s="1"/>
  <c r="AS1238" i="1"/>
  <c r="AN1238" i="1" s="1"/>
  <c r="AS1222" i="1"/>
  <c r="AN1222" i="1" s="1"/>
  <c r="AS1206" i="1"/>
  <c r="AN1206" i="1" s="1"/>
  <c r="AS1190" i="1"/>
  <c r="AN1190" i="1" s="1"/>
  <c r="AT1280" i="1"/>
  <c r="AO1280" i="1" s="1"/>
  <c r="AT1264" i="1"/>
  <c r="AO1264" i="1" s="1"/>
  <c r="AT1248" i="1"/>
  <c r="AO1248" i="1" s="1"/>
  <c r="AT1232" i="1"/>
  <c r="AO1232" i="1" s="1"/>
  <c r="AT1216" i="1"/>
  <c r="AO1216" i="1" s="1"/>
  <c r="AT1200" i="1"/>
  <c r="AO1200" i="1" s="1"/>
  <c r="U1287" i="1"/>
  <c r="W1287" i="1" s="1"/>
  <c r="U1271" i="1"/>
  <c r="W1271" i="1" s="1"/>
  <c r="U1213" i="1"/>
  <c r="W1213" i="1" s="1"/>
  <c r="AQ1281" i="1"/>
  <c r="AL1281" i="1" s="1"/>
  <c r="AQ1265" i="1"/>
  <c r="AL1265" i="1" s="1"/>
  <c r="AQ1249" i="1"/>
  <c r="AL1249" i="1" s="1"/>
  <c r="AQ1233" i="1"/>
  <c r="AL1233" i="1" s="1"/>
  <c r="AQ1201" i="1"/>
  <c r="AL1201" i="1" s="1"/>
  <c r="AR1291" i="1"/>
  <c r="AM1291" i="1" s="1"/>
  <c r="AR1275" i="1"/>
  <c r="AM1275" i="1" s="1"/>
  <c r="AR1259" i="1"/>
  <c r="AM1259" i="1" s="1"/>
  <c r="AR1243" i="1"/>
  <c r="AM1243" i="1" s="1"/>
  <c r="AR1227" i="1"/>
  <c r="AM1227" i="1" s="1"/>
  <c r="AR1211" i="1"/>
  <c r="AM1211" i="1" s="1"/>
  <c r="AR1195" i="1"/>
  <c r="AM1195" i="1" s="1"/>
  <c r="AS1285" i="1"/>
  <c r="AN1285" i="1" s="1"/>
  <c r="AS1269" i="1"/>
  <c r="AN1269" i="1" s="1"/>
  <c r="AS1253" i="1"/>
  <c r="AN1253" i="1" s="1"/>
  <c r="AS1237" i="1"/>
  <c r="AN1237" i="1" s="1"/>
  <c r="AS1221" i="1"/>
  <c r="AN1221" i="1" s="1"/>
  <c r="AS1205" i="1"/>
  <c r="AN1205" i="1" s="1"/>
  <c r="AT1295" i="1"/>
  <c r="AO1295" i="1" s="1"/>
  <c r="AT1279" i="1"/>
  <c r="AO1279" i="1" s="1"/>
  <c r="AT1263" i="1"/>
  <c r="AO1263" i="1" s="1"/>
  <c r="AT1247" i="1"/>
  <c r="AO1247" i="1" s="1"/>
  <c r="AT1231" i="1"/>
  <c r="AO1231" i="1" s="1"/>
  <c r="AT1215" i="1"/>
  <c r="AO1215" i="1" s="1"/>
  <c r="AT1199" i="1"/>
  <c r="AO1199" i="1" s="1"/>
  <c r="AQ1216" i="1"/>
  <c r="AL1216" i="1" s="1"/>
  <c r="AS1284" i="1"/>
  <c r="AN1284" i="1" s="1"/>
  <c r="AS1268" i="1"/>
  <c r="AN1268" i="1" s="1"/>
  <c r="AS1252" i="1"/>
  <c r="AN1252" i="1" s="1"/>
  <c r="AS1236" i="1"/>
  <c r="AN1236" i="1" s="1"/>
  <c r="AS1220" i="1"/>
  <c r="AN1220" i="1" s="1"/>
  <c r="AS1204" i="1"/>
  <c r="AN1204" i="1" s="1"/>
  <c r="AT1294" i="1"/>
  <c r="AO1294" i="1" s="1"/>
  <c r="AT1278" i="1"/>
  <c r="AO1278" i="1" s="1"/>
  <c r="AT1262" i="1"/>
  <c r="AO1262" i="1" s="1"/>
  <c r="AT1246" i="1"/>
  <c r="AO1246" i="1" s="1"/>
  <c r="AT1230" i="1"/>
  <c r="AO1230" i="1" s="1"/>
  <c r="AT1198" i="1"/>
  <c r="AO1198" i="1" s="1"/>
  <c r="U1269" i="1"/>
  <c r="W1269" i="1" s="1"/>
  <c r="U1220" i="1"/>
  <c r="W1220" i="1" s="1"/>
  <c r="AQ1295" i="1"/>
  <c r="AL1295" i="1" s="1"/>
  <c r="AQ1279" i="1"/>
  <c r="AL1279" i="1" s="1"/>
  <c r="AQ1263" i="1"/>
  <c r="AL1263" i="1" s="1"/>
  <c r="AQ1247" i="1"/>
  <c r="AL1247" i="1" s="1"/>
  <c r="AQ1231" i="1"/>
  <c r="AL1231" i="1" s="1"/>
  <c r="AQ1215" i="1"/>
  <c r="AL1215" i="1" s="1"/>
  <c r="AQ1199" i="1"/>
  <c r="AL1199" i="1" s="1"/>
  <c r="AR1289" i="1"/>
  <c r="AM1289" i="1" s="1"/>
  <c r="AR1273" i="1"/>
  <c r="AM1273" i="1" s="1"/>
  <c r="AR1257" i="1"/>
  <c r="AM1257" i="1" s="1"/>
  <c r="AR1241" i="1"/>
  <c r="AM1241" i="1" s="1"/>
  <c r="AR1225" i="1"/>
  <c r="AM1225" i="1" s="1"/>
  <c r="AR1209" i="1"/>
  <c r="AM1209" i="1" s="1"/>
  <c r="AR1193" i="1"/>
  <c r="AM1193" i="1" s="1"/>
  <c r="AS1219" i="1"/>
  <c r="AN1219" i="1" s="1"/>
  <c r="U1219" i="1"/>
  <c r="W1219" i="1" s="1"/>
  <c r="AQ1294" i="1"/>
  <c r="AL1294" i="1" s="1"/>
  <c r="AQ1278" i="1"/>
  <c r="AL1278" i="1" s="1"/>
  <c r="AQ1262" i="1"/>
  <c r="AL1262" i="1" s="1"/>
  <c r="AQ1246" i="1"/>
  <c r="AL1246" i="1" s="1"/>
  <c r="AQ1230" i="1"/>
  <c r="AL1230" i="1" s="1"/>
  <c r="AQ1198" i="1"/>
  <c r="AL1198" i="1" s="1"/>
  <c r="AR1288" i="1"/>
  <c r="AM1288" i="1" s="1"/>
  <c r="AR1272" i="1"/>
  <c r="AM1272" i="1" s="1"/>
  <c r="AR1256" i="1"/>
  <c r="AM1256" i="1" s="1"/>
  <c r="AR1240" i="1"/>
  <c r="AM1240" i="1" s="1"/>
  <c r="AR1224" i="1"/>
  <c r="AM1224" i="1" s="1"/>
  <c r="AR1208" i="1"/>
  <c r="AM1208" i="1" s="1"/>
  <c r="AR1192" i="1"/>
  <c r="AM1192" i="1" s="1"/>
  <c r="AS1282" i="1"/>
  <c r="AN1282" i="1" s="1"/>
  <c r="AS1266" i="1"/>
  <c r="AN1266" i="1" s="1"/>
  <c r="AS1250" i="1"/>
  <c r="AN1250" i="1" s="1"/>
  <c r="AS1234" i="1"/>
  <c r="AN1234" i="1" s="1"/>
  <c r="AS1218" i="1"/>
  <c r="AN1218" i="1" s="1"/>
  <c r="AS1202" i="1"/>
  <c r="AN1202" i="1" s="1"/>
  <c r="AT1212" i="1"/>
  <c r="AO1212" i="1" s="1"/>
  <c r="U1250" i="1"/>
  <c r="W1250" i="1" s="1"/>
  <c r="U1234" i="1"/>
  <c r="W1234" i="1" s="1"/>
  <c r="U1257" i="1"/>
  <c r="W1257" i="1" s="1"/>
  <c r="U1209" i="1"/>
  <c r="W1209" i="1" s="1"/>
  <c r="AR1287" i="1"/>
  <c r="AM1287" i="1" s="1"/>
  <c r="AR1271" i="1"/>
  <c r="AM1271" i="1" s="1"/>
  <c r="AR1255" i="1"/>
  <c r="AM1255" i="1" s="1"/>
  <c r="AR1239" i="1"/>
  <c r="AM1239" i="1" s="1"/>
  <c r="AR1223" i="1"/>
  <c r="AM1223" i="1" s="1"/>
  <c r="AR1207" i="1"/>
  <c r="AM1207" i="1" s="1"/>
  <c r="AR1191" i="1"/>
  <c r="AM1191" i="1" s="1"/>
  <c r="AS1249" i="1"/>
  <c r="AN1249" i="1" s="1"/>
  <c r="AS1233" i="1"/>
  <c r="AN1233" i="1" s="1"/>
  <c r="AQ1212" i="1"/>
  <c r="AL1212" i="1" s="1"/>
  <c r="AR1286" i="1"/>
  <c r="AM1286" i="1" s="1"/>
  <c r="AR1270" i="1"/>
  <c r="AM1270" i="1" s="1"/>
  <c r="AR1254" i="1"/>
  <c r="AM1254" i="1" s="1"/>
  <c r="AR1238" i="1"/>
  <c r="AM1238" i="1" s="1"/>
  <c r="AR1222" i="1"/>
  <c r="AM1222" i="1" s="1"/>
  <c r="AR1206" i="1"/>
  <c r="AM1206" i="1" s="1"/>
  <c r="AR1190" i="1"/>
  <c r="AM1190" i="1" s="1"/>
  <c r="AS1232" i="1"/>
  <c r="AN1232" i="1" s="1"/>
  <c r="AS1216" i="1"/>
  <c r="AN1216" i="1" s="1"/>
  <c r="AT1290" i="1"/>
  <c r="AO1290" i="1" s="1"/>
  <c r="AS1295" i="1"/>
  <c r="AN1295" i="1" s="1"/>
  <c r="AS1215" i="1"/>
  <c r="AN1215" i="1" s="1"/>
  <c r="AT1289" i="1"/>
  <c r="AO1289" i="1" s="1"/>
  <c r="AT1273" i="1"/>
  <c r="AO1273" i="1" s="1"/>
  <c r="AT1257" i="1"/>
  <c r="AO1257" i="1" s="1"/>
  <c r="AT1241" i="1"/>
  <c r="AO1241" i="1" s="1"/>
  <c r="AT1225" i="1"/>
  <c r="AO1225" i="1" s="1"/>
  <c r="AT1209" i="1"/>
  <c r="AO1209" i="1" s="1"/>
  <c r="AT1193" i="1"/>
  <c r="AO1193" i="1" s="1"/>
  <c r="AQ1210" i="1"/>
  <c r="AL1210" i="1" s="1"/>
  <c r="AS1214" i="1"/>
  <c r="AN1214" i="1" s="1"/>
  <c r="AT1288" i="1"/>
  <c r="AO1288" i="1" s="1"/>
  <c r="AT1272" i="1"/>
  <c r="AO1272" i="1" s="1"/>
  <c r="AT1256" i="1"/>
  <c r="AO1256" i="1" s="1"/>
  <c r="AT1240" i="1"/>
  <c r="AO1240" i="1" s="1"/>
  <c r="AT1224" i="1"/>
  <c r="AO1224" i="1" s="1"/>
  <c r="AT1208" i="1"/>
  <c r="AO1208" i="1" s="1"/>
  <c r="AT1192" i="1"/>
  <c r="AO1192" i="1" s="1"/>
  <c r="S805" i="1"/>
  <c r="AT805" i="1" s="1"/>
  <c r="AO805" i="1" s="1"/>
  <c r="U977" i="1"/>
  <c r="W977" i="1" s="1"/>
  <c r="S1105" i="1"/>
  <c r="S1130" i="1"/>
  <c r="AS1130" i="1" s="1"/>
  <c r="AN1130" i="1" s="1"/>
  <c r="S1138" i="1"/>
  <c r="AR1138" i="1" s="1"/>
  <c r="AM1138" i="1" s="1"/>
  <c r="S1146" i="1"/>
  <c r="S1155" i="1"/>
  <c r="AS1155" i="1" s="1"/>
  <c r="AN1155" i="1" s="1"/>
  <c r="S1163" i="1"/>
  <c r="AS1163" i="1" s="1"/>
  <c r="AN1163" i="1" s="1"/>
  <c r="S744" i="1"/>
  <c r="AT744" i="1" s="1"/>
  <c r="AO744" i="1" s="1"/>
  <c r="S779" i="1"/>
  <c r="AR779" i="1" s="1"/>
  <c r="AM779" i="1" s="1"/>
  <c r="S804" i="1"/>
  <c r="AS804" i="1" s="1"/>
  <c r="AN804" i="1" s="1"/>
  <c r="S740" i="1"/>
  <c r="AS740" i="1" s="1"/>
  <c r="AN740" i="1" s="1"/>
  <c r="S730" i="1"/>
  <c r="AT730" i="1" s="1"/>
  <c r="AO730" i="1" s="1"/>
  <c r="S735" i="1"/>
  <c r="AQ735" i="1" s="1"/>
  <c r="AL735" i="1" s="1"/>
  <c r="S745" i="1"/>
  <c r="AT745" i="1" s="1"/>
  <c r="AO745" i="1" s="1"/>
  <c r="S749" i="1"/>
  <c r="AT749" i="1" s="1"/>
  <c r="AO749" i="1" s="1"/>
  <c r="S759" i="1"/>
  <c r="AT759" i="1" s="1"/>
  <c r="AO759" i="1" s="1"/>
  <c r="S763" i="1"/>
  <c r="AR763" i="1" s="1"/>
  <c r="AM763" i="1" s="1"/>
  <c r="S769" i="1"/>
  <c r="AR769" i="1" s="1"/>
  <c r="AM769" i="1" s="1"/>
  <c r="S780" i="1"/>
  <c r="AT780" i="1" s="1"/>
  <c r="AO780" i="1" s="1"/>
  <c r="S786" i="1"/>
  <c r="AR786" i="1" s="1"/>
  <c r="AM786" i="1" s="1"/>
  <c r="S790" i="1"/>
  <c r="AT790" i="1" s="1"/>
  <c r="AO790" i="1" s="1"/>
  <c r="S796" i="1"/>
  <c r="AT796" i="1" s="1"/>
  <c r="AO796" i="1" s="1"/>
  <c r="S800" i="1"/>
  <c r="AQ800" i="1" s="1"/>
  <c r="AL800" i="1" s="1"/>
  <c r="S810" i="1"/>
  <c r="AT810" i="1" s="1"/>
  <c r="AO810" i="1" s="1"/>
  <c r="S816" i="1"/>
  <c r="AQ816" i="1" s="1"/>
  <c r="AL816" i="1" s="1"/>
  <c r="S820" i="1"/>
  <c r="S776" i="1"/>
  <c r="AT776" i="1" s="1"/>
  <c r="AO776" i="1" s="1"/>
  <c r="S797" i="1"/>
  <c r="AT797" i="1" s="1"/>
  <c r="AO797" i="1" s="1"/>
  <c r="S801" i="1"/>
  <c r="AR801" i="1" s="1"/>
  <c r="AM801" i="1" s="1"/>
  <c r="S811" i="1"/>
  <c r="AR811" i="1" s="1"/>
  <c r="AM811" i="1" s="1"/>
  <c r="U902" i="1"/>
  <c r="W902" i="1" s="1"/>
  <c r="U885" i="1"/>
  <c r="W885" i="1" s="1"/>
  <c r="S1116" i="1"/>
  <c r="AS1116" i="1" s="1"/>
  <c r="AN1116" i="1" s="1"/>
  <c r="S1174" i="1"/>
  <c r="AQ1174" i="1" s="1"/>
  <c r="AL1174" i="1" s="1"/>
  <c r="U994" i="1"/>
  <c r="W994" i="1" s="1"/>
  <c r="U1101" i="1"/>
  <c r="W1101" i="1" s="1"/>
  <c r="S1128" i="1"/>
  <c r="AR1128" i="1" s="1"/>
  <c r="AM1128" i="1" s="1"/>
  <c r="S1161" i="1"/>
  <c r="AR1161" i="1" s="1"/>
  <c r="AM1161" i="1" s="1"/>
  <c r="S1099" i="1"/>
  <c r="U1099" i="1" s="1"/>
  <c r="W1099" i="1" s="1"/>
  <c r="S1132" i="1"/>
  <c r="S733" i="1"/>
  <c r="AT733" i="1" s="1"/>
  <c r="AO733" i="1" s="1"/>
  <c r="S788" i="1"/>
  <c r="AS788" i="1" s="1"/>
  <c r="AN788" i="1" s="1"/>
  <c r="U1088" i="1"/>
  <c r="W1088" i="1" s="1"/>
  <c r="S734" i="1"/>
  <c r="S738" i="1"/>
  <c r="S762" i="1"/>
  <c r="AT762" i="1" s="1"/>
  <c r="AO762" i="1" s="1"/>
  <c r="S766" i="1"/>
  <c r="S778" i="1"/>
  <c r="AT778" i="1" s="1"/>
  <c r="AO778" i="1" s="1"/>
  <c r="S789" i="1"/>
  <c r="AT789" i="1" s="1"/>
  <c r="AO789" i="1" s="1"/>
  <c r="S809" i="1"/>
  <c r="AT809" i="1" s="1"/>
  <c r="AO809" i="1" s="1"/>
  <c r="U926" i="1"/>
  <c r="W926" i="1" s="1"/>
  <c r="U1105" i="1"/>
  <c r="W1105" i="1" s="1"/>
  <c r="S1171" i="1"/>
  <c r="AS1171" i="1" s="1"/>
  <c r="AN1171" i="1" s="1"/>
  <c r="S1179" i="1"/>
  <c r="AS1179" i="1" s="1"/>
  <c r="AN1179" i="1" s="1"/>
  <c r="U1046" i="1"/>
  <c r="W1046" i="1" s="1"/>
  <c r="S1115" i="1"/>
  <c r="S1123" i="1"/>
  <c r="AS1123" i="1" s="1"/>
  <c r="AN1123" i="1" s="1"/>
  <c r="S1148" i="1"/>
  <c r="AS1148" i="1" s="1"/>
  <c r="AN1148" i="1" s="1"/>
  <c r="S1165" i="1"/>
  <c r="AT1165" i="1" s="1"/>
  <c r="AO1165" i="1" s="1"/>
  <c r="AS1146" i="1"/>
  <c r="AN1146" i="1" s="1"/>
  <c r="AQ1146" i="1"/>
  <c r="AL1146" i="1" s="1"/>
  <c r="AR852" i="1"/>
  <c r="AM852" i="1" s="1"/>
  <c r="U1051" i="1"/>
  <c r="W1051" i="1" s="1"/>
  <c r="U886" i="1"/>
  <c r="W886" i="1" s="1"/>
  <c r="AS1050" i="1"/>
  <c r="AN1050" i="1" s="1"/>
  <c r="U1106" i="1"/>
  <c r="W1106" i="1" s="1"/>
  <c r="S754" i="1"/>
  <c r="U754" i="1" s="1"/>
  <c r="W754" i="1" s="1"/>
  <c r="S758" i="1"/>
  <c r="AT758" i="1" s="1"/>
  <c r="AO758" i="1" s="1"/>
  <c r="S785" i="1"/>
  <c r="AR785" i="1" s="1"/>
  <c r="AM785" i="1" s="1"/>
  <c r="AS976" i="1"/>
  <c r="AN976" i="1" s="1"/>
  <c r="AS897" i="1"/>
  <c r="AN897" i="1" s="1"/>
  <c r="S1158" i="1"/>
  <c r="AS1158" i="1" s="1"/>
  <c r="AN1158" i="1" s="1"/>
  <c r="AQ1060" i="1"/>
  <c r="AL1060" i="1" s="1"/>
  <c r="AT1090" i="1"/>
  <c r="AO1090" i="1" s="1"/>
  <c r="AT1089" i="1"/>
  <c r="AO1089" i="1" s="1"/>
  <c r="U925" i="1"/>
  <c r="W925" i="1" s="1"/>
  <c r="U976" i="1"/>
  <c r="W976" i="1" s="1"/>
  <c r="U832" i="1"/>
  <c r="W832" i="1" s="1"/>
  <c r="S731" i="1"/>
  <c r="AR731" i="1" s="1"/>
  <c r="AM731" i="1" s="1"/>
  <c r="S755" i="1"/>
  <c r="AS755" i="1" s="1"/>
  <c r="AN755" i="1" s="1"/>
  <c r="AQ1164" i="1"/>
  <c r="AL1164" i="1" s="1"/>
  <c r="S1102" i="1"/>
  <c r="U1102" i="1" s="1"/>
  <c r="W1102" i="1" s="1"/>
  <c r="S1126" i="1"/>
  <c r="AQ1126" i="1" s="1"/>
  <c r="AL1126" i="1" s="1"/>
  <c r="S1160" i="1"/>
  <c r="AR1160" i="1" s="1"/>
  <c r="AM1160" i="1" s="1"/>
  <c r="S1176" i="1"/>
  <c r="AR1176" i="1" s="1"/>
  <c r="AM1176" i="1" s="1"/>
  <c r="S752" i="1"/>
  <c r="S756" i="1"/>
  <c r="AS756" i="1" s="1"/>
  <c r="AN756" i="1" s="1"/>
  <c r="S777" i="1"/>
  <c r="AT777" i="1" s="1"/>
  <c r="AO777" i="1" s="1"/>
  <c r="S798" i="1"/>
  <c r="S812" i="1"/>
  <c r="AT812" i="1" s="1"/>
  <c r="AO812" i="1" s="1"/>
  <c r="U1107" i="1"/>
  <c r="W1107" i="1" s="1"/>
  <c r="AQ1162" i="1"/>
  <c r="AL1162" i="1" s="1"/>
  <c r="S1177" i="1"/>
  <c r="AR1177" i="1" s="1"/>
  <c r="AM1177" i="1" s="1"/>
  <c r="AR1157" i="1"/>
  <c r="AM1157" i="1" s="1"/>
  <c r="S1145" i="1"/>
  <c r="AR1145" i="1" s="1"/>
  <c r="AM1145" i="1" s="1"/>
  <c r="AR927" i="1"/>
  <c r="AM927" i="1" s="1"/>
  <c r="AR1100" i="1"/>
  <c r="AM1100" i="1" s="1"/>
  <c r="U993" i="1"/>
  <c r="W993" i="1" s="1"/>
  <c r="U975" i="1"/>
  <c r="W975" i="1" s="1"/>
  <c r="U955" i="1"/>
  <c r="W955" i="1" s="1"/>
  <c r="U1066" i="1"/>
  <c r="W1066" i="1" s="1"/>
  <c r="U922" i="1"/>
  <c r="W922" i="1" s="1"/>
  <c r="AR924" i="1"/>
  <c r="AM924" i="1" s="1"/>
  <c r="AS1132" i="1"/>
  <c r="AN1132" i="1" s="1"/>
  <c r="AT1132" i="1"/>
  <c r="AO1132" i="1" s="1"/>
  <c r="AQ1158" i="1"/>
  <c r="AL1158" i="1" s="1"/>
  <c r="AR1158" i="1"/>
  <c r="AM1158" i="1" s="1"/>
  <c r="AQ1142" i="1"/>
  <c r="AL1142" i="1" s="1"/>
  <c r="AS1142" i="1"/>
  <c r="AN1142" i="1" s="1"/>
  <c r="AS1115" i="1"/>
  <c r="AN1115" i="1" s="1"/>
  <c r="AT1115" i="1"/>
  <c r="AO1115" i="1" s="1"/>
  <c r="U1115" i="1"/>
  <c r="W1115" i="1" s="1"/>
  <c r="AR1125" i="1"/>
  <c r="AM1125" i="1" s="1"/>
  <c r="U1187" i="1"/>
  <c r="W1187" i="1" s="1"/>
  <c r="U1108" i="1"/>
  <c r="W1108" i="1" s="1"/>
  <c r="AT1138" i="1"/>
  <c r="AO1138" i="1" s="1"/>
  <c r="AQ1122" i="1"/>
  <c r="AL1122" i="1" s="1"/>
  <c r="AQ1120" i="1"/>
  <c r="AL1120" i="1" s="1"/>
  <c r="AT1129" i="1"/>
  <c r="AO1129" i="1" s="1"/>
  <c r="AQ1100" i="1"/>
  <c r="AL1100" i="1" s="1"/>
  <c r="AR1170" i="1"/>
  <c r="AM1170" i="1" s="1"/>
  <c r="AR1164" i="1"/>
  <c r="AM1164" i="1" s="1"/>
  <c r="AR1123" i="1"/>
  <c r="AM1123" i="1" s="1"/>
  <c r="AT1186" i="1"/>
  <c r="AO1186" i="1" s="1"/>
  <c r="AR1163" i="1"/>
  <c r="AM1163" i="1" s="1"/>
  <c r="AR1122" i="1"/>
  <c r="AM1122" i="1" s="1"/>
  <c r="AS1154" i="1"/>
  <c r="AN1154" i="1" s="1"/>
  <c r="AT1180" i="1"/>
  <c r="AO1180" i="1" s="1"/>
  <c r="AT1131" i="1"/>
  <c r="AO1131" i="1" s="1"/>
  <c r="AQ1155" i="1"/>
  <c r="AL1155" i="1" s="1"/>
  <c r="AQ1107" i="1"/>
  <c r="AL1107" i="1" s="1"/>
  <c r="AS1152" i="1"/>
  <c r="AN1152" i="1" s="1"/>
  <c r="AQ1154" i="1"/>
  <c r="AL1154" i="1" s="1"/>
  <c r="AQ1106" i="1"/>
  <c r="AL1106" i="1" s="1"/>
  <c r="AR1110" i="1"/>
  <c r="AM1110" i="1" s="1"/>
  <c r="AT1123" i="1"/>
  <c r="AO1123" i="1" s="1"/>
  <c r="AQ1152" i="1"/>
  <c r="AL1152" i="1" s="1"/>
  <c r="AR1155" i="1"/>
  <c r="AM1155" i="1" s="1"/>
  <c r="AR1109" i="1"/>
  <c r="AM1109" i="1" s="1"/>
  <c r="AT1122" i="1"/>
  <c r="AO1122" i="1" s="1"/>
  <c r="U1150" i="1"/>
  <c r="W1150" i="1" s="1"/>
  <c r="AQ1148" i="1"/>
  <c r="AL1148" i="1" s="1"/>
  <c r="AQ1096" i="1"/>
  <c r="AL1096" i="1" s="1"/>
  <c r="AR1154" i="1"/>
  <c r="AM1154" i="1" s="1"/>
  <c r="AR1101" i="1"/>
  <c r="AM1101" i="1" s="1"/>
  <c r="AS1138" i="1"/>
  <c r="AN1138" i="1" s="1"/>
  <c r="AT1170" i="1"/>
  <c r="AO1170" i="1" s="1"/>
  <c r="AT1116" i="1"/>
  <c r="AO1116" i="1" s="1"/>
  <c r="AQ1187" i="1"/>
  <c r="AL1187" i="1" s="1"/>
  <c r="AQ1091" i="1"/>
  <c r="AL1091" i="1" s="1"/>
  <c r="AR1148" i="1"/>
  <c r="AM1148" i="1" s="1"/>
  <c r="AS1136" i="1"/>
  <c r="AN1136" i="1" s="1"/>
  <c r="AT1164" i="1"/>
  <c r="AO1164" i="1" s="1"/>
  <c r="AQ1186" i="1"/>
  <c r="AL1186" i="1" s="1"/>
  <c r="AR1189" i="1"/>
  <c r="AM1189" i="1" s="1"/>
  <c r="AR1147" i="1"/>
  <c r="AM1147" i="1" s="1"/>
  <c r="AR1094" i="1"/>
  <c r="AM1094" i="1" s="1"/>
  <c r="AS1129" i="1"/>
  <c r="AN1129" i="1" s="1"/>
  <c r="AT1163" i="1"/>
  <c r="AO1163" i="1" s="1"/>
  <c r="AT1100" i="1"/>
  <c r="AO1100" i="1" s="1"/>
  <c r="AQ1184" i="1"/>
  <c r="AL1184" i="1" s="1"/>
  <c r="AQ1139" i="1"/>
  <c r="AL1139" i="1" s="1"/>
  <c r="AR1187" i="1"/>
  <c r="AM1187" i="1" s="1"/>
  <c r="AR1142" i="1"/>
  <c r="AM1142" i="1" s="1"/>
  <c r="AR1093" i="1"/>
  <c r="AM1093" i="1" s="1"/>
  <c r="AT1161" i="1"/>
  <c r="AO1161" i="1" s="1"/>
  <c r="AT1187" i="1"/>
  <c r="AO1187" i="1" s="1"/>
  <c r="U1152" i="1"/>
  <c r="W1152" i="1" s="1"/>
  <c r="AQ1180" i="1"/>
  <c r="AL1180" i="1" s="1"/>
  <c r="AQ1138" i="1"/>
  <c r="AL1138" i="1" s="1"/>
  <c r="AR1186" i="1"/>
  <c r="AM1186" i="1" s="1"/>
  <c r="AR1141" i="1"/>
  <c r="AM1141" i="1" s="1"/>
  <c r="AT1155" i="1"/>
  <c r="AO1155" i="1" s="1"/>
  <c r="U1165" i="1"/>
  <c r="W1165" i="1" s="1"/>
  <c r="AQ1178" i="1"/>
  <c r="AL1178" i="1" s="1"/>
  <c r="AQ1136" i="1"/>
  <c r="AL1136" i="1" s="1"/>
  <c r="AR1180" i="1"/>
  <c r="AM1180" i="1" s="1"/>
  <c r="AR1139" i="1"/>
  <c r="AM1139" i="1" s="1"/>
  <c r="AS1184" i="1"/>
  <c r="AN1184" i="1" s="1"/>
  <c r="AS1120" i="1"/>
  <c r="AN1120" i="1" s="1"/>
  <c r="U1181" i="1"/>
  <c r="W1181" i="1" s="1"/>
  <c r="AQ1177" i="1"/>
  <c r="AL1177" i="1" s="1"/>
  <c r="AQ1132" i="1"/>
  <c r="AL1132" i="1" s="1"/>
  <c r="AS1177" i="1"/>
  <c r="AN1177" i="1" s="1"/>
  <c r="AS1113" i="1"/>
  <c r="AN1113" i="1" s="1"/>
  <c r="AT1148" i="1"/>
  <c r="AO1148" i="1" s="1"/>
  <c r="AQ1130" i="1"/>
  <c r="AL1130" i="1" s="1"/>
  <c r="AR1174" i="1"/>
  <c r="AM1174" i="1" s="1"/>
  <c r="AR1132" i="1"/>
  <c r="AM1132" i="1" s="1"/>
  <c r="AS1174" i="1"/>
  <c r="AN1174" i="1" s="1"/>
  <c r="AS1112" i="1"/>
  <c r="AN1112" i="1" s="1"/>
  <c r="AT1147" i="1"/>
  <c r="AO1147" i="1" s="1"/>
  <c r="AQ1170" i="1"/>
  <c r="AL1170" i="1" s="1"/>
  <c r="AQ1129" i="1"/>
  <c r="AL1129" i="1" s="1"/>
  <c r="AR1173" i="1"/>
  <c r="AM1173" i="1" s="1"/>
  <c r="AR1131" i="1"/>
  <c r="AM1131" i="1" s="1"/>
  <c r="AS1097" i="1"/>
  <c r="AN1097" i="1" s="1"/>
  <c r="AQ1168" i="1"/>
  <c r="AL1168" i="1" s="1"/>
  <c r="AQ1123" i="1"/>
  <c r="AL1123" i="1" s="1"/>
  <c r="AS1168" i="1"/>
  <c r="AN1168" i="1" s="1"/>
  <c r="AS1096" i="1"/>
  <c r="AN1096" i="1" s="1"/>
  <c r="AT1139" i="1"/>
  <c r="AO1139" i="1" s="1"/>
  <c r="U1151" i="1"/>
  <c r="W1151" i="1" s="1"/>
  <c r="AQ1185" i="1"/>
  <c r="AL1185" i="1" s="1"/>
  <c r="AQ1169" i="1"/>
  <c r="AL1169" i="1" s="1"/>
  <c r="AQ1153" i="1"/>
  <c r="AL1153" i="1" s="1"/>
  <c r="AQ1137" i="1"/>
  <c r="AL1137" i="1" s="1"/>
  <c r="AQ1121" i="1"/>
  <c r="AL1121" i="1" s="1"/>
  <c r="AQ1105" i="1"/>
  <c r="AL1105" i="1" s="1"/>
  <c r="AR1188" i="1"/>
  <c r="AM1188" i="1" s="1"/>
  <c r="AR1172" i="1"/>
  <c r="AM1172" i="1" s="1"/>
  <c r="AR1156" i="1"/>
  <c r="AM1156" i="1" s="1"/>
  <c r="AR1140" i="1"/>
  <c r="AM1140" i="1" s="1"/>
  <c r="AR1124" i="1"/>
  <c r="AM1124" i="1" s="1"/>
  <c r="AR1108" i="1"/>
  <c r="AM1108" i="1" s="1"/>
  <c r="AR1092" i="1"/>
  <c r="AM1092" i="1" s="1"/>
  <c r="AS1175" i="1"/>
  <c r="AN1175" i="1" s="1"/>
  <c r="AS1159" i="1"/>
  <c r="AN1159" i="1" s="1"/>
  <c r="AS1143" i="1"/>
  <c r="AN1143" i="1" s="1"/>
  <c r="AS1127" i="1"/>
  <c r="AN1127" i="1" s="1"/>
  <c r="AS1111" i="1"/>
  <c r="AN1111" i="1" s="1"/>
  <c r="AS1095" i="1"/>
  <c r="AN1095" i="1" s="1"/>
  <c r="AT1178" i="1"/>
  <c r="AO1178" i="1" s="1"/>
  <c r="AT1162" i="1"/>
  <c r="AO1162" i="1" s="1"/>
  <c r="AT1146" i="1"/>
  <c r="AO1146" i="1" s="1"/>
  <c r="AT1130" i="1"/>
  <c r="AO1130" i="1" s="1"/>
  <c r="AT1114" i="1"/>
  <c r="AO1114" i="1" s="1"/>
  <c r="AT1098" i="1"/>
  <c r="AO1098" i="1" s="1"/>
  <c r="U1182" i="1"/>
  <c r="W1182" i="1" s="1"/>
  <c r="AQ1104" i="1"/>
  <c r="AL1104" i="1" s="1"/>
  <c r="AR1107" i="1"/>
  <c r="AM1107" i="1" s="1"/>
  <c r="AR1091" i="1"/>
  <c r="AM1091" i="1" s="1"/>
  <c r="AS1110" i="1"/>
  <c r="AN1110" i="1" s="1"/>
  <c r="AS1094" i="1"/>
  <c r="AN1094" i="1" s="1"/>
  <c r="AT1113" i="1"/>
  <c r="AO1113" i="1" s="1"/>
  <c r="AT1097" i="1"/>
  <c r="AO1097" i="1" s="1"/>
  <c r="AS1144" i="1"/>
  <c r="AN1144" i="1" s="1"/>
  <c r="U1114" i="1"/>
  <c r="W1114" i="1" s="1"/>
  <c r="AQ1183" i="1"/>
  <c r="AL1183" i="1" s="1"/>
  <c r="AQ1167" i="1"/>
  <c r="AL1167" i="1" s="1"/>
  <c r="AQ1151" i="1"/>
  <c r="AL1151" i="1" s="1"/>
  <c r="AQ1135" i="1"/>
  <c r="AL1135" i="1" s="1"/>
  <c r="AQ1119" i="1"/>
  <c r="AL1119" i="1" s="1"/>
  <c r="AQ1103" i="1"/>
  <c r="AL1103" i="1" s="1"/>
  <c r="AR1106" i="1"/>
  <c r="AM1106" i="1" s="1"/>
  <c r="AS1189" i="1"/>
  <c r="AN1189" i="1" s="1"/>
  <c r="AS1173" i="1"/>
  <c r="AN1173" i="1" s="1"/>
  <c r="AS1157" i="1"/>
  <c r="AN1157" i="1" s="1"/>
  <c r="AS1141" i="1"/>
  <c r="AN1141" i="1" s="1"/>
  <c r="AS1125" i="1"/>
  <c r="AN1125" i="1" s="1"/>
  <c r="AS1109" i="1"/>
  <c r="AN1109" i="1" s="1"/>
  <c r="AS1093" i="1"/>
  <c r="AN1093" i="1" s="1"/>
  <c r="AT1160" i="1"/>
  <c r="AO1160" i="1" s="1"/>
  <c r="AT1144" i="1"/>
  <c r="AO1144" i="1" s="1"/>
  <c r="AT1128" i="1"/>
  <c r="AO1128" i="1" s="1"/>
  <c r="AT1112" i="1"/>
  <c r="AO1112" i="1" s="1"/>
  <c r="AT1096" i="1"/>
  <c r="AO1096" i="1" s="1"/>
  <c r="U1180" i="1"/>
  <c r="W1180" i="1" s="1"/>
  <c r="U1164" i="1"/>
  <c r="W1164" i="1" s="1"/>
  <c r="U1113" i="1"/>
  <c r="W1113" i="1" s="1"/>
  <c r="AQ1182" i="1"/>
  <c r="AL1182" i="1" s="1"/>
  <c r="AQ1166" i="1"/>
  <c r="AL1166" i="1" s="1"/>
  <c r="AQ1150" i="1"/>
  <c r="AL1150" i="1" s="1"/>
  <c r="AQ1134" i="1"/>
  <c r="AL1134" i="1" s="1"/>
  <c r="AQ1118" i="1"/>
  <c r="AL1118" i="1" s="1"/>
  <c r="AQ1102" i="1"/>
  <c r="AL1102" i="1" s="1"/>
  <c r="AR1185" i="1"/>
  <c r="AM1185" i="1" s="1"/>
  <c r="AR1169" i="1"/>
  <c r="AM1169" i="1" s="1"/>
  <c r="AR1153" i="1"/>
  <c r="AM1153" i="1" s="1"/>
  <c r="AR1137" i="1"/>
  <c r="AM1137" i="1" s="1"/>
  <c r="AR1121" i="1"/>
  <c r="AM1121" i="1" s="1"/>
  <c r="AR1105" i="1"/>
  <c r="AM1105" i="1" s="1"/>
  <c r="AS1188" i="1"/>
  <c r="AN1188" i="1" s="1"/>
  <c r="AS1172" i="1"/>
  <c r="AN1172" i="1" s="1"/>
  <c r="AS1156" i="1"/>
  <c r="AN1156" i="1" s="1"/>
  <c r="AS1140" i="1"/>
  <c r="AN1140" i="1" s="1"/>
  <c r="AS1124" i="1"/>
  <c r="AN1124" i="1" s="1"/>
  <c r="AS1108" i="1"/>
  <c r="AN1108" i="1" s="1"/>
  <c r="AS1092" i="1"/>
  <c r="AN1092" i="1" s="1"/>
  <c r="AT1175" i="1"/>
  <c r="AO1175" i="1" s="1"/>
  <c r="AT1159" i="1"/>
  <c r="AO1159" i="1" s="1"/>
  <c r="AT1143" i="1"/>
  <c r="AO1143" i="1" s="1"/>
  <c r="AT1127" i="1"/>
  <c r="AO1127" i="1" s="1"/>
  <c r="AT1111" i="1"/>
  <c r="AO1111" i="1" s="1"/>
  <c r="AT1095" i="1"/>
  <c r="AO1095" i="1" s="1"/>
  <c r="U1163" i="1"/>
  <c r="W1163" i="1" s="1"/>
  <c r="U1145" i="1"/>
  <c r="W1145" i="1" s="1"/>
  <c r="U1112" i="1"/>
  <c r="W1112" i="1" s="1"/>
  <c r="AQ1181" i="1"/>
  <c r="AL1181" i="1" s="1"/>
  <c r="AQ1165" i="1"/>
  <c r="AL1165" i="1" s="1"/>
  <c r="AQ1149" i="1"/>
  <c r="AL1149" i="1" s="1"/>
  <c r="AQ1133" i="1"/>
  <c r="AL1133" i="1" s="1"/>
  <c r="AQ1117" i="1"/>
  <c r="AL1117" i="1" s="1"/>
  <c r="AQ1101" i="1"/>
  <c r="AL1101" i="1" s="1"/>
  <c r="AR1184" i="1"/>
  <c r="AM1184" i="1" s="1"/>
  <c r="AR1168" i="1"/>
  <c r="AM1168" i="1" s="1"/>
  <c r="AR1152" i="1"/>
  <c r="AM1152" i="1" s="1"/>
  <c r="AR1136" i="1"/>
  <c r="AM1136" i="1" s="1"/>
  <c r="AR1120" i="1"/>
  <c r="AM1120" i="1" s="1"/>
  <c r="AR1104" i="1"/>
  <c r="AM1104" i="1" s="1"/>
  <c r="AS1187" i="1"/>
  <c r="AN1187" i="1" s="1"/>
  <c r="AS1107" i="1"/>
  <c r="AN1107" i="1" s="1"/>
  <c r="AS1091" i="1"/>
  <c r="AN1091" i="1" s="1"/>
  <c r="AT1174" i="1"/>
  <c r="AO1174" i="1" s="1"/>
  <c r="AT1158" i="1"/>
  <c r="AO1158" i="1" s="1"/>
  <c r="AT1142" i="1"/>
  <c r="AO1142" i="1" s="1"/>
  <c r="AT1110" i="1"/>
  <c r="AO1110" i="1" s="1"/>
  <c r="AT1094" i="1"/>
  <c r="AO1094" i="1" s="1"/>
  <c r="U1144" i="1"/>
  <c r="W1144" i="1" s="1"/>
  <c r="U1128" i="1"/>
  <c r="W1128" i="1" s="1"/>
  <c r="U1110" i="1"/>
  <c r="W1110" i="1" s="1"/>
  <c r="AR1183" i="1"/>
  <c r="AM1183" i="1" s="1"/>
  <c r="AR1167" i="1"/>
  <c r="AM1167" i="1" s="1"/>
  <c r="AR1151" i="1"/>
  <c r="AM1151" i="1" s="1"/>
  <c r="AR1135" i="1"/>
  <c r="AM1135" i="1" s="1"/>
  <c r="AR1119" i="1"/>
  <c r="AM1119" i="1" s="1"/>
  <c r="AR1103" i="1"/>
  <c r="AM1103" i="1" s="1"/>
  <c r="AS1106" i="1"/>
  <c r="AN1106" i="1" s="1"/>
  <c r="AT1189" i="1"/>
  <c r="AO1189" i="1" s="1"/>
  <c r="AT1173" i="1"/>
  <c r="AO1173" i="1" s="1"/>
  <c r="AT1157" i="1"/>
  <c r="AO1157" i="1" s="1"/>
  <c r="AT1141" i="1"/>
  <c r="AO1141" i="1" s="1"/>
  <c r="AT1125" i="1"/>
  <c r="AO1125" i="1" s="1"/>
  <c r="AT1109" i="1"/>
  <c r="AO1109" i="1" s="1"/>
  <c r="AT1093" i="1"/>
  <c r="AO1093" i="1" s="1"/>
  <c r="U1143" i="1"/>
  <c r="W1143" i="1" s="1"/>
  <c r="U1126" i="1"/>
  <c r="W1126" i="1" s="1"/>
  <c r="U1109" i="1"/>
  <c r="W1109" i="1" s="1"/>
  <c r="AQ1179" i="1"/>
  <c r="AL1179" i="1" s="1"/>
  <c r="AQ1163" i="1"/>
  <c r="AL1163" i="1" s="1"/>
  <c r="AQ1147" i="1"/>
  <c r="AL1147" i="1" s="1"/>
  <c r="AQ1131" i="1"/>
  <c r="AL1131" i="1" s="1"/>
  <c r="AQ1115" i="1"/>
  <c r="AL1115" i="1" s="1"/>
  <c r="AR1182" i="1"/>
  <c r="AM1182" i="1" s="1"/>
  <c r="AR1166" i="1"/>
  <c r="AM1166" i="1" s="1"/>
  <c r="AR1150" i="1"/>
  <c r="AM1150" i="1" s="1"/>
  <c r="AR1134" i="1"/>
  <c r="AM1134" i="1" s="1"/>
  <c r="AR1118" i="1"/>
  <c r="AM1118" i="1" s="1"/>
  <c r="AR1102" i="1"/>
  <c r="AM1102" i="1" s="1"/>
  <c r="AS1185" i="1"/>
  <c r="AN1185" i="1" s="1"/>
  <c r="AS1169" i="1"/>
  <c r="AN1169" i="1" s="1"/>
  <c r="AS1153" i="1"/>
  <c r="AN1153" i="1" s="1"/>
  <c r="AS1137" i="1"/>
  <c r="AN1137" i="1" s="1"/>
  <c r="AS1121" i="1"/>
  <c r="AN1121" i="1" s="1"/>
  <c r="AS1105" i="1"/>
  <c r="AN1105" i="1" s="1"/>
  <c r="AT1188" i="1"/>
  <c r="AO1188" i="1" s="1"/>
  <c r="AT1172" i="1"/>
  <c r="AO1172" i="1" s="1"/>
  <c r="AT1156" i="1"/>
  <c r="AO1156" i="1" s="1"/>
  <c r="AT1140" i="1"/>
  <c r="AO1140" i="1" s="1"/>
  <c r="AT1124" i="1"/>
  <c r="AO1124" i="1" s="1"/>
  <c r="AT1108" i="1"/>
  <c r="AO1108" i="1" s="1"/>
  <c r="AT1092" i="1"/>
  <c r="AO1092" i="1" s="1"/>
  <c r="AQ1114" i="1"/>
  <c r="AL1114" i="1" s="1"/>
  <c r="AQ1098" i="1"/>
  <c r="AL1098" i="1" s="1"/>
  <c r="AR1181" i="1"/>
  <c r="AM1181" i="1" s="1"/>
  <c r="AR1165" i="1"/>
  <c r="AM1165" i="1" s="1"/>
  <c r="AR1149" i="1"/>
  <c r="AM1149" i="1" s="1"/>
  <c r="AR1133" i="1"/>
  <c r="AM1133" i="1" s="1"/>
  <c r="AR1117" i="1"/>
  <c r="AM1117" i="1" s="1"/>
  <c r="AS1104" i="1"/>
  <c r="AN1104" i="1" s="1"/>
  <c r="AT1107" i="1"/>
  <c r="AO1107" i="1" s="1"/>
  <c r="AS1160" i="1"/>
  <c r="AN1160" i="1" s="1"/>
  <c r="U1111" i="1"/>
  <c r="W1111" i="1" s="1"/>
  <c r="AQ1113" i="1"/>
  <c r="AL1113" i="1" s="1"/>
  <c r="AQ1097" i="1"/>
  <c r="AL1097" i="1" s="1"/>
  <c r="AS1183" i="1"/>
  <c r="AN1183" i="1" s="1"/>
  <c r="AS1167" i="1"/>
  <c r="AN1167" i="1" s="1"/>
  <c r="AS1151" i="1"/>
  <c r="AN1151" i="1" s="1"/>
  <c r="AS1135" i="1"/>
  <c r="AN1135" i="1" s="1"/>
  <c r="AS1119" i="1"/>
  <c r="AN1119" i="1" s="1"/>
  <c r="AS1103" i="1"/>
  <c r="AN1103" i="1" s="1"/>
  <c r="AT1106" i="1"/>
  <c r="AO1106" i="1" s="1"/>
  <c r="AS1128" i="1"/>
  <c r="AN1128" i="1" s="1"/>
  <c r="AQ1176" i="1"/>
  <c r="AL1176" i="1" s="1"/>
  <c r="AQ1160" i="1"/>
  <c r="AL1160" i="1" s="1"/>
  <c r="AQ1144" i="1"/>
  <c r="AL1144" i="1" s="1"/>
  <c r="AQ1128" i="1"/>
  <c r="AL1128" i="1" s="1"/>
  <c r="AQ1112" i="1"/>
  <c r="AL1112" i="1" s="1"/>
  <c r="AR1115" i="1"/>
  <c r="AM1115" i="1" s="1"/>
  <c r="AS1182" i="1"/>
  <c r="AN1182" i="1" s="1"/>
  <c r="AS1166" i="1"/>
  <c r="AN1166" i="1" s="1"/>
  <c r="AS1150" i="1"/>
  <c r="AN1150" i="1" s="1"/>
  <c r="AS1134" i="1"/>
  <c r="AN1134" i="1" s="1"/>
  <c r="AS1118" i="1"/>
  <c r="AN1118" i="1" s="1"/>
  <c r="AS1102" i="1"/>
  <c r="AN1102" i="1" s="1"/>
  <c r="AT1105" i="1"/>
  <c r="AO1105" i="1" s="1"/>
  <c r="AS1176" i="1"/>
  <c r="AN1176" i="1" s="1"/>
  <c r="AQ1175" i="1"/>
  <c r="AL1175" i="1" s="1"/>
  <c r="AQ1159" i="1"/>
  <c r="AL1159" i="1" s="1"/>
  <c r="AQ1143" i="1"/>
  <c r="AL1143" i="1" s="1"/>
  <c r="AQ1127" i="1"/>
  <c r="AL1127" i="1" s="1"/>
  <c r="AQ1111" i="1"/>
  <c r="AL1111" i="1" s="1"/>
  <c r="AQ1095" i="1"/>
  <c r="AL1095" i="1" s="1"/>
  <c r="AR1178" i="1"/>
  <c r="AM1178" i="1" s="1"/>
  <c r="AR1162" i="1"/>
  <c r="AM1162" i="1" s="1"/>
  <c r="AR1146" i="1"/>
  <c r="AM1146" i="1" s="1"/>
  <c r="AR1130" i="1"/>
  <c r="AM1130" i="1" s="1"/>
  <c r="AR1114" i="1"/>
  <c r="AM1114" i="1" s="1"/>
  <c r="AR1098" i="1"/>
  <c r="AM1098" i="1" s="1"/>
  <c r="AS1181" i="1"/>
  <c r="AN1181" i="1" s="1"/>
  <c r="AS1165" i="1"/>
  <c r="AN1165" i="1" s="1"/>
  <c r="AS1149" i="1"/>
  <c r="AN1149" i="1" s="1"/>
  <c r="AS1133" i="1"/>
  <c r="AN1133" i="1" s="1"/>
  <c r="AS1117" i="1"/>
  <c r="AN1117" i="1" s="1"/>
  <c r="AS1101" i="1"/>
  <c r="AN1101" i="1" s="1"/>
  <c r="U1189" i="1"/>
  <c r="W1189" i="1" s="1"/>
  <c r="U1188" i="1"/>
  <c r="W1188" i="1" s="1"/>
  <c r="AT1102" i="1"/>
  <c r="AO1102" i="1" s="1"/>
  <c r="AQ720" i="1"/>
  <c r="AL720" i="1" s="1"/>
  <c r="AR720" i="1"/>
  <c r="AM720" i="1" s="1"/>
  <c r="AQ768" i="1"/>
  <c r="AL768" i="1" s="1"/>
  <c r="AR768" i="1"/>
  <c r="AM768" i="1" s="1"/>
  <c r="AR1081" i="1"/>
  <c r="AM1081" i="1" s="1"/>
  <c r="AT1081" i="1"/>
  <c r="AO1081" i="1" s="1"/>
  <c r="AS1081" i="1"/>
  <c r="AN1081" i="1" s="1"/>
  <c r="AQ1081" i="1"/>
  <c r="AL1081" i="1" s="1"/>
  <c r="U1081" i="1"/>
  <c r="W1081" i="1" s="1"/>
  <c r="U1082" i="1"/>
  <c r="W1082" i="1" s="1"/>
  <c r="AT1065" i="1"/>
  <c r="AO1065" i="1" s="1"/>
  <c r="AR1065" i="1"/>
  <c r="AM1065" i="1" s="1"/>
  <c r="AS1065" i="1"/>
  <c r="AN1065" i="1" s="1"/>
  <c r="AQ1065" i="1"/>
  <c r="AL1065" i="1" s="1"/>
  <c r="U1065" i="1"/>
  <c r="W1065" i="1" s="1"/>
  <c r="AQ1049" i="1"/>
  <c r="AL1049" i="1" s="1"/>
  <c r="AT1049" i="1"/>
  <c r="AO1049" i="1" s="1"/>
  <c r="AS1049" i="1"/>
  <c r="AN1049" i="1" s="1"/>
  <c r="AR1049" i="1"/>
  <c r="AM1049" i="1" s="1"/>
  <c r="AQ1033" i="1"/>
  <c r="AL1033" i="1" s="1"/>
  <c r="AR1033" i="1"/>
  <c r="AM1033" i="1" s="1"/>
  <c r="AT1033" i="1"/>
  <c r="AO1033" i="1" s="1"/>
  <c r="AS1033" i="1"/>
  <c r="AN1033" i="1" s="1"/>
  <c r="AQ1017" i="1"/>
  <c r="AL1017" i="1" s="1"/>
  <c r="AT1017" i="1"/>
  <c r="AO1017" i="1" s="1"/>
  <c r="AS1017" i="1"/>
  <c r="AN1017" i="1" s="1"/>
  <c r="AR1017" i="1"/>
  <c r="AM1017" i="1" s="1"/>
  <c r="AS1001" i="1"/>
  <c r="AN1001" i="1" s="1"/>
  <c r="AT1001" i="1"/>
  <c r="AO1001" i="1" s="1"/>
  <c r="AR1001" i="1"/>
  <c r="AM1001" i="1" s="1"/>
  <c r="AQ1001" i="1"/>
  <c r="AL1001" i="1" s="1"/>
  <c r="U1001" i="1"/>
  <c r="W1001" i="1" s="1"/>
  <c r="AQ985" i="1"/>
  <c r="AL985" i="1" s="1"/>
  <c r="AR985" i="1"/>
  <c r="AM985" i="1" s="1"/>
  <c r="AS985" i="1"/>
  <c r="AN985" i="1" s="1"/>
  <c r="AT985" i="1"/>
  <c r="AO985" i="1" s="1"/>
  <c r="AT969" i="1"/>
  <c r="AO969" i="1" s="1"/>
  <c r="AR969" i="1"/>
  <c r="AM969" i="1" s="1"/>
  <c r="AS969" i="1"/>
  <c r="AN969" i="1" s="1"/>
  <c r="AQ969" i="1"/>
  <c r="AL969" i="1" s="1"/>
  <c r="AS953" i="1"/>
  <c r="AN953" i="1" s="1"/>
  <c r="AQ953" i="1"/>
  <c r="AL953" i="1" s="1"/>
  <c r="AT953" i="1"/>
  <c r="AO953" i="1" s="1"/>
  <c r="AR953" i="1"/>
  <c r="AM953" i="1" s="1"/>
  <c r="AT937" i="1"/>
  <c r="AO937" i="1" s="1"/>
  <c r="AS937" i="1"/>
  <c r="AN937" i="1" s="1"/>
  <c r="AR937" i="1"/>
  <c r="AM937" i="1" s="1"/>
  <c r="U938" i="1"/>
  <c r="W938" i="1" s="1"/>
  <c r="AR921" i="1"/>
  <c r="AM921" i="1" s="1"/>
  <c r="AS921" i="1"/>
  <c r="AN921" i="1" s="1"/>
  <c r="AQ921" i="1"/>
  <c r="AL921" i="1" s="1"/>
  <c r="AT921" i="1"/>
  <c r="AO921" i="1" s="1"/>
  <c r="U921" i="1"/>
  <c r="W921" i="1" s="1"/>
  <c r="AQ905" i="1"/>
  <c r="AL905" i="1" s="1"/>
  <c r="AS905" i="1"/>
  <c r="AN905" i="1" s="1"/>
  <c r="AT905" i="1"/>
  <c r="AO905" i="1" s="1"/>
  <c r="AR905" i="1"/>
  <c r="AM905" i="1" s="1"/>
  <c r="AS889" i="1"/>
  <c r="AN889" i="1" s="1"/>
  <c r="AQ889" i="1"/>
  <c r="AL889" i="1" s="1"/>
  <c r="AT889" i="1"/>
  <c r="AO889" i="1" s="1"/>
  <c r="AR889" i="1"/>
  <c r="AM889" i="1" s="1"/>
  <c r="AT873" i="1"/>
  <c r="AO873" i="1" s="1"/>
  <c r="AS873" i="1"/>
  <c r="AN873" i="1" s="1"/>
  <c r="AQ873" i="1"/>
  <c r="AL873" i="1" s="1"/>
  <c r="AR873" i="1"/>
  <c r="AM873" i="1" s="1"/>
  <c r="U873" i="1"/>
  <c r="W873" i="1" s="1"/>
  <c r="AR857" i="1"/>
  <c r="AM857" i="1" s="1"/>
  <c r="AT857" i="1"/>
  <c r="AO857" i="1" s="1"/>
  <c r="AQ857" i="1"/>
  <c r="AL857" i="1" s="1"/>
  <c r="AS857" i="1"/>
  <c r="AN857" i="1" s="1"/>
  <c r="AT841" i="1"/>
  <c r="AO841" i="1" s="1"/>
  <c r="AQ841" i="1"/>
  <c r="AL841" i="1" s="1"/>
  <c r="AR841" i="1"/>
  <c r="AM841" i="1" s="1"/>
  <c r="AS841" i="1"/>
  <c r="AN841" i="1" s="1"/>
  <c r="AS825" i="1"/>
  <c r="AN825" i="1" s="1"/>
  <c r="AT825" i="1"/>
  <c r="AO825" i="1" s="1"/>
  <c r="AQ825" i="1"/>
  <c r="AL825" i="1" s="1"/>
  <c r="AR825" i="1"/>
  <c r="AM825" i="1" s="1"/>
  <c r="AQ781" i="1"/>
  <c r="AL781" i="1" s="1"/>
  <c r="AQ718" i="1"/>
  <c r="AL718" i="1" s="1"/>
  <c r="AR1075" i="1"/>
  <c r="AM1075" i="1" s="1"/>
  <c r="AS1075" i="1"/>
  <c r="AN1075" i="1" s="1"/>
  <c r="AT1075" i="1"/>
  <c r="AO1075" i="1" s="1"/>
  <c r="AQ1075" i="1"/>
  <c r="AL1075" i="1" s="1"/>
  <c r="AR1059" i="1"/>
  <c r="AM1059" i="1" s="1"/>
  <c r="AT1059" i="1"/>
  <c r="AO1059" i="1" s="1"/>
  <c r="AS1059" i="1"/>
  <c r="AN1059" i="1" s="1"/>
  <c r="AQ1059" i="1"/>
  <c r="AL1059" i="1" s="1"/>
  <c r="AR1043" i="1"/>
  <c r="AM1043" i="1" s="1"/>
  <c r="AT1043" i="1"/>
  <c r="AO1043" i="1" s="1"/>
  <c r="AS1043" i="1"/>
  <c r="AN1043" i="1" s="1"/>
  <c r="AQ1043" i="1"/>
  <c r="AL1043" i="1" s="1"/>
  <c r="AR1027" i="1"/>
  <c r="AM1027" i="1" s="1"/>
  <c r="AT1027" i="1"/>
  <c r="AO1027" i="1" s="1"/>
  <c r="AS1027" i="1"/>
  <c r="AN1027" i="1" s="1"/>
  <c r="AQ1027" i="1"/>
  <c r="AL1027" i="1" s="1"/>
  <c r="U1027" i="1"/>
  <c r="W1027" i="1" s="1"/>
  <c r="AR1011" i="1"/>
  <c r="AM1011" i="1" s="1"/>
  <c r="AQ1011" i="1"/>
  <c r="AL1011" i="1" s="1"/>
  <c r="AT1011" i="1"/>
  <c r="AO1011" i="1" s="1"/>
  <c r="AS1011" i="1"/>
  <c r="AN1011" i="1" s="1"/>
  <c r="U1011" i="1"/>
  <c r="W1011" i="1" s="1"/>
  <c r="AR995" i="1"/>
  <c r="AM995" i="1" s="1"/>
  <c r="AQ995" i="1"/>
  <c r="AL995" i="1" s="1"/>
  <c r="AS995" i="1"/>
  <c r="AN995" i="1" s="1"/>
  <c r="AT995" i="1"/>
  <c r="AO995" i="1" s="1"/>
  <c r="AR979" i="1"/>
  <c r="AM979" i="1" s="1"/>
  <c r="AS979" i="1"/>
  <c r="AN979" i="1" s="1"/>
  <c r="AQ979" i="1"/>
  <c r="AL979" i="1" s="1"/>
  <c r="AT979" i="1"/>
  <c r="AO979" i="1" s="1"/>
  <c r="AR963" i="1"/>
  <c r="AM963" i="1" s="1"/>
  <c r="AS963" i="1"/>
  <c r="AN963" i="1" s="1"/>
  <c r="AT963" i="1"/>
  <c r="AO963" i="1" s="1"/>
  <c r="AQ963" i="1"/>
  <c r="AL963" i="1" s="1"/>
  <c r="U963" i="1"/>
  <c r="W963" i="1" s="1"/>
  <c r="AR947" i="1"/>
  <c r="AM947" i="1" s="1"/>
  <c r="AQ947" i="1"/>
  <c r="AL947" i="1" s="1"/>
  <c r="AT947" i="1"/>
  <c r="AO947" i="1" s="1"/>
  <c r="AS947" i="1"/>
  <c r="AN947" i="1" s="1"/>
  <c r="AR931" i="1"/>
  <c r="AM931" i="1" s="1"/>
  <c r="AQ931" i="1"/>
  <c r="AL931" i="1" s="1"/>
  <c r="AT931" i="1"/>
  <c r="AO931" i="1" s="1"/>
  <c r="AS931" i="1"/>
  <c r="AN931" i="1" s="1"/>
  <c r="AR915" i="1"/>
  <c r="AM915" i="1" s="1"/>
  <c r="AT915" i="1"/>
  <c r="AO915" i="1" s="1"/>
  <c r="AS915" i="1"/>
  <c r="AN915" i="1" s="1"/>
  <c r="AQ915" i="1"/>
  <c r="AL915" i="1" s="1"/>
  <c r="AR899" i="1"/>
  <c r="AM899" i="1" s="1"/>
  <c r="AS899" i="1"/>
  <c r="AN899" i="1" s="1"/>
  <c r="AQ899" i="1"/>
  <c r="AL899" i="1" s="1"/>
  <c r="AT899" i="1"/>
  <c r="AO899" i="1" s="1"/>
  <c r="AR883" i="1"/>
  <c r="AM883" i="1" s="1"/>
  <c r="AT883" i="1"/>
  <c r="AO883" i="1" s="1"/>
  <c r="AS883" i="1"/>
  <c r="AN883" i="1" s="1"/>
  <c r="AQ883" i="1"/>
  <c r="AL883" i="1" s="1"/>
  <c r="AR867" i="1"/>
  <c r="AM867" i="1" s="1"/>
  <c r="AT867" i="1"/>
  <c r="AO867" i="1" s="1"/>
  <c r="AQ867" i="1"/>
  <c r="AL867" i="1" s="1"/>
  <c r="U867" i="1"/>
  <c r="W867" i="1" s="1"/>
  <c r="AS867" i="1"/>
  <c r="AN867" i="1" s="1"/>
  <c r="AR851" i="1"/>
  <c r="AM851" i="1" s="1"/>
  <c r="AT851" i="1"/>
  <c r="AO851" i="1" s="1"/>
  <c r="AQ851" i="1"/>
  <c r="AL851" i="1" s="1"/>
  <c r="AS851" i="1"/>
  <c r="AN851" i="1" s="1"/>
  <c r="AR835" i="1"/>
  <c r="AM835" i="1" s="1"/>
  <c r="AS835" i="1"/>
  <c r="AN835" i="1" s="1"/>
  <c r="AT835" i="1"/>
  <c r="AO835" i="1" s="1"/>
  <c r="AQ835" i="1"/>
  <c r="AL835" i="1" s="1"/>
  <c r="U835" i="1"/>
  <c r="W835" i="1" s="1"/>
  <c r="AQ937" i="1"/>
  <c r="AL937" i="1" s="1"/>
  <c r="AQ1080" i="1"/>
  <c r="AL1080" i="1" s="1"/>
  <c r="AR1080" i="1"/>
  <c r="AM1080" i="1" s="1"/>
  <c r="AT1080" i="1"/>
  <c r="AO1080" i="1" s="1"/>
  <c r="AS1080" i="1"/>
  <c r="AN1080" i="1" s="1"/>
  <c r="AT1064" i="1"/>
  <c r="AO1064" i="1" s="1"/>
  <c r="AR1064" i="1"/>
  <c r="AM1064" i="1" s="1"/>
  <c r="AT1048" i="1"/>
  <c r="AO1048" i="1" s="1"/>
  <c r="AR1048" i="1"/>
  <c r="AM1048" i="1" s="1"/>
  <c r="AS1048" i="1"/>
  <c r="AN1048" i="1" s="1"/>
  <c r="AQ1048" i="1"/>
  <c r="AL1048" i="1" s="1"/>
  <c r="AT1032" i="1"/>
  <c r="AO1032" i="1" s="1"/>
  <c r="AR1032" i="1"/>
  <c r="AM1032" i="1" s="1"/>
  <c r="AQ1016" i="1"/>
  <c r="AL1016" i="1" s="1"/>
  <c r="AT1016" i="1"/>
  <c r="AO1016" i="1" s="1"/>
  <c r="AR1016" i="1"/>
  <c r="AM1016" i="1" s="1"/>
  <c r="AS1016" i="1"/>
  <c r="AN1016" i="1" s="1"/>
  <c r="AQ1000" i="1"/>
  <c r="AL1000" i="1" s="1"/>
  <c r="AT1000" i="1"/>
  <c r="AO1000" i="1" s="1"/>
  <c r="AS1000" i="1"/>
  <c r="AN1000" i="1" s="1"/>
  <c r="AS984" i="1"/>
  <c r="AN984" i="1" s="1"/>
  <c r="AR984" i="1"/>
  <c r="AM984" i="1" s="1"/>
  <c r="AQ968" i="1"/>
  <c r="AL968" i="1" s="1"/>
  <c r="AR968" i="1"/>
  <c r="AM968" i="1" s="1"/>
  <c r="AS968" i="1"/>
  <c r="AN968" i="1" s="1"/>
  <c r="AS952" i="1"/>
  <c r="AN952" i="1" s="1"/>
  <c r="AT952" i="1"/>
  <c r="AO952" i="1" s="1"/>
  <c r="AR952" i="1"/>
  <c r="AM952" i="1" s="1"/>
  <c r="AT936" i="1"/>
  <c r="AO936" i="1" s="1"/>
  <c r="AS936" i="1"/>
  <c r="AN936" i="1" s="1"/>
  <c r="AQ936" i="1"/>
  <c r="AL936" i="1" s="1"/>
  <c r="AS920" i="1"/>
  <c r="AN920" i="1" s="1"/>
  <c r="AT920" i="1"/>
  <c r="AO920" i="1" s="1"/>
  <c r="AR904" i="1"/>
  <c r="AM904" i="1" s="1"/>
  <c r="AS904" i="1"/>
  <c r="AN904" i="1" s="1"/>
  <c r="AT904" i="1"/>
  <c r="AO904" i="1" s="1"/>
  <c r="AQ904" i="1"/>
  <c r="AL904" i="1" s="1"/>
  <c r="AQ888" i="1"/>
  <c r="AL888" i="1" s="1"/>
  <c r="AT888" i="1"/>
  <c r="AO888" i="1" s="1"/>
  <c r="AS872" i="1"/>
  <c r="AN872" i="1" s="1"/>
  <c r="AQ872" i="1"/>
  <c r="AL872" i="1" s="1"/>
  <c r="AR872" i="1"/>
  <c r="AM872" i="1" s="1"/>
  <c r="AT856" i="1"/>
  <c r="AO856" i="1" s="1"/>
  <c r="AS856" i="1"/>
  <c r="AN856" i="1" s="1"/>
  <c r="AR856" i="1"/>
  <c r="AM856" i="1" s="1"/>
  <c r="AQ856" i="1"/>
  <c r="AL856" i="1" s="1"/>
  <c r="AR840" i="1"/>
  <c r="AM840" i="1" s="1"/>
  <c r="AS840" i="1"/>
  <c r="AN840" i="1" s="1"/>
  <c r="AT840" i="1"/>
  <c r="AO840" i="1" s="1"/>
  <c r="AQ824" i="1"/>
  <c r="AL824" i="1" s="1"/>
  <c r="AR824" i="1"/>
  <c r="AM824" i="1" s="1"/>
  <c r="AT824" i="1"/>
  <c r="AO824" i="1" s="1"/>
  <c r="AS824" i="1"/>
  <c r="AN824" i="1" s="1"/>
  <c r="AQ711" i="1"/>
  <c r="AL711" i="1" s="1"/>
  <c r="AQ1079" i="1"/>
  <c r="AL1079" i="1" s="1"/>
  <c r="AT1079" i="1"/>
  <c r="AO1079" i="1" s="1"/>
  <c r="AR1079" i="1"/>
  <c r="AM1079" i="1" s="1"/>
  <c r="AS1079" i="1"/>
  <c r="AN1079" i="1" s="1"/>
  <c r="AQ1063" i="1"/>
  <c r="AL1063" i="1" s="1"/>
  <c r="AR1063" i="1"/>
  <c r="AM1063" i="1" s="1"/>
  <c r="AS1063" i="1"/>
  <c r="AN1063" i="1" s="1"/>
  <c r="AQ1047" i="1"/>
  <c r="AL1047" i="1" s="1"/>
  <c r="AT1047" i="1"/>
  <c r="AO1047" i="1" s="1"/>
  <c r="AR1047" i="1"/>
  <c r="AM1047" i="1" s="1"/>
  <c r="AS1047" i="1"/>
  <c r="AN1047" i="1" s="1"/>
  <c r="AQ1031" i="1"/>
  <c r="AL1031" i="1" s="1"/>
  <c r="AR1031" i="1"/>
  <c r="AM1031" i="1" s="1"/>
  <c r="AS1031" i="1"/>
  <c r="AN1031" i="1" s="1"/>
  <c r="AQ1015" i="1"/>
  <c r="AL1015" i="1" s="1"/>
  <c r="AR1015" i="1"/>
  <c r="AM1015" i="1" s="1"/>
  <c r="AS1015" i="1"/>
  <c r="AN1015" i="1" s="1"/>
  <c r="AQ999" i="1"/>
  <c r="AL999" i="1" s="1"/>
  <c r="AS999" i="1"/>
  <c r="AN999" i="1" s="1"/>
  <c r="AT999" i="1"/>
  <c r="AO999" i="1" s="1"/>
  <c r="AQ983" i="1"/>
  <c r="AL983" i="1" s="1"/>
  <c r="AT983" i="1"/>
  <c r="AO983" i="1" s="1"/>
  <c r="AR983" i="1"/>
  <c r="AM983" i="1" s="1"/>
  <c r="AS983" i="1"/>
  <c r="AN983" i="1" s="1"/>
  <c r="AQ967" i="1"/>
  <c r="AL967" i="1" s="1"/>
  <c r="AS967" i="1"/>
  <c r="AN967" i="1" s="1"/>
  <c r="AT967" i="1"/>
  <c r="AO967" i="1" s="1"/>
  <c r="AQ951" i="1"/>
  <c r="AL951" i="1" s="1"/>
  <c r="AT951" i="1"/>
  <c r="AO951" i="1" s="1"/>
  <c r="AR951" i="1"/>
  <c r="AM951" i="1" s="1"/>
  <c r="AQ935" i="1"/>
  <c r="AL935" i="1" s="1"/>
  <c r="AT935" i="1"/>
  <c r="AO935" i="1" s="1"/>
  <c r="AS935" i="1"/>
  <c r="AN935" i="1" s="1"/>
  <c r="AR935" i="1"/>
  <c r="AM935" i="1" s="1"/>
  <c r="AQ919" i="1"/>
  <c r="AL919" i="1" s="1"/>
  <c r="AT919" i="1"/>
  <c r="AO919" i="1" s="1"/>
  <c r="AR919" i="1"/>
  <c r="AM919" i="1" s="1"/>
  <c r="AQ903" i="1"/>
  <c r="AL903" i="1" s="1"/>
  <c r="AS903" i="1"/>
  <c r="AN903" i="1" s="1"/>
  <c r="AR903" i="1"/>
  <c r="AM903" i="1" s="1"/>
  <c r="AT903" i="1"/>
  <c r="AO903" i="1" s="1"/>
  <c r="AQ887" i="1"/>
  <c r="AL887" i="1" s="1"/>
  <c r="AR887" i="1"/>
  <c r="AM887" i="1" s="1"/>
  <c r="AS887" i="1"/>
  <c r="AN887" i="1" s="1"/>
  <c r="AT887" i="1"/>
  <c r="AO887" i="1" s="1"/>
  <c r="AQ871" i="1"/>
  <c r="AL871" i="1" s="1"/>
  <c r="AS871" i="1"/>
  <c r="AN871" i="1" s="1"/>
  <c r="AR871" i="1"/>
  <c r="AM871" i="1" s="1"/>
  <c r="AQ855" i="1"/>
  <c r="AL855" i="1" s="1"/>
  <c r="AS855" i="1"/>
  <c r="AN855" i="1" s="1"/>
  <c r="AT855" i="1"/>
  <c r="AO855" i="1" s="1"/>
  <c r="AR855" i="1"/>
  <c r="AM855" i="1" s="1"/>
  <c r="AQ839" i="1"/>
  <c r="AL839" i="1" s="1"/>
  <c r="AS839" i="1"/>
  <c r="AN839" i="1" s="1"/>
  <c r="AQ823" i="1"/>
  <c r="AL823" i="1" s="1"/>
  <c r="AT823" i="1"/>
  <c r="AO823" i="1" s="1"/>
  <c r="AR823" i="1"/>
  <c r="AM823" i="1" s="1"/>
  <c r="U992" i="1"/>
  <c r="W992" i="1" s="1"/>
  <c r="U924" i="1"/>
  <c r="W924" i="1" s="1"/>
  <c r="AR920" i="1"/>
  <c r="AM920" i="1" s="1"/>
  <c r="AS891" i="1"/>
  <c r="AN891" i="1" s="1"/>
  <c r="AT1078" i="1"/>
  <c r="AO1078" i="1" s="1"/>
  <c r="AQ1062" i="1"/>
  <c r="AL1062" i="1" s="1"/>
  <c r="AR1062" i="1"/>
  <c r="AM1062" i="1" s="1"/>
  <c r="AS1062" i="1"/>
  <c r="AN1062" i="1" s="1"/>
  <c r="AR1046" i="1"/>
  <c r="AM1046" i="1" s="1"/>
  <c r="AQ1046" i="1"/>
  <c r="AL1046" i="1" s="1"/>
  <c r="AS1046" i="1"/>
  <c r="AN1046" i="1" s="1"/>
  <c r="AT1046" i="1"/>
  <c r="AO1046" i="1" s="1"/>
  <c r="AT1014" i="1"/>
  <c r="AO1014" i="1" s="1"/>
  <c r="AR1014" i="1"/>
  <c r="AM1014" i="1" s="1"/>
  <c r="AS1014" i="1"/>
  <c r="AN1014" i="1" s="1"/>
  <c r="AQ1014" i="1"/>
  <c r="AL1014" i="1" s="1"/>
  <c r="AQ998" i="1"/>
  <c r="AL998" i="1" s="1"/>
  <c r="AT998" i="1"/>
  <c r="AO998" i="1" s="1"/>
  <c r="AR998" i="1"/>
  <c r="AM998" i="1" s="1"/>
  <c r="AQ982" i="1"/>
  <c r="AL982" i="1" s="1"/>
  <c r="AR982" i="1"/>
  <c r="AM982" i="1" s="1"/>
  <c r="AS982" i="1"/>
  <c r="AN982" i="1" s="1"/>
  <c r="AR966" i="1"/>
  <c r="AM966" i="1" s="1"/>
  <c r="AT966" i="1"/>
  <c r="AO966" i="1" s="1"/>
  <c r="AS950" i="1"/>
  <c r="AN950" i="1" s="1"/>
  <c r="AQ950" i="1"/>
  <c r="AL950" i="1" s="1"/>
  <c r="AR934" i="1"/>
  <c r="AM934" i="1" s="1"/>
  <c r="AS934" i="1"/>
  <c r="AN934" i="1" s="1"/>
  <c r="AQ934" i="1"/>
  <c r="AL934" i="1" s="1"/>
  <c r="AT918" i="1"/>
  <c r="AO918" i="1" s="1"/>
  <c r="AS918" i="1"/>
  <c r="AN918" i="1" s="1"/>
  <c r="AT902" i="1"/>
  <c r="AO902" i="1" s="1"/>
  <c r="AS902" i="1"/>
  <c r="AN902" i="1" s="1"/>
  <c r="AQ902" i="1"/>
  <c r="AL902" i="1" s="1"/>
  <c r="AR902" i="1"/>
  <c r="AM902" i="1" s="1"/>
  <c r="AS886" i="1"/>
  <c r="AN886" i="1" s="1"/>
  <c r="AT886" i="1"/>
  <c r="AO886" i="1" s="1"/>
  <c r="AQ886" i="1"/>
  <c r="AL886" i="1" s="1"/>
  <c r="AR870" i="1"/>
  <c r="AM870" i="1" s="1"/>
  <c r="AS870" i="1"/>
  <c r="AN870" i="1" s="1"/>
  <c r="AQ870" i="1"/>
  <c r="AL870" i="1" s="1"/>
  <c r="AT854" i="1"/>
  <c r="AO854" i="1" s="1"/>
  <c r="AS854" i="1"/>
  <c r="AN854" i="1" s="1"/>
  <c r="AS838" i="1"/>
  <c r="AN838" i="1" s="1"/>
  <c r="AQ838" i="1"/>
  <c r="AL838" i="1" s="1"/>
  <c r="AT838" i="1"/>
  <c r="AO838" i="1" s="1"/>
  <c r="AR838" i="1"/>
  <c r="AM838" i="1" s="1"/>
  <c r="U1090" i="1"/>
  <c r="W1090" i="1" s="1"/>
  <c r="U872" i="1"/>
  <c r="W872" i="1" s="1"/>
  <c r="AQ1054" i="1"/>
  <c r="AL1054" i="1" s="1"/>
  <c r="AQ986" i="1"/>
  <c r="AL986" i="1" s="1"/>
  <c r="AR1058" i="1"/>
  <c r="AM1058" i="1" s="1"/>
  <c r="AR986" i="1"/>
  <c r="AM986" i="1" s="1"/>
  <c r="AR918" i="1"/>
  <c r="AM918" i="1" s="1"/>
  <c r="AR844" i="1"/>
  <c r="AM844" i="1" s="1"/>
  <c r="AS1032" i="1"/>
  <c r="AN1032" i="1" s="1"/>
  <c r="AS888" i="1"/>
  <c r="AN888" i="1" s="1"/>
  <c r="AS1077" i="1"/>
  <c r="AN1077" i="1" s="1"/>
  <c r="AT1077" i="1"/>
  <c r="AO1077" i="1" s="1"/>
  <c r="AQ1077" i="1"/>
  <c r="AL1077" i="1" s="1"/>
  <c r="AT1061" i="1"/>
  <c r="AO1061" i="1" s="1"/>
  <c r="AQ1061" i="1"/>
  <c r="AL1061" i="1" s="1"/>
  <c r="AS1061" i="1"/>
  <c r="AN1061" i="1" s="1"/>
  <c r="AR1061" i="1"/>
  <c r="AM1061" i="1" s="1"/>
  <c r="AQ1045" i="1"/>
  <c r="AL1045" i="1" s="1"/>
  <c r="AR1045" i="1"/>
  <c r="AM1045" i="1" s="1"/>
  <c r="AT1045" i="1"/>
  <c r="AO1045" i="1" s="1"/>
  <c r="AT1029" i="1"/>
  <c r="AO1029" i="1" s="1"/>
  <c r="AR1029" i="1"/>
  <c r="AM1029" i="1" s="1"/>
  <c r="AS1029" i="1"/>
  <c r="AN1029" i="1" s="1"/>
  <c r="AQ1029" i="1"/>
  <c r="AL1029" i="1" s="1"/>
  <c r="AS1013" i="1"/>
  <c r="AN1013" i="1" s="1"/>
  <c r="AR1013" i="1"/>
  <c r="AM1013" i="1" s="1"/>
  <c r="AT1013" i="1"/>
  <c r="AO1013" i="1" s="1"/>
  <c r="AR997" i="1"/>
  <c r="AM997" i="1" s="1"/>
  <c r="AS997" i="1"/>
  <c r="AN997" i="1" s="1"/>
  <c r="AT997" i="1"/>
  <c r="AO997" i="1" s="1"/>
  <c r="AQ997" i="1"/>
  <c r="AL997" i="1" s="1"/>
  <c r="AQ981" i="1"/>
  <c r="AL981" i="1" s="1"/>
  <c r="AS981" i="1"/>
  <c r="AN981" i="1" s="1"/>
  <c r="AQ965" i="1"/>
  <c r="AL965" i="1" s="1"/>
  <c r="AT965" i="1"/>
  <c r="AO965" i="1" s="1"/>
  <c r="AR965" i="1"/>
  <c r="AM965" i="1" s="1"/>
  <c r="AT933" i="1"/>
  <c r="AO933" i="1" s="1"/>
  <c r="AS933" i="1"/>
  <c r="AN933" i="1" s="1"/>
  <c r="AQ933" i="1"/>
  <c r="AL933" i="1" s="1"/>
  <c r="AR933" i="1"/>
  <c r="AM933" i="1" s="1"/>
  <c r="AR917" i="1"/>
  <c r="AM917" i="1" s="1"/>
  <c r="AT917" i="1"/>
  <c r="AO917" i="1" s="1"/>
  <c r="AS917" i="1"/>
  <c r="AN917" i="1" s="1"/>
  <c r="AQ917" i="1"/>
  <c r="AL917" i="1" s="1"/>
  <c r="AT901" i="1"/>
  <c r="AO901" i="1" s="1"/>
  <c r="AS901" i="1"/>
  <c r="AN901" i="1" s="1"/>
  <c r="AR901" i="1"/>
  <c r="AM901" i="1" s="1"/>
  <c r="AT885" i="1"/>
  <c r="AO885" i="1" s="1"/>
  <c r="AR885" i="1"/>
  <c r="AM885" i="1" s="1"/>
  <c r="AS885" i="1"/>
  <c r="AN885" i="1" s="1"/>
  <c r="AQ885" i="1"/>
  <c r="AL885" i="1" s="1"/>
  <c r="AS869" i="1"/>
  <c r="AN869" i="1" s="1"/>
  <c r="AT869" i="1"/>
  <c r="AO869" i="1" s="1"/>
  <c r="AR869" i="1"/>
  <c r="AM869" i="1" s="1"/>
  <c r="AR853" i="1"/>
  <c r="AM853" i="1" s="1"/>
  <c r="AS853" i="1"/>
  <c r="AN853" i="1" s="1"/>
  <c r="AQ853" i="1"/>
  <c r="AL853" i="1" s="1"/>
  <c r="AT837" i="1"/>
  <c r="AO837" i="1" s="1"/>
  <c r="AS837" i="1"/>
  <c r="AN837" i="1" s="1"/>
  <c r="AQ837" i="1"/>
  <c r="AL837" i="1" s="1"/>
  <c r="AR837" i="1"/>
  <c r="AM837" i="1" s="1"/>
  <c r="U1089" i="1"/>
  <c r="W1089" i="1" s="1"/>
  <c r="U957" i="1"/>
  <c r="W957" i="1" s="1"/>
  <c r="U904" i="1"/>
  <c r="W904" i="1" s="1"/>
  <c r="AQ984" i="1"/>
  <c r="AL984" i="1" s="1"/>
  <c r="AQ920" i="1"/>
  <c r="AL920" i="1" s="1"/>
  <c r="AQ854" i="1"/>
  <c r="AL854" i="1" s="1"/>
  <c r="AR981" i="1"/>
  <c r="AM981" i="1" s="1"/>
  <c r="AR839" i="1"/>
  <c r="AM839" i="1" s="1"/>
  <c r="AS1030" i="1"/>
  <c r="AN1030" i="1" s="1"/>
  <c r="AS956" i="1"/>
  <c r="AN956" i="1" s="1"/>
  <c r="AS876" i="1"/>
  <c r="AN876" i="1" s="1"/>
  <c r="AT1063" i="1"/>
  <c r="AO1063" i="1" s="1"/>
  <c r="AT984" i="1"/>
  <c r="AO984" i="1" s="1"/>
  <c r="AT906" i="1"/>
  <c r="AO906" i="1" s="1"/>
  <c r="AR1076" i="1"/>
  <c r="AM1076" i="1" s="1"/>
  <c r="AQ1076" i="1"/>
  <c r="AL1076" i="1" s="1"/>
  <c r="AS1060" i="1"/>
  <c r="AN1060" i="1" s="1"/>
  <c r="AT1060" i="1"/>
  <c r="AO1060" i="1" s="1"/>
  <c r="AT1044" i="1"/>
  <c r="AO1044" i="1" s="1"/>
  <c r="AQ1044" i="1"/>
  <c r="AL1044" i="1" s="1"/>
  <c r="AR1044" i="1"/>
  <c r="AM1044" i="1" s="1"/>
  <c r="AQ1028" i="1"/>
  <c r="AL1028" i="1" s="1"/>
  <c r="AR1028" i="1"/>
  <c r="AM1028" i="1" s="1"/>
  <c r="AS1028" i="1"/>
  <c r="AN1028" i="1" s="1"/>
  <c r="AT1012" i="1"/>
  <c r="AO1012" i="1" s="1"/>
  <c r="AR1012" i="1"/>
  <c r="AM1012" i="1" s="1"/>
  <c r="AQ1012" i="1"/>
  <c r="AL1012" i="1" s="1"/>
  <c r="AT996" i="1"/>
  <c r="AO996" i="1" s="1"/>
  <c r="AR996" i="1"/>
  <c r="AM996" i="1" s="1"/>
  <c r="AR980" i="1"/>
  <c r="AM980" i="1" s="1"/>
  <c r="AS980" i="1"/>
  <c r="AN980" i="1" s="1"/>
  <c r="AQ980" i="1"/>
  <c r="AL980" i="1" s="1"/>
  <c r="AT980" i="1"/>
  <c r="AO980" i="1" s="1"/>
  <c r="AQ964" i="1"/>
  <c r="AL964" i="1" s="1"/>
  <c r="AT964" i="1"/>
  <c r="AO964" i="1" s="1"/>
  <c r="AS964" i="1"/>
  <c r="AN964" i="1" s="1"/>
  <c r="AR964" i="1"/>
  <c r="AM964" i="1" s="1"/>
  <c r="AQ948" i="1"/>
  <c r="AL948" i="1" s="1"/>
  <c r="AT948" i="1"/>
  <c r="AO948" i="1" s="1"/>
  <c r="AS948" i="1"/>
  <c r="AN948" i="1" s="1"/>
  <c r="AQ932" i="1"/>
  <c r="AL932" i="1" s="1"/>
  <c r="AR932" i="1"/>
  <c r="AM932" i="1" s="1"/>
  <c r="AS916" i="1"/>
  <c r="AN916" i="1" s="1"/>
  <c r="AQ916" i="1"/>
  <c r="AL916" i="1" s="1"/>
  <c r="AT916" i="1"/>
  <c r="AO916" i="1" s="1"/>
  <c r="AR916" i="1"/>
  <c r="AM916" i="1" s="1"/>
  <c r="AR900" i="1"/>
  <c r="AM900" i="1" s="1"/>
  <c r="AS900" i="1"/>
  <c r="AN900" i="1" s="1"/>
  <c r="AT900" i="1"/>
  <c r="AO900" i="1" s="1"/>
  <c r="AT884" i="1"/>
  <c r="AO884" i="1" s="1"/>
  <c r="AR884" i="1"/>
  <c r="AM884" i="1" s="1"/>
  <c r="AQ884" i="1"/>
  <c r="AL884" i="1" s="1"/>
  <c r="AS884" i="1"/>
  <c r="AN884" i="1" s="1"/>
  <c r="AT868" i="1"/>
  <c r="AO868" i="1" s="1"/>
  <c r="AQ868" i="1"/>
  <c r="AL868" i="1" s="1"/>
  <c r="AS868" i="1"/>
  <c r="AN868" i="1" s="1"/>
  <c r="AR868" i="1"/>
  <c r="AM868" i="1" s="1"/>
  <c r="AR836" i="1"/>
  <c r="AM836" i="1" s="1"/>
  <c r="AS836" i="1"/>
  <c r="AN836" i="1" s="1"/>
  <c r="AQ836" i="1"/>
  <c r="AL836" i="1" s="1"/>
  <c r="U920" i="1"/>
  <c r="W920" i="1" s="1"/>
  <c r="U903" i="1"/>
  <c r="W903" i="1" s="1"/>
  <c r="U887" i="1"/>
  <c r="W887" i="1" s="1"/>
  <c r="AQ978" i="1"/>
  <c r="AL978" i="1" s="1"/>
  <c r="AQ918" i="1"/>
  <c r="AL918" i="1" s="1"/>
  <c r="AQ852" i="1"/>
  <c r="AL852" i="1" s="1"/>
  <c r="AS951" i="1"/>
  <c r="AN951" i="1" s="1"/>
  <c r="AT1062" i="1"/>
  <c r="AO1062" i="1" s="1"/>
  <c r="AT982" i="1"/>
  <c r="AO982" i="1" s="1"/>
  <c r="AR975" i="1"/>
  <c r="AM975" i="1" s="1"/>
  <c r="AS1020" i="1"/>
  <c r="AN1020" i="1" s="1"/>
  <c r="AT981" i="1"/>
  <c r="AO981" i="1" s="1"/>
  <c r="S736" i="1"/>
  <c r="AQ736" i="1" s="1"/>
  <c r="AL736" i="1" s="1"/>
  <c r="S741" i="1"/>
  <c r="AT741" i="1" s="1"/>
  <c r="AO741" i="1" s="1"/>
  <c r="S746" i="1"/>
  <c r="AT746" i="1" s="1"/>
  <c r="AO746" i="1" s="1"/>
  <c r="S760" i="1"/>
  <c r="AT760" i="1" s="1"/>
  <c r="AO760" i="1" s="1"/>
  <c r="S764" i="1"/>
  <c r="AT764" i="1" s="1"/>
  <c r="AO764" i="1" s="1"/>
  <c r="S770" i="1"/>
  <c r="AR770" i="1" s="1"/>
  <c r="AM770" i="1" s="1"/>
  <c r="S787" i="1"/>
  <c r="AS787" i="1" s="1"/>
  <c r="AN787" i="1" s="1"/>
  <c r="S791" i="1"/>
  <c r="AT791" i="1" s="1"/>
  <c r="AO791" i="1" s="1"/>
  <c r="S802" i="1"/>
  <c r="AR802" i="1" s="1"/>
  <c r="AM802" i="1" s="1"/>
  <c r="S806" i="1"/>
  <c r="AT806" i="1" s="1"/>
  <c r="AO806" i="1" s="1"/>
  <c r="S817" i="1"/>
  <c r="AR817" i="1" s="1"/>
  <c r="AM817" i="1" s="1"/>
  <c r="AR1074" i="1"/>
  <c r="AM1074" i="1" s="1"/>
  <c r="AS1074" i="1"/>
  <c r="AN1074" i="1" s="1"/>
  <c r="AQ1074" i="1"/>
  <c r="AL1074" i="1" s="1"/>
  <c r="AT1074" i="1"/>
  <c r="AO1074" i="1" s="1"/>
  <c r="AS1058" i="1"/>
  <c r="AN1058" i="1" s="1"/>
  <c r="AQ1058" i="1"/>
  <c r="AL1058" i="1" s="1"/>
  <c r="AT1042" i="1"/>
  <c r="AO1042" i="1" s="1"/>
  <c r="AR1042" i="1"/>
  <c r="AM1042" i="1" s="1"/>
  <c r="AS1042" i="1"/>
  <c r="AN1042" i="1" s="1"/>
  <c r="AS1026" i="1"/>
  <c r="AN1026" i="1" s="1"/>
  <c r="AT1026" i="1"/>
  <c r="AO1026" i="1" s="1"/>
  <c r="AQ1026" i="1"/>
  <c r="AL1026" i="1" s="1"/>
  <c r="AR1010" i="1"/>
  <c r="AM1010" i="1" s="1"/>
  <c r="AT1010" i="1"/>
  <c r="AO1010" i="1" s="1"/>
  <c r="AQ994" i="1"/>
  <c r="AL994" i="1" s="1"/>
  <c r="AT994" i="1"/>
  <c r="AO994" i="1" s="1"/>
  <c r="AR994" i="1"/>
  <c r="AM994" i="1" s="1"/>
  <c r="AS994" i="1"/>
  <c r="AN994" i="1" s="1"/>
  <c r="AT978" i="1"/>
  <c r="AO978" i="1" s="1"/>
  <c r="AS978" i="1"/>
  <c r="AN978" i="1" s="1"/>
  <c r="AR962" i="1"/>
  <c r="AM962" i="1" s="1"/>
  <c r="AQ962" i="1"/>
  <c r="AL962" i="1" s="1"/>
  <c r="AS962" i="1"/>
  <c r="AN962" i="1" s="1"/>
  <c r="AT962" i="1"/>
  <c r="AO962" i="1" s="1"/>
  <c r="AS946" i="1"/>
  <c r="AN946" i="1" s="1"/>
  <c r="AR946" i="1"/>
  <c r="AM946" i="1" s="1"/>
  <c r="AQ930" i="1"/>
  <c r="AL930" i="1" s="1"/>
  <c r="AS930" i="1"/>
  <c r="AN930" i="1" s="1"/>
  <c r="AR930" i="1"/>
  <c r="AM930" i="1" s="1"/>
  <c r="AT930" i="1"/>
  <c r="AO930" i="1" s="1"/>
  <c r="AQ914" i="1"/>
  <c r="AL914" i="1" s="1"/>
  <c r="AS914" i="1"/>
  <c r="AN914" i="1" s="1"/>
  <c r="AT914" i="1"/>
  <c r="AO914" i="1" s="1"/>
  <c r="AQ898" i="1"/>
  <c r="AL898" i="1" s="1"/>
  <c r="AR898" i="1"/>
  <c r="AM898" i="1" s="1"/>
  <c r="AS882" i="1"/>
  <c r="AN882" i="1" s="1"/>
  <c r="AQ882" i="1"/>
  <c r="AL882" i="1" s="1"/>
  <c r="AR882" i="1"/>
  <c r="AM882" i="1" s="1"/>
  <c r="AT882" i="1"/>
  <c r="AO882" i="1" s="1"/>
  <c r="AT866" i="1"/>
  <c r="AO866" i="1" s="1"/>
  <c r="AR866" i="1"/>
  <c r="AM866" i="1" s="1"/>
  <c r="AT850" i="1"/>
  <c r="AO850" i="1" s="1"/>
  <c r="AQ850" i="1"/>
  <c r="AL850" i="1" s="1"/>
  <c r="AS850" i="1"/>
  <c r="AN850" i="1" s="1"/>
  <c r="AR834" i="1"/>
  <c r="AM834" i="1" s="1"/>
  <c r="AT834" i="1"/>
  <c r="AO834" i="1" s="1"/>
  <c r="AS834" i="1"/>
  <c r="AN834" i="1" s="1"/>
  <c r="AQ840" i="1"/>
  <c r="AL840" i="1" s="1"/>
  <c r="AS1090" i="1"/>
  <c r="AN1090" i="1" s="1"/>
  <c r="AS866" i="1"/>
  <c r="AN866" i="1" s="1"/>
  <c r="AT881" i="1"/>
  <c r="AO881" i="1" s="1"/>
  <c r="S726" i="1"/>
  <c r="AT726" i="1" s="1"/>
  <c r="AO726" i="1" s="1"/>
  <c r="S737" i="1"/>
  <c r="AR737" i="1" s="1"/>
  <c r="AM737" i="1" s="1"/>
  <c r="S742" i="1"/>
  <c r="AT742" i="1" s="1"/>
  <c r="AO742" i="1" s="1"/>
  <c r="S765" i="1"/>
  <c r="AT765" i="1" s="1"/>
  <c r="AO765" i="1" s="1"/>
  <c r="S771" i="1"/>
  <c r="AS771" i="1" s="1"/>
  <c r="AN771" i="1" s="1"/>
  <c r="S783" i="1"/>
  <c r="AQ783" i="1" s="1"/>
  <c r="AL783" i="1" s="1"/>
  <c r="S792" i="1"/>
  <c r="AT792" i="1" s="1"/>
  <c r="AO792" i="1" s="1"/>
  <c r="AR1073" i="1"/>
  <c r="AM1073" i="1" s="1"/>
  <c r="AQ1073" i="1"/>
  <c r="AL1073" i="1" s="1"/>
  <c r="AT1073" i="1"/>
  <c r="AO1073" i="1" s="1"/>
  <c r="AR1057" i="1"/>
  <c r="AM1057" i="1" s="1"/>
  <c r="AS1057" i="1"/>
  <c r="AN1057" i="1" s="1"/>
  <c r="AT1057" i="1"/>
  <c r="AO1057" i="1" s="1"/>
  <c r="AQ1057" i="1"/>
  <c r="AL1057" i="1" s="1"/>
  <c r="AS1041" i="1"/>
  <c r="AN1041" i="1" s="1"/>
  <c r="AQ1041" i="1"/>
  <c r="AL1041" i="1" s="1"/>
  <c r="AT1025" i="1"/>
  <c r="AO1025" i="1" s="1"/>
  <c r="AS1025" i="1"/>
  <c r="AN1025" i="1" s="1"/>
  <c r="AR1025" i="1"/>
  <c r="AM1025" i="1" s="1"/>
  <c r="AS1009" i="1"/>
  <c r="AN1009" i="1" s="1"/>
  <c r="AQ1009" i="1"/>
  <c r="AL1009" i="1" s="1"/>
  <c r="AT1009" i="1"/>
  <c r="AO1009" i="1" s="1"/>
  <c r="AT993" i="1"/>
  <c r="AO993" i="1" s="1"/>
  <c r="AR993" i="1"/>
  <c r="AM993" i="1" s="1"/>
  <c r="AQ977" i="1"/>
  <c r="AL977" i="1" s="1"/>
  <c r="AR977" i="1"/>
  <c r="AM977" i="1" s="1"/>
  <c r="AT977" i="1"/>
  <c r="AO977" i="1" s="1"/>
  <c r="AS961" i="1"/>
  <c r="AN961" i="1" s="1"/>
  <c r="AT961" i="1"/>
  <c r="AO961" i="1" s="1"/>
  <c r="AR961" i="1"/>
  <c r="AM961" i="1" s="1"/>
  <c r="AQ961" i="1"/>
  <c r="AL961" i="1" s="1"/>
  <c r="AR945" i="1"/>
  <c r="AM945" i="1" s="1"/>
  <c r="AT945" i="1"/>
  <c r="AO945" i="1" s="1"/>
  <c r="AQ945" i="1"/>
  <c r="AL945" i="1" s="1"/>
  <c r="AT929" i="1"/>
  <c r="AO929" i="1" s="1"/>
  <c r="AS929" i="1"/>
  <c r="AN929" i="1" s="1"/>
  <c r="AR929" i="1"/>
  <c r="AM929" i="1" s="1"/>
  <c r="AQ929" i="1"/>
  <c r="AL929" i="1" s="1"/>
  <c r="AQ913" i="1"/>
  <c r="AL913" i="1" s="1"/>
  <c r="AR913" i="1"/>
  <c r="AM913" i="1" s="1"/>
  <c r="AT897" i="1"/>
  <c r="AO897" i="1" s="1"/>
  <c r="AQ897" i="1"/>
  <c r="AL897" i="1" s="1"/>
  <c r="AS865" i="1"/>
  <c r="AN865" i="1" s="1"/>
  <c r="AT865" i="1"/>
  <c r="AO865" i="1" s="1"/>
  <c r="AQ865" i="1"/>
  <c r="AL865" i="1" s="1"/>
  <c r="AR865" i="1"/>
  <c r="AM865" i="1" s="1"/>
  <c r="AT849" i="1"/>
  <c r="AO849" i="1" s="1"/>
  <c r="AQ849" i="1"/>
  <c r="AL849" i="1" s="1"/>
  <c r="AS849" i="1"/>
  <c r="AN849" i="1" s="1"/>
  <c r="AR849" i="1"/>
  <c r="AM849" i="1" s="1"/>
  <c r="AR833" i="1"/>
  <c r="AM833" i="1" s="1"/>
  <c r="AT833" i="1"/>
  <c r="AO833" i="1" s="1"/>
  <c r="U910" i="1"/>
  <c r="W910" i="1" s="1"/>
  <c r="AQ1032" i="1"/>
  <c r="AL1032" i="1" s="1"/>
  <c r="AQ901" i="1"/>
  <c r="AL901" i="1" s="1"/>
  <c r="AQ834" i="1"/>
  <c r="AL834" i="1" s="1"/>
  <c r="AR967" i="1"/>
  <c r="AM967" i="1" s="1"/>
  <c r="AS1089" i="1"/>
  <c r="AN1089" i="1" s="1"/>
  <c r="AS1012" i="1"/>
  <c r="AN1012" i="1" s="1"/>
  <c r="AS932" i="1"/>
  <c r="AN932" i="1" s="1"/>
  <c r="AT1054" i="1"/>
  <c r="AO1054" i="1" s="1"/>
  <c r="AT968" i="1"/>
  <c r="AO968" i="1" s="1"/>
  <c r="S757" i="1"/>
  <c r="AT757" i="1" s="1"/>
  <c r="AO757" i="1" s="1"/>
  <c r="S818" i="1"/>
  <c r="AR818" i="1" s="1"/>
  <c r="AM818" i="1" s="1"/>
  <c r="AT1088" i="1"/>
  <c r="AO1088" i="1" s="1"/>
  <c r="AQ1088" i="1"/>
  <c r="AL1088" i="1" s="1"/>
  <c r="AS1088" i="1"/>
  <c r="AN1088" i="1" s="1"/>
  <c r="AT1072" i="1"/>
  <c r="AO1072" i="1" s="1"/>
  <c r="AS1072" i="1"/>
  <c r="AN1072" i="1" s="1"/>
  <c r="AR1056" i="1"/>
  <c r="AM1056" i="1" s="1"/>
  <c r="AQ1056" i="1"/>
  <c r="AL1056" i="1" s="1"/>
  <c r="AR1040" i="1"/>
  <c r="AM1040" i="1" s="1"/>
  <c r="AS1040" i="1"/>
  <c r="AN1040" i="1" s="1"/>
  <c r="AS1024" i="1"/>
  <c r="AN1024" i="1" s="1"/>
  <c r="AQ1024" i="1"/>
  <c r="AL1024" i="1" s="1"/>
  <c r="AT1024" i="1"/>
  <c r="AO1024" i="1" s="1"/>
  <c r="AR1024" i="1"/>
  <c r="AM1024" i="1" s="1"/>
  <c r="AQ1008" i="1"/>
  <c r="AL1008" i="1" s="1"/>
  <c r="AS1008" i="1"/>
  <c r="AN1008" i="1" s="1"/>
  <c r="AS992" i="1"/>
  <c r="AN992" i="1" s="1"/>
  <c r="AR992" i="1"/>
  <c r="AM992" i="1" s="1"/>
  <c r="AQ992" i="1"/>
  <c r="AL992" i="1" s="1"/>
  <c r="AR976" i="1"/>
  <c r="AM976" i="1" s="1"/>
  <c r="AT976" i="1"/>
  <c r="AO976" i="1" s="1"/>
  <c r="AQ960" i="1"/>
  <c r="AL960" i="1" s="1"/>
  <c r="AR960" i="1"/>
  <c r="AM960" i="1" s="1"/>
  <c r="AT960" i="1"/>
  <c r="AO960" i="1" s="1"/>
  <c r="AS960" i="1"/>
  <c r="AN960" i="1" s="1"/>
  <c r="AR944" i="1"/>
  <c r="AM944" i="1" s="1"/>
  <c r="AT944" i="1"/>
  <c r="AO944" i="1" s="1"/>
  <c r="AQ944" i="1"/>
  <c r="AL944" i="1" s="1"/>
  <c r="AR928" i="1"/>
  <c r="AM928" i="1" s="1"/>
  <c r="AS928" i="1"/>
  <c r="AN928" i="1" s="1"/>
  <c r="AT928" i="1"/>
  <c r="AO928" i="1" s="1"/>
  <c r="AS912" i="1"/>
  <c r="AN912" i="1" s="1"/>
  <c r="AQ912" i="1"/>
  <c r="AL912" i="1" s="1"/>
  <c r="AT912" i="1"/>
  <c r="AO912" i="1" s="1"/>
  <c r="AR912" i="1"/>
  <c r="AM912" i="1" s="1"/>
  <c r="AQ896" i="1"/>
  <c r="AL896" i="1" s="1"/>
  <c r="AS896" i="1"/>
  <c r="AN896" i="1" s="1"/>
  <c r="AT896" i="1"/>
  <c r="AO896" i="1" s="1"/>
  <c r="AQ880" i="1"/>
  <c r="AL880" i="1" s="1"/>
  <c r="AS880" i="1"/>
  <c r="AN880" i="1" s="1"/>
  <c r="AR880" i="1"/>
  <c r="AM880" i="1" s="1"/>
  <c r="AQ864" i="1"/>
  <c r="AL864" i="1" s="1"/>
  <c r="AS864" i="1"/>
  <c r="AN864" i="1" s="1"/>
  <c r="AR864" i="1"/>
  <c r="AM864" i="1" s="1"/>
  <c r="AT864" i="1"/>
  <c r="AO864" i="1" s="1"/>
  <c r="AS848" i="1"/>
  <c r="AN848" i="1" s="1"/>
  <c r="AT848" i="1"/>
  <c r="AO848" i="1" s="1"/>
  <c r="AQ848" i="1"/>
  <c r="AL848" i="1" s="1"/>
  <c r="AR848" i="1"/>
  <c r="AM848" i="1" s="1"/>
  <c r="AS832" i="1"/>
  <c r="AN832" i="1" s="1"/>
  <c r="AT832" i="1"/>
  <c r="AO832" i="1" s="1"/>
  <c r="AR832" i="1"/>
  <c r="AM832" i="1" s="1"/>
  <c r="U866" i="1"/>
  <c r="W866" i="1" s="1"/>
  <c r="U850" i="1"/>
  <c r="W850" i="1" s="1"/>
  <c r="U834" i="1"/>
  <c r="W834" i="1" s="1"/>
  <c r="AQ1030" i="1"/>
  <c r="AL1030" i="1" s="1"/>
  <c r="AQ966" i="1"/>
  <c r="AL966" i="1" s="1"/>
  <c r="AQ900" i="1"/>
  <c r="AL900" i="1" s="1"/>
  <c r="AQ833" i="1"/>
  <c r="AL833" i="1" s="1"/>
  <c r="AR1030" i="1"/>
  <c r="AM1030" i="1" s="1"/>
  <c r="AR888" i="1"/>
  <c r="AM888" i="1" s="1"/>
  <c r="AS1010" i="1"/>
  <c r="AN1010" i="1" s="1"/>
  <c r="AT1041" i="1"/>
  <c r="AO1041" i="1" s="1"/>
  <c r="AT872" i="1"/>
  <c r="AO872" i="1" s="1"/>
  <c r="S803" i="1"/>
  <c r="AS803" i="1" s="1"/>
  <c r="AN803" i="1" s="1"/>
  <c r="AS1087" i="1"/>
  <c r="AN1087" i="1" s="1"/>
  <c r="AQ1087" i="1"/>
  <c r="AL1087" i="1" s="1"/>
  <c r="AR1087" i="1"/>
  <c r="AM1087" i="1" s="1"/>
  <c r="AT1087" i="1"/>
  <c r="AO1087" i="1" s="1"/>
  <c r="AS1071" i="1"/>
  <c r="AN1071" i="1" s="1"/>
  <c r="AT1071" i="1"/>
  <c r="AO1071" i="1" s="1"/>
  <c r="AQ1071" i="1"/>
  <c r="AL1071" i="1" s="1"/>
  <c r="AS1055" i="1"/>
  <c r="AN1055" i="1" s="1"/>
  <c r="AT1055" i="1"/>
  <c r="AO1055" i="1" s="1"/>
  <c r="AR1055" i="1"/>
  <c r="AM1055" i="1" s="1"/>
  <c r="AQ1055" i="1"/>
  <c r="AL1055" i="1" s="1"/>
  <c r="AS1039" i="1"/>
  <c r="AN1039" i="1" s="1"/>
  <c r="AT1039" i="1"/>
  <c r="AO1039" i="1" s="1"/>
  <c r="AR1039" i="1"/>
  <c r="AM1039" i="1" s="1"/>
  <c r="AQ1039" i="1"/>
  <c r="AL1039" i="1" s="1"/>
  <c r="AS1023" i="1"/>
  <c r="AN1023" i="1" s="1"/>
  <c r="AR1023" i="1"/>
  <c r="AM1023" i="1" s="1"/>
  <c r="AT1023" i="1"/>
  <c r="AO1023" i="1" s="1"/>
  <c r="AS1007" i="1"/>
  <c r="AN1007" i="1" s="1"/>
  <c r="AT1007" i="1"/>
  <c r="AO1007" i="1" s="1"/>
  <c r="AQ1007" i="1"/>
  <c r="AL1007" i="1" s="1"/>
  <c r="AR1007" i="1"/>
  <c r="AM1007" i="1" s="1"/>
  <c r="AS991" i="1"/>
  <c r="AN991" i="1" s="1"/>
  <c r="AT991" i="1"/>
  <c r="AO991" i="1" s="1"/>
  <c r="AR991" i="1"/>
  <c r="AM991" i="1" s="1"/>
  <c r="AQ991" i="1"/>
  <c r="AL991" i="1" s="1"/>
  <c r="AS975" i="1"/>
  <c r="AN975" i="1" s="1"/>
  <c r="AT975" i="1"/>
  <c r="AO975" i="1" s="1"/>
  <c r="AS959" i="1"/>
  <c r="AN959" i="1" s="1"/>
  <c r="AR959" i="1"/>
  <c r="AM959" i="1" s="1"/>
  <c r="AQ959" i="1"/>
  <c r="AL959" i="1" s="1"/>
  <c r="AS943" i="1"/>
  <c r="AN943" i="1" s="1"/>
  <c r="AQ943" i="1"/>
  <c r="AL943" i="1" s="1"/>
  <c r="AR943" i="1"/>
  <c r="AM943" i="1" s="1"/>
  <c r="AT943" i="1"/>
  <c r="AO943" i="1" s="1"/>
  <c r="AS927" i="1"/>
  <c r="AN927" i="1" s="1"/>
  <c r="AT927" i="1"/>
  <c r="AO927" i="1" s="1"/>
  <c r="AS911" i="1"/>
  <c r="AN911" i="1" s="1"/>
  <c r="AR911" i="1"/>
  <c r="AM911" i="1" s="1"/>
  <c r="AT911" i="1"/>
  <c r="AO911" i="1" s="1"/>
  <c r="AQ911" i="1"/>
  <c r="AL911" i="1" s="1"/>
  <c r="AS895" i="1"/>
  <c r="AN895" i="1" s="1"/>
  <c r="AQ895" i="1"/>
  <c r="AL895" i="1" s="1"/>
  <c r="AT895" i="1"/>
  <c r="AO895" i="1" s="1"/>
  <c r="AR895" i="1"/>
  <c r="AM895" i="1" s="1"/>
  <c r="AS879" i="1"/>
  <c r="AN879" i="1" s="1"/>
  <c r="AT879" i="1"/>
  <c r="AO879" i="1" s="1"/>
  <c r="AQ879" i="1"/>
  <c r="AL879" i="1" s="1"/>
  <c r="AR879" i="1"/>
  <c r="AM879" i="1" s="1"/>
  <c r="AS863" i="1"/>
  <c r="AN863" i="1" s="1"/>
  <c r="AQ863" i="1"/>
  <c r="AL863" i="1" s="1"/>
  <c r="AT863" i="1"/>
  <c r="AO863" i="1" s="1"/>
  <c r="AS847" i="1"/>
  <c r="AN847" i="1" s="1"/>
  <c r="AT847" i="1"/>
  <c r="AO847" i="1" s="1"/>
  <c r="AQ847" i="1"/>
  <c r="AL847" i="1" s="1"/>
  <c r="AR847" i="1"/>
  <c r="AM847" i="1" s="1"/>
  <c r="AS831" i="1"/>
  <c r="AN831" i="1" s="1"/>
  <c r="AT831" i="1"/>
  <c r="AO831" i="1" s="1"/>
  <c r="AQ831" i="1"/>
  <c r="AL831" i="1" s="1"/>
  <c r="AR831" i="1"/>
  <c r="AM831" i="1" s="1"/>
  <c r="U1016" i="1"/>
  <c r="W1016" i="1" s="1"/>
  <c r="U1000" i="1"/>
  <c r="W1000" i="1" s="1"/>
  <c r="U865" i="1"/>
  <c r="W865" i="1" s="1"/>
  <c r="U849" i="1"/>
  <c r="W849" i="1" s="1"/>
  <c r="U833" i="1"/>
  <c r="W833" i="1" s="1"/>
  <c r="U1052" i="1"/>
  <c r="W1052" i="1" s="1"/>
  <c r="AQ1090" i="1"/>
  <c r="AL1090" i="1" s="1"/>
  <c r="AQ1025" i="1"/>
  <c r="AL1025" i="1" s="1"/>
  <c r="AQ832" i="1"/>
  <c r="AL832" i="1" s="1"/>
  <c r="AR1026" i="1"/>
  <c r="AM1026" i="1" s="1"/>
  <c r="AR954" i="1"/>
  <c r="AM954" i="1" s="1"/>
  <c r="AR886" i="1"/>
  <c r="AM886" i="1" s="1"/>
  <c r="AS1076" i="1"/>
  <c r="AN1076" i="1" s="1"/>
  <c r="AS998" i="1"/>
  <c r="AN998" i="1" s="1"/>
  <c r="AT1040" i="1"/>
  <c r="AO1040" i="1" s="1"/>
  <c r="AT871" i="1"/>
  <c r="AO871" i="1" s="1"/>
  <c r="S753" i="1"/>
  <c r="AR753" i="1" s="1"/>
  <c r="AM753" i="1" s="1"/>
  <c r="S772" i="1"/>
  <c r="AR772" i="1" s="1"/>
  <c r="AM772" i="1" s="1"/>
  <c r="S784" i="1"/>
  <c r="AQ784" i="1" s="1"/>
  <c r="AL784" i="1" s="1"/>
  <c r="S799" i="1"/>
  <c r="AS799" i="1" s="1"/>
  <c r="AN799" i="1" s="1"/>
  <c r="S813" i="1"/>
  <c r="AT813" i="1" s="1"/>
  <c r="AO813" i="1" s="1"/>
  <c r="AS1086" i="1"/>
  <c r="AN1086" i="1" s="1"/>
  <c r="AT1086" i="1"/>
  <c r="AO1086" i="1" s="1"/>
  <c r="AR1086" i="1"/>
  <c r="AM1086" i="1" s="1"/>
  <c r="AQ1086" i="1"/>
  <c r="AL1086" i="1" s="1"/>
  <c r="AT1070" i="1"/>
  <c r="AO1070" i="1" s="1"/>
  <c r="AQ1070" i="1"/>
  <c r="AL1070" i="1" s="1"/>
  <c r="AR1070" i="1"/>
  <c r="AM1070" i="1" s="1"/>
  <c r="AS1070" i="1"/>
  <c r="AN1070" i="1" s="1"/>
  <c r="AQ1038" i="1"/>
  <c r="AL1038" i="1" s="1"/>
  <c r="AS1038" i="1"/>
  <c r="AN1038" i="1" s="1"/>
  <c r="AT1038" i="1"/>
  <c r="AO1038" i="1" s="1"/>
  <c r="AS1022" i="1"/>
  <c r="AN1022" i="1" s="1"/>
  <c r="AR1022" i="1"/>
  <c r="AM1022" i="1" s="1"/>
  <c r="AQ1022" i="1"/>
  <c r="AL1022" i="1" s="1"/>
  <c r="AR1006" i="1"/>
  <c r="AM1006" i="1" s="1"/>
  <c r="AS1006" i="1"/>
  <c r="AN1006" i="1" s="1"/>
  <c r="AQ990" i="1"/>
  <c r="AL990" i="1" s="1"/>
  <c r="AT990" i="1"/>
  <c r="AO990" i="1" s="1"/>
  <c r="AR990" i="1"/>
  <c r="AM990" i="1" s="1"/>
  <c r="AS974" i="1"/>
  <c r="AN974" i="1" s="1"/>
  <c r="AT974" i="1"/>
  <c r="AO974" i="1" s="1"/>
  <c r="AR974" i="1"/>
  <c r="AM974" i="1" s="1"/>
  <c r="AQ974" i="1"/>
  <c r="AL974" i="1" s="1"/>
  <c r="AT958" i="1"/>
  <c r="AO958" i="1" s="1"/>
  <c r="AR958" i="1"/>
  <c r="AM958" i="1" s="1"/>
  <c r="AQ958" i="1"/>
  <c r="AL958" i="1" s="1"/>
  <c r="AR942" i="1"/>
  <c r="AM942" i="1" s="1"/>
  <c r="AT942" i="1"/>
  <c r="AO942" i="1" s="1"/>
  <c r="AS942" i="1"/>
  <c r="AN942" i="1" s="1"/>
  <c r="AQ942" i="1"/>
  <c r="AL942" i="1" s="1"/>
  <c r="AQ926" i="1"/>
  <c r="AL926" i="1" s="1"/>
  <c r="AR926" i="1"/>
  <c r="AM926" i="1" s="1"/>
  <c r="AS926" i="1"/>
  <c r="AN926" i="1" s="1"/>
  <c r="AT910" i="1"/>
  <c r="AO910" i="1" s="1"/>
  <c r="AS910" i="1"/>
  <c r="AN910" i="1" s="1"/>
  <c r="AR910" i="1"/>
  <c r="AM910" i="1" s="1"/>
  <c r="AR894" i="1"/>
  <c r="AM894" i="1" s="1"/>
  <c r="AS894" i="1"/>
  <c r="AN894" i="1" s="1"/>
  <c r="AQ894" i="1"/>
  <c r="AL894" i="1" s="1"/>
  <c r="AT894" i="1"/>
  <c r="AO894" i="1" s="1"/>
  <c r="AS878" i="1"/>
  <c r="AN878" i="1" s="1"/>
  <c r="AT878" i="1"/>
  <c r="AO878" i="1" s="1"/>
  <c r="AQ878" i="1"/>
  <c r="AL878" i="1" s="1"/>
  <c r="AR878" i="1"/>
  <c r="AM878" i="1" s="1"/>
  <c r="AQ862" i="1"/>
  <c r="AL862" i="1" s="1"/>
  <c r="AT862" i="1"/>
  <c r="AO862" i="1" s="1"/>
  <c r="AS862" i="1"/>
  <c r="AN862" i="1" s="1"/>
  <c r="AQ846" i="1"/>
  <c r="AL846" i="1" s="1"/>
  <c r="AT846" i="1"/>
  <c r="AO846" i="1" s="1"/>
  <c r="AS846" i="1"/>
  <c r="AN846" i="1" s="1"/>
  <c r="AR846" i="1"/>
  <c r="AM846" i="1" s="1"/>
  <c r="AT830" i="1"/>
  <c r="AO830" i="1" s="1"/>
  <c r="AR830" i="1"/>
  <c r="AM830" i="1" s="1"/>
  <c r="AQ830" i="1"/>
  <c r="AL830" i="1" s="1"/>
  <c r="U1015" i="1"/>
  <c r="W1015" i="1" s="1"/>
  <c r="U999" i="1"/>
  <c r="W999" i="1" s="1"/>
  <c r="U848" i="1"/>
  <c r="U831" i="1"/>
  <c r="W831" i="1" s="1"/>
  <c r="U1083" i="1"/>
  <c r="W1083" i="1" s="1"/>
  <c r="U939" i="1"/>
  <c r="W939" i="1" s="1"/>
  <c r="U923" i="1"/>
  <c r="W923" i="1" s="1"/>
  <c r="AQ1089" i="1"/>
  <c r="AL1089" i="1" s="1"/>
  <c r="AQ1023" i="1"/>
  <c r="AL1023" i="1" s="1"/>
  <c r="AR950" i="1"/>
  <c r="AM950" i="1" s="1"/>
  <c r="AR881" i="1"/>
  <c r="AM881" i="1" s="1"/>
  <c r="AS1073" i="1"/>
  <c r="AN1073" i="1" s="1"/>
  <c r="AS996" i="1"/>
  <c r="AN996" i="1" s="1"/>
  <c r="AT1031" i="1"/>
  <c r="AO1031" i="1" s="1"/>
  <c r="AT950" i="1"/>
  <c r="AO950" i="1" s="1"/>
  <c r="AT870" i="1"/>
  <c r="AO870" i="1" s="1"/>
  <c r="AT1085" i="1"/>
  <c r="AO1085" i="1" s="1"/>
  <c r="AQ1085" i="1"/>
  <c r="AL1085" i="1" s="1"/>
  <c r="AR1085" i="1"/>
  <c r="AM1085" i="1" s="1"/>
  <c r="AS1069" i="1"/>
  <c r="AN1069" i="1" s="1"/>
  <c r="AT1069" i="1"/>
  <c r="AO1069" i="1" s="1"/>
  <c r="AQ1053" i="1"/>
  <c r="AL1053" i="1" s="1"/>
  <c r="AR1053" i="1"/>
  <c r="AM1053" i="1" s="1"/>
  <c r="AS1053" i="1"/>
  <c r="AN1053" i="1" s="1"/>
  <c r="AT1053" i="1"/>
  <c r="AO1053" i="1" s="1"/>
  <c r="AS1037" i="1"/>
  <c r="AN1037" i="1" s="1"/>
  <c r="AQ1037" i="1"/>
  <c r="AL1037" i="1" s="1"/>
  <c r="AT1037" i="1"/>
  <c r="AO1037" i="1" s="1"/>
  <c r="AT1021" i="1"/>
  <c r="AO1021" i="1" s="1"/>
  <c r="AQ1021" i="1"/>
  <c r="AL1021" i="1" s="1"/>
  <c r="AR1021" i="1"/>
  <c r="AM1021" i="1" s="1"/>
  <c r="AS1005" i="1"/>
  <c r="AN1005" i="1" s="1"/>
  <c r="AT1005" i="1"/>
  <c r="AO1005" i="1" s="1"/>
  <c r="AT989" i="1"/>
  <c r="AO989" i="1" s="1"/>
  <c r="AR989" i="1"/>
  <c r="AM989" i="1" s="1"/>
  <c r="AS989" i="1"/>
  <c r="AN989" i="1" s="1"/>
  <c r="AQ989" i="1"/>
  <c r="AL989" i="1" s="1"/>
  <c r="AQ973" i="1"/>
  <c r="AL973" i="1" s="1"/>
  <c r="AS973" i="1"/>
  <c r="AN973" i="1" s="1"/>
  <c r="AR973" i="1"/>
  <c r="AM973" i="1" s="1"/>
  <c r="AT957" i="1"/>
  <c r="AO957" i="1" s="1"/>
  <c r="AS957" i="1"/>
  <c r="AN957" i="1" s="1"/>
  <c r="AR957" i="1"/>
  <c r="AM957" i="1" s="1"/>
  <c r="AS941" i="1"/>
  <c r="AN941" i="1" s="1"/>
  <c r="AT941" i="1"/>
  <c r="AO941" i="1" s="1"/>
  <c r="AQ941" i="1"/>
  <c r="AL941" i="1" s="1"/>
  <c r="AR941" i="1"/>
  <c r="AM941" i="1" s="1"/>
  <c r="AR925" i="1"/>
  <c r="AM925" i="1" s="1"/>
  <c r="AS925" i="1"/>
  <c r="AN925" i="1" s="1"/>
  <c r="AQ925" i="1"/>
  <c r="AL925" i="1" s="1"/>
  <c r="AQ909" i="1"/>
  <c r="AL909" i="1" s="1"/>
  <c r="AR909" i="1"/>
  <c r="AM909" i="1" s="1"/>
  <c r="AT893" i="1"/>
  <c r="AO893" i="1" s="1"/>
  <c r="AS893" i="1"/>
  <c r="AN893" i="1" s="1"/>
  <c r="AR893" i="1"/>
  <c r="AM893" i="1" s="1"/>
  <c r="AR877" i="1"/>
  <c r="AM877" i="1" s="1"/>
  <c r="AS877" i="1"/>
  <c r="AN877" i="1" s="1"/>
  <c r="AT877" i="1"/>
  <c r="AO877" i="1" s="1"/>
  <c r="AQ877" i="1"/>
  <c r="AL877" i="1" s="1"/>
  <c r="AT861" i="1"/>
  <c r="AO861" i="1" s="1"/>
  <c r="AR861" i="1"/>
  <c r="AM861" i="1" s="1"/>
  <c r="AS861" i="1"/>
  <c r="AN861" i="1" s="1"/>
  <c r="AQ845" i="1"/>
  <c r="AL845" i="1" s="1"/>
  <c r="AR845" i="1"/>
  <c r="AM845" i="1" s="1"/>
  <c r="AT845" i="1"/>
  <c r="AO845" i="1" s="1"/>
  <c r="AS829" i="1"/>
  <c r="AN829" i="1" s="1"/>
  <c r="AT829" i="1"/>
  <c r="AO829" i="1" s="1"/>
  <c r="AQ829" i="1"/>
  <c r="AL829" i="1" s="1"/>
  <c r="U1064" i="1"/>
  <c r="W1064" i="1" s="1"/>
  <c r="AQ1013" i="1"/>
  <c r="AL1013" i="1" s="1"/>
  <c r="AQ952" i="1"/>
  <c r="AL952" i="1" s="1"/>
  <c r="AR1088" i="1"/>
  <c r="AM1088" i="1" s="1"/>
  <c r="AR949" i="1"/>
  <c r="AM949" i="1" s="1"/>
  <c r="AS993" i="1"/>
  <c r="AN993" i="1" s="1"/>
  <c r="AS919" i="1"/>
  <c r="AN919" i="1" s="1"/>
  <c r="AT1028" i="1"/>
  <c r="AO1028" i="1" s="1"/>
  <c r="AT949" i="1"/>
  <c r="AO949" i="1" s="1"/>
  <c r="AT853" i="1"/>
  <c r="AO853" i="1" s="1"/>
  <c r="AT1084" i="1"/>
  <c r="AO1084" i="1" s="1"/>
  <c r="AQ1084" i="1"/>
  <c r="AL1084" i="1" s="1"/>
  <c r="AS1084" i="1"/>
  <c r="AN1084" i="1" s="1"/>
  <c r="AR1084" i="1"/>
  <c r="AM1084" i="1" s="1"/>
  <c r="AT1068" i="1"/>
  <c r="AO1068" i="1" s="1"/>
  <c r="AQ1068" i="1"/>
  <c r="AL1068" i="1" s="1"/>
  <c r="AR1068" i="1"/>
  <c r="AM1068" i="1" s="1"/>
  <c r="AS1068" i="1"/>
  <c r="AN1068" i="1" s="1"/>
  <c r="AT1052" i="1"/>
  <c r="AO1052" i="1" s="1"/>
  <c r="AS1052" i="1"/>
  <c r="AN1052" i="1" s="1"/>
  <c r="AR1052" i="1"/>
  <c r="AM1052" i="1" s="1"/>
  <c r="AT1036" i="1"/>
  <c r="AO1036" i="1" s="1"/>
  <c r="AQ1036" i="1"/>
  <c r="AL1036" i="1" s="1"/>
  <c r="AR1036" i="1"/>
  <c r="AM1036" i="1" s="1"/>
  <c r="AS1036" i="1"/>
  <c r="AN1036" i="1" s="1"/>
  <c r="AT1020" i="1"/>
  <c r="AO1020" i="1" s="1"/>
  <c r="AQ1020" i="1"/>
  <c r="AL1020" i="1" s="1"/>
  <c r="AT1004" i="1"/>
  <c r="AO1004" i="1" s="1"/>
  <c r="AS1004" i="1"/>
  <c r="AN1004" i="1" s="1"/>
  <c r="AR1004" i="1"/>
  <c r="AM1004" i="1" s="1"/>
  <c r="AT988" i="1"/>
  <c r="AO988" i="1" s="1"/>
  <c r="AS988" i="1"/>
  <c r="AN988" i="1" s="1"/>
  <c r="AQ988" i="1"/>
  <c r="AL988" i="1" s="1"/>
  <c r="AR988" i="1"/>
  <c r="AM988" i="1" s="1"/>
  <c r="AT972" i="1"/>
  <c r="AO972" i="1" s="1"/>
  <c r="AR972" i="1"/>
  <c r="AM972" i="1" s="1"/>
  <c r="AS972" i="1"/>
  <c r="AN972" i="1" s="1"/>
  <c r="AQ972" i="1"/>
  <c r="AL972" i="1" s="1"/>
  <c r="AT956" i="1"/>
  <c r="AO956" i="1" s="1"/>
  <c r="AQ956" i="1"/>
  <c r="AL956" i="1" s="1"/>
  <c r="AT940" i="1"/>
  <c r="AO940" i="1" s="1"/>
  <c r="AS940" i="1"/>
  <c r="AN940" i="1" s="1"/>
  <c r="AR940" i="1"/>
  <c r="AM940" i="1" s="1"/>
  <c r="AT924" i="1"/>
  <c r="AO924" i="1" s="1"/>
  <c r="AQ924" i="1"/>
  <c r="AL924" i="1" s="1"/>
  <c r="AT908" i="1"/>
  <c r="AO908" i="1" s="1"/>
  <c r="AR908" i="1"/>
  <c r="AM908" i="1" s="1"/>
  <c r="AS908" i="1"/>
  <c r="AN908" i="1" s="1"/>
  <c r="AT892" i="1"/>
  <c r="AO892" i="1" s="1"/>
  <c r="AQ892" i="1"/>
  <c r="AL892" i="1" s="1"/>
  <c r="AR892" i="1"/>
  <c r="AM892" i="1" s="1"/>
  <c r="AT876" i="1"/>
  <c r="AO876" i="1" s="1"/>
  <c r="AQ876" i="1"/>
  <c r="AL876" i="1" s="1"/>
  <c r="AT860" i="1"/>
  <c r="AO860" i="1" s="1"/>
  <c r="AR860" i="1"/>
  <c r="AM860" i="1" s="1"/>
  <c r="AS860" i="1"/>
  <c r="AN860" i="1" s="1"/>
  <c r="AT844" i="1"/>
  <c r="AO844" i="1" s="1"/>
  <c r="AQ844" i="1"/>
  <c r="AL844" i="1" s="1"/>
  <c r="AT828" i="1"/>
  <c r="AO828" i="1" s="1"/>
  <c r="AQ828" i="1"/>
  <c r="AL828" i="1" s="1"/>
  <c r="AS828" i="1"/>
  <c r="AN828" i="1" s="1"/>
  <c r="U1045" i="1"/>
  <c r="W1045" i="1" s="1"/>
  <c r="U1029" i="1"/>
  <c r="W1029" i="1" s="1"/>
  <c r="U1013" i="1"/>
  <c r="W1013" i="1" s="1"/>
  <c r="AQ1078" i="1"/>
  <c r="AL1078" i="1" s="1"/>
  <c r="AQ1010" i="1"/>
  <c r="AL1010" i="1" s="1"/>
  <c r="AQ949" i="1"/>
  <c r="AL949" i="1" s="1"/>
  <c r="AR1078" i="1"/>
  <c r="AM1078" i="1" s="1"/>
  <c r="AR1009" i="1"/>
  <c r="AM1009" i="1" s="1"/>
  <c r="AR948" i="1"/>
  <c r="AM948" i="1" s="1"/>
  <c r="AS1064" i="1"/>
  <c r="AN1064" i="1" s="1"/>
  <c r="AS990" i="1"/>
  <c r="AN990" i="1" s="1"/>
  <c r="AS913" i="1"/>
  <c r="AN913" i="1" s="1"/>
  <c r="AS833" i="1"/>
  <c r="AN833" i="1" s="1"/>
  <c r="AT1022" i="1"/>
  <c r="AO1022" i="1" s="1"/>
  <c r="AT946" i="1"/>
  <c r="AO946" i="1" s="1"/>
  <c r="AT852" i="1"/>
  <c r="AO852" i="1" s="1"/>
  <c r="AT1083" i="1"/>
  <c r="AO1083" i="1" s="1"/>
  <c r="AR1083" i="1"/>
  <c r="AM1083" i="1" s="1"/>
  <c r="AQ1083" i="1"/>
  <c r="AL1083" i="1" s="1"/>
  <c r="AS1083" i="1"/>
  <c r="AN1083" i="1" s="1"/>
  <c r="AT1067" i="1"/>
  <c r="AO1067" i="1" s="1"/>
  <c r="AQ1067" i="1"/>
  <c r="AL1067" i="1" s="1"/>
  <c r="AS1067" i="1"/>
  <c r="AN1067" i="1" s="1"/>
  <c r="AR1067" i="1"/>
  <c r="AM1067" i="1" s="1"/>
  <c r="AT1051" i="1"/>
  <c r="AO1051" i="1" s="1"/>
  <c r="AQ1051" i="1"/>
  <c r="AL1051" i="1" s="1"/>
  <c r="AS1051" i="1"/>
  <c r="AN1051" i="1" s="1"/>
  <c r="AR1051" i="1"/>
  <c r="AM1051" i="1" s="1"/>
  <c r="AT1035" i="1"/>
  <c r="AO1035" i="1" s="1"/>
  <c r="AS1035" i="1"/>
  <c r="AN1035" i="1" s="1"/>
  <c r="AR1035" i="1"/>
  <c r="AM1035" i="1" s="1"/>
  <c r="AT1019" i="1"/>
  <c r="AO1019" i="1" s="1"/>
  <c r="AQ1019" i="1"/>
  <c r="AL1019" i="1" s="1"/>
  <c r="AR1019" i="1"/>
  <c r="AM1019" i="1" s="1"/>
  <c r="AT1003" i="1"/>
  <c r="AO1003" i="1" s="1"/>
  <c r="AS1003" i="1"/>
  <c r="AN1003" i="1" s="1"/>
  <c r="AR1003" i="1"/>
  <c r="AM1003" i="1" s="1"/>
  <c r="AQ1003" i="1"/>
  <c r="AL1003" i="1" s="1"/>
  <c r="AT987" i="1"/>
  <c r="AO987" i="1" s="1"/>
  <c r="AS987" i="1"/>
  <c r="AN987" i="1" s="1"/>
  <c r="AQ987" i="1"/>
  <c r="AL987" i="1" s="1"/>
  <c r="AT971" i="1"/>
  <c r="AO971" i="1" s="1"/>
  <c r="AS971" i="1"/>
  <c r="AN971" i="1" s="1"/>
  <c r="AQ971" i="1"/>
  <c r="AL971" i="1" s="1"/>
  <c r="AR971" i="1"/>
  <c r="AM971" i="1" s="1"/>
  <c r="AT955" i="1"/>
  <c r="AO955" i="1" s="1"/>
  <c r="AR955" i="1"/>
  <c r="AM955" i="1" s="1"/>
  <c r="AS955" i="1"/>
  <c r="AN955" i="1" s="1"/>
  <c r="AT939" i="1"/>
  <c r="AO939" i="1" s="1"/>
  <c r="AQ939" i="1"/>
  <c r="AL939" i="1" s="1"/>
  <c r="AS939" i="1"/>
  <c r="AN939" i="1" s="1"/>
  <c r="AR939" i="1"/>
  <c r="AM939" i="1" s="1"/>
  <c r="AT923" i="1"/>
  <c r="AO923" i="1" s="1"/>
  <c r="AS923" i="1"/>
  <c r="AN923" i="1" s="1"/>
  <c r="AR923" i="1"/>
  <c r="AM923" i="1" s="1"/>
  <c r="AT907" i="1"/>
  <c r="AO907" i="1" s="1"/>
  <c r="AR907" i="1"/>
  <c r="AM907" i="1" s="1"/>
  <c r="AS907" i="1"/>
  <c r="AN907" i="1" s="1"/>
  <c r="AQ907" i="1"/>
  <c r="AL907" i="1" s="1"/>
  <c r="AT891" i="1"/>
  <c r="AO891" i="1" s="1"/>
  <c r="AR891" i="1"/>
  <c r="AM891" i="1" s="1"/>
  <c r="AT875" i="1"/>
  <c r="AO875" i="1" s="1"/>
  <c r="AQ875" i="1"/>
  <c r="AL875" i="1" s="1"/>
  <c r="AR875" i="1"/>
  <c r="AM875" i="1" s="1"/>
  <c r="AT859" i="1"/>
  <c r="AO859" i="1" s="1"/>
  <c r="AR859" i="1"/>
  <c r="AM859" i="1" s="1"/>
  <c r="AS859" i="1"/>
  <c r="AN859" i="1" s="1"/>
  <c r="AQ859" i="1"/>
  <c r="AL859" i="1" s="1"/>
  <c r="AT843" i="1"/>
  <c r="AO843" i="1" s="1"/>
  <c r="AR843" i="1"/>
  <c r="AM843" i="1" s="1"/>
  <c r="AS843" i="1"/>
  <c r="AN843" i="1" s="1"/>
  <c r="AQ843" i="1"/>
  <c r="AL843" i="1" s="1"/>
  <c r="AT827" i="1"/>
  <c r="AO827" i="1" s="1"/>
  <c r="AS827" i="1"/>
  <c r="AN827" i="1" s="1"/>
  <c r="AR827" i="1"/>
  <c r="AM827" i="1" s="1"/>
  <c r="AQ827" i="1"/>
  <c r="AL827" i="1" s="1"/>
  <c r="U1044" i="1"/>
  <c r="W1044" i="1" s="1"/>
  <c r="U1028" i="1"/>
  <c r="W1028" i="1" s="1"/>
  <c r="U911" i="1"/>
  <c r="W911" i="1" s="1"/>
  <c r="AQ1072" i="1"/>
  <c r="AL1072" i="1" s="1"/>
  <c r="AQ1006" i="1"/>
  <c r="AL1006" i="1" s="1"/>
  <c r="AQ946" i="1"/>
  <c r="AL946" i="1" s="1"/>
  <c r="AQ881" i="1"/>
  <c r="AL881" i="1" s="1"/>
  <c r="AR1077" i="1"/>
  <c r="AM1077" i="1" s="1"/>
  <c r="AR1008" i="1"/>
  <c r="AM1008" i="1" s="1"/>
  <c r="AR863" i="1"/>
  <c r="AM863" i="1" s="1"/>
  <c r="AS1056" i="1"/>
  <c r="AN1056" i="1" s="1"/>
  <c r="AS986" i="1"/>
  <c r="AN986" i="1" s="1"/>
  <c r="AS909" i="1"/>
  <c r="AN909" i="1" s="1"/>
  <c r="AS830" i="1"/>
  <c r="AN830" i="1" s="1"/>
  <c r="AT934" i="1"/>
  <c r="AO934" i="1" s="1"/>
  <c r="AT839" i="1"/>
  <c r="AO839" i="1" s="1"/>
  <c r="AR1082" i="1"/>
  <c r="AM1082" i="1" s="1"/>
  <c r="AS1082" i="1"/>
  <c r="AN1082" i="1" s="1"/>
  <c r="AQ1082" i="1"/>
  <c r="AL1082" i="1" s="1"/>
  <c r="AT1082" i="1"/>
  <c r="AO1082" i="1" s="1"/>
  <c r="AT1066" i="1"/>
  <c r="AO1066" i="1" s="1"/>
  <c r="AR1066" i="1"/>
  <c r="AM1066" i="1" s="1"/>
  <c r="AQ1066" i="1"/>
  <c r="AL1066" i="1" s="1"/>
  <c r="AQ1050" i="1"/>
  <c r="AL1050" i="1" s="1"/>
  <c r="AT1050" i="1"/>
  <c r="AO1050" i="1" s="1"/>
  <c r="AQ1034" i="1"/>
  <c r="AL1034" i="1" s="1"/>
  <c r="AS1034" i="1"/>
  <c r="AN1034" i="1" s="1"/>
  <c r="AT1034" i="1"/>
  <c r="AO1034" i="1" s="1"/>
  <c r="AR1034" i="1"/>
  <c r="AM1034" i="1" s="1"/>
  <c r="AS1018" i="1"/>
  <c r="AN1018" i="1" s="1"/>
  <c r="AR1018" i="1"/>
  <c r="AM1018" i="1" s="1"/>
  <c r="AQ1018" i="1"/>
  <c r="AL1018" i="1" s="1"/>
  <c r="AQ1002" i="1"/>
  <c r="AL1002" i="1" s="1"/>
  <c r="AR1002" i="1"/>
  <c r="AM1002" i="1" s="1"/>
  <c r="AS1002" i="1"/>
  <c r="AN1002" i="1" s="1"/>
  <c r="AT1002" i="1"/>
  <c r="AO1002" i="1" s="1"/>
  <c r="AT970" i="1"/>
  <c r="AO970" i="1" s="1"/>
  <c r="AS970" i="1"/>
  <c r="AN970" i="1" s="1"/>
  <c r="AQ970" i="1"/>
  <c r="AL970" i="1" s="1"/>
  <c r="AS954" i="1"/>
  <c r="AN954" i="1" s="1"/>
  <c r="AQ954" i="1"/>
  <c r="AL954" i="1" s="1"/>
  <c r="AR938" i="1"/>
  <c r="AM938" i="1" s="1"/>
  <c r="AT938" i="1"/>
  <c r="AO938" i="1" s="1"/>
  <c r="AS938" i="1"/>
  <c r="AN938" i="1" s="1"/>
  <c r="AQ938" i="1"/>
  <c r="AL938" i="1" s="1"/>
  <c r="AT922" i="1"/>
  <c r="AO922" i="1" s="1"/>
  <c r="AQ922" i="1"/>
  <c r="AL922" i="1" s="1"/>
  <c r="AR922" i="1"/>
  <c r="AM922" i="1" s="1"/>
  <c r="AS906" i="1"/>
  <c r="AN906" i="1" s="1"/>
  <c r="AQ906" i="1"/>
  <c r="AL906" i="1" s="1"/>
  <c r="AT890" i="1"/>
  <c r="AO890" i="1" s="1"/>
  <c r="AR890" i="1"/>
  <c r="AM890" i="1" s="1"/>
  <c r="AS890" i="1"/>
  <c r="AN890" i="1" s="1"/>
  <c r="AR874" i="1"/>
  <c r="AM874" i="1" s="1"/>
  <c r="AT874" i="1"/>
  <c r="AO874" i="1" s="1"/>
  <c r="AQ874" i="1"/>
  <c r="AL874" i="1" s="1"/>
  <c r="AS874" i="1"/>
  <c r="AN874" i="1" s="1"/>
  <c r="AQ858" i="1"/>
  <c r="AL858" i="1" s="1"/>
  <c r="AR858" i="1"/>
  <c r="AM858" i="1" s="1"/>
  <c r="AT858" i="1"/>
  <c r="AO858" i="1" s="1"/>
  <c r="AR842" i="1"/>
  <c r="AM842" i="1" s="1"/>
  <c r="AT842" i="1"/>
  <c r="AO842" i="1" s="1"/>
  <c r="AS842" i="1"/>
  <c r="AN842" i="1" s="1"/>
  <c r="AR826" i="1"/>
  <c r="AM826" i="1" s="1"/>
  <c r="AT826" i="1"/>
  <c r="AO826" i="1" s="1"/>
  <c r="AS826" i="1"/>
  <c r="AN826" i="1" s="1"/>
  <c r="AQ826" i="1"/>
  <c r="AL826" i="1" s="1"/>
  <c r="U962" i="1"/>
  <c r="W962" i="1" s="1"/>
  <c r="U927" i="1"/>
  <c r="W927" i="1" s="1"/>
  <c r="U909" i="1"/>
  <c r="W909" i="1" s="1"/>
  <c r="AQ1069" i="1"/>
  <c r="AL1069" i="1" s="1"/>
  <c r="AQ1005" i="1"/>
  <c r="AL1005" i="1" s="1"/>
  <c r="AQ940" i="1"/>
  <c r="AL940" i="1" s="1"/>
  <c r="AR1072" i="1"/>
  <c r="AM1072" i="1" s="1"/>
  <c r="AR1005" i="1"/>
  <c r="AM1005" i="1" s="1"/>
  <c r="AR936" i="1"/>
  <c r="AM936" i="1" s="1"/>
  <c r="AR862" i="1"/>
  <c r="AM862" i="1" s="1"/>
  <c r="AS1054" i="1"/>
  <c r="AN1054" i="1" s="1"/>
  <c r="AS977" i="1"/>
  <c r="AN977" i="1" s="1"/>
  <c r="AS898" i="1"/>
  <c r="AN898" i="1" s="1"/>
  <c r="AS823" i="1"/>
  <c r="AN823" i="1" s="1"/>
  <c r="AT1015" i="1"/>
  <c r="AO1015" i="1" s="1"/>
  <c r="AT932" i="1"/>
  <c r="AO932" i="1" s="1"/>
  <c r="AT836" i="1"/>
  <c r="AO836" i="1" s="1"/>
  <c r="U956" i="1"/>
  <c r="W956" i="1" s="1"/>
  <c r="U940" i="1"/>
  <c r="W940" i="1" s="1"/>
  <c r="U1104" i="1"/>
  <c r="W1104" i="1" s="1"/>
  <c r="U1103" i="1"/>
  <c r="W1103" i="1" s="1"/>
  <c r="U738" i="1"/>
  <c r="W738" i="1" s="1"/>
  <c r="AQ738" i="1"/>
  <c r="AL738" i="1" s="1"/>
  <c r="AS738" i="1"/>
  <c r="AN738" i="1" s="1"/>
  <c r="AT766" i="1"/>
  <c r="AO766" i="1" s="1"/>
  <c r="AQ766" i="1"/>
  <c r="AL766" i="1" s="1"/>
  <c r="AT734" i="1"/>
  <c r="AO734" i="1" s="1"/>
  <c r="AQ734" i="1"/>
  <c r="AL734" i="1" s="1"/>
  <c r="AQ752" i="1"/>
  <c r="AL752" i="1" s="1"/>
  <c r="AR752" i="1"/>
  <c r="AM752" i="1" s="1"/>
  <c r="AT798" i="1"/>
  <c r="AO798" i="1" s="1"/>
  <c r="AQ798" i="1"/>
  <c r="AL798" i="1" s="1"/>
  <c r="AR751" i="1"/>
  <c r="AM751" i="1" s="1"/>
  <c r="U820" i="1"/>
  <c r="W820" i="1" s="1"/>
  <c r="AR743" i="1"/>
  <c r="AM743" i="1" s="1"/>
  <c r="AR727" i="1"/>
  <c r="AM727" i="1" s="1"/>
  <c r="AR719" i="1"/>
  <c r="AM719" i="1" s="1"/>
  <c r="AQ759" i="1"/>
  <c r="AL759" i="1" s="1"/>
  <c r="AR711" i="1"/>
  <c r="AM711" i="1" s="1"/>
  <c r="AQ750" i="1"/>
  <c r="AL750" i="1" s="1"/>
  <c r="AQ727" i="1"/>
  <c r="AL727" i="1" s="1"/>
  <c r="AQ780" i="1"/>
  <c r="AL780" i="1" s="1"/>
  <c r="AR796" i="1"/>
  <c r="AM796" i="1" s="1"/>
  <c r="AS731" i="1"/>
  <c r="AN731" i="1" s="1"/>
  <c r="AQ779" i="1"/>
  <c r="AL779" i="1" s="1"/>
  <c r="AQ733" i="1"/>
  <c r="AL733" i="1" s="1"/>
  <c r="AS722" i="1"/>
  <c r="AN722" i="1" s="1"/>
  <c r="AT770" i="1"/>
  <c r="AO770" i="1" s="1"/>
  <c r="U732" i="1"/>
  <c r="W732" i="1" s="1"/>
  <c r="AQ814" i="1"/>
  <c r="AL814" i="1" s="1"/>
  <c r="AQ775" i="1"/>
  <c r="AL775" i="1" s="1"/>
  <c r="AQ732" i="1"/>
  <c r="AL732" i="1" s="1"/>
  <c r="AR783" i="1"/>
  <c r="AM783" i="1" s="1"/>
  <c r="AR716" i="1"/>
  <c r="AM716" i="1" s="1"/>
  <c r="AS715" i="1"/>
  <c r="AN715" i="1" s="1"/>
  <c r="AT763" i="1"/>
  <c r="AO763" i="1" s="1"/>
  <c r="U729" i="1"/>
  <c r="W729" i="1" s="1"/>
  <c r="AQ813" i="1"/>
  <c r="AL813" i="1" s="1"/>
  <c r="AQ770" i="1"/>
  <c r="AL770" i="1" s="1"/>
  <c r="AQ731" i="1"/>
  <c r="AL731" i="1" s="1"/>
  <c r="AR780" i="1"/>
  <c r="AM780" i="1" s="1"/>
  <c r="AR713" i="1"/>
  <c r="AM713" i="1" s="1"/>
  <c r="AT820" i="1"/>
  <c r="AO820" i="1" s="1"/>
  <c r="AT756" i="1"/>
  <c r="AO756" i="1" s="1"/>
  <c r="U726" i="1"/>
  <c r="W726" i="1" s="1"/>
  <c r="AQ812" i="1"/>
  <c r="AL812" i="1" s="1"/>
  <c r="AT819" i="1"/>
  <c r="AO819" i="1" s="1"/>
  <c r="AT755" i="1"/>
  <c r="AO755" i="1" s="1"/>
  <c r="AQ811" i="1"/>
  <c r="AL811" i="1" s="1"/>
  <c r="AQ722" i="1"/>
  <c r="AL722" i="1" s="1"/>
  <c r="AR767" i="1"/>
  <c r="AM767" i="1" s="1"/>
  <c r="AT754" i="1"/>
  <c r="AO754" i="1" s="1"/>
  <c r="AQ807" i="1"/>
  <c r="AL807" i="1" s="1"/>
  <c r="AQ764" i="1"/>
  <c r="AL764" i="1" s="1"/>
  <c r="AR764" i="1"/>
  <c r="AM764" i="1" s="1"/>
  <c r="AS811" i="1"/>
  <c r="AN811" i="1" s="1"/>
  <c r="AT811" i="1"/>
  <c r="AO811" i="1" s="1"/>
  <c r="AT747" i="1"/>
  <c r="AO747" i="1" s="1"/>
  <c r="AQ763" i="1"/>
  <c r="AL763" i="1" s="1"/>
  <c r="AQ717" i="1"/>
  <c r="AL717" i="1" s="1"/>
  <c r="AT804" i="1"/>
  <c r="AO804" i="1" s="1"/>
  <c r="AT740" i="1"/>
  <c r="AO740" i="1" s="1"/>
  <c r="AQ716" i="1"/>
  <c r="AL716" i="1" s="1"/>
  <c r="AS795" i="1"/>
  <c r="AN795" i="1" s="1"/>
  <c r="AT739" i="1"/>
  <c r="AO739" i="1" s="1"/>
  <c r="AQ754" i="1"/>
  <c r="AL754" i="1" s="1"/>
  <c r="AQ715" i="1"/>
  <c r="AL715" i="1" s="1"/>
  <c r="AR748" i="1"/>
  <c r="AM748" i="1" s="1"/>
  <c r="AS786" i="1"/>
  <c r="AN786" i="1" s="1"/>
  <c r="AT738" i="1"/>
  <c r="AO738" i="1" s="1"/>
  <c r="AQ796" i="1"/>
  <c r="AL796" i="1" s="1"/>
  <c r="AS779" i="1"/>
  <c r="AN779" i="1" s="1"/>
  <c r="AT795" i="1"/>
  <c r="AO795" i="1" s="1"/>
  <c r="AT731" i="1"/>
  <c r="AO731" i="1" s="1"/>
  <c r="U795" i="1"/>
  <c r="W795" i="1" s="1"/>
  <c r="AQ795" i="1"/>
  <c r="AL795" i="1" s="1"/>
  <c r="AQ749" i="1"/>
  <c r="AL749" i="1" s="1"/>
  <c r="AR816" i="1"/>
  <c r="AM816" i="1" s="1"/>
  <c r="AR736" i="1"/>
  <c r="AM736" i="1" s="1"/>
  <c r="AS770" i="1"/>
  <c r="AN770" i="1" s="1"/>
  <c r="AT788" i="1"/>
  <c r="AO788" i="1" s="1"/>
  <c r="AT724" i="1"/>
  <c r="AO724" i="1" s="1"/>
  <c r="AQ748" i="1"/>
  <c r="AL748" i="1" s="1"/>
  <c r="AR815" i="1"/>
  <c r="AM815" i="1" s="1"/>
  <c r="AR735" i="1"/>
  <c r="AM735" i="1" s="1"/>
  <c r="AS763" i="1"/>
  <c r="AN763" i="1" s="1"/>
  <c r="AT787" i="1"/>
  <c r="AO787" i="1" s="1"/>
  <c r="AT723" i="1"/>
  <c r="AO723" i="1" s="1"/>
  <c r="AQ786" i="1"/>
  <c r="AL786" i="1" s="1"/>
  <c r="AQ747" i="1"/>
  <c r="AL747" i="1" s="1"/>
  <c r="AR812" i="1"/>
  <c r="AM812" i="1" s="1"/>
  <c r="AR732" i="1"/>
  <c r="AM732" i="1" s="1"/>
  <c r="AS754" i="1"/>
  <c r="AN754" i="1" s="1"/>
  <c r="AT786" i="1"/>
  <c r="AO786" i="1" s="1"/>
  <c r="AT722" i="1"/>
  <c r="AO722" i="1" s="1"/>
  <c r="AQ782" i="1"/>
  <c r="AL782" i="1" s="1"/>
  <c r="AQ743" i="1"/>
  <c r="AL743" i="1" s="1"/>
  <c r="AR800" i="1"/>
  <c r="AM800" i="1" s="1"/>
  <c r="AR729" i="1"/>
  <c r="AM729" i="1" s="1"/>
  <c r="AS747" i="1"/>
  <c r="AN747" i="1" s="1"/>
  <c r="AT779" i="1"/>
  <c r="AO779" i="1" s="1"/>
  <c r="AT715" i="1"/>
  <c r="AO715" i="1" s="1"/>
  <c r="AR814" i="1"/>
  <c r="AM814" i="1" s="1"/>
  <c r="AR798" i="1"/>
  <c r="AM798" i="1" s="1"/>
  <c r="AR782" i="1"/>
  <c r="AM782" i="1" s="1"/>
  <c r="AR766" i="1"/>
  <c r="AM766" i="1" s="1"/>
  <c r="AR750" i="1"/>
  <c r="AM750" i="1" s="1"/>
  <c r="AR734" i="1"/>
  <c r="AM734" i="1" s="1"/>
  <c r="AR718" i="1"/>
  <c r="AM718" i="1" s="1"/>
  <c r="AS816" i="1"/>
  <c r="AN816" i="1" s="1"/>
  <c r="AS800" i="1"/>
  <c r="AN800" i="1" s="1"/>
  <c r="AS768" i="1"/>
  <c r="AN768" i="1" s="1"/>
  <c r="AS752" i="1"/>
  <c r="AN752" i="1" s="1"/>
  <c r="AS736" i="1"/>
  <c r="AN736" i="1" s="1"/>
  <c r="AS720" i="1"/>
  <c r="AN720" i="1" s="1"/>
  <c r="U734" i="1"/>
  <c r="W734" i="1" s="1"/>
  <c r="AR813" i="1"/>
  <c r="AM813" i="1" s="1"/>
  <c r="AR781" i="1"/>
  <c r="AM781" i="1" s="1"/>
  <c r="AR749" i="1"/>
  <c r="AM749" i="1" s="1"/>
  <c r="AR733" i="1"/>
  <c r="AM733" i="1" s="1"/>
  <c r="AR717" i="1"/>
  <c r="AM717" i="1" s="1"/>
  <c r="AS815" i="1"/>
  <c r="AN815" i="1" s="1"/>
  <c r="AS783" i="1"/>
  <c r="AN783" i="1" s="1"/>
  <c r="AS767" i="1"/>
  <c r="AN767" i="1" s="1"/>
  <c r="AS751" i="1"/>
  <c r="AN751" i="1" s="1"/>
  <c r="AS735" i="1"/>
  <c r="AN735" i="1" s="1"/>
  <c r="AS719" i="1"/>
  <c r="AN719" i="1" s="1"/>
  <c r="AT801" i="1"/>
  <c r="AO801" i="1" s="1"/>
  <c r="AT785" i="1"/>
  <c r="AO785" i="1" s="1"/>
  <c r="AT769" i="1"/>
  <c r="AO769" i="1" s="1"/>
  <c r="AT753" i="1"/>
  <c r="AO753" i="1" s="1"/>
  <c r="AT737" i="1"/>
  <c r="AO737" i="1" s="1"/>
  <c r="AT721" i="1"/>
  <c r="AO721" i="1" s="1"/>
  <c r="AS801" i="1"/>
  <c r="AN801" i="1" s="1"/>
  <c r="AS769" i="1"/>
  <c r="AN769" i="1" s="1"/>
  <c r="AS721" i="1"/>
  <c r="AN721" i="1" s="1"/>
  <c r="U750" i="1"/>
  <c r="W750" i="1" s="1"/>
  <c r="U782" i="1"/>
  <c r="W782" i="1" s="1"/>
  <c r="U781" i="1"/>
  <c r="W781" i="1" s="1"/>
  <c r="U733" i="1"/>
  <c r="W733" i="1" s="1"/>
  <c r="AQ810" i="1"/>
  <c r="AL810" i="1" s="1"/>
  <c r="AQ794" i="1"/>
  <c r="AL794" i="1" s="1"/>
  <c r="AQ778" i="1"/>
  <c r="AL778" i="1" s="1"/>
  <c r="AQ762" i="1"/>
  <c r="AL762" i="1" s="1"/>
  <c r="AQ714" i="1"/>
  <c r="AL714" i="1" s="1"/>
  <c r="AS814" i="1"/>
  <c r="AN814" i="1" s="1"/>
  <c r="AS798" i="1"/>
  <c r="AN798" i="1" s="1"/>
  <c r="AS782" i="1"/>
  <c r="AN782" i="1" s="1"/>
  <c r="AS766" i="1"/>
  <c r="AN766" i="1" s="1"/>
  <c r="AS750" i="1"/>
  <c r="AN750" i="1" s="1"/>
  <c r="AS734" i="1"/>
  <c r="AN734" i="1" s="1"/>
  <c r="AS718" i="1"/>
  <c r="AN718" i="1" s="1"/>
  <c r="AT816" i="1"/>
  <c r="AO816" i="1" s="1"/>
  <c r="AT800" i="1"/>
  <c r="AO800" i="1" s="1"/>
  <c r="AT768" i="1"/>
  <c r="AO768" i="1" s="1"/>
  <c r="AT752" i="1"/>
  <c r="AO752" i="1" s="1"/>
  <c r="AT736" i="1"/>
  <c r="AO736" i="1" s="1"/>
  <c r="AT720" i="1"/>
  <c r="AO720" i="1" s="1"/>
  <c r="U749" i="1"/>
  <c r="W749" i="1" s="1"/>
  <c r="U814" i="1"/>
  <c r="W814" i="1" s="1"/>
  <c r="U780" i="1"/>
  <c r="W780" i="1" s="1"/>
  <c r="U731" i="1"/>
  <c r="W731" i="1" s="1"/>
  <c r="AQ793" i="1"/>
  <c r="AL793" i="1" s="1"/>
  <c r="AQ761" i="1"/>
  <c r="AL761" i="1" s="1"/>
  <c r="AQ745" i="1"/>
  <c r="AL745" i="1" s="1"/>
  <c r="AQ729" i="1"/>
  <c r="AL729" i="1" s="1"/>
  <c r="AQ713" i="1"/>
  <c r="AL713" i="1" s="1"/>
  <c r="AS813" i="1"/>
  <c r="AN813" i="1" s="1"/>
  <c r="AS781" i="1"/>
  <c r="AN781" i="1" s="1"/>
  <c r="AS749" i="1"/>
  <c r="AN749" i="1" s="1"/>
  <c r="AS733" i="1"/>
  <c r="AN733" i="1" s="1"/>
  <c r="AS717" i="1"/>
  <c r="AN717" i="1" s="1"/>
  <c r="AT815" i="1"/>
  <c r="AO815" i="1" s="1"/>
  <c r="AT783" i="1"/>
  <c r="AO783" i="1" s="1"/>
  <c r="AT767" i="1"/>
  <c r="AO767" i="1" s="1"/>
  <c r="AT751" i="1"/>
  <c r="AO751" i="1" s="1"/>
  <c r="AT735" i="1"/>
  <c r="AO735" i="1" s="1"/>
  <c r="AT719" i="1"/>
  <c r="AO719" i="1" s="1"/>
  <c r="U815" i="1"/>
  <c r="W815" i="1" s="1"/>
  <c r="U813" i="1"/>
  <c r="W813" i="1" s="1"/>
  <c r="AQ808" i="1"/>
  <c r="AL808" i="1" s="1"/>
  <c r="AQ792" i="1"/>
  <c r="AL792" i="1" s="1"/>
  <c r="AQ776" i="1"/>
  <c r="AL776" i="1" s="1"/>
  <c r="AQ760" i="1"/>
  <c r="AL760" i="1" s="1"/>
  <c r="AQ744" i="1"/>
  <c r="AL744" i="1" s="1"/>
  <c r="AQ728" i="1"/>
  <c r="AL728" i="1" s="1"/>
  <c r="AQ712" i="1"/>
  <c r="AL712" i="1" s="1"/>
  <c r="AR810" i="1"/>
  <c r="AM810" i="1" s="1"/>
  <c r="AR794" i="1"/>
  <c r="AM794" i="1" s="1"/>
  <c r="AR778" i="1"/>
  <c r="AM778" i="1" s="1"/>
  <c r="AR762" i="1"/>
  <c r="AM762" i="1" s="1"/>
  <c r="AR746" i="1"/>
  <c r="AM746" i="1" s="1"/>
  <c r="AR714" i="1"/>
  <c r="AM714" i="1" s="1"/>
  <c r="AS812" i="1"/>
  <c r="AN812" i="1" s="1"/>
  <c r="AS796" i="1"/>
  <c r="AN796" i="1" s="1"/>
  <c r="AS780" i="1"/>
  <c r="AN780" i="1" s="1"/>
  <c r="AS764" i="1"/>
  <c r="AN764" i="1" s="1"/>
  <c r="AS748" i="1"/>
  <c r="AN748" i="1" s="1"/>
  <c r="AS732" i="1"/>
  <c r="AN732" i="1" s="1"/>
  <c r="AS716" i="1"/>
  <c r="AN716" i="1" s="1"/>
  <c r="U735" i="1"/>
  <c r="W735" i="1" s="1"/>
  <c r="U794" i="1"/>
  <c r="W794" i="1" s="1"/>
  <c r="AR793" i="1"/>
  <c r="AM793" i="1" s="1"/>
  <c r="AR761" i="1"/>
  <c r="AM761" i="1" s="1"/>
  <c r="AR745" i="1"/>
  <c r="AM745" i="1" s="1"/>
  <c r="U727" i="1"/>
  <c r="W727" i="1" s="1"/>
  <c r="AQ822" i="1"/>
  <c r="AL822" i="1" s="1"/>
  <c r="AQ790" i="1"/>
  <c r="AL790" i="1" s="1"/>
  <c r="AQ774" i="1"/>
  <c r="AL774" i="1" s="1"/>
  <c r="AQ758" i="1"/>
  <c r="AL758" i="1" s="1"/>
  <c r="AQ742" i="1"/>
  <c r="AL742" i="1" s="1"/>
  <c r="AQ726" i="1"/>
  <c r="AL726" i="1" s="1"/>
  <c r="AQ710" i="1"/>
  <c r="AL710" i="1" s="1"/>
  <c r="AR808" i="1"/>
  <c r="AM808" i="1" s="1"/>
  <c r="AR792" i="1"/>
  <c r="AM792" i="1" s="1"/>
  <c r="AR776" i="1"/>
  <c r="AM776" i="1" s="1"/>
  <c r="AR760" i="1"/>
  <c r="AM760" i="1" s="1"/>
  <c r="AR744" i="1"/>
  <c r="AM744" i="1" s="1"/>
  <c r="AR728" i="1"/>
  <c r="AM728" i="1" s="1"/>
  <c r="AR712" i="1"/>
  <c r="AM712" i="1" s="1"/>
  <c r="AS810" i="1"/>
  <c r="AN810" i="1" s="1"/>
  <c r="AS794" i="1"/>
  <c r="AN794" i="1" s="1"/>
  <c r="AS778" i="1"/>
  <c r="AN778" i="1" s="1"/>
  <c r="AS762" i="1"/>
  <c r="AN762" i="1" s="1"/>
  <c r="AS714" i="1"/>
  <c r="AN714" i="1" s="1"/>
  <c r="U737" i="1"/>
  <c r="W737" i="1" s="1"/>
  <c r="U793" i="1"/>
  <c r="W793" i="1" s="1"/>
  <c r="U728" i="1"/>
  <c r="W728" i="1" s="1"/>
  <c r="AQ821" i="1"/>
  <c r="AL821" i="1" s="1"/>
  <c r="AQ805" i="1"/>
  <c r="AL805" i="1" s="1"/>
  <c r="AQ789" i="1"/>
  <c r="AL789" i="1" s="1"/>
  <c r="AQ773" i="1"/>
  <c r="AL773" i="1" s="1"/>
  <c r="AQ725" i="1"/>
  <c r="AL725" i="1" s="1"/>
  <c r="AQ709" i="1"/>
  <c r="AL709" i="1" s="1"/>
  <c r="AR807" i="1"/>
  <c r="AM807" i="1" s="1"/>
  <c r="AR775" i="1"/>
  <c r="AM775" i="1" s="1"/>
  <c r="AR759" i="1"/>
  <c r="AM759" i="1" s="1"/>
  <c r="AS793" i="1"/>
  <c r="AN793" i="1" s="1"/>
  <c r="AS761" i="1"/>
  <c r="AN761" i="1" s="1"/>
  <c r="AS745" i="1"/>
  <c r="AN745" i="1" s="1"/>
  <c r="AS729" i="1"/>
  <c r="AN729" i="1" s="1"/>
  <c r="AS713" i="1"/>
  <c r="AN713" i="1" s="1"/>
  <c r="AS817" i="1"/>
  <c r="AN817" i="1" s="1"/>
  <c r="AS785" i="1"/>
  <c r="AN785" i="1" s="1"/>
  <c r="AS737" i="1"/>
  <c r="AN737" i="1" s="1"/>
  <c r="U775" i="1"/>
  <c r="W775" i="1" s="1"/>
  <c r="AQ820" i="1"/>
  <c r="AL820" i="1" s="1"/>
  <c r="AQ804" i="1"/>
  <c r="AL804" i="1" s="1"/>
  <c r="AQ788" i="1"/>
  <c r="AL788" i="1" s="1"/>
  <c r="AQ756" i="1"/>
  <c r="AL756" i="1" s="1"/>
  <c r="AQ740" i="1"/>
  <c r="AL740" i="1" s="1"/>
  <c r="AQ724" i="1"/>
  <c r="AL724" i="1" s="1"/>
  <c r="AR822" i="1"/>
  <c r="AM822" i="1" s="1"/>
  <c r="AR806" i="1"/>
  <c r="AM806" i="1" s="1"/>
  <c r="AR790" i="1"/>
  <c r="AM790" i="1" s="1"/>
  <c r="AR774" i="1"/>
  <c r="AM774" i="1" s="1"/>
  <c r="AR758" i="1"/>
  <c r="AM758" i="1" s="1"/>
  <c r="AR742" i="1"/>
  <c r="AM742" i="1" s="1"/>
  <c r="AR726" i="1"/>
  <c r="AM726" i="1" s="1"/>
  <c r="AR710" i="1"/>
  <c r="AM710" i="1" s="1"/>
  <c r="AS808" i="1"/>
  <c r="AN808" i="1" s="1"/>
  <c r="AS792" i="1"/>
  <c r="AN792" i="1" s="1"/>
  <c r="AS776" i="1"/>
  <c r="AN776" i="1" s="1"/>
  <c r="AS760" i="1"/>
  <c r="AN760" i="1" s="1"/>
  <c r="AS744" i="1"/>
  <c r="AN744" i="1" s="1"/>
  <c r="AS728" i="1"/>
  <c r="AN728" i="1" s="1"/>
  <c r="AS712" i="1"/>
  <c r="AN712" i="1" s="1"/>
  <c r="U768" i="1"/>
  <c r="W768" i="1" s="1"/>
  <c r="U808" i="1"/>
  <c r="W808" i="1" s="1"/>
  <c r="U774" i="1"/>
  <c r="W774" i="1" s="1"/>
  <c r="AQ819" i="1"/>
  <c r="AL819" i="1" s="1"/>
  <c r="AQ787" i="1"/>
  <c r="AL787" i="1" s="1"/>
  <c r="AQ771" i="1"/>
  <c r="AL771" i="1" s="1"/>
  <c r="AQ755" i="1"/>
  <c r="AL755" i="1" s="1"/>
  <c r="AQ739" i="1"/>
  <c r="AL739" i="1" s="1"/>
  <c r="AQ723" i="1"/>
  <c r="AL723" i="1" s="1"/>
  <c r="AR821" i="1"/>
  <c r="AM821" i="1" s="1"/>
  <c r="AR805" i="1"/>
  <c r="AM805" i="1" s="1"/>
  <c r="AR789" i="1"/>
  <c r="AM789" i="1" s="1"/>
  <c r="AR773" i="1"/>
  <c r="AM773" i="1" s="1"/>
  <c r="AR725" i="1"/>
  <c r="AM725" i="1" s="1"/>
  <c r="AR709" i="1"/>
  <c r="AM709" i="1" s="1"/>
  <c r="AS807" i="1"/>
  <c r="AN807" i="1" s="1"/>
  <c r="AS775" i="1"/>
  <c r="AN775" i="1" s="1"/>
  <c r="AS759" i="1"/>
  <c r="AN759" i="1" s="1"/>
  <c r="AS743" i="1"/>
  <c r="AN743" i="1" s="1"/>
  <c r="AS727" i="1"/>
  <c r="AN727" i="1" s="1"/>
  <c r="AS711" i="1"/>
  <c r="AN711" i="1" s="1"/>
  <c r="U752" i="1"/>
  <c r="W752" i="1" s="1"/>
  <c r="U767" i="1"/>
  <c r="W767" i="1" s="1"/>
  <c r="AR820" i="1"/>
  <c r="AM820" i="1" s="1"/>
  <c r="AR804" i="1"/>
  <c r="AM804" i="1" s="1"/>
  <c r="AR788" i="1"/>
  <c r="AM788" i="1" s="1"/>
  <c r="AR756" i="1"/>
  <c r="AM756" i="1" s="1"/>
  <c r="AR740" i="1"/>
  <c r="AM740" i="1" s="1"/>
  <c r="AR724" i="1"/>
  <c r="AM724" i="1" s="1"/>
  <c r="AS822" i="1"/>
  <c r="AN822" i="1" s="1"/>
  <c r="AS790" i="1"/>
  <c r="AN790" i="1" s="1"/>
  <c r="AS774" i="1"/>
  <c r="AN774" i="1" s="1"/>
  <c r="AS758" i="1"/>
  <c r="AN758" i="1" s="1"/>
  <c r="AS742" i="1"/>
  <c r="AN742" i="1" s="1"/>
  <c r="AS726" i="1"/>
  <c r="AN726" i="1" s="1"/>
  <c r="AS710" i="1"/>
  <c r="AN710" i="1" s="1"/>
  <c r="U751" i="1"/>
  <c r="W751" i="1" s="1"/>
  <c r="U822" i="1"/>
  <c r="W822" i="1" s="1"/>
  <c r="AQ817" i="1"/>
  <c r="AL817" i="1" s="1"/>
  <c r="AQ801" i="1"/>
  <c r="AL801" i="1" s="1"/>
  <c r="AQ785" i="1"/>
  <c r="AL785" i="1" s="1"/>
  <c r="AQ769" i="1"/>
  <c r="AL769" i="1" s="1"/>
  <c r="AQ737" i="1"/>
  <c r="AL737" i="1" s="1"/>
  <c r="AQ721" i="1"/>
  <c r="AL721" i="1" s="1"/>
  <c r="AR819" i="1"/>
  <c r="AM819" i="1" s="1"/>
  <c r="AR787" i="1"/>
  <c r="AM787" i="1" s="1"/>
  <c r="AR771" i="1"/>
  <c r="AM771" i="1" s="1"/>
  <c r="AR755" i="1"/>
  <c r="AM755" i="1" s="1"/>
  <c r="AR739" i="1"/>
  <c r="AM739" i="1" s="1"/>
  <c r="AR723" i="1"/>
  <c r="AM723" i="1" s="1"/>
  <c r="AS821" i="1"/>
  <c r="AN821" i="1" s="1"/>
  <c r="AS805" i="1"/>
  <c r="AN805" i="1" s="1"/>
  <c r="AS789" i="1"/>
  <c r="AN789" i="1" s="1"/>
  <c r="AS773" i="1"/>
  <c r="AN773" i="1" s="1"/>
  <c r="AS725" i="1"/>
  <c r="AN725" i="1" s="1"/>
  <c r="AS709" i="1"/>
  <c r="AN709" i="1" s="1"/>
  <c r="U736" i="1"/>
  <c r="W736" i="1" s="1"/>
  <c r="U821" i="1"/>
  <c r="W821" i="1" s="1"/>
  <c r="U755" i="1"/>
  <c r="W755" i="1" s="1"/>
  <c r="AR754" i="1"/>
  <c r="AM754" i="1" s="1"/>
  <c r="AR738" i="1"/>
  <c r="AM738" i="1" s="1"/>
  <c r="AS820" i="1"/>
  <c r="AN820" i="1" s="1"/>
  <c r="BA3" i="9"/>
  <c r="AX3" i="9"/>
  <c r="V9" i="9"/>
  <c r="V10" i="9"/>
  <c r="V11" i="9"/>
  <c r="V12" i="9"/>
  <c r="V13" i="9"/>
  <c r="V8" i="9"/>
  <c r="S13" i="9"/>
  <c r="S12" i="9"/>
  <c r="S11" i="9"/>
  <c r="S10" i="9"/>
  <c r="S9" i="9"/>
  <c r="S8" i="9"/>
  <c r="BA3" i="10"/>
  <c r="AX3" i="10"/>
  <c r="V11" i="10"/>
  <c r="V12" i="10"/>
  <c r="V13" i="10"/>
  <c r="V14" i="10"/>
  <c r="V15" i="10"/>
  <c r="V16" i="10"/>
  <c r="V17" i="10"/>
  <c r="V10" i="10"/>
  <c r="S17" i="10"/>
  <c r="S16" i="10"/>
  <c r="S15" i="10"/>
  <c r="S14" i="10"/>
  <c r="S13" i="10"/>
  <c r="S12" i="10"/>
  <c r="S11" i="10"/>
  <c r="S10" i="10"/>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U596" i="1"/>
  <c r="W596" i="1" s="1"/>
  <c r="U597" i="1"/>
  <c r="W597" i="1" s="1"/>
  <c r="U598" i="1"/>
  <c r="W598" i="1" s="1"/>
  <c r="U599" i="1"/>
  <c r="W599" i="1" s="1"/>
  <c r="U600" i="1"/>
  <c r="W600" i="1" s="1"/>
  <c r="U601" i="1"/>
  <c r="W601" i="1" s="1"/>
  <c r="U602" i="1"/>
  <c r="W602" i="1" s="1"/>
  <c r="U603" i="1"/>
  <c r="W603" i="1" s="1"/>
  <c r="U625" i="1"/>
  <c r="W625" i="1" s="1"/>
  <c r="U626" i="1"/>
  <c r="W626" i="1" s="1"/>
  <c r="U627" i="1"/>
  <c r="W627" i="1" s="1"/>
  <c r="U628" i="1"/>
  <c r="W628" i="1" s="1"/>
  <c r="U629" i="1"/>
  <c r="W629" i="1" s="1"/>
  <c r="U630" i="1"/>
  <c r="W630" i="1" s="1"/>
  <c r="U631" i="1"/>
  <c r="W631" i="1" s="1"/>
  <c r="U632" i="1"/>
  <c r="W632" i="1" s="1"/>
  <c r="U633" i="1"/>
  <c r="W633" i="1" s="1"/>
  <c r="U634" i="1"/>
  <c r="W634" i="1" s="1"/>
  <c r="U642" i="1"/>
  <c r="W642" i="1" s="1"/>
  <c r="U643" i="1"/>
  <c r="W643" i="1" s="1"/>
  <c r="U644" i="1"/>
  <c r="W644" i="1" s="1"/>
  <c r="U645" i="1"/>
  <c r="W645" i="1" s="1"/>
  <c r="U646" i="1"/>
  <c r="W646" i="1" s="1"/>
  <c r="U647" i="1"/>
  <c r="W647" i="1" s="1"/>
  <c r="U648" i="1"/>
  <c r="W648" i="1" s="1"/>
  <c r="U649" i="1"/>
  <c r="W649" i="1" s="1"/>
  <c r="U650" i="1"/>
  <c r="W650" i="1" s="1"/>
  <c r="U651" i="1"/>
  <c r="W651" i="1" s="1"/>
  <c r="U655" i="1"/>
  <c r="W655" i="1" s="1"/>
  <c r="U656" i="1"/>
  <c r="W656" i="1" s="1"/>
  <c r="U657" i="1"/>
  <c r="W657" i="1" s="1"/>
  <c r="U658" i="1"/>
  <c r="W658" i="1" s="1"/>
  <c r="U662" i="1"/>
  <c r="W662" i="1" s="1"/>
  <c r="U663" i="1"/>
  <c r="W663" i="1" s="1"/>
  <c r="U664" i="1"/>
  <c r="W664" i="1" s="1"/>
  <c r="U665" i="1"/>
  <c r="W665" i="1" s="1"/>
  <c r="U669" i="1"/>
  <c r="W669" i="1" s="1"/>
  <c r="U670" i="1"/>
  <c r="W670" i="1" s="1"/>
  <c r="U671" i="1"/>
  <c r="W671" i="1" s="1"/>
  <c r="U672" i="1"/>
  <c r="W672" i="1" s="1"/>
  <c r="U673" i="1"/>
  <c r="W673" i="1" s="1"/>
  <c r="U674" i="1"/>
  <c r="W674" i="1" s="1"/>
  <c r="U675" i="1"/>
  <c r="W675" i="1" s="1"/>
  <c r="U676" i="1"/>
  <c r="W676" i="1" s="1"/>
  <c r="U677" i="1"/>
  <c r="W677" i="1" s="1"/>
  <c r="U678" i="1"/>
  <c r="W678" i="1" s="1"/>
  <c r="U682" i="1"/>
  <c r="W682" i="1" s="1"/>
  <c r="U683" i="1"/>
  <c r="W683" i="1" s="1"/>
  <c r="U684" i="1"/>
  <c r="W684" i="1" s="1"/>
  <c r="U685" i="1"/>
  <c r="W685" i="1" s="1"/>
  <c r="U686" i="1"/>
  <c r="W686" i="1" s="1"/>
  <c r="U687" i="1"/>
  <c r="W687" i="1" s="1"/>
  <c r="U688" i="1"/>
  <c r="W688" i="1" s="1"/>
  <c r="U689" i="1"/>
  <c r="W689" i="1" s="1"/>
  <c r="U690" i="1"/>
  <c r="W690" i="1" s="1"/>
  <c r="U691" i="1"/>
  <c r="W691" i="1" s="1"/>
  <c r="U695" i="1"/>
  <c r="W695" i="1" s="1"/>
  <c r="U696" i="1"/>
  <c r="W696" i="1" s="1"/>
  <c r="U697" i="1"/>
  <c r="W697" i="1" s="1"/>
  <c r="U698" i="1"/>
  <c r="W698" i="1" s="1"/>
  <c r="U702" i="1"/>
  <c r="W702" i="1" s="1"/>
  <c r="U703" i="1"/>
  <c r="W703" i="1" s="1"/>
  <c r="U704" i="1"/>
  <c r="W704" i="1" s="1"/>
  <c r="U705" i="1"/>
  <c r="W705" i="1" s="1"/>
  <c r="S596" i="1"/>
  <c r="S597" i="1"/>
  <c r="S598" i="1"/>
  <c r="S599" i="1"/>
  <c r="S600" i="1"/>
  <c r="S601" i="1"/>
  <c r="S602" i="1"/>
  <c r="S603" i="1"/>
  <c r="S604" i="1"/>
  <c r="U604" i="1" s="1"/>
  <c r="W604" i="1" s="1"/>
  <c r="S605" i="1"/>
  <c r="S606" i="1"/>
  <c r="S607" i="1"/>
  <c r="U607" i="1" s="1"/>
  <c r="W607" i="1" s="1"/>
  <c r="S608" i="1"/>
  <c r="S609" i="1"/>
  <c r="S610" i="1"/>
  <c r="S611" i="1"/>
  <c r="S612" i="1"/>
  <c r="S613" i="1"/>
  <c r="S614" i="1"/>
  <c r="S615" i="1"/>
  <c r="U615" i="1" s="1"/>
  <c r="W615" i="1" s="1"/>
  <c r="S616" i="1"/>
  <c r="S617" i="1"/>
  <c r="S618" i="1"/>
  <c r="S619" i="1"/>
  <c r="S620" i="1"/>
  <c r="S621" i="1"/>
  <c r="U621" i="1" s="1"/>
  <c r="W621" i="1" s="1"/>
  <c r="S622" i="1"/>
  <c r="U622" i="1" s="1"/>
  <c r="W622" i="1" s="1"/>
  <c r="S623" i="1"/>
  <c r="U623" i="1" s="1"/>
  <c r="W623" i="1" s="1"/>
  <c r="S624" i="1"/>
  <c r="U624" i="1" s="1"/>
  <c r="W624" i="1" s="1"/>
  <c r="S625" i="1"/>
  <c r="S626" i="1"/>
  <c r="S627" i="1"/>
  <c r="S628" i="1"/>
  <c r="S629" i="1"/>
  <c r="S630" i="1"/>
  <c r="S631" i="1"/>
  <c r="S632" i="1"/>
  <c r="S633" i="1"/>
  <c r="S634" i="1"/>
  <c r="S635" i="1"/>
  <c r="S636" i="1"/>
  <c r="S637" i="1"/>
  <c r="S638" i="1"/>
  <c r="U638" i="1" s="1"/>
  <c r="W638" i="1" s="1"/>
  <c r="S639" i="1"/>
  <c r="U639" i="1" s="1"/>
  <c r="W639" i="1" s="1"/>
  <c r="S640" i="1"/>
  <c r="U640" i="1" s="1"/>
  <c r="W640" i="1" s="1"/>
  <c r="S641" i="1"/>
  <c r="U641" i="1" s="1"/>
  <c r="W641" i="1" s="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U428" i="1"/>
  <c r="W428" i="1" s="1"/>
  <c r="U429" i="1"/>
  <c r="W429" i="1" s="1"/>
  <c r="U430" i="1"/>
  <c r="W430" i="1" s="1"/>
  <c r="U431" i="1"/>
  <c r="W431" i="1" s="1"/>
  <c r="U432" i="1"/>
  <c r="W432" i="1" s="1"/>
  <c r="U433" i="1"/>
  <c r="W433" i="1" s="1"/>
  <c r="U434" i="1"/>
  <c r="W434" i="1" s="1"/>
  <c r="U435" i="1"/>
  <c r="W435" i="1" s="1"/>
  <c r="U436" i="1"/>
  <c r="W436" i="1" s="1"/>
  <c r="U444" i="1"/>
  <c r="W444" i="1" s="1"/>
  <c r="U445" i="1"/>
  <c r="W445" i="1" s="1"/>
  <c r="U446" i="1"/>
  <c r="W446" i="1" s="1"/>
  <c r="U447" i="1"/>
  <c r="W447" i="1" s="1"/>
  <c r="U448" i="1"/>
  <c r="W448" i="1" s="1"/>
  <c r="U449" i="1"/>
  <c r="W449" i="1" s="1"/>
  <c r="U450" i="1"/>
  <c r="W450" i="1" s="1"/>
  <c r="U451" i="1"/>
  <c r="W451" i="1" s="1"/>
  <c r="U452" i="1"/>
  <c r="W452" i="1" s="1"/>
  <c r="U453" i="1"/>
  <c r="W453" i="1" s="1"/>
  <c r="U457" i="1"/>
  <c r="W457" i="1" s="1"/>
  <c r="U458" i="1"/>
  <c r="W458" i="1" s="1"/>
  <c r="U459" i="1"/>
  <c r="W459" i="1" s="1"/>
  <c r="U460" i="1"/>
  <c r="W460" i="1" s="1"/>
  <c r="U464" i="1"/>
  <c r="W464" i="1" s="1"/>
  <c r="U465" i="1"/>
  <c r="W465" i="1" s="1"/>
  <c r="U466" i="1"/>
  <c r="W466" i="1" s="1"/>
  <c r="U467" i="1"/>
  <c r="W467" i="1" s="1"/>
  <c r="U468" i="1"/>
  <c r="W468" i="1" s="1"/>
  <c r="U469" i="1"/>
  <c r="W469" i="1" s="1"/>
  <c r="U470" i="1"/>
  <c r="W470" i="1" s="1"/>
  <c r="U471" i="1"/>
  <c r="W471" i="1" s="1"/>
  <c r="U472" i="1"/>
  <c r="W472" i="1" s="1"/>
  <c r="U473" i="1"/>
  <c r="W473" i="1" s="1"/>
  <c r="U477" i="1"/>
  <c r="W477" i="1" s="1"/>
  <c r="U478" i="1"/>
  <c r="W478" i="1" s="1"/>
  <c r="U479" i="1"/>
  <c r="W479" i="1" s="1"/>
  <c r="U480" i="1"/>
  <c r="W480" i="1" s="1"/>
  <c r="U484" i="1"/>
  <c r="W484" i="1" s="1"/>
  <c r="U485" i="1"/>
  <c r="W485" i="1" s="1"/>
  <c r="U486" i="1"/>
  <c r="W486" i="1" s="1"/>
  <c r="U487" i="1"/>
  <c r="W487" i="1" s="1"/>
  <c r="U488" i="1"/>
  <c r="W488" i="1" s="1"/>
  <c r="U489" i="1"/>
  <c r="W489" i="1" s="1"/>
  <c r="U490" i="1"/>
  <c r="W490" i="1" s="1"/>
  <c r="U491" i="1"/>
  <c r="W491" i="1" s="1"/>
  <c r="U492" i="1"/>
  <c r="W492" i="1" s="1"/>
  <c r="U500" i="1"/>
  <c r="W500" i="1" s="1"/>
  <c r="U501" i="1"/>
  <c r="W501" i="1" s="1"/>
  <c r="U502" i="1"/>
  <c r="W502" i="1" s="1"/>
  <c r="U503" i="1"/>
  <c r="W503" i="1" s="1"/>
  <c r="U504" i="1"/>
  <c r="W504" i="1" s="1"/>
  <c r="U505" i="1"/>
  <c r="W505" i="1" s="1"/>
  <c r="U506" i="1"/>
  <c r="W506" i="1" s="1"/>
  <c r="U507" i="1"/>
  <c r="W507" i="1" s="1"/>
  <c r="U508" i="1"/>
  <c r="W508" i="1" s="1"/>
  <c r="U509" i="1"/>
  <c r="W509" i="1" s="1"/>
  <c r="U513" i="1"/>
  <c r="W513" i="1" s="1"/>
  <c r="U514" i="1"/>
  <c r="W514" i="1" s="1"/>
  <c r="U515" i="1"/>
  <c r="W515" i="1" s="1"/>
  <c r="U516" i="1"/>
  <c r="W516" i="1" s="1"/>
  <c r="U520" i="1"/>
  <c r="W520" i="1" s="1"/>
  <c r="U521" i="1"/>
  <c r="W521" i="1" s="1"/>
  <c r="U522" i="1"/>
  <c r="W522" i="1" s="1"/>
  <c r="U523" i="1"/>
  <c r="W523" i="1" s="1"/>
  <c r="U524" i="1"/>
  <c r="W524" i="1" s="1"/>
  <c r="U525" i="1"/>
  <c r="W525" i="1" s="1"/>
  <c r="U526" i="1"/>
  <c r="W526" i="1" s="1"/>
  <c r="U527" i="1"/>
  <c r="W527" i="1" s="1"/>
  <c r="U528" i="1"/>
  <c r="W528" i="1" s="1"/>
  <c r="U529" i="1"/>
  <c r="W529" i="1" s="1"/>
  <c r="U533" i="1"/>
  <c r="W533" i="1" s="1"/>
  <c r="U534" i="1"/>
  <c r="W534" i="1" s="1"/>
  <c r="U535" i="1"/>
  <c r="W535" i="1" s="1"/>
  <c r="U536" i="1"/>
  <c r="W536" i="1" s="1"/>
  <c r="U540" i="1"/>
  <c r="W540" i="1" s="1"/>
  <c r="U541" i="1"/>
  <c r="W541" i="1" s="1"/>
  <c r="U542" i="1"/>
  <c r="W542" i="1" s="1"/>
  <c r="U543" i="1"/>
  <c r="W543" i="1" s="1"/>
  <c r="U544" i="1"/>
  <c r="W544" i="1" s="1"/>
  <c r="U545" i="1"/>
  <c r="W545" i="1" s="1"/>
  <c r="U546" i="1"/>
  <c r="W546" i="1" s="1"/>
  <c r="U547" i="1"/>
  <c r="W547" i="1" s="1"/>
  <c r="U548" i="1"/>
  <c r="W548" i="1" s="1"/>
  <c r="U551" i="1"/>
  <c r="W551" i="1" s="1"/>
  <c r="U556" i="1"/>
  <c r="W556" i="1" s="1"/>
  <c r="U557" i="1"/>
  <c r="W557" i="1" s="1"/>
  <c r="U558" i="1"/>
  <c r="W558" i="1" s="1"/>
  <c r="U559" i="1"/>
  <c r="W559" i="1" s="1"/>
  <c r="U560" i="1"/>
  <c r="W560" i="1" s="1"/>
  <c r="U561" i="1"/>
  <c r="W561" i="1" s="1"/>
  <c r="U562" i="1"/>
  <c r="W562" i="1" s="1"/>
  <c r="U563" i="1"/>
  <c r="W563" i="1" s="1"/>
  <c r="U564" i="1"/>
  <c r="W564" i="1" s="1"/>
  <c r="U565" i="1"/>
  <c r="W565" i="1" s="1"/>
  <c r="U569" i="1"/>
  <c r="W569" i="1" s="1"/>
  <c r="U570" i="1"/>
  <c r="W570" i="1" s="1"/>
  <c r="U571" i="1"/>
  <c r="W571" i="1" s="1"/>
  <c r="U572" i="1"/>
  <c r="W572" i="1" s="1"/>
  <c r="U576" i="1"/>
  <c r="W576" i="1" s="1"/>
  <c r="U577" i="1"/>
  <c r="W577" i="1" s="1"/>
  <c r="U578" i="1"/>
  <c r="W578" i="1" s="1"/>
  <c r="U579" i="1"/>
  <c r="W579" i="1" s="1"/>
  <c r="U580" i="1"/>
  <c r="W580" i="1" s="1"/>
  <c r="U581" i="1"/>
  <c r="W581" i="1" s="1"/>
  <c r="U582" i="1"/>
  <c r="W582" i="1" s="1"/>
  <c r="U583" i="1"/>
  <c r="W583" i="1" s="1"/>
  <c r="U584" i="1"/>
  <c r="W584" i="1" s="1"/>
  <c r="U585" i="1"/>
  <c r="W585" i="1" s="1"/>
  <c r="U589" i="1"/>
  <c r="W589" i="1" s="1"/>
  <c r="U590" i="1"/>
  <c r="W590" i="1" s="1"/>
  <c r="U591" i="1"/>
  <c r="W591" i="1" s="1"/>
  <c r="U592" i="1"/>
  <c r="W592" i="1" s="1"/>
  <c r="S428" i="1"/>
  <c r="S429" i="1"/>
  <c r="S430" i="1"/>
  <c r="S431" i="1"/>
  <c r="S432" i="1"/>
  <c r="S433" i="1"/>
  <c r="S434" i="1"/>
  <c r="S435" i="1"/>
  <c r="S436" i="1"/>
  <c r="S437" i="1"/>
  <c r="S438" i="1"/>
  <c r="S439" i="1"/>
  <c r="S440" i="1"/>
  <c r="S441" i="1"/>
  <c r="S442" i="1"/>
  <c r="U442" i="1" s="1"/>
  <c r="W442" i="1" s="1"/>
  <c r="S443" i="1"/>
  <c r="U443" i="1" s="1"/>
  <c r="W443" i="1" s="1"/>
  <c r="S444" i="1"/>
  <c r="S445" i="1"/>
  <c r="S446" i="1"/>
  <c r="S447" i="1"/>
  <c r="S448" i="1"/>
  <c r="S449" i="1"/>
  <c r="S450" i="1"/>
  <c r="S451" i="1"/>
  <c r="S452" i="1"/>
  <c r="S453" i="1"/>
  <c r="S454" i="1"/>
  <c r="S455" i="1"/>
  <c r="S456" i="1"/>
  <c r="S457" i="1"/>
  <c r="S458" i="1"/>
  <c r="S459" i="1"/>
  <c r="S460" i="1"/>
  <c r="S461" i="1"/>
  <c r="U461" i="1" s="1"/>
  <c r="W461" i="1" s="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U493" i="1" s="1"/>
  <c r="W493" i="1" s="1"/>
  <c r="S494" i="1"/>
  <c r="S495" i="1"/>
  <c r="S496" i="1"/>
  <c r="S497" i="1"/>
  <c r="S498" i="1"/>
  <c r="S499" i="1"/>
  <c r="S500" i="1"/>
  <c r="S501" i="1"/>
  <c r="S502" i="1"/>
  <c r="S503" i="1"/>
  <c r="S504" i="1"/>
  <c r="S505" i="1"/>
  <c r="S506" i="1"/>
  <c r="S507" i="1"/>
  <c r="S508" i="1"/>
  <c r="S509" i="1"/>
  <c r="U510" i="1" s="1"/>
  <c r="W510" i="1" s="1"/>
  <c r="S510" i="1"/>
  <c r="S511" i="1"/>
  <c r="S512" i="1"/>
  <c r="S513" i="1"/>
  <c r="S514" i="1"/>
  <c r="S515" i="1"/>
  <c r="S516" i="1"/>
  <c r="S517" i="1"/>
  <c r="S518" i="1"/>
  <c r="S519" i="1"/>
  <c r="U519" i="1" s="1"/>
  <c r="W519" i="1" s="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U554" i="1" s="1"/>
  <c r="W554" i="1" s="1"/>
  <c r="S555" i="1"/>
  <c r="U555" i="1" s="1"/>
  <c r="W555" i="1" s="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AK427" i="1"/>
  <c r="AK426" i="1"/>
  <c r="AI426" i="1"/>
  <c r="AH426" i="1"/>
  <c r="AK425" i="1"/>
  <c r="AI425" i="1"/>
  <c r="AH425" i="1"/>
  <c r="AK424" i="1"/>
  <c r="AI424" i="1"/>
  <c r="AH424" i="1"/>
  <c r="S424" i="1" s="1"/>
  <c r="AK423" i="1"/>
  <c r="AI423" i="1"/>
  <c r="AH423" i="1"/>
  <c r="AK422" i="1"/>
  <c r="AK421" i="1"/>
  <c r="S421" i="1" s="1"/>
  <c r="AK420" i="1"/>
  <c r="AI420" i="1"/>
  <c r="AH420" i="1"/>
  <c r="AK419" i="1"/>
  <c r="AI419" i="1"/>
  <c r="AH419" i="1"/>
  <c r="AK418" i="1"/>
  <c r="AI418" i="1"/>
  <c r="AH418" i="1"/>
  <c r="AK417" i="1"/>
  <c r="AI417" i="1"/>
  <c r="AH417" i="1"/>
  <c r="AK416" i="1"/>
  <c r="AI416" i="1"/>
  <c r="AH416" i="1"/>
  <c r="AK415" i="1"/>
  <c r="AI415" i="1"/>
  <c r="AH415" i="1"/>
  <c r="AK414" i="1"/>
  <c r="AI414" i="1"/>
  <c r="AH414" i="1"/>
  <c r="AK413" i="1"/>
  <c r="AI413" i="1"/>
  <c r="AH413" i="1"/>
  <c r="AK412" i="1"/>
  <c r="AI412" i="1"/>
  <c r="AH412" i="1"/>
  <c r="AK411" i="1"/>
  <c r="AI411" i="1"/>
  <c r="AH411" i="1"/>
  <c r="AK410" i="1"/>
  <c r="AI410" i="1"/>
  <c r="AH410" i="1"/>
  <c r="AK409" i="1"/>
  <c r="AK408" i="1"/>
  <c r="S408" i="1" s="1"/>
  <c r="AK407" i="1"/>
  <c r="AI407" i="1"/>
  <c r="AH407" i="1"/>
  <c r="AK406" i="1"/>
  <c r="AI406" i="1"/>
  <c r="AH406" i="1"/>
  <c r="AK405" i="1"/>
  <c r="AI405" i="1"/>
  <c r="S405" i="1" s="1"/>
  <c r="AH405" i="1"/>
  <c r="AK404" i="1"/>
  <c r="AI404" i="1"/>
  <c r="AH404" i="1"/>
  <c r="AK403" i="1"/>
  <c r="AI403" i="1"/>
  <c r="AH403" i="1"/>
  <c r="AK402" i="1"/>
  <c r="AI402" i="1"/>
  <c r="AH402" i="1"/>
  <c r="AK401" i="1"/>
  <c r="AI401" i="1"/>
  <c r="AH401" i="1"/>
  <c r="AK400" i="1"/>
  <c r="AI400" i="1"/>
  <c r="AH400" i="1"/>
  <c r="AK399" i="1"/>
  <c r="AI399" i="1"/>
  <c r="AH399" i="1"/>
  <c r="S399" i="1" s="1"/>
  <c r="AK398" i="1"/>
  <c r="AI398" i="1"/>
  <c r="AH398" i="1"/>
  <c r="AK397" i="1"/>
  <c r="AI397" i="1"/>
  <c r="AH397" i="1"/>
  <c r="AK396" i="1"/>
  <c r="S396" i="1" s="1"/>
  <c r="AK395" i="1"/>
  <c r="AK394" i="1"/>
  <c r="S394" i="1" s="1"/>
  <c r="AI394" i="1"/>
  <c r="AH394" i="1"/>
  <c r="AK393" i="1"/>
  <c r="AI393" i="1"/>
  <c r="AH393" i="1"/>
  <c r="AK392" i="1"/>
  <c r="S392" i="1" s="1"/>
  <c r="AK391" i="1"/>
  <c r="S391" i="1" s="1"/>
  <c r="AK390" i="1"/>
  <c r="AI390" i="1"/>
  <c r="AH390" i="1"/>
  <c r="AK389" i="1"/>
  <c r="AI389" i="1"/>
  <c r="AH389" i="1"/>
  <c r="AK388" i="1"/>
  <c r="AI388" i="1"/>
  <c r="AH388" i="1"/>
  <c r="AK387" i="1"/>
  <c r="AI387" i="1"/>
  <c r="AH387" i="1"/>
  <c r="AK386" i="1"/>
  <c r="AI386" i="1"/>
  <c r="AK385" i="1"/>
  <c r="AI385" i="1"/>
  <c r="AH385" i="1"/>
  <c r="AK384" i="1"/>
  <c r="AI384" i="1"/>
  <c r="AK383" i="1"/>
  <c r="AI383" i="1"/>
  <c r="AH383" i="1"/>
  <c r="AK382" i="1"/>
  <c r="AI382" i="1"/>
  <c r="AH382" i="1"/>
  <c r="AK381" i="1"/>
  <c r="AI381" i="1"/>
  <c r="AH381" i="1"/>
  <c r="AK380" i="1"/>
  <c r="AI380" i="1"/>
  <c r="AH380" i="1"/>
  <c r="AK379" i="1"/>
  <c r="AK378" i="1"/>
  <c r="AK377" i="1"/>
  <c r="AI377" i="1"/>
  <c r="AH377" i="1"/>
  <c r="AK376" i="1"/>
  <c r="AI376" i="1"/>
  <c r="AH376" i="1"/>
  <c r="AK375" i="1"/>
  <c r="AI375" i="1"/>
  <c r="AH375" i="1"/>
  <c r="AK374" i="1"/>
  <c r="AI374" i="1"/>
  <c r="AH374" i="1"/>
  <c r="AK373" i="1"/>
  <c r="AI373" i="1"/>
  <c r="AH373" i="1"/>
  <c r="AK372" i="1"/>
  <c r="AI372" i="1"/>
  <c r="AH372" i="1"/>
  <c r="S372" i="1" s="1"/>
  <c r="AK371" i="1"/>
  <c r="AI371" i="1"/>
  <c r="AH371" i="1"/>
  <c r="AK370" i="1"/>
  <c r="AI370" i="1"/>
  <c r="AH370" i="1"/>
  <c r="AK369" i="1"/>
  <c r="AI369" i="1"/>
  <c r="AH369" i="1"/>
  <c r="AK368" i="1"/>
  <c r="AI368" i="1"/>
  <c r="AH368" i="1"/>
  <c r="AK367" i="1"/>
  <c r="AI367" i="1"/>
  <c r="AH367" i="1"/>
  <c r="AK366" i="1"/>
  <c r="AI366" i="1"/>
  <c r="AH366" i="1"/>
  <c r="AK365" i="1"/>
  <c r="AI365" i="1"/>
  <c r="AH365" i="1"/>
  <c r="AK363" i="1"/>
  <c r="AI363" i="1"/>
  <c r="AH363" i="1"/>
  <c r="AK362" i="1"/>
  <c r="AI362" i="1"/>
  <c r="AH362" i="1"/>
  <c r="AK361" i="1"/>
  <c r="AI361" i="1"/>
  <c r="AH361" i="1"/>
  <c r="AK360" i="1"/>
  <c r="AI360" i="1"/>
  <c r="S360" i="1" s="1"/>
  <c r="AH360" i="1"/>
  <c r="AK359" i="1"/>
  <c r="AI359" i="1"/>
  <c r="AH359" i="1"/>
  <c r="AK358" i="1"/>
  <c r="S358" i="1" s="1"/>
  <c r="AK356" i="1"/>
  <c r="S356" i="1" s="1"/>
  <c r="AI356" i="1"/>
  <c r="AH356" i="1"/>
  <c r="AK355" i="1"/>
  <c r="S355" i="1" s="1"/>
  <c r="AK354" i="1"/>
  <c r="S354" i="1" s="1"/>
  <c r="AI354" i="1"/>
  <c r="AH354" i="1"/>
  <c r="AK353" i="1"/>
  <c r="AI353" i="1"/>
  <c r="AK352" i="1"/>
  <c r="S352" i="1" s="1"/>
  <c r="AK351" i="1"/>
  <c r="AI351" i="1"/>
  <c r="AH351" i="1"/>
  <c r="AK350" i="1"/>
  <c r="AI350" i="1"/>
  <c r="AH350" i="1"/>
  <c r="AK349" i="1"/>
  <c r="AI349" i="1"/>
  <c r="AH349" i="1"/>
  <c r="AK348" i="1"/>
  <c r="AI348" i="1"/>
  <c r="AK347" i="1"/>
  <c r="AI347" i="1"/>
  <c r="AH347" i="1"/>
  <c r="AK346" i="1"/>
  <c r="AI346" i="1"/>
  <c r="AH346" i="1"/>
  <c r="AK345" i="1"/>
  <c r="AI345" i="1"/>
  <c r="AH345" i="1"/>
  <c r="AK344" i="1"/>
  <c r="AI344" i="1"/>
  <c r="AH344" i="1"/>
  <c r="AK343" i="1"/>
  <c r="AI343" i="1"/>
  <c r="AH343" i="1"/>
  <c r="AK342" i="1"/>
  <c r="AI342" i="1"/>
  <c r="AH342" i="1"/>
  <c r="AK341" i="1"/>
  <c r="AI341" i="1"/>
  <c r="AH341" i="1"/>
  <c r="AK340" i="1"/>
  <c r="AK339" i="1"/>
  <c r="AK338" i="1"/>
  <c r="AK337" i="1"/>
  <c r="AI337" i="1"/>
  <c r="AK336" i="1"/>
  <c r="AI336" i="1"/>
  <c r="AH336" i="1"/>
  <c r="AK335" i="1"/>
  <c r="AI335" i="1"/>
  <c r="AH335" i="1"/>
  <c r="AK334" i="1"/>
  <c r="AI334" i="1"/>
  <c r="AH334" i="1"/>
  <c r="AK333" i="1"/>
  <c r="AI333" i="1"/>
  <c r="AH333"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V3" i="5"/>
  <c r="V4" i="5"/>
  <c r="V5" i="5"/>
  <c r="V6" i="5"/>
  <c r="V7" i="5"/>
  <c r="V2" i="5"/>
  <c r="S7" i="5"/>
  <c r="S6" i="5"/>
  <c r="S5" i="5"/>
  <c r="S4" i="5"/>
  <c r="S3" i="5"/>
  <c r="S2" i="5"/>
  <c r="BA2" i="6"/>
  <c r="AX2" i="6"/>
  <c r="V3" i="6"/>
  <c r="V4" i="6"/>
  <c r="V5" i="6"/>
  <c r="V6" i="6"/>
  <c r="V7" i="6"/>
  <c r="V8" i="6"/>
  <c r="V2" i="6"/>
  <c r="S8" i="6"/>
  <c r="S7" i="6"/>
  <c r="S6" i="6"/>
  <c r="S5" i="6"/>
  <c r="S4" i="6"/>
  <c r="S3" i="6"/>
  <c r="S2" i="6"/>
  <c r="BA2" i="7"/>
  <c r="AX2" i="7"/>
  <c r="V3" i="7"/>
  <c r="V4" i="7"/>
  <c r="V5" i="7"/>
  <c r="V6" i="7"/>
  <c r="V7" i="7"/>
  <c r="V8" i="7"/>
  <c r="V9" i="7"/>
  <c r="V10" i="7"/>
  <c r="V11" i="7"/>
  <c r="V12" i="7"/>
  <c r="V13" i="7"/>
  <c r="V14" i="7"/>
  <c r="V2" i="7"/>
  <c r="S14" i="7"/>
  <c r="S13" i="7"/>
  <c r="S12" i="7"/>
  <c r="S11" i="7"/>
  <c r="S10" i="7"/>
  <c r="S9" i="7"/>
  <c r="S8" i="7"/>
  <c r="S7" i="7"/>
  <c r="S6" i="7"/>
  <c r="S5" i="7"/>
  <c r="S4" i="7"/>
  <c r="S3" i="7"/>
  <c r="S2" i="7"/>
  <c r="BA2" i="8"/>
  <c r="AX2" i="8"/>
  <c r="V3" i="8"/>
  <c r="V4" i="8"/>
  <c r="V5" i="8"/>
  <c r="V6" i="8"/>
  <c r="V7" i="8"/>
  <c r="V8" i="8"/>
  <c r="V9" i="8"/>
  <c r="V10" i="8"/>
  <c r="V11" i="8"/>
  <c r="V12" i="8"/>
  <c r="V13" i="8"/>
  <c r="V14" i="8"/>
  <c r="V15" i="8"/>
  <c r="V16" i="8"/>
  <c r="V17" i="8"/>
  <c r="V2" i="8"/>
  <c r="S17" i="8"/>
  <c r="S16" i="8"/>
  <c r="S15" i="8"/>
  <c r="S14" i="8"/>
  <c r="S13" i="8"/>
  <c r="S12" i="8"/>
  <c r="S11" i="8"/>
  <c r="S10" i="8"/>
  <c r="S9" i="8"/>
  <c r="S8" i="8"/>
  <c r="S7" i="8"/>
  <c r="S6" i="8"/>
  <c r="S5" i="8"/>
  <c r="S4" i="8"/>
  <c r="S3" i="8"/>
  <c r="S2" i="8"/>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U333" i="1"/>
  <c r="W333" i="1" s="1"/>
  <c r="U334" i="1"/>
  <c r="W334" i="1" s="1"/>
  <c r="U335" i="1"/>
  <c r="W335" i="1" s="1"/>
  <c r="U336" i="1"/>
  <c r="W336" i="1" s="1"/>
  <c r="U337" i="1"/>
  <c r="W337" i="1" s="1"/>
  <c r="U338" i="1"/>
  <c r="W338" i="1" s="1"/>
  <c r="U339" i="1"/>
  <c r="W339" i="1" s="1"/>
  <c r="U340" i="1"/>
  <c r="W340" i="1" s="1"/>
  <c r="U341" i="1"/>
  <c r="W341" i="1" s="1"/>
  <c r="U342" i="1"/>
  <c r="W342" i="1" s="1"/>
  <c r="U343" i="1"/>
  <c r="W343" i="1" s="1"/>
  <c r="U344" i="1"/>
  <c r="W344" i="1" s="1"/>
  <c r="U345" i="1"/>
  <c r="W345" i="1" s="1"/>
  <c r="U346" i="1"/>
  <c r="W346" i="1" s="1"/>
  <c r="U347" i="1"/>
  <c r="W347" i="1" s="1"/>
  <c r="U348" i="1"/>
  <c r="W348" i="1" s="1"/>
  <c r="U367" i="1"/>
  <c r="W367" i="1" s="1"/>
  <c r="U368" i="1"/>
  <c r="W368" i="1" s="1"/>
  <c r="U369" i="1"/>
  <c r="W369" i="1" s="1"/>
  <c r="U370" i="1"/>
  <c r="W370" i="1" s="1"/>
  <c r="U371" i="1"/>
  <c r="W371" i="1" s="1"/>
  <c r="U372" i="1"/>
  <c r="W372" i="1" s="1"/>
  <c r="U373" i="1"/>
  <c r="W373" i="1" s="1"/>
  <c r="U374" i="1"/>
  <c r="W374" i="1" s="1"/>
  <c r="U375" i="1"/>
  <c r="W375" i="1" s="1"/>
  <c r="U376" i="1"/>
  <c r="W376" i="1" s="1"/>
  <c r="U380" i="1"/>
  <c r="W380" i="1" s="1"/>
  <c r="U381" i="1"/>
  <c r="W381" i="1" s="1"/>
  <c r="U382" i="1"/>
  <c r="W382" i="1" s="1"/>
  <c r="U383" i="1"/>
  <c r="W383" i="1" s="1"/>
  <c r="U384" i="1"/>
  <c r="W384" i="1" s="1"/>
  <c r="U385" i="1"/>
  <c r="W385" i="1" s="1"/>
  <c r="U386" i="1"/>
  <c r="W386" i="1" s="1"/>
  <c r="U387" i="1"/>
  <c r="W387" i="1" s="1"/>
  <c r="U388" i="1"/>
  <c r="W388" i="1" s="1"/>
  <c r="U389" i="1"/>
  <c r="W389" i="1" s="1"/>
  <c r="U393" i="1"/>
  <c r="W393" i="1" s="1"/>
  <c r="U394" i="1"/>
  <c r="W394" i="1" s="1"/>
  <c r="U395" i="1"/>
  <c r="W395" i="1" s="1"/>
  <c r="U396" i="1"/>
  <c r="W396" i="1" s="1"/>
  <c r="U397" i="1"/>
  <c r="W397" i="1" s="1"/>
  <c r="U398" i="1"/>
  <c r="W398" i="1" s="1"/>
  <c r="U399" i="1"/>
  <c r="W399" i="1" s="1"/>
  <c r="U400" i="1"/>
  <c r="W400" i="1" s="1"/>
  <c r="U401" i="1"/>
  <c r="W401" i="1" s="1"/>
  <c r="U402" i="1"/>
  <c r="W402" i="1" s="1"/>
  <c r="U403" i="1"/>
  <c r="W403" i="1" s="1"/>
  <c r="U404" i="1"/>
  <c r="W404" i="1" s="1"/>
  <c r="U405" i="1"/>
  <c r="W405" i="1" s="1"/>
  <c r="U406" i="1"/>
  <c r="W406" i="1" s="1"/>
  <c r="U410" i="1"/>
  <c r="W410" i="1" s="1"/>
  <c r="U411" i="1"/>
  <c r="W411" i="1" s="1"/>
  <c r="U412" i="1"/>
  <c r="W412" i="1" s="1"/>
  <c r="U413" i="1"/>
  <c r="W413" i="1" s="1"/>
  <c r="U414" i="1"/>
  <c r="W414" i="1" s="1"/>
  <c r="U415" i="1"/>
  <c r="W415" i="1" s="1"/>
  <c r="U416" i="1"/>
  <c r="W416" i="1" s="1"/>
  <c r="U417" i="1"/>
  <c r="W417" i="1" s="1"/>
  <c r="U418" i="1"/>
  <c r="W418" i="1" s="1"/>
  <c r="U419" i="1"/>
  <c r="W419" i="1" s="1"/>
  <c r="U423" i="1"/>
  <c r="W423" i="1" s="1"/>
  <c r="U424" i="1"/>
  <c r="W424" i="1" s="1"/>
  <c r="U425" i="1"/>
  <c r="W425" i="1" s="1"/>
  <c r="U426" i="1"/>
  <c r="W426" i="1" s="1"/>
  <c r="S333" i="1"/>
  <c r="S334" i="1"/>
  <c r="S335" i="1"/>
  <c r="S336" i="1"/>
  <c r="S337" i="1"/>
  <c r="S338" i="1"/>
  <c r="S339" i="1"/>
  <c r="S340" i="1"/>
  <c r="S341" i="1"/>
  <c r="S342" i="1"/>
  <c r="S343" i="1"/>
  <c r="S344" i="1"/>
  <c r="S345" i="1"/>
  <c r="S346" i="1"/>
  <c r="S347" i="1"/>
  <c r="S348" i="1"/>
  <c r="S357" i="1"/>
  <c r="S364" i="1"/>
  <c r="S369" i="1"/>
  <c r="S373" i="1"/>
  <c r="S378" i="1"/>
  <c r="S379" i="1"/>
  <c r="S385" i="1"/>
  <c r="S395" i="1"/>
  <c r="S409" i="1"/>
  <c r="S422" i="1"/>
  <c r="S427" i="1"/>
  <c r="AK332" i="1"/>
  <c r="AJ332" i="1"/>
  <c r="AK331" i="1"/>
  <c r="AJ331" i="1"/>
  <c r="AK330" i="1"/>
  <c r="AJ330" i="1"/>
  <c r="AK329" i="1"/>
  <c r="AJ329" i="1"/>
  <c r="AK328" i="1"/>
  <c r="AJ328" i="1"/>
  <c r="AK327" i="1"/>
  <c r="AJ327" i="1"/>
  <c r="AK326" i="1"/>
  <c r="AJ326" i="1"/>
  <c r="AK325" i="1"/>
  <c r="S325" i="1" s="1"/>
  <c r="AK324" i="1"/>
  <c r="AJ324" i="1"/>
  <c r="AK323" i="1"/>
  <c r="AJ323" i="1"/>
  <c r="AK322" i="1"/>
  <c r="AJ322" i="1"/>
  <c r="AK321" i="1"/>
  <c r="AJ321" i="1"/>
  <c r="AK320" i="1"/>
  <c r="AJ320" i="1"/>
  <c r="AK319" i="1"/>
  <c r="AJ319" i="1"/>
  <c r="AK318" i="1"/>
  <c r="AJ318" i="1"/>
  <c r="AK317" i="1"/>
  <c r="AJ317" i="1"/>
  <c r="AK316" i="1"/>
  <c r="AJ316" i="1"/>
  <c r="AK315" i="1"/>
  <c r="AJ315" i="1"/>
  <c r="AK314" i="1"/>
  <c r="AJ314" i="1"/>
  <c r="AK313" i="1"/>
  <c r="AJ313" i="1"/>
  <c r="AK312" i="1"/>
  <c r="S312" i="1" s="1"/>
  <c r="AK311" i="1"/>
  <c r="AJ311" i="1"/>
  <c r="AK310" i="1"/>
  <c r="AJ310" i="1"/>
  <c r="AK309" i="1"/>
  <c r="AJ309" i="1"/>
  <c r="AK308" i="1"/>
  <c r="AJ308" i="1"/>
  <c r="AK307" i="1"/>
  <c r="AJ307" i="1"/>
  <c r="AK306" i="1"/>
  <c r="AJ306" i="1"/>
  <c r="AK305" i="1"/>
  <c r="AJ305" i="1"/>
  <c r="AK304" i="1"/>
  <c r="AJ304" i="1"/>
  <c r="AK303" i="1"/>
  <c r="AJ303" i="1"/>
  <c r="AK302" i="1"/>
  <c r="AJ302" i="1"/>
  <c r="AK301" i="1"/>
  <c r="AJ301" i="1"/>
  <c r="AK300" i="1"/>
  <c r="AJ300" i="1"/>
  <c r="AK299" i="1"/>
  <c r="AJ299" i="1"/>
  <c r="AK298" i="1"/>
  <c r="AJ298" i="1"/>
  <c r="AK297" i="1"/>
  <c r="AJ297" i="1"/>
  <c r="AK296" i="1"/>
  <c r="AJ296" i="1"/>
  <c r="AK295" i="1"/>
  <c r="S295" i="1" s="1"/>
  <c r="AK294" i="1"/>
  <c r="AJ294" i="1"/>
  <c r="AK293" i="1"/>
  <c r="AJ293" i="1"/>
  <c r="AK292" i="1"/>
  <c r="AJ292" i="1"/>
  <c r="AK291" i="1"/>
  <c r="AJ291" i="1"/>
  <c r="AK290" i="1"/>
  <c r="AJ290" i="1"/>
  <c r="AK289" i="1"/>
  <c r="AJ289" i="1"/>
  <c r="AK288" i="1"/>
  <c r="AJ288" i="1"/>
  <c r="AK287" i="1"/>
  <c r="AJ287" i="1"/>
  <c r="AK286" i="1"/>
  <c r="AJ286" i="1"/>
  <c r="AK285" i="1"/>
  <c r="AJ285" i="1"/>
  <c r="AK284" i="1"/>
  <c r="AJ284" i="1"/>
  <c r="AK283" i="1"/>
  <c r="AJ283" i="1"/>
  <c r="AK282" i="1"/>
  <c r="AK281" i="1"/>
  <c r="AJ281" i="1"/>
  <c r="AK280" i="1"/>
  <c r="AJ280" i="1"/>
  <c r="AK279" i="1"/>
  <c r="AJ279" i="1"/>
  <c r="AK278" i="1"/>
  <c r="AJ278" i="1"/>
  <c r="AK277" i="1"/>
  <c r="AJ277" i="1"/>
  <c r="AK276" i="1"/>
  <c r="AJ276" i="1"/>
  <c r="AK275" i="1"/>
  <c r="AJ275" i="1"/>
  <c r="AK274" i="1"/>
  <c r="AJ274" i="1"/>
  <c r="AK273" i="1"/>
  <c r="AJ273" i="1"/>
  <c r="AK272" i="1"/>
  <c r="AJ272" i="1"/>
  <c r="AK271" i="1"/>
  <c r="AJ271" i="1"/>
  <c r="AK270" i="1"/>
  <c r="AJ270" i="1"/>
  <c r="AK269" i="1"/>
  <c r="AJ269" i="1"/>
  <c r="AK268" i="1"/>
  <c r="AJ268" i="1"/>
  <c r="AK267" i="1"/>
  <c r="AJ267" i="1"/>
  <c r="AK266" i="1"/>
  <c r="AJ266" i="1"/>
  <c r="AK265" i="1"/>
  <c r="AJ265" i="1"/>
  <c r="AK264" i="1"/>
  <c r="AK263" i="1"/>
  <c r="AJ263" i="1"/>
  <c r="AK262" i="1"/>
  <c r="AJ262" i="1"/>
  <c r="AK261" i="1"/>
  <c r="AJ261" i="1"/>
  <c r="AK260" i="1"/>
  <c r="AJ260" i="1"/>
  <c r="AK259" i="1"/>
  <c r="AJ259" i="1"/>
  <c r="AK258" i="1"/>
  <c r="AJ258" i="1"/>
  <c r="AK257" i="1"/>
  <c r="AJ257" i="1"/>
  <c r="AK256" i="1"/>
  <c r="AJ256" i="1"/>
  <c r="AK255" i="1"/>
  <c r="AJ255" i="1"/>
  <c r="AK254" i="1"/>
  <c r="AJ254" i="1"/>
  <c r="AK253" i="1"/>
  <c r="AJ253" i="1"/>
  <c r="AK252" i="1"/>
  <c r="AJ252" i="1"/>
  <c r="AK251" i="1"/>
  <c r="AJ251" i="1"/>
  <c r="AK250" i="1"/>
  <c r="AJ250" i="1"/>
  <c r="AK249" i="1"/>
  <c r="AK248" i="1"/>
  <c r="AK247" i="1"/>
  <c r="AJ247" i="1"/>
  <c r="AK246" i="1"/>
  <c r="AJ246" i="1"/>
  <c r="AK245" i="1"/>
  <c r="AJ245" i="1"/>
  <c r="AK244" i="1"/>
  <c r="AJ244" i="1"/>
  <c r="AK243" i="1"/>
  <c r="AJ243" i="1"/>
  <c r="AK242" i="1"/>
  <c r="AJ242" i="1"/>
  <c r="BA2" i="9"/>
  <c r="AX2" i="9"/>
  <c r="V3" i="9"/>
  <c r="V4" i="9"/>
  <c r="V5" i="9"/>
  <c r="V6" i="9"/>
  <c r="V7" i="9"/>
  <c r="V2" i="9"/>
  <c r="S7" i="9"/>
  <c r="S6" i="9"/>
  <c r="S5" i="9"/>
  <c r="S4" i="9"/>
  <c r="S3" i="9"/>
  <c r="S2" i="9"/>
  <c r="BA2" i="10"/>
  <c r="AX2" i="10"/>
  <c r="V3" i="10"/>
  <c r="V4" i="10"/>
  <c r="V5" i="10"/>
  <c r="V6" i="10"/>
  <c r="V7" i="10"/>
  <c r="V8" i="10"/>
  <c r="V9" i="10"/>
  <c r="V2" i="10"/>
  <c r="S9" i="10"/>
  <c r="S8" i="10"/>
  <c r="S7" i="10"/>
  <c r="S6" i="10"/>
  <c r="S5" i="10"/>
  <c r="S4" i="10"/>
  <c r="S3" i="10"/>
  <c r="S2" i="10"/>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U242" i="1"/>
  <c r="W242" i="1" s="1"/>
  <c r="U243" i="1"/>
  <c r="W243" i="1" s="1"/>
  <c r="U244" i="1"/>
  <c r="W244" i="1" s="1"/>
  <c r="U245" i="1"/>
  <c r="W245" i="1" s="1"/>
  <c r="U246" i="1"/>
  <c r="W246" i="1" s="1"/>
  <c r="U247" i="1"/>
  <c r="W247" i="1" s="1"/>
  <c r="U248" i="1"/>
  <c r="W248" i="1" s="1"/>
  <c r="U249" i="1"/>
  <c r="W249" i="1" s="1"/>
  <c r="U271" i="1"/>
  <c r="W271" i="1" s="1"/>
  <c r="U272" i="1"/>
  <c r="W272" i="1" s="1"/>
  <c r="U273" i="1"/>
  <c r="W273" i="1" s="1"/>
  <c r="U274" i="1"/>
  <c r="W274" i="1" s="1"/>
  <c r="U275" i="1"/>
  <c r="W275" i="1" s="1"/>
  <c r="U276" i="1"/>
  <c r="W276" i="1" s="1"/>
  <c r="U277" i="1"/>
  <c r="W277" i="1" s="1"/>
  <c r="U278" i="1"/>
  <c r="W278" i="1" s="1"/>
  <c r="U279" i="1"/>
  <c r="W279" i="1" s="1"/>
  <c r="U280" i="1"/>
  <c r="W280" i="1" s="1"/>
  <c r="U284" i="1"/>
  <c r="W284" i="1" s="1"/>
  <c r="U285" i="1"/>
  <c r="W285" i="1" s="1"/>
  <c r="U286" i="1"/>
  <c r="W286" i="1" s="1"/>
  <c r="U287" i="1"/>
  <c r="W287" i="1" s="1"/>
  <c r="U288" i="1"/>
  <c r="W288" i="1" s="1"/>
  <c r="U289" i="1"/>
  <c r="W289" i="1" s="1"/>
  <c r="U290" i="1"/>
  <c r="W290" i="1" s="1"/>
  <c r="U291" i="1"/>
  <c r="W291" i="1" s="1"/>
  <c r="U292" i="1"/>
  <c r="W292" i="1" s="1"/>
  <c r="U293" i="1"/>
  <c r="W293" i="1" s="1"/>
  <c r="U297" i="1"/>
  <c r="W297" i="1" s="1"/>
  <c r="U298" i="1"/>
  <c r="W298" i="1" s="1"/>
  <c r="U299" i="1"/>
  <c r="W299" i="1" s="1"/>
  <c r="U300" i="1"/>
  <c r="W300" i="1" s="1"/>
  <c r="U301" i="1"/>
  <c r="W301" i="1" s="1"/>
  <c r="U302" i="1"/>
  <c r="W302" i="1" s="1"/>
  <c r="U303" i="1"/>
  <c r="W303" i="1" s="1"/>
  <c r="U304" i="1"/>
  <c r="W304" i="1" s="1"/>
  <c r="U305" i="1"/>
  <c r="W305" i="1" s="1"/>
  <c r="U306" i="1"/>
  <c r="W306" i="1" s="1"/>
  <c r="U307" i="1"/>
  <c r="W307" i="1" s="1"/>
  <c r="U308" i="1"/>
  <c r="W308" i="1" s="1"/>
  <c r="U309" i="1"/>
  <c r="W309" i="1" s="1"/>
  <c r="U310" i="1"/>
  <c r="W310" i="1" s="1"/>
  <c r="U314" i="1"/>
  <c r="W314" i="1" s="1"/>
  <c r="U315" i="1"/>
  <c r="W315" i="1" s="1"/>
  <c r="U316" i="1"/>
  <c r="W316" i="1" s="1"/>
  <c r="U317" i="1"/>
  <c r="W317" i="1" s="1"/>
  <c r="U318" i="1"/>
  <c r="W318" i="1" s="1"/>
  <c r="U319" i="1"/>
  <c r="W319" i="1" s="1"/>
  <c r="U320" i="1"/>
  <c r="W320" i="1" s="1"/>
  <c r="U321" i="1"/>
  <c r="W321" i="1" s="1"/>
  <c r="U322" i="1"/>
  <c r="W322" i="1" s="1"/>
  <c r="U323" i="1"/>
  <c r="W323" i="1" s="1"/>
  <c r="U327" i="1"/>
  <c r="W327" i="1" s="1"/>
  <c r="U328" i="1"/>
  <c r="W328" i="1" s="1"/>
  <c r="U329" i="1"/>
  <c r="W329" i="1" s="1"/>
  <c r="U330" i="1"/>
  <c r="W330" i="1" s="1"/>
  <c r="S242" i="1"/>
  <c r="S243" i="1"/>
  <c r="S244" i="1"/>
  <c r="S245" i="1"/>
  <c r="S246" i="1"/>
  <c r="S247" i="1"/>
  <c r="S248" i="1"/>
  <c r="S249" i="1"/>
  <c r="S264" i="1"/>
  <c r="S282"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U3" i="1"/>
  <c r="W3" i="1" s="1"/>
  <c r="U4" i="1"/>
  <c r="W4" i="1" s="1"/>
  <c r="U5" i="1"/>
  <c r="W5" i="1" s="1"/>
  <c r="U6" i="1"/>
  <c r="W6" i="1" s="1"/>
  <c r="U7" i="1"/>
  <c r="W7" i="1" s="1"/>
  <c r="U8" i="1"/>
  <c r="W8" i="1" s="1"/>
  <c r="U9" i="1"/>
  <c r="W9" i="1" s="1"/>
  <c r="U10" i="1"/>
  <c r="W10" i="1" s="1"/>
  <c r="U20" i="1"/>
  <c r="W20" i="1" s="1"/>
  <c r="U21" i="1"/>
  <c r="W21" i="1" s="1"/>
  <c r="U22" i="1"/>
  <c r="W22" i="1" s="1"/>
  <c r="U23" i="1"/>
  <c r="W23" i="1" s="1"/>
  <c r="U24" i="1"/>
  <c r="W24" i="1" s="1"/>
  <c r="U25" i="1"/>
  <c r="W25" i="1" s="1"/>
  <c r="U26" i="1"/>
  <c r="W26" i="1" s="1"/>
  <c r="U27" i="1"/>
  <c r="W27" i="1" s="1"/>
  <c r="U28" i="1"/>
  <c r="W28" i="1" s="1"/>
  <c r="U29" i="1"/>
  <c r="W29" i="1" s="1"/>
  <c r="U33" i="1"/>
  <c r="W33" i="1" s="1"/>
  <c r="U34" i="1"/>
  <c r="W34" i="1" s="1"/>
  <c r="U35" i="1"/>
  <c r="W35" i="1" s="1"/>
  <c r="U36" i="1"/>
  <c r="W36" i="1" s="1"/>
  <c r="U37" i="1"/>
  <c r="W37" i="1" s="1"/>
  <c r="U38" i="1"/>
  <c r="W38" i="1" s="1"/>
  <c r="U39" i="1"/>
  <c r="W39" i="1" s="1"/>
  <c r="U40" i="1"/>
  <c r="W40" i="1" s="1"/>
  <c r="U41" i="1"/>
  <c r="W41" i="1" s="1"/>
  <c r="U42" i="1"/>
  <c r="W42" i="1" s="1"/>
  <c r="U46" i="1"/>
  <c r="W46" i="1" s="1"/>
  <c r="U47" i="1"/>
  <c r="W47" i="1" s="1"/>
  <c r="U48" i="1"/>
  <c r="W48" i="1" s="1"/>
  <c r="U49" i="1"/>
  <c r="W49" i="1" s="1"/>
  <c r="U50" i="1"/>
  <c r="W50" i="1" s="1"/>
  <c r="U51" i="1"/>
  <c r="W51" i="1" s="1"/>
  <c r="U52" i="1"/>
  <c r="W52" i="1" s="1"/>
  <c r="U53" i="1"/>
  <c r="W53" i="1" s="1"/>
  <c r="U54" i="1"/>
  <c r="W54" i="1" s="1"/>
  <c r="U55" i="1"/>
  <c r="W55" i="1" s="1"/>
  <c r="U56" i="1"/>
  <c r="W56" i="1" s="1"/>
  <c r="U57" i="1"/>
  <c r="W57" i="1" s="1"/>
  <c r="U58" i="1"/>
  <c r="W58" i="1" s="1"/>
  <c r="U59" i="1"/>
  <c r="W59" i="1" s="1"/>
  <c r="U63" i="1"/>
  <c r="W63" i="1" s="1"/>
  <c r="U64" i="1"/>
  <c r="W64" i="1" s="1"/>
  <c r="U65" i="1"/>
  <c r="W65" i="1" s="1"/>
  <c r="U66" i="1"/>
  <c r="W66" i="1" s="1"/>
  <c r="U67" i="1"/>
  <c r="W67" i="1" s="1"/>
  <c r="U68" i="1"/>
  <c r="W68" i="1" s="1"/>
  <c r="U69" i="1"/>
  <c r="W69" i="1" s="1"/>
  <c r="U70" i="1"/>
  <c r="W70" i="1" s="1"/>
  <c r="U71" i="1"/>
  <c r="W71" i="1" s="1"/>
  <c r="U72" i="1"/>
  <c r="W72" i="1" s="1"/>
  <c r="U76" i="1"/>
  <c r="W76" i="1" s="1"/>
  <c r="U77" i="1"/>
  <c r="W77" i="1" s="1"/>
  <c r="U78" i="1"/>
  <c r="W78" i="1" s="1"/>
  <c r="U79" i="1"/>
  <c r="W79" i="1" s="1"/>
  <c r="U82" i="1"/>
  <c r="W82" i="1" s="1"/>
  <c r="U83" i="1"/>
  <c r="W83" i="1" s="1"/>
  <c r="U84" i="1"/>
  <c r="W84" i="1" s="1"/>
  <c r="U85" i="1"/>
  <c r="W85" i="1" s="1"/>
  <c r="U86" i="1"/>
  <c r="W86" i="1" s="1"/>
  <c r="U87" i="1"/>
  <c r="W87" i="1" s="1"/>
  <c r="U88" i="1"/>
  <c r="W88" i="1" s="1"/>
  <c r="U89" i="1"/>
  <c r="W89" i="1" s="1"/>
  <c r="U94" i="1"/>
  <c r="W94" i="1" s="1"/>
  <c r="U100" i="1"/>
  <c r="W100" i="1" s="1"/>
  <c r="U101" i="1"/>
  <c r="W101" i="1" s="1"/>
  <c r="U102" i="1"/>
  <c r="W102" i="1" s="1"/>
  <c r="U103" i="1"/>
  <c r="W103" i="1" s="1"/>
  <c r="U104" i="1"/>
  <c r="W104" i="1" s="1"/>
  <c r="U105" i="1"/>
  <c r="W105" i="1" s="1"/>
  <c r="U106" i="1"/>
  <c r="W106" i="1" s="1"/>
  <c r="U107" i="1"/>
  <c r="W107" i="1" s="1"/>
  <c r="U108" i="1"/>
  <c r="W108" i="1" s="1"/>
  <c r="U109" i="1"/>
  <c r="W109" i="1" s="1"/>
  <c r="U113" i="1"/>
  <c r="W113" i="1" s="1"/>
  <c r="U114" i="1"/>
  <c r="W114" i="1" s="1"/>
  <c r="U115" i="1"/>
  <c r="W115" i="1" s="1"/>
  <c r="U116" i="1"/>
  <c r="W116" i="1" s="1"/>
  <c r="U117" i="1"/>
  <c r="W117" i="1" s="1"/>
  <c r="U118" i="1"/>
  <c r="W118" i="1" s="1"/>
  <c r="U119" i="1"/>
  <c r="W119" i="1" s="1"/>
  <c r="U120" i="1"/>
  <c r="W120" i="1" s="1"/>
  <c r="U121" i="1"/>
  <c r="W121" i="1" s="1"/>
  <c r="U122" i="1"/>
  <c r="W122" i="1" s="1"/>
  <c r="U126" i="1"/>
  <c r="W126" i="1" s="1"/>
  <c r="U127" i="1"/>
  <c r="W127" i="1" s="1"/>
  <c r="U128" i="1"/>
  <c r="W128" i="1" s="1"/>
  <c r="U129" i="1"/>
  <c r="W129" i="1" s="1"/>
  <c r="U130" i="1"/>
  <c r="W130" i="1" s="1"/>
  <c r="U131" i="1"/>
  <c r="W131" i="1" s="1"/>
  <c r="U132" i="1"/>
  <c r="W132" i="1" s="1"/>
  <c r="U133" i="1"/>
  <c r="W133" i="1" s="1"/>
  <c r="U134" i="1"/>
  <c r="W134" i="1" s="1"/>
  <c r="U135" i="1"/>
  <c r="W135" i="1" s="1"/>
  <c r="U136" i="1"/>
  <c r="W136" i="1" s="1"/>
  <c r="U137" i="1"/>
  <c r="W137" i="1" s="1"/>
  <c r="U138" i="1"/>
  <c r="W138" i="1" s="1"/>
  <c r="U139" i="1"/>
  <c r="W139" i="1" s="1"/>
  <c r="U143" i="1"/>
  <c r="W143" i="1" s="1"/>
  <c r="U144" i="1"/>
  <c r="W144" i="1" s="1"/>
  <c r="U145" i="1"/>
  <c r="W145" i="1" s="1"/>
  <c r="U146" i="1"/>
  <c r="W146" i="1" s="1"/>
  <c r="U147" i="1"/>
  <c r="W147" i="1" s="1"/>
  <c r="U148" i="1"/>
  <c r="W148" i="1" s="1"/>
  <c r="U149" i="1"/>
  <c r="W149" i="1" s="1"/>
  <c r="U150" i="1"/>
  <c r="W150" i="1" s="1"/>
  <c r="U151" i="1"/>
  <c r="W151" i="1" s="1"/>
  <c r="U152" i="1"/>
  <c r="W152" i="1" s="1"/>
  <c r="U156" i="1"/>
  <c r="W156" i="1" s="1"/>
  <c r="U157" i="1"/>
  <c r="W157" i="1" s="1"/>
  <c r="U158" i="1"/>
  <c r="W158" i="1" s="1"/>
  <c r="U159" i="1"/>
  <c r="W159" i="1" s="1"/>
  <c r="U162" i="1"/>
  <c r="W162" i="1" s="1"/>
  <c r="U163" i="1"/>
  <c r="W163" i="1" s="1"/>
  <c r="U164" i="1"/>
  <c r="W164" i="1" s="1"/>
  <c r="U165" i="1"/>
  <c r="W165" i="1" s="1"/>
  <c r="U166" i="1"/>
  <c r="W166" i="1" s="1"/>
  <c r="U167" i="1"/>
  <c r="W167" i="1" s="1"/>
  <c r="U168" i="1"/>
  <c r="W168" i="1" s="1"/>
  <c r="U169" i="1"/>
  <c r="W169" i="1" s="1"/>
  <c r="U172" i="1"/>
  <c r="W172" i="1" s="1"/>
  <c r="U173" i="1"/>
  <c r="W173" i="1" s="1"/>
  <c r="U180" i="1"/>
  <c r="W180" i="1" s="1"/>
  <c r="U181" i="1"/>
  <c r="W181" i="1" s="1"/>
  <c r="U182" i="1"/>
  <c r="W182" i="1" s="1"/>
  <c r="U183" i="1"/>
  <c r="W183" i="1" s="1"/>
  <c r="U184" i="1"/>
  <c r="W184" i="1" s="1"/>
  <c r="U185" i="1"/>
  <c r="W185" i="1" s="1"/>
  <c r="U186" i="1"/>
  <c r="W186" i="1" s="1"/>
  <c r="U187" i="1"/>
  <c r="W187" i="1" s="1"/>
  <c r="U188" i="1"/>
  <c r="W188" i="1" s="1"/>
  <c r="U189" i="1"/>
  <c r="W189" i="1" s="1"/>
  <c r="U193" i="1"/>
  <c r="W193" i="1" s="1"/>
  <c r="U194" i="1"/>
  <c r="W194" i="1" s="1"/>
  <c r="U195" i="1"/>
  <c r="W195" i="1" s="1"/>
  <c r="U196" i="1"/>
  <c r="W196" i="1" s="1"/>
  <c r="U197" i="1"/>
  <c r="W197" i="1" s="1"/>
  <c r="U198" i="1"/>
  <c r="W198" i="1" s="1"/>
  <c r="U199" i="1"/>
  <c r="W199" i="1" s="1"/>
  <c r="U200" i="1"/>
  <c r="W200" i="1" s="1"/>
  <c r="U201" i="1"/>
  <c r="W201" i="1" s="1"/>
  <c r="U202" i="1"/>
  <c r="W202" i="1" s="1"/>
  <c r="U206" i="1"/>
  <c r="W206" i="1" s="1"/>
  <c r="U207" i="1"/>
  <c r="W207" i="1" s="1"/>
  <c r="U208" i="1"/>
  <c r="W208" i="1" s="1"/>
  <c r="U209" i="1"/>
  <c r="W209" i="1" s="1"/>
  <c r="U210" i="1"/>
  <c r="W210" i="1" s="1"/>
  <c r="U211" i="1"/>
  <c r="W211" i="1" s="1"/>
  <c r="U212" i="1"/>
  <c r="W212" i="1" s="1"/>
  <c r="U213" i="1"/>
  <c r="W213" i="1" s="1"/>
  <c r="U214" i="1"/>
  <c r="W214" i="1" s="1"/>
  <c r="U215" i="1"/>
  <c r="W215" i="1" s="1"/>
  <c r="U216" i="1"/>
  <c r="W216" i="1" s="1"/>
  <c r="U217" i="1"/>
  <c r="W217" i="1" s="1"/>
  <c r="U218" i="1"/>
  <c r="W218" i="1" s="1"/>
  <c r="U219" i="1"/>
  <c r="W219" i="1" s="1"/>
  <c r="U223" i="1"/>
  <c r="W223" i="1" s="1"/>
  <c r="U224" i="1"/>
  <c r="W224" i="1" s="1"/>
  <c r="U225" i="1"/>
  <c r="W225" i="1" s="1"/>
  <c r="U226" i="1"/>
  <c r="W226" i="1" s="1"/>
  <c r="U227" i="1"/>
  <c r="W227" i="1" s="1"/>
  <c r="U228" i="1"/>
  <c r="W228" i="1" s="1"/>
  <c r="U229" i="1"/>
  <c r="W229" i="1" s="1"/>
  <c r="U230" i="1"/>
  <c r="W230" i="1" s="1"/>
  <c r="U231" i="1"/>
  <c r="W231" i="1" s="1"/>
  <c r="U232" i="1"/>
  <c r="W232" i="1" s="1"/>
  <c r="U236" i="1"/>
  <c r="W236" i="1" s="1"/>
  <c r="U237" i="1"/>
  <c r="W237" i="1" s="1"/>
  <c r="U238" i="1"/>
  <c r="W238" i="1" s="1"/>
  <c r="U239" i="1"/>
  <c r="W239" i="1" s="1"/>
  <c r="S3" i="1"/>
  <c r="S4" i="1"/>
  <c r="S5" i="1"/>
  <c r="S6" i="1"/>
  <c r="S7" i="1"/>
  <c r="S8" i="1"/>
  <c r="S9" i="1"/>
  <c r="S10" i="1"/>
  <c r="S11" i="1"/>
  <c r="S12" i="1"/>
  <c r="S13" i="1"/>
  <c r="S14" i="1"/>
  <c r="U14" i="1" s="1"/>
  <c r="W14" i="1" s="1"/>
  <c r="S15" i="1"/>
  <c r="S16" i="1"/>
  <c r="U16" i="1" s="1"/>
  <c r="W16" i="1" s="1"/>
  <c r="S17" i="1"/>
  <c r="U17" i="1" s="1"/>
  <c r="W17" i="1" s="1"/>
  <c r="S18" i="1"/>
  <c r="U18" i="1" s="1"/>
  <c r="W18" i="1" s="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U62" i="1" s="1"/>
  <c r="W62" i="1" s="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U96" i="1" s="1"/>
  <c r="W96" i="1" s="1"/>
  <c r="S97" i="1"/>
  <c r="S98" i="1"/>
  <c r="S99" i="1"/>
  <c r="U99" i="1" s="1"/>
  <c r="W99" i="1" s="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U205" i="1" s="1"/>
  <c r="W205" i="1" s="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AS2847" i="1" l="1"/>
  <c r="AN2847" i="1" s="1"/>
  <c r="U773" i="1"/>
  <c r="W773" i="1" s="1"/>
  <c r="AQ799" i="1"/>
  <c r="AL799" i="1" s="1"/>
  <c r="AS797" i="1"/>
  <c r="AN797" i="1" s="1"/>
  <c r="AQ1099" i="1"/>
  <c r="AL1099" i="1" s="1"/>
  <c r="AR1099" i="1"/>
  <c r="AM1099" i="1" s="1"/>
  <c r="S377" i="1"/>
  <c r="S384" i="1"/>
  <c r="U730" i="1"/>
  <c r="W730" i="1" s="1"/>
  <c r="AS1099" i="1"/>
  <c r="AN1099" i="1" s="1"/>
  <c r="AS730" i="1"/>
  <c r="AN730" i="1" s="1"/>
  <c r="AQ1171" i="1"/>
  <c r="AL1171" i="1" s="1"/>
  <c r="AQ1161" i="1"/>
  <c r="AL1161" i="1" s="1"/>
  <c r="AT1177" i="1"/>
  <c r="AO1177" i="1" s="1"/>
  <c r="AS777" i="1"/>
  <c r="AN777" i="1" s="1"/>
  <c r="U1100" i="1"/>
  <c r="W1100" i="1" s="1"/>
  <c r="AR730" i="1"/>
  <c r="AM730" i="1" s="1"/>
  <c r="AQ777" i="1"/>
  <c r="AL777" i="1" s="1"/>
  <c r="AR797" i="1"/>
  <c r="AM797" i="1" s="1"/>
  <c r="U110" i="1"/>
  <c r="W110" i="1" s="1"/>
  <c r="U30" i="1"/>
  <c r="W30" i="1" s="1"/>
  <c r="U354" i="1"/>
  <c r="W354" i="1" s="1"/>
  <c r="AT772" i="1"/>
  <c r="AO772" i="1" s="1"/>
  <c r="AQ772" i="1"/>
  <c r="AL772" i="1" s="1"/>
  <c r="AS772" i="1"/>
  <c r="AN772" i="1" s="1"/>
  <c r="AT1099" i="1"/>
  <c r="AO1099" i="1" s="1"/>
  <c r="S363" i="1"/>
  <c r="AR777" i="1"/>
  <c r="AM777" i="1" s="1"/>
  <c r="AQ730" i="1"/>
  <c r="AL730" i="1" s="1"/>
  <c r="AS818" i="1"/>
  <c r="AN818" i="1" s="1"/>
  <c r="U586" i="1"/>
  <c r="W586" i="1" s="1"/>
  <c r="U652" i="1"/>
  <c r="W652" i="1" s="1"/>
  <c r="AQ797" i="1"/>
  <c r="AL797" i="1" s="1"/>
  <c r="S382" i="1"/>
  <c r="S388" i="1"/>
  <c r="S401" i="1"/>
  <c r="AQ753" i="1"/>
  <c r="AL753" i="1" s="1"/>
  <c r="AT1126" i="1"/>
  <c r="AO1126" i="1" s="1"/>
  <c r="S359" i="1"/>
  <c r="S426" i="1"/>
  <c r="U438" i="1"/>
  <c r="W438" i="1" s="1"/>
  <c r="AR799" i="1"/>
  <c r="AM799" i="1" s="1"/>
  <c r="S351" i="1"/>
  <c r="S367" i="1"/>
  <c r="AT799" i="1"/>
  <c r="AO799" i="1" s="1"/>
  <c r="S404" i="1"/>
  <c r="S416" i="1"/>
  <c r="U593" i="1"/>
  <c r="W593" i="1" s="1"/>
  <c r="U693" i="1"/>
  <c r="W693" i="1" s="1"/>
  <c r="U661" i="1"/>
  <c r="W661" i="1" s="1"/>
  <c r="AS753" i="1"/>
  <c r="AN753" i="1" s="1"/>
  <c r="AQ746" i="1"/>
  <c r="AL746" i="1" s="1"/>
  <c r="AQ818" i="1"/>
  <c r="AL818" i="1" s="1"/>
  <c r="U1127" i="1"/>
  <c r="W1127" i="1" s="1"/>
  <c r="AR1116" i="1"/>
  <c r="AM1116" i="1" s="1"/>
  <c r="U112" i="1"/>
  <c r="W112" i="1" s="1"/>
  <c r="U32" i="1"/>
  <c r="W32" i="1" s="1"/>
  <c r="AT771" i="1"/>
  <c r="AO771" i="1" s="1"/>
  <c r="AT817" i="1"/>
  <c r="AO817" i="1" s="1"/>
  <c r="AQ803" i="1"/>
  <c r="AL803" i="1" s="1"/>
  <c r="U753" i="1"/>
  <c r="W753" i="1" s="1"/>
  <c r="AT818" i="1"/>
  <c r="AO818" i="1" s="1"/>
  <c r="U588" i="1"/>
  <c r="W588" i="1" s="1"/>
  <c r="U476" i="1"/>
  <c r="W476" i="1" s="1"/>
  <c r="AT803" i="1"/>
  <c r="AO803" i="1" s="1"/>
  <c r="AR803" i="1"/>
  <c r="AM803" i="1" s="1"/>
  <c r="AR1126" i="1"/>
  <c r="AM1126" i="1" s="1"/>
  <c r="AS1161" i="1"/>
  <c r="AN1161" i="1" s="1"/>
  <c r="AQ1145" i="1"/>
  <c r="AL1145" i="1" s="1"/>
  <c r="AT1171" i="1"/>
  <c r="AO1171" i="1" s="1"/>
  <c r="AT1179" i="1"/>
  <c r="AO1179" i="1" s="1"/>
  <c r="AS746" i="1"/>
  <c r="AN746" i="1" s="1"/>
  <c r="AR1179" i="1"/>
  <c r="AM1179" i="1" s="1"/>
  <c r="AQ1116" i="1"/>
  <c r="AL1116" i="1" s="1"/>
  <c r="S410" i="1"/>
  <c r="AS806" i="1"/>
  <c r="AN806" i="1" s="1"/>
  <c r="U81" i="1"/>
  <c r="W81" i="1" s="1"/>
  <c r="U80" i="1"/>
  <c r="W80" i="1" s="1"/>
  <c r="U575" i="1"/>
  <c r="W575" i="1" s="1"/>
  <c r="AT1176" i="1"/>
  <c r="AO1176" i="1" s="1"/>
  <c r="S415" i="1"/>
  <c r="S380" i="1"/>
  <c r="S386" i="1"/>
  <c r="S417" i="1"/>
  <c r="U616" i="1"/>
  <c r="W616" i="1" s="1"/>
  <c r="AS809" i="1"/>
  <c r="AN809" i="1" s="1"/>
  <c r="AQ806" i="1"/>
  <c r="AL806" i="1" s="1"/>
  <c r="U573" i="1"/>
  <c r="W573" i="1" s="1"/>
  <c r="U807" i="1"/>
  <c r="W807" i="1" s="1"/>
  <c r="U806" i="1"/>
  <c r="W806" i="1" s="1"/>
  <c r="S381" i="1"/>
  <c r="S406" i="1"/>
  <c r="S425" i="1"/>
  <c r="U537" i="1"/>
  <c r="W537" i="1" s="1"/>
  <c r="AS802" i="1"/>
  <c r="AN802" i="1" s="1"/>
  <c r="S365" i="1"/>
  <c r="S407" i="1"/>
  <c r="S419" i="1"/>
  <c r="AQ809" i="1"/>
  <c r="AL809" i="1" s="1"/>
  <c r="AR1171" i="1"/>
  <c r="AM1171" i="1" s="1"/>
  <c r="U455" i="1"/>
  <c r="W455" i="1" s="1"/>
  <c r="AR809" i="1"/>
  <c r="AM809" i="1" s="1"/>
  <c r="AQ802" i="1"/>
  <c r="AL802" i="1" s="1"/>
  <c r="S376" i="1"/>
  <c r="S389" i="1"/>
  <c r="S420" i="1"/>
  <c r="AT802" i="1"/>
  <c r="AO802" i="1" s="1"/>
  <c r="AT1145" i="1"/>
  <c r="AO1145" i="1" s="1"/>
  <c r="U654" i="1"/>
  <c r="W654" i="1" s="1"/>
  <c r="S368" i="1"/>
  <c r="S374" i="1"/>
  <c r="S400" i="1"/>
  <c r="U574" i="1"/>
  <c r="W574" i="1" s="1"/>
  <c r="S349" i="1"/>
  <c r="S393" i="1"/>
  <c r="AQ757" i="1"/>
  <c r="AL757" i="1" s="1"/>
  <c r="S387" i="1"/>
  <c r="S370" i="1"/>
  <c r="U538" i="1"/>
  <c r="W538" i="1" s="1"/>
  <c r="U474" i="1"/>
  <c r="W474" i="1" s="1"/>
  <c r="U494" i="1"/>
  <c r="W494" i="1" s="1"/>
  <c r="U462" i="1"/>
  <c r="W462" i="1" s="1"/>
  <c r="S402" i="1"/>
  <c r="S414" i="1"/>
  <c r="AS414" i="1" s="1"/>
  <c r="AN414" i="1" s="1"/>
  <c r="U618" i="1"/>
  <c r="W618" i="1" s="1"/>
  <c r="AS1145" i="1"/>
  <c r="AN1145" i="1" s="1"/>
  <c r="S383" i="1"/>
  <c r="S366" i="1"/>
  <c r="S390" i="1"/>
  <c r="AS757" i="1"/>
  <c r="AN757" i="1" s="1"/>
  <c r="AR757" i="1"/>
  <c r="AM757" i="1" s="1"/>
  <c r="S353" i="1"/>
  <c r="S361" i="1"/>
  <c r="U531" i="1"/>
  <c r="W531" i="1" s="1"/>
  <c r="U483" i="1"/>
  <c r="W483" i="1" s="1"/>
  <c r="AT784" i="1"/>
  <c r="AO784" i="1" s="1"/>
  <c r="S398" i="1"/>
  <c r="AS784" i="1"/>
  <c r="AN784" i="1" s="1"/>
  <c r="AS1126" i="1"/>
  <c r="AN1126" i="1" s="1"/>
  <c r="S362" i="1"/>
  <c r="AQ362" i="1" s="1"/>
  <c r="AL362" i="1" s="1"/>
  <c r="U532" i="1"/>
  <c r="W532" i="1" s="1"/>
  <c r="AR784" i="1"/>
  <c r="AM784" i="1" s="1"/>
  <c r="AR312" i="1"/>
  <c r="AM312" i="1" s="1"/>
  <c r="AQ312" i="1"/>
  <c r="AL312" i="1" s="1"/>
  <c r="AT312" i="1"/>
  <c r="AO312" i="1" s="1"/>
  <c r="AS312" i="1"/>
  <c r="AN312" i="1" s="1"/>
  <c r="AS765" i="1"/>
  <c r="AN765" i="1" s="1"/>
  <c r="AR157" i="1"/>
  <c r="AM157" i="1" s="1"/>
  <c r="AT157" i="1"/>
  <c r="AO157" i="1" s="1"/>
  <c r="AQ157" i="1"/>
  <c r="AL157" i="1" s="1"/>
  <c r="AS157" i="1"/>
  <c r="AN157" i="1" s="1"/>
  <c r="AS204" i="1"/>
  <c r="AN204" i="1" s="1"/>
  <c r="AR204" i="1"/>
  <c r="AM204" i="1" s="1"/>
  <c r="AQ204" i="1"/>
  <c r="AL204" i="1" s="1"/>
  <c r="AT204" i="1"/>
  <c r="AO204" i="1" s="1"/>
  <c r="AQ92" i="1"/>
  <c r="AL92" i="1" s="1"/>
  <c r="AS92" i="1"/>
  <c r="AN92" i="1" s="1"/>
  <c r="AT92" i="1"/>
  <c r="AO92" i="1" s="1"/>
  <c r="AR92" i="1"/>
  <c r="AM92" i="1" s="1"/>
  <c r="AT537" i="1"/>
  <c r="AO537" i="1" s="1"/>
  <c r="AR537" i="1"/>
  <c r="AM537" i="1" s="1"/>
  <c r="AS537" i="1"/>
  <c r="AN537" i="1" s="1"/>
  <c r="AQ537" i="1"/>
  <c r="AL537" i="1" s="1"/>
  <c r="AQ489" i="1"/>
  <c r="AL489" i="1" s="1"/>
  <c r="AT489" i="1"/>
  <c r="AO489" i="1" s="1"/>
  <c r="AR489" i="1"/>
  <c r="AM489" i="1" s="1"/>
  <c r="AS489" i="1"/>
  <c r="AN489" i="1" s="1"/>
  <c r="AQ219" i="1"/>
  <c r="AL219" i="1" s="1"/>
  <c r="AS219" i="1"/>
  <c r="AN219" i="1" s="1"/>
  <c r="AR219" i="1"/>
  <c r="AM219" i="1" s="1"/>
  <c r="AT219" i="1"/>
  <c r="AO219" i="1" s="1"/>
  <c r="AQ187" i="1"/>
  <c r="AL187" i="1" s="1"/>
  <c r="AS187" i="1"/>
  <c r="AN187" i="1" s="1"/>
  <c r="AR187" i="1"/>
  <c r="AM187" i="1" s="1"/>
  <c r="AT187" i="1"/>
  <c r="AO187" i="1" s="1"/>
  <c r="AQ139" i="1"/>
  <c r="AL139" i="1" s="1"/>
  <c r="AR139" i="1"/>
  <c r="AM139" i="1" s="1"/>
  <c r="AS139" i="1"/>
  <c r="AN139" i="1" s="1"/>
  <c r="AT139" i="1"/>
  <c r="AO139" i="1" s="1"/>
  <c r="AQ107" i="1"/>
  <c r="AL107" i="1" s="1"/>
  <c r="AR107" i="1"/>
  <c r="AM107" i="1" s="1"/>
  <c r="AS107" i="1"/>
  <c r="AN107" i="1" s="1"/>
  <c r="AT107" i="1"/>
  <c r="AO107" i="1" s="1"/>
  <c r="AR75" i="1"/>
  <c r="AM75" i="1" s="1"/>
  <c r="AT75" i="1"/>
  <c r="AO75" i="1" s="1"/>
  <c r="AS75" i="1"/>
  <c r="AN75" i="1" s="1"/>
  <c r="AQ75" i="1"/>
  <c r="AL75" i="1" s="1"/>
  <c r="U43" i="1"/>
  <c r="W43" i="1" s="1"/>
  <c r="AQ43" i="1"/>
  <c r="AL43" i="1" s="1"/>
  <c r="AS43" i="1"/>
  <c r="AN43" i="1" s="1"/>
  <c r="AT43" i="1"/>
  <c r="AO43" i="1" s="1"/>
  <c r="AR43" i="1"/>
  <c r="AM43" i="1" s="1"/>
  <c r="AR27" i="1"/>
  <c r="AM27" i="1" s="1"/>
  <c r="AS27" i="1"/>
  <c r="AN27" i="1" s="1"/>
  <c r="AQ27" i="1"/>
  <c r="AL27" i="1" s="1"/>
  <c r="AT27" i="1"/>
  <c r="AO27" i="1" s="1"/>
  <c r="AQ11" i="1"/>
  <c r="AL11" i="1" s="1"/>
  <c r="AS11" i="1"/>
  <c r="AN11" i="1" s="1"/>
  <c r="AR11" i="1"/>
  <c r="AM11" i="1" s="1"/>
  <c r="AT11" i="1"/>
  <c r="AO11" i="1" s="1"/>
  <c r="AR264" i="1"/>
  <c r="AM264" i="1" s="1"/>
  <c r="AS264" i="1"/>
  <c r="AN264" i="1" s="1"/>
  <c r="AQ264" i="1"/>
  <c r="AL264" i="1" s="1"/>
  <c r="AT264" i="1"/>
  <c r="AO264" i="1" s="1"/>
  <c r="S397" i="1"/>
  <c r="AR397" i="1" s="1"/>
  <c r="AM397" i="1" s="1"/>
  <c r="AR584" i="1"/>
  <c r="AM584" i="1" s="1"/>
  <c r="AS584" i="1"/>
  <c r="AN584" i="1" s="1"/>
  <c r="AQ584" i="1"/>
  <c r="AL584" i="1" s="1"/>
  <c r="AT584" i="1"/>
  <c r="AO584" i="1" s="1"/>
  <c r="AQ568" i="1"/>
  <c r="AL568" i="1" s="1"/>
  <c r="AR568" i="1"/>
  <c r="AM568" i="1" s="1"/>
  <c r="AT568" i="1"/>
  <c r="AO568" i="1" s="1"/>
  <c r="AS568" i="1"/>
  <c r="AN568" i="1" s="1"/>
  <c r="AQ552" i="1"/>
  <c r="AL552" i="1" s="1"/>
  <c r="AR552" i="1"/>
  <c r="AM552" i="1" s="1"/>
  <c r="AT552" i="1"/>
  <c r="AO552" i="1" s="1"/>
  <c r="AS552" i="1"/>
  <c r="AN552" i="1" s="1"/>
  <c r="AR536" i="1"/>
  <c r="AM536" i="1" s="1"/>
  <c r="AQ536" i="1"/>
  <c r="AL536" i="1" s="1"/>
  <c r="AS536" i="1"/>
  <c r="AN536" i="1" s="1"/>
  <c r="AT536" i="1"/>
  <c r="AO536" i="1" s="1"/>
  <c r="AQ520" i="1"/>
  <c r="AL520" i="1" s="1"/>
  <c r="AR520" i="1"/>
  <c r="AM520" i="1" s="1"/>
  <c r="AS520" i="1"/>
  <c r="AN520" i="1" s="1"/>
  <c r="AT520" i="1"/>
  <c r="AO520" i="1" s="1"/>
  <c r="AQ504" i="1"/>
  <c r="AL504" i="1" s="1"/>
  <c r="AS504" i="1"/>
  <c r="AN504" i="1" s="1"/>
  <c r="AR504" i="1"/>
  <c r="AM504" i="1" s="1"/>
  <c r="AT504" i="1"/>
  <c r="AO504" i="1" s="1"/>
  <c r="AQ488" i="1"/>
  <c r="AL488" i="1" s="1"/>
  <c r="AR488" i="1"/>
  <c r="AM488" i="1" s="1"/>
  <c r="AS488" i="1"/>
  <c r="AN488" i="1" s="1"/>
  <c r="AT488" i="1"/>
  <c r="AO488" i="1" s="1"/>
  <c r="AQ472" i="1"/>
  <c r="AL472" i="1" s="1"/>
  <c r="AR472" i="1"/>
  <c r="AM472" i="1" s="1"/>
  <c r="AS472" i="1"/>
  <c r="AN472" i="1" s="1"/>
  <c r="AT472" i="1"/>
  <c r="AO472" i="1" s="1"/>
  <c r="AQ456" i="1"/>
  <c r="AL456" i="1" s="1"/>
  <c r="AR456" i="1"/>
  <c r="AM456" i="1" s="1"/>
  <c r="AT456" i="1"/>
  <c r="AO456" i="1" s="1"/>
  <c r="AS456" i="1"/>
  <c r="AN456" i="1" s="1"/>
  <c r="AQ440" i="1"/>
  <c r="AL440" i="1" s="1"/>
  <c r="AR440" i="1"/>
  <c r="AM440" i="1" s="1"/>
  <c r="AS440" i="1"/>
  <c r="AN440" i="1" s="1"/>
  <c r="AT440" i="1"/>
  <c r="AO440" i="1" s="1"/>
  <c r="AS221" i="1"/>
  <c r="AN221" i="1" s="1"/>
  <c r="AQ221" i="1"/>
  <c r="AL221" i="1" s="1"/>
  <c r="AR221" i="1"/>
  <c r="AM221" i="1" s="1"/>
  <c r="AT221" i="1"/>
  <c r="AO221" i="1" s="1"/>
  <c r="AQ141" i="1"/>
  <c r="AL141" i="1" s="1"/>
  <c r="AS141" i="1"/>
  <c r="AN141" i="1" s="1"/>
  <c r="AR141" i="1"/>
  <c r="AM141" i="1" s="1"/>
  <c r="AT141" i="1"/>
  <c r="AO141" i="1" s="1"/>
  <c r="AQ45" i="1"/>
  <c r="AL45" i="1" s="1"/>
  <c r="AS45" i="1"/>
  <c r="AN45" i="1" s="1"/>
  <c r="AR45" i="1"/>
  <c r="AM45" i="1" s="1"/>
  <c r="AT45" i="1"/>
  <c r="AO45" i="1" s="1"/>
  <c r="AQ156" i="1"/>
  <c r="AL156" i="1" s="1"/>
  <c r="AS156" i="1"/>
  <c r="AN156" i="1" s="1"/>
  <c r="AR156" i="1"/>
  <c r="AM156" i="1" s="1"/>
  <c r="AT156" i="1"/>
  <c r="AO156" i="1" s="1"/>
  <c r="AT569" i="1"/>
  <c r="AO569" i="1" s="1"/>
  <c r="AQ569" i="1"/>
  <c r="AL569" i="1" s="1"/>
  <c r="AR569" i="1"/>
  <c r="AM569" i="1" s="1"/>
  <c r="AS569" i="1"/>
  <c r="AN569" i="1" s="1"/>
  <c r="AT521" i="1"/>
  <c r="AO521" i="1" s="1"/>
  <c r="AQ521" i="1"/>
  <c r="AL521" i="1" s="1"/>
  <c r="AS521" i="1"/>
  <c r="AN521" i="1" s="1"/>
  <c r="AR521" i="1"/>
  <c r="AM521" i="1" s="1"/>
  <c r="AT473" i="1"/>
  <c r="AO473" i="1" s="1"/>
  <c r="AQ473" i="1"/>
  <c r="AL473" i="1" s="1"/>
  <c r="AR473" i="1"/>
  <c r="AM473" i="1" s="1"/>
  <c r="AS473" i="1"/>
  <c r="AN473" i="1" s="1"/>
  <c r="AR235" i="1"/>
  <c r="AM235" i="1" s="1"/>
  <c r="AQ235" i="1"/>
  <c r="AL235" i="1" s="1"/>
  <c r="AS235" i="1"/>
  <c r="AN235" i="1" s="1"/>
  <c r="AT235" i="1"/>
  <c r="AO235" i="1" s="1"/>
  <c r="AS203" i="1"/>
  <c r="AN203" i="1" s="1"/>
  <c r="AR203" i="1"/>
  <c r="AM203" i="1" s="1"/>
  <c r="AQ203" i="1"/>
  <c r="AL203" i="1" s="1"/>
  <c r="AT203" i="1"/>
  <c r="AO203" i="1" s="1"/>
  <c r="AR171" i="1"/>
  <c r="AM171" i="1" s="1"/>
  <c r="AT171" i="1"/>
  <c r="AO171" i="1" s="1"/>
  <c r="AQ171" i="1"/>
  <c r="AL171" i="1" s="1"/>
  <c r="AS171" i="1"/>
  <c r="AN171" i="1" s="1"/>
  <c r="AQ155" i="1"/>
  <c r="AL155" i="1" s="1"/>
  <c r="AS155" i="1"/>
  <c r="AN155" i="1" s="1"/>
  <c r="AT155" i="1"/>
  <c r="AO155" i="1" s="1"/>
  <c r="AR155" i="1"/>
  <c r="AM155" i="1" s="1"/>
  <c r="U123" i="1"/>
  <c r="W123" i="1" s="1"/>
  <c r="AS123" i="1"/>
  <c r="AN123" i="1" s="1"/>
  <c r="AT123" i="1"/>
  <c r="AO123" i="1" s="1"/>
  <c r="AR123" i="1"/>
  <c r="AM123" i="1" s="1"/>
  <c r="AQ123" i="1"/>
  <c r="AL123" i="1" s="1"/>
  <c r="AQ91" i="1"/>
  <c r="AL91" i="1" s="1"/>
  <c r="AT91" i="1"/>
  <c r="AO91" i="1" s="1"/>
  <c r="AS91" i="1"/>
  <c r="AN91" i="1" s="1"/>
  <c r="AR91" i="1"/>
  <c r="AM91" i="1" s="1"/>
  <c r="U60" i="1"/>
  <c r="W60" i="1" s="1"/>
  <c r="AR59" i="1"/>
  <c r="AM59" i="1" s="1"/>
  <c r="AT59" i="1"/>
  <c r="AO59" i="1" s="1"/>
  <c r="AQ59" i="1"/>
  <c r="AL59" i="1" s="1"/>
  <c r="AS59" i="1"/>
  <c r="AN59" i="1" s="1"/>
  <c r="AT234" i="1"/>
  <c r="AO234" i="1" s="1"/>
  <c r="AQ234" i="1"/>
  <c r="AL234" i="1" s="1"/>
  <c r="AR234" i="1"/>
  <c r="AM234" i="1" s="1"/>
  <c r="AS234" i="1"/>
  <c r="AN234" i="1" s="1"/>
  <c r="AT218" i="1"/>
  <c r="AO218" i="1" s="1"/>
  <c r="AR218" i="1"/>
  <c r="AM218" i="1" s="1"/>
  <c r="AS218" i="1"/>
  <c r="AN218" i="1" s="1"/>
  <c r="AQ218" i="1"/>
  <c r="AL218" i="1" s="1"/>
  <c r="AT202" i="1"/>
  <c r="AO202" i="1" s="1"/>
  <c r="AS202" i="1"/>
  <c r="AN202" i="1" s="1"/>
  <c r="AR202" i="1"/>
  <c r="AM202" i="1" s="1"/>
  <c r="AQ202" i="1"/>
  <c r="AL202" i="1" s="1"/>
  <c r="AT186" i="1"/>
  <c r="AO186" i="1" s="1"/>
  <c r="AR186" i="1"/>
  <c r="AM186" i="1" s="1"/>
  <c r="AS186" i="1"/>
  <c r="AN186" i="1" s="1"/>
  <c r="AQ186" i="1"/>
  <c r="AL186" i="1" s="1"/>
  <c r="AT170" i="1"/>
  <c r="AO170" i="1" s="1"/>
  <c r="AQ170" i="1"/>
  <c r="AL170" i="1" s="1"/>
  <c r="AR170" i="1"/>
  <c r="AM170" i="1" s="1"/>
  <c r="AS170" i="1"/>
  <c r="AN170" i="1" s="1"/>
  <c r="AT154" i="1"/>
  <c r="AO154" i="1" s="1"/>
  <c r="AQ154" i="1"/>
  <c r="AL154" i="1" s="1"/>
  <c r="AR154" i="1"/>
  <c r="AM154" i="1" s="1"/>
  <c r="AS154" i="1"/>
  <c r="AN154" i="1" s="1"/>
  <c r="AT138" i="1"/>
  <c r="AO138" i="1" s="1"/>
  <c r="AR138" i="1"/>
  <c r="AM138" i="1" s="1"/>
  <c r="AS138" i="1"/>
  <c r="AN138" i="1" s="1"/>
  <c r="AQ138" i="1"/>
  <c r="AL138" i="1" s="1"/>
  <c r="AT122" i="1"/>
  <c r="AO122" i="1" s="1"/>
  <c r="AQ122" i="1"/>
  <c r="AL122" i="1" s="1"/>
  <c r="AS122" i="1"/>
  <c r="AN122" i="1" s="1"/>
  <c r="AR122" i="1"/>
  <c r="AM122" i="1" s="1"/>
  <c r="AT106" i="1"/>
  <c r="AO106" i="1" s="1"/>
  <c r="AR106" i="1"/>
  <c r="AM106" i="1" s="1"/>
  <c r="AS106" i="1"/>
  <c r="AN106" i="1" s="1"/>
  <c r="AQ106" i="1"/>
  <c r="AL106" i="1" s="1"/>
  <c r="U90" i="1"/>
  <c r="W90" i="1" s="1"/>
  <c r="AT90" i="1"/>
  <c r="AO90" i="1" s="1"/>
  <c r="AQ90" i="1"/>
  <c r="AL90" i="1" s="1"/>
  <c r="AS90" i="1"/>
  <c r="AN90" i="1" s="1"/>
  <c r="AR90" i="1"/>
  <c r="AM90" i="1" s="1"/>
  <c r="AT74" i="1"/>
  <c r="AO74" i="1" s="1"/>
  <c r="AQ74" i="1"/>
  <c r="AL74" i="1" s="1"/>
  <c r="AS74" i="1"/>
  <c r="AN74" i="1" s="1"/>
  <c r="AR74" i="1"/>
  <c r="AM74" i="1" s="1"/>
  <c r="AT58" i="1"/>
  <c r="AO58" i="1" s="1"/>
  <c r="AQ58" i="1"/>
  <c r="AL58" i="1" s="1"/>
  <c r="AR58" i="1"/>
  <c r="AM58" i="1" s="1"/>
  <c r="AS58" i="1"/>
  <c r="AN58" i="1" s="1"/>
  <c r="AT42" i="1"/>
  <c r="AO42" i="1" s="1"/>
  <c r="AQ42" i="1"/>
  <c r="AL42" i="1" s="1"/>
  <c r="AR42" i="1"/>
  <c r="AM42" i="1" s="1"/>
  <c r="AS42" i="1"/>
  <c r="AN42" i="1" s="1"/>
  <c r="AT26" i="1"/>
  <c r="AO26" i="1" s="1"/>
  <c r="AR26" i="1"/>
  <c r="AM26" i="1" s="1"/>
  <c r="AQ26" i="1"/>
  <c r="AL26" i="1" s="1"/>
  <c r="AS26" i="1"/>
  <c r="AN26" i="1" s="1"/>
  <c r="AT10" i="1"/>
  <c r="AO10" i="1" s="1"/>
  <c r="AQ10" i="1"/>
  <c r="AL10" i="1" s="1"/>
  <c r="AS10" i="1"/>
  <c r="AN10" i="1" s="1"/>
  <c r="AR10" i="1"/>
  <c r="AM10" i="1" s="1"/>
  <c r="AQ249" i="1"/>
  <c r="AL249" i="1" s="1"/>
  <c r="AR249" i="1"/>
  <c r="AM249" i="1" s="1"/>
  <c r="AS249" i="1"/>
  <c r="AN249" i="1" s="1"/>
  <c r="AT249" i="1"/>
  <c r="AO249" i="1" s="1"/>
  <c r="AR583" i="1"/>
  <c r="AM583" i="1" s="1"/>
  <c r="AS583" i="1"/>
  <c r="AN583" i="1" s="1"/>
  <c r="AQ583" i="1"/>
  <c r="AL583" i="1" s="1"/>
  <c r="AT583" i="1"/>
  <c r="AO583" i="1" s="1"/>
  <c r="AQ567" i="1"/>
  <c r="AL567" i="1" s="1"/>
  <c r="AS567" i="1"/>
  <c r="AN567" i="1" s="1"/>
  <c r="AR567" i="1"/>
  <c r="AM567" i="1" s="1"/>
  <c r="AT567" i="1"/>
  <c r="AO567" i="1" s="1"/>
  <c r="AQ551" i="1"/>
  <c r="AL551" i="1" s="1"/>
  <c r="AR551" i="1"/>
  <c r="AM551" i="1" s="1"/>
  <c r="AT551" i="1"/>
  <c r="AO551" i="1" s="1"/>
  <c r="AS551" i="1"/>
  <c r="AN551" i="1" s="1"/>
  <c r="AQ535" i="1"/>
  <c r="AL535" i="1" s="1"/>
  <c r="AR535" i="1"/>
  <c r="AM535" i="1" s="1"/>
  <c r="AS535" i="1"/>
  <c r="AN535" i="1" s="1"/>
  <c r="AT535" i="1"/>
  <c r="AO535" i="1" s="1"/>
  <c r="AR519" i="1"/>
  <c r="AM519" i="1" s="1"/>
  <c r="AQ519" i="1"/>
  <c r="AL519" i="1" s="1"/>
  <c r="AT519" i="1"/>
  <c r="AO519" i="1" s="1"/>
  <c r="AS519" i="1"/>
  <c r="AN519" i="1" s="1"/>
  <c r="AQ503" i="1"/>
  <c r="AL503" i="1" s="1"/>
  <c r="AS503" i="1"/>
  <c r="AN503" i="1" s="1"/>
  <c r="AR503" i="1"/>
  <c r="AM503" i="1" s="1"/>
  <c r="AT503" i="1"/>
  <c r="AO503" i="1" s="1"/>
  <c r="AR487" i="1"/>
  <c r="AM487" i="1" s="1"/>
  <c r="AQ487" i="1"/>
  <c r="AL487" i="1" s="1"/>
  <c r="AS487" i="1"/>
  <c r="AN487" i="1" s="1"/>
  <c r="AT487" i="1"/>
  <c r="AO487" i="1" s="1"/>
  <c r="AQ471" i="1"/>
  <c r="AL471" i="1" s="1"/>
  <c r="AR471" i="1"/>
  <c r="AM471" i="1" s="1"/>
  <c r="AS471" i="1"/>
  <c r="AN471" i="1" s="1"/>
  <c r="AT471" i="1"/>
  <c r="AO471" i="1" s="1"/>
  <c r="AQ455" i="1"/>
  <c r="AL455" i="1" s="1"/>
  <c r="AR455" i="1"/>
  <c r="AM455" i="1" s="1"/>
  <c r="AT455" i="1"/>
  <c r="AO455" i="1" s="1"/>
  <c r="AS455" i="1"/>
  <c r="AN455" i="1" s="1"/>
  <c r="AR439" i="1"/>
  <c r="AM439" i="1" s="1"/>
  <c r="AQ439" i="1"/>
  <c r="AL439" i="1" s="1"/>
  <c r="AS439" i="1"/>
  <c r="AN439" i="1" s="1"/>
  <c r="AT439" i="1"/>
  <c r="AO439" i="1" s="1"/>
  <c r="AT585" i="1"/>
  <c r="AO585" i="1" s="1"/>
  <c r="AR585" i="1"/>
  <c r="AM585" i="1" s="1"/>
  <c r="AQ585" i="1"/>
  <c r="AL585" i="1" s="1"/>
  <c r="AS585" i="1"/>
  <c r="AN585" i="1" s="1"/>
  <c r="AT457" i="1"/>
  <c r="AO457" i="1" s="1"/>
  <c r="AR457" i="1"/>
  <c r="AM457" i="1" s="1"/>
  <c r="AQ457" i="1"/>
  <c r="AL457" i="1" s="1"/>
  <c r="AS457" i="1"/>
  <c r="AN457" i="1" s="1"/>
  <c r="AQ233" i="1"/>
  <c r="AL233" i="1" s="1"/>
  <c r="AR233" i="1"/>
  <c r="AM233" i="1" s="1"/>
  <c r="AS233" i="1"/>
  <c r="AN233" i="1" s="1"/>
  <c r="AT233" i="1"/>
  <c r="AO233" i="1" s="1"/>
  <c r="AQ201" i="1"/>
  <c r="AL201" i="1" s="1"/>
  <c r="AR201" i="1"/>
  <c r="AM201" i="1" s="1"/>
  <c r="AT201" i="1"/>
  <c r="AO201" i="1" s="1"/>
  <c r="AS201" i="1"/>
  <c r="AN201" i="1" s="1"/>
  <c r="AQ169" i="1"/>
  <c r="AL169" i="1" s="1"/>
  <c r="AR169" i="1"/>
  <c r="AM169" i="1" s="1"/>
  <c r="AS169" i="1"/>
  <c r="AN169" i="1" s="1"/>
  <c r="AT169" i="1"/>
  <c r="AO169" i="1" s="1"/>
  <c r="AQ153" i="1"/>
  <c r="AL153" i="1" s="1"/>
  <c r="AS153" i="1"/>
  <c r="AN153" i="1" s="1"/>
  <c r="AR153" i="1"/>
  <c r="AM153" i="1" s="1"/>
  <c r="AT153" i="1"/>
  <c r="AO153" i="1" s="1"/>
  <c r="AQ137" i="1"/>
  <c r="AL137" i="1" s="1"/>
  <c r="AR137" i="1"/>
  <c r="AM137" i="1" s="1"/>
  <c r="AS137" i="1"/>
  <c r="AN137" i="1" s="1"/>
  <c r="AT137" i="1"/>
  <c r="AO137" i="1" s="1"/>
  <c r="AS121" i="1"/>
  <c r="AN121" i="1" s="1"/>
  <c r="AR121" i="1"/>
  <c r="AM121" i="1" s="1"/>
  <c r="AQ121" i="1"/>
  <c r="AL121" i="1" s="1"/>
  <c r="AT121" i="1"/>
  <c r="AO121" i="1" s="1"/>
  <c r="AR105" i="1"/>
  <c r="AM105" i="1" s="1"/>
  <c r="AT105" i="1"/>
  <c r="AO105" i="1" s="1"/>
  <c r="AS105" i="1"/>
  <c r="AN105" i="1" s="1"/>
  <c r="AQ105" i="1"/>
  <c r="AL105" i="1" s="1"/>
  <c r="AS89" i="1"/>
  <c r="AN89" i="1" s="1"/>
  <c r="AQ89" i="1"/>
  <c r="AL89" i="1" s="1"/>
  <c r="AR89" i="1"/>
  <c r="AM89" i="1" s="1"/>
  <c r="AT89" i="1"/>
  <c r="AO89" i="1" s="1"/>
  <c r="AT73" i="1"/>
  <c r="AO73" i="1" s="1"/>
  <c r="AQ73" i="1"/>
  <c r="AL73" i="1" s="1"/>
  <c r="AR73" i="1"/>
  <c r="AM73" i="1" s="1"/>
  <c r="AS73" i="1"/>
  <c r="AN73" i="1" s="1"/>
  <c r="AR57" i="1"/>
  <c r="AM57" i="1" s="1"/>
  <c r="AT57" i="1"/>
  <c r="AO57" i="1" s="1"/>
  <c r="AQ57" i="1"/>
  <c r="AL57" i="1" s="1"/>
  <c r="AS57" i="1"/>
  <c r="AN57" i="1" s="1"/>
  <c r="AR41" i="1"/>
  <c r="AM41" i="1" s="1"/>
  <c r="AT41" i="1"/>
  <c r="AO41" i="1" s="1"/>
  <c r="AS41" i="1"/>
  <c r="AN41" i="1" s="1"/>
  <c r="AQ41" i="1"/>
  <c r="AL41" i="1" s="1"/>
  <c r="AQ25" i="1"/>
  <c r="AL25" i="1" s="1"/>
  <c r="AR25" i="1"/>
  <c r="AM25" i="1" s="1"/>
  <c r="AS25" i="1"/>
  <c r="AN25" i="1" s="1"/>
  <c r="AT25" i="1"/>
  <c r="AO25" i="1" s="1"/>
  <c r="AQ9" i="1"/>
  <c r="AL9" i="1" s="1"/>
  <c r="AS9" i="1"/>
  <c r="AN9" i="1" s="1"/>
  <c r="AR9" i="1"/>
  <c r="AM9" i="1" s="1"/>
  <c r="AT9" i="1"/>
  <c r="AO9" i="1" s="1"/>
  <c r="AQ248" i="1"/>
  <c r="AL248" i="1" s="1"/>
  <c r="AR248" i="1"/>
  <c r="AM248" i="1" s="1"/>
  <c r="AS248" i="1"/>
  <c r="AN248" i="1" s="1"/>
  <c r="AT248" i="1"/>
  <c r="AO248" i="1" s="1"/>
  <c r="AQ325" i="1"/>
  <c r="AL325" i="1" s="1"/>
  <c r="AR325" i="1"/>
  <c r="AM325" i="1" s="1"/>
  <c r="AS325" i="1"/>
  <c r="AN325" i="1" s="1"/>
  <c r="AT325" i="1"/>
  <c r="AO325" i="1" s="1"/>
  <c r="S403" i="1"/>
  <c r="AS403" i="1" s="1"/>
  <c r="AN403" i="1" s="1"/>
  <c r="AQ582" i="1"/>
  <c r="AL582" i="1" s="1"/>
  <c r="AR582" i="1"/>
  <c r="AM582" i="1" s="1"/>
  <c r="AS582" i="1"/>
  <c r="AN582" i="1" s="1"/>
  <c r="AT582" i="1"/>
  <c r="AO582" i="1" s="1"/>
  <c r="AQ566" i="1"/>
  <c r="AL566" i="1" s="1"/>
  <c r="AS566" i="1"/>
  <c r="AN566" i="1" s="1"/>
  <c r="AR566" i="1"/>
  <c r="AM566" i="1" s="1"/>
  <c r="AT566" i="1"/>
  <c r="AO566" i="1" s="1"/>
  <c r="AQ550" i="1"/>
  <c r="AL550" i="1" s="1"/>
  <c r="AS550" i="1"/>
  <c r="AN550" i="1" s="1"/>
  <c r="AR550" i="1"/>
  <c r="AM550" i="1" s="1"/>
  <c r="AT550" i="1"/>
  <c r="AO550" i="1" s="1"/>
  <c r="AQ534" i="1"/>
  <c r="AL534" i="1" s="1"/>
  <c r="AR534" i="1"/>
  <c r="AM534" i="1" s="1"/>
  <c r="AT534" i="1"/>
  <c r="AO534" i="1" s="1"/>
  <c r="AS534" i="1"/>
  <c r="AN534" i="1" s="1"/>
  <c r="AR518" i="1"/>
  <c r="AM518" i="1" s="1"/>
  <c r="AQ518" i="1"/>
  <c r="AL518" i="1" s="1"/>
  <c r="AT518" i="1"/>
  <c r="AO518" i="1" s="1"/>
  <c r="AS518" i="1"/>
  <c r="AN518" i="1" s="1"/>
  <c r="AR502" i="1"/>
  <c r="AM502" i="1" s="1"/>
  <c r="AS502" i="1"/>
  <c r="AN502" i="1" s="1"/>
  <c r="AQ502" i="1"/>
  <c r="AL502" i="1" s="1"/>
  <c r="AT502" i="1"/>
  <c r="AO502" i="1" s="1"/>
  <c r="AQ486" i="1"/>
  <c r="AL486" i="1" s="1"/>
  <c r="AS486" i="1"/>
  <c r="AN486" i="1" s="1"/>
  <c r="AR486" i="1"/>
  <c r="AM486" i="1" s="1"/>
  <c r="AT486" i="1"/>
  <c r="AO486" i="1" s="1"/>
  <c r="AR470" i="1"/>
  <c r="AM470" i="1" s="1"/>
  <c r="AS470" i="1"/>
  <c r="AN470" i="1" s="1"/>
  <c r="AT470" i="1"/>
  <c r="AO470" i="1" s="1"/>
  <c r="AQ470" i="1"/>
  <c r="AL470" i="1" s="1"/>
  <c r="AQ454" i="1"/>
  <c r="AL454" i="1" s="1"/>
  <c r="AR454" i="1"/>
  <c r="AM454" i="1" s="1"/>
  <c r="AS454" i="1"/>
  <c r="AN454" i="1" s="1"/>
  <c r="AT454" i="1"/>
  <c r="AO454" i="1" s="1"/>
  <c r="AR438" i="1"/>
  <c r="AM438" i="1" s="1"/>
  <c r="AQ438" i="1"/>
  <c r="AL438" i="1" s="1"/>
  <c r="AS438" i="1"/>
  <c r="AN438" i="1" s="1"/>
  <c r="AT438" i="1"/>
  <c r="AO438" i="1" s="1"/>
  <c r="AR791" i="1"/>
  <c r="AM791" i="1" s="1"/>
  <c r="AT282" i="1"/>
  <c r="AO282" i="1" s="1"/>
  <c r="AQ282" i="1"/>
  <c r="AL282" i="1" s="1"/>
  <c r="AS282" i="1"/>
  <c r="AN282" i="1" s="1"/>
  <c r="AR282" i="1"/>
  <c r="AM282" i="1" s="1"/>
  <c r="AT553" i="1"/>
  <c r="AO553" i="1" s="1"/>
  <c r="AQ553" i="1"/>
  <c r="AL553" i="1" s="1"/>
  <c r="AR553" i="1"/>
  <c r="AM553" i="1" s="1"/>
  <c r="AS553" i="1"/>
  <c r="AN553" i="1" s="1"/>
  <c r="AT441" i="1"/>
  <c r="AO441" i="1" s="1"/>
  <c r="AR441" i="1"/>
  <c r="AM441" i="1" s="1"/>
  <c r="AQ441" i="1"/>
  <c r="AL441" i="1" s="1"/>
  <c r="AS441" i="1"/>
  <c r="AN441" i="1" s="1"/>
  <c r="AR217" i="1"/>
  <c r="AM217" i="1" s="1"/>
  <c r="AQ217" i="1"/>
  <c r="AL217" i="1" s="1"/>
  <c r="AS217" i="1"/>
  <c r="AN217" i="1" s="1"/>
  <c r="AT217" i="1"/>
  <c r="AO217" i="1" s="1"/>
  <c r="AS185" i="1"/>
  <c r="AN185" i="1" s="1"/>
  <c r="AR185" i="1"/>
  <c r="AM185" i="1" s="1"/>
  <c r="AQ185" i="1"/>
  <c r="AL185" i="1" s="1"/>
  <c r="AT185" i="1"/>
  <c r="AO185" i="1" s="1"/>
  <c r="AS232" i="1"/>
  <c r="AN232" i="1" s="1"/>
  <c r="AQ232" i="1"/>
  <c r="AL232" i="1" s="1"/>
  <c r="AR232" i="1"/>
  <c r="AM232" i="1" s="1"/>
  <c r="AT232" i="1"/>
  <c r="AO232" i="1" s="1"/>
  <c r="AQ216" i="1"/>
  <c r="AL216" i="1" s="1"/>
  <c r="AR216" i="1"/>
  <c r="AM216" i="1" s="1"/>
  <c r="AS216" i="1"/>
  <c r="AN216" i="1" s="1"/>
  <c r="AT216" i="1"/>
  <c r="AO216" i="1" s="1"/>
  <c r="AQ200" i="1"/>
  <c r="AL200" i="1" s="1"/>
  <c r="AS200" i="1"/>
  <c r="AN200" i="1" s="1"/>
  <c r="AR200" i="1"/>
  <c r="AM200" i="1" s="1"/>
  <c r="AT200" i="1"/>
  <c r="AO200" i="1" s="1"/>
  <c r="AR184" i="1"/>
  <c r="AM184" i="1" s="1"/>
  <c r="AS184" i="1"/>
  <c r="AN184" i="1" s="1"/>
  <c r="AQ184" i="1"/>
  <c r="AL184" i="1" s="1"/>
  <c r="AT184" i="1"/>
  <c r="AO184" i="1" s="1"/>
  <c r="AQ168" i="1"/>
  <c r="AL168" i="1" s="1"/>
  <c r="AS168" i="1"/>
  <c r="AN168" i="1" s="1"/>
  <c r="AR168" i="1"/>
  <c r="AM168" i="1" s="1"/>
  <c r="AT168" i="1"/>
  <c r="AO168" i="1" s="1"/>
  <c r="AQ152" i="1"/>
  <c r="AL152" i="1" s="1"/>
  <c r="AS152" i="1"/>
  <c r="AN152" i="1" s="1"/>
  <c r="AT152" i="1"/>
  <c r="AO152" i="1" s="1"/>
  <c r="AR152" i="1"/>
  <c r="AM152" i="1" s="1"/>
  <c r="AQ136" i="1"/>
  <c r="AL136" i="1" s="1"/>
  <c r="AR136" i="1"/>
  <c r="AM136" i="1" s="1"/>
  <c r="AS136" i="1"/>
  <c r="AN136" i="1" s="1"/>
  <c r="AT136" i="1"/>
  <c r="AO136" i="1" s="1"/>
  <c r="AR120" i="1"/>
  <c r="AM120" i="1" s="1"/>
  <c r="AQ120" i="1"/>
  <c r="AL120" i="1" s="1"/>
  <c r="AS120" i="1"/>
  <c r="AN120" i="1" s="1"/>
  <c r="AT120" i="1"/>
  <c r="AO120" i="1" s="1"/>
  <c r="AQ104" i="1"/>
  <c r="AL104" i="1" s="1"/>
  <c r="AS104" i="1"/>
  <c r="AN104" i="1" s="1"/>
  <c r="AT104" i="1"/>
  <c r="AO104" i="1" s="1"/>
  <c r="AR104" i="1"/>
  <c r="AM104" i="1" s="1"/>
  <c r="AT88" i="1"/>
  <c r="AO88" i="1" s="1"/>
  <c r="AR88" i="1"/>
  <c r="AM88" i="1" s="1"/>
  <c r="AS88" i="1"/>
  <c r="AN88" i="1" s="1"/>
  <c r="AQ88" i="1"/>
  <c r="AL88" i="1" s="1"/>
  <c r="AQ72" i="1"/>
  <c r="AL72" i="1" s="1"/>
  <c r="AS72" i="1"/>
  <c r="AN72" i="1" s="1"/>
  <c r="AR72" i="1"/>
  <c r="AM72" i="1" s="1"/>
  <c r="AT72" i="1"/>
  <c r="AO72" i="1" s="1"/>
  <c r="AR56" i="1"/>
  <c r="AM56" i="1" s="1"/>
  <c r="AT56" i="1"/>
  <c r="AO56" i="1" s="1"/>
  <c r="AQ56" i="1"/>
  <c r="AL56" i="1" s="1"/>
  <c r="AS56" i="1"/>
  <c r="AN56" i="1" s="1"/>
  <c r="AQ40" i="1"/>
  <c r="AL40" i="1" s="1"/>
  <c r="AR40" i="1"/>
  <c r="AM40" i="1" s="1"/>
  <c r="AT40" i="1"/>
  <c r="AO40" i="1" s="1"/>
  <c r="AS40" i="1"/>
  <c r="AN40" i="1" s="1"/>
  <c r="AQ24" i="1"/>
  <c r="AL24" i="1" s="1"/>
  <c r="AS24" i="1"/>
  <c r="AN24" i="1" s="1"/>
  <c r="AT24" i="1"/>
  <c r="AO24" i="1" s="1"/>
  <c r="AR24" i="1"/>
  <c r="AM24" i="1" s="1"/>
  <c r="AR8" i="1"/>
  <c r="AM8" i="1" s="1"/>
  <c r="AQ8" i="1"/>
  <c r="AL8" i="1" s="1"/>
  <c r="AS8" i="1"/>
  <c r="AN8" i="1" s="1"/>
  <c r="AT8" i="1"/>
  <c r="AO8" i="1" s="1"/>
  <c r="AQ247" i="1"/>
  <c r="AL247" i="1" s="1"/>
  <c r="AR247" i="1"/>
  <c r="AM247" i="1" s="1"/>
  <c r="AS247" i="1"/>
  <c r="AN247" i="1" s="1"/>
  <c r="AT247" i="1"/>
  <c r="AO247" i="1" s="1"/>
  <c r="AQ581" i="1"/>
  <c r="AL581" i="1" s="1"/>
  <c r="AR581" i="1"/>
  <c r="AM581" i="1" s="1"/>
  <c r="AS581" i="1"/>
  <c r="AN581" i="1" s="1"/>
  <c r="AT581" i="1"/>
  <c r="AO581" i="1" s="1"/>
  <c r="AQ565" i="1"/>
  <c r="AL565" i="1" s="1"/>
  <c r="AS565" i="1"/>
  <c r="AN565" i="1" s="1"/>
  <c r="AR565" i="1"/>
  <c r="AM565" i="1" s="1"/>
  <c r="AT565" i="1"/>
  <c r="AO565" i="1" s="1"/>
  <c r="AS549" i="1"/>
  <c r="AN549" i="1" s="1"/>
  <c r="AQ549" i="1"/>
  <c r="AL549" i="1" s="1"/>
  <c r="AR549" i="1"/>
  <c r="AM549" i="1" s="1"/>
  <c r="AT549" i="1"/>
  <c r="AO549" i="1" s="1"/>
  <c r="AR533" i="1"/>
  <c r="AM533" i="1" s="1"/>
  <c r="AQ533" i="1"/>
  <c r="AL533" i="1" s="1"/>
  <c r="AS533" i="1"/>
  <c r="AN533" i="1" s="1"/>
  <c r="AT533" i="1"/>
  <c r="AO533" i="1" s="1"/>
  <c r="AR517" i="1"/>
  <c r="AM517" i="1" s="1"/>
  <c r="AQ517" i="1"/>
  <c r="AL517" i="1" s="1"/>
  <c r="AT517" i="1"/>
  <c r="AO517" i="1" s="1"/>
  <c r="AS517" i="1"/>
  <c r="AN517" i="1" s="1"/>
  <c r="AQ501" i="1"/>
  <c r="AL501" i="1" s="1"/>
  <c r="AR501" i="1"/>
  <c r="AM501" i="1" s="1"/>
  <c r="AS501" i="1"/>
  <c r="AN501" i="1" s="1"/>
  <c r="AT501" i="1"/>
  <c r="AO501" i="1" s="1"/>
  <c r="AQ485" i="1"/>
  <c r="AL485" i="1" s="1"/>
  <c r="AR485" i="1"/>
  <c r="AM485" i="1" s="1"/>
  <c r="AS485" i="1"/>
  <c r="AN485" i="1" s="1"/>
  <c r="AT485" i="1"/>
  <c r="AO485" i="1" s="1"/>
  <c r="AQ469" i="1"/>
  <c r="AL469" i="1" s="1"/>
  <c r="AR469" i="1"/>
  <c r="AM469" i="1" s="1"/>
  <c r="AS469" i="1"/>
  <c r="AN469" i="1" s="1"/>
  <c r="AT469" i="1"/>
  <c r="AO469" i="1" s="1"/>
  <c r="AQ453" i="1"/>
  <c r="AL453" i="1" s="1"/>
  <c r="AR453" i="1"/>
  <c r="AM453" i="1" s="1"/>
  <c r="AS453" i="1"/>
  <c r="AN453" i="1" s="1"/>
  <c r="AT453" i="1"/>
  <c r="AO453" i="1" s="1"/>
  <c r="AR437" i="1"/>
  <c r="AM437" i="1" s="1"/>
  <c r="AS437" i="1"/>
  <c r="AN437" i="1" s="1"/>
  <c r="AT437" i="1"/>
  <c r="AO437" i="1" s="1"/>
  <c r="AQ437" i="1"/>
  <c r="AL437" i="1" s="1"/>
  <c r="U441" i="1"/>
  <c r="W441" i="1" s="1"/>
  <c r="AQ791" i="1"/>
  <c r="AL791" i="1" s="1"/>
  <c r="AQ61" i="1"/>
  <c r="AL61" i="1" s="1"/>
  <c r="AR61" i="1"/>
  <c r="AM61" i="1" s="1"/>
  <c r="AS61" i="1"/>
  <c r="AN61" i="1" s="1"/>
  <c r="AT61" i="1"/>
  <c r="AO61" i="1" s="1"/>
  <c r="AQ12" i="1"/>
  <c r="AL12" i="1" s="1"/>
  <c r="AS12" i="1"/>
  <c r="AN12" i="1" s="1"/>
  <c r="AR12" i="1"/>
  <c r="AM12" i="1" s="1"/>
  <c r="AT12" i="1"/>
  <c r="AO12" i="1" s="1"/>
  <c r="AT505" i="1"/>
  <c r="AO505" i="1" s="1"/>
  <c r="AR505" i="1"/>
  <c r="AM505" i="1" s="1"/>
  <c r="AQ505" i="1"/>
  <c r="AL505" i="1" s="1"/>
  <c r="AS505" i="1"/>
  <c r="AN505" i="1" s="1"/>
  <c r="AQ231" i="1"/>
  <c r="AL231" i="1" s="1"/>
  <c r="AS231" i="1"/>
  <c r="AN231" i="1" s="1"/>
  <c r="AT231" i="1"/>
  <c r="AO231" i="1" s="1"/>
  <c r="AR231" i="1"/>
  <c r="AM231" i="1" s="1"/>
  <c r="AQ215" i="1"/>
  <c r="AL215" i="1" s="1"/>
  <c r="AR215" i="1"/>
  <c r="AM215" i="1" s="1"/>
  <c r="AS215" i="1"/>
  <c r="AN215" i="1" s="1"/>
  <c r="AT215" i="1"/>
  <c r="AO215" i="1" s="1"/>
  <c r="AR199" i="1"/>
  <c r="AM199" i="1" s="1"/>
  <c r="AS199" i="1"/>
  <c r="AN199" i="1" s="1"/>
  <c r="AQ199" i="1"/>
  <c r="AL199" i="1" s="1"/>
  <c r="AT199" i="1"/>
  <c r="AO199" i="1" s="1"/>
  <c r="AQ183" i="1"/>
  <c r="AL183" i="1" s="1"/>
  <c r="AS183" i="1"/>
  <c r="AN183" i="1" s="1"/>
  <c r="AT183" i="1"/>
  <c r="AO183" i="1" s="1"/>
  <c r="AR183" i="1"/>
  <c r="AM183" i="1" s="1"/>
  <c r="AQ167" i="1"/>
  <c r="AL167" i="1" s="1"/>
  <c r="AR167" i="1"/>
  <c r="AM167" i="1" s="1"/>
  <c r="AS167" i="1"/>
  <c r="AN167" i="1" s="1"/>
  <c r="AT167" i="1"/>
  <c r="AO167" i="1" s="1"/>
  <c r="AQ151" i="1"/>
  <c r="AL151" i="1" s="1"/>
  <c r="AS151" i="1"/>
  <c r="AN151" i="1" s="1"/>
  <c r="AR151" i="1"/>
  <c r="AM151" i="1" s="1"/>
  <c r="AT151" i="1"/>
  <c r="AO151" i="1" s="1"/>
  <c r="AQ135" i="1"/>
  <c r="AL135" i="1" s="1"/>
  <c r="AR135" i="1"/>
  <c r="AM135" i="1" s="1"/>
  <c r="AS135" i="1"/>
  <c r="AN135" i="1" s="1"/>
  <c r="AT135" i="1"/>
  <c r="AO135" i="1" s="1"/>
  <c r="AQ119" i="1"/>
  <c r="AL119" i="1" s="1"/>
  <c r="AR119" i="1"/>
  <c r="AM119" i="1" s="1"/>
  <c r="AS119" i="1"/>
  <c r="AN119" i="1" s="1"/>
  <c r="AT119" i="1"/>
  <c r="AO119" i="1" s="1"/>
  <c r="AQ103" i="1"/>
  <c r="AL103" i="1" s="1"/>
  <c r="AS103" i="1"/>
  <c r="AN103" i="1" s="1"/>
  <c r="AR103" i="1"/>
  <c r="AM103" i="1" s="1"/>
  <c r="AT103" i="1"/>
  <c r="AO103" i="1" s="1"/>
  <c r="AQ87" i="1"/>
  <c r="AL87" i="1" s="1"/>
  <c r="AR87" i="1"/>
  <c r="AM87" i="1" s="1"/>
  <c r="AS87" i="1"/>
  <c r="AN87" i="1" s="1"/>
  <c r="AT87" i="1"/>
  <c r="AO87" i="1" s="1"/>
  <c r="AQ71" i="1"/>
  <c r="AL71" i="1" s="1"/>
  <c r="AT71" i="1"/>
  <c r="AO71" i="1" s="1"/>
  <c r="AS71" i="1"/>
  <c r="AN71" i="1" s="1"/>
  <c r="AR71" i="1"/>
  <c r="AM71" i="1" s="1"/>
  <c r="AQ55" i="1"/>
  <c r="AL55" i="1" s="1"/>
  <c r="AS55" i="1"/>
  <c r="AN55" i="1" s="1"/>
  <c r="AR55" i="1"/>
  <c r="AM55" i="1" s="1"/>
  <c r="AT55" i="1"/>
  <c r="AO55" i="1" s="1"/>
  <c r="AQ39" i="1"/>
  <c r="AL39" i="1" s="1"/>
  <c r="AT39" i="1"/>
  <c r="AO39" i="1" s="1"/>
  <c r="AS39" i="1"/>
  <c r="AN39" i="1" s="1"/>
  <c r="AR39" i="1"/>
  <c r="AM39" i="1" s="1"/>
  <c r="AQ23" i="1"/>
  <c r="AL23" i="1" s="1"/>
  <c r="AT23" i="1"/>
  <c r="AO23" i="1" s="1"/>
  <c r="AR23" i="1"/>
  <c r="AM23" i="1" s="1"/>
  <c r="AS23" i="1"/>
  <c r="AN23" i="1" s="1"/>
  <c r="AQ7" i="1"/>
  <c r="AL7" i="1" s="1"/>
  <c r="AT7" i="1"/>
  <c r="AO7" i="1" s="1"/>
  <c r="AR7" i="1"/>
  <c r="AM7" i="1" s="1"/>
  <c r="AS7" i="1"/>
  <c r="AN7" i="1" s="1"/>
  <c r="AQ246" i="1"/>
  <c r="AL246" i="1" s="1"/>
  <c r="AR246" i="1"/>
  <c r="AM246" i="1" s="1"/>
  <c r="AT246" i="1"/>
  <c r="AO246" i="1" s="1"/>
  <c r="AS246" i="1"/>
  <c r="AN246" i="1" s="1"/>
  <c r="U422" i="1"/>
  <c r="W422" i="1" s="1"/>
  <c r="AR580" i="1"/>
  <c r="AM580" i="1" s="1"/>
  <c r="AT580" i="1"/>
  <c r="AO580" i="1" s="1"/>
  <c r="AQ580" i="1"/>
  <c r="AL580" i="1" s="1"/>
  <c r="AS580" i="1"/>
  <c r="AN580" i="1" s="1"/>
  <c r="AS564" i="1"/>
  <c r="AN564" i="1" s="1"/>
  <c r="AR564" i="1"/>
  <c r="AM564" i="1" s="1"/>
  <c r="AQ564" i="1"/>
  <c r="AL564" i="1" s="1"/>
  <c r="AT564" i="1"/>
  <c r="AO564" i="1" s="1"/>
  <c r="AQ548" i="1"/>
  <c r="AL548" i="1" s="1"/>
  <c r="AS548" i="1"/>
  <c r="AN548" i="1" s="1"/>
  <c r="AR548" i="1"/>
  <c r="AM548" i="1" s="1"/>
  <c r="AT548" i="1"/>
  <c r="AO548" i="1" s="1"/>
  <c r="AQ532" i="1"/>
  <c r="AL532" i="1" s="1"/>
  <c r="AS532" i="1"/>
  <c r="AN532" i="1" s="1"/>
  <c r="AT532" i="1"/>
  <c r="AO532" i="1" s="1"/>
  <c r="AR532" i="1"/>
  <c r="AM532" i="1" s="1"/>
  <c r="AQ516" i="1"/>
  <c r="AL516" i="1" s="1"/>
  <c r="AR516" i="1"/>
  <c r="AM516" i="1" s="1"/>
  <c r="AS516" i="1"/>
  <c r="AN516" i="1" s="1"/>
  <c r="AT516" i="1"/>
  <c r="AO516" i="1" s="1"/>
  <c r="AQ500" i="1"/>
  <c r="AL500" i="1" s="1"/>
  <c r="AR500" i="1"/>
  <c r="AM500" i="1" s="1"/>
  <c r="AS500" i="1"/>
  <c r="AN500" i="1" s="1"/>
  <c r="AT500" i="1"/>
  <c r="AO500" i="1" s="1"/>
  <c r="AQ484" i="1"/>
  <c r="AL484" i="1" s="1"/>
  <c r="AR484" i="1"/>
  <c r="AM484" i="1" s="1"/>
  <c r="AS484" i="1"/>
  <c r="AN484" i="1" s="1"/>
  <c r="AT484" i="1"/>
  <c r="AO484" i="1" s="1"/>
  <c r="AQ468" i="1"/>
  <c r="AL468" i="1" s="1"/>
  <c r="AR468" i="1"/>
  <c r="AM468" i="1" s="1"/>
  <c r="AS468" i="1"/>
  <c r="AN468" i="1" s="1"/>
  <c r="AT468" i="1"/>
  <c r="AO468" i="1" s="1"/>
  <c r="AQ452" i="1"/>
  <c r="AL452" i="1" s="1"/>
  <c r="AR452" i="1"/>
  <c r="AM452" i="1" s="1"/>
  <c r="AS452" i="1"/>
  <c r="AN452" i="1" s="1"/>
  <c r="AT452" i="1"/>
  <c r="AO452" i="1" s="1"/>
  <c r="AQ436" i="1"/>
  <c r="AL436" i="1" s="1"/>
  <c r="AR436" i="1"/>
  <c r="AM436" i="1" s="1"/>
  <c r="AS436" i="1"/>
  <c r="AN436" i="1" s="1"/>
  <c r="AT436" i="1"/>
  <c r="AO436" i="1" s="1"/>
  <c r="U456" i="1"/>
  <c r="W456" i="1" s="1"/>
  <c r="U440" i="1"/>
  <c r="W440" i="1" s="1"/>
  <c r="U701" i="1"/>
  <c r="W701" i="1" s="1"/>
  <c r="U637" i="1"/>
  <c r="W637" i="1" s="1"/>
  <c r="U605" i="1"/>
  <c r="W605" i="1" s="1"/>
  <c r="AR189" i="1"/>
  <c r="AM189" i="1" s="1"/>
  <c r="AS189" i="1"/>
  <c r="AN189" i="1" s="1"/>
  <c r="AQ189" i="1"/>
  <c r="AL189" i="1" s="1"/>
  <c r="AT189" i="1"/>
  <c r="AO189" i="1" s="1"/>
  <c r="AR77" i="1"/>
  <c r="AM77" i="1" s="1"/>
  <c r="AT77" i="1"/>
  <c r="AO77" i="1" s="1"/>
  <c r="AS77" i="1"/>
  <c r="AN77" i="1" s="1"/>
  <c r="AQ77" i="1"/>
  <c r="AL77" i="1" s="1"/>
  <c r="AQ172" i="1"/>
  <c r="AL172" i="1" s="1"/>
  <c r="AS172" i="1"/>
  <c r="AN172" i="1" s="1"/>
  <c r="AR172" i="1"/>
  <c r="AM172" i="1" s="1"/>
  <c r="AT172" i="1"/>
  <c r="AO172" i="1" s="1"/>
  <c r="AR166" i="1"/>
  <c r="AM166" i="1" s="1"/>
  <c r="AS166" i="1"/>
  <c r="AN166" i="1" s="1"/>
  <c r="AT166" i="1"/>
  <c r="AO166" i="1" s="1"/>
  <c r="AQ166" i="1"/>
  <c r="AL166" i="1" s="1"/>
  <c r="AQ499" i="1"/>
  <c r="AL499" i="1" s="1"/>
  <c r="AS499" i="1"/>
  <c r="AN499" i="1" s="1"/>
  <c r="AT499" i="1"/>
  <c r="AO499" i="1" s="1"/>
  <c r="AR499" i="1"/>
  <c r="AM499" i="1" s="1"/>
  <c r="AS236" i="1"/>
  <c r="AN236" i="1" s="1"/>
  <c r="AQ236" i="1"/>
  <c r="AL236" i="1" s="1"/>
  <c r="AR236" i="1"/>
  <c r="AM236" i="1" s="1"/>
  <c r="AT236" i="1"/>
  <c r="AO236" i="1" s="1"/>
  <c r="AR563" i="1"/>
  <c r="AM563" i="1" s="1"/>
  <c r="AQ563" i="1"/>
  <c r="AL563" i="1" s="1"/>
  <c r="AT563" i="1"/>
  <c r="AO563" i="1" s="1"/>
  <c r="AS563" i="1"/>
  <c r="AN563" i="1" s="1"/>
  <c r="AQ117" i="1"/>
  <c r="AL117" i="1" s="1"/>
  <c r="AR117" i="1"/>
  <c r="AM117" i="1" s="1"/>
  <c r="AS117" i="1"/>
  <c r="AN117" i="1" s="1"/>
  <c r="AT117" i="1"/>
  <c r="AO117" i="1" s="1"/>
  <c r="AQ244" i="1"/>
  <c r="AL244" i="1" s="1"/>
  <c r="AR244" i="1"/>
  <c r="AM244" i="1" s="1"/>
  <c r="AT244" i="1"/>
  <c r="AO244" i="1" s="1"/>
  <c r="AS244" i="1"/>
  <c r="AN244" i="1" s="1"/>
  <c r="AQ594" i="1"/>
  <c r="AL594" i="1" s="1"/>
  <c r="AT594" i="1"/>
  <c r="AO594" i="1" s="1"/>
  <c r="AR594" i="1"/>
  <c r="AM594" i="1" s="1"/>
  <c r="AS594" i="1"/>
  <c r="AN594" i="1" s="1"/>
  <c r="AR578" i="1"/>
  <c r="AM578" i="1" s="1"/>
  <c r="AT578" i="1"/>
  <c r="AO578" i="1" s="1"/>
  <c r="AQ578" i="1"/>
  <c r="AL578" i="1" s="1"/>
  <c r="AS578" i="1"/>
  <c r="AN578" i="1" s="1"/>
  <c r="AQ562" i="1"/>
  <c r="AL562" i="1" s="1"/>
  <c r="AS562" i="1"/>
  <c r="AN562" i="1" s="1"/>
  <c r="AR562" i="1"/>
  <c r="AM562" i="1" s="1"/>
  <c r="AT562" i="1"/>
  <c r="AO562" i="1" s="1"/>
  <c r="AR546" i="1"/>
  <c r="AM546" i="1" s="1"/>
  <c r="AT546" i="1"/>
  <c r="AO546" i="1" s="1"/>
  <c r="AQ546" i="1"/>
  <c r="AL546" i="1" s="1"/>
  <c r="AS546" i="1"/>
  <c r="AN546" i="1" s="1"/>
  <c r="AQ530" i="1"/>
  <c r="AL530" i="1" s="1"/>
  <c r="AS530" i="1"/>
  <c r="AN530" i="1" s="1"/>
  <c r="AT530" i="1"/>
  <c r="AO530" i="1" s="1"/>
  <c r="AR530" i="1"/>
  <c r="AM530" i="1" s="1"/>
  <c r="AS514" i="1"/>
  <c r="AN514" i="1" s="1"/>
  <c r="AQ514" i="1"/>
  <c r="AL514" i="1" s="1"/>
  <c r="AT514" i="1"/>
  <c r="AO514" i="1" s="1"/>
  <c r="AR514" i="1"/>
  <c r="AM514" i="1" s="1"/>
  <c r="AQ498" i="1"/>
  <c r="AL498" i="1" s="1"/>
  <c r="AS498" i="1"/>
  <c r="AN498" i="1" s="1"/>
  <c r="AR498" i="1"/>
  <c r="AM498" i="1" s="1"/>
  <c r="AT498" i="1"/>
  <c r="AO498" i="1" s="1"/>
  <c r="AQ482" i="1"/>
  <c r="AL482" i="1" s="1"/>
  <c r="AS482" i="1"/>
  <c r="AN482" i="1" s="1"/>
  <c r="AR482" i="1"/>
  <c r="AM482" i="1" s="1"/>
  <c r="AT482" i="1"/>
  <c r="AO482" i="1" s="1"/>
  <c r="AR466" i="1"/>
  <c r="AM466" i="1" s="1"/>
  <c r="AQ466" i="1"/>
  <c r="AL466" i="1" s="1"/>
  <c r="AS466" i="1"/>
  <c r="AN466" i="1" s="1"/>
  <c r="AT466" i="1"/>
  <c r="AO466" i="1" s="1"/>
  <c r="AR450" i="1"/>
  <c r="AM450" i="1" s="1"/>
  <c r="AQ450" i="1"/>
  <c r="AL450" i="1" s="1"/>
  <c r="AS450" i="1"/>
  <c r="AN450" i="1" s="1"/>
  <c r="AT450" i="1"/>
  <c r="AO450" i="1" s="1"/>
  <c r="AQ434" i="1"/>
  <c r="AL434" i="1" s="1"/>
  <c r="AR434" i="1"/>
  <c r="AM434" i="1" s="1"/>
  <c r="AS434" i="1"/>
  <c r="AN434" i="1" s="1"/>
  <c r="AT434" i="1"/>
  <c r="AO434" i="1" s="1"/>
  <c r="U553" i="1"/>
  <c r="W553" i="1" s="1"/>
  <c r="U454" i="1"/>
  <c r="W454" i="1" s="1"/>
  <c r="U437" i="1"/>
  <c r="W437" i="1" s="1"/>
  <c r="AQ741" i="1"/>
  <c r="AL741" i="1" s="1"/>
  <c r="AR13" i="1"/>
  <c r="AM13" i="1" s="1"/>
  <c r="AQ13" i="1"/>
  <c r="AL13" i="1" s="1"/>
  <c r="AS13" i="1"/>
  <c r="AN13" i="1" s="1"/>
  <c r="AT13" i="1"/>
  <c r="AO13" i="1" s="1"/>
  <c r="AQ44" i="1"/>
  <c r="AL44" i="1" s="1"/>
  <c r="AS44" i="1"/>
  <c r="AN44" i="1" s="1"/>
  <c r="AR44" i="1"/>
  <c r="AM44" i="1" s="1"/>
  <c r="AT44" i="1"/>
  <c r="AO44" i="1" s="1"/>
  <c r="AR54" i="1"/>
  <c r="AM54" i="1" s="1"/>
  <c r="AT54" i="1"/>
  <c r="AO54" i="1" s="1"/>
  <c r="AQ54" i="1"/>
  <c r="AL54" i="1" s="1"/>
  <c r="AS54" i="1"/>
  <c r="AN54" i="1" s="1"/>
  <c r="AQ595" i="1"/>
  <c r="AL595" i="1" s="1"/>
  <c r="AT595" i="1"/>
  <c r="AO595" i="1" s="1"/>
  <c r="AR595" i="1"/>
  <c r="AM595" i="1" s="1"/>
  <c r="AS595" i="1"/>
  <c r="AN595" i="1" s="1"/>
  <c r="AQ53" i="1"/>
  <c r="AL53" i="1" s="1"/>
  <c r="AR53" i="1"/>
  <c r="AM53" i="1" s="1"/>
  <c r="AS53" i="1"/>
  <c r="AN53" i="1" s="1"/>
  <c r="AT53" i="1"/>
  <c r="AO53" i="1" s="1"/>
  <c r="U221" i="1"/>
  <c r="W221" i="1" s="1"/>
  <c r="AS243" i="1"/>
  <c r="AN243" i="1" s="1"/>
  <c r="AR243" i="1"/>
  <c r="AM243" i="1" s="1"/>
  <c r="AT243" i="1"/>
  <c r="AO243" i="1" s="1"/>
  <c r="AQ243" i="1"/>
  <c r="AL243" i="1" s="1"/>
  <c r="S350" i="1"/>
  <c r="AR350" i="1" s="1"/>
  <c r="AM350" i="1" s="1"/>
  <c r="S423" i="1"/>
  <c r="AQ423" i="1" s="1"/>
  <c r="AL423" i="1" s="1"/>
  <c r="AR593" i="1"/>
  <c r="AM593" i="1" s="1"/>
  <c r="AT593" i="1"/>
  <c r="AO593" i="1" s="1"/>
  <c r="AS593" i="1"/>
  <c r="AN593" i="1" s="1"/>
  <c r="AQ593" i="1"/>
  <c r="AL593" i="1" s="1"/>
  <c r="AR577" i="1"/>
  <c r="AM577" i="1" s="1"/>
  <c r="AQ577" i="1"/>
  <c r="AL577" i="1" s="1"/>
  <c r="AS577" i="1"/>
  <c r="AN577" i="1" s="1"/>
  <c r="AT577" i="1"/>
  <c r="AO577" i="1" s="1"/>
  <c r="AQ561" i="1"/>
  <c r="AL561" i="1" s="1"/>
  <c r="AT561" i="1"/>
  <c r="AO561" i="1" s="1"/>
  <c r="AR561" i="1"/>
  <c r="AM561" i="1" s="1"/>
  <c r="AS561" i="1"/>
  <c r="AN561" i="1" s="1"/>
  <c r="AS545" i="1"/>
  <c r="AN545" i="1" s="1"/>
  <c r="AQ545" i="1"/>
  <c r="AL545" i="1" s="1"/>
  <c r="AR545" i="1"/>
  <c r="AM545" i="1" s="1"/>
  <c r="AT545" i="1"/>
  <c r="AO545" i="1" s="1"/>
  <c r="AR529" i="1"/>
  <c r="AM529" i="1" s="1"/>
  <c r="AT529" i="1"/>
  <c r="AO529" i="1" s="1"/>
  <c r="AQ529" i="1"/>
  <c r="AL529" i="1" s="1"/>
  <c r="AS529" i="1"/>
  <c r="AN529" i="1" s="1"/>
  <c r="AQ513" i="1"/>
  <c r="AL513" i="1" s="1"/>
  <c r="AR513" i="1"/>
  <c r="AM513" i="1" s="1"/>
  <c r="AS513" i="1"/>
  <c r="AN513" i="1" s="1"/>
  <c r="AT513" i="1"/>
  <c r="AO513" i="1" s="1"/>
  <c r="AQ497" i="1"/>
  <c r="AL497" i="1" s="1"/>
  <c r="AS497" i="1"/>
  <c r="AN497" i="1" s="1"/>
  <c r="AR497" i="1"/>
  <c r="AM497" i="1" s="1"/>
  <c r="AT497" i="1"/>
  <c r="AO497" i="1" s="1"/>
  <c r="AS481" i="1"/>
  <c r="AN481" i="1" s="1"/>
  <c r="AQ481" i="1"/>
  <c r="AL481" i="1" s="1"/>
  <c r="AR481" i="1"/>
  <c r="AM481" i="1" s="1"/>
  <c r="AT481" i="1"/>
  <c r="AO481" i="1" s="1"/>
  <c r="AQ465" i="1"/>
  <c r="AL465" i="1" s="1"/>
  <c r="AS465" i="1"/>
  <c r="AN465" i="1" s="1"/>
  <c r="AR465" i="1"/>
  <c r="AM465" i="1" s="1"/>
  <c r="AT465" i="1"/>
  <c r="AO465" i="1" s="1"/>
  <c r="AQ449" i="1"/>
  <c r="AL449" i="1" s="1"/>
  <c r="AR449" i="1"/>
  <c r="AM449" i="1" s="1"/>
  <c r="AS449" i="1"/>
  <c r="AN449" i="1" s="1"/>
  <c r="AT449" i="1"/>
  <c r="AO449" i="1" s="1"/>
  <c r="AQ433" i="1"/>
  <c r="AL433" i="1" s="1"/>
  <c r="AS433" i="1"/>
  <c r="AN433" i="1" s="1"/>
  <c r="AT433" i="1"/>
  <c r="AO433" i="1" s="1"/>
  <c r="AR433" i="1"/>
  <c r="AM433" i="1" s="1"/>
  <c r="U568" i="1"/>
  <c r="W568" i="1" s="1"/>
  <c r="U552" i="1"/>
  <c r="W552" i="1" s="1"/>
  <c r="U518" i="1"/>
  <c r="W518" i="1" s="1"/>
  <c r="U766" i="1"/>
  <c r="W766" i="1" s="1"/>
  <c r="AQ28" i="1"/>
  <c r="AL28" i="1" s="1"/>
  <c r="AS28" i="1"/>
  <c r="AN28" i="1" s="1"/>
  <c r="AR28" i="1"/>
  <c r="AM28" i="1" s="1"/>
  <c r="AT28" i="1"/>
  <c r="AO28" i="1" s="1"/>
  <c r="AS102" i="1"/>
  <c r="AN102" i="1" s="1"/>
  <c r="AQ102" i="1"/>
  <c r="AL102" i="1" s="1"/>
  <c r="AT102" i="1"/>
  <c r="AO102" i="1" s="1"/>
  <c r="AR102" i="1"/>
  <c r="AM102" i="1" s="1"/>
  <c r="AQ245" i="1"/>
  <c r="AL245" i="1" s="1"/>
  <c r="AR245" i="1"/>
  <c r="AM245" i="1" s="1"/>
  <c r="AS245" i="1"/>
  <c r="AN245" i="1" s="1"/>
  <c r="AT245" i="1"/>
  <c r="AO245" i="1" s="1"/>
  <c r="AQ147" i="1"/>
  <c r="AL147" i="1" s="1"/>
  <c r="AS147" i="1"/>
  <c r="AN147" i="1" s="1"/>
  <c r="AR147" i="1"/>
  <c r="AM147" i="1" s="1"/>
  <c r="AT147" i="1"/>
  <c r="AO147" i="1" s="1"/>
  <c r="AQ19" i="1"/>
  <c r="AL19" i="1" s="1"/>
  <c r="AS19" i="1"/>
  <c r="AN19" i="1" s="1"/>
  <c r="AT19" i="1"/>
  <c r="AO19" i="1" s="1"/>
  <c r="AR19" i="1"/>
  <c r="AM19" i="1" s="1"/>
  <c r="U61" i="1"/>
  <c r="W61" i="1" s="1"/>
  <c r="AQ242" i="1"/>
  <c r="AL242" i="1" s="1"/>
  <c r="AR242" i="1"/>
  <c r="AM242" i="1" s="1"/>
  <c r="AS242" i="1"/>
  <c r="AN242" i="1" s="1"/>
  <c r="AT242" i="1"/>
  <c r="AO242" i="1" s="1"/>
  <c r="S375" i="1"/>
  <c r="S411" i="1"/>
  <c r="AQ592" i="1"/>
  <c r="AL592" i="1" s="1"/>
  <c r="AR592" i="1"/>
  <c r="AM592" i="1" s="1"/>
  <c r="AT592" i="1"/>
  <c r="AO592" i="1" s="1"/>
  <c r="AS592" i="1"/>
  <c r="AN592" i="1" s="1"/>
  <c r="AQ576" i="1"/>
  <c r="AL576" i="1" s="1"/>
  <c r="AS576" i="1"/>
  <c r="AN576" i="1" s="1"/>
  <c r="AR576" i="1"/>
  <c r="AM576" i="1" s="1"/>
  <c r="AT576" i="1"/>
  <c r="AO576" i="1" s="1"/>
  <c r="AQ560" i="1"/>
  <c r="AL560" i="1" s="1"/>
  <c r="AR560" i="1"/>
  <c r="AM560" i="1" s="1"/>
  <c r="AT560" i="1"/>
  <c r="AO560" i="1" s="1"/>
  <c r="AS560" i="1"/>
  <c r="AN560" i="1" s="1"/>
  <c r="AQ544" i="1"/>
  <c r="AL544" i="1" s="1"/>
  <c r="AT544" i="1"/>
  <c r="AO544" i="1" s="1"/>
  <c r="AR544" i="1"/>
  <c r="AM544" i="1" s="1"/>
  <c r="AS544" i="1"/>
  <c r="AN544" i="1" s="1"/>
  <c r="AQ528" i="1"/>
  <c r="AL528" i="1" s="1"/>
  <c r="AS528" i="1"/>
  <c r="AN528" i="1" s="1"/>
  <c r="AR528" i="1"/>
  <c r="AM528" i="1" s="1"/>
  <c r="AT528" i="1"/>
  <c r="AO528" i="1" s="1"/>
  <c r="AQ512" i="1"/>
  <c r="AL512" i="1" s="1"/>
  <c r="AR512" i="1"/>
  <c r="AM512" i="1" s="1"/>
  <c r="AT512" i="1"/>
  <c r="AO512" i="1" s="1"/>
  <c r="AS512" i="1"/>
  <c r="AN512" i="1" s="1"/>
  <c r="AQ496" i="1"/>
  <c r="AL496" i="1" s="1"/>
  <c r="AS496" i="1"/>
  <c r="AN496" i="1" s="1"/>
  <c r="AR496" i="1"/>
  <c r="AM496" i="1" s="1"/>
  <c r="AT496" i="1"/>
  <c r="AO496" i="1" s="1"/>
  <c r="AQ480" i="1"/>
  <c r="AL480" i="1" s="1"/>
  <c r="AS480" i="1"/>
  <c r="AN480" i="1" s="1"/>
  <c r="AR480" i="1"/>
  <c r="AM480" i="1" s="1"/>
  <c r="AT480" i="1"/>
  <c r="AO480" i="1" s="1"/>
  <c r="AQ464" i="1"/>
  <c r="AL464" i="1" s="1"/>
  <c r="AR464" i="1"/>
  <c r="AM464" i="1" s="1"/>
  <c r="AS464" i="1"/>
  <c r="AN464" i="1" s="1"/>
  <c r="AT464" i="1"/>
  <c r="AO464" i="1" s="1"/>
  <c r="AQ448" i="1"/>
  <c r="AL448" i="1" s="1"/>
  <c r="AS448" i="1"/>
  <c r="AN448" i="1" s="1"/>
  <c r="AR448" i="1"/>
  <c r="AM448" i="1" s="1"/>
  <c r="AT448" i="1"/>
  <c r="AO448" i="1" s="1"/>
  <c r="AQ432" i="1"/>
  <c r="AL432" i="1" s="1"/>
  <c r="AR432" i="1"/>
  <c r="AM432" i="1" s="1"/>
  <c r="AT432" i="1"/>
  <c r="AO432" i="1" s="1"/>
  <c r="AS432" i="1"/>
  <c r="AN432" i="1" s="1"/>
  <c r="U567" i="1"/>
  <c r="W567" i="1" s="1"/>
  <c r="U517" i="1"/>
  <c r="W517" i="1" s="1"/>
  <c r="U587" i="1"/>
  <c r="W587" i="1" s="1"/>
  <c r="U539" i="1"/>
  <c r="W539" i="1" s="1"/>
  <c r="U475" i="1"/>
  <c r="W475" i="1" s="1"/>
  <c r="AQ237" i="1"/>
  <c r="AL237" i="1" s="1"/>
  <c r="AS237" i="1"/>
  <c r="AN237" i="1" s="1"/>
  <c r="AR237" i="1"/>
  <c r="AM237" i="1" s="1"/>
  <c r="AT237" i="1"/>
  <c r="AO237" i="1" s="1"/>
  <c r="U125" i="1"/>
  <c r="W125" i="1" s="1"/>
  <c r="AR125" i="1"/>
  <c r="AM125" i="1" s="1"/>
  <c r="AT125" i="1"/>
  <c r="AO125" i="1" s="1"/>
  <c r="AS125" i="1"/>
  <c r="AN125" i="1" s="1"/>
  <c r="AQ125" i="1"/>
  <c r="AL125" i="1" s="1"/>
  <c r="AS188" i="1"/>
  <c r="AN188" i="1" s="1"/>
  <c r="AR188" i="1"/>
  <c r="AM188" i="1" s="1"/>
  <c r="AQ188" i="1"/>
  <c r="AL188" i="1" s="1"/>
  <c r="AT188" i="1"/>
  <c r="AO188" i="1" s="1"/>
  <c r="AQ76" i="1"/>
  <c r="AL76" i="1" s="1"/>
  <c r="AS76" i="1"/>
  <c r="AN76" i="1" s="1"/>
  <c r="AT76" i="1"/>
  <c r="AO76" i="1" s="1"/>
  <c r="AR76" i="1"/>
  <c r="AM76" i="1" s="1"/>
  <c r="AR214" i="1"/>
  <c r="AM214" i="1" s="1"/>
  <c r="AQ214" i="1"/>
  <c r="AL214" i="1" s="1"/>
  <c r="AS214" i="1"/>
  <c r="AN214" i="1" s="1"/>
  <c r="AT214" i="1"/>
  <c r="AO214" i="1" s="1"/>
  <c r="AQ70" i="1"/>
  <c r="AL70" i="1" s="1"/>
  <c r="AS70" i="1"/>
  <c r="AN70" i="1" s="1"/>
  <c r="AR70" i="1"/>
  <c r="AM70" i="1" s="1"/>
  <c r="AT70" i="1"/>
  <c r="AO70" i="1" s="1"/>
  <c r="AS547" i="1"/>
  <c r="AN547" i="1" s="1"/>
  <c r="AQ547" i="1"/>
  <c r="AL547" i="1" s="1"/>
  <c r="AR547" i="1"/>
  <c r="AM547" i="1" s="1"/>
  <c r="AT547" i="1"/>
  <c r="AO547" i="1" s="1"/>
  <c r="AR451" i="1"/>
  <c r="AM451" i="1" s="1"/>
  <c r="AQ451" i="1"/>
  <c r="AL451" i="1" s="1"/>
  <c r="AT451" i="1"/>
  <c r="AO451" i="1" s="1"/>
  <c r="AS451" i="1"/>
  <c r="AN451" i="1" s="1"/>
  <c r="AQ213" i="1"/>
  <c r="AL213" i="1" s="1"/>
  <c r="AR213" i="1"/>
  <c r="AM213" i="1" s="1"/>
  <c r="AS213" i="1"/>
  <c r="AN213" i="1" s="1"/>
  <c r="AT213" i="1"/>
  <c r="AO213" i="1" s="1"/>
  <c r="AQ149" i="1"/>
  <c r="AL149" i="1" s="1"/>
  <c r="AR149" i="1"/>
  <c r="AM149" i="1" s="1"/>
  <c r="AS149" i="1"/>
  <c r="AN149" i="1" s="1"/>
  <c r="AT149" i="1"/>
  <c r="AO149" i="1" s="1"/>
  <c r="AQ21" i="1"/>
  <c r="AL21" i="1" s="1"/>
  <c r="AR21" i="1"/>
  <c r="AM21" i="1" s="1"/>
  <c r="AS21" i="1"/>
  <c r="AN21" i="1" s="1"/>
  <c r="AT21" i="1"/>
  <c r="AO21" i="1" s="1"/>
  <c r="AQ212" i="1"/>
  <c r="AL212" i="1" s="1"/>
  <c r="AT212" i="1"/>
  <c r="AO212" i="1" s="1"/>
  <c r="AS212" i="1"/>
  <c r="AN212" i="1" s="1"/>
  <c r="AR212" i="1"/>
  <c r="AM212" i="1" s="1"/>
  <c r="AQ148" i="1"/>
  <c r="AL148" i="1" s="1"/>
  <c r="AS148" i="1"/>
  <c r="AN148" i="1" s="1"/>
  <c r="AR148" i="1"/>
  <c r="AM148" i="1" s="1"/>
  <c r="AT148" i="1"/>
  <c r="AO148" i="1" s="1"/>
  <c r="AQ68" i="1"/>
  <c r="AL68" i="1" s="1"/>
  <c r="AS68" i="1"/>
  <c r="AN68" i="1" s="1"/>
  <c r="AR68" i="1"/>
  <c r="AM68" i="1" s="1"/>
  <c r="AT68" i="1"/>
  <c r="AO68" i="1" s="1"/>
  <c r="AR179" i="1"/>
  <c r="AM179" i="1" s="1"/>
  <c r="AS179" i="1"/>
  <c r="AN179" i="1" s="1"/>
  <c r="AQ179" i="1"/>
  <c r="AL179" i="1" s="1"/>
  <c r="AT179" i="1"/>
  <c r="AO179" i="1" s="1"/>
  <c r="AQ115" i="1"/>
  <c r="AL115" i="1" s="1"/>
  <c r="AR115" i="1"/>
  <c r="AM115" i="1" s="1"/>
  <c r="AS115" i="1"/>
  <c r="AN115" i="1" s="1"/>
  <c r="AT115" i="1"/>
  <c r="AO115" i="1" s="1"/>
  <c r="AR67" i="1"/>
  <c r="AM67" i="1" s="1"/>
  <c r="AQ67" i="1"/>
  <c r="AL67" i="1" s="1"/>
  <c r="AS67" i="1"/>
  <c r="AN67" i="1" s="1"/>
  <c r="AT67" i="1"/>
  <c r="AO67" i="1" s="1"/>
  <c r="AS51" i="1"/>
  <c r="AN51" i="1" s="1"/>
  <c r="AR51" i="1"/>
  <c r="AM51" i="1" s="1"/>
  <c r="AT51" i="1"/>
  <c r="AO51" i="1" s="1"/>
  <c r="AQ51" i="1"/>
  <c r="AL51" i="1" s="1"/>
  <c r="AS3" i="1"/>
  <c r="AN3" i="1" s="1"/>
  <c r="AQ3" i="1"/>
  <c r="AL3" i="1" s="1"/>
  <c r="AT3" i="1"/>
  <c r="AO3" i="1" s="1"/>
  <c r="AR3" i="1"/>
  <c r="AM3" i="1" s="1"/>
  <c r="AR210" i="1"/>
  <c r="AM210" i="1" s="1"/>
  <c r="AT210" i="1"/>
  <c r="AO210" i="1" s="1"/>
  <c r="AQ210" i="1"/>
  <c r="AL210" i="1" s="1"/>
  <c r="AS210" i="1"/>
  <c r="AN210" i="1" s="1"/>
  <c r="AQ162" i="1"/>
  <c r="AL162" i="1" s="1"/>
  <c r="AS162" i="1"/>
  <c r="AN162" i="1" s="1"/>
  <c r="AR162" i="1"/>
  <c r="AM162" i="1" s="1"/>
  <c r="AT162" i="1"/>
  <c r="AO162" i="1" s="1"/>
  <c r="AQ98" i="1"/>
  <c r="AL98" i="1" s="1"/>
  <c r="AR98" i="1"/>
  <c r="AM98" i="1" s="1"/>
  <c r="AS98" i="1"/>
  <c r="AN98" i="1" s="1"/>
  <c r="AT98" i="1"/>
  <c r="AO98" i="1" s="1"/>
  <c r="AS66" i="1"/>
  <c r="AN66" i="1" s="1"/>
  <c r="AQ66" i="1"/>
  <c r="AL66" i="1" s="1"/>
  <c r="AT66" i="1"/>
  <c r="AO66" i="1" s="1"/>
  <c r="AR66" i="1"/>
  <c r="AM66" i="1" s="1"/>
  <c r="AQ18" i="1"/>
  <c r="AL18" i="1" s="1"/>
  <c r="AS18" i="1"/>
  <c r="AN18" i="1" s="1"/>
  <c r="AR18" i="1"/>
  <c r="AM18" i="1" s="1"/>
  <c r="AT18" i="1"/>
  <c r="AO18" i="1" s="1"/>
  <c r="U566" i="1"/>
  <c r="W566" i="1" s="1"/>
  <c r="U550" i="1"/>
  <c r="W550" i="1" s="1"/>
  <c r="U680" i="1"/>
  <c r="W680" i="1" s="1"/>
  <c r="AS791" i="1"/>
  <c r="AN791" i="1" s="1"/>
  <c r="AQ93" i="1"/>
  <c r="AL93" i="1" s="1"/>
  <c r="AT93" i="1"/>
  <c r="AO93" i="1" s="1"/>
  <c r="AR93" i="1"/>
  <c r="AM93" i="1" s="1"/>
  <c r="AS93" i="1"/>
  <c r="AN93" i="1" s="1"/>
  <c r="AQ124" i="1"/>
  <c r="AL124" i="1" s="1"/>
  <c r="AS124" i="1"/>
  <c r="AN124" i="1" s="1"/>
  <c r="AR124" i="1"/>
  <c r="AM124" i="1" s="1"/>
  <c r="AT124" i="1"/>
  <c r="AO124" i="1" s="1"/>
  <c r="AQ182" i="1"/>
  <c r="AL182" i="1" s="1"/>
  <c r="AR182" i="1"/>
  <c r="AM182" i="1" s="1"/>
  <c r="AS182" i="1"/>
  <c r="AN182" i="1" s="1"/>
  <c r="AT182" i="1"/>
  <c r="AO182" i="1" s="1"/>
  <c r="AQ196" i="1"/>
  <c r="AL196" i="1" s="1"/>
  <c r="AS196" i="1"/>
  <c r="AN196" i="1" s="1"/>
  <c r="AR196" i="1"/>
  <c r="AM196" i="1" s="1"/>
  <c r="AT196" i="1"/>
  <c r="AO196" i="1" s="1"/>
  <c r="AQ52" i="1"/>
  <c r="AL52" i="1" s="1"/>
  <c r="AR52" i="1"/>
  <c r="AM52" i="1" s="1"/>
  <c r="AS52" i="1"/>
  <c r="AN52" i="1" s="1"/>
  <c r="AT52" i="1"/>
  <c r="AO52" i="1" s="1"/>
  <c r="AT195" i="1"/>
  <c r="AO195" i="1" s="1"/>
  <c r="AR195" i="1"/>
  <c r="AM195" i="1" s="1"/>
  <c r="AQ195" i="1"/>
  <c r="AL195" i="1" s="1"/>
  <c r="AS195" i="1"/>
  <c r="AN195" i="1" s="1"/>
  <c r="AR146" i="1"/>
  <c r="AM146" i="1" s="1"/>
  <c r="AQ146" i="1"/>
  <c r="AL146" i="1" s="1"/>
  <c r="AS146" i="1"/>
  <c r="AN146" i="1" s="1"/>
  <c r="AT146" i="1"/>
  <c r="AO146" i="1" s="1"/>
  <c r="AQ591" i="1"/>
  <c r="AL591" i="1" s="1"/>
  <c r="AR591" i="1"/>
  <c r="AM591" i="1" s="1"/>
  <c r="AS591" i="1"/>
  <c r="AN591" i="1" s="1"/>
  <c r="AT591" i="1"/>
  <c r="AO591" i="1" s="1"/>
  <c r="AQ559" i="1"/>
  <c r="AL559" i="1" s="1"/>
  <c r="AR559" i="1"/>
  <c r="AM559" i="1" s="1"/>
  <c r="AT559" i="1"/>
  <c r="AO559" i="1" s="1"/>
  <c r="AS559" i="1"/>
  <c r="AN559" i="1" s="1"/>
  <c r="AQ511" i="1"/>
  <c r="AL511" i="1" s="1"/>
  <c r="AR511" i="1"/>
  <c r="AM511" i="1" s="1"/>
  <c r="AS511" i="1"/>
  <c r="AN511" i="1" s="1"/>
  <c r="AT511" i="1"/>
  <c r="AO511" i="1" s="1"/>
  <c r="AS479" i="1"/>
  <c r="AN479" i="1" s="1"/>
  <c r="AQ479" i="1"/>
  <c r="AL479" i="1" s="1"/>
  <c r="AR479" i="1"/>
  <c r="AM479" i="1" s="1"/>
  <c r="AT479" i="1"/>
  <c r="AO479" i="1" s="1"/>
  <c r="AR431" i="1"/>
  <c r="AM431" i="1" s="1"/>
  <c r="AQ431" i="1"/>
  <c r="AL431" i="1" s="1"/>
  <c r="AS431" i="1"/>
  <c r="AN431" i="1" s="1"/>
  <c r="AT431" i="1"/>
  <c r="AO431" i="1" s="1"/>
  <c r="AQ225" i="1"/>
  <c r="AL225" i="1" s="1"/>
  <c r="AR225" i="1"/>
  <c r="AM225" i="1" s="1"/>
  <c r="AS225" i="1"/>
  <c r="AN225" i="1" s="1"/>
  <c r="AT225" i="1"/>
  <c r="AO225" i="1" s="1"/>
  <c r="AQ177" i="1"/>
  <c r="AL177" i="1" s="1"/>
  <c r="AT177" i="1"/>
  <c r="AO177" i="1" s="1"/>
  <c r="AR177" i="1"/>
  <c r="AM177" i="1" s="1"/>
  <c r="AS177" i="1"/>
  <c r="AN177" i="1" s="1"/>
  <c r="AQ145" i="1"/>
  <c r="AL145" i="1" s="1"/>
  <c r="AS145" i="1"/>
  <c r="AN145" i="1" s="1"/>
  <c r="AR145" i="1"/>
  <c r="AM145" i="1" s="1"/>
  <c r="AT145" i="1"/>
  <c r="AO145" i="1" s="1"/>
  <c r="AQ97" i="1"/>
  <c r="AL97" i="1" s="1"/>
  <c r="AR97" i="1"/>
  <c r="AM97" i="1" s="1"/>
  <c r="AS97" i="1"/>
  <c r="AN97" i="1" s="1"/>
  <c r="AT97" i="1"/>
  <c r="AO97" i="1" s="1"/>
  <c r="AQ65" i="1"/>
  <c r="AL65" i="1" s="1"/>
  <c r="AR65" i="1"/>
  <c r="AM65" i="1" s="1"/>
  <c r="AS65" i="1"/>
  <c r="AN65" i="1" s="1"/>
  <c r="AT65" i="1"/>
  <c r="AO65" i="1" s="1"/>
  <c r="AQ17" i="1"/>
  <c r="AL17" i="1" s="1"/>
  <c r="AR17" i="1"/>
  <c r="AM17" i="1" s="1"/>
  <c r="AS17" i="1"/>
  <c r="AN17" i="1" s="1"/>
  <c r="AT17" i="1"/>
  <c r="AO17" i="1" s="1"/>
  <c r="AQ590" i="1"/>
  <c r="AL590" i="1" s="1"/>
  <c r="AR590" i="1"/>
  <c r="AM590" i="1" s="1"/>
  <c r="AS590" i="1"/>
  <c r="AN590" i="1" s="1"/>
  <c r="AT590" i="1"/>
  <c r="AO590" i="1" s="1"/>
  <c r="AR574" i="1"/>
  <c r="AM574" i="1" s="1"/>
  <c r="AQ574" i="1"/>
  <c r="AL574" i="1" s="1"/>
  <c r="AS574" i="1"/>
  <c r="AN574" i="1" s="1"/>
  <c r="AT574" i="1"/>
  <c r="AO574" i="1" s="1"/>
  <c r="AR558" i="1"/>
  <c r="AM558" i="1" s="1"/>
  <c r="AT558" i="1"/>
  <c r="AO558" i="1" s="1"/>
  <c r="AQ558" i="1"/>
  <c r="AL558" i="1" s="1"/>
  <c r="AS558" i="1"/>
  <c r="AN558" i="1" s="1"/>
  <c r="AR542" i="1"/>
  <c r="AM542" i="1" s="1"/>
  <c r="AQ542" i="1"/>
  <c r="AL542" i="1" s="1"/>
  <c r="AS542" i="1"/>
  <c r="AN542" i="1" s="1"/>
  <c r="AT542" i="1"/>
  <c r="AO542" i="1" s="1"/>
  <c r="AQ526" i="1"/>
  <c r="AL526" i="1" s="1"/>
  <c r="AR526" i="1"/>
  <c r="AM526" i="1" s="1"/>
  <c r="AS526" i="1"/>
  <c r="AN526" i="1" s="1"/>
  <c r="AT526" i="1"/>
  <c r="AO526" i="1" s="1"/>
  <c r="AT510" i="1"/>
  <c r="AO510" i="1" s="1"/>
  <c r="AQ510" i="1"/>
  <c r="AL510" i="1" s="1"/>
  <c r="AS510" i="1"/>
  <c r="AN510" i="1" s="1"/>
  <c r="AR510" i="1"/>
  <c r="AM510" i="1" s="1"/>
  <c r="AS494" i="1"/>
  <c r="AN494" i="1" s="1"/>
  <c r="AR494" i="1"/>
  <c r="AM494" i="1" s="1"/>
  <c r="AQ494" i="1"/>
  <c r="AL494" i="1" s="1"/>
  <c r="AT494" i="1"/>
  <c r="AO494" i="1" s="1"/>
  <c r="AR478" i="1"/>
  <c r="AM478" i="1" s="1"/>
  <c r="AQ478" i="1"/>
  <c r="AL478" i="1" s="1"/>
  <c r="AT478" i="1"/>
  <c r="AO478" i="1" s="1"/>
  <c r="AS478" i="1"/>
  <c r="AN478" i="1" s="1"/>
  <c r="AR462" i="1"/>
  <c r="AM462" i="1" s="1"/>
  <c r="AQ462" i="1"/>
  <c r="AL462" i="1" s="1"/>
  <c r="AS462" i="1"/>
  <c r="AN462" i="1" s="1"/>
  <c r="AT462" i="1"/>
  <c r="AO462" i="1" s="1"/>
  <c r="AR446" i="1"/>
  <c r="AM446" i="1" s="1"/>
  <c r="AS446" i="1"/>
  <c r="AN446" i="1" s="1"/>
  <c r="AQ446" i="1"/>
  <c r="AL446" i="1" s="1"/>
  <c r="AT446" i="1"/>
  <c r="AO446" i="1" s="1"/>
  <c r="AR430" i="1"/>
  <c r="AM430" i="1" s="1"/>
  <c r="AS430" i="1"/>
  <c r="AN430" i="1" s="1"/>
  <c r="AQ430" i="1"/>
  <c r="AL430" i="1" s="1"/>
  <c r="AT430" i="1"/>
  <c r="AO430" i="1" s="1"/>
  <c r="U549" i="1"/>
  <c r="W549" i="1" s="1"/>
  <c r="U499" i="1"/>
  <c r="W499" i="1" s="1"/>
  <c r="AQ60" i="1"/>
  <c r="AL60" i="1" s="1"/>
  <c r="AS60" i="1"/>
  <c r="AN60" i="1" s="1"/>
  <c r="AR60" i="1"/>
  <c r="AM60" i="1" s="1"/>
  <c r="AT60" i="1"/>
  <c r="AO60" i="1" s="1"/>
  <c r="AQ118" i="1"/>
  <c r="AL118" i="1" s="1"/>
  <c r="AS118" i="1"/>
  <c r="AN118" i="1" s="1"/>
  <c r="AT118" i="1"/>
  <c r="AO118" i="1" s="1"/>
  <c r="AR118" i="1"/>
  <c r="AM118" i="1" s="1"/>
  <c r="AS579" i="1"/>
  <c r="AN579" i="1" s="1"/>
  <c r="AQ579" i="1"/>
  <c r="AL579" i="1" s="1"/>
  <c r="AR579" i="1"/>
  <c r="AM579" i="1" s="1"/>
  <c r="AT579" i="1"/>
  <c r="AO579" i="1" s="1"/>
  <c r="AQ85" i="1"/>
  <c r="AL85" i="1" s="1"/>
  <c r="AR85" i="1"/>
  <c r="AM85" i="1" s="1"/>
  <c r="AT85" i="1"/>
  <c r="AO85" i="1" s="1"/>
  <c r="AS85" i="1"/>
  <c r="AN85" i="1" s="1"/>
  <c r="AT227" i="1"/>
  <c r="AO227" i="1" s="1"/>
  <c r="AS227" i="1"/>
  <c r="AN227" i="1" s="1"/>
  <c r="AR227" i="1"/>
  <c r="AM227" i="1" s="1"/>
  <c r="AQ227" i="1"/>
  <c r="AL227" i="1" s="1"/>
  <c r="AR99" i="1"/>
  <c r="AM99" i="1" s="1"/>
  <c r="AQ99" i="1"/>
  <c r="AL99" i="1" s="1"/>
  <c r="AS99" i="1"/>
  <c r="AN99" i="1" s="1"/>
  <c r="AT99" i="1"/>
  <c r="AO99" i="1" s="1"/>
  <c r="AQ35" i="1"/>
  <c r="AL35" i="1" s="1"/>
  <c r="AR35" i="1"/>
  <c r="AM35" i="1" s="1"/>
  <c r="AS35" i="1"/>
  <c r="AN35" i="1" s="1"/>
  <c r="AT35" i="1"/>
  <c r="AO35" i="1" s="1"/>
  <c r="AR114" i="1"/>
  <c r="AM114" i="1" s="1"/>
  <c r="AQ114" i="1"/>
  <c r="AL114" i="1" s="1"/>
  <c r="AS114" i="1"/>
  <c r="AN114" i="1" s="1"/>
  <c r="AT114" i="1"/>
  <c r="AO114" i="1" s="1"/>
  <c r="AQ575" i="1"/>
  <c r="AL575" i="1" s="1"/>
  <c r="AR575" i="1"/>
  <c r="AM575" i="1" s="1"/>
  <c r="AS575" i="1"/>
  <c r="AN575" i="1" s="1"/>
  <c r="AT575" i="1"/>
  <c r="AO575" i="1" s="1"/>
  <c r="AQ543" i="1"/>
  <c r="AL543" i="1" s="1"/>
  <c r="AR543" i="1"/>
  <c r="AM543" i="1" s="1"/>
  <c r="AS543" i="1"/>
  <c r="AN543" i="1" s="1"/>
  <c r="AT543" i="1"/>
  <c r="AO543" i="1" s="1"/>
  <c r="AQ527" i="1"/>
  <c r="AL527" i="1" s="1"/>
  <c r="AT527" i="1"/>
  <c r="AO527" i="1" s="1"/>
  <c r="AR527" i="1"/>
  <c r="AM527" i="1" s="1"/>
  <c r="AS527" i="1"/>
  <c r="AN527" i="1" s="1"/>
  <c r="AR495" i="1"/>
  <c r="AM495" i="1" s="1"/>
  <c r="AT495" i="1"/>
  <c r="AO495" i="1" s="1"/>
  <c r="AQ495" i="1"/>
  <c r="AL495" i="1" s="1"/>
  <c r="AS495" i="1"/>
  <c r="AN495" i="1" s="1"/>
  <c r="AR463" i="1"/>
  <c r="AM463" i="1" s="1"/>
  <c r="AS463" i="1"/>
  <c r="AN463" i="1" s="1"/>
  <c r="AQ463" i="1"/>
  <c r="AL463" i="1" s="1"/>
  <c r="AT463" i="1"/>
  <c r="AO463" i="1" s="1"/>
  <c r="AR447" i="1"/>
  <c r="AM447" i="1" s="1"/>
  <c r="AS447" i="1"/>
  <c r="AN447" i="1" s="1"/>
  <c r="AQ447" i="1"/>
  <c r="AL447" i="1" s="1"/>
  <c r="AT447" i="1"/>
  <c r="AO447" i="1" s="1"/>
  <c r="AQ241" i="1"/>
  <c r="AL241" i="1" s="1"/>
  <c r="AR241" i="1"/>
  <c r="AM241" i="1" s="1"/>
  <c r="AS241" i="1"/>
  <c r="AN241" i="1" s="1"/>
  <c r="AT241" i="1"/>
  <c r="AO241" i="1" s="1"/>
  <c r="AQ209" i="1"/>
  <c r="AL209" i="1" s="1"/>
  <c r="AS209" i="1"/>
  <c r="AN209" i="1" s="1"/>
  <c r="AT209" i="1"/>
  <c r="AO209" i="1" s="1"/>
  <c r="AR209" i="1"/>
  <c r="AM209" i="1" s="1"/>
  <c r="AQ193" i="1"/>
  <c r="AL193" i="1" s="1"/>
  <c r="AT193" i="1"/>
  <c r="AO193" i="1" s="1"/>
  <c r="AR193" i="1"/>
  <c r="AM193" i="1" s="1"/>
  <c r="AS193" i="1"/>
  <c r="AN193" i="1" s="1"/>
  <c r="AQ161" i="1"/>
  <c r="AL161" i="1" s="1"/>
  <c r="AS161" i="1"/>
  <c r="AN161" i="1" s="1"/>
  <c r="AR161" i="1"/>
  <c r="AM161" i="1" s="1"/>
  <c r="AT161" i="1"/>
  <c r="AO161" i="1" s="1"/>
  <c r="AQ129" i="1"/>
  <c r="AL129" i="1" s="1"/>
  <c r="AS129" i="1"/>
  <c r="AN129" i="1" s="1"/>
  <c r="AR129" i="1"/>
  <c r="AM129" i="1" s="1"/>
  <c r="AT129" i="1"/>
  <c r="AO129" i="1" s="1"/>
  <c r="AQ113" i="1"/>
  <c r="AL113" i="1" s="1"/>
  <c r="AR113" i="1"/>
  <c r="AM113" i="1" s="1"/>
  <c r="AS113" i="1"/>
  <c r="AN113" i="1" s="1"/>
  <c r="AT113" i="1"/>
  <c r="AO113" i="1" s="1"/>
  <c r="AQ81" i="1"/>
  <c r="AL81" i="1" s="1"/>
  <c r="AR81" i="1"/>
  <c r="AM81" i="1" s="1"/>
  <c r="AT81" i="1"/>
  <c r="AO81" i="1" s="1"/>
  <c r="AS81" i="1"/>
  <c r="AN81" i="1" s="1"/>
  <c r="AQ49" i="1"/>
  <c r="AL49" i="1" s="1"/>
  <c r="AS49" i="1"/>
  <c r="AN49" i="1" s="1"/>
  <c r="AT49" i="1"/>
  <c r="AO49" i="1" s="1"/>
  <c r="AR49" i="1"/>
  <c r="AM49" i="1" s="1"/>
  <c r="AQ33" i="1"/>
  <c r="AL33" i="1" s="1"/>
  <c r="AR33" i="1"/>
  <c r="AM33" i="1" s="1"/>
  <c r="AS33" i="1"/>
  <c r="AN33" i="1" s="1"/>
  <c r="AT33" i="1"/>
  <c r="AO33" i="1" s="1"/>
  <c r="U240" i="1"/>
  <c r="W240" i="1" s="1"/>
  <c r="AQ240" i="1"/>
  <c r="AL240" i="1" s="1"/>
  <c r="AR240" i="1"/>
  <c r="AM240" i="1" s="1"/>
  <c r="AS240" i="1"/>
  <c r="AN240" i="1" s="1"/>
  <c r="AT240" i="1"/>
  <c r="AO240" i="1" s="1"/>
  <c r="AS224" i="1"/>
  <c r="AN224" i="1" s="1"/>
  <c r="AQ224" i="1"/>
  <c r="AL224" i="1" s="1"/>
  <c r="AT224" i="1"/>
  <c r="AO224" i="1" s="1"/>
  <c r="AR224" i="1"/>
  <c r="AM224" i="1" s="1"/>
  <c r="AQ208" i="1"/>
  <c r="AL208" i="1" s="1"/>
  <c r="AT208" i="1"/>
  <c r="AO208" i="1" s="1"/>
  <c r="AS208" i="1"/>
  <c r="AN208" i="1" s="1"/>
  <c r="AR208" i="1"/>
  <c r="AM208" i="1" s="1"/>
  <c r="U192" i="1"/>
  <c r="W192" i="1" s="1"/>
  <c r="AQ192" i="1"/>
  <c r="AL192" i="1" s="1"/>
  <c r="AS192" i="1"/>
  <c r="AN192" i="1" s="1"/>
  <c r="AR192" i="1"/>
  <c r="AM192" i="1" s="1"/>
  <c r="AT192" i="1"/>
  <c r="AO192" i="1" s="1"/>
  <c r="U176" i="1"/>
  <c r="W176" i="1" s="1"/>
  <c r="AQ176" i="1"/>
  <c r="AL176" i="1" s="1"/>
  <c r="AT176" i="1"/>
  <c r="AO176" i="1" s="1"/>
  <c r="AR176" i="1"/>
  <c r="AM176" i="1" s="1"/>
  <c r="AS176" i="1"/>
  <c r="AN176" i="1" s="1"/>
  <c r="AR160" i="1"/>
  <c r="AM160" i="1" s="1"/>
  <c r="AT160" i="1"/>
  <c r="AO160" i="1" s="1"/>
  <c r="AQ160" i="1"/>
  <c r="AL160" i="1" s="1"/>
  <c r="AS160" i="1"/>
  <c r="AN160" i="1" s="1"/>
  <c r="AQ144" i="1"/>
  <c r="AL144" i="1" s="1"/>
  <c r="AT144" i="1"/>
  <c r="AO144" i="1" s="1"/>
  <c r="AR144" i="1"/>
  <c r="AM144" i="1" s="1"/>
  <c r="AS144" i="1"/>
  <c r="AN144" i="1" s="1"/>
  <c r="AQ128" i="1"/>
  <c r="AL128" i="1" s="1"/>
  <c r="AS128" i="1"/>
  <c r="AN128" i="1" s="1"/>
  <c r="AT128" i="1"/>
  <c r="AO128" i="1" s="1"/>
  <c r="AR128" i="1"/>
  <c r="AM128" i="1" s="1"/>
  <c r="AR112" i="1"/>
  <c r="AM112" i="1" s="1"/>
  <c r="AQ112" i="1"/>
  <c r="AL112" i="1" s="1"/>
  <c r="AS112" i="1"/>
  <c r="AN112" i="1" s="1"/>
  <c r="AT112" i="1"/>
  <c r="AO112" i="1" s="1"/>
  <c r="AR96" i="1"/>
  <c r="AM96" i="1" s="1"/>
  <c r="AQ96" i="1"/>
  <c r="AL96" i="1" s="1"/>
  <c r="AS96" i="1"/>
  <c r="AN96" i="1" s="1"/>
  <c r="AT96" i="1"/>
  <c r="AO96" i="1" s="1"/>
  <c r="AR80" i="1"/>
  <c r="AM80" i="1" s="1"/>
  <c r="AS80" i="1"/>
  <c r="AN80" i="1" s="1"/>
  <c r="AT80" i="1"/>
  <c r="AO80" i="1" s="1"/>
  <c r="AQ80" i="1"/>
  <c r="AL80" i="1" s="1"/>
  <c r="AS64" i="1"/>
  <c r="AN64" i="1" s="1"/>
  <c r="AR64" i="1"/>
  <c r="AM64" i="1" s="1"/>
  <c r="AQ64" i="1"/>
  <c r="AL64" i="1" s="1"/>
  <c r="AT64" i="1"/>
  <c r="AO64" i="1" s="1"/>
  <c r="AQ48" i="1"/>
  <c r="AL48" i="1" s="1"/>
  <c r="AR48" i="1"/>
  <c r="AM48" i="1" s="1"/>
  <c r="AS48" i="1"/>
  <c r="AN48" i="1" s="1"/>
  <c r="AT48" i="1"/>
  <c r="AO48" i="1" s="1"/>
  <c r="AS32" i="1"/>
  <c r="AN32" i="1" s="1"/>
  <c r="AR32" i="1"/>
  <c r="AM32" i="1" s="1"/>
  <c r="AT32" i="1"/>
  <c r="AO32" i="1" s="1"/>
  <c r="AQ32" i="1"/>
  <c r="AL32" i="1" s="1"/>
  <c r="AQ16" i="1"/>
  <c r="AL16" i="1" s="1"/>
  <c r="AS16" i="1"/>
  <c r="AN16" i="1" s="1"/>
  <c r="AR16" i="1"/>
  <c r="AM16" i="1" s="1"/>
  <c r="AT16" i="1"/>
  <c r="AO16" i="1" s="1"/>
  <c r="U179" i="1"/>
  <c r="W179" i="1" s="1"/>
  <c r="U98" i="1"/>
  <c r="W98" i="1" s="1"/>
  <c r="S412" i="1"/>
  <c r="AR589" i="1"/>
  <c r="AM589" i="1" s="1"/>
  <c r="AQ589" i="1"/>
  <c r="AL589" i="1" s="1"/>
  <c r="AS589" i="1"/>
  <c r="AN589" i="1" s="1"/>
  <c r="AT589" i="1"/>
  <c r="AO589" i="1" s="1"/>
  <c r="AR573" i="1"/>
  <c r="AM573" i="1" s="1"/>
  <c r="AQ573" i="1"/>
  <c r="AL573" i="1" s="1"/>
  <c r="AS573" i="1"/>
  <c r="AN573" i="1" s="1"/>
  <c r="AT573" i="1"/>
  <c r="AO573" i="1" s="1"/>
  <c r="AR557" i="1"/>
  <c r="AM557" i="1" s="1"/>
  <c r="AS557" i="1"/>
  <c r="AN557" i="1" s="1"/>
  <c r="AQ557" i="1"/>
  <c r="AL557" i="1" s="1"/>
  <c r="AT557" i="1"/>
  <c r="AO557" i="1" s="1"/>
  <c r="AR541" i="1"/>
  <c r="AM541" i="1" s="1"/>
  <c r="AQ541" i="1"/>
  <c r="AL541" i="1" s="1"/>
  <c r="AS541" i="1"/>
  <c r="AN541" i="1" s="1"/>
  <c r="AT541" i="1"/>
  <c r="AO541" i="1" s="1"/>
  <c r="AQ525" i="1"/>
  <c r="AL525" i="1" s="1"/>
  <c r="AR525" i="1"/>
  <c r="AM525" i="1" s="1"/>
  <c r="AS525" i="1"/>
  <c r="AN525" i="1" s="1"/>
  <c r="AT525" i="1"/>
  <c r="AO525" i="1" s="1"/>
  <c r="AR509" i="1"/>
  <c r="AM509" i="1" s="1"/>
  <c r="AQ509" i="1"/>
  <c r="AL509" i="1" s="1"/>
  <c r="AT509" i="1"/>
  <c r="AO509" i="1" s="1"/>
  <c r="AS509" i="1"/>
  <c r="AN509" i="1" s="1"/>
  <c r="AR493" i="1"/>
  <c r="AM493" i="1" s="1"/>
  <c r="AT493" i="1"/>
  <c r="AO493" i="1" s="1"/>
  <c r="AQ493" i="1"/>
  <c r="AL493" i="1" s="1"/>
  <c r="AS493" i="1"/>
  <c r="AN493" i="1" s="1"/>
  <c r="AR477" i="1"/>
  <c r="AM477" i="1" s="1"/>
  <c r="AS477" i="1"/>
  <c r="AN477" i="1" s="1"/>
  <c r="AQ477" i="1"/>
  <c r="AL477" i="1" s="1"/>
  <c r="AT477" i="1"/>
  <c r="AO477" i="1" s="1"/>
  <c r="AR461" i="1"/>
  <c r="AM461" i="1" s="1"/>
  <c r="AT461" i="1"/>
  <c r="AO461" i="1" s="1"/>
  <c r="AQ461" i="1"/>
  <c r="AL461" i="1" s="1"/>
  <c r="AS461" i="1"/>
  <c r="AN461" i="1" s="1"/>
  <c r="AR445" i="1"/>
  <c r="AM445" i="1" s="1"/>
  <c r="AQ445" i="1"/>
  <c r="AL445" i="1" s="1"/>
  <c r="AS445" i="1"/>
  <c r="AN445" i="1" s="1"/>
  <c r="AT445" i="1"/>
  <c r="AO445" i="1" s="1"/>
  <c r="AR429" i="1"/>
  <c r="AM429" i="1" s="1"/>
  <c r="AQ429" i="1"/>
  <c r="AL429" i="1" s="1"/>
  <c r="AS429" i="1"/>
  <c r="AN429" i="1" s="1"/>
  <c r="AT429" i="1"/>
  <c r="AO429" i="1" s="1"/>
  <c r="U530" i="1"/>
  <c r="W530" i="1" s="1"/>
  <c r="U498" i="1"/>
  <c r="W498" i="1" s="1"/>
  <c r="U482" i="1"/>
  <c r="W482" i="1" s="1"/>
  <c r="U694" i="1"/>
  <c r="W694" i="1" s="1"/>
  <c r="U614" i="1"/>
  <c r="W614" i="1" s="1"/>
  <c r="AS741" i="1"/>
  <c r="AN741" i="1" s="1"/>
  <c r="AR173" i="1"/>
  <c r="AM173" i="1" s="1"/>
  <c r="AQ173" i="1"/>
  <c r="AL173" i="1" s="1"/>
  <c r="AS173" i="1"/>
  <c r="AN173" i="1" s="1"/>
  <c r="AT173" i="1"/>
  <c r="AO173" i="1" s="1"/>
  <c r="AQ109" i="1"/>
  <c r="AL109" i="1" s="1"/>
  <c r="AR109" i="1"/>
  <c r="AM109" i="1" s="1"/>
  <c r="AT109" i="1"/>
  <c r="AO109" i="1" s="1"/>
  <c r="AS109" i="1"/>
  <c r="AN109" i="1" s="1"/>
  <c r="AQ29" i="1"/>
  <c r="AL29" i="1" s="1"/>
  <c r="AR29" i="1"/>
  <c r="AM29" i="1" s="1"/>
  <c r="AS29" i="1"/>
  <c r="AN29" i="1" s="1"/>
  <c r="AT29" i="1"/>
  <c r="AO29" i="1" s="1"/>
  <c r="AS220" i="1"/>
  <c r="AN220" i="1" s="1"/>
  <c r="AQ220" i="1"/>
  <c r="AL220" i="1" s="1"/>
  <c r="AR220" i="1"/>
  <c r="AM220" i="1" s="1"/>
  <c r="AT220" i="1"/>
  <c r="AO220" i="1" s="1"/>
  <c r="AQ140" i="1"/>
  <c r="AL140" i="1" s="1"/>
  <c r="AS140" i="1"/>
  <c r="AN140" i="1" s="1"/>
  <c r="AT140" i="1"/>
  <c r="AO140" i="1" s="1"/>
  <c r="AR140" i="1"/>
  <c r="AM140" i="1" s="1"/>
  <c r="U92" i="1"/>
  <c r="W92" i="1" s="1"/>
  <c r="AQ230" i="1"/>
  <c r="AL230" i="1" s="1"/>
  <c r="AR230" i="1"/>
  <c r="AM230" i="1" s="1"/>
  <c r="AT230" i="1"/>
  <c r="AO230" i="1" s="1"/>
  <c r="AS230" i="1"/>
  <c r="AN230" i="1" s="1"/>
  <c r="AQ150" i="1"/>
  <c r="AL150" i="1" s="1"/>
  <c r="AR150" i="1"/>
  <c r="AM150" i="1" s="1"/>
  <c r="AS150" i="1"/>
  <c r="AN150" i="1" s="1"/>
  <c r="AT150" i="1"/>
  <c r="AO150" i="1" s="1"/>
  <c r="AQ86" i="1"/>
  <c r="AL86" i="1" s="1"/>
  <c r="AS86" i="1"/>
  <c r="AN86" i="1" s="1"/>
  <c r="AR86" i="1"/>
  <c r="AM86" i="1" s="1"/>
  <c r="AT86" i="1"/>
  <c r="AO86" i="1" s="1"/>
  <c r="AR22" i="1"/>
  <c r="AM22" i="1" s="1"/>
  <c r="AT22" i="1"/>
  <c r="AO22" i="1" s="1"/>
  <c r="AQ22" i="1"/>
  <c r="AL22" i="1" s="1"/>
  <c r="AS22" i="1"/>
  <c r="AN22" i="1" s="1"/>
  <c r="AQ515" i="1"/>
  <c r="AL515" i="1" s="1"/>
  <c r="AR515" i="1"/>
  <c r="AM515" i="1" s="1"/>
  <c r="AS515" i="1"/>
  <c r="AN515" i="1" s="1"/>
  <c r="AT515" i="1"/>
  <c r="AO515" i="1" s="1"/>
  <c r="AQ467" i="1"/>
  <c r="AL467" i="1" s="1"/>
  <c r="AR467" i="1"/>
  <c r="AM467" i="1" s="1"/>
  <c r="AS467" i="1"/>
  <c r="AN467" i="1" s="1"/>
  <c r="AT467" i="1"/>
  <c r="AO467" i="1" s="1"/>
  <c r="AQ197" i="1"/>
  <c r="AL197" i="1" s="1"/>
  <c r="AR197" i="1"/>
  <c r="AM197" i="1" s="1"/>
  <c r="AS197" i="1"/>
  <c r="AN197" i="1" s="1"/>
  <c r="AT197" i="1"/>
  <c r="AO197" i="1" s="1"/>
  <c r="AQ165" i="1"/>
  <c r="AL165" i="1" s="1"/>
  <c r="AR165" i="1"/>
  <c r="AM165" i="1" s="1"/>
  <c r="AS165" i="1"/>
  <c r="AN165" i="1" s="1"/>
  <c r="AT165" i="1"/>
  <c r="AO165" i="1" s="1"/>
  <c r="AQ101" i="1"/>
  <c r="AL101" i="1" s="1"/>
  <c r="AR101" i="1"/>
  <c r="AM101" i="1" s="1"/>
  <c r="AT101" i="1"/>
  <c r="AO101" i="1" s="1"/>
  <c r="AS101" i="1"/>
  <c r="AN101" i="1" s="1"/>
  <c r="AS180" i="1"/>
  <c r="AN180" i="1" s="1"/>
  <c r="AQ180" i="1"/>
  <c r="AL180" i="1" s="1"/>
  <c r="AT180" i="1"/>
  <c r="AO180" i="1" s="1"/>
  <c r="AR180" i="1"/>
  <c r="AM180" i="1" s="1"/>
  <c r="AQ132" i="1"/>
  <c r="AL132" i="1" s="1"/>
  <c r="AR132" i="1"/>
  <c r="AM132" i="1" s="1"/>
  <c r="AS132" i="1"/>
  <c r="AN132" i="1" s="1"/>
  <c r="AT132" i="1"/>
  <c r="AO132" i="1" s="1"/>
  <c r="AQ100" i="1"/>
  <c r="AL100" i="1" s="1"/>
  <c r="AS100" i="1"/>
  <c r="AN100" i="1" s="1"/>
  <c r="AR100" i="1"/>
  <c r="AM100" i="1" s="1"/>
  <c r="AT100" i="1"/>
  <c r="AO100" i="1" s="1"/>
  <c r="AQ84" i="1"/>
  <c r="AL84" i="1" s="1"/>
  <c r="AS84" i="1"/>
  <c r="AN84" i="1" s="1"/>
  <c r="AR84" i="1"/>
  <c r="AM84" i="1" s="1"/>
  <c r="AT84" i="1"/>
  <c r="AO84" i="1" s="1"/>
  <c r="AQ20" i="1"/>
  <c r="AL20" i="1" s="1"/>
  <c r="AR20" i="1"/>
  <c r="AM20" i="1" s="1"/>
  <c r="AT20" i="1"/>
  <c r="AO20" i="1" s="1"/>
  <c r="AS20" i="1"/>
  <c r="AN20" i="1" s="1"/>
  <c r="AQ4" i="1"/>
  <c r="AL4" i="1" s="1"/>
  <c r="AS4" i="1"/>
  <c r="AN4" i="1" s="1"/>
  <c r="AR4" i="1"/>
  <c r="AM4" i="1" s="1"/>
  <c r="AT4" i="1"/>
  <c r="AO4" i="1" s="1"/>
  <c r="U45" i="1"/>
  <c r="W45" i="1" s="1"/>
  <c r="AQ211" i="1"/>
  <c r="AL211" i="1" s="1"/>
  <c r="AR211" i="1"/>
  <c r="AM211" i="1" s="1"/>
  <c r="AS211" i="1"/>
  <c r="AN211" i="1" s="1"/>
  <c r="AT211" i="1"/>
  <c r="AO211" i="1" s="1"/>
  <c r="AQ163" i="1"/>
  <c r="AL163" i="1" s="1"/>
  <c r="AR163" i="1"/>
  <c r="AM163" i="1" s="1"/>
  <c r="AT163" i="1"/>
  <c r="AO163" i="1" s="1"/>
  <c r="AS163" i="1"/>
  <c r="AN163" i="1" s="1"/>
  <c r="AQ131" i="1"/>
  <c r="AL131" i="1" s="1"/>
  <c r="AR131" i="1"/>
  <c r="AM131" i="1" s="1"/>
  <c r="AT131" i="1"/>
  <c r="AO131" i="1" s="1"/>
  <c r="AS131" i="1"/>
  <c r="AN131" i="1" s="1"/>
  <c r="AQ83" i="1"/>
  <c r="AL83" i="1" s="1"/>
  <c r="AS83" i="1"/>
  <c r="AN83" i="1" s="1"/>
  <c r="AT83" i="1"/>
  <c r="AO83" i="1" s="1"/>
  <c r="AR83" i="1"/>
  <c r="AM83" i="1" s="1"/>
  <c r="AS226" i="1"/>
  <c r="AN226" i="1" s="1"/>
  <c r="AR226" i="1"/>
  <c r="AM226" i="1" s="1"/>
  <c r="AQ226" i="1"/>
  <c r="AL226" i="1" s="1"/>
  <c r="AT226" i="1"/>
  <c r="AO226" i="1" s="1"/>
  <c r="AQ194" i="1"/>
  <c r="AL194" i="1" s="1"/>
  <c r="AR194" i="1"/>
  <c r="AM194" i="1" s="1"/>
  <c r="AT194" i="1"/>
  <c r="AO194" i="1" s="1"/>
  <c r="AS194" i="1"/>
  <c r="AN194" i="1" s="1"/>
  <c r="AR178" i="1"/>
  <c r="AM178" i="1" s="1"/>
  <c r="AQ178" i="1"/>
  <c r="AL178" i="1" s="1"/>
  <c r="AT178" i="1"/>
  <c r="AO178" i="1" s="1"/>
  <c r="AS178" i="1"/>
  <c r="AN178" i="1" s="1"/>
  <c r="AQ130" i="1"/>
  <c r="AL130" i="1" s="1"/>
  <c r="AS130" i="1"/>
  <c r="AN130" i="1" s="1"/>
  <c r="AT130" i="1"/>
  <c r="AO130" i="1" s="1"/>
  <c r="AR130" i="1"/>
  <c r="AM130" i="1" s="1"/>
  <c r="AS82" i="1"/>
  <c r="AN82" i="1" s="1"/>
  <c r="AR82" i="1"/>
  <c r="AM82" i="1" s="1"/>
  <c r="AQ82" i="1"/>
  <c r="AL82" i="1" s="1"/>
  <c r="AT82" i="1"/>
  <c r="AO82" i="1" s="1"/>
  <c r="AQ50" i="1"/>
  <c r="AL50" i="1" s="1"/>
  <c r="AS50" i="1"/>
  <c r="AN50" i="1" s="1"/>
  <c r="AR50" i="1"/>
  <c r="AM50" i="1" s="1"/>
  <c r="AT50" i="1"/>
  <c r="AO50" i="1" s="1"/>
  <c r="AR34" i="1"/>
  <c r="AM34" i="1" s="1"/>
  <c r="AQ34" i="1"/>
  <c r="AL34" i="1" s="1"/>
  <c r="AS34" i="1"/>
  <c r="AN34" i="1" s="1"/>
  <c r="AT34" i="1"/>
  <c r="AO34" i="1" s="1"/>
  <c r="AR239" i="1"/>
  <c r="AM239" i="1" s="1"/>
  <c r="AS239" i="1"/>
  <c r="AN239" i="1" s="1"/>
  <c r="AT239" i="1"/>
  <c r="AO239" i="1" s="1"/>
  <c r="AQ239" i="1"/>
  <c r="AL239" i="1" s="1"/>
  <c r="AR223" i="1"/>
  <c r="AM223" i="1" s="1"/>
  <c r="AS223" i="1"/>
  <c r="AN223" i="1" s="1"/>
  <c r="AQ223" i="1"/>
  <c r="AL223" i="1" s="1"/>
  <c r="AT223" i="1"/>
  <c r="AO223" i="1" s="1"/>
  <c r="AR207" i="1"/>
  <c r="AM207" i="1" s="1"/>
  <c r="AQ207" i="1"/>
  <c r="AL207" i="1" s="1"/>
  <c r="AS207" i="1"/>
  <c r="AN207" i="1" s="1"/>
  <c r="AT207" i="1"/>
  <c r="AO207" i="1" s="1"/>
  <c r="AR191" i="1"/>
  <c r="AM191" i="1" s="1"/>
  <c r="AQ191" i="1"/>
  <c r="AL191" i="1" s="1"/>
  <c r="AT191" i="1"/>
  <c r="AO191" i="1" s="1"/>
  <c r="AS191" i="1"/>
  <c r="AN191" i="1" s="1"/>
  <c r="AQ175" i="1"/>
  <c r="AL175" i="1" s="1"/>
  <c r="AR175" i="1"/>
  <c r="AM175" i="1" s="1"/>
  <c r="AS175" i="1"/>
  <c r="AN175" i="1" s="1"/>
  <c r="AT175" i="1"/>
  <c r="AO175" i="1" s="1"/>
  <c r="AR159" i="1"/>
  <c r="AM159" i="1" s="1"/>
  <c r="AQ159" i="1"/>
  <c r="AL159" i="1" s="1"/>
  <c r="AT159" i="1"/>
  <c r="AO159" i="1" s="1"/>
  <c r="AS159" i="1"/>
  <c r="AN159" i="1" s="1"/>
  <c r="AR143" i="1"/>
  <c r="AM143" i="1" s="1"/>
  <c r="AQ143" i="1"/>
  <c r="AL143" i="1" s="1"/>
  <c r="AS143" i="1"/>
  <c r="AN143" i="1" s="1"/>
  <c r="AT143" i="1"/>
  <c r="AO143" i="1" s="1"/>
  <c r="AR127" i="1"/>
  <c r="AM127" i="1" s="1"/>
  <c r="AS127" i="1"/>
  <c r="AN127" i="1" s="1"/>
  <c r="AT127" i="1"/>
  <c r="AO127" i="1" s="1"/>
  <c r="AQ127" i="1"/>
  <c r="AL127" i="1" s="1"/>
  <c r="AR111" i="1"/>
  <c r="AM111" i="1" s="1"/>
  <c r="AQ111" i="1"/>
  <c r="AL111" i="1" s="1"/>
  <c r="AT111" i="1"/>
  <c r="AO111" i="1" s="1"/>
  <c r="AS111" i="1"/>
  <c r="AN111" i="1" s="1"/>
  <c r="AR95" i="1"/>
  <c r="AM95" i="1" s="1"/>
  <c r="AS95" i="1"/>
  <c r="AN95" i="1" s="1"/>
  <c r="AQ95" i="1"/>
  <c r="AL95" i="1" s="1"/>
  <c r="AT95" i="1"/>
  <c r="AO95" i="1" s="1"/>
  <c r="AR79" i="1"/>
  <c r="AM79" i="1" s="1"/>
  <c r="AQ79" i="1"/>
  <c r="AL79" i="1" s="1"/>
  <c r="AT79" i="1"/>
  <c r="AO79" i="1" s="1"/>
  <c r="AS79" i="1"/>
  <c r="AN79" i="1" s="1"/>
  <c r="AR63" i="1"/>
  <c r="AM63" i="1" s="1"/>
  <c r="AS63" i="1"/>
  <c r="AN63" i="1" s="1"/>
  <c r="AQ63" i="1"/>
  <c r="AL63" i="1" s="1"/>
  <c r="AT63" i="1"/>
  <c r="AO63" i="1" s="1"/>
  <c r="AR47" i="1"/>
  <c r="AM47" i="1" s="1"/>
  <c r="AQ47" i="1"/>
  <c r="AL47" i="1" s="1"/>
  <c r="AS47" i="1"/>
  <c r="AN47" i="1" s="1"/>
  <c r="AT47" i="1"/>
  <c r="AO47" i="1" s="1"/>
  <c r="U31" i="1"/>
  <c r="W31" i="1" s="1"/>
  <c r="AR31" i="1"/>
  <c r="AM31" i="1" s="1"/>
  <c r="AS31" i="1"/>
  <c r="AN31" i="1" s="1"/>
  <c r="AT31" i="1"/>
  <c r="AO31" i="1" s="1"/>
  <c r="AQ31" i="1"/>
  <c r="AL31" i="1" s="1"/>
  <c r="AQ15" i="1"/>
  <c r="AL15" i="1" s="1"/>
  <c r="AR15" i="1"/>
  <c r="AM15" i="1" s="1"/>
  <c r="AS15" i="1"/>
  <c r="AN15" i="1" s="1"/>
  <c r="AT15" i="1"/>
  <c r="AO15" i="1" s="1"/>
  <c r="U178" i="1"/>
  <c r="W178" i="1" s="1"/>
  <c r="U191" i="1"/>
  <c r="W191" i="1" s="1"/>
  <c r="U111" i="1"/>
  <c r="W111" i="1" s="1"/>
  <c r="S418" i="1"/>
  <c r="AQ418" i="1" s="1"/>
  <c r="AL418" i="1" s="1"/>
  <c r="AQ588" i="1"/>
  <c r="AL588" i="1" s="1"/>
  <c r="AR588" i="1"/>
  <c r="AM588" i="1" s="1"/>
  <c r="AT588" i="1"/>
  <c r="AO588" i="1" s="1"/>
  <c r="AS588" i="1"/>
  <c r="AN588" i="1" s="1"/>
  <c r="AQ572" i="1"/>
  <c r="AL572" i="1" s="1"/>
  <c r="AS572" i="1"/>
  <c r="AN572" i="1" s="1"/>
  <c r="AR572" i="1"/>
  <c r="AM572" i="1" s="1"/>
  <c r="AT572" i="1"/>
  <c r="AO572" i="1" s="1"/>
  <c r="AR556" i="1"/>
  <c r="AM556" i="1" s="1"/>
  <c r="AS556" i="1"/>
  <c r="AN556" i="1" s="1"/>
  <c r="AT556" i="1"/>
  <c r="AO556" i="1" s="1"/>
  <c r="AQ556" i="1"/>
  <c r="AL556" i="1" s="1"/>
  <c r="AR540" i="1"/>
  <c r="AM540" i="1" s="1"/>
  <c r="AQ540" i="1"/>
  <c r="AL540" i="1" s="1"/>
  <c r="AS540" i="1"/>
  <c r="AN540" i="1" s="1"/>
  <c r="AT540" i="1"/>
  <c r="AO540" i="1" s="1"/>
  <c r="AR524" i="1"/>
  <c r="AM524" i="1" s="1"/>
  <c r="AQ524" i="1"/>
  <c r="AL524" i="1" s="1"/>
  <c r="AS524" i="1"/>
  <c r="AN524" i="1" s="1"/>
  <c r="AT524" i="1"/>
  <c r="AO524" i="1" s="1"/>
  <c r="AQ508" i="1"/>
  <c r="AL508" i="1" s="1"/>
  <c r="AR508" i="1"/>
  <c r="AM508" i="1" s="1"/>
  <c r="AS508" i="1"/>
  <c r="AN508" i="1" s="1"/>
  <c r="AT508" i="1"/>
  <c r="AO508" i="1" s="1"/>
  <c r="AR492" i="1"/>
  <c r="AM492" i="1" s="1"/>
  <c r="AQ492" i="1"/>
  <c r="AL492" i="1" s="1"/>
  <c r="AT492" i="1"/>
  <c r="AO492" i="1" s="1"/>
  <c r="AS492" i="1"/>
  <c r="AN492" i="1" s="1"/>
  <c r="AR476" i="1"/>
  <c r="AM476" i="1" s="1"/>
  <c r="AT476" i="1"/>
  <c r="AO476" i="1" s="1"/>
  <c r="AQ476" i="1"/>
  <c r="AL476" i="1" s="1"/>
  <c r="AS476" i="1"/>
  <c r="AN476" i="1" s="1"/>
  <c r="AQ460" i="1"/>
  <c r="AL460" i="1" s="1"/>
  <c r="AS460" i="1"/>
  <c r="AN460" i="1" s="1"/>
  <c r="AR460" i="1"/>
  <c r="AM460" i="1" s="1"/>
  <c r="AT460" i="1"/>
  <c r="AO460" i="1" s="1"/>
  <c r="AQ444" i="1"/>
  <c r="AL444" i="1" s="1"/>
  <c r="AT444" i="1"/>
  <c r="AO444" i="1" s="1"/>
  <c r="AR444" i="1"/>
  <c r="AM444" i="1" s="1"/>
  <c r="AS444" i="1"/>
  <c r="AN444" i="1" s="1"/>
  <c r="AS428" i="1"/>
  <c r="AN428" i="1" s="1"/>
  <c r="AR428" i="1"/>
  <c r="AM428" i="1" s="1"/>
  <c r="AQ428" i="1"/>
  <c r="AL428" i="1" s="1"/>
  <c r="AT428" i="1"/>
  <c r="AO428" i="1" s="1"/>
  <c r="U497" i="1"/>
  <c r="W497" i="1" s="1"/>
  <c r="U481" i="1"/>
  <c r="W481" i="1" s="1"/>
  <c r="U439" i="1"/>
  <c r="W439" i="1" s="1"/>
  <c r="AR765" i="1"/>
  <c r="AM765" i="1" s="1"/>
  <c r="AQ765" i="1"/>
  <c r="AL765" i="1" s="1"/>
  <c r="AQ205" i="1"/>
  <c r="AL205" i="1" s="1"/>
  <c r="AS205" i="1"/>
  <c r="AN205" i="1" s="1"/>
  <c r="AT205" i="1"/>
  <c r="AO205" i="1" s="1"/>
  <c r="AR205" i="1"/>
  <c r="AM205" i="1" s="1"/>
  <c r="AQ108" i="1"/>
  <c r="AL108" i="1" s="1"/>
  <c r="AS108" i="1"/>
  <c r="AN108" i="1" s="1"/>
  <c r="AT108" i="1"/>
  <c r="AO108" i="1" s="1"/>
  <c r="AR108" i="1"/>
  <c r="AM108" i="1" s="1"/>
  <c r="AR198" i="1"/>
  <c r="AM198" i="1" s="1"/>
  <c r="AQ198" i="1"/>
  <c r="AL198" i="1" s="1"/>
  <c r="AT198" i="1"/>
  <c r="AO198" i="1" s="1"/>
  <c r="AS198" i="1"/>
  <c r="AN198" i="1" s="1"/>
  <c r="AS134" i="1"/>
  <c r="AN134" i="1" s="1"/>
  <c r="AQ134" i="1"/>
  <c r="AL134" i="1" s="1"/>
  <c r="AT134" i="1"/>
  <c r="AO134" i="1" s="1"/>
  <c r="AR134" i="1"/>
  <c r="AM134" i="1" s="1"/>
  <c r="AQ38" i="1"/>
  <c r="AL38" i="1" s="1"/>
  <c r="AS38" i="1"/>
  <c r="AN38" i="1" s="1"/>
  <c r="AR38" i="1"/>
  <c r="AM38" i="1" s="1"/>
  <c r="AT38" i="1"/>
  <c r="AO38" i="1" s="1"/>
  <c r="AS6" i="1"/>
  <c r="AN6" i="1" s="1"/>
  <c r="AQ6" i="1"/>
  <c r="AL6" i="1" s="1"/>
  <c r="AT6" i="1"/>
  <c r="AO6" i="1" s="1"/>
  <c r="AR6" i="1"/>
  <c r="AM6" i="1" s="1"/>
  <c r="AQ531" i="1"/>
  <c r="AL531" i="1" s="1"/>
  <c r="AS531" i="1"/>
  <c r="AN531" i="1" s="1"/>
  <c r="AR531" i="1"/>
  <c r="AM531" i="1" s="1"/>
  <c r="AT531" i="1"/>
  <c r="AO531" i="1" s="1"/>
  <c r="AQ483" i="1"/>
  <c r="AL483" i="1" s="1"/>
  <c r="AR483" i="1"/>
  <c r="AM483" i="1" s="1"/>
  <c r="AS483" i="1"/>
  <c r="AN483" i="1" s="1"/>
  <c r="AT483" i="1"/>
  <c r="AO483" i="1" s="1"/>
  <c r="AQ435" i="1"/>
  <c r="AL435" i="1" s="1"/>
  <c r="AS435" i="1"/>
  <c r="AN435" i="1" s="1"/>
  <c r="AT435" i="1"/>
  <c r="AO435" i="1" s="1"/>
  <c r="AR435" i="1"/>
  <c r="AM435" i="1" s="1"/>
  <c r="AQ229" i="1"/>
  <c r="AL229" i="1" s="1"/>
  <c r="AR229" i="1"/>
  <c r="AM229" i="1" s="1"/>
  <c r="AT229" i="1"/>
  <c r="AO229" i="1" s="1"/>
  <c r="AS229" i="1"/>
  <c r="AN229" i="1" s="1"/>
  <c r="AQ181" i="1"/>
  <c r="AL181" i="1" s="1"/>
  <c r="AR181" i="1"/>
  <c r="AM181" i="1" s="1"/>
  <c r="AS181" i="1"/>
  <c r="AN181" i="1" s="1"/>
  <c r="AT181" i="1"/>
  <c r="AO181" i="1" s="1"/>
  <c r="AQ133" i="1"/>
  <c r="AL133" i="1" s="1"/>
  <c r="AR133" i="1"/>
  <c r="AM133" i="1" s="1"/>
  <c r="AS133" i="1"/>
  <c r="AN133" i="1" s="1"/>
  <c r="AT133" i="1"/>
  <c r="AO133" i="1" s="1"/>
  <c r="AQ69" i="1"/>
  <c r="AL69" i="1" s="1"/>
  <c r="AR69" i="1"/>
  <c r="AM69" i="1" s="1"/>
  <c r="AS69" i="1"/>
  <c r="AN69" i="1" s="1"/>
  <c r="AT69" i="1"/>
  <c r="AO69" i="1" s="1"/>
  <c r="AQ37" i="1"/>
  <c r="AL37" i="1" s="1"/>
  <c r="AR37" i="1"/>
  <c r="AM37" i="1" s="1"/>
  <c r="AT37" i="1"/>
  <c r="AO37" i="1" s="1"/>
  <c r="AS37" i="1"/>
  <c r="AN37" i="1" s="1"/>
  <c r="AQ5" i="1"/>
  <c r="AL5" i="1" s="1"/>
  <c r="AR5" i="1"/>
  <c r="AM5" i="1" s="1"/>
  <c r="AS5" i="1"/>
  <c r="AN5" i="1" s="1"/>
  <c r="AT5" i="1"/>
  <c r="AO5" i="1" s="1"/>
  <c r="AQ228" i="1"/>
  <c r="AL228" i="1" s="1"/>
  <c r="AS228" i="1"/>
  <c r="AN228" i="1" s="1"/>
  <c r="AR228" i="1"/>
  <c r="AM228" i="1" s="1"/>
  <c r="AT228" i="1"/>
  <c r="AO228" i="1" s="1"/>
  <c r="AS164" i="1"/>
  <c r="AN164" i="1" s="1"/>
  <c r="AR164" i="1"/>
  <c r="AM164" i="1" s="1"/>
  <c r="AQ164" i="1"/>
  <c r="AL164" i="1" s="1"/>
  <c r="AT164" i="1"/>
  <c r="AO164" i="1" s="1"/>
  <c r="AQ116" i="1"/>
  <c r="AL116" i="1" s="1"/>
  <c r="AR116" i="1"/>
  <c r="AM116" i="1" s="1"/>
  <c r="AS116" i="1"/>
  <c r="AN116" i="1" s="1"/>
  <c r="AT116" i="1"/>
  <c r="AO116" i="1" s="1"/>
  <c r="AQ36" i="1"/>
  <c r="AL36" i="1" s="1"/>
  <c r="AR36" i="1"/>
  <c r="AM36" i="1" s="1"/>
  <c r="AS36" i="1"/>
  <c r="AN36" i="1" s="1"/>
  <c r="AT36" i="1"/>
  <c r="AO36" i="1" s="1"/>
  <c r="AR238" i="1"/>
  <c r="AM238" i="1" s="1"/>
  <c r="AQ238" i="1"/>
  <c r="AL238" i="1" s="1"/>
  <c r="AT238" i="1"/>
  <c r="AO238" i="1" s="1"/>
  <c r="AS238" i="1"/>
  <c r="AN238" i="1" s="1"/>
  <c r="AR222" i="1"/>
  <c r="AM222" i="1" s="1"/>
  <c r="AQ222" i="1"/>
  <c r="AL222" i="1" s="1"/>
  <c r="AT222" i="1"/>
  <c r="AO222" i="1" s="1"/>
  <c r="AS222" i="1"/>
  <c r="AN222" i="1" s="1"/>
  <c r="AR206" i="1"/>
  <c r="AM206" i="1" s="1"/>
  <c r="AQ206" i="1"/>
  <c r="AL206" i="1" s="1"/>
  <c r="AS206" i="1"/>
  <c r="AN206" i="1" s="1"/>
  <c r="AT206" i="1"/>
  <c r="AO206" i="1" s="1"/>
  <c r="U190" i="1"/>
  <c r="W190" i="1" s="1"/>
  <c r="AR190" i="1"/>
  <c r="AM190" i="1" s="1"/>
  <c r="AQ190" i="1"/>
  <c r="AL190" i="1" s="1"/>
  <c r="AS190" i="1"/>
  <c r="AN190" i="1" s="1"/>
  <c r="AT190" i="1"/>
  <c r="AO190" i="1" s="1"/>
  <c r="U174" i="1"/>
  <c r="W174" i="1" s="1"/>
  <c r="AQ174" i="1"/>
  <c r="AL174" i="1" s="1"/>
  <c r="AR174" i="1"/>
  <c r="AM174" i="1" s="1"/>
  <c r="AT174" i="1"/>
  <c r="AO174" i="1" s="1"/>
  <c r="AS174" i="1"/>
  <c r="AN174" i="1" s="1"/>
  <c r="AR158" i="1"/>
  <c r="AM158" i="1" s="1"/>
  <c r="AS158" i="1"/>
  <c r="AN158" i="1" s="1"/>
  <c r="AQ158" i="1"/>
  <c r="AL158" i="1" s="1"/>
  <c r="AT158" i="1"/>
  <c r="AO158" i="1" s="1"/>
  <c r="AR142" i="1"/>
  <c r="AM142" i="1" s="1"/>
  <c r="AQ142" i="1"/>
  <c r="AL142" i="1" s="1"/>
  <c r="AS142" i="1"/>
  <c r="AN142" i="1" s="1"/>
  <c r="AT142" i="1"/>
  <c r="AO142" i="1" s="1"/>
  <c r="AR126" i="1"/>
  <c r="AM126" i="1" s="1"/>
  <c r="AS126" i="1"/>
  <c r="AN126" i="1" s="1"/>
  <c r="AT126" i="1"/>
  <c r="AO126" i="1" s="1"/>
  <c r="AQ126" i="1"/>
  <c r="AL126" i="1" s="1"/>
  <c r="AR110" i="1"/>
  <c r="AM110" i="1" s="1"/>
  <c r="AQ110" i="1"/>
  <c r="AL110" i="1" s="1"/>
  <c r="AT110" i="1"/>
  <c r="AO110" i="1" s="1"/>
  <c r="AS110" i="1"/>
  <c r="AN110" i="1" s="1"/>
  <c r="AR94" i="1"/>
  <c r="AM94" i="1" s="1"/>
  <c r="AQ94" i="1"/>
  <c r="AL94" i="1" s="1"/>
  <c r="AT94" i="1"/>
  <c r="AO94" i="1" s="1"/>
  <c r="AS94" i="1"/>
  <c r="AN94" i="1" s="1"/>
  <c r="AR78" i="1"/>
  <c r="AM78" i="1" s="1"/>
  <c r="AQ78" i="1"/>
  <c r="AL78" i="1" s="1"/>
  <c r="AS78" i="1"/>
  <c r="AN78" i="1" s="1"/>
  <c r="AT78" i="1"/>
  <c r="AO78" i="1" s="1"/>
  <c r="AR62" i="1"/>
  <c r="AM62" i="1" s="1"/>
  <c r="AQ62" i="1"/>
  <c r="AL62" i="1" s="1"/>
  <c r="AS62" i="1"/>
  <c r="AN62" i="1" s="1"/>
  <c r="AT62" i="1"/>
  <c r="AO62" i="1" s="1"/>
  <c r="AR46" i="1"/>
  <c r="AM46" i="1" s="1"/>
  <c r="AQ46" i="1"/>
  <c r="AL46" i="1" s="1"/>
  <c r="AT46" i="1"/>
  <c r="AO46" i="1" s="1"/>
  <c r="AS46" i="1"/>
  <c r="AN46" i="1" s="1"/>
  <c r="AR30" i="1"/>
  <c r="AM30" i="1" s="1"/>
  <c r="AS30" i="1"/>
  <c r="AN30" i="1" s="1"/>
  <c r="AT30" i="1"/>
  <c r="AO30" i="1" s="1"/>
  <c r="AQ30" i="1"/>
  <c r="AL30" i="1" s="1"/>
  <c r="AQ14" i="1"/>
  <c r="AL14" i="1" s="1"/>
  <c r="AR14" i="1"/>
  <c r="AM14" i="1" s="1"/>
  <c r="AT14" i="1"/>
  <c r="AO14" i="1" s="1"/>
  <c r="AS14" i="1"/>
  <c r="AN14" i="1" s="1"/>
  <c r="U175" i="1"/>
  <c r="W175" i="1" s="1"/>
  <c r="U95" i="1"/>
  <c r="W95" i="1" s="1"/>
  <c r="U222" i="1"/>
  <c r="W222" i="1" s="1"/>
  <c r="U142" i="1"/>
  <c r="W142" i="1" s="1"/>
  <c r="S371" i="1"/>
  <c r="AQ371" i="1" s="1"/>
  <c r="AL371" i="1" s="1"/>
  <c r="S413" i="1"/>
  <c r="AS587" i="1"/>
  <c r="AN587" i="1" s="1"/>
  <c r="AQ587" i="1"/>
  <c r="AL587" i="1" s="1"/>
  <c r="AR587" i="1"/>
  <c r="AM587" i="1" s="1"/>
  <c r="AT587" i="1"/>
  <c r="AO587" i="1" s="1"/>
  <c r="AS571" i="1"/>
  <c r="AN571" i="1" s="1"/>
  <c r="AQ571" i="1"/>
  <c r="AL571" i="1" s="1"/>
  <c r="AT571" i="1"/>
  <c r="AO571" i="1" s="1"/>
  <c r="AR571" i="1"/>
  <c r="AM571" i="1" s="1"/>
  <c r="AS555" i="1"/>
  <c r="AN555" i="1" s="1"/>
  <c r="AQ555" i="1"/>
  <c r="AL555" i="1" s="1"/>
  <c r="AR555" i="1"/>
  <c r="AM555" i="1" s="1"/>
  <c r="AT555" i="1"/>
  <c r="AO555" i="1" s="1"/>
  <c r="AS539" i="1"/>
  <c r="AN539" i="1" s="1"/>
  <c r="AR539" i="1"/>
  <c r="AM539" i="1" s="1"/>
  <c r="AQ539" i="1"/>
  <c r="AL539" i="1" s="1"/>
  <c r="AT539" i="1"/>
  <c r="AO539" i="1" s="1"/>
  <c r="AS523" i="1"/>
  <c r="AN523" i="1" s="1"/>
  <c r="AR523" i="1"/>
  <c r="AM523" i="1" s="1"/>
  <c r="AQ523" i="1"/>
  <c r="AL523" i="1" s="1"/>
  <c r="AT523" i="1"/>
  <c r="AO523" i="1" s="1"/>
  <c r="AQ507" i="1"/>
  <c r="AL507" i="1" s="1"/>
  <c r="AS507" i="1"/>
  <c r="AN507" i="1" s="1"/>
  <c r="AR507" i="1"/>
  <c r="AM507" i="1" s="1"/>
  <c r="AT507" i="1"/>
  <c r="AO507" i="1" s="1"/>
  <c r="AS491" i="1"/>
  <c r="AN491" i="1" s="1"/>
  <c r="AQ491" i="1"/>
  <c r="AL491" i="1" s="1"/>
  <c r="AT491" i="1"/>
  <c r="AO491" i="1" s="1"/>
  <c r="AR491" i="1"/>
  <c r="AM491" i="1" s="1"/>
  <c r="AS475" i="1"/>
  <c r="AN475" i="1" s="1"/>
  <c r="AQ475" i="1"/>
  <c r="AL475" i="1" s="1"/>
  <c r="AT475" i="1"/>
  <c r="AO475" i="1" s="1"/>
  <c r="AR475" i="1"/>
  <c r="AM475" i="1" s="1"/>
  <c r="AS459" i="1"/>
  <c r="AN459" i="1" s="1"/>
  <c r="AQ459" i="1"/>
  <c r="AL459" i="1" s="1"/>
  <c r="AT459" i="1"/>
  <c r="AO459" i="1" s="1"/>
  <c r="AR459" i="1"/>
  <c r="AM459" i="1" s="1"/>
  <c r="AS443" i="1"/>
  <c r="AN443" i="1" s="1"/>
  <c r="AQ443" i="1"/>
  <c r="AL443" i="1" s="1"/>
  <c r="AR443" i="1"/>
  <c r="AM443" i="1" s="1"/>
  <c r="AT443" i="1"/>
  <c r="AO443" i="1" s="1"/>
  <c r="U595" i="1"/>
  <c r="W595" i="1" s="1"/>
  <c r="U512" i="1"/>
  <c r="W512" i="1" s="1"/>
  <c r="U496" i="1"/>
  <c r="W496" i="1" s="1"/>
  <c r="U463" i="1"/>
  <c r="W463" i="1" s="1"/>
  <c r="AR741" i="1"/>
  <c r="AM741" i="1" s="1"/>
  <c r="AS295" i="1"/>
  <c r="AN295" i="1" s="1"/>
  <c r="AT295" i="1"/>
  <c r="AO295" i="1" s="1"/>
  <c r="AR295" i="1"/>
  <c r="AM295" i="1" s="1"/>
  <c r="AQ295" i="1"/>
  <c r="AL295" i="1" s="1"/>
  <c r="AS586" i="1"/>
  <c r="AN586" i="1" s="1"/>
  <c r="AR586" i="1"/>
  <c r="AM586" i="1" s="1"/>
  <c r="AQ586" i="1"/>
  <c r="AL586" i="1" s="1"/>
  <c r="AT586" i="1"/>
  <c r="AO586" i="1" s="1"/>
  <c r="AQ570" i="1"/>
  <c r="AL570" i="1" s="1"/>
  <c r="AR570" i="1"/>
  <c r="AM570" i="1" s="1"/>
  <c r="AS570" i="1"/>
  <c r="AN570" i="1" s="1"/>
  <c r="AT570" i="1"/>
  <c r="AO570" i="1" s="1"/>
  <c r="AQ554" i="1"/>
  <c r="AL554" i="1" s="1"/>
  <c r="AR554" i="1"/>
  <c r="AM554" i="1" s="1"/>
  <c r="AS554" i="1"/>
  <c r="AN554" i="1" s="1"/>
  <c r="AT554" i="1"/>
  <c r="AO554" i="1" s="1"/>
  <c r="AQ538" i="1"/>
  <c r="AL538" i="1" s="1"/>
  <c r="AR538" i="1"/>
  <c r="AM538" i="1" s="1"/>
  <c r="AS538" i="1"/>
  <c r="AN538" i="1" s="1"/>
  <c r="AT538" i="1"/>
  <c r="AO538" i="1" s="1"/>
  <c r="AR522" i="1"/>
  <c r="AM522" i="1" s="1"/>
  <c r="AQ522" i="1"/>
  <c r="AL522" i="1" s="1"/>
  <c r="AS522" i="1"/>
  <c r="AN522" i="1" s="1"/>
  <c r="AT522" i="1"/>
  <c r="AO522" i="1" s="1"/>
  <c r="AQ506" i="1"/>
  <c r="AL506" i="1" s="1"/>
  <c r="AR506" i="1"/>
  <c r="AM506" i="1" s="1"/>
  <c r="AS506" i="1"/>
  <c r="AN506" i="1" s="1"/>
  <c r="AT506" i="1"/>
  <c r="AO506" i="1" s="1"/>
  <c r="AQ490" i="1"/>
  <c r="AL490" i="1" s="1"/>
  <c r="AR490" i="1"/>
  <c r="AM490" i="1" s="1"/>
  <c r="AT490" i="1"/>
  <c r="AO490" i="1" s="1"/>
  <c r="AS490" i="1"/>
  <c r="AN490" i="1" s="1"/>
  <c r="AQ474" i="1"/>
  <c r="AL474" i="1" s="1"/>
  <c r="AR474" i="1"/>
  <c r="AM474" i="1" s="1"/>
  <c r="AT474" i="1"/>
  <c r="AO474" i="1" s="1"/>
  <c r="AS474" i="1"/>
  <c r="AN474" i="1" s="1"/>
  <c r="AR458" i="1"/>
  <c r="AM458" i="1" s="1"/>
  <c r="AQ458" i="1"/>
  <c r="AL458" i="1" s="1"/>
  <c r="AT458" i="1"/>
  <c r="AO458" i="1" s="1"/>
  <c r="AS458" i="1"/>
  <c r="AN458" i="1" s="1"/>
  <c r="AQ442" i="1"/>
  <c r="AL442" i="1" s="1"/>
  <c r="AS442" i="1"/>
  <c r="AN442" i="1" s="1"/>
  <c r="AT442" i="1"/>
  <c r="AO442" i="1" s="1"/>
  <c r="AR442" i="1"/>
  <c r="AM442" i="1" s="1"/>
  <c r="U594" i="1"/>
  <c r="W594" i="1" s="1"/>
  <c r="U511" i="1"/>
  <c r="W511" i="1" s="1"/>
  <c r="U495" i="1"/>
  <c r="W495" i="1" s="1"/>
  <c r="U679" i="1"/>
  <c r="W679" i="1" s="1"/>
  <c r="U708" i="1"/>
  <c r="W708" i="1" s="1"/>
  <c r="U660" i="1"/>
  <c r="W660" i="1" s="1"/>
  <c r="U612" i="1"/>
  <c r="W612" i="1" s="1"/>
  <c r="U706" i="1"/>
  <c r="W706" i="1" s="1"/>
  <c r="U666" i="1"/>
  <c r="W666" i="1" s="1"/>
  <c r="U692" i="1"/>
  <c r="W692" i="1" s="1"/>
  <c r="U659" i="1"/>
  <c r="W659" i="1" s="1"/>
  <c r="U699" i="1"/>
  <c r="W699" i="1" s="1"/>
  <c r="U635" i="1"/>
  <c r="W635" i="1" s="1"/>
  <c r="AQ617" i="1"/>
  <c r="AL617" i="1" s="1"/>
  <c r="AR617" i="1"/>
  <c r="AM617" i="1" s="1"/>
  <c r="AS617" i="1"/>
  <c r="AN617" i="1" s="1"/>
  <c r="AT617" i="1"/>
  <c r="AO617" i="1" s="1"/>
  <c r="AQ696" i="1"/>
  <c r="AL696" i="1" s="1"/>
  <c r="AR696" i="1"/>
  <c r="AM696" i="1" s="1"/>
  <c r="AS696" i="1"/>
  <c r="AN696" i="1" s="1"/>
  <c r="AT696" i="1"/>
  <c r="AO696" i="1" s="1"/>
  <c r="AQ680" i="1"/>
  <c r="AL680" i="1" s="1"/>
  <c r="AR680" i="1"/>
  <c r="AM680" i="1" s="1"/>
  <c r="AS680" i="1"/>
  <c r="AN680" i="1" s="1"/>
  <c r="AT680" i="1"/>
  <c r="AO680" i="1" s="1"/>
  <c r="AQ664" i="1"/>
  <c r="AL664" i="1" s="1"/>
  <c r="AR664" i="1"/>
  <c r="AM664" i="1" s="1"/>
  <c r="AS664" i="1"/>
  <c r="AN664" i="1" s="1"/>
  <c r="AT664" i="1"/>
  <c r="AO664" i="1" s="1"/>
  <c r="AQ648" i="1"/>
  <c r="AL648" i="1" s="1"/>
  <c r="AR648" i="1"/>
  <c r="AM648" i="1" s="1"/>
  <c r="AS648" i="1"/>
  <c r="AN648" i="1" s="1"/>
  <c r="AT648" i="1"/>
  <c r="AO648" i="1" s="1"/>
  <c r="AQ632" i="1"/>
  <c r="AL632" i="1" s="1"/>
  <c r="AR632" i="1"/>
  <c r="AM632" i="1" s="1"/>
  <c r="AS632" i="1"/>
  <c r="AN632" i="1" s="1"/>
  <c r="AT632" i="1"/>
  <c r="AO632" i="1" s="1"/>
  <c r="AQ616" i="1"/>
  <c r="AL616" i="1" s="1"/>
  <c r="AR616" i="1"/>
  <c r="AM616" i="1" s="1"/>
  <c r="AS616" i="1"/>
  <c r="AN616" i="1" s="1"/>
  <c r="AT616" i="1"/>
  <c r="AO616" i="1" s="1"/>
  <c r="AQ600" i="1"/>
  <c r="AL600" i="1" s="1"/>
  <c r="AR600" i="1"/>
  <c r="AM600" i="1" s="1"/>
  <c r="AS600" i="1"/>
  <c r="AN600" i="1" s="1"/>
  <c r="AT600" i="1"/>
  <c r="AO600" i="1" s="1"/>
  <c r="U606" i="1"/>
  <c r="W606" i="1" s="1"/>
  <c r="AQ697" i="1"/>
  <c r="AL697" i="1" s="1"/>
  <c r="AR697" i="1"/>
  <c r="AM697" i="1" s="1"/>
  <c r="AS697" i="1"/>
  <c r="AN697" i="1" s="1"/>
  <c r="AT697" i="1"/>
  <c r="AO697" i="1" s="1"/>
  <c r="AQ695" i="1"/>
  <c r="AL695" i="1" s="1"/>
  <c r="AR695" i="1"/>
  <c r="AM695" i="1" s="1"/>
  <c r="AS695" i="1"/>
  <c r="AN695" i="1" s="1"/>
  <c r="AT695" i="1"/>
  <c r="AO695" i="1" s="1"/>
  <c r="AQ679" i="1"/>
  <c r="AL679" i="1" s="1"/>
  <c r="AS679" i="1"/>
  <c r="AN679" i="1" s="1"/>
  <c r="AR679" i="1"/>
  <c r="AM679" i="1" s="1"/>
  <c r="AT679" i="1"/>
  <c r="AO679" i="1" s="1"/>
  <c r="AQ663" i="1"/>
  <c r="AL663" i="1" s="1"/>
  <c r="AS663" i="1"/>
  <c r="AN663" i="1" s="1"/>
  <c r="AR663" i="1"/>
  <c r="AM663" i="1" s="1"/>
  <c r="AT663" i="1"/>
  <c r="AO663" i="1" s="1"/>
  <c r="AS647" i="1"/>
  <c r="AN647" i="1" s="1"/>
  <c r="AQ647" i="1"/>
  <c r="AL647" i="1" s="1"/>
  <c r="AR647" i="1"/>
  <c r="AM647" i="1" s="1"/>
  <c r="AT647" i="1"/>
  <c r="AO647" i="1" s="1"/>
  <c r="AQ631" i="1"/>
  <c r="AL631" i="1" s="1"/>
  <c r="AS631" i="1"/>
  <c r="AN631" i="1" s="1"/>
  <c r="AR631" i="1"/>
  <c r="AM631" i="1" s="1"/>
  <c r="AT631" i="1"/>
  <c r="AO631" i="1" s="1"/>
  <c r="AQ615" i="1"/>
  <c r="AL615" i="1" s="1"/>
  <c r="AS615" i="1"/>
  <c r="AN615" i="1" s="1"/>
  <c r="AR615" i="1"/>
  <c r="AM615" i="1" s="1"/>
  <c r="AT615" i="1"/>
  <c r="AO615" i="1" s="1"/>
  <c r="AQ599" i="1"/>
  <c r="AL599" i="1" s="1"/>
  <c r="AR599" i="1"/>
  <c r="AM599" i="1" s="1"/>
  <c r="AS599" i="1"/>
  <c r="AN599" i="1" s="1"/>
  <c r="AT599" i="1"/>
  <c r="AO599" i="1" s="1"/>
  <c r="AQ633" i="1"/>
  <c r="AL633" i="1" s="1"/>
  <c r="AR633" i="1"/>
  <c r="AM633" i="1" s="1"/>
  <c r="AS633" i="1"/>
  <c r="AN633" i="1" s="1"/>
  <c r="AT633" i="1"/>
  <c r="AO633" i="1" s="1"/>
  <c r="AQ694" i="1"/>
  <c r="AL694" i="1" s="1"/>
  <c r="AR694" i="1"/>
  <c r="AM694" i="1" s="1"/>
  <c r="AS694" i="1"/>
  <c r="AN694" i="1" s="1"/>
  <c r="AT694" i="1"/>
  <c r="AO694" i="1" s="1"/>
  <c r="AQ678" i="1"/>
  <c r="AL678" i="1" s="1"/>
  <c r="AR678" i="1"/>
  <c r="AM678" i="1" s="1"/>
  <c r="AS678" i="1"/>
  <c r="AN678" i="1" s="1"/>
  <c r="AT678" i="1"/>
  <c r="AO678" i="1" s="1"/>
  <c r="AQ662" i="1"/>
  <c r="AL662" i="1" s="1"/>
  <c r="AR662" i="1"/>
  <c r="AM662" i="1" s="1"/>
  <c r="AS662" i="1"/>
  <c r="AN662" i="1" s="1"/>
  <c r="AT662" i="1"/>
  <c r="AO662" i="1" s="1"/>
  <c r="AQ646" i="1"/>
  <c r="AL646" i="1" s="1"/>
  <c r="AR646" i="1"/>
  <c r="AM646" i="1" s="1"/>
  <c r="AS646" i="1"/>
  <c r="AN646" i="1" s="1"/>
  <c r="AT646" i="1"/>
  <c r="AO646" i="1" s="1"/>
  <c r="AQ630" i="1"/>
  <c r="AL630" i="1" s="1"/>
  <c r="AR630" i="1"/>
  <c r="AM630" i="1" s="1"/>
  <c r="AS630" i="1"/>
  <c r="AN630" i="1" s="1"/>
  <c r="AT630" i="1"/>
  <c r="AO630" i="1" s="1"/>
  <c r="AQ614" i="1"/>
  <c r="AL614" i="1" s="1"/>
  <c r="AR614" i="1"/>
  <c r="AM614" i="1" s="1"/>
  <c r="AS614" i="1"/>
  <c r="AN614" i="1" s="1"/>
  <c r="AT614" i="1"/>
  <c r="AO614" i="1" s="1"/>
  <c r="AQ598" i="1"/>
  <c r="AL598" i="1" s="1"/>
  <c r="AR598" i="1"/>
  <c r="AM598" i="1" s="1"/>
  <c r="AS598" i="1"/>
  <c r="AN598" i="1" s="1"/>
  <c r="AT598" i="1"/>
  <c r="AO598" i="1" s="1"/>
  <c r="U700" i="1"/>
  <c r="W700" i="1" s="1"/>
  <c r="U668" i="1"/>
  <c r="W668" i="1" s="1"/>
  <c r="U636" i="1"/>
  <c r="W636" i="1" s="1"/>
  <c r="U620" i="1"/>
  <c r="W620" i="1" s="1"/>
  <c r="AQ665" i="1"/>
  <c r="AL665" i="1" s="1"/>
  <c r="AR665" i="1"/>
  <c r="AM665" i="1" s="1"/>
  <c r="AS665" i="1"/>
  <c r="AN665" i="1" s="1"/>
  <c r="AT665" i="1"/>
  <c r="AO665" i="1" s="1"/>
  <c r="AQ693" i="1"/>
  <c r="AL693" i="1" s="1"/>
  <c r="AR693" i="1"/>
  <c r="AM693" i="1" s="1"/>
  <c r="AS693" i="1"/>
  <c r="AN693" i="1" s="1"/>
  <c r="AT693" i="1"/>
  <c r="AO693" i="1" s="1"/>
  <c r="AQ677" i="1"/>
  <c r="AL677" i="1" s="1"/>
  <c r="AR677" i="1"/>
  <c r="AM677" i="1" s="1"/>
  <c r="AS677" i="1"/>
  <c r="AN677" i="1" s="1"/>
  <c r="AT677" i="1"/>
  <c r="AO677" i="1" s="1"/>
  <c r="AQ661" i="1"/>
  <c r="AL661" i="1" s="1"/>
  <c r="AR661" i="1"/>
  <c r="AM661" i="1" s="1"/>
  <c r="AS661" i="1"/>
  <c r="AN661" i="1" s="1"/>
  <c r="AT661" i="1"/>
  <c r="AO661" i="1" s="1"/>
  <c r="AQ645" i="1"/>
  <c r="AL645" i="1" s="1"/>
  <c r="AR645" i="1"/>
  <c r="AM645" i="1" s="1"/>
  <c r="AS645" i="1"/>
  <c r="AN645" i="1" s="1"/>
  <c r="AT645" i="1"/>
  <c r="AO645" i="1" s="1"/>
  <c r="AQ629" i="1"/>
  <c r="AL629" i="1" s="1"/>
  <c r="AR629" i="1"/>
  <c r="AM629" i="1" s="1"/>
  <c r="AS629" i="1"/>
  <c r="AN629" i="1" s="1"/>
  <c r="AT629" i="1"/>
  <c r="AO629" i="1" s="1"/>
  <c r="AQ613" i="1"/>
  <c r="AL613" i="1" s="1"/>
  <c r="AR613" i="1"/>
  <c r="AM613" i="1" s="1"/>
  <c r="AS613" i="1"/>
  <c r="AN613" i="1" s="1"/>
  <c r="AT613" i="1"/>
  <c r="AO613" i="1" s="1"/>
  <c r="AQ597" i="1"/>
  <c r="AL597" i="1" s="1"/>
  <c r="AR597" i="1"/>
  <c r="AM597" i="1" s="1"/>
  <c r="AS597" i="1"/>
  <c r="AN597" i="1" s="1"/>
  <c r="AT597" i="1"/>
  <c r="AO597" i="1" s="1"/>
  <c r="U667" i="1"/>
  <c r="W667" i="1" s="1"/>
  <c r="U619" i="1"/>
  <c r="W619" i="1" s="1"/>
  <c r="AQ649" i="1"/>
  <c r="AL649" i="1" s="1"/>
  <c r="AR649" i="1"/>
  <c r="AM649" i="1" s="1"/>
  <c r="AS649" i="1"/>
  <c r="AN649" i="1" s="1"/>
  <c r="AT649" i="1"/>
  <c r="AO649" i="1" s="1"/>
  <c r="AQ601" i="1"/>
  <c r="AL601" i="1" s="1"/>
  <c r="AR601" i="1"/>
  <c r="AM601" i="1" s="1"/>
  <c r="AS601" i="1"/>
  <c r="AN601" i="1" s="1"/>
  <c r="AT601" i="1"/>
  <c r="AO601" i="1" s="1"/>
  <c r="AQ708" i="1"/>
  <c r="AL708" i="1" s="1"/>
  <c r="AR708" i="1"/>
  <c r="AM708" i="1" s="1"/>
  <c r="AT708" i="1"/>
  <c r="AO708" i="1" s="1"/>
  <c r="AS708" i="1"/>
  <c r="AN708" i="1" s="1"/>
  <c r="AQ692" i="1"/>
  <c r="AL692" i="1" s="1"/>
  <c r="AR692" i="1"/>
  <c r="AM692" i="1" s="1"/>
  <c r="AS692" i="1"/>
  <c r="AN692" i="1" s="1"/>
  <c r="AT692" i="1"/>
  <c r="AO692" i="1" s="1"/>
  <c r="AQ676" i="1"/>
  <c r="AL676" i="1" s="1"/>
  <c r="AR676" i="1"/>
  <c r="AM676" i="1" s="1"/>
  <c r="AT676" i="1"/>
  <c r="AO676" i="1" s="1"/>
  <c r="AS676" i="1"/>
  <c r="AN676" i="1" s="1"/>
  <c r="AQ660" i="1"/>
  <c r="AL660" i="1" s="1"/>
  <c r="AT660" i="1"/>
  <c r="AO660" i="1" s="1"/>
  <c r="AR660" i="1"/>
  <c r="AM660" i="1" s="1"/>
  <c r="AS660" i="1"/>
  <c r="AN660" i="1" s="1"/>
  <c r="AQ644" i="1"/>
  <c r="AL644" i="1" s="1"/>
  <c r="AR644" i="1"/>
  <c r="AM644" i="1" s="1"/>
  <c r="AS644" i="1"/>
  <c r="AN644" i="1" s="1"/>
  <c r="AT644" i="1"/>
  <c r="AO644" i="1" s="1"/>
  <c r="AQ628" i="1"/>
  <c r="AL628" i="1" s="1"/>
  <c r="AR628" i="1"/>
  <c r="AM628" i="1" s="1"/>
  <c r="AT628" i="1"/>
  <c r="AO628" i="1" s="1"/>
  <c r="AS628" i="1"/>
  <c r="AN628" i="1" s="1"/>
  <c r="AQ612" i="1"/>
  <c r="AL612" i="1" s="1"/>
  <c r="AR612" i="1"/>
  <c r="AM612" i="1" s="1"/>
  <c r="AT612" i="1"/>
  <c r="AO612" i="1" s="1"/>
  <c r="AS612" i="1"/>
  <c r="AN612" i="1" s="1"/>
  <c r="AQ596" i="1"/>
  <c r="AL596" i="1" s="1"/>
  <c r="AR596" i="1"/>
  <c r="AM596" i="1" s="1"/>
  <c r="AT596" i="1"/>
  <c r="AO596" i="1" s="1"/>
  <c r="AS596" i="1"/>
  <c r="AN596" i="1" s="1"/>
  <c r="AR707" i="1"/>
  <c r="AM707" i="1" s="1"/>
  <c r="AS707" i="1"/>
  <c r="AN707" i="1" s="1"/>
  <c r="AT707" i="1"/>
  <c r="AO707" i="1" s="1"/>
  <c r="AQ707" i="1"/>
  <c r="AL707" i="1" s="1"/>
  <c r="AR691" i="1"/>
  <c r="AM691" i="1" s="1"/>
  <c r="AS691" i="1"/>
  <c r="AN691" i="1" s="1"/>
  <c r="AT691" i="1"/>
  <c r="AO691" i="1" s="1"/>
  <c r="AQ691" i="1"/>
  <c r="AL691" i="1" s="1"/>
  <c r="AR675" i="1"/>
  <c r="AM675" i="1" s="1"/>
  <c r="AS675" i="1"/>
  <c r="AN675" i="1" s="1"/>
  <c r="AT675" i="1"/>
  <c r="AO675" i="1" s="1"/>
  <c r="AQ675" i="1"/>
  <c r="AL675" i="1" s="1"/>
  <c r="AR659" i="1"/>
  <c r="AM659" i="1" s="1"/>
  <c r="AS659" i="1"/>
  <c r="AN659" i="1" s="1"/>
  <c r="AT659" i="1"/>
  <c r="AO659" i="1" s="1"/>
  <c r="AQ659" i="1"/>
  <c r="AL659" i="1" s="1"/>
  <c r="AR643" i="1"/>
  <c r="AM643" i="1" s="1"/>
  <c r="AS643" i="1"/>
  <c r="AN643" i="1" s="1"/>
  <c r="AT643" i="1"/>
  <c r="AO643" i="1" s="1"/>
  <c r="AQ643" i="1"/>
  <c r="AL643" i="1" s="1"/>
  <c r="AR627" i="1"/>
  <c r="AM627" i="1" s="1"/>
  <c r="AS627" i="1"/>
  <c r="AN627" i="1" s="1"/>
  <c r="AT627" i="1"/>
  <c r="AO627" i="1" s="1"/>
  <c r="AQ627" i="1"/>
  <c r="AL627" i="1" s="1"/>
  <c r="AR611" i="1"/>
  <c r="AM611" i="1" s="1"/>
  <c r="AS611" i="1"/>
  <c r="AN611" i="1" s="1"/>
  <c r="AT611" i="1"/>
  <c r="AO611" i="1" s="1"/>
  <c r="AQ611" i="1"/>
  <c r="AL611" i="1" s="1"/>
  <c r="AR706" i="1"/>
  <c r="AM706" i="1" s="1"/>
  <c r="AS706" i="1"/>
  <c r="AN706" i="1" s="1"/>
  <c r="AT706" i="1"/>
  <c r="AO706" i="1" s="1"/>
  <c r="AQ706" i="1"/>
  <c r="AL706" i="1" s="1"/>
  <c r="AR690" i="1"/>
  <c r="AM690" i="1" s="1"/>
  <c r="AS690" i="1"/>
  <c r="AN690" i="1" s="1"/>
  <c r="AT690" i="1"/>
  <c r="AO690" i="1" s="1"/>
  <c r="AQ690" i="1"/>
  <c r="AL690" i="1" s="1"/>
  <c r="AR674" i="1"/>
  <c r="AM674" i="1" s="1"/>
  <c r="AS674" i="1"/>
  <c r="AN674" i="1" s="1"/>
  <c r="AT674" i="1"/>
  <c r="AO674" i="1" s="1"/>
  <c r="AQ674" i="1"/>
  <c r="AL674" i="1" s="1"/>
  <c r="AR658" i="1"/>
  <c r="AM658" i="1" s="1"/>
  <c r="AS658" i="1"/>
  <c r="AN658" i="1" s="1"/>
  <c r="AT658" i="1"/>
  <c r="AO658" i="1" s="1"/>
  <c r="AQ658" i="1"/>
  <c r="AL658" i="1" s="1"/>
  <c r="AR642" i="1"/>
  <c r="AM642" i="1" s="1"/>
  <c r="AS642" i="1"/>
  <c r="AN642" i="1" s="1"/>
  <c r="AT642" i="1"/>
  <c r="AO642" i="1" s="1"/>
  <c r="AQ642" i="1"/>
  <c r="AL642" i="1" s="1"/>
  <c r="AR626" i="1"/>
  <c r="AM626" i="1" s="1"/>
  <c r="AS626" i="1"/>
  <c r="AN626" i="1" s="1"/>
  <c r="AT626" i="1"/>
  <c r="AO626" i="1" s="1"/>
  <c r="AQ626" i="1"/>
  <c r="AL626" i="1" s="1"/>
  <c r="AR610" i="1"/>
  <c r="AM610" i="1" s="1"/>
  <c r="AS610" i="1"/>
  <c r="AN610" i="1" s="1"/>
  <c r="AT610" i="1"/>
  <c r="AO610" i="1" s="1"/>
  <c r="AQ610" i="1"/>
  <c r="AL610" i="1" s="1"/>
  <c r="U653" i="1"/>
  <c r="W653" i="1" s="1"/>
  <c r="AR705" i="1"/>
  <c r="AM705" i="1" s="1"/>
  <c r="AS705" i="1"/>
  <c r="AN705" i="1" s="1"/>
  <c r="AT705" i="1"/>
  <c r="AO705" i="1" s="1"/>
  <c r="AQ705" i="1"/>
  <c r="AL705" i="1" s="1"/>
  <c r="AR689" i="1"/>
  <c r="AM689" i="1" s="1"/>
  <c r="AS689" i="1"/>
  <c r="AN689" i="1" s="1"/>
  <c r="AT689" i="1"/>
  <c r="AO689" i="1" s="1"/>
  <c r="AQ689" i="1"/>
  <c r="AL689" i="1" s="1"/>
  <c r="AR673" i="1"/>
  <c r="AM673" i="1" s="1"/>
  <c r="AS673" i="1"/>
  <c r="AN673" i="1" s="1"/>
  <c r="AT673" i="1"/>
  <c r="AO673" i="1" s="1"/>
  <c r="AQ673" i="1"/>
  <c r="AL673" i="1" s="1"/>
  <c r="AR657" i="1"/>
  <c r="AM657" i="1" s="1"/>
  <c r="AS657" i="1"/>
  <c r="AN657" i="1" s="1"/>
  <c r="AT657" i="1"/>
  <c r="AO657" i="1" s="1"/>
  <c r="AQ657" i="1"/>
  <c r="AL657" i="1" s="1"/>
  <c r="AR641" i="1"/>
  <c r="AM641" i="1" s="1"/>
  <c r="AS641" i="1"/>
  <c r="AN641" i="1" s="1"/>
  <c r="AT641" i="1"/>
  <c r="AO641" i="1" s="1"/>
  <c r="AQ641" i="1"/>
  <c r="AL641" i="1" s="1"/>
  <c r="AR625" i="1"/>
  <c r="AM625" i="1" s="1"/>
  <c r="AS625" i="1"/>
  <c r="AN625" i="1" s="1"/>
  <c r="AT625" i="1"/>
  <c r="AO625" i="1" s="1"/>
  <c r="AQ625" i="1"/>
  <c r="AL625" i="1" s="1"/>
  <c r="AR609" i="1"/>
  <c r="AM609" i="1" s="1"/>
  <c r="AS609" i="1"/>
  <c r="AN609" i="1" s="1"/>
  <c r="AT609" i="1"/>
  <c r="AO609" i="1" s="1"/>
  <c r="AQ609" i="1"/>
  <c r="AL609" i="1" s="1"/>
  <c r="U617" i="1"/>
  <c r="W617" i="1" s="1"/>
  <c r="AS704" i="1"/>
  <c r="AN704" i="1" s="1"/>
  <c r="AT704" i="1"/>
  <c r="AO704" i="1" s="1"/>
  <c r="AR704" i="1"/>
  <c r="AM704" i="1" s="1"/>
  <c r="AQ704" i="1"/>
  <c r="AL704" i="1" s="1"/>
  <c r="AS688" i="1"/>
  <c r="AN688" i="1" s="1"/>
  <c r="AT688" i="1"/>
  <c r="AO688" i="1" s="1"/>
  <c r="AQ688" i="1"/>
  <c r="AL688" i="1" s="1"/>
  <c r="AR688" i="1"/>
  <c r="AM688" i="1" s="1"/>
  <c r="AS672" i="1"/>
  <c r="AN672" i="1" s="1"/>
  <c r="AT672" i="1"/>
  <c r="AO672" i="1" s="1"/>
  <c r="AR672" i="1"/>
  <c r="AM672" i="1" s="1"/>
  <c r="AQ672" i="1"/>
  <c r="AL672" i="1" s="1"/>
  <c r="AS656" i="1"/>
  <c r="AN656" i="1" s="1"/>
  <c r="AT656" i="1"/>
  <c r="AO656" i="1" s="1"/>
  <c r="AR656" i="1"/>
  <c r="AM656" i="1" s="1"/>
  <c r="AQ656" i="1"/>
  <c r="AL656" i="1" s="1"/>
  <c r="AS640" i="1"/>
  <c r="AN640" i="1" s="1"/>
  <c r="AT640" i="1"/>
  <c r="AO640" i="1" s="1"/>
  <c r="AQ640" i="1"/>
  <c r="AL640" i="1" s="1"/>
  <c r="AR640" i="1"/>
  <c r="AM640" i="1" s="1"/>
  <c r="AS624" i="1"/>
  <c r="AN624" i="1" s="1"/>
  <c r="AT624" i="1"/>
  <c r="AO624" i="1" s="1"/>
  <c r="AR624" i="1"/>
  <c r="AM624" i="1" s="1"/>
  <c r="AQ624" i="1"/>
  <c r="AL624" i="1" s="1"/>
  <c r="AS608" i="1"/>
  <c r="AN608" i="1" s="1"/>
  <c r="AT608" i="1"/>
  <c r="AO608" i="1" s="1"/>
  <c r="AR608" i="1"/>
  <c r="AM608" i="1" s="1"/>
  <c r="AQ608" i="1"/>
  <c r="AL608" i="1" s="1"/>
  <c r="AS703" i="1"/>
  <c r="AN703" i="1" s="1"/>
  <c r="AT703" i="1"/>
  <c r="AO703" i="1" s="1"/>
  <c r="AQ703" i="1"/>
  <c r="AL703" i="1" s="1"/>
  <c r="AR703" i="1"/>
  <c r="AM703" i="1" s="1"/>
  <c r="AS687" i="1"/>
  <c r="AN687" i="1" s="1"/>
  <c r="AT687" i="1"/>
  <c r="AO687" i="1" s="1"/>
  <c r="AQ687" i="1"/>
  <c r="AL687" i="1" s="1"/>
  <c r="AR687" i="1"/>
  <c r="AM687" i="1" s="1"/>
  <c r="AS671" i="1"/>
  <c r="AN671" i="1" s="1"/>
  <c r="AT671" i="1"/>
  <c r="AO671" i="1" s="1"/>
  <c r="AQ671" i="1"/>
  <c r="AL671" i="1" s="1"/>
  <c r="AR671" i="1"/>
  <c r="AM671" i="1" s="1"/>
  <c r="AS655" i="1"/>
  <c r="AN655" i="1" s="1"/>
  <c r="AT655" i="1"/>
  <c r="AO655" i="1" s="1"/>
  <c r="AQ655" i="1"/>
  <c r="AL655" i="1" s="1"/>
  <c r="AR655" i="1"/>
  <c r="AM655" i="1" s="1"/>
  <c r="AS639" i="1"/>
  <c r="AN639" i="1" s="1"/>
  <c r="AT639" i="1"/>
  <c r="AO639" i="1" s="1"/>
  <c r="AQ639" i="1"/>
  <c r="AL639" i="1" s="1"/>
  <c r="AR639" i="1"/>
  <c r="AM639" i="1" s="1"/>
  <c r="AS623" i="1"/>
  <c r="AN623" i="1" s="1"/>
  <c r="AT623" i="1"/>
  <c r="AO623" i="1" s="1"/>
  <c r="AQ623" i="1"/>
  <c r="AL623" i="1" s="1"/>
  <c r="AR623" i="1"/>
  <c r="AM623" i="1" s="1"/>
  <c r="AS607" i="1"/>
  <c r="AN607" i="1" s="1"/>
  <c r="AT607" i="1"/>
  <c r="AO607" i="1" s="1"/>
  <c r="AQ607" i="1"/>
  <c r="AL607" i="1" s="1"/>
  <c r="AR607" i="1"/>
  <c r="AM607" i="1" s="1"/>
  <c r="AS702" i="1"/>
  <c r="AN702" i="1" s="1"/>
  <c r="AT702" i="1"/>
  <c r="AO702" i="1" s="1"/>
  <c r="AQ702" i="1"/>
  <c r="AL702" i="1" s="1"/>
  <c r="AR702" i="1"/>
  <c r="AM702" i="1" s="1"/>
  <c r="AS686" i="1"/>
  <c r="AN686" i="1" s="1"/>
  <c r="AT686" i="1"/>
  <c r="AO686" i="1" s="1"/>
  <c r="AQ686" i="1"/>
  <c r="AL686" i="1" s="1"/>
  <c r="AR686" i="1"/>
  <c r="AM686" i="1" s="1"/>
  <c r="AS670" i="1"/>
  <c r="AN670" i="1" s="1"/>
  <c r="AT670" i="1"/>
  <c r="AO670" i="1" s="1"/>
  <c r="AQ670" i="1"/>
  <c r="AL670" i="1" s="1"/>
  <c r="AR670" i="1"/>
  <c r="AM670" i="1" s="1"/>
  <c r="AS654" i="1"/>
  <c r="AN654" i="1" s="1"/>
  <c r="AT654" i="1"/>
  <c r="AO654" i="1" s="1"/>
  <c r="AQ654" i="1"/>
  <c r="AL654" i="1" s="1"/>
  <c r="AR654" i="1"/>
  <c r="AM654" i="1" s="1"/>
  <c r="AS638" i="1"/>
  <c r="AN638" i="1" s="1"/>
  <c r="AT638" i="1"/>
  <c r="AO638" i="1" s="1"/>
  <c r="AQ638" i="1"/>
  <c r="AL638" i="1" s="1"/>
  <c r="AR638" i="1"/>
  <c r="AM638" i="1" s="1"/>
  <c r="AS622" i="1"/>
  <c r="AN622" i="1" s="1"/>
  <c r="AT622" i="1"/>
  <c r="AO622" i="1" s="1"/>
  <c r="AQ622" i="1"/>
  <c r="AL622" i="1" s="1"/>
  <c r="AR622" i="1"/>
  <c r="AM622" i="1" s="1"/>
  <c r="AS606" i="1"/>
  <c r="AN606" i="1" s="1"/>
  <c r="AT606" i="1"/>
  <c r="AO606" i="1" s="1"/>
  <c r="AQ606" i="1"/>
  <c r="AL606" i="1" s="1"/>
  <c r="AR606" i="1"/>
  <c r="AM606" i="1" s="1"/>
  <c r="AT701" i="1"/>
  <c r="AO701" i="1" s="1"/>
  <c r="AQ701" i="1"/>
  <c r="AL701" i="1" s="1"/>
  <c r="AS701" i="1"/>
  <c r="AN701" i="1" s="1"/>
  <c r="AR701" i="1"/>
  <c r="AM701" i="1" s="1"/>
  <c r="AT685" i="1"/>
  <c r="AO685" i="1" s="1"/>
  <c r="AQ685" i="1"/>
  <c r="AL685" i="1" s="1"/>
  <c r="AR685" i="1"/>
  <c r="AM685" i="1" s="1"/>
  <c r="AS685" i="1"/>
  <c r="AN685" i="1" s="1"/>
  <c r="AT669" i="1"/>
  <c r="AO669" i="1" s="1"/>
  <c r="AQ669" i="1"/>
  <c r="AL669" i="1" s="1"/>
  <c r="AS669" i="1"/>
  <c r="AN669" i="1" s="1"/>
  <c r="AR669" i="1"/>
  <c r="AM669" i="1" s="1"/>
  <c r="AT653" i="1"/>
  <c r="AO653" i="1" s="1"/>
  <c r="AQ653" i="1"/>
  <c r="AL653" i="1" s="1"/>
  <c r="AS653" i="1"/>
  <c r="AN653" i="1" s="1"/>
  <c r="AR653" i="1"/>
  <c r="AM653" i="1" s="1"/>
  <c r="AT637" i="1"/>
  <c r="AO637" i="1" s="1"/>
  <c r="AQ637" i="1"/>
  <c r="AL637" i="1" s="1"/>
  <c r="AR637" i="1"/>
  <c r="AM637" i="1" s="1"/>
  <c r="AS637" i="1"/>
  <c r="AN637" i="1" s="1"/>
  <c r="AT621" i="1"/>
  <c r="AO621" i="1" s="1"/>
  <c r="AQ621" i="1"/>
  <c r="AL621" i="1" s="1"/>
  <c r="AS621" i="1"/>
  <c r="AN621" i="1" s="1"/>
  <c r="AR621" i="1"/>
  <c r="AM621" i="1" s="1"/>
  <c r="AT605" i="1"/>
  <c r="AO605" i="1" s="1"/>
  <c r="AQ605" i="1"/>
  <c r="AL605" i="1" s="1"/>
  <c r="AS605" i="1"/>
  <c r="AN605" i="1" s="1"/>
  <c r="AR605" i="1"/>
  <c r="AM605" i="1" s="1"/>
  <c r="U613" i="1"/>
  <c r="W613" i="1" s="1"/>
  <c r="U707" i="1"/>
  <c r="W707" i="1" s="1"/>
  <c r="U611" i="1"/>
  <c r="W611" i="1" s="1"/>
  <c r="AQ681" i="1"/>
  <c r="AL681" i="1" s="1"/>
  <c r="AR681" i="1"/>
  <c r="AM681" i="1" s="1"/>
  <c r="AS681" i="1"/>
  <c r="AN681" i="1" s="1"/>
  <c r="AT681" i="1"/>
  <c r="AO681" i="1" s="1"/>
  <c r="AT700" i="1"/>
  <c r="AO700" i="1" s="1"/>
  <c r="AQ700" i="1"/>
  <c r="AL700" i="1" s="1"/>
  <c r="AR700" i="1"/>
  <c r="AM700" i="1" s="1"/>
  <c r="AS700" i="1"/>
  <c r="AN700" i="1" s="1"/>
  <c r="AT684" i="1"/>
  <c r="AO684" i="1" s="1"/>
  <c r="AQ684" i="1"/>
  <c r="AL684" i="1" s="1"/>
  <c r="AR684" i="1"/>
  <c r="AM684" i="1" s="1"/>
  <c r="AS684" i="1"/>
  <c r="AN684" i="1" s="1"/>
  <c r="AT668" i="1"/>
  <c r="AO668" i="1" s="1"/>
  <c r="AQ668" i="1"/>
  <c r="AL668" i="1" s="1"/>
  <c r="AR668" i="1"/>
  <c r="AM668" i="1" s="1"/>
  <c r="AS668" i="1"/>
  <c r="AN668" i="1" s="1"/>
  <c r="AT652" i="1"/>
  <c r="AO652" i="1" s="1"/>
  <c r="AQ652" i="1"/>
  <c r="AL652" i="1" s="1"/>
  <c r="AR652" i="1"/>
  <c r="AM652" i="1" s="1"/>
  <c r="AS652" i="1"/>
  <c r="AN652" i="1" s="1"/>
  <c r="AT636" i="1"/>
  <c r="AO636" i="1" s="1"/>
  <c r="AQ636" i="1"/>
  <c r="AL636" i="1" s="1"/>
  <c r="AR636" i="1"/>
  <c r="AM636" i="1" s="1"/>
  <c r="AS636" i="1"/>
  <c r="AN636" i="1" s="1"/>
  <c r="AT620" i="1"/>
  <c r="AO620" i="1" s="1"/>
  <c r="AQ620" i="1"/>
  <c r="AL620" i="1" s="1"/>
  <c r="AR620" i="1"/>
  <c r="AM620" i="1" s="1"/>
  <c r="AS620" i="1"/>
  <c r="AN620" i="1" s="1"/>
  <c r="AT604" i="1"/>
  <c r="AO604" i="1" s="1"/>
  <c r="AQ604" i="1"/>
  <c r="AL604" i="1" s="1"/>
  <c r="AR604" i="1"/>
  <c r="AM604" i="1" s="1"/>
  <c r="AS604" i="1"/>
  <c r="AN604" i="1" s="1"/>
  <c r="U610" i="1"/>
  <c r="W610" i="1" s="1"/>
  <c r="AT699" i="1"/>
  <c r="AO699" i="1" s="1"/>
  <c r="AQ699" i="1"/>
  <c r="AL699" i="1" s="1"/>
  <c r="AR699" i="1"/>
  <c r="AM699" i="1" s="1"/>
  <c r="AS699" i="1"/>
  <c r="AN699" i="1" s="1"/>
  <c r="AT683" i="1"/>
  <c r="AO683" i="1" s="1"/>
  <c r="AQ683" i="1"/>
  <c r="AL683" i="1" s="1"/>
  <c r="AR683" i="1"/>
  <c r="AM683" i="1" s="1"/>
  <c r="AS683" i="1"/>
  <c r="AN683" i="1" s="1"/>
  <c r="AT667" i="1"/>
  <c r="AO667" i="1" s="1"/>
  <c r="AQ667" i="1"/>
  <c r="AL667" i="1" s="1"/>
  <c r="AR667" i="1"/>
  <c r="AM667" i="1" s="1"/>
  <c r="AS667" i="1"/>
  <c r="AN667" i="1" s="1"/>
  <c r="AT651" i="1"/>
  <c r="AO651" i="1" s="1"/>
  <c r="AQ651" i="1"/>
  <c r="AL651" i="1" s="1"/>
  <c r="AR651" i="1"/>
  <c r="AM651" i="1" s="1"/>
  <c r="AS651" i="1"/>
  <c r="AN651" i="1" s="1"/>
  <c r="AT635" i="1"/>
  <c r="AO635" i="1" s="1"/>
  <c r="AQ635" i="1"/>
  <c r="AL635" i="1" s="1"/>
  <c r="AR635" i="1"/>
  <c r="AM635" i="1" s="1"/>
  <c r="AS635" i="1"/>
  <c r="AN635" i="1" s="1"/>
  <c r="AT619" i="1"/>
  <c r="AO619" i="1" s="1"/>
  <c r="AQ619" i="1"/>
  <c r="AL619" i="1" s="1"/>
  <c r="AR619" i="1"/>
  <c r="AM619" i="1" s="1"/>
  <c r="AS619" i="1"/>
  <c r="AN619" i="1" s="1"/>
  <c r="AT603" i="1"/>
  <c r="AO603" i="1" s="1"/>
  <c r="AQ603" i="1"/>
  <c r="AL603" i="1" s="1"/>
  <c r="AR603" i="1"/>
  <c r="AM603" i="1" s="1"/>
  <c r="AS603" i="1"/>
  <c r="AN603" i="1" s="1"/>
  <c r="U681" i="1"/>
  <c r="W681" i="1" s="1"/>
  <c r="U609" i="1"/>
  <c r="W609" i="1" s="1"/>
  <c r="AR698" i="1"/>
  <c r="AM698" i="1" s="1"/>
  <c r="AQ698" i="1"/>
  <c r="AL698" i="1" s="1"/>
  <c r="AT698" i="1"/>
  <c r="AO698" i="1" s="1"/>
  <c r="AS698" i="1"/>
  <c r="AN698" i="1" s="1"/>
  <c r="AR682" i="1"/>
  <c r="AM682" i="1" s="1"/>
  <c r="AQ682" i="1"/>
  <c r="AL682" i="1" s="1"/>
  <c r="AT682" i="1"/>
  <c r="AO682" i="1" s="1"/>
  <c r="AS682" i="1"/>
  <c r="AN682" i="1" s="1"/>
  <c r="AQ666" i="1"/>
  <c r="AL666" i="1" s="1"/>
  <c r="AR666" i="1"/>
  <c r="AM666" i="1" s="1"/>
  <c r="AS666" i="1"/>
  <c r="AN666" i="1" s="1"/>
  <c r="AT666" i="1"/>
  <c r="AO666" i="1" s="1"/>
  <c r="AR650" i="1"/>
  <c r="AM650" i="1" s="1"/>
  <c r="AQ650" i="1"/>
  <c r="AL650" i="1" s="1"/>
  <c r="AT650" i="1"/>
  <c r="AO650" i="1" s="1"/>
  <c r="AS650" i="1"/>
  <c r="AN650" i="1" s="1"/>
  <c r="AR634" i="1"/>
  <c r="AM634" i="1" s="1"/>
  <c r="AQ634" i="1"/>
  <c r="AL634" i="1" s="1"/>
  <c r="AT634" i="1"/>
  <c r="AO634" i="1" s="1"/>
  <c r="AS634" i="1"/>
  <c r="AN634" i="1" s="1"/>
  <c r="AR618" i="1"/>
  <c r="AM618" i="1" s="1"/>
  <c r="AQ618" i="1"/>
  <c r="AL618" i="1" s="1"/>
  <c r="AS618" i="1"/>
  <c r="AN618" i="1" s="1"/>
  <c r="AT618" i="1"/>
  <c r="AO618" i="1" s="1"/>
  <c r="AR602" i="1"/>
  <c r="AM602" i="1" s="1"/>
  <c r="AQ602" i="1"/>
  <c r="AL602" i="1" s="1"/>
  <c r="AT602" i="1"/>
  <c r="AO602" i="1" s="1"/>
  <c r="AS602" i="1"/>
  <c r="AN602" i="1" s="1"/>
  <c r="U608" i="1"/>
  <c r="W608" i="1" s="1"/>
  <c r="U421" i="1"/>
  <c r="W421" i="1" s="1"/>
  <c r="AQ420" i="1"/>
  <c r="AL420" i="1" s="1"/>
  <c r="AR420" i="1"/>
  <c r="AM420" i="1" s="1"/>
  <c r="AS420" i="1"/>
  <c r="AN420" i="1" s="1"/>
  <c r="AT420" i="1"/>
  <c r="AO420" i="1" s="1"/>
  <c r="AS394" i="1"/>
  <c r="AN394" i="1" s="1"/>
  <c r="AT394" i="1"/>
  <c r="AO394" i="1" s="1"/>
  <c r="AQ394" i="1"/>
  <c r="AL394" i="1" s="1"/>
  <c r="AR394" i="1"/>
  <c r="AM394" i="1" s="1"/>
  <c r="AQ368" i="1"/>
  <c r="AL368" i="1" s="1"/>
  <c r="AR368" i="1"/>
  <c r="AM368" i="1" s="1"/>
  <c r="AS368" i="1"/>
  <c r="AN368" i="1" s="1"/>
  <c r="AT368" i="1"/>
  <c r="AO368" i="1" s="1"/>
  <c r="AS346" i="1"/>
  <c r="AN346" i="1" s="1"/>
  <c r="AT346" i="1"/>
  <c r="AO346" i="1" s="1"/>
  <c r="AQ346" i="1"/>
  <c r="AL346" i="1" s="1"/>
  <c r="AR346" i="1"/>
  <c r="AM346" i="1" s="1"/>
  <c r="AT424" i="1"/>
  <c r="AO424" i="1" s="1"/>
  <c r="AQ424" i="1"/>
  <c r="AL424" i="1" s="1"/>
  <c r="AR424" i="1"/>
  <c r="AM424" i="1" s="1"/>
  <c r="AS424" i="1"/>
  <c r="AN424" i="1" s="1"/>
  <c r="AS395" i="1"/>
  <c r="AN395" i="1" s="1"/>
  <c r="AT395" i="1"/>
  <c r="AO395" i="1" s="1"/>
  <c r="AQ395" i="1"/>
  <c r="AL395" i="1" s="1"/>
  <c r="AR395" i="1"/>
  <c r="AM395" i="1" s="1"/>
  <c r="AQ419" i="1"/>
  <c r="AL419" i="1" s="1"/>
  <c r="AR419" i="1"/>
  <c r="AM419" i="1" s="1"/>
  <c r="AS419" i="1"/>
  <c r="AN419" i="1" s="1"/>
  <c r="AT419" i="1"/>
  <c r="AO419" i="1" s="1"/>
  <c r="AT393" i="1"/>
  <c r="AO393" i="1" s="1"/>
  <c r="AS393" i="1"/>
  <c r="AN393" i="1" s="1"/>
  <c r="AQ393" i="1"/>
  <c r="AL393" i="1" s="1"/>
  <c r="AR393" i="1"/>
  <c r="AM393" i="1" s="1"/>
  <c r="AQ367" i="1"/>
  <c r="AL367" i="1" s="1"/>
  <c r="AR367" i="1"/>
  <c r="AM367" i="1" s="1"/>
  <c r="AS367" i="1"/>
  <c r="AN367" i="1" s="1"/>
  <c r="AT367" i="1"/>
  <c r="AO367" i="1" s="1"/>
  <c r="AT345" i="1"/>
  <c r="AO345" i="1" s="1"/>
  <c r="AS345" i="1"/>
  <c r="AN345" i="1" s="1"/>
  <c r="AQ345" i="1"/>
  <c r="AL345" i="1" s="1"/>
  <c r="AR345" i="1"/>
  <c r="AM345" i="1" s="1"/>
  <c r="AR412" i="1"/>
  <c r="AM412" i="1" s="1"/>
  <c r="AS412" i="1"/>
  <c r="AN412" i="1" s="1"/>
  <c r="AT412" i="1"/>
  <c r="AO412" i="1" s="1"/>
  <c r="AQ412" i="1"/>
  <c r="AL412" i="1" s="1"/>
  <c r="AQ417" i="1"/>
  <c r="AL417" i="1" s="1"/>
  <c r="AR417" i="1"/>
  <c r="AM417" i="1" s="1"/>
  <c r="AS417" i="1"/>
  <c r="AN417" i="1" s="1"/>
  <c r="AT417" i="1"/>
  <c r="AO417" i="1" s="1"/>
  <c r="AQ389" i="1"/>
  <c r="AL389" i="1" s="1"/>
  <c r="AR389" i="1"/>
  <c r="AM389" i="1" s="1"/>
  <c r="AS389" i="1"/>
  <c r="AN389" i="1" s="1"/>
  <c r="AT389" i="1"/>
  <c r="AO389" i="1" s="1"/>
  <c r="AQ366" i="1"/>
  <c r="AL366" i="1" s="1"/>
  <c r="AR366" i="1"/>
  <c r="AM366" i="1" s="1"/>
  <c r="AS366" i="1"/>
  <c r="AN366" i="1" s="1"/>
  <c r="AT366" i="1"/>
  <c r="AO366" i="1" s="1"/>
  <c r="AT344" i="1"/>
  <c r="AO344" i="1" s="1"/>
  <c r="AQ344" i="1"/>
  <c r="AL344" i="1" s="1"/>
  <c r="AR344" i="1"/>
  <c r="AM344" i="1" s="1"/>
  <c r="AS344" i="1"/>
  <c r="AN344" i="1" s="1"/>
  <c r="AQ406" i="1"/>
  <c r="AL406" i="1" s="1"/>
  <c r="AR406" i="1"/>
  <c r="AM406" i="1" s="1"/>
  <c r="AS406" i="1"/>
  <c r="AN406" i="1" s="1"/>
  <c r="AT406" i="1"/>
  <c r="AO406" i="1" s="1"/>
  <c r="AT418" i="1"/>
  <c r="AO418" i="1" s="1"/>
  <c r="AQ416" i="1"/>
  <c r="AL416" i="1" s="1"/>
  <c r="AR416" i="1"/>
  <c r="AM416" i="1" s="1"/>
  <c r="AS416" i="1"/>
  <c r="AN416" i="1" s="1"/>
  <c r="AT416" i="1"/>
  <c r="AO416" i="1" s="1"/>
  <c r="AQ388" i="1"/>
  <c r="AL388" i="1" s="1"/>
  <c r="AR388" i="1"/>
  <c r="AM388" i="1" s="1"/>
  <c r="AS388" i="1"/>
  <c r="AN388" i="1" s="1"/>
  <c r="AT388" i="1"/>
  <c r="AO388" i="1" s="1"/>
  <c r="AR364" i="1"/>
  <c r="AM364" i="1" s="1"/>
  <c r="AS364" i="1"/>
  <c r="AN364" i="1" s="1"/>
  <c r="AT364" i="1"/>
  <c r="AO364" i="1" s="1"/>
  <c r="AQ364" i="1"/>
  <c r="AL364" i="1" s="1"/>
  <c r="AQ343" i="1"/>
  <c r="AL343" i="1" s="1"/>
  <c r="AR343" i="1"/>
  <c r="AM343" i="1" s="1"/>
  <c r="AS343" i="1"/>
  <c r="AN343" i="1" s="1"/>
  <c r="AT343" i="1"/>
  <c r="AO343" i="1" s="1"/>
  <c r="AQ352" i="1"/>
  <c r="AL352" i="1" s="1"/>
  <c r="AR352" i="1"/>
  <c r="AM352" i="1" s="1"/>
  <c r="AS352" i="1"/>
  <c r="AN352" i="1" s="1"/>
  <c r="AT352" i="1"/>
  <c r="AO352" i="1" s="1"/>
  <c r="AT371" i="1"/>
  <c r="AO371" i="1" s="1"/>
  <c r="AR413" i="1"/>
  <c r="AM413" i="1" s="1"/>
  <c r="AS413" i="1"/>
  <c r="AN413" i="1" s="1"/>
  <c r="AT413" i="1"/>
  <c r="AO413" i="1" s="1"/>
  <c r="AQ413" i="1"/>
  <c r="AL413" i="1" s="1"/>
  <c r="AQ421" i="1"/>
  <c r="AL421" i="1" s="1"/>
  <c r="AR421" i="1"/>
  <c r="AM421" i="1" s="1"/>
  <c r="AS421" i="1"/>
  <c r="AN421" i="1" s="1"/>
  <c r="AT421" i="1"/>
  <c r="AO421" i="1" s="1"/>
  <c r="AQ415" i="1"/>
  <c r="AL415" i="1" s="1"/>
  <c r="AR415" i="1"/>
  <c r="AM415" i="1" s="1"/>
  <c r="AS415" i="1"/>
  <c r="AN415" i="1" s="1"/>
  <c r="AT415" i="1"/>
  <c r="AO415" i="1" s="1"/>
  <c r="AQ385" i="1"/>
  <c r="AL385" i="1" s="1"/>
  <c r="AR385" i="1"/>
  <c r="AM385" i="1" s="1"/>
  <c r="AS385" i="1"/>
  <c r="AN385" i="1" s="1"/>
  <c r="AT385" i="1"/>
  <c r="AO385" i="1" s="1"/>
  <c r="AT361" i="1"/>
  <c r="AO361" i="1" s="1"/>
  <c r="AQ361" i="1"/>
  <c r="AL361" i="1" s="1"/>
  <c r="AS361" i="1"/>
  <c r="AN361" i="1" s="1"/>
  <c r="AR361" i="1"/>
  <c r="AM361" i="1" s="1"/>
  <c r="AQ342" i="1"/>
  <c r="AL342" i="1" s="1"/>
  <c r="AR342" i="1"/>
  <c r="AM342" i="1" s="1"/>
  <c r="AS342" i="1"/>
  <c r="AN342" i="1" s="1"/>
  <c r="AT342" i="1"/>
  <c r="AO342" i="1" s="1"/>
  <c r="AT407" i="1"/>
  <c r="AO407" i="1" s="1"/>
  <c r="AQ407" i="1"/>
  <c r="AL407" i="1" s="1"/>
  <c r="AR407" i="1"/>
  <c r="AM407" i="1" s="1"/>
  <c r="AS407" i="1"/>
  <c r="AN407" i="1" s="1"/>
  <c r="AQ351" i="1"/>
  <c r="AL351" i="1" s="1"/>
  <c r="AR351" i="1"/>
  <c r="AM351" i="1" s="1"/>
  <c r="AS351" i="1"/>
  <c r="AN351" i="1" s="1"/>
  <c r="AT351" i="1"/>
  <c r="AO351" i="1" s="1"/>
  <c r="AQ414" i="1"/>
  <c r="AL414" i="1" s="1"/>
  <c r="AQ384" i="1"/>
  <c r="AL384" i="1" s="1"/>
  <c r="AR384" i="1"/>
  <c r="AM384" i="1" s="1"/>
  <c r="AS384" i="1"/>
  <c r="AN384" i="1" s="1"/>
  <c r="AT384" i="1"/>
  <c r="AO384" i="1" s="1"/>
  <c r="AT360" i="1"/>
  <c r="AO360" i="1" s="1"/>
  <c r="AQ360" i="1"/>
  <c r="AL360" i="1" s="1"/>
  <c r="AR360" i="1"/>
  <c r="AM360" i="1" s="1"/>
  <c r="AS360" i="1"/>
  <c r="AN360" i="1" s="1"/>
  <c r="AQ341" i="1"/>
  <c r="AL341" i="1" s="1"/>
  <c r="AR341" i="1"/>
  <c r="AM341" i="1" s="1"/>
  <c r="AS341" i="1"/>
  <c r="AN341" i="1" s="1"/>
  <c r="AT341" i="1"/>
  <c r="AO341" i="1" s="1"/>
  <c r="AQ402" i="1"/>
  <c r="AL402" i="1" s="1"/>
  <c r="AR402" i="1"/>
  <c r="AM402" i="1" s="1"/>
  <c r="AS402" i="1"/>
  <c r="AN402" i="1" s="1"/>
  <c r="AT402" i="1"/>
  <c r="AO402" i="1" s="1"/>
  <c r="AS410" i="1"/>
  <c r="AN410" i="1" s="1"/>
  <c r="AT410" i="1"/>
  <c r="AO410" i="1" s="1"/>
  <c r="AQ410" i="1"/>
  <c r="AL410" i="1" s="1"/>
  <c r="AR410" i="1"/>
  <c r="AM410" i="1" s="1"/>
  <c r="AQ383" i="1"/>
  <c r="AL383" i="1" s="1"/>
  <c r="AR383" i="1"/>
  <c r="AM383" i="1" s="1"/>
  <c r="AS383" i="1"/>
  <c r="AN383" i="1" s="1"/>
  <c r="AT383" i="1"/>
  <c r="AO383" i="1" s="1"/>
  <c r="AT359" i="1"/>
  <c r="AO359" i="1" s="1"/>
  <c r="AQ359" i="1"/>
  <c r="AL359" i="1" s="1"/>
  <c r="AR359" i="1"/>
  <c r="AM359" i="1" s="1"/>
  <c r="AS359" i="1"/>
  <c r="AN359" i="1" s="1"/>
  <c r="AQ340" i="1"/>
  <c r="AL340" i="1" s="1"/>
  <c r="AR340" i="1"/>
  <c r="AM340" i="1" s="1"/>
  <c r="AS340" i="1"/>
  <c r="AN340" i="1" s="1"/>
  <c r="AT340" i="1"/>
  <c r="AO340" i="1" s="1"/>
  <c r="U409" i="1"/>
  <c r="W409" i="1" s="1"/>
  <c r="AT409" i="1"/>
  <c r="AO409" i="1" s="1"/>
  <c r="AQ409" i="1"/>
  <c r="AL409" i="1" s="1"/>
  <c r="AR409" i="1"/>
  <c r="AM409" i="1" s="1"/>
  <c r="AS409" i="1"/>
  <c r="AN409" i="1" s="1"/>
  <c r="AQ382" i="1"/>
  <c r="AL382" i="1" s="1"/>
  <c r="AR382" i="1"/>
  <c r="AM382" i="1" s="1"/>
  <c r="AS382" i="1"/>
  <c r="AN382" i="1" s="1"/>
  <c r="AT382" i="1"/>
  <c r="AO382" i="1" s="1"/>
  <c r="AQ358" i="1"/>
  <c r="AL358" i="1" s="1"/>
  <c r="AR358" i="1"/>
  <c r="AM358" i="1" s="1"/>
  <c r="AS358" i="1"/>
  <c r="AN358" i="1" s="1"/>
  <c r="AT358" i="1"/>
  <c r="AO358" i="1" s="1"/>
  <c r="AQ339" i="1"/>
  <c r="AL339" i="1" s="1"/>
  <c r="AR339" i="1"/>
  <c r="AM339" i="1" s="1"/>
  <c r="AS339" i="1"/>
  <c r="AN339" i="1" s="1"/>
  <c r="AT339" i="1"/>
  <c r="AO339" i="1" s="1"/>
  <c r="AQ390" i="1"/>
  <c r="AL390" i="1" s="1"/>
  <c r="AR390" i="1"/>
  <c r="AM390" i="1" s="1"/>
  <c r="AS390" i="1"/>
  <c r="AN390" i="1" s="1"/>
  <c r="AT390" i="1"/>
  <c r="AO390" i="1" s="1"/>
  <c r="AQ369" i="1"/>
  <c r="AL369" i="1" s="1"/>
  <c r="AR369" i="1"/>
  <c r="AM369" i="1" s="1"/>
  <c r="AS369" i="1"/>
  <c r="AN369" i="1" s="1"/>
  <c r="AT369" i="1"/>
  <c r="AO369" i="1" s="1"/>
  <c r="AT408" i="1"/>
  <c r="AO408" i="1" s="1"/>
  <c r="AQ408" i="1"/>
  <c r="AL408" i="1" s="1"/>
  <c r="AR408" i="1"/>
  <c r="AM408" i="1" s="1"/>
  <c r="AS408" i="1"/>
  <c r="AN408" i="1" s="1"/>
  <c r="AR381" i="1"/>
  <c r="AM381" i="1" s="1"/>
  <c r="AS381" i="1"/>
  <c r="AN381" i="1" s="1"/>
  <c r="AT381" i="1"/>
  <c r="AO381" i="1" s="1"/>
  <c r="AQ381" i="1"/>
  <c r="AL381" i="1" s="1"/>
  <c r="AQ357" i="1"/>
  <c r="AL357" i="1" s="1"/>
  <c r="AR357" i="1"/>
  <c r="AM357" i="1" s="1"/>
  <c r="AS357" i="1"/>
  <c r="AN357" i="1" s="1"/>
  <c r="AT357" i="1"/>
  <c r="AO357" i="1" s="1"/>
  <c r="AQ338" i="1"/>
  <c r="AL338" i="1" s="1"/>
  <c r="AR338" i="1"/>
  <c r="AM338" i="1" s="1"/>
  <c r="AS338" i="1"/>
  <c r="AN338" i="1" s="1"/>
  <c r="AT338" i="1"/>
  <c r="AO338" i="1" s="1"/>
  <c r="AQ398" i="1"/>
  <c r="AL398" i="1" s="1"/>
  <c r="AR398" i="1"/>
  <c r="AM398" i="1" s="1"/>
  <c r="AS398" i="1"/>
  <c r="AN398" i="1" s="1"/>
  <c r="AT398" i="1"/>
  <c r="AO398" i="1" s="1"/>
  <c r="AQ405" i="1"/>
  <c r="AL405" i="1" s="1"/>
  <c r="AR405" i="1"/>
  <c r="AM405" i="1" s="1"/>
  <c r="AS405" i="1"/>
  <c r="AN405" i="1" s="1"/>
  <c r="AT405" i="1"/>
  <c r="AO405" i="1" s="1"/>
  <c r="AS379" i="1"/>
  <c r="AN379" i="1" s="1"/>
  <c r="AR379" i="1"/>
  <c r="AM379" i="1" s="1"/>
  <c r="AT379" i="1"/>
  <c r="AO379" i="1" s="1"/>
  <c r="AQ379" i="1"/>
  <c r="AL379" i="1" s="1"/>
  <c r="AQ356" i="1"/>
  <c r="AL356" i="1" s="1"/>
  <c r="AR356" i="1"/>
  <c r="AM356" i="1" s="1"/>
  <c r="AS356" i="1"/>
  <c r="AN356" i="1" s="1"/>
  <c r="AT356" i="1"/>
  <c r="AO356" i="1" s="1"/>
  <c r="AQ337" i="1"/>
  <c r="AL337" i="1" s="1"/>
  <c r="AR337" i="1"/>
  <c r="AM337" i="1" s="1"/>
  <c r="AS337" i="1"/>
  <c r="AN337" i="1" s="1"/>
  <c r="AT337" i="1"/>
  <c r="AO337" i="1" s="1"/>
  <c r="AR380" i="1"/>
  <c r="AM380" i="1" s="1"/>
  <c r="AS380" i="1"/>
  <c r="AN380" i="1" s="1"/>
  <c r="AT380" i="1"/>
  <c r="AO380" i="1" s="1"/>
  <c r="AQ380" i="1"/>
  <c r="AL380" i="1" s="1"/>
  <c r="AS347" i="1"/>
  <c r="AN347" i="1" s="1"/>
  <c r="AT347" i="1"/>
  <c r="AO347" i="1" s="1"/>
  <c r="AR347" i="1"/>
  <c r="AM347" i="1" s="1"/>
  <c r="AQ347" i="1"/>
  <c r="AL347" i="1" s="1"/>
  <c r="AQ404" i="1"/>
  <c r="AL404" i="1" s="1"/>
  <c r="AR404" i="1"/>
  <c r="AM404" i="1" s="1"/>
  <c r="AS404" i="1"/>
  <c r="AN404" i="1" s="1"/>
  <c r="AT404" i="1"/>
  <c r="AO404" i="1" s="1"/>
  <c r="AS378" i="1"/>
  <c r="AN378" i="1" s="1"/>
  <c r="AT378" i="1"/>
  <c r="AO378" i="1" s="1"/>
  <c r="AQ378" i="1"/>
  <c r="AL378" i="1" s="1"/>
  <c r="AR378" i="1"/>
  <c r="AM378" i="1" s="1"/>
  <c r="AQ355" i="1"/>
  <c r="AL355" i="1" s="1"/>
  <c r="AR355" i="1"/>
  <c r="AM355" i="1" s="1"/>
  <c r="AS355" i="1"/>
  <c r="AN355" i="1" s="1"/>
  <c r="AT355" i="1"/>
  <c r="AO355" i="1" s="1"/>
  <c r="AQ336" i="1"/>
  <c r="AL336" i="1" s="1"/>
  <c r="AR336" i="1"/>
  <c r="AM336" i="1" s="1"/>
  <c r="AS336" i="1"/>
  <c r="AN336" i="1" s="1"/>
  <c r="AT336" i="1"/>
  <c r="AO336" i="1" s="1"/>
  <c r="AQ370" i="1"/>
  <c r="AL370" i="1" s="1"/>
  <c r="AR370" i="1"/>
  <c r="AM370" i="1" s="1"/>
  <c r="AS370" i="1"/>
  <c r="AN370" i="1" s="1"/>
  <c r="AT370" i="1"/>
  <c r="AO370" i="1" s="1"/>
  <c r="U427" i="1"/>
  <c r="W427" i="1" s="1"/>
  <c r="AS427" i="1"/>
  <c r="AN427" i="1" s="1"/>
  <c r="AT427" i="1"/>
  <c r="AO427" i="1" s="1"/>
  <c r="AR427" i="1"/>
  <c r="AM427" i="1" s="1"/>
  <c r="AQ427" i="1"/>
  <c r="AL427" i="1" s="1"/>
  <c r="AQ401" i="1"/>
  <c r="AL401" i="1" s="1"/>
  <c r="AR401" i="1"/>
  <c r="AM401" i="1" s="1"/>
  <c r="AS401" i="1"/>
  <c r="AN401" i="1" s="1"/>
  <c r="AT401" i="1"/>
  <c r="AO401" i="1" s="1"/>
  <c r="AT377" i="1"/>
  <c r="AO377" i="1" s="1"/>
  <c r="AS377" i="1"/>
  <c r="AN377" i="1" s="1"/>
  <c r="AQ377" i="1"/>
  <c r="AL377" i="1" s="1"/>
  <c r="AR377" i="1"/>
  <c r="AM377" i="1" s="1"/>
  <c r="AQ354" i="1"/>
  <c r="AL354" i="1" s="1"/>
  <c r="AR354" i="1"/>
  <c r="AM354" i="1" s="1"/>
  <c r="AS354" i="1"/>
  <c r="AN354" i="1" s="1"/>
  <c r="AT354" i="1"/>
  <c r="AO354" i="1" s="1"/>
  <c r="AQ335" i="1"/>
  <c r="AL335" i="1" s="1"/>
  <c r="AR335" i="1"/>
  <c r="AM335" i="1" s="1"/>
  <c r="AS335" i="1"/>
  <c r="AN335" i="1" s="1"/>
  <c r="AT335" i="1"/>
  <c r="AO335" i="1" s="1"/>
  <c r="AS363" i="1"/>
  <c r="AN363" i="1" s="1"/>
  <c r="AT363" i="1"/>
  <c r="AO363" i="1" s="1"/>
  <c r="AR363" i="1"/>
  <c r="AM363" i="1" s="1"/>
  <c r="AQ363" i="1"/>
  <c r="AL363" i="1" s="1"/>
  <c r="AQ374" i="1"/>
  <c r="AL374" i="1" s="1"/>
  <c r="AR374" i="1"/>
  <c r="AM374" i="1" s="1"/>
  <c r="AS374" i="1"/>
  <c r="AN374" i="1" s="1"/>
  <c r="AT374" i="1"/>
  <c r="AO374" i="1" s="1"/>
  <c r="AQ386" i="1"/>
  <c r="AL386" i="1" s="1"/>
  <c r="AR386" i="1"/>
  <c r="AM386" i="1" s="1"/>
  <c r="AS386" i="1"/>
  <c r="AN386" i="1" s="1"/>
  <c r="AT386" i="1"/>
  <c r="AO386" i="1" s="1"/>
  <c r="AT391" i="1"/>
  <c r="AO391" i="1" s="1"/>
  <c r="AQ391" i="1"/>
  <c r="AL391" i="1" s="1"/>
  <c r="AR391" i="1"/>
  <c r="AM391" i="1" s="1"/>
  <c r="AS391" i="1"/>
  <c r="AN391" i="1" s="1"/>
  <c r="AS426" i="1"/>
  <c r="AN426" i="1" s="1"/>
  <c r="AT426" i="1"/>
  <c r="AO426" i="1" s="1"/>
  <c r="AQ426" i="1"/>
  <c r="AL426" i="1" s="1"/>
  <c r="AR426" i="1"/>
  <c r="AM426" i="1" s="1"/>
  <c r="AQ400" i="1"/>
  <c r="AL400" i="1" s="1"/>
  <c r="AR400" i="1"/>
  <c r="AM400" i="1" s="1"/>
  <c r="AS400" i="1"/>
  <c r="AN400" i="1" s="1"/>
  <c r="AT400" i="1"/>
  <c r="AO400" i="1" s="1"/>
  <c r="AT376" i="1"/>
  <c r="AO376" i="1" s="1"/>
  <c r="AQ376" i="1"/>
  <c r="AL376" i="1" s="1"/>
  <c r="AR376" i="1"/>
  <c r="AM376" i="1" s="1"/>
  <c r="AS376" i="1"/>
  <c r="AN376" i="1" s="1"/>
  <c r="AQ353" i="1"/>
  <c r="AL353" i="1" s="1"/>
  <c r="AR353" i="1"/>
  <c r="AM353" i="1" s="1"/>
  <c r="AS353" i="1"/>
  <c r="AN353" i="1" s="1"/>
  <c r="AT353" i="1"/>
  <c r="AO353" i="1" s="1"/>
  <c r="AQ334" i="1"/>
  <c r="AL334" i="1" s="1"/>
  <c r="AR334" i="1"/>
  <c r="AM334" i="1" s="1"/>
  <c r="AS334" i="1"/>
  <c r="AN334" i="1" s="1"/>
  <c r="AT334" i="1"/>
  <c r="AO334" i="1" s="1"/>
  <c r="AT392" i="1"/>
  <c r="AO392" i="1" s="1"/>
  <c r="AQ392" i="1"/>
  <c r="AL392" i="1" s="1"/>
  <c r="AR392" i="1"/>
  <c r="AM392" i="1" s="1"/>
  <c r="AS392" i="1"/>
  <c r="AN392" i="1" s="1"/>
  <c r="AR365" i="1"/>
  <c r="AM365" i="1" s="1"/>
  <c r="AS365" i="1"/>
  <c r="AN365" i="1" s="1"/>
  <c r="AT365" i="1"/>
  <c r="AO365" i="1" s="1"/>
  <c r="AQ365" i="1"/>
  <c r="AL365" i="1" s="1"/>
  <c r="AT425" i="1"/>
  <c r="AO425" i="1" s="1"/>
  <c r="AS425" i="1"/>
  <c r="AN425" i="1" s="1"/>
  <c r="AQ425" i="1"/>
  <c r="AL425" i="1" s="1"/>
  <c r="AR425" i="1"/>
  <c r="AM425" i="1" s="1"/>
  <c r="AQ399" i="1"/>
  <c r="AL399" i="1" s="1"/>
  <c r="AR399" i="1"/>
  <c r="AM399" i="1" s="1"/>
  <c r="AS399" i="1"/>
  <c r="AN399" i="1" s="1"/>
  <c r="AT399" i="1"/>
  <c r="AO399" i="1" s="1"/>
  <c r="AQ373" i="1"/>
  <c r="AL373" i="1" s="1"/>
  <c r="AR373" i="1"/>
  <c r="AM373" i="1" s="1"/>
  <c r="AS373" i="1"/>
  <c r="AN373" i="1" s="1"/>
  <c r="AT373" i="1"/>
  <c r="AO373" i="1" s="1"/>
  <c r="AR349" i="1"/>
  <c r="AM349" i="1" s="1"/>
  <c r="AS349" i="1"/>
  <c r="AN349" i="1" s="1"/>
  <c r="AT349" i="1"/>
  <c r="AO349" i="1" s="1"/>
  <c r="AQ349" i="1"/>
  <c r="AL349" i="1" s="1"/>
  <c r="AR333" i="1"/>
  <c r="AM333" i="1" s="1"/>
  <c r="AS333" i="1"/>
  <c r="AN333" i="1" s="1"/>
  <c r="AQ333" i="1"/>
  <c r="AL333" i="1" s="1"/>
  <c r="AT333" i="1"/>
  <c r="AO333" i="1" s="1"/>
  <c r="AQ387" i="1"/>
  <c r="AL387" i="1" s="1"/>
  <c r="AR387" i="1"/>
  <c r="AM387" i="1" s="1"/>
  <c r="AS387" i="1"/>
  <c r="AN387" i="1" s="1"/>
  <c r="AT387" i="1"/>
  <c r="AO387" i="1" s="1"/>
  <c r="AQ422" i="1"/>
  <c r="AL422" i="1" s="1"/>
  <c r="AR422" i="1"/>
  <c r="AM422" i="1" s="1"/>
  <c r="AS422" i="1"/>
  <c r="AN422" i="1" s="1"/>
  <c r="AT422" i="1"/>
  <c r="AO422" i="1" s="1"/>
  <c r="AR396" i="1"/>
  <c r="AM396" i="1" s="1"/>
  <c r="AS396" i="1"/>
  <c r="AN396" i="1" s="1"/>
  <c r="AT396" i="1"/>
  <c r="AO396" i="1" s="1"/>
  <c r="AQ396" i="1"/>
  <c r="AL396" i="1" s="1"/>
  <c r="AQ372" i="1"/>
  <c r="AL372" i="1" s="1"/>
  <c r="AR372" i="1"/>
  <c r="AM372" i="1" s="1"/>
  <c r="AS372" i="1"/>
  <c r="AN372" i="1" s="1"/>
  <c r="AT372" i="1"/>
  <c r="AO372" i="1" s="1"/>
  <c r="AR348" i="1"/>
  <c r="AM348" i="1" s="1"/>
  <c r="AS348" i="1"/>
  <c r="AN348" i="1" s="1"/>
  <c r="AT348" i="1"/>
  <c r="AO348" i="1" s="1"/>
  <c r="AQ348" i="1"/>
  <c r="AL348" i="1" s="1"/>
  <c r="AT375" i="1"/>
  <c r="AO375" i="1" s="1"/>
  <c r="AQ375" i="1"/>
  <c r="AL375" i="1" s="1"/>
  <c r="AR375" i="1"/>
  <c r="AM375" i="1" s="1"/>
  <c r="AS375" i="1"/>
  <c r="AN375" i="1" s="1"/>
  <c r="AS411" i="1"/>
  <c r="AN411" i="1" s="1"/>
  <c r="AT411" i="1"/>
  <c r="AO411" i="1" s="1"/>
  <c r="AQ411" i="1"/>
  <c r="AL411" i="1" s="1"/>
  <c r="AR411" i="1"/>
  <c r="AM411" i="1" s="1"/>
  <c r="U379" i="1"/>
  <c r="W379" i="1" s="1"/>
  <c r="U364" i="1"/>
  <c r="W364" i="1" s="1"/>
  <c r="U365" i="1"/>
  <c r="W365" i="1" s="1"/>
  <c r="U407" i="1"/>
  <c r="W407" i="1" s="1"/>
  <c r="U366" i="1"/>
  <c r="W366" i="1" s="1"/>
  <c r="U420" i="1"/>
  <c r="W420" i="1" s="1"/>
  <c r="U363" i="1"/>
  <c r="W363" i="1" s="1"/>
  <c r="U351" i="1"/>
  <c r="W351" i="1" s="1"/>
  <c r="U352" i="1"/>
  <c r="W352" i="1" s="1"/>
  <c r="U355" i="1"/>
  <c r="W355" i="1" s="1"/>
  <c r="U353" i="1"/>
  <c r="W353" i="1" s="1"/>
  <c r="U349" i="1"/>
  <c r="W349" i="1" s="1"/>
  <c r="U408" i="1"/>
  <c r="W408" i="1" s="1"/>
  <c r="U392" i="1"/>
  <c r="W392" i="1" s="1"/>
  <c r="U360" i="1"/>
  <c r="W360" i="1" s="1"/>
  <c r="U378" i="1"/>
  <c r="W378" i="1" s="1"/>
  <c r="U391" i="1"/>
  <c r="W391" i="1" s="1"/>
  <c r="U359" i="1"/>
  <c r="W359" i="1" s="1"/>
  <c r="U377" i="1"/>
  <c r="W377" i="1" s="1"/>
  <c r="U361" i="1"/>
  <c r="W361" i="1" s="1"/>
  <c r="U358" i="1"/>
  <c r="W358" i="1" s="1"/>
  <c r="U357" i="1"/>
  <c r="W357" i="1" s="1"/>
  <c r="U390" i="1"/>
  <c r="W390" i="1" s="1"/>
  <c r="U356" i="1"/>
  <c r="W356" i="1" s="1"/>
  <c r="U264" i="1"/>
  <c r="W264" i="1" s="1"/>
  <c r="U97" i="1"/>
  <c r="W97" i="1" s="1"/>
  <c r="U15" i="1"/>
  <c r="W15" i="1" s="1"/>
  <c r="U93" i="1"/>
  <c r="W93" i="1" s="1"/>
  <c r="U13" i="1"/>
  <c r="W13" i="1" s="1"/>
  <c r="U12" i="1"/>
  <c r="W12" i="1" s="1"/>
  <c r="U160" i="1"/>
  <c r="W160" i="1" s="1"/>
  <c r="U44" i="1"/>
  <c r="W44" i="1" s="1"/>
  <c r="U11" i="1"/>
  <c r="W11" i="1" s="1"/>
  <c r="U154" i="1"/>
  <c r="W154" i="1" s="1"/>
  <c r="U177" i="1"/>
  <c r="W177" i="1" s="1"/>
  <c r="U234" i="1"/>
  <c r="W234" i="1" s="1"/>
  <c r="U141" i="1"/>
  <c r="W141" i="1" s="1"/>
  <c r="U91" i="1"/>
  <c r="W91" i="1" s="1"/>
  <c r="U75" i="1"/>
  <c r="W75" i="1" s="1"/>
  <c r="U140" i="1"/>
  <c r="W140" i="1" s="1"/>
  <c r="U73" i="1"/>
  <c r="W73" i="1" s="1"/>
  <c r="U153" i="1"/>
  <c r="W153" i="1" s="1"/>
  <c r="U124" i="1"/>
  <c r="W124" i="1" s="1"/>
  <c r="U220" i="1"/>
  <c r="W220" i="1" s="1"/>
  <c r="U155" i="1"/>
  <c r="W155" i="1" s="1"/>
  <c r="U203" i="1"/>
  <c r="W203" i="1" s="1"/>
  <c r="U235" i="1"/>
  <c r="W235" i="1" s="1"/>
  <c r="U74" i="1"/>
  <c r="W74" i="1" s="1"/>
  <c r="U204" i="1"/>
  <c r="W204" i="1" s="1"/>
  <c r="U171" i="1"/>
  <c r="W171" i="1" s="1"/>
  <c r="U170" i="1"/>
  <c r="W170" i="1" s="1"/>
  <c r="U233" i="1"/>
  <c r="W233" i="1" s="1"/>
  <c r="U19" i="1"/>
  <c r="W19" i="1" s="1"/>
  <c r="U241" i="1"/>
  <c r="W241" i="1" s="1"/>
  <c r="U161" i="1"/>
  <c r="W161" i="1" s="1"/>
  <c r="AR414" i="1" l="1"/>
  <c r="AM414" i="1" s="1"/>
  <c r="AS371" i="1"/>
  <c r="AN371" i="1" s="1"/>
  <c r="AR371" i="1"/>
  <c r="AM371" i="1" s="1"/>
  <c r="U362" i="1"/>
  <c r="W362" i="1" s="1"/>
  <c r="AT350" i="1"/>
  <c r="AO350" i="1" s="1"/>
  <c r="U350" i="1"/>
  <c r="W350" i="1" s="1"/>
  <c r="AS350" i="1"/>
  <c r="AN350" i="1" s="1"/>
  <c r="AR362" i="1"/>
  <c r="AM362" i="1" s="1"/>
  <c r="AQ350" i="1"/>
  <c r="AL350" i="1" s="1"/>
  <c r="AT362" i="1"/>
  <c r="AO362" i="1" s="1"/>
  <c r="AS418" i="1"/>
  <c r="AN418" i="1" s="1"/>
  <c r="AS362" i="1"/>
  <c r="AN362" i="1" s="1"/>
  <c r="AR418" i="1"/>
  <c r="AM418" i="1" s="1"/>
  <c r="AT414" i="1"/>
  <c r="AO414" i="1" s="1"/>
  <c r="AT403" i="1"/>
  <c r="AO403" i="1" s="1"/>
  <c r="AR403" i="1"/>
  <c r="AM403" i="1" s="1"/>
  <c r="AQ403" i="1"/>
  <c r="AL403" i="1" s="1"/>
  <c r="AS423" i="1"/>
  <c r="AN423" i="1" s="1"/>
  <c r="AR423" i="1"/>
  <c r="AM423" i="1" s="1"/>
  <c r="AT423" i="1"/>
  <c r="AO423" i="1" s="1"/>
  <c r="AQ397" i="1"/>
  <c r="AL397" i="1" s="1"/>
  <c r="AT397" i="1"/>
  <c r="AO397" i="1" s="1"/>
  <c r="AS397" i="1"/>
  <c r="AN397" i="1" s="1"/>
  <c r="G10" i="14"/>
  <c r="O81" i="12"/>
  <c r="O80" i="12"/>
  <c r="O79" i="12"/>
  <c r="O78" i="12"/>
  <c r="O77" i="12"/>
  <c r="O76" i="12"/>
  <c r="O75" i="12"/>
  <c r="O74" i="12"/>
  <c r="O73" i="12"/>
  <c r="O72" i="12"/>
  <c r="O71" i="12"/>
  <c r="O70" i="12"/>
  <c r="O69" i="12"/>
  <c r="O68" i="12"/>
  <c r="O67" i="12"/>
  <c r="O66" i="12"/>
  <c r="O65" i="12"/>
  <c r="O64" i="12"/>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O2" i="12"/>
  <c r="AD5" i="11"/>
  <c r="AB5" i="11"/>
  <c r="S253" i="1"/>
  <c r="S269" i="1"/>
  <c r="S285" i="1"/>
  <c r="S301" i="1"/>
  <c r="S317" i="1"/>
  <c r="S298" i="1"/>
  <c r="S314" i="1"/>
  <c r="S330" i="1"/>
  <c r="S279" i="1"/>
  <c r="S327" i="1"/>
  <c r="S276" i="1"/>
  <c r="S292" i="1"/>
  <c r="S308" i="1"/>
  <c r="S257" i="1"/>
  <c r="S273" i="1"/>
  <c r="S289" i="1"/>
  <c r="S305" i="1"/>
  <c r="S321" i="1"/>
  <c r="S250" i="1"/>
  <c r="S270" i="1"/>
  <c r="S286" i="1"/>
  <c r="S302" i="1"/>
  <c r="S318" i="1"/>
  <c r="S266" i="1"/>
  <c r="S251" i="1"/>
  <c r="S267" i="1"/>
  <c r="S283" i="1"/>
  <c r="S299" i="1"/>
  <c r="S315" i="1"/>
  <c r="S331" i="1"/>
  <c r="S280" i="1"/>
  <c r="S328" i="1"/>
  <c r="S296" i="1"/>
  <c r="S277" i="1"/>
  <c r="S293" i="1"/>
  <c r="S309" i="1"/>
  <c r="S311" i="1"/>
  <c r="S263" i="1"/>
  <c r="S258" i="1"/>
  <c r="S274" i="1"/>
  <c r="S290" i="1"/>
  <c r="S306" i="1"/>
  <c r="S322" i="1"/>
  <c r="S255" i="1"/>
  <c r="S271" i="1"/>
  <c r="S287" i="1"/>
  <c r="S303" i="1"/>
  <c r="S319" i="1"/>
  <c r="S261" i="1"/>
  <c r="S252" i="1"/>
  <c r="S268" i="1"/>
  <c r="S284" i="1"/>
  <c r="S300" i="1"/>
  <c r="S316" i="1"/>
  <c r="S332" i="1"/>
  <c r="S254" i="1"/>
  <c r="S324" i="1"/>
  <c r="S260" i="1"/>
  <c r="U260" i="1" s="1"/>
  <c r="W260" i="1" s="1"/>
  <c r="S265" i="1"/>
  <c r="S281" i="1"/>
  <c r="S297" i="1"/>
  <c r="S313" i="1"/>
  <c r="S329" i="1"/>
  <c r="S256" i="1"/>
  <c r="S259" i="1"/>
  <c r="S262" i="1"/>
  <c r="S272" i="1"/>
  <c r="S275" i="1"/>
  <c r="S278" i="1"/>
  <c r="S288" i="1"/>
  <c r="S291" i="1"/>
  <c r="S294" i="1"/>
  <c r="S304" i="1"/>
  <c r="S307" i="1"/>
  <c r="S310" i="1"/>
  <c r="S320" i="1"/>
  <c r="S323" i="1"/>
  <c r="S326" i="1"/>
  <c r="AR270" i="1" l="1"/>
  <c r="AM270" i="1" s="1"/>
  <c r="AS270" i="1"/>
  <c r="AN270" i="1" s="1"/>
  <c r="AQ270" i="1"/>
  <c r="AL270" i="1" s="1"/>
  <c r="AT270" i="1"/>
  <c r="AO270" i="1" s="1"/>
  <c r="AS301" i="1"/>
  <c r="AN301" i="1" s="1"/>
  <c r="AT301" i="1"/>
  <c r="AO301" i="1" s="1"/>
  <c r="AR301" i="1"/>
  <c r="AM301" i="1" s="1"/>
  <c r="AQ301" i="1"/>
  <c r="AL301" i="1" s="1"/>
  <c r="AS262" i="1"/>
  <c r="AN262" i="1" s="1"/>
  <c r="AQ262" i="1"/>
  <c r="AL262" i="1" s="1"/>
  <c r="AR262" i="1"/>
  <c r="AM262" i="1" s="1"/>
  <c r="AT262" i="1"/>
  <c r="AO262" i="1" s="1"/>
  <c r="U268" i="1"/>
  <c r="W268" i="1" s="1"/>
  <c r="AS268" i="1"/>
  <c r="AN268" i="1" s="1"/>
  <c r="AQ268" i="1"/>
  <c r="AL268" i="1" s="1"/>
  <c r="AR268" i="1"/>
  <c r="AM268" i="1" s="1"/>
  <c r="AT268" i="1"/>
  <c r="AO268" i="1" s="1"/>
  <c r="AQ293" i="1"/>
  <c r="AL293" i="1" s="1"/>
  <c r="AR293" i="1"/>
  <c r="AM293" i="1" s="1"/>
  <c r="AS293" i="1"/>
  <c r="AN293" i="1" s="1"/>
  <c r="AT293" i="1"/>
  <c r="AO293" i="1" s="1"/>
  <c r="AT250" i="1"/>
  <c r="AO250" i="1" s="1"/>
  <c r="AQ250" i="1"/>
  <c r="AL250" i="1" s="1"/>
  <c r="AR250" i="1"/>
  <c r="AM250" i="1" s="1"/>
  <c r="AS250" i="1"/>
  <c r="AN250" i="1" s="1"/>
  <c r="AQ285" i="1"/>
  <c r="AL285" i="1" s="1"/>
  <c r="AS285" i="1"/>
  <c r="AN285" i="1" s="1"/>
  <c r="AR285" i="1"/>
  <c r="AM285" i="1" s="1"/>
  <c r="AT285" i="1"/>
  <c r="AO285" i="1" s="1"/>
  <c r="AQ259" i="1"/>
  <c r="AL259" i="1" s="1"/>
  <c r="AS259" i="1"/>
  <c r="AN259" i="1" s="1"/>
  <c r="AT259" i="1"/>
  <c r="AO259" i="1" s="1"/>
  <c r="AR259" i="1"/>
  <c r="AM259" i="1" s="1"/>
  <c r="U252" i="1"/>
  <c r="W252" i="1" s="1"/>
  <c r="AS252" i="1"/>
  <c r="AN252" i="1" s="1"/>
  <c r="AR252" i="1"/>
  <c r="AM252" i="1" s="1"/>
  <c r="AQ252" i="1"/>
  <c r="AL252" i="1" s="1"/>
  <c r="AT252" i="1"/>
  <c r="AO252" i="1" s="1"/>
  <c r="AQ277" i="1"/>
  <c r="AL277" i="1" s="1"/>
  <c r="AR277" i="1"/>
  <c r="AM277" i="1" s="1"/>
  <c r="AS277" i="1"/>
  <c r="AN277" i="1" s="1"/>
  <c r="AT277" i="1"/>
  <c r="AO277" i="1" s="1"/>
  <c r="AQ321" i="1"/>
  <c r="AL321" i="1" s="1"/>
  <c r="AR321" i="1"/>
  <c r="AM321" i="1" s="1"/>
  <c r="AT321" i="1"/>
  <c r="AO321" i="1" s="1"/>
  <c r="AS321" i="1"/>
  <c r="AN321" i="1" s="1"/>
  <c r="AR269" i="1"/>
  <c r="AM269" i="1" s="1"/>
  <c r="AQ269" i="1"/>
  <c r="AL269" i="1" s="1"/>
  <c r="AS269" i="1"/>
  <c r="AN269" i="1" s="1"/>
  <c r="AT269" i="1"/>
  <c r="AO269" i="1" s="1"/>
  <c r="AQ256" i="1"/>
  <c r="AL256" i="1" s="1"/>
  <c r="AR256" i="1"/>
  <c r="AM256" i="1" s="1"/>
  <c r="AS256" i="1"/>
  <c r="AN256" i="1" s="1"/>
  <c r="AT256" i="1"/>
  <c r="AO256" i="1" s="1"/>
  <c r="AQ253" i="1"/>
  <c r="AL253" i="1" s="1"/>
  <c r="AR253" i="1"/>
  <c r="AM253" i="1" s="1"/>
  <c r="AS253" i="1"/>
  <c r="AN253" i="1" s="1"/>
  <c r="AT253" i="1"/>
  <c r="AO253" i="1" s="1"/>
  <c r="AQ278" i="1"/>
  <c r="AL278" i="1" s="1"/>
  <c r="AR278" i="1"/>
  <c r="AM278" i="1" s="1"/>
  <c r="AS278" i="1"/>
  <c r="AN278" i="1" s="1"/>
  <c r="AT278" i="1"/>
  <c r="AO278" i="1" s="1"/>
  <c r="AQ309" i="1"/>
  <c r="AL309" i="1" s="1"/>
  <c r="AR309" i="1"/>
  <c r="AM309" i="1" s="1"/>
  <c r="AS309" i="1"/>
  <c r="AN309" i="1" s="1"/>
  <c r="AT309" i="1"/>
  <c r="AO309" i="1" s="1"/>
  <c r="AQ261" i="1"/>
  <c r="AL261" i="1" s="1"/>
  <c r="AR261" i="1"/>
  <c r="AM261" i="1" s="1"/>
  <c r="AT261" i="1"/>
  <c r="AO261" i="1" s="1"/>
  <c r="AS261" i="1"/>
  <c r="AN261" i="1" s="1"/>
  <c r="AQ305" i="1"/>
  <c r="AL305" i="1" s="1"/>
  <c r="AR305" i="1"/>
  <c r="AM305" i="1" s="1"/>
  <c r="AS305" i="1"/>
  <c r="AN305" i="1" s="1"/>
  <c r="AT305" i="1"/>
  <c r="AO305" i="1" s="1"/>
  <c r="AQ329" i="1"/>
  <c r="AL329" i="1" s="1"/>
  <c r="AT329" i="1"/>
  <c r="AO329" i="1" s="1"/>
  <c r="AR329" i="1"/>
  <c r="AM329" i="1" s="1"/>
  <c r="AS329" i="1"/>
  <c r="AN329" i="1" s="1"/>
  <c r="AR319" i="1"/>
  <c r="AM319" i="1" s="1"/>
  <c r="AS319" i="1"/>
  <c r="AN319" i="1" s="1"/>
  <c r="AQ319" i="1"/>
  <c r="AL319" i="1" s="1"/>
  <c r="AT319" i="1"/>
  <c r="AO319" i="1" s="1"/>
  <c r="AQ328" i="1"/>
  <c r="AL328" i="1" s="1"/>
  <c r="AT328" i="1"/>
  <c r="AO328" i="1" s="1"/>
  <c r="AS328" i="1"/>
  <c r="AN328" i="1" s="1"/>
  <c r="AR328" i="1"/>
  <c r="AM328" i="1" s="1"/>
  <c r="AQ289" i="1"/>
  <c r="AL289" i="1" s="1"/>
  <c r="AR289" i="1"/>
  <c r="AM289" i="1" s="1"/>
  <c r="AS289" i="1"/>
  <c r="AN289" i="1" s="1"/>
  <c r="AT289" i="1"/>
  <c r="AO289" i="1" s="1"/>
  <c r="AQ288" i="1"/>
  <c r="AL288" i="1" s="1"/>
  <c r="AR288" i="1"/>
  <c r="AM288" i="1" s="1"/>
  <c r="AT288" i="1"/>
  <c r="AO288" i="1" s="1"/>
  <c r="AS288" i="1"/>
  <c r="AN288" i="1" s="1"/>
  <c r="AQ284" i="1"/>
  <c r="AL284" i="1" s="1"/>
  <c r="AS284" i="1"/>
  <c r="AN284" i="1" s="1"/>
  <c r="AT284" i="1"/>
  <c r="AO284" i="1" s="1"/>
  <c r="AR284" i="1"/>
  <c r="AM284" i="1" s="1"/>
  <c r="AR296" i="1"/>
  <c r="AM296" i="1" s="1"/>
  <c r="AS296" i="1"/>
  <c r="AN296" i="1" s="1"/>
  <c r="AQ296" i="1"/>
  <c r="AL296" i="1" s="1"/>
  <c r="AT296" i="1"/>
  <c r="AO296" i="1" s="1"/>
  <c r="U326" i="1"/>
  <c r="W326" i="1" s="1"/>
  <c r="AR326" i="1"/>
  <c r="AM326" i="1" s="1"/>
  <c r="AQ326" i="1"/>
  <c r="AL326" i="1" s="1"/>
  <c r="AT326" i="1"/>
  <c r="AO326" i="1" s="1"/>
  <c r="AS326" i="1"/>
  <c r="AN326" i="1" s="1"/>
  <c r="AQ313" i="1"/>
  <c r="AL313" i="1" s="1"/>
  <c r="AS313" i="1"/>
  <c r="AN313" i="1" s="1"/>
  <c r="AR313" i="1"/>
  <c r="AM313" i="1" s="1"/>
  <c r="AT313" i="1"/>
  <c r="AO313" i="1" s="1"/>
  <c r="AQ303" i="1"/>
  <c r="AL303" i="1" s="1"/>
  <c r="AR303" i="1"/>
  <c r="AM303" i="1" s="1"/>
  <c r="AS303" i="1"/>
  <c r="AN303" i="1" s="1"/>
  <c r="AT303" i="1"/>
  <c r="AO303" i="1" s="1"/>
  <c r="AQ280" i="1"/>
  <c r="AL280" i="1" s="1"/>
  <c r="AT280" i="1"/>
  <c r="AO280" i="1" s="1"/>
  <c r="AR280" i="1"/>
  <c r="AM280" i="1" s="1"/>
  <c r="AS280" i="1"/>
  <c r="AN280" i="1" s="1"/>
  <c r="AQ273" i="1"/>
  <c r="AL273" i="1" s="1"/>
  <c r="AR273" i="1"/>
  <c r="AM273" i="1" s="1"/>
  <c r="AS273" i="1"/>
  <c r="AN273" i="1" s="1"/>
  <c r="AT273" i="1"/>
  <c r="AO273" i="1" s="1"/>
  <c r="AR331" i="1"/>
  <c r="AM331" i="1" s="1"/>
  <c r="AQ331" i="1"/>
  <c r="AL331" i="1" s="1"/>
  <c r="AT331" i="1"/>
  <c r="AO331" i="1" s="1"/>
  <c r="AS331" i="1"/>
  <c r="AN331" i="1" s="1"/>
  <c r="AQ257" i="1"/>
  <c r="AL257" i="1" s="1"/>
  <c r="AR257" i="1"/>
  <c r="AM257" i="1" s="1"/>
  <c r="AS257" i="1"/>
  <c r="AN257" i="1" s="1"/>
  <c r="AT257" i="1"/>
  <c r="AO257" i="1" s="1"/>
  <c r="U324" i="1"/>
  <c r="W324" i="1" s="1"/>
  <c r="AQ323" i="1"/>
  <c r="AL323" i="1" s="1"/>
  <c r="AR323" i="1"/>
  <c r="AM323" i="1" s="1"/>
  <c r="AS323" i="1"/>
  <c r="AN323" i="1" s="1"/>
  <c r="AT323" i="1"/>
  <c r="AO323" i="1" s="1"/>
  <c r="U281" i="1"/>
  <c r="W281" i="1" s="1"/>
  <c r="AQ281" i="1"/>
  <c r="AL281" i="1" s="1"/>
  <c r="AS281" i="1"/>
  <c r="AN281" i="1" s="1"/>
  <c r="AR281" i="1"/>
  <c r="AM281" i="1" s="1"/>
  <c r="AT281" i="1"/>
  <c r="AO281" i="1" s="1"/>
  <c r="AR255" i="1"/>
  <c r="AM255" i="1" s="1"/>
  <c r="AQ255" i="1"/>
  <c r="AL255" i="1" s="1"/>
  <c r="AS255" i="1"/>
  <c r="AN255" i="1" s="1"/>
  <c r="AT255" i="1"/>
  <c r="AO255" i="1" s="1"/>
  <c r="AQ292" i="1"/>
  <c r="AL292" i="1" s="1"/>
  <c r="AR292" i="1"/>
  <c r="AM292" i="1" s="1"/>
  <c r="AT292" i="1"/>
  <c r="AO292" i="1" s="1"/>
  <c r="AS292" i="1"/>
  <c r="AN292" i="1" s="1"/>
  <c r="AQ272" i="1"/>
  <c r="AL272" i="1" s="1"/>
  <c r="AR272" i="1"/>
  <c r="AM272" i="1" s="1"/>
  <c r="AS272" i="1"/>
  <c r="AN272" i="1" s="1"/>
  <c r="AT272" i="1"/>
  <c r="AO272" i="1" s="1"/>
  <c r="AR271" i="1"/>
  <c r="AM271" i="1" s="1"/>
  <c r="AS271" i="1"/>
  <c r="AN271" i="1" s="1"/>
  <c r="AQ271" i="1"/>
  <c r="AL271" i="1" s="1"/>
  <c r="AT271" i="1"/>
  <c r="AO271" i="1" s="1"/>
  <c r="AR276" i="1"/>
  <c r="AM276" i="1" s="1"/>
  <c r="AT276" i="1"/>
  <c r="AO276" i="1" s="1"/>
  <c r="AQ276" i="1"/>
  <c r="AL276" i="1" s="1"/>
  <c r="AS276" i="1"/>
  <c r="AN276" i="1" s="1"/>
  <c r="AQ275" i="1"/>
  <c r="AL275" i="1" s="1"/>
  <c r="AS275" i="1"/>
  <c r="AN275" i="1" s="1"/>
  <c r="AR275" i="1"/>
  <c r="AM275" i="1" s="1"/>
  <c r="AT275" i="1"/>
  <c r="AO275" i="1" s="1"/>
  <c r="AQ320" i="1"/>
  <c r="AL320" i="1" s="1"/>
  <c r="AT320" i="1"/>
  <c r="AO320" i="1" s="1"/>
  <c r="AS320" i="1"/>
  <c r="AN320" i="1" s="1"/>
  <c r="AR320" i="1"/>
  <c r="AM320" i="1" s="1"/>
  <c r="AS310" i="1"/>
  <c r="AN310" i="1" s="1"/>
  <c r="AR310" i="1"/>
  <c r="AM310" i="1" s="1"/>
  <c r="AQ310" i="1"/>
  <c r="AL310" i="1" s="1"/>
  <c r="AT310" i="1"/>
  <c r="AO310" i="1" s="1"/>
  <c r="AQ322" i="1"/>
  <c r="AL322" i="1" s="1"/>
  <c r="AR322" i="1"/>
  <c r="AM322" i="1" s="1"/>
  <c r="AT322" i="1"/>
  <c r="AO322" i="1" s="1"/>
  <c r="AS322" i="1"/>
  <c r="AN322" i="1" s="1"/>
  <c r="AQ267" i="1"/>
  <c r="AL267" i="1" s="1"/>
  <c r="AR267" i="1"/>
  <c r="AM267" i="1" s="1"/>
  <c r="AS267" i="1"/>
  <c r="AN267" i="1" s="1"/>
  <c r="AT267" i="1"/>
  <c r="AO267" i="1" s="1"/>
  <c r="AR297" i="1"/>
  <c r="AM297" i="1" s="1"/>
  <c r="AQ297" i="1"/>
  <c r="AL297" i="1" s="1"/>
  <c r="AT297" i="1"/>
  <c r="AO297" i="1" s="1"/>
  <c r="AS297" i="1"/>
  <c r="AN297" i="1" s="1"/>
  <c r="AQ308" i="1"/>
  <c r="AL308" i="1" s="1"/>
  <c r="AR308" i="1"/>
  <c r="AM308" i="1" s="1"/>
  <c r="AS308" i="1"/>
  <c r="AN308" i="1" s="1"/>
  <c r="AT308" i="1"/>
  <c r="AO308" i="1" s="1"/>
  <c r="AQ299" i="1"/>
  <c r="AL299" i="1" s="1"/>
  <c r="AS299" i="1"/>
  <c r="AN299" i="1" s="1"/>
  <c r="AR299" i="1"/>
  <c r="AM299" i="1" s="1"/>
  <c r="AT299" i="1"/>
  <c r="AO299" i="1" s="1"/>
  <c r="AQ304" i="1"/>
  <c r="AL304" i="1" s="1"/>
  <c r="AR304" i="1"/>
  <c r="AM304" i="1" s="1"/>
  <c r="AS304" i="1"/>
  <c r="AN304" i="1" s="1"/>
  <c r="AT304" i="1"/>
  <c r="AO304" i="1" s="1"/>
  <c r="AQ306" i="1"/>
  <c r="AL306" i="1" s="1"/>
  <c r="AR306" i="1"/>
  <c r="AM306" i="1" s="1"/>
  <c r="AS306" i="1"/>
  <c r="AN306" i="1" s="1"/>
  <c r="AT306" i="1"/>
  <c r="AO306" i="1" s="1"/>
  <c r="AR324" i="1"/>
  <c r="AM324" i="1" s="1"/>
  <c r="AQ324" i="1"/>
  <c r="AL324" i="1" s="1"/>
  <c r="AS324" i="1"/>
  <c r="AN324" i="1" s="1"/>
  <c r="AT324" i="1"/>
  <c r="AO324" i="1" s="1"/>
  <c r="AS279" i="1"/>
  <c r="AN279" i="1" s="1"/>
  <c r="AQ279" i="1"/>
  <c r="AL279" i="1" s="1"/>
  <c r="AR279" i="1"/>
  <c r="AM279" i="1" s="1"/>
  <c r="AT279" i="1"/>
  <c r="AO279" i="1" s="1"/>
  <c r="AR287" i="1"/>
  <c r="AM287" i="1" s="1"/>
  <c r="AQ287" i="1"/>
  <c r="AL287" i="1" s="1"/>
  <c r="AT287" i="1"/>
  <c r="AO287" i="1" s="1"/>
  <c r="AS287" i="1"/>
  <c r="AN287" i="1" s="1"/>
  <c r="AR315" i="1"/>
  <c r="AM315" i="1" s="1"/>
  <c r="AS315" i="1"/>
  <c r="AN315" i="1" s="1"/>
  <c r="AQ315" i="1"/>
  <c r="AL315" i="1" s="1"/>
  <c r="AT315" i="1"/>
  <c r="AO315" i="1" s="1"/>
  <c r="AR265" i="1"/>
  <c r="AM265" i="1" s="1"/>
  <c r="AS265" i="1"/>
  <c r="AN265" i="1" s="1"/>
  <c r="AT265" i="1"/>
  <c r="AO265" i="1" s="1"/>
  <c r="AQ265" i="1"/>
  <c r="AL265" i="1" s="1"/>
  <c r="AQ307" i="1"/>
  <c r="AL307" i="1" s="1"/>
  <c r="AR307" i="1"/>
  <c r="AM307" i="1" s="1"/>
  <c r="AS307" i="1"/>
  <c r="AN307" i="1" s="1"/>
  <c r="AT307" i="1"/>
  <c r="AO307" i="1" s="1"/>
  <c r="AR283" i="1"/>
  <c r="AM283" i="1" s="1"/>
  <c r="AQ283" i="1"/>
  <c r="AL283" i="1" s="1"/>
  <c r="AS283" i="1"/>
  <c r="AN283" i="1" s="1"/>
  <c r="AT283" i="1"/>
  <c r="AO283" i="1" s="1"/>
  <c r="AQ260" i="1"/>
  <c r="AL260" i="1" s="1"/>
  <c r="AS260" i="1"/>
  <c r="AN260" i="1" s="1"/>
  <c r="AR260" i="1"/>
  <c r="AM260" i="1" s="1"/>
  <c r="AT260" i="1"/>
  <c r="AO260" i="1" s="1"/>
  <c r="AQ327" i="1"/>
  <c r="AL327" i="1" s="1"/>
  <c r="AR327" i="1"/>
  <c r="AM327" i="1" s="1"/>
  <c r="AT327" i="1"/>
  <c r="AO327" i="1" s="1"/>
  <c r="AS327" i="1"/>
  <c r="AN327" i="1" s="1"/>
  <c r="AR294" i="1"/>
  <c r="AM294" i="1" s="1"/>
  <c r="AQ294" i="1"/>
  <c r="AL294" i="1" s="1"/>
  <c r="AS294" i="1"/>
  <c r="AN294" i="1" s="1"/>
  <c r="AT294" i="1"/>
  <c r="AO294" i="1" s="1"/>
  <c r="AQ290" i="1"/>
  <c r="AL290" i="1" s="1"/>
  <c r="AR290" i="1"/>
  <c r="AM290" i="1" s="1"/>
  <c r="AS290" i="1"/>
  <c r="AN290" i="1" s="1"/>
  <c r="AT290" i="1"/>
  <c r="AO290" i="1" s="1"/>
  <c r="U251" i="1"/>
  <c r="W251" i="1" s="1"/>
  <c r="AQ251" i="1"/>
  <c r="AL251" i="1" s="1"/>
  <c r="AR251" i="1"/>
  <c r="AM251" i="1" s="1"/>
  <c r="AS251" i="1"/>
  <c r="AN251" i="1" s="1"/>
  <c r="AT251" i="1"/>
  <c r="AO251" i="1" s="1"/>
  <c r="AQ291" i="1"/>
  <c r="AL291" i="1" s="1"/>
  <c r="AS291" i="1"/>
  <c r="AN291" i="1" s="1"/>
  <c r="AR291" i="1"/>
  <c r="AM291" i="1" s="1"/>
  <c r="AT291" i="1"/>
  <c r="AO291" i="1" s="1"/>
  <c r="U254" i="1"/>
  <c r="W254" i="1" s="1"/>
  <c r="AR254" i="1"/>
  <c r="AM254" i="1" s="1"/>
  <c r="AQ254" i="1"/>
  <c r="AL254" i="1" s="1"/>
  <c r="AS254" i="1"/>
  <c r="AN254" i="1" s="1"/>
  <c r="AT254" i="1"/>
  <c r="AO254" i="1" s="1"/>
  <c r="AQ274" i="1"/>
  <c r="AL274" i="1" s="1"/>
  <c r="AR274" i="1"/>
  <c r="AM274" i="1" s="1"/>
  <c r="AS274" i="1"/>
  <c r="AN274" i="1" s="1"/>
  <c r="AT274" i="1"/>
  <c r="AO274" i="1" s="1"/>
  <c r="AQ266" i="1"/>
  <c r="AL266" i="1" s="1"/>
  <c r="AT266" i="1"/>
  <c r="AO266" i="1" s="1"/>
  <c r="AS266" i="1"/>
  <c r="AN266" i="1" s="1"/>
  <c r="AR266" i="1"/>
  <c r="AM266" i="1" s="1"/>
  <c r="AT330" i="1"/>
  <c r="AO330" i="1" s="1"/>
  <c r="AS330" i="1"/>
  <c r="AN330" i="1" s="1"/>
  <c r="AR330" i="1"/>
  <c r="AM330" i="1" s="1"/>
  <c r="AQ330" i="1"/>
  <c r="AL330" i="1" s="1"/>
  <c r="AS332" i="1"/>
  <c r="AN332" i="1" s="1"/>
  <c r="AT332" i="1"/>
  <c r="AO332" i="1" s="1"/>
  <c r="AR332" i="1"/>
  <c r="AM332" i="1" s="1"/>
  <c r="AQ332" i="1"/>
  <c r="AL332" i="1" s="1"/>
  <c r="AR258" i="1"/>
  <c r="AM258" i="1" s="1"/>
  <c r="AS258" i="1"/>
  <c r="AN258" i="1" s="1"/>
  <c r="AQ258" i="1"/>
  <c r="AL258" i="1" s="1"/>
  <c r="AT258" i="1"/>
  <c r="AO258" i="1" s="1"/>
  <c r="AR318" i="1"/>
  <c r="AM318" i="1" s="1"/>
  <c r="AQ318" i="1"/>
  <c r="AL318" i="1" s="1"/>
  <c r="AS318" i="1"/>
  <c r="AN318" i="1" s="1"/>
  <c r="AT318" i="1"/>
  <c r="AO318" i="1" s="1"/>
  <c r="AT314" i="1"/>
  <c r="AO314" i="1" s="1"/>
  <c r="AR314" i="1"/>
  <c r="AM314" i="1" s="1"/>
  <c r="AQ314" i="1"/>
  <c r="AL314" i="1" s="1"/>
  <c r="AS314" i="1"/>
  <c r="AN314" i="1" s="1"/>
  <c r="AS316" i="1"/>
  <c r="AN316" i="1" s="1"/>
  <c r="AR316" i="1"/>
  <c r="AM316" i="1" s="1"/>
  <c r="AQ316" i="1"/>
  <c r="AL316" i="1" s="1"/>
  <c r="AT316" i="1"/>
  <c r="AO316" i="1" s="1"/>
  <c r="AR263" i="1"/>
  <c r="AM263" i="1" s="1"/>
  <c r="AS263" i="1"/>
  <c r="AN263" i="1" s="1"/>
  <c r="AT263" i="1"/>
  <c r="AO263" i="1" s="1"/>
  <c r="AQ263" i="1"/>
  <c r="AL263" i="1" s="1"/>
  <c r="AQ302" i="1"/>
  <c r="AL302" i="1" s="1"/>
  <c r="AR302" i="1"/>
  <c r="AM302" i="1" s="1"/>
  <c r="AS302" i="1"/>
  <c r="AN302" i="1" s="1"/>
  <c r="AT302" i="1"/>
  <c r="AO302" i="1" s="1"/>
  <c r="AT298" i="1"/>
  <c r="AO298" i="1" s="1"/>
  <c r="AS298" i="1"/>
  <c r="AN298" i="1" s="1"/>
  <c r="AR298" i="1"/>
  <c r="AM298" i="1" s="1"/>
  <c r="AQ298" i="1"/>
  <c r="AL298" i="1" s="1"/>
  <c r="AS300" i="1"/>
  <c r="AN300" i="1" s="1"/>
  <c r="AR300" i="1"/>
  <c r="AM300" i="1" s="1"/>
  <c r="AQ300" i="1"/>
  <c r="AL300" i="1" s="1"/>
  <c r="AT300" i="1"/>
  <c r="AO300" i="1" s="1"/>
  <c r="AQ311" i="1"/>
  <c r="AL311" i="1" s="1"/>
  <c r="AR311" i="1"/>
  <c r="AM311" i="1" s="1"/>
  <c r="AS311" i="1"/>
  <c r="AN311" i="1" s="1"/>
  <c r="AT311" i="1"/>
  <c r="AO311" i="1" s="1"/>
  <c r="AR286" i="1"/>
  <c r="AM286" i="1" s="1"/>
  <c r="AQ286" i="1"/>
  <c r="AL286" i="1" s="1"/>
  <c r="AS286" i="1"/>
  <c r="AN286" i="1" s="1"/>
  <c r="AT286" i="1"/>
  <c r="AO286" i="1" s="1"/>
  <c r="AR317" i="1"/>
  <c r="AM317" i="1" s="1"/>
  <c r="AS317" i="1"/>
  <c r="AN317" i="1" s="1"/>
  <c r="AQ317" i="1"/>
  <c r="AL317" i="1" s="1"/>
  <c r="AT317" i="1"/>
  <c r="AO317" i="1" s="1"/>
  <c r="U296" i="1"/>
  <c r="W296" i="1" s="1"/>
  <c r="U294" i="1"/>
  <c r="W294" i="1" s="1"/>
  <c r="U283" i="1"/>
  <c r="W283" i="1" s="1"/>
  <c r="U312" i="1"/>
  <c r="W312" i="1" s="1"/>
  <c r="U269" i="1"/>
  <c r="W269" i="1" s="1"/>
  <c r="U332" i="1"/>
  <c r="W332" i="1" s="1"/>
  <c r="U259" i="1"/>
  <c r="W259" i="1" s="1"/>
  <c r="U282" i="1"/>
  <c r="W282" i="1" s="1"/>
  <c r="U311" i="1"/>
  <c r="W311" i="1" s="1"/>
  <c r="U250" i="1"/>
  <c r="W250" i="1" s="1"/>
  <c r="U255" i="1"/>
  <c r="W255" i="1" s="1"/>
  <c r="U263" i="1"/>
  <c r="W263" i="1" s="1"/>
  <c r="U258" i="1"/>
  <c r="W258" i="1" s="1"/>
  <c r="U257" i="1"/>
  <c r="W257" i="1" s="1"/>
  <c r="U313" i="1"/>
  <c r="W313" i="1" s="1"/>
  <c r="U266" i="1"/>
  <c r="W266" i="1" s="1"/>
  <c r="U261" i="1"/>
  <c r="W261" i="1" s="1"/>
  <c r="U295" i="1"/>
  <c r="W295" i="1" s="1"/>
  <c r="U267" i="1"/>
  <c r="W267" i="1" s="1"/>
  <c r="U253" i="1"/>
  <c r="W253" i="1" s="1"/>
  <c r="U270" i="1"/>
  <c r="W270" i="1" s="1"/>
  <c r="U331" i="1"/>
  <c r="W331" i="1" s="1"/>
  <c r="U265" i="1"/>
  <c r="W265" i="1" s="1"/>
  <c r="U262" i="1"/>
  <c r="W262" i="1" s="1"/>
  <c r="U325" i="1"/>
  <c r="W325" i="1" s="1"/>
  <c r="U256" i="1"/>
  <c r="W25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AL2" authorId="0" shapeId="0" xr:uid="{71D8174E-BC78-4995-B438-B0905A64ED03}">
      <text>
        <r>
          <rPr>
            <b/>
            <sz val="9"/>
            <color indexed="81"/>
            <rFont val="Tahoma"/>
            <family val="2"/>
          </rPr>
          <t>U.S. EPA User or Contractor:</t>
        </r>
        <r>
          <rPr>
            <sz val="9"/>
            <color indexed="81"/>
            <rFont val="Tahoma"/>
            <family val="2"/>
          </rPr>
          <t xml:space="preserve">
</t>
        </r>
        <r>
          <rPr>
            <sz val="10"/>
            <color indexed="81"/>
            <rFont val="Tahoma"/>
            <family val="2"/>
          </rPr>
          <t xml:space="preserve">Copy/paste-special "calculation" cells into "concentration cells.  Find/replace "y " and "FALSE" with nothing.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V1" authorId="0" shapeId="0" xr:uid="{40E2C8D0-B343-4139-8577-165041735E2F}">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 ref="BA1" authorId="0" shapeId="0" xr:uid="{908749C0-7EE4-4D41-90D9-1BED6F9ABAAE}">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V1" authorId="0" shapeId="0" xr:uid="{7BF4DF5E-DFFA-4E09-B085-1CEDC1570E95}">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 ref="BA1" authorId="0" shapeId="0" xr:uid="{688251B9-438D-401F-BAE4-E5DCA298AE29}">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V1" authorId="0" shapeId="0" xr:uid="{9131D0C2-4FD1-467A-9D6B-F9458690774D}">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 ref="BA1" authorId="0" shapeId="0" xr:uid="{D8CDB024-6514-4A4C-B425-47CEFF15D88F}">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V1" authorId="0" shapeId="0" xr:uid="{2907B1BF-696D-44FA-A9E2-2CF60E86ED75}">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 ref="BA1" authorId="0" shapeId="0" xr:uid="{69B79984-EB39-49FD-AD34-A1D7F592B78A}">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V1" authorId="0" shapeId="0" xr:uid="{3FBEAE1F-0982-45B1-A499-A092BABDC1C0}">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 ref="BA1" authorId="0" shapeId="0" xr:uid="{EE7CCA68-DDA5-4B6C-BE92-FBBF029943BD}">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V1" authorId="0" shapeId="0" xr:uid="{B3CBA3EC-7D78-4B34-9644-0E03E3D55C0B}">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 ref="BA1" authorId="0" shapeId="0" xr:uid="{E0466857-B63D-497A-8FCD-62088CDF4BD9}">
      <text>
        <r>
          <rPr>
            <b/>
            <sz val="9"/>
            <color indexed="81"/>
            <rFont val="Tahoma"/>
            <family val="2"/>
          </rPr>
          <t>U.S. EPA User or Contractor:</t>
        </r>
        <r>
          <rPr>
            <sz val="9"/>
            <color indexed="81"/>
            <rFont val="Tahoma"/>
            <family val="2"/>
          </rPr>
          <t xml:space="preserve">
Use this equation to replace "x" with peak area in polynomial curve:
=SUBSTITUTE(SUBSTITUTE(W2, "x", "*"&amp;O2&amp;"^", 1), "x", "*"&amp;O2, 1)</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Christopher T. Nietch</author>
    <author>U.S. EPA User or Contractor</author>
  </authors>
  <commentList>
    <comment ref="AF3" authorId="0" shapeId="0" xr:uid="{4498781E-7366-469F-9DDA-575296B8B3B1}">
      <text>
        <r>
          <rPr>
            <b/>
            <sz val="8"/>
            <color indexed="81"/>
            <rFont val="Tahoma"/>
            <family val="2"/>
          </rPr>
          <t>Christopher T. Nietch:</t>
        </r>
        <r>
          <rPr>
            <sz val="8"/>
            <color indexed="81"/>
            <rFont val="Tahoma"/>
            <family val="2"/>
          </rPr>
          <t xml:space="preserve">
This field is not transferred to the database it is used to track sample run schedules</t>
        </r>
      </text>
    </comment>
    <comment ref="AG3" authorId="0" shapeId="0" xr:uid="{F9D0E9AE-5F10-4239-B718-0032ED120E85}">
      <text>
        <r>
          <rPr>
            <b/>
            <sz val="8"/>
            <color indexed="81"/>
            <rFont val="Tahoma"/>
            <family val="2"/>
          </rPr>
          <t>Christopher T. Nietch:</t>
        </r>
        <r>
          <rPr>
            <sz val="8"/>
            <color indexed="81"/>
            <rFont val="Tahoma"/>
            <family val="2"/>
          </rPr>
          <t xml:space="preserve">
This is a month field it is not transferred to the database.</t>
        </r>
      </text>
    </comment>
    <comment ref="AH3" authorId="0" shapeId="0" xr:uid="{50DE0CDA-402D-4445-BF5F-50F5F41E7370}">
      <text>
        <r>
          <rPr>
            <b/>
            <sz val="8"/>
            <color indexed="81"/>
            <rFont val="Tahoma"/>
            <family val="2"/>
          </rPr>
          <t>Christopher T. Nietch:</t>
        </r>
        <r>
          <rPr>
            <sz val="8"/>
            <color indexed="81"/>
            <rFont val="Tahoma"/>
            <family val="2"/>
          </rPr>
          <t xml:space="preserve">
This is a  day 
field it is not transferred to the database.</t>
        </r>
      </text>
    </comment>
    <comment ref="AI3" authorId="0" shapeId="0" xr:uid="{92FBE2A5-79D5-405F-A899-0032537B332A}">
      <text>
        <r>
          <rPr>
            <b/>
            <sz val="8"/>
            <color indexed="81"/>
            <rFont val="Tahoma"/>
            <family val="2"/>
          </rPr>
          <t>Christopher T. Nietch:</t>
        </r>
        <r>
          <rPr>
            <sz val="8"/>
            <color indexed="81"/>
            <rFont val="Tahoma"/>
            <family val="2"/>
          </rPr>
          <t xml:space="preserve">
This is a year field it is not transferred to the database.</t>
        </r>
      </text>
    </comment>
    <comment ref="AJ3" authorId="0" shapeId="0" xr:uid="{CC9AEC34-DD4B-41CF-AEEC-63AA74740954}">
      <text>
        <r>
          <rPr>
            <b/>
            <sz val="8"/>
            <color indexed="81"/>
            <rFont val="Tahoma"/>
            <family val="2"/>
          </rPr>
          <t>Christopher T. Nietch:</t>
        </r>
        <r>
          <rPr>
            <sz val="8"/>
            <color indexed="81"/>
            <rFont val="Tahoma"/>
            <family val="2"/>
          </rPr>
          <t xml:space="preserve">
This is a date field it is not transferred to the database. It is constructed from the mm dd yy fields previously then pointed to in function to format the cdate field</t>
        </r>
      </text>
    </comment>
    <comment ref="AA5" authorId="0" shapeId="0" xr:uid="{D8CC3970-56B7-4C80-92B1-A4D971241C38}">
      <text>
        <r>
          <rPr>
            <b/>
            <sz val="8"/>
            <color indexed="81"/>
            <rFont val="Tahoma"/>
            <family val="2"/>
          </rPr>
          <t>Christopher T. Nietch:</t>
        </r>
        <r>
          <rPr>
            <sz val="8"/>
            <color indexed="81"/>
            <rFont val="Tahoma"/>
            <family val="2"/>
          </rPr>
          <t xml:space="preserve">
Is the calibration equation if applicable and/or known used for samples run for a given date/time detection</t>
        </r>
      </text>
    </comment>
    <comment ref="AB5" authorId="0" shapeId="0" xr:uid="{973E1958-04E6-434C-A24D-E2DAE2238150}">
      <text>
        <r>
          <rPr>
            <b/>
            <sz val="8"/>
            <color indexed="81"/>
            <rFont val="Tahoma"/>
            <family val="2"/>
          </rPr>
          <t>Christopher T. Nietch:</t>
        </r>
        <r>
          <rPr>
            <sz val="8"/>
            <color indexed="81"/>
            <rFont val="Tahoma"/>
            <family val="2"/>
          </rPr>
          <t xml:space="preserve">
uses if then logic and standard equation to fill-in</t>
        </r>
      </text>
    </comment>
    <comment ref="AC5" authorId="0" shapeId="0" xr:uid="{FDD11697-8E42-4817-B795-AB308CBFEE60}">
      <text>
        <r>
          <rPr>
            <b/>
            <sz val="8"/>
            <color indexed="81"/>
            <rFont val="Tahoma"/>
            <family val="2"/>
          </rPr>
          <t>Christopher T. Nietch:</t>
        </r>
        <r>
          <rPr>
            <sz val="8"/>
            <color indexed="81"/>
            <rFont val="Tahoma"/>
            <family val="2"/>
          </rPr>
          <t xml:space="preserve">
Uses the vlookup function and information (name inserts) in the qcequations and qcactual worksheets to fill in</t>
        </r>
      </text>
    </comment>
    <comment ref="AD5" authorId="0" shapeId="0" xr:uid="{2485398C-22AA-4F8E-855A-4900CBB01723}">
      <text>
        <r>
          <rPr>
            <b/>
            <sz val="8"/>
            <color indexed="81"/>
            <rFont val="Tahoma"/>
            <family val="2"/>
          </rPr>
          <t>Christopher T. Nietch:</t>
        </r>
        <r>
          <rPr>
            <sz val="8"/>
            <color indexed="81"/>
            <rFont val="Tahoma"/>
            <family val="2"/>
          </rPr>
          <t xml:space="preserve">
Uses if then logic and QC criteria to determine if a QC check passes (true) or fails (false)</t>
        </r>
      </text>
    </comment>
    <comment ref="AE5" authorId="0" shapeId="0" xr:uid="{0EE55A09-5A99-45E9-8DF1-B04310DB8465}">
      <text>
        <r>
          <rPr>
            <b/>
            <sz val="8"/>
            <color indexed="81"/>
            <rFont val="Tahoma"/>
            <family val="2"/>
          </rPr>
          <t>Christopher T. Nietch:</t>
        </r>
        <r>
          <rPr>
            <sz val="8"/>
            <color indexed="81"/>
            <rFont val="Tahoma"/>
            <family val="2"/>
          </rPr>
          <t xml:space="preserve">
This field is not brought into the database it is used to check that the appropriate QC equation is used</t>
        </r>
      </text>
    </comment>
    <comment ref="C7" authorId="1" shapeId="0" xr:uid="{62E2E31C-435F-4BFE-BDFC-FD7D77498DDE}">
      <text>
        <r>
          <rPr>
            <b/>
            <sz val="9"/>
            <color indexed="81"/>
            <rFont val="Tahoma"/>
            <family val="2"/>
          </rPr>
          <t>U.S. EPA User or Contractor:</t>
        </r>
        <r>
          <rPr>
            <sz val="9"/>
            <color indexed="81"/>
            <rFont val="Tahoma"/>
            <family val="2"/>
          </rPr>
          <t xml:space="preserve">
Gray highlighted ID's are no longer in use (not contained in the 2015 data file)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 EPA User or Contractor</author>
  </authors>
  <commentList>
    <comment ref="D3" authorId="0" shapeId="0" xr:uid="{060D67EE-4E20-42E4-83F6-6CED4484E2D8}">
      <text>
        <r>
          <rPr>
            <b/>
            <sz val="9"/>
            <color indexed="81"/>
            <rFont val="Tahoma"/>
            <family val="2"/>
          </rPr>
          <t>U.S. EPA User or Contractor:</t>
        </r>
        <r>
          <rPr>
            <sz val="9"/>
            <color indexed="81"/>
            <rFont val="Tahoma"/>
            <family val="2"/>
          </rPr>
          <t xml:space="preserve">
Updated 7/18/17SS
Value re-calculated for SOPs</t>
        </r>
      </text>
    </comment>
  </commentList>
</comments>
</file>

<file path=xl/sharedStrings.xml><?xml version="1.0" encoding="utf-8"?>
<sst xmlns="http://schemas.openxmlformats.org/spreadsheetml/2006/main" count="45329" uniqueCount="1304">
  <si>
    <t>cdate yymmdd10.</t>
  </si>
  <si>
    <t>ctime time11.</t>
  </si>
  <si>
    <t>id $char12.</t>
  </si>
  <si>
    <t>subid $char9.</t>
  </si>
  <si>
    <t>pos $char4.</t>
  </si>
  <si>
    <t>rep 1.</t>
  </si>
  <si>
    <t>matrix $char2.</t>
  </si>
  <si>
    <t>type $char3.</t>
  </si>
  <si>
    <t>anal$char6.</t>
  </si>
  <si>
    <t>cup 3.</t>
  </si>
  <si>
    <t>dtime time11.</t>
  </si>
  <si>
    <t>dilf 2.</t>
  </si>
  <si>
    <t>method $char5.</t>
  </si>
  <si>
    <t>parea 8.</t>
  </si>
  <si>
    <t>pht 8.</t>
  </si>
  <si>
    <t>conc 10.</t>
  </si>
  <si>
    <t>unit $char6.</t>
  </si>
  <si>
    <t>cconc 10.</t>
  </si>
  <si>
    <t>caleq $char90.</t>
  </si>
  <si>
    <t>qcrec 8.</t>
  </si>
  <si>
    <t>qcact 8.</t>
  </si>
  <si>
    <t>qcflag $char5.</t>
  </si>
  <si>
    <t>Collection Date (CDATE)</t>
  </si>
  <si>
    <t>Collection Time (CTIME)</t>
  </si>
  <si>
    <t>site id (ID)</t>
  </si>
  <si>
    <t>long id (SUBID)</t>
  </si>
  <si>
    <t>CRoss id (POS)</t>
  </si>
  <si>
    <t>REP#</t>
  </si>
  <si>
    <t>MATRIX</t>
  </si>
  <si>
    <t>TYPE</t>
  </si>
  <si>
    <t>Analyte Name (ANALY)</t>
  </si>
  <si>
    <t>Autosampler-Cup Number (CUP)</t>
  </si>
  <si>
    <t>Analyte Detection Date (DDATE)</t>
  </si>
  <si>
    <t>Analyte Detection Time (DTIME)</t>
  </si>
  <si>
    <t>Dilution Factor</t>
  </si>
  <si>
    <t>METHOD</t>
  </si>
  <si>
    <t>Peak Area (PAREA)</t>
  </si>
  <si>
    <t>Peak Height (PHT)</t>
  </si>
  <si>
    <t>Peak Concentration (CONC)</t>
  </si>
  <si>
    <t>UNIT</t>
  </si>
  <si>
    <t>Peak Concentration (corrected for dilution factor)</t>
  </si>
  <si>
    <t>Calibration Equation (CALEQ)</t>
  </si>
  <si>
    <t>QC-Recover (QCREC)</t>
  </si>
  <si>
    <t>QC-Actual (QCACT)</t>
  </si>
  <si>
    <t>QC-Flag (QCFLAG)</t>
  </si>
  <si>
    <t>QC-Equation (QCEQ)</t>
  </si>
  <si>
    <t>Run file</t>
  </si>
  <si>
    <t>NOTES</t>
  </si>
  <si>
    <t>mm</t>
  </si>
  <si>
    <t>dd</t>
  </si>
  <si>
    <t>yy</t>
  </si>
  <si>
    <t>m/d/yyyy</t>
  </si>
  <si>
    <t>PasteAsValue</t>
  </si>
  <si>
    <t>TP-TN Cal Curve ID</t>
  </si>
  <si>
    <t>TP adjusted concentration &lt;150 ppb (ug P/L)</t>
  </si>
  <si>
    <t>TP adjusted concentration &lt;300 ppb (ug P/L)</t>
  </si>
  <si>
    <t>TP adjusted concentration &lt;500 ppb (ug P/L)</t>
  </si>
  <si>
    <t>TN adjusted concentration &lt;2800 ppb (ug P/L)</t>
  </si>
  <si>
    <t>TP-TN adjusted concentration full series (ug P/L)</t>
  </si>
  <si>
    <t>TP calculation &lt;150 ppb (ug P/L)</t>
  </si>
  <si>
    <t>TP calculation &lt;300 ppb (ug P/L)</t>
  </si>
  <si>
    <t>TP calculation &lt;500 ppb (ug P/L)</t>
  </si>
  <si>
    <t>TN calculation &lt;2800 ppb (ug P/L)</t>
  </si>
  <si>
    <t>TP-TN calculation full series (ug P/L)</t>
  </si>
  <si>
    <t>TP calibration eq &lt; 150 ppb</t>
  </si>
  <si>
    <t>TP calibration eq &lt;300 ppb</t>
  </si>
  <si>
    <t>TP calibration eq &lt;500 ppb</t>
  </si>
  <si>
    <t>TN calibration eq &lt;2800 ppb</t>
  </si>
  <si>
    <t>TP-TN calibration eq full series ppb</t>
  </si>
  <si>
    <t>Combined ID</t>
  </si>
  <si>
    <t>QAC</t>
  </si>
  <si>
    <t>STD</t>
  </si>
  <si>
    <t>H</t>
  </si>
  <si>
    <t>DI</t>
  </si>
  <si>
    <t>CAL</t>
  </si>
  <si>
    <t>TNH4</t>
  </si>
  <si>
    <t>N-1.1</t>
  </si>
  <si>
    <t>ug-N/L</t>
  </si>
  <si>
    <t>Conc = 0.00 * Area^2 + 0.00 * Area + 0.00</t>
  </si>
  <si>
    <t>TN Calibration Curve ID</t>
  </si>
  <si>
    <t>Polynomial Value</t>
  </si>
  <si>
    <t>Polynomial Curve</t>
  </si>
  <si>
    <t>TP Calibration Curve ID</t>
  </si>
  <si>
    <t>TP</t>
  </si>
  <si>
    <t>P-1.5</t>
  </si>
  <si>
    <t>ug P/L</t>
  </si>
  <si>
    <t>Collection Date</t>
  </si>
  <si>
    <t>Collection Time</t>
  </si>
  <si>
    <t>Site id</t>
  </si>
  <si>
    <t>Longitudinal - id</t>
  </si>
  <si>
    <t>Cross-sectional id</t>
  </si>
  <si>
    <t>Replicate</t>
  </si>
  <si>
    <t>Matrix</t>
  </si>
  <si>
    <t>Type</t>
  </si>
  <si>
    <t>Analyte Name</t>
  </si>
  <si>
    <t>Autosampler-Cup Number</t>
  </si>
  <si>
    <t>Analyte Detection Date</t>
  </si>
  <si>
    <t>Analyte Detection Time</t>
  </si>
  <si>
    <t>Method</t>
  </si>
  <si>
    <t>Peak Area</t>
  </si>
  <si>
    <t>Peak Height</t>
  </si>
  <si>
    <t>Concentration</t>
  </si>
  <si>
    <t>Unit</t>
  </si>
  <si>
    <t>Concentration (corrected {i.e, dilution factor, unit conversions, etc}) (ug/l)</t>
  </si>
  <si>
    <t>Calibration Equation</t>
  </si>
  <si>
    <t>QC-Recovery</t>
  </si>
  <si>
    <t>QC-Actual</t>
  </si>
  <si>
    <t>QC-Flag</t>
  </si>
  <si>
    <t>QC-Equation</t>
  </si>
  <si>
    <t>cdate</t>
  </si>
  <si>
    <t>ctime</t>
  </si>
  <si>
    <t>id</t>
  </si>
  <si>
    <t>subid</t>
  </si>
  <si>
    <t>pos</t>
  </si>
  <si>
    <t>rep</t>
  </si>
  <si>
    <t>matrix</t>
  </si>
  <si>
    <t>type</t>
  </si>
  <si>
    <t>analy</t>
  </si>
  <si>
    <t>cup</t>
  </si>
  <si>
    <t>ddate</t>
  </si>
  <si>
    <t>dtime</t>
  </si>
  <si>
    <t>dilf</t>
  </si>
  <si>
    <t>method</t>
  </si>
  <si>
    <t>parea</t>
  </si>
  <si>
    <t>pht</t>
  </si>
  <si>
    <t>conc</t>
  </si>
  <si>
    <t>unit</t>
  </si>
  <si>
    <t>cconc</t>
  </si>
  <si>
    <t>caleq</t>
  </si>
  <si>
    <t>qcrec</t>
  </si>
  <si>
    <t>qcact</t>
  </si>
  <si>
    <t>qcflag</t>
  </si>
  <si>
    <t>qceq</t>
  </si>
  <si>
    <t>ctime
time11.</t>
  </si>
  <si>
    <t>id
$char3.</t>
  </si>
  <si>
    <t>subid
$char7.</t>
  </si>
  <si>
    <t>pos
$char4.</t>
  </si>
  <si>
    <t>rep
1.</t>
  </si>
  <si>
    <t>matrix
$char3.</t>
  </si>
  <si>
    <t>analy
$char6.</t>
  </si>
  <si>
    <t>cup
3.</t>
  </si>
  <si>
    <t>ddate
yymmdd10.</t>
  </si>
  <si>
    <t>dtime
time11.</t>
  </si>
  <si>
    <t>dilf
3.</t>
  </si>
  <si>
    <t>method
$char5.</t>
  </si>
  <si>
    <t>parea
8.</t>
  </si>
  <si>
    <t>pht
8.</t>
  </si>
  <si>
    <t>conc
10.</t>
  </si>
  <si>
    <t>unit
$char6.</t>
  </si>
  <si>
    <t>cconc
10.</t>
  </si>
  <si>
    <t>caleq
$char90.</t>
  </si>
  <si>
    <t>qcrec
8.</t>
  </si>
  <si>
    <t>qcact
8.</t>
  </si>
  <si>
    <t>qcflag
$char5.</t>
  </si>
  <si>
    <t>yyyymmdd</t>
  </si>
  <si>
    <t>hh:mm:ss AM/PM</t>
  </si>
  <si>
    <t>QA/QC standards, checks, blanks, etc.</t>
  </si>
  <si>
    <t>Influent</t>
  </si>
  <si>
    <t>INF</t>
  </si>
  <si>
    <t>left</t>
  </si>
  <si>
    <t>L</t>
  </si>
  <si>
    <t>#</t>
  </si>
  <si>
    <t>atmospheric deposition</t>
  </si>
  <si>
    <t>AD</t>
  </si>
  <si>
    <t>Adenosine monophosphate (recovry standard)</t>
  </si>
  <si>
    <t>AMP</t>
  </si>
  <si>
    <t>Dissolved (Filtered) Reactive Phosphorus (as orthophosphate)</t>
  </si>
  <si>
    <t>DRP</t>
  </si>
  <si>
    <t>Lachat Wet Chem Method for Nitrite-Nitrate</t>
  </si>
  <si>
    <t>N-1.0</t>
  </si>
  <si>
    <t>ug N/L</t>
  </si>
  <si>
    <t/>
  </si>
  <si>
    <t>*make sure this is an Excel date</t>
  </si>
  <si>
    <t>*make sure this is an Excel time</t>
  </si>
  <si>
    <t>effluent</t>
  </si>
  <si>
    <t>EFF</t>
  </si>
  <si>
    <t>right</t>
  </si>
  <si>
    <t>R</t>
  </si>
  <si>
    <t>periphyton</t>
  </si>
  <si>
    <t>BP</t>
  </si>
  <si>
    <t>Adenosine triphosphate (recovery standard)</t>
  </si>
  <si>
    <t>ATP</t>
  </si>
  <si>
    <t>Dissolved (Filtered) Ammonium</t>
  </si>
  <si>
    <t>NH4</t>
  </si>
  <si>
    <t>Lachat Wet Chem Method for Ammonium</t>
  </si>
  <si>
    <t>Aveys Run (Cincinnati Nature Center, stream site B)</t>
  </si>
  <si>
    <t>AVR</t>
  </si>
  <si>
    <t>bucket used to collect wet deposition</t>
  </si>
  <si>
    <t>WET</t>
  </si>
  <si>
    <t>center</t>
  </si>
  <si>
    <t>C</t>
  </si>
  <si>
    <t>deionized water</t>
  </si>
  <si>
    <t>Calibration (std)</t>
  </si>
  <si>
    <t>Ammonium analyzed as an endpoint to 24hr Urease Assay</t>
  </si>
  <si>
    <t>NH4-Urease</t>
  </si>
  <si>
    <t>Method N-1.0 with a pre wet oxidation step</t>
  </si>
  <si>
    <t>N-1.2</t>
  </si>
  <si>
    <t>mg N/L</t>
  </si>
  <si>
    <t>Cemetery Creek</t>
  </si>
  <si>
    <t>CEC</t>
  </si>
  <si>
    <t>bucket used to collect dry deposition</t>
  </si>
  <si>
    <t>DRY</t>
  </si>
  <si>
    <t>1:20 Dilution</t>
  </si>
  <si>
    <t>DIL20</t>
  </si>
  <si>
    <t>drinking water</t>
  </si>
  <si>
    <t>DW</t>
  </si>
  <si>
    <t>Check (of calibration std)</t>
  </si>
  <si>
    <t>CHK</t>
  </si>
  <si>
    <t>Dissolved (Filtered) Nitrite-Nitrate</t>
  </si>
  <si>
    <t>NO2-3</t>
  </si>
  <si>
    <t>Lachat Wet Chem Method for Orthophosphate</t>
  </si>
  <si>
    <t>P-1.0</t>
  </si>
  <si>
    <t>mg P/L</t>
  </si>
  <si>
    <t>East Fork (Harsha) Lake outflow to Lower East Fork River</t>
  </si>
  <si>
    <t>DAM</t>
  </si>
  <si>
    <t>bucket used for mixed wet and dry deposition</t>
  </si>
  <si>
    <t>W|D</t>
  </si>
  <si>
    <t>Undiluted</t>
  </si>
  <si>
    <t>UDIL</t>
  </si>
  <si>
    <t>intergravel</t>
  </si>
  <si>
    <t>IG</t>
  </si>
  <si>
    <t>Control for Urease Assay</t>
  </si>
  <si>
    <t>CONTROL</t>
  </si>
  <si>
    <t>Total Dissolved (Filtered) Nitrogen (as nitrate)</t>
  </si>
  <si>
    <t>TDN</t>
  </si>
  <si>
    <t>Method P-1.0 with a pre wet oxidation step and a comprehensive calibration curve</t>
  </si>
  <si>
    <t>mg C/L</t>
  </si>
  <si>
    <t>Bob McEwen Drinking Water Treatment Plant Intake Water sampled at sink inside the plant</t>
  </si>
  <si>
    <t>DWT</t>
  </si>
  <si>
    <t>control bucket for deposition</t>
  </si>
  <si>
    <t>surface water</t>
  </si>
  <si>
    <t>SW</t>
  </si>
  <si>
    <t>Analytical Duplicate</t>
  </si>
  <si>
    <t>DUP</t>
  </si>
  <si>
    <t>Total Nitrogen (Not filtered, as nitrate)</t>
  </si>
  <si>
    <t>TN</t>
  </si>
  <si>
    <t>Lachat Wet Chem Method for Urea</t>
  </si>
  <si>
    <t>U-1.0</t>
  </si>
  <si>
    <t>Experimental Stream Facility Mesocosms</t>
  </si>
  <si>
    <t>E01 - E08</t>
  </si>
  <si>
    <t>blank</t>
  </si>
  <si>
    <t>BLK</t>
  </si>
  <si>
    <t>waste water</t>
  </si>
  <si>
    <t>WW</t>
  </si>
  <si>
    <t>Experimental Stream Facility DI</t>
  </si>
  <si>
    <t>ESF</t>
  </si>
  <si>
    <t>Total Ammonium (Not filtered)</t>
  </si>
  <si>
    <t>Wet Oxidation Method for Organic Carbon</t>
  </si>
  <si>
    <t>C-1.0</t>
  </si>
  <si>
    <t>East Fork Little Miami River at Bluesky Parkway</t>
  </si>
  <si>
    <t>EFB</t>
  </si>
  <si>
    <t>confluence</t>
  </si>
  <si>
    <t>CFL</t>
  </si>
  <si>
    <t>Experimental Stream Facility DI with Urea</t>
  </si>
  <si>
    <t>ESFwU</t>
  </si>
  <si>
    <t>Total Nitrite-Nitrate (Not filtered)</t>
  </si>
  <si>
    <t>TNO2-3</t>
  </si>
  <si>
    <t>Lachat Wet Chem Method for Nitrite (no cadmium reduction)</t>
  </si>
  <si>
    <t>N-1.3</t>
  </si>
  <si>
    <t>East Fork Little Miami River at the confluence with the Littile Miami River at South Milford Rd.</t>
  </si>
  <si>
    <t>EFC</t>
  </si>
  <si>
    <t>discharge</t>
  </si>
  <si>
    <t>DSG</t>
  </si>
  <si>
    <t>Field</t>
  </si>
  <si>
    <t>FLD</t>
  </si>
  <si>
    <t>Total Dissolved (Filtered) Phosphorus</t>
  </si>
  <si>
    <t>TDP</t>
  </si>
  <si>
    <t>Method N-1.0 with in-line UV/heat digestion for TN and N-1.2 calibration curve range</t>
  </si>
  <si>
    <t>N-1.4</t>
  </si>
  <si>
    <t>East Fork Little Miami River North of Fayettville at Morgan Rd.</t>
  </si>
  <si>
    <t>EFG</t>
  </si>
  <si>
    <t>gravel section row and side</t>
  </si>
  <si>
    <t>G01 - G16.1/2</t>
  </si>
  <si>
    <t>Glutamic acid pluce glycerophoshate (recovery standard)</t>
  </si>
  <si>
    <t>GUP</t>
  </si>
  <si>
    <t>Total Phosphorus (Not Filtered)</t>
  </si>
  <si>
    <t>Method P-1.0 with in-line UV/heat digestion for TN and P-1.5 calibration curve range</t>
  </si>
  <si>
    <t>P-1.6</t>
  </si>
  <si>
    <t>East Fork Little Miami River at intake to Experimental Stream Facility</t>
  </si>
  <si>
    <t>EFK</t>
  </si>
  <si>
    <t>prefiltration</t>
  </si>
  <si>
    <t>PFL</t>
  </si>
  <si>
    <t>AWBERC Laboratory (blank)</t>
  </si>
  <si>
    <t>LAB</t>
  </si>
  <si>
    <t>Total Reactive Phosphorus (Not filtered, as orthophosphate)</t>
  </si>
  <si>
    <t>TRP</t>
  </si>
  <si>
    <t>East Fork (Harsha) Lake at intake to DWTP</t>
  </si>
  <si>
    <t>EFL</t>
  </si>
  <si>
    <t>prepermangante addition</t>
  </si>
  <si>
    <t>PMN</t>
  </si>
  <si>
    <t>Method Detection Limit</t>
  </si>
  <si>
    <t>MDL</t>
  </si>
  <si>
    <t>Total Urea</t>
  </si>
  <si>
    <t>TUREA</t>
  </si>
  <si>
    <t>East Fork Little Miami River at Marathon</t>
  </si>
  <si>
    <t>EFM</t>
  </si>
  <si>
    <t>post settling ponds</t>
  </si>
  <si>
    <t>SET</t>
  </si>
  <si>
    <t>Performance (standard)</t>
  </si>
  <si>
    <t>PER</t>
  </si>
  <si>
    <t>Dissolved (Filtered) Urea</t>
  </si>
  <si>
    <t>UREA</t>
  </si>
  <si>
    <t>East Fork little Miami River at Fayetteville</t>
  </si>
  <si>
    <t>EFY</t>
  </si>
  <si>
    <t>recovery</t>
  </si>
  <si>
    <t>REC</t>
  </si>
  <si>
    <t>REP</t>
  </si>
  <si>
    <t>Total (not filtered) Organic Carbon</t>
  </si>
  <si>
    <t>TOC</t>
  </si>
  <si>
    <t>East Fork Little Miami River at Williamsburg ("inflow to lake")</t>
  </si>
  <si>
    <t>ELI</t>
  </si>
  <si>
    <t>Jake Beaulieau sampling site</t>
  </si>
  <si>
    <t>ROA</t>
  </si>
  <si>
    <t>Matrix Spike</t>
  </si>
  <si>
    <t>SPK</t>
  </si>
  <si>
    <t>Dissolved (Filtered) Nitrite</t>
  </si>
  <si>
    <t>NO2</t>
  </si>
  <si>
    <t>Four Mile Creek at Elick Run Rd.</t>
  </si>
  <si>
    <t>FMR</t>
  </si>
  <si>
    <t>combined sample of surface and next depth</t>
  </si>
  <si>
    <t>S1</t>
  </si>
  <si>
    <t>Unknown</t>
  </si>
  <si>
    <t>UKN</t>
  </si>
  <si>
    <t>Totla Nitrite (Not filtered)</t>
  </si>
  <si>
    <t>TNO2</t>
  </si>
  <si>
    <t>Grassy Run at Confluence with East Fork River</t>
  </si>
  <si>
    <t>GRR</t>
  </si>
  <si>
    <t>filtered aliquot of combined sample of surface and next depth</t>
  </si>
  <si>
    <t>S1F</t>
  </si>
  <si>
    <t>Hall Run at Roundbottom</t>
  </si>
  <si>
    <t>HLR</t>
  </si>
  <si>
    <t>Water Column Depth</t>
  </si>
  <si>
    <t>Hesierman Stream at intake to Experimental Stream Facility</t>
  </si>
  <si>
    <t>HST</t>
  </si>
  <si>
    <t>Water Column depth</t>
  </si>
  <si>
    <t>Howard Run at confluence with East Fork River</t>
  </si>
  <si>
    <t>HWR</t>
  </si>
  <si>
    <t>Kain Run Tribuitary</t>
  </si>
  <si>
    <t>KRT</t>
  </si>
  <si>
    <t>Standard</t>
  </si>
  <si>
    <t>Lucy Run at confluence with East Fork River</t>
  </si>
  <si>
    <t>LRC</t>
  </si>
  <si>
    <t>Lake Sample form Surface</t>
  </si>
  <si>
    <t>SURFACE</t>
  </si>
  <si>
    <t>Owensville Tributary to Stonelick Creek</t>
  </si>
  <si>
    <t>OWT</t>
  </si>
  <si>
    <t>tile section row and side</t>
  </si>
  <si>
    <t>T01-T26.1/2</t>
  </si>
  <si>
    <t>South Harsha Tributary to Lake</t>
  </si>
  <si>
    <t>SHA</t>
  </si>
  <si>
    <t>Shaylor Crossing Headwater to Shaylor Run</t>
  </si>
  <si>
    <t>SHC</t>
  </si>
  <si>
    <t>Shaylor Run</t>
  </si>
  <si>
    <t>SHR</t>
  </si>
  <si>
    <t>South Lucy Tributary to Lucy Run</t>
  </si>
  <si>
    <t>SLT</t>
  </si>
  <si>
    <t>Stonelick Creek at confluence to East Fork River</t>
  </si>
  <si>
    <t>STC</t>
  </si>
  <si>
    <t>Upper Hall Run</t>
  </si>
  <si>
    <t>UHL</t>
  </si>
  <si>
    <t>Upper Salt Run</t>
  </si>
  <si>
    <t>USR</t>
  </si>
  <si>
    <t>Experimental Stream Facility</t>
  </si>
  <si>
    <t>Grailville Treatment Wetland</t>
  </si>
  <si>
    <t>GWT</t>
  </si>
  <si>
    <t>Shepherd Creek - Roadway Site (Jake Beaulieu)</t>
  </si>
  <si>
    <t>TMC</t>
  </si>
  <si>
    <t>Shepherd Creek - Driveway Site (Jake Beaulieu)</t>
  </si>
  <si>
    <t>DRI</t>
  </si>
  <si>
    <t>Top of reach (Jake Bealieu, EGT site)</t>
  </si>
  <si>
    <t>TOP</t>
  </si>
  <si>
    <t>Shepherd Creek - Reference Site (Jake Beaulieu)</t>
  </si>
  <si>
    <t>REF/RF7</t>
  </si>
  <si>
    <t>Tributary (Jake Beaulieu, EGT site)</t>
  </si>
  <si>
    <t>TRB</t>
  </si>
  <si>
    <t>Amberly Creek Buried Reach (JB)</t>
  </si>
  <si>
    <t>AMB</t>
  </si>
  <si>
    <t>Beaver Creek Buried Reach (JB)</t>
  </si>
  <si>
    <t>BVR</t>
  </si>
  <si>
    <t>Eastgate Buried Reach (JB)</t>
  </si>
  <si>
    <t>EGT</t>
  </si>
  <si>
    <t>Este Buried Reach (JB)</t>
  </si>
  <si>
    <t>EST</t>
  </si>
  <si>
    <t>Hall Run Buried Reach (JB)</t>
  </si>
  <si>
    <t>HRN</t>
  </si>
  <si>
    <t>Happy Hollow Buried Reach (JB)</t>
  </si>
  <si>
    <t>HHW</t>
  </si>
  <si>
    <t>Pebble Creek Buried Reach (JB)</t>
  </si>
  <si>
    <t>PBC</t>
  </si>
  <si>
    <t>Taylor Creek Buried Reach (JB)</t>
  </si>
  <si>
    <t>TLC</t>
  </si>
  <si>
    <t>Salamander Excrete Pilot Test (Milanovich/Hopton)</t>
  </si>
  <si>
    <t>SEP</t>
  </si>
  <si>
    <t>E01 - E10</t>
  </si>
  <si>
    <t>EFRM</t>
  </si>
  <si>
    <t>POPLR</t>
  </si>
  <si>
    <t>BARNS</t>
  </si>
  <si>
    <t>FIELD</t>
  </si>
  <si>
    <t>STEFLM</t>
  </si>
  <si>
    <t>Ohio River at Thomas Moore College (Beaulieau)</t>
  </si>
  <si>
    <t>ATH</t>
  </si>
  <si>
    <t>Top of reach (Bealieu, EGT site)</t>
  </si>
  <si>
    <t>Bethel</t>
  </si>
  <si>
    <t>Tributary (Beaulieu, EGT site)</t>
  </si>
  <si>
    <t>CC</t>
  </si>
  <si>
    <t>Upstream (Butler/Schuster)</t>
  </si>
  <si>
    <t>UP</t>
  </si>
  <si>
    <t>Cloverlick Creek</t>
  </si>
  <si>
    <t>CLC</t>
  </si>
  <si>
    <t>Downstream (Butler/Schuster)</t>
  </si>
  <si>
    <t>DN</t>
  </si>
  <si>
    <t>Clermont County Managed Site</t>
  </si>
  <si>
    <t>COUNTY</t>
  </si>
  <si>
    <t>Baseflow (Butler/Schuster)</t>
  </si>
  <si>
    <t>BF</t>
  </si>
  <si>
    <t>Cornwell Farm Site</t>
  </si>
  <si>
    <t>CWL</t>
  </si>
  <si>
    <t>Stormflow (Butler/Schuster)</t>
  </si>
  <si>
    <t>SF</t>
  </si>
  <si>
    <t>East Fork Lake at Drinking Water Intake</t>
  </si>
  <si>
    <t>EDW</t>
  </si>
  <si>
    <t>East Fork Lake East of Narrowed Section</t>
  </si>
  <si>
    <t>EEN</t>
  </si>
  <si>
    <t>Clermont County Named Sites</t>
  </si>
  <si>
    <t>EFLMR##</t>
  </si>
  <si>
    <t>East Fork Lake Middle Part (Between EWN and EDW)</t>
  </si>
  <si>
    <t>EMP</t>
  </si>
  <si>
    <t>East Fork Lake Overflow (near DAM control Structure)</t>
  </si>
  <si>
    <t>EOF</t>
  </si>
  <si>
    <t>ETB</t>
  </si>
  <si>
    <t>East Fork Lake Upstream Lacustrine Part of Main River Inflow</t>
  </si>
  <si>
    <t>EUS</t>
  </si>
  <si>
    <t xml:space="preserve">East Fork River Upstream of Williamsburg WWTP </t>
  </si>
  <si>
    <t>EUW</t>
  </si>
  <si>
    <t>East Fork Lake West of Narrowed Section</t>
  </si>
  <si>
    <t>EWN</t>
  </si>
  <si>
    <t>FiveMile Run Headwater Cover Crop Runoff Site (BrownCounty)</t>
  </si>
  <si>
    <t>FVM</t>
  </si>
  <si>
    <t>Grassy Run at 138 (Usually Maintained by County)</t>
  </si>
  <si>
    <t>GRS</t>
  </si>
  <si>
    <t>Grassy Run at Glancey-MarathonRd crossing before GRT</t>
  </si>
  <si>
    <t>GRSSY3.2</t>
  </si>
  <si>
    <t>Grassy Run Tributary</t>
  </si>
  <si>
    <t>GRT</t>
  </si>
  <si>
    <t>Newtonsville Site</t>
  </si>
  <si>
    <t>NWT</t>
  </si>
  <si>
    <t>RAW</t>
  </si>
  <si>
    <t>ReverseOsmosisTreated Water</t>
  </si>
  <si>
    <t>RO</t>
  </si>
  <si>
    <t>Stearling Run East Branch Site</t>
  </si>
  <si>
    <t>SRE</t>
  </si>
  <si>
    <t>Stearling Run West Branch Site</t>
  </si>
  <si>
    <t>SRW</t>
  </si>
  <si>
    <t>TDS Tox Test RUN</t>
  </si>
  <si>
    <t>T1-T8</t>
  </si>
  <si>
    <t>TOXTEST1-8</t>
  </si>
  <si>
    <t>WTH</t>
  </si>
  <si>
    <t>(Milanovich/Hopton)</t>
  </si>
  <si>
    <t>AT</t>
  </si>
  <si>
    <t>Bechtold Park (Milanovich/Hopton)</t>
  </si>
  <si>
    <t>BECH</t>
  </si>
  <si>
    <t>CNCF</t>
  </si>
  <si>
    <t>CNCFS</t>
  </si>
  <si>
    <t>CNCM</t>
  </si>
  <si>
    <t>CNCSC</t>
  </si>
  <si>
    <t>DH</t>
  </si>
  <si>
    <t>DRK</t>
  </si>
  <si>
    <t>FR</t>
  </si>
  <si>
    <t>KNDY</t>
  </si>
  <si>
    <t>MIAMIF</t>
  </si>
  <si>
    <t>Lick Run - Quebec Heights (Butler/Schuster)</t>
  </si>
  <si>
    <t>QH</t>
  </si>
  <si>
    <t>RAPRN</t>
  </si>
  <si>
    <t>RHC2</t>
  </si>
  <si>
    <t>RHCF</t>
  </si>
  <si>
    <t>RHCM</t>
  </si>
  <si>
    <t>RICH2</t>
  </si>
  <si>
    <t>RICM</t>
  </si>
  <si>
    <t>SHEP</t>
  </si>
  <si>
    <t>Lick Run - St. Francis Rain Gardens (Butler/Schuster)</t>
  </si>
  <si>
    <t>STF</t>
  </si>
  <si>
    <t>SCAS reactors (Carolyn Acheson)</t>
  </si>
  <si>
    <t>NE</t>
  </si>
  <si>
    <t>HNB</t>
  </si>
  <si>
    <t>LNB</t>
  </si>
  <si>
    <t xml:space="preserve">Trib to East Fork River Main Stem @ Round Bottom Rd. </t>
  </si>
  <si>
    <t>E. FK. L. MIAMI R. UPST. LYNCHBURG WWTP</t>
  </si>
  <si>
    <t xml:space="preserve">200506         </t>
  </si>
  <si>
    <t>TRIB. TO DODSON CREEK (RM 4.52) @ U.S. RT. 50</t>
  </si>
  <si>
    <t xml:space="preserve">301890         </t>
  </si>
  <si>
    <t>USACE Reservoir</t>
  </si>
  <si>
    <t>2BHR20001</t>
  </si>
  <si>
    <t>2BRR20001</t>
  </si>
  <si>
    <t>2BVR20001</t>
  </si>
  <si>
    <t>2CBR20001</t>
  </si>
  <si>
    <t>2CCK20001</t>
  </si>
  <si>
    <t>2CFK20001</t>
  </si>
  <si>
    <t>2CHL20001</t>
  </si>
  <si>
    <t>2CRR20001</t>
  </si>
  <si>
    <t>2EFR20001</t>
  </si>
  <si>
    <t>2GRR20001</t>
  </si>
  <si>
    <t>2HTR20001</t>
  </si>
  <si>
    <t>2MNR20001</t>
  </si>
  <si>
    <t>2MSR20001</t>
  </si>
  <si>
    <t>2NRR20001</t>
  </si>
  <si>
    <t>2PRR20001</t>
  </si>
  <si>
    <t>2RRR20001</t>
  </si>
  <si>
    <t>2SRR20001</t>
  </si>
  <si>
    <t>2TAR20001</t>
  </si>
  <si>
    <t>2WFR20001</t>
  </si>
  <si>
    <t>Mike Elovitz</t>
  </si>
  <si>
    <t>622_AA</t>
  </si>
  <si>
    <t>Unique ID</t>
  </si>
  <si>
    <t>622_BB</t>
  </si>
  <si>
    <t>622_BR</t>
  </si>
  <si>
    <t>622_DZ</t>
  </si>
  <si>
    <t>622_HT</t>
  </si>
  <si>
    <t>622_MN</t>
  </si>
  <si>
    <t>622_PT</t>
  </si>
  <si>
    <t>622_TR</t>
  </si>
  <si>
    <t>622_WR</t>
  </si>
  <si>
    <t>622_XX</t>
  </si>
  <si>
    <t>Jake Beaulieu</t>
  </si>
  <si>
    <t>BRR</t>
  </si>
  <si>
    <t>CGC</t>
  </si>
  <si>
    <t>ROY's Site</t>
  </si>
  <si>
    <t>FMC</t>
  </si>
  <si>
    <t>TRIB. TO E. FK. L. MIAMI R. (78.45) @ RAPID FORGE RD.</t>
  </si>
  <si>
    <t>P04</t>
  </si>
  <si>
    <t xml:space="preserve">M04P04         </t>
  </si>
  <si>
    <t>E. FK. L. MIAMI R. UPST. LYNCHBURG @ CANADA RD.</t>
  </si>
  <si>
    <t>S15</t>
  </si>
  <si>
    <t xml:space="preserve">M04S15         </t>
  </si>
  <si>
    <t>E. FK. L. MIAMI R. DST LYNCHBURG @ WISE RD.</t>
  </si>
  <si>
    <t>S14</t>
  </si>
  <si>
    <t xml:space="preserve">M04S14         </t>
  </si>
  <si>
    <t>DODSON CREEK @ 134</t>
  </si>
  <si>
    <t>S51</t>
  </si>
  <si>
    <t xml:space="preserve">M04S51         </t>
  </si>
  <si>
    <t>W. FK. E. FK. L. MIAMI R. @ ST. RT. 123</t>
  </si>
  <si>
    <t>S50</t>
  </si>
  <si>
    <t xml:space="preserve">M04S50         </t>
  </si>
  <si>
    <t>SALT RUN NEAR PERINTOWN @ ROUNDBOTTOM RD.</t>
  </si>
  <si>
    <t>SAR</t>
  </si>
  <si>
    <t xml:space="preserve">M99Q10         </t>
  </si>
  <si>
    <t>Nutrient Diffusing Substrates</t>
  </si>
  <si>
    <t>NDS</t>
  </si>
  <si>
    <t>Controls</t>
  </si>
  <si>
    <t>CON</t>
  </si>
  <si>
    <t>Fine fritted glass disc</t>
  </si>
  <si>
    <t>F</t>
  </si>
  <si>
    <t>Sampler #</t>
  </si>
  <si>
    <t>Agar</t>
  </si>
  <si>
    <t>AG</t>
  </si>
  <si>
    <t>Nitrogen+Phosphorus Enrichment</t>
  </si>
  <si>
    <t>NP</t>
  </si>
  <si>
    <t>Coarse fritted glass disc</t>
  </si>
  <si>
    <t>Sample Weight</t>
  </si>
  <si>
    <t>Fine fritted glass disc + Glass fiber filter</t>
  </si>
  <si>
    <t>FF</t>
  </si>
  <si>
    <t>Porous crucible cover</t>
  </si>
  <si>
    <t>PCC</t>
  </si>
  <si>
    <t>St. Francis Rain Gardens (Scott Jacobs)</t>
  </si>
  <si>
    <t>Site #, Rep # (3 sites, 6 reps)</t>
  </si>
  <si>
    <t>S1R1</t>
  </si>
  <si>
    <t>Lysimeter # (8 lysimeters)</t>
  </si>
  <si>
    <t>L1b</t>
  </si>
  <si>
    <t>ISCO blank</t>
  </si>
  <si>
    <t>ISCO</t>
  </si>
  <si>
    <t>Lysimeter blank</t>
  </si>
  <si>
    <t>LYS</t>
  </si>
  <si>
    <t>Pervious Pavement Lots (Scott Jacobs/Ruben Kertesz)</t>
  </si>
  <si>
    <t>PP</t>
  </si>
  <si>
    <t xml:space="preserve">Influent </t>
  </si>
  <si>
    <t>IN</t>
  </si>
  <si>
    <t>Sample rep</t>
  </si>
  <si>
    <t>Lot 82</t>
  </si>
  <si>
    <t>Lot 90</t>
  </si>
  <si>
    <t>Saltex - wetland samples (Joe Schubauer-Berigan)</t>
  </si>
  <si>
    <t>Saltex</t>
  </si>
  <si>
    <t>Site A (#s 1-6)</t>
  </si>
  <si>
    <t>A1</t>
  </si>
  <si>
    <t>Blue</t>
  </si>
  <si>
    <t>B</t>
  </si>
  <si>
    <t>Note: inconsisent ID's for these samples</t>
  </si>
  <si>
    <t>JSB</t>
  </si>
  <si>
    <t>Site B (#s 1-6)</t>
  </si>
  <si>
    <t>B1</t>
  </si>
  <si>
    <t>Red</t>
  </si>
  <si>
    <t>Site C (#s 1-6)</t>
  </si>
  <si>
    <t>C1</t>
  </si>
  <si>
    <t>White</t>
  </si>
  <si>
    <t>W</t>
  </si>
  <si>
    <t>Site D (#s 1-6)</t>
  </si>
  <si>
    <t>D1</t>
  </si>
  <si>
    <t>Yellow</t>
  </si>
  <si>
    <t>Y</t>
  </si>
  <si>
    <t>Site X (#s 1-6)</t>
  </si>
  <si>
    <t>X1</t>
  </si>
  <si>
    <t>AltRvr</t>
  </si>
  <si>
    <t>CS</t>
  </si>
  <si>
    <t>MerDock</t>
  </si>
  <si>
    <t>PR</t>
  </si>
  <si>
    <t>PU</t>
  </si>
  <si>
    <t>Tank</t>
  </si>
  <si>
    <t>WA-82 Greywater (Jay Garland/Brian Zimmerman)</t>
  </si>
  <si>
    <t>WA82</t>
  </si>
  <si>
    <t>B2</t>
  </si>
  <si>
    <t>Feed</t>
  </si>
  <si>
    <t>Eff</t>
  </si>
  <si>
    <t>??</t>
  </si>
  <si>
    <t>BUO</t>
  </si>
  <si>
    <t>ERS</t>
  </si>
  <si>
    <t>FVC</t>
  </si>
  <si>
    <t>H1-42</t>
  </si>
  <si>
    <t>CVB</t>
  </si>
  <si>
    <t>CW1-4</t>
  </si>
  <si>
    <t>DCH</t>
  </si>
  <si>
    <t>ECP</t>
  </si>
  <si>
    <t>EFBeach</t>
  </si>
  <si>
    <t>LRN</t>
  </si>
  <si>
    <t>MC</t>
  </si>
  <si>
    <t>Nexsens</t>
  </si>
  <si>
    <t>Nshore</t>
  </si>
  <si>
    <t>SHCK</t>
  </si>
  <si>
    <t>TBS</t>
  </si>
  <si>
    <t>Clermont County samples</t>
  </si>
  <si>
    <t>CWLBP</t>
  </si>
  <si>
    <t>CWLBPF</t>
  </si>
  <si>
    <t>CWLBPP</t>
  </si>
  <si>
    <t>CWLBPR</t>
  </si>
  <si>
    <t>CWLUS</t>
  </si>
  <si>
    <t>CWLUSF</t>
  </si>
  <si>
    <t>CWLUSP</t>
  </si>
  <si>
    <t>CWLUSR</t>
  </si>
  <si>
    <t>SVBEFF</t>
  </si>
  <si>
    <t>SVBEFFF</t>
  </si>
  <si>
    <t>SVBEFFP</t>
  </si>
  <si>
    <t>SVBEFFR</t>
  </si>
  <si>
    <t>SVBINF</t>
  </si>
  <si>
    <t>SVBINFF</t>
  </si>
  <si>
    <t>SVBINFP</t>
  </si>
  <si>
    <t>SVBINFR</t>
  </si>
  <si>
    <t>Joel Allen samples</t>
  </si>
  <si>
    <t>EFLD</t>
  </si>
  <si>
    <t>EFLS</t>
  </si>
  <si>
    <t>EMB</t>
  </si>
  <si>
    <t>CGB</t>
  </si>
  <si>
    <t>BUOY</t>
  </si>
  <si>
    <t>FB</t>
  </si>
  <si>
    <t>LB</t>
  </si>
  <si>
    <t>Jake Beaulieu samples</t>
  </si>
  <si>
    <t>JJB</t>
  </si>
  <si>
    <t>Joong Lee samples</t>
  </si>
  <si>
    <t>SHCK1-26</t>
  </si>
  <si>
    <t>?? 9/22/15 samples</t>
  </si>
  <si>
    <t>CCIntake</t>
  </si>
  <si>
    <t>Intake2</t>
  </si>
  <si>
    <t>EFLMUS</t>
  </si>
  <si>
    <t>EFLMUS2</t>
  </si>
  <si>
    <t>Cloverlick</t>
  </si>
  <si>
    <t>ENN</t>
  </si>
  <si>
    <t>FLYFB</t>
  </si>
  <si>
    <t>Vikram Kapoor samples (Jorge Santo Domingo)</t>
  </si>
  <si>
    <t>VK</t>
  </si>
  <si>
    <t>ID</t>
  </si>
  <si>
    <t>WATERSHED</t>
  </si>
  <si>
    <t>SiteID*</t>
  </si>
  <si>
    <t>OEPA2012Survey</t>
  </si>
  <si>
    <t>DESCRIPTION</t>
  </si>
  <si>
    <t>RM</t>
  </si>
  <si>
    <t>DrainageArea_mi2</t>
  </si>
  <si>
    <t>Lat</t>
  </si>
  <si>
    <t>Long</t>
  </si>
  <si>
    <t>For SAS Delete</t>
  </si>
  <si>
    <t>EFKW</t>
  </si>
  <si>
    <t>NA</t>
  </si>
  <si>
    <t>if id = "</t>
  </si>
  <si>
    <t>E01</t>
  </si>
  <si>
    <t>" then delete;</t>
  </si>
  <si>
    <t>E01.1</t>
  </si>
  <si>
    <t>E01.2</t>
  </si>
  <si>
    <t>Avey's Run</t>
  </si>
  <si>
    <t>E02</t>
  </si>
  <si>
    <t xml:space="preserve">200468         </t>
  </si>
  <si>
    <t>CLOVERLICK CREEK NE OF BETHEL @ ST. RT. 133</t>
  </si>
  <si>
    <t>E02.1</t>
  </si>
  <si>
    <t>Cornwell Drainage_us Stahl driveway Marathon Edenton</t>
  </si>
  <si>
    <t>E02.2</t>
  </si>
  <si>
    <t>M04S07</t>
  </si>
  <si>
    <t>East Fork River at spillway of East Fork Lake Dam, main outflow from East Fork Lake</t>
  </si>
  <si>
    <t>E03</t>
  </si>
  <si>
    <t>Inside DWTP</t>
  </si>
  <si>
    <t>E03.1</t>
  </si>
  <si>
    <t>M04S11</t>
  </si>
  <si>
    <t>EFLMR RM 44.1 at Blue Sky Park Rd.</t>
  </si>
  <si>
    <t>E03.2</t>
  </si>
  <si>
    <t xml:space="preserve">610530         </t>
  </si>
  <si>
    <t>E FK L MIAMI R NEAR TERRACE PARK COUNTRY CLUB @ S MILFORD RD</t>
  </si>
  <si>
    <t>E04</t>
  </si>
  <si>
    <t>East Fork River at Morgan Rd and Hwy 68</t>
  </si>
  <si>
    <t>E04.1</t>
  </si>
  <si>
    <t xml:space="preserve">M04W38         </t>
  </si>
  <si>
    <t>E. FK. L. MIAMI R. SE OF MILFORD, ADJ W TECHNE CENTER DRIVE</t>
  </si>
  <si>
    <t>E04.2</t>
  </si>
  <si>
    <t xml:space="preserve">301738         </t>
  </si>
  <si>
    <t>E. FK. L. MIAMI R. NEAR MARATHON @ ST. RT. 286</t>
  </si>
  <si>
    <t>E05</t>
  </si>
  <si>
    <t xml:space="preserve">M04S13         </t>
  </si>
  <si>
    <t>E. FK. L. MIAMI R. AT FAYETTEVILLE @ U.S. RT. 50</t>
  </si>
  <si>
    <t>E05.1</t>
  </si>
  <si>
    <t xml:space="preserve">M04S08         </t>
  </si>
  <si>
    <t>E. FK. L. MIAMI R. AT WILLIAMSBURG @ MAIN ST.</t>
  </si>
  <si>
    <t>E05.2</t>
  </si>
  <si>
    <t xml:space="preserve">M04S09         </t>
  </si>
  <si>
    <t>East Fork River at SR 32 crossing</t>
  </si>
  <si>
    <t>E06</t>
  </si>
  <si>
    <t>Unnamed</t>
  </si>
  <si>
    <t>Fourmile Creek @ Jackson Rd</t>
  </si>
  <si>
    <t>E06.1</t>
  </si>
  <si>
    <t xml:space="preserve">M99Q15         </t>
  </si>
  <si>
    <t>FOURMILE RUN NEAR BATAVIA @ ELK LICK RD.</t>
  </si>
  <si>
    <t>E06.2</t>
  </si>
  <si>
    <t xml:space="preserve">M04S49         </t>
  </si>
  <si>
    <t>FIVEMILE CREEK @ BLUE SKY PARK RD. (LOWER CROSSING)</t>
  </si>
  <si>
    <t>E07</t>
  </si>
  <si>
    <t>Five Mile Creek, Headwater Region at stream crossing just north of Rt 68 and Rt 286 Junction</t>
  </si>
  <si>
    <t>E07.1</t>
  </si>
  <si>
    <t xml:space="preserve">301345         </t>
  </si>
  <si>
    <t>GRASSY FORK S OF MARATHON @ GLANCY CORNER-MARATHON RD.</t>
  </si>
  <si>
    <t>E07.2</t>
  </si>
  <si>
    <t>Grassy Fork Tribuitary</t>
  </si>
  <si>
    <t>E08</t>
  </si>
  <si>
    <t xml:space="preserve">M04P13         </t>
  </si>
  <si>
    <t>HALL RUN NEAR MILFORD @ ROUNDBOTTOM RD.</t>
  </si>
  <si>
    <t>E08.1</t>
  </si>
  <si>
    <t>Heiserman Stream at intake to the Experimental Stream Facility</t>
  </si>
  <si>
    <t>E08.2</t>
  </si>
  <si>
    <t xml:space="preserve">301894         </t>
  </si>
  <si>
    <t>HOWARD RUN @ BURDSALL RD.</t>
  </si>
  <si>
    <t>Headwater Tribuitary to Kain Run off of St Route 271, East of St Route 32 overpass</t>
  </si>
  <si>
    <t xml:space="preserve">M04S43         </t>
  </si>
  <si>
    <t>LUCY RUN S OF BATAVIA, NEAR MOUTH</t>
  </si>
  <si>
    <t xml:space="preserve">Light Run Tribuitary to Cloverlick Creek </t>
  </si>
  <si>
    <t xml:space="preserve">301148         </t>
  </si>
  <si>
    <t>TRIB. TO STONELICK CREEK (10.61) @ CEDARVILLE RD.</t>
  </si>
  <si>
    <t>Owensville Tributary</t>
  </si>
  <si>
    <t>PSR</t>
  </si>
  <si>
    <t>M04S46</t>
  </si>
  <si>
    <t xml:space="preserve">Pleasant Run at Glancy Corner @ Marathon Rd. </t>
  </si>
  <si>
    <t>SCR</t>
  </si>
  <si>
    <t xml:space="preserve">M04P12         </t>
  </si>
  <si>
    <t>SUGARCAMP RUN NEAR MILFORD @ U.S. RT. 50</t>
  </si>
  <si>
    <t>South Harsha Tributary at Elk Lick Rd crossing in East Fork Lake State Park</t>
  </si>
  <si>
    <t>Shayler Crossing Headwater</t>
  </si>
  <si>
    <t xml:space="preserve">M04S37         </t>
  </si>
  <si>
    <t>SHAYLER RUN SE OF PERINTOWN @ BALDWIN RD.</t>
  </si>
  <si>
    <t>2CMR20001</t>
  </si>
  <si>
    <t>South Lucy Tributary Headwater</t>
  </si>
  <si>
    <t xml:space="preserve">M04P09         </t>
  </si>
  <si>
    <t>STONELICK CREEK NEAR BATAVIA @ U.S. RT. 50</t>
  </si>
  <si>
    <t>SYR</t>
  </si>
  <si>
    <t>M04S38</t>
  </si>
  <si>
    <t>Shayler Run Near Olive Branch, Upst St. Rt. 32</t>
  </si>
  <si>
    <t>Twin Bridges Stream crossing in East Fork Lake State Park</t>
  </si>
  <si>
    <t>Upper Hall Run Headwater</t>
  </si>
  <si>
    <t>EFKL</t>
  </si>
  <si>
    <t>East Fork Lake Near Cloverlick and Poplar combined inflows</t>
  </si>
  <si>
    <t>East Fork Lake at DWTP intake</t>
  </si>
  <si>
    <t>East Fork Lake Main Beach west of narrows</t>
  </si>
  <si>
    <t>East Fork Lake North Shore before narrows</t>
  </si>
  <si>
    <t>East Fork Lake near overflow controls structure</t>
  </si>
  <si>
    <t>East Fork Lake Upstream</t>
  </si>
  <si>
    <t>POPLR2.1</t>
  </si>
  <si>
    <t>Poplar Creek @ Macedonia_Macedonia Road Bridge</t>
  </si>
  <si>
    <t>GRSSY0.2</t>
  </si>
  <si>
    <t>Grassy Fork @ GC-Marathon Rd_Glancy Corner-Marathon Road</t>
  </si>
  <si>
    <t>PLEAS1.3</t>
  </si>
  <si>
    <t>Pleasant Run at Blue Sky Park_downstream of CECOS</t>
  </si>
  <si>
    <t>PLEAS2.5</t>
  </si>
  <si>
    <t>Pleasant Run at Hartman Cabin_upstream of CECOS</t>
  </si>
  <si>
    <t>EFRM70.1</t>
  </si>
  <si>
    <t>East Fork @ Wise Road_Clinton Co Wise Road Bridge</t>
  </si>
  <si>
    <t>OB1.83</t>
  </si>
  <si>
    <t>O'Bannon Obannonville bridge_OBannonville Bridge ds WWTP</t>
  </si>
  <si>
    <t>EFRM75.3</t>
  </si>
  <si>
    <t>East Fork @ Canada Rd_Canada Road bridge</t>
  </si>
  <si>
    <t>USCWL</t>
  </si>
  <si>
    <t>cornwell upstream_upstream of BMP</t>
  </si>
  <si>
    <t>GRSSY3.0</t>
  </si>
  <si>
    <t>Grassy Fork Marathon Edenton_5764 Marathon-Edenton Road</t>
  </si>
  <si>
    <t>Grassy Fork @131 Brown Co_river left trib., us 131, Brown Co</t>
  </si>
  <si>
    <t>DODSN1.4</t>
  </si>
  <si>
    <t>Dodson Cr. @ St. Rt. 134_Dodson Creek @ St. Rt. 134</t>
  </si>
  <si>
    <t>HMWALTNF</t>
  </si>
  <si>
    <t>nearfield, watlz, horse manure_u/s of pond</t>
  </si>
  <si>
    <t>PE</t>
  </si>
  <si>
    <t>HMWALTFF</t>
  </si>
  <si>
    <t>Waltz, far field, horse manure_d/s of pond</t>
  </si>
  <si>
    <t>HMTHORNF</t>
  </si>
  <si>
    <t>Thornbury, near field_near manure pile</t>
  </si>
  <si>
    <t>HMTHORFF</t>
  </si>
  <si>
    <t>Thornbury, far-field_d/s from manure pile u/s drive</t>
  </si>
  <si>
    <t>XL</t>
  </si>
  <si>
    <t>HMMILLNF</t>
  </si>
  <si>
    <t>Miller, near-field_pipe draining manure pile</t>
  </si>
  <si>
    <t>GRSSY</t>
  </si>
  <si>
    <t>HMMILLFF</t>
  </si>
  <si>
    <t>Miller, far-field_by trail crossing</t>
  </si>
  <si>
    <t>HMGONZNF</t>
  </si>
  <si>
    <t>Gonzalez, near field_</t>
  </si>
  <si>
    <t>HNR</t>
  </si>
  <si>
    <t>HMGONZFF</t>
  </si>
  <si>
    <t>Gonzalez, far field_</t>
  </si>
  <si>
    <t>LKF</t>
  </si>
  <si>
    <t>Clough Creek</t>
  </si>
  <si>
    <t>NBS</t>
  </si>
  <si>
    <t>TNB</t>
  </si>
  <si>
    <t>Sterling Run, Western Branch, Headwater Region at intersection of Greenbush East Rd and Rt 68.</t>
  </si>
  <si>
    <t>Sterling Run, Eastern Branch, Headwater Region at stream crossing on Rt286 between Moon and Dietrick Rds</t>
  </si>
  <si>
    <t>Perintown</t>
  </si>
  <si>
    <t>03247500 EAST FORK LITTLE MIAMI RIVER AT PERINTOWN, OH</t>
  </si>
  <si>
    <t>2EFR10002</t>
  </si>
  <si>
    <t>East Fork River at 276 bridge crossing in Williamsburg, OH.</t>
  </si>
  <si>
    <t>2EFR20004</t>
  </si>
  <si>
    <t>East Fork Lake, EFLMR Main Inflow Tribuitary, Willamsburg, O. Quad (NEAR EUS)</t>
  </si>
  <si>
    <t>2EFR21001</t>
  </si>
  <si>
    <t>East Fork Lake, Cloverlick Inflow Tribuitary above Poplar Creek</t>
  </si>
  <si>
    <t>LMR</t>
  </si>
  <si>
    <t>2EFR11205</t>
  </si>
  <si>
    <t>Poplar Creek and St Route232</t>
  </si>
  <si>
    <t>LRW</t>
  </si>
  <si>
    <t>2EFR11204</t>
  </si>
  <si>
    <t>Poplar Creek and St Route125</t>
  </si>
  <si>
    <t>WOCW</t>
  </si>
  <si>
    <t>2EFR20005</t>
  </si>
  <si>
    <t>East Fork Lake near Cabin Run Inflow (NEAR EEN)</t>
  </si>
  <si>
    <t>2EFR21000</t>
  </si>
  <si>
    <t>East Fork Lake near combined confluences of CLC and Poplar in lake</t>
  </si>
  <si>
    <t>2EFR20024</t>
  </si>
  <si>
    <t>East Fork Lake, Near Boat Launch on Elk Lick Rd</t>
  </si>
  <si>
    <t>2EFR23001</t>
  </si>
  <si>
    <t>East Fork Lake near Slabcamp Run Inflow</t>
  </si>
  <si>
    <t>Located on East Fork Lake at the Log Boom. (Lake Side of "DAM" near USACE Flow Control Structure)</t>
  </si>
  <si>
    <t>2EFR10000</t>
  </si>
  <si>
    <t>EFLMR at CO. RD. Bridge 0.1 Miles off Elk Lick Road, Batavia, O. Quad. (Near EPA "DAM" Site)</t>
  </si>
  <si>
    <t>622_wR</t>
  </si>
  <si>
    <t>Bear Run</t>
  </si>
  <si>
    <t>HRR</t>
  </si>
  <si>
    <t>Horner Run</t>
  </si>
  <si>
    <t>Lick Fork</t>
  </si>
  <si>
    <t>North Branch Sycamore</t>
  </si>
  <si>
    <t>Trib North Branch Sycamore</t>
  </si>
  <si>
    <t>EQUATION</t>
  </si>
  <si>
    <t>[chk]/[actual]*100</t>
  </si>
  <si>
    <t>[rec]/[actual]*100</t>
  </si>
  <si>
    <t>NIC</t>
  </si>
  <si>
    <t>[per]/[actual]*100</t>
  </si>
  <si>
    <t>((ABS(rep1-rep2))/((rep1+rep2)/2)*100</t>
  </si>
  <si>
    <t>([spikedunkn]-[unkn])/[spike]*100</t>
  </si>
  <si>
    <t>nominal concentration</t>
  </si>
  <si>
    <t>IF(OR(TYPE="CHK",TYPE="ATP", TYPE="GUP",TYPE="PER"),CCONC/QCACT*100,IF(TYPE="DUP",(ABS(CONC1-CONC2))/AVERAGE(CONC1,CONC2))*100,IF(TYPE="SPK",SPKCONC-CONC1/QCACT*100,IF(OR(TYPE="LAB",TYPE="FLD",TYPE="ESF"),CONC1,""))))</t>
  </si>
  <si>
    <t>ANALYTE</t>
  </si>
  <si>
    <t>POS</t>
  </si>
  <si>
    <t>VALUE</t>
  </si>
  <si>
    <t>TP/TDP</t>
  </si>
  <si>
    <t>A</t>
  </si>
  <si>
    <t xml:space="preserve">IF(ISNA(VLOOKUP(C2,Customers,2,FALSE)),"",(VLOOKUP(C2,Customers,2,FALSE))) </t>
  </si>
  <si>
    <t>Let's try it.  First we need to think about each of the three formulas and what they must include.  We already have our VLOOKUP formula and we already know what an IF function must include, so the only one we need to learn is the ISNA function.  All the ISNA function does is return a value of true or false.  True if the cell has a #N/A error and false if it doesn't.  So, since an IF statement wants to know if something is true or false, these two functions work very well together.</t>
  </si>
  <si>
    <t>TN/TDN</t>
  </si>
  <si>
    <t>Click into cell D2 in your Invoice sheet where your first VLOOKUP formula is.</t>
  </si>
  <si>
    <t xml:space="preserve">The thing you need to understand is that when you nest formulas within formulas, Excel performs the operation dictated by the deepest nested formula first, then works its way outward.  So, enter the following formula into cell D2, then enter an account number in cell C2 that does not exist on your Accounts sheet and you will see that the #N/A error does not show. </t>
  </si>
  <si>
    <r>
      <t xml:space="preserve">NOTE: </t>
    </r>
    <r>
      <rPr>
        <sz val="10"/>
        <color indexed="8"/>
        <rFont val="Arial"/>
        <family val="2"/>
      </rPr>
      <t> Be sure to include all the proper commas and parentheses.  Remember that all opening parentheses must have closing parentheses or Excel will give you an error message.</t>
    </r>
  </si>
  <si>
    <t>Remember that Excel performs the deepest nested function first, so looking at the formula above, you will see:</t>
  </si>
  <si>
    <r>
      <t>The first thing Excel does is perform the first VLOOKUP (since that's the one that is nested deepest)</t>
    </r>
    <r>
      <rPr>
        <sz val="10"/>
        <color indexed="8"/>
        <rFont val="Times New Roman"/>
        <family val="1"/>
      </rPr>
      <t xml:space="preserve"> </t>
    </r>
  </si>
  <si>
    <r>
      <t>Then it performs the ISNA function on the result of the VLOOKUP to see if the VLOOKUP gave a #N/A error or not.  The ISNA function returns a value of true if it sees the #N/A error and a value of false if it doesn't</t>
    </r>
    <r>
      <rPr>
        <sz val="10"/>
        <color indexed="8"/>
        <rFont val="Times New Roman"/>
        <family val="1"/>
      </rPr>
      <t xml:space="preserve"> </t>
    </r>
  </si>
  <si>
    <r>
      <t>Then Excel performs the IF function on the result of the ISNA function.  If it sees a "true", it returns nothing (which is what the "" tells it). If it is "false", it returns the result of the VLOOKUP function, which is what the last VLOOKUP function is telling it to do if the value is false.</t>
    </r>
    <r>
      <rPr>
        <sz val="10"/>
        <color indexed="8"/>
        <rFont val="Times New Roman"/>
        <family val="1"/>
      </rPr>
      <t xml:space="preserve"> </t>
    </r>
  </si>
  <si>
    <t>Tfe</t>
  </si>
  <si>
    <t>TP/TDP/TN/TDN</t>
  </si>
  <si>
    <t>Source</t>
  </si>
  <si>
    <t>UltraCheck</t>
  </si>
  <si>
    <t>Keith/Maily PO4</t>
  </si>
  <si>
    <t>Ultracheck</t>
  </si>
  <si>
    <t>Maily PO4</t>
  </si>
  <si>
    <t>Dave Griffith NO2</t>
  </si>
  <si>
    <t>David G. NO2</t>
  </si>
  <si>
    <t>Start date:</t>
  </si>
  <si>
    <t>Code:</t>
  </si>
  <si>
    <t>16A</t>
  </si>
  <si>
    <t>16B</t>
  </si>
  <si>
    <t>17A</t>
  </si>
  <si>
    <t>17B</t>
  </si>
  <si>
    <t>17C</t>
  </si>
  <si>
    <t>18A</t>
  </si>
  <si>
    <t>18B</t>
  </si>
  <si>
    <t>18C</t>
  </si>
  <si>
    <t>19A</t>
  </si>
  <si>
    <t>19B</t>
  </si>
  <si>
    <t>19C</t>
  </si>
  <si>
    <t>21A</t>
  </si>
  <si>
    <t>NO2-3/TNO2-3</t>
  </si>
  <si>
    <t>D</t>
  </si>
  <si>
    <t>Nutrient Master Data Change Log</t>
  </si>
  <si>
    <t>DATE</t>
  </si>
  <si>
    <t>INITIALS</t>
  </si>
  <si>
    <t>CHANGES</t>
  </si>
  <si>
    <t>AKB</t>
  </si>
  <si>
    <t>Created file.</t>
  </si>
  <si>
    <t>G</t>
  </si>
  <si>
    <t>E</t>
  </si>
  <si>
    <t>frozen</t>
  </si>
  <si>
    <t>FIL</t>
  </si>
  <si>
    <t xml:space="preserve">HST </t>
  </si>
  <si>
    <t>ug-P/L</t>
  </si>
  <si>
    <t>Conc = 0.00 * Area + 0.00</t>
  </si>
  <si>
    <t>Conc = 131 * Area + 0.00</t>
  </si>
  <si>
    <t>Conc = 133 * Area + 0.00</t>
  </si>
  <si>
    <t>D.H</t>
  </si>
  <si>
    <t>D.G</t>
  </si>
  <si>
    <t>D.F</t>
  </si>
  <si>
    <t>D.E</t>
  </si>
  <si>
    <t>D.D</t>
  </si>
  <si>
    <t>D.C</t>
  </si>
  <si>
    <t>D.B</t>
  </si>
  <si>
    <t>D.A</t>
  </si>
  <si>
    <t>Q.H</t>
  </si>
  <si>
    <t>Q.G</t>
  </si>
  <si>
    <t>Q.F</t>
  </si>
  <si>
    <t>Q.E</t>
  </si>
  <si>
    <t>Q.D</t>
  </si>
  <si>
    <t>Q.C</t>
  </si>
  <si>
    <t>Q.B</t>
  </si>
  <si>
    <t>Q.A</t>
  </si>
  <si>
    <t>.</t>
  </si>
  <si>
    <t>Conc = 169 * Area + 0.00</t>
  </si>
  <si>
    <t>broken tube</t>
  </si>
  <si>
    <t>Conc = 151 * Area + 0.00</t>
  </si>
  <si>
    <t>Conc = 176 * Area + 0.00</t>
  </si>
  <si>
    <t>Conc = 177 * Area + 0.00</t>
  </si>
  <si>
    <t>Conc = 136 * Area + 0.00</t>
  </si>
  <si>
    <t>Conc = 130 * Area + 0.00</t>
  </si>
  <si>
    <t>Conc = 178 * Area + 0.00</t>
  </si>
  <si>
    <t>Conc = 113 * Area + 0.00</t>
  </si>
  <si>
    <t>cdate mmdd10.</t>
  </si>
  <si>
    <t>tpe $char3.</t>
  </si>
  <si>
    <t>ddate mmdd10.</t>
  </si>
  <si>
    <t>m/d/</t>
  </si>
  <si>
    <t>Heath</t>
  </si>
  <si>
    <t>22A</t>
  </si>
  <si>
    <t>OM_1-4-2023_10-25-42AM-adj (8500).OMN</t>
  </si>
  <si>
    <t>Conc = 256 * Area^2 - 4.41 * Area + 0.00</t>
  </si>
  <si>
    <t>Conc = - 9.88 * Area^2 + 71.9 * Area + 0.00</t>
  </si>
  <si>
    <t>Conc = - 7.51 * Area^2 + 70.3 * Area + 0.00</t>
  </si>
  <si>
    <t>Conc = - 1.46 * Area^2 + 63.9 * Area + 0.00</t>
  </si>
  <si>
    <t>Conc = - 0.534 * Area^2 + 60.7 * Area + 0.00</t>
  </si>
  <si>
    <t>Conc = - 0.141 * Area^2 + 57.9 * Area + 0.00</t>
  </si>
  <si>
    <t>Conc = - 0.0715 * Area^2 + 57.0 * Area + 0.00</t>
  </si>
  <si>
    <t>Conc = 94.5 * Area + 0.00</t>
  </si>
  <si>
    <t>Conc = 115 * Area + 0.00</t>
  </si>
  <si>
    <t>OM_1-4-2023_01-19-20PM (8500).OMN</t>
  </si>
  <si>
    <t>Conc = 371 * Area - 191</t>
  </si>
  <si>
    <t>Conc = 218 * Area - 106</t>
  </si>
  <si>
    <t>Conc = 202 * Area - 95.8</t>
  </si>
  <si>
    <t>Conc = 209 * Area - 103</t>
  </si>
  <si>
    <t>Conc = 212 * Area - 108</t>
  </si>
  <si>
    <t>Conc = 222 * Area - 135</t>
  </si>
  <si>
    <t>Conc = 215 * Area - 108</t>
  </si>
  <si>
    <t>test</t>
  </si>
  <si>
    <t>y=-0.5241x2+227.02x-134.2</t>
  </si>
  <si>
    <t>y=0.4739x2+205.64x-100.4</t>
  </si>
  <si>
    <t>OM_1-4-2023_12-51-42PM (8000).OMN</t>
  </si>
  <si>
    <t>Conc = - 20.8 * Area^2 + 115 * Area - 50.0</t>
  </si>
  <si>
    <t>Conc = - 6.19 * Area^2 + 91.5 * Area - 41.9</t>
  </si>
  <si>
    <t>Conc = - 0.206 * Area^2 + 67.6 * Area - 28.5</t>
  </si>
  <si>
    <t>Conc = - 0.187 * Area^2 + 67.4 * Area - 28.4</t>
  </si>
  <si>
    <t>Conc = 0.0921 * Area^2 + 63.4 * Area - 23.3</t>
  </si>
  <si>
    <t>Conc = 0.0289 * Area^2 + 64.6 * Area - 25.3</t>
  </si>
  <si>
    <t>Conc = 0.0269 * Area^2 + 64.7 * Area - 26.0</t>
  </si>
  <si>
    <t>Conc = 0.0242 * Area^2 + 64.8 * Area - 26.8</t>
  </si>
  <si>
    <t>Conc = 0.0255 * Area^2 + 64.8 * Area - 26.4</t>
  </si>
  <si>
    <t>Conc = 0.0285 * Area^2 + 64.6 * Area - 24.5</t>
  </si>
  <si>
    <t>Conc = 0.0253 * Area^2 + 64.6 * Area - 22.7</t>
  </si>
  <si>
    <t>Conc = 3.71e-3 * Area^2 + 65.2 * Area - 21.6</t>
  </si>
  <si>
    <t>Conc = - 0.0474 * Area^2 + 66.6 * Area - 22.1</t>
  </si>
  <si>
    <t>Conc = - 0.0474 * Area^2 + 66.6 * Area - 22.2</t>
  </si>
  <si>
    <t>y=-0.0423x2+66.444x-22.986</t>
  </si>
  <si>
    <t>y=-1.1451x2+77.605x-34.739</t>
  </si>
  <si>
    <t>y=-2.6941x2+86.956x-40.231</t>
  </si>
  <si>
    <t>y=-2.6941*.^2+86.956*.-40.231</t>
  </si>
  <si>
    <t>y=-1.1451*.^2+77.605*.-34.739</t>
  </si>
  <si>
    <t>y=-0.0423*.^2+66.444*.-22.986</t>
  </si>
  <si>
    <t>Conc = 0.143 * Area^2 + 57.4 * Area + 0.00</t>
  </si>
  <si>
    <t>OM_1-11-2023_10-55-03AM-adj (8500).OMN</t>
  </si>
  <si>
    <t>Conc = 0.142 * Area^2 + 57.4 * Area + 0.00</t>
  </si>
  <si>
    <t>Conc = 0.141 * Area^2 + 57.4 * Area + 0.00</t>
  </si>
  <si>
    <t>Conc = 0.153 * Area^2 + 57.0 * Area + 0.00</t>
  </si>
  <si>
    <t>Conc = 0.134 * Area^2 + 57.3 * Area + 0.00</t>
  </si>
  <si>
    <t>Conc = 0.139 * Area^2 + 57.2 * Area + 0.00</t>
  </si>
  <si>
    <t>ELW</t>
  </si>
  <si>
    <t>EAW</t>
  </si>
  <si>
    <t>Conc = 174 * Area + 0.00</t>
  </si>
  <si>
    <t>Conc = 175 * Area + 0.00</t>
  </si>
  <si>
    <t>Conc = 132 * Area + 0.00</t>
  </si>
  <si>
    <t>Conc = 359 * Area + 0.00</t>
  </si>
  <si>
    <t>OM_1-11-2023_01-41-41PM (8500).OMN</t>
  </si>
  <si>
    <t>Conc = 170 * Area - 61.9</t>
  </si>
  <si>
    <t>Conc = 189 * Area - 70.2</t>
  </si>
  <si>
    <t>Conc = 200 * Area - 76.8</t>
  </si>
  <si>
    <t>Conc = 203 * Area - 80.3</t>
  </si>
  <si>
    <t>Conc = 216 * Area - 101</t>
  </si>
  <si>
    <t>Conc = 214 * Area - 96.1</t>
  </si>
  <si>
    <t>Conc = 214 * Area - 98.6</t>
  </si>
  <si>
    <t>y=0.155x2+210.99x-92.045</t>
  </si>
  <si>
    <t>y=2.4015x2+187.16x-68.555</t>
  </si>
  <si>
    <t>y=-8.4348x2+102.96x-48.008</t>
  </si>
  <si>
    <t>y=-8.4348x2+102.96x-48.009</t>
  </si>
  <si>
    <t>y=-8.4348x2+102.96x-48.010</t>
  </si>
  <si>
    <t>y=-8.4348x2+102.96x-48.011</t>
  </si>
  <si>
    <t>y=-8.4348x2+102.96x-48.012</t>
  </si>
  <si>
    <t>y=-8.4348x2+102.96x-48.013</t>
  </si>
  <si>
    <t>y=-8.4348*.^2+102.96*.-48.013</t>
  </si>
  <si>
    <t>OM_1-11-2023_01-50-28PM (8000).OMN</t>
  </si>
  <si>
    <t>Conc = - 699 * Area^2 + 1.21e+3 * Area - 451</t>
  </si>
  <si>
    <t>Conc = - 8.44 * Area^2 + 103 * Area - 48.5</t>
  </si>
  <si>
    <t>Conc = 0.513 * Area^2 + 67.5 * Area - 28.9</t>
  </si>
  <si>
    <t>Conc = - 0.600 * Area^2 + 75.9 * Area - 35.7</t>
  </si>
  <si>
    <t>Conc = - 0.150 * Area^2 + 69.5 * Area - 27.6</t>
  </si>
  <si>
    <t>Conc = 0.0554 * Area^2 + 65.5 * Area - 21.1</t>
  </si>
  <si>
    <t>Conc = 0.0603 * Area^2 + 65.3 * Area - 19.6</t>
  </si>
  <si>
    <t>Conc = 0.0527 * Area^2 + 65.6 * Area - 21.7</t>
  </si>
  <si>
    <t>Conc = 0.0513 * Area^2 + 65.6 * Area - 22.1</t>
  </si>
  <si>
    <t>Conc = 0.0507 * Area^2 + 65.7 * Area - 22.3</t>
  </si>
  <si>
    <t>Conc = 0.0519 * Area^2 + 65.6 * Area - 21.5</t>
  </si>
  <si>
    <t>Conc = 0.0484 * Area^2 + 65.6 * Area - 19.9</t>
  </si>
  <si>
    <t>Conc = 0.0346 * Area^2 + 66.0 * Area - 19.4</t>
  </si>
  <si>
    <t>Conc = 0.0416 * Area^2 + 65.8 * Area - 19.4</t>
  </si>
  <si>
    <t>y=0x2+67.076x-21.654</t>
  </si>
  <si>
    <t>y=-0.232x2+72.802x-30.279</t>
  </si>
  <si>
    <t>y=-2.8628x2+86.116x-37.286</t>
  </si>
  <si>
    <t>y=-1.7779x2+83.185x-35.938</t>
  </si>
  <si>
    <t>OM_1-24-2023_10-48-45AM-adj (8500).OMN</t>
  </si>
  <si>
    <t>Conc = 220 * Area^2 - 6.31 * Area + 0.00</t>
  </si>
  <si>
    <t>Conc = 9.33 * Area^2 + 59.5 * Area + 0.00</t>
  </si>
  <si>
    <t>Conc = 11.2 * Area^2 + 58.2 * Area + 0.00</t>
  </si>
  <si>
    <t>Conc = - 0.589 * Area^2 + 69.9 * Area + 0.00</t>
  </si>
  <si>
    <t>Conc = - 0.459 * Area^2 + 69.4 * Area + 0.00</t>
  </si>
  <si>
    <t>Conc = - 0.114 * Area^2 + 66.7 * Area + 0.00</t>
  </si>
  <si>
    <t>Conc = 0.0559 * Area^2 + 64.2 * Area + 0.00</t>
  </si>
  <si>
    <t>Conc = 82.1 * Area + 0.00</t>
  </si>
  <si>
    <t>Conc = 155 * Area + 0.00</t>
  </si>
  <si>
    <t>Conc = 180 * Area + 0.00</t>
  </si>
  <si>
    <t>Conc = 207 * Area + 0.00</t>
  </si>
  <si>
    <t>Conc = 208 * Area + 0.00</t>
  </si>
  <si>
    <t>Conc = 119 * Area + 0.00</t>
  </si>
  <si>
    <t>Conc = 141 * Area + 0.00</t>
  </si>
  <si>
    <t>Conc = 142 * Area + 0.00</t>
  </si>
  <si>
    <t>Conc = 150 * Area + 0.00</t>
  </si>
  <si>
    <t>Conc = 152 * Area + 0.00</t>
  </si>
  <si>
    <t>Conc = 153 * Area + 0.00</t>
  </si>
  <si>
    <t>frozen; Manually changed to "TRUE" due to low concentration</t>
  </si>
  <si>
    <t>22B</t>
  </si>
  <si>
    <t>OM_1-24-2023_01-57-57PM (8500).OMN</t>
  </si>
  <si>
    <t>Conc = 138 * Area - 77.8</t>
  </si>
  <si>
    <t>Conc = 263 * Area - 157</t>
  </si>
  <si>
    <t>Conc = 200 * Area - 108</t>
  </si>
  <si>
    <t>Conc = 215 * Area - 125</t>
  </si>
  <si>
    <t>Conc = 205 * Area - 107</t>
  </si>
  <si>
    <t>Conc = 205 * Area - 108</t>
  </si>
  <si>
    <t>Conc = 209 * Area - 122</t>
  </si>
  <si>
    <t>y=0.4667x2+198.27x-98.12</t>
  </si>
  <si>
    <t>y=-1.2768x2+222.07x-130.11</t>
  </si>
  <si>
    <t>OM_1-24-2023_12-33-28PM (8000).OMN</t>
  </si>
  <si>
    <t>Conc = - 11.4 * Area^2 + 60.4 * Area - 24.3</t>
  </si>
  <si>
    <t>Conc = 15.0 * Area^2 - 55.8 * Area + 26.6</t>
  </si>
  <si>
    <t>Conc = 5.36 * Area^2 - 4.20 * Area - 4.07</t>
  </si>
  <si>
    <t>Conc = 0.722 * Area^2 + 42.2 * Area - 76.6</t>
  </si>
  <si>
    <t>Conc = 1.09 * Area^2 + 35.7 * Area - 60.6</t>
  </si>
  <si>
    <t>Conc = 0.593 * Area^2 + 47.2 * Area - 94.0</t>
  </si>
  <si>
    <t>Conc = 0.578 * Area^2 + 47.8 * Area - 97.6</t>
  </si>
  <si>
    <t>Conc = 0.678 * Area^2 + 44.0 * Area - 70.4</t>
  </si>
  <si>
    <t>Conc = 0.732 * Area^2 + 41.9 * Area - 55.3</t>
  </si>
  <si>
    <t>Conc = 0.766 * Area^2 + 40.5 * Area - 45.7</t>
  </si>
  <si>
    <t>Conc = 0.793 * Area^2 + 39.4 * Area - 35.5</t>
  </si>
  <si>
    <t>Conc = 0.801 * Area^2 + 38.8 * Area - 25.1</t>
  </si>
  <si>
    <t>Conc = 0.734 * Area^2 + 40.4 * Area - 18.0</t>
  </si>
  <si>
    <t>Conc = 0.566 * Area^2 + 45.3 * Area - 20.0</t>
  </si>
  <si>
    <t>Conc = - 0.131 * Area^2 + 66.6 * Area - 20.3</t>
  </si>
  <si>
    <t>Conc = 0.461 * Area^2 + 47.7 * Area - 5.01</t>
  </si>
  <si>
    <t>y=0.5642x2+45.477x-20.207</t>
  </si>
  <si>
    <t>y=2.2125x2+32.759x-8.5751</t>
  </si>
  <si>
    <t>y=-3.008x2+89.412x-44.125</t>
  </si>
  <si>
    <t>y=-5.8068x2+97.248x-48.038</t>
  </si>
  <si>
    <t>y=-5.8068*.^2+97.248*.-48.038</t>
  </si>
  <si>
    <t>y=-3.008*.^2+89.412*.-44.125</t>
  </si>
  <si>
    <t>y=2.2125*.^2+32.759*.-8.5751</t>
  </si>
  <si>
    <t>y=0.5642*.^2+45.477*.-20.207</t>
  </si>
  <si>
    <t>OM_2-1-2023_11-38-55AM-adj (8500).OMN</t>
  </si>
  <si>
    <t>Conc = 337 * Area^2 - 29.8 * Area + 0.00</t>
  </si>
  <si>
    <t>Conc = - 0.544 * Area^2 + 61.5 * Area + 0.00</t>
  </si>
  <si>
    <t>Conc = 6.82 * Area^2 + 55.6 * Area + 0.00</t>
  </si>
  <si>
    <t>Conc = - 1.25 * Area^2 + 64.5 * Area + 0.00</t>
  </si>
  <si>
    <t>Conc = - 0.538 * Area^2 + 61.2 * Area + 0.00</t>
  </si>
  <si>
    <t>Conc = - 0.119 * Area^2 + 57.4 * Area + 0.00</t>
  </si>
  <si>
    <t>Conc = 8.54e-3 * Area^2 + 55.2 * Area + 0.00</t>
  </si>
  <si>
    <t>LBW</t>
  </si>
  <si>
    <t>Conc = 187 * Area - 2.58</t>
  </si>
  <si>
    <t>Conc = 202 * Area - 2.94</t>
  </si>
  <si>
    <t>Conc = 188 * Area - 2.45</t>
  </si>
  <si>
    <t>Conc = 180 * Area - 1.96</t>
  </si>
  <si>
    <t>Conc = 177 * Area - 1.64</t>
  </si>
  <si>
    <t>Conc = 173 * Area - 0.912</t>
  </si>
  <si>
    <t>Conc = 172 * Area - 0.555</t>
  </si>
  <si>
    <t>Conc = 118 * Area + 0.00</t>
  </si>
  <si>
    <t>Conc = 125 * Area + 0.00</t>
  </si>
  <si>
    <t>Conc = 126 * Area + 0.00</t>
  </si>
  <si>
    <t>Manually changed to "TRUE" due to low concentration</t>
  </si>
  <si>
    <t>OM_2-1-2023_03-23-51PM (8500).OMN</t>
  </si>
  <si>
    <t>Conc = 119 * Area - 52.4</t>
  </si>
  <si>
    <t>Conc = 187 * Area - 88.7</t>
  </si>
  <si>
    <t>Conc = 189 * Area - 90.6</t>
  </si>
  <si>
    <t>Conc = 180 * Area - 79.3</t>
  </si>
  <si>
    <t>Conc = 187 * Area - 93.1</t>
  </si>
  <si>
    <t>Conc = 185 * Area - 89.7</t>
  </si>
  <si>
    <t>Conc = 174 * Area - 40.1</t>
  </si>
  <si>
    <t>y=-1.0839x2+204.73x-119.55</t>
  </si>
  <si>
    <t>y=0.9631x2+173.03x-74.605</t>
  </si>
  <si>
    <t>OM_2-1-2023_01-40-11PM (8000).OMN</t>
  </si>
  <si>
    <t>Conc = 12.7 * Area^2 + 57.6 * Area - 27.8</t>
  </si>
  <si>
    <t>Conc = - 3.89 * Area^2 + 83.5 * Area - 36.5</t>
  </si>
  <si>
    <t>Conc = - 0.426 * Area^2 + 70.0 * Area - 29.2</t>
  </si>
  <si>
    <t>Conc = 0.0219 * Area^2 + 66.4 * Area - 26.3</t>
  </si>
  <si>
    <t>Conc = - 0.0782 * Area^2 + 67.8 * Area - 28.0</t>
  </si>
  <si>
    <t>Conc = 0.0866 * Area^2 + 64.4 * Area - 20.7</t>
  </si>
  <si>
    <t>Conc = 0.0682 * Area^2 + 65.1 * Area - 25.9</t>
  </si>
  <si>
    <t>Conc = 0.0600 * Area^2 + 65.4 * Area - 28.2</t>
  </si>
  <si>
    <t>Conc = 0.0606 * Area^2 + 65.4 * Area - 28.0</t>
  </si>
  <si>
    <t>Conc = 0.0741 * Area^2 + 65.4 * Area - 36.5</t>
  </si>
  <si>
    <t>Conc = 0.0687 * Area^2 + 65.5 * Area - 35.1</t>
  </si>
  <si>
    <t>Conc = 0.0354 * Area^2 + 66.0 * Area - 25.6</t>
  </si>
  <si>
    <t>Conc = 3.61e-3 * Area^2 + 66.9 * Area - 26.0</t>
  </si>
  <si>
    <t>y=0.0239x2+66.574x-31.913</t>
  </si>
  <si>
    <t>y=0.6312x2+63.45x-30.993</t>
  </si>
  <si>
    <t>y=-20.90x2+141.62x-73.036</t>
  </si>
  <si>
    <t>y=-1.3807x2+80.818x-42.013</t>
  </si>
  <si>
    <t>OM_2-9-2023_10-35-08AM-adj (8500).OMN</t>
  </si>
  <si>
    <t>Conc = 408 * Area^2 - 17.0 * Area + 0.00</t>
  </si>
  <si>
    <t>Conc = - 20.0 * Area^2 + 83.9 * Area + 0.00</t>
  </si>
  <si>
    <t>Conc = - 8.09 * Area^2 + 74.5 * Area + 0.00</t>
  </si>
  <si>
    <t>Conc = - 242 * Area^2 + 339 * Area + 0.00</t>
  </si>
  <si>
    <t>Conc = - 2.08 * Area^2 + 79.2 * Area + 0.00</t>
  </si>
  <si>
    <t>Conc = - 0.168 * Area^2 + 60.0 * Area + 0.00</t>
  </si>
  <si>
    <t>Conc = 3.33e-3 * Area^2 + 56.9 * Area + 0.00</t>
  </si>
  <si>
    <t>Conc = 3.40e-3 * Area^2 + 56.9 * Area + 0.00</t>
  </si>
  <si>
    <t>Conc = 8.39e-3 * Area^2 + 56.7 * Area + 0.00</t>
  </si>
  <si>
    <t>Conc = 7.73e-3 * Area^2 + 56.8 * Area + 0.00</t>
  </si>
  <si>
    <t>Conc = - 0.0162 * Area^2 + 57.5 * Area + 0.00</t>
  </si>
  <si>
    <t>Conc = 177 * Area - 1.19</t>
  </si>
  <si>
    <t>Conc = 199 * Area - 1.57</t>
  </si>
  <si>
    <t>Conc = 179 * Area - 0.995</t>
  </si>
  <si>
    <t>Conc = - 82.9 * Area + 27.4</t>
  </si>
  <si>
    <t>Conc = 152 * Area + 15.4</t>
  </si>
  <si>
    <t>Conc = 162 * Area + 14.2</t>
  </si>
  <si>
    <t>Conc = 167 * Area + 12.8</t>
  </si>
  <si>
    <t>Conc = 167 * Area + 12.6</t>
  </si>
  <si>
    <t>Conc = 167 * Area + 12.9</t>
  </si>
  <si>
    <t>Conc = 167 * Area + 13.2</t>
  </si>
  <si>
    <t>Conc = 173 * Area - 0.491</t>
  </si>
  <si>
    <t>Conc = 127 * Area - 4.98</t>
  </si>
  <si>
    <t>Conc = 128 * Area - 5.05</t>
  </si>
  <si>
    <t>Conc = 127 * Area - 4.91</t>
  </si>
  <si>
    <t>Conc = - 104 * Area + 122</t>
  </si>
  <si>
    <t>Conc = 106 * Area + 64.1</t>
  </si>
  <si>
    <t>Conc = 115 * Area + 58.1</t>
  </si>
  <si>
    <t>Conc = 119 * Area + 51.7</t>
  </si>
  <si>
    <t>Conc = 119 * Area + 52.2</t>
  </si>
  <si>
    <t>Conc = 119 * Area + 52.4</t>
  </si>
  <si>
    <t>Conc = 123 * Area - 0.436</t>
  </si>
  <si>
    <t>frozen; estimate</t>
  </si>
  <si>
    <t>OM_2-10-2023_09-15-07AM (8500).OMN</t>
  </si>
  <si>
    <t>Conc = 243 * Area - 168</t>
  </si>
  <si>
    <t>Conc = 212 * Area - 145</t>
  </si>
  <si>
    <t>Conc = 185 * Area - 121</t>
  </si>
  <si>
    <t>Conc = 182 * Area - 117</t>
  </si>
  <si>
    <t>Conc = 173 * Area - 95.7</t>
  </si>
  <si>
    <t>Conc = 179 * Area - 117</t>
  </si>
  <si>
    <t>Conc = 176 * Area - 102</t>
  </si>
  <si>
    <t>y=-0.215x2+181.97x-117.15</t>
  </si>
  <si>
    <t>y=-1.3255x2+193.01x-127.15</t>
  </si>
  <si>
    <t>OM_2-9-2023_01-08-25PM (8000).OMN</t>
  </si>
  <si>
    <t>Conc = - 30.6 * Area^2 + 129 * Area - 50.0</t>
  </si>
  <si>
    <t>Conc = - 3.37 * Area^2 + 88.0 * Area - 36.8</t>
  </si>
  <si>
    <t>Conc = - 1.77 * Area^2 + 82.3 * Area - 33.9</t>
  </si>
  <si>
    <t>Conc = - 0.292 * Area^2 + 70.6 * Area - 24.5</t>
  </si>
  <si>
    <t>Conc = 8.81e-3 * Area^2 + 66.4 * Area - 19.5</t>
  </si>
  <si>
    <t>Conc = 0.219 * Area^2 + 62.0 * Area - 8.17</t>
  </si>
  <si>
    <t>Conc = 0.190 * Area^2 + 63.0 * Area - 15.9</t>
  </si>
  <si>
    <t>Conc = 0.176 * Area^2 + 63.5 * Area - 19.7</t>
  </si>
  <si>
    <t>Conc = 0.172 * Area^2 + 63.7 * Area - 20.9</t>
  </si>
  <si>
    <t>Conc = 0.211 * Area^2 + 62.2 * Area - 10.3</t>
  </si>
  <si>
    <t>Conc = 0.201 * Area^2 + 62.5 * Area - 10.7</t>
  </si>
  <si>
    <t>Conc = 0.139 * Area^2 + 64.5 * Area - 18.1</t>
  </si>
  <si>
    <t>Conc = 0.110 * Area^2 + 65.2 * Area - 18.4</t>
  </si>
  <si>
    <t>y=-1.7314x2+83.401x-37.87</t>
  </si>
  <si>
    <t>y=-2.9408x2+89.45x-43.664</t>
  </si>
  <si>
    <t>y=-11.204x2+113.68x-55.283</t>
  </si>
  <si>
    <t>y=0.1051x2+65.423x-19.469</t>
  </si>
  <si>
    <t>OM_2-15-2023_11-09-53AM-adj (8500).OMN</t>
  </si>
  <si>
    <t>Conc = 946 * Area^2 - 20.0 * Area + 0.00</t>
  </si>
  <si>
    <t>Conc = - 76.8 * Area^2 + 137 * Area + 0.00</t>
  </si>
  <si>
    <t>Conc = - 23.8 * Area^2 + 99.6 * Area + 0.00</t>
  </si>
  <si>
    <t>Conc = - 3.61 * Area^2 + 80.7 * Area + 0.00</t>
  </si>
  <si>
    <t>Conc = - 0.915 * Area^2 + 69.2 * Area + 0.00</t>
  </si>
  <si>
    <t>Conc = - 0.262 * Area^2 + 63.6 * Area + 0.00</t>
  </si>
  <si>
    <t>Conc = - 0.0391 * Area^2 + 60.0 * Area + 0.00</t>
  </si>
  <si>
    <t>Conc = 292 * Area - 3.16</t>
  </si>
  <si>
    <t>Conc = 207 * Area - 1.60</t>
  </si>
  <si>
    <t>Conc = 196 * Area - 1.31</t>
  </si>
  <si>
    <t>Conc = 189 * Area - 0.953</t>
  </si>
  <si>
    <t>Conc = 183 * Area - 0.381</t>
  </si>
  <si>
    <t>Conc = 177 * Area + 0.831</t>
  </si>
  <si>
    <t>Conc = 178 * Area + 0.426</t>
  </si>
  <si>
    <t>Conc = 129 * Area + 0.00</t>
  </si>
  <si>
    <t>OM_2-16-2023_10-29-59AM (8500).OMN</t>
  </si>
  <si>
    <t>Conc = 155 * Area - 86.5</t>
  </si>
  <si>
    <t>Conc = 211 * Area - 122</t>
  </si>
  <si>
    <t>Conc = 175 * Area - 94.1</t>
  </si>
  <si>
    <t>Conc = 173 * Area - 90.4</t>
  </si>
  <si>
    <t>Conc = 174 * Area - 93.5</t>
  </si>
  <si>
    <t>Conc = 180 * Area - 113</t>
  </si>
  <si>
    <t>Conc = 178 * Area - 104</t>
  </si>
  <si>
    <t>y=-0.033x2+178.81x-104.93</t>
  </si>
  <si>
    <t>y=0.1303x2+171.81x-89.924</t>
  </si>
  <si>
    <t>OM_2-15-2023_01-02-26PM (8000).OMN</t>
  </si>
  <si>
    <t>Conc = - 11.7 * Area^2 + 97.6 * Area - 39.8</t>
  </si>
  <si>
    <t>Conc = - 2.93 * Area^2 + 84.3 * Area - 35.4</t>
  </si>
  <si>
    <t>Conc = - 1.28 * Area^2 + 78.3 * Area - 32.3</t>
  </si>
  <si>
    <t>Conc = - 0.190 * Area^2 + 69.6 * Area - 25.4</t>
  </si>
  <si>
    <t>Conc = - 8.19e-4 * Area^2 + 67.0 * Area - 22.2</t>
  </si>
  <si>
    <t>Conc = - 1.87e-4 * Area^2 + 67.0 * Area - 22.2</t>
  </si>
  <si>
    <t>Conc = - 6.26e-3 * Area^2 + 67.2 * Area - 24.0</t>
  </si>
  <si>
    <t>Conc = - 0.0120 * Area^2 + 67.4 * Area - 25.6</t>
  </si>
  <si>
    <t>Conc = - 0.0133 * Area^2 + 67.5 * Area - 26.0</t>
  </si>
  <si>
    <t>Conc = - 0.0122 * Area^2 + 67.4 * Area - 25.7</t>
  </si>
  <si>
    <t>Conc = - 0.0101 * Area^2 + 67.3 * Area - 24.4</t>
  </si>
  <si>
    <t>Conc = - 0.0132 * Area^2 + 67.4 * Area - 22.8</t>
  </si>
  <si>
    <t>Conc = - 0.0275 * Area^2 + 67.7 * Area - 22.2</t>
  </si>
  <si>
    <t>Conc = - 0.0580 * Area^2 + 68.6 * Area - 22.6</t>
  </si>
  <si>
    <t>y=-0.0466x2+68.24x-22.954</t>
  </si>
  <si>
    <t>y=-1.4395x2+80.835x-35.016</t>
  </si>
  <si>
    <t>y=-3.4074x2+90.534x-41.641</t>
  </si>
  <si>
    <t>y=-8.1564x2+103.56x-47.896</t>
  </si>
  <si>
    <t>21B</t>
  </si>
  <si>
    <t>22C</t>
  </si>
  <si>
    <t>OM_2-23-2023_11-16-49AM-adj (8500).OMN</t>
  </si>
  <si>
    <t>Conc = 1.43e+3 * Area^2 - 65.3 * Area + 0.00</t>
  </si>
  <si>
    <t>Conc = - 67.2 * Area^2 + 134 * Area + 0.00</t>
  </si>
  <si>
    <t>Conc = - 35.4 * Area^2 + 114 * Area + 0.00</t>
  </si>
  <si>
    <t>Conc = - 4.24 * Area^2 + 85.7 * Area + 0.00</t>
  </si>
  <si>
    <t>Conc = - 1.01 * Area^2 + 72.5 * Area + 0.00</t>
  </si>
  <si>
    <t>Conc = - 0.328 * Area^2 + 66.9 * Area + 0.00</t>
  </si>
  <si>
    <t>Conc = - 0.0702 * Area^2 + 62.8 * Area + 0.00</t>
  </si>
  <si>
    <t>Conc = 252 * Area - 3.81</t>
  </si>
  <si>
    <t>Conc = 204 * Area - 2.68</t>
  </si>
  <si>
    <t>Conc = 200 * Area - 2.54</t>
  </si>
  <si>
    <t>Conc = 183 * Area - 1.58</t>
  </si>
  <si>
    <t>Conc = 180 * Area - 1.23</t>
  </si>
  <si>
    <t>Conc = 175 * Area - 0.301</t>
  </si>
  <si>
    <t>Conc = 176 * Area - 0.734</t>
  </si>
  <si>
    <t>Conc = 132 * Area - 2.10</t>
  </si>
  <si>
    <t>Conc = 137 * Area - 2.52</t>
  </si>
  <si>
    <t>Conc = 136 * Area - 2.36</t>
  </si>
  <si>
    <t>Conc = 131 * Area - 1.06</t>
  </si>
  <si>
    <t>Conc = 131 * Area - 1.03</t>
  </si>
  <si>
    <t>Conc = 130 * Area + 0.566</t>
  </si>
  <si>
    <t>Conc = 130 * Area - 0.734</t>
  </si>
  <si>
    <t>OM_2-24-2023_11-40-51AM-adj (8500).OMN</t>
  </si>
  <si>
    <t>Conc = 147 * Area - 68.1</t>
  </si>
  <si>
    <t>Conc = 173 * Area - 82.6</t>
  </si>
  <si>
    <t>Conc = 173 * Area - 82.5</t>
  </si>
  <si>
    <t>Conc = 168 * Area - 76.3</t>
  </si>
  <si>
    <t>Conc = 185 * Area - 111</t>
  </si>
  <si>
    <t>Conc = 189 * Area - 122</t>
  </si>
  <si>
    <t>Conc = 189 * Area - 124</t>
  </si>
  <si>
    <t>y=0.3348x2+180.18x-102.36</t>
  </si>
  <si>
    <t>y=2.8761x2+145.17x-57.22</t>
  </si>
  <si>
    <t>OM_2-23-2023_10-00-50AM (8000).OMN</t>
  </si>
  <si>
    <t>Conc = - 8.20 * Area^2 + 94.8 * Area - 31.1</t>
  </si>
  <si>
    <t>Conc = - 2.39 * Area^2 + 87.3 * Area - 29.1</t>
  </si>
  <si>
    <t>Conc = - 1.94 * Area^2 + 85.8 * Area - 28.5</t>
  </si>
  <si>
    <t>Conc = - 0.585 * Area^2 + 75.6 * Area - 21.2</t>
  </si>
  <si>
    <t>Conc = - 0.0834 * Area^2 + 68.7 * Area - 13.4</t>
  </si>
  <si>
    <t>Conc = 0.117 * Area^2 + 64.9 * Area - 7.93</t>
  </si>
  <si>
    <t>Conc = 0.107 * Area^2 + 65.3 * Area - 10.8</t>
  </si>
  <si>
    <t>Conc = 0.0922 * Area^2 + 65.8 * Area - 14.8</t>
  </si>
  <si>
    <t>Conc = 0.0867 * Area^2 + 66.0 * Area - 16.3</t>
  </si>
  <si>
    <t>Conc = 0.0847 * Area^2 + 66.1 * Area - 16.9</t>
  </si>
  <si>
    <t>Conc = 0.0867 * Area^2 + 66.0 * Area - 15.7</t>
  </si>
  <si>
    <t>Conc = 0.0823 * Area^2 + 66.0 * Area - 13.4</t>
  </si>
  <si>
    <t>Conc = 0.0563 * Area^2 + 66.7 * Area - 12.4</t>
  </si>
  <si>
    <t>Conc = 0.0133 * Area^2 + 67.8 * Area - 12.7</t>
  </si>
  <si>
    <t>y=-0.0059x2+68.478x-14.154</t>
  </si>
  <si>
    <t>y=-1.8824x2+87.341x-33.178</t>
  </si>
  <si>
    <t>y=-5.1889x2+102.33x-44.163</t>
  </si>
  <si>
    <t>y=-7.042x2+106.99x-46.227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</si>
</sst>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yyyymmdd"/>
    <numFmt numFmtId="165" formatCode="[$-409]h:mm:ss\ AM/PM;@"/>
    <numFmt numFmtId="166" formatCode="[$-F400]h:mm:ss\ AM/PM"/>
    <numFmt numFmtId="167" formatCode="[$-409]h:mm\ AM/PM;@"/>
    <numFmt numFmtId="168" formatCode="0.0"/>
    <numFmt numFmtId="169" formatCode="0.000"/>
    <numFmt numFmtId="170" formatCode="mm/dd/yy;@"/>
    <numFmt numFmtId="171" formatCode="0.0000"/>
    <numFmt numFmtId="172" formatCode="#,##0.000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0"/>
      <name val="Arial"/>
      <family val="2"/>
    </font>
    <font>
      <b/>
      <sz val="9"/>
      <color indexed="81"/>
      <name val="Tahoma"/>
      <family val="2"/>
    </font>
    <font>
      <sz val="9"/>
      <color indexed="81"/>
      <name val="Tahoma"/>
      <family val="2"/>
    </font>
    <font>
      <sz val="10"/>
      <color indexed="81"/>
      <name val="Tahoma"/>
      <family val="2"/>
    </font>
    <font>
      <b/>
      <sz val="10"/>
      <name val="Arial"/>
      <family val="2"/>
    </font>
    <font>
      <sz val="10"/>
      <color theme="1"/>
      <name val="Arial"/>
      <family val="2"/>
    </font>
    <font>
      <b/>
      <sz val="8"/>
      <color indexed="81"/>
      <name val="Tahoma"/>
      <family val="2"/>
    </font>
    <font>
      <sz val="8"/>
      <color indexed="81"/>
      <name val="Tahoma"/>
      <family val="2"/>
    </font>
    <font>
      <sz val="10"/>
      <color indexed="8"/>
      <name val="Arial"/>
      <family val="2"/>
    </font>
    <font>
      <sz val="11"/>
      <color indexed="8"/>
      <name val="Calibri"/>
      <family val="2"/>
    </font>
    <font>
      <b/>
      <sz val="10"/>
      <color indexed="8"/>
      <name val="Arial"/>
      <family val="2"/>
    </font>
    <font>
      <sz val="10"/>
      <color indexed="8"/>
      <name val="Times New Roman"/>
      <family val="1"/>
    </font>
    <font>
      <sz val="8"/>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rgb="FFFFFF00"/>
        <bgColor indexed="64"/>
      </patternFill>
    </fill>
  </fills>
  <borders count="8">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right style="thin">
        <color indexed="64"/>
      </right>
      <top/>
      <bottom style="thin">
        <color indexed="64"/>
      </bottom>
      <diagonal/>
    </border>
  </borders>
  <cellStyleXfs count="4">
    <xf numFmtId="0" fontId="0" fillId="0" borderId="0"/>
    <xf numFmtId="0" fontId="5" fillId="0" borderId="0"/>
    <xf numFmtId="0" fontId="5" fillId="0" borderId="0"/>
    <xf numFmtId="0" fontId="13" fillId="0" borderId="0"/>
  </cellStyleXfs>
  <cellXfs count="132">
    <xf numFmtId="0" fontId="0" fillId="0" borderId="0" xfId="0"/>
    <xf numFmtId="164" fontId="0" fillId="0" borderId="0" xfId="0" applyNumberFormat="1" applyAlignment="1">
      <alignment horizontal="center" wrapText="1"/>
    </xf>
    <xf numFmtId="165" fontId="4" fillId="0" borderId="1" xfId="0" applyNumberFormat="1" applyFont="1" applyBorder="1" applyAlignment="1">
      <alignment horizontal="center" wrapText="1"/>
    </xf>
    <xf numFmtId="0" fontId="0" fillId="0" borderId="0" xfId="0" applyAlignment="1">
      <alignment horizontal="center" wrapText="1"/>
    </xf>
    <xf numFmtId="14" fontId="0" fillId="0" borderId="0" xfId="0" applyNumberFormat="1" applyAlignment="1">
      <alignment horizontal="center" wrapText="1"/>
    </xf>
    <xf numFmtId="166" fontId="0" fillId="0" borderId="0" xfId="0" applyNumberFormat="1" applyAlignment="1">
      <alignment horizontal="center" wrapText="1"/>
    </xf>
    <xf numFmtId="167" fontId="0" fillId="0" borderId="0" xfId="0" applyNumberFormat="1" applyAlignment="1">
      <alignment horizontal="center" wrapText="1"/>
    </xf>
    <xf numFmtId="1" fontId="0" fillId="0" borderId="0" xfId="0" applyNumberFormat="1" applyAlignment="1">
      <alignment horizontal="center" wrapText="1"/>
    </xf>
    <xf numFmtId="168" fontId="0" fillId="0" borderId="0" xfId="0" applyNumberFormat="1" applyAlignment="1">
      <alignment horizontal="center" wrapText="1"/>
    </xf>
    <xf numFmtId="2" fontId="0" fillId="0" borderId="0" xfId="0" applyNumberFormat="1" applyAlignment="1">
      <alignment horizontal="center" wrapText="1"/>
    </xf>
    <xf numFmtId="0" fontId="0" fillId="0" borderId="0" xfId="0" applyAlignment="1">
      <alignment horizontal="center"/>
    </xf>
    <xf numFmtId="0" fontId="0" fillId="0" borderId="2" xfId="0" applyBorder="1" applyAlignment="1">
      <alignment horizontal="center" wrapText="1"/>
    </xf>
    <xf numFmtId="14" fontId="0" fillId="0" borderId="0" xfId="0" applyNumberFormat="1" applyAlignment="1">
      <alignment horizontal="center"/>
    </xf>
    <xf numFmtId="0" fontId="0" fillId="0" borderId="1" xfId="0" applyBorder="1" applyAlignment="1">
      <alignment horizontal="center"/>
    </xf>
    <xf numFmtId="168" fontId="0" fillId="0" borderId="1" xfId="0" applyNumberFormat="1" applyBorder="1" applyAlignment="1">
      <alignment horizontal="center" wrapText="1"/>
    </xf>
    <xf numFmtId="2" fontId="0" fillId="0" borderId="1" xfId="0" applyNumberFormat="1" applyBorder="1" applyAlignment="1">
      <alignment horizontal="center" wrapText="1"/>
    </xf>
    <xf numFmtId="0" fontId="0" fillId="0" borderId="1" xfId="0" applyBorder="1" applyAlignment="1">
      <alignment horizontal="center" wrapText="1"/>
    </xf>
    <xf numFmtId="164" fontId="0" fillId="0" borderId="3" xfId="0" applyNumberFormat="1" applyBorder="1" applyAlignment="1">
      <alignment horizontal="center" wrapText="1"/>
    </xf>
    <xf numFmtId="165" fontId="4" fillId="0" borderId="4" xfId="0" applyNumberFormat="1" applyFont="1" applyBorder="1" applyAlignment="1">
      <alignment horizontal="center" wrapText="1"/>
    </xf>
    <xf numFmtId="0" fontId="0" fillId="0" borderId="4" xfId="0" applyBorder="1" applyAlignment="1">
      <alignment horizontal="center" wrapText="1"/>
    </xf>
    <xf numFmtId="14" fontId="0" fillId="0" borderId="4" xfId="0" applyNumberFormat="1" applyBorder="1" applyAlignment="1">
      <alignment horizontal="center" wrapText="1"/>
    </xf>
    <xf numFmtId="166" fontId="0" fillId="0" borderId="4" xfId="0" applyNumberFormat="1" applyBorder="1" applyAlignment="1">
      <alignment horizontal="center" wrapText="1"/>
    </xf>
    <xf numFmtId="0" fontId="5" fillId="0" borderId="4" xfId="0" applyFont="1" applyBorder="1" applyAlignment="1">
      <alignment horizontal="center" wrapText="1"/>
    </xf>
    <xf numFmtId="169" fontId="0" fillId="0" borderId="4" xfId="0" applyNumberFormat="1" applyBorder="1" applyAlignment="1">
      <alignment horizontal="center" wrapText="1"/>
    </xf>
    <xf numFmtId="1" fontId="0" fillId="0" borderId="4" xfId="0" applyNumberFormat="1" applyBorder="1" applyAlignment="1">
      <alignment horizontal="center" wrapText="1"/>
    </xf>
    <xf numFmtId="168" fontId="0" fillId="2" borderId="4" xfId="0" applyNumberFormat="1" applyFill="1" applyBorder="1" applyAlignment="1">
      <alignment horizontal="center" wrapText="1"/>
    </xf>
    <xf numFmtId="169" fontId="0" fillId="2" borderId="4" xfId="0" applyNumberFormat="1" applyFill="1" applyBorder="1" applyAlignment="1">
      <alignment horizontal="center" wrapText="1"/>
    </xf>
    <xf numFmtId="2" fontId="0" fillId="2" borderId="4" xfId="0" applyNumberFormat="1" applyFill="1" applyBorder="1" applyAlignment="1">
      <alignment horizontal="center" wrapText="1"/>
    </xf>
    <xf numFmtId="0" fontId="0" fillId="2" borderId="4" xfId="0" applyFill="1" applyBorder="1" applyAlignment="1">
      <alignment horizontal="center" wrapText="1"/>
    </xf>
    <xf numFmtId="14" fontId="0" fillId="2" borderId="4" xfId="0" applyNumberFormat="1" applyFill="1" applyBorder="1" applyAlignment="1">
      <alignment horizontal="center" wrapText="1"/>
    </xf>
    <xf numFmtId="168" fontId="4" fillId="2" borderId="4" xfId="0" applyNumberFormat="1" applyFont="1" applyFill="1" applyBorder="1" applyAlignment="1">
      <alignment horizontal="center" wrapText="1"/>
    </xf>
    <xf numFmtId="0" fontId="0" fillId="2" borderId="0" xfId="0" applyFill="1" applyAlignment="1">
      <alignment horizontal="center"/>
    </xf>
    <xf numFmtId="164" fontId="0" fillId="0" borderId="0" xfId="0" applyNumberFormat="1" applyAlignment="1">
      <alignment horizontal="center"/>
    </xf>
    <xf numFmtId="19" fontId="0" fillId="0" borderId="0" xfId="0" applyNumberFormat="1" applyAlignment="1">
      <alignment horizontal="center"/>
    </xf>
    <xf numFmtId="168" fontId="0" fillId="2" borderId="0" xfId="0" applyNumberFormat="1" applyFill="1" applyAlignment="1">
      <alignment horizontal="center"/>
    </xf>
    <xf numFmtId="165" fontId="5" fillId="0" borderId="4" xfId="0" applyNumberFormat="1" applyFont="1" applyBorder="1" applyAlignment="1">
      <alignment horizontal="center" wrapText="1"/>
    </xf>
    <xf numFmtId="168" fontId="0" fillId="0" borderId="4" xfId="0" applyNumberFormat="1" applyBorder="1" applyAlignment="1">
      <alignment horizontal="center" wrapText="1"/>
    </xf>
    <xf numFmtId="164" fontId="4" fillId="0" borderId="0" xfId="0" applyNumberFormat="1" applyFont="1" applyAlignment="1">
      <alignment horizontal="center" wrapText="1"/>
    </xf>
    <xf numFmtId="0" fontId="4" fillId="0" borderId="4" xfId="0" applyFont="1" applyBorder="1" applyAlignment="1">
      <alignment horizontal="center" wrapText="1"/>
    </xf>
    <xf numFmtId="14" fontId="4" fillId="0" borderId="4" xfId="0" applyNumberFormat="1" applyFont="1" applyBorder="1" applyAlignment="1">
      <alignment horizontal="center" wrapText="1"/>
    </xf>
    <xf numFmtId="166" fontId="4" fillId="0" borderId="4" xfId="0" applyNumberFormat="1" applyFont="1" applyBorder="1" applyAlignment="1">
      <alignment horizontal="center" wrapText="1"/>
    </xf>
    <xf numFmtId="169" fontId="4" fillId="0" borderId="4" xfId="0" applyNumberFormat="1" applyFont="1" applyBorder="1" applyAlignment="1">
      <alignment horizontal="center" wrapText="1"/>
    </xf>
    <xf numFmtId="1" fontId="4" fillId="0" borderId="4" xfId="0" applyNumberFormat="1" applyFont="1" applyBorder="1" applyAlignment="1">
      <alignment horizontal="center" wrapText="1"/>
    </xf>
    <xf numFmtId="168" fontId="4" fillId="0" borderId="4" xfId="0" applyNumberFormat="1" applyFont="1" applyBorder="1" applyAlignment="1">
      <alignment horizontal="center" wrapText="1"/>
    </xf>
    <xf numFmtId="0" fontId="4" fillId="0" borderId="0" xfId="0" applyFont="1" applyAlignment="1">
      <alignment horizontal="center" wrapText="1"/>
    </xf>
    <xf numFmtId="14" fontId="0" fillId="0" borderId="0" xfId="0" applyNumberFormat="1"/>
    <xf numFmtId="0" fontId="9" fillId="0" borderId="0" xfId="1" applyFont="1" applyAlignment="1">
      <alignment horizontal="left" wrapText="1"/>
    </xf>
    <xf numFmtId="167" fontId="9" fillId="0" borderId="0" xfId="1" applyNumberFormat="1" applyFont="1" applyAlignment="1">
      <alignment horizontal="left" wrapText="1"/>
    </xf>
    <xf numFmtId="169" fontId="9" fillId="0" borderId="0" xfId="1" applyNumberFormat="1" applyFont="1" applyAlignment="1">
      <alignment horizontal="left" wrapText="1"/>
    </xf>
    <xf numFmtId="1" fontId="9" fillId="0" borderId="0" xfId="1" applyNumberFormat="1" applyFont="1" applyAlignment="1">
      <alignment horizontal="left" wrapText="1"/>
    </xf>
    <xf numFmtId="168" fontId="9" fillId="0" borderId="0" xfId="1" applyNumberFormat="1" applyFont="1" applyAlignment="1">
      <alignment horizontal="left" wrapText="1"/>
    </xf>
    <xf numFmtId="2" fontId="9" fillId="0" borderId="0" xfId="1" applyNumberFormat="1" applyFont="1" applyAlignment="1">
      <alignment horizontal="left" wrapText="1"/>
    </xf>
    <xf numFmtId="49" fontId="9" fillId="0" borderId="0" xfId="1" applyNumberFormat="1" applyFont="1" applyAlignment="1">
      <alignment horizontal="left" wrapText="1"/>
    </xf>
    <xf numFmtId="0" fontId="5" fillId="0" borderId="0" xfId="1" applyAlignment="1">
      <alignment horizontal="left"/>
    </xf>
    <xf numFmtId="0" fontId="9" fillId="0" borderId="0" xfId="1" applyFont="1"/>
    <xf numFmtId="0" fontId="5" fillId="0" borderId="0" xfId="1"/>
    <xf numFmtId="164" fontId="9" fillId="0" borderId="0" xfId="1" applyNumberFormat="1" applyFont="1" applyAlignment="1">
      <alignment wrapText="1"/>
    </xf>
    <xf numFmtId="165" fontId="9" fillId="0" borderId="0" xfId="1" applyNumberFormat="1" applyFont="1" applyAlignment="1">
      <alignment wrapText="1"/>
    </xf>
    <xf numFmtId="0" fontId="9" fillId="0" borderId="0" xfId="1" applyFont="1" applyAlignment="1">
      <alignment wrapText="1"/>
    </xf>
    <xf numFmtId="167" fontId="9" fillId="0" borderId="0" xfId="1" applyNumberFormat="1" applyFont="1" applyAlignment="1">
      <alignment wrapText="1"/>
    </xf>
    <xf numFmtId="1" fontId="9" fillId="0" borderId="0" xfId="1" applyNumberFormat="1" applyFont="1" applyAlignment="1">
      <alignment wrapText="1"/>
    </xf>
    <xf numFmtId="2" fontId="9" fillId="0" borderId="0" xfId="1" applyNumberFormat="1" applyFont="1" applyAlignment="1">
      <alignment wrapText="1"/>
    </xf>
    <xf numFmtId="0" fontId="5" fillId="0" borderId="0" xfId="1" applyAlignment="1">
      <alignment horizontal="left" wrapText="1"/>
    </xf>
    <xf numFmtId="0" fontId="5" fillId="0" borderId="0" xfId="1" applyAlignment="1">
      <alignment horizontal="center" wrapText="1"/>
    </xf>
    <xf numFmtId="0" fontId="5" fillId="0" borderId="0" xfId="1" applyAlignment="1">
      <alignment horizontal="center"/>
    </xf>
    <xf numFmtId="168" fontId="5" fillId="0" borderId="0" xfId="1" applyNumberFormat="1" applyAlignment="1">
      <alignment horizontal="center"/>
    </xf>
    <xf numFmtId="0" fontId="5" fillId="3" borderId="0" xfId="1" applyFill="1"/>
    <xf numFmtId="0" fontId="5" fillId="3" borderId="0" xfId="1" applyFill="1" applyAlignment="1">
      <alignment horizontal="center"/>
    </xf>
    <xf numFmtId="0" fontId="5" fillId="3" borderId="1" xfId="1" applyFill="1" applyBorder="1"/>
    <xf numFmtId="0" fontId="5" fillId="3" borderId="1" xfId="1" applyFill="1" applyBorder="1" applyAlignment="1">
      <alignment horizontal="center"/>
    </xf>
    <xf numFmtId="0" fontId="5" fillId="0" borderId="1" xfId="1" applyBorder="1"/>
    <xf numFmtId="0" fontId="5" fillId="0" borderId="1" xfId="1" applyBorder="1" applyAlignment="1">
      <alignment horizontal="center"/>
    </xf>
    <xf numFmtId="0" fontId="10" fillId="3" borderId="0" xfId="0" applyFont="1" applyFill="1"/>
    <xf numFmtId="0" fontId="0" fillId="0" borderId="0" xfId="0" applyAlignment="1">
      <alignment horizontal="left"/>
    </xf>
    <xf numFmtId="49" fontId="0" fillId="0" borderId="0" xfId="0" applyNumberFormat="1" applyAlignment="1">
      <alignment horizontal="left"/>
    </xf>
    <xf numFmtId="0" fontId="0" fillId="3" borderId="0" xfId="0" applyFill="1" applyAlignment="1">
      <alignment horizontal="center"/>
    </xf>
    <xf numFmtId="0" fontId="4" fillId="3" borderId="0" xfId="1" applyFont="1" applyFill="1" applyAlignment="1">
      <alignment horizontal="center"/>
    </xf>
    <xf numFmtId="0" fontId="4" fillId="3" borderId="1" xfId="1" applyFont="1" applyFill="1" applyBorder="1" applyAlignment="1">
      <alignment horizontal="center"/>
    </xf>
    <xf numFmtId="0" fontId="0" fillId="3" borderId="1" xfId="0" applyFill="1" applyBorder="1" applyAlignment="1">
      <alignment horizontal="center"/>
    </xf>
    <xf numFmtId="49" fontId="2" fillId="0" borderId="0" xfId="0" applyNumberFormat="1" applyFont="1" applyAlignment="1">
      <alignment horizontal="left"/>
    </xf>
    <xf numFmtId="0" fontId="5" fillId="4" borderId="0" xfId="1" applyFill="1"/>
    <xf numFmtId="0" fontId="5" fillId="4" borderId="0" xfId="1" applyFill="1" applyAlignment="1">
      <alignment horizontal="center"/>
    </xf>
    <xf numFmtId="170" fontId="5" fillId="0" borderId="0" xfId="1" applyNumberFormat="1"/>
    <xf numFmtId="0" fontId="0" fillId="0" borderId="0" xfId="0" applyAlignment="1">
      <alignment horizontal="left" wrapText="1"/>
    </xf>
    <xf numFmtId="168" fontId="4" fillId="0" borderId="0" xfId="0" applyNumberFormat="1" applyFont="1" applyAlignment="1">
      <alignment horizontal="left"/>
    </xf>
    <xf numFmtId="171" fontId="0" fillId="0" borderId="0" xfId="0" applyNumberFormat="1" applyAlignment="1">
      <alignment horizontal="left"/>
    </xf>
    <xf numFmtId="171" fontId="0" fillId="0" borderId="0" xfId="0" quotePrefix="1" applyNumberFormat="1" applyAlignment="1">
      <alignment horizontal="left"/>
    </xf>
    <xf numFmtId="49" fontId="1" fillId="0" borderId="0" xfId="2" applyNumberFormat="1" applyFont="1"/>
    <xf numFmtId="172" fontId="1" fillId="0" borderId="0" xfId="2" applyNumberFormat="1" applyFont="1"/>
    <xf numFmtId="2" fontId="0" fillId="0" borderId="0" xfId="0" applyNumberFormat="1" applyAlignment="1">
      <alignment horizontal="left"/>
    </xf>
    <xf numFmtId="168" fontId="0" fillId="0" borderId="0" xfId="0" applyNumberFormat="1" applyAlignment="1">
      <alignment horizontal="left"/>
    </xf>
    <xf numFmtId="2" fontId="1" fillId="0" borderId="0" xfId="2" applyNumberFormat="1" applyFont="1"/>
    <xf numFmtId="168" fontId="1" fillId="0" borderId="0" xfId="2" applyNumberFormat="1" applyFont="1"/>
    <xf numFmtId="0" fontId="14" fillId="0" borderId="5" xfId="3" applyFont="1" applyBorder="1" applyAlignment="1">
      <alignment horizontal="left"/>
    </xf>
    <xf numFmtId="168" fontId="14" fillId="0" borderId="5" xfId="3" applyNumberFormat="1" applyFont="1" applyBorder="1" applyAlignment="1">
      <alignment horizontal="left"/>
    </xf>
    <xf numFmtId="0" fontId="1" fillId="0" borderId="0" xfId="2" applyFont="1"/>
    <xf numFmtId="0" fontId="4" fillId="0" borderId="0" xfId="1" applyFont="1" applyAlignment="1">
      <alignment horizontal="center"/>
    </xf>
    <xf numFmtId="1" fontId="1" fillId="0" borderId="0" xfId="2" applyNumberFormat="1" applyFont="1" applyAlignment="1">
      <alignment horizontal="left"/>
    </xf>
    <xf numFmtId="0" fontId="2" fillId="0" borderId="0" xfId="0" applyFont="1" applyAlignment="1">
      <alignment horizontal="left"/>
    </xf>
    <xf numFmtId="2" fontId="1" fillId="0" borderId="0" xfId="2" applyNumberFormat="1" applyFont="1" applyAlignment="1">
      <alignment horizontal="left"/>
    </xf>
    <xf numFmtId="168" fontId="1" fillId="0" borderId="0" xfId="2" applyNumberFormat="1" applyFont="1" applyAlignment="1">
      <alignment horizontal="left"/>
    </xf>
    <xf numFmtId="172" fontId="1" fillId="0" borderId="0" xfId="2" applyNumberFormat="1" applyFont="1" applyAlignment="1">
      <alignment horizontal="left"/>
    </xf>
    <xf numFmtId="1" fontId="0" fillId="0" borderId="0" xfId="0" applyNumberFormat="1" applyAlignment="1">
      <alignment horizontal="left"/>
    </xf>
    <xf numFmtId="0" fontId="1" fillId="0" borderId="0" xfId="2" applyFont="1" applyAlignment="1">
      <alignment horizontal="left"/>
    </xf>
    <xf numFmtId="171" fontId="1" fillId="0" borderId="0" xfId="2" applyNumberFormat="1" applyFont="1" applyAlignment="1">
      <alignment horizontal="left"/>
    </xf>
    <xf numFmtId="171" fontId="14" fillId="0" borderId="5" xfId="3" applyNumberFormat="1" applyFont="1" applyBorder="1" applyAlignment="1">
      <alignment horizontal="left"/>
    </xf>
    <xf numFmtId="2" fontId="4" fillId="0" borderId="0" xfId="0" applyNumberFormat="1" applyFont="1" applyAlignment="1">
      <alignment horizontal="left"/>
    </xf>
    <xf numFmtId="0" fontId="9" fillId="0" borderId="0" xfId="1" applyFont="1" applyAlignment="1">
      <alignment horizontal="center"/>
    </xf>
    <xf numFmtId="0" fontId="13" fillId="0" borderId="0" xfId="1" applyFont="1"/>
    <xf numFmtId="0" fontId="15" fillId="0" borderId="0" xfId="1" applyFont="1"/>
    <xf numFmtId="0" fontId="5" fillId="0" borderId="0" xfId="1" applyAlignment="1">
      <alignment horizontal="left" indent="1"/>
    </xf>
    <xf numFmtId="0" fontId="13" fillId="0" borderId="0" xfId="1" applyFont="1" applyAlignment="1">
      <alignment horizontal="left" indent="1"/>
    </xf>
    <xf numFmtId="14" fontId="5" fillId="0" borderId="0" xfId="1" applyNumberFormat="1"/>
    <xf numFmtId="14" fontId="5" fillId="0" borderId="0" xfId="1" applyNumberFormat="1" applyAlignment="1">
      <alignment horizontal="center"/>
    </xf>
    <xf numFmtId="0" fontId="5" fillId="0" borderId="6" xfId="1" applyBorder="1" applyAlignment="1">
      <alignment horizontal="right"/>
    </xf>
    <xf numFmtId="0" fontId="5" fillId="0" borderId="7" xfId="1" applyBorder="1" applyAlignment="1">
      <alignment horizontal="right"/>
    </xf>
    <xf numFmtId="0" fontId="5" fillId="0" borderId="6" xfId="1" applyBorder="1" applyAlignment="1">
      <alignment horizontal="center"/>
    </xf>
    <xf numFmtId="0" fontId="3" fillId="0" borderId="0" xfId="0" applyFont="1"/>
    <xf numFmtId="0" fontId="3" fillId="0" borderId="1" xfId="0" applyFont="1" applyBorder="1" applyAlignment="1">
      <alignment horizontal="center"/>
    </xf>
    <xf numFmtId="164" fontId="0" fillId="0" borderId="0" xfId="0" applyNumberFormat="1" applyFill="1" applyAlignment="1">
      <alignment horizontal="center"/>
    </xf>
    <xf numFmtId="19" fontId="0" fillId="0" borderId="0" xfId="0" applyNumberFormat="1" applyFill="1" applyAlignment="1">
      <alignment horizontal="center"/>
    </xf>
    <xf numFmtId="0" fontId="0" fillId="0" borderId="0" xfId="0" applyFill="1" applyAlignment="1">
      <alignment horizontal="center"/>
    </xf>
    <xf numFmtId="14" fontId="0" fillId="0" borderId="0" xfId="0" applyNumberFormat="1" applyFill="1" applyAlignment="1">
      <alignment horizontal="center"/>
    </xf>
    <xf numFmtId="168" fontId="0" fillId="0" borderId="0" xfId="0" applyNumberFormat="1" applyFill="1" applyAlignment="1">
      <alignment horizontal="center"/>
    </xf>
    <xf numFmtId="164" fontId="0" fillId="2" borderId="0" xfId="0" applyNumberFormat="1" applyFill="1" applyAlignment="1">
      <alignment horizontal="center"/>
    </xf>
    <xf numFmtId="19" fontId="0" fillId="2" borderId="0" xfId="0" applyNumberFormat="1" applyFill="1" applyAlignment="1">
      <alignment horizontal="center"/>
    </xf>
    <xf numFmtId="14" fontId="0" fillId="2" borderId="0" xfId="0" applyNumberFormat="1" applyFill="1" applyAlignment="1">
      <alignment horizontal="center"/>
    </xf>
    <xf numFmtId="14" fontId="0" fillId="2" borderId="0" xfId="0" applyNumberFormat="1" applyFill="1"/>
    <xf numFmtId="0" fontId="0" fillId="2" borderId="0" xfId="0" applyFill="1"/>
    <xf numFmtId="0" fontId="0" fillId="0" borderId="0" xfId="0" applyFill="1"/>
    <xf numFmtId="0" fontId="9" fillId="0" borderId="0" xfId="1" applyFont="1" applyAlignment="1">
      <alignment horizontal="left" wrapText="1"/>
    </xf>
    <xf numFmtId="0" fontId="15" fillId="0" borderId="0" xfId="1" applyFont="1" applyAlignment="1">
      <alignment horizontal="left"/>
    </xf>
  </cellXfs>
  <cellStyles count="4">
    <cellStyle name="Normal" xfId="0" builtinId="0"/>
    <cellStyle name="Normal 2" xfId="1" xr:uid="{889D6F8D-14F1-4BCF-9A68-002032A6BA4A}"/>
    <cellStyle name="Normal 3" xfId="2" xr:uid="{3EEA88C8-9A53-4C99-A41A-C9AB6D0E3B55}"/>
    <cellStyle name="Normal_EFWS_SPsck02082012" xfId="3" xr:uid="{B17CE326-2E73-4DFC-88BA-E7D84D321A86}"/>
  </cellStyles>
  <dxfs count="13">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TPCalibEq150!$U$2</c:f>
              <c:strCache>
                <c:ptCount val="1"/>
                <c:pt idx="0">
                  <c:v>1/4/2023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TPCalibEq150!$O$2:$O$7</c:f>
              <c:numCache>
                <c:formatCode>General</c:formatCode>
                <c:ptCount val="6"/>
                <c:pt idx="0">
                  <c:v>0.50800000000000001</c:v>
                </c:pt>
                <c:pt idx="1">
                  <c:v>0.52900000000000003</c:v>
                </c:pt>
                <c:pt idx="2">
                  <c:v>0.64400000000000002</c:v>
                </c:pt>
                <c:pt idx="3">
                  <c:v>0.68400000000000005</c:v>
                </c:pt>
                <c:pt idx="4">
                  <c:v>1.35</c:v>
                </c:pt>
                <c:pt idx="5">
                  <c:v>2.39</c:v>
                </c:pt>
              </c:numCache>
            </c:numRef>
          </c:xVal>
          <c:yVal>
            <c:numRef>
              <c:f>TPCalibEq150!$S$2:$S$7</c:f>
              <c:numCache>
                <c:formatCode>0.0</c:formatCode>
                <c:ptCount val="6"/>
                <c:pt idx="0">
                  <c:v>0</c:v>
                </c:pt>
                <c:pt idx="1">
                  <c:v>5</c:v>
                </c:pt>
                <c:pt idx="2">
                  <c:v>15</c:v>
                </c:pt>
                <c:pt idx="3">
                  <c:v>20</c:v>
                </c:pt>
                <c:pt idx="4">
                  <c:v>75</c:v>
                </c:pt>
                <c:pt idx="5">
                  <c:v>150</c:v>
                </c:pt>
              </c:numCache>
            </c:numRef>
          </c:yVal>
          <c:smooth val="0"/>
          <c:extLst>
            <c:ext xmlns:c16="http://schemas.microsoft.com/office/drawing/2014/chart" uri="{C3380CC4-5D6E-409C-BE32-E72D297353CC}">
              <c16:uniqueId val="{00000004-CD47-49B1-9A42-1B4FDB557603}"/>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TPCalibEq150!$U$8</c:f>
              <c:strCache>
                <c:ptCount val="1"/>
                <c:pt idx="0">
                  <c:v>1/11/2023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TPCalibEq150!$O$8:$O$13</c:f>
              <c:numCache>
                <c:formatCode>General</c:formatCode>
                <c:ptCount val="6"/>
                <c:pt idx="0">
                  <c:v>0.46899999999999997</c:v>
                </c:pt>
                <c:pt idx="1">
                  <c:v>0.50800000000000001</c:v>
                </c:pt>
                <c:pt idx="2">
                  <c:v>0.58899999999999997</c:v>
                </c:pt>
                <c:pt idx="3">
                  <c:v>0.65800000000000003</c:v>
                </c:pt>
                <c:pt idx="4">
                  <c:v>1.39</c:v>
                </c:pt>
                <c:pt idx="5">
                  <c:v>2.35</c:v>
                </c:pt>
              </c:numCache>
            </c:numRef>
          </c:xVal>
          <c:yVal>
            <c:numRef>
              <c:f>TPCalibEq150!$S$8:$S$13</c:f>
              <c:numCache>
                <c:formatCode>0.0</c:formatCode>
                <c:ptCount val="6"/>
                <c:pt idx="0">
                  <c:v>0</c:v>
                </c:pt>
                <c:pt idx="1">
                  <c:v>5</c:v>
                </c:pt>
                <c:pt idx="2">
                  <c:v>15</c:v>
                </c:pt>
                <c:pt idx="3">
                  <c:v>20</c:v>
                </c:pt>
                <c:pt idx="4">
                  <c:v>75</c:v>
                </c:pt>
                <c:pt idx="5">
                  <c:v>150</c:v>
                </c:pt>
              </c:numCache>
            </c:numRef>
          </c:yVal>
          <c:smooth val="0"/>
          <c:extLst>
            <c:ext xmlns:c16="http://schemas.microsoft.com/office/drawing/2014/chart" uri="{C3380CC4-5D6E-409C-BE32-E72D297353CC}">
              <c16:uniqueId val="{00000004-24C2-49F7-A49B-4B01E35BAF31}"/>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TPCalibEq150!$U$14</c:f>
              <c:strCache>
                <c:ptCount val="1"/>
                <c:pt idx="0">
                  <c:v>1/24/2023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TPCalibEq150!$O$14:$O$19</c:f>
              <c:numCache>
                <c:formatCode>General</c:formatCode>
                <c:ptCount val="6"/>
                <c:pt idx="0">
                  <c:v>0.55200000000000005</c:v>
                </c:pt>
                <c:pt idx="1">
                  <c:v>0.55400000000000005</c:v>
                </c:pt>
                <c:pt idx="2">
                  <c:v>0.64900000000000002</c:v>
                </c:pt>
                <c:pt idx="3">
                  <c:v>0.71699999999999997</c:v>
                </c:pt>
                <c:pt idx="4">
                  <c:v>1.39</c:v>
                </c:pt>
                <c:pt idx="5">
                  <c:v>2.37</c:v>
                </c:pt>
              </c:numCache>
            </c:numRef>
          </c:xVal>
          <c:yVal>
            <c:numRef>
              <c:f>TPCalibEq150!$S$14:$S$19</c:f>
              <c:numCache>
                <c:formatCode>0.0</c:formatCode>
                <c:ptCount val="6"/>
                <c:pt idx="0">
                  <c:v>0</c:v>
                </c:pt>
                <c:pt idx="1">
                  <c:v>5</c:v>
                </c:pt>
                <c:pt idx="2">
                  <c:v>15</c:v>
                </c:pt>
                <c:pt idx="3">
                  <c:v>20</c:v>
                </c:pt>
                <c:pt idx="4">
                  <c:v>75</c:v>
                </c:pt>
                <c:pt idx="5">
                  <c:v>150</c:v>
                </c:pt>
              </c:numCache>
            </c:numRef>
          </c:yVal>
          <c:smooth val="0"/>
          <c:extLst>
            <c:ext xmlns:c16="http://schemas.microsoft.com/office/drawing/2014/chart" uri="{C3380CC4-5D6E-409C-BE32-E72D297353CC}">
              <c16:uniqueId val="{00000004-8D35-4754-9682-19C92098F5B3}"/>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TPCalibEq150!$U$20</c:f>
              <c:strCache>
                <c:ptCount val="1"/>
                <c:pt idx="0">
                  <c:v>2/1/2023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TPCalibEq150!$O$20:$O$24</c:f>
              <c:numCache>
                <c:formatCode>General</c:formatCode>
                <c:ptCount val="5"/>
                <c:pt idx="0">
                  <c:v>0.57399999999999995</c:v>
                </c:pt>
                <c:pt idx="1">
                  <c:v>0.59699999999999998</c:v>
                </c:pt>
                <c:pt idx="2">
                  <c:v>0.67900000000000005</c:v>
                </c:pt>
                <c:pt idx="3">
                  <c:v>0.747</c:v>
                </c:pt>
                <c:pt idx="4">
                  <c:v>2.4900000000000002</c:v>
                </c:pt>
              </c:numCache>
            </c:numRef>
          </c:xVal>
          <c:yVal>
            <c:numRef>
              <c:f>TPCalibEq150!$S$20:$S$24</c:f>
              <c:numCache>
                <c:formatCode>0.0</c:formatCode>
                <c:ptCount val="5"/>
                <c:pt idx="0">
                  <c:v>0</c:v>
                </c:pt>
                <c:pt idx="1">
                  <c:v>5</c:v>
                </c:pt>
                <c:pt idx="2">
                  <c:v>15</c:v>
                </c:pt>
                <c:pt idx="3">
                  <c:v>20</c:v>
                </c:pt>
                <c:pt idx="4">
                  <c:v>150</c:v>
                </c:pt>
              </c:numCache>
            </c:numRef>
          </c:yVal>
          <c:smooth val="0"/>
          <c:extLst>
            <c:ext xmlns:c16="http://schemas.microsoft.com/office/drawing/2014/chart" uri="{C3380CC4-5D6E-409C-BE32-E72D297353CC}">
              <c16:uniqueId val="{00000004-8745-4BED-857C-FA806365735B}"/>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TPCalibEq150!$U$25</c:f>
              <c:strCache>
                <c:ptCount val="1"/>
                <c:pt idx="0">
                  <c:v>2/9/2023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TPCalibEq150!$O$25:$O$29</c:f>
              <c:numCache>
                <c:formatCode>General</c:formatCode>
                <c:ptCount val="5"/>
                <c:pt idx="0">
                  <c:v>0.53300000000000003</c:v>
                </c:pt>
                <c:pt idx="1">
                  <c:v>0.56799999999999995</c:v>
                </c:pt>
                <c:pt idx="2">
                  <c:v>0.61399999999999999</c:v>
                </c:pt>
                <c:pt idx="3">
                  <c:v>0.73199999999999998</c:v>
                </c:pt>
                <c:pt idx="4">
                  <c:v>2.35</c:v>
                </c:pt>
              </c:numCache>
            </c:numRef>
          </c:xVal>
          <c:yVal>
            <c:numRef>
              <c:f>TPCalibEq150!$S$25:$S$29</c:f>
              <c:numCache>
                <c:formatCode>0.0</c:formatCode>
                <c:ptCount val="5"/>
                <c:pt idx="0">
                  <c:v>0</c:v>
                </c:pt>
                <c:pt idx="1">
                  <c:v>5</c:v>
                </c:pt>
                <c:pt idx="2">
                  <c:v>15</c:v>
                </c:pt>
                <c:pt idx="3">
                  <c:v>20</c:v>
                </c:pt>
                <c:pt idx="4">
                  <c:v>150</c:v>
                </c:pt>
              </c:numCache>
            </c:numRef>
          </c:yVal>
          <c:smooth val="0"/>
          <c:extLst>
            <c:ext xmlns:c16="http://schemas.microsoft.com/office/drawing/2014/chart" uri="{C3380CC4-5D6E-409C-BE32-E72D297353CC}">
              <c16:uniqueId val="{00000004-12CA-47A2-BFFB-9F2211F224A0}"/>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TPCalibEq150!$U$30</c:f>
              <c:strCache>
                <c:ptCount val="1"/>
                <c:pt idx="0">
                  <c:v>2/15/2023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TPCalibEq150!$O$30:$O$35</c:f>
              <c:numCache>
                <c:formatCode>General</c:formatCode>
                <c:ptCount val="6"/>
                <c:pt idx="0">
                  <c:v>0.51700000000000002</c:v>
                </c:pt>
                <c:pt idx="1">
                  <c:v>0.53400000000000003</c:v>
                </c:pt>
                <c:pt idx="2">
                  <c:v>0.63200000000000001</c:v>
                </c:pt>
                <c:pt idx="3">
                  <c:v>0.65200000000000002</c:v>
                </c:pt>
                <c:pt idx="4">
                  <c:v>1.34</c:v>
                </c:pt>
                <c:pt idx="5">
                  <c:v>2.34</c:v>
                </c:pt>
              </c:numCache>
            </c:numRef>
          </c:xVal>
          <c:yVal>
            <c:numRef>
              <c:f>TPCalibEq150!$S$30:$S$35</c:f>
              <c:numCache>
                <c:formatCode>0.0</c:formatCode>
                <c:ptCount val="6"/>
                <c:pt idx="0">
                  <c:v>0</c:v>
                </c:pt>
                <c:pt idx="1">
                  <c:v>5</c:v>
                </c:pt>
                <c:pt idx="2">
                  <c:v>15</c:v>
                </c:pt>
                <c:pt idx="3">
                  <c:v>20</c:v>
                </c:pt>
                <c:pt idx="4">
                  <c:v>75</c:v>
                </c:pt>
                <c:pt idx="5">
                  <c:v>150</c:v>
                </c:pt>
              </c:numCache>
            </c:numRef>
          </c:yVal>
          <c:smooth val="0"/>
          <c:extLst>
            <c:ext xmlns:c16="http://schemas.microsoft.com/office/drawing/2014/chart" uri="{C3380CC4-5D6E-409C-BE32-E72D297353CC}">
              <c16:uniqueId val="{00000004-6CA0-4E90-9601-8C1BE29C60FB}"/>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TPCalibEq150!$U$36</c:f>
              <c:strCache>
                <c:ptCount val="1"/>
                <c:pt idx="0">
                  <c:v>2/23/2023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TPCalibEq150!$O$36:$O$41</c:f>
              <c:numCache>
                <c:formatCode>General</c:formatCode>
                <c:ptCount val="6"/>
                <c:pt idx="0">
                  <c:v>0.48699999999999999</c:v>
                </c:pt>
                <c:pt idx="1">
                  <c:v>0.504</c:v>
                </c:pt>
                <c:pt idx="2">
                  <c:v>0.57299999999999995</c:v>
                </c:pt>
                <c:pt idx="3">
                  <c:v>0.60499999999999998</c:v>
                </c:pt>
                <c:pt idx="4">
                  <c:v>1.25</c:v>
                </c:pt>
                <c:pt idx="5">
                  <c:v>2.13</c:v>
                </c:pt>
              </c:numCache>
            </c:numRef>
          </c:xVal>
          <c:yVal>
            <c:numRef>
              <c:f>TPCalibEq150!$S$36:$S$41</c:f>
              <c:numCache>
                <c:formatCode>0.0</c:formatCode>
                <c:ptCount val="6"/>
                <c:pt idx="0">
                  <c:v>0</c:v>
                </c:pt>
                <c:pt idx="1">
                  <c:v>5</c:v>
                </c:pt>
                <c:pt idx="2">
                  <c:v>15</c:v>
                </c:pt>
                <c:pt idx="3">
                  <c:v>20</c:v>
                </c:pt>
                <c:pt idx="4">
                  <c:v>75</c:v>
                </c:pt>
                <c:pt idx="5">
                  <c:v>150</c:v>
                </c:pt>
              </c:numCache>
            </c:numRef>
          </c:yVal>
          <c:smooth val="0"/>
          <c:extLst>
            <c:ext xmlns:c16="http://schemas.microsoft.com/office/drawing/2014/chart" uri="{C3380CC4-5D6E-409C-BE32-E72D297353CC}">
              <c16:uniqueId val="{00000004-DB75-48C2-9690-E4E24237BBD1}"/>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TPCalibEq300!$U$2</c:f>
              <c:strCache>
                <c:ptCount val="1"/>
                <c:pt idx="0">
                  <c:v>1/4/2023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TPCalibEq300!$O$2:$O$8</c:f>
              <c:numCache>
                <c:formatCode>General</c:formatCode>
                <c:ptCount val="7"/>
                <c:pt idx="0">
                  <c:v>0.50800000000000001</c:v>
                </c:pt>
                <c:pt idx="1">
                  <c:v>0.52900000000000003</c:v>
                </c:pt>
                <c:pt idx="2">
                  <c:v>0.64400000000000002</c:v>
                </c:pt>
                <c:pt idx="3">
                  <c:v>0.68400000000000005</c:v>
                </c:pt>
                <c:pt idx="4">
                  <c:v>1.35</c:v>
                </c:pt>
                <c:pt idx="5">
                  <c:v>2.39</c:v>
                </c:pt>
                <c:pt idx="6">
                  <c:v>4.55</c:v>
                </c:pt>
              </c:numCache>
            </c:numRef>
          </c:xVal>
          <c:yVal>
            <c:numRef>
              <c:f>TPCalibEq300!$S$2:$S$8</c:f>
              <c:numCache>
                <c:formatCode>0.0</c:formatCode>
                <c:ptCount val="7"/>
                <c:pt idx="0">
                  <c:v>0</c:v>
                </c:pt>
                <c:pt idx="1">
                  <c:v>5</c:v>
                </c:pt>
                <c:pt idx="2">
                  <c:v>15</c:v>
                </c:pt>
                <c:pt idx="3">
                  <c:v>20</c:v>
                </c:pt>
                <c:pt idx="4">
                  <c:v>75</c:v>
                </c:pt>
                <c:pt idx="5">
                  <c:v>150</c:v>
                </c:pt>
                <c:pt idx="6">
                  <c:v>300</c:v>
                </c:pt>
              </c:numCache>
            </c:numRef>
          </c:yVal>
          <c:smooth val="0"/>
          <c:extLst>
            <c:ext xmlns:c16="http://schemas.microsoft.com/office/drawing/2014/chart" uri="{C3380CC4-5D6E-409C-BE32-E72D297353CC}">
              <c16:uniqueId val="{00000004-B63D-419C-BBC7-8998CFAA6D82}"/>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TPCalibEq300!$U$9</c:f>
              <c:strCache>
                <c:ptCount val="1"/>
                <c:pt idx="0">
                  <c:v>1/11/2023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TPCalibEq300!$O$9:$O$15</c:f>
              <c:numCache>
                <c:formatCode>General</c:formatCode>
                <c:ptCount val="7"/>
                <c:pt idx="0">
                  <c:v>0.46899999999999997</c:v>
                </c:pt>
                <c:pt idx="1">
                  <c:v>0.50800000000000001</c:v>
                </c:pt>
                <c:pt idx="2">
                  <c:v>0.58899999999999997</c:v>
                </c:pt>
                <c:pt idx="3">
                  <c:v>0.65800000000000003</c:v>
                </c:pt>
                <c:pt idx="4">
                  <c:v>1.39</c:v>
                </c:pt>
                <c:pt idx="5">
                  <c:v>2.35</c:v>
                </c:pt>
                <c:pt idx="6">
                  <c:v>4.63</c:v>
                </c:pt>
              </c:numCache>
            </c:numRef>
          </c:xVal>
          <c:yVal>
            <c:numRef>
              <c:f>TPCalibEq300!$S$9:$S$15</c:f>
              <c:numCache>
                <c:formatCode>0.0</c:formatCode>
                <c:ptCount val="7"/>
                <c:pt idx="0">
                  <c:v>0</c:v>
                </c:pt>
                <c:pt idx="1">
                  <c:v>5</c:v>
                </c:pt>
                <c:pt idx="2">
                  <c:v>15</c:v>
                </c:pt>
                <c:pt idx="3">
                  <c:v>20</c:v>
                </c:pt>
                <c:pt idx="4">
                  <c:v>75</c:v>
                </c:pt>
                <c:pt idx="5">
                  <c:v>150</c:v>
                </c:pt>
                <c:pt idx="6">
                  <c:v>300</c:v>
                </c:pt>
              </c:numCache>
            </c:numRef>
          </c:yVal>
          <c:smooth val="0"/>
          <c:extLst>
            <c:ext xmlns:c16="http://schemas.microsoft.com/office/drawing/2014/chart" uri="{C3380CC4-5D6E-409C-BE32-E72D297353CC}">
              <c16:uniqueId val="{00000004-8939-4C09-ADD6-412502C17696}"/>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TPCalibEq300!$U$16</c:f>
              <c:strCache>
                <c:ptCount val="1"/>
                <c:pt idx="0">
                  <c:v>1/24/2023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TPCalibEq300!$O$16:$O$22</c:f>
              <c:numCache>
                <c:formatCode>General</c:formatCode>
                <c:ptCount val="7"/>
                <c:pt idx="0">
                  <c:v>0.55200000000000005</c:v>
                </c:pt>
                <c:pt idx="1">
                  <c:v>0.55400000000000005</c:v>
                </c:pt>
                <c:pt idx="2">
                  <c:v>0.64900000000000002</c:v>
                </c:pt>
                <c:pt idx="3">
                  <c:v>0.71699999999999997</c:v>
                </c:pt>
                <c:pt idx="4">
                  <c:v>1.39</c:v>
                </c:pt>
                <c:pt idx="5">
                  <c:v>2.37</c:v>
                </c:pt>
                <c:pt idx="6">
                  <c:v>4.54</c:v>
                </c:pt>
              </c:numCache>
            </c:numRef>
          </c:xVal>
          <c:yVal>
            <c:numRef>
              <c:f>TPCalibEq300!$S$16:$S$22</c:f>
              <c:numCache>
                <c:formatCode>0.0</c:formatCode>
                <c:ptCount val="7"/>
                <c:pt idx="0">
                  <c:v>0</c:v>
                </c:pt>
                <c:pt idx="1">
                  <c:v>5</c:v>
                </c:pt>
                <c:pt idx="2">
                  <c:v>15</c:v>
                </c:pt>
                <c:pt idx="3">
                  <c:v>20</c:v>
                </c:pt>
                <c:pt idx="4">
                  <c:v>75</c:v>
                </c:pt>
                <c:pt idx="5">
                  <c:v>150</c:v>
                </c:pt>
                <c:pt idx="6">
                  <c:v>300</c:v>
                </c:pt>
              </c:numCache>
            </c:numRef>
          </c:yVal>
          <c:smooth val="0"/>
          <c:extLst>
            <c:ext xmlns:c16="http://schemas.microsoft.com/office/drawing/2014/chart" uri="{C3380CC4-5D6E-409C-BE32-E72D297353CC}">
              <c16:uniqueId val="{00000004-4A17-4B6E-A536-7BC142FC0BA2}"/>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TPCalibEq300!$U$23</c:f>
              <c:strCache>
                <c:ptCount val="1"/>
                <c:pt idx="0">
                  <c:v>2/1/2023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TPCalibEq300!$O$23:$O$28</c:f>
              <c:numCache>
                <c:formatCode>General</c:formatCode>
                <c:ptCount val="6"/>
                <c:pt idx="0">
                  <c:v>0.57399999999999995</c:v>
                </c:pt>
                <c:pt idx="1">
                  <c:v>0.59699999999999998</c:v>
                </c:pt>
                <c:pt idx="2">
                  <c:v>0.67900000000000005</c:v>
                </c:pt>
                <c:pt idx="3">
                  <c:v>0.747</c:v>
                </c:pt>
                <c:pt idx="4">
                  <c:v>2.4900000000000002</c:v>
                </c:pt>
                <c:pt idx="5">
                  <c:v>4.59</c:v>
                </c:pt>
              </c:numCache>
            </c:numRef>
          </c:xVal>
          <c:yVal>
            <c:numRef>
              <c:f>TPCalibEq300!$S$23:$S$28</c:f>
              <c:numCache>
                <c:formatCode>0.0</c:formatCode>
                <c:ptCount val="6"/>
                <c:pt idx="0">
                  <c:v>0</c:v>
                </c:pt>
                <c:pt idx="1">
                  <c:v>5</c:v>
                </c:pt>
                <c:pt idx="2">
                  <c:v>15</c:v>
                </c:pt>
                <c:pt idx="3">
                  <c:v>20</c:v>
                </c:pt>
                <c:pt idx="4">
                  <c:v>150</c:v>
                </c:pt>
                <c:pt idx="5">
                  <c:v>300</c:v>
                </c:pt>
              </c:numCache>
            </c:numRef>
          </c:yVal>
          <c:smooth val="0"/>
          <c:extLst>
            <c:ext xmlns:c16="http://schemas.microsoft.com/office/drawing/2014/chart" uri="{C3380CC4-5D6E-409C-BE32-E72D297353CC}">
              <c16:uniqueId val="{00000004-B25F-435D-BE02-7E3DB71C44E2}"/>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TPCalibEq300!$U$29</c:f>
              <c:strCache>
                <c:ptCount val="1"/>
                <c:pt idx="0">
                  <c:v>2/9/2023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TPCalibEq300!$O$29:$O$34</c:f>
              <c:numCache>
                <c:formatCode>General</c:formatCode>
                <c:ptCount val="6"/>
                <c:pt idx="0">
                  <c:v>0.53300000000000003</c:v>
                </c:pt>
                <c:pt idx="1">
                  <c:v>0.56799999999999995</c:v>
                </c:pt>
                <c:pt idx="2">
                  <c:v>0.61399999999999999</c:v>
                </c:pt>
                <c:pt idx="3">
                  <c:v>0.73199999999999998</c:v>
                </c:pt>
                <c:pt idx="4">
                  <c:v>2.35</c:v>
                </c:pt>
                <c:pt idx="5">
                  <c:v>4.51</c:v>
                </c:pt>
              </c:numCache>
            </c:numRef>
          </c:xVal>
          <c:yVal>
            <c:numRef>
              <c:f>TPCalibEq300!$S$29:$S$34</c:f>
              <c:numCache>
                <c:formatCode>0.0</c:formatCode>
                <c:ptCount val="6"/>
                <c:pt idx="0">
                  <c:v>0</c:v>
                </c:pt>
                <c:pt idx="1">
                  <c:v>5</c:v>
                </c:pt>
                <c:pt idx="2">
                  <c:v>15</c:v>
                </c:pt>
                <c:pt idx="3">
                  <c:v>20</c:v>
                </c:pt>
                <c:pt idx="4">
                  <c:v>150</c:v>
                </c:pt>
                <c:pt idx="5">
                  <c:v>300</c:v>
                </c:pt>
              </c:numCache>
            </c:numRef>
          </c:yVal>
          <c:smooth val="0"/>
          <c:extLst>
            <c:ext xmlns:c16="http://schemas.microsoft.com/office/drawing/2014/chart" uri="{C3380CC4-5D6E-409C-BE32-E72D297353CC}">
              <c16:uniqueId val="{00000004-E6F1-4028-92A0-5A079209B1D1}"/>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TPCalibEq300!$U$35</c:f>
              <c:strCache>
                <c:ptCount val="1"/>
                <c:pt idx="0">
                  <c:v>2/15/2023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TPCalibEq300!$O$35:$O$41</c:f>
              <c:numCache>
                <c:formatCode>General</c:formatCode>
                <c:ptCount val="7"/>
                <c:pt idx="0">
                  <c:v>0.51700000000000002</c:v>
                </c:pt>
                <c:pt idx="1">
                  <c:v>0.53400000000000003</c:v>
                </c:pt>
                <c:pt idx="2">
                  <c:v>0.63200000000000001</c:v>
                </c:pt>
                <c:pt idx="3">
                  <c:v>0.65200000000000002</c:v>
                </c:pt>
                <c:pt idx="4">
                  <c:v>1.34</c:v>
                </c:pt>
                <c:pt idx="5">
                  <c:v>2.34</c:v>
                </c:pt>
                <c:pt idx="6">
                  <c:v>4.55</c:v>
                </c:pt>
              </c:numCache>
            </c:numRef>
          </c:xVal>
          <c:yVal>
            <c:numRef>
              <c:f>TPCalibEq300!$S$35:$S$41</c:f>
              <c:numCache>
                <c:formatCode>0.0</c:formatCode>
                <c:ptCount val="7"/>
                <c:pt idx="0">
                  <c:v>0</c:v>
                </c:pt>
                <c:pt idx="1">
                  <c:v>5</c:v>
                </c:pt>
                <c:pt idx="2">
                  <c:v>15</c:v>
                </c:pt>
                <c:pt idx="3">
                  <c:v>20</c:v>
                </c:pt>
                <c:pt idx="4">
                  <c:v>75</c:v>
                </c:pt>
                <c:pt idx="5">
                  <c:v>150</c:v>
                </c:pt>
                <c:pt idx="6">
                  <c:v>300</c:v>
                </c:pt>
              </c:numCache>
            </c:numRef>
          </c:yVal>
          <c:smooth val="0"/>
          <c:extLst>
            <c:ext xmlns:c16="http://schemas.microsoft.com/office/drawing/2014/chart" uri="{C3380CC4-5D6E-409C-BE32-E72D297353CC}">
              <c16:uniqueId val="{00000004-4430-4D7B-9D8C-B90BA591E61E}"/>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TPCalibEq300!$U$42</c:f>
              <c:strCache>
                <c:ptCount val="1"/>
                <c:pt idx="0">
                  <c:v>2/23/2023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trendline>
            <c:spPr>
              <a:ln>
                <a:solidFill>
                  <a:schemeClr val="accent1"/>
                </a:solidFill>
                <a:prstDash val="sysDash"/>
              </a:ln>
            </c:spPr>
            <c:trendlineType val="linear"/>
            <c:dispRSqr val="1"/>
            <c:dispEq val="1"/>
            <c:trendlineLbl>
              <c:layout>
                <c:manualLayout>
                  <c:x val="-0.27697125708936732"/>
                  <c:y val="6.4523184601924757E-2"/>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poly"/>
            <c:order val="2"/>
            <c:dispRSqr val="1"/>
            <c:dispEq val="1"/>
            <c:trendlineLbl>
              <c:layout>
                <c:manualLayout>
                  <c:x val="0.16759181763118772"/>
                  <c:y val="0.37171272708558489"/>
                </c:manualLayout>
              </c:layout>
              <c:numFmt formatCode="General" sourceLinked="0"/>
              <c:txPr>
                <a:bodyPr/>
                <a:lstStyle/>
                <a:p>
                  <a:pPr>
                    <a:defRPr>
                      <a:solidFill>
                        <a:schemeClr val="tx1">
                          <a:lumMod val="65000"/>
                          <a:lumOff val="35000"/>
                        </a:schemeClr>
                      </a:solidFill>
                    </a:defRPr>
                  </a:pPr>
                  <a:endParaRPr lang="en-US"/>
                </a:p>
              </c:txPr>
            </c:trendlineLbl>
          </c:trendline>
          <c:trendline>
            <c:spPr>
              <a:ln>
                <a:solidFill>
                  <a:schemeClr val="accent1"/>
                </a:solidFill>
                <a:prstDash val="sysDash"/>
              </a:ln>
            </c:spPr>
            <c:trendlineType val="linear"/>
            <c:dispRSqr val="0"/>
            <c:dispEq val="0"/>
          </c:trendline>
          <c:xVal>
            <c:numRef>
              <c:f>TPCalibEq300!$O$42:$O$48</c:f>
              <c:numCache>
                <c:formatCode>General</c:formatCode>
                <c:ptCount val="7"/>
                <c:pt idx="0">
                  <c:v>0.48699999999999999</c:v>
                </c:pt>
                <c:pt idx="1">
                  <c:v>0.504</c:v>
                </c:pt>
                <c:pt idx="2">
                  <c:v>0.57299999999999995</c:v>
                </c:pt>
                <c:pt idx="3">
                  <c:v>0.60499999999999998</c:v>
                </c:pt>
                <c:pt idx="4">
                  <c:v>1.25</c:v>
                </c:pt>
                <c:pt idx="5">
                  <c:v>2.13</c:v>
                </c:pt>
                <c:pt idx="6">
                  <c:v>4.3</c:v>
                </c:pt>
              </c:numCache>
            </c:numRef>
          </c:xVal>
          <c:yVal>
            <c:numRef>
              <c:f>TPCalibEq300!$S$42:$S$48</c:f>
              <c:numCache>
                <c:formatCode>0.0</c:formatCode>
                <c:ptCount val="7"/>
                <c:pt idx="0">
                  <c:v>0</c:v>
                </c:pt>
                <c:pt idx="1">
                  <c:v>5</c:v>
                </c:pt>
                <c:pt idx="2">
                  <c:v>15</c:v>
                </c:pt>
                <c:pt idx="3">
                  <c:v>20</c:v>
                </c:pt>
                <c:pt idx="4">
                  <c:v>75</c:v>
                </c:pt>
                <c:pt idx="5">
                  <c:v>150</c:v>
                </c:pt>
                <c:pt idx="6">
                  <c:v>300</c:v>
                </c:pt>
              </c:numCache>
            </c:numRef>
          </c:yVal>
          <c:smooth val="0"/>
          <c:extLst>
            <c:ext xmlns:c16="http://schemas.microsoft.com/office/drawing/2014/chart" uri="{C3380CC4-5D6E-409C-BE32-E72D297353CC}">
              <c16:uniqueId val="{00000004-1245-4E56-B5F5-366C92BE007B}"/>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TPCalibEq500!$U$2</c:f>
              <c:strCache>
                <c:ptCount val="1"/>
                <c:pt idx="0">
                  <c:v>1/4/2023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TPCalibEq500!$O$2:$O$14</c:f>
              <c:numCache>
                <c:formatCode>General</c:formatCode>
                <c:ptCount val="13"/>
                <c:pt idx="0">
                  <c:v>0.47699999999999998</c:v>
                </c:pt>
                <c:pt idx="1">
                  <c:v>0.60699999999999998</c:v>
                </c:pt>
                <c:pt idx="2">
                  <c:v>1.08</c:v>
                </c:pt>
                <c:pt idx="3">
                  <c:v>3.44</c:v>
                </c:pt>
                <c:pt idx="4">
                  <c:v>8.02</c:v>
                </c:pt>
                <c:pt idx="5">
                  <c:v>0.50800000000000001</c:v>
                </c:pt>
                <c:pt idx="6">
                  <c:v>0.52900000000000003</c:v>
                </c:pt>
                <c:pt idx="7">
                  <c:v>0.64400000000000002</c:v>
                </c:pt>
                <c:pt idx="8">
                  <c:v>0.68400000000000005</c:v>
                </c:pt>
                <c:pt idx="9">
                  <c:v>1.35</c:v>
                </c:pt>
                <c:pt idx="10">
                  <c:v>2.39</c:v>
                </c:pt>
                <c:pt idx="11">
                  <c:v>4.55</c:v>
                </c:pt>
                <c:pt idx="12">
                  <c:v>7.5</c:v>
                </c:pt>
              </c:numCache>
            </c:numRef>
          </c:xVal>
          <c:yVal>
            <c:numRef>
              <c:f>TPCalibEq500!$S$2:$S$14</c:f>
              <c:numCache>
                <c:formatCode>0.0</c:formatCode>
                <c:ptCount val="13"/>
                <c:pt idx="0">
                  <c:v>0</c:v>
                </c:pt>
                <c:pt idx="1">
                  <c:v>12</c:v>
                </c:pt>
                <c:pt idx="2">
                  <c:v>50</c:v>
                </c:pt>
                <c:pt idx="3">
                  <c:v>200</c:v>
                </c:pt>
                <c:pt idx="4">
                  <c:v>500</c:v>
                </c:pt>
                <c:pt idx="5">
                  <c:v>0</c:v>
                </c:pt>
                <c:pt idx="6">
                  <c:v>5</c:v>
                </c:pt>
                <c:pt idx="7">
                  <c:v>15</c:v>
                </c:pt>
                <c:pt idx="8">
                  <c:v>20</c:v>
                </c:pt>
                <c:pt idx="9">
                  <c:v>75</c:v>
                </c:pt>
                <c:pt idx="10">
                  <c:v>150</c:v>
                </c:pt>
                <c:pt idx="11">
                  <c:v>300</c:v>
                </c:pt>
                <c:pt idx="12">
                  <c:v>500</c:v>
                </c:pt>
              </c:numCache>
            </c:numRef>
          </c:yVal>
          <c:smooth val="0"/>
          <c:extLst>
            <c:ext xmlns:c16="http://schemas.microsoft.com/office/drawing/2014/chart" uri="{C3380CC4-5D6E-409C-BE32-E72D297353CC}">
              <c16:uniqueId val="{00000001-3D04-4214-A70C-BED20E0F811E}"/>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TPCalibEq500!$U$15</c:f>
              <c:strCache>
                <c:ptCount val="1"/>
                <c:pt idx="0">
                  <c:v>1/11/2023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TPCalibEq500!$O$15:$O$27</c:f>
              <c:numCache>
                <c:formatCode>General</c:formatCode>
                <c:ptCount val="13"/>
                <c:pt idx="0">
                  <c:v>0.54100000000000004</c:v>
                </c:pt>
                <c:pt idx="1">
                  <c:v>0.56799999999999995</c:v>
                </c:pt>
                <c:pt idx="2">
                  <c:v>1.05</c:v>
                </c:pt>
                <c:pt idx="3">
                  <c:v>3.34</c:v>
                </c:pt>
                <c:pt idx="4">
                  <c:v>7.42</c:v>
                </c:pt>
                <c:pt idx="5">
                  <c:v>0.46899999999999997</c:v>
                </c:pt>
                <c:pt idx="6">
                  <c:v>0.50800000000000001</c:v>
                </c:pt>
                <c:pt idx="7">
                  <c:v>0.58899999999999997</c:v>
                </c:pt>
                <c:pt idx="8">
                  <c:v>0.65800000000000003</c:v>
                </c:pt>
                <c:pt idx="9">
                  <c:v>1.39</c:v>
                </c:pt>
                <c:pt idx="10">
                  <c:v>2.35</c:v>
                </c:pt>
                <c:pt idx="11">
                  <c:v>4.63</c:v>
                </c:pt>
                <c:pt idx="12">
                  <c:v>7.48</c:v>
                </c:pt>
              </c:numCache>
            </c:numRef>
          </c:xVal>
          <c:yVal>
            <c:numRef>
              <c:f>TPCalibEq500!$S$15:$S$27</c:f>
              <c:numCache>
                <c:formatCode>0.0</c:formatCode>
                <c:ptCount val="13"/>
                <c:pt idx="0">
                  <c:v>0</c:v>
                </c:pt>
                <c:pt idx="1">
                  <c:v>12</c:v>
                </c:pt>
                <c:pt idx="2">
                  <c:v>50</c:v>
                </c:pt>
                <c:pt idx="3">
                  <c:v>200</c:v>
                </c:pt>
                <c:pt idx="4">
                  <c:v>500</c:v>
                </c:pt>
                <c:pt idx="5">
                  <c:v>0</c:v>
                </c:pt>
                <c:pt idx="6">
                  <c:v>5</c:v>
                </c:pt>
                <c:pt idx="7">
                  <c:v>15</c:v>
                </c:pt>
                <c:pt idx="8">
                  <c:v>20</c:v>
                </c:pt>
                <c:pt idx="9">
                  <c:v>75</c:v>
                </c:pt>
                <c:pt idx="10">
                  <c:v>150</c:v>
                </c:pt>
                <c:pt idx="11">
                  <c:v>300</c:v>
                </c:pt>
                <c:pt idx="12">
                  <c:v>500</c:v>
                </c:pt>
              </c:numCache>
            </c:numRef>
          </c:yVal>
          <c:smooth val="0"/>
          <c:extLst>
            <c:ext xmlns:c16="http://schemas.microsoft.com/office/drawing/2014/chart" uri="{C3380CC4-5D6E-409C-BE32-E72D297353CC}">
              <c16:uniqueId val="{00000001-0556-4981-B0BE-1D90D91B12A9}"/>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TPCalibEq500!$U$28</c:f>
              <c:strCache>
                <c:ptCount val="1"/>
                <c:pt idx="0">
                  <c:v>1/24/2023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TPCalibEq500!$O$28:$O$40</c:f>
              <c:numCache>
                <c:formatCode>General</c:formatCode>
                <c:ptCount val="13"/>
                <c:pt idx="0">
                  <c:v>0.439</c:v>
                </c:pt>
                <c:pt idx="1">
                  <c:v>4.62</c:v>
                </c:pt>
                <c:pt idx="2">
                  <c:v>3.37</c:v>
                </c:pt>
                <c:pt idx="3">
                  <c:v>5.38</c:v>
                </c:pt>
                <c:pt idx="4">
                  <c:v>10.1</c:v>
                </c:pt>
                <c:pt idx="5">
                  <c:v>0.55200000000000005</c:v>
                </c:pt>
                <c:pt idx="6">
                  <c:v>0.55400000000000005</c:v>
                </c:pt>
                <c:pt idx="7">
                  <c:v>0.64900000000000002</c:v>
                </c:pt>
                <c:pt idx="8">
                  <c:v>0.71699999999999997</c:v>
                </c:pt>
                <c:pt idx="9">
                  <c:v>1.39</c:v>
                </c:pt>
                <c:pt idx="10">
                  <c:v>2.37</c:v>
                </c:pt>
                <c:pt idx="11">
                  <c:v>4.54</c:v>
                </c:pt>
                <c:pt idx="12">
                  <c:v>7.56</c:v>
                </c:pt>
              </c:numCache>
            </c:numRef>
          </c:xVal>
          <c:yVal>
            <c:numRef>
              <c:f>TPCalibEq500!$S$28:$S$40</c:f>
              <c:numCache>
                <c:formatCode>0.0</c:formatCode>
                <c:ptCount val="13"/>
                <c:pt idx="0">
                  <c:v>0</c:v>
                </c:pt>
                <c:pt idx="1">
                  <c:v>12</c:v>
                </c:pt>
                <c:pt idx="2">
                  <c:v>50</c:v>
                </c:pt>
                <c:pt idx="3">
                  <c:v>200</c:v>
                </c:pt>
                <c:pt idx="4">
                  <c:v>500</c:v>
                </c:pt>
                <c:pt idx="5">
                  <c:v>0</c:v>
                </c:pt>
                <c:pt idx="6">
                  <c:v>5</c:v>
                </c:pt>
                <c:pt idx="7">
                  <c:v>15</c:v>
                </c:pt>
                <c:pt idx="8">
                  <c:v>20</c:v>
                </c:pt>
                <c:pt idx="9">
                  <c:v>75</c:v>
                </c:pt>
                <c:pt idx="10">
                  <c:v>150</c:v>
                </c:pt>
                <c:pt idx="11">
                  <c:v>300</c:v>
                </c:pt>
                <c:pt idx="12">
                  <c:v>500</c:v>
                </c:pt>
              </c:numCache>
            </c:numRef>
          </c:yVal>
          <c:smooth val="0"/>
          <c:extLst>
            <c:ext xmlns:c16="http://schemas.microsoft.com/office/drawing/2014/chart" uri="{C3380CC4-5D6E-409C-BE32-E72D297353CC}">
              <c16:uniqueId val="{00000001-5B95-43E1-8E13-CE9045DB99C2}"/>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TPCalibEq500!$U$41</c:f>
              <c:strCache>
                <c:ptCount val="1"/>
                <c:pt idx="0">
                  <c:v>2/1/2023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TPCalibEq500!$O$41:$O$53</c:f>
              <c:numCache>
                <c:formatCode>General</c:formatCode>
                <c:ptCount val="13"/>
                <c:pt idx="0">
                  <c:v>0.439</c:v>
                </c:pt>
                <c:pt idx="1">
                  <c:v>0.60899999999999999</c:v>
                </c:pt>
                <c:pt idx="2">
                  <c:v>1.0900000000000001</c:v>
                </c:pt>
                <c:pt idx="3">
                  <c:v>3.36</c:v>
                </c:pt>
                <c:pt idx="4">
                  <c:v>7.94</c:v>
                </c:pt>
                <c:pt idx="5">
                  <c:v>0.57399999999999995</c:v>
                </c:pt>
                <c:pt idx="6">
                  <c:v>0.59699999999999998</c:v>
                </c:pt>
                <c:pt idx="7">
                  <c:v>0.67900000000000005</c:v>
                </c:pt>
                <c:pt idx="8">
                  <c:v>0.747</c:v>
                </c:pt>
                <c:pt idx="9">
                  <c:v>2.67</c:v>
                </c:pt>
                <c:pt idx="10">
                  <c:v>2.4900000000000002</c:v>
                </c:pt>
                <c:pt idx="11">
                  <c:v>4.59</c:v>
                </c:pt>
                <c:pt idx="12">
                  <c:v>7.66</c:v>
                </c:pt>
              </c:numCache>
            </c:numRef>
          </c:xVal>
          <c:yVal>
            <c:numRef>
              <c:f>TPCalibEq500!$S$41:$S$53</c:f>
              <c:numCache>
                <c:formatCode>0.0</c:formatCode>
                <c:ptCount val="13"/>
                <c:pt idx="0">
                  <c:v>0</c:v>
                </c:pt>
                <c:pt idx="1">
                  <c:v>12</c:v>
                </c:pt>
                <c:pt idx="2">
                  <c:v>50</c:v>
                </c:pt>
                <c:pt idx="3">
                  <c:v>200</c:v>
                </c:pt>
                <c:pt idx="4">
                  <c:v>500</c:v>
                </c:pt>
                <c:pt idx="5">
                  <c:v>0</c:v>
                </c:pt>
                <c:pt idx="6">
                  <c:v>5</c:v>
                </c:pt>
                <c:pt idx="7">
                  <c:v>15</c:v>
                </c:pt>
                <c:pt idx="8">
                  <c:v>20</c:v>
                </c:pt>
                <c:pt idx="9">
                  <c:v>75</c:v>
                </c:pt>
                <c:pt idx="10">
                  <c:v>150</c:v>
                </c:pt>
                <c:pt idx="11">
                  <c:v>300</c:v>
                </c:pt>
                <c:pt idx="12">
                  <c:v>500</c:v>
                </c:pt>
              </c:numCache>
            </c:numRef>
          </c:yVal>
          <c:smooth val="0"/>
          <c:extLst>
            <c:ext xmlns:c16="http://schemas.microsoft.com/office/drawing/2014/chart" uri="{C3380CC4-5D6E-409C-BE32-E72D297353CC}">
              <c16:uniqueId val="{00000001-5167-4B1A-A7FF-8E453F61FEBC}"/>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TPCalibEq500!$U$54</c:f>
              <c:strCache>
                <c:ptCount val="1"/>
                <c:pt idx="0">
                  <c:v>2/9/2023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TPCalibEq500!$O$54:$O$65</c:f>
              <c:numCache>
                <c:formatCode>General</c:formatCode>
                <c:ptCount val="12"/>
                <c:pt idx="0">
                  <c:v>0.433</c:v>
                </c:pt>
                <c:pt idx="1">
                  <c:v>0.55500000000000005</c:v>
                </c:pt>
                <c:pt idx="2">
                  <c:v>1.03</c:v>
                </c:pt>
                <c:pt idx="3">
                  <c:v>3.04</c:v>
                </c:pt>
                <c:pt idx="4">
                  <c:v>7.78</c:v>
                </c:pt>
                <c:pt idx="5">
                  <c:v>0.53300000000000003</c:v>
                </c:pt>
                <c:pt idx="6">
                  <c:v>0.56799999999999995</c:v>
                </c:pt>
                <c:pt idx="7">
                  <c:v>0.61399999999999999</c:v>
                </c:pt>
                <c:pt idx="8">
                  <c:v>0.73199999999999998</c:v>
                </c:pt>
                <c:pt idx="9">
                  <c:v>2.35</c:v>
                </c:pt>
                <c:pt idx="10">
                  <c:v>4.51</c:v>
                </c:pt>
                <c:pt idx="11">
                  <c:v>7.54</c:v>
                </c:pt>
              </c:numCache>
            </c:numRef>
          </c:xVal>
          <c:yVal>
            <c:numRef>
              <c:f>TPCalibEq500!$S$54:$S$65</c:f>
              <c:numCache>
                <c:formatCode>0.0</c:formatCode>
                <c:ptCount val="12"/>
                <c:pt idx="0">
                  <c:v>0</c:v>
                </c:pt>
                <c:pt idx="1">
                  <c:v>12</c:v>
                </c:pt>
                <c:pt idx="2">
                  <c:v>50</c:v>
                </c:pt>
                <c:pt idx="3">
                  <c:v>200</c:v>
                </c:pt>
                <c:pt idx="4">
                  <c:v>500</c:v>
                </c:pt>
                <c:pt idx="5">
                  <c:v>0</c:v>
                </c:pt>
                <c:pt idx="6">
                  <c:v>5</c:v>
                </c:pt>
                <c:pt idx="7">
                  <c:v>15</c:v>
                </c:pt>
                <c:pt idx="8">
                  <c:v>20</c:v>
                </c:pt>
                <c:pt idx="9">
                  <c:v>150</c:v>
                </c:pt>
                <c:pt idx="10">
                  <c:v>300</c:v>
                </c:pt>
                <c:pt idx="11">
                  <c:v>500</c:v>
                </c:pt>
              </c:numCache>
            </c:numRef>
          </c:yVal>
          <c:smooth val="0"/>
          <c:extLst>
            <c:ext xmlns:c16="http://schemas.microsoft.com/office/drawing/2014/chart" uri="{C3380CC4-5D6E-409C-BE32-E72D297353CC}">
              <c16:uniqueId val="{00000001-205B-409B-8ACF-C240248F9C57}"/>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TPCalibEq500!$U$66</c:f>
              <c:strCache>
                <c:ptCount val="1"/>
                <c:pt idx="0">
                  <c:v>2/15/2023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TPCalibEq500!$O$66:$O$78</c:f>
              <c:numCache>
                <c:formatCode>General</c:formatCode>
                <c:ptCount val="13"/>
                <c:pt idx="0">
                  <c:v>0.43</c:v>
                </c:pt>
                <c:pt idx="1">
                  <c:v>0.56899999999999995</c:v>
                </c:pt>
                <c:pt idx="2">
                  <c:v>1.05</c:v>
                </c:pt>
                <c:pt idx="3">
                  <c:v>3.13</c:v>
                </c:pt>
                <c:pt idx="4">
                  <c:v>7.79</c:v>
                </c:pt>
                <c:pt idx="5">
                  <c:v>0.51700000000000002</c:v>
                </c:pt>
                <c:pt idx="6">
                  <c:v>0.53400000000000003</c:v>
                </c:pt>
                <c:pt idx="7">
                  <c:v>0.63200000000000001</c:v>
                </c:pt>
                <c:pt idx="8">
                  <c:v>0.65200000000000002</c:v>
                </c:pt>
                <c:pt idx="9">
                  <c:v>1.34</c:v>
                </c:pt>
                <c:pt idx="10">
                  <c:v>2.34</c:v>
                </c:pt>
                <c:pt idx="11">
                  <c:v>4.55</c:v>
                </c:pt>
                <c:pt idx="12">
                  <c:v>7.51</c:v>
                </c:pt>
              </c:numCache>
            </c:numRef>
          </c:xVal>
          <c:yVal>
            <c:numRef>
              <c:f>TPCalibEq500!$S$66:$S$78</c:f>
              <c:numCache>
                <c:formatCode>0.0</c:formatCode>
                <c:ptCount val="13"/>
                <c:pt idx="0">
                  <c:v>0</c:v>
                </c:pt>
                <c:pt idx="1">
                  <c:v>12</c:v>
                </c:pt>
                <c:pt idx="2">
                  <c:v>50</c:v>
                </c:pt>
                <c:pt idx="3">
                  <c:v>200</c:v>
                </c:pt>
                <c:pt idx="4">
                  <c:v>500</c:v>
                </c:pt>
                <c:pt idx="5">
                  <c:v>0</c:v>
                </c:pt>
                <c:pt idx="6">
                  <c:v>5</c:v>
                </c:pt>
                <c:pt idx="7">
                  <c:v>15</c:v>
                </c:pt>
                <c:pt idx="8">
                  <c:v>20</c:v>
                </c:pt>
                <c:pt idx="9">
                  <c:v>75</c:v>
                </c:pt>
                <c:pt idx="10">
                  <c:v>150</c:v>
                </c:pt>
                <c:pt idx="11">
                  <c:v>300</c:v>
                </c:pt>
                <c:pt idx="12">
                  <c:v>500</c:v>
                </c:pt>
              </c:numCache>
            </c:numRef>
          </c:yVal>
          <c:smooth val="0"/>
          <c:extLst>
            <c:ext xmlns:c16="http://schemas.microsoft.com/office/drawing/2014/chart" uri="{C3380CC4-5D6E-409C-BE32-E72D297353CC}">
              <c16:uniqueId val="{00000001-400B-4FC8-A695-2237CDA304EC}"/>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TPCalibEq500!$U$79</c:f>
              <c:strCache>
                <c:ptCount val="1"/>
                <c:pt idx="0">
                  <c:v>2/23/2023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TPCalibEq500!$O$79:$O$91</c:f>
              <c:numCache>
                <c:formatCode>General</c:formatCode>
                <c:ptCount val="13"/>
                <c:pt idx="0">
                  <c:v>0.33800000000000002</c:v>
                </c:pt>
                <c:pt idx="1">
                  <c:v>0.47399999999999998</c:v>
                </c:pt>
                <c:pt idx="2">
                  <c:v>0.93100000000000005</c:v>
                </c:pt>
                <c:pt idx="3">
                  <c:v>2.85</c:v>
                </c:pt>
                <c:pt idx="4">
                  <c:v>7.39</c:v>
                </c:pt>
                <c:pt idx="5">
                  <c:v>0.48699999999999999</c:v>
                </c:pt>
                <c:pt idx="6">
                  <c:v>0.504</c:v>
                </c:pt>
                <c:pt idx="7">
                  <c:v>0.57299999999999995</c:v>
                </c:pt>
                <c:pt idx="8">
                  <c:v>0.60499999999999998</c:v>
                </c:pt>
                <c:pt idx="9">
                  <c:v>1.25</c:v>
                </c:pt>
                <c:pt idx="10">
                  <c:v>2.13</c:v>
                </c:pt>
                <c:pt idx="11">
                  <c:v>4.3</c:v>
                </c:pt>
                <c:pt idx="12">
                  <c:v>7.02</c:v>
                </c:pt>
              </c:numCache>
            </c:numRef>
          </c:xVal>
          <c:yVal>
            <c:numRef>
              <c:f>TPCalibEq500!$S$79:$S$91</c:f>
              <c:numCache>
                <c:formatCode>0.0</c:formatCode>
                <c:ptCount val="13"/>
                <c:pt idx="0">
                  <c:v>0</c:v>
                </c:pt>
                <c:pt idx="1">
                  <c:v>12</c:v>
                </c:pt>
                <c:pt idx="2">
                  <c:v>50</c:v>
                </c:pt>
                <c:pt idx="3">
                  <c:v>200</c:v>
                </c:pt>
                <c:pt idx="4">
                  <c:v>500</c:v>
                </c:pt>
                <c:pt idx="5">
                  <c:v>0</c:v>
                </c:pt>
                <c:pt idx="6">
                  <c:v>5</c:v>
                </c:pt>
                <c:pt idx="7">
                  <c:v>15</c:v>
                </c:pt>
                <c:pt idx="8">
                  <c:v>20</c:v>
                </c:pt>
                <c:pt idx="9">
                  <c:v>75</c:v>
                </c:pt>
                <c:pt idx="10">
                  <c:v>150</c:v>
                </c:pt>
                <c:pt idx="11">
                  <c:v>300</c:v>
                </c:pt>
                <c:pt idx="12">
                  <c:v>500</c:v>
                </c:pt>
              </c:numCache>
            </c:numRef>
          </c:yVal>
          <c:smooth val="0"/>
          <c:extLst>
            <c:ext xmlns:c16="http://schemas.microsoft.com/office/drawing/2014/chart" uri="{C3380CC4-5D6E-409C-BE32-E72D297353CC}">
              <c16:uniqueId val="{00000001-3D16-476C-8568-55F9C9674C0D}"/>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TPCalibEqFull!$U$2</c:f>
              <c:strCache>
                <c:ptCount val="1"/>
                <c:pt idx="0">
                  <c:v>1/4/2023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TPCalibEqFull!$O$2:$O$17</c:f>
              <c:numCache>
                <c:formatCode>General</c:formatCode>
                <c:ptCount val="16"/>
                <c:pt idx="0">
                  <c:v>0.47699999999999998</c:v>
                </c:pt>
                <c:pt idx="1">
                  <c:v>0.60699999999999998</c:v>
                </c:pt>
                <c:pt idx="2">
                  <c:v>1.08</c:v>
                </c:pt>
                <c:pt idx="3">
                  <c:v>3.44</c:v>
                </c:pt>
                <c:pt idx="4">
                  <c:v>8.02</c:v>
                </c:pt>
                <c:pt idx="5">
                  <c:v>16</c:v>
                </c:pt>
                <c:pt idx="6">
                  <c:v>23.2</c:v>
                </c:pt>
                <c:pt idx="7">
                  <c:v>31</c:v>
                </c:pt>
                <c:pt idx="8">
                  <c:v>0.50800000000000001</c:v>
                </c:pt>
                <c:pt idx="9">
                  <c:v>0.52900000000000003</c:v>
                </c:pt>
                <c:pt idx="10">
                  <c:v>0.64400000000000002</c:v>
                </c:pt>
                <c:pt idx="11">
                  <c:v>0.68400000000000005</c:v>
                </c:pt>
                <c:pt idx="12">
                  <c:v>1.35</c:v>
                </c:pt>
                <c:pt idx="13">
                  <c:v>2.39</c:v>
                </c:pt>
                <c:pt idx="14">
                  <c:v>4.55</c:v>
                </c:pt>
                <c:pt idx="15">
                  <c:v>7.5</c:v>
                </c:pt>
              </c:numCache>
            </c:numRef>
          </c:xVal>
          <c:yVal>
            <c:numRef>
              <c:f>TPCalibEqFull!$S$2:$S$17</c:f>
              <c:numCache>
                <c:formatCode>0.0</c:formatCode>
                <c:ptCount val="16"/>
                <c:pt idx="0">
                  <c:v>0</c:v>
                </c:pt>
                <c:pt idx="1">
                  <c:v>12</c:v>
                </c:pt>
                <c:pt idx="2">
                  <c:v>50</c:v>
                </c:pt>
                <c:pt idx="3">
                  <c:v>200</c:v>
                </c:pt>
                <c:pt idx="4">
                  <c:v>500</c:v>
                </c:pt>
                <c:pt idx="5">
                  <c:v>1000</c:v>
                </c:pt>
                <c:pt idx="6">
                  <c:v>1500</c:v>
                </c:pt>
                <c:pt idx="7">
                  <c:v>2000</c:v>
                </c:pt>
                <c:pt idx="8">
                  <c:v>0</c:v>
                </c:pt>
                <c:pt idx="9">
                  <c:v>5</c:v>
                </c:pt>
                <c:pt idx="10">
                  <c:v>15</c:v>
                </c:pt>
                <c:pt idx="11">
                  <c:v>20</c:v>
                </c:pt>
                <c:pt idx="12">
                  <c:v>75</c:v>
                </c:pt>
                <c:pt idx="13">
                  <c:v>150</c:v>
                </c:pt>
                <c:pt idx="14">
                  <c:v>300</c:v>
                </c:pt>
                <c:pt idx="15">
                  <c:v>500</c:v>
                </c:pt>
              </c:numCache>
            </c:numRef>
          </c:yVal>
          <c:smooth val="0"/>
          <c:extLst>
            <c:ext xmlns:c16="http://schemas.microsoft.com/office/drawing/2014/chart" uri="{C3380CC4-5D6E-409C-BE32-E72D297353CC}">
              <c16:uniqueId val="{00000001-9D71-4945-B214-ACD2CC65CC57}"/>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TPCalibEqFull!$U$18</c:f>
              <c:strCache>
                <c:ptCount val="1"/>
                <c:pt idx="0">
                  <c:v>1/11/2023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TPCalibEqFull!$O$18:$O$33</c:f>
              <c:numCache>
                <c:formatCode>General</c:formatCode>
                <c:ptCount val="16"/>
                <c:pt idx="0">
                  <c:v>0.54100000000000004</c:v>
                </c:pt>
                <c:pt idx="1">
                  <c:v>0.56799999999999995</c:v>
                </c:pt>
                <c:pt idx="2">
                  <c:v>1.05</c:v>
                </c:pt>
                <c:pt idx="3">
                  <c:v>3.34</c:v>
                </c:pt>
                <c:pt idx="4">
                  <c:v>7.42</c:v>
                </c:pt>
                <c:pt idx="5">
                  <c:v>15.6</c:v>
                </c:pt>
                <c:pt idx="6">
                  <c:v>23</c:v>
                </c:pt>
                <c:pt idx="7">
                  <c:v>29.9</c:v>
                </c:pt>
                <c:pt idx="8">
                  <c:v>0.46899999999999997</c:v>
                </c:pt>
                <c:pt idx="9">
                  <c:v>0.50800000000000001</c:v>
                </c:pt>
                <c:pt idx="10">
                  <c:v>0.58899999999999997</c:v>
                </c:pt>
                <c:pt idx="11">
                  <c:v>0.65800000000000003</c:v>
                </c:pt>
                <c:pt idx="12">
                  <c:v>1.39</c:v>
                </c:pt>
                <c:pt idx="13">
                  <c:v>2.35</c:v>
                </c:pt>
                <c:pt idx="14">
                  <c:v>4.63</c:v>
                </c:pt>
                <c:pt idx="15">
                  <c:v>7.48</c:v>
                </c:pt>
              </c:numCache>
            </c:numRef>
          </c:xVal>
          <c:yVal>
            <c:numRef>
              <c:f>TPCalibEqFull!$S$18:$S$33</c:f>
              <c:numCache>
                <c:formatCode>0.0</c:formatCode>
                <c:ptCount val="16"/>
                <c:pt idx="0">
                  <c:v>0</c:v>
                </c:pt>
                <c:pt idx="1">
                  <c:v>12</c:v>
                </c:pt>
                <c:pt idx="2">
                  <c:v>50</c:v>
                </c:pt>
                <c:pt idx="3">
                  <c:v>200</c:v>
                </c:pt>
                <c:pt idx="4">
                  <c:v>500</c:v>
                </c:pt>
                <c:pt idx="5">
                  <c:v>1000</c:v>
                </c:pt>
                <c:pt idx="6">
                  <c:v>1500</c:v>
                </c:pt>
                <c:pt idx="7">
                  <c:v>2000</c:v>
                </c:pt>
                <c:pt idx="8">
                  <c:v>0</c:v>
                </c:pt>
                <c:pt idx="9">
                  <c:v>5</c:v>
                </c:pt>
                <c:pt idx="10">
                  <c:v>15</c:v>
                </c:pt>
                <c:pt idx="11">
                  <c:v>20</c:v>
                </c:pt>
                <c:pt idx="12">
                  <c:v>75</c:v>
                </c:pt>
                <c:pt idx="13">
                  <c:v>150</c:v>
                </c:pt>
                <c:pt idx="14">
                  <c:v>300</c:v>
                </c:pt>
                <c:pt idx="15">
                  <c:v>500</c:v>
                </c:pt>
              </c:numCache>
            </c:numRef>
          </c:yVal>
          <c:smooth val="0"/>
          <c:extLst>
            <c:ext xmlns:c16="http://schemas.microsoft.com/office/drawing/2014/chart" uri="{C3380CC4-5D6E-409C-BE32-E72D297353CC}">
              <c16:uniqueId val="{00000001-9B08-42BB-8636-71DBBAAA5AAF}"/>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TPCalibEqFull!$U$34</c:f>
              <c:strCache>
                <c:ptCount val="1"/>
                <c:pt idx="0">
                  <c:v>1/24/2023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TPCalibEqFull!$O$34:$O$49</c:f>
              <c:numCache>
                <c:formatCode>General</c:formatCode>
                <c:ptCount val="16"/>
                <c:pt idx="0">
                  <c:v>0.439</c:v>
                </c:pt>
                <c:pt idx="1">
                  <c:v>4.62</c:v>
                </c:pt>
                <c:pt idx="2">
                  <c:v>3.37</c:v>
                </c:pt>
                <c:pt idx="3">
                  <c:v>5.38</c:v>
                </c:pt>
                <c:pt idx="4">
                  <c:v>10.1</c:v>
                </c:pt>
                <c:pt idx="5">
                  <c:v>19.399999999999999</c:v>
                </c:pt>
                <c:pt idx="6">
                  <c:v>24.6</c:v>
                </c:pt>
                <c:pt idx="7">
                  <c:v>32</c:v>
                </c:pt>
                <c:pt idx="8">
                  <c:v>0.55200000000000005</c:v>
                </c:pt>
                <c:pt idx="9">
                  <c:v>0.55400000000000005</c:v>
                </c:pt>
                <c:pt idx="10">
                  <c:v>0.64900000000000002</c:v>
                </c:pt>
                <c:pt idx="11">
                  <c:v>0.71699999999999997</c:v>
                </c:pt>
                <c:pt idx="12">
                  <c:v>1.39</c:v>
                </c:pt>
                <c:pt idx="13">
                  <c:v>2.37</c:v>
                </c:pt>
                <c:pt idx="14">
                  <c:v>4.54</c:v>
                </c:pt>
                <c:pt idx="15">
                  <c:v>7.56</c:v>
                </c:pt>
              </c:numCache>
            </c:numRef>
          </c:xVal>
          <c:yVal>
            <c:numRef>
              <c:f>TPCalibEqFull!$S$34:$S$49</c:f>
              <c:numCache>
                <c:formatCode>0.0</c:formatCode>
                <c:ptCount val="16"/>
                <c:pt idx="0">
                  <c:v>0</c:v>
                </c:pt>
                <c:pt idx="1">
                  <c:v>12</c:v>
                </c:pt>
                <c:pt idx="2">
                  <c:v>50</c:v>
                </c:pt>
                <c:pt idx="3">
                  <c:v>200</c:v>
                </c:pt>
                <c:pt idx="4">
                  <c:v>500</c:v>
                </c:pt>
                <c:pt idx="5">
                  <c:v>1000</c:v>
                </c:pt>
                <c:pt idx="6">
                  <c:v>1500</c:v>
                </c:pt>
                <c:pt idx="7">
                  <c:v>2000</c:v>
                </c:pt>
                <c:pt idx="8">
                  <c:v>0</c:v>
                </c:pt>
                <c:pt idx="9">
                  <c:v>5</c:v>
                </c:pt>
                <c:pt idx="10">
                  <c:v>15</c:v>
                </c:pt>
                <c:pt idx="11">
                  <c:v>20</c:v>
                </c:pt>
                <c:pt idx="12">
                  <c:v>75</c:v>
                </c:pt>
                <c:pt idx="13">
                  <c:v>150</c:v>
                </c:pt>
                <c:pt idx="14">
                  <c:v>300</c:v>
                </c:pt>
                <c:pt idx="15">
                  <c:v>500</c:v>
                </c:pt>
              </c:numCache>
            </c:numRef>
          </c:yVal>
          <c:smooth val="0"/>
          <c:extLst>
            <c:ext xmlns:c16="http://schemas.microsoft.com/office/drawing/2014/chart" uri="{C3380CC4-5D6E-409C-BE32-E72D297353CC}">
              <c16:uniqueId val="{00000001-D250-4C37-B27A-6BC7D6DDAAE5}"/>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TPCalibEqFull!$U$50</c:f>
              <c:strCache>
                <c:ptCount val="1"/>
                <c:pt idx="0">
                  <c:v>2/1/2023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TPCalibEqFull!$O$50:$O$65</c:f>
              <c:numCache>
                <c:formatCode>General</c:formatCode>
                <c:ptCount val="16"/>
                <c:pt idx="0">
                  <c:v>0.439</c:v>
                </c:pt>
                <c:pt idx="1">
                  <c:v>0.60899999999999999</c:v>
                </c:pt>
                <c:pt idx="2">
                  <c:v>1.0900000000000001</c:v>
                </c:pt>
                <c:pt idx="3">
                  <c:v>3.36</c:v>
                </c:pt>
                <c:pt idx="4">
                  <c:v>7.94</c:v>
                </c:pt>
                <c:pt idx="5">
                  <c:v>15.4</c:v>
                </c:pt>
                <c:pt idx="6">
                  <c:v>23.2</c:v>
                </c:pt>
                <c:pt idx="7">
                  <c:v>30</c:v>
                </c:pt>
                <c:pt idx="8">
                  <c:v>0.57399999999999995</c:v>
                </c:pt>
                <c:pt idx="9">
                  <c:v>0.59699999999999998</c:v>
                </c:pt>
                <c:pt idx="10">
                  <c:v>0.67900000000000005</c:v>
                </c:pt>
                <c:pt idx="11">
                  <c:v>0.747</c:v>
                </c:pt>
                <c:pt idx="12">
                  <c:v>2.67</c:v>
                </c:pt>
                <c:pt idx="13">
                  <c:v>2.4900000000000002</c:v>
                </c:pt>
                <c:pt idx="14">
                  <c:v>4.59</c:v>
                </c:pt>
                <c:pt idx="15">
                  <c:v>7.66</c:v>
                </c:pt>
              </c:numCache>
            </c:numRef>
          </c:xVal>
          <c:yVal>
            <c:numRef>
              <c:f>TPCalibEqFull!$S$50:$S$65</c:f>
              <c:numCache>
                <c:formatCode>0.0</c:formatCode>
                <c:ptCount val="16"/>
                <c:pt idx="0">
                  <c:v>0</c:v>
                </c:pt>
                <c:pt idx="1">
                  <c:v>12</c:v>
                </c:pt>
                <c:pt idx="2">
                  <c:v>50</c:v>
                </c:pt>
                <c:pt idx="3">
                  <c:v>200</c:v>
                </c:pt>
                <c:pt idx="4">
                  <c:v>500</c:v>
                </c:pt>
                <c:pt idx="5">
                  <c:v>1000</c:v>
                </c:pt>
                <c:pt idx="6">
                  <c:v>1500</c:v>
                </c:pt>
                <c:pt idx="7">
                  <c:v>2000</c:v>
                </c:pt>
                <c:pt idx="8">
                  <c:v>0</c:v>
                </c:pt>
                <c:pt idx="9">
                  <c:v>5</c:v>
                </c:pt>
                <c:pt idx="10">
                  <c:v>15</c:v>
                </c:pt>
                <c:pt idx="11">
                  <c:v>20</c:v>
                </c:pt>
                <c:pt idx="12">
                  <c:v>75</c:v>
                </c:pt>
                <c:pt idx="13">
                  <c:v>150</c:v>
                </c:pt>
                <c:pt idx="14">
                  <c:v>300</c:v>
                </c:pt>
                <c:pt idx="15">
                  <c:v>500</c:v>
                </c:pt>
              </c:numCache>
            </c:numRef>
          </c:yVal>
          <c:smooth val="0"/>
          <c:extLst>
            <c:ext xmlns:c16="http://schemas.microsoft.com/office/drawing/2014/chart" uri="{C3380CC4-5D6E-409C-BE32-E72D297353CC}">
              <c16:uniqueId val="{00000001-7C25-4B6E-87BE-A75474555338}"/>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TPCalibEqFull!$U$66</c:f>
              <c:strCache>
                <c:ptCount val="1"/>
                <c:pt idx="0">
                  <c:v>2/9/2023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TPCalibEqFull!$O$66:$O$80</c:f>
              <c:numCache>
                <c:formatCode>General</c:formatCode>
                <c:ptCount val="15"/>
                <c:pt idx="0">
                  <c:v>0.433</c:v>
                </c:pt>
                <c:pt idx="1">
                  <c:v>0.55500000000000005</c:v>
                </c:pt>
                <c:pt idx="2">
                  <c:v>1.03</c:v>
                </c:pt>
                <c:pt idx="3">
                  <c:v>3.04</c:v>
                </c:pt>
                <c:pt idx="4">
                  <c:v>7.78</c:v>
                </c:pt>
                <c:pt idx="5">
                  <c:v>15.5</c:v>
                </c:pt>
                <c:pt idx="6">
                  <c:v>22.8</c:v>
                </c:pt>
                <c:pt idx="7">
                  <c:v>29.2</c:v>
                </c:pt>
                <c:pt idx="8">
                  <c:v>0.53300000000000003</c:v>
                </c:pt>
                <c:pt idx="9">
                  <c:v>0.56799999999999995</c:v>
                </c:pt>
                <c:pt idx="10">
                  <c:v>0.61399999999999999</c:v>
                </c:pt>
                <c:pt idx="11">
                  <c:v>0.73199999999999998</c:v>
                </c:pt>
                <c:pt idx="12">
                  <c:v>2.35</c:v>
                </c:pt>
                <c:pt idx="13">
                  <c:v>4.51</c:v>
                </c:pt>
                <c:pt idx="14">
                  <c:v>7.54</c:v>
                </c:pt>
              </c:numCache>
            </c:numRef>
          </c:xVal>
          <c:yVal>
            <c:numRef>
              <c:f>TPCalibEqFull!$S$66:$S$80</c:f>
              <c:numCache>
                <c:formatCode>0.0</c:formatCode>
                <c:ptCount val="15"/>
                <c:pt idx="0">
                  <c:v>0</c:v>
                </c:pt>
                <c:pt idx="1">
                  <c:v>12</c:v>
                </c:pt>
                <c:pt idx="2">
                  <c:v>50</c:v>
                </c:pt>
                <c:pt idx="3">
                  <c:v>200</c:v>
                </c:pt>
                <c:pt idx="4">
                  <c:v>500</c:v>
                </c:pt>
                <c:pt idx="5">
                  <c:v>1000</c:v>
                </c:pt>
                <c:pt idx="6">
                  <c:v>1500</c:v>
                </c:pt>
                <c:pt idx="7">
                  <c:v>2000</c:v>
                </c:pt>
                <c:pt idx="8">
                  <c:v>0</c:v>
                </c:pt>
                <c:pt idx="9">
                  <c:v>5</c:v>
                </c:pt>
                <c:pt idx="10">
                  <c:v>15</c:v>
                </c:pt>
                <c:pt idx="11">
                  <c:v>20</c:v>
                </c:pt>
                <c:pt idx="12">
                  <c:v>150</c:v>
                </c:pt>
                <c:pt idx="13">
                  <c:v>300</c:v>
                </c:pt>
                <c:pt idx="14">
                  <c:v>500</c:v>
                </c:pt>
              </c:numCache>
            </c:numRef>
          </c:yVal>
          <c:smooth val="0"/>
          <c:extLst>
            <c:ext xmlns:c16="http://schemas.microsoft.com/office/drawing/2014/chart" uri="{C3380CC4-5D6E-409C-BE32-E72D297353CC}">
              <c16:uniqueId val="{00000001-C1C5-4AA7-9D3C-637380F847A6}"/>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TPCalibEqFull!$U$81</c:f>
              <c:strCache>
                <c:ptCount val="1"/>
                <c:pt idx="0">
                  <c:v>2/15/2023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TPCalibEqFull!$O$81:$O$96</c:f>
              <c:numCache>
                <c:formatCode>General</c:formatCode>
                <c:ptCount val="16"/>
                <c:pt idx="0">
                  <c:v>0.43</c:v>
                </c:pt>
                <c:pt idx="1">
                  <c:v>0.56899999999999995</c:v>
                </c:pt>
                <c:pt idx="2">
                  <c:v>1.05</c:v>
                </c:pt>
                <c:pt idx="3">
                  <c:v>3.13</c:v>
                </c:pt>
                <c:pt idx="4">
                  <c:v>7.79</c:v>
                </c:pt>
                <c:pt idx="5">
                  <c:v>15.4</c:v>
                </c:pt>
                <c:pt idx="6">
                  <c:v>22.7</c:v>
                </c:pt>
                <c:pt idx="7">
                  <c:v>30.2</c:v>
                </c:pt>
                <c:pt idx="8">
                  <c:v>0.51700000000000002</c:v>
                </c:pt>
                <c:pt idx="9">
                  <c:v>0.53400000000000003</c:v>
                </c:pt>
                <c:pt idx="10">
                  <c:v>0.63200000000000001</c:v>
                </c:pt>
                <c:pt idx="11">
                  <c:v>0.65200000000000002</c:v>
                </c:pt>
                <c:pt idx="12">
                  <c:v>1.34</c:v>
                </c:pt>
                <c:pt idx="13">
                  <c:v>2.34</c:v>
                </c:pt>
                <c:pt idx="14">
                  <c:v>4.55</c:v>
                </c:pt>
                <c:pt idx="15">
                  <c:v>7.51</c:v>
                </c:pt>
              </c:numCache>
            </c:numRef>
          </c:xVal>
          <c:yVal>
            <c:numRef>
              <c:f>TPCalibEqFull!$S$81:$S$96</c:f>
              <c:numCache>
                <c:formatCode>0.0</c:formatCode>
                <c:ptCount val="16"/>
                <c:pt idx="0">
                  <c:v>0</c:v>
                </c:pt>
                <c:pt idx="1">
                  <c:v>12</c:v>
                </c:pt>
                <c:pt idx="2">
                  <c:v>50</c:v>
                </c:pt>
                <c:pt idx="3">
                  <c:v>200</c:v>
                </c:pt>
                <c:pt idx="4">
                  <c:v>500</c:v>
                </c:pt>
                <c:pt idx="5">
                  <c:v>1000</c:v>
                </c:pt>
                <c:pt idx="6">
                  <c:v>1500</c:v>
                </c:pt>
                <c:pt idx="7">
                  <c:v>2000</c:v>
                </c:pt>
                <c:pt idx="8">
                  <c:v>0</c:v>
                </c:pt>
                <c:pt idx="9">
                  <c:v>5</c:v>
                </c:pt>
                <c:pt idx="10">
                  <c:v>15</c:v>
                </c:pt>
                <c:pt idx="11">
                  <c:v>20</c:v>
                </c:pt>
                <c:pt idx="12">
                  <c:v>75</c:v>
                </c:pt>
                <c:pt idx="13">
                  <c:v>150</c:v>
                </c:pt>
                <c:pt idx="14">
                  <c:v>300</c:v>
                </c:pt>
                <c:pt idx="15">
                  <c:v>500</c:v>
                </c:pt>
              </c:numCache>
            </c:numRef>
          </c:yVal>
          <c:smooth val="0"/>
          <c:extLst>
            <c:ext xmlns:c16="http://schemas.microsoft.com/office/drawing/2014/chart" uri="{C3380CC4-5D6E-409C-BE32-E72D297353CC}">
              <c16:uniqueId val="{00000001-ECDF-4844-9A5B-31E5F2646AA3}"/>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TPCalibEqFull!$U$97</c:f>
              <c:strCache>
                <c:ptCount val="1"/>
                <c:pt idx="0">
                  <c:v>2/23/2023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TPCalibEqFull!$O$97:$O$112</c:f>
              <c:numCache>
                <c:formatCode>General</c:formatCode>
                <c:ptCount val="16"/>
                <c:pt idx="0">
                  <c:v>0.33800000000000002</c:v>
                </c:pt>
                <c:pt idx="1">
                  <c:v>0.47399999999999998</c:v>
                </c:pt>
                <c:pt idx="2">
                  <c:v>0.93100000000000005</c:v>
                </c:pt>
                <c:pt idx="3">
                  <c:v>2.85</c:v>
                </c:pt>
                <c:pt idx="4">
                  <c:v>7.39</c:v>
                </c:pt>
                <c:pt idx="5">
                  <c:v>15.3</c:v>
                </c:pt>
                <c:pt idx="6">
                  <c:v>22.5</c:v>
                </c:pt>
                <c:pt idx="7">
                  <c:v>29.2</c:v>
                </c:pt>
                <c:pt idx="8">
                  <c:v>0.48699999999999999</c:v>
                </c:pt>
                <c:pt idx="9">
                  <c:v>0.504</c:v>
                </c:pt>
                <c:pt idx="10">
                  <c:v>0.57299999999999995</c:v>
                </c:pt>
                <c:pt idx="11">
                  <c:v>0.60499999999999998</c:v>
                </c:pt>
                <c:pt idx="12">
                  <c:v>1.25</c:v>
                </c:pt>
                <c:pt idx="13">
                  <c:v>2.13</c:v>
                </c:pt>
                <c:pt idx="14">
                  <c:v>4.3</c:v>
                </c:pt>
                <c:pt idx="15">
                  <c:v>7.02</c:v>
                </c:pt>
              </c:numCache>
            </c:numRef>
          </c:xVal>
          <c:yVal>
            <c:numRef>
              <c:f>TPCalibEqFull!$S$97:$S$112</c:f>
              <c:numCache>
                <c:formatCode>0.0</c:formatCode>
                <c:ptCount val="16"/>
                <c:pt idx="0">
                  <c:v>0</c:v>
                </c:pt>
                <c:pt idx="1">
                  <c:v>12</c:v>
                </c:pt>
                <c:pt idx="2">
                  <c:v>50</c:v>
                </c:pt>
                <c:pt idx="3">
                  <c:v>200</c:v>
                </c:pt>
                <c:pt idx="4">
                  <c:v>500</c:v>
                </c:pt>
                <c:pt idx="5">
                  <c:v>1000</c:v>
                </c:pt>
                <c:pt idx="6">
                  <c:v>1500</c:v>
                </c:pt>
                <c:pt idx="7">
                  <c:v>2000</c:v>
                </c:pt>
                <c:pt idx="8">
                  <c:v>0</c:v>
                </c:pt>
                <c:pt idx="9">
                  <c:v>5</c:v>
                </c:pt>
                <c:pt idx="10">
                  <c:v>15</c:v>
                </c:pt>
                <c:pt idx="11">
                  <c:v>20</c:v>
                </c:pt>
                <c:pt idx="12">
                  <c:v>75</c:v>
                </c:pt>
                <c:pt idx="13">
                  <c:v>150</c:v>
                </c:pt>
                <c:pt idx="14">
                  <c:v>300</c:v>
                </c:pt>
                <c:pt idx="15">
                  <c:v>500</c:v>
                </c:pt>
              </c:numCache>
            </c:numRef>
          </c:yVal>
          <c:smooth val="0"/>
          <c:extLst>
            <c:ext xmlns:c16="http://schemas.microsoft.com/office/drawing/2014/chart" uri="{C3380CC4-5D6E-409C-BE32-E72D297353CC}">
              <c16:uniqueId val="{00000001-AC9B-48BA-8AC6-9277CAC9366B}"/>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TNCalibEq2500!$U$2</c:f>
              <c:strCache>
                <c:ptCount val="1"/>
                <c:pt idx="0">
                  <c:v>1/4/2023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TNCalibEq2500!$O$2:$O$7</c:f>
              <c:numCache>
                <c:formatCode>General</c:formatCode>
                <c:ptCount val="6"/>
                <c:pt idx="0">
                  <c:v>0.51500000000000001</c:v>
                </c:pt>
                <c:pt idx="1">
                  <c:v>0.59599999999999997</c:v>
                </c:pt>
                <c:pt idx="2">
                  <c:v>1.07</c:v>
                </c:pt>
                <c:pt idx="3">
                  <c:v>2.95</c:v>
                </c:pt>
                <c:pt idx="4">
                  <c:v>6.44</c:v>
                </c:pt>
                <c:pt idx="5">
                  <c:v>12.3</c:v>
                </c:pt>
              </c:numCache>
            </c:numRef>
          </c:xVal>
          <c:yVal>
            <c:numRef>
              <c:f>TNCalibEq2500!$S$2:$S$7</c:f>
              <c:numCache>
                <c:formatCode>0.0</c:formatCode>
                <c:ptCount val="6"/>
                <c:pt idx="0">
                  <c:v>0</c:v>
                </c:pt>
                <c:pt idx="1">
                  <c:v>30</c:v>
                </c:pt>
                <c:pt idx="2">
                  <c:v>125</c:v>
                </c:pt>
                <c:pt idx="3">
                  <c:v>500</c:v>
                </c:pt>
                <c:pt idx="4">
                  <c:v>1250</c:v>
                </c:pt>
                <c:pt idx="5">
                  <c:v>2500</c:v>
                </c:pt>
              </c:numCache>
            </c:numRef>
          </c:yVal>
          <c:smooth val="0"/>
          <c:extLst>
            <c:ext xmlns:c16="http://schemas.microsoft.com/office/drawing/2014/chart" uri="{C3380CC4-5D6E-409C-BE32-E72D297353CC}">
              <c16:uniqueId val="{00000001-79AD-4E16-8142-E9DC30F5109C}"/>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TNCalibEq2500!$U$8</c:f>
              <c:strCache>
                <c:ptCount val="1"/>
                <c:pt idx="0">
                  <c:v>1/11/2023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TNCalibEq2500!$O$8:$O$13</c:f>
              <c:numCache>
                <c:formatCode>General</c:formatCode>
                <c:ptCount val="6"/>
                <c:pt idx="0">
                  <c:v>0.36399999999999999</c:v>
                </c:pt>
                <c:pt idx="1">
                  <c:v>0.54</c:v>
                </c:pt>
                <c:pt idx="2">
                  <c:v>1.03</c:v>
                </c:pt>
                <c:pt idx="3">
                  <c:v>2.88</c:v>
                </c:pt>
                <c:pt idx="4">
                  <c:v>6.53</c:v>
                </c:pt>
                <c:pt idx="5">
                  <c:v>11.9</c:v>
                </c:pt>
              </c:numCache>
            </c:numRef>
          </c:xVal>
          <c:yVal>
            <c:numRef>
              <c:f>TNCalibEq2500!$S$8:$S$13</c:f>
              <c:numCache>
                <c:formatCode>0.0</c:formatCode>
                <c:ptCount val="6"/>
                <c:pt idx="0">
                  <c:v>0</c:v>
                </c:pt>
                <c:pt idx="1">
                  <c:v>30</c:v>
                </c:pt>
                <c:pt idx="2">
                  <c:v>125</c:v>
                </c:pt>
                <c:pt idx="3">
                  <c:v>500</c:v>
                </c:pt>
                <c:pt idx="4">
                  <c:v>1250</c:v>
                </c:pt>
                <c:pt idx="5">
                  <c:v>2500</c:v>
                </c:pt>
              </c:numCache>
            </c:numRef>
          </c:yVal>
          <c:smooth val="0"/>
          <c:extLst>
            <c:ext xmlns:c16="http://schemas.microsoft.com/office/drawing/2014/chart" uri="{C3380CC4-5D6E-409C-BE32-E72D297353CC}">
              <c16:uniqueId val="{00000001-5ABD-46CD-BD7A-35CAF26686C5}"/>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TNCalibEq2500!$U$14</c:f>
              <c:strCache>
                <c:ptCount val="1"/>
                <c:pt idx="0">
                  <c:v>1/24/2023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TNCalibEq2500!$O$14:$O$19</c:f>
              <c:numCache>
                <c:formatCode>General</c:formatCode>
                <c:ptCount val="6"/>
                <c:pt idx="0">
                  <c:v>0.56200000000000006</c:v>
                </c:pt>
                <c:pt idx="1">
                  <c:v>0.77800000000000002</c:v>
                </c:pt>
                <c:pt idx="2">
                  <c:v>1.04</c:v>
                </c:pt>
                <c:pt idx="3">
                  <c:v>3.06</c:v>
                </c:pt>
                <c:pt idx="4">
                  <c:v>6.35</c:v>
                </c:pt>
                <c:pt idx="5">
                  <c:v>12.8</c:v>
                </c:pt>
              </c:numCache>
            </c:numRef>
          </c:xVal>
          <c:yVal>
            <c:numRef>
              <c:f>TNCalibEq2500!$S$14:$S$19</c:f>
              <c:numCache>
                <c:formatCode>0.0</c:formatCode>
                <c:ptCount val="6"/>
                <c:pt idx="0">
                  <c:v>0</c:v>
                </c:pt>
                <c:pt idx="1">
                  <c:v>30</c:v>
                </c:pt>
                <c:pt idx="2">
                  <c:v>125</c:v>
                </c:pt>
                <c:pt idx="3">
                  <c:v>500</c:v>
                </c:pt>
                <c:pt idx="4">
                  <c:v>1250</c:v>
                </c:pt>
                <c:pt idx="5">
                  <c:v>2500</c:v>
                </c:pt>
              </c:numCache>
            </c:numRef>
          </c:yVal>
          <c:smooth val="0"/>
          <c:extLst>
            <c:ext xmlns:c16="http://schemas.microsoft.com/office/drawing/2014/chart" uri="{C3380CC4-5D6E-409C-BE32-E72D297353CC}">
              <c16:uniqueId val="{00000001-033C-4AD4-B7AB-930DBC9C4916}"/>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TNCalibEq2500!$U$20</c:f>
              <c:strCache>
                <c:ptCount val="1"/>
                <c:pt idx="0">
                  <c:v>2/1/2023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TNCalibEq2500!$O$20:$O$25</c:f>
              <c:numCache>
                <c:formatCode>General</c:formatCode>
                <c:ptCount val="6"/>
                <c:pt idx="0">
                  <c:v>0.44</c:v>
                </c:pt>
                <c:pt idx="1">
                  <c:v>0.69199999999999995</c:v>
                </c:pt>
                <c:pt idx="2">
                  <c:v>1.1200000000000001</c:v>
                </c:pt>
                <c:pt idx="3">
                  <c:v>3.12</c:v>
                </c:pt>
                <c:pt idx="4">
                  <c:v>7.44</c:v>
                </c:pt>
                <c:pt idx="5">
                  <c:v>13.8</c:v>
                </c:pt>
              </c:numCache>
            </c:numRef>
          </c:xVal>
          <c:yVal>
            <c:numRef>
              <c:f>TNCalibEq2500!$S$20:$S$25</c:f>
              <c:numCache>
                <c:formatCode>0.0</c:formatCode>
                <c:ptCount val="6"/>
                <c:pt idx="0">
                  <c:v>0</c:v>
                </c:pt>
                <c:pt idx="1">
                  <c:v>30</c:v>
                </c:pt>
                <c:pt idx="2">
                  <c:v>125</c:v>
                </c:pt>
                <c:pt idx="3">
                  <c:v>500</c:v>
                </c:pt>
                <c:pt idx="4">
                  <c:v>1250</c:v>
                </c:pt>
                <c:pt idx="5">
                  <c:v>2500</c:v>
                </c:pt>
              </c:numCache>
            </c:numRef>
          </c:yVal>
          <c:smooth val="0"/>
          <c:extLst>
            <c:ext xmlns:c16="http://schemas.microsoft.com/office/drawing/2014/chart" uri="{C3380CC4-5D6E-409C-BE32-E72D297353CC}">
              <c16:uniqueId val="{00000001-F9C8-482A-9E2C-4F764691A934}"/>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TNCalibEq2500!$U$26</c:f>
              <c:strCache>
                <c:ptCount val="1"/>
                <c:pt idx="0">
                  <c:v>2/10/2023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TNCalibEq2500!$O$26:$O$31</c:f>
              <c:numCache>
                <c:formatCode>General</c:formatCode>
                <c:ptCount val="6"/>
                <c:pt idx="0">
                  <c:v>0.69099999999999995</c:v>
                </c:pt>
                <c:pt idx="1">
                  <c:v>0.81499999999999995</c:v>
                </c:pt>
                <c:pt idx="2">
                  <c:v>1.27</c:v>
                </c:pt>
                <c:pt idx="3">
                  <c:v>3.36</c:v>
                </c:pt>
                <c:pt idx="4">
                  <c:v>7.51</c:v>
                </c:pt>
                <c:pt idx="5">
                  <c:v>15.2</c:v>
                </c:pt>
              </c:numCache>
            </c:numRef>
          </c:xVal>
          <c:yVal>
            <c:numRef>
              <c:f>TNCalibEq2500!$S$26:$S$31</c:f>
              <c:numCache>
                <c:formatCode>0.0</c:formatCode>
                <c:ptCount val="6"/>
                <c:pt idx="0">
                  <c:v>0</c:v>
                </c:pt>
                <c:pt idx="1">
                  <c:v>30</c:v>
                </c:pt>
                <c:pt idx="2">
                  <c:v>125</c:v>
                </c:pt>
                <c:pt idx="3">
                  <c:v>500</c:v>
                </c:pt>
                <c:pt idx="4">
                  <c:v>1250</c:v>
                </c:pt>
                <c:pt idx="5">
                  <c:v>2500</c:v>
                </c:pt>
              </c:numCache>
            </c:numRef>
          </c:yVal>
          <c:smooth val="0"/>
          <c:extLst>
            <c:ext xmlns:c16="http://schemas.microsoft.com/office/drawing/2014/chart" uri="{C3380CC4-5D6E-409C-BE32-E72D297353CC}">
              <c16:uniqueId val="{00000001-2AE4-45F3-B0E1-4976749CA4C1}"/>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TNCalibEq2500!$U$32</c:f>
              <c:strCache>
                <c:ptCount val="1"/>
                <c:pt idx="0">
                  <c:v>2/16/2023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TNCalibEq2500!$O$32:$O$37</c:f>
              <c:numCache>
                <c:formatCode>General</c:formatCode>
                <c:ptCount val="6"/>
                <c:pt idx="0">
                  <c:v>0.56000000000000005</c:v>
                </c:pt>
                <c:pt idx="1">
                  <c:v>0.754</c:v>
                </c:pt>
                <c:pt idx="2">
                  <c:v>1.1599999999999999</c:v>
                </c:pt>
                <c:pt idx="3">
                  <c:v>3.4</c:v>
                </c:pt>
                <c:pt idx="4">
                  <c:v>7.78</c:v>
                </c:pt>
                <c:pt idx="5">
                  <c:v>14.9</c:v>
                </c:pt>
              </c:numCache>
            </c:numRef>
          </c:xVal>
          <c:yVal>
            <c:numRef>
              <c:f>TNCalibEq2500!$S$32:$S$37</c:f>
              <c:numCache>
                <c:formatCode>0.0</c:formatCode>
                <c:ptCount val="6"/>
                <c:pt idx="0">
                  <c:v>0</c:v>
                </c:pt>
                <c:pt idx="1">
                  <c:v>30</c:v>
                </c:pt>
                <c:pt idx="2">
                  <c:v>125</c:v>
                </c:pt>
                <c:pt idx="3">
                  <c:v>500</c:v>
                </c:pt>
                <c:pt idx="4">
                  <c:v>1250</c:v>
                </c:pt>
                <c:pt idx="5">
                  <c:v>2500</c:v>
                </c:pt>
              </c:numCache>
            </c:numRef>
          </c:yVal>
          <c:smooth val="0"/>
          <c:extLst>
            <c:ext xmlns:c16="http://schemas.microsoft.com/office/drawing/2014/chart" uri="{C3380CC4-5D6E-409C-BE32-E72D297353CC}">
              <c16:uniqueId val="{00000001-3E70-4562-9F0C-308C2D04CB10}"/>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TNCalibEq2500!$U$38</c:f>
              <c:strCache>
                <c:ptCount val="1"/>
                <c:pt idx="0">
                  <c:v>2/24/2023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TNCalibEq2500!$O$38:$O$43</c:f>
              <c:numCache>
                <c:formatCode>General</c:formatCode>
                <c:ptCount val="6"/>
                <c:pt idx="0">
                  <c:v>0.46400000000000002</c:v>
                </c:pt>
                <c:pt idx="1">
                  <c:v>0.66900000000000004</c:v>
                </c:pt>
                <c:pt idx="2">
                  <c:v>1.19</c:v>
                </c:pt>
                <c:pt idx="3">
                  <c:v>3.37</c:v>
                </c:pt>
                <c:pt idx="4">
                  <c:v>7.93</c:v>
                </c:pt>
                <c:pt idx="5">
                  <c:v>13.8</c:v>
                </c:pt>
              </c:numCache>
            </c:numRef>
          </c:xVal>
          <c:yVal>
            <c:numRef>
              <c:f>TNCalibEq2500!$S$38:$S$43</c:f>
              <c:numCache>
                <c:formatCode>0.0</c:formatCode>
                <c:ptCount val="6"/>
                <c:pt idx="0">
                  <c:v>0</c:v>
                </c:pt>
                <c:pt idx="1">
                  <c:v>30</c:v>
                </c:pt>
                <c:pt idx="2">
                  <c:v>125</c:v>
                </c:pt>
                <c:pt idx="3">
                  <c:v>500</c:v>
                </c:pt>
                <c:pt idx="4">
                  <c:v>1250</c:v>
                </c:pt>
                <c:pt idx="5">
                  <c:v>2500</c:v>
                </c:pt>
              </c:numCache>
            </c:numRef>
          </c:yVal>
          <c:smooth val="0"/>
          <c:extLst>
            <c:ext xmlns:c16="http://schemas.microsoft.com/office/drawing/2014/chart" uri="{C3380CC4-5D6E-409C-BE32-E72D297353CC}">
              <c16:uniqueId val="{00000001-386A-40FA-B2A4-96236C064FC6}"/>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TNCalibEqFull!$U$2</c:f>
              <c:strCache>
                <c:ptCount val="1"/>
                <c:pt idx="0">
                  <c:v>1/4/2023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TNCalibEqFull!$O$2:$O$9</c:f>
              <c:numCache>
                <c:formatCode>General</c:formatCode>
                <c:ptCount val="8"/>
                <c:pt idx="0">
                  <c:v>0.51500000000000001</c:v>
                </c:pt>
                <c:pt idx="1">
                  <c:v>0.59599999999999997</c:v>
                </c:pt>
                <c:pt idx="2">
                  <c:v>1.07</c:v>
                </c:pt>
                <c:pt idx="3">
                  <c:v>2.95</c:v>
                </c:pt>
                <c:pt idx="4">
                  <c:v>6.44</c:v>
                </c:pt>
                <c:pt idx="5">
                  <c:v>12.3</c:v>
                </c:pt>
                <c:pt idx="6">
                  <c:v>17.100000000000001</c:v>
                </c:pt>
                <c:pt idx="7">
                  <c:v>24.2</c:v>
                </c:pt>
              </c:numCache>
            </c:numRef>
          </c:xVal>
          <c:yVal>
            <c:numRef>
              <c:f>TNCalibEqFull!$S$2:$S$9</c:f>
              <c:numCache>
                <c:formatCode>0.0</c:formatCode>
                <c:ptCount val="8"/>
                <c:pt idx="0">
                  <c:v>0</c:v>
                </c:pt>
                <c:pt idx="1">
                  <c:v>30</c:v>
                </c:pt>
                <c:pt idx="2">
                  <c:v>125</c:v>
                </c:pt>
                <c:pt idx="3">
                  <c:v>500</c:v>
                </c:pt>
                <c:pt idx="4">
                  <c:v>1250</c:v>
                </c:pt>
                <c:pt idx="5">
                  <c:v>2500</c:v>
                </c:pt>
                <c:pt idx="6">
                  <c:v>3750</c:v>
                </c:pt>
                <c:pt idx="7">
                  <c:v>5000</c:v>
                </c:pt>
              </c:numCache>
            </c:numRef>
          </c:yVal>
          <c:smooth val="0"/>
          <c:extLst>
            <c:ext xmlns:c16="http://schemas.microsoft.com/office/drawing/2014/chart" uri="{C3380CC4-5D6E-409C-BE32-E72D297353CC}">
              <c16:uniqueId val="{00000001-FBFD-4464-8E87-D4D0D1F8935B}"/>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TNCalibEqFull!$U$10</c:f>
              <c:strCache>
                <c:ptCount val="1"/>
                <c:pt idx="0">
                  <c:v>1/11/2023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TNCalibEqFull!$O$10:$O$17</c:f>
              <c:numCache>
                <c:formatCode>General</c:formatCode>
                <c:ptCount val="8"/>
                <c:pt idx="0">
                  <c:v>0.36399999999999999</c:v>
                </c:pt>
                <c:pt idx="1">
                  <c:v>0.54</c:v>
                </c:pt>
                <c:pt idx="2">
                  <c:v>1.03</c:v>
                </c:pt>
                <c:pt idx="3">
                  <c:v>2.88</c:v>
                </c:pt>
                <c:pt idx="4">
                  <c:v>6.53</c:v>
                </c:pt>
                <c:pt idx="5">
                  <c:v>11.9</c:v>
                </c:pt>
                <c:pt idx="6">
                  <c:v>18.100000000000001</c:v>
                </c:pt>
                <c:pt idx="7">
                  <c:v>23.7</c:v>
                </c:pt>
              </c:numCache>
            </c:numRef>
          </c:xVal>
          <c:yVal>
            <c:numRef>
              <c:f>TNCalibEqFull!$S$10:$S$17</c:f>
              <c:numCache>
                <c:formatCode>0.0</c:formatCode>
                <c:ptCount val="8"/>
                <c:pt idx="0">
                  <c:v>0</c:v>
                </c:pt>
                <c:pt idx="1">
                  <c:v>30</c:v>
                </c:pt>
                <c:pt idx="2">
                  <c:v>125</c:v>
                </c:pt>
                <c:pt idx="3">
                  <c:v>500</c:v>
                </c:pt>
                <c:pt idx="4">
                  <c:v>1250</c:v>
                </c:pt>
                <c:pt idx="5">
                  <c:v>2500</c:v>
                </c:pt>
                <c:pt idx="6">
                  <c:v>3750</c:v>
                </c:pt>
                <c:pt idx="7">
                  <c:v>5000</c:v>
                </c:pt>
              </c:numCache>
            </c:numRef>
          </c:yVal>
          <c:smooth val="0"/>
          <c:extLst>
            <c:ext xmlns:c16="http://schemas.microsoft.com/office/drawing/2014/chart" uri="{C3380CC4-5D6E-409C-BE32-E72D297353CC}">
              <c16:uniqueId val="{00000001-7EEC-47C9-BC21-DCF0A33818C7}"/>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TNCalibEqFull!$U$18</c:f>
              <c:strCache>
                <c:ptCount val="1"/>
                <c:pt idx="0">
                  <c:v>1/24/2023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TNCalibEqFull!$O$18:$O$25</c:f>
              <c:numCache>
                <c:formatCode>General</c:formatCode>
                <c:ptCount val="8"/>
                <c:pt idx="0">
                  <c:v>0.56200000000000006</c:v>
                </c:pt>
                <c:pt idx="1">
                  <c:v>0.77800000000000002</c:v>
                </c:pt>
                <c:pt idx="2">
                  <c:v>1.04</c:v>
                </c:pt>
                <c:pt idx="3">
                  <c:v>3.06</c:v>
                </c:pt>
                <c:pt idx="4">
                  <c:v>6.35</c:v>
                </c:pt>
                <c:pt idx="5">
                  <c:v>12.8</c:v>
                </c:pt>
                <c:pt idx="6">
                  <c:v>18.8</c:v>
                </c:pt>
                <c:pt idx="7">
                  <c:v>24.2</c:v>
                </c:pt>
              </c:numCache>
            </c:numRef>
          </c:xVal>
          <c:yVal>
            <c:numRef>
              <c:f>TNCalibEqFull!$S$18:$S$25</c:f>
              <c:numCache>
                <c:formatCode>0.0</c:formatCode>
                <c:ptCount val="8"/>
                <c:pt idx="0">
                  <c:v>0</c:v>
                </c:pt>
                <c:pt idx="1">
                  <c:v>30</c:v>
                </c:pt>
                <c:pt idx="2">
                  <c:v>125</c:v>
                </c:pt>
                <c:pt idx="3">
                  <c:v>500</c:v>
                </c:pt>
                <c:pt idx="4">
                  <c:v>1250</c:v>
                </c:pt>
                <c:pt idx="5">
                  <c:v>2500</c:v>
                </c:pt>
                <c:pt idx="6">
                  <c:v>3750</c:v>
                </c:pt>
                <c:pt idx="7">
                  <c:v>5000</c:v>
                </c:pt>
              </c:numCache>
            </c:numRef>
          </c:yVal>
          <c:smooth val="0"/>
          <c:extLst>
            <c:ext xmlns:c16="http://schemas.microsoft.com/office/drawing/2014/chart" uri="{C3380CC4-5D6E-409C-BE32-E72D297353CC}">
              <c16:uniqueId val="{00000001-B021-4071-BB49-F54BED8F22AD}"/>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TNCalibEqFull!$U$26</c:f>
              <c:strCache>
                <c:ptCount val="1"/>
                <c:pt idx="0">
                  <c:v>2/1/2023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TNCalibEqFull!$O$26:$O$33</c:f>
              <c:numCache>
                <c:formatCode>General</c:formatCode>
                <c:ptCount val="8"/>
                <c:pt idx="0">
                  <c:v>0.44</c:v>
                </c:pt>
                <c:pt idx="1">
                  <c:v>0.69199999999999995</c:v>
                </c:pt>
                <c:pt idx="2">
                  <c:v>1.1200000000000001</c:v>
                </c:pt>
                <c:pt idx="3">
                  <c:v>3.12</c:v>
                </c:pt>
                <c:pt idx="4">
                  <c:v>7.44</c:v>
                </c:pt>
                <c:pt idx="5">
                  <c:v>13.8</c:v>
                </c:pt>
                <c:pt idx="6">
                  <c:v>20.8</c:v>
                </c:pt>
                <c:pt idx="7">
                  <c:v>29.9</c:v>
                </c:pt>
              </c:numCache>
            </c:numRef>
          </c:xVal>
          <c:yVal>
            <c:numRef>
              <c:f>TNCalibEqFull!$S$26:$S$33</c:f>
              <c:numCache>
                <c:formatCode>0.0</c:formatCode>
                <c:ptCount val="8"/>
                <c:pt idx="0">
                  <c:v>0</c:v>
                </c:pt>
                <c:pt idx="1">
                  <c:v>30</c:v>
                </c:pt>
                <c:pt idx="2">
                  <c:v>125</c:v>
                </c:pt>
                <c:pt idx="3">
                  <c:v>500</c:v>
                </c:pt>
                <c:pt idx="4">
                  <c:v>1250</c:v>
                </c:pt>
                <c:pt idx="5">
                  <c:v>2500</c:v>
                </c:pt>
                <c:pt idx="6">
                  <c:v>3750</c:v>
                </c:pt>
                <c:pt idx="7">
                  <c:v>5000</c:v>
                </c:pt>
              </c:numCache>
            </c:numRef>
          </c:yVal>
          <c:smooth val="0"/>
          <c:extLst>
            <c:ext xmlns:c16="http://schemas.microsoft.com/office/drawing/2014/chart" uri="{C3380CC4-5D6E-409C-BE32-E72D297353CC}">
              <c16:uniqueId val="{00000001-560E-4EA9-89C9-E1D2658DCB00}"/>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TNCalibEqFull!$U$34</c:f>
              <c:strCache>
                <c:ptCount val="1"/>
                <c:pt idx="0">
                  <c:v>2/10/2023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TNCalibEqFull!$O$34:$O$41</c:f>
              <c:numCache>
                <c:formatCode>General</c:formatCode>
                <c:ptCount val="8"/>
                <c:pt idx="0">
                  <c:v>0.69099999999999995</c:v>
                </c:pt>
                <c:pt idx="1">
                  <c:v>0.81499999999999995</c:v>
                </c:pt>
                <c:pt idx="2">
                  <c:v>1.27</c:v>
                </c:pt>
                <c:pt idx="3">
                  <c:v>3.36</c:v>
                </c:pt>
                <c:pt idx="4">
                  <c:v>7.51</c:v>
                </c:pt>
                <c:pt idx="5">
                  <c:v>15.2</c:v>
                </c:pt>
                <c:pt idx="6">
                  <c:v>21.2</c:v>
                </c:pt>
                <c:pt idx="7">
                  <c:v>29.3</c:v>
                </c:pt>
              </c:numCache>
            </c:numRef>
          </c:xVal>
          <c:yVal>
            <c:numRef>
              <c:f>TNCalibEqFull!$S$34:$S$41</c:f>
              <c:numCache>
                <c:formatCode>0.0</c:formatCode>
                <c:ptCount val="8"/>
                <c:pt idx="0">
                  <c:v>0</c:v>
                </c:pt>
                <c:pt idx="1">
                  <c:v>30</c:v>
                </c:pt>
                <c:pt idx="2">
                  <c:v>125</c:v>
                </c:pt>
                <c:pt idx="3">
                  <c:v>500</c:v>
                </c:pt>
                <c:pt idx="4">
                  <c:v>1250</c:v>
                </c:pt>
                <c:pt idx="5">
                  <c:v>2500</c:v>
                </c:pt>
                <c:pt idx="6">
                  <c:v>3750</c:v>
                </c:pt>
                <c:pt idx="7">
                  <c:v>5000</c:v>
                </c:pt>
              </c:numCache>
            </c:numRef>
          </c:yVal>
          <c:smooth val="0"/>
          <c:extLst>
            <c:ext xmlns:c16="http://schemas.microsoft.com/office/drawing/2014/chart" uri="{C3380CC4-5D6E-409C-BE32-E72D297353CC}">
              <c16:uniqueId val="{00000001-9475-4CBA-9A4E-792E7BAD4FB3}"/>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TNCalibEqFull!$U$42</c:f>
              <c:strCache>
                <c:ptCount val="1"/>
                <c:pt idx="0">
                  <c:v>2/16/2023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TNCalibEqFull!$O$42:$O$49</c:f>
              <c:numCache>
                <c:formatCode>General</c:formatCode>
                <c:ptCount val="8"/>
                <c:pt idx="0">
                  <c:v>0.56000000000000005</c:v>
                </c:pt>
                <c:pt idx="1">
                  <c:v>0.754</c:v>
                </c:pt>
                <c:pt idx="2">
                  <c:v>1.1599999999999999</c:v>
                </c:pt>
                <c:pt idx="3">
                  <c:v>3.4</c:v>
                </c:pt>
                <c:pt idx="4">
                  <c:v>7.78</c:v>
                </c:pt>
                <c:pt idx="5">
                  <c:v>14.9</c:v>
                </c:pt>
                <c:pt idx="6">
                  <c:v>21.1</c:v>
                </c:pt>
                <c:pt idx="7">
                  <c:v>28.9</c:v>
                </c:pt>
              </c:numCache>
            </c:numRef>
          </c:xVal>
          <c:yVal>
            <c:numRef>
              <c:f>TNCalibEqFull!$S$42:$S$49</c:f>
              <c:numCache>
                <c:formatCode>0.0</c:formatCode>
                <c:ptCount val="8"/>
                <c:pt idx="0">
                  <c:v>0</c:v>
                </c:pt>
                <c:pt idx="1">
                  <c:v>30</c:v>
                </c:pt>
                <c:pt idx="2">
                  <c:v>125</c:v>
                </c:pt>
                <c:pt idx="3">
                  <c:v>500</c:v>
                </c:pt>
                <c:pt idx="4">
                  <c:v>1250</c:v>
                </c:pt>
                <c:pt idx="5">
                  <c:v>2500</c:v>
                </c:pt>
                <c:pt idx="6">
                  <c:v>3750</c:v>
                </c:pt>
                <c:pt idx="7">
                  <c:v>5000</c:v>
                </c:pt>
              </c:numCache>
            </c:numRef>
          </c:yVal>
          <c:smooth val="0"/>
          <c:extLst>
            <c:ext xmlns:c16="http://schemas.microsoft.com/office/drawing/2014/chart" uri="{C3380CC4-5D6E-409C-BE32-E72D297353CC}">
              <c16:uniqueId val="{00000001-A42E-494E-9698-1915C67DB883}"/>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84893132319812"/>
          <c:y val="0.17077103958823348"/>
          <c:w val="0.80147026710228053"/>
          <c:h val="0.65880101925042378"/>
        </c:manualLayout>
      </c:layout>
      <c:scatterChart>
        <c:scatterStyle val="lineMarker"/>
        <c:varyColors val="0"/>
        <c:ser>
          <c:idx val="0"/>
          <c:order val="0"/>
          <c:tx>
            <c:strRef>
              <c:f>TNCalibEqFull!$U$50</c:f>
              <c:strCache>
                <c:ptCount val="1"/>
                <c:pt idx="0">
                  <c:v>2/24/2023</c:v>
                </c:pt>
              </c:strCache>
            </c:strRef>
          </c:tx>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12096027303772958"/>
                  <c:y val="-4.582490933270572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TNCalibEqFull!$O$50:$O$57</c:f>
              <c:numCache>
                <c:formatCode>General</c:formatCode>
                <c:ptCount val="8"/>
                <c:pt idx="0">
                  <c:v>0.46400000000000002</c:v>
                </c:pt>
                <c:pt idx="1">
                  <c:v>0.66900000000000004</c:v>
                </c:pt>
                <c:pt idx="2">
                  <c:v>1.19</c:v>
                </c:pt>
                <c:pt idx="3">
                  <c:v>3.37</c:v>
                </c:pt>
                <c:pt idx="4">
                  <c:v>7.93</c:v>
                </c:pt>
                <c:pt idx="5">
                  <c:v>13.8</c:v>
                </c:pt>
                <c:pt idx="6">
                  <c:v>20.399999999999999</c:v>
                </c:pt>
                <c:pt idx="7">
                  <c:v>27.1</c:v>
                </c:pt>
              </c:numCache>
            </c:numRef>
          </c:xVal>
          <c:yVal>
            <c:numRef>
              <c:f>TNCalibEqFull!$S$50:$S$57</c:f>
              <c:numCache>
                <c:formatCode>0.0</c:formatCode>
                <c:ptCount val="8"/>
                <c:pt idx="0">
                  <c:v>0</c:v>
                </c:pt>
                <c:pt idx="1">
                  <c:v>30</c:v>
                </c:pt>
                <c:pt idx="2">
                  <c:v>125</c:v>
                </c:pt>
                <c:pt idx="3">
                  <c:v>500</c:v>
                </c:pt>
                <c:pt idx="4">
                  <c:v>1250</c:v>
                </c:pt>
                <c:pt idx="5">
                  <c:v>2500</c:v>
                </c:pt>
                <c:pt idx="6">
                  <c:v>3750</c:v>
                </c:pt>
                <c:pt idx="7">
                  <c:v>5000</c:v>
                </c:pt>
              </c:numCache>
            </c:numRef>
          </c:yVal>
          <c:smooth val="0"/>
          <c:extLst>
            <c:ext xmlns:c16="http://schemas.microsoft.com/office/drawing/2014/chart" uri="{C3380CC4-5D6E-409C-BE32-E72D297353CC}">
              <c16:uniqueId val="{00000001-42B4-4317-8915-065DF3C2A4F2}"/>
            </c:ext>
          </c:extLst>
        </c:ser>
        <c:dLbls>
          <c:showLegendKey val="0"/>
          <c:showVal val="0"/>
          <c:showCatName val="0"/>
          <c:showSerName val="0"/>
          <c:showPercent val="0"/>
          <c:showBubbleSize val="0"/>
        </c:dLbls>
        <c:axId val="310343936"/>
        <c:axId val="310358016"/>
      </c:scatterChart>
      <c:valAx>
        <c:axId val="3103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58016"/>
        <c:crosses val="autoZero"/>
        <c:crossBetween val="midCat"/>
      </c:valAx>
      <c:valAx>
        <c:axId val="310358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34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8.xml"/><Relationship Id="rId7" Type="http://schemas.openxmlformats.org/officeDocument/2006/relationships/chart" Target="../charts/chart42.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5" Type="http://schemas.openxmlformats.org/officeDocument/2006/relationships/chart" Target="../charts/chart40.xml"/><Relationship Id="rId4"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25</xdr:col>
      <xdr:colOff>0</xdr:colOff>
      <xdr:row>1</xdr:row>
      <xdr:rowOff>0</xdr:rowOff>
    </xdr:from>
    <xdr:to>
      <xdr:col>30</xdr:col>
      <xdr:colOff>165100</xdr:colOff>
      <xdr:row>7</xdr:row>
      <xdr:rowOff>0</xdr:rowOff>
    </xdr:to>
    <xdr:graphicFrame macro="">
      <xdr:nvGraphicFramePr>
        <xdr:cNvPr id="2" name="Chart 1">
          <a:extLst>
            <a:ext uri="{FF2B5EF4-FFF2-40B4-BE49-F238E27FC236}">
              <a16:creationId xmlns:a16="http://schemas.microsoft.com/office/drawing/2014/main" id="{62C0AF73-AEE7-4ADC-8229-F5E550EA3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15240</xdr:colOff>
      <xdr:row>7</xdr:row>
      <xdr:rowOff>7620</xdr:rowOff>
    </xdr:from>
    <xdr:to>
      <xdr:col>30</xdr:col>
      <xdr:colOff>180340</xdr:colOff>
      <xdr:row>13</xdr:row>
      <xdr:rowOff>7620</xdr:rowOff>
    </xdr:to>
    <xdr:graphicFrame macro="">
      <xdr:nvGraphicFramePr>
        <xdr:cNvPr id="3" name="Chart 2">
          <a:extLst>
            <a:ext uri="{FF2B5EF4-FFF2-40B4-BE49-F238E27FC236}">
              <a16:creationId xmlns:a16="http://schemas.microsoft.com/office/drawing/2014/main" id="{7CE24732-174A-4E95-BD23-C47FFEA8D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22860</xdr:colOff>
      <xdr:row>13</xdr:row>
      <xdr:rowOff>15240</xdr:rowOff>
    </xdr:from>
    <xdr:to>
      <xdr:col>30</xdr:col>
      <xdr:colOff>187960</xdr:colOff>
      <xdr:row>19</xdr:row>
      <xdr:rowOff>15240</xdr:rowOff>
    </xdr:to>
    <xdr:graphicFrame macro="">
      <xdr:nvGraphicFramePr>
        <xdr:cNvPr id="4" name="Chart 3">
          <a:extLst>
            <a:ext uri="{FF2B5EF4-FFF2-40B4-BE49-F238E27FC236}">
              <a16:creationId xmlns:a16="http://schemas.microsoft.com/office/drawing/2014/main" id="{CA407AF5-4D61-45ED-94A6-C0F0FD772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22860</xdr:colOff>
      <xdr:row>19</xdr:row>
      <xdr:rowOff>22860</xdr:rowOff>
    </xdr:from>
    <xdr:to>
      <xdr:col>30</xdr:col>
      <xdr:colOff>187960</xdr:colOff>
      <xdr:row>24</xdr:row>
      <xdr:rowOff>22860</xdr:rowOff>
    </xdr:to>
    <xdr:graphicFrame macro="">
      <xdr:nvGraphicFramePr>
        <xdr:cNvPr id="5" name="Chart 4">
          <a:extLst>
            <a:ext uri="{FF2B5EF4-FFF2-40B4-BE49-F238E27FC236}">
              <a16:creationId xmlns:a16="http://schemas.microsoft.com/office/drawing/2014/main" id="{ECDDC1B8-C2E2-47D9-AD08-D0E709434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22860</xdr:colOff>
      <xdr:row>24</xdr:row>
      <xdr:rowOff>30480</xdr:rowOff>
    </xdr:from>
    <xdr:to>
      <xdr:col>30</xdr:col>
      <xdr:colOff>187960</xdr:colOff>
      <xdr:row>29</xdr:row>
      <xdr:rowOff>30480</xdr:rowOff>
    </xdr:to>
    <xdr:graphicFrame macro="">
      <xdr:nvGraphicFramePr>
        <xdr:cNvPr id="6" name="Chart 5">
          <a:extLst>
            <a:ext uri="{FF2B5EF4-FFF2-40B4-BE49-F238E27FC236}">
              <a16:creationId xmlns:a16="http://schemas.microsoft.com/office/drawing/2014/main" id="{DDE2CB27-79CC-4E25-914D-71E0A2F33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30480</xdr:colOff>
      <xdr:row>29</xdr:row>
      <xdr:rowOff>83820</xdr:rowOff>
    </xdr:from>
    <xdr:to>
      <xdr:col>30</xdr:col>
      <xdr:colOff>195580</xdr:colOff>
      <xdr:row>34</xdr:row>
      <xdr:rowOff>83820</xdr:rowOff>
    </xdr:to>
    <xdr:graphicFrame macro="">
      <xdr:nvGraphicFramePr>
        <xdr:cNvPr id="7" name="Chart 6">
          <a:extLst>
            <a:ext uri="{FF2B5EF4-FFF2-40B4-BE49-F238E27FC236}">
              <a16:creationId xmlns:a16="http://schemas.microsoft.com/office/drawing/2014/main" id="{7C3ABB15-EC88-4E15-8B53-E6B7EA371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22860</xdr:colOff>
      <xdr:row>35</xdr:row>
      <xdr:rowOff>83820</xdr:rowOff>
    </xdr:from>
    <xdr:to>
      <xdr:col>30</xdr:col>
      <xdr:colOff>187960</xdr:colOff>
      <xdr:row>40</xdr:row>
      <xdr:rowOff>83820</xdr:rowOff>
    </xdr:to>
    <xdr:graphicFrame macro="">
      <xdr:nvGraphicFramePr>
        <xdr:cNvPr id="8" name="Chart 7">
          <a:extLst>
            <a:ext uri="{FF2B5EF4-FFF2-40B4-BE49-F238E27FC236}">
              <a16:creationId xmlns:a16="http://schemas.microsoft.com/office/drawing/2014/main" id="{4BB8E0BF-E5F8-4151-9543-24783D5B0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1</xdr:colOff>
      <xdr:row>1</xdr:row>
      <xdr:rowOff>0</xdr:rowOff>
    </xdr:from>
    <xdr:to>
      <xdr:col>30</xdr:col>
      <xdr:colOff>165101</xdr:colOff>
      <xdr:row>8</xdr:row>
      <xdr:rowOff>0</xdr:rowOff>
    </xdr:to>
    <xdr:graphicFrame macro="">
      <xdr:nvGraphicFramePr>
        <xdr:cNvPr id="4" name="Chart 3">
          <a:extLst>
            <a:ext uri="{FF2B5EF4-FFF2-40B4-BE49-F238E27FC236}">
              <a16:creationId xmlns:a16="http://schemas.microsoft.com/office/drawing/2014/main" id="{6CFB471B-D628-468C-ABBE-3F0506288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8561</xdr:colOff>
      <xdr:row>8</xdr:row>
      <xdr:rowOff>8561</xdr:rowOff>
    </xdr:from>
    <xdr:to>
      <xdr:col>30</xdr:col>
      <xdr:colOff>173661</xdr:colOff>
      <xdr:row>15</xdr:row>
      <xdr:rowOff>8561</xdr:rowOff>
    </xdr:to>
    <xdr:graphicFrame macro="">
      <xdr:nvGraphicFramePr>
        <xdr:cNvPr id="2" name="Chart 1">
          <a:extLst>
            <a:ext uri="{FF2B5EF4-FFF2-40B4-BE49-F238E27FC236}">
              <a16:creationId xmlns:a16="http://schemas.microsoft.com/office/drawing/2014/main" id="{91D21039-B261-4B16-9AE4-CF2A7B5FE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17124</xdr:colOff>
      <xdr:row>15</xdr:row>
      <xdr:rowOff>25685</xdr:rowOff>
    </xdr:from>
    <xdr:to>
      <xdr:col>30</xdr:col>
      <xdr:colOff>182224</xdr:colOff>
      <xdr:row>22</xdr:row>
      <xdr:rowOff>25685</xdr:rowOff>
    </xdr:to>
    <xdr:graphicFrame macro="">
      <xdr:nvGraphicFramePr>
        <xdr:cNvPr id="5" name="Chart 4">
          <a:extLst>
            <a:ext uri="{FF2B5EF4-FFF2-40B4-BE49-F238E27FC236}">
              <a16:creationId xmlns:a16="http://schemas.microsoft.com/office/drawing/2014/main" id="{76B7E32B-B078-4D91-AEC4-92283FDC9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8561</xdr:colOff>
      <xdr:row>22</xdr:row>
      <xdr:rowOff>34247</xdr:rowOff>
    </xdr:from>
    <xdr:to>
      <xdr:col>30</xdr:col>
      <xdr:colOff>173661</xdr:colOff>
      <xdr:row>28</xdr:row>
      <xdr:rowOff>34246</xdr:rowOff>
    </xdr:to>
    <xdr:graphicFrame macro="">
      <xdr:nvGraphicFramePr>
        <xdr:cNvPr id="6" name="Chart 5">
          <a:extLst>
            <a:ext uri="{FF2B5EF4-FFF2-40B4-BE49-F238E27FC236}">
              <a16:creationId xmlns:a16="http://schemas.microsoft.com/office/drawing/2014/main" id="{390C33CF-F16A-4353-BC7B-E833C0BE6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17123</xdr:colOff>
      <xdr:row>28</xdr:row>
      <xdr:rowOff>51371</xdr:rowOff>
    </xdr:from>
    <xdr:to>
      <xdr:col>30</xdr:col>
      <xdr:colOff>182223</xdr:colOff>
      <xdr:row>34</xdr:row>
      <xdr:rowOff>51370</xdr:rowOff>
    </xdr:to>
    <xdr:graphicFrame macro="">
      <xdr:nvGraphicFramePr>
        <xdr:cNvPr id="3" name="Chart 2">
          <a:extLst>
            <a:ext uri="{FF2B5EF4-FFF2-40B4-BE49-F238E27FC236}">
              <a16:creationId xmlns:a16="http://schemas.microsoft.com/office/drawing/2014/main" id="{9D86C4F8-2284-41C2-B63C-0AF565BDE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34247</xdr:colOff>
      <xdr:row>34</xdr:row>
      <xdr:rowOff>111302</xdr:rowOff>
    </xdr:from>
    <xdr:to>
      <xdr:col>30</xdr:col>
      <xdr:colOff>199347</xdr:colOff>
      <xdr:row>40</xdr:row>
      <xdr:rowOff>111302</xdr:rowOff>
    </xdr:to>
    <xdr:graphicFrame macro="">
      <xdr:nvGraphicFramePr>
        <xdr:cNvPr id="8" name="Chart 7">
          <a:extLst>
            <a:ext uri="{FF2B5EF4-FFF2-40B4-BE49-F238E27FC236}">
              <a16:creationId xmlns:a16="http://schemas.microsoft.com/office/drawing/2014/main" id="{82277741-95DC-47B9-8C15-D6A3C984D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51371</xdr:colOff>
      <xdr:row>41</xdr:row>
      <xdr:rowOff>77056</xdr:rowOff>
    </xdr:from>
    <xdr:to>
      <xdr:col>30</xdr:col>
      <xdr:colOff>216471</xdr:colOff>
      <xdr:row>47</xdr:row>
      <xdr:rowOff>77056</xdr:rowOff>
    </xdr:to>
    <xdr:graphicFrame macro="">
      <xdr:nvGraphicFramePr>
        <xdr:cNvPr id="7" name="Chart 6">
          <a:extLst>
            <a:ext uri="{FF2B5EF4-FFF2-40B4-BE49-F238E27FC236}">
              <a16:creationId xmlns:a16="http://schemas.microsoft.com/office/drawing/2014/main" id="{C312BF9A-7B58-4A2F-A981-86526A89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25400</xdr:colOff>
      <xdr:row>1</xdr:row>
      <xdr:rowOff>57150</xdr:rowOff>
    </xdr:from>
    <xdr:to>
      <xdr:col>30</xdr:col>
      <xdr:colOff>590550</xdr:colOff>
      <xdr:row>13</xdr:row>
      <xdr:rowOff>88900</xdr:rowOff>
    </xdr:to>
    <xdr:graphicFrame macro="">
      <xdr:nvGraphicFramePr>
        <xdr:cNvPr id="2" name="Chart 1">
          <a:extLst>
            <a:ext uri="{FF2B5EF4-FFF2-40B4-BE49-F238E27FC236}">
              <a16:creationId xmlns:a16="http://schemas.microsoft.com/office/drawing/2014/main" id="{7BC41441-34A6-48D3-A190-A5C0C5E41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76200</xdr:colOff>
      <xdr:row>14</xdr:row>
      <xdr:rowOff>104775</xdr:rowOff>
    </xdr:from>
    <xdr:to>
      <xdr:col>31</xdr:col>
      <xdr:colOff>31750</xdr:colOff>
      <xdr:row>26</xdr:row>
      <xdr:rowOff>136525</xdr:rowOff>
    </xdr:to>
    <xdr:graphicFrame macro="">
      <xdr:nvGraphicFramePr>
        <xdr:cNvPr id="4" name="Chart 3">
          <a:extLst>
            <a:ext uri="{FF2B5EF4-FFF2-40B4-BE49-F238E27FC236}">
              <a16:creationId xmlns:a16="http://schemas.microsoft.com/office/drawing/2014/main" id="{4166A4BA-77A1-4A54-A953-59D223050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95250</xdr:colOff>
      <xdr:row>27</xdr:row>
      <xdr:rowOff>57150</xdr:rowOff>
    </xdr:from>
    <xdr:to>
      <xdr:col>31</xdr:col>
      <xdr:colOff>50800</xdr:colOff>
      <xdr:row>39</xdr:row>
      <xdr:rowOff>88900</xdr:rowOff>
    </xdr:to>
    <xdr:graphicFrame macro="">
      <xdr:nvGraphicFramePr>
        <xdr:cNvPr id="3" name="Chart 2">
          <a:extLst>
            <a:ext uri="{FF2B5EF4-FFF2-40B4-BE49-F238E27FC236}">
              <a16:creationId xmlns:a16="http://schemas.microsoft.com/office/drawing/2014/main" id="{B483D230-E02C-414D-A404-298210600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66675</xdr:colOff>
      <xdr:row>40</xdr:row>
      <xdr:rowOff>85725</xdr:rowOff>
    </xdr:from>
    <xdr:to>
      <xdr:col>31</xdr:col>
      <xdr:colOff>22225</xdr:colOff>
      <xdr:row>52</xdr:row>
      <xdr:rowOff>117475</xdr:rowOff>
    </xdr:to>
    <xdr:graphicFrame macro="">
      <xdr:nvGraphicFramePr>
        <xdr:cNvPr id="5" name="Chart 4">
          <a:extLst>
            <a:ext uri="{FF2B5EF4-FFF2-40B4-BE49-F238E27FC236}">
              <a16:creationId xmlns:a16="http://schemas.microsoft.com/office/drawing/2014/main" id="{9969ADA2-2D4E-4A8A-A821-65B57F6D8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38100</xdr:colOff>
      <xdr:row>53</xdr:row>
      <xdr:rowOff>133350</xdr:rowOff>
    </xdr:from>
    <xdr:to>
      <xdr:col>30</xdr:col>
      <xdr:colOff>603250</xdr:colOff>
      <xdr:row>64</xdr:row>
      <xdr:rowOff>165100</xdr:rowOff>
    </xdr:to>
    <xdr:graphicFrame macro="">
      <xdr:nvGraphicFramePr>
        <xdr:cNvPr id="6" name="Chart 5">
          <a:extLst>
            <a:ext uri="{FF2B5EF4-FFF2-40B4-BE49-F238E27FC236}">
              <a16:creationId xmlns:a16="http://schemas.microsoft.com/office/drawing/2014/main" id="{5FA96F37-C02A-48D7-8634-22017718D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47625</xdr:colOff>
      <xdr:row>65</xdr:row>
      <xdr:rowOff>142875</xdr:rowOff>
    </xdr:from>
    <xdr:to>
      <xdr:col>31</xdr:col>
      <xdr:colOff>3175</xdr:colOff>
      <xdr:row>76</xdr:row>
      <xdr:rowOff>174625</xdr:rowOff>
    </xdr:to>
    <xdr:graphicFrame macro="">
      <xdr:nvGraphicFramePr>
        <xdr:cNvPr id="8" name="Chart 7">
          <a:extLst>
            <a:ext uri="{FF2B5EF4-FFF2-40B4-BE49-F238E27FC236}">
              <a16:creationId xmlns:a16="http://schemas.microsoft.com/office/drawing/2014/main" id="{A66C63B0-A35C-47EA-9D4E-8C816FD05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0</xdr:colOff>
      <xdr:row>79</xdr:row>
      <xdr:rowOff>0</xdr:rowOff>
    </xdr:from>
    <xdr:to>
      <xdr:col>30</xdr:col>
      <xdr:colOff>565150</xdr:colOff>
      <xdr:row>90</xdr:row>
      <xdr:rowOff>31750</xdr:rowOff>
    </xdr:to>
    <xdr:graphicFrame macro="">
      <xdr:nvGraphicFramePr>
        <xdr:cNvPr id="7" name="Chart 6">
          <a:extLst>
            <a:ext uri="{FF2B5EF4-FFF2-40B4-BE49-F238E27FC236}">
              <a16:creationId xmlns:a16="http://schemas.microsoft.com/office/drawing/2014/main" id="{8F2CEA0F-5035-469B-B6D9-31CF688A2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23</xdr:col>
      <xdr:colOff>0</xdr:colOff>
      <xdr:row>1</xdr:row>
      <xdr:rowOff>0</xdr:rowOff>
    </xdr:from>
    <xdr:to>
      <xdr:col>30</xdr:col>
      <xdr:colOff>546100</xdr:colOff>
      <xdr:row>17</xdr:row>
      <xdr:rowOff>0</xdr:rowOff>
    </xdr:to>
    <xdr:graphicFrame macro="">
      <xdr:nvGraphicFramePr>
        <xdr:cNvPr id="2" name="Chart 1">
          <a:extLst>
            <a:ext uri="{FF2B5EF4-FFF2-40B4-BE49-F238E27FC236}">
              <a16:creationId xmlns:a16="http://schemas.microsoft.com/office/drawing/2014/main" id="{7A543301-D6DB-4077-B84E-3480FC746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27878</xdr:colOff>
      <xdr:row>17</xdr:row>
      <xdr:rowOff>37170</xdr:rowOff>
    </xdr:from>
    <xdr:to>
      <xdr:col>30</xdr:col>
      <xdr:colOff>573978</xdr:colOff>
      <xdr:row>33</xdr:row>
      <xdr:rowOff>37171</xdr:rowOff>
    </xdr:to>
    <xdr:graphicFrame macro="">
      <xdr:nvGraphicFramePr>
        <xdr:cNvPr id="3" name="Chart 2">
          <a:extLst>
            <a:ext uri="{FF2B5EF4-FFF2-40B4-BE49-F238E27FC236}">
              <a16:creationId xmlns:a16="http://schemas.microsoft.com/office/drawing/2014/main" id="{5554033A-1884-4D38-AA3E-CCF5A4245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55756</xdr:colOff>
      <xdr:row>33</xdr:row>
      <xdr:rowOff>92927</xdr:rowOff>
    </xdr:from>
    <xdr:to>
      <xdr:col>30</xdr:col>
      <xdr:colOff>427463</xdr:colOff>
      <xdr:row>48</xdr:row>
      <xdr:rowOff>176561</xdr:rowOff>
    </xdr:to>
    <xdr:graphicFrame macro="">
      <xdr:nvGraphicFramePr>
        <xdr:cNvPr id="4" name="Chart 3">
          <a:extLst>
            <a:ext uri="{FF2B5EF4-FFF2-40B4-BE49-F238E27FC236}">
              <a16:creationId xmlns:a16="http://schemas.microsoft.com/office/drawing/2014/main" id="{B46B547E-E41A-4BE0-99BB-5626295BC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46463</xdr:colOff>
      <xdr:row>49</xdr:row>
      <xdr:rowOff>55756</xdr:rowOff>
    </xdr:from>
    <xdr:to>
      <xdr:col>30</xdr:col>
      <xdr:colOff>418170</xdr:colOff>
      <xdr:row>64</xdr:row>
      <xdr:rowOff>139390</xdr:rowOff>
    </xdr:to>
    <xdr:graphicFrame macro="">
      <xdr:nvGraphicFramePr>
        <xdr:cNvPr id="6" name="Chart 5">
          <a:extLst>
            <a:ext uri="{FF2B5EF4-FFF2-40B4-BE49-F238E27FC236}">
              <a16:creationId xmlns:a16="http://schemas.microsoft.com/office/drawing/2014/main" id="{1CEEF87A-C42F-4809-BB39-1C864ABF1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55756</xdr:colOff>
      <xdr:row>65</xdr:row>
      <xdr:rowOff>83634</xdr:rowOff>
    </xdr:from>
    <xdr:to>
      <xdr:col>30</xdr:col>
      <xdr:colOff>427463</xdr:colOff>
      <xdr:row>79</xdr:row>
      <xdr:rowOff>167268</xdr:rowOff>
    </xdr:to>
    <xdr:graphicFrame macro="">
      <xdr:nvGraphicFramePr>
        <xdr:cNvPr id="5" name="Chart 4">
          <a:extLst>
            <a:ext uri="{FF2B5EF4-FFF2-40B4-BE49-F238E27FC236}">
              <a16:creationId xmlns:a16="http://schemas.microsoft.com/office/drawing/2014/main" id="{A07A9B83-04B9-4572-A6B6-EAF6D7813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46464</xdr:colOff>
      <xdr:row>80</xdr:row>
      <xdr:rowOff>46463</xdr:rowOff>
    </xdr:from>
    <xdr:to>
      <xdr:col>30</xdr:col>
      <xdr:colOff>418171</xdr:colOff>
      <xdr:row>94</xdr:row>
      <xdr:rowOff>130098</xdr:rowOff>
    </xdr:to>
    <xdr:graphicFrame macro="">
      <xdr:nvGraphicFramePr>
        <xdr:cNvPr id="7" name="Chart 6">
          <a:extLst>
            <a:ext uri="{FF2B5EF4-FFF2-40B4-BE49-F238E27FC236}">
              <a16:creationId xmlns:a16="http://schemas.microsoft.com/office/drawing/2014/main" id="{3C88D4D7-CD19-4EB3-A26C-8B5606B57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55756</xdr:colOff>
      <xdr:row>96</xdr:row>
      <xdr:rowOff>46464</xdr:rowOff>
    </xdr:from>
    <xdr:to>
      <xdr:col>30</xdr:col>
      <xdr:colOff>427463</xdr:colOff>
      <xdr:row>110</xdr:row>
      <xdr:rowOff>130099</xdr:rowOff>
    </xdr:to>
    <xdr:graphicFrame macro="">
      <xdr:nvGraphicFramePr>
        <xdr:cNvPr id="9" name="Chart 8">
          <a:extLst>
            <a:ext uri="{FF2B5EF4-FFF2-40B4-BE49-F238E27FC236}">
              <a16:creationId xmlns:a16="http://schemas.microsoft.com/office/drawing/2014/main" id="{FDA090F5-BBC4-4929-B3A9-9F4B42036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23</xdr:col>
      <xdr:colOff>31751</xdr:colOff>
      <xdr:row>1</xdr:row>
      <xdr:rowOff>19050</xdr:rowOff>
    </xdr:from>
    <xdr:to>
      <xdr:col>28</xdr:col>
      <xdr:colOff>6351</xdr:colOff>
      <xdr:row>9</xdr:row>
      <xdr:rowOff>125393</xdr:rowOff>
    </xdr:to>
    <xdr:graphicFrame macro="">
      <xdr:nvGraphicFramePr>
        <xdr:cNvPr id="2" name="Chart 1">
          <a:extLst>
            <a:ext uri="{FF2B5EF4-FFF2-40B4-BE49-F238E27FC236}">
              <a16:creationId xmlns:a16="http://schemas.microsoft.com/office/drawing/2014/main" id="{4D9BA93A-A051-4999-835E-BDE18BC12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38582</xdr:colOff>
      <xdr:row>9</xdr:row>
      <xdr:rowOff>144684</xdr:rowOff>
    </xdr:from>
    <xdr:to>
      <xdr:col>28</xdr:col>
      <xdr:colOff>13182</xdr:colOff>
      <xdr:row>18</xdr:row>
      <xdr:rowOff>67760</xdr:rowOff>
    </xdr:to>
    <xdr:graphicFrame macro="">
      <xdr:nvGraphicFramePr>
        <xdr:cNvPr id="3" name="Chart 2">
          <a:extLst>
            <a:ext uri="{FF2B5EF4-FFF2-40B4-BE49-F238E27FC236}">
              <a16:creationId xmlns:a16="http://schemas.microsoft.com/office/drawing/2014/main" id="{91ADE7DF-1D44-46AB-9605-87FB9CF08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57873</xdr:colOff>
      <xdr:row>5</xdr:row>
      <xdr:rowOff>115747</xdr:rowOff>
    </xdr:from>
    <xdr:to>
      <xdr:col>30</xdr:col>
      <xdr:colOff>1855485</xdr:colOff>
      <xdr:row>14</xdr:row>
      <xdr:rowOff>38824</xdr:rowOff>
    </xdr:to>
    <xdr:graphicFrame macro="">
      <xdr:nvGraphicFramePr>
        <xdr:cNvPr id="4" name="Chart 3">
          <a:extLst>
            <a:ext uri="{FF2B5EF4-FFF2-40B4-BE49-F238E27FC236}">
              <a16:creationId xmlns:a16="http://schemas.microsoft.com/office/drawing/2014/main" id="{82F3C2DD-37DB-49E6-9735-CFE5637C5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48228</xdr:colOff>
      <xdr:row>18</xdr:row>
      <xdr:rowOff>125393</xdr:rowOff>
    </xdr:from>
    <xdr:to>
      <xdr:col>28</xdr:col>
      <xdr:colOff>22828</xdr:colOff>
      <xdr:row>27</xdr:row>
      <xdr:rowOff>48470</xdr:rowOff>
    </xdr:to>
    <xdr:graphicFrame macro="">
      <xdr:nvGraphicFramePr>
        <xdr:cNvPr id="5" name="Chart 4">
          <a:extLst>
            <a:ext uri="{FF2B5EF4-FFF2-40B4-BE49-F238E27FC236}">
              <a16:creationId xmlns:a16="http://schemas.microsoft.com/office/drawing/2014/main" id="{8233B58B-1858-45D1-820F-631AD5475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67519</xdr:colOff>
      <xdr:row>14</xdr:row>
      <xdr:rowOff>115747</xdr:rowOff>
    </xdr:from>
    <xdr:to>
      <xdr:col>30</xdr:col>
      <xdr:colOff>1865131</xdr:colOff>
      <xdr:row>23</xdr:row>
      <xdr:rowOff>38823</xdr:rowOff>
    </xdr:to>
    <xdr:graphicFrame macro="">
      <xdr:nvGraphicFramePr>
        <xdr:cNvPr id="7" name="Chart 6">
          <a:extLst>
            <a:ext uri="{FF2B5EF4-FFF2-40B4-BE49-F238E27FC236}">
              <a16:creationId xmlns:a16="http://schemas.microsoft.com/office/drawing/2014/main" id="{540DCF04-3462-49C1-A607-3D5C58B3E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86811</xdr:colOff>
      <xdr:row>27</xdr:row>
      <xdr:rowOff>135038</xdr:rowOff>
    </xdr:from>
    <xdr:to>
      <xdr:col>28</xdr:col>
      <xdr:colOff>61411</xdr:colOff>
      <xdr:row>36</xdr:row>
      <xdr:rowOff>58114</xdr:rowOff>
    </xdr:to>
    <xdr:graphicFrame macro="">
      <xdr:nvGraphicFramePr>
        <xdr:cNvPr id="8" name="Chart 7">
          <a:extLst>
            <a:ext uri="{FF2B5EF4-FFF2-40B4-BE49-F238E27FC236}">
              <a16:creationId xmlns:a16="http://schemas.microsoft.com/office/drawing/2014/main" id="{981EEAA1-BB52-465E-A77D-F54CF018F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96456</xdr:colOff>
      <xdr:row>23</xdr:row>
      <xdr:rowOff>144684</xdr:rowOff>
    </xdr:from>
    <xdr:to>
      <xdr:col>30</xdr:col>
      <xdr:colOff>1894068</xdr:colOff>
      <xdr:row>32</xdr:row>
      <xdr:rowOff>67761</xdr:rowOff>
    </xdr:to>
    <xdr:graphicFrame macro="">
      <xdr:nvGraphicFramePr>
        <xdr:cNvPr id="6" name="Chart 5">
          <a:extLst>
            <a:ext uri="{FF2B5EF4-FFF2-40B4-BE49-F238E27FC236}">
              <a16:creationId xmlns:a16="http://schemas.microsoft.com/office/drawing/2014/main" id="{EA44D5F3-01CC-4403-9157-E1721F7C3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23</xdr:col>
      <xdr:colOff>25401</xdr:colOff>
      <xdr:row>1</xdr:row>
      <xdr:rowOff>12701</xdr:rowOff>
    </xdr:from>
    <xdr:to>
      <xdr:col>28</xdr:col>
      <xdr:colOff>260350</xdr:colOff>
      <xdr:row>9</xdr:row>
      <xdr:rowOff>0</xdr:rowOff>
    </xdr:to>
    <xdr:graphicFrame macro="">
      <xdr:nvGraphicFramePr>
        <xdr:cNvPr id="2" name="Chart 1">
          <a:extLst>
            <a:ext uri="{FF2B5EF4-FFF2-40B4-BE49-F238E27FC236}">
              <a16:creationId xmlns:a16="http://schemas.microsoft.com/office/drawing/2014/main" id="{DDCF80BF-F743-4D7B-9AEE-3876F7D1C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40640</xdr:colOff>
      <xdr:row>9</xdr:row>
      <xdr:rowOff>40640</xdr:rowOff>
    </xdr:from>
    <xdr:to>
      <xdr:col>28</xdr:col>
      <xdr:colOff>275589</xdr:colOff>
      <xdr:row>17</xdr:row>
      <xdr:rowOff>27939</xdr:rowOff>
    </xdr:to>
    <xdr:graphicFrame macro="">
      <xdr:nvGraphicFramePr>
        <xdr:cNvPr id="4" name="Chart 3">
          <a:extLst>
            <a:ext uri="{FF2B5EF4-FFF2-40B4-BE49-F238E27FC236}">
              <a16:creationId xmlns:a16="http://schemas.microsoft.com/office/drawing/2014/main" id="{7CBB781A-523B-466C-8225-EC0572993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40640</xdr:colOff>
      <xdr:row>17</xdr:row>
      <xdr:rowOff>50800</xdr:rowOff>
    </xdr:from>
    <xdr:to>
      <xdr:col>28</xdr:col>
      <xdr:colOff>275589</xdr:colOff>
      <xdr:row>25</xdr:row>
      <xdr:rowOff>38099</xdr:rowOff>
    </xdr:to>
    <xdr:graphicFrame macro="">
      <xdr:nvGraphicFramePr>
        <xdr:cNvPr id="3" name="Chart 2">
          <a:extLst>
            <a:ext uri="{FF2B5EF4-FFF2-40B4-BE49-F238E27FC236}">
              <a16:creationId xmlns:a16="http://schemas.microsoft.com/office/drawing/2014/main" id="{6BF78A10-61A3-4674-835C-D3EB4A8FC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40640</xdr:colOff>
      <xdr:row>25</xdr:row>
      <xdr:rowOff>60960</xdr:rowOff>
    </xdr:from>
    <xdr:to>
      <xdr:col>28</xdr:col>
      <xdr:colOff>275589</xdr:colOff>
      <xdr:row>33</xdr:row>
      <xdr:rowOff>48259</xdr:rowOff>
    </xdr:to>
    <xdr:graphicFrame macro="">
      <xdr:nvGraphicFramePr>
        <xdr:cNvPr id="5" name="Chart 4">
          <a:extLst>
            <a:ext uri="{FF2B5EF4-FFF2-40B4-BE49-F238E27FC236}">
              <a16:creationId xmlns:a16="http://schemas.microsoft.com/office/drawing/2014/main" id="{9E6AEEE3-3C32-44BD-8BF7-9F6785771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50800</xdr:colOff>
      <xdr:row>33</xdr:row>
      <xdr:rowOff>71120</xdr:rowOff>
    </xdr:from>
    <xdr:to>
      <xdr:col>28</xdr:col>
      <xdr:colOff>285749</xdr:colOff>
      <xdr:row>41</xdr:row>
      <xdr:rowOff>58419</xdr:rowOff>
    </xdr:to>
    <xdr:graphicFrame macro="">
      <xdr:nvGraphicFramePr>
        <xdr:cNvPr id="6" name="Chart 5">
          <a:extLst>
            <a:ext uri="{FF2B5EF4-FFF2-40B4-BE49-F238E27FC236}">
              <a16:creationId xmlns:a16="http://schemas.microsoft.com/office/drawing/2014/main" id="{98B6F6D5-7517-46B3-AFA4-4BCD5A290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30480</xdr:colOff>
      <xdr:row>41</xdr:row>
      <xdr:rowOff>91440</xdr:rowOff>
    </xdr:from>
    <xdr:to>
      <xdr:col>28</xdr:col>
      <xdr:colOff>265429</xdr:colOff>
      <xdr:row>49</xdr:row>
      <xdr:rowOff>78739</xdr:rowOff>
    </xdr:to>
    <xdr:graphicFrame macro="">
      <xdr:nvGraphicFramePr>
        <xdr:cNvPr id="7" name="Chart 6">
          <a:extLst>
            <a:ext uri="{FF2B5EF4-FFF2-40B4-BE49-F238E27FC236}">
              <a16:creationId xmlns:a16="http://schemas.microsoft.com/office/drawing/2014/main" id="{00824E1C-9F00-4829-A428-DAF90620D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30480</xdr:colOff>
      <xdr:row>49</xdr:row>
      <xdr:rowOff>101600</xdr:rowOff>
    </xdr:from>
    <xdr:to>
      <xdr:col>28</xdr:col>
      <xdr:colOff>265429</xdr:colOff>
      <xdr:row>57</xdr:row>
      <xdr:rowOff>88899</xdr:rowOff>
    </xdr:to>
    <xdr:graphicFrame macro="">
      <xdr:nvGraphicFramePr>
        <xdr:cNvPr id="8" name="Chart 7">
          <a:extLst>
            <a:ext uri="{FF2B5EF4-FFF2-40B4-BE49-F238E27FC236}">
              <a16:creationId xmlns:a16="http://schemas.microsoft.com/office/drawing/2014/main" id="{C613E866-3BCC-49EC-B510-A7A19F79D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A.AD.EPA.GOV\ORD\CIN\USERS\MAIN\A-E\ABURKES\Net%20MyDocuments\WA-12\2019_ESF-EFWS_NutrientData_Updated04022020_AKB_CTNWorked1203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Pivot"/>
      <sheetName val="Check_8-29Runs_Pivot"/>
      <sheetName val="DupFailureRate"/>
      <sheetName val="ChangeLog"/>
      <sheetName val="TNCalPivot"/>
      <sheetName val="2019DATA"/>
      <sheetName val="TPCalibEq150"/>
      <sheetName val="TPCalibEq300"/>
      <sheetName val="TPCalibEq500"/>
      <sheetName val="TPCalibEqFull"/>
      <sheetName val="TNCalibEq2500"/>
      <sheetName val="TNCalibEqFull"/>
      <sheetName val="METADATA"/>
      <sheetName val="IDs"/>
      <sheetName val="QCEQUATIONS"/>
      <sheetName val="QCACTU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A2" t="str">
            <v>CHK</v>
          </cell>
          <cell r="B2" t="str">
            <v>[chk]/[actual]*100</v>
          </cell>
        </row>
        <row r="3">
          <cell r="A3" t="str">
            <v>ATP</v>
          </cell>
          <cell r="B3" t="str">
            <v>[rec]/[actual]*100</v>
          </cell>
        </row>
        <row r="4">
          <cell r="A4" t="str">
            <v>GUP</v>
          </cell>
          <cell r="B4" t="str">
            <v>[rec]/[actual]*100</v>
          </cell>
        </row>
        <row r="5">
          <cell r="A5" t="str">
            <v>NIC</v>
          </cell>
          <cell r="B5" t="str">
            <v>[rec]/[actual]*100</v>
          </cell>
        </row>
        <row r="6">
          <cell r="A6" t="str">
            <v>PER</v>
          </cell>
          <cell r="B6" t="str">
            <v>[per]/[actual]*100</v>
          </cell>
        </row>
        <row r="7">
          <cell r="A7" t="str">
            <v>DUP</v>
          </cell>
          <cell r="B7" t="str">
            <v>((ABS(rep1-rep2))/((rep1+rep2)/2)*100</v>
          </cell>
        </row>
        <row r="8">
          <cell r="A8" t="str">
            <v>SPK</v>
          </cell>
          <cell r="B8" t="str">
            <v>([spikedunkn]-[unkn])/[spike]*100</v>
          </cell>
        </row>
        <row r="9">
          <cell r="A9" t="str">
            <v>LAB</v>
          </cell>
          <cell r="B9" t="str">
            <v>nominal concentration</v>
          </cell>
        </row>
        <row r="10">
          <cell r="A10" t="str">
            <v>FLD</v>
          </cell>
          <cell r="B10" t="str">
            <v>nominal concentration</v>
          </cell>
        </row>
        <row r="11">
          <cell r="A11" t="str">
            <v>ESF</v>
          </cell>
          <cell r="B11" t="str">
            <v>nominal concentration</v>
          </cell>
        </row>
      </sheetData>
      <sheetData sheetId="15">
        <row r="2">
          <cell r="C2" t="str">
            <v>A</v>
          </cell>
          <cell r="D2">
            <v>1333</v>
          </cell>
        </row>
        <row r="3">
          <cell r="C3" t="str">
            <v>B</v>
          </cell>
          <cell r="D3">
            <v>266</v>
          </cell>
        </row>
        <row r="4">
          <cell r="C4" t="str">
            <v>C</v>
          </cell>
          <cell r="D4">
            <v>133</v>
          </cell>
        </row>
        <row r="5">
          <cell r="C5" t="str">
            <v>A</v>
          </cell>
          <cell r="D5">
            <v>400</v>
          </cell>
        </row>
        <row r="6">
          <cell r="C6" t="str">
            <v>B</v>
          </cell>
          <cell r="D6">
            <v>240</v>
          </cell>
        </row>
        <row r="7">
          <cell r="C7" t="str">
            <v>C</v>
          </cell>
          <cell r="D7">
            <v>120</v>
          </cell>
        </row>
        <row r="8">
          <cell r="B8" t="str">
            <v>TRP</v>
          </cell>
          <cell r="C8"/>
          <cell r="D8">
            <v>75</v>
          </cell>
        </row>
        <row r="9">
          <cell r="B9" t="str">
            <v>DRP</v>
          </cell>
          <cell r="D9">
            <v>75</v>
          </cell>
        </row>
        <row r="10">
          <cell r="B10" t="str">
            <v>TNH4</v>
          </cell>
          <cell r="C10"/>
          <cell r="D10">
            <v>300</v>
          </cell>
        </row>
        <row r="11">
          <cell r="B11" t="str">
            <v>NH4</v>
          </cell>
          <cell r="D11">
            <v>300</v>
          </cell>
        </row>
        <row r="12">
          <cell r="B12" t="str">
            <v>TNO2-3</v>
          </cell>
          <cell r="C12"/>
          <cell r="D12">
            <v>300</v>
          </cell>
        </row>
        <row r="13">
          <cell r="B13" t="str">
            <v>NO2-3</v>
          </cell>
          <cell r="D13">
            <v>300</v>
          </cell>
        </row>
        <row r="14">
          <cell r="B14" t="str">
            <v>NO2</v>
          </cell>
          <cell r="D14">
            <v>300</v>
          </cell>
        </row>
        <row r="15">
          <cell r="B15" t="str">
            <v>TNO2</v>
          </cell>
          <cell r="D15">
            <v>300</v>
          </cell>
        </row>
        <row r="16">
          <cell r="B16" t="str">
            <v>TUREA</v>
          </cell>
          <cell r="C16"/>
          <cell r="D16">
            <v>60</v>
          </cell>
        </row>
        <row r="17">
          <cell r="B17" t="str">
            <v>UREA</v>
          </cell>
          <cell r="D17">
            <v>60</v>
          </cell>
        </row>
        <row r="18">
          <cell r="B18" t="str">
            <v>TP</v>
          </cell>
          <cell r="C18"/>
          <cell r="D18">
            <v>500</v>
          </cell>
        </row>
        <row r="19">
          <cell r="B19" t="str">
            <v>TDP</v>
          </cell>
          <cell r="D19">
            <v>500</v>
          </cell>
        </row>
        <row r="20">
          <cell r="B20" t="str">
            <v>TN</v>
          </cell>
          <cell r="C20"/>
          <cell r="D20">
            <v>1250</v>
          </cell>
        </row>
        <row r="21">
          <cell r="B21" t="str">
            <v>TDN</v>
          </cell>
          <cell r="D21">
            <v>1250</v>
          </cell>
        </row>
        <row r="22">
          <cell r="B22" t="str">
            <v>Tfe</v>
          </cell>
          <cell r="D22">
            <v>500</v>
          </cell>
        </row>
        <row r="23">
          <cell r="C23" t="str">
            <v>A</v>
          </cell>
          <cell r="D23">
            <v>1000</v>
          </cell>
        </row>
        <row r="24">
          <cell r="C24" t="str">
            <v>B</v>
          </cell>
          <cell r="D24">
            <v>200</v>
          </cell>
        </row>
        <row r="25">
          <cell r="C25" t="str">
            <v>C</v>
          </cell>
          <cell r="D25">
            <v>100</v>
          </cell>
          <cell r="J25" t="str">
            <v>Code:</v>
          </cell>
          <cell r="K25" t="str">
            <v>16A</v>
          </cell>
          <cell r="L25" t="str">
            <v>16B</v>
          </cell>
          <cell r="M25" t="str">
            <v>17A</v>
          </cell>
          <cell r="N25" t="str">
            <v>17B</v>
          </cell>
          <cell r="O25" t="str">
            <v>17C</v>
          </cell>
          <cell r="P25" t="str">
            <v>18A</v>
          </cell>
          <cell r="Q25" t="str">
            <v>18B</v>
          </cell>
          <cell r="R25" t="str">
            <v>18C</v>
          </cell>
          <cell r="S25" t="str">
            <v>19A</v>
          </cell>
          <cell r="T25" t="str">
            <v>19B</v>
          </cell>
          <cell r="U25" t="str">
            <v>19C</v>
          </cell>
        </row>
        <row r="26">
          <cell r="B26" t="str">
            <v>TRP</v>
          </cell>
          <cell r="C26"/>
          <cell r="D26">
            <v>156.25</v>
          </cell>
          <cell r="J26" t="str">
            <v>TNH4</v>
          </cell>
          <cell r="K26">
            <v>524</v>
          </cell>
          <cell r="L26"/>
          <cell r="M26">
            <v>262</v>
          </cell>
          <cell r="N26"/>
          <cell r="O26"/>
          <cell r="P26">
            <v>393</v>
          </cell>
          <cell r="S26">
            <v>393</v>
          </cell>
        </row>
        <row r="27">
          <cell r="B27" t="str">
            <v>DRP</v>
          </cell>
          <cell r="C27"/>
          <cell r="D27">
            <v>156.25</v>
          </cell>
          <cell r="J27" t="str">
            <v>NH4</v>
          </cell>
          <cell r="K27">
            <v>524</v>
          </cell>
          <cell r="L27"/>
          <cell r="M27">
            <v>262</v>
          </cell>
          <cell r="N27"/>
          <cell r="O27"/>
          <cell r="P27">
            <v>393</v>
          </cell>
          <cell r="S27">
            <v>393</v>
          </cell>
        </row>
        <row r="28">
          <cell r="B28" t="str">
            <v>TNH4</v>
          </cell>
          <cell r="C28"/>
          <cell r="D28">
            <v>625</v>
          </cell>
          <cell r="J28" t="str">
            <v>TRP</v>
          </cell>
          <cell r="K28">
            <v>380</v>
          </cell>
          <cell r="L28">
            <v>326.2</v>
          </cell>
          <cell r="M28">
            <v>413</v>
          </cell>
          <cell r="N28">
            <v>326.2</v>
          </cell>
          <cell r="O28"/>
          <cell r="P28">
            <v>118</v>
          </cell>
          <cell r="Q28">
            <v>200</v>
          </cell>
          <cell r="S28">
            <v>118</v>
          </cell>
          <cell r="T28">
            <v>200</v>
          </cell>
        </row>
        <row r="29">
          <cell r="B29" t="str">
            <v>NH4</v>
          </cell>
          <cell r="C29"/>
          <cell r="D29">
            <v>625</v>
          </cell>
          <cell r="J29" t="str">
            <v>DRP</v>
          </cell>
          <cell r="K29">
            <v>380</v>
          </cell>
          <cell r="L29">
            <v>326.2</v>
          </cell>
          <cell r="M29">
            <v>413</v>
          </cell>
          <cell r="N29">
            <v>326.2</v>
          </cell>
          <cell r="O29"/>
          <cell r="P29">
            <v>118</v>
          </cell>
          <cell r="Q29">
            <v>200</v>
          </cell>
          <cell r="S29">
            <v>118</v>
          </cell>
          <cell r="T29">
            <v>200</v>
          </cell>
        </row>
        <row r="30">
          <cell r="B30" t="str">
            <v>TNO2-3</v>
          </cell>
          <cell r="C30"/>
          <cell r="D30">
            <v>625</v>
          </cell>
          <cell r="J30" t="str">
            <v>TNO2-3</v>
          </cell>
          <cell r="K30">
            <v>1390</v>
          </cell>
          <cell r="L30"/>
          <cell r="M30">
            <v>416</v>
          </cell>
          <cell r="N30"/>
          <cell r="O30"/>
          <cell r="P30">
            <v>555</v>
          </cell>
          <cell r="Q30"/>
          <cell r="S30">
            <v>555</v>
          </cell>
          <cell r="T30"/>
        </row>
        <row r="31">
          <cell r="B31" t="str">
            <v>NO2-3</v>
          </cell>
          <cell r="C31"/>
          <cell r="D31">
            <v>625</v>
          </cell>
          <cell r="J31" t="str">
            <v>NO2-3</v>
          </cell>
          <cell r="K31">
            <v>1390</v>
          </cell>
          <cell r="L31"/>
          <cell r="M31">
            <v>416</v>
          </cell>
          <cell r="N31"/>
          <cell r="O31"/>
          <cell r="P31">
            <v>555</v>
          </cell>
          <cell r="Q31"/>
          <cell r="S31">
            <v>555</v>
          </cell>
          <cell r="T31"/>
        </row>
        <row r="32">
          <cell r="B32" t="str">
            <v>TNO2</v>
          </cell>
          <cell r="C32"/>
          <cell r="D32">
            <v>625</v>
          </cell>
          <cell r="J32" t="str">
            <v>TP</v>
          </cell>
          <cell r="K32">
            <v>224</v>
          </cell>
          <cell r="L32">
            <v>326.2</v>
          </cell>
          <cell r="M32">
            <v>406</v>
          </cell>
          <cell r="N32">
            <v>326.2</v>
          </cell>
          <cell r="O32"/>
          <cell r="P32">
            <v>812</v>
          </cell>
          <cell r="Q32">
            <v>200</v>
          </cell>
          <cell r="S32">
            <v>812</v>
          </cell>
          <cell r="T32">
            <v>200</v>
          </cell>
        </row>
        <row r="33">
          <cell r="B33" t="str">
            <v>NO2</v>
          </cell>
          <cell r="C33"/>
          <cell r="D33">
            <v>625</v>
          </cell>
          <cell r="J33" t="str">
            <v>TDP</v>
          </cell>
          <cell r="K33">
            <v>224</v>
          </cell>
          <cell r="L33">
            <v>326.2</v>
          </cell>
          <cell r="M33">
            <v>406</v>
          </cell>
          <cell r="N33">
            <v>326.2</v>
          </cell>
          <cell r="O33"/>
          <cell r="P33">
            <v>812</v>
          </cell>
          <cell r="Q33">
            <v>200</v>
          </cell>
          <cell r="S33">
            <v>812</v>
          </cell>
          <cell r="T33">
            <v>200</v>
          </cell>
        </row>
        <row r="34">
          <cell r="B34" t="str">
            <v>TUREA</v>
          </cell>
          <cell r="C34"/>
          <cell r="D34">
            <v>125</v>
          </cell>
          <cell r="J34" t="str">
            <v>TN</v>
          </cell>
          <cell r="K34">
            <v>1310</v>
          </cell>
          <cell r="L34"/>
          <cell r="M34">
            <v>747</v>
          </cell>
          <cell r="N34"/>
          <cell r="O34"/>
          <cell r="P34">
            <v>1490</v>
          </cell>
          <cell r="S34">
            <v>1490</v>
          </cell>
        </row>
        <row r="35">
          <cell r="B35" t="str">
            <v>UREA</v>
          </cell>
          <cell r="C35"/>
          <cell r="D35">
            <v>125</v>
          </cell>
          <cell r="J35" t="str">
            <v>TDN</v>
          </cell>
          <cell r="K35">
            <v>1310</v>
          </cell>
          <cell r="L35"/>
          <cell r="M35">
            <v>747</v>
          </cell>
          <cell r="N35"/>
          <cell r="O35"/>
          <cell r="P35">
            <v>1490</v>
          </cell>
          <cell r="S35">
            <v>1490</v>
          </cell>
        </row>
        <row r="36">
          <cell r="B36" t="str">
            <v>TP</v>
          </cell>
          <cell r="C36"/>
          <cell r="D36">
            <v>1000</v>
          </cell>
          <cell r="J36" t="str">
            <v>TNO2</v>
          </cell>
          <cell r="K36"/>
          <cell r="L36"/>
          <cell r="M36"/>
          <cell r="N36"/>
          <cell r="O36">
            <v>1000</v>
          </cell>
          <cell r="R36">
            <v>1000</v>
          </cell>
          <cell r="U36">
            <v>1000</v>
          </cell>
        </row>
        <row r="37">
          <cell r="B37" t="str">
            <v>TDP</v>
          </cell>
          <cell r="C37"/>
          <cell r="D37">
            <v>1000</v>
          </cell>
          <cell r="J37" t="str">
            <v>NO2</v>
          </cell>
          <cell r="K37"/>
          <cell r="L37"/>
          <cell r="M37"/>
          <cell r="N37"/>
          <cell r="O37">
            <v>1000</v>
          </cell>
          <cell r="R37">
            <v>1000</v>
          </cell>
          <cell r="U37">
            <v>1000</v>
          </cell>
        </row>
        <row r="38">
          <cell r="B38" t="str">
            <v>TN</v>
          </cell>
          <cell r="C38"/>
          <cell r="D38">
            <v>2500</v>
          </cell>
        </row>
        <row r="39">
          <cell r="B39" t="str">
            <v>TDN</v>
          </cell>
          <cell r="D39">
            <v>2500</v>
          </cell>
        </row>
        <row r="40">
          <cell r="C40" t="str">
            <v>NO2</v>
          </cell>
          <cell r="D40">
            <v>1250</v>
          </cell>
        </row>
        <row r="41">
          <cell r="C41" t="str">
            <v>A</v>
          </cell>
          <cell r="D41">
            <v>1000</v>
          </cell>
        </row>
        <row r="42">
          <cell r="C42" t="str">
            <v>B</v>
          </cell>
          <cell r="D42">
            <v>200</v>
          </cell>
        </row>
        <row r="43">
          <cell r="C43" t="str">
            <v>C</v>
          </cell>
          <cell r="D43">
            <v>100</v>
          </cell>
        </row>
        <row r="44">
          <cell r="C44" t="str">
            <v>A</v>
          </cell>
          <cell r="D44">
            <v>1000</v>
          </cell>
        </row>
        <row r="45">
          <cell r="C45" t="str">
            <v>B</v>
          </cell>
          <cell r="D45">
            <v>200</v>
          </cell>
        </row>
        <row r="46">
          <cell r="C46" t="str">
            <v>C</v>
          </cell>
          <cell r="D46">
            <v>100</v>
          </cell>
        </row>
        <row r="47">
          <cell r="C47" t="str">
            <v>D</v>
          </cell>
          <cell r="D47">
            <v>5000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9604-9792-4F42-B495-F81747599226}">
  <dimension ref="A1:AV4018"/>
  <sheetViews>
    <sheetView tabSelected="1" topLeftCell="A2" zoomScale="75" zoomScaleNormal="75" workbookViewId="0">
      <pane ySplit="1" topLeftCell="A3" activePane="bottomLeft" state="frozen"/>
      <selection activeCell="A2" sqref="A2"/>
      <selection pane="bottomLeft" activeCell="N2" sqref="N2"/>
    </sheetView>
  </sheetViews>
  <sheetFormatPr defaultRowHeight="14.4" x14ac:dyDescent="0.55000000000000004"/>
  <cols>
    <col min="1" max="1" width="11.3125" customWidth="1"/>
    <col min="2" max="2" width="12.3125" bestFit="1" customWidth="1"/>
    <col min="10" max="10" width="8.3125" bestFit="1" customWidth="1"/>
    <col min="11" max="11" width="16.3125" bestFit="1" customWidth="1"/>
    <col min="12" max="12" width="12.3125" bestFit="1" customWidth="1"/>
    <col min="20" max="20" width="38.3125" bestFit="1" customWidth="1"/>
    <col min="24" max="24" width="33.68359375" bestFit="1" customWidth="1"/>
    <col min="25" max="25" width="39.89453125" bestFit="1" customWidth="1"/>
    <col min="26" max="26" width="54.68359375" bestFit="1" customWidth="1"/>
    <col min="31" max="31" width="10.3125" bestFit="1" customWidth="1"/>
    <col min="32" max="32" width="15.5234375" bestFit="1" customWidth="1"/>
    <col min="41" max="41" width="8.68359375" bestFit="1" customWidth="1"/>
    <col min="42" max="42" width="35" bestFit="1" customWidth="1"/>
    <col min="43" max="43" width="24.89453125" bestFit="1" customWidth="1"/>
    <col min="45" max="45" width="18.1015625" customWidth="1"/>
    <col min="46" max="47" width="28" customWidth="1"/>
    <col min="48" max="48" width="48.68359375" bestFit="1" customWidth="1"/>
  </cols>
  <sheetData>
    <row r="1" spans="1:48" s="11" customFormat="1" ht="28.8" hidden="1" x14ac:dyDescent="0.55000000000000004">
      <c r="A1" s="1" t="s">
        <v>943</v>
      </c>
      <c r="B1" s="2" t="s">
        <v>1</v>
      </c>
      <c r="C1" s="3" t="s">
        <v>2</v>
      </c>
      <c r="D1" s="3" t="s">
        <v>3</v>
      </c>
      <c r="E1" s="3" t="s">
        <v>4</v>
      </c>
      <c r="F1" s="3" t="s">
        <v>5</v>
      </c>
      <c r="G1" s="3" t="s">
        <v>6</v>
      </c>
      <c r="H1" s="3" t="s">
        <v>944</v>
      </c>
      <c r="I1" s="3" t="s">
        <v>8</v>
      </c>
      <c r="J1" s="3" t="s">
        <v>9</v>
      </c>
      <c r="K1" s="4" t="s">
        <v>945</v>
      </c>
      <c r="L1" s="5" t="s">
        <v>10</v>
      </c>
      <c r="M1" s="3" t="s">
        <v>11</v>
      </c>
      <c r="N1" s="3" t="s">
        <v>12</v>
      </c>
      <c r="O1" s="3" t="s">
        <v>13</v>
      </c>
      <c r="P1" s="6" t="s">
        <v>14</v>
      </c>
      <c r="Q1" s="7" t="s">
        <v>15</v>
      </c>
      <c r="R1" s="3" t="s">
        <v>16</v>
      </c>
      <c r="S1" s="8" t="s">
        <v>17</v>
      </c>
      <c r="T1" s="3" t="s">
        <v>18</v>
      </c>
      <c r="U1" s="8" t="s">
        <v>19</v>
      </c>
      <c r="V1" s="9" t="s">
        <v>20</v>
      </c>
      <c r="W1" s="3" t="s">
        <v>21</v>
      </c>
      <c r="X1" s="10"/>
      <c r="Y1" s="10"/>
      <c r="AA1" s="10"/>
      <c r="AB1" s="10"/>
      <c r="AC1" s="10"/>
      <c r="AD1" s="12"/>
      <c r="AE1" s="13"/>
      <c r="AF1" s="14"/>
      <c r="AG1" s="14"/>
      <c r="AH1" s="14"/>
      <c r="AI1" s="15"/>
      <c r="AJ1" s="14"/>
      <c r="AK1" s="14"/>
      <c r="AL1" s="14"/>
      <c r="AM1" s="14"/>
      <c r="AN1" s="14"/>
      <c r="AO1" s="14"/>
      <c r="AP1" s="14"/>
      <c r="AQ1" s="14"/>
      <c r="AR1" s="14"/>
      <c r="AS1" s="14"/>
      <c r="AT1" s="14"/>
      <c r="AU1" s="14"/>
      <c r="AV1" s="16"/>
    </row>
    <row r="2" spans="1:48" s="10" customFormat="1" ht="86.25" customHeight="1" x14ac:dyDescent="0.55000000000000004">
      <c r="A2" s="17" t="s">
        <v>22</v>
      </c>
      <c r="B2" s="18" t="s">
        <v>23</v>
      </c>
      <c r="C2" s="19" t="s">
        <v>24</v>
      </c>
      <c r="D2" s="19" t="s">
        <v>25</v>
      </c>
      <c r="E2" s="19" t="s">
        <v>26</v>
      </c>
      <c r="F2" s="19" t="s">
        <v>27</v>
      </c>
      <c r="G2" s="19" t="s">
        <v>28</v>
      </c>
      <c r="H2" s="19" t="s">
        <v>29</v>
      </c>
      <c r="I2" s="19" t="s">
        <v>30</v>
      </c>
      <c r="J2" s="19" t="s">
        <v>31</v>
      </c>
      <c r="K2" s="20" t="s">
        <v>32</v>
      </c>
      <c r="L2" s="21" t="s">
        <v>33</v>
      </c>
      <c r="M2" s="22" t="s">
        <v>34</v>
      </c>
      <c r="N2" s="19" t="s">
        <v>35</v>
      </c>
      <c r="O2" s="23" t="s">
        <v>36</v>
      </c>
      <c r="P2" s="23" t="s">
        <v>37</v>
      </c>
      <c r="Q2" s="24" t="s">
        <v>38</v>
      </c>
      <c r="R2" s="19" t="s">
        <v>39</v>
      </c>
      <c r="S2" s="25" t="s">
        <v>40</v>
      </c>
      <c r="T2" s="19" t="s">
        <v>41</v>
      </c>
      <c r="U2" s="25" t="s">
        <v>42</v>
      </c>
      <c r="V2" s="26" t="s">
        <v>43</v>
      </c>
      <c r="W2" s="26" t="s">
        <v>44</v>
      </c>
      <c r="X2" s="27" t="s">
        <v>45</v>
      </c>
      <c r="Y2" s="19" t="s">
        <v>46</v>
      </c>
      <c r="Z2" s="10" t="s">
        <v>47</v>
      </c>
      <c r="AA2" s="28" t="s">
        <v>48</v>
      </c>
      <c r="AB2" s="28" t="s">
        <v>49</v>
      </c>
      <c r="AC2" s="28"/>
      <c r="AD2" s="29" t="s">
        <v>946</v>
      </c>
      <c r="AE2" s="3" t="s">
        <v>52</v>
      </c>
      <c r="AF2" s="29" t="s">
        <v>53</v>
      </c>
      <c r="AG2" s="30" t="s">
        <v>54</v>
      </c>
      <c r="AH2" s="30" t="s">
        <v>55</v>
      </c>
      <c r="AI2" s="30" t="s">
        <v>56</v>
      </c>
      <c r="AJ2" s="30" t="s">
        <v>57</v>
      </c>
      <c r="AK2" s="25" t="s">
        <v>58</v>
      </c>
      <c r="AL2" s="30" t="s">
        <v>59</v>
      </c>
      <c r="AM2" s="30" t="s">
        <v>60</v>
      </c>
      <c r="AN2" s="30" t="s">
        <v>61</v>
      </c>
      <c r="AO2" s="30" t="s">
        <v>62</v>
      </c>
      <c r="AP2" s="29" t="s">
        <v>63</v>
      </c>
      <c r="AQ2" s="30" t="s">
        <v>64</v>
      </c>
      <c r="AR2" s="30" t="s">
        <v>65</v>
      </c>
      <c r="AS2" s="30" t="s">
        <v>66</v>
      </c>
      <c r="AT2" s="30" t="s">
        <v>67</v>
      </c>
      <c r="AU2" s="30" t="s">
        <v>68</v>
      </c>
      <c r="AV2" s="31" t="s">
        <v>69</v>
      </c>
    </row>
    <row r="3" spans="1:48" s="10" customFormat="1" x14ac:dyDescent="0.55000000000000004">
      <c r="A3" s="32">
        <v>44930</v>
      </c>
      <c r="B3" s="33">
        <v>0.375</v>
      </c>
      <c r="C3" s="10" t="s">
        <v>70</v>
      </c>
      <c r="D3" s="10" t="s">
        <v>71</v>
      </c>
      <c r="E3" s="10" t="s">
        <v>72</v>
      </c>
      <c r="F3" s="10">
        <v>1</v>
      </c>
      <c r="G3" s="10" t="s">
        <v>73</v>
      </c>
      <c r="H3" s="10" t="s">
        <v>74</v>
      </c>
      <c r="I3" s="10" t="s">
        <v>75</v>
      </c>
      <c r="J3" s="10">
        <v>181</v>
      </c>
      <c r="K3" s="12">
        <v>44930</v>
      </c>
      <c r="L3" s="33">
        <v>0.4365856481481481</v>
      </c>
      <c r="M3" s="10">
        <v>1</v>
      </c>
      <c r="N3" s="10" t="s">
        <v>76</v>
      </c>
      <c r="O3" s="10">
        <v>1.72E-2</v>
      </c>
      <c r="P3" s="10">
        <v>2.33E-3</v>
      </c>
      <c r="Q3" s="10">
        <v>0</v>
      </c>
      <c r="R3" s="10" t="s">
        <v>77</v>
      </c>
      <c r="S3" s="34">
        <f t="shared" ref="S3:S65" si="0">IF(OR(AND(I3&lt;&gt;"TP", I3&lt;&gt;"TDP",I3&lt;&gt;"TN", I3&lt;&gt;"TDN"),H3="CAL"), Q3*M3, IF(OR(AND(I3="TN", Q3&gt;2500), AND(I3="TDN", Q3&gt;2500)),MAX(Q3, AK3)*M3, IF(OR(AND(I3="TN", Q3&lt;=2500), AND(I3="TDN", Q3&lt;=2500)),MAX(Q3, AJ3,AK3)*M3, IF(OR(AND(I3="TP",Q3&gt;500), AND(I3="TDP", Q3&gt;500)),MAX(Q3,AK3)*M3,IF(OR(AND(I3="TP",Q3&lt;=150), AND(I3="TDP", Q3&lt;=150)),MAX(Q3,AG3:AI3,AK3)*M3,IF(OR(AND(I3="TP",Q3&lt;=300), AND(I3="TDP", Q3&lt;=300)),MAX(Q3,AH3,AI3,AK3)*M3,IF(OR(AND(I3="TP",Q3&lt;=500), AND(I3="TDP", Q3&lt;=500)),MAX(Q3,AI3,AK3)*M3,"")))))))</f>
        <v>0</v>
      </c>
      <c r="T3" s="10" t="s">
        <v>78</v>
      </c>
      <c r="U3" s="34" t="str">
        <f>IF(OR(H3="CHK",H3="ATP",H3="GUP",H3="PER", H3="NIC", H3="UREA"),(S3/V3*100),IF(H3="DUP",((ABS(S3-#REF!))/((#REF!+S3)/2))*100,IF(H3="SPK",((S3-#REF!)/V3*100),IF(OR(H3="LAB",H3="FLD",H3="ESF"),S3,""))))</f>
        <v/>
      </c>
      <c r="V3" s="31" t="str">
        <f>IF(H3="CHK",VLOOKUP(I3,QCCHK,3,),IF(H3="GUP",VLOOKUP(E3,QCGUP,2,),IF(AND(H3="ATP",OR(I3="TN",I3="TDN",I3="TNO2-3",I3="NO2-3")),VLOOKUP(E3,QCREC_N,2,),IF(AND(H3="NIC",OR(I3="TN",I3="TDN",I3="TNO2-3",I3="NO2-3")),VLOOKUP(E3,QCNIC_N,2,),IF(AND(H3="UREA",OR(I3="TN",I3="TDN",I3="TNO2-3",I3="NO2-3")),VLOOKUP(E3,QCUREA_N,2,),IF(H3="PER",VLOOKUP(I3,QCPER,MATCH(E3,QCACTUAL!$J$25:$AA$25,0),),IF(H3="SPK",VLOOKUP(I3,QCSPK,3,),IF(AND(H3="ATP",OR(I3="TP",I3="TDP")),VLOOKUP(E3,QCATP_P,2,),""))))))))</f>
        <v/>
      </c>
      <c r="W3" s="31" t="str">
        <f t="shared" ref="W3:W65" si="1">IF(AND(OR(H3="PER",H3="ATP",H3="GUP",H3="CHK",H3="SPK", H3="NIC"),OR(U3&gt;125,U3&lt;75)),"FALSE",IF(AND(H3="DUP",OR(U3&gt;25, U3&lt;-25)),"FALSE",IF(AND(OR(H3="LAB",H3="FLD",H3="ESF"),U3&gt;15),"FALSE","TRUE")))</f>
        <v>TRUE</v>
      </c>
      <c r="X3" s="31" t="str">
        <f t="shared" ref="X3:X65" si="2">IF(ISNA(VLOOKUP(H3,QCEQUATIONS,2,)),"",(VLOOKUP(H3,QCEQUATIONS,2,)))</f>
        <v/>
      </c>
      <c r="Y3" s="10" t="s">
        <v>949</v>
      </c>
      <c r="AL3" s="10" t="str">
        <f t="shared" ref="AL3:AN66" si="3">IF($O3="", "", IF(AQ3&lt;&gt;"", SUBSTITUTE(SUBSTITUTE(AQ3, "x", "*"&amp;$O3&amp;"^", 1), "x", "*"&amp;$O3, 1), ""))</f>
        <v>FALSE</v>
      </c>
      <c r="AM3" s="10" t="str">
        <f t="shared" si="3"/>
        <v>FALSE</v>
      </c>
      <c r="AN3" s="10" t="str">
        <f t="shared" si="3"/>
        <v>FALSE</v>
      </c>
      <c r="AO3" s="10" t="str">
        <f t="shared" ref="AO3:AP66" si="4">IF($O3="", "FALSE", IF(AT3&lt;&gt;"FALSE", SUBSTITUTE(SUBSTITUTE(AT3, "x", "*"&amp;$O3&amp;"^", 1), "x", "*"&amp;$O3, 1), ""))</f>
        <v>FALSE</v>
      </c>
      <c r="AP3" s="10" t="str">
        <f t="shared" si="4"/>
        <v>FALSE</v>
      </c>
      <c r="AQ3" s="10" t="b">
        <f>IF(AND(I3="TP",S3&lt;=150),VLOOKUP(AF3,TPCalibEq150!$AZ$2:$BB$55,3,),IF(AND(I3="TDP",S3&lt;=150),VLOOKUP(AF3,TPCalibEq150!$AZ$2:$BB$55,3,)))</f>
        <v>0</v>
      </c>
      <c r="AR3" s="10" t="b">
        <f>IF(AND(I3="TP",S3&lt;=300),VLOOKUP(AF3,TPCalibEq300!$AZ$2:$BB$55,3,),IF(AND(I3="TDP",S3&lt;=300),VLOOKUP(AF3,TPCalibEq300!$AZ$2:$BB$55,3,)))</f>
        <v>0</v>
      </c>
      <c r="AS3" s="10" t="b">
        <f>IF(AND(I3="TP",S3&lt;=500),VLOOKUP(AF3,TPCalibEq500!$AZ$2:$BB$56,3,),IF(AND(I3="TDP",S3&lt;=500),VLOOKUP(AF3,TPCalibEq500!$AZ$2:$BB$56,3,)))</f>
        <v>0</v>
      </c>
      <c r="AT3" s="10" t="b">
        <f>IF(AND(I3="TN",S3&lt;=2800),VLOOKUP(AF3,TNCalibEq2500!$AZ$2:$BB$56,3,),IF(AND(I3="TDN",S3&lt;=2800),VLOOKUP(AF3,TNCalibEq2500!$AZ$2:$BB$56,3,)))</f>
        <v>0</v>
      </c>
      <c r="AU3" s="10" t="b">
        <f>IF(I3="TP",VLOOKUP(AF3,TPCalibEqFull!$AZ$2:$BB$56,3),IF(I3="TDP",VLOOKUP(AF3,TPCalibEqFull!$AZ$2:$BB$56,3),IF(I3="TDN",VLOOKUP(AF3,TNCalibEqFull!$AZ$1:$BB$56,3),IF(I3="TN",VLOOKUP(AF3,TNCalibEqFull!$AZ$1:$BB$56,3),FALSE))))</f>
        <v>0</v>
      </c>
      <c r="AV3" s="10" t="str">
        <f t="shared" ref="AV3:AV65" si="5">TEXT(A3, "MMDD")&amp;" "&amp;TEXT(B3, "HH:MM:SS")&amp;"-"&amp;C3&amp;"-"&amp;D3&amp;"-"&amp;E3&amp;"-"&amp;F3&amp;"-"&amp;G3&amp;"-"&amp;H3</f>
        <v>0104 09:00:00-QAC-STD-H-1-DI-CAL</v>
      </c>
    </row>
    <row r="4" spans="1:48" s="10" customFormat="1" x14ac:dyDescent="0.55000000000000004">
      <c r="A4" s="32">
        <v>44930</v>
      </c>
      <c r="B4" s="33">
        <v>0.375</v>
      </c>
      <c r="C4" s="10" t="s">
        <v>70</v>
      </c>
      <c r="D4" s="10" t="s">
        <v>71</v>
      </c>
      <c r="E4" s="10" t="s">
        <v>908</v>
      </c>
      <c r="F4" s="10">
        <v>1</v>
      </c>
      <c r="G4" s="10" t="s">
        <v>73</v>
      </c>
      <c r="H4" s="10" t="s">
        <v>74</v>
      </c>
      <c r="I4" s="10" t="s">
        <v>75</v>
      </c>
      <c r="J4" s="10">
        <v>182</v>
      </c>
      <c r="K4" s="12">
        <v>44930</v>
      </c>
      <c r="L4" s="33">
        <v>0.43743055555555554</v>
      </c>
      <c r="M4" s="10">
        <v>1</v>
      </c>
      <c r="N4" s="10" t="s">
        <v>76</v>
      </c>
      <c r="O4" s="10">
        <v>0.28799999999999998</v>
      </c>
      <c r="P4" s="10">
        <v>2.1399999999999999E-2</v>
      </c>
      <c r="Q4" s="10">
        <v>20</v>
      </c>
      <c r="R4" s="10" t="s">
        <v>77</v>
      </c>
      <c r="S4" s="34">
        <f t="shared" si="0"/>
        <v>20</v>
      </c>
      <c r="T4" s="10" t="s">
        <v>950</v>
      </c>
      <c r="U4" s="34" t="str">
        <f t="shared" ref="U4:U65" si="6">IF(OR(H4="CHK",H4="ATP",H4="GUP",H4="PER", H4="NIC", H4="UREA"),(S4/V4*100),IF(H4="DUP",((ABS(S4-S3))/((S3+S4)/2))*100,IF(H4="SPK",((S4-S3)/V4*100),IF(OR(H4="LAB",H4="FLD",H4="ESF"),S4,""))))</f>
        <v/>
      </c>
      <c r="V4" s="31" t="str">
        <f>IF(H4="CHK",VLOOKUP(I4,QCCHK,3,),IF(H4="GUP",VLOOKUP(E4,QCGUP,2,),IF(AND(H4="ATP",OR(I4="TN",I4="TDN",I4="TNO2-3",I4="NO2-3")),VLOOKUP(E4,QCREC_N,2,),IF(AND(H4="NIC",OR(I4="TN",I4="TDN",I4="TNO2-3",I4="NO2-3")),VLOOKUP(E4,QCNIC_N,2,),IF(AND(H4="UREA",OR(I4="TN",I4="TDN",I4="TNO2-3",I4="NO2-3")),VLOOKUP(E4,QCUREA_N,2,),IF(H4="PER",VLOOKUP(I4,QCPER,MATCH(E4,QCACTUAL!$J$25:$AA$25,0),),IF(H4="SPK",VLOOKUP(I4,QCSPK,3,),IF(AND(H4="ATP",OR(I4="TP",I4="TDP")),VLOOKUP(E4,QCATP_P,2,),""))))))))</f>
        <v/>
      </c>
      <c r="W4" s="31" t="str">
        <f t="shared" si="1"/>
        <v>TRUE</v>
      </c>
      <c r="X4" s="31" t="str">
        <f t="shared" si="2"/>
        <v/>
      </c>
      <c r="Y4" s="10" t="s">
        <v>949</v>
      </c>
      <c r="AL4" s="10" t="str">
        <f t="shared" si="3"/>
        <v>FALSE</v>
      </c>
      <c r="AM4" s="10" t="str">
        <f t="shared" si="3"/>
        <v>FALSE</v>
      </c>
      <c r="AN4" s="10" t="str">
        <f t="shared" si="3"/>
        <v>FALSE</v>
      </c>
      <c r="AO4" s="10" t="str">
        <f t="shared" si="4"/>
        <v>FALSE</v>
      </c>
      <c r="AP4" s="10" t="str">
        <f t="shared" si="4"/>
        <v>FALSE</v>
      </c>
      <c r="AQ4" s="10" t="b">
        <f>IF(AND(I4="TP",S4&lt;=150),VLOOKUP(AF4,TPCalibEq150!$AZ$2:$BB$55,3,),IF(AND(I4="TDP",S4&lt;=150),VLOOKUP(AF4,TPCalibEq150!$AZ$2:$BB$55,3,)))</f>
        <v>0</v>
      </c>
      <c r="AR4" s="10" t="b">
        <f>IF(AND(I4="TP",S4&lt;=300),VLOOKUP(AF4,TPCalibEq300!$AZ$2:$BB$55,3,),IF(AND(I4="TDP",S4&lt;=300),VLOOKUP(AF4,TPCalibEq300!$AZ$2:$BB$55,3,)))</f>
        <v>0</v>
      </c>
      <c r="AS4" s="10" t="b">
        <f>IF(AND(I4="TP",S4&lt;=500),VLOOKUP(AF4,TPCalibEq500!$AZ$2:$BB$56,3,),IF(AND(I4="TDP",S4&lt;=500),VLOOKUP(AF4,TPCalibEq500!$AZ$2:$BB$56,3,)))</f>
        <v>0</v>
      </c>
      <c r="AT4" s="10" t="b">
        <f>IF(AND(I4="TN",S4&lt;=2800),VLOOKUP(AF4,TNCalibEq2500!$AZ$2:$BB$56,3,),IF(AND(I4="TDN",S4&lt;=2800),VLOOKUP(AF4,TNCalibEq2500!$AZ$2:$BB$56,3,)))</f>
        <v>0</v>
      </c>
      <c r="AU4" s="10" t="b">
        <f>IF(I4="TP",VLOOKUP(AF4,TPCalibEqFull!$AZ$2:$BB$56,3),IF(I4="TDP",VLOOKUP(AF4,TPCalibEqFull!$AZ$2:$BB$56,3),IF(I4="TDN",VLOOKUP(AF4,TNCalibEqFull!$AZ$1:$BB$56,3),IF(I4="TN",VLOOKUP(AF4,TNCalibEqFull!$AZ$1:$BB$56,3),FALSE))))</f>
        <v>0</v>
      </c>
      <c r="AV4" s="10" t="str">
        <f t="shared" si="5"/>
        <v>0104 09:00:00-QAC-STD-G-1-DI-CAL</v>
      </c>
    </row>
    <row r="5" spans="1:48" s="10" customFormat="1" x14ac:dyDescent="0.55000000000000004">
      <c r="A5" s="32">
        <v>44930</v>
      </c>
      <c r="B5" s="33">
        <v>0.375</v>
      </c>
      <c r="C5" s="10" t="s">
        <v>70</v>
      </c>
      <c r="D5" s="10" t="s">
        <v>71</v>
      </c>
      <c r="E5" s="10" t="s">
        <v>550</v>
      </c>
      <c r="F5" s="10">
        <v>1</v>
      </c>
      <c r="G5" s="10" t="s">
        <v>73</v>
      </c>
      <c r="H5" s="10" t="s">
        <v>74</v>
      </c>
      <c r="I5" s="10" t="s">
        <v>75</v>
      </c>
      <c r="J5" s="10">
        <v>183</v>
      </c>
      <c r="K5" s="12">
        <v>44930</v>
      </c>
      <c r="L5" s="33">
        <v>0.4382523148148148</v>
      </c>
      <c r="M5" s="10">
        <v>1</v>
      </c>
      <c r="N5" s="10" t="s">
        <v>76</v>
      </c>
      <c r="O5" s="10">
        <v>0.96299999999999997</v>
      </c>
      <c r="P5" s="10">
        <v>7.3099999999999998E-2</v>
      </c>
      <c r="Q5" s="10">
        <v>60</v>
      </c>
      <c r="R5" s="10" t="s">
        <v>77</v>
      </c>
      <c r="S5" s="34">
        <f t="shared" si="0"/>
        <v>60</v>
      </c>
      <c r="T5" s="10" t="s">
        <v>951</v>
      </c>
      <c r="U5" s="34" t="str">
        <f t="shared" si="6"/>
        <v/>
      </c>
      <c r="V5" s="31" t="str">
        <f>IF(H5="CHK",VLOOKUP(I5,QCCHK,3,),IF(H5="GUP",VLOOKUP(E5,QCGUP,2,),IF(AND(H5="ATP",OR(I5="TN",I5="TDN",I5="TNO2-3",I5="NO2-3")),VLOOKUP(E5,QCREC_N,2,),IF(AND(H5="NIC",OR(I5="TN",I5="TDN",I5="TNO2-3",I5="NO2-3")),VLOOKUP(E5,QCNIC_N,2,),IF(AND(H5="UREA",OR(I5="TN",I5="TDN",I5="TNO2-3",I5="NO2-3")),VLOOKUP(E5,QCUREA_N,2,),IF(H5="PER",VLOOKUP(I5,QCPER,MATCH(E5,QCACTUAL!$J$25:$AA$25,0),),IF(H5="SPK",VLOOKUP(I5,QCSPK,3,),IF(AND(H5="ATP",OR(I5="TP",I5="TDP")),VLOOKUP(E5,QCATP_P,2,),""))))))))</f>
        <v/>
      </c>
      <c r="W5" s="31" t="str">
        <f t="shared" si="1"/>
        <v>TRUE</v>
      </c>
      <c r="X5" s="31" t="str">
        <f t="shared" si="2"/>
        <v/>
      </c>
      <c r="Y5" s="10" t="s">
        <v>949</v>
      </c>
      <c r="AL5" s="10" t="str">
        <f t="shared" si="3"/>
        <v>FALSE</v>
      </c>
      <c r="AM5" s="10" t="str">
        <f t="shared" si="3"/>
        <v>FALSE</v>
      </c>
      <c r="AN5" s="10" t="str">
        <f t="shared" si="3"/>
        <v>FALSE</v>
      </c>
      <c r="AO5" s="10" t="str">
        <f t="shared" si="4"/>
        <v>FALSE</v>
      </c>
      <c r="AP5" s="10" t="str">
        <f t="shared" si="4"/>
        <v>FALSE</v>
      </c>
      <c r="AQ5" s="10" t="b">
        <f>IF(AND(I5="TP",S5&lt;=150),VLOOKUP(AF5,TPCalibEq150!$AZ$2:$BB$55,3,),IF(AND(I5="TDP",S5&lt;=150),VLOOKUP(AF5,TPCalibEq150!$AZ$2:$BB$55,3,)))</f>
        <v>0</v>
      </c>
      <c r="AR5" s="10" t="b">
        <f>IF(AND(I5="TP",S5&lt;=300),VLOOKUP(AF5,TPCalibEq300!$AZ$2:$BB$55,3,),IF(AND(I5="TDP",S5&lt;=300),VLOOKUP(AF5,TPCalibEq300!$AZ$2:$BB$55,3,)))</f>
        <v>0</v>
      </c>
      <c r="AS5" s="10" t="b">
        <f>IF(AND(I5="TP",S5&lt;=500),VLOOKUP(AF5,TPCalibEq500!$AZ$2:$BB$56,3,),IF(AND(I5="TDP",S5&lt;=500),VLOOKUP(AF5,TPCalibEq500!$AZ$2:$BB$56,3,)))</f>
        <v>0</v>
      </c>
      <c r="AT5" s="10" t="b">
        <f>IF(AND(I5="TN",S5&lt;=2800),VLOOKUP(AF5,TNCalibEq2500!$AZ$2:$BB$56,3,),IF(AND(I5="TDN",S5&lt;=2800),VLOOKUP(AF5,TNCalibEq2500!$AZ$2:$BB$56,3,)))</f>
        <v>0</v>
      </c>
      <c r="AU5" s="10" t="b">
        <f>IF(I5="TP",VLOOKUP(AF5,TPCalibEqFull!$AZ$2:$BB$56,3),IF(I5="TDP",VLOOKUP(AF5,TPCalibEqFull!$AZ$2:$BB$56,3),IF(I5="TDN",VLOOKUP(AF5,TNCalibEqFull!$AZ$1:$BB$56,3),IF(I5="TN",VLOOKUP(AF5,TNCalibEqFull!$AZ$1:$BB$56,3),FALSE))))</f>
        <v>0</v>
      </c>
      <c r="AV5" s="10" t="str">
        <f t="shared" si="5"/>
        <v>0104 09:00:00-QAC-STD-F-1-DI-CAL</v>
      </c>
    </row>
    <row r="6" spans="1:48" s="10" customFormat="1" x14ac:dyDescent="0.55000000000000004">
      <c r="A6" s="32">
        <v>44930</v>
      </c>
      <c r="B6" s="33">
        <v>0.375</v>
      </c>
      <c r="C6" s="10" t="s">
        <v>70</v>
      </c>
      <c r="D6" s="10" t="s">
        <v>71</v>
      </c>
      <c r="E6" s="10" t="s">
        <v>909</v>
      </c>
      <c r="F6" s="10">
        <v>1</v>
      </c>
      <c r="G6" s="10" t="s">
        <v>73</v>
      </c>
      <c r="H6" s="10" t="s">
        <v>74</v>
      </c>
      <c r="I6" s="10" t="s">
        <v>75</v>
      </c>
      <c r="J6" s="10">
        <v>184</v>
      </c>
      <c r="K6" s="12">
        <v>44930</v>
      </c>
      <c r="L6" s="33">
        <v>0.43908564814814816</v>
      </c>
      <c r="M6" s="10">
        <v>1</v>
      </c>
      <c r="N6" s="10" t="s">
        <v>76</v>
      </c>
      <c r="O6" s="10">
        <v>1.32</v>
      </c>
      <c r="P6" s="10">
        <v>0.1</v>
      </c>
      <c r="Q6" s="10">
        <v>80</v>
      </c>
      <c r="R6" s="10" t="s">
        <v>77</v>
      </c>
      <c r="S6" s="34">
        <f t="shared" si="0"/>
        <v>80</v>
      </c>
      <c r="T6" s="10" t="s">
        <v>952</v>
      </c>
      <c r="U6" s="34" t="str">
        <f t="shared" si="6"/>
        <v/>
      </c>
      <c r="V6" s="31" t="str">
        <f>IF(H6="CHK",VLOOKUP(I6,QCCHK,3,),IF(H6="GUP",VLOOKUP(E6,QCGUP,2,),IF(AND(H6="ATP",OR(I6="TN",I6="TDN",I6="TNO2-3",I6="NO2-3")),VLOOKUP(E6,QCREC_N,2,),IF(AND(H6="NIC",OR(I6="TN",I6="TDN",I6="TNO2-3",I6="NO2-3")),VLOOKUP(E6,QCNIC_N,2,),IF(AND(H6="UREA",OR(I6="TN",I6="TDN",I6="TNO2-3",I6="NO2-3")),VLOOKUP(E6,QCUREA_N,2,),IF(H6="PER",VLOOKUP(I6,QCPER,MATCH(E6,QCACTUAL!$J$25:$AA$25,0),),IF(H6="SPK",VLOOKUP(I6,QCSPK,3,),IF(AND(H6="ATP",OR(I6="TP",I6="TDP")),VLOOKUP(E6,QCATP_P,2,),""))))))))</f>
        <v/>
      </c>
      <c r="W6" s="31" t="str">
        <f t="shared" si="1"/>
        <v>TRUE</v>
      </c>
      <c r="X6" s="31" t="str">
        <f t="shared" si="2"/>
        <v/>
      </c>
      <c r="Y6" s="10" t="s">
        <v>949</v>
      </c>
      <c r="AL6" s="10" t="str">
        <f t="shared" si="3"/>
        <v>FALSE</v>
      </c>
      <c r="AM6" s="10" t="str">
        <f t="shared" si="3"/>
        <v>FALSE</v>
      </c>
      <c r="AN6" s="10" t="str">
        <f t="shared" si="3"/>
        <v>FALSE</v>
      </c>
      <c r="AO6" s="10" t="str">
        <f t="shared" si="4"/>
        <v>FALSE</v>
      </c>
      <c r="AP6" s="10" t="str">
        <f t="shared" si="4"/>
        <v>FALSE</v>
      </c>
      <c r="AQ6" s="10" t="b">
        <f>IF(AND(I6="TP",S6&lt;=150),VLOOKUP(AF6,TPCalibEq150!$AZ$2:$BB$55,3,),IF(AND(I6="TDP",S6&lt;=150),VLOOKUP(AF6,TPCalibEq150!$AZ$2:$BB$55,3,)))</f>
        <v>0</v>
      </c>
      <c r="AR6" s="10" t="b">
        <f>IF(AND(I6="TP",S6&lt;=300),VLOOKUP(AF6,TPCalibEq300!$AZ$2:$BB$55,3,),IF(AND(I6="TDP",S6&lt;=300),VLOOKUP(AF6,TPCalibEq300!$AZ$2:$BB$55,3,)))</f>
        <v>0</v>
      </c>
      <c r="AS6" s="10" t="b">
        <f>IF(AND(I6="TP",S6&lt;=500),VLOOKUP(AF6,TPCalibEq500!$AZ$2:$BB$56,3,),IF(AND(I6="TDP",S6&lt;=500),VLOOKUP(AF6,TPCalibEq500!$AZ$2:$BB$56,3,)))</f>
        <v>0</v>
      </c>
      <c r="AT6" s="10" t="b">
        <f>IF(AND(I6="TN",S6&lt;=2800),VLOOKUP(AF6,TNCalibEq2500!$AZ$2:$BB$56,3,),IF(AND(I6="TDN",S6&lt;=2800),VLOOKUP(AF6,TNCalibEq2500!$AZ$2:$BB$56,3,)))</f>
        <v>0</v>
      </c>
      <c r="AU6" s="10" t="b">
        <f>IF(I6="TP",VLOOKUP(AF6,TPCalibEqFull!$AZ$2:$BB$56,3),IF(I6="TDP",VLOOKUP(AF6,TPCalibEqFull!$AZ$2:$BB$56,3),IF(I6="TDN",VLOOKUP(AF6,TNCalibEqFull!$AZ$1:$BB$56,3),IF(I6="TN",VLOOKUP(AF6,TNCalibEqFull!$AZ$1:$BB$56,3),FALSE))))</f>
        <v>0</v>
      </c>
      <c r="AV6" s="10" t="str">
        <f t="shared" si="5"/>
        <v>0104 09:00:00-QAC-STD-E-1-DI-CAL</v>
      </c>
    </row>
    <row r="7" spans="1:48" s="10" customFormat="1" x14ac:dyDescent="0.55000000000000004">
      <c r="A7" s="32">
        <v>44930</v>
      </c>
      <c r="B7" s="33">
        <v>0.375</v>
      </c>
      <c r="C7" s="10" t="s">
        <v>70</v>
      </c>
      <c r="D7" s="10" t="s">
        <v>71</v>
      </c>
      <c r="E7" s="10" t="s">
        <v>901</v>
      </c>
      <c r="F7" s="10">
        <v>1</v>
      </c>
      <c r="G7" s="10" t="s">
        <v>73</v>
      </c>
      <c r="H7" s="10" t="s">
        <v>74</v>
      </c>
      <c r="I7" s="10" t="s">
        <v>75</v>
      </c>
      <c r="J7" s="10">
        <v>185</v>
      </c>
      <c r="K7" s="12">
        <v>44930</v>
      </c>
      <c r="L7" s="33">
        <v>0.43990740740740741</v>
      </c>
      <c r="M7" s="10">
        <v>1</v>
      </c>
      <c r="N7" s="10" t="s">
        <v>76</v>
      </c>
      <c r="O7" s="10">
        <v>5.34</v>
      </c>
      <c r="P7" s="10">
        <v>0.41899999999999998</v>
      </c>
      <c r="Q7" s="10">
        <v>300</v>
      </c>
      <c r="R7" s="10" t="s">
        <v>77</v>
      </c>
      <c r="S7" s="34">
        <f t="shared" si="0"/>
        <v>300</v>
      </c>
      <c r="T7" s="10" t="s">
        <v>953</v>
      </c>
      <c r="U7" s="34" t="str">
        <f t="shared" si="6"/>
        <v/>
      </c>
      <c r="V7" s="31" t="str">
        <f>IF(H7="CHK",VLOOKUP(I7,QCCHK,3,),IF(H7="GUP",VLOOKUP(E7,QCGUP,2,),IF(AND(H7="ATP",OR(I7="TN",I7="TDN",I7="TNO2-3",I7="NO2-3")),VLOOKUP(E7,QCREC_N,2,),IF(AND(H7="NIC",OR(I7="TN",I7="TDN",I7="TNO2-3",I7="NO2-3")),VLOOKUP(E7,QCNIC_N,2,),IF(AND(H7="UREA",OR(I7="TN",I7="TDN",I7="TNO2-3",I7="NO2-3")),VLOOKUP(E7,QCUREA_N,2,),IF(H7="PER",VLOOKUP(I7,QCPER,MATCH(E7,QCACTUAL!$J$25:$AA$25,0),),IF(H7="SPK",VLOOKUP(I7,QCSPK,3,),IF(AND(H7="ATP",OR(I7="TP",I7="TDP")),VLOOKUP(E7,QCATP_P,2,),""))))))))</f>
        <v/>
      </c>
      <c r="W7" s="31" t="str">
        <f t="shared" si="1"/>
        <v>TRUE</v>
      </c>
      <c r="X7" s="31" t="str">
        <f t="shared" si="2"/>
        <v/>
      </c>
      <c r="Y7" s="10" t="s">
        <v>949</v>
      </c>
      <c r="AL7" s="10" t="str">
        <f t="shared" si="3"/>
        <v>FALSE</v>
      </c>
      <c r="AM7" s="10" t="str">
        <f t="shared" si="3"/>
        <v>FALSE</v>
      </c>
      <c r="AN7" s="10" t="str">
        <f t="shared" si="3"/>
        <v>FALSE</v>
      </c>
      <c r="AO7" s="10" t="str">
        <f t="shared" si="4"/>
        <v>FALSE</v>
      </c>
      <c r="AP7" s="10" t="str">
        <f t="shared" si="4"/>
        <v>FALSE</v>
      </c>
      <c r="AQ7" s="10" t="b">
        <f>IF(AND(I7="TP",S7&lt;=150),VLOOKUP(AF7,TPCalibEq150!$AZ$2:$BB$55,3,),IF(AND(I7="TDP",S7&lt;=150),VLOOKUP(AF7,TPCalibEq150!$AZ$2:$BB$55,3,)))</f>
        <v>0</v>
      </c>
      <c r="AR7" s="10" t="b">
        <f>IF(AND(I7="TP",S7&lt;=300),VLOOKUP(AF7,TPCalibEq300!$AZ$2:$BB$55,3,),IF(AND(I7="TDP",S7&lt;=300),VLOOKUP(AF7,TPCalibEq300!$AZ$2:$BB$55,3,)))</f>
        <v>0</v>
      </c>
      <c r="AS7" s="10" t="b">
        <f>IF(AND(I7="TP",S7&lt;=500),VLOOKUP(AF7,TPCalibEq500!$AZ$2:$BB$56,3,),IF(AND(I7="TDP",S7&lt;=500),VLOOKUP(AF7,TPCalibEq500!$AZ$2:$BB$56,3,)))</f>
        <v>0</v>
      </c>
      <c r="AT7" s="10" t="b">
        <f>IF(AND(I7="TN",S7&lt;=2800),VLOOKUP(AF7,TNCalibEq2500!$AZ$2:$BB$56,3,),IF(AND(I7="TDN",S7&lt;=2800),VLOOKUP(AF7,TNCalibEq2500!$AZ$2:$BB$56,3,)))</f>
        <v>0</v>
      </c>
      <c r="AU7" s="10" t="b">
        <f>IF(I7="TP",VLOOKUP(AF7,TPCalibEqFull!$AZ$2:$BB$56,3),IF(I7="TDP",VLOOKUP(AF7,TPCalibEqFull!$AZ$2:$BB$56,3),IF(I7="TDN",VLOOKUP(AF7,TNCalibEqFull!$AZ$1:$BB$56,3),IF(I7="TN",VLOOKUP(AF7,TNCalibEqFull!$AZ$1:$BB$56,3),FALSE))))</f>
        <v>0</v>
      </c>
      <c r="AV7" s="10" t="str">
        <f t="shared" si="5"/>
        <v>0104 09:00:00-QAC-STD-D-1-DI-CAL</v>
      </c>
    </row>
    <row r="8" spans="1:48" s="10" customFormat="1" x14ac:dyDescent="0.55000000000000004">
      <c r="A8" s="32">
        <v>44930</v>
      </c>
      <c r="B8" s="33">
        <v>0.375</v>
      </c>
      <c r="C8" s="10" t="s">
        <v>70</v>
      </c>
      <c r="D8" s="10" t="s">
        <v>71</v>
      </c>
      <c r="E8" s="10" t="s">
        <v>190</v>
      </c>
      <c r="F8" s="10">
        <v>1</v>
      </c>
      <c r="G8" s="10" t="s">
        <v>73</v>
      </c>
      <c r="H8" s="10" t="s">
        <v>74</v>
      </c>
      <c r="I8" s="10" t="s">
        <v>75</v>
      </c>
      <c r="J8" s="10">
        <v>186</v>
      </c>
      <c r="K8" s="12">
        <v>44930</v>
      </c>
      <c r="L8" s="33">
        <v>0.44074074074074071</v>
      </c>
      <c r="M8" s="10">
        <v>1</v>
      </c>
      <c r="N8" s="10" t="s">
        <v>76</v>
      </c>
      <c r="O8" s="10">
        <v>10.9</v>
      </c>
      <c r="P8" s="10">
        <v>0.86</v>
      </c>
      <c r="Q8" s="10">
        <v>600</v>
      </c>
      <c r="R8" s="10" t="s">
        <v>77</v>
      </c>
      <c r="S8" s="34">
        <f t="shared" si="0"/>
        <v>600</v>
      </c>
      <c r="T8" s="10" t="s">
        <v>954</v>
      </c>
      <c r="U8" s="34" t="str">
        <f t="shared" si="6"/>
        <v/>
      </c>
      <c r="V8" s="31" t="str">
        <f>IF(H8="CHK",VLOOKUP(I8,QCCHK,3,),IF(H8="GUP",VLOOKUP(E8,QCGUP,2,),IF(AND(H8="ATP",OR(I8="TN",I8="TDN",I8="TNO2-3",I8="NO2-3")),VLOOKUP(E8,QCREC_N,2,),IF(AND(H8="NIC",OR(I8="TN",I8="TDN",I8="TNO2-3",I8="NO2-3")),VLOOKUP(E8,QCNIC_N,2,),IF(AND(H8="UREA",OR(I8="TN",I8="TDN",I8="TNO2-3",I8="NO2-3")),VLOOKUP(E8,QCUREA_N,2,),IF(H8="PER",VLOOKUP(I8,QCPER,MATCH(E8,QCACTUAL!$J$25:$AA$25,0),),IF(H8="SPK",VLOOKUP(I8,QCSPK,3,),IF(AND(H8="ATP",OR(I8="TP",I8="TDP")),VLOOKUP(E8,QCATP_P,2,),""))))))))</f>
        <v/>
      </c>
      <c r="W8" s="31" t="str">
        <f t="shared" si="1"/>
        <v>TRUE</v>
      </c>
      <c r="X8" s="31" t="str">
        <f t="shared" si="2"/>
        <v/>
      </c>
      <c r="Y8" s="10" t="s">
        <v>949</v>
      </c>
      <c r="AL8" s="10" t="str">
        <f t="shared" si="3"/>
        <v>FALSE</v>
      </c>
      <c r="AM8" s="10" t="str">
        <f t="shared" si="3"/>
        <v>FALSE</v>
      </c>
      <c r="AN8" s="10" t="str">
        <f t="shared" si="3"/>
        <v>FALSE</v>
      </c>
      <c r="AO8" s="10" t="str">
        <f t="shared" si="4"/>
        <v>FALSE</v>
      </c>
      <c r="AP8" s="10" t="str">
        <f t="shared" si="4"/>
        <v>FALSE</v>
      </c>
      <c r="AQ8" s="10" t="b">
        <f>IF(AND(I8="TP",S8&lt;=150),VLOOKUP(AF8,TPCalibEq150!$AZ$2:$BB$55,3,),IF(AND(I8="TDP",S8&lt;=150),VLOOKUP(AF8,TPCalibEq150!$AZ$2:$BB$55,3,)))</f>
        <v>0</v>
      </c>
      <c r="AR8" s="10" t="b">
        <f>IF(AND(I8="TP",S8&lt;=300),VLOOKUP(AF8,TPCalibEq300!$AZ$2:$BB$55,3,),IF(AND(I8="TDP",S8&lt;=300),VLOOKUP(AF8,TPCalibEq300!$AZ$2:$BB$55,3,)))</f>
        <v>0</v>
      </c>
      <c r="AS8" s="10" t="b">
        <f>IF(AND(I8="TP",S8&lt;=500),VLOOKUP(AF8,TPCalibEq500!$AZ$2:$BB$56,3,),IF(AND(I8="TDP",S8&lt;=500),VLOOKUP(AF8,TPCalibEq500!$AZ$2:$BB$56,3,)))</f>
        <v>0</v>
      </c>
      <c r="AT8" s="10" t="b">
        <f>IF(AND(I8="TN",S8&lt;=2800),VLOOKUP(AF8,TNCalibEq2500!$AZ$2:$BB$56,3,),IF(AND(I8="TDN",S8&lt;=2800),VLOOKUP(AF8,TNCalibEq2500!$AZ$2:$BB$56,3,)))</f>
        <v>0</v>
      </c>
      <c r="AU8" s="10" t="b">
        <f>IF(I8="TP",VLOOKUP(AF8,TPCalibEqFull!$AZ$2:$BB$56,3),IF(I8="TDP",VLOOKUP(AF8,TPCalibEqFull!$AZ$2:$BB$56,3),IF(I8="TDN",VLOOKUP(AF8,TNCalibEqFull!$AZ$1:$BB$56,3),IF(I8="TN",VLOOKUP(AF8,TNCalibEqFull!$AZ$1:$BB$56,3),FALSE))))</f>
        <v>0</v>
      </c>
      <c r="AV8" s="10" t="str">
        <f t="shared" si="5"/>
        <v>0104 09:00:00-QAC-STD-C-1-DI-CAL</v>
      </c>
    </row>
    <row r="9" spans="1:48" s="10" customFormat="1" x14ac:dyDescent="0.55000000000000004">
      <c r="A9" s="32">
        <v>44930</v>
      </c>
      <c r="B9" s="33">
        <v>0.375</v>
      </c>
      <c r="C9" s="10" t="s">
        <v>70</v>
      </c>
      <c r="D9" s="10" t="s">
        <v>71</v>
      </c>
      <c r="E9" s="10" t="s">
        <v>583</v>
      </c>
      <c r="F9" s="10">
        <v>1</v>
      </c>
      <c r="G9" s="10" t="s">
        <v>73</v>
      </c>
      <c r="H9" s="10" t="s">
        <v>74</v>
      </c>
      <c r="I9" s="10" t="s">
        <v>75</v>
      </c>
      <c r="J9" s="10">
        <v>187</v>
      </c>
      <c r="K9" s="12">
        <v>44930</v>
      </c>
      <c r="L9" s="33">
        <v>0.44162037037037033</v>
      </c>
      <c r="M9" s="10">
        <v>1</v>
      </c>
      <c r="N9" s="10" t="s">
        <v>76</v>
      </c>
      <c r="O9" s="10">
        <v>21.8</v>
      </c>
      <c r="P9" s="10">
        <v>1.73</v>
      </c>
      <c r="Q9" s="10">
        <v>1200</v>
      </c>
      <c r="R9" s="10" t="s">
        <v>77</v>
      </c>
      <c r="S9" s="34">
        <f t="shared" si="0"/>
        <v>1200</v>
      </c>
      <c r="T9" s="10" t="s">
        <v>955</v>
      </c>
      <c r="U9" s="34" t="str">
        <f t="shared" si="6"/>
        <v/>
      </c>
      <c r="V9" s="31" t="str">
        <f>IF(H9="CHK",VLOOKUP(I9,QCCHK,3,),IF(H9="GUP",VLOOKUP(E9,QCGUP,2,),IF(AND(H9="ATP",OR(I9="TN",I9="TDN",I9="TNO2-3",I9="NO2-3")),VLOOKUP(E9,QCREC_N,2,),IF(AND(H9="NIC",OR(I9="TN",I9="TDN",I9="TNO2-3",I9="NO2-3")),VLOOKUP(E9,QCNIC_N,2,),IF(AND(H9="UREA",OR(I9="TN",I9="TDN",I9="TNO2-3",I9="NO2-3")),VLOOKUP(E9,QCUREA_N,2,),IF(H9="PER",VLOOKUP(I9,QCPER,MATCH(E9,QCACTUAL!$J$25:$AA$25,0),),IF(H9="SPK",VLOOKUP(I9,QCSPK,3,),IF(AND(H9="ATP",OR(I9="TP",I9="TDP")),VLOOKUP(E9,QCATP_P,2,),""))))))))</f>
        <v/>
      </c>
      <c r="W9" s="31" t="str">
        <f t="shared" si="1"/>
        <v>TRUE</v>
      </c>
      <c r="X9" s="31" t="str">
        <f t="shared" si="2"/>
        <v/>
      </c>
      <c r="Y9" s="10" t="s">
        <v>949</v>
      </c>
      <c r="AL9" s="10" t="str">
        <f t="shared" si="3"/>
        <v>FALSE</v>
      </c>
      <c r="AM9" s="10" t="str">
        <f t="shared" si="3"/>
        <v>FALSE</v>
      </c>
      <c r="AN9" s="10" t="str">
        <f t="shared" si="3"/>
        <v>FALSE</v>
      </c>
      <c r="AO9" s="10" t="str">
        <f t="shared" si="4"/>
        <v>FALSE</v>
      </c>
      <c r="AP9" s="10" t="str">
        <f t="shared" si="4"/>
        <v>FALSE</v>
      </c>
      <c r="AQ9" s="10" t="b">
        <f>IF(AND(I9="TP",S9&lt;=150),VLOOKUP(AF9,TPCalibEq150!$AZ$2:$BB$55,3,),IF(AND(I9="TDP",S9&lt;=150),VLOOKUP(AF9,TPCalibEq150!$AZ$2:$BB$55,3,)))</f>
        <v>0</v>
      </c>
      <c r="AR9" s="10" t="b">
        <f>IF(AND(I9="TP",S9&lt;=300),VLOOKUP(AF9,TPCalibEq300!$AZ$2:$BB$55,3,),IF(AND(I9="TDP",S9&lt;=300),VLOOKUP(AF9,TPCalibEq300!$AZ$2:$BB$55,3,)))</f>
        <v>0</v>
      </c>
      <c r="AS9" s="10" t="b">
        <f>IF(AND(I9="TP",S9&lt;=500),VLOOKUP(AF9,TPCalibEq500!$AZ$2:$BB$56,3,),IF(AND(I9="TDP",S9&lt;=500),VLOOKUP(AF9,TPCalibEq500!$AZ$2:$BB$56,3,)))</f>
        <v>0</v>
      </c>
      <c r="AT9" s="10" t="b">
        <f>IF(AND(I9="TN",S9&lt;=2800),VLOOKUP(AF9,TNCalibEq2500!$AZ$2:$BB$56,3,),IF(AND(I9="TDN",S9&lt;=2800),VLOOKUP(AF9,TNCalibEq2500!$AZ$2:$BB$56,3,)))</f>
        <v>0</v>
      </c>
      <c r="AU9" s="10" t="b">
        <f>IF(I9="TP",VLOOKUP(AF9,TPCalibEqFull!$AZ$2:$BB$56,3),IF(I9="TDP",VLOOKUP(AF9,TPCalibEqFull!$AZ$2:$BB$56,3),IF(I9="TDN",VLOOKUP(AF9,TNCalibEqFull!$AZ$1:$BB$56,3),IF(I9="TN",VLOOKUP(AF9,TNCalibEqFull!$AZ$1:$BB$56,3),FALSE))))</f>
        <v>0</v>
      </c>
      <c r="AV9" s="10" t="str">
        <f t="shared" si="5"/>
        <v>0104 09:00:00-QAC-STD-B-1-DI-CAL</v>
      </c>
    </row>
    <row r="10" spans="1:48" s="10" customFormat="1" x14ac:dyDescent="0.55000000000000004">
      <c r="A10" s="32">
        <v>44930</v>
      </c>
      <c r="B10" s="33">
        <v>0.375</v>
      </c>
      <c r="C10" s="10" t="s">
        <v>70</v>
      </c>
      <c r="D10" s="10" t="s">
        <v>71</v>
      </c>
      <c r="E10" s="10" t="s">
        <v>866</v>
      </c>
      <c r="F10" s="10">
        <v>1</v>
      </c>
      <c r="G10" s="10" t="s">
        <v>73</v>
      </c>
      <c r="H10" s="10" t="s">
        <v>74</v>
      </c>
      <c r="I10" s="10" t="s">
        <v>75</v>
      </c>
      <c r="J10" s="10">
        <v>188</v>
      </c>
      <c r="K10" s="12">
        <v>44930</v>
      </c>
      <c r="L10" s="33">
        <v>0.44238425925925928</v>
      </c>
      <c r="M10" s="10">
        <v>1</v>
      </c>
      <c r="N10" s="10" t="s">
        <v>76</v>
      </c>
      <c r="O10" s="10">
        <v>36.700000000000003</v>
      </c>
      <c r="P10" s="10">
        <v>2.89</v>
      </c>
      <c r="Q10" s="10">
        <v>2000</v>
      </c>
      <c r="R10" s="10" t="s">
        <v>77</v>
      </c>
      <c r="S10" s="34">
        <f t="shared" si="0"/>
        <v>2000</v>
      </c>
      <c r="T10" s="10" t="s">
        <v>956</v>
      </c>
      <c r="U10" s="34" t="str">
        <f t="shared" si="6"/>
        <v/>
      </c>
      <c r="V10" s="31" t="str">
        <f>IF(H10="CHK",VLOOKUP(I10,QCCHK,3,),IF(H10="GUP",VLOOKUP(E10,QCGUP,2,),IF(AND(H10="ATP",OR(I10="TN",I10="TDN",I10="TNO2-3",I10="NO2-3")),VLOOKUP(E10,QCREC_N,2,),IF(AND(H10="NIC",OR(I10="TN",I10="TDN",I10="TNO2-3",I10="NO2-3")),VLOOKUP(E10,QCNIC_N,2,),IF(AND(H10="UREA",OR(I10="TN",I10="TDN",I10="TNO2-3",I10="NO2-3")),VLOOKUP(E10,QCUREA_N,2,),IF(H10="PER",VLOOKUP(I10,QCPER,MATCH(E10,QCACTUAL!$J$25:$AA$25,0),),IF(H10="SPK",VLOOKUP(I10,QCSPK,3,),IF(AND(H10="ATP",OR(I10="TP",I10="TDP")),VLOOKUP(E10,QCATP_P,2,),""))))))))</f>
        <v/>
      </c>
      <c r="W10" s="31" t="str">
        <f t="shared" si="1"/>
        <v>TRUE</v>
      </c>
      <c r="X10" s="31" t="str">
        <f t="shared" si="2"/>
        <v/>
      </c>
      <c r="Y10" s="10" t="s">
        <v>949</v>
      </c>
      <c r="AL10" s="10" t="str">
        <f t="shared" si="3"/>
        <v>FALSE</v>
      </c>
      <c r="AM10" s="10" t="str">
        <f t="shared" si="3"/>
        <v>FALSE</v>
      </c>
      <c r="AN10" s="10" t="str">
        <f t="shared" si="3"/>
        <v>FALSE</v>
      </c>
      <c r="AO10" s="10" t="str">
        <f t="shared" si="4"/>
        <v>FALSE</v>
      </c>
      <c r="AP10" s="10" t="str">
        <f t="shared" si="4"/>
        <v>FALSE</v>
      </c>
      <c r="AQ10" s="10" t="b">
        <f>IF(AND(I10="TP",S10&lt;=150),VLOOKUP(AF10,TPCalibEq150!$AZ$2:$BB$55,3,),IF(AND(I10="TDP",S10&lt;=150),VLOOKUP(AF10,TPCalibEq150!$AZ$2:$BB$55,3,)))</f>
        <v>0</v>
      </c>
      <c r="AR10" s="10" t="b">
        <f>IF(AND(I10="TP",S10&lt;=300),VLOOKUP(AF10,TPCalibEq300!$AZ$2:$BB$55,3,),IF(AND(I10="TDP",S10&lt;=300),VLOOKUP(AF10,TPCalibEq300!$AZ$2:$BB$55,3,)))</f>
        <v>0</v>
      </c>
      <c r="AS10" s="10" t="b">
        <f>IF(AND(I10="TP",S10&lt;=500),VLOOKUP(AF10,TPCalibEq500!$AZ$2:$BB$56,3,),IF(AND(I10="TDP",S10&lt;=500),VLOOKUP(AF10,TPCalibEq500!$AZ$2:$BB$56,3,)))</f>
        <v>0</v>
      </c>
      <c r="AT10" s="10" t="b">
        <f>IF(AND(I10="TN",S10&lt;=2800),VLOOKUP(AF10,TNCalibEq2500!$AZ$2:$BB$56,3,),IF(AND(I10="TDN",S10&lt;=2800),VLOOKUP(AF10,TNCalibEq2500!$AZ$2:$BB$56,3,)))</f>
        <v>0</v>
      </c>
      <c r="AU10" s="10" t="b">
        <f>IF(I10="TP",VLOOKUP(AF10,TPCalibEqFull!$AZ$2:$BB$56,3),IF(I10="TDP",VLOOKUP(AF10,TPCalibEqFull!$AZ$2:$BB$56,3),IF(I10="TDN",VLOOKUP(AF10,TNCalibEqFull!$AZ$1:$BB$56,3),IF(I10="TN",VLOOKUP(AF10,TNCalibEqFull!$AZ$1:$BB$56,3),FALSE))))</f>
        <v>0</v>
      </c>
      <c r="AV10" s="10" t="str">
        <f t="shared" si="5"/>
        <v>0104 09:00:00-QAC-STD-A-1-DI-CAL</v>
      </c>
    </row>
    <row r="11" spans="1:48" s="10" customFormat="1" x14ac:dyDescent="0.55000000000000004">
      <c r="A11" s="32">
        <v>44930</v>
      </c>
      <c r="B11" s="33">
        <v>0.375</v>
      </c>
      <c r="C11" s="10" t="s">
        <v>70</v>
      </c>
      <c r="D11" s="10" t="s">
        <v>241</v>
      </c>
      <c r="E11" s="10" t="s">
        <v>866</v>
      </c>
      <c r="F11" s="10">
        <v>1</v>
      </c>
      <c r="G11" s="10" t="s">
        <v>73</v>
      </c>
      <c r="H11" s="10" t="s">
        <v>283</v>
      </c>
      <c r="I11" s="10" t="s">
        <v>75</v>
      </c>
      <c r="J11" s="10">
        <v>198</v>
      </c>
      <c r="K11" s="12">
        <v>44930</v>
      </c>
      <c r="L11" s="33">
        <v>0.44400462962962961</v>
      </c>
      <c r="M11" s="10">
        <v>1</v>
      </c>
      <c r="N11" s="10" t="s">
        <v>76</v>
      </c>
      <c r="O11" s="10">
        <v>0.20300000000000001</v>
      </c>
      <c r="P11" s="10">
        <v>1.2E-2</v>
      </c>
      <c r="Q11" s="10">
        <v>11.5</v>
      </c>
      <c r="R11" s="10" t="s">
        <v>77</v>
      </c>
      <c r="S11" s="34">
        <f t="shared" si="0"/>
        <v>11.5</v>
      </c>
      <c r="T11" s="10" t="s">
        <v>956</v>
      </c>
      <c r="U11" s="34">
        <f t="shared" si="6"/>
        <v>11.5</v>
      </c>
      <c r="V11" s="31" t="str">
        <f>IF(H11="CHK",VLOOKUP(I11,QCCHK,3,),IF(H11="GUP",VLOOKUP(E11,QCGUP,2,),IF(AND(H11="ATP",OR(I11="TN",I11="TDN",I11="TNO2-3",I11="NO2-3")),VLOOKUP(E11,QCREC_N,2,),IF(AND(H11="NIC",OR(I11="TN",I11="TDN",I11="TNO2-3",I11="NO2-3")),VLOOKUP(E11,QCNIC_N,2,),IF(AND(H11="UREA",OR(I11="TN",I11="TDN",I11="TNO2-3",I11="NO2-3")),VLOOKUP(E11,QCUREA_N,2,),IF(H11="PER",VLOOKUP(I11,QCPER,MATCH(E11,QCACTUAL!$J$25:$AA$25,0),),IF(H11="SPK",VLOOKUP(I11,QCSPK,3,),IF(AND(H11="ATP",OR(I11="TP",I11="TDP")),VLOOKUP(E11,QCATP_P,2,),""))))))))</f>
        <v/>
      </c>
      <c r="W11" s="31" t="str">
        <f t="shared" si="1"/>
        <v>TRUE</v>
      </c>
      <c r="X11" s="31" t="str">
        <f t="shared" si="2"/>
        <v>nominal concentration</v>
      </c>
      <c r="Y11" s="10" t="s">
        <v>949</v>
      </c>
      <c r="AL11" s="10" t="str">
        <f t="shared" si="3"/>
        <v>FALSE</v>
      </c>
      <c r="AM11" s="10" t="str">
        <f t="shared" si="3"/>
        <v>FALSE</v>
      </c>
      <c r="AN11" s="10" t="str">
        <f t="shared" si="3"/>
        <v>FALSE</v>
      </c>
      <c r="AO11" s="10" t="str">
        <f t="shared" si="4"/>
        <v>FALSE</v>
      </c>
      <c r="AP11" s="10" t="str">
        <f t="shared" si="4"/>
        <v>FALSE</v>
      </c>
      <c r="AQ11" s="10" t="b">
        <f>IF(AND(I11="TP",S11&lt;=150),VLOOKUP(AF11,TPCalibEq150!$AZ$2:$BB$55,3,),IF(AND(I11="TDP",S11&lt;=150),VLOOKUP(AF11,TPCalibEq150!$AZ$2:$BB$55,3,)))</f>
        <v>0</v>
      </c>
      <c r="AR11" s="10" t="b">
        <f>IF(AND(I11="TP",S11&lt;=300),VLOOKUP(AF11,TPCalibEq300!$AZ$2:$BB$55,3,),IF(AND(I11="TDP",S11&lt;=300),VLOOKUP(AF11,TPCalibEq300!$AZ$2:$BB$55,3,)))</f>
        <v>0</v>
      </c>
      <c r="AS11" s="10" t="b">
        <f>IF(AND(I11="TP",S11&lt;=500),VLOOKUP(AF11,TPCalibEq500!$AZ$2:$BB$56,3,),IF(AND(I11="TDP",S11&lt;=500),VLOOKUP(AF11,TPCalibEq500!$AZ$2:$BB$56,3,)))</f>
        <v>0</v>
      </c>
      <c r="AT11" s="10" t="b">
        <f>IF(AND(I11="TN",S11&lt;=2800),VLOOKUP(AF11,TNCalibEq2500!$AZ$2:$BB$56,3,),IF(AND(I11="TDN",S11&lt;=2800),VLOOKUP(AF11,TNCalibEq2500!$AZ$2:$BB$56,3,)))</f>
        <v>0</v>
      </c>
      <c r="AU11" s="10" t="b">
        <f>IF(I11="TP",VLOOKUP(AF11,TPCalibEqFull!$AZ$2:$BB$56,3),IF(I11="TDP",VLOOKUP(AF11,TPCalibEqFull!$AZ$2:$BB$56,3),IF(I11="TDN",VLOOKUP(AF11,TNCalibEqFull!$AZ$1:$BB$56,3),IF(I11="TN",VLOOKUP(AF11,TNCalibEqFull!$AZ$1:$BB$56,3),FALSE))))</f>
        <v>0</v>
      </c>
      <c r="AV11" s="10" t="str">
        <f t="shared" si="5"/>
        <v>0104 09:00:00-QAC-BLK-A-1-DI-LAB</v>
      </c>
    </row>
    <row r="12" spans="1:48" s="10" customFormat="1" x14ac:dyDescent="0.55000000000000004">
      <c r="A12" s="32">
        <v>44930</v>
      </c>
      <c r="B12" s="33">
        <v>0.375</v>
      </c>
      <c r="C12" s="10" t="s">
        <v>70</v>
      </c>
      <c r="D12" s="10" t="s">
        <v>241</v>
      </c>
      <c r="E12" s="10" t="s">
        <v>866</v>
      </c>
      <c r="F12" s="10">
        <v>1</v>
      </c>
      <c r="G12" s="10" t="s">
        <v>73</v>
      </c>
      <c r="H12" s="10" t="s">
        <v>314</v>
      </c>
      <c r="I12" s="10" t="s">
        <v>75</v>
      </c>
      <c r="J12" s="10">
        <v>225</v>
      </c>
      <c r="K12" s="12">
        <v>44930</v>
      </c>
      <c r="L12" s="33">
        <v>0.44483796296296302</v>
      </c>
      <c r="M12" s="10">
        <v>1</v>
      </c>
      <c r="N12" s="10" t="s">
        <v>76</v>
      </c>
      <c r="O12" s="10">
        <v>14.6</v>
      </c>
      <c r="P12" s="10">
        <v>1.1499999999999999</v>
      </c>
      <c r="Q12" s="10">
        <v>815</v>
      </c>
      <c r="R12" s="10" t="s">
        <v>77</v>
      </c>
      <c r="S12" s="34">
        <f t="shared" si="0"/>
        <v>815</v>
      </c>
      <c r="T12" s="10" t="s">
        <v>956</v>
      </c>
      <c r="U12" s="34">
        <f t="shared" si="6"/>
        <v>128.56</v>
      </c>
      <c r="V12" s="31">
        <f>IF(H12="CHK",VLOOKUP(I12,QCCHK,3,),IF(H12="GUP",VLOOKUP(E12,QCGUP,2,),IF(AND(H12="ATP",OR(I12="TN",I12="TDN",I12="TNO2-3",I12="NO2-3")),VLOOKUP(E12,QCREC_N,2,),IF(AND(H12="NIC",OR(I12="TN",I12="TDN",I12="TNO2-3",I12="NO2-3")),VLOOKUP(E12,QCNIC_N,2,),IF(AND(H12="UREA",OR(I12="TN",I12="TDN",I12="TNO2-3",I12="NO2-3")),VLOOKUP(E12,QCUREA_N,2,),IF(H12="PER",VLOOKUP(I12,QCPER,MATCH(E12,QCACTUAL!$J$25:$AA$25,0),),IF(H12="SPK",VLOOKUP(I12,QCSPK,3,),IF(AND(H12="ATP",OR(I12="TP",I12="TDP")),VLOOKUP(E12,QCATP_P,2,),""))))))))</f>
        <v>625</v>
      </c>
      <c r="W12" s="31" t="str">
        <f t="shared" si="1"/>
        <v>FALSE</v>
      </c>
      <c r="X12" s="31" t="str">
        <f t="shared" si="2"/>
        <v>([spikedunkn]-[unkn])/[spike]*100</v>
      </c>
      <c r="Y12" s="10" t="s">
        <v>949</v>
      </c>
      <c r="AL12" s="10" t="str">
        <f t="shared" si="3"/>
        <v>FALSE</v>
      </c>
      <c r="AM12" s="10" t="str">
        <f t="shared" si="3"/>
        <v>FALSE</v>
      </c>
      <c r="AN12" s="10" t="str">
        <f t="shared" si="3"/>
        <v>FALSE</v>
      </c>
      <c r="AO12" s="10" t="str">
        <f t="shared" si="4"/>
        <v>FALSE</v>
      </c>
      <c r="AP12" s="10" t="str">
        <f t="shared" si="4"/>
        <v>FALSE</v>
      </c>
      <c r="AQ12" s="10" t="b">
        <f>IF(AND(I12="TP",S12&lt;=150),VLOOKUP(AF12,TPCalibEq150!$AZ$2:$BB$55,3,),IF(AND(I12="TDP",S12&lt;=150),VLOOKUP(AF12,TPCalibEq150!$AZ$2:$BB$55,3,)))</f>
        <v>0</v>
      </c>
      <c r="AR12" s="10" t="b">
        <f>IF(AND(I12="TP",S12&lt;=300),VLOOKUP(AF12,TPCalibEq300!$AZ$2:$BB$55,3,),IF(AND(I12="TDP",S12&lt;=300),VLOOKUP(AF12,TPCalibEq300!$AZ$2:$BB$55,3,)))</f>
        <v>0</v>
      </c>
      <c r="AS12" s="10" t="b">
        <f>IF(AND(I12="TP",S12&lt;=500),VLOOKUP(AF12,TPCalibEq500!$AZ$2:$BB$56,3,),IF(AND(I12="TDP",S12&lt;=500),VLOOKUP(AF12,TPCalibEq500!$AZ$2:$BB$56,3,)))</f>
        <v>0</v>
      </c>
      <c r="AT12" s="10" t="b">
        <f>IF(AND(I12="TN",S12&lt;=2800),VLOOKUP(AF12,TNCalibEq2500!$AZ$2:$BB$56,3,),IF(AND(I12="TDN",S12&lt;=2800),VLOOKUP(AF12,TNCalibEq2500!$AZ$2:$BB$56,3,)))</f>
        <v>0</v>
      </c>
      <c r="AU12" s="10" t="b">
        <f>IF(I12="TP",VLOOKUP(AF12,TPCalibEqFull!$AZ$2:$BB$56,3),IF(I12="TDP",VLOOKUP(AF12,TPCalibEqFull!$AZ$2:$BB$56,3),IF(I12="TDN",VLOOKUP(AF12,TNCalibEqFull!$AZ$1:$BB$56,3),IF(I12="TN",VLOOKUP(AF12,TNCalibEqFull!$AZ$1:$BB$56,3),FALSE))))</f>
        <v>0</v>
      </c>
      <c r="AV12" s="10" t="str">
        <f t="shared" si="5"/>
        <v>0104 09:00:00-QAC-BLK-A-1-DI-SPK</v>
      </c>
    </row>
    <row r="13" spans="1:48" s="10" customFormat="1" x14ac:dyDescent="0.55000000000000004">
      <c r="A13" s="32">
        <v>44930</v>
      </c>
      <c r="B13" s="33">
        <v>0.375</v>
      </c>
      <c r="C13" s="10" t="s">
        <v>70</v>
      </c>
      <c r="D13" s="10" t="s">
        <v>71</v>
      </c>
      <c r="E13" s="10" t="s">
        <v>948</v>
      </c>
      <c r="F13" s="10">
        <v>1</v>
      </c>
      <c r="G13" s="10" t="s">
        <v>73</v>
      </c>
      <c r="H13" s="10" t="s">
        <v>299</v>
      </c>
      <c r="I13" s="10" t="s">
        <v>75</v>
      </c>
      <c r="J13" s="10">
        <v>197</v>
      </c>
      <c r="K13" s="12">
        <v>44930</v>
      </c>
      <c r="L13" s="33">
        <v>0.44565972222222222</v>
      </c>
      <c r="M13" s="10">
        <v>1</v>
      </c>
      <c r="N13" s="10" t="s">
        <v>76</v>
      </c>
      <c r="O13" s="10">
        <v>19.3</v>
      </c>
      <c r="P13" s="10">
        <v>1.52</v>
      </c>
      <c r="Q13" s="10">
        <v>1070</v>
      </c>
      <c r="R13" s="10" t="s">
        <v>77</v>
      </c>
      <c r="S13" s="34">
        <f t="shared" si="0"/>
        <v>1070</v>
      </c>
      <c r="T13" s="10" t="s">
        <v>956</v>
      </c>
      <c r="U13" s="34">
        <f t="shared" si="6"/>
        <v>101.9047619047619</v>
      </c>
      <c r="V13" s="31">
        <f>IF(H13="CHK",VLOOKUP(I13,QCCHK,3,),IF(H13="GUP",VLOOKUP(E13,QCGUP,2,),IF(AND(H13="ATP",OR(I13="TN",I13="TDN",I13="TNO2-3",I13="NO2-3")),VLOOKUP(E13,QCREC_N,2,),IF(AND(H13="NIC",OR(I13="TN",I13="TDN",I13="TNO2-3",I13="NO2-3")),VLOOKUP(E13,QCNIC_N,2,),IF(AND(H13="UREA",OR(I13="TN",I13="TDN",I13="TNO2-3",I13="NO2-3")),VLOOKUP(E13,QCUREA_N,2,),IF(H13="PER",VLOOKUP(I13,QCPER,MATCH(E13,QCACTUAL!$J$25:$AA$25,0),),IF(H13="SPK",VLOOKUP(I13,QCSPK,3,),IF(AND(H13="ATP",OR(I13="TP",I13="TDP")),VLOOKUP(E13,QCATP_P,2,),""))))))))</f>
        <v>1050</v>
      </c>
      <c r="W13" s="31" t="str">
        <f t="shared" si="1"/>
        <v>TRUE</v>
      </c>
      <c r="X13" s="31" t="str">
        <f t="shared" si="2"/>
        <v>[per]/[actual]*100</v>
      </c>
      <c r="Y13" s="10" t="s">
        <v>949</v>
      </c>
      <c r="AL13" s="10" t="str">
        <f t="shared" si="3"/>
        <v>FALSE</v>
      </c>
      <c r="AM13" s="10" t="str">
        <f t="shared" si="3"/>
        <v>FALSE</v>
      </c>
      <c r="AN13" s="10" t="str">
        <f t="shared" si="3"/>
        <v>FALSE</v>
      </c>
      <c r="AO13" s="10" t="str">
        <f t="shared" si="4"/>
        <v>FALSE</v>
      </c>
      <c r="AP13" s="10" t="str">
        <f t="shared" si="4"/>
        <v>FALSE</v>
      </c>
      <c r="AQ13" s="10" t="b">
        <f>IF(AND(I13="TP",S13&lt;=150),VLOOKUP(AF13,TPCalibEq150!$AZ$2:$BB$55,3,),IF(AND(I13="TDP",S13&lt;=150),VLOOKUP(AF13,TPCalibEq150!$AZ$2:$BB$55,3,)))</f>
        <v>0</v>
      </c>
      <c r="AR13" s="10" t="b">
        <f>IF(AND(I13="TP",S13&lt;=300),VLOOKUP(AF13,TPCalibEq300!$AZ$2:$BB$55,3,),IF(AND(I13="TDP",S13&lt;=300),VLOOKUP(AF13,TPCalibEq300!$AZ$2:$BB$55,3,)))</f>
        <v>0</v>
      </c>
      <c r="AS13" s="10" t="b">
        <f>IF(AND(I13="TP",S13&lt;=500),VLOOKUP(AF13,TPCalibEq500!$AZ$2:$BB$56,3,),IF(AND(I13="TDP",S13&lt;=500),VLOOKUP(AF13,TPCalibEq500!$AZ$2:$BB$56,3,)))</f>
        <v>0</v>
      </c>
      <c r="AT13" s="10" t="b">
        <f>IF(AND(I13="TN",S13&lt;=2800),VLOOKUP(AF13,TNCalibEq2500!$AZ$2:$BB$56,3,),IF(AND(I13="TDN",S13&lt;=2800),VLOOKUP(AF13,TNCalibEq2500!$AZ$2:$BB$56,3,)))</f>
        <v>0</v>
      </c>
      <c r="AU13" s="10" t="b">
        <f>IF(I13="TP",VLOOKUP(AF13,TPCalibEqFull!$AZ$2:$BB$56,3),IF(I13="TDP",VLOOKUP(AF13,TPCalibEqFull!$AZ$2:$BB$56,3),IF(I13="TDN",VLOOKUP(AF13,TNCalibEqFull!$AZ$1:$BB$56,3),IF(I13="TN",VLOOKUP(AF13,TNCalibEqFull!$AZ$1:$BB$56,3),FALSE))))</f>
        <v>0</v>
      </c>
      <c r="AV13" s="10" t="str">
        <f t="shared" si="5"/>
        <v>0104 09:00:00-QAC-STD-22A-1-DI-PER</v>
      </c>
    </row>
    <row r="14" spans="1:48" s="10" customFormat="1" x14ac:dyDescent="0.55000000000000004">
      <c r="A14" s="32">
        <v>44915</v>
      </c>
      <c r="B14" s="33">
        <v>0.24930555555555556</v>
      </c>
      <c r="C14" s="10" t="s">
        <v>70</v>
      </c>
      <c r="D14" s="10" t="s">
        <v>241</v>
      </c>
      <c r="E14" s="10" t="s">
        <v>866</v>
      </c>
      <c r="F14" s="10">
        <v>1</v>
      </c>
      <c r="G14" s="10" t="s">
        <v>73</v>
      </c>
      <c r="H14" s="10" t="s">
        <v>245</v>
      </c>
      <c r="I14" s="10" t="s">
        <v>75</v>
      </c>
      <c r="J14" s="10">
        <v>53</v>
      </c>
      <c r="K14" s="12">
        <v>44930</v>
      </c>
      <c r="L14" s="33">
        <v>0.44975694444444447</v>
      </c>
      <c r="M14" s="10">
        <v>1</v>
      </c>
      <c r="N14" s="10" t="s">
        <v>76</v>
      </c>
      <c r="O14" s="10">
        <v>1.6799999999999999E-2</v>
      </c>
      <c r="P14" s="10">
        <v>1.8500000000000001E-3</v>
      </c>
      <c r="Q14" s="10">
        <v>0.95599999999999996</v>
      </c>
      <c r="R14" s="10" t="s">
        <v>77</v>
      </c>
      <c r="S14" s="34">
        <f t="shared" si="0"/>
        <v>0.95599999999999996</v>
      </c>
      <c r="T14" s="10" t="s">
        <v>956</v>
      </c>
      <c r="U14" s="34">
        <f t="shared" si="6"/>
        <v>0.95599999999999996</v>
      </c>
      <c r="V14" s="31" t="str">
        <f>IF(H14="CHK",VLOOKUP(I14,QCCHK,3,),IF(H14="GUP",VLOOKUP(E14,QCGUP,2,),IF(AND(H14="ATP",OR(I14="TN",I14="TDN",I14="TNO2-3",I14="NO2-3")),VLOOKUP(E14,QCREC_N,2,),IF(AND(H14="NIC",OR(I14="TN",I14="TDN",I14="TNO2-3",I14="NO2-3")),VLOOKUP(E14,QCNIC_N,2,),IF(AND(H14="UREA",OR(I14="TN",I14="TDN",I14="TNO2-3",I14="NO2-3")),VLOOKUP(E14,QCUREA_N,2,),IF(H14="PER",VLOOKUP(I14,QCPER,MATCH(E14,QCACTUAL!$J$25:$AA$25,0),),IF(H14="SPK",VLOOKUP(I14,QCSPK,3,),IF(AND(H14="ATP",OR(I14="TP",I14="TDP")),VLOOKUP(E14,QCATP_P,2,),""))))))))</f>
        <v/>
      </c>
      <c r="W14" s="31" t="str">
        <f t="shared" si="1"/>
        <v>TRUE</v>
      </c>
      <c r="X14" s="31" t="str">
        <f t="shared" si="2"/>
        <v>nominal concentration</v>
      </c>
      <c r="Y14" s="10" t="s">
        <v>949</v>
      </c>
      <c r="Z14" s="10" t="s">
        <v>910</v>
      </c>
      <c r="AL14" s="10" t="str">
        <f t="shared" si="3"/>
        <v>FALSE</v>
      </c>
      <c r="AM14" s="10" t="str">
        <f t="shared" si="3"/>
        <v>FALSE</v>
      </c>
      <c r="AN14" s="10" t="str">
        <f t="shared" si="3"/>
        <v>FALSE</v>
      </c>
      <c r="AO14" s="10" t="str">
        <f t="shared" si="4"/>
        <v>FALSE</v>
      </c>
      <c r="AP14" s="10" t="str">
        <f t="shared" si="4"/>
        <v>FALSE</v>
      </c>
      <c r="AQ14" s="10" t="b">
        <f>IF(AND(I14="TP",S14&lt;=150),VLOOKUP(AF14,TPCalibEq150!$AZ$2:$BB$55,3,),IF(AND(I14="TDP",S14&lt;=150),VLOOKUP(AF14,TPCalibEq150!$AZ$2:$BB$55,3,)))</f>
        <v>0</v>
      </c>
      <c r="AR14" s="10" t="b">
        <f>IF(AND(I14="TP",S14&lt;=300),VLOOKUP(AF14,TPCalibEq300!$AZ$2:$BB$55,3,),IF(AND(I14="TDP",S14&lt;=300),VLOOKUP(AF14,TPCalibEq300!$AZ$2:$BB$55,3,)))</f>
        <v>0</v>
      </c>
      <c r="AS14" s="10" t="b">
        <f>IF(AND(I14="TP",S14&lt;=500),VLOOKUP(AF14,TPCalibEq500!$AZ$2:$BB$56,3,),IF(AND(I14="TDP",S14&lt;=500),VLOOKUP(AF14,TPCalibEq500!$AZ$2:$BB$56,3,)))</f>
        <v>0</v>
      </c>
      <c r="AT14" s="10" t="b">
        <f>IF(AND(I14="TN",S14&lt;=2800),VLOOKUP(AF14,TNCalibEq2500!$AZ$2:$BB$56,3,),IF(AND(I14="TDN",S14&lt;=2800),VLOOKUP(AF14,TNCalibEq2500!$AZ$2:$BB$56,3,)))</f>
        <v>0</v>
      </c>
      <c r="AU14" s="10" t="b">
        <f>IF(I14="TP",VLOOKUP(AF14,TPCalibEqFull!$AZ$2:$BB$56,3),IF(I14="TDP",VLOOKUP(AF14,TPCalibEqFull!$AZ$2:$BB$56,3),IF(I14="TDN",VLOOKUP(AF14,TNCalibEqFull!$AZ$1:$BB$56,3),IF(I14="TN",VLOOKUP(AF14,TNCalibEqFull!$AZ$1:$BB$56,3),FALSE))))</f>
        <v>0</v>
      </c>
      <c r="AV14" s="10" t="str">
        <f t="shared" si="5"/>
        <v>1220 05:59:00-QAC-BLK-A-1-DI-ESF</v>
      </c>
    </row>
    <row r="15" spans="1:48" s="10" customFormat="1" x14ac:dyDescent="0.55000000000000004">
      <c r="A15" s="32">
        <v>44922</v>
      </c>
      <c r="B15" s="33">
        <v>0.25347222222222221</v>
      </c>
      <c r="C15" s="10" t="s">
        <v>70</v>
      </c>
      <c r="D15" s="10" t="s">
        <v>241</v>
      </c>
      <c r="E15" s="10" t="s">
        <v>866</v>
      </c>
      <c r="F15" s="10">
        <v>1</v>
      </c>
      <c r="G15" s="10" t="s">
        <v>73</v>
      </c>
      <c r="H15" s="10" t="s">
        <v>245</v>
      </c>
      <c r="I15" s="10" t="s">
        <v>75</v>
      </c>
      <c r="J15" s="10">
        <v>54</v>
      </c>
      <c r="K15" s="12">
        <v>44930</v>
      </c>
      <c r="L15" s="33">
        <v>0.45056712962962964</v>
      </c>
      <c r="M15" s="10">
        <v>1</v>
      </c>
      <c r="N15" s="10" t="s">
        <v>76</v>
      </c>
      <c r="O15" s="10">
        <v>9.9000000000000005E-2</v>
      </c>
      <c r="P15" s="10">
        <v>7.45E-3</v>
      </c>
      <c r="Q15" s="10">
        <v>5.64</v>
      </c>
      <c r="R15" s="10" t="s">
        <v>77</v>
      </c>
      <c r="S15" s="34">
        <f t="shared" si="0"/>
        <v>5.64</v>
      </c>
      <c r="T15" s="10" t="s">
        <v>956</v>
      </c>
      <c r="U15" s="34">
        <f t="shared" si="6"/>
        <v>5.64</v>
      </c>
      <c r="V15" s="31" t="str">
        <f>IF(H15="CHK",VLOOKUP(I15,QCCHK,3,),IF(H15="GUP",VLOOKUP(E15,QCGUP,2,),IF(AND(H15="ATP",OR(I15="TN",I15="TDN",I15="TNO2-3",I15="NO2-3")),VLOOKUP(E15,QCREC_N,2,),IF(AND(H15="NIC",OR(I15="TN",I15="TDN",I15="TNO2-3",I15="NO2-3")),VLOOKUP(E15,QCNIC_N,2,),IF(AND(H15="UREA",OR(I15="TN",I15="TDN",I15="TNO2-3",I15="NO2-3")),VLOOKUP(E15,QCUREA_N,2,),IF(H15="PER",VLOOKUP(I15,QCPER,MATCH(E15,QCACTUAL!$J$25:$AA$25,0),),IF(H15="SPK",VLOOKUP(I15,QCSPK,3,),IF(AND(H15="ATP",OR(I15="TP",I15="TDP")),VLOOKUP(E15,QCATP_P,2,),""))))))))</f>
        <v/>
      </c>
      <c r="W15" s="31" t="str">
        <f t="shared" si="1"/>
        <v>TRUE</v>
      </c>
      <c r="X15" s="31" t="str">
        <f t="shared" si="2"/>
        <v>nominal concentration</v>
      </c>
      <c r="Y15" s="10" t="s">
        <v>949</v>
      </c>
      <c r="Z15" s="10" t="s">
        <v>910</v>
      </c>
      <c r="AL15" s="10" t="str">
        <f t="shared" si="3"/>
        <v>FALSE</v>
      </c>
      <c r="AM15" s="10" t="str">
        <f t="shared" si="3"/>
        <v>FALSE</v>
      </c>
      <c r="AN15" s="10" t="str">
        <f t="shared" si="3"/>
        <v>FALSE</v>
      </c>
      <c r="AO15" s="10" t="str">
        <f t="shared" si="4"/>
        <v>FALSE</v>
      </c>
      <c r="AP15" s="10" t="str">
        <f t="shared" si="4"/>
        <v>FALSE</v>
      </c>
      <c r="AQ15" s="10" t="b">
        <f>IF(AND(I15="TP",S15&lt;=150),VLOOKUP(AF15,TPCalibEq150!$AZ$2:$BB$55,3,),IF(AND(I15="TDP",S15&lt;=150),VLOOKUP(AF15,TPCalibEq150!$AZ$2:$BB$55,3,)))</f>
        <v>0</v>
      </c>
      <c r="AR15" s="10" t="b">
        <f>IF(AND(I15="TP",S15&lt;=300),VLOOKUP(AF15,TPCalibEq300!$AZ$2:$BB$55,3,),IF(AND(I15="TDP",S15&lt;=300),VLOOKUP(AF15,TPCalibEq300!$AZ$2:$BB$55,3,)))</f>
        <v>0</v>
      </c>
      <c r="AS15" s="10" t="b">
        <f>IF(AND(I15="TP",S15&lt;=500),VLOOKUP(AF15,TPCalibEq500!$AZ$2:$BB$56,3,),IF(AND(I15="TDP",S15&lt;=500),VLOOKUP(AF15,TPCalibEq500!$AZ$2:$BB$56,3,)))</f>
        <v>0</v>
      </c>
      <c r="AT15" s="10" t="b">
        <f>IF(AND(I15="TN",S15&lt;=2800),VLOOKUP(AF15,TNCalibEq2500!$AZ$2:$BB$56,3,),IF(AND(I15="TDN",S15&lt;=2800),VLOOKUP(AF15,TNCalibEq2500!$AZ$2:$BB$56,3,)))</f>
        <v>0</v>
      </c>
      <c r="AU15" s="10" t="b">
        <f>IF(I15="TP",VLOOKUP(AF15,TPCalibEqFull!$AZ$2:$BB$56,3),IF(I15="TDP",VLOOKUP(AF15,TPCalibEqFull!$AZ$2:$BB$56,3),IF(I15="TDN",VLOOKUP(AF15,TNCalibEqFull!$AZ$1:$BB$56,3),IF(I15="TN",VLOOKUP(AF15,TNCalibEqFull!$AZ$1:$BB$56,3),FALSE))))</f>
        <v>0</v>
      </c>
      <c r="AV15" s="10" t="str">
        <f t="shared" si="5"/>
        <v>1227 06:05:00-QAC-BLK-A-1-DI-ESF</v>
      </c>
    </row>
    <row r="16" spans="1:48" s="10" customFormat="1" x14ac:dyDescent="0.55000000000000004">
      <c r="A16" s="32">
        <v>44929</v>
      </c>
      <c r="B16" s="33">
        <v>0.25</v>
      </c>
      <c r="C16" s="10" t="s">
        <v>70</v>
      </c>
      <c r="D16" s="10" t="s">
        <v>241</v>
      </c>
      <c r="E16" s="10" t="s">
        <v>866</v>
      </c>
      <c r="F16" s="10">
        <v>1</v>
      </c>
      <c r="G16" s="10" t="s">
        <v>73</v>
      </c>
      <c r="H16" s="10" t="s">
        <v>245</v>
      </c>
      <c r="I16" s="10" t="s">
        <v>75</v>
      </c>
      <c r="J16" s="10">
        <v>55</v>
      </c>
      <c r="K16" s="12">
        <v>44930</v>
      </c>
      <c r="L16" s="33">
        <v>0.4513773148148148</v>
      </c>
      <c r="M16" s="10">
        <v>1</v>
      </c>
      <c r="N16" s="10" t="s">
        <v>76</v>
      </c>
      <c r="O16" s="10">
        <v>1.12E-2</v>
      </c>
      <c r="P16" s="10">
        <v>1.67E-3</v>
      </c>
      <c r="Q16" s="10">
        <v>0.63600000000000001</v>
      </c>
      <c r="R16" s="10" t="s">
        <v>77</v>
      </c>
      <c r="S16" s="34">
        <f t="shared" si="0"/>
        <v>0.63600000000000001</v>
      </c>
      <c r="T16" s="10" t="s">
        <v>956</v>
      </c>
      <c r="U16" s="34">
        <f t="shared" si="6"/>
        <v>0.63600000000000001</v>
      </c>
      <c r="V16" s="31" t="str">
        <f>IF(H16="CHK",VLOOKUP(I16,QCCHK,3,),IF(H16="GUP",VLOOKUP(E16,QCGUP,2,),IF(AND(H16="ATP",OR(I16="TN",I16="TDN",I16="TNO2-3",I16="NO2-3")),VLOOKUP(E16,QCREC_N,2,),IF(AND(H16="NIC",OR(I16="TN",I16="TDN",I16="TNO2-3",I16="NO2-3")),VLOOKUP(E16,QCNIC_N,2,),IF(AND(H16="UREA",OR(I16="TN",I16="TDN",I16="TNO2-3",I16="NO2-3")),VLOOKUP(E16,QCUREA_N,2,),IF(H16="PER",VLOOKUP(I16,QCPER,MATCH(E16,QCACTUAL!$J$25:$AA$25,0),),IF(H16="SPK",VLOOKUP(I16,QCSPK,3,),IF(AND(H16="ATP",OR(I16="TP",I16="TDP")),VLOOKUP(E16,QCATP_P,2,),""))))))))</f>
        <v/>
      </c>
      <c r="W16" s="31" t="str">
        <f t="shared" si="1"/>
        <v>TRUE</v>
      </c>
      <c r="X16" s="31" t="str">
        <f t="shared" si="2"/>
        <v>nominal concentration</v>
      </c>
      <c r="Y16" s="10" t="s">
        <v>949</v>
      </c>
      <c r="AL16" s="10" t="str">
        <f t="shared" si="3"/>
        <v>FALSE</v>
      </c>
      <c r="AM16" s="10" t="str">
        <f t="shared" si="3"/>
        <v>FALSE</v>
      </c>
      <c r="AN16" s="10" t="str">
        <f t="shared" si="3"/>
        <v>FALSE</v>
      </c>
      <c r="AO16" s="10" t="str">
        <f t="shared" si="4"/>
        <v>FALSE</v>
      </c>
      <c r="AP16" s="10" t="str">
        <f t="shared" si="4"/>
        <v>FALSE</v>
      </c>
      <c r="AQ16" s="10" t="b">
        <f>IF(AND(I16="TP",S16&lt;=150),VLOOKUP(AF16,TPCalibEq150!$AZ$2:$BB$55,3,),IF(AND(I16="TDP",S16&lt;=150),VLOOKUP(AF16,TPCalibEq150!$AZ$2:$BB$55,3,)))</f>
        <v>0</v>
      </c>
      <c r="AR16" s="10" t="b">
        <f>IF(AND(I16="TP",S16&lt;=300),VLOOKUP(AF16,TPCalibEq300!$AZ$2:$BB$55,3,),IF(AND(I16="TDP",S16&lt;=300),VLOOKUP(AF16,TPCalibEq300!$AZ$2:$BB$55,3,)))</f>
        <v>0</v>
      </c>
      <c r="AS16" s="10" t="b">
        <f>IF(AND(I16="TP",S16&lt;=500),VLOOKUP(AF16,TPCalibEq500!$AZ$2:$BB$56,3,),IF(AND(I16="TDP",S16&lt;=500),VLOOKUP(AF16,TPCalibEq500!$AZ$2:$BB$56,3,)))</f>
        <v>0</v>
      </c>
      <c r="AT16" s="10" t="b">
        <f>IF(AND(I16="TN",S16&lt;=2800),VLOOKUP(AF16,TNCalibEq2500!$AZ$2:$BB$56,3,),IF(AND(I16="TDN",S16&lt;=2800),VLOOKUP(AF16,TNCalibEq2500!$AZ$2:$BB$56,3,)))</f>
        <v>0</v>
      </c>
      <c r="AU16" s="10" t="b">
        <f>IF(I16="TP",VLOOKUP(AF16,TPCalibEqFull!$AZ$2:$BB$56,3),IF(I16="TDP",VLOOKUP(AF16,TPCalibEqFull!$AZ$2:$BB$56,3),IF(I16="TDN",VLOOKUP(AF16,TNCalibEqFull!$AZ$1:$BB$56,3),IF(I16="TN",VLOOKUP(AF16,TNCalibEqFull!$AZ$1:$BB$56,3),FALSE))))</f>
        <v>0</v>
      </c>
      <c r="AV16" s="10" t="str">
        <f t="shared" si="5"/>
        <v>0103 06:00:00-QAC-BLK-A-1-DI-ESF</v>
      </c>
    </row>
    <row r="17" spans="1:48" s="10" customFormat="1" x14ac:dyDescent="0.55000000000000004">
      <c r="A17" s="32">
        <v>44915</v>
      </c>
      <c r="B17" s="33">
        <v>0.24930555555555556</v>
      </c>
      <c r="C17" s="10" t="s">
        <v>70</v>
      </c>
      <c r="D17" s="10" t="s">
        <v>241</v>
      </c>
      <c r="E17" s="10" t="s">
        <v>911</v>
      </c>
      <c r="F17" s="10">
        <v>1</v>
      </c>
      <c r="G17" s="10" t="s">
        <v>73</v>
      </c>
      <c r="H17" s="10" t="s">
        <v>245</v>
      </c>
      <c r="I17" s="10" t="s">
        <v>183</v>
      </c>
      <c r="J17" s="10">
        <v>56</v>
      </c>
      <c r="K17" s="12">
        <v>44930</v>
      </c>
      <c r="L17" s="33">
        <v>0.45219907407407406</v>
      </c>
      <c r="M17" s="10">
        <v>1</v>
      </c>
      <c r="N17" s="10" t="s">
        <v>76</v>
      </c>
      <c r="O17" s="10">
        <v>0.17799999999999999</v>
      </c>
      <c r="P17" s="10">
        <v>1.49E-2</v>
      </c>
      <c r="Q17" s="10">
        <v>10.1</v>
      </c>
      <c r="R17" s="10" t="s">
        <v>77</v>
      </c>
      <c r="S17" s="34">
        <f t="shared" si="0"/>
        <v>10.1</v>
      </c>
      <c r="T17" s="10" t="s">
        <v>956</v>
      </c>
      <c r="U17" s="34">
        <f t="shared" si="6"/>
        <v>10.1</v>
      </c>
      <c r="V17" s="31" t="str">
        <f>IF(H17="CHK",VLOOKUP(I17,QCCHK,3,),IF(H17="GUP",VLOOKUP(E17,QCGUP,2,),IF(AND(H17="ATP",OR(I17="TN",I17="TDN",I17="TNO2-3",I17="NO2-3")),VLOOKUP(E17,QCREC_N,2,),IF(AND(H17="NIC",OR(I17="TN",I17="TDN",I17="TNO2-3",I17="NO2-3")),VLOOKUP(E17,QCNIC_N,2,),IF(AND(H17="UREA",OR(I17="TN",I17="TDN",I17="TNO2-3",I17="NO2-3")),VLOOKUP(E17,QCUREA_N,2,),IF(H17="PER",VLOOKUP(I17,QCPER,MATCH(E17,QCACTUAL!$J$25:$AA$25,0),),IF(H17="SPK",VLOOKUP(I17,QCSPK,3,),IF(AND(H17="ATP",OR(I17="TP",I17="TDP")),VLOOKUP(E17,QCATP_P,2,),""))))))))</f>
        <v/>
      </c>
      <c r="W17" s="31" t="str">
        <f t="shared" si="1"/>
        <v>TRUE</v>
      </c>
      <c r="X17" s="31" t="str">
        <f t="shared" si="2"/>
        <v>nominal concentration</v>
      </c>
      <c r="Y17" s="10" t="s">
        <v>949</v>
      </c>
      <c r="Z17" s="10" t="s">
        <v>910</v>
      </c>
      <c r="AL17" s="10" t="str">
        <f t="shared" si="3"/>
        <v>FALSE</v>
      </c>
      <c r="AM17" s="10" t="str">
        <f t="shared" si="3"/>
        <v>FALSE</v>
      </c>
      <c r="AN17" s="10" t="str">
        <f t="shared" si="3"/>
        <v>FALSE</v>
      </c>
      <c r="AO17" s="10" t="str">
        <f t="shared" si="4"/>
        <v>FALSE</v>
      </c>
      <c r="AP17" s="10" t="str">
        <f t="shared" si="4"/>
        <v>FALSE</v>
      </c>
      <c r="AQ17" s="10" t="b">
        <f>IF(AND(I17="TP",S17&lt;=150),VLOOKUP(AF17,TPCalibEq150!$AZ$2:$BB$55,3,),IF(AND(I17="TDP",S17&lt;=150),VLOOKUP(AF17,TPCalibEq150!$AZ$2:$BB$55,3,)))</f>
        <v>0</v>
      </c>
      <c r="AR17" s="10" t="b">
        <f>IF(AND(I17="TP",S17&lt;=300),VLOOKUP(AF17,TPCalibEq300!$AZ$2:$BB$55,3,),IF(AND(I17="TDP",S17&lt;=300),VLOOKUP(AF17,TPCalibEq300!$AZ$2:$BB$55,3,)))</f>
        <v>0</v>
      </c>
      <c r="AS17" s="10" t="b">
        <f>IF(AND(I17="TP",S17&lt;=500),VLOOKUP(AF17,TPCalibEq500!$AZ$2:$BB$56,3,),IF(AND(I17="TDP",S17&lt;=500),VLOOKUP(AF17,TPCalibEq500!$AZ$2:$BB$56,3,)))</f>
        <v>0</v>
      </c>
      <c r="AT17" s="10" t="b">
        <f>IF(AND(I17="TN",S17&lt;=2800),VLOOKUP(AF17,TNCalibEq2500!$AZ$2:$BB$56,3,),IF(AND(I17="TDN",S17&lt;=2800),VLOOKUP(AF17,TNCalibEq2500!$AZ$2:$BB$56,3,)))</f>
        <v>0</v>
      </c>
      <c r="AU17" s="10" t="b">
        <f>IF(I17="TP",VLOOKUP(AF17,TPCalibEqFull!$AZ$2:$BB$56,3),IF(I17="TDP",VLOOKUP(AF17,TPCalibEqFull!$AZ$2:$BB$56,3),IF(I17="TDN",VLOOKUP(AF17,TNCalibEqFull!$AZ$1:$BB$56,3),IF(I17="TN",VLOOKUP(AF17,TNCalibEqFull!$AZ$1:$BB$56,3),FALSE))))</f>
        <v>0</v>
      </c>
      <c r="AV17" s="10" t="str">
        <f t="shared" si="5"/>
        <v>1220 05:59:00-QAC-BLK-FIL-1-DI-ESF</v>
      </c>
    </row>
    <row r="18" spans="1:48" s="10" customFormat="1" x14ac:dyDescent="0.55000000000000004">
      <c r="A18" s="32">
        <v>44922</v>
      </c>
      <c r="B18" s="33">
        <v>0.25347222222222221</v>
      </c>
      <c r="C18" s="10" t="s">
        <v>70</v>
      </c>
      <c r="D18" s="10" t="s">
        <v>241</v>
      </c>
      <c r="E18" s="10" t="s">
        <v>911</v>
      </c>
      <c r="F18" s="10">
        <v>1</v>
      </c>
      <c r="G18" s="10" t="s">
        <v>73</v>
      </c>
      <c r="H18" s="10" t="s">
        <v>245</v>
      </c>
      <c r="I18" s="10" t="s">
        <v>183</v>
      </c>
      <c r="J18" s="10">
        <v>57</v>
      </c>
      <c r="K18" s="12">
        <v>44930</v>
      </c>
      <c r="L18" s="33">
        <v>0.45300925925925922</v>
      </c>
      <c r="M18" s="10">
        <v>1</v>
      </c>
      <c r="N18" s="10" t="s">
        <v>76</v>
      </c>
      <c r="O18" s="10">
        <v>4.5999999999999999E-2</v>
      </c>
      <c r="P18" s="10">
        <v>3.9399999999999999E-3</v>
      </c>
      <c r="Q18" s="10">
        <v>2.62</v>
      </c>
      <c r="R18" s="10" t="s">
        <v>77</v>
      </c>
      <c r="S18" s="34">
        <f t="shared" si="0"/>
        <v>2.62</v>
      </c>
      <c r="T18" s="10" t="s">
        <v>956</v>
      </c>
      <c r="U18" s="34">
        <f t="shared" si="6"/>
        <v>2.62</v>
      </c>
      <c r="V18" s="31" t="str">
        <f>IF(H18="CHK",VLOOKUP(I18,QCCHK,3,),IF(H18="GUP",VLOOKUP(E18,QCGUP,2,),IF(AND(H18="ATP",OR(I18="TN",I18="TDN",I18="TNO2-3",I18="NO2-3")),VLOOKUP(E18,QCREC_N,2,),IF(AND(H18="NIC",OR(I18="TN",I18="TDN",I18="TNO2-3",I18="NO2-3")),VLOOKUP(E18,QCNIC_N,2,),IF(AND(H18="UREA",OR(I18="TN",I18="TDN",I18="TNO2-3",I18="NO2-3")),VLOOKUP(E18,QCUREA_N,2,),IF(H18="PER",VLOOKUP(I18,QCPER,MATCH(E18,QCACTUAL!$J$25:$AA$25,0),),IF(H18="SPK",VLOOKUP(I18,QCSPK,3,),IF(AND(H18="ATP",OR(I18="TP",I18="TDP")),VLOOKUP(E18,QCATP_P,2,),""))))))))</f>
        <v/>
      </c>
      <c r="W18" s="31" t="str">
        <f t="shared" si="1"/>
        <v>TRUE</v>
      </c>
      <c r="X18" s="31" t="str">
        <f t="shared" si="2"/>
        <v>nominal concentration</v>
      </c>
      <c r="Y18" s="10" t="s">
        <v>949</v>
      </c>
      <c r="Z18" s="10" t="s">
        <v>910</v>
      </c>
      <c r="AL18" s="10" t="str">
        <f t="shared" si="3"/>
        <v>FALSE</v>
      </c>
      <c r="AM18" s="10" t="str">
        <f t="shared" si="3"/>
        <v>FALSE</v>
      </c>
      <c r="AN18" s="10" t="str">
        <f t="shared" si="3"/>
        <v>FALSE</v>
      </c>
      <c r="AO18" s="10" t="str">
        <f t="shared" si="4"/>
        <v>FALSE</v>
      </c>
      <c r="AP18" s="10" t="str">
        <f t="shared" si="4"/>
        <v>FALSE</v>
      </c>
      <c r="AQ18" s="10" t="b">
        <f>IF(AND(I18="TP",S18&lt;=150),VLOOKUP(AF18,TPCalibEq150!$AZ$2:$BB$55,3,),IF(AND(I18="TDP",S18&lt;=150),VLOOKUP(AF18,TPCalibEq150!$AZ$2:$BB$55,3,)))</f>
        <v>0</v>
      </c>
      <c r="AR18" s="10" t="b">
        <f>IF(AND(I18="TP",S18&lt;=300),VLOOKUP(AF18,TPCalibEq300!$AZ$2:$BB$55,3,),IF(AND(I18="TDP",S18&lt;=300),VLOOKUP(AF18,TPCalibEq300!$AZ$2:$BB$55,3,)))</f>
        <v>0</v>
      </c>
      <c r="AS18" s="10" t="b">
        <f>IF(AND(I18="TP",S18&lt;=500),VLOOKUP(AF18,TPCalibEq500!$AZ$2:$BB$56,3,),IF(AND(I18="TDP",S18&lt;=500),VLOOKUP(AF18,TPCalibEq500!$AZ$2:$BB$56,3,)))</f>
        <v>0</v>
      </c>
      <c r="AT18" s="10" t="b">
        <f>IF(AND(I18="TN",S18&lt;=2800),VLOOKUP(AF18,TNCalibEq2500!$AZ$2:$BB$56,3,),IF(AND(I18="TDN",S18&lt;=2800),VLOOKUP(AF18,TNCalibEq2500!$AZ$2:$BB$56,3,)))</f>
        <v>0</v>
      </c>
      <c r="AU18" s="10" t="b">
        <f>IF(I18="TP",VLOOKUP(AF18,TPCalibEqFull!$AZ$2:$BB$56,3),IF(I18="TDP",VLOOKUP(AF18,TPCalibEqFull!$AZ$2:$BB$56,3),IF(I18="TDN",VLOOKUP(AF18,TNCalibEqFull!$AZ$1:$BB$56,3),IF(I18="TN",VLOOKUP(AF18,TNCalibEqFull!$AZ$1:$BB$56,3),FALSE))))</f>
        <v>0</v>
      </c>
      <c r="AV18" s="10" t="str">
        <f t="shared" si="5"/>
        <v>1227 06:05:00-QAC-BLK-FIL-1-DI-ESF</v>
      </c>
    </row>
    <row r="19" spans="1:48" s="10" customFormat="1" x14ac:dyDescent="0.55000000000000004">
      <c r="A19" s="32">
        <v>44929</v>
      </c>
      <c r="B19" s="33">
        <v>0.25</v>
      </c>
      <c r="C19" s="10" t="s">
        <v>70</v>
      </c>
      <c r="D19" s="10" t="s">
        <v>241</v>
      </c>
      <c r="E19" s="10" t="s">
        <v>911</v>
      </c>
      <c r="F19" s="10">
        <v>1</v>
      </c>
      <c r="G19" s="10" t="s">
        <v>73</v>
      </c>
      <c r="H19" s="10" t="s">
        <v>245</v>
      </c>
      <c r="I19" s="10" t="s">
        <v>183</v>
      </c>
      <c r="J19" s="10">
        <v>58</v>
      </c>
      <c r="K19" s="12">
        <v>44930</v>
      </c>
      <c r="L19" s="33">
        <v>0.4538194444444445</v>
      </c>
      <c r="M19" s="10">
        <v>1</v>
      </c>
      <c r="N19" s="10" t="s">
        <v>76</v>
      </c>
      <c r="O19" s="10">
        <v>4.6399999999999997E-2</v>
      </c>
      <c r="P19" s="10">
        <v>4.0400000000000002E-3</v>
      </c>
      <c r="Q19" s="10">
        <v>2.64</v>
      </c>
      <c r="R19" s="10" t="s">
        <v>77</v>
      </c>
      <c r="S19" s="34">
        <f t="shared" si="0"/>
        <v>2.64</v>
      </c>
      <c r="T19" s="10" t="s">
        <v>956</v>
      </c>
      <c r="U19" s="34">
        <f t="shared" si="6"/>
        <v>2.64</v>
      </c>
      <c r="V19" s="31" t="str">
        <f>IF(H19="CHK",VLOOKUP(I19,QCCHK,3,),IF(H19="GUP",VLOOKUP(E19,QCGUP,2,),IF(AND(H19="ATP",OR(I19="TN",I19="TDN",I19="TNO2-3",I19="NO2-3")),VLOOKUP(E19,QCREC_N,2,),IF(AND(H19="NIC",OR(I19="TN",I19="TDN",I19="TNO2-3",I19="NO2-3")),VLOOKUP(E19,QCNIC_N,2,),IF(AND(H19="UREA",OR(I19="TN",I19="TDN",I19="TNO2-3",I19="NO2-3")),VLOOKUP(E19,QCUREA_N,2,),IF(H19="PER",VLOOKUP(I19,QCPER,MATCH(E19,QCACTUAL!$J$25:$AA$25,0),),IF(H19="SPK",VLOOKUP(I19,QCSPK,3,),IF(AND(H19="ATP",OR(I19="TP",I19="TDP")),VLOOKUP(E19,QCATP_P,2,),""))))))))</f>
        <v/>
      </c>
      <c r="W19" s="31" t="str">
        <f t="shared" si="1"/>
        <v>TRUE</v>
      </c>
      <c r="X19" s="31" t="str">
        <f t="shared" si="2"/>
        <v>nominal concentration</v>
      </c>
      <c r="Y19" s="10" t="s">
        <v>949</v>
      </c>
      <c r="AL19" s="10" t="str">
        <f t="shared" si="3"/>
        <v>FALSE</v>
      </c>
      <c r="AM19" s="10" t="str">
        <f t="shared" si="3"/>
        <v>FALSE</v>
      </c>
      <c r="AN19" s="10" t="str">
        <f t="shared" si="3"/>
        <v>FALSE</v>
      </c>
      <c r="AO19" s="10" t="str">
        <f t="shared" si="4"/>
        <v>FALSE</v>
      </c>
      <c r="AP19" s="10" t="str">
        <f t="shared" si="4"/>
        <v>FALSE</v>
      </c>
      <c r="AQ19" s="10" t="b">
        <f>IF(AND(I19="TP",S19&lt;=150),VLOOKUP(AF19,TPCalibEq150!$AZ$2:$BB$55,3,),IF(AND(I19="TDP",S19&lt;=150),VLOOKUP(AF19,TPCalibEq150!$AZ$2:$BB$55,3,)))</f>
        <v>0</v>
      </c>
      <c r="AR19" s="10" t="b">
        <f>IF(AND(I19="TP",S19&lt;=300),VLOOKUP(AF19,TPCalibEq300!$AZ$2:$BB$55,3,),IF(AND(I19="TDP",S19&lt;=300),VLOOKUP(AF19,TPCalibEq300!$AZ$2:$BB$55,3,)))</f>
        <v>0</v>
      </c>
      <c r="AS19" s="10" t="b">
        <f>IF(AND(I19="TP",S19&lt;=500),VLOOKUP(AF19,TPCalibEq500!$AZ$2:$BB$56,3,),IF(AND(I19="TDP",S19&lt;=500),VLOOKUP(AF19,TPCalibEq500!$AZ$2:$BB$56,3,)))</f>
        <v>0</v>
      </c>
      <c r="AT19" s="10" t="b">
        <f>IF(AND(I19="TN",S19&lt;=2800),VLOOKUP(AF19,TNCalibEq2500!$AZ$2:$BB$56,3,),IF(AND(I19="TDN",S19&lt;=2800),VLOOKUP(AF19,TNCalibEq2500!$AZ$2:$BB$56,3,)))</f>
        <v>0</v>
      </c>
      <c r="AU19" s="10" t="b">
        <f>IF(I19="TP",VLOOKUP(AF19,TPCalibEqFull!$AZ$2:$BB$56,3),IF(I19="TDP",VLOOKUP(AF19,TPCalibEqFull!$AZ$2:$BB$56,3),IF(I19="TDN",VLOOKUP(AF19,TNCalibEqFull!$AZ$1:$BB$56,3),IF(I19="TN",VLOOKUP(AF19,TNCalibEqFull!$AZ$1:$BB$56,3),FALSE))))</f>
        <v>0</v>
      </c>
      <c r="AV19" s="10" t="str">
        <f t="shared" si="5"/>
        <v>0103 06:00:00-QAC-BLK-FIL-1-DI-ESF</v>
      </c>
    </row>
    <row r="20" spans="1:48" s="10" customFormat="1" x14ac:dyDescent="0.55000000000000004">
      <c r="A20" s="32">
        <v>44909</v>
      </c>
      <c r="B20" s="33">
        <v>0.23541666666666669</v>
      </c>
      <c r="C20" s="10" t="s">
        <v>279</v>
      </c>
      <c r="D20" s="10">
        <v>0</v>
      </c>
      <c r="E20" s="10" t="s">
        <v>190</v>
      </c>
      <c r="F20" s="10">
        <v>1</v>
      </c>
      <c r="G20" s="10" t="s">
        <v>231</v>
      </c>
      <c r="H20" s="10" t="s">
        <v>322</v>
      </c>
      <c r="I20" s="10" t="s">
        <v>75</v>
      </c>
      <c r="J20" s="10">
        <v>1</v>
      </c>
      <c r="K20" s="12">
        <v>44930</v>
      </c>
      <c r="L20" s="33">
        <v>0.4546412037037037</v>
      </c>
      <c r="M20" s="10">
        <v>1</v>
      </c>
      <c r="N20" s="10" t="s">
        <v>76</v>
      </c>
      <c r="O20" s="10">
        <v>0.20799999999999999</v>
      </c>
      <c r="P20" s="10">
        <v>1.61E-2</v>
      </c>
      <c r="Q20" s="10">
        <v>11.8</v>
      </c>
      <c r="R20" s="10" t="s">
        <v>77</v>
      </c>
      <c r="S20" s="34">
        <f t="shared" si="0"/>
        <v>11.8</v>
      </c>
      <c r="T20" s="10" t="s">
        <v>956</v>
      </c>
      <c r="U20" s="34" t="str">
        <f t="shared" si="6"/>
        <v/>
      </c>
      <c r="V20" s="31" t="str">
        <f>IF(H20="CHK",VLOOKUP(I20,QCCHK,3,),IF(H20="GUP",VLOOKUP(E20,QCGUP,2,),IF(AND(H20="ATP",OR(I20="TN",I20="TDN",I20="TNO2-3",I20="NO2-3")),VLOOKUP(E20,QCREC_N,2,),IF(AND(H20="NIC",OR(I20="TN",I20="TDN",I20="TNO2-3",I20="NO2-3")),VLOOKUP(E20,QCNIC_N,2,),IF(AND(H20="UREA",OR(I20="TN",I20="TDN",I20="TNO2-3",I20="NO2-3")),VLOOKUP(E20,QCUREA_N,2,),IF(H20="PER",VLOOKUP(I20,QCPER,MATCH(E20,QCACTUAL!$J$25:$AA$25,0),),IF(H20="SPK",VLOOKUP(I20,QCSPK,3,),IF(AND(H20="ATP",OR(I20="TP",I20="TDP")),VLOOKUP(E20,QCATP_P,2,),""))))))))</f>
        <v/>
      </c>
      <c r="W20" s="31" t="str">
        <f t="shared" si="1"/>
        <v>TRUE</v>
      </c>
      <c r="X20" s="31" t="str">
        <f t="shared" si="2"/>
        <v/>
      </c>
      <c r="Y20" s="10" t="s">
        <v>949</v>
      </c>
      <c r="Z20" s="10" t="s">
        <v>910</v>
      </c>
      <c r="AL20" s="10" t="str">
        <f t="shared" si="3"/>
        <v>FALSE</v>
      </c>
      <c r="AM20" s="10" t="str">
        <f t="shared" si="3"/>
        <v>FALSE</v>
      </c>
      <c r="AN20" s="10" t="str">
        <f t="shared" si="3"/>
        <v>FALSE</v>
      </c>
      <c r="AO20" s="10" t="str">
        <f t="shared" si="4"/>
        <v>FALSE</v>
      </c>
      <c r="AP20" s="10" t="str">
        <f t="shared" si="4"/>
        <v>FALSE</v>
      </c>
      <c r="AQ20" s="10" t="b">
        <f>IF(AND(I20="TP",S20&lt;=150),VLOOKUP(AF20,TPCalibEq150!$AZ$2:$BB$55,3,),IF(AND(I20="TDP",S20&lt;=150),VLOOKUP(AF20,TPCalibEq150!$AZ$2:$BB$55,3,)))</f>
        <v>0</v>
      </c>
      <c r="AR20" s="10" t="b">
        <f>IF(AND(I20="TP",S20&lt;=300),VLOOKUP(AF20,TPCalibEq300!$AZ$2:$BB$55,3,),IF(AND(I20="TDP",S20&lt;=300),VLOOKUP(AF20,TPCalibEq300!$AZ$2:$BB$55,3,)))</f>
        <v>0</v>
      </c>
      <c r="AS20" s="10" t="b">
        <f>IF(AND(I20="TP",S20&lt;=500),VLOOKUP(AF20,TPCalibEq500!$AZ$2:$BB$56,3,),IF(AND(I20="TDP",S20&lt;=500),VLOOKUP(AF20,TPCalibEq500!$AZ$2:$BB$56,3,)))</f>
        <v>0</v>
      </c>
      <c r="AT20" s="10" t="b">
        <f>IF(AND(I20="TN",S20&lt;=2800),VLOOKUP(AF20,TNCalibEq2500!$AZ$2:$BB$56,3,),IF(AND(I20="TDN",S20&lt;=2800),VLOOKUP(AF20,TNCalibEq2500!$AZ$2:$BB$56,3,)))</f>
        <v>0</v>
      </c>
      <c r="AU20" s="10" t="b">
        <f>IF(I20="TP",VLOOKUP(AF20,TPCalibEqFull!$AZ$2:$BB$56,3),IF(I20="TDP",VLOOKUP(AF20,TPCalibEqFull!$AZ$2:$BB$56,3),IF(I20="TDN",VLOOKUP(AF20,TNCalibEqFull!$AZ$1:$BB$56,3),IF(I20="TN",VLOOKUP(AF20,TNCalibEqFull!$AZ$1:$BB$56,3),FALSE))))</f>
        <v>0</v>
      </c>
      <c r="AV20" s="10" t="str">
        <f t="shared" si="5"/>
        <v>1214 05:39:00-EFK-0-C-1-SW-UKN</v>
      </c>
    </row>
    <row r="21" spans="1:48" s="10" customFormat="1" x14ac:dyDescent="0.55000000000000004">
      <c r="A21" s="32">
        <v>44909</v>
      </c>
      <c r="B21" s="33">
        <v>0.24236111111111111</v>
      </c>
      <c r="C21" s="10" t="s">
        <v>333</v>
      </c>
      <c r="D21" s="10">
        <v>0</v>
      </c>
      <c r="E21" s="10" t="s">
        <v>190</v>
      </c>
      <c r="F21" s="10">
        <v>1</v>
      </c>
      <c r="G21" s="10" t="s">
        <v>231</v>
      </c>
      <c r="H21" s="10" t="s">
        <v>322</v>
      </c>
      <c r="I21" s="10" t="s">
        <v>75</v>
      </c>
      <c r="J21" s="10">
        <v>2</v>
      </c>
      <c r="K21" s="12">
        <v>44930</v>
      </c>
      <c r="L21" s="33">
        <v>0.45546296296296296</v>
      </c>
      <c r="M21" s="10">
        <v>1</v>
      </c>
      <c r="N21" s="10" t="s">
        <v>76</v>
      </c>
      <c r="O21" s="10">
        <v>0.16300000000000001</v>
      </c>
      <c r="P21" s="10">
        <v>1.41E-2</v>
      </c>
      <c r="Q21" s="10">
        <v>9.27</v>
      </c>
      <c r="R21" s="10" t="s">
        <v>77</v>
      </c>
      <c r="S21" s="34">
        <f t="shared" si="0"/>
        <v>9.27</v>
      </c>
      <c r="T21" s="10" t="s">
        <v>956</v>
      </c>
      <c r="U21" s="34" t="str">
        <f t="shared" si="6"/>
        <v/>
      </c>
      <c r="V21" s="31" t="str">
        <f>IF(H21="CHK",VLOOKUP(I21,QCCHK,3,),IF(H21="GUP",VLOOKUP(E21,QCGUP,2,),IF(AND(H21="ATP",OR(I21="TN",I21="TDN",I21="TNO2-3",I21="NO2-3")),VLOOKUP(E21,QCREC_N,2,),IF(AND(H21="NIC",OR(I21="TN",I21="TDN",I21="TNO2-3",I21="NO2-3")),VLOOKUP(E21,QCNIC_N,2,),IF(AND(H21="UREA",OR(I21="TN",I21="TDN",I21="TNO2-3",I21="NO2-3")),VLOOKUP(E21,QCUREA_N,2,),IF(H21="PER",VLOOKUP(I21,QCPER,MATCH(E21,QCACTUAL!$J$25:$AA$25,0),),IF(H21="SPK",VLOOKUP(I21,QCSPK,3,),IF(AND(H21="ATP",OR(I21="TP",I21="TDP")),VLOOKUP(E21,QCATP_P,2,),""))))))))</f>
        <v/>
      </c>
      <c r="W21" s="31" t="str">
        <f t="shared" si="1"/>
        <v>TRUE</v>
      </c>
      <c r="X21" s="31" t="str">
        <f t="shared" si="2"/>
        <v/>
      </c>
      <c r="Y21" s="10" t="s">
        <v>949</v>
      </c>
      <c r="Z21" s="10" t="s">
        <v>910</v>
      </c>
      <c r="AL21" s="10" t="str">
        <f t="shared" si="3"/>
        <v>FALSE</v>
      </c>
      <c r="AM21" s="10" t="str">
        <f t="shared" si="3"/>
        <v>FALSE</v>
      </c>
      <c r="AN21" s="10" t="str">
        <f t="shared" si="3"/>
        <v>FALSE</v>
      </c>
      <c r="AO21" s="10" t="str">
        <f t="shared" si="4"/>
        <v>FALSE</v>
      </c>
      <c r="AP21" s="10" t="str">
        <f t="shared" si="4"/>
        <v>FALSE</v>
      </c>
      <c r="AQ21" s="10" t="b">
        <f>IF(AND(I21="TP",S21&lt;=150),VLOOKUP(AF21,TPCalibEq150!$AZ$2:$BB$55,3,),IF(AND(I21="TDP",S21&lt;=150),VLOOKUP(AF21,TPCalibEq150!$AZ$2:$BB$55,3,)))</f>
        <v>0</v>
      </c>
      <c r="AR21" s="10" t="b">
        <f>IF(AND(I21="TP",S21&lt;=300),VLOOKUP(AF21,TPCalibEq300!$AZ$2:$BB$55,3,),IF(AND(I21="TDP",S21&lt;=300),VLOOKUP(AF21,TPCalibEq300!$AZ$2:$BB$55,3,)))</f>
        <v>0</v>
      </c>
      <c r="AS21" s="10" t="b">
        <f>IF(AND(I21="TP",S21&lt;=500),VLOOKUP(AF21,TPCalibEq500!$AZ$2:$BB$56,3,),IF(AND(I21="TDP",S21&lt;=500),VLOOKUP(AF21,TPCalibEq500!$AZ$2:$BB$56,3,)))</f>
        <v>0</v>
      </c>
      <c r="AT21" s="10" t="b">
        <f>IF(AND(I21="TN",S21&lt;=2800),VLOOKUP(AF21,TNCalibEq2500!$AZ$2:$BB$56,3,),IF(AND(I21="TDN",S21&lt;=2800),VLOOKUP(AF21,TNCalibEq2500!$AZ$2:$BB$56,3,)))</f>
        <v>0</v>
      </c>
      <c r="AU21" s="10" t="b">
        <f>IF(I21="TP",VLOOKUP(AF21,TPCalibEqFull!$AZ$2:$BB$56,3),IF(I21="TDP",VLOOKUP(AF21,TPCalibEqFull!$AZ$2:$BB$56,3),IF(I21="TDN",VLOOKUP(AF21,TNCalibEqFull!$AZ$1:$BB$56,3),IF(I21="TN",VLOOKUP(AF21,TNCalibEqFull!$AZ$1:$BB$56,3),FALSE))))</f>
        <v>0</v>
      </c>
      <c r="AV21" s="10" t="str">
        <f t="shared" si="5"/>
        <v>1214 05:49:00-HST-0-C-1-SW-UKN</v>
      </c>
    </row>
    <row r="22" spans="1:48" s="10" customFormat="1" x14ac:dyDescent="0.55000000000000004">
      <c r="A22" s="32">
        <v>44910</v>
      </c>
      <c r="B22" s="33">
        <v>0.18472222222222223</v>
      </c>
      <c r="C22" s="10" t="s">
        <v>279</v>
      </c>
      <c r="D22" s="10">
        <v>0</v>
      </c>
      <c r="E22" s="10" t="s">
        <v>190</v>
      </c>
      <c r="F22" s="10">
        <v>1</v>
      </c>
      <c r="G22" s="10" t="s">
        <v>231</v>
      </c>
      <c r="H22" s="10" t="s">
        <v>322</v>
      </c>
      <c r="I22" s="10" t="s">
        <v>75</v>
      </c>
      <c r="J22" s="10">
        <v>3</v>
      </c>
      <c r="K22" s="12">
        <v>44930</v>
      </c>
      <c r="L22" s="33">
        <v>0.45628472222222222</v>
      </c>
      <c r="M22" s="10">
        <v>1</v>
      </c>
      <c r="N22" s="10" t="s">
        <v>76</v>
      </c>
      <c r="O22" s="10">
        <v>0.54600000000000004</v>
      </c>
      <c r="P22" s="10">
        <v>4.0399999999999998E-2</v>
      </c>
      <c r="Q22" s="10">
        <v>31.1</v>
      </c>
      <c r="R22" s="10" t="s">
        <v>77</v>
      </c>
      <c r="S22" s="34">
        <f t="shared" si="0"/>
        <v>31.1</v>
      </c>
      <c r="T22" s="10" t="s">
        <v>956</v>
      </c>
      <c r="U22" s="34" t="str">
        <f t="shared" si="6"/>
        <v/>
      </c>
      <c r="V22" s="31" t="str">
        <f>IF(H22="CHK",VLOOKUP(I22,QCCHK,3,),IF(H22="GUP",VLOOKUP(E22,QCGUP,2,),IF(AND(H22="ATP",OR(I22="TN",I22="TDN",I22="TNO2-3",I22="NO2-3")),VLOOKUP(E22,QCREC_N,2,),IF(AND(H22="NIC",OR(I22="TN",I22="TDN",I22="TNO2-3",I22="NO2-3")),VLOOKUP(E22,QCNIC_N,2,),IF(AND(H22="UREA",OR(I22="TN",I22="TDN",I22="TNO2-3",I22="NO2-3")),VLOOKUP(E22,QCUREA_N,2,),IF(H22="PER",VLOOKUP(I22,QCPER,MATCH(E22,QCACTUAL!$J$25:$AA$25,0),),IF(H22="SPK",VLOOKUP(I22,QCSPK,3,),IF(AND(H22="ATP",OR(I22="TP",I22="TDP")),VLOOKUP(E22,QCATP_P,2,),""))))))))</f>
        <v/>
      </c>
      <c r="W22" s="31" t="str">
        <f t="shared" si="1"/>
        <v>TRUE</v>
      </c>
      <c r="X22" s="31" t="str">
        <f t="shared" si="2"/>
        <v/>
      </c>
      <c r="Y22" s="10" t="s">
        <v>949</v>
      </c>
      <c r="Z22" s="10" t="s">
        <v>910</v>
      </c>
      <c r="AL22" s="10" t="str">
        <f t="shared" si="3"/>
        <v>FALSE</v>
      </c>
      <c r="AM22" s="10" t="str">
        <f t="shared" si="3"/>
        <v>FALSE</v>
      </c>
      <c r="AN22" s="10" t="str">
        <f t="shared" si="3"/>
        <v>FALSE</v>
      </c>
      <c r="AO22" s="10" t="str">
        <f t="shared" si="4"/>
        <v>FALSE</v>
      </c>
      <c r="AP22" s="10" t="str">
        <f t="shared" si="4"/>
        <v>FALSE</v>
      </c>
      <c r="AQ22" s="10" t="b">
        <f>IF(AND(I22="TP",S22&lt;=150),VLOOKUP(AF22,TPCalibEq150!$AZ$2:$BB$55,3,),IF(AND(I22="TDP",S22&lt;=150),VLOOKUP(AF22,TPCalibEq150!$AZ$2:$BB$55,3,)))</f>
        <v>0</v>
      </c>
      <c r="AR22" s="10" t="b">
        <f>IF(AND(I22="TP",S22&lt;=300),VLOOKUP(AF22,TPCalibEq300!$AZ$2:$BB$55,3,),IF(AND(I22="TDP",S22&lt;=300),VLOOKUP(AF22,TPCalibEq300!$AZ$2:$BB$55,3,)))</f>
        <v>0</v>
      </c>
      <c r="AS22" s="10" t="b">
        <f>IF(AND(I22="TP",S22&lt;=500),VLOOKUP(AF22,TPCalibEq500!$AZ$2:$BB$56,3,),IF(AND(I22="TDP",S22&lt;=500),VLOOKUP(AF22,TPCalibEq500!$AZ$2:$BB$56,3,)))</f>
        <v>0</v>
      </c>
      <c r="AT22" s="10" t="b">
        <f>IF(AND(I22="TN",S22&lt;=2800),VLOOKUP(AF22,TNCalibEq2500!$AZ$2:$BB$56,3,),IF(AND(I22="TDN",S22&lt;=2800),VLOOKUP(AF22,TNCalibEq2500!$AZ$2:$BB$56,3,)))</f>
        <v>0</v>
      </c>
      <c r="AU22" s="10" t="b">
        <f>IF(I22="TP",VLOOKUP(AF22,TPCalibEqFull!$AZ$2:$BB$56,3),IF(I22="TDP",VLOOKUP(AF22,TPCalibEqFull!$AZ$2:$BB$56,3),IF(I22="TDN",VLOOKUP(AF22,TNCalibEqFull!$AZ$1:$BB$56,3),IF(I22="TN",VLOOKUP(AF22,TNCalibEqFull!$AZ$1:$BB$56,3),FALSE))))</f>
        <v>0</v>
      </c>
      <c r="AV22" s="10" t="str">
        <f t="shared" si="5"/>
        <v>1215 04:26:00-EFK-0-C-1-SW-UKN</v>
      </c>
    </row>
    <row r="23" spans="1:48" s="10" customFormat="1" x14ac:dyDescent="0.55000000000000004">
      <c r="A23" s="32">
        <v>44910</v>
      </c>
      <c r="B23" s="33">
        <v>0.18819444444444444</v>
      </c>
      <c r="C23" s="10" t="s">
        <v>333</v>
      </c>
      <c r="D23" s="10">
        <v>0</v>
      </c>
      <c r="E23" s="10" t="s">
        <v>190</v>
      </c>
      <c r="F23" s="10">
        <v>1</v>
      </c>
      <c r="G23" s="10" t="s">
        <v>231</v>
      </c>
      <c r="H23" s="10" t="s">
        <v>322</v>
      </c>
      <c r="I23" s="10" t="s">
        <v>75</v>
      </c>
      <c r="J23" s="10">
        <v>4</v>
      </c>
      <c r="K23" s="12">
        <v>44930</v>
      </c>
      <c r="L23" s="33">
        <v>0.45710648148148153</v>
      </c>
      <c r="M23" s="10">
        <v>1</v>
      </c>
      <c r="N23" s="10" t="s">
        <v>76</v>
      </c>
      <c r="O23" s="10">
        <v>0.34899999999999998</v>
      </c>
      <c r="P23" s="10">
        <v>2.8400000000000002E-2</v>
      </c>
      <c r="Q23" s="10">
        <v>19.899999999999999</v>
      </c>
      <c r="R23" s="10" t="s">
        <v>77</v>
      </c>
      <c r="S23" s="34">
        <f t="shared" si="0"/>
        <v>19.899999999999999</v>
      </c>
      <c r="T23" s="10" t="s">
        <v>956</v>
      </c>
      <c r="U23" s="34" t="str">
        <f t="shared" si="6"/>
        <v/>
      </c>
      <c r="V23" s="31" t="str">
        <f>IF(H23="CHK",VLOOKUP(I23,QCCHK,3,),IF(H23="GUP",VLOOKUP(E23,QCGUP,2,),IF(AND(H23="ATP",OR(I23="TN",I23="TDN",I23="TNO2-3",I23="NO2-3")),VLOOKUP(E23,QCREC_N,2,),IF(AND(H23="NIC",OR(I23="TN",I23="TDN",I23="TNO2-3",I23="NO2-3")),VLOOKUP(E23,QCNIC_N,2,),IF(AND(H23="UREA",OR(I23="TN",I23="TDN",I23="TNO2-3",I23="NO2-3")),VLOOKUP(E23,QCUREA_N,2,),IF(H23="PER",VLOOKUP(I23,QCPER,MATCH(E23,QCACTUAL!$J$25:$AA$25,0),),IF(H23="SPK",VLOOKUP(I23,QCSPK,3,),IF(AND(H23="ATP",OR(I23="TP",I23="TDP")),VLOOKUP(E23,QCATP_P,2,),""))))))))</f>
        <v/>
      </c>
      <c r="W23" s="31" t="str">
        <f t="shared" si="1"/>
        <v>TRUE</v>
      </c>
      <c r="X23" s="31" t="str">
        <f t="shared" si="2"/>
        <v/>
      </c>
      <c r="Y23" s="10" t="s">
        <v>949</v>
      </c>
      <c r="Z23" s="10" t="s">
        <v>910</v>
      </c>
      <c r="AL23" s="10" t="str">
        <f t="shared" si="3"/>
        <v>FALSE</v>
      </c>
      <c r="AM23" s="10" t="str">
        <f t="shared" si="3"/>
        <v>FALSE</v>
      </c>
      <c r="AN23" s="10" t="str">
        <f t="shared" si="3"/>
        <v>FALSE</v>
      </c>
      <c r="AO23" s="10" t="str">
        <f t="shared" si="4"/>
        <v>FALSE</v>
      </c>
      <c r="AP23" s="10" t="str">
        <f t="shared" si="4"/>
        <v>FALSE</v>
      </c>
      <c r="AQ23" s="10" t="b">
        <f>IF(AND(I23="TP",S23&lt;=150),VLOOKUP(AF23,TPCalibEq150!$AZ$2:$BB$55,3,),IF(AND(I23="TDP",S23&lt;=150),VLOOKUP(AF23,TPCalibEq150!$AZ$2:$BB$55,3,)))</f>
        <v>0</v>
      </c>
      <c r="AR23" s="10" t="b">
        <f>IF(AND(I23="TP",S23&lt;=300),VLOOKUP(AF23,TPCalibEq300!$AZ$2:$BB$55,3,),IF(AND(I23="TDP",S23&lt;=300),VLOOKUP(AF23,TPCalibEq300!$AZ$2:$BB$55,3,)))</f>
        <v>0</v>
      </c>
      <c r="AS23" s="10" t="b">
        <f>IF(AND(I23="TP",S23&lt;=500),VLOOKUP(AF23,TPCalibEq500!$AZ$2:$BB$56,3,),IF(AND(I23="TDP",S23&lt;=500),VLOOKUP(AF23,TPCalibEq500!$AZ$2:$BB$56,3,)))</f>
        <v>0</v>
      </c>
      <c r="AT23" s="10" t="b">
        <f>IF(AND(I23="TN",S23&lt;=2800),VLOOKUP(AF23,TNCalibEq2500!$AZ$2:$BB$56,3,),IF(AND(I23="TDN",S23&lt;=2800),VLOOKUP(AF23,TNCalibEq2500!$AZ$2:$BB$56,3,)))</f>
        <v>0</v>
      </c>
      <c r="AU23" s="10" t="b">
        <f>IF(I23="TP",VLOOKUP(AF23,TPCalibEqFull!$AZ$2:$BB$56,3),IF(I23="TDP",VLOOKUP(AF23,TPCalibEqFull!$AZ$2:$BB$56,3),IF(I23="TDN",VLOOKUP(AF23,TNCalibEqFull!$AZ$1:$BB$56,3),IF(I23="TN",VLOOKUP(AF23,TNCalibEqFull!$AZ$1:$BB$56,3),FALSE))))</f>
        <v>0</v>
      </c>
      <c r="AV23" s="10" t="str">
        <f t="shared" si="5"/>
        <v>1215 04:31:00-HST-0-C-1-SW-UKN</v>
      </c>
    </row>
    <row r="24" spans="1:48" s="10" customFormat="1" x14ac:dyDescent="0.55000000000000004">
      <c r="A24" s="32">
        <v>44911</v>
      </c>
      <c r="B24" s="33">
        <v>0.4993055555555555</v>
      </c>
      <c r="C24" s="10" t="s">
        <v>279</v>
      </c>
      <c r="D24" s="10">
        <v>0</v>
      </c>
      <c r="E24" s="10" t="s">
        <v>190</v>
      </c>
      <c r="F24" s="10">
        <v>1</v>
      </c>
      <c r="G24" s="10" t="s">
        <v>231</v>
      </c>
      <c r="H24" s="10" t="s">
        <v>322</v>
      </c>
      <c r="I24" s="10" t="s">
        <v>75</v>
      </c>
      <c r="J24" s="10">
        <v>5</v>
      </c>
      <c r="K24" s="12">
        <v>44930</v>
      </c>
      <c r="L24" s="33">
        <v>0.45792824074074073</v>
      </c>
      <c r="M24" s="10">
        <v>1</v>
      </c>
      <c r="N24" s="10" t="s">
        <v>76</v>
      </c>
      <c r="O24" s="10">
        <v>0.93500000000000005</v>
      </c>
      <c r="P24" s="10">
        <v>6.9900000000000004E-2</v>
      </c>
      <c r="Q24" s="10">
        <v>53.2</v>
      </c>
      <c r="R24" s="10" t="s">
        <v>77</v>
      </c>
      <c r="S24" s="34">
        <f t="shared" si="0"/>
        <v>53.2</v>
      </c>
      <c r="T24" s="10" t="s">
        <v>956</v>
      </c>
      <c r="U24" s="34" t="str">
        <f t="shared" si="6"/>
        <v/>
      </c>
      <c r="V24" s="31" t="str">
        <f>IF(H24="CHK",VLOOKUP(I24,QCCHK,3,),IF(H24="GUP",VLOOKUP(E24,QCGUP,2,),IF(AND(H24="ATP",OR(I24="TN",I24="TDN",I24="TNO2-3",I24="NO2-3")),VLOOKUP(E24,QCREC_N,2,),IF(AND(H24="NIC",OR(I24="TN",I24="TDN",I24="TNO2-3",I24="NO2-3")),VLOOKUP(E24,QCNIC_N,2,),IF(AND(H24="UREA",OR(I24="TN",I24="TDN",I24="TNO2-3",I24="NO2-3")),VLOOKUP(E24,QCUREA_N,2,),IF(H24="PER",VLOOKUP(I24,QCPER,MATCH(E24,QCACTUAL!$J$25:$AA$25,0),),IF(H24="SPK",VLOOKUP(I24,QCSPK,3,),IF(AND(H24="ATP",OR(I24="TP",I24="TDP")),VLOOKUP(E24,QCATP_P,2,),""))))))))</f>
        <v/>
      </c>
      <c r="W24" s="31" t="str">
        <f t="shared" si="1"/>
        <v>TRUE</v>
      </c>
      <c r="X24" s="31" t="str">
        <f t="shared" si="2"/>
        <v/>
      </c>
      <c r="Y24" s="10" t="s">
        <v>949</v>
      </c>
      <c r="Z24" s="10" t="s">
        <v>910</v>
      </c>
      <c r="AL24" s="10" t="str">
        <f t="shared" si="3"/>
        <v>FALSE</v>
      </c>
      <c r="AM24" s="10" t="str">
        <f t="shared" si="3"/>
        <v>FALSE</v>
      </c>
      <c r="AN24" s="10" t="str">
        <f t="shared" si="3"/>
        <v>FALSE</v>
      </c>
      <c r="AO24" s="10" t="str">
        <f t="shared" si="4"/>
        <v>FALSE</v>
      </c>
      <c r="AP24" s="10" t="str">
        <f t="shared" si="4"/>
        <v>FALSE</v>
      </c>
      <c r="AQ24" s="10" t="b">
        <f>IF(AND(I24="TP",S24&lt;=150),VLOOKUP(AF24,TPCalibEq150!$AZ$2:$BB$55,3,),IF(AND(I24="TDP",S24&lt;=150),VLOOKUP(AF24,TPCalibEq150!$AZ$2:$BB$55,3,)))</f>
        <v>0</v>
      </c>
      <c r="AR24" s="10" t="b">
        <f>IF(AND(I24="TP",S24&lt;=300),VLOOKUP(AF24,TPCalibEq300!$AZ$2:$BB$55,3,),IF(AND(I24="TDP",S24&lt;=300),VLOOKUP(AF24,TPCalibEq300!$AZ$2:$BB$55,3,)))</f>
        <v>0</v>
      </c>
      <c r="AS24" s="10" t="b">
        <f>IF(AND(I24="TP",S24&lt;=500),VLOOKUP(AF24,TPCalibEq500!$AZ$2:$BB$56,3,),IF(AND(I24="TDP",S24&lt;=500),VLOOKUP(AF24,TPCalibEq500!$AZ$2:$BB$56,3,)))</f>
        <v>0</v>
      </c>
      <c r="AT24" s="10" t="b">
        <f>IF(AND(I24="TN",S24&lt;=2800),VLOOKUP(AF24,TNCalibEq2500!$AZ$2:$BB$56,3,),IF(AND(I24="TDN",S24&lt;=2800),VLOOKUP(AF24,TNCalibEq2500!$AZ$2:$BB$56,3,)))</f>
        <v>0</v>
      </c>
      <c r="AU24" s="10" t="b">
        <f>IF(I24="TP",VLOOKUP(AF24,TPCalibEqFull!$AZ$2:$BB$56,3),IF(I24="TDP",VLOOKUP(AF24,TPCalibEqFull!$AZ$2:$BB$56,3),IF(I24="TDN",VLOOKUP(AF24,TNCalibEqFull!$AZ$1:$BB$56,3),IF(I24="TN",VLOOKUP(AF24,TNCalibEqFull!$AZ$1:$BB$56,3),FALSE))))</f>
        <v>0</v>
      </c>
      <c r="AV24" s="10" t="str">
        <f t="shared" si="5"/>
        <v>1216 11:59:00-EFK-0-C-1-SW-UKN</v>
      </c>
    </row>
    <row r="25" spans="1:48" s="10" customFormat="1" x14ac:dyDescent="0.55000000000000004">
      <c r="A25" s="32">
        <v>44911</v>
      </c>
      <c r="B25" s="33">
        <v>0.49722222222222223</v>
      </c>
      <c r="C25" s="10" t="s">
        <v>333</v>
      </c>
      <c r="D25" s="10">
        <v>0</v>
      </c>
      <c r="E25" s="10" t="s">
        <v>190</v>
      </c>
      <c r="F25" s="10">
        <v>1</v>
      </c>
      <c r="G25" s="10" t="s">
        <v>231</v>
      </c>
      <c r="H25" s="10" t="s">
        <v>322</v>
      </c>
      <c r="I25" s="10" t="s">
        <v>75</v>
      </c>
      <c r="J25" s="10">
        <v>6</v>
      </c>
      <c r="K25" s="12">
        <v>44930</v>
      </c>
      <c r="L25" s="33">
        <v>0.45874999999999999</v>
      </c>
      <c r="M25" s="10">
        <v>1</v>
      </c>
      <c r="N25" s="10" t="s">
        <v>76</v>
      </c>
      <c r="O25" s="10">
        <v>6.1699999999999998E-2</v>
      </c>
      <c r="P25" s="10">
        <v>4.6299999999999996E-3</v>
      </c>
      <c r="Q25" s="10">
        <v>3.51</v>
      </c>
      <c r="R25" s="10" t="s">
        <v>77</v>
      </c>
      <c r="S25" s="34">
        <f t="shared" si="0"/>
        <v>3.51</v>
      </c>
      <c r="T25" s="10" t="s">
        <v>956</v>
      </c>
      <c r="U25" s="34" t="str">
        <f t="shared" si="6"/>
        <v/>
      </c>
      <c r="V25" s="31" t="str">
        <f>IF(H25="CHK",VLOOKUP(I25,QCCHK,3,),IF(H25="GUP",VLOOKUP(E25,QCGUP,2,),IF(AND(H25="ATP",OR(I25="TN",I25="TDN",I25="TNO2-3",I25="NO2-3")),VLOOKUP(E25,QCREC_N,2,),IF(AND(H25="NIC",OR(I25="TN",I25="TDN",I25="TNO2-3",I25="NO2-3")),VLOOKUP(E25,QCNIC_N,2,),IF(AND(H25="UREA",OR(I25="TN",I25="TDN",I25="TNO2-3",I25="NO2-3")),VLOOKUP(E25,QCUREA_N,2,),IF(H25="PER",VLOOKUP(I25,QCPER,MATCH(E25,QCACTUAL!$J$25:$AA$25,0),),IF(H25="SPK",VLOOKUP(I25,QCSPK,3,),IF(AND(H25="ATP",OR(I25="TP",I25="TDP")),VLOOKUP(E25,QCATP_P,2,),""))))))))</f>
        <v/>
      </c>
      <c r="W25" s="31" t="str">
        <f t="shared" si="1"/>
        <v>TRUE</v>
      </c>
      <c r="X25" s="31" t="str">
        <f t="shared" si="2"/>
        <v/>
      </c>
      <c r="Y25" s="10" t="s">
        <v>949</v>
      </c>
      <c r="Z25" s="10" t="s">
        <v>910</v>
      </c>
      <c r="AL25" s="10" t="str">
        <f t="shared" si="3"/>
        <v>FALSE</v>
      </c>
      <c r="AM25" s="10" t="str">
        <f t="shared" si="3"/>
        <v>FALSE</v>
      </c>
      <c r="AN25" s="10" t="str">
        <f t="shared" si="3"/>
        <v>FALSE</v>
      </c>
      <c r="AO25" s="10" t="str">
        <f t="shared" si="4"/>
        <v>FALSE</v>
      </c>
      <c r="AP25" s="10" t="str">
        <f t="shared" si="4"/>
        <v>FALSE</v>
      </c>
      <c r="AQ25" s="10" t="b">
        <f>IF(AND(I25="TP",S25&lt;=150),VLOOKUP(AF25,TPCalibEq150!$AZ$2:$BB$55,3,),IF(AND(I25="TDP",S25&lt;=150),VLOOKUP(AF25,TPCalibEq150!$AZ$2:$BB$55,3,)))</f>
        <v>0</v>
      </c>
      <c r="AR25" s="10" t="b">
        <f>IF(AND(I25="TP",S25&lt;=300),VLOOKUP(AF25,TPCalibEq300!$AZ$2:$BB$55,3,),IF(AND(I25="TDP",S25&lt;=300),VLOOKUP(AF25,TPCalibEq300!$AZ$2:$BB$55,3,)))</f>
        <v>0</v>
      </c>
      <c r="AS25" s="10" t="b">
        <f>IF(AND(I25="TP",S25&lt;=500),VLOOKUP(AF25,TPCalibEq500!$AZ$2:$BB$56,3,),IF(AND(I25="TDP",S25&lt;=500),VLOOKUP(AF25,TPCalibEq500!$AZ$2:$BB$56,3,)))</f>
        <v>0</v>
      </c>
      <c r="AT25" s="10" t="b">
        <f>IF(AND(I25="TN",S25&lt;=2800),VLOOKUP(AF25,TNCalibEq2500!$AZ$2:$BB$56,3,),IF(AND(I25="TDN",S25&lt;=2800),VLOOKUP(AF25,TNCalibEq2500!$AZ$2:$BB$56,3,)))</f>
        <v>0</v>
      </c>
      <c r="AU25" s="10" t="b">
        <f>IF(I25="TP",VLOOKUP(AF25,TPCalibEqFull!$AZ$2:$BB$56,3),IF(I25="TDP",VLOOKUP(AF25,TPCalibEqFull!$AZ$2:$BB$56,3),IF(I25="TDN",VLOOKUP(AF25,TNCalibEqFull!$AZ$1:$BB$56,3),IF(I25="TN",VLOOKUP(AF25,TNCalibEqFull!$AZ$1:$BB$56,3),FALSE))))</f>
        <v>0</v>
      </c>
      <c r="AV25" s="10" t="str">
        <f t="shared" si="5"/>
        <v>1216 11:56:00-HST-0-C-1-SW-UKN</v>
      </c>
    </row>
    <row r="26" spans="1:48" s="10" customFormat="1" x14ac:dyDescent="0.55000000000000004">
      <c r="A26" s="32">
        <v>44914</v>
      </c>
      <c r="B26" s="33">
        <v>0.22361111111111109</v>
      </c>
      <c r="C26" s="10" t="s">
        <v>279</v>
      </c>
      <c r="D26" s="10">
        <v>0</v>
      </c>
      <c r="E26" s="10" t="s">
        <v>190</v>
      </c>
      <c r="F26" s="10">
        <v>1</v>
      </c>
      <c r="G26" s="10" t="s">
        <v>231</v>
      </c>
      <c r="H26" s="10" t="s">
        <v>322</v>
      </c>
      <c r="I26" s="10" t="s">
        <v>75</v>
      </c>
      <c r="J26" s="10">
        <v>7</v>
      </c>
      <c r="K26" s="12">
        <v>44930</v>
      </c>
      <c r="L26" s="33">
        <v>0.46038194444444441</v>
      </c>
      <c r="M26" s="10">
        <v>1</v>
      </c>
      <c r="N26" s="10" t="s">
        <v>76</v>
      </c>
      <c r="O26" s="10">
        <v>0.41899999999999998</v>
      </c>
      <c r="P26" s="10">
        <v>3.0499999999999999E-2</v>
      </c>
      <c r="Q26" s="10">
        <v>23.8</v>
      </c>
      <c r="R26" s="10" t="s">
        <v>77</v>
      </c>
      <c r="S26" s="34">
        <f t="shared" si="0"/>
        <v>23.8</v>
      </c>
      <c r="T26" s="10" t="s">
        <v>956</v>
      </c>
      <c r="U26" s="34" t="str">
        <f t="shared" si="6"/>
        <v/>
      </c>
      <c r="V26" s="31" t="str">
        <f>IF(H26="CHK",VLOOKUP(I26,QCCHK,3,),IF(H26="GUP",VLOOKUP(E26,QCGUP,2,),IF(AND(H26="ATP",OR(I26="TN",I26="TDN",I26="TNO2-3",I26="NO2-3")),VLOOKUP(E26,QCREC_N,2,),IF(AND(H26="NIC",OR(I26="TN",I26="TDN",I26="TNO2-3",I26="NO2-3")),VLOOKUP(E26,QCNIC_N,2,),IF(AND(H26="UREA",OR(I26="TN",I26="TDN",I26="TNO2-3",I26="NO2-3")),VLOOKUP(E26,QCUREA_N,2,),IF(H26="PER",VLOOKUP(I26,QCPER,MATCH(E26,QCACTUAL!$J$25:$AA$25,0),),IF(H26="SPK",VLOOKUP(I26,QCSPK,3,),IF(AND(H26="ATP",OR(I26="TP",I26="TDP")),VLOOKUP(E26,QCATP_P,2,),""))))))))</f>
        <v/>
      </c>
      <c r="W26" s="31" t="str">
        <f t="shared" si="1"/>
        <v>TRUE</v>
      </c>
      <c r="X26" s="31" t="str">
        <f t="shared" si="2"/>
        <v/>
      </c>
      <c r="Y26" s="10" t="s">
        <v>949</v>
      </c>
      <c r="Z26" s="10" t="s">
        <v>910</v>
      </c>
      <c r="AL26" s="10" t="str">
        <f t="shared" si="3"/>
        <v>FALSE</v>
      </c>
      <c r="AM26" s="10" t="str">
        <f t="shared" si="3"/>
        <v>FALSE</v>
      </c>
      <c r="AN26" s="10" t="str">
        <f t="shared" si="3"/>
        <v>FALSE</v>
      </c>
      <c r="AO26" s="10" t="str">
        <f t="shared" si="4"/>
        <v>FALSE</v>
      </c>
      <c r="AP26" s="10" t="str">
        <f t="shared" si="4"/>
        <v>FALSE</v>
      </c>
      <c r="AQ26" s="10" t="b">
        <f>IF(AND(I26="TP",S26&lt;=150),VLOOKUP(AF26,TPCalibEq150!$AZ$2:$BB$55,3,),IF(AND(I26="TDP",S26&lt;=150),VLOOKUP(AF26,TPCalibEq150!$AZ$2:$BB$55,3,)))</f>
        <v>0</v>
      </c>
      <c r="AR26" s="10" t="b">
        <f>IF(AND(I26="TP",S26&lt;=300),VLOOKUP(AF26,TPCalibEq300!$AZ$2:$BB$55,3,),IF(AND(I26="TDP",S26&lt;=300),VLOOKUP(AF26,TPCalibEq300!$AZ$2:$BB$55,3,)))</f>
        <v>0</v>
      </c>
      <c r="AS26" s="10" t="b">
        <f>IF(AND(I26="TP",S26&lt;=500),VLOOKUP(AF26,TPCalibEq500!$AZ$2:$BB$56,3,),IF(AND(I26="TDP",S26&lt;=500),VLOOKUP(AF26,TPCalibEq500!$AZ$2:$BB$56,3,)))</f>
        <v>0</v>
      </c>
      <c r="AT26" s="10" t="b">
        <f>IF(AND(I26="TN",S26&lt;=2800),VLOOKUP(AF26,TNCalibEq2500!$AZ$2:$BB$56,3,),IF(AND(I26="TDN",S26&lt;=2800),VLOOKUP(AF26,TNCalibEq2500!$AZ$2:$BB$56,3,)))</f>
        <v>0</v>
      </c>
      <c r="AU26" s="10" t="b">
        <f>IF(I26="TP",VLOOKUP(AF26,TPCalibEqFull!$AZ$2:$BB$56,3),IF(I26="TDP",VLOOKUP(AF26,TPCalibEqFull!$AZ$2:$BB$56,3),IF(I26="TDN",VLOOKUP(AF26,TNCalibEqFull!$AZ$1:$BB$56,3),IF(I26="TN",VLOOKUP(AF26,TNCalibEqFull!$AZ$1:$BB$56,3),FALSE))))</f>
        <v>0</v>
      </c>
      <c r="AV26" s="10" t="str">
        <f t="shared" si="5"/>
        <v>1219 05:22:00-EFK-0-C-1-SW-UKN</v>
      </c>
    </row>
    <row r="27" spans="1:48" s="10" customFormat="1" x14ac:dyDescent="0.55000000000000004">
      <c r="A27" s="32">
        <v>44914</v>
      </c>
      <c r="B27" s="33">
        <v>0.23124999999999998</v>
      </c>
      <c r="C27" s="10" t="s">
        <v>333</v>
      </c>
      <c r="D27" s="10">
        <v>0</v>
      </c>
      <c r="E27" s="10" t="s">
        <v>190</v>
      </c>
      <c r="F27" s="10">
        <v>1</v>
      </c>
      <c r="G27" s="10" t="s">
        <v>231</v>
      </c>
      <c r="H27" s="10" t="s">
        <v>322</v>
      </c>
      <c r="I27" s="10" t="s">
        <v>75</v>
      </c>
      <c r="J27" s="10">
        <v>8</v>
      </c>
      <c r="K27" s="12">
        <v>44930</v>
      </c>
      <c r="L27" s="33">
        <v>0.46120370370370373</v>
      </c>
      <c r="M27" s="10">
        <v>1</v>
      </c>
      <c r="N27" s="10" t="s">
        <v>76</v>
      </c>
      <c r="O27" s="10">
        <v>4.2799999999999998E-2</v>
      </c>
      <c r="P27" s="10">
        <v>2.49E-3</v>
      </c>
      <c r="Q27" s="10">
        <v>2.44</v>
      </c>
      <c r="R27" s="10" t="s">
        <v>77</v>
      </c>
      <c r="S27" s="34">
        <f t="shared" si="0"/>
        <v>2.44</v>
      </c>
      <c r="T27" s="10" t="s">
        <v>956</v>
      </c>
      <c r="U27" s="34" t="str">
        <f t="shared" si="6"/>
        <v/>
      </c>
      <c r="V27" s="31" t="str">
        <f>IF(H27="CHK",VLOOKUP(I27,QCCHK,3,),IF(H27="GUP",VLOOKUP(E27,QCGUP,2,),IF(AND(H27="ATP",OR(I27="TN",I27="TDN",I27="TNO2-3",I27="NO2-3")),VLOOKUP(E27,QCREC_N,2,),IF(AND(H27="NIC",OR(I27="TN",I27="TDN",I27="TNO2-3",I27="NO2-3")),VLOOKUP(E27,QCNIC_N,2,),IF(AND(H27="UREA",OR(I27="TN",I27="TDN",I27="TNO2-3",I27="NO2-3")),VLOOKUP(E27,QCUREA_N,2,),IF(H27="PER",VLOOKUP(I27,QCPER,MATCH(E27,QCACTUAL!$J$25:$AA$25,0),),IF(H27="SPK",VLOOKUP(I27,QCSPK,3,),IF(AND(H27="ATP",OR(I27="TP",I27="TDP")),VLOOKUP(E27,QCATP_P,2,),""))))))))</f>
        <v/>
      </c>
      <c r="W27" s="31" t="str">
        <f t="shared" si="1"/>
        <v>TRUE</v>
      </c>
      <c r="X27" s="31" t="str">
        <f t="shared" si="2"/>
        <v/>
      </c>
      <c r="Y27" s="10" t="s">
        <v>949</v>
      </c>
      <c r="Z27" s="10" t="s">
        <v>910</v>
      </c>
      <c r="AL27" s="10" t="str">
        <f t="shared" si="3"/>
        <v>FALSE</v>
      </c>
      <c r="AM27" s="10" t="str">
        <f t="shared" si="3"/>
        <v>FALSE</v>
      </c>
      <c r="AN27" s="10" t="str">
        <f t="shared" si="3"/>
        <v>FALSE</v>
      </c>
      <c r="AO27" s="10" t="str">
        <f t="shared" si="4"/>
        <v>FALSE</v>
      </c>
      <c r="AP27" s="10" t="str">
        <f t="shared" si="4"/>
        <v>FALSE</v>
      </c>
      <c r="AQ27" s="10" t="b">
        <f>IF(AND(I27="TP",S27&lt;=150),VLOOKUP(AF27,TPCalibEq150!$AZ$2:$BB$55,3,),IF(AND(I27="TDP",S27&lt;=150),VLOOKUP(AF27,TPCalibEq150!$AZ$2:$BB$55,3,)))</f>
        <v>0</v>
      </c>
      <c r="AR27" s="10" t="b">
        <f>IF(AND(I27="TP",S27&lt;=300),VLOOKUP(AF27,TPCalibEq300!$AZ$2:$BB$55,3,),IF(AND(I27="TDP",S27&lt;=300),VLOOKUP(AF27,TPCalibEq300!$AZ$2:$BB$55,3,)))</f>
        <v>0</v>
      </c>
      <c r="AS27" s="10" t="b">
        <f>IF(AND(I27="TP",S27&lt;=500),VLOOKUP(AF27,TPCalibEq500!$AZ$2:$BB$56,3,),IF(AND(I27="TDP",S27&lt;=500),VLOOKUP(AF27,TPCalibEq500!$AZ$2:$BB$56,3,)))</f>
        <v>0</v>
      </c>
      <c r="AT27" s="10" t="b">
        <f>IF(AND(I27="TN",S27&lt;=2800),VLOOKUP(AF27,TNCalibEq2500!$AZ$2:$BB$56,3,),IF(AND(I27="TDN",S27&lt;=2800),VLOOKUP(AF27,TNCalibEq2500!$AZ$2:$BB$56,3,)))</f>
        <v>0</v>
      </c>
      <c r="AU27" s="10" t="b">
        <f>IF(I27="TP",VLOOKUP(AF27,TPCalibEqFull!$AZ$2:$BB$56,3),IF(I27="TDP",VLOOKUP(AF27,TPCalibEqFull!$AZ$2:$BB$56,3),IF(I27="TDN",VLOOKUP(AF27,TNCalibEqFull!$AZ$1:$BB$56,3),IF(I27="TN",VLOOKUP(AF27,TNCalibEqFull!$AZ$1:$BB$56,3),FALSE))))</f>
        <v>0</v>
      </c>
      <c r="AV27" s="10" t="str">
        <f t="shared" si="5"/>
        <v>1219 05:33:00-HST-0-C-1-SW-UKN</v>
      </c>
    </row>
    <row r="28" spans="1:48" s="10" customFormat="1" x14ac:dyDescent="0.55000000000000004">
      <c r="A28" s="32">
        <v>44915</v>
      </c>
      <c r="B28" s="33">
        <v>0.23263888888888887</v>
      </c>
      <c r="C28" s="10" t="s">
        <v>279</v>
      </c>
      <c r="D28" s="10">
        <v>0</v>
      </c>
      <c r="E28" s="10" t="s">
        <v>190</v>
      </c>
      <c r="F28" s="10">
        <v>1</v>
      </c>
      <c r="G28" s="10" t="s">
        <v>231</v>
      </c>
      <c r="H28" s="10" t="s">
        <v>322</v>
      </c>
      <c r="I28" s="10" t="s">
        <v>75</v>
      </c>
      <c r="J28" s="10">
        <v>9</v>
      </c>
      <c r="K28" s="12">
        <v>44930</v>
      </c>
      <c r="L28" s="33">
        <v>0.46201388888888889</v>
      </c>
      <c r="M28" s="10">
        <v>1</v>
      </c>
      <c r="N28" s="10" t="s">
        <v>76</v>
      </c>
      <c r="O28" s="10">
        <v>0.47</v>
      </c>
      <c r="P28" s="10">
        <v>3.5700000000000003E-2</v>
      </c>
      <c r="Q28" s="10">
        <v>26.7</v>
      </c>
      <c r="R28" s="10" t="s">
        <v>77</v>
      </c>
      <c r="S28" s="34">
        <f t="shared" si="0"/>
        <v>26.7</v>
      </c>
      <c r="T28" s="10" t="s">
        <v>956</v>
      </c>
      <c r="U28" s="34" t="str">
        <f t="shared" si="6"/>
        <v/>
      </c>
      <c r="V28" s="31" t="str">
        <f>IF(H28="CHK",VLOOKUP(I28,QCCHK,3,),IF(H28="GUP",VLOOKUP(E28,QCGUP,2,),IF(AND(H28="ATP",OR(I28="TN",I28="TDN",I28="TNO2-3",I28="NO2-3")),VLOOKUP(E28,QCREC_N,2,),IF(AND(H28="NIC",OR(I28="TN",I28="TDN",I28="TNO2-3",I28="NO2-3")),VLOOKUP(E28,QCNIC_N,2,),IF(AND(H28="UREA",OR(I28="TN",I28="TDN",I28="TNO2-3",I28="NO2-3")),VLOOKUP(E28,QCUREA_N,2,),IF(H28="PER",VLOOKUP(I28,QCPER,MATCH(E28,QCACTUAL!$J$25:$AA$25,0),),IF(H28="SPK",VLOOKUP(I28,QCSPK,3,),IF(AND(H28="ATP",OR(I28="TP",I28="TDP")),VLOOKUP(E28,QCATP_P,2,),""))))))))</f>
        <v/>
      </c>
      <c r="W28" s="31" t="str">
        <f t="shared" si="1"/>
        <v>TRUE</v>
      </c>
      <c r="X28" s="31" t="str">
        <f t="shared" si="2"/>
        <v/>
      </c>
      <c r="Y28" s="10" t="s">
        <v>949</v>
      </c>
      <c r="Z28" s="10" t="s">
        <v>910</v>
      </c>
      <c r="AL28" s="10" t="str">
        <f t="shared" si="3"/>
        <v>FALSE</v>
      </c>
      <c r="AM28" s="10" t="str">
        <f t="shared" si="3"/>
        <v>FALSE</v>
      </c>
      <c r="AN28" s="10" t="str">
        <f t="shared" si="3"/>
        <v>FALSE</v>
      </c>
      <c r="AO28" s="10" t="str">
        <f t="shared" si="4"/>
        <v>FALSE</v>
      </c>
      <c r="AP28" s="10" t="str">
        <f t="shared" si="4"/>
        <v>FALSE</v>
      </c>
      <c r="AQ28" s="10" t="b">
        <f>IF(AND(I28="TP",S28&lt;=150),VLOOKUP(AF28,TPCalibEq150!$AZ$2:$BB$55,3,),IF(AND(I28="TDP",S28&lt;=150),VLOOKUP(AF28,TPCalibEq150!$AZ$2:$BB$55,3,)))</f>
        <v>0</v>
      </c>
      <c r="AR28" s="10" t="b">
        <f>IF(AND(I28="TP",S28&lt;=300),VLOOKUP(AF28,TPCalibEq300!$AZ$2:$BB$55,3,),IF(AND(I28="TDP",S28&lt;=300),VLOOKUP(AF28,TPCalibEq300!$AZ$2:$BB$55,3,)))</f>
        <v>0</v>
      </c>
      <c r="AS28" s="10" t="b">
        <f>IF(AND(I28="TP",S28&lt;=500),VLOOKUP(AF28,TPCalibEq500!$AZ$2:$BB$56,3,),IF(AND(I28="TDP",S28&lt;=500),VLOOKUP(AF28,TPCalibEq500!$AZ$2:$BB$56,3,)))</f>
        <v>0</v>
      </c>
      <c r="AT28" s="10" t="b">
        <f>IF(AND(I28="TN",S28&lt;=2800),VLOOKUP(AF28,TNCalibEq2500!$AZ$2:$BB$56,3,),IF(AND(I28="TDN",S28&lt;=2800),VLOOKUP(AF28,TNCalibEq2500!$AZ$2:$BB$56,3,)))</f>
        <v>0</v>
      </c>
      <c r="AU28" s="10" t="b">
        <f>IF(I28="TP",VLOOKUP(AF28,TPCalibEqFull!$AZ$2:$BB$56,3),IF(I28="TDP",VLOOKUP(AF28,TPCalibEqFull!$AZ$2:$BB$56,3),IF(I28="TDN",VLOOKUP(AF28,TNCalibEqFull!$AZ$1:$BB$56,3),IF(I28="TN",VLOOKUP(AF28,TNCalibEqFull!$AZ$1:$BB$56,3),FALSE))))</f>
        <v>0</v>
      </c>
      <c r="AV28" s="10" t="str">
        <f t="shared" si="5"/>
        <v>1220 05:35:00-EFK-0-C-1-SW-UKN</v>
      </c>
    </row>
    <row r="29" spans="1:48" s="10" customFormat="1" x14ac:dyDescent="0.55000000000000004">
      <c r="A29" s="32">
        <v>44915</v>
      </c>
      <c r="B29" s="33">
        <v>0.24652777777777779</v>
      </c>
      <c r="C29" s="10" t="s">
        <v>333</v>
      </c>
      <c r="D29" s="10">
        <v>0</v>
      </c>
      <c r="E29" s="10" t="s">
        <v>190</v>
      </c>
      <c r="F29" s="10">
        <v>1</v>
      </c>
      <c r="G29" s="10" t="s">
        <v>231</v>
      </c>
      <c r="H29" s="10" t="s">
        <v>322</v>
      </c>
      <c r="I29" s="10" t="s">
        <v>75</v>
      </c>
      <c r="J29" s="10">
        <v>10</v>
      </c>
      <c r="K29" s="12">
        <v>44930</v>
      </c>
      <c r="L29" s="33">
        <v>0.46282407407407411</v>
      </c>
      <c r="M29" s="10">
        <v>1</v>
      </c>
      <c r="N29" s="10" t="s">
        <v>76</v>
      </c>
      <c r="O29" s="10">
        <v>9.0300000000000005E-2</v>
      </c>
      <c r="P29" s="10">
        <v>7.7799999999999996E-3</v>
      </c>
      <c r="Q29" s="10">
        <v>5.14</v>
      </c>
      <c r="R29" s="10" t="s">
        <v>77</v>
      </c>
      <c r="S29" s="34">
        <f t="shared" si="0"/>
        <v>5.14</v>
      </c>
      <c r="T29" s="10" t="s">
        <v>956</v>
      </c>
      <c r="U29" s="34" t="str">
        <f t="shared" si="6"/>
        <v/>
      </c>
      <c r="V29" s="31" t="str">
        <f>IF(H29="CHK",VLOOKUP(I29,QCCHK,3,),IF(H29="GUP",VLOOKUP(E29,QCGUP,2,),IF(AND(H29="ATP",OR(I29="TN",I29="TDN",I29="TNO2-3",I29="NO2-3")),VLOOKUP(E29,QCREC_N,2,),IF(AND(H29="NIC",OR(I29="TN",I29="TDN",I29="TNO2-3",I29="NO2-3")),VLOOKUP(E29,QCNIC_N,2,),IF(AND(H29="UREA",OR(I29="TN",I29="TDN",I29="TNO2-3",I29="NO2-3")),VLOOKUP(E29,QCUREA_N,2,),IF(H29="PER",VLOOKUP(I29,QCPER,MATCH(E29,QCACTUAL!$J$25:$AA$25,0),),IF(H29="SPK",VLOOKUP(I29,QCSPK,3,),IF(AND(H29="ATP",OR(I29="TP",I29="TDP")),VLOOKUP(E29,QCATP_P,2,),""))))))))</f>
        <v/>
      </c>
      <c r="W29" s="31" t="str">
        <f t="shared" si="1"/>
        <v>TRUE</v>
      </c>
      <c r="X29" s="31" t="str">
        <f t="shared" si="2"/>
        <v/>
      </c>
      <c r="Y29" s="10" t="s">
        <v>949</v>
      </c>
      <c r="Z29" s="10" t="s">
        <v>910</v>
      </c>
      <c r="AL29" s="10" t="str">
        <f t="shared" si="3"/>
        <v>FALSE</v>
      </c>
      <c r="AM29" s="10" t="str">
        <f t="shared" si="3"/>
        <v>FALSE</v>
      </c>
      <c r="AN29" s="10" t="str">
        <f t="shared" si="3"/>
        <v>FALSE</v>
      </c>
      <c r="AO29" s="10" t="str">
        <f t="shared" si="4"/>
        <v>FALSE</v>
      </c>
      <c r="AP29" s="10" t="str">
        <f t="shared" si="4"/>
        <v>FALSE</v>
      </c>
      <c r="AQ29" s="10" t="b">
        <f>IF(AND(I29="TP",S29&lt;=150),VLOOKUP(AF29,TPCalibEq150!$AZ$2:$BB$55,3,),IF(AND(I29="TDP",S29&lt;=150),VLOOKUP(AF29,TPCalibEq150!$AZ$2:$BB$55,3,)))</f>
        <v>0</v>
      </c>
      <c r="AR29" s="10" t="b">
        <f>IF(AND(I29="TP",S29&lt;=300),VLOOKUP(AF29,TPCalibEq300!$AZ$2:$BB$55,3,),IF(AND(I29="TDP",S29&lt;=300),VLOOKUP(AF29,TPCalibEq300!$AZ$2:$BB$55,3,)))</f>
        <v>0</v>
      </c>
      <c r="AS29" s="10" t="b">
        <f>IF(AND(I29="TP",S29&lt;=500),VLOOKUP(AF29,TPCalibEq500!$AZ$2:$BB$56,3,),IF(AND(I29="TDP",S29&lt;=500),VLOOKUP(AF29,TPCalibEq500!$AZ$2:$BB$56,3,)))</f>
        <v>0</v>
      </c>
      <c r="AT29" s="10" t="b">
        <f>IF(AND(I29="TN",S29&lt;=2800),VLOOKUP(AF29,TNCalibEq2500!$AZ$2:$BB$56,3,),IF(AND(I29="TDN",S29&lt;=2800),VLOOKUP(AF29,TNCalibEq2500!$AZ$2:$BB$56,3,)))</f>
        <v>0</v>
      </c>
      <c r="AU29" s="10" t="b">
        <f>IF(I29="TP",VLOOKUP(AF29,TPCalibEqFull!$AZ$2:$BB$56,3),IF(I29="TDP",VLOOKUP(AF29,TPCalibEqFull!$AZ$2:$BB$56,3),IF(I29="TDN",VLOOKUP(AF29,TNCalibEqFull!$AZ$1:$BB$56,3),IF(I29="TN",VLOOKUP(AF29,TNCalibEqFull!$AZ$1:$BB$56,3),FALSE))))</f>
        <v>0</v>
      </c>
      <c r="AV29" s="10" t="str">
        <f t="shared" si="5"/>
        <v>1220 05:55:00-HST-0-C-1-SW-UKN</v>
      </c>
    </row>
    <row r="30" spans="1:48" s="10" customFormat="1" x14ac:dyDescent="0.55000000000000004">
      <c r="A30" s="32">
        <v>44915</v>
      </c>
      <c r="B30" s="33">
        <v>0.24652777777777779</v>
      </c>
      <c r="C30" s="10" t="s">
        <v>333</v>
      </c>
      <c r="D30" s="10">
        <v>0</v>
      </c>
      <c r="E30" s="10" t="s">
        <v>190</v>
      </c>
      <c r="F30" s="10">
        <v>1</v>
      </c>
      <c r="G30" s="10" t="s">
        <v>231</v>
      </c>
      <c r="H30" s="10" t="s">
        <v>233</v>
      </c>
      <c r="I30" s="10" t="s">
        <v>75</v>
      </c>
      <c r="J30" s="10">
        <v>10</v>
      </c>
      <c r="K30" s="12">
        <v>44930</v>
      </c>
      <c r="L30" s="33">
        <v>0.46363425925925927</v>
      </c>
      <c r="M30" s="10">
        <v>1</v>
      </c>
      <c r="N30" s="10" t="s">
        <v>76</v>
      </c>
      <c r="O30" s="10">
        <v>9.7699999999999995E-2</v>
      </c>
      <c r="P30" s="10">
        <v>8.1499999999999993E-3</v>
      </c>
      <c r="Q30" s="10">
        <v>5.56</v>
      </c>
      <c r="R30" s="10" t="s">
        <v>77</v>
      </c>
      <c r="S30" s="34">
        <f t="shared" si="0"/>
        <v>5.56</v>
      </c>
      <c r="T30" s="10" t="s">
        <v>956</v>
      </c>
      <c r="U30" s="34">
        <f t="shared" si="6"/>
        <v>7.8504672897196262</v>
      </c>
      <c r="V30" s="31" t="str">
        <f>IF(H30="CHK",VLOOKUP(I30,QCCHK,3,),IF(H30="GUP",VLOOKUP(E30,QCGUP,2,),IF(AND(H30="ATP",OR(I30="TN",I30="TDN",I30="TNO2-3",I30="NO2-3")),VLOOKUP(E30,QCREC_N,2,),IF(AND(H30="NIC",OR(I30="TN",I30="TDN",I30="TNO2-3",I30="NO2-3")),VLOOKUP(E30,QCNIC_N,2,),IF(AND(H30="UREA",OR(I30="TN",I30="TDN",I30="TNO2-3",I30="NO2-3")),VLOOKUP(E30,QCUREA_N,2,),IF(H30="PER",VLOOKUP(I30,QCPER,MATCH(E30,QCACTUAL!$J$25:$AA$25,0),),IF(H30="SPK",VLOOKUP(I30,QCSPK,3,),IF(AND(H30="ATP",OR(I30="TP",I30="TDP")),VLOOKUP(E30,QCATP_P,2,),""))))))))</f>
        <v/>
      </c>
      <c r="W30" s="31" t="str">
        <f t="shared" si="1"/>
        <v>TRUE</v>
      </c>
      <c r="X30" s="31" t="str">
        <f t="shared" si="2"/>
        <v>((ABS(rep1-rep2))/((rep1+rep2)/2)*100</v>
      </c>
      <c r="Y30" s="10" t="s">
        <v>949</v>
      </c>
      <c r="Z30" s="10" t="s">
        <v>910</v>
      </c>
      <c r="AL30" s="10" t="str">
        <f t="shared" si="3"/>
        <v>FALSE</v>
      </c>
      <c r="AM30" s="10" t="str">
        <f t="shared" si="3"/>
        <v>FALSE</v>
      </c>
      <c r="AN30" s="10" t="str">
        <f t="shared" si="3"/>
        <v>FALSE</v>
      </c>
      <c r="AO30" s="10" t="str">
        <f t="shared" si="4"/>
        <v>FALSE</v>
      </c>
      <c r="AP30" s="10" t="str">
        <f t="shared" si="4"/>
        <v>FALSE</v>
      </c>
      <c r="AQ30" s="10" t="b">
        <f>IF(AND(I30="TP",S30&lt;=150),VLOOKUP(AF30,TPCalibEq150!$AZ$2:$BB$55,3,),IF(AND(I30="TDP",S30&lt;=150),VLOOKUP(AF30,TPCalibEq150!$AZ$2:$BB$55,3,)))</f>
        <v>0</v>
      </c>
      <c r="AR30" s="10" t="b">
        <f>IF(AND(I30="TP",S30&lt;=300),VLOOKUP(AF30,TPCalibEq300!$AZ$2:$BB$55,3,),IF(AND(I30="TDP",S30&lt;=300),VLOOKUP(AF30,TPCalibEq300!$AZ$2:$BB$55,3,)))</f>
        <v>0</v>
      </c>
      <c r="AS30" s="10" t="b">
        <f>IF(AND(I30="TP",S30&lt;=500),VLOOKUP(AF30,TPCalibEq500!$AZ$2:$BB$56,3,),IF(AND(I30="TDP",S30&lt;=500),VLOOKUP(AF30,TPCalibEq500!$AZ$2:$BB$56,3,)))</f>
        <v>0</v>
      </c>
      <c r="AT30" s="10" t="b">
        <f>IF(AND(I30="TN",S30&lt;=2800),VLOOKUP(AF30,TNCalibEq2500!$AZ$2:$BB$56,3,),IF(AND(I30="TDN",S30&lt;=2800),VLOOKUP(AF30,TNCalibEq2500!$AZ$2:$BB$56,3,)))</f>
        <v>0</v>
      </c>
      <c r="AU30" s="10" t="b">
        <f>IF(I30="TP",VLOOKUP(AF30,TPCalibEqFull!$AZ$2:$BB$56,3),IF(I30="TDP",VLOOKUP(AF30,TPCalibEqFull!$AZ$2:$BB$56,3),IF(I30="TDN",VLOOKUP(AF30,TNCalibEqFull!$AZ$1:$BB$56,3),IF(I30="TN",VLOOKUP(AF30,TNCalibEqFull!$AZ$1:$BB$56,3),FALSE))))</f>
        <v>0</v>
      </c>
      <c r="AV30" s="10" t="str">
        <f t="shared" si="5"/>
        <v>1220 05:55:00-HST-0-C-1-SW-DUP</v>
      </c>
    </row>
    <row r="31" spans="1:48" s="10" customFormat="1" x14ac:dyDescent="0.55000000000000004">
      <c r="A31" s="32">
        <v>44915</v>
      </c>
      <c r="B31" s="33">
        <v>0.24652777777777779</v>
      </c>
      <c r="C31" s="10" t="s">
        <v>912</v>
      </c>
      <c r="D31" s="10">
        <v>0</v>
      </c>
      <c r="E31" s="10" t="s">
        <v>190</v>
      </c>
      <c r="F31" s="10">
        <v>1</v>
      </c>
      <c r="G31" s="10" t="s">
        <v>231</v>
      </c>
      <c r="H31" s="10" t="s">
        <v>314</v>
      </c>
      <c r="I31" s="10" t="s">
        <v>75</v>
      </c>
      <c r="J31" s="10">
        <v>49</v>
      </c>
      <c r="K31" s="12">
        <v>44930</v>
      </c>
      <c r="L31" s="33">
        <v>0.46445601851851853</v>
      </c>
      <c r="M31" s="10">
        <v>1</v>
      </c>
      <c r="N31" s="10" t="s">
        <v>76</v>
      </c>
      <c r="O31" s="10">
        <v>12.5</v>
      </c>
      <c r="P31" s="10">
        <v>1.01</v>
      </c>
      <c r="Q31" s="10">
        <v>702</v>
      </c>
      <c r="R31" s="10" t="s">
        <v>77</v>
      </c>
      <c r="S31" s="34">
        <f t="shared" si="0"/>
        <v>702</v>
      </c>
      <c r="T31" s="10" t="s">
        <v>956</v>
      </c>
      <c r="U31" s="34">
        <f t="shared" si="6"/>
        <v>111.43040000000002</v>
      </c>
      <c r="V31" s="31">
        <f>IF(H31="CHK",VLOOKUP(I31,QCCHK,3,),IF(H31="GUP",VLOOKUP(E31,QCGUP,2,),IF(AND(H31="ATP",OR(I31="TN",I31="TDN",I31="TNO2-3",I31="NO2-3")),VLOOKUP(E31,QCREC_N,2,),IF(AND(H31="NIC",OR(I31="TN",I31="TDN",I31="TNO2-3",I31="NO2-3")),VLOOKUP(E31,QCNIC_N,2,),IF(AND(H31="UREA",OR(I31="TN",I31="TDN",I31="TNO2-3",I31="NO2-3")),VLOOKUP(E31,QCUREA_N,2,),IF(H31="PER",VLOOKUP(I31,QCPER,MATCH(E31,QCACTUAL!$J$25:$AA$25,0),),IF(H31="SPK",VLOOKUP(I31,QCSPK,3,),IF(AND(H31="ATP",OR(I31="TP",I31="TDP")),VLOOKUP(E31,QCATP_P,2,),""))))))))</f>
        <v>625</v>
      </c>
      <c r="W31" s="31" t="str">
        <f t="shared" si="1"/>
        <v>TRUE</v>
      </c>
      <c r="X31" s="31" t="str">
        <f t="shared" si="2"/>
        <v>([spikedunkn]-[unkn])/[spike]*100</v>
      </c>
      <c r="Y31" s="10" t="s">
        <v>949</v>
      </c>
      <c r="Z31" s="10" t="s">
        <v>910</v>
      </c>
      <c r="AL31" s="10" t="str">
        <f t="shared" si="3"/>
        <v>FALSE</v>
      </c>
      <c r="AM31" s="10" t="str">
        <f t="shared" si="3"/>
        <v>FALSE</v>
      </c>
      <c r="AN31" s="10" t="str">
        <f t="shared" si="3"/>
        <v>FALSE</v>
      </c>
      <c r="AO31" s="10" t="str">
        <f t="shared" si="4"/>
        <v>FALSE</v>
      </c>
      <c r="AP31" s="10" t="str">
        <f t="shared" si="4"/>
        <v>FALSE</v>
      </c>
      <c r="AQ31" s="10" t="b">
        <f>IF(AND(I31="TP",S31&lt;=150),VLOOKUP(AF31,TPCalibEq150!$AZ$2:$BB$55,3,),IF(AND(I31="TDP",S31&lt;=150),VLOOKUP(AF31,TPCalibEq150!$AZ$2:$BB$55,3,)))</f>
        <v>0</v>
      </c>
      <c r="AR31" s="10" t="b">
        <f>IF(AND(I31="TP",S31&lt;=300),VLOOKUP(AF31,TPCalibEq300!$AZ$2:$BB$55,3,),IF(AND(I31="TDP",S31&lt;=300),VLOOKUP(AF31,TPCalibEq300!$AZ$2:$BB$55,3,)))</f>
        <v>0</v>
      </c>
      <c r="AS31" s="10" t="b">
        <f>IF(AND(I31="TP",S31&lt;=500),VLOOKUP(AF31,TPCalibEq500!$AZ$2:$BB$56,3,),IF(AND(I31="TDP",S31&lt;=500),VLOOKUP(AF31,TPCalibEq500!$AZ$2:$BB$56,3,)))</f>
        <v>0</v>
      </c>
      <c r="AT31" s="10" t="b">
        <f>IF(AND(I31="TN",S31&lt;=2800),VLOOKUP(AF31,TNCalibEq2500!$AZ$2:$BB$56,3,),IF(AND(I31="TDN",S31&lt;=2800),VLOOKUP(AF31,TNCalibEq2500!$AZ$2:$BB$56,3,)))</f>
        <v>0</v>
      </c>
      <c r="AU31" s="10" t="b">
        <f>IF(I31="TP",VLOOKUP(AF31,TPCalibEqFull!$AZ$2:$BB$56,3),IF(I31="TDP",VLOOKUP(AF31,TPCalibEqFull!$AZ$2:$BB$56,3),IF(I31="TDN",VLOOKUP(AF31,TNCalibEqFull!$AZ$1:$BB$56,3),IF(I31="TN",VLOOKUP(AF31,TNCalibEqFull!$AZ$1:$BB$56,3),FALSE))))</f>
        <v>0</v>
      </c>
      <c r="AV31" s="10" t="str">
        <f t="shared" si="5"/>
        <v>1220 05:55:00-HST -0-C-1-SW-SPK</v>
      </c>
    </row>
    <row r="32" spans="1:48" s="10" customFormat="1" x14ac:dyDescent="0.55000000000000004">
      <c r="A32" s="32">
        <v>44930</v>
      </c>
      <c r="B32" s="33">
        <v>0.375</v>
      </c>
      <c r="C32" s="10" t="s">
        <v>70</v>
      </c>
      <c r="D32" s="10" t="s">
        <v>71</v>
      </c>
      <c r="E32" s="10" t="s">
        <v>901</v>
      </c>
      <c r="F32" s="10">
        <v>1</v>
      </c>
      <c r="G32" s="10" t="s">
        <v>73</v>
      </c>
      <c r="H32" s="10" t="s">
        <v>207</v>
      </c>
      <c r="I32" s="10" t="s">
        <v>75</v>
      </c>
      <c r="J32" s="10">
        <v>199</v>
      </c>
      <c r="K32" s="12">
        <v>44930</v>
      </c>
      <c r="L32" s="33">
        <v>0.46527777777777773</v>
      </c>
      <c r="M32" s="10">
        <v>1</v>
      </c>
      <c r="N32" s="10" t="s">
        <v>76</v>
      </c>
      <c r="O32" s="10">
        <v>5.46</v>
      </c>
      <c r="P32" s="10">
        <v>0.438</v>
      </c>
      <c r="Q32" s="10">
        <v>309</v>
      </c>
      <c r="R32" s="10" t="s">
        <v>77</v>
      </c>
      <c r="S32" s="34">
        <f t="shared" si="0"/>
        <v>309</v>
      </c>
      <c r="T32" s="10" t="s">
        <v>956</v>
      </c>
      <c r="U32" s="34">
        <f t="shared" si="6"/>
        <v>103</v>
      </c>
      <c r="V32" s="31">
        <f>IF(H32="CHK",VLOOKUP(I32,QCCHK,3,),IF(H32="GUP",VLOOKUP(E32,QCGUP,2,),IF(AND(H32="ATP",OR(I32="TN",I32="TDN",I32="TNO2-3",I32="NO2-3")),VLOOKUP(E32,QCREC_N,2,),IF(AND(H32="NIC",OR(I32="TN",I32="TDN",I32="TNO2-3",I32="NO2-3")),VLOOKUP(E32,QCNIC_N,2,),IF(AND(H32="UREA",OR(I32="TN",I32="TDN",I32="TNO2-3",I32="NO2-3")),VLOOKUP(E32,QCUREA_N,2,),IF(H32="PER",VLOOKUP(I32,QCPER,MATCH(E32,QCACTUAL!$J$25:$AA$25,0),),IF(H32="SPK",VLOOKUP(I32,QCSPK,3,),IF(AND(H32="ATP",OR(I32="TP",I32="TDP")),VLOOKUP(E32,QCATP_P,2,),""))))))))</f>
        <v>300</v>
      </c>
      <c r="W32" s="31" t="str">
        <f t="shared" si="1"/>
        <v>TRUE</v>
      </c>
      <c r="X32" s="31" t="str">
        <f t="shared" si="2"/>
        <v>[chk]/[actual]*100</v>
      </c>
      <c r="Y32" s="10" t="s">
        <v>949</v>
      </c>
      <c r="AL32" s="10" t="str">
        <f t="shared" si="3"/>
        <v>FALSE</v>
      </c>
      <c r="AM32" s="10" t="str">
        <f t="shared" si="3"/>
        <v>FALSE</v>
      </c>
      <c r="AN32" s="10" t="str">
        <f t="shared" si="3"/>
        <v>FALSE</v>
      </c>
      <c r="AO32" s="10" t="str">
        <f t="shared" si="4"/>
        <v>FALSE</v>
      </c>
      <c r="AP32" s="10" t="str">
        <f t="shared" si="4"/>
        <v>FALSE</v>
      </c>
      <c r="AQ32" s="10" t="b">
        <f>IF(AND(I32="TP",S32&lt;=150),VLOOKUP(AF32,TPCalibEq150!$AZ$2:$BB$55,3,),IF(AND(I32="TDP",S32&lt;=150),VLOOKUP(AF32,TPCalibEq150!$AZ$2:$BB$55,3,)))</f>
        <v>0</v>
      </c>
      <c r="AR32" s="10" t="b">
        <f>IF(AND(I32="TP",S32&lt;=300),VLOOKUP(AF32,TPCalibEq300!$AZ$2:$BB$55,3,),IF(AND(I32="TDP",S32&lt;=300),VLOOKUP(AF32,TPCalibEq300!$AZ$2:$BB$55,3,)))</f>
        <v>0</v>
      </c>
      <c r="AS32" s="10" t="b">
        <f>IF(AND(I32="TP",S32&lt;=500),VLOOKUP(AF32,TPCalibEq500!$AZ$2:$BB$56,3,),IF(AND(I32="TDP",S32&lt;=500),VLOOKUP(AF32,TPCalibEq500!$AZ$2:$BB$56,3,)))</f>
        <v>0</v>
      </c>
      <c r="AT32" s="10" t="b">
        <f>IF(AND(I32="TN",S32&lt;=2800),VLOOKUP(AF32,TNCalibEq2500!$AZ$2:$BB$56,3,),IF(AND(I32="TDN",S32&lt;=2800),VLOOKUP(AF32,TNCalibEq2500!$AZ$2:$BB$56,3,)))</f>
        <v>0</v>
      </c>
      <c r="AU32" s="10" t="b">
        <f>IF(I32="TP",VLOOKUP(AF32,TPCalibEqFull!$AZ$2:$BB$56,3),IF(I32="TDP",VLOOKUP(AF32,TPCalibEqFull!$AZ$2:$BB$56,3),IF(I32="TDN",VLOOKUP(AF32,TNCalibEqFull!$AZ$1:$BB$56,3),IF(I32="TN",VLOOKUP(AF32,TNCalibEqFull!$AZ$1:$BB$56,3),FALSE))))</f>
        <v>0</v>
      </c>
      <c r="AV32" s="10" t="str">
        <f t="shared" si="5"/>
        <v>0104 09:00:00-QAC-STD-D-1-DI-CHK</v>
      </c>
    </row>
    <row r="33" spans="1:48" s="10" customFormat="1" x14ac:dyDescent="0.55000000000000004">
      <c r="A33" s="32">
        <v>44916</v>
      </c>
      <c r="B33" s="33">
        <v>0.22916666666666666</v>
      </c>
      <c r="C33" s="10" t="s">
        <v>279</v>
      </c>
      <c r="D33" s="10">
        <v>0</v>
      </c>
      <c r="E33" s="10" t="s">
        <v>190</v>
      </c>
      <c r="F33" s="10">
        <v>1</v>
      </c>
      <c r="G33" s="10" t="s">
        <v>231</v>
      </c>
      <c r="H33" s="10" t="s">
        <v>322</v>
      </c>
      <c r="I33" s="10" t="s">
        <v>75</v>
      </c>
      <c r="J33" s="10">
        <v>11</v>
      </c>
      <c r="K33" s="12">
        <v>44930</v>
      </c>
      <c r="L33" s="33">
        <v>0.46609953703703705</v>
      </c>
      <c r="M33" s="10">
        <v>1</v>
      </c>
      <c r="N33" s="10" t="s">
        <v>76</v>
      </c>
      <c r="O33" s="10">
        <v>0.20799999999999999</v>
      </c>
      <c r="P33" s="10">
        <v>1.4500000000000001E-2</v>
      </c>
      <c r="Q33" s="10">
        <v>11.8</v>
      </c>
      <c r="R33" s="10" t="s">
        <v>77</v>
      </c>
      <c r="S33" s="34">
        <f t="shared" si="0"/>
        <v>11.8</v>
      </c>
      <c r="T33" s="10" t="s">
        <v>956</v>
      </c>
      <c r="U33" s="34" t="str">
        <f t="shared" si="6"/>
        <v/>
      </c>
      <c r="V33" s="31" t="str">
        <f>IF(H33="CHK",VLOOKUP(I33,QCCHK,3,),IF(H33="GUP",VLOOKUP(E33,QCGUP,2,),IF(AND(H33="ATP",OR(I33="TN",I33="TDN",I33="TNO2-3",I33="NO2-3")),VLOOKUP(E33,QCREC_N,2,),IF(AND(H33="NIC",OR(I33="TN",I33="TDN",I33="TNO2-3",I33="NO2-3")),VLOOKUP(E33,QCNIC_N,2,),IF(AND(H33="UREA",OR(I33="TN",I33="TDN",I33="TNO2-3",I33="NO2-3")),VLOOKUP(E33,QCUREA_N,2,),IF(H33="PER",VLOOKUP(I33,QCPER,MATCH(E33,QCACTUAL!$J$25:$AA$25,0),),IF(H33="SPK",VLOOKUP(I33,QCSPK,3,),IF(AND(H33="ATP",OR(I33="TP",I33="TDP")),VLOOKUP(E33,QCATP_P,2,),""))))))))</f>
        <v/>
      </c>
      <c r="W33" s="31" t="str">
        <f t="shared" si="1"/>
        <v>TRUE</v>
      </c>
      <c r="X33" s="31" t="str">
        <f t="shared" si="2"/>
        <v/>
      </c>
      <c r="Y33" s="10" t="s">
        <v>949</v>
      </c>
      <c r="Z33" s="10" t="s">
        <v>910</v>
      </c>
      <c r="AL33" s="10" t="str">
        <f t="shared" si="3"/>
        <v>FALSE</v>
      </c>
      <c r="AM33" s="10" t="str">
        <f t="shared" si="3"/>
        <v>FALSE</v>
      </c>
      <c r="AN33" s="10" t="str">
        <f t="shared" si="3"/>
        <v>FALSE</v>
      </c>
      <c r="AO33" s="10" t="str">
        <f t="shared" si="4"/>
        <v>FALSE</v>
      </c>
      <c r="AP33" s="10" t="str">
        <f t="shared" si="4"/>
        <v>FALSE</v>
      </c>
      <c r="AQ33" s="10" t="b">
        <f>IF(AND(I33="TP",S33&lt;=150),VLOOKUP(AF33,TPCalibEq150!$AZ$2:$BB$55,3,),IF(AND(I33="TDP",S33&lt;=150),VLOOKUP(AF33,TPCalibEq150!$AZ$2:$BB$55,3,)))</f>
        <v>0</v>
      </c>
      <c r="AR33" s="10" t="b">
        <f>IF(AND(I33="TP",S33&lt;=300),VLOOKUP(AF33,TPCalibEq300!$AZ$2:$BB$55,3,),IF(AND(I33="TDP",S33&lt;=300),VLOOKUP(AF33,TPCalibEq300!$AZ$2:$BB$55,3,)))</f>
        <v>0</v>
      </c>
      <c r="AS33" s="10" t="b">
        <f>IF(AND(I33="TP",S33&lt;=500),VLOOKUP(AF33,TPCalibEq500!$AZ$2:$BB$56,3,),IF(AND(I33="TDP",S33&lt;=500),VLOOKUP(AF33,TPCalibEq500!$AZ$2:$BB$56,3,)))</f>
        <v>0</v>
      </c>
      <c r="AT33" s="10" t="b">
        <f>IF(AND(I33="TN",S33&lt;=2800),VLOOKUP(AF33,TNCalibEq2500!$AZ$2:$BB$56,3,),IF(AND(I33="TDN",S33&lt;=2800),VLOOKUP(AF33,TNCalibEq2500!$AZ$2:$BB$56,3,)))</f>
        <v>0</v>
      </c>
      <c r="AU33" s="10" t="b">
        <f>IF(I33="TP",VLOOKUP(AF33,TPCalibEqFull!$AZ$2:$BB$56,3),IF(I33="TDP",VLOOKUP(AF33,TPCalibEqFull!$AZ$2:$BB$56,3),IF(I33="TDN",VLOOKUP(AF33,TNCalibEqFull!$AZ$1:$BB$56,3),IF(I33="TN",VLOOKUP(AF33,TNCalibEqFull!$AZ$1:$BB$56,3),FALSE))))</f>
        <v>0</v>
      </c>
      <c r="AV33" s="10" t="str">
        <f t="shared" si="5"/>
        <v>1221 05:30:00-EFK-0-C-1-SW-UKN</v>
      </c>
    </row>
    <row r="34" spans="1:48" s="10" customFormat="1" x14ac:dyDescent="0.55000000000000004">
      <c r="A34" s="32">
        <v>44916</v>
      </c>
      <c r="B34" s="33">
        <v>0.23611111111111113</v>
      </c>
      <c r="C34" s="10" t="s">
        <v>333</v>
      </c>
      <c r="D34" s="10">
        <v>0</v>
      </c>
      <c r="E34" s="10" t="s">
        <v>190</v>
      </c>
      <c r="F34" s="10">
        <v>1</v>
      </c>
      <c r="G34" s="10" t="s">
        <v>231</v>
      </c>
      <c r="H34" s="10" t="s">
        <v>322</v>
      </c>
      <c r="I34" s="10" t="s">
        <v>75</v>
      </c>
      <c r="J34" s="10">
        <v>12</v>
      </c>
      <c r="K34" s="12">
        <v>44930</v>
      </c>
      <c r="L34" s="33">
        <v>0.46689814814814817</v>
      </c>
      <c r="M34" s="10">
        <v>1</v>
      </c>
      <c r="N34" s="10" t="s">
        <v>76</v>
      </c>
      <c r="O34" s="10">
        <v>5.5100000000000003E-2</v>
      </c>
      <c r="P34" s="10">
        <v>4.7600000000000003E-3</v>
      </c>
      <c r="Q34" s="10">
        <v>3.14</v>
      </c>
      <c r="R34" s="10" t="s">
        <v>77</v>
      </c>
      <c r="S34" s="34">
        <f t="shared" si="0"/>
        <v>3.14</v>
      </c>
      <c r="T34" s="10" t="s">
        <v>956</v>
      </c>
      <c r="U34" s="34" t="str">
        <f t="shared" si="6"/>
        <v/>
      </c>
      <c r="V34" s="31" t="str">
        <f>IF(H34="CHK",VLOOKUP(I34,QCCHK,3,),IF(H34="GUP",VLOOKUP(E34,QCGUP,2,),IF(AND(H34="ATP",OR(I34="TN",I34="TDN",I34="TNO2-3",I34="NO2-3")),VLOOKUP(E34,QCREC_N,2,),IF(AND(H34="NIC",OR(I34="TN",I34="TDN",I34="TNO2-3",I34="NO2-3")),VLOOKUP(E34,QCNIC_N,2,),IF(AND(H34="UREA",OR(I34="TN",I34="TDN",I34="TNO2-3",I34="NO2-3")),VLOOKUP(E34,QCUREA_N,2,),IF(H34="PER",VLOOKUP(I34,QCPER,MATCH(E34,QCACTUAL!$J$25:$AA$25,0),),IF(H34="SPK",VLOOKUP(I34,QCSPK,3,),IF(AND(H34="ATP",OR(I34="TP",I34="TDP")),VLOOKUP(E34,QCATP_P,2,),""))))))))</f>
        <v/>
      </c>
      <c r="W34" s="31" t="str">
        <f t="shared" si="1"/>
        <v>TRUE</v>
      </c>
      <c r="X34" s="31" t="str">
        <f t="shared" si="2"/>
        <v/>
      </c>
      <c r="Y34" s="10" t="s">
        <v>949</v>
      </c>
      <c r="Z34" s="10" t="s">
        <v>910</v>
      </c>
      <c r="AL34" s="10" t="str">
        <f t="shared" si="3"/>
        <v>FALSE</v>
      </c>
      <c r="AM34" s="10" t="str">
        <f t="shared" si="3"/>
        <v>FALSE</v>
      </c>
      <c r="AN34" s="10" t="str">
        <f t="shared" si="3"/>
        <v>FALSE</v>
      </c>
      <c r="AO34" s="10" t="str">
        <f t="shared" si="4"/>
        <v>FALSE</v>
      </c>
      <c r="AP34" s="10" t="str">
        <f t="shared" si="4"/>
        <v>FALSE</v>
      </c>
      <c r="AQ34" s="10" t="b">
        <f>IF(AND(I34="TP",S34&lt;=150),VLOOKUP(AF34,TPCalibEq150!$AZ$2:$BB$55,3,),IF(AND(I34="TDP",S34&lt;=150),VLOOKUP(AF34,TPCalibEq150!$AZ$2:$BB$55,3,)))</f>
        <v>0</v>
      </c>
      <c r="AR34" s="10" t="b">
        <f>IF(AND(I34="TP",S34&lt;=300),VLOOKUP(AF34,TPCalibEq300!$AZ$2:$BB$55,3,),IF(AND(I34="TDP",S34&lt;=300),VLOOKUP(AF34,TPCalibEq300!$AZ$2:$BB$55,3,)))</f>
        <v>0</v>
      </c>
      <c r="AS34" s="10" t="b">
        <f>IF(AND(I34="TP",S34&lt;=500),VLOOKUP(AF34,TPCalibEq500!$AZ$2:$BB$56,3,),IF(AND(I34="TDP",S34&lt;=500),VLOOKUP(AF34,TPCalibEq500!$AZ$2:$BB$56,3,)))</f>
        <v>0</v>
      </c>
      <c r="AT34" s="10" t="b">
        <f>IF(AND(I34="TN",S34&lt;=2800),VLOOKUP(AF34,TNCalibEq2500!$AZ$2:$BB$56,3,),IF(AND(I34="TDN",S34&lt;=2800),VLOOKUP(AF34,TNCalibEq2500!$AZ$2:$BB$56,3,)))</f>
        <v>0</v>
      </c>
      <c r="AU34" s="10" t="b">
        <f>IF(I34="TP",VLOOKUP(AF34,TPCalibEqFull!$AZ$2:$BB$56,3),IF(I34="TDP",VLOOKUP(AF34,TPCalibEqFull!$AZ$2:$BB$56,3),IF(I34="TDN",VLOOKUP(AF34,TNCalibEqFull!$AZ$1:$BB$56,3),IF(I34="TN",VLOOKUP(AF34,TNCalibEqFull!$AZ$1:$BB$56,3),FALSE))))</f>
        <v>0</v>
      </c>
      <c r="AV34" s="10" t="str">
        <f t="shared" si="5"/>
        <v>1221 05:40:00-HST-0-C-1-SW-UKN</v>
      </c>
    </row>
    <row r="35" spans="1:48" s="10" customFormat="1" x14ac:dyDescent="0.55000000000000004">
      <c r="A35" s="32">
        <v>44917</v>
      </c>
      <c r="B35" s="33">
        <v>0.24513888888888888</v>
      </c>
      <c r="C35" s="10" t="s">
        <v>279</v>
      </c>
      <c r="D35" s="10">
        <v>0</v>
      </c>
      <c r="E35" s="10" t="s">
        <v>190</v>
      </c>
      <c r="F35" s="10">
        <v>1</v>
      </c>
      <c r="G35" s="10" t="s">
        <v>231</v>
      </c>
      <c r="H35" s="10" t="s">
        <v>322</v>
      </c>
      <c r="I35" s="10" t="s">
        <v>75</v>
      </c>
      <c r="J35" s="10">
        <v>13</v>
      </c>
      <c r="K35" s="12">
        <v>44930</v>
      </c>
      <c r="L35" s="33">
        <v>0.46770833333333334</v>
      </c>
      <c r="M35" s="10">
        <v>1</v>
      </c>
      <c r="N35" s="10" t="s">
        <v>76</v>
      </c>
      <c r="O35" s="10">
        <v>0.82099999999999995</v>
      </c>
      <c r="P35" s="10">
        <v>6.4100000000000004E-2</v>
      </c>
      <c r="Q35" s="10">
        <v>46.7</v>
      </c>
      <c r="R35" s="10" t="s">
        <v>77</v>
      </c>
      <c r="S35" s="34">
        <f t="shared" si="0"/>
        <v>46.7</v>
      </c>
      <c r="T35" s="10" t="s">
        <v>956</v>
      </c>
      <c r="U35" s="34" t="str">
        <f t="shared" si="6"/>
        <v/>
      </c>
      <c r="V35" s="31" t="str">
        <f>IF(H35="CHK",VLOOKUP(I35,QCCHK,3,),IF(H35="GUP",VLOOKUP(E35,QCGUP,2,),IF(AND(H35="ATP",OR(I35="TN",I35="TDN",I35="TNO2-3",I35="NO2-3")),VLOOKUP(E35,QCREC_N,2,),IF(AND(H35="NIC",OR(I35="TN",I35="TDN",I35="TNO2-3",I35="NO2-3")),VLOOKUP(E35,QCNIC_N,2,),IF(AND(H35="UREA",OR(I35="TN",I35="TDN",I35="TNO2-3",I35="NO2-3")),VLOOKUP(E35,QCUREA_N,2,),IF(H35="PER",VLOOKUP(I35,QCPER,MATCH(E35,QCACTUAL!$J$25:$AA$25,0),),IF(H35="SPK",VLOOKUP(I35,QCSPK,3,),IF(AND(H35="ATP",OR(I35="TP",I35="TDP")),VLOOKUP(E35,QCATP_P,2,),""))))))))</f>
        <v/>
      </c>
      <c r="W35" s="31" t="str">
        <f t="shared" si="1"/>
        <v>TRUE</v>
      </c>
      <c r="X35" s="31" t="str">
        <f t="shared" si="2"/>
        <v/>
      </c>
      <c r="Y35" s="10" t="s">
        <v>949</v>
      </c>
      <c r="Z35" s="10" t="s">
        <v>910</v>
      </c>
      <c r="AL35" s="10" t="str">
        <f t="shared" si="3"/>
        <v>FALSE</v>
      </c>
      <c r="AM35" s="10" t="str">
        <f t="shared" si="3"/>
        <v>FALSE</v>
      </c>
      <c r="AN35" s="10" t="str">
        <f t="shared" si="3"/>
        <v>FALSE</v>
      </c>
      <c r="AO35" s="10" t="str">
        <f t="shared" si="4"/>
        <v>FALSE</v>
      </c>
      <c r="AP35" s="10" t="str">
        <f t="shared" si="4"/>
        <v>FALSE</v>
      </c>
      <c r="AQ35" s="10" t="b">
        <f>IF(AND(I35="TP",S35&lt;=150),VLOOKUP(AF35,TPCalibEq150!$AZ$2:$BB$55,3,),IF(AND(I35="TDP",S35&lt;=150),VLOOKUP(AF35,TPCalibEq150!$AZ$2:$BB$55,3,)))</f>
        <v>0</v>
      </c>
      <c r="AR35" s="10" t="b">
        <f>IF(AND(I35="TP",S35&lt;=300),VLOOKUP(AF35,TPCalibEq300!$AZ$2:$BB$55,3,),IF(AND(I35="TDP",S35&lt;=300),VLOOKUP(AF35,TPCalibEq300!$AZ$2:$BB$55,3,)))</f>
        <v>0</v>
      </c>
      <c r="AS35" s="10" t="b">
        <f>IF(AND(I35="TP",S35&lt;=500),VLOOKUP(AF35,TPCalibEq500!$AZ$2:$BB$56,3,),IF(AND(I35="TDP",S35&lt;=500),VLOOKUP(AF35,TPCalibEq500!$AZ$2:$BB$56,3,)))</f>
        <v>0</v>
      </c>
      <c r="AT35" s="10" t="b">
        <f>IF(AND(I35="TN",S35&lt;=2800),VLOOKUP(AF35,TNCalibEq2500!$AZ$2:$BB$56,3,),IF(AND(I35="TDN",S35&lt;=2800),VLOOKUP(AF35,TNCalibEq2500!$AZ$2:$BB$56,3,)))</f>
        <v>0</v>
      </c>
      <c r="AU35" s="10" t="b">
        <f>IF(I35="TP",VLOOKUP(AF35,TPCalibEqFull!$AZ$2:$BB$56,3),IF(I35="TDP",VLOOKUP(AF35,TPCalibEqFull!$AZ$2:$BB$56,3),IF(I35="TDN",VLOOKUP(AF35,TNCalibEqFull!$AZ$1:$BB$56,3),IF(I35="TN",VLOOKUP(AF35,TNCalibEqFull!$AZ$1:$BB$56,3),FALSE))))</f>
        <v>0</v>
      </c>
      <c r="AV35" s="10" t="str">
        <f t="shared" si="5"/>
        <v>1222 05:53:00-EFK-0-C-1-SW-UKN</v>
      </c>
    </row>
    <row r="36" spans="1:48" s="10" customFormat="1" x14ac:dyDescent="0.55000000000000004">
      <c r="A36" s="32">
        <v>44917</v>
      </c>
      <c r="B36" s="33">
        <v>0.24166666666666667</v>
      </c>
      <c r="C36" s="10" t="s">
        <v>333</v>
      </c>
      <c r="D36" s="10">
        <v>0</v>
      </c>
      <c r="E36" s="10" t="s">
        <v>190</v>
      </c>
      <c r="F36" s="10">
        <v>1</v>
      </c>
      <c r="G36" s="10" t="s">
        <v>231</v>
      </c>
      <c r="H36" s="10" t="s">
        <v>322</v>
      </c>
      <c r="I36" s="10" t="s">
        <v>75</v>
      </c>
      <c r="J36" s="10">
        <v>14</v>
      </c>
      <c r="K36" s="12">
        <v>44930</v>
      </c>
      <c r="L36" s="33">
        <v>0.4685185185185185</v>
      </c>
      <c r="M36" s="10">
        <v>1</v>
      </c>
      <c r="N36" s="10" t="s">
        <v>76</v>
      </c>
      <c r="O36" s="10">
        <v>4.3499999999999997E-2</v>
      </c>
      <c r="P36" s="10">
        <v>4.28E-3</v>
      </c>
      <c r="Q36" s="10">
        <v>2.48</v>
      </c>
      <c r="R36" s="10" t="s">
        <v>77</v>
      </c>
      <c r="S36" s="34">
        <f t="shared" si="0"/>
        <v>2.48</v>
      </c>
      <c r="T36" s="10" t="s">
        <v>956</v>
      </c>
      <c r="U36" s="34" t="str">
        <f t="shared" si="6"/>
        <v/>
      </c>
      <c r="V36" s="31" t="str">
        <f>IF(H36="CHK",VLOOKUP(I36,QCCHK,3,),IF(H36="GUP",VLOOKUP(E36,QCGUP,2,),IF(AND(H36="ATP",OR(I36="TN",I36="TDN",I36="TNO2-3",I36="NO2-3")),VLOOKUP(E36,QCREC_N,2,),IF(AND(H36="NIC",OR(I36="TN",I36="TDN",I36="TNO2-3",I36="NO2-3")),VLOOKUP(E36,QCNIC_N,2,),IF(AND(H36="UREA",OR(I36="TN",I36="TDN",I36="TNO2-3",I36="NO2-3")),VLOOKUP(E36,QCUREA_N,2,),IF(H36="PER",VLOOKUP(I36,QCPER,MATCH(E36,QCACTUAL!$J$25:$AA$25,0),),IF(H36="SPK",VLOOKUP(I36,QCSPK,3,),IF(AND(H36="ATP",OR(I36="TP",I36="TDP")),VLOOKUP(E36,QCATP_P,2,),""))))))))</f>
        <v/>
      </c>
      <c r="W36" s="31" t="str">
        <f t="shared" si="1"/>
        <v>TRUE</v>
      </c>
      <c r="X36" s="31" t="str">
        <f t="shared" si="2"/>
        <v/>
      </c>
      <c r="Y36" s="10" t="s">
        <v>949</v>
      </c>
      <c r="Z36" s="10" t="s">
        <v>910</v>
      </c>
      <c r="AL36" s="10" t="str">
        <f t="shared" si="3"/>
        <v>FALSE</v>
      </c>
      <c r="AM36" s="10" t="str">
        <f t="shared" si="3"/>
        <v>FALSE</v>
      </c>
      <c r="AN36" s="10" t="str">
        <f t="shared" si="3"/>
        <v>FALSE</v>
      </c>
      <c r="AO36" s="10" t="str">
        <f t="shared" si="4"/>
        <v>FALSE</v>
      </c>
      <c r="AP36" s="10" t="str">
        <f t="shared" si="4"/>
        <v>FALSE</v>
      </c>
      <c r="AQ36" s="10" t="b">
        <f>IF(AND(I36="TP",S36&lt;=150),VLOOKUP(AF36,TPCalibEq150!$AZ$2:$BB$55,3,),IF(AND(I36="TDP",S36&lt;=150),VLOOKUP(AF36,TPCalibEq150!$AZ$2:$BB$55,3,)))</f>
        <v>0</v>
      </c>
      <c r="AR36" s="10" t="b">
        <f>IF(AND(I36="TP",S36&lt;=300),VLOOKUP(AF36,TPCalibEq300!$AZ$2:$BB$55,3,),IF(AND(I36="TDP",S36&lt;=300),VLOOKUP(AF36,TPCalibEq300!$AZ$2:$BB$55,3,)))</f>
        <v>0</v>
      </c>
      <c r="AS36" s="10" t="b">
        <f>IF(AND(I36="TP",S36&lt;=500),VLOOKUP(AF36,TPCalibEq500!$AZ$2:$BB$56,3,),IF(AND(I36="TDP",S36&lt;=500),VLOOKUP(AF36,TPCalibEq500!$AZ$2:$BB$56,3,)))</f>
        <v>0</v>
      </c>
      <c r="AT36" s="10" t="b">
        <f>IF(AND(I36="TN",S36&lt;=2800),VLOOKUP(AF36,TNCalibEq2500!$AZ$2:$BB$56,3,),IF(AND(I36="TDN",S36&lt;=2800),VLOOKUP(AF36,TNCalibEq2500!$AZ$2:$BB$56,3,)))</f>
        <v>0</v>
      </c>
      <c r="AU36" s="10" t="b">
        <f>IF(I36="TP",VLOOKUP(AF36,TPCalibEqFull!$AZ$2:$BB$56,3),IF(I36="TDP",VLOOKUP(AF36,TPCalibEqFull!$AZ$2:$BB$56,3),IF(I36="TDN",VLOOKUP(AF36,TNCalibEqFull!$AZ$1:$BB$56,3),IF(I36="TN",VLOOKUP(AF36,TNCalibEqFull!$AZ$1:$BB$56,3),FALSE))))</f>
        <v>0</v>
      </c>
      <c r="AV36" s="10" t="str">
        <f t="shared" si="5"/>
        <v>1222 05:48:00-HST-0-C-1-SW-UKN</v>
      </c>
    </row>
    <row r="37" spans="1:48" s="10" customFormat="1" x14ac:dyDescent="0.55000000000000004">
      <c r="A37" s="32">
        <v>44922</v>
      </c>
      <c r="B37" s="33">
        <v>0.24652777777777779</v>
      </c>
      <c r="C37" s="10" t="s">
        <v>279</v>
      </c>
      <c r="D37" s="10">
        <v>0</v>
      </c>
      <c r="E37" s="10" t="s">
        <v>190</v>
      </c>
      <c r="F37" s="10">
        <v>1</v>
      </c>
      <c r="G37" s="10" t="s">
        <v>231</v>
      </c>
      <c r="H37" s="10" t="s">
        <v>322</v>
      </c>
      <c r="I37" s="10" t="s">
        <v>75</v>
      </c>
      <c r="J37" s="10">
        <v>15</v>
      </c>
      <c r="K37" s="12">
        <v>44930</v>
      </c>
      <c r="L37" s="33">
        <v>0.46932870370370372</v>
      </c>
      <c r="M37" s="10">
        <v>1</v>
      </c>
      <c r="N37" s="10" t="s">
        <v>76</v>
      </c>
      <c r="O37" s="10">
        <v>1.62</v>
      </c>
      <c r="P37" s="10">
        <v>0.13</v>
      </c>
      <c r="Q37" s="10">
        <v>92.2</v>
      </c>
      <c r="R37" s="10" t="s">
        <v>77</v>
      </c>
      <c r="S37" s="34">
        <f t="shared" si="0"/>
        <v>92.2</v>
      </c>
      <c r="T37" s="10" t="s">
        <v>956</v>
      </c>
      <c r="U37" s="34" t="str">
        <f t="shared" si="6"/>
        <v/>
      </c>
      <c r="V37" s="31" t="str">
        <f>IF(H37="CHK",VLOOKUP(I37,QCCHK,3,),IF(H37="GUP",VLOOKUP(E37,QCGUP,2,),IF(AND(H37="ATP",OR(I37="TN",I37="TDN",I37="TNO2-3",I37="NO2-3")),VLOOKUP(E37,QCREC_N,2,),IF(AND(H37="NIC",OR(I37="TN",I37="TDN",I37="TNO2-3",I37="NO2-3")),VLOOKUP(E37,QCNIC_N,2,),IF(AND(H37="UREA",OR(I37="TN",I37="TDN",I37="TNO2-3",I37="NO2-3")),VLOOKUP(E37,QCUREA_N,2,),IF(H37="PER",VLOOKUP(I37,QCPER,MATCH(E37,QCACTUAL!$J$25:$AA$25,0),),IF(H37="SPK",VLOOKUP(I37,QCSPK,3,),IF(AND(H37="ATP",OR(I37="TP",I37="TDP")),VLOOKUP(E37,QCATP_P,2,),""))))))))</f>
        <v/>
      </c>
      <c r="W37" s="31" t="str">
        <f t="shared" si="1"/>
        <v>TRUE</v>
      </c>
      <c r="X37" s="31" t="str">
        <f t="shared" si="2"/>
        <v/>
      </c>
      <c r="Y37" s="10" t="s">
        <v>949</v>
      </c>
      <c r="Z37" s="10" t="s">
        <v>910</v>
      </c>
      <c r="AL37" s="10" t="str">
        <f t="shared" si="3"/>
        <v>FALSE</v>
      </c>
      <c r="AM37" s="10" t="str">
        <f t="shared" si="3"/>
        <v>FALSE</v>
      </c>
      <c r="AN37" s="10" t="str">
        <f t="shared" si="3"/>
        <v>FALSE</v>
      </c>
      <c r="AO37" s="10" t="str">
        <f t="shared" si="4"/>
        <v>FALSE</v>
      </c>
      <c r="AP37" s="10" t="str">
        <f t="shared" si="4"/>
        <v>FALSE</v>
      </c>
      <c r="AQ37" s="10" t="b">
        <f>IF(AND(I37="TP",S37&lt;=150),VLOOKUP(AF37,TPCalibEq150!$AZ$2:$BB$55,3,),IF(AND(I37="TDP",S37&lt;=150),VLOOKUP(AF37,TPCalibEq150!$AZ$2:$BB$55,3,)))</f>
        <v>0</v>
      </c>
      <c r="AR37" s="10" t="b">
        <f>IF(AND(I37="TP",S37&lt;=300),VLOOKUP(AF37,TPCalibEq300!$AZ$2:$BB$55,3,),IF(AND(I37="TDP",S37&lt;=300),VLOOKUP(AF37,TPCalibEq300!$AZ$2:$BB$55,3,)))</f>
        <v>0</v>
      </c>
      <c r="AS37" s="10" t="b">
        <f>IF(AND(I37="TP",S37&lt;=500),VLOOKUP(AF37,TPCalibEq500!$AZ$2:$BB$56,3,),IF(AND(I37="TDP",S37&lt;=500),VLOOKUP(AF37,TPCalibEq500!$AZ$2:$BB$56,3,)))</f>
        <v>0</v>
      </c>
      <c r="AT37" s="10" t="b">
        <f>IF(AND(I37="TN",S37&lt;=2800),VLOOKUP(AF37,TNCalibEq2500!$AZ$2:$BB$56,3,),IF(AND(I37="TDN",S37&lt;=2800),VLOOKUP(AF37,TNCalibEq2500!$AZ$2:$BB$56,3,)))</f>
        <v>0</v>
      </c>
      <c r="AU37" s="10" t="b">
        <f>IF(I37="TP",VLOOKUP(AF37,TPCalibEqFull!$AZ$2:$BB$56,3),IF(I37="TDP",VLOOKUP(AF37,TPCalibEqFull!$AZ$2:$BB$56,3),IF(I37="TDN",VLOOKUP(AF37,TNCalibEqFull!$AZ$1:$BB$56,3),IF(I37="TN",VLOOKUP(AF37,TNCalibEqFull!$AZ$1:$BB$56,3),FALSE))))</f>
        <v>0</v>
      </c>
      <c r="AV37" s="10" t="str">
        <f t="shared" si="5"/>
        <v>1227 05:55:00-EFK-0-C-1-SW-UKN</v>
      </c>
    </row>
    <row r="38" spans="1:48" s="10" customFormat="1" x14ac:dyDescent="0.55000000000000004">
      <c r="A38" s="32">
        <v>44922</v>
      </c>
      <c r="B38" s="33">
        <v>0.3576388888888889</v>
      </c>
      <c r="C38" s="10" t="s">
        <v>333</v>
      </c>
      <c r="D38" s="10">
        <v>0</v>
      </c>
      <c r="E38" s="10" t="s">
        <v>190</v>
      </c>
      <c r="F38" s="10">
        <v>1</v>
      </c>
      <c r="G38" s="10" t="s">
        <v>231</v>
      </c>
      <c r="H38" s="10" t="s">
        <v>322</v>
      </c>
      <c r="I38" s="10" t="s">
        <v>75</v>
      </c>
      <c r="J38" s="10">
        <v>16</v>
      </c>
      <c r="K38" s="12">
        <v>44930</v>
      </c>
      <c r="L38" s="33">
        <v>0.47015046296296298</v>
      </c>
      <c r="M38" s="10">
        <v>1</v>
      </c>
      <c r="N38" s="10" t="s">
        <v>76</v>
      </c>
      <c r="O38" s="10">
        <v>0.109</v>
      </c>
      <c r="P38" s="10">
        <v>9.0600000000000003E-3</v>
      </c>
      <c r="Q38" s="10">
        <v>6.22</v>
      </c>
      <c r="R38" s="10" t="s">
        <v>77</v>
      </c>
      <c r="S38" s="34">
        <f t="shared" si="0"/>
        <v>6.22</v>
      </c>
      <c r="T38" s="10" t="s">
        <v>956</v>
      </c>
      <c r="U38" s="34" t="str">
        <f t="shared" si="6"/>
        <v/>
      </c>
      <c r="V38" s="31" t="str">
        <f>IF(H38="CHK",VLOOKUP(I38,QCCHK,3,),IF(H38="GUP",VLOOKUP(E38,QCGUP,2,),IF(AND(H38="ATP",OR(I38="TN",I38="TDN",I38="TNO2-3",I38="NO2-3")),VLOOKUP(E38,QCREC_N,2,),IF(AND(H38="NIC",OR(I38="TN",I38="TDN",I38="TNO2-3",I38="NO2-3")),VLOOKUP(E38,QCNIC_N,2,),IF(AND(H38="UREA",OR(I38="TN",I38="TDN",I38="TNO2-3",I38="NO2-3")),VLOOKUP(E38,QCUREA_N,2,),IF(H38="PER",VLOOKUP(I38,QCPER,MATCH(E38,QCACTUAL!$J$25:$AA$25,0),),IF(H38="SPK",VLOOKUP(I38,QCSPK,3,),IF(AND(H38="ATP",OR(I38="TP",I38="TDP")),VLOOKUP(E38,QCATP_P,2,),""))))))))</f>
        <v/>
      </c>
      <c r="W38" s="31" t="str">
        <f t="shared" si="1"/>
        <v>TRUE</v>
      </c>
      <c r="X38" s="31" t="str">
        <f t="shared" si="2"/>
        <v/>
      </c>
      <c r="Y38" s="10" t="s">
        <v>949</v>
      </c>
      <c r="Z38" s="10" t="s">
        <v>910</v>
      </c>
      <c r="AL38" s="10" t="str">
        <f t="shared" si="3"/>
        <v>FALSE</v>
      </c>
      <c r="AM38" s="10" t="str">
        <f t="shared" si="3"/>
        <v>FALSE</v>
      </c>
      <c r="AN38" s="10" t="str">
        <f t="shared" si="3"/>
        <v>FALSE</v>
      </c>
      <c r="AO38" s="10" t="str">
        <f t="shared" si="4"/>
        <v>FALSE</v>
      </c>
      <c r="AP38" s="10" t="str">
        <f t="shared" si="4"/>
        <v>FALSE</v>
      </c>
      <c r="AQ38" s="10" t="b">
        <f>IF(AND(I38="TP",S38&lt;=150),VLOOKUP(AF38,TPCalibEq150!$AZ$2:$BB$55,3,),IF(AND(I38="TDP",S38&lt;=150),VLOOKUP(AF38,TPCalibEq150!$AZ$2:$BB$55,3,)))</f>
        <v>0</v>
      </c>
      <c r="AR38" s="10" t="b">
        <f>IF(AND(I38="TP",S38&lt;=300),VLOOKUP(AF38,TPCalibEq300!$AZ$2:$BB$55,3,),IF(AND(I38="TDP",S38&lt;=300),VLOOKUP(AF38,TPCalibEq300!$AZ$2:$BB$55,3,)))</f>
        <v>0</v>
      </c>
      <c r="AS38" s="10" t="b">
        <f>IF(AND(I38="TP",S38&lt;=500),VLOOKUP(AF38,TPCalibEq500!$AZ$2:$BB$56,3,),IF(AND(I38="TDP",S38&lt;=500),VLOOKUP(AF38,TPCalibEq500!$AZ$2:$BB$56,3,)))</f>
        <v>0</v>
      </c>
      <c r="AT38" s="10" t="b">
        <f>IF(AND(I38="TN",S38&lt;=2800),VLOOKUP(AF38,TNCalibEq2500!$AZ$2:$BB$56,3,),IF(AND(I38="TDN",S38&lt;=2800),VLOOKUP(AF38,TNCalibEq2500!$AZ$2:$BB$56,3,)))</f>
        <v>0</v>
      </c>
      <c r="AU38" s="10" t="b">
        <f>IF(I38="TP",VLOOKUP(AF38,TPCalibEqFull!$AZ$2:$BB$56,3),IF(I38="TDP",VLOOKUP(AF38,TPCalibEqFull!$AZ$2:$BB$56,3),IF(I38="TDN",VLOOKUP(AF38,TNCalibEqFull!$AZ$1:$BB$56,3),IF(I38="TN",VLOOKUP(AF38,TNCalibEqFull!$AZ$1:$BB$56,3),FALSE))))</f>
        <v>0</v>
      </c>
      <c r="AV38" s="10" t="str">
        <f t="shared" si="5"/>
        <v>1227 08:35:00-HST-0-C-1-SW-UKN</v>
      </c>
    </row>
    <row r="39" spans="1:48" s="10" customFormat="1" x14ac:dyDescent="0.55000000000000004">
      <c r="A39" s="32">
        <v>44923</v>
      </c>
      <c r="B39" s="33">
        <v>0.23958333333333334</v>
      </c>
      <c r="C39" s="10" t="s">
        <v>279</v>
      </c>
      <c r="D39" s="10">
        <v>0</v>
      </c>
      <c r="E39" s="10" t="s">
        <v>190</v>
      </c>
      <c r="F39" s="10">
        <v>1</v>
      </c>
      <c r="G39" s="10" t="s">
        <v>231</v>
      </c>
      <c r="H39" s="10" t="s">
        <v>322</v>
      </c>
      <c r="I39" s="10" t="s">
        <v>75</v>
      </c>
      <c r="J39" s="10">
        <v>17</v>
      </c>
      <c r="K39" s="12">
        <v>44930</v>
      </c>
      <c r="L39" s="33">
        <v>0.47097222222222218</v>
      </c>
      <c r="M39" s="10">
        <v>1</v>
      </c>
      <c r="N39" s="10" t="s">
        <v>76</v>
      </c>
      <c r="O39" s="10">
        <v>0.95299999999999996</v>
      </c>
      <c r="P39" s="10">
        <v>7.6200000000000004E-2</v>
      </c>
      <c r="Q39" s="10">
        <v>54.2</v>
      </c>
      <c r="R39" s="10" t="s">
        <v>77</v>
      </c>
      <c r="S39" s="34">
        <f t="shared" si="0"/>
        <v>54.2</v>
      </c>
      <c r="T39" s="10" t="s">
        <v>956</v>
      </c>
      <c r="U39" s="34" t="str">
        <f t="shared" si="6"/>
        <v/>
      </c>
      <c r="V39" s="31" t="str">
        <f>IF(H39="CHK",VLOOKUP(I39,QCCHK,3,),IF(H39="GUP",VLOOKUP(E39,QCGUP,2,),IF(AND(H39="ATP",OR(I39="TN",I39="TDN",I39="TNO2-3",I39="NO2-3")),VLOOKUP(E39,QCREC_N,2,),IF(AND(H39="NIC",OR(I39="TN",I39="TDN",I39="TNO2-3",I39="NO2-3")),VLOOKUP(E39,QCNIC_N,2,),IF(AND(H39="UREA",OR(I39="TN",I39="TDN",I39="TNO2-3",I39="NO2-3")),VLOOKUP(E39,QCUREA_N,2,),IF(H39="PER",VLOOKUP(I39,QCPER,MATCH(E39,QCACTUAL!$J$25:$AA$25,0),),IF(H39="SPK",VLOOKUP(I39,QCSPK,3,),IF(AND(H39="ATP",OR(I39="TP",I39="TDP")),VLOOKUP(E39,QCATP_P,2,),""))))))))</f>
        <v/>
      </c>
      <c r="W39" s="31" t="str">
        <f t="shared" si="1"/>
        <v>TRUE</v>
      </c>
      <c r="X39" s="31" t="str">
        <f t="shared" si="2"/>
        <v/>
      </c>
      <c r="Y39" s="10" t="s">
        <v>949</v>
      </c>
      <c r="Z39" s="10" t="s">
        <v>910</v>
      </c>
      <c r="AL39" s="10" t="str">
        <f t="shared" si="3"/>
        <v>FALSE</v>
      </c>
      <c r="AM39" s="10" t="str">
        <f t="shared" si="3"/>
        <v>FALSE</v>
      </c>
      <c r="AN39" s="10" t="str">
        <f t="shared" si="3"/>
        <v>FALSE</v>
      </c>
      <c r="AO39" s="10" t="str">
        <f t="shared" si="4"/>
        <v>FALSE</v>
      </c>
      <c r="AP39" s="10" t="str">
        <f t="shared" si="4"/>
        <v>FALSE</v>
      </c>
      <c r="AQ39" s="10" t="b">
        <f>IF(AND(I39="TP",S39&lt;=150),VLOOKUP(AF39,TPCalibEq150!$AZ$2:$BB$55,3,),IF(AND(I39="TDP",S39&lt;=150),VLOOKUP(AF39,TPCalibEq150!$AZ$2:$BB$55,3,)))</f>
        <v>0</v>
      </c>
      <c r="AR39" s="10" t="b">
        <f>IF(AND(I39="TP",S39&lt;=300),VLOOKUP(AF39,TPCalibEq300!$AZ$2:$BB$55,3,),IF(AND(I39="TDP",S39&lt;=300),VLOOKUP(AF39,TPCalibEq300!$AZ$2:$BB$55,3,)))</f>
        <v>0</v>
      </c>
      <c r="AS39" s="10" t="b">
        <f>IF(AND(I39="TP",S39&lt;=500),VLOOKUP(AF39,TPCalibEq500!$AZ$2:$BB$56,3,),IF(AND(I39="TDP",S39&lt;=500),VLOOKUP(AF39,TPCalibEq500!$AZ$2:$BB$56,3,)))</f>
        <v>0</v>
      </c>
      <c r="AT39" s="10" t="b">
        <f>IF(AND(I39="TN",S39&lt;=2800),VLOOKUP(AF39,TNCalibEq2500!$AZ$2:$BB$56,3,),IF(AND(I39="TDN",S39&lt;=2800),VLOOKUP(AF39,TNCalibEq2500!$AZ$2:$BB$56,3,)))</f>
        <v>0</v>
      </c>
      <c r="AU39" s="10" t="b">
        <f>IF(I39="TP",VLOOKUP(AF39,TPCalibEqFull!$AZ$2:$BB$56,3),IF(I39="TDP",VLOOKUP(AF39,TPCalibEqFull!$AZ$2:$BB$56,3),IF(I39="TDN",VLOOKUP(AF39,TNCalibEqFull!$AZ$1:$BB$56,3),IF(I39="TN",VLOOKUP(AF39,TNCalibEqFull!$AZ$1:$BB$56,3),FALSE))))</f>
        <v>0</v>
      </c>
      <c r="AV39" s="10" t="str">
        <f t="shared" si="5"/>
        <v>1228 05:45:00-EFK-0-C-1-SW-UKN</v>
      </c>
    </row>
    <row r="40" spans="1:48" s="10" customFormat="1" x14ac:dyDescent="0.55000000000000004">
      <c r="A40" s="32">
        <v>44923</v>
      </c>
      <c r="B40" s="33">
        <v>0.36249999999999999</v>
      </c>
      <c r="C40" s="10" t="s">
        <v>333</v>
      </c>
      <c r="D40" s="10">
        <v>0</v>
      </c>
      <c r="E40" s="10" t="s">
        <v>190</v>
      </c>
      <c r="F40" s="10">
        <v>1</v>
      </c>
      <c r="G40" s="10" t="s">
        <v>231</v>
      </c>
      <c r="H40" s="10" t="s">
        <v>322</v>
      </c>
      <c r="I40" s="10" t="s">
        <v>75</v>
      </c>
      <c r="J40" s="10">
        <v>18</v>
      </c>
      <c r="K40" s="12">
        <v>44930</v>
      </c>
      <c r="L40" s="33">
        <v>0.47180555555555559</v>
      </c>
      <c r="M40" s="10">
        <v>1</v>
      </c>
      <c r="N40" s="10" t="s">
        <v>76</v>
      </c>
      <c r="O40" s="10">
        <v>7.6100000000000001E-2</v>
      </c>
      <c r="P40" s="10">
        <v>6.2899999999999996E-3</v>
      </c>
      <c r="Q40" s="10">
        <v>4.33</v>
      </c>
      <c r="R40" s="10" t="s">
        <v>77</v>
      </c>
      <c r="S40" s="34">
        <f t="shared" si="0"/>
        <v>4.33</v>
      </c>
      <c r="T40" s="10" t="s">
        <v>956</v>
      </c>
      <c r="U40" s="34" t="str">
        <f t="shared" si="6"/>
        <v/>
      </c>
      <c r="V40" s="31" t="str">
        <f>IF(H40="CHK",VLOOKUP(I40,QCCHK,3,),IF(H40="GUP",VLOOKUP(E40,QCGUP,2,),IF(AND(H40="ATP",OR(I40="TN",I40="TDN",I40="TNO2-3",I40="NO2-3")),VLOOKUP(E40,QCREC_N,2,),IF(AND(H40="NIC",OR(I40="TN",I40="TDN",I40="TNO2-3",I40="NO2-3")),VLOOKUP(E40,QCNIC_N,2,),IF(AND(H40="UREA",OR(I40="TN",I40="TDN",I40="TNO2-3",I40="NO2-3")),VLOOKUP(E40,QCUREA_N,2,),IF(H40="PER",VLOOKUP(I40,QCPER,MATCH(E40,QCACTUAL!$J$25:$AA$25,0),),IF(H40="SPK",VLOOKUP(I40,QCSPK,3,),IF(AND(H40="ATP",OR(I40="TP",I40="TDP")),VLOOKUP(E40,QCATP_P,2,),""))))))))</f>
        <v/>
      </c>
      <c r="W40" s="31" t="str">
        <f t="shared" si="1"/>
        <v>TRUE</v>
      </c>
      <c r="X40" s="31" t="str">
        <f t="shared" si="2"/>
        <v/>
      </c>
      <c r="Y40" s="10" t="s">
        <v>949</v>
      </c>
      <c r="Z40" s="10" t="s">
        <v>910</v>
      </c>
      <c r="AL40" s="10" t="str">
        <f t="shared" si="3"/>
        <v>FALSE</v>
      </c>
      <c r="AM40" s="10" t="str">
        <f t="shared" si="3"/>
        <v>FALSE</v>
      </c>
      <c r="AN40" s="10" t="str">
        <f t="shared" si="3"/>
        <v>FALSE</v>
      </c>
      <c r="AO40" s="10" t="str">
        <f t="shared" si="4"/>
        <v>FALSE</v>
      </c>
      <c r="AP40" s="10" t="str">
        <f t="shared" si="4"/>
        <v>FALSE</v>
      </c>
      <c r="AQ40" s="10" t="b">
        <f>IF(AND(I40="TP",S40&lt;=150),VLOOKUP(AF40,TPCalibEq150!$AZ$2:$BB$55,3,),IF(AND(I40="TDP",S40&lt;=150),VLOOKUP(AF40,TPCalibEq150!$AZ$2:$BB$55,3,)))</f>
        <v>0</v>
      </c>
      <c r="AR40" s="10" t="b">
        <f>IF(AND(I40="TP",S40&lt;=300),VLOOKUP(AF40,TPCalibEq300!$AZ$2:$BB$55,3,),IF(AND(I40="TDP",S40&lt;=300),VLOOKUP(AF40,TPCalibEq300!$AZ$2:$BB$55,3,)))</f>
        <v>0</v>
      </c>
      <c r="AS40" s="10" t="b">
        <f>IF(AND(I40="TP",S40&lt;=500),VLOOKUP(AF40,TPCalibEq500!$AZ$2:$BB$56,3,),IF(AND(I40="TDP",S40&lt;=500),VLOOKUP(AF40,TPCalibEq500!$AZ$2:$BB$56,3,)))</f>
        <v>0</v>
      </c>
      <c r="AT40" s="10" t="b">
        <f>IF(AND(I40="TN",S40&lt;=2800),VLOOKUP(AF40,TNCalibEq2500!$AZ$2:$BB$56,3,),IF(AND(I40="TDN",S40&lt;=2800),VLOOKUP(AF40,TNCalibEq2500!$AZ$2:$BB$56,3,)))</f>
        <v>0</v>
      </c>
      <c r="AU40" s="10" t="b">
        <f>IF(I40="TP",VLOOKUP(AF40,TPCalibEqFull!$AZ$2:$BB$56,3),IF(I40="TDP",VLOOKUP(AF40,TPCalibEqFull!$AZ$2:$BB$56,3),IF(I40="TDN",VLOOKUP(AF40,TNCalibEqFull!$AZ$1:$BB$56,3),IF(I40="TN",VLOOKUP(AF40,TNCalibEqFull!$AZ$1:$BB$56,3),FALSE))))</f>
        <v>0</v>
      </c>
      <c r="AV40" s="10" t="str">
        <f t="shared" si="5"/>
        <v>1228 08:42:00-HST-0-C-1-SW-UKN</v>
      </c>
    </row>
    <row r="41" spans="1:48" s="10" customFormat="1" x14ac:dyDescent="0.55000000000000004">
      <c r="A41" s="32">
        <v>44924</v>
      </c>
      <c r="B41" s="33">
        <v>0.21180555555555555</v>
      </c>
      <c r="C41" s="10" t="s">
        <v>279</v>
      </c>
      <c r="D41" s="10">
        <v>0</v>
      </c>
      <c r="E41" s="10" t="s">
        <v>190</v>
      </c>
      <c r="F41" s="10">
        <v>1</v>
      </c>
      <c r="G41" s="10" t="s">
        <v>231</v>
      </c>
      <c r="H41" s="10" t="s">
        <v>322</v>
      </c>
      <c r="I41" s="10" t="s">
        <v>75</v>
      </c>
      <c r="J41" s="10">
        <v>19</v>
      </c>
      <c r="K41" s="12">
        <v>44930</v>
      </c>
      <c r="L41" s="33">
        <v>0.47261574074074075</v>
      </c>
      <c r="M41" s="10">
        <v>1</v>
      </c>
      <c r="N41" s="10" t="s">
        <v>76</v>
      </c>
      <c r="O41" s="10">
        <v>0.21</v>
      </c>
      <c r="P41" s="10">
        <v>1.7000000000000001E-2</v>
      </c>
      <c r="Q41" s="10">
        <v>12</v>
      </c>
      <c r="R41" s="10" t="s">
        <v>77</v>
      </c>
      <c r="S41" s="34">
        <f t="shared" si="0"/>
        <v>12</v>
      </c>
      <c r="T41" s="10" t="s">
        <v>956</v>
      </c>
      <c r="U41" s="34" t="str">
        <f t="shared" si="6"/>
        <v/>
      </c>
      <c r="V41" s="31" t="str">
        <f>IF(H41="CHK",VLOOKUP(I41,QCCHK,3,),IF(H41="GUP",VLOOKUP(E41,QCGUP,2,),IF(AND(H41="ATP",OR(I41="TN",I41="TDN",I41="TNO2-3",I41="NO2-3")),VLOOKUP(E41,QCREC_N,2,),IF(AND(H41="NIC",OR(I41="TN",I41="TDN",I41="TNO2-3",I41="NO2-3")),VLOOKUP(E41,QCNIC_N,2,),IF(AND(H41="UREA",OR(I41="TN",I41="TDN",I41="TNO2-3",I41="NO2-3")),VLOOKUP(E41,QCUREA_N,2,),IF(H41="PER",VLOOKUP(I41,QCPER,MATCH(E41,QCACTUAL!$J$25:$AA$25,0),),IF(H41="SPK",VLOOKUP(I41,QCSPK,3,),IF(AND(H41="ATP",OR(I41="TP",I41="TDP")),VLOOKUP(E41,QCATP_P,2,),""))))))))</f>
        <v/>
      </c>
      <c r="W41" s="31" t="str">
        <f t="shared" si="1"/>
        <v>TRUE</v>
      </c>
      <c r="X41" s="31" t="str">
        <f t="shared" si="2"/>
        <v/>
      </c>
      <c r="Y41" s="10" t="s">
        <v>949</v>
      </c>
      <c r="Z41" s="10" t="s">
        <v>910</v>
      </c>
      <c r="AL41" s="10" t="str">
        <f t="shared" si="3"/>
        <v>FALSE</v>
      </c>
      <c r="AM41" s="10" t="str">
        <f t="shared" si="3"/>
        <v>FALSE</v>
      </c>
      <c r="AN41" s="10" t="str">
        <f t="shared" si="3"/>
        <v>FALSE</v>
      </c>
      <c r="AO41" s="10" t="str">
        <f t="shared" si="4"/>
        <v>FALSE</v>
      </c>
      <c r="AP41" s="10" t="str">
        <f t="shared" si="4"/>
        <v>FALSE</v>
      </c>
      <c r="AQ41" s="10" t="b">
        <f>IF(AND(I41="TP",S41&lt;=150),VLOOKUP(AF41,TPCalibEq150!$AZ$2:$BB$55,3,),IF(AND(I41="TDP",S41&lt;=150),VLOOKUP(AF41,TPCalibEq150!$AZ$2:$BB$55,3,)))</f>
        <v>0</v>
      </c>
      <c r="AR41" s="10" t="b">
        <f>IF(AND(I41="TP",S41&lt;=300),VLOOKUP(AF41,TPCalibEq300!$AZ$2:$BB$55,3,),IF(AND(I41="TDP",S41&lt;=300),VLOOKUP(AF41,TPCalibEq300!$AZ$2:$BB$55,3,)))</f>
        <v>0</v>
      </c>
      <c r="AS41" s="10" t="b">
        <f>IF(AND(I41="TP",S41&lt;=500),VLOOKUP(AF41,TPCalibEq500!$AZ$2:$BB$56,3,),IF(AND(I41="TDP",S41&lt;=500),VLOOKUP(AF41,TPCalibEq500!$AZ$2:$BB$56,3,)))</f>
        <v>0</v>
      </c>
      <c r="AT41" s="10" t="b">
        <f>IF(AND(I41="TN",S41&lt;=2800),VLOOKUP(AF41,TNCalibEq2500!$AZ$2:$BB$56,3,),IF(AND(I41="TDN",S41&lt;=2800),VLOOKUP(AF41,TNCalibEq2500!$AZ$2:$BB$56,3,)))</f>
        <v>0</v>
      </c>
      <c r="AU41" s="10" t="b">
        <f>IF(I41="TP",VLOOKUP(AF41,TPCalibEqFull!$AZ$2:$BB$56,3),IF(I41="TDP",VLOOKUP(AF41,TPCalibEqFull!$AZ$2:$BB$56,3),IF(I41="TDN",VLOOKUP(AF41,TNCalibEqFull!$AZ$1:$BB$56,3),IF(I41="TN",VLOOKUP(AF41,TNCalibEqFull!$AZ$1:$BB$56,3),FALSE))))</f>
        <v>0</v>
      </c>
      <c r="AV41" s="10" t="str">
        <f t="shared" si="5"/>
        <v>1229 05:05:00-EFK-0-C-1-SW-UKN</v>
      </c>
    </row>
    <row r="42" spans="1:48" s="10" customFormat="1" x14ac:dyDescent="0.55000000000000004">
      <c r="A42" s="32">
        <v>44924</v>
      </c>
      <c r="B42" s="33">
        <v>0.22013888888888888</v>
      </c>
      <c r="C42" s="10" t="s">
        <v>333</v>
      </c>
      <c r="D42" s="10">
        <v>0</v>
      </c>
      <c r="E42" s="10" t="s">
        <v>190</v>
      </c>
      <c r="F42" s="10">
        <v>1</v>
      </c>
      <c r="G42" s="10" t="s">
        <v>231</v>
      </c>
      <c r="H42" s="10" t="s">
        <v>322</v>
      </c>
      <c r="I42" s="10" t="s">
        <v>75</v>
      </c>
      <c r="J42" s="10">
        <v>20</v>
      </c>
      <c r="K42" s="12">
        <v>44930</v>
      </c>
      <c r="L42" s="33">
        <v>0.47427083333333336</v>
      </c>
      <c r="M42" s="10">
        <v>1</v>
      </c>
      <c r="N42" s="10" t="s">
        <v>76</v>
      </c>
      <c r="O42" s="10">
        <v>3.5200000000000002E-2</v>
      </c>
      <c r="P42" s="10">
        <v>3.46E-3</v>
      </c>
      <c r="Q42" s="10">
        <v>2.0099999999999998</v>
      </c>
      <c r="R42" s="10" t="s">
        <v>77</v>
      </c>
      <c r="S42" s="34">
        <f t="shared" si="0"/>
        <v>2.0099999999999998</v>
      </c>
      <c r="T42" s="10" t="s">
        <v>956</v>
      </c>
      <c r="U42" s="34" t="str">
        <f t="shared" si="6"/>
        <v/>
      </c>
      <c r="V42" s="31" t="str">
        <f>IF(H42="CHK",VLOOKUP(I42,QCCHK,3,),IF(H42="GUP",VLOOKUP(E42,QCGUP,2,),IF(AND(H42="ATP",OR(I42="TN",I42="TDN",I42="TNO2-3",I42="NO2-3")),VLOOKUP(E42,QCREC_N,2,),IF(AND(H42="NIC",OR(I42="TN",I42="TDN",I42="TNO2-3",I42="NO2-3")),VLOOKUP(E42,QCNIC_N,2,),IF(AND(H42="UREA",OR(I42="TN",I42="TDN",I42="TNO2-3",I42="NO2-3")),VLOOKUP(E42,QCUREA_N,2,),IF(H42="PER",VLOOKUP(I42,QCPER,MATCH(E42,QCACTUAL!$J$25:$AA$25,0),),IF(H42="SPK",VLOOKUP(I42,QCSPK,3,),IF(AND(H42="ATP",OR(I42="TP",I42="TDP")),VLOOKUP(E42,QCATP_P,2,),""))))))))</f>
        <v/>
      </c>
      <c r="W42" s="31" t="str">
        <f t="shared" si="1"/>
        <v>TRUE</v>
      </c>
      <c r="X42" s="31" t="str">
        <f t="shared" si="2"/>
        <v/>
      </c>
      <c r="Y42" s="10" t="s">
        <v>949</v>
      </c>
      <c r="Z42" s="10" t="s">
        <v>910</v>
      </c>
      <c r="AL42" s="10" t="str">
        <f t="shared" si="3"/>
        <v>FALSE</v>
      </c>
      <c r="AM42" s="10" t="str">
        <f t="shared" si="3"/>
        <v>FALSE</v>
      </c>
      <c r="AN42" s="10" t="str">
        <f t="shared" si="3"/>
        <v>FALSE</v>
      </c>
      <c r="AO42" s="10" t="str">
        <f t="shared" si="4"/>
        <v>FALSE</v>
      </c>
      <c r="AP42" s="10" t="str">
        <f t="shared" si="4"/>
        <v>FALSE</v>
      </c>
      <c r="AQ42" s="10" t="b">
        <f>IF(AND(I42="TP",S42&lt;=150),VLOOKUP(AF42,TPCalibEq150!$AZ$2:$BB$55,3,),IF(AND(I42="TDP",S42&lt;=150),VLOOKUP(AF42,TPCalibEq150!$AZ$2:$BB$55,3,)))</f>
        <v>0</v>
      </c>
      <c r="AR42" s="10" t="b">
        <f>IF(AND(I42="TP",S42&lt;=300),VLOOKUP(AF42,TPCalibEq300!$AZ$2:$BB$55,3,),IF(AND(I42="TDP",S42&lt;=300),VLOOKUP(AF42,TPCalibEq300!$AZ$2:$BB$55,3,)))</f>
        <v>0</v>
      </c>
      <c r="AS42" s="10" t="b">
        <f>IF(AND(I42="TP",S42&lt;=500),VLOOKUP(AF42,TPCalibEq500!$AZ$2:$BB$56,3,),IF(AND(I42="TDP",S42&lt;=500),VLOOKUP(AF42,TPCalibEq500!$AZ$2:$BB$56,3,)))</f>
        <v>0</v>
      </c>
      <c r="AT42" s="10" t="b">
        <f>IF(AND(I42="TN",S42&lt;=2800),VLOOKUP(AF42,TNCalibEq2500!$AZ$2:$BB$56,3,),IF(AND(I42="TDN",S42&lt;=2800),VLOOKUP(AF42,TNCalibEq2500!$AZ$2:$BB$56,3,)))</f>
        <v>0</v>
      </c>
      <c r="AU42" s="10" t="b">
        <f>IF(I42="TP",VLOOKUP(AF42,TPCalibEqFull!$AZ$2:$BB$56,3),IF(I42="TDP",VLOOKUP(AF42,TPCalibEqFull!$AZ$2:$BB$56,3),IF(I42="TDN",VLOOKUP(AF42,TNCalibEqFull!$AZ$1:$BB$56,3),IF(I42="TN",VLOOKUP(AF42,TNCalibEqFull!$AZ$1:$BB$56,3),FALSE))))</f>
        <v>0</v>
      </c>
      <c r="AV42" s="10" t="str">
        <f t="shared" si="5"/>
        <v>1229 05:17:00-HST-0-C-1-SW-UKN</v>
      </c>
    </row>
    <row r="43" spans="1:48" s="10" customFormat="1" x14ac:dyDescent="0.55000000000000004">
      <c r="A43" s="32">
        <v>44924</v>
      </c>
      <c r="B43" s="33">
        <v>0.22013888888888888</v>
      </c>
      <c r="C43" s="10" t="s">
        <v>333</v>
      </c>
      <c r="D43" s="10">
        <v>0</v>
      </c>
      <c r="E43" s="10" t="s">
        <v>190</v>
      </c>
      <c r="F43" s="10">
        <v>1</v>
      </c>
      <c r="G43" s="10" t="s">
        <v>231</v>
      </c>
      <c r="H43" s="10" t="s">
        <v>233</v>
      </c>
      <c r="I43" s="10" t="s">
        <v>75</v>
      </c>
      <c r="J43" s="10">
        <v>20</v>
      </c>
      <c r="K43" s="12">
        <v>44930</v>
      </c>
      <c r="L43" s="33">
        <v>0.47508101851851853</v>
      </c>
      <c r="M43" s="10">
        <v>1</v>
      </c>
      <c r="N43" s="10" t="s">
        <v>76</v>
      </c>
      <c r="O43" s="10">
        <v>5.8700000000000002E-2</v>
      </c>
      <c r="P43" s="10">
        <v>4.8500000000000001E-3</v>
      </c>
      <c r="Q43" s="10">
        <v>3.34</v>
      </c>
      <c r="R43" s="10" t="s">
        <v>77</v>
      </c>
      <c r="S43" s="34">
        <f t="shared" si="0"/>
        <v>3.34</v>
      </c>
      <c r="T43" s="10" t="s">
        <v>956</v>
      </c>
      <c r="U43" s="34">
        <f t="shared" si="6"/>
        <v>49.719626168224309</v>
      </c>
      <c r="V43" s="31" t="str">
        <f>IF(H43="CHK",VLOOKUP(I43,QCCHK,3,),IF(H43="GUP",VLOOKUP(E43,QCGUP,2,),IF(AND(H43="ATP",OR(I43="TN",I43="TDN",I43="TNO2-3",I43="NO2-3")),VLOOKUP(E43,QCREC_N,2,),IF(AND(H43="NIC",OR(I43="TN",I43="TDN",I43="TNO2-3",I43="NO2-3")),VLOOKUP(E43,QCNIC_N,2,),IF(AND(H43="UREA",OR(I43="TN",I43="TDN",I43="TNO2-3",I43="NO2-3")),VLOOKUP(E43,QCUREA_N,2,),IF(H43="PER",VLOOKUP(I43,QCPER,MATCH(E43,QCACTUAL!$J$25:$AA$25,0),),IF(H43="SPK",VLOOKUP(I43,QCSPK,3,),IF(AND(H43="ATP",OR(I43="TP",I43="TDP")),VLOOKUP(E43,QCATP_P,2,),""))))))))</f>
        <v/>
      </c>
      <c r="W43" s="31" t="str">
        <f t="shared" si="1"/>
        <v>FALSE</v>
      </c>
      <c r="X43" s="31" t="str">
        <f t="shared" si="2"/>
        <v>((ABS(rep1-rep2))/((rep1+rep2)/2)*100</v>
      </c>
      <c r="Y43" s="10" t="s">
        <v>949</v>
      </c>
      <c r="Z43" s="10" t="s">
        <v>910</v>
      </c>
      <c r="AL43" s="10" t="str">
        <f t="shared" si="3"/>
        <v>FALSE</v>
      </c>
      <c r="AM43" s="10" t="str">
        <f t="shared" si="3"/>
        <v>FALSE</v>
      </c>
      <c r="AN43" s="10" t="str">
        <f t="shared" si="3"/>
        <v>FALSE</v>
      </c>
      <c r="AO43" s="10" t="str">
        <f t="shared" si="4"/>
        <v>FALSE</v>
      </c>
      <c r="AP43" s="10" t="str">
        <f t="shared" si="4"/>
        <v>FALSE</v>
      </c>
      <c r="AQ43" s="10" t="b">
        <f>IF(AND(I43="TP",S43&lt;=150),VLOOKUP(AF43,TPCalibEq150!$AZ$2:$BB$55,3,),IF(AND(I43="TDP",S43&lt;=150),VLOOKUP(AF43,TPCalibEq150!$AZ$2:$BB$55,3,)))</f>
        <v>0</v>
      </c>
      <c r="AR43" s="10" t="b">
        <f>IF(AND(I43="TP",S43&lt;=300),VLOOKUP(AF43,TPCalibEq300!$AZ$2:$BB$55,3,),IF(AND(I43="TDP",S43&lt;=300),VLOOKUP(AF43,TPCalibEq300!$AZ$2:$BB$55,3,)))</f>
        <v>0</v>
      </c>
      <c r="AS43" s="10" t="b">
        <f>IF(AND(I43="TP",S43&lt;=500),VLOOKUP(AF43,TPCalibEq500!$AZ$2:$BB$56,3,),IF(AND(I43="TDP",S43&lt;=500),VLOOKUP(AF43,TPCalibEq500!$AZ$2:$BB$56,3,)))</f>
        <v>0</v>
      </c>
      <c r="AT43" s="10" t="b">
        <f>IF(AND(I43="TN",S43&lt;=2800),VLOOKUP(AF43,TNCalibEq2500!$AZ$2:$BB$56,3,),IF(AND(I43="TDN",S43&lt;=2800),VLOOKUP(AF43,TNCalibEq2500!$AZ$2:$BB$56,3,)))</f>
        <v>0</v>
      </c>
      <c r="AU43" s="10" t="b">
        <f>IF(I43="TP",VLOOKUP(AF43,TPCalibEqFull!$AZ$2:$BB$56,3),IF(I43="TDP",VLOOKUP(AF43,TPCalibEqFull!$AZ$2:$BB$56,3),IF(I43="TDN",VLOOKUP(AF43,TNCalibEqFull!$AZ$1:$BB$56,3),IF(I43="TN",VLOOKUP(AF43,TNCalibEqFull!$AZ$1:$BB$56,3),FALSE))))</f>
        <v>0</v>
      </c>
      <c r="AV43" s="10" t="str">
        <f t="shared" si="5"/>
        <v>1229 05:17:00-HST-0-C-1-SW-DUP</v>
      </c>
    </row>
    <row r="44" spans="1:48" s="10" customFormat="1" x14ac:dyDescent="0.55000000000000004">
      <c r="A44" s="32">
        <v>44924</v>
      </c>
      <c r="B44" s="33">
        <v>0.22013888888888888</v>
      </c>
      <c r="C44" s="10" t="s">
        <v>912</v>
      </c>
      <c r="D44" s="10">
        <v>0</v>
      </c>
      <c r="E44" s="10" t="s">
        <v>190</v>
      </c>
      <c r="F44" s="10">
        <v>1</v>
      </c>
      <c r="G44" s="10" t="s">
        <v>231</v>
      </c>
      <c r="H44" s="10" t="s">
        <v>314</v>
      </c>
      <c r="I44" s="10" t="s">
        <v>75</v>
      </c>
      <c r="J44" s="10">
        <v>50</v>
      </c>
      <c r="K44" s="12">
        <v>44930</v>
      </c>
      <c r="L44" s="33">
        <v>0.47590277777777779</v>
      </c>
      <c r="M44" s="10">
        <v>1</v>
      </c>
      <c r="N44" s="10" t="s">
        <v>76</v>
      </c>
      <c r="O44" s="10">
        <v>9.9700000000000006</v>
      </c>
      <c r="P44" s="10">
        <v>0.80500000000000005</v>
      </c>
      <c r="Q44" s="10">
        <v>561</v>
      </c>
      <c r="R44" s="10" t="s">
        <v>77</v>
      </c>
      <c r="S44" s="34">
        <f t="shared" si="0"/>
        <v>561</v>
      </c>
      <c r="T44" s="10" t="s">
        <v>956</v>
      </c>
      <c r="U44" s="34">
        <f t="shared" si="6"/>
        <v>89.2256</v>
      </c>
      <c r="V44" s="31">
        <f>IF(H44="CHK",VLOOKUP(I44,QCCHK,3,),IF(H44="GUP",VLOOKUP(E44,QCGUP,2,),IF(AND(H44="ATP",OR(I44="TN",I44="TDN",I44="TNO2-3",I44="NO2-3")),VLOOKUP(E44,QCREC_N,2,),IF(AND(H44="NIC",OR(I44="TN",I44="TDN",I44="TNO2-3",I44="NO2-3")),VLOOKUP(E44,QCNIC_N,2,),IF(AND(H44="UREA",OR(I44="TN",I44="TDN",I44="TNO2-3",I44="NO2-3")),VLOOKUP(E44,QCUREA_N,2,),IF(H44="PER",VLOOKUP(I44,QCPER,MATCH(E44,QCACTUAL!$J$25:$AA$25,0),),IF(H44="SPK",VLOOKUP(I44,QCSPK,3,),IF(AND(H44="ATP",OR(I44="TP",I44="TDP")),VLOOKUP(E44,QCATP_P,2,),""))))))))</f>
        <v>625</v>
      </c>
      <c r="W44" s="31" t="str">
        <f t="shared" si="1"/>
        <v>TRUE</v>
      </c>
      <c r="X44" s="31" t="str">
        <f t="shared" si="2"/>
        <v>([spikedunkn]-[unkn])/[spike]*100</v>
      </c>
      <c r="Y44" s="10" t="s">
        <v>949</v>
      </c>
      <c r="Z44" s="10" t="s">
        <v>910</v>
      </c>
      <c r="AL44" s="10" t="str">
        <f t="shared" si="3"/>
        <v>FALSE</v>
      </c>
      <c r="AM44" s="10" t="str">
        <f t="shared" si="3"/>
        <v>FALSE</v>
      </c>
      <c r="AN44" s="10" t="str">
        <f t="shared" si="3"/>
        <v>FALSE</v>
      </c>
      <c r="AO44" s="10" t="str">
        <f t="shared" si="4"/>
        <v>FALSE</v>
      </c>
      <c r="AP44" s="10" t="str">
        <f t="shared" si="4"/>
        <v>FALSE</v>
      </c>
      <c r="AQ44" s="10" t="b">
        <f>IF(AND(I44="TP",S44&lt;=150),VLOOKUP(AF44,TPCalibEq150!$AZ$2:$BB$55,3,),IF(AND(I44="TDP",S44&lt;=150),VLOOKUP(AF44,TPCalibEq150!$AZ$2:$BB$55,3,)))</f>
        <v>0</v>
      </c>
      <c r="AR44" s="10" t="b">
        <f>IF(AND(I44="TP",S44&lt;=300),VLOOKUP(AF44,TPCalibEq300!$AZ$2:$BB$55,3,),IF(AND(I44="TDP",S44&lt;=300),VLOOKUP(AF44,TPCalibEq300!$AZ$2:$BB$55,3,)))</f>
        <v>0</v>
      </c>
      <c r="AS44" s="10" t="b">
        <f>IF(AND(I44="TP",S44&lt;=500),VLOOKUP(AF44,TPCalibEq500!$AZ$2:$BB$56,3,),IF(AND(I44="TDP",S44&lt;=500),VLOOKUP(AF44,TPCalibEq500!$AZ$2:$BB$56,3,)))</f>
        <v>0</v>
      </c>
      <c r="AT44" s="10" t="b">
        <f>IF(AND(I44="TN",S44&lt;=2800),VLOOKUP(AF44,TNCalibEq2500!$AZ$2:$BB$56,3,),IF(AND(I44="TDN",S44&lt;=2800),VLOOKUP(AF44,TNCalibEq2500!$AZ$2:$BB$56,3,)))</f>
        <v>0</v>
      </c>
      <c r="AU44" s="10" t="b">
        <f>IF(I44="TP",VLOOKUP(AF44,TPCalibEqFull!$AZ$2:$BB$56,3),IF(I44="TDP",VLOOKUP(AF44,TPCalibEqFull!$AZ$2:$BB$56,3),IF(I44="TDN",VLOOKUP(AF44,TNCalibEqFull!$AZ$1:$BB$56,3),IF(I44="TN",VLOOKUP(AF44,TNCalibEqFull!$AZ$1:$BB$56,3),FALSE))))</f>
        <v>0</v>
      </c>
      <c r="AV44" s="10" t="str">
        <f t="shared" si="5"/>
        <v>1229 05:17:00-HST -0-C-1-SW-SPK</v>
      </c>
    </row>
    <row r="45" spans="1:48" s="10" customFormat="1" x14ac:dyDescent="0.55000000000000004">
      <c r="A45" s="32">
        <v>44930</v>
      </c>
      <c r="B45" s="33">
        <v>0.375</v>
      </c>
      <c r="C45" s="10" t="s">
        <v>70</v>
      </c>
      <c r="D45" s="10" t="s">
        <v>71</v>
      </c>
      <c r="E45" s="10" t="s">
        <v>901</v>
      </c>
      <c r="F45" s="10">
        <v>1</v>
      </c>
      <c r="G45" s="10" t="s">
        <v>73</v>
      </c>
      <c r="H45" s="10" t="s">
        <v>207</v>
      </c>
      <c r="I45" s="10" t="s">
        <v>75</v>
      </c>
      <c r="J45" s="10">
        <v>199</v>
      </c>
      <c r="K45" s="12">
        <v>44930</v>
      </c>
      <c r="L45" s="33">
        <v>0.47672453703703704</v>
      </c>
      <c r="M45" s="10">
        <v>1</v>
      </c>
      <c r="N45" s="10" t="s">
        <v>76</v>
      </c>
      <c r="O45" s="10">
        <v>5.44</v>
      </c>
      <c r="P45" s="10">
        <v>0.438</v>
      </c>
      <c r="Q45" s="10">
        <v>308</v>
      </c>
      <c r="R45" s="10" t="s">
        <v>77</v>
      </c>
      <c r="S45" s="34">
        <f t="shared" si="0"/>
        <v>308</v>
      </c>
      <c r="T45" s="10" t="s">
        <v>956</v>
      </c>
      <c r="U45" s="34">
        <f t="shared" si="6"/>
        <v>102.66666666666666</v>
      </c>
      <c r="V45" s="31">
        <f>IF(H45="CHK",VLOOKUP(I45,QCCHK,3,),IF(H45="GUP",VLOOKUP(E45,QCGUP,2,),IF(AND(H45="ATP",OR(I45="TN",I45="TDN",I45="TNO2-3",I45="NO2-3")),VLOOKUP(E45,QCREC_N,2,),IF(AND(H45="NIC",OR(I45="TN",I45="TDN",I45="TNO2-3",I45="NO2-3")),VLOOKUP(E45,QCNIC_N,2,),IF(AND(H45="UREA",OR(I45="TN",I45="TDN",I45="TNO2-3",I45="NO2-3")),VLOOKUP(E45,QCUREA_N,2,),IF(H45="PER",VLOOKUP(I45,QCPER,MATCH(E45,QCACTUAL!$J$25:$AA$25,0),),IF(H45="SPK",VLOOKUP(I45,QCSPK,3,),IF(AND(H45="ATP",OR(I45="TP",I45="TDP")),VLOOKUP(E45,QCATP_P,2,),""))))))))</f>
        <v>300</v>
      </c>
      <c r="W45" s="31" t="str">
        <f t="shared" si="1"/>
        <v>TRUE</v>
      </c>
      <c r="X45" s="31" t="str">
        <f t="shared" si="2"/>
        <v>[chk]/[actual]*100</v>
      </c>
      <c r="Y45" s="10" t="s">
        <v>949</v>
      </c>
      <c r="AL45" s="10" t="str">
        <f t="shared" si="3"/>
        <v>FALSE</v>
      </c>
      <c r="AM45" s="10" t="str">
        <f t="shared" si="3"/>
        <v>FALSE</v>
      </c>
      <c r="AN45" s="10" t="str">
        <f t="shared" si="3"/>
        <v>FALSE</v>
      </c>
      <c r="AO45" s="10" t="str">
        <f t="shared" si="4"/>
        <v>FALSE</v>
      </c>
      <c r="AP45" s="10" t="str">
        <f t="shared" si="4"/>
        <v>FALSE</v>
      </c>
      <c r="AQ45" s="10" t="b">
        <f>IF(AND(I45="TP",S45&lt;=150),VLOOKUP(AF45,TPCalibEq150!$AZ$2:$BB$55,3,),IF(AND(I45="TDP",S45&lt;=150),VLOOKUP(AF45,TPCalibEq150!$AZ$2:$BB$55,3,)))</f>
        <v>0</v>
      </c>
      <c r="AR45" s="10" t="b">
        <f>IF(AND(I45="TP",S45&lt;=300),VLOOKUP(AF45,TPCalibEq300!$AZ$2:$BB$55,3,),IF(AND(I45="TDP",S45&lt;=300),VLOOKUP(AF45,TPCalibEq300!$AZ$2:$BB$55,3,)))</f>
        <v>0</v>
      </c>
      <c r="AS45" s="10" t="b">
        <f>IF(AND(I45="TP",S45&lt;=500),VLOOKUP(AF45,TPCalibEq500!$AZ$2:$BB$56,3,),IF(AND(I45="TDP",S45&lt;=500),VLOOKUP(AF45,TPCalibEq500!$AZ$2:$BB$56,3,)))</f>
        <v>0</v>
      </c>
      <c r="AT45" s="10" t="b">
        <f>IF(AND(I45="TN",S45&lt;=2800),VLOOKUP(AF45,TNCalibEq2500!$AZ$2:$BB$56,3,),IF(AND(I45="TDN",S45&lt;=2800),VLOOKUP(AF45,TNCalibEq2500!$AZ$2:$BB$56,3,)))</f>
        <v>0</v>
      </c>
      <c r="AU45" s="10" t="b">
        <f>IF(I45="TP",VLOOKUP(AF45,TPCalibEqFull!$AZ$2:$BB$56,3),IF(I45="TDP",VLOOKUP(AF45,TPCalibEqFull!$AZ$2:$BB$56,3),IF(I45="TDN",VLOOKUP(AF45,TNCalibEqFull!$AZ$1:$BB$56,3),IF(I45="TN",VLOOKUP(AF45,TNCalibEqFull!$AZ$1:$BB$56,3),FALSE))))</f>
        <v>0</v>
      </c>
      <c r="AV45" s="10" t="str">
        <f t="shared" si="5"/>
        <v>0104 09:00:00-QAC-STD-D-1-DI-CHK</v>
      </c>
    </row>
    <row r="46" spans="1:48" s="10" customFormat="1" x14ac:dyDescent="0.55000000000000004">
      <c r="A46" s="32">
        <v>44925</v>
      </c>
      <c r="B46" s="33">
        <v>0.55555555555555558</v>
      </c>
      <c r="C46" s="10" t="s">
        <v>279</v>
      </c>
      <c r="D46" s="10">
        <v>0</v>
      </c>
      <c r="E46" s="10" t="s">
        <v>190</v>
      </c>
      <c r="F46" s="10">
        <v>1</v>
      </c>
      <c r="G46" s="10" t="s">
        <v>231</v>
      </c>
      <c r="H46" s="10" t="s">
        <v>322</v>
      </c>
      <c r="I46" s="10" t="s">
        <v>75</v>
      </c>
      <c r="J46" s="10">
        <v>21</v>
      </c>
      <c r="K46" s="12">
        <v>44930</v>
      </c>
      <c r="L46" s="33">
        <v>0.47753472222222221</v>
      </c>
      <c r="M46" s="10">
        <v>1</v>
      </c>
      <c r="N46" s="10" t="s">
        <v>76</v>
      </c>
      <c r="O46" s="10">
        <v>0.184</v>
      </c>
      <c r="P46" s="10">
        <v>1.2999999999999999E-2</v>
      </c>
      <c r="Q46" s="10">
        <v>10.5</v>
      </c>
      <c r="R46" s="10" t="s">
        <v>77</v>
      </c>
      <c r="S46" s="34">
        <f t="shared" si="0"/>
        <v>10.5</v>
      </c>
      <c r="T46" s="10" t="s">
        <v>956</v>
      </c>
      <c r="U46" s="34" t="str">
        <f t="shared" si="6"/>
        <v/>
      </c>
      <c r="V46" s="31" t="str">
        <f>IF(H46="CHK",VLOOKUP(I46,QCCHK,3,),IF(H46="GUP",VLOOKUP(E46,QCGUP,2,),IF(AND(H46="ATP",OR(I46="TN",I46="TDN",I46="TNO2-3",I46="NO2-3")),VLOOKUP(E46,QCREC_N,2,),IF(AND(H46="NIC",OR(I46="TN",I46="TDN",I46="TNO2-3",I46="NO2-3")),VLOOKUP(E46,QCNIC_N,2,),IF(AND(H46="UREA",OR(I46="TN",I46="TDN",I46="TNO2-3",I46="NO2-3")),VLOOKUP(E46,QCUREA_N,2,),IF(H46="PER",VLOOKUP(I46,QCPER,MATCH(E46,QCACTUAL!$J$25:$AA$25,0),),IF(H46="SPK",VLOOKUP(I46,QCSPK,3,),IF(AND(H46="ATP",OR(I46="TP",I46="TDP")),VLOOKUP(E46,QCATP_P,2,),""))))))))</f>
        <v/>
      </c>
      <c r="W46" s="31" t="str">
        <f t="shared" si="1"/>
        <v>TRUE</v>
      </c>
      <c r="X46" s="31" t="str">
        <f t="shared" si="2"/>
        <v/>
      </c>
      <c r="Y46" s="10" t="s">
        <v>949</v>
      </c>
      <c r="Z46" s="10" t="s">
        <v>910</v>
      </c>
      <c r="AL46" s="10" t="str">
        <f t="shared" si="3"/>
        <v>FALSE</v>
      </c>
      <c r="AM46" s="10" t="str">
        <f t="shared" si="3"/>
        <v>FALSE</v>
      </c>
      <c r="AN46" s="10" t="str">
        <f t="shared" si="3"/>
        <v>FALSE</v>
      </c>
      <c r="AO46" s="10" t="str">
        <f t="shared" si="4"/>
        <v>FALSE</v>
      </c>
      <c r="AP46" s="10" t="str">
        <f t="shared" si="4"/>
        <v>FALSE</v>
      </c>
      <c r="AQ46" s="10" t="b">
        <f>IF(AND(I46="TP",S46&lt;=150),VLOOKUP(AF46,TPCalibEq150!$AZ$2:$BB$55,3,),IF(AND(I46="TDP",S46&lt;=150),VLOOKUP(AF46,TPCalibEq150!$AZ$2:$BB$55,3,)))</f>
        <v>0</v>
      </c>
      <c r="AR46" s="10" t="b">
        <f>IF(AND(I46="TP",S46&lt;=300),VLOOKUP(AF46,TPCalibEq300!$AZ$2:$BB$55,3,),IF(AND(I46="TDP",S46&lt;=300),VLOOKUP(AF46,TPCalibEq300!$AZ$2:$BB$55,3,)))</f>
        <v>0</v>
      </c>
      <c r="AS46" s="10" t="b">
        <f>IF(AND(I46="TP",S46&lt;=500),VLOOKUP(AF46,TPCalibEq500!$AZ$2:$BB$56,3,),IF(AND(I46="TDP",S46&lt;=500),VLOOKUP(AF46,TPCalibEq500!$AZ$2:$BB$56,3,)))</f>
        <v>0</v>
      </c>
      <c r="AT46" s="10" t="b">
        <f>IF(AND(I46="TN",S46&lt;=2800),VLOOKUP(AF46,TNCalibEq2500!$AZ$2:$BB$56,3,),IF(AND(I46="TDN",S46&lt;=2800),VLOOKUP(AF46,TNCalibEq2500!$AZ$2:$BB$56,3,)))</f>
        <v>0</v>
      </c>
      <c r="AU46" s="10" t="b">
        <f>IF(I46="TP",VLOOKUP(AF46,TPCalibEqFull!$AZ$2:$BB$56,3),IF(I46="TDP",VLOOKUP(AF46,TPCalibEqFull!$AZ$2:$BB$56,3),IF(I46="TDN",VLOOKUP(AF46,TNCalibEqFull!$AZ$1:$BB$56,3),IF(I46="TN",VLOOKUP(AF46,TNCalibEqFull!$AZ$1:$BB$56,3),FALSE))))</f>
        <v>0</v>
      </c>
      <c r="AV46" s="10" t="str">
        <f t="shared" si="5"/>
        <v>1230 13:20:00-EFK-0-C-1-SW-UKN</v>
      </c>
    </row>
    <row r="47" spans="1:48" s="10" customFormat="1" x14ac:dyDescent="0.55000000000000004">
      <c r="A47" s="32">
        <v>44925</v>
      </c>
      <c r="B47" s="33">
        <v>0.55902777777777779</v>
      </c>
      <c r="C47" s="10" t="s">
        <v>333</v>
      </c>
      <c r="D47" s="10">
        <v>0</v>
      </c>
      <c r="E47" s="10" t="s">
        <v>190</v>
      </c>
      <c r="F47" s="10">
        <v>1</v>
      </c>
      <c r="G47" s="10" t="s">
        <v>231</v>
      </c>
      <c r="H47" s="10" t="s">
        <v>322</v>
      </c>
      <c r="I47" s="10" t="s">
        <v>75</v>
      </c>
      <c r="J47" s="10">
        <v>22</v>
      </c>
      <c r="K47" s="12">
        <v>44930</v>
      </c>
      <c r="L47" s="33">
        <v>0.47835648148148152</v>
      </c>
      <c r="M47" s="10">
        <v>1</v>
      </c>
      <c r="N47" s="10" t="s">
        <v>76</v>
      </c>
      <c r="O47" s="10">
        <v>0.125</v>
      </c>
      <c r="P47" s="10">
        <v>1.01E-2</v>
      </c>
      <c r="Q47" s="10">
        <v>7.15</v>
      </c>
      <c r="R47" s="10" t="s">
        <v>77</v>
      </c>
      <c r="S47" s="34">
        <f t="shared" si="0"/>
        <v>7.15</v>
      </c>
      <c r="T47" s="10" t="s">
        <v>956</v>
      </c>
      <c r="U47" s="34" t="str">
        <f t="shared" si="6"/>
        <v/>
      </c>
      <c r="V47" s="31" t="str">
        <f>IF(H47="CHK",VLOOKUP(I47,QCCHK,3,),IF(H47="GUP",VLOOKUP(E47,QCGUP,2,),IF(AND(H47="ATP",OR(I47="TN",I47="TDN",I47="TNO2-3",I47="NO2-3")),VLOOKUP(E47,QCREC_N,2,),IF(AND(H47="NIC",OR(I47="TN",I47="TDN",I47="TNO2-3",I47="NO2-3")),VLOOKUP(E47,QCNIC_N,2,),IF(AND(H47="UREA",OR(I47="TN",I47="TDN",I47="TNO2-3",I47="NO2-3")),VLOOKUP(E47,QCUREA_N,2,),IF(H47="PER",VLOOKUP(I47,QCPER,MATCH(E47,QCACTUAL!$J$25:$AA$25,0),),IF(H47="SPK",VLOOKUP(I47,QCSPK,3,),IF(AND(H47="ATP",OR(I47="TP",I47="TDP")),VLOOKUP(E47,QCATP_P,2,),""))))))))</f>
        <v/>
      </c>
      <c r="W47" s="31" t="str">
        <f t="shared" si="1"/>
        <v>TRUE</v>
      </c>
      <c r="X47" s="31" t="str">
        <f t="shared" si="2"/>
        <v/>
      </c>
      <c r="Y47" s="10" t="s">
        <v>949</v>
      </c>
      <c r="Z47" s="10" t="s">
        <v>910</v>
      </c>
      <c r="AL47" s="10" t="str">
        <f t="shared" si="3"/>
        <v>FALSE</v>
      </c>
      <c r="AM47" s="10" t="str">
        <f t="shared" si="3"/>
        <v>FALSE</v>
      </c>
      <c r="AN47" s="10" t="str">
        <f t="shared" si="3"/>
        <v>FALSE</v>
      </c>
      <c r="AO47" s="10" t="str">
        <f t="shared" si="4"/>
        <v>FALSE</v>
      </c>
      <c r="AP47" s="10" t="str">
        <f t="shared" si="4"/>
        <v>FALSE</v>
      </c>
      <c r="AQ47" s="10" t="b">
        <f>IF(AND(I47="TP",S47&lt;=150),VLOOKUP(AF47,TPCalibEq150!$AZ$2:$BB$55,3,),IF(AND(I47="TDP",S47&lt;=150),VLOOKUP(AF47,TPCalibEq150!$AZ$2:$BB$55,3,)))</f>
        <v>0</v>
      </c>
      <c r="AR47" s="10" t="b">
        <f>IF(AND(I47="TP",S47&lt;=300),VLOOKUP(AF47,TPCalibEq300!$AZ$2:$BB$55,3,),IF(AND(I47="TDP",S47&lt;=300),VLOOKUP(AF47,TPCalibEq300!$AZ$2:$BB$55,3,)))</f>
        <v>0</v>
      </c>
      <c r="AS47" s="10" t="b">
        <f>IF(AND(I47="TP",S47&lt;=500),VLOOKUP(AF47,TPCalibEq500!$AZ$2:$BB$56,3,),IF(AND(I47="TDP",S47&lt;=500),VLOOKUP(AF47,TPCalibEq500!$AZ$2:$BB$56,3,)))</f>
        <v>0</v>
      </c>
      <c r="AT47" s="10" t="b">
        <f>IF(AND(I47="TN",S47&lt;=2800),VLOOKUP(AF47,TNCalibEq2500!$AZ$2:$BB$56,3,),IF(AND(I47="TDN",S47&lt;=2800),VLOOKUP(AF47,TNCalibEq2500!$AZ$2:$BB$56,3,)))</f>
        <v>0</v>
      </c>
      <c r="AU47" s="10" t="b">
        <f>IF(I47="TP",VLOOKUP(AF47,TPCalibEqFull!$AZ$2:$BB$56,3),IF(I47="TDP",VLOOKUP(AF47,TPCalibEqFull!$AZ$2:$BB$56,3),IF(I47="TDN",VLOOKUP(AF47,TNCalibEqFull!$AZ$1:$BB$56,3),IF(I47="TN",VLOOKUP(AF47,TNCalibEqFull!$AZ$1:$BB$56,3),FALSE))))</f>
        <v>0</v>
      </c>
      <c r="AV47" s="10" t="str">
        <f t="shared" si="5"/>
        <v>1230 13:25:00-HST-0-C-1-SW-UKN</v>
      </c>
    </row>
    <row r="48" spans="1:48" s="10" customFormat="1" x14ac:dyDescent="0.55000000000000004">
      <c r="A48" s="32">
        <v>44929</v>
      </c>
      <c r="B48" s="33">
        <v>0.22222222222222221</v>
      </c>
      <c r="C48" s="10" t="s">
        <v>279</v>
      </c>
      <c r="D48" s="10">
        <v>0</v>
      </c>
      <c r="E48" s="10" t="s">
        <v>190</v>
      </c>
      <c r="F48" s="10">
        <v>1</v>
      </c>
      <c r="G48" s="10" t="s">
        <v>231</v>
      </c>
      <c r="H48" s="10" t="s">
        <v>322</v>
      </c>
      <c r="I48" s="10" t="s">
        <v>75</v>
      </c>
      <c r="J48" s="10">
        <v>23</v>
      </c>
      <c r="K48" s="12">
        <v>44930</v>
      </c>
      <c r="L48" s="33">
        <v>0.47917824074074072</v>
      </c>
      <c r="M48" s="10">
        <v>1</v>
      </c>
      <c r="N48" s="10" t="s">
        <v>76</v>
      </c>
      <c r="O48" s="10">
        <v>1.83</v>
      </c>
      <c r="P48" s="10">
        <v>0.129</v>
      </c>
      <c r="Q48" s="10">
        <v>104</v>
      </c>
      <c r="R48" s="10" t="s">
        <v>77</v>
      </c>
      <c r="S48" s="34">
        <f t="shared" si="0"/>
        <v>104</v>
      </c>
      <c r="T48" s="10" t="s">
        <v>956</v>
      </c>
      <c r="U48" s="34" t="str">
        <f t="shared" si="6"/>
        <v/>
      </c>
      <c r="V48" s="31" t="str">
        <f>IF(H48="CHK",VLOOKUP(I48,QCCHK,3,),IF(H48="GUP",VLOOKUP(E48,QCGUP,2,),IF(AND(H48="ATP",OR(I48="TN",I48="TDN",I48="TNO2-3",I48="NO2-3")),VLOOKUP(E48,QCREC_N,2,),IF(AND(H48="NIC",OR(I48="TN",I48="TDN",I48="TNO2-3",I48="NO2-3")),VLOOKUP(E48,QCNIC_N,2,),IF(AND(H48="UREA",OR(I48="TN",I48="TDN",I48="TNO2-3",I48="NO2-3")),VLOOKUP(E48,QCUREA_N,2,),IF(H48="PER",VLOOKUP(I48,QCPER,MATCH(E48,QCACTUAL!$J$25:$AA$25,0),),IF(H48="SPK",VLOOKUP(I48,QCSPK,3,),IF(AND(H48="ATP",OR(I48="TP",I48="TDP")),VLOOKUP(E48,QCATP_P,2,),""))))))))</f>
        <v/>
      </c>
      <c r="W48" s="31" t="str">
        <f t="shared" si="1"/>
        <v>TRUE</v>
      </c>
      <c r="X48" s="31" t="str">
        <f t="shared" si="2"/>
        <v/>
      </c>
      <c r="Y48" s="10" t="s">
        <v>949</v>
      </c>
      <c r="AL48" s="10" t="str">
        <f t="shared" si="3"/>
        <v>FALSE</v>
      </c>
      <c r="AM48" s="10" t="str">
        <f t="shared" si="3"/>
        <v>FALSE</v>
      </c>
      <c r="AN48" s="10" t="str">
        <f t="shared" si="3"/>
        <v>FALSE</v>
      </c>
      <c r="AO48" s="10" t="str">
        <f t="shared" si="4"/>
        <v>FALSE</v>
      </c>
      <c r="AP48" s="10" t="str">
        <f t="shared" si="4"/>
        <v>FALSE</v>
      </c>
      <c r="AQ48" s="10" t="b">
        <f>IF(AND(I48="TP",S48&lt;=150),VLOOKUP(AF48,TPCalibEq150!$AZ$2:$BB$55,3,),IF(AND(I48="TDP",S48&lt;=150),VLOOKUP(AF48,TPCalibEq150!$AZ$2:$BB$55,3,)))</f>
        <v>0</v>
      </c>
      <c r="AR48" s="10" t="b">
        <f>IF(AND(I48="TP",S48&lt;=300),VLOOKUP(AF48,TPCalibEq300!$AZ$2:$BB$55,3,),IF(AND(I48="TDP",S48&lt;=300),VLOOKUP(AF48,TPCalibEq300!$AZ$2:$BB$55,3,)))</f>
        <v>0</v>
      </c>
      <c r="AS48" s="10" t="b">
        <f>IF(AND(I48="TP",S48&lt;=500),VLOOKUP(AF48,TPCalibEq500!$AZ$2:$BB$56,3,),IF(AND(I48="TDP",S48&lt;=500),VLOOKUP(AF48,TPCalibEq500!$AZ$2:$BB$56,3,)))</f>
        <v>0</v>
      </c>
      <c r="AT48" s="10" t="b">
        <f>IF(AND(I48="TN",S48&lt;=2800),VLOOKUP(AF48,TNCalibEq2500!$AZ$2:$BB$56,3,),IF(AND(I48="TDN",S48&lt;=2800),VLOOKUP(AF48,TNCalibEq2500!$AZ$2:$BB$56,3,)))</f>
        <v>0</v>
      </c>
      <c r="AU48" s="10" t="b">
        <f>IF(I48="TP",VLOOKUP(AF48,TPCalibEqFull!$AZ$2:$BB$56,3),IF(I48="TDP",VLOOKUP(AF48,TPCalibEqFull!$AZ$2:$BB$56,3),IF(I48="TDN",VLOOKUP(AF48,TNCalibEqFull!$AZ$1:$BB$56,3),IF(I48="TN",VLOOKUP(AF48,TNCalibEqFull!$AZ$1:$BB$56,3),FALSE))))</f>
        <v>0</v>
      </c>
      <c r="AV48" s="10" t="str">
        <f t="shared" si="5"/>
        <v>0103 05:20:00-EFK-0-C-1-SW-UKN</v>
      </c>
    </row>
    <row r="49" spans="1:48" s="10" customFormat="1" x14ac:dyDescent="0.55000000000000004">
      <c r="A49" s="32">
        <v>44929</v>
      </c>
      <c r="B49" s="33">
        <v>0.22569444444444445</v>
      </c>
      <c r="C49" s="10" t="s">
        <v>333</v>
      </c>
      <c r="D49" s="10">
        <v>0</v>
      </c>
      <c r="E49" s="10" t="s">
        <v>190</v>
      </c>
      <c r="F49" s="10">
        <v>1</v>
      </c>
      <c r="G49" s="10" t="s">
        <v>231</v>
      </c>
      <c r="H49" s="10" t="s">
        <v>322</v>
      </c>
      <c r="I49" s="10" t="s">
        <v>75</v>
      </c>
      <c r="J49" s="10">
        <v>24</v>
      </c>
      <c r="K49" s="12">
        <v>44930</v>
      </c>
      <c r="L49" s="33">
        <v>0.47998842592592594</v>
      </c>
      <c r="M49" s="10">
        <v>1</v>
      </c>
      <c r="N49" s="10" t="s">
        <v>76</v>
      </c>
      <c r="O49" s="10">
        <v>4.45</v>
      </c>
      <c r="P49" s="10">
        <v>0.311</v>
      </c>
      <c r="Q49" s="10">
        <v>252</v>
      </c>
      <c r="R49" s="10" t="s">
        <v>77</v>
      </c>
      <c r="S49" s="34">
        <f t="shared" si="0"/>
        <v>252</v>
      </c>
      <c r="T49" s="10" t="s">
        <v>956</v>
      </c>
      <c r="U49" s="34" t="str">
        <f t="shared" si="6"/>
        <v/>
      </c>
      <c r="V49" s="31" t="str">
        <f>IF(H49="CHK",VLOOKUP(I49,QCCHK,3,),IF(H49="GUP",VLOOKUP(E49,QCGUP,2,),IF(AND(H49="ATP",OR(I49="TN",I49="TDN",I49="TNO2-3",I49="NO2-3")),VLOOKUP(E49,QCREC_N,2,),IF(AND(H49="NIC",OR(I49="TN",I49="TDN",I49="TNO2-3",I49="NO2-3")),VLOOKUP(E49,QCNIC_N,2,),IF(AND(H49="UREA",OR(I49="TN",I49="TDN",I49="TNO2-3",I49="NO2-3")),VLOOKUP(E49,QCUREA_N,2,),IF(H49="PER",VLOOKUP(I49,QCPER,MATCH(E49,QCACTUAL!$J$25:$AA$25,0),),IF(H49="SPK",VLOOKUP(I49,QCSPK,3,),IF(AND(H49="ATP",OR(I49="TP",I49="TDP")),VLOOKUP(E49,QCATP_P,2,),""))))))))</f>
        <v/>
      </c>
      <c r="W49" s="31" t="str">
        <f t="shared" si="1"/>
        <v>TRUE</v>
      </c>
      <c r="X49" s="31" t="str">
        <f t="shared" si="2"/>
        <v/>
      </c>
      <c r="Y49" s="10" t="s">
        <v>949</v>
      </c>
      <c r="AL49" s="10" t="str">
        <f t="shared" si="3"/>
        <v>FALSE</v>
      </c>
      <c r="AM49" s="10" t="str">
        <f t="shared" si="3"/>
        <v>FALSE</v>
      </c>
      <c r="AN49" s="10" t="str">
        <f t="shared" si="3"/>
        <v>FALSE</v>
      </c>
      <c r="AO49" s="10" t="str">
        <f t="shared" si="4"/>
        <v>FALSE</v>
      </c>
      <c r="AP49" s="10" t="str">
        <f t="shared" si="4"/>
        <v>FALSE</v>
      </c>
      <c r="AQ49" s="10" t="b">
        <f>IF(AND(I49="TP",S49&lt;=150),VLOOKUP(AF49,TPCalibEq150!$AZ$2:$BB$55,3,),IF(AND(I49="TDP",S49&lt;=150),VLOOKUP(AF49,TPCalibEq150!$AZ$2:$BB$55,3,)))</f>
        <v>0</v>
      </c>
      <c r="AR49" s="10" t="b">
        <f>IF(AND(I49="TP",S49&lt;=300),VLOOKUP(AF49,TPCalibEq300!$AZ$2:$BB$55,3,),IF(AND(I49="TDP",S49&lt;=300),VLOOKUP(AF49,TPCalibEq300!$AZ$2:$BB$55,3,)))</f>
        <v>0</v>
      </c>
      <c r="AS49" s="10" t="b">
        <f>IF(AND(I49="TP",S49&lt;=500),VLOOKUP(AF49,TPCalibEq500!$AZ$2:$BB$56,3,),IF(AND(I49="TDP",S49&lt;=500),VLOOKUP(AF49,TPCalibEq500!$AZ$2:$BB$56,3,)))</f>
        <v>0</v>
      </c>
      <c r="AT49" s="10" t="b">
        <f>IF(AND(I49="TN",S49&lt;=2800),VLOOKUP(AF49,TNCalibEq2500!$AZ$2:$BB$56,3,),IF(AND(I49="TDN",S49&lt;=2800),VLOOKUP(AF49,TNCalibEq2500!$AZ$2:$BB$56,3,)))</f>
        <v>0</v>
      </c>
      <c r="AU49" s="10" t="b">
        <f>IF(I49="TP",VLOOKUP(AF49,TPCalibEqFull!$AZ$2:$BB$56,3),IF(I49="TDP",VLOOKUP(AF49,TPCalibEqFull!$AZ$2:$BB$56,3),IF(I49="TDN",VLOOKUP(AF49,TNCalibEqFull!$AZ$1:$BB$56,3),IF(I49="TN",VLOOKUP(AF49,TNCalibEqFull!$AZ$1:$BB$56,3),FALSE))))</f>
        <v>0</v>
      </c>
      <c r="AV49" s="10" t="str">
        <f t="shared" si="5"/>
        <v>0103 05:25:00-HST-0-C-1-SW-UKN</v>
      </c>
    </row>
    <row r="50" spans="1:48" s="10" customFormat="1" x14ac:dyDescent="0.55000000000000004">
      <c r="A50" s="32">
        <v>44909</v>
      </c>
      <c r="B50" s="33">
        <v>0.23541666666666669</v>
      </c>
      <c r="C50" s="10" t="s">
        <v>279</v>
      </c>
      <c r="D50" s="10">
        <v>0</v>
      </c>
      <c r="E50" s="10" t="s">
        <v>911</v>
      </c>
      <c r="F50" s="10">
        <v>1</v>
      </c>
      <c r="G50" s="10" t="s">
        <v>231</v>
      </c>
      <c r="H50" s="10" t="s">
        <v>322</v>
      </c>
      <c r="I50" s="10" t="s">
        <v>183</v>
      </c>
      <c r="J50" s="10">
        <v>25</v>
      </c>
      <c r="K50" s="12">
        <v>44930</v>
      </c>
      <c r="L50" s="33">
        <v>0.48079861111111111</v>
      </c>
      <c r="M50" s="10">
        <v>1</v>
      </c>
      <c r="N50" s="10" t="s">
        <v>76</v>
      </c>
      <c r="O50" s="10">
        <v>0.35399999999999998</v>
      </c>
      <c r="P50" s="10">
        <v>2.8400000000000002E-2</v>
      </c>
      <c r="Q50" s="10">
        <v>20.100000000000001</v>
      </c>
      <c r="R50" s="10" t="s">
        <v>77</v>
      </c>
      <c r="S50" s="34">
        <f t="shared" si="0"/>
        <v>20.100000000000001</v>
      </c>
      <c r="T50" s="10" t="s">
        <v>956</v>
      </c>
      <c r="U50" s="34" t="str">
        <f t="shared" si="6"/>
        <v/>
      </c>
      <c r="V50" s="31" t="str">
        <f>IF(H50="CHK",VLOOKUP(I50,QCCHK,3,),IF(H50="GUP",VLOOKUP(E50,QCGUP,2,),IF(AND(H50="ATP",OR(I50="TN",I50="TDN",I50="TNO2-3",I50="NO2-3")),VLOOKUP(E50,QCREC_N,2,),IF(AND(H50="NIC",OR(I50="TN",I50="TDN",I50="TNO2-3",I50="NO2-3")),VLOOKUP(E50,QCNIC_N,2,),IF(AND(H50="UREA",OR(I50="TN",I50="TDN",I50="TNO2-3",I50="NO2-3")),VLOOKUP(E50,QCUREA_N,2,),IF(H50="PER",VLOOKUP(I50,QCPER,MATCH(E50,QCACTUAL!$J$25:$AA$25,0),),IF(H50="SPK",VLOOKUP(I50,QCSPK,3,),IF(AND(H50="ATP",OR(I50="TP",I50="TDP")),VLOOKUP(E50,QCATP_P,2,),""))))))))</f>
        <v/>
      </c>
      <c r="W50" s="31" t="str">
        <f t="shared" si="1"/>
        <v>TRUE</v>
      </c>
      <c r="X50" s="31" t="str">
        <f t="shared" si="2"/>
        <v/>
      </c>
      <c r="Y50" s="10" t="s">
        <v>949</v>
      </c>
      <c r="Z50" s="10" t="s">
        <v>910</v>
      </c>
      <c r="AL50" s="10" t="str">
        <f t="shared" si="3"/>
        <v>FALSE</v>
      </c>
      <c r="AM50" s="10" t="str">
        <f t="shared" si="3"/>
        <v>FALSE</v>
      </c>
      <c r="AN50" s="10" t="str">
        <f t="shared" si="3"/>
        <v>FALSE</v>
      </c>
      <c r="AO50" s="10" t="str">
        <f t="shared" si="4"/>
        <v>FALSE</v>
      </c>
      <c r="AP50" s="10" t="str">
        <f t="shared" si="4"/>
        <v>FALSE</v>
      </c>
      <c r="AQ50" s="10" t="b">
        <f>IF(AND(I50="TP",S50&lt;=150),VLOOKUP(AF50,TPCalibEq150!$AZ$2:$BB$55,3,),IF(AND(I50="TDP",S50&lt;=150),VLOOKUP(AF50,TPCalibEq150!$AZ$2:$BB$55,3,)))</f>
        <v>0</v>
      </c>
      <c r="AR50" s="10" t="b">
        <f>IF(AND(I50="TP",S50&lt;=300),VLOOKUP(AF50,TPCalibEq300!$AZ$2:$BB$55,3,),IF(AND(I50="TDP",S50&lt;=300),VLOOKUP(AF50,TPCalibEq300!$AZ$2:$BB$55,3,)))</f>
        <v>0</v>
      </c>
      <c r="AS50" s="10" t="b">
        <f>IF(AND(I50="TP",S50&lt;=500),VLOOKUP(AF50,TPCalibEq500!$AZ$2:$BB$56,3,),IF(AND(I50="TDP",S50&lt;=500),VLOOKUP(AF50,TPCalibEq500!$AZ$2:$BB$56,3,)))</f>
        <v>0</v>
      </c>
      <c r="AT50" s="10" t="b">
        <f>IF(AND(I50="TN",S50&lt;=2800),VLOOKUP(AF50,TNCalibEq2500!$AZ$2:$BB$56,3,),IF(AND(I50="TDN",S50&lt;=2800),VLOOKUP(AF50,TNCalibEq2500!$AZ$2:$BB$56,3,)))</f>
        <v>0</v>
      </c>
      <c r="AU50" s="10" t="b">
        <f>IF(I50="TP",VLOOKUP(AF50,TPCalibEqFull!$AZ$2:$BB$56,3),IF(I50="TDP",VLOOKUP(AF50,TPCalibEqFull!$AZ$2:$BB$56,3),IF(I50="TDN",VLOOKUP(AF50,TNCalibEqFull!$AZ$1:$BB$56,3),IF(I50="TN",VLOOKUP(AF50,TNCalibEqFull!$AZ$1:$BB$56,3),FALSE))))</f>
        <v>0</v>
      </c>
      <c r="AV50" s="10" t="str">
        <f t="shared" si="5"/>
        <v>1214 05:39:00-EFK-0-FIL-1-SW-UKN</v>
      </c>
    </row>
    <row r="51" spans="1:48" s="10" customFormat="1" x14ac:dyDescent="0.55000000000000004">
      <c r="A51" s="32">
        <v>44909</v>
      </c>
      <c r="B51" s="33">
        <v>0.24236111111111111</v>
      </c>
      <c r="C51" s="10" t="s">
        <v>333</v>
      </c>
      <c r="D51" s="10">
        <v>0</v>
      </c>
      <c r="E51" s="10" t="s">
        <v>911</v>
      </c>
      <c r="F51" s="10">
        <v>1</v>
      </c>
      <c r="G51" s="10" t="s">
        <v>231</v>
      </c>
      <c r="H51" s="10" t="s">
        <v>322</v>
      </c>
      <c r="I51" s="10" t="s">
        <v>183</v>
      </c>
      <c r="J51" s="10">
        <v>26</v>
      </c>
      <c r="K51" s="12">
        <v>44930</v>
      </c>
      <c r="L51" s="33">
        <v>0.48160879629629627</v>
      </c>
      <c r="M51" s="10">
        <v>1</v>
      </c>
      <c r="N51" s="10" t="s">
        <v>76</v>
      </c>
      <c r="O51" s="10">
        <v>0.30299999999999999</v>
      </c>
      <c r="P51" s="10">
        <v>2.4299999999999999E-2</v>
      </c>
      <c r="Q51" s="10">
        <v>17.3</v>
      </c>
      <c r="R51" s="10" t="s">
        <v>77</v>
      </c>
      <c r="S51" s="34">
        <f t="shared" si="0"/>
        <v>17.3</v>
      </c>
      <c r="T51" s="10" t="s">
        <v>956</v>
      </c>
      <c r="U51" s="34" t="str">
        <f t="shared" si="6"/>
        <v/>
      </c>
      <c r="V51" s="31" t="str">
        <f>IF(H51="CHK",VLOOKUP(I51,QCCHK,3,),IF(H51="GUP",VLOOKUP(E51,QCGUP,2,),IF(AND(H51="ATP",OR(I51="TN",I51="TDN",I51="TNO2-3",I51="NO2-3")),VLOOKUP(E51,QCREC_N,2,),IF(AND(H51="NIC",OR(I51="TN",I51="TDN",I51="TNO2-3",I51="NO2-3")),VLOOKUP(E51,QCNIC_N,2,),IF(AND(H51="UREA",OR(I51="TN",I51="TDN",I51="TNO2-3",I51="NO2-3")),VLOOKUP(E51,QCUREA_N,2,),IF(H51="PER",VLOOKUP(I51,QCPER,MATCH(E51,QCACTUAL!$J$25:$AA$25,0),),IF(H51="SPK",VLOOKUP(I51,QCSPK,3,),IF(AND(H51="ATP",OR(I51="TP",I51="TDP")),VLOOKUP(E51,QCATP_P,2,),""))))))))</f>
        <v/>
      </c>
      <c r="W51" s="31" t="str">
        <f t="shared" si="1"/>
        <v>TRUE</v>
      </c>
      <c r="X51" s="31" t="str">
        <f t="shared" si="2"/>
        <v/>
      </c>
      <c r="Y51" s="10" t="s">
        <v>949</v>
      </c>
      <c r="Z51" s="10" t="s">
        <v>910</v>
      </c>
      <c r="AL51" s="10" t="str">
        <f t="shared" si="3"/>
        <v>FALSE</v>
      </c>
      <c r="AM51" s="10" t="str">
        <f t="shared" si="3"/>
        <v>FALSE</v>
      </c>
      <c r="AN51" s="10" t="str">
        <f t="shared" si="3"/>
        <v>FALSE</v>
      </c>
      <c r="AO51" s="10" t="str">
        <f t="shared" si="4"/>
        <v>FALSE</v>
      </c>
      <c r="AP51" s="10" t="str">
        <f t="shared" si="4"/>
        <v>FALSE</v>
      </c>
      <c r="AQ51" s="10" t="b">
        <f>IF(AND(I51="TP",S51&lt;=150),VLOOKUP(AF51,TPCalibEq150!$AZ$2:$BB$55,3,),IF(AND(I51="TDP",S51&lt;=150),VLOOKUP(AF51,TPCalibEq150!$AZ$2:$BB$55,3,)))</f>
        <v>0</v>
      </c>
      <c r="AR51" s="10" t="b">
        <f>IF(AND(I51="TP",S51&lt;=300),VLOOKUP(AF51,TPCalibEq300!$AZ$2:$BB$55,3,),IF(AND(I51="TDP",S51&lt;=300),VLOOKUP(AF51,TPCalibEq300!$AZ$2:$BB$55,3,)))</f>
        <v>0</v>
      </c>
      <c r="AS51" s="10" t="b">
        <f>IF(AND(I51="TP",S51&lt;=500),VLOOKUP(AF51,TPCalibEq500!$AZ$2:$BB$56,3,),IF(AND(I51="TDP",S51&lt;=500),VLOOKUP(AF51,TPCalibEq500!$AZ$2:$BB$56,3,)))</f>
        <v>0</v>
      </c>
      <c r="AT51" s="10" t="b">
        <f>IF(AND(I51="TN",S51&lt;=2800),VLOOKUP(AF51,TNCalibEq2500!$AZ$2:$BB$56,3,),IF(AND(I51="TDN",S51&lt;=2800),VLOOKUP(AF51,TNCalibEq2500!$AZ$2:$BB$56,3,)))</f>
        <v>0</v>
      </c>
      <c r="AU51" s="10" t="b">
        <f>IF(I51="TP",VLOOKUP(AF51,TPCalibEqFull!$AZ$2:$BB$56,3),IF(I51="TDP",VLOOKUP(AF51,TPCalibEqFull!$AZ$2:$BB$56,3),IF(I51="TDN",VLOOKUP(AF51,TNCalibEqFull!$AZ$1:$BB$56,3),IF(I51="TN",VLOOKUP(AF51,TNCalibEqFull!$AZ$1:$BB$56,3),FALSE))))</f>
        <v>0</v>
      </c>
      <c r="AV51" s="10" t="str">
        <f t="shared" si="5"/>
        <v>1214 05:49:00-HST-0-FIL-1-SW-UKN</v>
      </c>
    </row>
    <row r="52" spans="1:48" s="10" customFormat="1" x14ac:dyDescent="0.55000000000000004">
      <c r="A52" s="32">
        <v>44910</v>
      </c>
      <c r="B52" s="33">
        <v>0.18472222222222223</v>
      </c>
      <c r="C52" s="10" t="s">
        <v>279</v>
      </c>
      <c r="D52" s="10">
        <v>0</v>
      </c>
      <c r="E52" s="10" t="s">
        <v>911</v>
      </c>
      <c r="F52" s="10">
        <v>1</v>
      </c>
      <c r="G52" s="10" t="s">
        <v>231</v>
      </c>
      <c r="H52" s="10" t="s">
        <v>322</v>
      </c>
      <c r="I52" s="10" t="s">
        <v>183</v>
      </c>
      <c r="J52" s="10">
        <v>27</v>
      </c>
      <c r="K52" s="12">
        <v>44930</v>
      </c>
      <c r="L52" s="33">
        <v>0.48241898148148149</v>
      </c>
      <c r="M52" s="10">
        <v>1</v>
      </c>
      <c r="N52" s="10" t="s">
        <v>76</v>
      </c>
      <c r="O52" s="10">
        <v>0.46200000000000002</v>
      </c>
      <c r="P52" s="10">
        <v>3.6999999999999998E-2</v>
      </c>
      <c r="Q52" s="10">
        <v>26.3</v>
      </c>
      <c r="R52" s="10" t="s">
        <v>77</v>
      </c>
      <c r="S52" s="34">
        <f t="shared" si="0"/>
        <v>26.3</v>
      </c>
      <c r="T52" s="10" t="s">
        <v>956</v>
      </c>
      <c r="U52" s="34" t="str">
        <f t="shared" si="6"/>
        <v/>
      </c>
      <c r="V52" s="31" t="str">
        <f>IF(H52="CHK",VLOOKUP(I52,QCCHK,3,),IF(H52="GUP",VLOOKUP(E52,QCGUP,2,),IF(AND(H52="ATP",OR(I52="TN",I52="TDN",I52="TNO2-3",I52="NO2-3")),VLOOKUP(E52,QCREC_N,2,),IF(AND(H52="NIC",OR(I52="TN",I52="TDN",I52="TNO2-3",I52="NO2-3")),VLOOKUP(E52,QCNIC_N,2,),IF(AND(H52="UREA",OR(I52="TN",I52="TDN",I52="TNO2-3",I52="NO2-3")),VLOOKUP(E52,QCUREA_N,2,),IF(H52="PER",VLOOKUP(I52,QCPER,MATCH(E52,QCACTUAL!$J$25:$AA$25,0),),IF(H52="SPK",VLOOKUP(I52,QCSPK,3,),IF(AND(H52="ATP",OR(I52="TP",I52="TDP")),VLOOKUP(E52,QCATP_P,2,),""))))))))</f>
        <v/>
      </c>
      <c r="W52" s="31" t="str">
        <f t="shared" si="1"/>
        <v>TRUE</v>
      </c>
      <c r="X52" s="31" t="str">
        <f t="shared" si="2"/>
        <v/>
      </c>
      <c r="Y52" s="10" t="s">
        <v>949</v>
      </c>
      <c r="Z52" s="10" t="s">
        <v>910</v>
      </c>
      <c r="AL52" s="10" t="str">
        <f t="shared" si="3"/>
        <v>FALSE</v>
      </c>
      <c r="AM52" s="10" t="str">
        <f t="shared" si="3"/>
        <v>FALSE</v>
      </c>
      <c r="AN52" s="10" t="str">
        <f t="shared" si="3"/>
        <v>FALSE</v>
      </c>
      <c r="AO52" s="10" t="str">
        <f t="shared" si="4"/>
        <v>FALSE</v>
      </c>
      <c r="AP52" s="10" t="str">
        <f t="shared" si="4"/>
        <v>FALSE</v>
      </c>
      <c r="AQ52" s="10" t="b">
        <f>IF(AND(I52="TP",S52&lt;=150),VLOOKUP(AF52,TPCalibEq150!$AZ$2:$BB$55,3,),IF(AND(I52="TDP",S52&lt;=150),VLOOKUP(AF52,TPCalibEq150!$AZ$2:$BB$55,3,)))</f>
        <v>0</v>
      </c>
      <c r="AR52" s="10" t="b">
        <f>IF(AND(I52="TP",S52&lt;=300),VLOOKUP(AF52,TPCalibEq300!$AZ$2:$BB$55,3,),IF(AND(I52="TDP",S52&lt;=300),VLOOKUP(AF52,TPCalibEq300!$AZ$2:$BB$55,3,)))</f>
        <v>0</v>
      </c>
      <c r="AS52" s="10" t="b">
        <f>IF(AND(I52="TP",S52&lt;=500),VLOOKUP(AF52,TPCalibEq500!$AZ$2:$BB$56,3,),IF(AND(I52="TDP",S52&lt;=500),VLOOKUP(AF52,TPCalibEq500!$AZ$2:$BB$56,3,)))</f>
        <v>0</v>
      </c>
      <c r="AT52" s="10" t="b">
        <f>IF(AND(I52="TN",S52&lt;=2800),VLOOKUP(AF52,TNCalibEq2500!$AZ$2:$BB$56,3,),IF(AND(I52="TDN",S52&lt;=2800),VLOOKUP(AF52,TNCalibEq2500!$AZ$2:$BB$56,3,)))</f>
        <v>0</v>
      </c>
      <c r="AU52" s="10" t="b">
        <f>IF(I52="TP",VLOOKUP(AF52,TPCalibEqFull!$AZ$2:$BB$56,3),IF(I52="TDP",VLOOKUP(AF52,TPCalibEqFull!$AZ$2:$BB$56,3),IF(I52="TDN",VLOOKUP(AF52,TNCalibEqFull!$AZ$1:$BB$56,3),IF(I52="TN",VLOOKUP(AF52,TNCalibEqFull!$AZ$1:$BB$56,3),FALSE))))</f>
        <v>0</v>
      </c>
      <c r="AV52" s="10" t="str">
        <f t="shared" si="5"/>
        <v>1215 04:26:00-EFK-0-FIL-1-SW-UKN</v>
      </c>
    </row>
    <row r="53" spans="1:48" s="10" customFormat="1" x14ac:dyDescent="0.55000000000000004">
      <c r="A53" s="32">
        <v>44910</v>
      </c>
      <c r="B53" s="33">
        <v>0.18819444444444444</v>
      </c>
      <c r="C53" s="10" t="s">
        <v>333</v>
      </c>
      <c r="D53" s="10">
        <v>0</v>
      </c>
      <c r="E53" s="10" t="s">
        <v>911</v>
      </c>
      <c r="F53" s="10">
        <v>1</v>
      </c>
      <c r="G53" s="10" t="s">
        <v>231</v>
      </c>
      <c r="H53" s="10" t="s">
        <v>322</v>
      </c>
      <c r="I53" s="10" t="s">
        <v>183</v>
      </c>
      <c r="J53" s="10">
        <v>28</v>
      </c>
      <c r="K53" s="12">
        <v>44930</v>
      </c>
      <c r="L53" s="33">
        <v>0.48322916666666665</v>
      </c>
      <c r="M53" s="10">
        <v>1</v>
      </c>
      <c r="N53" s="10" t="s">
        <v>76</v>
      </c>
      <c r="O53" s="10">
        <v>0.22700000000000001</v>
      </c>
      <c r="P53" s="10">
        <v>1.8100000000000002E-2</v>
      </c>
      <c r="Q53" s="10">
        <v>12.9</v>
      </c>
      <c r="R53" s="10" t="s">
        <v>77</v>
      </c>
      <c r="S53" s="34">
        <f t="shared" si="0"/>
        <v>12.9</v>
      </c>
      <c r="T53" s="10" t="s">
        <v>956</v>
      </c>
      <c r="U53" s="34" t="str">
        <f t="shared" si="6"/>
        <v/>
      </c>
      <c r="V53" s="31" t="str">
        <f>IF(H53="CHK",VLOOKUP(I53,QCCHK,3,),IF(H53="GUP",VLOOKUP(E53,QCGUP,2,),IF(AND(H53="ATP",OR(I53="TN",I53="TDN",I53="TNO2-3",I53="NO2-3")),VLOOKUP(E53,QCREC_N,2,),IF(AND(H53="NIC",OR(I53="TN",I53="TDN",I53="TNO2-3",I53="NO2-3")),VLOOKUP(E53,QCNIC_N,2,),IF(AND(H53="UREA",OR(I53="TN",I53="TDN",I53="TNO2-3",I53="NO2-3")),VLOOKUP(E53,QCUREA_N,2,),IF(H53="PER",VLOOKUP(I53,QCPER,MATCH(E53,QCACTUAL!$J$25:$AA$25,0),),IF(H53="SPK",VLOOKUP(I53,QCSPK,3,),IF(AND(H53="ATP",OR(I53="TP",I53="TDP")),VLOOKUP(E53,QCATP_P,2,),""))))))))</f>
        <v/>
      </c>
      <c r="W53" s="31" t="str">
        <f t="shared" si="1"/>
        <v>TRUE</v>
      </c>
      <c r="X53" s="31" t="str">
        <f t="shared" si="2"/>
        <v/>
      </c>
      <c r="Y53" s="10" t="s">
        <v>949</v>
      </c>
      <c r="Z53" s="10" t="s">
        <v>910</v>
      </c>
      <c r="AL53" s="10" t="str">
        <f t="shared" si="3"/>
        <v>FALSE</v>
      </c>
      <c r="AM53" s="10" t="str">
        <f t="shared" si="3"/>
        <v>FALSE</v>
      </c>
      <c r="AN53" s="10" t="str">
        <f t="shared" si="3"/>
        <v>FALSE</v>
      </c>
      <c r="AO53" s="10" t="str">
        <f t="shared" si="4"/>
        <v>FALSE</v>
      </c>
      <c r="AP53" s="10" t="str">
        <f t="shared" si="4"/>
        <v>FALSE</v>
      </c>
      <c r="AQ53" s="10" t="b">
        <f>IF(AND(I53="TP",S53&lt;=150),VLOOKUP(AF53,TPCalibEq150!$AZ$2:$BB$55,3,),IF(AND(I53="TDP",S53&lt;=150),VLOOKUP(AF53,TPCalibEq150!$AZ$2:$BB$55,3,)))</f>
        <v>0</v>
      </c>
      <c r="AR53" s="10" t="b">
        <f>IF(AND(I53="TP",S53&lt;=300),VLOOKUP(AF53,TPCalibEq300!$AZ$2:$BB$55,3,),IF(AND(I53="TDP",S53&lt;=300),VLOOKUP(AF53,TPCalibEq300!$AZ$2:$BB$55,3,)))</f>
        <v>0</v>
      </c>
      <c r="AS53" s="10" t="b">
        <f>IF(AND(I53="TP",S53&lt;=500),VLOOKUP(AF53,TPCalibEq500!$AZ$2:$BB$56,3,),IF(AND(I53="TDP",S53&lt;=500),VLOOKUP(AF53,TPCalibEq500!$AZ$2:$BB$56,3,)))</f>
        <v>0</v>
      </c>
      <c r="AT53" s="10" t="b">
        <f>IF(AND(I53="TN",S53&lt;=2800),VLOOKUP(AF53,TNCalibEq2500!$AZ$2:$BB$56,3,),IF(AND(I53="TDN",S53&lt;=2800),VLOOKUP(AF53,TNCalibEq2500!$AZ$2:$BB$56,3,)))</f>
        <v>0</v>
      </c>
      <c r="AU53" s="10" t="b">
        <f>IF(I53="TP",VLOOKUP(AF53,TPCalibEqFull!$AZ$2:$BB$56,3),IF(I53="TDP",VLOOKUP(AF53,TPCalibEqFull!$AZ$2:$BB$56,3),IF(I53="TDN",VLOOKUP(AF53,TNCalibEqFull!$AZ$1:$BB$56,3),IF(I53="TN",VLOOKUP(AF53,TNCalibEqFull!$AZ$1:$BB$56,3),FALSE))))</f>
        <v>0</v>
      </c>
      <c r="AV53" s="10" t="str">
        <f t="shared" si="5"/>
        <v>1215 04:31:00-HST-0-FIL-1-SW-UKN</v>
      </c>
    </row>
    <row r="54" spans="1:48" s="10" customFormat="1" x14ac:dyDescent="0.55000000000000004">
      <c r="A54" s="32">
        <v>44911</v>
      </c>
      <c r="B54" s="33">
        <v>0.4993055555555555</v>
      </c>
      <c r="C54" s="10" t="s">
        <v>279</v>
      </c>
      <c r="D54" s="10">
        <v>0</v>
      </c>
      <c r="E54" s="10" t="s">
        <v>911</v>
      </c>
      <c r="F54" s="10">
        <v>1</v>
      </c>
      <c r="G54" s="10" t="s">
        <v>231</v>
      </c>
      <c r="H54" s="10" t="s">
        <v>322</v>
      </c>
      <c r="I54" s="10" t="s">
        <v>183</v>
      </c>
      <c r="J54" s="10">
        <v>29</v>
      </c>
      <c r="K54" s="12">
        <v>44930</v>
      </c>
      <c r="L54" s="33">
        <v>0.48403935185185182</v>
      </c>
      <c r="M54" s="10">
        <v>1</v>
      </c>
      <c r="N54" s="10" t="s">
        <v>76</v>
      </c>
      <c r="O54" s="10">
        <v>1.03</v>
      </c>
      <c r="P54" s="10">
        <v>8.2699999999999996E-2</v>
      </c>
      <c r="Q54" s="10">
        <v>58.8</v>
      </c>
      <c r="R54" s="10" t="s">
        <v>77</v>
      </c>
      <c r="S54" s="34">
        <f t="shared" si="0"/>
        <v>58.8</v>
      </c>
      <c r="T54" s="10" t="s">
        <v>956</v>
      </c>
      <c r="U54" s="34" t="str">
        <f t="shared" si="6"/>
        <v/>
      </c>
      <c r="V54" s="31" t="str">
        <f>IF(H54="CHK",VLOOKUP(I54,QCCHK,3,),IF(H54="GUP",VLOOKUP(E54,QCGUP,2,),IF(AND(H54="ATP",OR(I54="TN",I54="TDN",I54="TNO2-3",I54="NO2-3")),VLOOKUP(E54,QCREC_N,2,),IF(AND(H54="NIC",OR(I54="TN",I54="TDN",I54="TNO2-3",I54="NO2-3")),VLOOKUP(E54,QCNIC_N,2,),IF(AND(H54="UREA",OR(I54="TN",I54="TDN",I54="TNO2-3",I54="NO2-3")),VLOOKUP(E54,QCUREA_N,2,),IF(H54="PER",VLOOKUP(I54,QCPER,MATCH(E54,QCACTUAL!$J$25:$AA$25,0),),IF(H54="SPK",VLOOKUP(I54,QCSPK,3,),IF(AND(H54="ATP",OR(I54="TP",I54="TDP")),VLOOKUP(E54,QCATP_P,2,),""))))))))</f>
        <v/>
      </c>
      <c r="W54" s="31" t="str">
        <f t="shared" si="1"/>
        <v>TRUE</v>
      </c>
      <c r="X54" s="31" t="str">
        <f t="shared" si="2"/>
        <v/>
      </c>
      <c r="Y54" s="10" t="s">
        <v>949</v>
      </c>
      <c r="Z54" s="10" t="s">
        <v>910</v>
      </c>
      <c r="AL54" s="10" t="str">
        <f t="shared" si="3"/>
        <v>FALSE</v>
      </c>
      <c r="AM54" s="10" t="str">
        <f t="shared" si="3"/>
        <v>FALSE</v>
      </c>
      <c r="AN54" s="10" t="str">
        <f t="shared" si="3"/>
        <v>FALSE</v>
      </c>
      <c r="AO54" s="10" t="str">
        <f t="shared" si="4"/>
        <v>FALSE</v>
      </c>
      <c r="AP54" s="10" t="str">
        <f t="shared" si="4"/>
        <v>FALSE</v>
      </c>
      <c r="AQ54" s="10" t="b">
        <f>IF(AND(I54="TP",S54&lt;=150),VLOOKUP(AF54,TPCalibEq150!$AZ$2:$BB$55,3,),IF(AND(I54="TDP",S54&lt;=150),VLOOKUP(AF54,TPCalibEq150!$AZ$2:$BB$55,3,)))</f>
        <v>0</v>
      </c>
      <c r="AR54" s="10" t="b">
        <f>IF(AND(I54="TP",S54&lt;=300),VLOOKUP(AF54,TPCalibEq300!$AZ$2:$BB$55,3,),IF(AND(I54="TDP",S54&lt;=300),VLOOKUP(AF54,TPCalibEq300!$AZ$2:$BB$55,3,)))</f>
        <v>0</v>
      </c>
      <c r="AS54" s="10" t="b">
        <f>IF(AND(I54="TP",S54&lt;=500),VLOOKUP(AF54,TPCalibEq500!$AZ$2:$BB$56,3,),IF(AND(I54="TDP",S54&lt;=500),VLOOKUP(AF54,TPCalibEq500!$AZ$2:$BB$56,3,)))</f>
        <v>0</v>
      </c>
      <c r="AT54" s="10" t="b">
        <f>IF(AND(I54="TN",S54&lt;=2800),VLOOKUP(AF54,TNCalibEq2500!$AZ$2:$BB$56,3,),IF(AND(I54="TDN",S54&lt;=2800),VLOOKUP(AF54,TNCalibEq2500!$AZ$2:$BB$56,3,)))</f>
        <v>0</v>
      </c>
      <c r="AU54" s="10" t="b">
        <f>IF(I54="TP",VLOOKUP(AF54,TPCalibEqFull!$AZ$2:$BB$56,3),IF(I54="TDP",VLOOKUP(AF54,TPCalibEqFull!$AZ$2:$BB$56,3),IF(I54="TDN",VLOOKUP(AF54,TNCalibEqFull!$AZ$1:$BB$56,3),IF(I54="TN",VLOOKUP(AF54,TNCalibEqFull!$AZ$1:$BB$56,3),FALSE))))</f>
        <v>0</v>
      </c>
      <c r="AV54" s="10" t="str">
        <f t="shared" si="5"/>
        <v>1216 11:59:00-EFK-0-FIL-1-SW-UKN</v>
      </c>
    </row>
    <row r="55" spans="1:48" s="10" customFormat="1" x14ac:dyDescent="0.55000000000000004">
      <c r="A55" s="32">
        <v>44911</v>
      </c>
      <c r="B55" s="33">
        <v>0.49722222222222223</v>
      </c>
      <c r="C55" s="10" t="s">
        <v>333</v>
      </c>
      <c r="D55" s="10">
        <v>0</v>
      </c>
      <c r="E55" s="10" t="s">
        <v>911</v>
      </c>
      <c r="F55" s="10">
        <v>1</v>
      </c>
      <c r="G55" s="10" t="s">
        <v>231</v>
      </c>
      <c r="H55" s="10" t="s">
        <v>322</v>
      </c>
      <c r="I55" s="10" t="s">
        <v>183</v>
      </c>
      <c r="J55" s="10">
        <v>30</v>
      </c>
      <c r="K55" s="12">
        <v>44930</v>
      </c>
      <c r="L55" s="33">
        <v>0.48484953703703698</v>
      </c>
      <c r="M55" s="10">
        <v>1</v>
      </c>
      <c r="N55" s="10" t="s">
        <v>76</v>
      </c>
      <c r="O55" s="10">
        <v>0.159</v>
      </c>
      <c r="P55" s="10">
        <v>1.2800000000000001E-2</v>
      </c>
      <c r="Q55" s="10">
        <v>9.0299999999999994</v>
      </c>
      <c r="R55" s="10" t="s">
        <v>77</v>
      </c>
      <c r="S55" s="34">
        <f t="shared" si="0"/>
        <v>9.0299999999999994</v>
      </c>
      <c r="T55" s="10" t="s">
        <v>956</v>
      </c>
      <c r="U55" s="34" t="str">
        <f t="shared" si="6"/>
        <v/>
      </c>
      <c r="V55" s="31" t="str">
        <f>IF(H55="CHK",VLOOKUP(I55,QCCHK,3,),IF(H55="GUP",VLOOKUP(E55,QCGUP,2,),IF(AND(H55="ATP",OR(I55="TN",I55="TDN",I55="TNO2-3",I55="NO2-3")),VLOOKUP(E55,QCREC_N,2,),IF(AND(H55="NIC",OR(I55="TN",I55="TDN",I55="TNO2-3",I55="NO2-3")),VLOOKUP(E55,QCNIC_N,2,),IF(AND(H55="UREA",OR(I55="TN",I55="TDN",I55="TNO2-3",I55="NO2-3")),VLOOKUP(E55,QCUREA_N,2,),IF(H55="PER",VLOOKUP(I55,QCPER,MATCH(E55,QCACTUAL!$J$25:$AA$25,0),),IF(H55="SPK",VLOOKUP(I55,QCSPK,3,),IF(AND(H55="ATP",OR(I55="TP",I55="TDP")),VLOOKUP(E55,QCATP_P,2,),""))))))))</f>
        <v/>
      </c>
      <c r="W55" s="31" t="str">
        <f t="shared" si="1"/>
        <v>TRUE</v>
      </c>
      <c r="X55" s="31" t="str">
        <f t="shared" si="2"/>
        <v/>
      </c>
      <c r="Y55" s="10" t="s">
        <v>949</v>
      </c>
      <c r="Z55" s="10" t="s">
        <v>910</v>
      </c>
      <c r="AL55" s="10" t="str">
        <f t="shared" si="3"/>
        <v>FALSE</v>
      </c>
      <c r="AM55" s="10" t="str">
        <f t="shared" si="3"/>
        <v>FALSE</v>
      </c>
      <c r="AN55" s="10" t="str">
        <f t="shared" si="3"/>
        <v>FALSE</v>
      </c>
      <c r="AO55" s="10" t="str">
        <f t="shared" si="4"/>
        <v>FALSE</v>
      </c>
      <c r="AP55" s="10" t="str">
        <f t="shared" si="4"/>
        <v>FALSE</v>
      </c>
      <c r="AQ55" s="10" t="b">
        <f>IF(AND(I55="TP",S55&lt;=150),VLOOKUP(AF55,TPCalibEq150!$AZ$2:$BB$55,3,),IF(AND(I55="TDP",S55&lt;=150),VLOOKUP(AF55,TPCalibEq150!$AZ$2:$BB$55,3,)))</f>
        <v>0</v>
      </c>
      <c r="AR55" s="10" t="b">
        <f>IF(AND(I55="TP",S55&lt;=300),VLOOKUP(AF55,TPCalibEq300!$AZ$2:$BB$55,3,),IF(AND(I55="TDP",S55&lt;=300),VLOOKUP(AF55,TPCalibEq300!$AZ$2:$BB$55,3,)))</f>
        <v>0</v>
      </c>
      <c r="AS55" s="10" t="b">
        <f>IF(AND(I55="TP",S55&lt;=500),VLOOKUP(AF55,TPCalibEq500!$AZ$2:$BB$56,3,),IF(AND(I55="TDP",S55&lt;=500),VLOOKUP(AF55,TPCalibEq500!$AZ$2:$BB$56,3,)))</f>
        <v>0</v>
      </c>
      <c r="AT55" s="10" t="b">
        <f>IF(AND(I55="TN",S55&lt;=2800),VLOOKUP(AF55,TNCalibEq2500!$AZ$2:$BB$56,3,),IF(AND(I55="TDN",S55&lt;=2800),VLOOKUP(AF55,TNCalibEq2500!$AZ$2:$BB$56,3,)))</f>
        <v>0</v>
      </c>
      <c r="AU55" s="10" t="b">
        <f>IF(I55="TP",VLOOKUP(AF55,TPCalibEqFull!$AZ$2:$BB$56,3),IF(I55="TDP",VLOOKUP(AF55,TPCalibEqFull!$AZ$2:$BB$56,3),IF(I55="TDN",VLOOKUP(AF55,TNCalibEqFull!$AZ$1:$BB$56,3),IF(I55="TN",VLOOKUP(AF55,TNCalibEqFull!$AZ$1:$BB$56,3),FALSE))))</f>
        <v>0</v>
      </c>
      <c r="AV55" s="10" t="str">
        <f t="shared" si="5"/>
        <v>1216 11:56:00-HST-0-FIL-1-SW-UKN</v>
      </c>
    </row>
    <row r="56" spans="1:48" s="10" customFormat="1" x14ac:dyDescent="0.55000000000000004">
      <c r="A56" s="32">
        <v>44914</v>
      </c>
      <c r="B56" s="33">
        <v>0.22361111111111109</v>
      </c>
      <c r="C56" s="10" t="s">
        <v>279</v>
      </c>
      <c r="D56" s="10">
        <v>0</v>
      </c>
      <c r="E56" s="10" t="s">
        <v>911</v>
      </c>
      <c r="F56" s="10">
        <v>1</v>
      </c>
      <c r="G56" s="10" t="s">
        <v>231</v>
      </c>
      <c r="H56" s="10" t="s">
        <v>322</v>
      </c>
      <c r="I56" s="10" t="s">
        <v>183</v>
      </c>
      <c r="J56" s="10">
        <v>31</v>
      </c>
      <c r="K56" s="12">
        <v>44930</v>
      </c>
      <c r="L56" s="33">
        <v>0.4856712962962963</v>
      </c>
      <c r="M56" s="10">
        <v>1</v>
      </c>
      <c r="N56" s="10" t="s">
        <v>76</v>
      </c>
      <c r="O56" s="10">
        <v>0.46700000000000003</v>
      </c>
      <c r="P56" s="10">
        <v>3.7900000000000003E-2</v>
      </c>
      <c r="Q56" s="10">
        <v>26.6</v>
      </c>
      <c r="R56" s="10" t="s">
        <v>77</v>
      </c>
      <c r="S56" s="34">
        <f t="shared" si="0"/>
        <v>26.6</v>
      </c>
      <c r="T56" s="10" t="s">
        <v>956</v>
      </c>
      <c r="U56" s="34" t="str">
        <f t="shared" si="6"/>
        <v/>
      </c>
      <c r="V56" s="31" t="str">
        <f>IF(H56="CHK",VLOOKUP(I56,QCCHK,3,),IF(H56="GUP",VLOOKUP(E56,QCGUP,2,),IF(AND(H56="ATP",OR(I56="TN",I56="TDN",I56="TNO2-3",I56="NO2-3")),VLOOKUP(E56,QCREC_N,2,),IF(AND(H56="NIC",OR(I56="TN",I56="TDN",I56="TNO2-3",I56="NO2-3")),VLOOKUP(E56,QCNIC_N,2,),IF(AND(H56="UREA",OR(I56="TN",I56="TDN",I56="TNO2-3",I56="NO2-3")),VLOOKUP(E56,QCUREA_N,2,),IF(H56="PER",VLOOKUP(I56,QCPER,MATCH(E56,QCACTUAL!$J$25:$AA$25,0),),IF(H56="SPK",VLOOKUP(I56,QCSPK,3,),IF(AND(H56="ATP",OR(I56="TP",I56="TDP")),VLOOKUP(E56,QCATP_P,2,),""))))))))</f>
        <v/>
      </c>
      <c r="W56" s="31" t="str">
        <f t="shared" si="1"/>
        <v>TRUE</v>
      </c>
      <c r="X56" s="31" t="str">
        <f t="shared" si="2"/>
        <v/>
      </c>
      <c r="Y56" s="10" t="s">
        <v>949</v>
      </c>
      <c r="Z56" s="10" t="s">
        <v>910</v>
      </c>
      <c r="AL56" s="10" t="str">
        <f t="shared" si="3"/>
        <v>FALSE</v>
      </c>
      <c r="AM56" s="10" t="str">
        <f t="shared" si="3"/>
        <v>FALSE</v>
      </c>
      <c r="AN56" s="10" t="str">
        <f t="shared" si="3"/>
        <v>FALSE</v>
      </c>
      <c r="AO56" s="10" t="str">
        <f t="shared" si="4"/>
        <v>FALSE</v>
      </c>
      <c r="AP56" s="10" t="str">
        <f t="shared" si="4"/>
        <v>FALSE</v>
      </c>
      <c r="AQ56" s="10" t="b">
        <f>IF(AND(I56="TP",S56&lt;=150),VLOOKUP(AF56,TPCalibEq150!$AZ$2:$BB$55,3,),IF(AND(I56="TDP",S56&lt;=150),VLOOKUP(AF56,TPCalibEq150!$AZ$2:$BB$55,3,)))</f>
        <v>0</v>
      </c>
      <c r="AR56" s="10" t="b">
        <f>IF(AND(I56="TP",S56&lt;=300),VLOOKUP(AF56,TPCalibEq300!$AZ$2:$BB$55,3,),IF(AND(I56="TDP",S56&lt;=300),VLOOKUP(AF56,TPCalibEq300!$AZ$2:$BB$55,3,)))</f>
        <v>0</v>
      </c>
      <c r="AS56" s="10" t="b">
        <f>IF(AND(I56="TP",S56&lt;=500),VLOOKUP(AF56,TPCalibEq500!$AZ$2:$BB$56,3,),IF(AND(I56="TDP",S56&lt;=500),VLOOKUP(AF56,TPCalibEq500!$AZ$2:$BB$56,3,)))</f>
        <v>0</v>
      </c>
      <c r="AT56" s="10" t="b">
        <f>IF(AND(I56="TN",S56&lt;=2800),VLOOKUP(AF56,TNCalibEq2500!$AZ$2:$BB$56,3,),IF(AND(I56="TDN",S56&lt;=2800),VLOOKUP(AF56,TNCalibEq2500!$AZ$2:$BB$56,3,)))</f>
        <v>0</v>
      </c>
      <c r="AU56" s="10" t="b">
        <f>IF(I56="TP",VLOOKUP(AF56,TPCalibEqFull!$AZ$2:$BB$56,3),IF(I56="TDP",VLOOKUP(AF56,TPCalibEqFull!$AZ$2:$BB$56,3),IF(I56="TDN",VLOOKUP(AF56,TNCalibEqFull!$AZ$1:$BB$56,3),IF(I56="TN",VLOOKUP(AF56,TNCalibEqFull!$AZ$1:$BB$56,3),FALSE))))</f>
        <v>0</v>
      </c>
      <c r="AV56" s="10" t="str">
        <f t="shared" si="5"/>
        <v>1219 05:22:00-EFK-0-FIL-1-SW-UKN</v>
      </c>
    </row>
    <row r="57" spans="1:48" s="10" customFormat="1" x14ac:dyDescent="0.55000000000000004">
      <c r="A57" s="32">
        <v>44914</v>
      </c>
      <c r="B57" s="33">
        <v>0.23124999999999998</v>
      </c>
      <c r="C57" s="10" t="s">
        <v>333</v>
      </c>
      <c r="D57" s="10">
        <v>0</v>
      </c>
      <c r="E57" s="10" t="s">
        <v>911</v>
      </c>
      <c r="F57" s="10">
        <v>1</v>
      </c>
      <c r="G57" s="10" t="s">
        <v>231</v>
      </c>
      <c r="H57" s="10" t="s">
        <v>322</v>
      </c>
      <c r="I57" s="10" t="s">
        <v>183</v>
      </c>
      <c r="J57" s="10">
        <v>32</v>
      </c>
      <c r="K57" s="12">
        <v>44930</v>
      </c>
      <c r="L57" s="33">
        <v>0.48649305555555555</v>
      </c>
      <c r="M57" s="10">
        <v>1</v>
      </c>
      <c r="N57" s="10" t="s">
        <v>76</v>
      </c>
      <c r="O57" s="10">
        <v>0.22500000000000001</v>
      </c>
      <c r="P57" s="10">
        <v>1.9E-2</v>
      </c>
      <c r="Q57" s="10">
        <v>12.8</v>
      </c>
      <c r="R57" s="10" t="s">
        <v>77</v>
      </c>
      <c r="S57" s="34">
        <f t="shared" si="0"/>
        <v>12.8</v>
      </c>
      <c r="T57" s="10" t="s">
        <v>956</v>
      </c>
      <c r="U57" s="34" t="str">
        <f t="shared" si="6"/>
        <v/>
      </c>
      <c r="V57" s="31" t="str">
        <f>IF(H57="CHK",VLOOKUP(I57,QCCHK,3,),IF(H57="GUP",VLOOKUP(E57,QCGUP,2,),IF(AND(H57="ATP",OR(I57="TN",I57="TDN",I57="TNO2-3",I57="NO2-3")),VLOOKUP(E57,QCREC_N,2,),IF(AND(H57="NIC",OR(I57="TN",I57="TDN",I57="TNO2-3",I57="NO2-3")),VLOOKUP(E57,QCNIC_N,2,),IF(AND(H57="UREA",OR(I57="TN",I57="TDN",I57="TNO2-3",I57="NO2-3")),VLOOKUP(E57,QCUREA_N,2,),IF(H57="PER",VLOOKUP(I57,QCPER,MATCH(E57,QCACTUAL!$J$25:$AA$25,0),),IF(H57="SPK",VLOOKUP(I57,QCSPK,3,),IF(AND(H57="ATP",OR(I57="TP",I57="TDP")),VLOOKUP(E57,QCATP_P,2,),""))))))))</f>
        <v/>
      </c>
      <c r="W57" s="31" t="str">
        <f t="shared" si="1"/>
        <v>TRUE</v>
      </c>
      <c r="X57" s="31" t="str">
        <f t="shared" si="2"/>
        <v/>
      </c>
      <c r="Y57" s="10" t="s">
        <v>949</v>
      </c>
      <c r="Z57" s="10" t="s">
        <v>910</v>
      </c>
      <c r="AL57" s="10" t="str">
        <f t="shared" si="3"/>
        <v>FALSE</v>
      </c>
      <c r="AM57" s="10" t="str">
        <f t="shared" si="3"/>
        <v>FALSE</v>
      </c>
      <c r="AN57" s="10" t="str">
        <f t="shared" si="3"/>
        <v>FALSE</v>
      </c>
      <c r="AO57" s="10" t="str">
        <f t="shared" si="4"/>
        <v>FALSE</v>
      </c>
      <c r="AP57" s="10" t="str">
        <f t="shared" si="4"/>
        <v>FALSE</v>
      </c>
      <c r="AQ57" s="10" t="b">
        <f>IF(AND(I57="TP",S57&lt;=150),VLOOKUP(AF57,TPCalibEq150!$AZ$2:$BB$55,3,),IF(AND(I57="TDP",S57&lt;=150),VLOOKUP(AF57,TPCalibEq150!$AZ$2:$BB$55,3,)))</f>
        <v>0</v>
      </c>
      <c r="AR57" s="10" t="b">
        <f>IF(AND(I57="TP",S57&lt;=300),VLOOKUP(AF57,TPCalibEq300!$AZ$2:$BB$55,3,),IF(AND(I57="TDP",S57&lt;=300),VLOOKUP(AF57,TPCalibEq300!$AZ$2:$BB$55,3,)))</f>
        <v>0</v>
      </c>
      <c r="AS57" s="10" t="b">
        <f>IF(AND(I57="TP",S57&lt;=500),VLOOKUP(AF57,TPCalibEq500!$AZ$2:$BB$56,3,),IF(AND(I57="TDP",S57&lt;=500),VLOOKUP(AF57,TPCalibEq500!$AZ$2:$BB$56,3,)))</f>
        <v>0</v>
      </c>
      <c r="AT57" s="10" t="b">
        <f>IF(AND(I57="TN",S57&lt;=2800),VLOOKUP(AF57,TNCalibEq2500!$AZ$2:$BB$56,3,),IF(AND(I57="TDN",S57&lt;=2800),VLOOKUP(AF57,TNCalibEq2500!$AZ$2:$BB$56,3,)))</f>
        <v>0</v>
      </c>
      <c r="AU57" s="10" t="b">
        <f>IF(I57="TP",VLOOKUP(AF57,TPCalibEqFull!$AZ$2:$BB$56,3),IF(I57="TDP",VLOOKUP(AF57,TPCalibEqFull!$AZ$2:$BB$56,3),IF(I57="TDN",VLOOKUP(AF57,TNCalibEqFull!$AZ$1:$BB$56,3),IF(I57="TN",VLOOKUP(AF57,TNCalibEqFull!$AZ$1:$BB$56,3),FALSE))))</f>
        <v>0</v>
      </c>
      <c r="AV57" s="10" t="str">
        <f t="shared" si="5"/>
        <v>1219 05:33:00-HST-0-FIL-1-SW-UKN</v>
      </c>
    </row>
    <row r="58" spans="1:48" s="10" customFormat="1" x14ac:dyDescent="0.55000000000000004">
      <c r="A58" s="32">
        <v>44915</v>
      </c>
      <c r="B58" s="33">
        <v>0.23263888888888887</v>
      </c>
      <c r="C58" s="10" t="s">
        <v>279</v>
      </c>
      <c r="D58" s="10">
        <v>0</v>
      </c>
      <c r="E58" s="10" t="s">
        <v>911</v>
      </c>
      <c r="F58" s="10">
        <v>1</v>
      </c>
      <c r="G58" s="10" t="s">
        <v>231</v>
      </c>
      <c r="H58" s="10" t="s">
        <v>322</v>
      </c>
      <c r="I58" s="10" t="s">
        <v>183</v>
      </c>
      <c r="J58" s="10">
        <v>33</v>
      </c>
      <c r="K58" s="12">
        <v>44930</v>
      </c>
      <c r="L58" s="33">
        <v>0.48731481481481481</v>
      </c>
      <c r="M58" s="10">
        <v>1</v>
      </c>
      <c r="N58" s="10" t="s">
        <v>76</v>
      </c>
      <c r="O58" s="10">
        <v>0.32600000000000001</v>
      </c>
      <c r="P58" s="10">
        <v>2.5999999999999999E-2</v>
      </c>
      <c r="Q58" s="10">
        <v>18.600000000000001</v>
      </c>
      <c r="R58" s="10" t="s">
        <v>77</v>
      </c>
      <c r="S58" s="34">
        <f t="shared" si="0"/>
        <v>18.600000000000001</v>
      </c>
      <c r="T58" s="10" t="s">
        <v>956</v>
      </c>
      <c r="U58" s="34" t="str">
        <f t="shared" si="6"/>
        <v/>
      </c>
      <c r="V58" s="31" t="str">
        <f>IF(H58="CHK",VLOOKUP(I58,QCCHK,3,),IF(H58="GUP",VLOOKUP(E58,QCGUP,2,),IF(AND(H58="ATP",OR(I58="TN",I58="TDN",I58="TNO2-3",I58="NO2-3")),VLOOKUP(E58,QCREC_N,2,),IF(AND(H58="NIC",OR(I58="TN",I58="TDN",I58="TNO2-3",I58="NO2-3")),VLOOKUP(E58,QCNIC_N,2,),IF(AND(H58="UREA",OR(I58="TN",I58="TDN",I58="TNO2-3",I58="NO2-3")),VLOOKUP(E58,QCUREA_N,2,),IF(H58="PER",VLOOKUP(I58,QCPER,MATCH(E58,QCACTUAL!$J$25:$AA$25,0),),IF(H58="SPK",VLOOKUP(I58,QCSPK,3,),IF(AND(H58="ATP",OR(I58="TP",I58="TDP")),VLOOKUP(E58,QCATP_P,2,),""))))))))</f>
        <v/>
      </c>
      <c r="W58" s="31" t="str">
        <f t="shared" si="1"/>
        <v>TRUE</v>
      </c>
      <c r="X58" s="31" t="str">
        <f t="shared" si="2"/>
        <v/>
      </c>
      <c r="Y58" s="10" t="s">
        <v>949</v>
      </c>
      <c r="Z58" s="10" t="s">
        <v>910</v>
      </c>
      <c r="AL58" s="10" t="str">
        <f t="shared" si="3"/>
        <v>FALSE</v>
      </c>
      <c r="AM58" s="10" t="str">
        <f t="shared" si="3"/>
        <v>FALSE</v>
      </c>
      <c r="AN58" s="10" t="str">
        <f t="shared" si="3"/>
        <v>FALSE</v>
      </c>
      <c r="AO58" s="10" t="str">
        <f t="shared" si="4"/>
        <v>FALSE</v>
      </c>
      <c r="AP58" s="10" t="str">
        <f t="shared" si="4"/>
        <v>FALSE</v>
      </c>
      <c r="AQ58" s="10" t="b">
        <f>IF(AND(I58="TP",S58&lt;=150),VLOOKUP(AF58,TPCalibEq150!$AZ$2:$BB$55,3,),IF(AND(I58="TDP",S58&lt;=150),VLOOKUP(AF58,TPCalibEq150!$AZ$2:$BB$55,3,)))</f>
        <v>0</v>
      </c>
      <c r="AR58" s="10" t="b">
        <f>IF(AND(I58="TP",S58&lt;=300),VLOOKUP(AF58,TPCalibEq300!$AZ$2:$BB$55,3,),IF(AND(I58="TDP",S58&lt;=300),VLOOKUP(AF58,TPCalibEq300!$AZ$2:$BB$55,3,)))</f>
        <v>0</v>
      </c>
      <c r="AS58" s="10" t="b">
        <f>IF(AND(I58="TP",S58&lt;=500),VLOOKUP(AF58,TPCalibEq500!$AZ$2:$BB$56,3,),IF(AND(I58="TDP",S58&lt;=500),VLOOKUP(AF58,TPCalibEq500!$AZ$2:$BB$56,3,)))</f>
        <v>0</v>
      </c>
      <c r="AT58" s="10" t="b">
        <f>IF(AND(I58="TN",S58&lt;=2800),VLOOKUP(AF58,TNCalibEq2500!$AZ$2:$BB$56,3,),IF(AND(I58="TDN",S58&lt;=2800),VLOOKUP(AF58,TNCalibEq2500!$AZ$2:$BB$56,3,)))</f>
        <v>0</v>
      </c>
      <c r="AU58" s="10" t="b">
        <f>IF(I58="TP",VLOOKUP(AF58,TPCalibEqFull!$AZ$2:$BB$56,3),IF(I58="TDP",VLOOKUP(AF58,TPCalibEqFull!$AZ$2:$BB$56,3),IF(I58="TDN",VLOOKUP(AF58,TNCalibEqFull!$AZ$1:$BB$56,3),IF(I58="TN",VLOOKUP(AF58,TNCalibEqFull!$AZ$1:$BB$56,3),FALSE))))</f>
        <v>0</v>
      </c>
      <c r="AV58" s="10" t="str">
        <f t="shared" si="5"/>
        <v>1220 05:35:00-EFK-0-FIL-1-SW-UKN</v>
      </c>
    </row>
    <row r="59" spans="1:48" s="10" customFormat="1" x14ac:dyDescent="0.55000000000000004">
      <c r="A59" s="32">
        <v>44915</v>
      </c>
      <c r="B59" s="33">
        <v>0.24652777777777779</v>
      </c>
      <c r="C59" s="10" t="s">
        <v>333</v>
      </c>
      <c r="D59" s="10">
        <v>0</v>
      </c>
      <c r="E59" s="10" t="s">
        <v>911</v>
      </c>
      <c r="F59" s="10">
        <v>1</v>
      </c>
      <c r="G59" s="10" t="s">
        <v>231</v>
      </c>
      <c r="H59" s="10" t="s">
        <v>322</v>
      </c>
      <c r="I59" s="10" t="s">
        <v>183</v>
      </c>
      <c r="J59" s="10">
        <v>34</v>
      </c>
      <c r="K59" s="12">
        <v>44930</v>
      </c>
      <c r="L59" s="33">
        <v>0.48813657407407413</v>
      </c>
      <c r="M59" s="10">
        <v>1</v>
      </c>
      <c r="N59" s="10" t="s">
        <v>76</v>
      </c>
      <c r="O59" s="10">
        <v>0.14000000000000001</v>
      </c>
      <c r="P59" s="10">
        <v>1.14E-2</v>
      </c>
      <c r="Q59" s="10">
        <v>7.96</v>
      </c>
      <c r="R59" s="10" t="s">
        <v>77</v>
      </c>
      <c r="S59" s="34">
        <f t="shared" si="0"/>
        <v>7.96</v>
      </c>
      <c r="T59" s="10" t="s">
        <v>956</v>
      </c>
      <c r="U59" s="34" t="str">
        <f t="shared" si="6"/>
        <v/>
      </c>
      <c r="V59" s="31" t="str">
        <f>IF(H59="CHK",VLOOKUP(I59,QCCHK,3,),IF(H59="GUP",VLOOKUP(E59,QCGUP,2,),IF(AND(H59="ATP",OR(I59="TN",I59="TDN",I59="TNO2-3",I59="NO2-3")),VLOOKUP(E59,QCREC_N,2,),IF(AND(H59="NIC",OR(I59="TN",I59="TDN",I59="TNO2-3",I59="NO2-3")),VLOOKUP(E59,QCNIC_N,2,),IF(AND(H59="UREA",OR(I59="TN",I59="TDN",I59="TNO2-3",I59="NO2-3")),VLOOKUP(E59,QCUREA_N,2,),IF(H59="PER",VLOOKUP(I59,QCPER,MATCH(E59,QCACTUAL!$J$25:$AA$25,0),),IF(H59="SPK",VLOOKUP(I59,QCSPK,3,),IF(AND(H59="ATP",OR(I59="TP",I59="TDP")),VLOOKUP(E59,QCATP_P,2,),""))))))))</f>
        <v/>
      </c>
      <c r="W59" s="31" t="str">
        <f t="shared" si="1"/>
        <v>TRUE</v>
      </c>
      <c r="X59" s="31" t="str">
        <f t="shared" si="2"/>
        <v/>
      </c>
      <c r="Y59" s="10" t="s">
        <v>949</v>
      </c>
      <c r="Z59" s="10" t="s">
        <v>910</v>
      </c>
      <c r="AL59" s="10" t="str">
        <f t="shared" si="3"/>
        <v>FALSE</v>
      </c>
      <c r="AM59" s="10" t="str">
        <f t="shared" si="3"/>
        <v>FALSE</v>
      </c>
      <c r="AN59" s="10" t="str">
        <f t="shared" si="3"/>
        <v>FALSE</v>
      </c>
      <c r="AO59" s="10" t="str">
        <f t="shared" si="4"/>
        <v>FALSE</v>
      </c>
      <c r="AP59" s="10" t="str">
        <f t="shared" si="4"/>
        <v>FALSE</v>
      </c>
      <c r="AQ59" s="10" t="b">
        <f>IF(AND(I59="TP",S59&lt;=150),VLOOKUP(AF59,TPCalibEq150!$AZ$2:$BB$55,3,),IF(AND(I59="TDP",S59&lt;=150),VLOOKUP(AF59,TPCalibEq150!$AZ$2:$BB$55,3,)))</f>
        <v>0</v>
      </c>
      <c r="AR59" s="10" t="b">
        <f>IF(AND(I59="TP",S59&lt;=300),VLOOKUP(AF59,TPCalibEq300!$AZ$2:$BB$55,3,),IF(AND(I59="TDP",S59&lt;=300),VLOOKUP(AF59,TPCalibEq300!$AZ$2:$BB$55,3,)))</f>
        <v>0</v>
      </c>
      <c r="AS59" s="10" t="b">
        <f>IF(AND(I59="TP",S59&lt;=500),VLOOKUP(AF59,TPCalibEq500!$AZ$2:$BB$56,3,),IF(AND(I59="TDP",S59&lt;=500),VLOOKUP(AF59,TPCalibEq500!$AZ$2:$BB$56,3,)))</f>
        <v>0</v>
      </c>
      <c r="AT59" s="10" t="b">
        <f>IF(AND(I59="TN",S59&lt;=2800),VLOOKUP(AF59,TNCalibEq2500!$AZ$2:$BB$56,3,),IF(AND(I59="TDN",S59&lt;=2800),VLOOKUP(AF59,TNCalibEq2500!$AZ$2:$BB$56,3,)))</f>
        <v>0</v>
      </c>
      <c r="AU59" s="10" t="b">
        <f>IF(I59="TP",VLOOKUP(AF59,TPCalibEqFull!$AZ$2:$BB$56,3),IF(I59="TDP",VLOOKUP(AF59,TPCalibEqFull!$AZ$2:$BB$56,3),IF(I59="TDN",VLOOKUP(AF59,TNCalibEqFull!$AZ$1:$BB$56,3),IF(I59="TN",VLOOKUP(AF59,TNCalibEqFull!$AZ$1:$BB$56,3),FALSE))))</f>
        <v>0</v>
      </c>
      <c r="AV59" s="10" t="str">
        <f t="shared" si="5"/>
        <v>1220 05:55:00-HST-0-FIL-1-SW-UKN</v>
      </c>
    </row>
    <row r="60" spans="1:48" s="10" customFormat="1" x14ac:dyDescent="0.55000000000000004">
      <c r="A60" s="32">
        <v>44915</v>
      </c>
      <c r="B60" s="33">
        <v>0.24652777777777779</v>
      </c>
      <c r="C60" s="10" t="s">
        <v>333</v>
      </c>
      <c r="D60" s="10">
        <v>0</v>
      </c>
      <c r="E60" s="10" t="s">
        <v>911</v>
      </c>
      <c r="F60" s="10">
        <v>1</v>
      </c>
      <c r="G60" s="10" t="s">
        <v>231</v>
      </c>
      <c r="H60" s="10" t="s">
        <v>233</v>
      </c>
      <c r="I60" s="10" t="s">
        <v>183</v>
      </c>
      <c r="J60" s="10">
        <v>34</v>
      </c>
      <c r="K60" s="12">
        <v>44930</v>
      </c>
      <c r="L60" s="33">
        <v>0.48895833333333333</v>
      </c>
      <c r="M60" s="10">
        <v>1</v>
      </c>
      <c r="N60" s="10" t="s">
        <v>76</v>
      </c>
      <c r="O60" s="10">
        <v>0.14399999999999999</v>
      </c>
      <c r="P60" s="10">
        <v>1.1599999999999999E-2</v>
      </c>
      <c r="Q60" s="10">
        <v>8.2100000000000009</v>
      </c>
      <c r="R60" s="10" t="s">
        <v>77</v>
      </c>
      <c r="S60" s="34">
        <f t="shared" si="0"/>
        <v>8.2100000000000009</v>
      </c>
      <c r="T60" s="10" t="s">
        <v>956</v>
      </c>
      <c r="U60" s="34">
        <f t="shared" si="6"/>
        <v>3.0921459492888168</v>
      </c>
      <c r="V60" s="31" t="str">
        <f>IF(H60="CHK",VLOOKUP(I60,QCCHK,3,),IF(H60="GUP",VLOOKUP(E60,QCGUP,2,),IF(AND(H60="ATP",OR(I60="TN",I60="TDN",I60="TNO2-3",I60="NO2-3")),VLOOKUP(E60,QCREC_N,2,),IF(AND(H60="NIC",OR(I60="TN",I60="TDN",I60="TNO2-3",I60="NO2-3")),VLOOKUP(E60,QCNIC_N,2,),IF(AND(H60="UREA",OR(I60="TN",I60="TDN",I60="TNO2-3",I60="NO2-3")),VLOOKUP(E60,QCUREA_N,2,),IF(H60="PER",VLOOKUP(I60,QCPER,MATCH(E60,QCACTUAL!$J$25:$AA$25,0),),IF(H60="SPK",VLOOKUP(I60,QCSPK,3,),IF(AND(H60="ATP",OR(I60="TP",I60="TDP")),VLOOKUP(E60,QCATP_P,2,),""))))))))</f>
        <v/>
      </c>
      <c r="W60" s="31" t="str">
        <f t="shared" si="1"/>
        <v>TRUE</v>
      </c>
      <c r="X60" s="31" t="str">
        <f t="shared" si="2"/>
        <v>((ABS(rep1-rep2))/((rep1+rep2)/2)*100</v>
      </c>
      <c r="Y60" s="10" t="s">
        <v>949</v>
      </c>
      <c r="Z60" s="10" t="s">
        <v>910</v>
      </c>
      <c r="AL60" s="10" t="str">
        <f t="shared" si="3"/>
        <v>FALSE</v>
      </c>
      <c r="AM60" s="10" t="str">
        <f t="shared" si="3"/>
        <v>FALSE</v>
      </c>
      <c r="AN60" s="10" t="str">
        <f t="shared" si="3"/>
        <v>FALSE</v>
      </c>
      <c r="AO60" s="10" t="str">
        <f t="shared" si="4"/>
        <v>FALSE</v>
      </c>
      <c r="AP60" s="10" t="str">
        <f t="shared" si="4"/>
        <v>FALSE</v>
      </c>
      <c r="AQ60" s="10" t="b">
        <f>IF(AND(I60="TP",S60&lt;=150),VLOOKUP(AF60,TPCalibEq150!$AZ$2:$BB$55,3,),IF(AND(I60="TDP",S60&lt;=150),VLOOKUP(AF60,TPCalibEq150!$AZ$2:$BB$55,3,)))</f>
        <v>0</v>
      </c>
      <c r="AR60" s="10" t="b">
        <f>IF(AND(I60="TP",S60&lt;=300),VLOOKUP(AF60,TPCalibEq300!$AZ$2:$BB$55,3,),IF(AND(I60="TDP",S60&lt;=300),VLOOKUP(AF60,TPCalibEq300!$AZ$2:$BB$55,3,)))</f>
        <v>0</v>
      </c>
      <c r="AS60" s="10" t="b">
        <f>IF(AND(I60="TP",S60&lt;=500),VLOOKUP(AF60,TPCalibEq500!$AZ$2:$BB$56,3,),IF(AND(I60="TDP",S60&lt;=500),VLOOKUP(AF60,TPCalibEq500!$AZ$2:$BB$56,3,)))</f>
        <v>0</v>
      </c>
      <c r="AT60" s="10" t="b">
        <f>IF(AND(I60="TN",S60&lt;=2800),VLOOKUP(AF60,TNCalibEq2500!$AZ$2:$BB$56,3,),IF(AND(I60="TDN",S60&lt;=2800),VLOOKUP(AF60,TNCalibEq2500!$AZ$2:$BB$56,3,)))</f>
        <v>0</v>
      </c>
      <c r="AU60" s="10" t="b">
        <f>IF(I60="TP",VLOOKUP(AF60,TPCalibEqFull!$AZ$2:$BB$56,3),IF(I60="TDP",VLOOKUP(AF60,TPCalibEqFull!$AZ$2:$BB$56,3),IF(I60="TDN",VLOOKUP(AF60,TNCalibEqFull!$AZ$1:$BB$56,3),IF(I60="TN",VLOOKUP(AF60,TNCalibEqFull!$AZ$1:$BB$56,3),FALSE))))</f>
        <v>0</v>
      </c>
      <c r="AV60" s="10" t="str">
        <f t="shared" si="5"/>
        <v>1220 05:55:00-HST-0-FIL-1-SW-DUP</v>
      </c>
    </row>
    <row r="61" spans="1:48" s="10" customFormat="1" x14ac:dyDescent="0.55000000000000004">
      <c r="A61" s="32">
        <v>44915</v>
      </c>
      <c r="B61" s="33">
        <v>0.24652777777777779</v>
      </c>
      <c r="C61" s="10" t="s">
        <v>912</v>
      </c>
      <c r="D61" s="10">
        <v>0</v>
      </c>
      <c r="E61" s="10" t="s">
        <v>911</v>
      </c>
      <c r="F61" s="10">
        <v>1</v>
      </c>
      <c r="G61" s="10" t="s">
        <v>231</v>
      </c>
      <c r="H61" s="10" t="s">
        <v>314</v>
      </c>
      <c r="I61" s="10" t="s">
        <v>183</v>
      </c>
      <c r="J61" s="10">
        <v>51</v>
      </c>
      <c r="K61" s="12">
        <v>44930</v>
      </c>
      <c r="L61" s="33">
        <v>0.48978009259259259</v>
      </c>
      <c r="M61" s="10">
        <v>1</v>
      </c>
      <c r="N61" s="10" t="s">
        <v>76</v>
      </c>
      <c r="O61" s="10">
        <v>13.8</v>
      </c>
      <c r="P61" s="10">
        <v>1.1100000000000001</v>
      </c>
      <c r="Q61" s="10">
        <v>774</v>
      </c>
      <c r="R61" s="10" t="s">
        <v>77</v>
      </c>
      <c r="S61" s="34">
        <f t="shared" si="0"/>
        <v>774</v>
      </c>
      <c r="T61" s="10" t="s">
        <v>956</v>
      </c>
      <c r="U61" s="34">
        <f t="shared" si="6"/>
        <v>122.5264</v>
      </c>
      <c r="V61" s="31">
        <f>IF(H61="CHK",VLOOKUP(I61,QCCHK,3,),IF(H61="GUP",VLOOKUP(E61,QCGUP,2,),IF(AND(H61="ATP",OR(I61="TN",I61="TDN",I61="TNO2-3",I61="NO2-3")),VLOOKUP(E61,QCREC_N,2,),IF(AND(H61="NIC",OR(I61="TN",I61="TDN",I61="TNO2-3",I61="NO2-3")),VLOOKUP(E61,QCNIC_N,2,),IF(AND(H61="UREA",OR(I61="TN",I61="TDN",I61="TNO2-3",I61="NO2-3")),VLOOKUP(E61,QCUREA_N,2,),IF(H61="PER",VLOOKUP(I61,QCPER,MATCH(E61,QCACTUAL!$J$25:$AA$25,0),),IF(H61="SPK",VLOOKUP(I61,QCSPK,3,),IF(AND(H61="ATP",OR(I61="TP",I61="TDP")),VLOOKUP(E61,QCATP_P,2,),""))))))))</f>
        <v>625</v>
      </c>
      <c r="W61" s="31" t="str">
        <f t="shared" si="1"/>
        <v>TRUE</v>
      </c>
      <c r="X61" s="31" t="str">
        <f t="shared" si="2"/>
        <v>([spikedunkn]-[unkn])/[spike]*100</v>
      </c>
      <c r="Y61" s="10" t="s">
        <v>949</v>
      </c>
      <c r="Z61" s="10" t="s">
        <v>910</v>
      </c>
      <c r="AL61" s="10" t="str">
        <f t="shared" si="3"/>
        <v>FALSE</v>
      </c>
      <c r="AM61" s="10" t="str">
        <f t="shared" si="3"/>
        <v>FALSE</v>
      </c>
      <c r="AN61" s="10" t="str">
        <f t="shared" si="3"/>
        <v>FALSE</v>
      </c>
      <c r="AO61" s="10" t="str">
        <f t="shared" si="4"/>
        <v>FALSE</v>
      </c>
      <c r="AP61" s="10" t="str">
        <f t="shared" si="4"/>
        <v>FALSE</v>
      </c>
      <c r="AQ61" s="10" t="b">
        <f>IF(AND(I61="TP",S61&lt;=150),VLOOKUP(AF61,TPCalibEq150!$AZ$2:$BB$55,3,),IF(AND(I61="TDP",S61&lt;=150),VLOOKUP(AF61,TPCalibEq150!$AZ$2:$BB$55,3,)))</f>
        <v>0</v>
      </c>
      <c r="AR61" s="10" t="b">
        <f>IF(AND(I61="TP",S61&lt;=300),VLOOKUP(AF61,TPCalibEq300!$AZ$2:$BB$55,3,),IF(AND(I61="TDP",S61&lt;=300),VLOOKUP(AF61,TPCalibEq300!$AZ$2:$BB$55,3,)))</f>
        <v>0</v>
      </c>
      <c r="AS61" s="10" t="b">
        <f>IF(AND(I61="TP",S61&lt;=500),VLOOKUP(AF61,TPCalibEq500!$AZ$2:$BB$56,3,),IF(AND(I61="TDP",S61&lt;=500),VLOOKUP(AF61,TPCalibEq500!$AZ$2:$BB$56,3,)))</f>
        <v>0</v>
      </c>
      <c r="AT61" s="10" t="b">
        <f>IF(AND(I61="TN",S61&lt;=2800),VLOOKUP(AF61,TNCalibEq2500!$AZ$2:$BB$56,3,),IF(AND(I61="TDN",S61&lt;=2800),VLOOKUP(AF61,TNCalibEq2500!$AZ$2:$BB$56,3,)))</f>
        <v>0</v>
      </c>
      <c r="AU61" s="10" t="b">
        <f>IF(I61="TP",VLOOKUP(AF61,TPCalibEqFull!$AZ$2:$BB$56,3),IF(I61="TDP",VLOOKUP(AF61,TPCalibEqFull!$AZ$2:$BB$56,3),IF(I61="TDN",VLOOKUP(AF61,TNCalibEqFull!$AZ$1:$BB$56,3),IF(I61="TN",VLOOKUP(AF61,TNCalibEqFull!$AZ$1:$BB$56,3),FALSE))))</f>
        <v>0</v>
      </c>
      <c r="AV61" s="10" t="str">
        <f t="shared" si="5"/>
        <v>1220 05:55:00-HST -0-FIL-1-SW-SPK</v>
      </c>
    </row>
    <row r="62" spans="1:48" s="10" customFormat="1" x14ac:dyDescent="0.55000000000000004">
      <c r="A62" s="32">
        <v>44930</v>
      </c>
      <c r="B62" s="33">
        <v>0.375</v>
      </c>
      <c r="C62" s="10" t="s">
        <v>70</v>
      </c>
      <c r="D62" s="10" t="s">
        <v>71</v>
      </c>
      <c r="E62" s="10" t="s">
        <v>901</v>
      </c>
      <c r="F62" s="10">
        <v>1</v>
      </c>
      <c r="G62" s="10" t="s">
        <v>73</v>
      </c>
      <c r="H62" s="10" t="s">
        <v>207</v>
      </c>
      <c r="I62" s="10" t="s">
        <v>75</v>
      </c>
      <c r="J62" s="10">
        <v>200</v>
      </c>
      <c r="K62" s="12">
        <v>44930</v>
      </c>
      <c r="L62" s="33">
        <v>0.49060185185185184</v>
      </c>
      <c r="M62" s="10">
        <v>1</v>
      </c>
      <c r="N62" s="10" t="s">
        <v>76</v>
      </c>
      <c r="O62" s="10">
        <v>5.41</v>
      </c>
      <c r="P62" s="10">
        <v>0.434</v>
      </c>
      <c r="Q62" s="10">
        <v>306</v>
      </c>
      <c r="R62" s="10" t="s">
        <v>77</v>
      </c>
      <c r="S62" s="34">
        <f t="shared" si="0"/>
        <v>306</v>
      </c>
      <c r="T62" s="10" t="s">
        <v>956</v>
      </c>
      <c r="U62" s="34">
        <f t="shared" si="6"/>
        <v>102</v>
      </c>
      <c r="V62" s="31">
        <f>IF(H62="CHK",VLOOKUP(I62,QCCHK,3,),IF(H62="GUP",VLOOKUP(E62,QCGUP,2,),IF(AND(H62="ATP",OR(I62="TN",I62="TDN",I62="TNO2-3",I62="NO2-3")),VLOOKUP(E62,QCREC_N,2,),IF(AND(H62="NIC",OR(I62="TN",I62="TDN",I62="TNO2-3",I62="NO2-3")),VLOOKUP(E62,QCNIC_N,2,),IF(AND(H62="UREA",OR(I62="TN",I62="TDN",I62="TNO2-3",I62="NO2-3")),VLOOKUP(E62,QCUREA_N,2,),IF(H62="PER",VLOOKUP(I62,QCPER,MATCH(E62,QCACTUAL!$J$25:$AA$25,0),),IF(H62="SPK",VLOOKUP(I62,QCSPK,3,),IF(AND(H62="ATP",OR(I62="TP",I62="TDP")),VLOOKUP(E62,QCATP_P,2,),""))))))))</f>
        <v>300</v>
      </c>
      <c r="W62" s="31" t="str">
        <f t="shared" si="1"/>
        <v>TRUE</v>
      </c>
      <c r="X62" s="31" t="str">
        <f t="shared" si="2"/>
        <v>[chk]/[actual]*100</v>
      </c>
      <c r="Y62" s="10" t="s">
        <v>949</v>
      </c>
      <c r="AL62" s="10" t="str">
        <f t="shared" si="3"/>
        <v>FALSE</v>
      </c>
      <c r="AM62" s="10" t="str">
        <f t="shared" si="3"/>
        <v>FALSE</v>
      </c>
      <c r="AN62" s="10" t="str">
        <f t="shared" si="3"/>
        <v>FALSE</v>
      </c>
      <c r="AO62" s="10" t="str">
        <f t="shared" si="4"/>
        <v>FALSE</v>
      </c>
      <c r="AP62" s="10" t="str">
        <f t="shared" si="4"/>
        <v>FALSE</v>
      </c>
      <c r="AQ62" s="10" t="b">
        <f>IF(AND(I62="TP",S62&lt;=150),VLOOKUP(AF62,TPCalibEq150!$AZ$2:$BB$55,3,),IF(AND(I62="TDP",S62&lt;=150),VLOOKUP(AF62,TPCalibEq150!$AZ$2:$BB$55,3,)))</f>
        <v>0</v>
      </c>
      <c r="AR62" s="10" t="b">
        <f>IF(AND(I62="TP",S62&lt;=300),VLOOKUP(AF62,TPCalibEq300!$AZ$2:$BB$55,3,),IF(AND(I62="TDP",S62&lt;=300),VLOOKUP(AF62,TPCalibEq300!$AZ$2:$BB$55,3,)))</f>
        <v>0</v>
      </c>
      <c r="AS62" s="10" t="b">
        <f>IF(AND(I62="TP",S62&lt;=500),VLOOKUP(AF62,TPCalibEq500!$AZ$2:$BB$56,3,),IF(AND(I62="TDP",S62&lt;=500),VLOOKUP(AF62,TPCalibEq500!$AZ$2:$BB$56,3,)))</f>
        <v>0</v>
      </c>
      <c r="AT62" s="10" t="b">
        <f>IF(AND(I62="TN",S62&lt;=2800),VLOOKUP(AF62,TNCalibEq2500!$AZ$2:$BB$56,3,),IF(AND(I62="TDN",S62&lt;=2800),VLOOKUP(AF62,TNCalibEq2500!$AZ$2:$BB$56,3,)))</f>
        <v>0</v>
      </c>
      <c r="AU62" s="10" t="b">
        <f>IF(I62="TP",VLOOKUP(AF62,TPCalibEqFull!$AZ$2:$BB$56,3),IF(I62="TDP",VLOOKUP(AF62,TPCalibEqFull!$AZ$2:$BB$56,3),IF(I62="TDN",VLOOKUP(AF62,TNCalibEqFull!$AZ$1:$BB$56,3),IF(I62="TN",VLOOKUP(AF62,TNCalibEqFull!$AZ$1:$BB$56,3),FALSE))))</f>
        <v>0</v>
      </c>
      <c r="AV62" s="10" t="str">
        <f t="shared" si="5"/>
        <v>0104 09:00:00-QAC-STD-D-1-DI-CHK</v>
      </c>
    </row>
    <row r="63" spans="1:48" s="10" customFormat="1" x14ac:dyDescent="0.55000000000000004">
      <c r="A63" s="32">
        <v>44916</v>
      </c>
      <c r="B63" s="33">
        <v>0.22916666666666666</v>
      </c>
      <c r="C63" s="10" t="s">
        <v>279</v>
      </c>
      <c r="D63" s="10">
        <v>0</v>
      </c>
      <c r="E63" s="10" t="s">
        <v>911</v>
      </c>
      <c r="F63" s="10">
        <v>1</v>
      </c>
      <c r="G63" s="10" t="s">
        <v>231</v>
      </c>
      <c r="H63" s="10" t="s">
        <v>322</v>
      </c>
      <c r="I63" s="10" t="s">
        <v>183</v>
      </c>
      <c r="J63" s="10">
        <v>35</v>
      </c>
      <c r="K63" s="12">
        <v>44930</v>
      </c>
      <c r="L63" s="33">
        <v>0.49142361111111116</v>
      </c>
      <c r="M63" s="10">
        <v>1</v>
      </c>
      <c r="N63" s="10" t="s">
        <v>76</v>
      </c>
      <c r="O63" s="10">
        <v>0.187</v>
      </c>
      <c r="P63" s="10">
        <v>1.46E-2</v>
      </c>
      <c r="Q63" s="10">
        <v>10.6</v>
      </c>
      <c r="R63" s="10" t="s">
        <v>77</v>
      </c>
      <c r="S63" s="34">
        <f t="shared" si="0"/>
        <v>10.6</v>
      </c>
      <c r="T63" s="10" t="s">
        <v>956</v>
      </c>
      <c r="U63" s="34" t="str">
        <f t="shared" si="6"/>
        <v/>
      </c>
      <c r="V63" s="31" t="str">
        <f>IF(H63="CHK",VLOOKUP(I63,QCCHK,3,),IF(H63="GUP",VLOOKUP(E63,QCGUP,2,),IF(AND(H63="ATP",OR(I63="TN",I63="TDN",I63="TNO2-3",I63="NO2-3")),VLOOKUP(E63,QCREC_N,2,),IF(AND(H63="NIC",OR(I63="TN",I63="TDN",I63="TNO2-3",I63="NO2-3")),VLOOKUP(E63,QCNIC_N,2,),IF(AND(H63="UREA",OR(I63="TN",I63="TDN",I63="TNO2-3",I63="NO2-3")),VLOOKUP(E63,QCUREA_N,2,),IF(H63="PER",VLOOKUP(I63,QCPER,MATCH(E63,QCACTUAL!$J$25:$AA$25,0),),IF(H63="SPK",VLOOKUP(I63,QCSPK,3,),IF(AND(H63="ATP",OR(I63="TP",I63="TDP")),VLOOKUP(E63,QCATP_P,2,),""))))))))</f>
        <v/>
      </c>
      <c r="W63" s="31" t="str">
        <f t="shared" si="1"/>
        <v>TRUE</v>
      </c>
      <c r="X63" s="31" t="str">
        <f t="shared" si="2"/>
        <v/>
      </c>
      <c r="Y63" s="10" t="s">
        <v>949</v>
      </c>
      <c r="Z63" s="10" t="s">
        <v>910</v>
      </c>
      <c r="AL63" s="10" t="str">
        <f t="shared" si="3"/>
        <v>FALSE</v>
      </c>
      <c r="AM63" s="10" t="str">
        <f t="shared" si="3"/>
        <v>FALSE</v>
      </c>
      <c r="AN63" s="10" t="str">
        <f t="shared" si="3"/>
        <v>FALSE</v>
      </c>
      <c r="AO63" s="10" t="str">
        <f t="shared" si="4"/>
        <v>FALSE</v>
      </c>
      <c r="AP63" s="10" t="str">
        <f t="shared" si="4"/>
        <v>FALSE</v>
      </c>
      <c r="AQ63" s="10" t="b">
        <f>IF(AND(I63="TP",S63&lt;=150),VLOOKUP(AF63,TPCalibEq150!$AZ$2:$BB$55,3,),IF(AND(I63="TDP",S63&lt;=150),VLOOKUP(AF63,TPCalibEq150!$AZ$2:$BB$55,3,)))</f>
        <v>0</v>
      </c>
      <c r="AR63" s="10" t="b">
        <f>IF(AND(I63="TP",S63&lt;=300),VLOOKUP(AF63,TPCalibEq300!$AZ$2:$BB$55,3,),IF(AND(I63="TDP",S63&lt;=300),VLOOKUP(AF63,TPCalibEq300!$AZ$2:$BB$55,3,)))</f>
        <v>0</v>
      </c>
      <c r="AS63" s="10" t="b">
        <f>IF(AND(I63="TP",S63&lt;=500),VLOOKUP(AF63,TPCalibEq500!$AZ$2:$BB$56,3,),IF(AND(I63="TDP",S63&lt;=500),VLOOKUP(AF63,TPCalibEq500!$AZ$2:$BB$56,3,)))</f>
        <v>0</v>
      </c>
      <c r="AT63" s="10" t="b">
        <f>IF(AND(I63="TN",S63&lt;=2800),VLOOKUP(AF63,TNCalibEq2500!$AZ$2:$BB$56,3,),IF(AND(I63="TDN",S63&lt;=2800),VLOOKUP(AF63,TNCalibEq2500!$AZ$2:$BB$56,3,)))</f>
        <v>0</v>
      </c>
      <c r="AU63" s="10" t="b">
        <f>IF(I63="TP",VLOOKUP(AF63,TPCalibEqFull!$AZ$2:$BB$56,3),IF(I63="TDP",VLOOKUP(AF63,TPCalibEqFull!$AZ$2:$BB$56,3),IF(I63="TDN",VLOOKUP(AF63,TNCalibEqFull!$AZ$1:$BB$56,3),IF(I63="TN",VLOOKUP(AF63,TNCalibEqFull!$AZ$1:$BB$56,3),FALSE))))</f>
        <v>0</v>
      </c>
      <c r="AV63" s="10" t="str">
        <f t="shared" si="5"/>
        <v>1221 05:30:00-EFK-0-FIL-1-SW-UKN</v>
      </c>
    </row>
    <row r="64" spans="1:48" s="10" customFormat="1" x14ac:dyDescent="0.55000000000000004">
      <c r="A64" s="32">
        <v>44916</v>
      </c>
      <c r="B64" s="33">
        <v>0.23611111111111113</v>
      </c>
      <c r="C64" s="10" t="s">
        <v>333</v>
      </c>
      <c r="D64" s="10">
        <v>0</v>
      </c>
      <c r="E64" s="10" t="s">
        <v>911</v>
      </c>
      <c r="F64" s="10">
        <v>1</v>
      </c>
      <c r="G64" s="10" t="s">
        <v>231</v>
      </c>
      <c r="H64" s="10" t="s">
        <v>322</v>
      </c>
      <c r="I64" s="10" t="s">
        <v>183</v>
      </c>
      <c r="J64" s="10">
        <v>36</v>
      </c>
      <c r="K64" s="12">
        <v>44930</v>
      </c>
      <c r="L64" s="33">
        <v>0.49223379629629632</v>
      </c>
      <c r="M64" s="10">
        <v>1</v>
      </c>
      <c r="N64" s="10" t="s">
        <v>76</v>
      </c>
      <c r="O64" s="10">
        <v>9.0899999999999995E-2</v>
      </c>
      <c r="P64" s="10">
        <v>8.0199999999999994E-3</v>
      </c>
      <c r="Q64" s="10">
        <v>5.18</v>
      </c>
      <c r="R64" s="10" t="s">
        <v>77</v>
      </c>
      <c r="S64" s="34">
        <f t="shared" si="0"/>
        <v>5.18</v>
      </c>
      <c r="T64" s="10" t="s">
        <v>956</v>
      </c>
      <c r="U64" s="34" t="str">
        <f t="shared" si="6"/>
        <v/>
      </c>
      <c r="V64" s="31" t="str">
        <f>IF(H64="CHK",VLOOKUP(I64,QCCHK,3,),IF(H64="GUP",VLOOKUP(E64,QCGUP,2,),IF(AND(H64="ATP",OR(I64="TN",I64="TDN",I64="TNO2-3",I64="NO2-3")),VLOOKUP(E64,QCREC_N,2,),IF(AND(H64="NIC",OR(I64="TN",I64="TDN",I64="TNO2-3",I64="NO2-3")),VLOOKUP(E64,QCNIC_N,2,),IF(AND(H64="UREA",OR(I64="TN",I64="TDN",I64="TNO2-3",I64="NO2-3")),VLOOKUP(E64,QCUREA_N,2,),IF(H64="PER",VLOOKUP(I64,QCPER,MATCH(E64,QCACTUAL!$J$25:$AA$25,0),),IF(H64="SPK",VLOOKUP(I64,QCSPK,3,),IF(AND(H64="ATP",OR(I64="TP",I64="TDP")),VLOOKUP(E64,QCATP_P,2,),""))))))))</f>
        <v/>
      </c>
      <c r="W64" s="31" t="str">
        <f t="shared" si="1"/>
        <v>TRUE</v>
      </c>
      <c r="X64" s="31" t="str">
        <f t="shared" si="2"/>
        <v/>
      </c>
      <c r="Y64" s="10" t="s">
        <v>949</v>
      </c>
      <c r="Z64" s="10" t="s">
        <v>910</v>
      </c>
      <c r="AL64" s="10" t="str">
        <f t="shared" si="3"/>
        <v>FALSE</v>
      </c>
      <c r="AM64" s="10" t="str">
        <f t="shared" si="3"/>
        <v>FALSE</v>
      </c>
      <c r="AN64" s="10" t="str">
        <f t="shared" si="3"/>
        <v>FALSE</v>
      </c>
      <c r="AO64" s="10" t="str">
        <f t="shared" si="4"/>
        <v>FALSE</v>
      </c>
      <c r="AP64" s="10" t="str">
        <f t="shared" si="4"/>
        <v>FALSE</v>
      </c>
      <c r="AQ64" s="10" t="b">
        <f>IF(AND(I64="TP",S64&lt;=150),VLOOKUP(AF64,TPCalibEq150!$AZ$2:$BB$55,3,),IF(AND(I64="TDP",S64&lt;=150),VLOOKUP(AF64,TPCalibEq150!$AZ$2:$BB$55,3,)))</f>
        <v>0</v>
      </c>
      <c r="AR64" s="10" t="b">
        <f>IF(AND(I64="TP",S64&lt;=300),VLOOKUP(AF64,TPCalibEq300!$AZ$2:$BB$55,3,),IF(AND(I64="TDP",S64&lt;=300),VLOOKUP(AF64,TPCalibEq300!$AZ$2:$BB$55,3,)))</f>
        <v>0</v>
      </c>
      <c r="AS64" s="10" t="b">
        <f>IF(AND(I64="TP",S64&lt;=500),VLOOKUP(AF64,TPCalibEq500!$AZ$2:$BB$56,3,),IF(AND(I64="TDP",S64&lt;=500),VLOOKUP(AF64,TPCalibEq500!$AZ$2:$BB$56,3,)))</f>
        <v>0</v>
      </c>
      <c r="AT64" s="10" t="b">
        <f>IF(AND(I64="TN",S64&lt;=2800),VLOOKUP(AF64,TNCalibEq2500!$AZ$2:$BB$56,3,),IF(AND(I64="TDN",S64&lt;=2800),VLOOKUP(AF64,TNCalibEq2500!$AZ$2:$BB$56,3,)))</f>
        <v>0</v>
      </c>
      <c r="AU64" s="10" t="b">
        <f>IF(I64="TP",VLOOKUP(AF64,TPCalibEqFull!$AZ$2:$BB$56,3),IF(I64="TDP",VLOOKUP(AF64,TPCalibEqFull!$AZ$2:$BB$56,3),IF(I64="TDN",VLOOKUP(AF64,TNCalibEqFull!$AZ$1:$BB$56,3),IF(I64="TN",VLOOKUP(AF64,TNCalibEqFull!$AZ$1:$BB$56,3),FALSE))))</f>
        <v>0</v>
      </c>
      <c r="AV64" s="10" t="str">
        <f t="shared" si="5"/>
        <v>1221 05:40:00-HST-0-FIL-1-SW-UKN</v>
      </c>
    </row>
    <row r="65" spans="1:48" s="10" customFormat="1" x14ac:dyDescent="0.55000000000000004">
      <c r="A65" s="32">
        <v>44917</v>
      </c>
      <c r="B65" s="33">
        <v>0.24513888888888888</v>
      </c>
      <c r="C65" s="10" t="s">
        <v>279</v>
      </c>
      <c r="D65" s="10">
        <v>0</v>
      </c>
      <c r="E65" s="10" t="s">
        <v>911</v>
      </c>
      <c r="F65" s="10">
        <v>1</v>
      </c>
      <c r="G65" s="10" t="s">
        <v>231</v>
      </c>
      <c r="H65" s="10" t="s">
        <v>322</v>
      </c>
      <c r="I65" s="10" t="s">
        <v>183</v>
      </c>
      <c r="J65" s="10">
        <v>37</v>
      </c>
      <c r="K65" s="12">
        <v>44930</v>
      </c>
      <c r="L65" s="33">
        <v>0.49305555555555558</v>
      </c>
      <c r="M65" s="10">
        <v>1</v>
      </c>
      <c r="N65" s="10" t="s">
        <v>76</v>
      </c>
      <c r="O65" s="10">
        <v>0.77800000000000002</v>
      </c>
      <c r="P65" s="10">
        <v>6.2300000000000001E-2</v>
      </c>
      <c r="Q65" s="10">
        <v>44.3</v>
      </c>
      <c r="R65" s="10" t="s">
        <v>77</v>
      </c>
      <c r="S65" s="34">
        <f t="shared" si="0"/>
        <v>44.3</v>
      </c>
      <c r="T65" s="10" t="s">
        <v>956</v>
      </c>
      <c r="U65" s="34" t="str">
        <f t="shared" si="6"/>
        <v/>
      </c>
      <c r="V65" s="31" t="str">
        <f>IF(H65="CHK",VLOOKUP(I65,QCCHK,3,),IF(H65="GUP",VLOOKUP(E65,QCGUP,2,),IF(AND(H65="ATP",OR(I65="TN",I65="TDN",I65="TNO2-3",I65="NO2-3")),VLOOKUP(E65,QCREC_N,2,),IF(AND(H65="NIC",OR(I65="TN",I65="TDN",I65="TNO2-3",I65="NO2-3")),VLOOKUP(E65,QCNIC_N,2,),IF(AND(H65="UREA",OR(I65="TN",I65="TDN",I65="TNO2-3",I65="NO2-3")),VLOOKUP(E65,QCUREA_N,2,),IF(H65="PER",VLOOKUP(I65,QCPER,MATCH(E65,QCACTUAL!$J$25:$AA$25,0),),IF(H65="SPK",VLOOKUP(I65,QCSPK,3,),IF(AND(H65="ATP",OR(I65="TP",I65="TDP")),VLOOKUP(E65,QCATP_P,2,),""))))))))</f>
        <v/>
      </c>
      <c r="W65" s="31" t="str">
        <f t="shared" si="1"/>
        <v>TRUE</v>
      </c>
      <c r="X65" s="31" t="str">
        <f t="shared" si="2"/>
        <v/>
      </c>
      <c r="Y65" s="10" t="s">
        <v>949</v>
      </c>
      <c r="Z65" s="10" t="s">
        <v>910</v>
      </c>
      <c r="AL65" s="10" t="str">
        <f t="shared" si="3"/>
        <v>FALSE</v>
      </c>
      <c r="AM65" s="10" t="str">
        <f t="shared" si="3"/>
        <v>FALSE</v>
      </c>
      <c r="AN65" s="10" t="str">
        <f t="shared" si="3"/>
        <v>FALSE</v>
      </c>
      <c r="AO65" s="10" t="str">
        <f t="shared" si="4"/>
        <v>FALSE</v>
      </c>
      <c r="AP65" s="10" t="str">
        <f t="shared" si="4"/>
        <v>FALSE</v>
      </c>
      <c r="AQ65" s="10" t="b">
        <f>IF(AND(I65="TP",S65&lt;=150),VLOOKUP(AF65,TPCalibEq150!$AZ$2:$BB$55,3,),IF(AND(I65="TDP",S65&lt;=150),VLOOKUP(AF65,TPCalibEq150!$AZ$2:$BB$55,3,)))</f>
        <v>0</v>
      </c>
      <c r="AR65" s="10" t="b">
        <f>IF(AND(I65="TP",S65&lt;=300),VLOOKUP(AF65,TPCalibEq300!$AZ$2:$BB$55,3,),IF(AND(I65="TDP",S65&lt;=300),VLOOKUP(AF65,TPCalibEq300!$AZ$2:$BB$55,3,)))</f>
        <v>0</v>
      </c>
      <c r="AS65" s="10" t="b">
        <f>IF(AND(I65="TP",S65&lt;=500),VLOOKUP(AF65,TPCalibEq500!$AZ$2:$BB$56,3,),IF(AND(I65="TDP",S65&lt;=500),VLOOKUP(AF65,TPCalibEq500!$AZ$2:$BB$56,3,)))</f>
        <v>0</v>
      </c>
      <c r="AT65" s="10" t="b">
        <f>IF(AND(I65="TN",S65&lt;=2800),VLOOKUP(AF65,TNCalibEq2500!$AZ$2:$BB$56,3,),IF(AND(I65="TDN",S65&lt;=2800),VLOOKUP(AF65,TNCalibEq2500!$AZ$2:$BB$56,3,)))</f>
        <v>0</v>
      </c>
      <c r="AU65" s="10" t="b">
        <f>IF(I65="TP",VLOOKUP(AF65,TPCalibEqFull!$AZ$2:$BB$56,3),IF(I65="TDP",VLOOKUP(AF65,TPCalibEqFull!$AZ$2:$BB$56,3),IF(I65="TDN",VLOOKUP(AF65,TNCalibEqFull!$AZ$1:$BB$56,3),IF(I65="TN",VLOOKUP(AF65,TNCalibEqFull!$AZ$1:$BB$56,3),FALSE))))</f>
        <v>0</v>
      </c>
      <c r="AV65" s="10" t="str">
        <f t="shared" si="5"/>
        <v>1222 05:53:00-EFK-0-FIL-1-SW-UKN</v>
      </c>
    </row>
    <row r="66" spans="1:48" s="10" customFormat="1" x14ac:dyDescent="0.55000000000000004">
      <c r="A66" s="32">
        <v>44917</v>
      </c>
      <c r="B66" s="33">
        <v>0.24166666666666667</v>
      </c>
      <c r="C66" s="10" t="s">
        <v>333</v>
      </c>
      <c r="D66" s="10">
        <v>0</v>
      </c>
      <c r="E66" s="10" t="s">
        <v>911</v>
      </c>
      <c r="F66" s="10">
        <v>1</v>
      </c>
      <c r="G66" s="10" t="s">
        <v>231</v>
      </c>
      <c r="H66" s="10" t="s">
        <v>322</v>
      </c>
      <c r="I66" s="10" t="s">
        <v>183</v>
      </c>
      <c r="J66" s="10">
        <v>38</v>
      </c>
      <c r="K66" s="12">
        <v>44930</v>
      </c>
      <c r="L66" s="33">
        <v>0.49387731481481478</v>
      </c>
      <c r="M66" s="10">
        <v>1</v>
      </c>
      <c r="N66" s="10" t="s">
        <v>76</v>
      </c>
      <c r="O66" s="10">
        <v>0.11799999999999999</v>
      </c>
      <c r="P66" s="10">
        <v>8.2400000000000008E-3</v>
      </c>
      <c r="Q66" s="10">
        <v>6.72</v>
      </c>
      <c r="R66" s="10" t="s">
        <v>77</v>
      </c>
      <c r="S66" s="34">
        <f t="shared" ref="S66:S129" si="7">IF(OR(AND(I66&lt;&gt;"TP", I66&lt;&gt;"TDP",I66&lt;&gt;"TN", I66&lt;&gt;"TDN"),H66="CAL"), Q66*M66, IF(OR(AND(I66="TN", Q66&gt;2500), AND(I66="TDN", Q66&gt;2500)),MAX(Q66, AK66)*M66, IF(OR(AND(I66="TN", Q66&lt;=2500), AND(I66="TDN", Q66&lt;=2500)),MAX(Q66, AJ66,AK66)*M66, IF(OR(AND(I66="TP",Q66&gt;500), AND(I66="TDP", Q66&gt;500)),MAX(Q66,AK66)*M66,IF(OR(AND(I66="TP",Q66&lt;=150), AND(I66="TDP", Q66&lt;=150)),MAX(Q66,AG66:AI66,AK66)*M66,IF(OR(AND(I66="TP",Q66&lt;=300), AND(I66="TDP", Q66&lt;=300)),MAX(Q66,AH66,AI66,AK66)*M66,IF(OR(AND(I66="TP",Q66&lt;=500), AND(I66="TDP", Q66&lt;=500)),MAX(Q66,AI66,AK66)*M66,"")))))))</f>
        <v>6.72</v>
      </c>
      <c r="T66" s="10" t="s">
        <v>956</v>
      </c>
      <c r="U66" s="34" t="str">
        <f t="shared" ref="U66:U129" si="8">IF(OR(H66="CHK",H66="ATP",H66="GUP",H66="PER", H66="NIC", H66="UREA"),(S66/V66*100),IF(H66="DUP",((ABS(S66-S65))/((S65+S66)/2))*100,IF(H66="SPK",((S66-S65)/V66*100),IF(OR(H66="LAB",H66="FLD",H66="ESF"),S66,""))))</f>
        <v/>
      </c>
      <c r="V66" s="31" t="str">
        <f>IF(H66="CHK",VLOOKUP(I66,QCCHK,3,),IF(H66="GUP",VLOOKUP(E66,QCGUP,2,),IF(AND(H66="ATP",OR(I66="TN",I66="TDN",I66="TNO2-3",I66="NO2-3")),VLOOKUP(E66,QCREC_N,2,),IF(AND(H66="NIC",OR(I66="TN",I66="TDN",I66="TNO2-3",I66="NO2-3")),VLOOKUP(E66,QCNIC_N,2,),IF(AND(H66="UREA",OR(I66="TN",I66="TDN",I66="TNO2-3",I66="NO2-3")),VLOOKUP(E66,QCUREA_N,2,),IF(H66="PER",VLOOKUP(I66,QCPER,MATCH(E66,QCACTUAL!$J$25:$AA$25,0),),IF(H66="SPK",VLOOKUP(I66,QCSPK,3,),IF(AND(H66="ATP",OR(I66="TP",I66="TDP")),VLOOKUP(E66,QCATP_P,2,),""))))))))</f>
        <v/>
      </c>
      <c r="W66" s="31" t="str">
        <f t="shared" ref="W66:W129" si="9">IF(AND(OR(H66="PER",H66="ATP",H66="GUP",H66="CHK",H66="SPK", H66="NIC"),OR(U66&gt;125,U66&lt;75)),"FALSE",IF(AND(H66="DUP",OR(U66&gt;25, U66&lt;-25)),"FALSE",IF(AND(OR(H66="LAB",H66="FLD",H66="ESF"),U66&gt;15),"FALSE","TRUE")))</f>
        <v>TRUE</v>
      </c>
      <c r="X66" s="31" t="str">
        <f t="shared" ref="X66:X129" si="10">IF(ISNA(VLOOKUP(H66,QCEQUATIONS,2,)),"",(VLOOKUP(H66,QCEQUATIONS,2,)))</f>
        <v/>
      </c>
      <c r="Y66" s="10" t="s">
        <v>949</v>
      </c>
      <c r="Z66" s="10" t="s">
        <v>910</v>
      </c>
      <c r="AL66" s="10" t="str">
        <f t="shared" si="3"/>
        <v>FALSE</v>
      </c>
      <c r="AM66" s="10" t="str">
        <f t="shared" si="3"/>
        <v>FALSE</v>
      </c>
      <c r="AN66" s="10" t="str">
        <f t="shared" si="3"/>
        <v>FALSE</v>
      </c>
      <c r="AO66" s="10" t="str">
        <f t="shared" si="4"/>
        <v>FALSE</v>
      </c>
      <c r="AP66" s="10" t="str">
        <f t="shared" si="4"/>
        <v>FALSE</v>
      </c>
      <c r="AQ66" s="10" t="b">
        <f>IF(AND(I66="TP",S66&lt;=150),VLOOKUP(AF66,TPCalibEq150!$AZ$2:$BB$55,3,),IF(AND(I66="TDP",S66&lt;=150),VLOOKUP(AF66,TPCalibEq150!$AZ$2:$BB$55,3,)))</f>
        <v>0</v>
      </c>
      <c r="AR66" s="10" t="b">
        <f>IF(AND(I66="TP",S66&lt;=300),VLOOKUP(AF66,TPCalibEq300!$AZ$2:$BB$55,3,),IF(AND(I66="TDP",S66&lt;=300),VLOOKUP(AF66,TPCalibEq300!$AZ$2:$BB$55,3,)))</f>
        <v>0</v>
      </c>
      <c r="AS66" s="10" t="b">
        <f>IF(AND(I66="TP",S66&lt;=500),VLOOKUP(AF66,TPCalibEq500!$AZ$2:$BB$56,3,),IF(AND(I66="TDP",S66&lt;=500),VLOOKUP(AF66,TPCalibEq500!$AZ$2:$BB$56,3,)))</f>
        <v>0</v>
      </c>
      <c r="AT66" s="10" t="b">
        <f>IF(AND(I66="TN",S66&lt;=2800),VLOOKUP(AF66,TNCalibEq2500!$AZ$2:$BB$56,3,),IF(AND(I66="TDN",S66&lt;=2800),VLOOKUP(AF66,TNCalibEq2500!$AZ$2:$BB$56,3,)))</f>
        <v>0</v>
      </c>
      <c r="AU66" s="10" t="b">
        <f>IF(I66="TP",VLOOKUP(AF66,TPCalibEqFull!$AZ$2:$BB$56,3),IF(I66="TDP",VLOOKUP(AF66,TPCalibEqFull!$AZ$2:$BB$56,3),IF(I66="TDN",VLOOKUP(AF66,TNCalibEqFull!$AZ$1:$BB$56,3),IF(I66="TN",VLOOKUP(AF66,TNCalibEqFull!$AZ$1:$BB$56,3),FALSE))))</f>
        <v>0</v>
      </c>
      <c r="AV66" s="10" t="str">
        <f t="shared" ref="AV66:AV129" si="11">TEXT(A66, "MMDD")&amp;" "&amp;TEXT(B66, "HH:MM:SS")&amp;"-"&amp;C66&amp;"-"&amp;D66&amp;"-"&amp;E66&amp;"-"&amp;F66&amp;"-"&amp;G66&amp;"-"&amp;H66</f>
        <v>1222 05:48:00-HST-0-FIL-1-SW-UKN</v>
      </c>
    </row>
    <row r="67" spans="1:48" s="10" customFormat="1" x14ac:dyDescent="0.55000000000000004">
      <c r="A67" s="32">
        <v>44922</v>
      </c>
      <c r="B67" s="33">
        <v>0.24652777777777779</v>
      </c>
      <c r="C67" s="10" t="s">
        <v>279</v>
      </c>
      <c r="D67" s="10">
        <v>0</v>
      </c>
      <c r="E67" s="10" t="s">
        <v>911</v>
      </c>
      <c r="F67" s="10">
        <v>1</v>
      </c>
      <c r="G67" s="10" t="s">
        <v>231</v>
      </c>
      <c r="H67" s="10" t="s">
        <v>322</v>
      </c>
      <c r="I67" s="10" t="s">
        <v>183</v>
      </c>
      <c r="J67" s="10">
        <v>39</v>
      </c>
      <c r="K67" s="12">
        <v>44930</v>
      </c>
      <c r="L67" s="33">
        <v>0.4946875</v>
      </c>
      <c r="M67" s="10">
        <v>1</v>
      </c>
      <c r="N67" s="10" t="s">
        <v>76</v>
      </c>
      <c r="O67" s="10">
        <v>1.48</v>
      </c>
      <c r="P67" s="10">
        <v>0.12</v>
      </c>
      <c r="Q67" s="10">
        <v>84</v>
      </c>
      <c r="R67" s="10" t="s">
        <v>77</v>
      </c>
      <c r="S67" s="34">
        <f t="shared" si="7"/>
        <v>84</v>
      </c>
      <c r="T67" s="10" t="s">
        <v>956</v>
      </c>
      <c r="U67" s="34" t="str">
        <f t="shared" si="8"/>
        <v/>
      </c>
      <c r="V67" s="31" t="str">
        <f>IF(H67="CHK",VLOOKUP(I67,QCCHK,3,),IF(H67="GUP",VLOOKUP(E67,QCGUP,2,),IF(AND(H67="ATP",OR(I67="TN",I67="TDN",I67="TNO2-3",I67="NO2-3")),VLOOKUP(E67,QCREC_N,2,),IF(AND(H67="NIC",OR(I67="TN",I67="TDN",I67="TNO2-3",I67="NO2-3")),VLOOKUP(E67,QCNIC_N,2,),IF(AND(H67="UREA",OR(I67="TN",I67="TDN",I67="TNO2-3",I67="NO2-3")),VLOOKUP(E67,QCUREA_N,2,),IF(H67="PER",VLOOKUP(I67,QCPER,MATCH(E67,QCACTUAL!$J$25:$AA$25,0),),IF(H67="SPK",VLOOKUP(I67,QCSPK,3,),IF(AND(H67="ATP",OR(I67="TP",I67="TDP")),VLOOKUP(E67,QCATP_P,2,),""))))))))</f>
        <v/>
      </c>
      <c r="W67" s="31" t="str">
        <f t="shared" si="9"/>
        <v>TRUE</v>
      </c>
      <c r="X67" s="31" t="str">
        <f t="shared" si="10"/>
        <v/>
      </c>
      <c r="Y67" s="10" t="s">
        <v>949</v>
      </c>
      <c r="Z67" s="10" t="s">
        <v>910</v>
      </c>
      <c r="AL67" s="10" t="str">
        <f t="shared" ref="AL67:AN130" si="12">IF($O67="", "", IF(AQ67&lt;&gt;"", SUBSTITUTE(SUBSTITUTE(AQ67, "x", "*"&amp;$O67&amp;"^", 1), "x", "*"&amp;$O67, 1), ""))</f>
        <v>FALSE</v>
      </c>
      <c r="AM67" s="10" t="str">
        <f t="shared" si="12"/>
        <v>FALSE</v>
      </c>
      <c r="AN67" s="10" t="str">
        <f t="shared" si="12"/>
        <v>FALSE</v>
      </c>
      <c r="AO67" s="10" t="str">
        <f t="shared" ref="AO67:AP130" si="13">IF($O67="", "FALSE", IF(AT67&lt;&gt;"FALSE", SUBSTITUTE(SUBSTITUTE(AT67, "x", "*"&amp;$O67&amp;"^", 1), "x", "*"&amp;$O67, 1), ""))</f>
        <v>FALSE</v>
      </c>
      <c r="AP67" s="10" t="str">
        <f t="shared" si="13"/>
        <v>FALSE</v>
      </c>
      <c r="AQ67" s="10" t="b">
        <f>IF(AND(I67="TP",S67&lt;=150),VLOOKUP(AF67,TPCalibEq150!$AZ$2:$BB$55,3,),IF(AND(I67="TDP",S67&lt;=150),VLOOKUP(AF67,TPCalibEq150!$AZ$2:$BB$55,3,)))</f>
        <v>0</v>
      </c>
      <c r="AR67" s="10" t="b">
        <f>IF(AND(I67="TP",S67&lt;=300),VLOOKUP(AF67,TPCalibEq300!$AZ$2:$BB$55,3,),IF(AND(I67="TDP",S67&lt;=300),VLOOKUP(AF67,TPCalibEq300!$AZ$2:$BB$55,3,)))</f>
        <v>0</v>
      </c>
      <c r="AS67" s="10" t="b">
        <f>IF(AND(I67="TP",S67&lt;=500),VLOOKUP(AF67,TPCalibEq500!$AZ$2:$BB$56,3,),IF(AND(I67="TDP",S67&lt;=500),VLOOKUP(AF67,TPCalibEq500!$AZ$2:$BB$56,3,)))</f>
        <v>0</v>
      </c>
      <c r="AT67" s="10" t="b">
        <f>IF(AND(I67="TN",S67&lt;=2800),VLOOKUP(AF67,TNCalibEq2500!$AZ$2:$BB$56,3,),IF(AND(I67="TDN",S67&lt;=2800),VLOOKUP(AF67,TNCalibEq2500!$AZ$2:$BB$56,3,)))</f>
        <v>0</v>
      </c>
      <c r="AU67" s="10" t="b">
        <f>IF(I67="TP",VLOOKUP(AF67,TPCalibEqFull!$AZ$2:$BB$56,3),IF(I67="TDP",VLOOKUP(AF67,TPCalibEqFull!$AZ$2:$BB$56,3),IF(I67="TDN",VLOOKUP(AF67,TNCalibEqFull!$AZ$1:$BB$56,3),IF(I67="TN",VLOOKUP(AF67,TNCalibEqFull!$AZ$1:$BB$56,3),FALSE))))</f>
        <v>0</v>
      </c>
      <c r="AV67" s="10" t="str">
        <f t="shared" si="11"/>
        <v>1227 05:55:00-EFK-0-FIL-1-SW-UKN</v>
      </c>
    </row>
    <row r="68" spans="1:48" s="10" customFormat="1" x14ac:dyDescent="0.55000000000000004">
      <c r="A68" s="32">
        <v>44922</v>
      </c>
      <c r="B68" s="33">
        <v>0.3576388888888889</v>
      </c>
      <c r="C68" s="10" t="s">
        <v>333</v>
      </c>
      <c r="D68" s="10">
        <v>0</v>
      </c>
      <c r="E68" s="10" t="s">
        <v>911</v>
      </c>
      <c r="F68" s="10">
        <v>1</v>
      </c>
      <c r="G68" s="10" t="s">
        <v>231</v>
      </c>
      <c r="H68" s="10" t="s">
        <v>322</v>
      </c>
      <c r="I68" s="10" t="s">
        <v>183</v>
      </c>
      <c r="J68" s="10">
        <v>40</v>
      </c>
      <c r="K68" s="12">
        <v>44930</v>
      </c>
      <c r="L68" s="33">
        <v>0.49549768518518517</v>
      </c>
      <c r="M68" s="10">
        <v>1</v>
      </c>
      <c r="N68" s="10" t="s">
        <v>76</v>
      </c>
      <c r="O68" s="10">
        <v>0.11600000000000001</v>
      </c>
      <c r="P68" s="10">
        <v>1.03E-2</v>
      </c>
      <c r="Q68" s="10">
        <v>6.63</v>
      </c>
      <c r="R68" s="10" t="s">
        <v>77</v>
      </c>
      <c r="S68" s="34">
        <f t="shared" si="7"/>
        <v>6.63</v>
      </c>
      <c r="T68" s="10" t="s">
        <v>956</v>
      </c>
      <c r="U68" s="34" t="str">
        <f t="shared" si="8"/>
        <v/>
      </c>
      <c r="V68" s="31" t="str">
        <f>IF(H68="CHK",VLOOKUP(I68,QCCHK,3,),IF(H68="GUP",VLOOKUP(E68,QCGUP,2,),IF(AND(H68="ATP",OR(I68="TN",I68="TDN",I68="TNO2-3",I68="NO2-3")),VLOOKUP(E68,QCREC_N,2,),IF(AND(H68="NIC",OR(I68="TN",I68="TDN",I68="TNO2-3",I68="NO2-3")),VLOOKUP(E68,QCNIC_N,2,),IF(AND(H68="UREA",OR(I68="TN",I68="TDN",I68="TNO2-3",I68="NO2-3")),VLOOKUP(E68,QCUREA_N,2,),IF(H68="PER",VLOOKUP(I68,QCPER,MATCH(E68,QCACTUAL!$J$25:$AA$25,0),),IF(H68="SPK",VLOOKUP(I68,QCSPK,3,),IF(AND(H68="ATP",OR(I68="TP",I68="TDP")),VLOOKUP(E68,QCATP_P,2,),""))))))))</f>
        <v/>
      </c>
      <c r="W68" s="31" t="str">
        <f t="shared" si="9"/>
        <v>TRUE</v>
      </c>
      <c r="X68" s="31" t="str">
        <f t="shared" si="10"/>
        <v/>
      </c>
      <c r="Y68" s="10" t="s">
        <v>949</v>
      </c>
      <c r="Z68" s="10" t="s">
        <v>910</v>
      </c>
      <c r="AL68" s="10" t="str">
        <f t="shared" si="12"/>
        <v>FALSE</v>
      </c>
      <c r="AM68" s="10" t="str">
        <f t="shared" si="12"/>
        <v>FALSE</v>
      </c>
      <c r="AN68" s="10" t="str">
        <f t="shared" si="12"/>
        <v>FALSE</v>
      </c>
      <c r="AO68" s="10" t="str">
        <f t="shared" si="13"/>
        <v>FALSE</v>
      </c>
      <c r="AP68" s="10" t="str">
        <f t="shared" si="13"/>
        <v>FALSE</v>
      </c>
      <c r="AQ68" s="10" t="b">
        <f>IF(AND(I68="TP",S68&lt;=150),VLOOKUP(AF68,TPCalibEq150!$AZ$2:$BB$55,3,),IF(AND(I68="TDP",S68&lt;=150),VLOOKUP(AF68,TPCalibEq150!$AZ$2:$BB$55,3,)))</f>
        <v>0</v>
      </c>
      <c r="AR68" s="10" t="b">
        <f>IF(AND(I68="TP",S68&lt;=300),VLOOKUP(AF68,TPCalibEq300!$AZ$2:$BB$55,3,),IF(AND(I68="TDP",S68&lt;=300),VLOOKUP(AF68,TPCalibEq300!$AZ$2:$BB$55,3,)))</f>
        <v>0</v>
      </c>
      <c r="AS68" s="10" t="b">
        <f>IF(AND(I68="TP",S68&lt;=500),VLOOKUP(AF68,TPCalibEq500!$AZ$2:$BB$56,3,),IF(AND(I68="TDP",S68&lt;=500),VLOOKUP(AF68,TPCalibEq500!$AZ$2:$BB$56,3,)))</f>
        <v>0</v>
      </c>
      <c r="AT68" s="10" t="b">
        <f>IF(AND(I68="TN",S68&lt;=2800),VLOOKUP(AF68,TNCalibEq2500!$AZ$2:$BB$56,3,),IF(AND(I68="TDN",S68&lt;=2800),VLOOKUP(AF68,TNCalibEq2500!$AZ$2:$BB$56,3,)))</f>
        <v>0</v>
      </c>
      <c r="AU68" s="10" t="b">
        <f>IF(I68="TP",VLOOKUP(AF68,TPCalibEqFull!$AZ$2:$BB$56,3),IF(I68="TDP",VLOOKUP(AF68,TPCalibEqFull!$AZ$2:$BB$56,3),IF(I68="TDN",VLOOKUP(AF68,TNCalibEqFull!$AZ$1:$BB$56,3),IF(I68="TN",VLOOKUP(AF68,TNCalibEqFull!$AZ$1:$BB$56,3),FALSE))))</f>
        <v>0</v>
      </c>
      <c r="AV68" s="10" t="str">
        <f t="shared" si="11"/>
        <v>1227 08:35:00-HST-0-FIL-1-SW-UKN</v>
      </c>
    </row>
    <row r="69" spans="1:48" s="10" customFormat="1" x14ac:dyDescent="0.55000000000000004">
      <c r="A69" s="32">
        <v>44923</v>
      </c>
      <c r="B69" s="33">
        <v>0.23958333333333334</v>
      </c>
      <c r="C69" s="10" t="s">
        <v>279</v>
      </c>
      <c r="D69" s="10">
        <v>0</v>
      </c>
      <c r="E69" s="10" t="s">
        <v>911</v>
      </c>
      <c r="F69" s="10">
        <v>1</v>
      </c>
      <c r="G69" s="10" t="s">
        <v>231</v>
      </c>
      <c r="H69" s="10" t="s">
        <v>322</v>
      </c>
      <c r="I69" s="10" t="s">
        <v>183</v>
      </c>
      <c r="J69" s="10">
        <v>41</v>
      </c>
      <c r="K69" s="12">
        <v>44930</v>
      </c>
      <c r="L69" s="33">
        <v>0.49630787037037033</v>
      </c>
      <c r="M69" s="10">
        <v>1</v>
      </c>
      <c r="N69" s="10" t="s">
        <v>76</v>
      </c>
      <c r="O69" s="10">
        <v>0.94899999999999995</v>
      </c>
      <c r="P69" s="10">
        <v>7.6700000000000004E-2</v>
      </c>
      <c r="Q69" s="10">
        <v>54</v>
      </c>
      <c r="R69" s="10" t="s">
        <v>77</v>
      </c>
      <c r="S69" s="34">
        <f t="shared" si="7"/>
        <v>54</v>
      </c>
      <c r="T69" s="10" t="s">
        <v>956</v>
      </c>
      <c r="U69" s="34" t="str">
        <f t="shared" si="8"/>
        <v/>
      </c>
      <c r="V69" s="31" t="str">
        <f>IF(H69="CHK",VLOOKUP(I69,QCCHK,3,),IF(H69="GUP",VLOOKUP(E69,QCGUP,2,),IF(AND(H69="ATP",OR(I69="TN",I69="TDN",I69="TNO2-3",I69="NO2-3")),VLOOKUP(E69,QCREC_N,2,),IF(AND(H69="NIC",OR(I69="TN",I69="TDN",I69="TNO2-3",I69="NO2-3")),VLOOKUP(E69,QCNIC_N,2,),IF(AND(H69="UREA",OR(I69="TN",I69="TDN",I69="TNO2-3",I69="NO2-3")),VLOOKUP(E69,QCUREA_N,2,),IF(H69="PER",VLOOKUP(I69,QCPER,MATCH(E69,QCACTUAL!$J$25:$AA$25,0),),IF(H69="SPK",VLOOKUP(I69,QCSPK,3,),IF(AND(H69="ATP",OR(I69="TP",I69="TDP")),VLOOKUP(E69,QCATP_P,2,),""))))))))</f>
        <v/>
      </c>
      <c r="W69" s="31" t="str">
        <f t="shared" si="9"/>
        <v>TRUE</v>
      </c>
      <c r="X69" s="31" t="str">
        <f t="shared" si="10"/>
        <v/>
      </c>
      <c r="Y69" s="10" t="s">
        <v>949</v>
      </c>
      <c r="Z69" s="10" t="s">
        <v>910</v>
      </c>
      <c r="AL69" s="10" t="str">
        <f t="shared" si="12"/>
        <v>FALSE</v>
      </c>
      <c r="AM69" s="10" t="str">
        <f t="shared" si="12"/>
        <v>FALSE</v>
      </c>
      <c r="AN69" s="10" t="str">
        <f t="shared" si="12"/>
        <v>FALSE</v>
      </c>
      <c r="AO69" s="10" t="str">
        <f t="shared" si="13"/>
        <v>FALSE</v>
      </c>
      <c r="AP69" s="10" t="str">
        <f t="shared" si="13"/>
        <v>FALSE</v>
      </c>
      <c r="AQ69" s="10" t="b">
        <f>IF(AND(I69="TP",S69&lt;=150),VLOOKUP(AF69,TPCalibEq150!$AZ$2:$BB$55,3,),IF(AND(I69="TDP",S69&lt;=150),VLOOKUP(AF69,TPCalibEq150!$AZ$2:$BB$55,3,)))</f>
        <v>0</v>
      </c>
      <c r="AR69" s="10" t="b">
        <f>IF(AND(I69="TP",S69&lt;=300),VLOOKUP(AF69,TPCalibEq300!$AZ$2:$BB$55,3,),IF(AND(I69="TDP",S69&lt;=300),VLOOKUP(AF69,TPCalibEq300!$AZ$2:$BB$55,3,)))</f>
        <v>0</v>
      </c>
      <c r="AS69" s="10" t="b">
        <f>IF(AND(I69="TP",S69&lt;=500),VLOOKUP(AF69,TPCalibEq500!$AZ$2:$BB$56,3,),IF(AND(I69="TDP",S69&lt;=500),VLOOKUP(AF69,TPCalibEq500!$AZ$2:$BB$56,3,)))</f>
        <v>0</v>
      </c>
      <c r="AT69" s="10" t="b">
        <f>IF(AND(I69="TN",S69&lt;=2800),VLOOKUP(AF69,TNCalibEq2500!$AZ$2:$BB$56,3,),IF(AND(I69="TDN",S69&lt;=2800),VLOOKUP(AF69,TNCalibEq2500!$AZ$2:$BB$56,3,)))</f>
        <v>0</v>
      </c>
      <c r="AU69" s="10" t="b">
        <f>IF(I69="TP",VLOOKUP(AF69,TPCalibEqFull!$AZ$2:$BB$56,3),IF(I69="TDP",VLOOKUP(AF69,TPCalibEqFull!$AZ$2:$BB$56,3),IF(I69="TDN",VLOOKUP(AF69,TNCalibEqFull!$AZ$1:$BB$56,3),IF(I69="TN",VLOOKUP(AF69,TNCalibEqFull!$AZ$1:$BB$56,3),FALSE))))</f>
        <v>0</v>
      </c>
      <c r="AV69" s="10" t="str">
        <f t="shared" si="11"/>
        <v>1228 05:45:00-EFK-0-FIL-1-SW-UKN</v>
      </c>
    </row>
    <row r="70" spans="1:48" s="10" customFormat="1" x14ac:dyDescent="0.55000000000000004">
      <c r="A70" s="32">
        <v>44923</v>
      </c>
      <c r="B70" s="33">
        <v>0.36249999999999999</v>
      </c>
      <c r="C70" s="10" t="s">
        <v>333</v>
      </c>
      <c r="D70" s="10">
        <v>0</v>
      </c>
      <c r="E70" s="10" t="s">
        <v>911</v>
      </c>
      <c r="F70" s="10">
        <v>1</v>
      </c>
      <c r="G70" s="10" t="s">
        <v>231</v>
      </c>
      <c r="H70" s="10" t="s">
        <v>322</v>
      </c>
      <c r="I70" s="10" t="s">
        <v>183</v>
      </c>
      <c r="J70" s="10">
        <v>42</v>
      </c>
      <c r="K70" s="12">
        <v>44930</v>
      </c>
      <c r="L70" s="33">
        <v>0.4971180555555556</v>
      </c>
      <c r="M70" s="10">
        <v>1</v>
      </c>
      <c r="N70" s="10" t="s">
        <v>76</v>
      </c>
      <c r="O70" s="10">
        <v>0.13500000000000001</v>
      </c>
      <c r="P70" s="10">
        <v>1.11E-2</v>
      </c>
      <c r="Q70" s="10">
        <v>7.66</v>
      </c>
      <c r="R70" s="10" t="s">
        <v>77</v>
      </c>
      <c r="S70" s="34">
        <f t="shared" si="7"/>
        <v>7.66</v>
      </c>
      <c r="T70" s="10" t="s">
        <v>956</v>
      </c>
      <c r="U70" s="34" t="str">
        <f t="shared" si="8"/>
        <v/>
      </c>
      <c r="V70" s="31" t="str">
        <f>IF(H70="CHK",VLOOKUP(I70,QCCHK,3,),IF(H70="GUP",VLOOKUP(E70,QCGUP,2,),IF(AND(H70="ATP",OR(I70="TN",I70="TDN",I70="TNO2-3",I70="NO2-3")),VLOOKUP(E70,QCREC_N,2,),IF(AND(H70="NIC",OR(I70="TN",I70="TDN",I70="TNO2-3",I70="NO2-3")),VLOOKUP(E70,QCNIC_N,2,),IF(AND(H70="UREA",OR(I70="TN",I70="TDN",I70="TNO2-3",I70="NO2-3")),VLOOKUP(E70,QCUREA_N,2,),IF(H70="PER",VLOOKUP(I70,QCPER,MATCH(E70,QCACTUAL!$J$25:$AA$25,0),),IF(H70="SPK",VLOOKUP(I70,QCSPK,3,),IF(AND(H70="ATP",OR(I70="TP",I70="TDP")),VLOOKUP(E70,QCATP_P,2,),""))))))))</f>
        <v/>
      </c>
      <c r="W70" s="31" t="str">
        <f t="shared" si="9"/>
        <v>TRUE</v>
      </c>
      <c r="X70" s="31" t="str">
        <f t="shared" si="10"/>
        <v/>
      </c>
      <c r="Y70" s="10" t="s">
        <v>949</v>
      </c>
      <c r="Z70" s="10" t="s">
        <v>910</v>
      </c>
      <c r="AL70" s="10" t="str">
        <f t="shared" si="12"/>
        <v>FALSE</v>
      </c>
      <c r="AM70" s="10" t="str">
        <f t="shared" si="12"/>
        <v>FALSE</v>
      </c>
      <c r="AN70" s="10" t="str">
        <f t="shared" si="12"/>
        <v>FALSE</v>
      </c>
      <c r="AO70" s="10" t="str">
        <f t="shared" si="13"/>
        <v>FALSE</v>
      </c>
      <c r="AP70" s="10" t="str">
        <f t="shared" si="13"/>
        <v>FALSE</v>
      </c>
      <c r="AQ70" s="10" t="b">
        <f>IF(AND(I70="TP",S70&lt;=150),VLOOKUP(AF70,TPCalibEq150!$AZ$2:$BB$55,3,),IF(AND(I70="TDP",S70&lt;=150),VLOOKUP(AF70,TPCalibEq150!$AZ$2:$BB$55,3,)))</f>
        <v>0</v>
      </c>
      <c r="AR70" s="10" t="b">
        <f>IF(AND(I70="TP",S70&lt;=300),VLOOKUP(AF70,TPCalibEq300!$AZ$2:$BB$55,3,),IF(AND(I70="TDP",S70&lt;=300),VLOOKUP(AF70,TPCalibEq300!$AZ$2:$BB$55,3,)))</f>
        <v>0</v>
      </c>
      <c r="AS70" s="10" t="b">
        <f>IF(AND(I70="TP",S70&lt;=500),VLOOKUP(AF70,TPCalibEq500!$AZ$2:$BB$56,3,),IF(AND(I70="TDP",S70&lt;=500),VLOOKUP(AF70,TPCalibEq500!$AZ$2:$BB$56,3,)))</f>
        <v>0</v>
      </c>
      <c r="AT70" s="10" t="b">
        <f>IF(AND(I70="TN",S70&lt;=2800),VLOOKUP(AF70,TNCalibEq2500!$AZ$2:$BB$56,3,),IF(AND(I70="TDN",S70&lt;=2800),VLOOKUP(AF70,TNCalibEq2500!$AZ$2:$BB$56,3,)))</f>
        <v>0</v>
      </c>
      <c r="AU70" s="10" t="b">
        <f>IF(I70="TP",VLOOKUP(AF70,TPCalibEqFull!$AZ$2:$BB$56,3),IF(I70="TDP",VLOOKUP(AF70,TPCalibEqFull!$AZ$2:$BB$56,3),IF(I70="TDN",VLOOKUP(AF70,TNCalibEqFull!$AZ$1:$BB$56,3),IF(I70="TN",VLOOKUP(AF70,TNCalibEqFull!$AZ$1:$BB$56,3),FALSE))))</f>
        <v>0</v>
      </c>
      <c r="AV70" s="10" t="str">
        <f t="shared" si="11"/>
        <v>1228 08:42:00-HST-0-FIL-1-SW-UKN</v>
      </c>
    </row>
    <row r="71" spans="1:48" s="10" customFormat="1" x14ac:dyDescent="0.55000000000000004">
      <c r="A71" s="32">
        <v>44924</v>
      </c>
      <c r="B71" s="33">
        <v>0.21180555555555555</v>
      </c>
      <c r="C71" s="10" t="s">
        <v>279</v>
      </c>
      <c r="D71" s="10">
        <v>0</v>
      </c>
      <c r="E71" s="10" t="s">
        <v>911</v>
      </c>
      <c r="F71" s="10">
        <v>1</v>
      </c>
      <c r="G71" s="10" t="s">
        <v>231</v>
      </c>
      <c r="H71" s="10" t="s">
        <v>322</v>
      </c>
      <c r="I71" s="10" t="s">
        <v>183</v>
      </c>
      <c r="J71" s="10">
        <v>43</v>
      </c>
      <c r="K71" s="12">
        <v>44930</v>
      </c>
      <c r="L71" s="33">
        <v>0.49792824074074077</v>
      </c>
      <c r="M71" s="10">
        <v>1</v>
      </c>
      <c r="N71" s="10" t="s">
        <v>76</v>
      </c>
      <c r="O71" s="10">
        <v>0.249</v>
      </c>
      <c r="P71" s="10">
        <v>1.8700000000000001E-2</v>
      </c>
      <c r="Q71" s="10">
        <v>14.2</v>
      </c>
      <c r="R71" s="10" t="s">
        <v>77</v>
      </c>
      <c r="S71" s="34">
        <f t="shared" si="7"/>
        <v>14.2</v>
      </c>
      <c r="T71" s="10" t="s">
        <v>956</v>
      </c>
      <c r="U71" s="34" t="str">
        <f t="shared" si="8"/>
        <v/>
      </c>
      <c r="V71" s="31" t="str">
        <f>IF(H71="CHK",VLOOKUP(I71,QCCHK,3,),IF(H71="GUP",VLOOKUP(E71,QCGUP,2,),IF(AND(H71="ATP",OR(I71="TN",I71="TDN",I71="TNO2-3",I71="NO2-3")),VLOOKUP(E71,QCREC_N,2,),IF(AND(H71="NIC",OR(I71="TN",I71="TDN",I71="TNO2-3",I71="NO2-3")),VLOOKUP(E71,QCNIC_N,2,),IF(AND(H71="UREA",OR(I71="TN",I71="TDN",I71="TNO2-3",I71="NO2-3")),VLOOKUP(E71,QCUREA_N,2,),IF(H71="PER",VLOOKUP(I71,QCPER,MATCH(E71,QCACTUAL!$J$25:$AA$25,0),),IF(H71="SPK",VLOOKUP(I71,QCSPK,3,),IF(AND(H71="ATP",OR(I71="TP",I71="TDP")),VLOOKUP(E71,QCATP_P,2,),""))))))))</f>
        <v/>
      </c>
      <c r="W71" s="31" t="str">
        <f t="shared" si="9"/>
        <v>TRUE</v>
      </c>
      <c r="X71" s="31" t="str">
        <f t="shared" si="10"/>
        <v/>
      </c>
      <c r="Y71" s="10" t="s">
        <v>949</v>
      </c>
      <c r="Z71" s="10" t="s">
        <v>910</v>
      </c>
      <c r="AL71" s="10" t="str">
        <f t="shared" si="12"/>
        <v>FALSE</v>
      </c>
      <c r="AM71" s="10" t="str">
        <f t="shared" si="12"/>
        <v>FALSE</v>
      </c>
      <c r="AN71" s="10" t="str">
        <f t="shared" si="12"/>
        <v>FALSE</v>
      </c>
      <c r="AO71" s="10" t="str">
        <f t="shared" si="13"/>
        <v>FALSE</v>
      </c>
      <c r="AP71" s="10" t="str">
        <f t="shared" si="13"/>
        <v>FALSE</v>
      </c>
      <c r="AQ71" s="10" t="b">
        <f>IF(AND(I71="TP",S71&lt;=150),VLOOKUP(AF71,TPCalibEq150!$AZ$2:$BB$55,3,),IF(AND(I71="TDP",S71&lt;=150),VLOOKUP(AF71,TPCalibEq150!$AZ$2:$BB$55,3,)))</f>
        <v>0</v>
      </c>
      <c r="AR71" s="10" t="b">
        <f>IF(AND(I71="TP",S71&lt;=300),VLOOKUP(AF71,TPCalibEq300!$AZ$2:$BB$55,3,),IF(AND(I71="TDP",S71&lt;=300),VLOOKUP(AF71,TPCalibEq300!$AZ$2:$BB$55,3,)))</f>
        <v>0</v>
      </c>
      <c r="AS71" s="10" t="b">
        <f>IF(AND(I71="TP",S71&lt;=500),VLOOKUP(AF71,TPCalibEq500!$AZ$2:$BB$56,3,),IF(AND(I71="TDP",S71&lt;=500),VLOOKUP(AF71,TPCalibEq500!$AZ$2:$BB$56,3,)))</f>
        <v>0</v>
      </c>
      <c r="AT71" s="10" t="b">
        <f>IF(AND(I71="TN",S71&lt;=2800),VLOOKUP(AF71,TNCalibEq2500!$AZ$2:$BB$56,3,),IF(AND(I71="TDN",S71&lt;=2800),VLOOKUP(AF71,TNCalibEq2500!$AZ$2:$BB$56,3,)))</f>
        <v>0</v>
      </c>
      <c r="AU71" s="10" t="b">
        <f>IF(I71="TP",VLOOKUP(AF71,TPCalibEqFull!$AZ$2:$BB$56,3),IF(I71="TDP",VLOOKUP(AF71,TPCalibEqFull!$AZ$2:$BB$56,3),IF(I71="TDN",VLOOKUP(AF71,TNCalibEqFull!$AZ$1:$BB$56,3),IF(I71="TN",VLOOKUP(AF71,TNCalibEqFull!$AZ$1:$BB$56,3),FALSE))))</f>
        <v>0</v>
      </c>
      <c r="AV71" s="10" t="str">
        <f t="shared" si="11"/>
        <v>1229 05:05:00-EFK-0-FIL-1-SW-UKN</v>
      </c>
    </row>
    <row r="72" spans="1:48" s="10" customFormat="1" x14ac:dyDescent="0.55000000000000004">
      <c r="A72" s="32">
        <v>44924</v>
      </c>
      <c r="B72" s="33">
        <v>0.22013888888888888</v>
      </c>
      <c r="C72" s="10" t="s">
        <v>333</v>
      </c>
      <c r="D72" s="10">
        <v>0</v>
      </c>
      <c r="E72" s="10" t="s">
        <v>911</v>
      </c>
      <c r="F72" s="10">
        <v>1</v>
      </c>
      <c r="G72" s="10" t="s">
        <v>231</v>
      </c>
      <c r="H72" s="10" t="s">
        <v>322</v>
      </c>
      <c r="I72" s="10" t="s">
        <v>183</v>
      </c>
      <c r="J72" s="10">
        <v>44</v>
      </c>
      <c r="K72" s="12">
        <v>44930</v>
      </c>
      <c r="L72" s="33">
        <v>0.49873842592592593</v>
      </c>
      <c r="M72" s="10">
        <v>1</v>
      </c>
      <c r="N72" s="10" t="s">
        <v>76</v>
      </c>
      <c r="O72" s="10">
        <v>0.108</v>
      </c>
      <c r="P72" s="10">
        <v>8.26E-3</v>
      </c>
      <c r="Q72" s="10">
        <v>6.12</v>
      </c>
      <c r="R72" s="10" t="s">
        <v>77</v>
      </c>
      <c r="S72" s="34">
        <f t="shared" si="7"/>
        <v>6.12</v>
      </c>
      <c r="T72" s="10" t="s">
        <v>956</v>
      </c>
      <c r="U72" s="34" t="str">
        <f t="shared" si="8"/>
        <v/>
      </c>
      <c r="V72" s="31" t="str">
        <f>IF(H72="CHK",VLOOKUP(I72,QCCHK,3,),IF(H72="GUP",VLOOKUP(E72,QCGUP,2,),IF(AND(H72="ATP",OR(I72="TN",I72="TDN",I72="TNO2-3",I72="NO2-3")),VLOOKUP(E72,QCREC_N,2,),IF(AND(H72="NIC",OR(I72="TN",I72="TDN",I72="TNO2-3",I72="NO2-3")),VLOOKUP(E72,QCNIC_N,2,),IF(AND(H72="UREA",OR(I72="TN",I72="TDN",I72="TNO2-3",I72="NO2-3")),VLOOKUP(E72,QCUREA_N,2,),IF(H72="PER",VLOOKUP(I72,QCPER,MATCH(E72,QCACTUAL!$J$25:$AA$25,0),),IF(H72="SPK",VLOOKUP(I72,QCSPK,3,),IF(AND(H72="ATP",OR(I72="TP",I72="TDP")),VLOOKUP(E72,QCATP_P,2,),""))))))))</f>
        <v/>
      </c>
      <c r="W72" s="31" t="str">
        <f t="shared" si="9"/>
        <v>TRUE</v>
      </c>
      <c r="X72" s="31" t="str">
        <f t="shared" si="10"/>
        <v/>
      </c>
      <c r="Y72" s="10" t="s">
        <v>949</v>
      </c>
      <c r="Z72" s="10" t="s">
        <v>910</v>
      </c>
      <c r="AL72" s="10" t="str">
        <f t="shared" si="12"/>
        <v>FALSE</v>
      </c>
      <c r="AM72" s="10" t="str">
        <f t="shared" si="12"/>
        <v>FALSE</v>
      </c>
      <c r="AN72" s="10" t="str">
        <f t="shared" si="12"/>
        <v>FALSE</v>
      </c>
      <c r="AO72" s="10" t="str">
        <f t="shared" si="13"/>
        <v>FALSE</v>
      </c>
      <c r="AP72" s="10" t="str">
        <f t="shared" si="13"/>
        <v>FALSE</v>
      </c>
      <c r="AQ72" s="10" t="b">
        <f>IF(AND(I72="TP",S72&lt;=150),VLOOKUP(AF72,TPCalibEq150!$AZ$2:$BB$55,3,),IF(AND(I72="TDP",S72&lt;=150),VLOOKUP(AF72,TPCalibEq150!$AZ$2:$BB$55,3,)))</f>
        <v>0</v>
      </c>
      <c r="AR72" s="10" t="b">
        <f>IF(AND(I72="TP",S72&lt;=300),VLOOKUP(AF72,TPCalibEq300!$AZ$2:$BB$55,3,),IF(AND(I72="TDP",S72&lt;=300),VLOOKUP(AF72,TPCalibEq300!$AZ$2:$BB$55,3,)))</f>
        <v>0</v>
      </c>
      <c r="AS72" s="10" t="b">
        <f>IF(AND(I72="TP",S72&lt;=500),VLOOKUP(AF72,TPCalibEq500!$AZ$2:$BB$56,3,),IF(AND(I72="TDP",S72&lt;=500),VLOOKUP(AF72,TPCalibEq500!$AZ$2:$BB$56,3,)))</f>
        <v>0</v>
      </c>
      <c r="AT72" s="10" t="b">
        <f>IF(AND(I72="TN",S72&lt;=2800),VLOOKUP(AF72,TNCalibEq2500!$AZ$2:$BB$56,3,),IF(AND(I72="TDN",S72&lt;=2800),VLOOKUP(AF72,TNCalibEq2500!$AZ$2:$BB$56,3,)))</f>
        <v>0</v>
      </c>
      <c r="AU72" s="10" t="b">
        <f>IF(I72="TP",VLOOKUP(AF72,TPCalibEqFull!$AZ$2:$BB$56,3),IF(I72="TDP",VLOOKUP(AF72,TPCalibEqFull!$AZ$2:$BB$56,3),IF(I72="TDN",VLOOKUP(AF72,TNCalibEqFull!$AZ$1:$BB$56,3),IF(I72="TN",VLOOKUP(AF72,TNCalibEqFull!$AZ$1:$BB$56,3),FALSE))))</f>
        <v>0</v>
      </c>
      <c r="AV72" s="10" t="str">
        <f t="shared" si="11"/>
        <v>1229 05:17:00-HST-0-FIL-1-SW-UKN</v>
      </c>
    </row>
    <row r="73" spans="1:48" s="10" customFormat="1" x14ac:dyDescent="0.55000000000000004">
      <c r="A73" s="32">
        <v>44924</v>
      </c>
      <c r="B73" s="33">
        <v>0.22013888888888888</v>
      </c>
      <c r="C73" s="10" t="s">
        <v>333</v>
      </c>
      <c r="D73" s="10">
        <v>0</v>
      </c>
      <c r="E73" s="10" t="s">
        <v>911</v>
      </c>
      <c r="F73" s="10">
        <v>1</v>
      </c>
      <c r="G73" s="10" t="s">
        <v>231</v>
      </c>
      <c r="H73" s="10" t="s">
        <v>233</v>
      </c>
      <c r="I73" s="10" t="s">
        <v>183</v>
      </c>
      <c r="J73" s="10">
        <v>44</v>
      </c>
      <c r="K73" s="12">
        <v>44930</v>
      </c>
      <c r="L73" s="33">
        <v>0.49953703703703706</v>
      </c>
      <c r="M73" s="10">
        <v>1</v>
      </c>
      <c r="N73" s="10" t="s">
        <v>76</v>
      </c>
      <c r="O73" s="10">
        <v>0.10299999999999999</v>
      </c>
      <c r="P73" s="10">
        <v>8.3700000000000007E-3</v>
      </c>
      <c r="Q73" s="10">
        <v>5.85</v>
      </c>
      <c r="R73" s="10" t="s">
        <v>77</v>
      </c>
      <c r="S73" s="34">
        <f t="shared" si="7"/>
        <v>5.85</v>
      </c>
      <c r="T73" s="10" t="s">
        <v>956</v>
      </c>
      <c r="U73" s="34">
        <f t="shared" si="8"/>
        <v>4.51127819548873</v>
      </c>
      <c r="V73" s="31" t="str">
        <f>IF(H73="CHK",VLOOKUP(I73,QCCHK,3,),IF(H73="GUP",VLOOKUP(E73,QCGUP,2,),IF(AND(H73="ATP",OR(I73="TN",I73="TDN",I73="TNO2-3",I73="NO2-3")),VLOOKUP(E73,QCREC_N,2,),IF(AND(H73="NIC",OR(I73="TN",I73="TDN",I73="TNO2-3",I73="NO2-3")),VLOOKUP(E73,QCNIC_N,2,),IF(AND(H73="UREA",OR(I73="TN",I73="TDN",I73="TNO2-3",I73="NO2-3")),VLOOKUP(E73,QCUREA_N,2,),IF(H73="PER",VLOOKUP(I73,QCPER,MATCH(E73,QCACTUAL!$J$25:$AA$25,0),),IF(H73="SPK",VLOOKUP(I73,QCSPK,3,),IF(AND(H73="ATP",OR(I73="TP",I73="TDP")),VLOOKUP(E73,QCATP_P,2,),""))))))))</f>
        <v/>
      </c>
      <c r="W73" s="31" t="str">
        <f t="shared" si="9"/>
        <v>TRUE</v>
      </c>
      <c r="X73" s="31" t="str">
        <f t="shared" si="10"/>
        <v>((ABS(rep1-rep2))/((rep1+rep2)/2)*100</v>
      </c>
      <c r="Y73" s="10" t="s">
        <v>949</v>
      </c>
      <c r="Z73" s="10" t="s">
        <v>910</v>
      </c>
      <c r="AL73" s="10" t="str">
        <f t="shared" si="12"/>
        <v>FALSE</v>
      </c>
      <c r="AM73" s="10" t="str">
        <f t="shared" si="12"/>
        <v>FALSE</v>
      </c>
      <c r="AN73" s="10" t="str">
        <f t="shared" si="12"/>
        <v>FALSE</v>
      </c>
      <c r="AO73" s="10" t="str">
        <f t="shared" si="13"/>
        <v>FALSE</v>
      </c>
      <c r="AP73" s="10" t="str">
        <f t="shared" si="13"/>
        <v>FALSE</v>
      </c>
      <c r="AQ73" s="10" t="b">
        <f>IF(AND(I73="TP",S73&lt;=150),VLOOKUP(AF73,TPCalibEq150!$AZ$2:$BB$55,3,),IF(AND(I73="TDP",S73&lt;=150),VLOOKUP(AF73,TPCalibEq150!$AZ$2:$BB$55,3,)))</f>
        <v>0</v>
      </c>
      <c r="AR73" s="10" t="b">
        <f>IF(AND(I73="TP",S73&lt;=300),VLOOKUP(AF73,TPCalibEq300!$AZ$2:$BB$55,3,),IF(AND(I73="TDP",S73&lt;=300),VLOOKUP(AF73,TPCalibEq300!$AZ$2:$BB$55,3,)))</f>
        <v>0</v>
      </c>
      <c r="AS73" s="10" t="b">
        <f>IF(AND(I73="TP",S73&lt;=500),VLOOKUP(AF73,TPCalibEq500!$AZ$2:$BB$56,3,),IF(AND(I73="TDP",S73&lt;=500),VLOOKUP(AF73,TPCalibEq500!$AZ$2:$BB$56,3,)))</f>
        <v>0</v>
      </c>
      <c r="AT73" s="10" t="b">
        <f>IF(AND(I73="TN",S73&lt;=2800),VLOOKUP(AF73,TNCalibEq2500!$AZ$2:$BB$56,3,),IF(AND(I73="TDN",S73&lt;=2800),VLOOKUP(AF73,TNCalibEq2500!$AZ$2:$BB$56,3,)))</f>
        <v>0</v>
      </c>
      <c r="AU73" s="10" t="b">
        <f>IF(I73="TP",VLOOKUP(AF73,TPCalibEqFull!$AZ$2:$BB$56,3),IF(I73="TDP",VLOOKUP(AF73,TPCalibEqFull!$AZ$2:$BB$56,3),IF(I73="TDN",VLOOKUP(AF73,TNCalibEqFull!$AZ$1:$BB$56,3),IF(I73="TN",VLOOKUP(AF73,TNCalibEqFull!$AZ$1:$BB$56,3),FALSE))))</f>
        <v>0</v>
      </c>
      <c r="AV73" s="10" t="str">
        <f t="shared" si="11"/>
        <v>1229 05:17:00-HST-0-FIL-1-SW-DUP</v>
      </c>
    </row>
    <row r="74" spans="1:48" s="10" customFormat="1" x14ac:dyDescent="0.55000000000000004">
      <c r="A74" s="32">
        <v>44924</v>
      </c>
      <c r="B74" s="33">
        <v>0.22013888888888888</v>
      </c>
      <c r="C74" s="10" t="s">
        <v>912</v>
      </c>
      <c r="D74" s="10">
        <v>0</v>
      </c>
      <c r="E74" s="10" t="s">
        <v>911</v>
      </c>
      <c r="F74" s="10">
        <v>1</v>
      </c>
      <c r="G74" s="10" t="s">
        <v>231</v>
      </c>
      <c r="H74" s="10" t="s">
        <v>314</v>
      </c>
      <c r="I74" s="10" t="s">
        <v>183</v>
      </c>
      <c r="J74" s="10">
        <v>52</v>
      </c>
      <c r="K74" s="12">
        <v>44930</v>
      </c>
      <c r="L74" s="33">
        <v>0.50035879629629632</v>
      </c>
      <c r="M74" s="10">
        <v>1</v>
      </c>
      <c r="N74" s="10" t="s">
        <v>76</v>
      </c>
      <c r="O74" s="10">
        <v>12.3</v>
      </c>
      <c r="P74" s="10">
        <v>0.98799999999999999</v>
      </c>
      <c r="Q74" s="10">
        <v>688</v>
      </c>
      <c r="R74" s="10" t="s">
        <v>77</v>
      </c>
      <c r="S74" s="34">
        <f t="shared" si="7"/>
        <v>688</v>
      </c>
      <c r="T74" s="10" t="s">
        <v>956</v>
      </c>
      <c r="U74" s="34">
        <f t="shared" si="8"/>
        <v>109.14399999999999</v>
      </c>
      <c r="V74" s="31">
        <f>IF(H74="CHK",VLOOKUP(I74,QCCHK,3,),IF(H74="GUP",VLOOKUP(E74,QCGUP,2,),IF(AND(H74="ATP",OR(I74="TN",I74="TDN",I74="TNO2-3",I74="NO2-3")),VLOOKUP(E74,QCREC_N,2,),IF(AND(H74="NIC",OR(I74="TN",I74="TDN",I74="TNO2-3",I74="NO2-3")),VLOOKUP(E74,QCNIC_N,2,),IF(AND(H74="UREA",OR(I74="TN",I74="TDN",I74="TNO2-3",I74="NO2-3")),VLOOKUP(E74,QCUREA_N,2,),IF(H74="PER",VLOOKUP(I74,QCPER,MATCH(E74,QCACTUAL!$J$25:$AA$25,0),),IF(H74="SPK",VLOOKUP(I74,QCSPK,3,),IF(AND(H74="ATP",OR(I74="TP",I74="TDP")),VLOOKUP(E74,QCATP_P,2,),""))))))))</f>
        <v>625</v>
      </c>
      <c r="W74" s="31" t="str">
        <f t="shared" si="9"/>
        <v>TRUE</v>
      </c>
      <c r="X74" s="31" t="str">
        <f t="shared" si="10"/>
        <v>([spikedunkn]-[unkn])/[spike]*100</v>
      </c>
      <c r="Y74" s="10" t="s">
        <v>949</v>
      </c>
      <c r="Z74" s="10" t="s">
        <v>910</v>
      </c>
      <c r="AL74" s="10" t="str">
        <f t="shared" si="12"/>
        <v>FALSE</v>
      </c>
      <c r="AM74" s="10" t="str">
        <f t="shared" si="12"/>
        <v>FALSE</v>
      </c>
      <c r="AN74" s="10" t="str">
        <f t="shared" si="12"/>
        <v>FALSE</v>
      </c>
      <c r="AO74" s="10" t="str">
        <f t="shared" si="13"/>
        <v>FALSE</v>
      </c>
      <c r="AP74" s="10" t="str">
        <f t="shared" si="13"/>
        <v>FALSE</v>
      </c>
      <c r="AQ74" s="10" t="b">
        <f>IF(AND(I74="TP",S74&lt;=150),VLOOKUP(AF74,TPCalibEq150!$AZ$2:$BB$55,3,),IF(AND(I74="TDP",S74&lt;=150),VLOOKUP(AF74,TPCalibEq150!$AZ$2:$BB$55,3,)))</f>
        <v>0</v>
      </c>
      <c r="AR74" s="10" t="b">
        <f>IF(AND(I74="TP",S74&lt;=300),VLOOKUP(AF74,TPCalibEq300!$AZ$2:$BB$55,3,),IF(AND(I74="TDP",S74&lt;=300),VLOOKUP(AF74,TPCalibEq300!$AZ$2:$BB$55,3,)))</f>
        <v>0</v>
      </c>
      <c r="AS74" s="10" t="b">
        <f>IF(AND(I74="TP",S74&lt;=500),VLOOKUP(AF74,TPCalibEq500!$AZ$2:$BB$56,3,),IF(AND(I74="TDP",S74&lt;=500),VLOOKUP(AF74,TPCalibEq500!$AZ$2:$BB$56,3,)))</f>
        <v>0</v>
      </c>
      <c r="AT74" s="10" t="b">
        <f>IF(AND(I74="TN",S74&lt;=2800),VLOOKUP(AF74,TNCalibEq2500!$AZ$2:$BB$56,3,),IF(AND(I74="TDN",S74&lt;=2800),VLOOKUP(AF74,TNCalibEq2500!$AZ$2:$BB$56,3,)))</f>
        <v>0</v>
      </c>
      <c r="AU74" s="10" t="b">
        <f>IF(I74="TP",VLOOKUP(AF74,TPCalibEqFull!$AZ$2:$BB$56,3),IF(I74="TDP",VLOOKUP(AF74,TPCalibEqFull!$AZ$2:$BB$56,3),IF(I74="TDN",VLOOKUP(AF74,TNCalibEqFull!$AZ$1:$BB$56,3),IF(I74="TN",VLOOKUP(AF74,TNCalibEqFull!$AZ$1:$BB$56,3),FALSE))))</f>
        <v>0</v>
      </c>
      <c r="AV74" s="10" t="str">
        <f t="shared" si="11"/>
        <v>1229 05:17:00-HST -0-FIL-1-SW-SPK</v>
      </c>
    </row>
    <row r="75" spans="1:48" s="10" customFormat="1" x14ac:dyDescent="0.55000000000000004">
      <c r="A75" s="32">
        <v>44930</v>
      </c>
      <c r="B75" s="33">
        <v>0.375</v>
      </c>
      <c r="C75" s="10" t="s">
        <v>70</v>
      </c>
      <c r="D75" s="10" t="s">
        <v>71</v>
      </c>
      <c r="E75" s="10" t="s">
        <v>901</v>
      </c>
      <c r="F75" s="10">
        <v>1</v>
      </c>
      <c r="G75" s="10" t="s">
        <v>73</v>
      </c>
      <c r="H75" s="10" t="s">
        <v>207</v>
      </c>
      <c r="I75" s="10" t="s">
        <v>75</v>
      </c>
      <c r="J75" s="10">
        <v>200</v>
      </c>
      <c r="K75" s="12">
        <v>44930</v>
      </c>
      <c r="L75" s="33">
        <v>0.50118055555555563</v>
      </c>
      <c r="M75" s="10">
        <v>1</v>
      </c>
      <c r="N75" s="10" t="s">
        <v>76</v>
      </c>
      <c r="O75" s="10">
        <v>5.41</v>
      </c>
      <c r="P75" s="10">
        <v>0.434</v>
      </c>
      <c r="Q75" s="10">
        <v>306</v>
      </c>
      <c r="R75" s="10" t="s">
        <v>77</v>
      </c>
      <c r="S75" s="34">
        <f t="shared" si="7"/>
        <v>306</v>
      </c>
      <c r="T75" s="10" t="s">
        <v>956</v>
      </c>
      <c r="U75" s="34">
        <f t="shared" si="8"/>
        <v>102</v>
      </c>
      <c r="V75" s="31">
        <f>IF(H75="CHK",VLOOKUP(I75,QCCHK,3,),IF(H75="GUP",VLOOKUP(E75,QCGUP,2,),IF(AND(H75="ATP",OR(I75="TN",I75="TDN",I75="TNO2-3",I75="NO2-3")),VLOOKUP(E75,QCREC_N,2,),IF(AND(H75="NIC",OR(I75="TN",I75="TDN",I75="TNO2-3",I75="NO2-3")),VLOOKUP(E75,QCNIC_N,2,),IF(AND(H75="UREA",OR(I75="TN",I75="TDN",I75="TNO2-3",I75="NO2-3")),VLOOKUP(E75,QCUREA_N,2,),IF(H75="PER",VLOOKUP(I75,QCPER,MATCH(E75,QCACTUAL!$J$25:$AA$25,0),),IF(H75="SPK",VLOOKUP(I75,QCSPK,3,),IF(AND(H75="ATP",OR(I75="TP",I75="TDP")),VLOOKUP(E75,QCATP_P,2,),""))))))))</f>
        <v>300</v>
      </c>
      <c r="W75" s="31" t="str">
        <f t="shared" si="9"/>
        <v>TRUE</v>
      </c>
      <c r="X75" s="31" t="str">
        <f t="shared" si="10"/>
        <v>[chk]/[actual]*100</v>
      </c>
      <c r="Y75" s="10" t="s">
        <v>949</v>
      </c>
      <c r="AL75" s="10" t="str">
        <f t="shared" si="12"/>
        <v>FALSE</v>
      </c>
      <c r="AM75" s="10" t="str">
        <f t="shared" si="12"/>
        <v>FALSE</v>
      </c>
      <c r="AN75" s="10" t="str">
        <f t="shared" si="12"/>
        <v>FALSE</v>
      </c>
      <c r="AO75" s="10" t="str">
        <f t="shared" si="13"/>
        <v>FALSE</v>
      </c>
      <c r="AP75" s="10" t="str">
        <f t="shared" si="13"/>
        <v>FALSE</v>
      </c>
      <c r="AQ75" s="10" t="b">
        <f>IF(AND(I75="TP",S75&lt;=150),VLOOKUP(AF75,TPCalibEq150!$AZ$2:$BB$55,3,),IF(AND(I75="TDP",S75&lt;=150),VLOOKUP(AF75,TPCalibEq150!$AZ$2:$BB$55,3,)))</f>
        <v>0</v>
      </c>
      <c r="AR75" s="10" t="b">
        <f>IF(AND(I75="TP",S75&lt;=300),VLOOKUP(AF75,TPCalibEq300!$AZ$2:$BB$55,3,),IF(AND(I75="TDP",S75&lt;=300),VLOOKUP(AF75,TPCalibEq300!$AZ$2:$BB$55,3,)))</f>
        <v>0</v>
      </c>
      <c r="AS75" s="10" t="b">
        <f>IF(AND(I75="TP",S75&lt;=500),VLOOKUP(AF75,TPCalibEq500!$AZ$2:$BB$56,3,),IF(AND(I75="TDP",S75&lt;=500),VLOOKUP(AF75,TPCalibEq500!$AZ$2:$BB$56,3,)))</f>
        <v>0</v>
      </c>
      <c r="AT75" s="10" t="b">
        <f>IF(AND(I75="TN",S75&lt;=2800),VLOOKUP(AF75,TNCalibEq2500!$AZ$2:$BB$56,3,),IF(AND(I75="TDN",S75&lt;=2800),VLOOKUP(AF75,TNCalibEq2500!$AZ$2:$BB$56,3,)))</f>
        <v>0</v>
      </c>
      <c r="AU75" s="10" t="b">
        <f>IF(I75="TP",VLOOKUP(AF75,TPCalibEqFull!$AZ$2:$BB$56,3),IF(I75="TDP",VLOOKUP(AF75,TPCalibEqFull!$AZ$2:$BB$56,3),IF(I75="TDN",VLOOKUP(AF75,TNCalibEqFull!$AZ$1:$BB$56,3),IF(I75="TN",VLOOKUP(AF75,TNCalibEqFull!$AZ$1:$BB$56,3),FALSE))))</f>
        <v>0</v>
      </c>
      <c r="AV75" s="10" t="str">
        <f t="shared" si="11"/>
        <v>0104 09:00:00-QAC-STD-D-1-DI-CHK</v>
      </c>
    </row>
    <row r="76" spans="1:48" s="10" customFormat="1" x14ac:dyDescent="0.55000000000000004">
      <c r="A76" s="32">
        <v>44925</v>
      </c>
      <c r="B76" s="33">
        <v>0.55555555555555558</v>
      </c>
      <c r="C76" s="10" t="s">
        <v>279</v>
      </c>
      <c r="D76" s="10">
        <v>0</v>
      </c>
      <c r="E76" s="10" t="s">
        <v>911</v>
      </c>
      <c r="F76" s="10">
        <v>1</v>
      </c>
      <c r="G76" s="10" t="s">
        <v>231</v>
      </c>
      <c r="H76" s="10" t="s">
        <v>322</v>
      </c>
      <c r="I76" s="10" t="s">
        <v>183</v>
      </c>
      <c r="J76" s="10">
        <v>45</v>
      </c>
      <c r="K76" s="12">
        <v>44930</v>
      </c>
      <c r="L76" s="33">
        <v>0.50199074074074079</v>
      </c>
      <c r="M76" s="10">
        <v>1</v>
      </c>
      <c r="N76" s="10" t="s">
        <v>76</v>
      </c>
      <c r="O76" s="10">
        <v>0.23699999999999999</v>
      </c>
      <c r="P76" s="10">
        <v>1.9400000000000001E-2</v>
      </c>
      <c r="Q76" s="10">
        <v>13.5</v>
      </c>
      <c r="R76" s="10" t="s">
        <v>77</v>
      </c>
      <c r="S76" s="34">
        <f t="shared" si="7"/>
        <v>13.5</v>
      </c>
      <c r="T76" s="10" t="s">
        <v>956</v>
      </c>
      <c r="U76" s="34" t="str">
        <f t="shared" si="8"/>
        <v/>
      </c>
      <c r="V76" s="31" t="str">
        <f>IF(H76="CHK",VLOOKUP(I76,QCCHK,3,),IF(H76="GUP",VLOOKUP(E76,QCGUP,2,),IF(AND(H76="ATP",OR(I76="TN",I76="TDN",I76="TNO2-3",I76="NO2-3")),VLOOKUP(E76,QCREC_N,2,),IF(AND(H76="NIC",OR(I76="TN",I76="TDN",I76="TNO2-3",I76="NO2-3")),VLOOKUP(E76,QCNIC_N,2,),IF(AND(H76="UREA",OR(I76="TN",I76="TDN",I76="TNO2-3",I76="NO2-3")),VLOOKUP(E76,QCUREA_N,2,),IF(H76="PER",VLOOKUP(I76,QCPER,MATCH(E76,QCACTUAL!$J$25:$AA$25,0),),IF(H76="SPK",VLOOKUP(I76,QCSPK,3,),IF(AND(H76="ATP",OR(I76="TP",I76="TDP")),VLOOKUP(E76,QCATP_P,2,),""))))))))</f>
        <v/>
      </c>
      <c r="W76" s="31" t="str">
        <f t="shared" si="9"/>
        <v>TRUE</v>
      </c>
      <c r="X76" s="31" t="str">
        <f t="shared" si="10"/>
        <v/>
      </c>
      <c r="Y76" s="10" t="s">
        <v>949</v>
      </c>
      <c r="Z76" s="10" t="s">
        <v>910</v>
      </c>
      <c r="AL76" s="10" t="str">
        <f t="shared" si="12"/>
        <v>FALSE</v>
      </c>
      <c r="AM76" s="10" t="str">
        <f t="shared" si="12"/>
        <v>FALSE</v>
      </c>
      <c r="AN76" s="10" t="str">
        <f t="shared" si="12"/>
        <v>FALSE</v>
      </c>
      <c r="AO76" s="10" t="str">
        <f t="shared" si="13"/>
        <v>FALSE</v>
      </c>
      <c r="AP76" s="10" t="str">
        <f t="shared" si="13"/>
        <v>FALSE</v>
      </c>
      <c r="AQ76" s="10" t="b">
        <f>IF(AND(I76="TP",S76&lt;=150),VLOOKUP(AF76,TPCalibEq150!$AZ$2:$BB$55,3,),IF(AND(I76="TDP",S76&lt;=150),VLOOKUP(AF76,TPCalibEq150!$AZ$2:$BB$55,3,)))</f>
        <v>0</v>
      </c>
      <c r="AR76" s="10" t="b">
        <f>IF(AND(I76="TP",S76&lt;=300),VLOOKUP(AF76,TPCalibEq300!$AZ$2:$BB$55,3,),IF(AND(I76="TDP",S76&lt;=300),VLOOKUP(AF76,TPCalibEq300!$AZ$2:$BB$55,3,)))</f>
        <v>0</v>
      </c>
      <c r="AS76" s="10" t="b">
        <f>IF(AND(I76="TP",S76&lt;=500),VLOOKUP(AF76,TPCalibEq500!$AZ$2:$BB$56,3,),IF(AND(I76="TDP",S76&lt;=500),VLOOKUP(AF76,TPCalibEq500!$AZ$2:$BB$56,3,)))</f>
        <v>0</v>
      </c>
      <c r="AT76" s="10" t="b">
        <f>IF(AND(I76="TN",S76&lt;=2800),VLOOKUP(AF76,TNCalibEq2500!$AZ$2:$BB$56,3,),IF(AND(I76="TDN",S76&lt;=2800),VLOOKUP(AF76,TNCalibEq2500!$AZ$2:$BB$56,3,)))</f>
        <v>0</v>
      </c>
      <c r="AU76" s="10" t="b">
        <f>IF(I76="TP",VLOOKUP(AF76,TPCalibEqFull!$AZ$2:$BB$56,3),IF(I76="TDP",VLOOKUP(AF76,TPCalibEqFull!$AZ$2:$BB$56,3),IF(I76="TDN",VLOOKUP(AF76,TNCalibEqFull!$AZ$1:$BB$56,3),IF(I76="TN",VLOOKUP(AF76,TNCalibEqFull!$AZ$1:$BB$56,3),FALSE))))</f>
        <v>0</v>
      </c>
      <c r="AV76" s="10" t="str">
        <f t="shared" si="11"/>
        <v>1230 13:20:00-EFK-0-FIL-1-SW-UKN</v>
      </c>
    </row>
    <row r="77" spans="1:48" s="10" customFormat="1" x14ac:dyDescent="0.55000000000000004">
      <c r="A77" s="32">
        <v>44925</v>
      </c>
      <c r="B77" s="33">
        <v>0.55902777777777779</v>
      </c>
      <c r="C77" s="10" t="s">
        <v>333</v>
      </c>
      <c r="D77" s="10">
        <v>0</v>
      </c>
      <c r="E77" s="10" t="s">
        <v>911</v>
      </c>
      <c r="F77" s="10">
        <v>1</v>
      </c>
      <c r="G77" s="10" t="s">
        <v>231</v>
      </c>
      <c r="H77" s="10" t="s">
        <v>322</v>
      </c>
      <c r="I77" s="10" t="s">
        <v>183</v>
      </c>
      <c r="J77" s="10">
        <v>46</v>
      </c>
      <c r="K77" s="12">
        <v>44930</v>
      </c>
      <c r="L77" s="33">
        <v>0.5028125</v>
      </c>
      <c r="M77" s="10">
        <v>1</v>
      </c>
      <c r="N77" s="10" t="s">
        <v>76</v>
      </c>
      <c r="O77" s="10">
        <v>0.25900000000000001</v>
      </c>
      <c r="P77" s="10">
        <v>2.12E-2</v>
      </c>
      <c r="Q77" s="10">
        <v>14.8</v>
      </c>
      <c r="R77" s="10" t="s">
        <v>77</v>
      </c>
      <c r="S77" s="34">
        <f t="shared" si="7"/>
        <v>14.8</v>
      </c>
      <c r="T77" s="10" t="s">
        <v>956</v>
      </c>
      <c r="U77" s="34" t="str">
        <f t="shared" si="8"/>
        <v/>
      </c>
      <c r="V77" s="31" t="str">
        <f>IF(H77="CHK",VLOOKUP(I77,QCCHK,3,),IF(H77="GUP",VLOOKUP(E77,QCGUP,2,),IF(AND(H77="ATP",OR(I77="TN",I77="TDN",I77="TNO2-3",I77="NO2-3")),VLOOKUP(E77,QCREC_N,2,),IF(AND(H77="NIC",OR(I77="TN",I77="TDN",I77="TNO2-3",I77="NO2-3")),VLOOKUP(E77,QCNIC_N,2,),IF(AND(H77="UREA",OR(I77="TN",I77="TDN",I77="TNO2-3",I77="NO2-3")),VLOOKUP(E77,QCUREA_N,2,),IF(H77="PER",VLOOKUP(I77,QCPER,MATCH(E77,QCACTUAL!$J$25:$AA$25,0),),IF(H77="SPK",VLOOKUP(I77,QCSPK,3,),IF(AND(H77="ATP",OR(I77="TP",I77="TDP")),VLOOKUP(E77,QCATP_P,2,),""))))))))</f>
        <v/>
      </c>
      <c r="W77" s="31" t="str">
        <f t="shared" si="9"/>
        <v>TRUE</v>
      </c>
      <c r="X77" s="31" t="str">
        <f t="shared" si="10"/>
        <v/>
      </c>
      <c r="Y77" s="10" t="s">
        <v>949</v>
      </c>
      <c r="Z77" s="10" t="s">
        <v>910</v>
      </c>
      <c r="AL77" s="10" t="str">
        <f t="shared" si="12"/>
        <v>FALSE</v>
      </c>
      <c r="AM77" s="10" t="str">
        <f t="shared" si="12"/>
        <v>FALSE</v>
      </c>
      <c r="AN77" s="10" t="str">
        <f t="shared" si="12"/>
        <v>FALSE</v>
      </c>
      <c r="AO77" s="10" t="str">
        <f t="shared" si="13"/>
        <v>FALSE</v>
      </c>
      <c r="AP77" s="10" t="str">
        <f t="shared" si="13"/>
        <v>FALSE</v>
      </c>
      <c r="AQ77" s="10" t="b">
        <f>IF(AND(I77="TP",S77&lt;=150),VLOOKUP(AF77,TPCalibEq150!$AZ$2:$BB$55,3,),IF(AND(I77="TDP",S77&lt;=150),VLOOKUP(AF77,TPCalibEq150!$AZ$2:$BB$55,3,)))</f>
        <v>0</v>
      </c>
      <c r="AR77" s="10" t="b">
        <f>IF(AND(I77="TP",S77&lt;=300),VLOOKUP(AF77,TPCalibEq300!$AZ$2:$BB$55,3,),IF(AND(I77="TDP",S77&lt;=300),VLOOKUP(AF77,TPCalibEq300!$AZ$2:$BB$55,3,)))</f>
        <v>0</v>
      </c>
      <c r="AS77" s="10" t="b">
        <f>IF(AND(I77="TP",S77&lt;=500),VLOOKUP(AF77,TPCalibEq500!$AZ$2:$BB$56,3,),IF(AND(I77="TDP",S77&lt;=500),VLOOKUP(AF77,TPCalibEq500!$AZ$2:$BB$56,3,)))</f>
        <v>0</v>
      </c>
      <c r="AT77" s="10" t="b">
        <f>IF(AND(I77="TN",S77&lt;=2800),VLOOKUP(AF77,TNCalibEq2500!$AZ$2:$BB$56,3,),IF(AND(I77="TDN",S77&lt;=2800),VLOOKUP(AF77,TNCalibEq2500!$AZ$2:$BB$56,3,)))</f>
        <v>0</v>
      </c>
      <c r="AU77" s="10" t="b">
        <f>IF(I77="TP",VLOOKUP(AF77,TPCalibEqFull!$AZ$2:$BB$56,3),IF(I77="TDP",VLOOKUP(AF77,TPCalibEqFull!$AZ$2:$BB$56,3),IF(I77="TDN",VLOOKUP(AF77,TNCalibEqFull!$AZ$1:$BB$56,3),IF(I77="TN",VLOOKUP(AF77,TNCalibEqFull!$AZ$1:$BB$56,3),FALSE))))</f>
        <v>0</v>
      </c>
      <c r="AV77" s="10" t="str">
        <f t="shared" si="11"/>
        <v>1230 13:25:00-HST-0-FIL-1-SW-UKN</v>
      </c>
    </row>
    <row r="78" spans="1:48" s="10" customFormat="1" x14ac:dyDescent="0.55000000000000004">
      <c r="A78" s="32">
        <v>44929</v>
      </c>
      <c r="B78" s="33">
        <v>0.22222222222222221</v>
      </c>
      <c r="C78" s="10" t="s">
        <v>279</v>
      </c>
      <c r="D78" s="10">
        <v>0</v>
      </c>
      <c r="E78" s="10" t="s">
        <v>911</v>
      </c>
      <c r="F78" s="10">
        <v>1</v>
      </c>
      <c r="G78" s="10" t="s">
        <v>231</v>
      </c>
      <c r="H78" s="10" t="s">
        <v>322</v>
      </c>
      <c r="I78" s="10" t="s">
        <v>183</v>
      </c>
      <c r="J78" s="10">
        <v>47</v>
      </c>
      <c r="K78" s="12">
        <v>44930</v>
      </c>
      <c r="L78" s="33">
        <v>0.5036342592592592</v>
      </c>
      <c r="M78" s="10">
        <v>1</v>
      </c>
      <c r="N78" s="10" t="s">
        <v>76</v>
      </c>
      <c r="O78" s="10">
        <v>0.66300000000000003</v>
      </c>
      <c r="P78" s="10">
        <v>5.3800000000000001E-2</v>
      </c>
      <c r="Q78" s="10">
        <v>37.700000000000003</v>
      </c>
      <c r="R78" s="10" t="s">
        <v>77</v>
      </c>
      <c r="S78" s="34">
        <f t="shared" si="7"/>
        <v>37.700000000000003</v>
      </c>
      <c r="T78" s="10" t="s">
        <v>956</v>
      </c>
      <c r="U78" s="34" t="str">
        <f t="shared" si="8"/>
        <v/>
      </c>
      <c r="V78" s="31" t="str">
        <f>IF(H78="CHK",VLOOKUP(I78,QCCHK,3,),IF(H78="GUP",VLOOKUP(E78,QCGUP,2,),IF(AND(H78="ATP",OR(I78="TN",I78="TDN",I78="TNO2-3",I78="NO2-3")),VLOOKUP(E78,QCREC_N,2,),IF(AND(H78="NIC",OR(I78="TN",I78="TDN",I78="TNO2-3",I78="NO2-3")),VLOOKUP(E78,QCNIC_N,2,),IF(AND(H78="UREA",OR(I78="TN",I78="TDN",I78="TNO2-3",I78="NO2-3")),VLOOKUP(E78,QCUREA_N,2,),IF(H78="PER",VLOOKUP(I78,QCPER,MATCH(E78,QCACTUAL!$J$25:$AA$25,0),),IF(H78="SPK",VLOOKUP(I78,QCSPK,3,),IF(AND(H78="ATP",OR(I78="TP",I78="TDP")),VLOOKUP(E78,QCATP_P,2,),""))))))))</f>
        <v/>
      </c>
      <c r="W78" s="31" t="str">
        <f t="shared" si="9"/>
        <v>TRUE</v>
      </c>
      <c r="X78" s="31" t="str">
        <f t="shared" si="10"/>
        <v/>
      </c>
      <c r="Y78" s="10" t="s">
        <v>949</v>
      </c>
      <c r="AL78" s="10" t="str">
        <f t="shared" si="12"/>
        <v>FALSE</v>
      </c>
      <c r="AM78" s="10" t="str">
        <f t="shared" si="12"/>
        <v>FALSE</v>
      </c>
      <c r="AN78" s="10" t="str">
        <f t="shared" si="12"/>
        <v>FALSE</v>
      </c>
      <c r="AO78" s="10" t="str">
        <f t="shared" si="13"/>
        <v>FALSE</v>
      </c>
      <c r="AP78" s="10" t="str">
        <f t="shared" si="13"/>
        <v>FALSE</v>
      </c>
      <c r="AQ78" s="10" t="b">
        <f>IF(AND(I78="TP",S78&lt;=150),VLOOKUP(AF78,TPCalibEq150!$AZ$2:$BB$55,3,),IF(AND(I78="TDP",S78&lt;=150),VLOOKUP(AF78,TPCalibEq150!$AZ$2:$BB$55,3,)))</f>
        <v>0</v>
      </c>
      <c r="AR78" s="10" t="b">
        <f>IF(AND(I78="TP",S78&lt;=300),VLOOKUP(AF78,TPCalibEq300!$AZ$2:$BB$55,3,),IF(AND(I78="TDP",S78&lt;=300),VLOOKUP(AF78,TPCalibEq300!$AZ$2:$BB$55,3,)))</f>
        <v>0</v>
      </c>
      <c r="AS78" s="10" t="b">
        <f>IF(AND(I78="TP",S78&lt;=500),VLOOKUP(AF78,TPCalibEq500!$AZ$2:$BB$56,3,),IF(AND(I78="TDP",S78&lt;=500),VLOOKUP(AF78,TPCalibEq500!$AZ$2:$BB$56,3,)))</f>
        <v>0</v>
      </c>
      <c r="AT78" s="10" t="b">
        <f>IF(AND(I78="TN",S78&lt;=2800),VLOOKUP(AF78,TNCalibEq2500!$AZ$2:$BB$56,3,),IF(AND(I78="TDN",S78&lt;=2800),VLOOKUP(AF78,TNCalibEq2500!$AZ$2:$BB$56,3,)))</f>
        <v>0</v>
      </c>
      <c r="AU78" s="10" t="b">
        <f>IF(I78="TP",VLOOKUP(AF78,TPCalibEqFull!$AZ$2:$BB$56,3),IF(I78="TDP",VLOOKUP(AF78,TPCalibEqFull!$AZ$2:$BB$56,3),IF(I78="TDN",VLOOKUP(AF78,TNCalibEqFull!$AZ$1:$BB$56,3),IF(I78="TN",VLOOKUP(AF78,TNCalibEqFull!$AZ$1:$BB$56,3),FALSE))))</f>
        <v>0</v>
      </c>
      <c r="AV78" s="10" t="str">
        <f t="shared" si="11"/>
        <v>0103 05:20:00-EFK-0-FIL-1-SW-UKN</v>
      </c>
    </row>
    <row r="79" spans="1:48" s="10" customFormat="1" x14ac:dyDescent="0.55000000000000004">
      <c r="A79" s="32">
        <v>44929</v>
      </c>
      <c r="B79" s="33">
        <v>0.22569444444444445</v>
      </c>
      <c r="C79" s="10" t="s">
        <v>333</v>
      </c>
      <c r="D79" s="10">
        <v>0</v>
      </c>
      <c r="E79" s="10" t="s">
        <v>911</v>
      </c>
      <c r="F79" s="10">
        <v>1</v>
      </c>
      <c r="G79" s="10" t="s">
        <v>231</v>
      </c>
      <c r="H79" s="10" t="s">
        <v>322</v>
      </c>
      <c r="I79" s="10" t="s">
        <v>183</v>
      </c>
      <c r="J79" s="10">
        <v>48</v>
      </c>
      <c r="K79" s="12">
        <v>44930</v>
      </c>
      <c r="L79" s="33">
        <v>0.50446759259259266</v>
      </c>
      <c r="M79" s="10">
        <v>1</v>
      </c>
      <c r="N79" s="10" t="s">
        <v>76</v>
      </c>
      <c r="O79" s="10">
        <v>0.373</v>
      </c>
      <c r="P79" s="10">
        <v>2.8500000000000001E-2</v>
      </c>
      <c r="Q79" s="10">
        <v>21.2</v>
      </c>
      <c r="R79" s="10" t="s">
        <v>77</v>
      </c>
      <c r="S79" s="34">
        <f t="shared" si="7"/>
        <v>21.2</v>
      </c>
      <c r="T79" s="10" t="s">
        <v>956</v>
      </c>
      <c r="U79" s="34" t="str">
        <f t="shared" si="8"/>
        <v/>
      </c>
      <c r="V79" s="31" t="str">
        <f>IF(H79="CHK",VLOOKUP(I79,QCCHK,3,),IF(H79="GUP",VLOOKUP(E79,QCGUP,2,),IF(AND(H79="ATP",OR(I79="TN",I79="TDN",I79="TNO2-3",I79="NO2-3")),VLOOKUP(E79,QCREC_N,2,),IF(AND(H79="NIC",OR(I79="TN",I79="TDN",I79="TNO2-3",I79="NO2-3")),VLOOKUP(E79,QCNIC_N,2,),IF(AND(H79="UREA",OR(I79="TN",I79="TDN",I79="TNO2-3",I79="NO2-3")),VLOOKUP(E79,QCUREA_N,2,),IF(H79="PER",VLOOKUP(I79,QCPER,MATCH(E79,QCACTUAL!$J$25:$AA$25,0),),IF(H79="SPK",VLOOKUP(I79,QCSPK,3,),IF(AND(H79="ATP",OR(I79="TP",I79="TDP")),VLOOKUP(E79,QCATP_P,2,),""))))))))</f>
        <v/>
      </c>
      <c r="W79" s="31" t="str">
        <f t="shared" si="9"/>
        <v>TRUE</v>
      </c>
      <c r="X79" s="31" t="str">
        <f t="shared" si="10"/>
        <v/>
      </c>
      <c r="Y79" s="10" t="s">
        <v>949</v>
      </c>
      <c r="AL79" s="10" t="str">
        <f t="shared" si="12"/>
        <v>FALSE</v>
      </c>
      <c r="AM79" s="10" t="str">
        <f t="shared" si="12"/>
        <v>FALSE</v>
      </c>
      <c r="AN79" s="10" t="str">
        <f t="shared" si="12"/>
        <v>FALSE</v>
      </c>
      <c r="AO79" s="10" t="str">
        <f t="shared" si="13"/>
        <v>FALSE</v>
      </c>
      <c r="AP79" s="10" t="str">
        <f t="shared" si="13"/>
        <v>FALSE</v>
      </c>
      <c r="AQ79" s="10" t="b">
        <f>IF(AND(I79="TP",S79&lt;=150),VLOOKUP(AF79,TPCalibEq150!$AZ$2:$BB$55,3,),IF(AND(I79="TDP",S79&lt;=150),VLOOKUP(AF79,TPCalibEq150!$AZ$2:$BB$55,3,)))</f>
        <v>0</v>
      </c>
      <c r="AR79" s="10" t="b">
        <f>IF(AND(I79="TP",S79&lt;=300),VLOOKUP(AF79,TPCalibEq300!$AZ$2:$BB$55,3,),IF(AND(I79="TDP",S79&lt;=300),VLOOKUP(AF79,TPCalibEq300!$AZ$2:$BB$55,3,)))</f>
        <v>0</v>
      </c>
      <c r="AS79" s="10" t="b">
        <f>IF(AND(I79="TP",S79&lt;=500),VLOOKUP(AF79,TPCalibEq500!$AZ$2:$BB$56,3,),IF(AND(I79="TDP",S79&lt;=500),VLOOKUP(AF79,TPCalibEq500!$AZ$2:$BB$56,3,)))</f>
        <v>0</v>
      </c>
      <c r="AT79" s="10" t="b">
        <f>IF(AND(I79="TN",S79&lt;=2800),VLOOKUP(AF79,TNCalibEq2500!$AZ$2:$BB$56,3,),IF(AND(I79="TDN",S79&lt;=2800),VLOOKUP(AF79,TNCalibEq2500!$AZ$2:$BB$56,3,)))</f>
        <v>0</v>
      </c>
      <c r="AU79" s="10" t="b">
        <f>IF(I79="TP",VLOOKUP(AF79,TPCalibEqFull!$AZ$2:$BB$56,3),IF(I79="TDP",VLOOKUP(AF79,TPCalibEqFull!$AZ$2:$BB$56,3),IF(I79="TDN",VLOOKUP(AF79,TNCalibEqFull!$AZ$1:$BB$56,3),IF(I79="TN",VLOOKUP(AF79,TNCalibEqFull!$AZ$1:$BB$56,3),FALSE))))</f>
        <v>0</v>
      </c>
      <c r="AV79" s="10" t="str">
        <f t="shared" si="11"/>
        <v>0103 05:25:00-HST-0-FIL-1-SW-UKN</v>
      </c>
    </row>
    <row r="80" spans="1:48" s="10" customFormat="1" x14ac:dyDescent="0.55000000000000004">
      <c r="A80" s="32">
        <v>44929</v>
      </c>
      <c r="B80" s="33">
        <v>0.22569444444444445</v>
      </c>
      <c r="C80" s="10" t="s">
        <v>333</v>
      </c>
      <c r="D80" s="10">
        <v>0</v>
      </c>
      <c r="E80" s="10" t="s">
        <v>911</v>
      </c>
      <c r="F80" s="10">
        <v>1</v>
      </c>
      <c r="G80" s="10" t="s">
        <v>231</v>
      </c>
      <c r="H80" s="10" t="s">
        <v>233</v>
      </c>
      <c r="I80" s="10" t="s">
        <v>183</v>
      </c>
      <c r="J80" s="10">
        <v>48</v>
      </c>
      <c r="K80" s="12">
        <v>44930</v>
      </c>
      <c r="L80" s="33">
        <v>0.50528935185185186</v>
      </c>
      <c r="M80" s="10">
        <v>1</v>
      </c>
      <c r="N80" s="10" t="s">
        <v>76</v>
      </c>
      <c r="O80" s="10">
        <v>0.36599999999999999</v>
      </c>
      <c r="P80" s="10">
        <v>2.9499999999999998E-2</v>
      </c>
      <c r="Q80" s="10">
        <v>20.8</v>
      </c>
      <c r="R80" s="10" t="s">
        <v>77</v>
      </c>
      <c r="S80" s="34">
        <f t="shared" si="7"/>
        <v>20.8</v>
      </c>
      <c r="T80" s="10" t="s">
        <v>956</v>
      </c>
      <c r="U80" s="34">
        <f t="shared" si="8"/>
        <v>1.904761904761898</v>
      </c>
      <c r="V80" s="31" t="str">
        <f>IF(H80="CHK",VLOOKUP(I80,QCCHK,3,),IF(H80="GUP",VLOOKUP(E80,QCGUP,2,),IF(AND(H80="ATP",OR(I80="TN",I80="TDN",I80="TNO2-3",I80="NO2-3")),VLOOKUP(E80,QCREC_N,2,),IF(AND(H80="NIC",OR(I80="TN",I80="TDN",I80="TNO2-3",I80="NO2-3")),VLOOKUP(E80,QCNIC_N,2,),IF(AND(H80="UREA",OR(I80="TN",I80="TDN",I80="TNO2-3",I80="NO2-3")),VLOOKUP(E80,QCUREA_N,2,),IF(H80="PER",VLOOKUP(I80,QCPER,MATCH(E80,QCACTUAL!$J$25:$AA$25,0),),IF(H80="SPK",VLOOKUP(I80,QCSPK,3,),IF(AND(H80="ATP",OR(I80="TP",I80="TDP")),VLOOKUP(E80,QCATP_P,2,),""))))))))</f>
        <v/>
      </c>
      <c r="W80" s="31" t="str">
        <f t="shared" si="9"/>
        <v>TRUE</v>
      </c>
      <c r="X80" s="31" t="str">
        <f t="shared" si="10"/>
        <v>((ABS(rep1-rep2))/((rep1+rep2)/2)*100</v>
      </c>
      <c r="Y80" s="10" t="s">
        <v>949</v>
      </c>
      <c r="AL80" s="10" t="str">
        <f t="shared" si="12"/>
        <v>FALSE</v>
      </c>
      <c r="AM80" s="10" t="str">
        <f t="shared" si="12"/>
        <v>FALSE</v>
      </c>
      <c r="AN80" s="10" t="str">
        <f t="shared" si="12"/>
        <v>FALSE</v>
      </c>
      <c r="AO80" s="10" t="str">
        <f t="shared" si="13"/>
        <v>FALSE</v>
      </c>
      <c r="AP80" s="10" t="str">
        <f t="shared" si="13"/>
        <v>FALSE</v>
      </c>
      <c r="AQ80" s="10" t="b">
        <f>IF(AND(I80="TP",S80&lt;=150),VLOOKUP(AF80,TPCalibEq150!$AZ$2:$BB$55,3,),IF(AND(I80="TDP",S80&lt;=150),VLOOKUP(AF80,TPCalibEq150!$AZ$2:$BB$55,3,)))</f>
        <v>0</v>
      </c>
      <c r="AR80" s="10" t="b">
        <f>IF(AND(I80="TP",S80&lt;=300),VLOOKUP(AF80,TPCalibEq300!$AZ$2:$BB$55,3,),IF(AND(I80="TDP",S80&lt;=300),VLOOKUP(AF80,TPCalibEq300!$AZ$2:$BB$55,3,)))</f>
        <v>0</v>
      </c>
      <c r="AS80" s="10" t="b">
        <f>IF(AND(I80="TP",S80&lt;=500),VLOOKUP(AF80,TPCalibEq500!$AZ$2:$BB$56,3,),IF(AND(I80="TDP",S80&lt;=500),VLOOKUP(AF80,TPCalibEq500!$AZ$2:$BB$56,3,)))</f>
        <v>0</v>
      </c>
      <c r="AT80" s="10" t="b">
        <f>IF(AND(I80="TN",S80&lt;=2800),VLOOKUP(AF80,TNCalibEq2500!$AZ$2:$BB$56,3,),IF(AND(I80="TDN",S80&lt;=2800),VLOOKUP(AF80,TNCalibEq2500!$AZ$2:$BB$56,3,)))</f>
        <v>0</v>
      </c>
      <c r="AU80" s="10" t="b">
        <f>IF(I80="TP",VLOOKUP(AF80,TPCalibEqFull!$AZ$2:$BB$56,3),IF(I80="TDP",VLOOKUP(AF80,TPCalibEqFull!$AZ$2:$BB$56,3),IF(I80="TDN",VLOOKUP(AF80,TNCalibEqFull!$AZ$1:$BB$56,3),IF(I80="TN",VLOOKUP(AF80,TNCalibEqFull!$AZ$1:$BB$56,3),FALSE))))</f>
        <v>0</v>
      </c>
      <c r="AV80" s="10" t="str">
        <f t="shared" si="11"/>
        <v>0103 05:25:00-HST-0-FIL-1-SW-DUP</v>
      </c>
    </row>
    <row r="81" spans="1:48" s="10" customFormat="1" x14ac:dyDescent="0.55000000000000004">
      <c r="A81" s="32">
        <v>44930</v>
      </c>
      <c r="B81" s="33">
        <v>0.375</v>
      </c>
      <c r="C81" s="10" t="s">
        <v>70</v>
      </c>
      <c r="D81" s="10" t="s">
        <v>71</v>
      </c>
      <c r="E81" s="10" t="s">
        <v>901</v>
      </c>
      <c r="F81" s="10">
        <v>1</v>
      </c>
      <c r="G81" s="10" t="s">
        <v>73</v>
      </c>
      <c r="H81" s="10" t="s">
        <v>207</v>
      </c>
      <c r="I81" s="10" t="s">
        <v>75</v>
      </c>
      <c r="J81" s="10">
        <v>200</v>
      </c>
      <c r="K81" s="12">
        <v>44930</v>
      </c>
      <c r="L81" s="33">
        <v>0.50611111111111107</v>
      </c>
      <c r="M81" s="10">
        <v>1</v>
      </c>
      <c r="N81" s="10" t="s">
        <v>76</v>
      </c>
      <c r="O81" s="10">
        <v>5.43</v>
      </c>
      <c r="P81" s="10">
        <v>0.436</v>
      </c>
      <c r="Q81" s="10">
        <v>307</v>
      </c>
      <c r="R81" s="10" t="s">
        <v>77</v>
      </c>
      <c r="S81" s="34">
        <f t="shared" si="7"/>
        <v>307</v>
      </c>
      <c r="T81" s="10" t="s">
        <v>956</v>
      </c>
      <c r="U81" s="34">
        <f t="shared" si="8"/>
        <v>102.33333333333334</v>
      </c>
      <c r="V81" s="31">
        <f>IF(H81="CHK",VLOOKUP(I81,QCCHK,3,),IF(H81="GUP",VLOOKUP(E81,QCGUP,2,),IF(AND(H81="ATP",OR(I81="TN",I81="TDN",I81="TNO2-3",I81="NO2-3")),VLOOKUP(E81,QCREC_N,2,),IF(AND(H81="NIC",OR(I81="TN",I81="TDN",I81="TNO2-3",I81="NO2-3")),VLOOKUP(E81,QCNIC_N,2,),IF(AND(H81="UREA",OR(I81="TN",I81="TDN",I81="TNO2-3",I81="NO2-3")),VLOOKUP(E81,QCUREA_N,2,),IF(H81="PER",VLOOKUP(I81,QCPER,MATCH(E81,QCACTUAL!$J$25:$AA$25,0),),IF(H81="SPK",VLOOKUP(I81,QCSPK,3,),IF(AND(H81="ATP",OR(I81="TP",I81="TDP")),VLOOKUP(E81,QCATP_P,2,),""))))))))</f>
        <v>300</v>
      </c>
      <c r="W81" s="31" t="str">
        <f t="shared" si="9"/>
        <v>TRUE</v>
      </c>
      <c r="X81" s="31" t="str">
        <f t="shared" si="10"/>
        <v>[chk]/[actual]*100</v>
      </c>
      <c r="Y81" s="10" t="s">
        <v>949</v>
      </c>
      <c r="AL81" s="10" t="str">
        <f t="shared" si="12"/>
        <v>FALSE</v>
      </c>
      <c r="AM81" s="10" t="str">
        <f t="shared" si="12"/>
        <v>FALSE</v>
      </c>
      <c r="AN81" s="10" t="str">
        <f t="shared" si="12"/>
        <v>FALSE</v>
      </c>
      <c r="AO81" s="10" t="str">
        <f t="shared" si="13"/>
        <v>FALSE</v>
      </c>
      <c r="AP81" s="10" t="str">
        <f t="shared" si="13"/>
        <v>FALSE</v>
      </c>
      <c r="AQ81" s="10" t="b">
        <f>IF(AND(I81="TP",S81&lt;=150),VLOOKUP(AF81,TPCalibEq150!$AZ$2:$BB$55,3,),IF(AND(I81="TDP",S81&lt;=150),VLOOKUP(AF81,TPCalibEq150!$AZ$2:$BB$55,3,)))</f>
        <v>0</v>
      </c>
      <c r="AR81" s="10" t="b">
        <f>IF(AND(I81="TP",S81&lt;=300),VLOOKUP(AF81,TPCalibEq300!$AZ$2:$BB$55,3,),IF(AND(I81="TDP",S81&lt;=300),VLOOKUP(AF81,TPCalibEq300!$AZ$2:$BB$55,3,)))</f>
        <v>0</v>
      </c>
      <c r="AS81" s="10" t="b">
        <f>IF(AND(I81="TP",S81&lt;=500),VLOOKUP(AF81,TPCalibEq500!$AZ$2:$BB$56,3,),IF(AND(I81="TDP",S81&lt;=500),VLOOKUP(AF81,TPCalibEq500!$AZ$2:$BB$56,3,)))</f>
        <v>0</v>
      </c>
      <c r="AT81" s="10" t="b">
        <f>IF(AND(I81="TN",S81&lt;=2800),VLOOKUP(AF81,TNCalibEq2500!$AZ$2:$BB$56,3,),IF(AND(I81="TDN",S81&lt;=2800),VLOOKUP(AF81,TNCalibEq2500!$AZ$2:$BB$56,3,)))</f>
        <v>0</v>
      </c>
      <c r="AU81" s="10" t="b">
        <f>IF(I81="TP",VLOOKUP(AF81,TPCalibEqFull!$AZ$2:$BB$56,3),IF(I81="TDP",VLOOKUP(AF81,TPCalibEqFull!$AZ$2:$BB$56,3),IF(I81="TDN",VLOOKUP(AF81,TNCalibEqFull!$AZ$1:$BB$56,3),IF(I81="TN",VLOOKUP(AF81,TNCalibEqFull!$AZ$1:$BB$56,3),FALSE))))</f>
        <v>0</v>
      </c>
      <c r="AV81" s="10" t="str">
        <f t="shared" si="11"/>
        <v>0104 09:00:00-QAC-STD-D-1-DI-CHK</v>
      </c>
    </row>
    <row r="82" spans="1:48" s="10" customFormat="1" x14ac:dyDescent="0.55000000000000004">
      <c r="A82" s="32">
        <v>44930</v>
      </c>
      <c r="B82" s="33">
        <v>0.375</v>
      </c>
      <c r="C82" s="10" t="s">
        <v>70</v>
      </c>
      <c r="D82" s="10" t="s">
        <v>71</v>
      </c>
      <c r="E82" s="10" t="s">
        <v>72</v>
      </c>
      <c r="F82" s="10">
        <v>1</v>
      </c>
      <c r="G82" s="10" t="s">
        <v>73</v>
      </c>
      <c r="H82" s="10" t="s">
        <v>74</v>
      </c>
      <c r="I82" s="10" t="s">
        <v>285</v>
      </c>
      <c r="J82" s="10">
        <v>181</v>
      </c>
      <c r="K82" s="12">
        <v>44930</v>
      </c>
      <c r="L82" s="33">
        <v>0.4365856481481481</v>
      </c>
      <c r="M82" s="10">
        <v>1</v>
      </c>
      <c r="N82" s="10" t="s">
        <v>211</v>
      </c>
      <c r="O82" s="10">
        <v>9.5499999999999995E-3</v>
      </c>
      <c r="P82" s="10">
        <v>5.31E-4</v>
      </c>
      <c r="Q82" s="10">
        <v>0</v>
      </c>
      <c r="R82" s="10" t="s">
        <v>913</v>
      </c>
      <c r="S82" s="34">
        <f t="shared" si="7"/>
        <v>0</v>
      </c>
      <c r="T82" s="10" t="s">
        <v>914</v>
      </c>
      <c r="U82" s="34" t="str">
        <f t="shared" si="8"/>
        <v/>
      </c>
      <c r="V82" s="31" t="str">
        <f>IF(H82="CHK",VLOOKUP(I82,QCCHK,3,),IF(H82="GUP",VLOOKUP(E82,QCGUP,2,),IF(AND(H82="ATP",OR(I82="TN",I82="TDN",I82="TNO2-3",I82="NO2-3")),VLOOKUP(E82,QCREC_N,2,),IF(AND(H82="NIC",OR(I82="TN",I82="TDN",I82="TNO2-3",I82="NO2-3")),VLOOKUP(E82,QCNIC_N,2,),IF(AND(H82="UREA",OR(I82="TN",I82="TDN",I82="TNO2-3",I82="NO2-3")),VLOOKUP(E82,QCUREA_N,2,),IF(H82="PER",VLOOKUP(I82,QCPER,MATCH(E82,QCACTUAL!$J$25:$AA$25,0),),IF(H82="SPK",VLOOKUP(I82,QCSPK,3,),IF(AND(H82="ATP",OR(I82="TP",I82="TDP")),VLOOKUP(E82,QCATP_P,2,),""))))))))</f>
        <v/>
      </c>
      <c r="W82" s="31" t="str">
        <f t="shared" si="9"/>
        <v>TRUE</v>
      </c>
      <c r="X82" s="31" t="str">
        <f t="shared" si="10"/>
        <v/>
      </c>
      <c r="Y82" s="10" t="s">
        <v>949</v>
      </c>
      <c r="AL82" s="10" t="str">
        <f t="shared" si="12"/>
        <v>FALSE</v>
      </c>
      <c r="AM82" s="10" t="str">
        <f t="shared" si="12"/>
        <v>FALSE</v>
      </c>
      <c r="AN82" s="10" t="str">
        <f t="shared" si="12"/>
        <v>FALSE</v>
      </c>
      <c r="AO82" s="10" t="str">
        <f t="shared" si="13"/>
        <v>FALSE</v>
      </c>
      <c r="AP82" s="10" t="str">
        <f t="shared" si="13"/>
        <v>FALSE</v>
      </c>
      <c r="AQ82" s="10" t="b">
        <f>IF(AND(I82="TP",S82&lt;=150),VLOOKUP(AF82,TPCalibEq150!$AZ$2:$BB$55,3,),IF(AND(I82="TDP",S82&lt;=150),VLOOKUP(AF82,TPCalibEq150!$AZ$2:$BB$55,3,)))</f>
        <v>0</v>
      </c>
      <c r="AR82" s="10" t="b">
        <f>IF(AND(I82="TP",S82&lt;=300),VLOOKUP(AF82,TPCalibEq300!$AZ$2:$BB$55,3,),IF(AND(I82="TDP",S82&lt;=300),VLOOKUP(AF82,TPCalibEq300!$AZ$2:$BB$55,3,)))</f>
        <v>0</v>
      </c>
      <c r="AS82" s="10" t="b">
        <f>IF(AND(I82="TP",S82&lt;=500),VLOOKUP(AF82,TPCalibEq500!$AZ$2:$BB$56,3,),IF(AND(I82="TDP",S82&lt;=500),VLOOKUP(AF82,TPCalibEq500!$AZ$2:$BB$56,3,)))</f>
        <v>0</v>
      </c>
      <c r="AT82" s="10" t="b">
        <f>IF(AND(I82="TN",S82&lt;=2800),VLOOKUP(AF82,TNCalibEq2500!$AZ$2:$BB$56,3,),IF(AND(I82="TDN",S82&lt;=2800),VLOOKUP(AF82,TNCalibEq2500!$AZ$2:$BB$56,3,)))</f>
        <v>0</v>
      </c>
      <c r="AU82" s="10" t="b">
        <f>IF(I82="TP",VLOOKUP(AF82,TPCalibEqFull!$AZ$2:$BB$56,3),IF(I82="TDP",VLOOKUP(AF82,TPCalibEqFull!$AZ$2:$BB$56,3),IF(I82="TDN",VLOOKUP(AF82,TNCalibEqFull!$AZ$1:$BB$56,3),IF(I82="TN",VLOOKUP(AF82,TNCalibEqFull!$AZ$1:$BB$56,3),FALSE))))</f>
        <v>0</v>
      </c>
      <c r="AV82" s="10" t="str">
        <f t="shared" si="11"/>
        <v>0104 09:00:00-QAC-STD-H-1-DI-CAL</v>
      </c>
    </row>
    <row r="83" spans="1:48" s="10" customFormat="1" x14ac:dyDescent="0.55000000000000004">
      <c r="A83" s="32">
        <v>44930</v>
      </c>
      <c r="B83" s="33">
        <v>0.375</v>
      </c>
      <c r="C83" s="10" t="s">
        <v>70</v>
      </c>
      <c r="D83" s="10" t="s">
        <v>71</v>
      </c>
      <c r="E83" s="10" t="s">
        <v>908</v>
      </c>
      <c r="F83" s="10">
        <v>1</v>
      </c>
      <c r="G83" s="10" t="s">
        <v>73</v>
      </c>
      <c r="H83" s="10" t="s">
        <v>74</v>
      </c>
      <c r="I83" s="10" t="s">
        <v>285</v>
      </c>
      <c r="J83" s="10">
        <v>182</v>
      </c>
      <c r="K83" s="12">
        <v>44930</v>
      </c>
      <c r="L83" s="33">
        <v>0.43743055555555554</v>
      </c>
      <c r="M83" s="10">
        <v>1</v>
      </c>
      <c r="N83" s="10" t="s">
        <v>211</v>
      </c>
      <c r="O83" s="10">
        <v>3.4099999999999998E-2</v>
      </c>
      <c r="P83" s="10">
        <v>3.0500000000000002E-3</v>
      </c>
      <c r="Q83" s="10">
        <v>5</v>
      </c>
      <c r="R83" s="10" t="s">
        <v>913</v>
      </c>
      <c r="S83" s="34">
        <f t="shared" si="7"/>
        <v>5</v>
      </c>
      <c r="T83" s="10" t="s">
        <v>939</v>
      </c>
      <c r="U83" s="34" t="str">
        <f t="shared" si="8"/>
        <v/>
      </c>
      <c r="V83" s="31" t="str">
        <f>IF(H83="CHK",VLOOKUP(I83,QCCHK,3,),IF(H83="GUP",VLOOKUP(E83,QCGUP,2,),IF(AND(H83="ATP",OR(I83="TN",I83="TDN",I83="TNO2-3",I83="NO2-3")),VLOOKUP(E83,QCREC_N,2,),IF(AND(H83="NIC",OR(I83="TN",I83="TDN",I83="TNO2-3",I83="NO2-3")),VLOOKUP(E83,QCNIC_N,2,),IF(AND(H83="UREA",OR(I83="TN",I83="TDN",I83="TNO2-3",I83="NO2-3")),VLOOKUP(E83,QCUREA_N,2,),IF(H83="PER",VLOOKUP(I83,QCPER,MATCH(E83,QCACTUAL!$J$25:$AA$25,0),),IF(H83="SPK",VLOOKUP(I83,QCSPK,3,),IF(AND(H83="ATP",OR(I83="TP",I83="TDP")),VLOOKUP(E83,QCATP_P,2,),""))))))))</f>
        <v/>
      </c>
      <c r="W83" s="31" t="str">
        <f t="shared" si="9"/>
        <v>TRUE</v>
      </c>
      <c r="X83" s="31" t="str">
        <f t="shared" si="10"/>
        <v/>
      </c>
      <c r="Y83" s="10" t="s">
        <v>949</v>
      </c>
      <c r="AL83" s="10" t="str">
        <f t="shared" si="12"/>
        <v>FALSE</v>
      </c>
      <c r="AM83" s="10" t="str">
        <f t="shared" si="12"/>
        <v>FALSE</v>
      </c>
      <c r="AN83" s="10" t="str">
        <f t="shared" si="12"/>
        <v>FALSE</v>
      </c>
      <c r="AO83" s="10" t="str">
        <f t="shared" si="13"/>
        <v>FALSE</v>
      </c>
      <c r="AP83" s="10" t="str">
        <f t="shared" si="13"/>
        <v>FALSE</v>
      </c>
      <c r="AQ83" s="10" t="b">
        <f>IF(AND(I83="TP",S83&lt;=150),VLOOKUP(AF83,TPCalibEq150!$AZ$2:$BB$55,3,),IF(AND(I83="TDP",S83&lt;=150),VLOOKUP(AF83,TPCalibEq150!$AZ$2:$BB$55,3,)))</f>
        <v>0</v>
      </c>
      <c r="AR83" s="10" t="b">
        <f>IF(AND(I83="TP",S83&lt;=300),VLOOKUP(AF83,TPCalibEq300!$AZ$2:$BB$55,3,),IF(AND(I83="TDP",S83&lt;=300),VLOOKUP(AF83,TPCalibEq300!$AZ$2:$BB$55,3,)))</f>
        <v>0</v>
      </c>
      <c r="AS83" s="10" t="b">
        <f>IF(AND(I83="TP",S83&lt;=500),VLOOKUP(AF83,TPCalibEq500!$AZ$2:$BB$56,3,),IF(AND(I83="TDP",S83&lt;=500),VLOOKUP(AF83,TPCalibEq500!$AZ$2:$BB$56,3,)))</f>
        <v>0</v>
      </c>
      <c r="AT83" s="10" t="b">
        <f>IF(AND(I83="TN",S83&lt;=2800),VLOOKUP(AF83,TNCalibEq2500!$AZ$2:$BB$56,3,),IF(AND(I83="TDN",S83&lt;=2800),VLOOKUP(AF83,TNCalibEq2500!$AZ$2:$BB$56,3,)))</f>
        <v>0</v>
      </c>
      <c r="AU83" s="10" t="b">
        <f>IF(I83="TP",VLOOKUP(AF83,TPCalibEqFull!$AZ$2:$BB$56,3),IF(I83="TDP",VLOOKUP(AF83,TPCalibEqFull!$AZ$2:$BB$56,3),IF(I83="TDN",VLOOKUP(AF83,TNCalibEqFull!$AZ$1:$BB$56,3),IF(I83="TN",VLOOKUP(AF83,TNCalibEqFull!$AZ$1:$BB$56,3),FALSE))))</f>
        <v>0</v>
      </c>
      <c r="AV83" s="10" t="str">
        <f t="shared" si="11"/>
        <v>0104 09:00:00-QAC-STD-G-1-DI-CAL</v>
      </c>
    </row>
    <row r="84" spans="1:48" s="10" customFormat="1" x14ac:dyDescent="0.55000000000000004">
      <c r="A84" s="32">
        <v>44930</v>
      </c>
      <c r="B84" s="33">
        <v>0.375</v>
      </c>
      <c r="C84" s="10" t="s">
        <v>70</v>
      </c>
      <c r="D84" s="10" t="s">
        <v>71</v>
      </c>
      <c r="E84" s="10" t="s">
        <v>550</v>
      </c>
      <c r="F84" s="10">
        <v>1</v>
      </c>
      <c r="G84" s="10" t="s">
        <v>73</v>
      </c>
      <c r="H84" s="10" t="s">
        <v>74</v>
      </c>
      <c r="I84" s="10" t="s">
        <v>285</v>
      </c>
      <c r="J84" s="10">
        <v>183</v>
      </c>
      <c r="K84" s="12">
        <v>44930</v>
      </c>
      <c r="L84" s="33">
        <v>0.4382523148148148</v>
      </c>
      <c r="M84" s="10">
        <v>1</v>
      </c>
      <c r="N84" s="10" t="s">
        <v>211</v>
      </c>
      <c r="O84" s="10">
        <v>0.115</v>
      </c>
      <c r="P84" s="10">
        <v>1.3899999999999999E-2</v>
      </c>
      <c r="Q84" s="10">
        <v>15</v>
      </c>
      <c r="R84" s="10" t="s">
        <v>913</v>
      </c>
      <c r="S84" s="34">
        <f t="shared" si="7"/>
        <v>15</v>
      </c>
      <c r="T84" s="10" t="s">
        <v>915</v>
      </c>
      <c r="U84" s="34" t="str">
        <f t="shared" si="8"/>
        <v/>
      </c>
      <c r="V84" s="31" t="str">
        <f>IF(H84="CHK",VLOOKUP(I84,QCCHK,3,),IF(H84="GUP",VLOOKUP(E84,QCGUP,2,),IF(AND(H84="ATP",OR(I84="TN",I84="TDN",I84="TNO2-3",I84="NO2-3")),VLOOKUP(E84,QCREC_N,2,),IF(AND(H84="NIC",OR(I84="TN",I84="TDN",I84="TNO2-3",I84="NO2-3")),VLOOKUP(E84,QCNIC_N,2,),IF(AND(H84="UREA",OR(I84="TN",I84="TDN",I84="TNO2-3",I84="NO2-3")),VLOOKUP(E84,QCUREA_N,2,),IF(H84="PER",VLOOKUP(I84,QCPER,MATCH(E84,QCACTUAL!$J$25:$AA$25,0),),IF(H84="SPK",VLOOKUP(I84,QCSPK,3,),IF(AND(H84="ATP",OR(I84="TP",I84="TDP")),VLOOKUP(E84,QCATP_P,2,),""))))))))</f>
        <v/>
      </c>
      <c r="W84" s="31" t="str">
        <f t="shared" si="9"/>
        <v>TRUE</v>
      </c>
      <c r="X84" s="31" t="str">
        <f t="shared" si="10"/>
        <v/>
      </c>
      <c r="Y84" s="10" t="s">
        <v>949</v>
      </c>
      <c r="AL84" s="10" t="str">
        <f t="shared" si="12"/>
        <v>FALSE</v>
      </c>
      <c r="AM84" s="10" t="str">
        <f t="shared" si="12"/>
        <v>FALSE</v>
      </c>
      <c r="AN84" s="10" t="str">
        <f t="shared" si="12"/>
        <v>FALSE</v>
      </c>
      <c r="AO84" s="10" t="str">
        <f t="shared" si="13"/>
        <v>FALSE</v>
      </c>
      <c r="AP84" s="10" t="str">
        <f t="shared" si="13"/>
        <v>FALSE</v>
      </c>
      <c r="AQ84" s="10" t="b">
        <f>IF(AND(I84="TP",S84&lt;=150),VLOOKUP(AF84,TPCalibEq150!$AZ$2:$BB$55,3,),IF(AND(I84="TDP",S84&lt;=150),VLOOKUP(AF84,TPCalibEq150!$AZ$2:$BB$55,3,)))</f>
        <v>0</v>
      </c>
      <c r="AR84" s="10" t="b">
        <f>IF(AND(I84="TP",S84&lt;=300),VLOOKUP(AF84,TPCalibEq300!$AZ$2:$BB$55,3,),IF(AND(I84="TDP",S84&lt;=300),VLOOKUP(AF84,TPCalibEq300!$AZ$2:$BB$55,3,)))</f>
        <v>0</v>
      </c>
      <c r="AS84" s="10" t="b">
        <f>IF(AND(I84="TP",S84&lt;=500),VLOOKUP(AF84,TPCalibEq500!$AZ$2:$BB$56,3,),IF(AND(I84="TDP",S84&lt;=500),VLOOKUP(AF84,TPCalibEq500!$AZ$2:$BB$56,3,)))</f>
        <v>0</v>
      </c>
      <c r="AT84" s="10" t="b">
        <f>IF(AND(I84="TN",S84&lt;=2800),VLOOKUP(AF84,TNCalibEq2500!$AZ$2:$BB$56,3,),IF(AND(I84="TDN",S84&lt;=2800),VLOOKUP(AF84,TNCalibEq2500!$AZ$2:$BB$56,3,)))</f>
        <v>0</v>
      </c>
      <c r="AU84" s="10" t="b">
        <f>IF(I84="TP",VLOOKUP(AF84,TPCalibEqFull!$AZ$2:$BB$56,3),IF(I84="TDP",VLOOKUP(AF84,TPCalibEqFull!$AZ$2:$BB$56,3),IF(I84="TDN",VLOOKUP(AF84,TNCalibEqFull!$AZ$1:$BB$56,3),IF(I84="TN",VLOOKUP(AF84,TNCalibEqFull!$AZ$1:$BB$56,3),FALSE))))</f>
        <v>0</v>
      </c>
      <c r="AV84" s="10" t="str">
        <f t="shared" si="11"/>
        <v>0104 09:00:00-QAC-STD-F-1-DI-CAL</v>
      </c>
    </row>
    <row r="85" spans="1:48" s="10" customFormat="1" x14ac:dyDescent="0.55000000000000004">
      <c r="A85" s="32">
        <v>44930</v>
      </c>
      <c r="B85" s="33">
        <v>0.375</v>
      </c>
      <c r="C85" s="10" t="s">
        <v>70</v>
      </c>
      <c r="D85" s="10" t="s">
        <v>71</v>
      </c>
      <c r="E85" s="10" t="s">
        <v>909</v>
      </c>
      <c r="F85" s="10">
        <v>1</v>
      </c>
      <c r="G85" s="10" t="s">
        <v>73</v>
      </c>
      <c r="H85" s="10" t="s">
        <v>74</v>
      </c>
      <c r="I85" s="10" t="s">
        <v>285</v>
      </c>
      <c r="J85" s="10">
        <v>184</v>
      </c>
      <c r="K85" s="12">
        <v>44930</v>
      </c>
      <c r="L85" s="33">
        <v>0.43908564814814816</v>
      </c>
      <c r="M85" s="10">
        <v>1</v>
      </c>
      <c r="N85" s="10" t="s">
        <v>211</v>
      </c>
      <c r="O85" s="10">
        <v>0.11600000000000001</v>
      </c>
      <c r="P85" s="10">
        <v>1.12E-2</v>
      </c>
      <c r="Q85" s="10">
        <v>20</v>
      </c>
      <c r="R85" s="10" t="s">
        <v>913</v>
      </c>
      <c r="S85" s="34">
        <f t="shared" si="7"/>
        <v>20</v>
      </c>
      <c r="T85" s="10" t="s">
        <v>936</v>
      </c>
      <c r="U85" s="34" t="str">
        <f t="shared" si="8"/>
        <v/>
      </c>
      <c r="V85" s="31" t="str">
        <f>IF(H85="CHK",VLOOKUP(I85,QCCHK,3,),IF(H85="GUP",VLOOKUP(E85,QCGUP,2,),IF(AND(H85="ATP",OR(I85="TN",I85="TDN",I85="TNO2-3",I85="NO2-3")),VLOOKUP(E85,QCREC_N,2,),IF(AND(H85="NIC",OR(I85="TN",I85="TDN",I85="TNO2-3",I85="NO2-3")),VLOOKUP(E85,QCNIC_N,2,),IF(AND(H85="UREA",OR(I85="TN",I85="TDN",I85="TNO2-3",I85="NO2-3")),VLOOKUP(E85,QCUREA_N,2,),IF(H85="PER",VLOOKUP(I85,QCPER,MATCH(E85,QCACTUAL!$J$25:$AA$25,0),),IF(H85="SPK",VLOOKUP(I85,QCSPK,3,),IF(AND(H85="ATP",OR(I85="TP",I85="TDP")),VLOOKUP(E85,QCATP_P,2,),""))))))))</f>
        <v/>
      </c>
      <c r="W85" s="31" t="str">
        <f t="shared" si="9"/>
        <v>TRUE</v>
      </c>
      <c r="X85" s="31" t="str">
        <f t="shared" si="10"/>
        <v/>
      </c>
      <c r="Y85" s="10" t="s">
        <v>949</v>
      </c>
      <c r="AL85" s="10" t="str">
        <f t="shared" si="12"/>
        <v>FALSE</v>
      </c>
      <c r="AM85" s="10" t="str">
        <f t="shared" si="12"/>
        <v>FALSE</v>
      </c>
      <c r="AN85" s="10" t="str">
        <f t="shared" si="12"/>
        <v>FALSE</v>
      </c>
      <c r="AO85" s="10" t="str">
        <f t="shared" si="13"/>
        <v>FALSE</v>
      </c>
      <c r="AP85" s="10" t="str">
        <f t="shared" si="13"/>
        <v>FALSE</v>
      </c>
      <c r="AQ85" s="10" t="b">
        <f>IF(AND(I85="TP",S85&lt;=150),VLOOKUP(AF85,TPCalibEq150!$AZ$2:$BB$55,3,),IF(AND(I85="TDP",S85&lt;=150),VLOOKUP(AF85,TPCalibEq150!$AZ$2:$BB$55,3,)))</f>
        <v>0</v>
      </c>
      <c r="AR85" s="10" t="b">
        <f>IF(AND(I85="TP",S85&lt;=300),VLOOKUP(AF85,TPCalibEq300!$AZ$2:$BB$55,3,),IF(AND(I85="TDP",S85&lt;=300),VLOOKUP(AF85,TPCalibEq300!$AZ$2:$BB$55,3,)))</f>
        <v>0</v>
      </c>
      <c r="AS85" s="10" t="b">
        <f>IF(AND(I85="TP",S85&lt;=500),VLOOKUP(AF85,TPCalibEq500!$AZ$2:$BB$56,3,),IF(AND(I85="TDP",S85&lt;=500),VLOOKUP(AF85,TPCalibEq500!$AZ$2:$BB$56,3,)))</f>
        <v>0</v>
      </c>
      <c r="AT85" s="10" t="b">
        <f>IF(AND(I85="TN",S85&lt;=2800),VLOOKUP(AF85,TNCalibEq2500!$AZ$2:$BB$56,3,),IF(AND(I85="TDN",S85&lt;=2800),VLOOKUP(AF85,TNCalibEq2500!$AZ$2:$BB$56,3,)))</f>
        <v>0</v>
      </c>
      <c r="AU85" s="10" t="b">
        <f>IF(I85="TP",VLOOKUP(AF85,TPCalibEqFull!$AZ$2:$BB$56,3),IF(I85="TDP",VLOOKUP(AF85,TPCalibEqFull!$AZ$2:$BB$56,3),IF(I85="TDN",VLOOKUP(AF85,TNCalibEqFull!$AZ$1:$BB$56,3),IF(I85="TN",VLOOKUP(AF85,TNCalibEqFull!$AZ$1:$BB$56,3),FALSE))))</f>
        <v>0</v>
      </c>
      <c r="AV85" s="10" t="str">
        <f t="shared" si="11"/>
        <v>0104 09:00:00-QAC-STD-E-1-DI-CAL</v>
      </c>
    </row>
    <row r="86" spans="1:48" s="10" customFormat="1" x14ac:dyDescent="0.55000000000000004">
      <c r="A86" s="32">
        <v>44930</v>
      </c>
      <c r="B86" s="33">
        <v>0.375</v>
      </c>
      <c r="C86" s="10" t="s">
        <v>70</v>
      </c>
      <c r="D86" s="10" t="s">
        <v>71</v>
      </c>
      <c r="E86" s="10" t="s">
        <v>901</v>
      </c>
      <c r="F86" s="10">
        <v>1</v>
      </c>
      <c r="G86" s="10" t="s">
        <v>73</v>
      </c>
      <c r="H86" s="10" t="s">
        <v>74</v>
      </c>
      <c r="I86" s="10" t="s">
        <v>285</v>
      </c>
      <c r="J86" s="10">
        <v>185</v>
      </c>
      <c r="K86" s="12">
        <v>44930</v>
      </c>
      <c r="L86" s="33">
        <v>0.43990740740740741</v>
      </c>
      <c r="M86" s="10">
        <v>1</v>
      </c>
      <c r="N86" s="10" t="s">
        <v>211</v>
      </c>
      <c r="O86" s="10">
        <v>0.438</v>
      </c>
      <c r="P86" s="10">
        <v>4.3299999999999998E-2</v>
      </c>
      <c r="Q86" s="10">
        <v>75</v>
      </c>
      <c r="R86" s="10" t="s">
        <v>913</v>
      </c>
      <c r="S86" s="34">
        <f t="shared" si="7"/>
        <v>75</v>
      </c>
      <c r="T86" s="10" t="s">
        <v>934</v>
      </c>
      <c r="U86" s="34" t="str">
        <f t="shared" si="8"/>
        <v/>
      </c>
      <c r="V86" s="31" t="str">
        <f>IF(H86="CHK",VLOOKUP(I86,QCCHK,3,),IF(H86="GUP",VLOOKUP(E86,QCGUP,2,),IF(AND(H86="ATP",OR(I86="TN",I86="TDN",I86="TNO2-3",I86="NO2-3")),VLOOKUP(E86,QCREC_N,2,),IF(AND(H86="NIC",OR(I86="TN",I86="TDN",I86="TNO2-3",I86="NO2-3")),VLOOKUP(E86,QCNIC_N,2,),IF(AND(H86="UREA",OR(I86="TN",I86="TDN",I86="TNO2-3",I86="NO2-3")),VLOOKUP(E86,QCUREA_N,2,),IF(H86="PER",VLOOKUP(I86,QCPER,MATCH(E86,QCACTUAL!$J$25:$AA$25,0),),IF(H86="SPK",VLOOKUP(I86,QCSPK,3,),IF(AND(H86="ATP",OR(I86="TP",I86="TDP")),VLOOKUP(E86,QCATP_P,2,),""))))))))</f>
        <v/>
      </c>
      <c r="W86" s="31" t="str">
        <f t="shared" si="9"/>
        <v>TRUE</v>
      </c>
      <c r="X86" s="31" t="str">
        <f t="shared" si="10"/>
        <v/>
      </c>
      <c r="Y86" s="10" t="s">
        <v>949</v>
      </c>
      <c r="AL86" s="10" t="str">
        <f t="shared" si="12"/>
        <v>FALSE</v>
      </c>
      <c r="AM86" s="10" t="str">
        <f t="shared" si="12"/>
        <v>FALSE</v>
      </c>
      <c r="AN86" s="10" t="str">
        <f t="shared" si="12"/>
        <v>FALSE</v>
      </c>
      <c r="AO86" s="10" t="str">
        <f t="shared" si="13"/>
        <v>FALSE</v>
      </c>
      <c r="AP86" s="10" t="str">
        <f t="shared" si="13"/>
        <v>FALSE</v>
      </c>
      <c r="AQ86" s="10" t="b">
        <f>IF(AND(I86="TP",S86&lt;=150),VLOOKUP(AF86,TPCalibEq150!$AZ$2:$BB$55,3,),IF(AND(I86="TDP",S86&lt;=150),VLOOKUP(AF86,TPCalibEq150!$AZ$2:$BB$55,3,)))</f>
        <v>0</v>
      </c>
      <c r="AR86" s="10" t="b">
        <f>IF(AND(I86="TP",S86&lt;=300),VLOOKUP(AF86,TPCalibEq300!$AZ$2:$BB$55,3,),IF(AND(I86="TDP",S86&lt;=300),VLOOKUP(AF86,TPCalibEq300!$AZ$2:$BB$55,3,)))</f>
        <v>0</v>
      </c>
      <c r="AS86" s="10" t="b">
        <f>IF(AND(I86="TP",S86&lt;=500),VLOOKUP(AF86,TPCalibEq500!$AZ$2:$BB$56,3,),IF(AND(I86="TDP",S86&lt;=500),VLOOKUP(AF86,TPCalibEq500!$AZ$2:$BB$56,3,)))</f>
        <v>0</v>
      </c>
      <c r="AT86" s="10" t="b">
        <f>IF(AND(I86="TN",S86&lt;=2800),VLOOKUP(AF86,TNCalibEq2500!$AZ$2:$BB$56,3,),IF(AND(I86="TDN",S86&lt;=2800),VLOOKUP(AF86,TNCalibEq2500!$AZ$2:$BB$56,3,)))</f>
        <v>0</v>
      </c>
      <c r="AU86" s="10" t="b">
        <f>IF(I86="TP",VLOOKUP(AF86,TPCalibEqFull!$AZ$2:$BB$56,3),IF(I86="TDP",VLOOKUP(AF86,TPCalibEqFull!$AZ$2:$BB$56,3),IF(I86="TDN",VLOOKUP(AF86,TNCalibEqFull!$AZ$1:$BB$56,3),IF(I86="TN",VLOOKUP(AF86,TNCalibEqFull!$AZ$1:$BB$56,3),FALSE))))</f>
        <v>0</v>
      </c>
      <c r="AV86" s="10" t="str">
        <f t="shared" si="11"/>
        <v>0104 09:00:00-QAC-STD-D-1-DI-CAL</v>
      </c>
    </row>
    <row r="87" spans="1:48" s="10" customFormat="1" x14ac:dyDescent="0.55000000000000004">
      <c r="A87" s="32">
        <v>44930</v>
      </c>
      <c r="B87" s="33">
        <v>0.375</v>
      </c>
      <c r="C87" s="10" t="s">
        <v>70</v>
      </c>
      <c r="D87" s="10" t="s">
        <v>71</v>
      </c>
      <c r="E87" s="10" t="s">
        <v>190</v>
      </c>
      <c r="F87" s="10">
        <v>1</v>
      </c>
      <c r="G87" s="10" t="s">
        <v>73</v>
      </c>
      <c r="H87" s="10" t="s">
        <v>74</v>
      </c>
      <c r="I87" s="10" t="s">
        <v>285</v>
      </c>
      <c r="J87" s="10">
        <v>186</v>
      </c>
      <c r="K87" s="12">
        <v>44930</v>
      </c>
      <c r="L87" s="33">
        <v>0.44074074074074071</v>
      </c>
      <c r="M87" s="10">
        <v>1</v>
      </c>
      <c r="N87" s="10" t="s">
        <v>211</v>
      </c>
      <c r="O87" s="10">
        <v>0.84</v>
      </c>
      <c r="P87" s="10">
        <v>8.4199999999999997E-2</v>
      </c>
      <c r="Q87" s="10">
        <v>150</v>
      </c>
      <c r="R87" s="10" t="s">
        <v>913</v>
      </c>
      <c r="S87" s="34">
        <f t="shared" si="7"/>
        <v>150</v>
      </c>
      <c r="T87" s="10" t="s">
        <v>937</v>
      </c>
      <c r="U87" s="34" t="str">
        <f t="shared" si="8"/>
        <v/>
      </c>
      <c r="V87" s="31" t="str">
        <f>IF(H87="CHK",VLOOKUP(I87,QCCHK,3,),IF(H87="GUP",VLOOKUP(E87,QCGUP,2,),IF(AND(H87="ATP",OR(I87="TN",I87="TDN",I87="TNO2-3",I87="NO2-3")),VLOOKUP(E87,QCREC_N,2,),IF(AND(H87="NIC",OR(I87="TN",I87="TDN",I87="TNO2-3",I87="NO2-3")),VLOOKUP(E87,QCNIC_N,2,),IF(AND(H87="UREA",OR(I87="TN",I87="TDN",I87="TNO2-3",I87="NO2-3")),VLOOKUP(E87,QCUREA_N,2,),IF(H87="PER",VLOOKUP(I87,QCPER,MATCH(E87,QCACTUAL!$J$25:$AA$25,0),),IF(H87="SPK",VLOOKUP(I87,QCSPK,3,),IF(AND(H87="ATP",OR(I87="TP",I87="TDP")),VLOOKUP(E87,QCATP_P,2,),""))))))))</f>
        <v/>
      </c>
      <c r="W87" s="31" t="str">
        <f t="shared" si="9"/>
        <v>TRUE</v>
      </c>
      <c r="X87" s="31" t="str">
        <f t="shared" si="10"/>
        <v/>
      </c>
      <c r="Y87" s="10" t="s">
        <v>949</v>
      </c>
      <c r="AL87" s="10" t="str">
        <f t="shared" si="12"/>
        <v>FALSE</v>
      </c>
      <c r="AM87" s="10" t="str">
        <f t="shared" si="12"/>
        <v>FALSE</v>
      </c>
      <c r="AN87" s="10" t="str">
        <f t="shared" si="12"/>
        <v>FALSE</v>
      </c>
      <c r="AO87" s="10" t="str">
        <f t="shared" si="13"/>
        <v>FALSE</v>
      </c>
      <c r="AP87" s="10" t="str">
        <f t="shared" si="13"/>
        <v>FALSE</v>
      </c>
      <c r="AQ87" s="10" t="b">
        <f>IF(AND(I87="TP",S87&lt;=150),VLOOKUP(AF87,TPCalibEq150!$AZ$2:$BB$55,3,),IF(AND(I87="TDP",S87&lt;=150),VLOOKUP(AF87,TPCalibEq150!$AZ$2:$BB$55,3,)))</f>
        <v>0</v>
      </c>
      <c r="AR87" s="10" t="b">
        <f>IF(AND(I87="TP",S87&lt;=300),VLOOKUP(AF87,TPCalibEq300!$AZ$2:$BB$55,3,),IF(AND(I87="TDP",S87&lt;=300),VLOOKUP(AF87,TPCalibEq300!$AZ$2:$BB$55,3,)))</f>
        <v>0</v>
      </c>
      <c r="AS87" s="10" t="b">
        <f>IF(AND(I87="TP",S87&lt;=500),VLOOKUP(AF87,TPCalibEq500!$AZ$2:$BB$56,3,),IF(AND(I87="TDP",S87&lt;=500),VLOOKUP(AF87,TPCalibEq500!$AZ$2:$BB$56,3,)))</f>
        <v>0</v>
      </c>
      <c r="AT87" s="10" t="b">
        <f>IF(AND(I87="TN",S87&lt;=2800),VLOOKUP(AF87,TNCalibEq2500!$AZ$2:$BB$56,3,),IF(AND(I87="TDN",S87&lt;=2800),VLOOKUP(AF87,TNCalibEq2500!$AZ$2:$BB$56,3,)))</f>
        <v>0</v>
      </c>
      <c r="AU87" s="10" t="b">
        <f>IF(I87="TP",VLOOKUP(AF87,TPCalibEqFull!$AZ$2:$BB$56,3),IF(I87="TDP",VLOOKUP(AF87,TPCalibEqFull!$AZ$2:$BB$56,3),IF(I87="TDN",VLOOKUP(AF87,TNCalibEqFull!$AZ$1:$BB$56,3),IF(I87="TN",VLOOKUP(AF87,TNCalibEqFull!$AZ$1:$BB$56,3),FALSE))))</f>
        <v>0</v>
      </c>
      <c r="AV87" s="10" t="str">
        <f t="shared" si="11"/>
        <v>0104 09:00:00-QAC-STD-C-1-DI-CAL</v>
      </c>
    </row>
    <row r="88" spans="1:48" s="10" customFormat="1" x14ac:dyDescent="0.55000000000000004">
      <c r="A88" s="32">
        <v>44930</v>
      </c>
      <c r="B88" s="33">
        <v>0.375</v>
      </c>
      <c r="C88" s="10" t="s">
        <v>70</v>
      </c>
      <c r="D88" s="10" t="s">
        <v>71</v>
      </c>
      <c r="E88" s="10" t="s">
        <v>583</v>
      </c>
      <c r="F88" s="10">
        <v>1</v>
      </c>
      <c r="G88" s="10" t="s">
        <v>73</v>
      </c>
      <c r="H88" s="10" t="s">
        <v>74</v>
      </c>
      <c r="I88" s="10" t="s">
        <v>285</v>
      </c>
      <c r="J88" s="10">
        <v>187</v>
      </c>
      <c r="K88" s="12">
        <v>44930</v>
      </c>
      <c r="L88" s="33">
        <v>0.44162037037037033</v>
      </c>
      <c r="M88" s="10">
        <v>1</v>
      </c>
      <c r="N88" s="10" t="s">
        <v>211</v>
      </c>
      <c r="O88" s="10">
        <v>1.68</v>
      </c>
      <c r="P88" s="10">
        <v>0.17</v>
      </c>
      <c r="Q88" s="10">
        <v>300</v>
      </c>
      <c r="R88" s="10" t="s">
        <v>913</v>
      </c>
      <c r="S88" s="34">
        <f t="shared" si="7"/>
        <v>300</v>
      </c>
      <c r="T88" s="10" t="s">
        <v>941</v>
      </c>
      <c r="U88" s="34" t="str">
        <f t="shared" si="8"/>
        <v/>
      </c>
      <c r="V88" s="31" t="str">
        <f>IF(H88="CHK",VLOOKUP(I88,QCCHK,3,),IF(H88="GUP",VLOOKUP(E88,QCGUP,2,),IF(AND(H88="ATP",OR(I88="TN",I88="TDN",I88="TNO2-3",I88="NO2-3")),VLOOKUP(E88,QCREC_N,2,),IF(AND(H88="NIC",OR(I88="TN",I88="TDN",I88="TNO2-3",I88="NO2-3")),VLOOKUP(E88,QCNIC_N,2,),IF(AND(H88="UREA",OR(I88="TN",I88="TDN",I88="TNO2-3",I88="NO2-3")),VLOOKUP(E88,QCUREA_N,2,),IF(H88="PER",VLOOKUP(I88,QCPER,MATCH(E88,QCACTUAL!$J$25:$AA$25,0),),IF(H88="SPK",VLOOKUP(I88,QCSPK,3,),IF(AND(H88="ATP",OR(I88="TP",I88="TDP")),VLOOKUP(E88,QCATP_P,2,),""))))))))</f>
        <v/>
      </c>
      <c r="W88" s="31" t="str">
        <f t="shared" si="9"/>
        <v>TRUE</v>
      </c>
      <c r="X88" s="31" t="str">
        <f t="shared" si="10"/>
        <v/>
      </c>
      <c r="Y88" s="10" t="s">
        <v>949</v>
      </c>
      <c r="AL88" s="10" t="str">
        <f t="shared" si="12"/>
        <v>FALSE</v>
      </c>
      <c r="AM88" s="10" t="str">
        <f t="shared" si="12"/>
        <v>FALSE</v>
      </c>
      <c r="AN88" s="10" t="str">
        <f t="shared" si="12"/>
        <v>FALSE</v>
      </c>
      <c r="AO88" s="10" t="str">
        <f t="shared" si="13"/>
        <v>FALSE</v>
      </c>
      <c r="AP88" s="10" t="str">
        <f t="shared" si="13"/>
        <v>FALSE</v>
      </c>
      <c r="AQ88" s="10" t="b">
        <f>IF(AND(I88="TP",S88&lt;=150),VLOOKUP(AF88,TPCalibEq150!$AZ$2:$BB$55,3,),IF(AND(I88="TDP",S88&lt;=150),VLOOKUP(AF88,TPCalibEq150!$AZ$2:$BB$55,3,)))</f>
        <v>0</v>
      </c>
      <c r="AR88" s="10" t="b">
        <f>IF(AND(I88="TP",S88&lt;=300),VLOOKUP(AF88,TPCalibEq300!$AZ$2:$BB$55,3,),IF(AND(I88="TDP",S88&lt;=300),VLOOKUP(AF88,TPCalibEq300!$AZ$2:$BB$55,3,)))</f>
        <v>0</v>
      </c>
      <c r="AS88" s="10" t="b">
        <f>IF(AND(I88="TP",S88&lt;=500),VLOOKUP(AF88,TPCalibEq500!$AZ$2:$BB$56,3,),IF(AND(I88="TDP",S88&lt;=500),VLOOKUP(AF88,TPCalibEq500!$AZ$2:$BB$56,3,)))</f>
        <v>0</v>
      </c>
      <c r="AT88" s="10" t="b">
        <f>IF(AND(I88="TN",S88&lt;=2800),VLOOKUP(AF88,TNCalibEq2500!$AZ$2:$BB$56,3,),IF(AND(I88="TDN",S88&lt;=2800),VLOOKUP(AF88,TNCalibEq2500!$AZ$2:$BB$56,3,)))</f>
        <v>0</v>
      </c>
      <c r="AU88" s="10" t="b">
        <f>IF(I88="TP",VLOOKUP(AF88,TPCalibEqFull!$AZ$2:$BB$56,3),IF(I88="TDP",VLOOKUP(AF88,TPCalibEqFull!$AZ$2:$BB$56,3),IF(I88="TDN",VLOOKUP(AF88,TNCalibEqFull!$AZ$1:$BB$56,3),IF(I88="TN",VLOOKUP(AF88,TNCalibEqFull!$AZ$1:$BB$56,3),FALSE))))</f>
        <v>0</v>
      </c>
      <c r="AV88" s="10" t="str">
        <f t="shared" si="11"/>
        <v>0104 09:00:00-QAC-STD-B-1-DI-CAL</v>
      </c>
    </row>
    <row r="89" spans="1:48" s="10" customFormat="1" x14ac:dyDescent="0.55000000000000004">
      <c r="A89" s="32">
        <v>44930</v>
      </c>
      <c r="B89" s="33">
        <v>0.375</v>
      </c>
      <c r="C89" s="10" t="s">
        <v>70</v>
      </c>
      <c r="D89" s="10" t="s">
        <v>71</v>
      </c>
      <c r="E89" s="10" t="s">
        <v>866</v>
      </c>
      <c r="F89" s="10">
        <v>1</v>
      </c>
      <c r="G89" s="10" t="s">
        <v>73</v>
      </c>
      <c r="H89" s="10" t="s">
        <v>74</v>
      </c>
      <c r="I89" s="10" t="s">
        <v>285</v>
      </c>
      <c r="J89" s="10">
        <v>188</v>
      </c>
      <c r="K89" s="12">
        <v>44930</v>
      </c>
      <c r="L89" s="33">
        <v>0.44238425925925928</v>
      </c>
      <c r="M89" s="10">
        <v>1</v>
      </c>
      <c r="N89" s="10" t="s">
        <v>211</v>
      </c>
      <c r="O89" s="10">
        <v>2.84</v>
      </c>
      <c r="P89" s="10">
        <v>0.28999999999999998</v>
      </c>
      <c r="Q89" s="10">
        <v>500</v>
      </c>
      <c r="R89" s="10" t="s">
        <v>913</v>
      </c>
      <c r="S89" s="34">
        <f t="shared" si="7"/>
        <v>500</v>
      </c>
      <c r="T89" s="10" t="s">
        <v>938</v>
      </c>
      <c r="U89" s="34" t="str">
        <f t="shared" si="8"/>
        <v/>
      </c>
      <c r="V89" s="31" t="str">
        <f>IF(H89="CHK",VLOOKUP(I89,QCCHK,3,),IF(H89="GUP",VLOOKUP(E89,QCGUP,2,),IF(AND(H89="ATP",OR(I89="TN",I89="TDN",I89="TNO2-3",I89="NO2-3")),VLOOKUP(E89,QCREC_N,2,),IF(AND(H89="NIC",OR(I89="TN",I89="TDN",I89="TNO2-3",I89="NO2-3")),VLOOKUP(E89,QCNIC_N,2,),IF(AND(H89="UREA",OR(I89="TN",I89="TDN",I89="TNO2-3",I89="NO2-3")),VLOOKUP(E89,QCUREA_N,2,),IF(H89="PER",VLOOKUP(I89,QCPER,MATCH(E89,QCACTUAL!$J$25:$AA$25,0),),IF(H89="SPK",VLOOKUP(I89,QCSPK,3,),IF(AND(H89="ATP",OR(I89="TP",I89="TDP")),VLOOKUP(E89,QCATP_P,2,),""))))))))</f>
        <v/>
      </c>
      <c r="W89" s="31" t="str">
        <f t="shared" si="9"/>
        <v>TRUE</v>
      </c>
      <c r="X89" s="31" t="str">
        <f t="shared" si="10"/>
        <v/>
      </c>
      <c r="Y89" s="10" t="s">
        <v>949</v>
      </c>
      <c r="AL89" s="10" t="str">
        <f t="shared" si="12"/>
        <v>FALSE</v>
      </c>
      <c r="AM89" s="10" t="str">
        <f t="shared" si="12"/>
        <v>FALSE</v>
      </c>
      <c r="AN89" s="10" t="str">
        <f t="shared" si="12"/>
        <v>FALSE</v>
      </c>
      <c r="AO89" s="10" t="str">
        <f t="shared" si="13"/>
        <v>FALSE</v>
      </c>
      <c r="AP89" s="10" t="str">
        <f t="shared" si="13"/>
        <v>FALSE</v>
      </c>
      <c r="AQ89" s="10" t="b">
        <f>IF(AND(I89="TP",S89&lt;=150),VLOOKUP(AF89,TPCalibEq150!$AZ$2:$BB$55,3,),IF(AND(I89="TDP",S89&lt;=150),VLOOKUP(AF89,TPCalibEq150!$AZ$2:$BB$55,3,)))</f>
        <v>0</v>
      </c>
      <c r="AR89" s="10" t="b">
        <f>IF(AND(I89="TP",S89&lt;=300),VLOOKUP(AF89,TPCalibEq300!$AZ$2:$BB$55,3,),IF(AND(I89="TDP",S89&lt;=300),VLOOKUP(AF89,TPCalibEq300!$AZ$2:$BB$55,3,)))</f>
        <v>0</v>
      </c>
      <c r="AS89" s="10" t="b">
        <f>IF(AND(I89="TP",S89&lt;=500),VLOOKUP(AF89,TPCalibEq500!$AZ$2:$BB$56,3,),IF(AND(I89="TDP",S89&lt;=500),VLOOKUP(AF89,TPCalibEq500!$AZ$2:$BB$56,3,)))</f>
        <v>0</v>
      </c>
      <c r="AT89" s="10" t="b">
        <f>IF(AND(I89="TN",S89&lt;=2800),VLOOKUP(AF89,TNCalibEq2500!$AZ$2:$BB$56,3,),IF(AND(I89="TDN",S89&lt;=2800),VLOOKUP(AF89,TNCalibEq2500!$AZ$2:$BB$56,3,)))</f>
        <v>0</v>
      </c>
      <c r="AU89" s="10" t="b">
        <f>IF(I89="TP",VLOOKUP(AF89,TPCalibEqFull!$AZ$2:$BB$56,3),IF(I89="TDP",VLOOKUP(AF89,TPCalibEqFull!$AZ$2:$BB$56,3),IF(I89="TDN",VLOOKUP(AF89,TNCalibEqFull!$AZ$1:$BB$56,3),IF(I89="TN",VLOOKUP(AF89,TNCalibEqFull!$AZ$1:$BB$56,3),FALSE))))</f>
        <v>0</v>
      </c>
      <c r="AV89" s="10" t="str">
        <f t="shared" si="11"/>
        <v>0104 09:00:00-QAC-STD-A-1-DI-CAL</v>
      </c>
    </row>
    <row r="90" spans="1:48" s="10" customFormat="1" x14ac:dyDescent="0.55000000000000004">
      <c r="A90" s="32">
        <v>44930</v>
      </c>
      <c r="B90" s="33">
        <v>0.375</v>
      </c>
      <c r="C90" s="10" t="s">
        <v>70</v>
      </c>
      <c r="D90" s="10" t="s">
        <v>241</v>
      </c>
      <c r="E90" s="10" t="s">
        <v>866</v>
      </c>
      <c r="F90" s="10">
        <v>1</v>
      </c>
      <c r="G90" s="10" t="s">
        <v>73</v>
      </c>
      <c r="H90" s="10" t="s">
        <v>283</v>
      </c>
      <c r="I90" s="10" t="s">
        <v>285</v>
      </c>
      <c r="J90" s="10">
        <v>198</v>
      </c>
      <c r="K90" s="12">
        <v>44930</v>
      </c>
      <c r="L90" s="33">
        <v>0.44400462962962961</v>
      </c>
      <c r="M90" s="10">
        <v>1</v>
      </c>
      <c r="N90" s="10" t="s">
        <v>211</v>
      </c>
      <c r="O90" s="10">
        <v>2.0799999999999999E-2</v>
      </c>
      <c r="P90" s="10">
        <v>1.33E-3</v>
      </c>
      <c r="Q90" s="10">
        <v>3.67</v>
      </c>
      <c r="R90" s="10" t="s">
        <v>913</v>
      </c>
      <c r="S90" s="34">
        <f t="shared" si="7"/>
        <v>3.67</v>
      </c>
      <c r="T90" s="10" t="s">
        <v>938</v>
      </c>
      <c r="U90" s="34">
        <f t="shared" si="8"/>
        <v>3.67</v>
      </c>
      <c r="V90" s="31" t="str">
        <f>IF(H90="CHK",VLOOKUP(I90,QCCHK,3,),IF(H90="GUP",VLOOKUP(E90,QCGUP,2,),IF(AND(H90="ATP",OR(I90="TN",I90="TDN",I90="TNO2-3",I90="NO2-3")),VLOOKUP(E90,QCREC_N,2,),IF(AND(H90="NIC",OR(I90="TN",I90="TDN",I90="TNO2-3",I90="NO2-3")),VLOOKUP(E90,QCNIC_N,2,),IF(AND(H90="UREA",OR(I90="TN",I90="TDN",I90="TNO2-3",I90="NO2-3")),VLOOKUP(E90,QCUREA_N,2,),IF(H90="PER",VLOOKUP(I90,QCPER,MATCH(E90,QCACTUAL!$J$25:$AA$25,0),),IF(H90="SPK",VLOOKUP(I90,QCSPK,3,),IF(AND(H90="ATP",OR(I90="TP",I90="TDP")),VLOOKUP(E90,QCATP_P,2,),""))))))))</f>
        <v/>
      </c>
      <c r="W90" s="31" t="str">
        <f t="shared" si="9"/>
        <v>TRUE</v>
      </c>
      <c r="X90" s="31" t="str">
        <f t="shared" si="10"/>
        <v>nominal concentration</v>
      </c>
      <c r="Y90" s="10" t="s">
        <v>949</v>
      </c>
      <c r="AL90" s="10" t="str">
        <f t="shared" si="12"/>
        <v>FALSE</v>
      </c>
      <c r="AM90" s="10" t="str">
        <f t="shared" si="12"/>
        <v>FALSE</v>
      </c>
      <c r="AN90" s="10" t="str">
        <f t="shared" si="12"/>
        <v>FALSE</v>
      </c>
      <c r="AO90" s="10" t="str">
        <f t="shared" si="13"/>
        <v>FALSE</v>
      </c>
      <c r="AP90" s="10" t="str">
        <f t="shared" si="13"/>
        <v>FALSE</v>
      </c>
      <c r="AQ90" s="10" t="b">
        <f>IF(AND(I90="TP",S90&lt;=150),VLOOKUP(AF90,TPCalibEq150!$AZ$2:$BB$55,3,),IF(AND(I90="TDP",S90&lt;=150),VLOOKUP(AF90,TPCalibEq150!$AZ$2:$BB$55,3,)))</f>
        <v>0</v>
      </c>
      <c r="AR90" s="10" t="b">
        <f>IF(AND(I90="TP",S90&lt;=300),VLOOKUP(AF90,TPCalibEq300!$AZ$2:$BB$55,3,),IF(AND(I90="TDP",S90&lt;=300),VLOOKUP(AF90,TPCalibEq300!$AZ$2:$BB$55,3,)))</f>
        <v>0</v>
      </c>
      <c r="AS90" s="10" t="b">
        <f>IF(AND(I90="TP",S90&lt;=500),VLOOKUP(AF90,TPCalibEq500!$AZ$2:$BB$56,3,),IF(AND(I90="TDP",S90&lt;=500),VLOOKUP(AF90,TPCalibEq500!$AZ$2:$BB$56,3,)))</f>
        <v>0</v>
      </c>
      <c r="AT90" s="10" t="b">
        <f>IF(AND(I90="TN",S90&lt;=2800),VLOOKUP(AF90,TNCalibEq2500!$AZ$2:$BB$56,3,),IF(AND(I90="TDN",S90&lt;=2800),VLOOKUP(AF90,TNCalibEq2500!$AZ$2:$BB$56,3,)))</f>
        <v>0</v>
      </c>
      <c r="AU90" s="10" t="b">
        <f>IF(I90="TP",VLOOKUP(AF90,TPCalibEqFull!$AZ$2:$BB$56,3),IF(I90="TDP",VLOOKUP(AF90,TPCalibEqFull!$AZ$2:$BB$56,3),IF(I90="TDN",VLOOKUP(AF90,TNCalibEqFull!$AZ$1:$BB$56,3),IF(I90="TN",VLOOKUP(AF90,TNCalibEqFull!$AZ$1:$BB$56,3),FALSE))))</f>
        <v>0</v>
      </c>
      <c r="AV90" s="10" t="str">
        <f t="shared" si="11"/>
        <v>0104 09:00:00-QAC-BLK-A-1-DI-LAB</v>
      </c>
    </row>
    <row r="91" spans="1:48" s="10" customFormat="1" x14ac:dyDescent="0.55000000000000004">
      <c r="A91" s="32">
        <v>44930</v>
      </c>
      <c r="B91" s="33">
        <v>0.375</v>
      </c>
      <c r="C91" s="10" t="s">
        <v>70</v>
      </c>
      <c r="D91" s="10" t="s">
        <v>241</v>
      </c>
      <c r="E91" s="10" t="s">
        <v>866</v>
      </c>
      <c r="F91" s="10">
        <v>1</v>
      </c>
      <c r="G91" s="10" t="s">
        <v>73</v>
      </c>
      <c r="H91" s="10" t="s">
        <v>314</v>
      </c>
      <c r="I91" s="10" t="s">
        <v>285</v>
      </c>
      <c r="J91" s="10">
        <v>225</v>
      </c>
      <c r="K91" s="12">
        <v>44930</v>
      </c>
      <c r="L91" s="33">
        <v>0.44483796296296302</v>
      </c>
      <c r="M91" s="10">
        <v>1</v>
      </c>
      <c r="N91" s="10" t="s">
        <v>211</v>
      </c>
      <c r="O91" s="10">
        <v>1.1399999999999999</v>
      </c>
      <c r="P91" s="10">
        <v>0.114</v>
      </c>
      <c r="Q91" s="10">
        <v>201</v>
      </c>
      <c r="R91" s="10" t="s">
        <v>913</v>
      </c>
      <c r="S91" s="34">
        <f t="shared" si="7"/>
        <v>201</v>
      </c>
      <c r="T91" s="10" t="s">
        <v>938</v>
      </c>
      <c r="U91" s="34">
        <f t="shared" si="8"/>
        <v>126.2912</v>
      </c>
      <c r="V91" s="31">
        <f>IF(H91="CHK",VLOOKUP(I91,QCCHK,3,),IF(H91="GUP",VLOOKUP(E91,QCGUP,2,),IF(AND(H91="ATP",OR(I91="TN",I91="TDN",I91="TNO2-3",I91="NO2-3")),VLOOKUP(E91,QCREC_N,2,),IF(AND(H91="NIC",OR(I91="TN",I91="TDN",I91="TNO2-3",I91="NO2-3")),VLOOKUP(E91,QCNIC_N,2,),IF(AND(H91="UREA",OR(I91="TN",I91="TDN",I91="TNO2-3",I91="NO2-3")),VLOOKUP(E91,QCUREA_N,2,),IF(H91="PER",VLOOKUP(I91,QCPER,MATCH(E91,QCACTUAL!$J$25:$AA$25,0),),IF(H91="SPK",VLOOKUP(I91,QCSPK,3,),IF(AND(H91="ATP",OR(I91="TP",I91="TDP")),VLOOKUP(E91,QCATP_P,2,),""))))))))</f>
        <v>156.25</v>
      </c>
      <c r="W91" s="31" t="str">
        <f t="shared" si="9"/>
        <v>FALSE</v>
      </c>
      <c r="X91" s="31" t="str">
        <f t="shared" si="10"/>
        <v>([spikedunkn]-[unkn])/[spike]*100</v>
      </c>
      <c r="Y91" s="10" t="s">
        <v>949</v>
      </c>
      <c r="AL91" s="10" t="str">
        <f t="shared" si="12"/>
        <v>FALSE</v>
      </c>
      <c r="AM91" s="10" t="str">
        <f t="shared" si="12"/>
        <v>FALSE</v>
      </c>
      <c r="AN91" s="10" t="str">
        <f t="shared" si="12"/>
        <v>FALSE</v>
      </c>
      <c r="AO91" s="10" t="str">
        <f t="shared" si="13"/>
        <v>FALSE</v>
      </c>
      <c r="AP91" s="10" t="str">
        <f t="shared" si="13"/>
        <v>FALSE</v>
      </c>
      <c r="AQ91" s="10" t="b">
        <f>IF(AND(I91="TP",S91&lt;=150),VLOOKUP(AF91,TPCalibEq150!$AZ$2:$BB$55,3,),IF(AND(I91="TDP",S91&lt;=150),VLOOKUP(AF91,TPCalibEq150!$AZ$2:$BB$55,3,)))</f>
        <v>0</v>
      </c>
      <c r="AR91" s="10" t="b">
        <f>IF(AND(I91="TP",S91&lt;=300),VLOOKUP(AF91,TPCalibEq300!$AZ$2:$BB$55,3,),IF(AND(I91="TDP",S91&lt;=300),VLOOKUP(AF91,TPCalibEq300!$AZ$2:$BB$55,3,)))</f>
        <v>0</v>
      </c>
      <c r="AS91" s="10" t="b">
        <f>IF(AND(I91="TP",S91&lt;=500),VLOOKUP(AF91,TPCalibEq500!$AZ$2:$BB$56,3,),IF(AND(I91="TDP",S91&lt;=500),VLOOKUP(AF91,TPCalibEq500!$AZ$2:$BB$56,3,)))</f>
        <v>0</v>
      </c>
      <c r="AT91" s="10" t="b">
        <f>IF(AND(I91="TN",S91&lt;=2800),VLOOKUP(AF91,TNCalibEq2500!$AZ$2:$BB$56,3,),IF(AND(I91="TDN",S91&lt;=2800),VLOOKUP(AF91,TNCalibEq2500!$AZ$2:$BB$56,3,)))</f>
        <v>0</v>
      </c>
      <c r="AU91" s="10" t="b">
        <f>IF(I91="TP",VLOOKUP(AF91,TPCalibEqFull!$AZ$2:$BB$56,3),IF(I91="TDP",VLOOKUP(AF91,TPCalibEqFull!$AZ$2:$BB$56,3),IF(I91="TDN",VLOOKUP(AF91,TNCalibEqFull!$AZ$1:$BB$56,3),IF(I91="TN",VLOOKUP(AF91,TNCalibEqFull!$AZ$1:$BB$56,3),FALSE))))</f>
        <v>0</v>
      </c>
      <c r="AV91" s="10" t="str">
        <f t="shared" si="11"/>
        <v>0104 09:00:00-QAC-BLK-A-1-DI-SPK</v>
      </c>
    </row>
    <row r="92" spans="1:48" s="10" customFormat="1" x14ac:dyDescent="0.55000000000000004">
      <c r="A92" s="32">
        <v>44930</v>
      </c>
      <c r="B92" s="33">
        <v>0.375</v>
      </c>
      <c r="C92" s="10" t="s">
        <v>70</v>
      </c>
      <c r="D92" s="10" t="s">
        <v>71</v>
      </c>
      <c r="E92" s="10" t="s">
        <v>948</v>
      </c>
      <c r="F92" s="10">
        <v>1</v>
      </c>
      <c r="G92" s="10" t="s">
        <v>73</v>
      </c>
      <c r="H92" s="10" t="s">
        <v>299</v>
      </c>
      <c r="I92" s="10" t="s">
        <v>285</v>
      </c>
      <c r="J92" s="10">
        <v>197</v>
      </c>
      <c r="K92" s="12">
        <v>44930</v>
      </c>
      <c r="L92" s="33">
        <v>0.44565972222222222</v>
      </c>
      <c r="M92" s="10">
        <v>1</v>
      </c>
      <c r="N92" s="10" t="s">
        <v>211</v>
      </c>
      <c r="O92" s="10">
        <v>1.96</v>
      </c>
      <c r="P92" s="10">
        <v>0.19800000000000001</v>
      </c>
      <c r="Q92" s="10">
        <v>346</v>
      </c>
      <c r="R92" s="10" t="s">
        <v>913</v>
      </c>
      <c r="S92" s="34">
        <f t="shared" si="7"/>
        <v>346</v>
      </c>
      <c r="T92" s="10" t="s">
        <v>938</v>
      </c>
      <c r="U92" s="34">
        <f t="shared" si="8"/>
        <v>97.740112994350284</v>
      </c>
      <c r="V92" s="31">
        <f>IF(H92="CHK",VLOOKUP(I92,QCCHK,3,),IF(H92="GUP",VLOOKUP(E92,QCGUP,2,),IF(AND(H92="ATP",OR(I92="TN",I92="TDN",I92="TNO2-3",I92="NO2-3")),VLOOKUP(E92,QCREC_N,2,),IF(AND(H92="NIC",OR(I92="TN",I92="TDN",I92="TNO2-3",I92="NO2-3")),VLOOKUP(E92,QCNIC_N,2,),IF(AND(H92="UREA",OR(I92="TN",I92="TDN",I92="TNO2-3",I92="NO2-3")),VLOOKUP(E92,QCUREA_N,2,),IF(H92="PER",VLOOKUP(I92,QCPER,MATCH(E92,QCACTUAL!$J$25:$AA$25,0),),IF(H92="SPK",VLOOKUP(I92,QCSPK,3,),IF(AND(H92="ATP",OR(I92="TP",I92="TDP")),VLOOKUP(E92,QCATP_P,2,),""))))))))</f>
        <v>354</v>
      </c>
      <c r="W92" s="31" t="str">
        <f t="shared" si="9"/>
        <v>TRUE</v>
      </c>
      <c r="X92" s="31" t="str">
        <f t="shared" si="10"/>
        <v>[per]/[actual]*100</v>
      </c>
      <c r="Y92" s="10" t="s">
        <v>949</v>
      </c>
      <c r="AL92" s="10" t="str">
        <f t="shared" si="12"/>
        <v>FALSE</v>
      </c>
      <c r="AM92" s="10" t="str">
        <f t="shared" si="12"/>
        <v>FALSE</v>
      </c>
      <c r="AN92" s="10" t="str">
        <f t="shared" si="12"/>
        <v>FALSE</v>
      </c>
      <c r="AO92" s="10" t="str">
        <f t="shared" si="13"/>
        <v>FALSE</v>
      </c>
      <c r="AP92" s="10" t="str">
        <f t="shared" si="13"/>
        <v>FALSE</v>
      </c>
      <c r="AQ92" s="10" t="b">
        <f>IF(AND(I92="TP",S92&lt;=150),VLOOKUP(AF92,TPCalibEq150!$AZ$2:$BB$55,3,),IF(AND(I92="TDP",S92&lt;=150),VLOOKUP(AF92,TPCalibEq150!$AZ$2:$BB$55,3,)))</f>
        <v>0</v>
      </c>
      <c r="AR92" s="10" t="b">
        <f>IF(AND(I92="TP",S92&lt;=300),VLOOKUP(AF92,TPCalibEq300!$AZ$2:$BB$55,3,),IF(AND(I92="TDP",S92&lt;=300),VLOOKUP(AF92,TPCalibEq300!$AZ$2:$BB$55,3,)))</f>
        <v>0</v>
      </c>
      <c r="AS92" s="10" t="b">
        <f>IF(AND(I92="TP",S92&lt;=500),VLOOKUP(AF92,TPCalibEq500!$AZ$2:$BB$56,3,),IF(AND(I92="TDP",S92&lt;=500),VLOOKUP(AF92,TPCalibEq500!$AZ$2:$BB$56,3,)))</f>
        <v>0</v>
      </c>
      <c r="AT92" s="10" t="b">
        <f>IF(AND(I92="TN",S92&lt;=2800),VLOOKUP(AF92,TNCalibEq2500!$AZ$2:$BB$56,3,),IF(AND(I92="TDN",S92&lt;=2800),VLOOKUP(AF92,TNCalibEq2500!$AZ$2:$BB$56,3,)))</f>
        <v>0</v>
      </c>
      <c r="AU92" s="10" t="b">
        <f>IF(I92="TP",VLOOKUP(AF92,TPCalibEqFull!$AZ$2:$BB$56,3),IF(I92="TDP",VLOOKUP(AF92,TPCalibEqFull!$AZ$2:$BB$56,3),IF(I92="TDN",VLOOKUP(AF92,TNCalibEqFull!$AZ$1:$BB$56,3),IF(I92="TN",VLOOKUP(AF92,TNCalibEqFull!$AZ$1:$BB$56,3),FALSE))))</f>
        <v>0</v>
      </c>
      <c r="AV92" s="10" t="str">
        <f t="shared" si="11"/>
        <v>0104 09:00:00-QAC-STD-22A-1-DI-PER</v>
      </c>
    </row>
    <row r="93" spans="1:48" s="10" customFormat="1" x14ac:dyDescent="0.55000000000000004">
      <c r="A93" s="32">
        <v>44930</v>
      </c>
      <c r="B93" s="33">
        <v>0.375</v>
      </c>
      <c r="C93" s="10" t="s">
        <v>70</v>
      </c>
      <c r="D93" s="10" t="s">
        <v>71</v>
      </c>
      <c r="E93" s="10" t="s">
        <v>1060</v>
      </c>
      <c r="F93" s="10">
        <v>1</v>
      </c>
      <c r="G93" s="10" t="s">
        <v>73</v>
      </c>
      <c r="H93" s="10" t="s">
        <v>299</v>
      </c>
      <c r="I93" s="10" t="s">
        <v>285</v>
      </c>
      <c r="J93" s="10">
        <v>196</v>
      </c>
      <c r="K93" s="12">
        <v>44930</v>
      </c>
      <c r="L93" s="33">
        <v>0.44648148148148148</v>
      </c>
      <c r="M93" s="10">
        <v>1</v>
      </c>
      <c r="N93" s="10" t="s">
        <v>211</v>
      </c>
      <c r="O93" s="10">
        <v>1.22</v>
      </c>
      <c r="P93" s="10">
        <v>0.122</v>
      </c>
      <c r="Q93" s="10">
        <v>215</v>
      </c>
      <c r="R93" s="10" t="s">
        <v>913</v>
      </c>
      <c r="S93" s="34">
        <f t="shared" si="7"/>
        <v>215</v>
      </c>
      <c r="T93" s="10" t="s">
        <v>938</v>
      </c>
      <c r="U93" s="34">
        <f t="shared" si="8"/>
        <v>107.5</v>
      </c>
      <c r="V93" s="31">
        <f>IF(H93="CHK",VLOOKUP(I93,QCCHK,3,),IF(H93="GUP",VLOOKUP(E93,QCGUP,2,),IF(AND(H93="ATP",OR(I93="TN",I93="TDN",I93="TNO2-3",I93="NO2-3")),VLOOKUP(E93,QCREC_N,2,),IF(AND(H93="NIC",OR(I93="TN",I93="TDN",I93="TNO2-3",I93="NO2-3")),VLOOKUP(E93,QCNIC_N,2,),IF(AND(H93="UREA",OR(I93="TN",I93="TDN",I93="TNO2-3",I93="NO2-3")),VLOOKUP(E93,QCUREA_N,2,),IF(H93="PER",VLOOKUP(I93,QCPER,MATCH(E93,QCACTUAL!$J$25:$AA$25,0),),IF(H93="SPK",VLOOKUP(I93,QCSPK,3,),IF(AND(H93="ATP",OR(I93="TP",I93="TDP")),VLOOKUP(E93,QCATP_P,2,),""))))))))</f>
        <v>200</v>
      </c>
      <c r="W93" s="31" t="str">
        <f t="shared" si="9"/>
        <v>TRUE</v>
      </c>
      <c r="X93" s="31" t="str">
        <f t="shared" si="10"/>
        <v>[per]/[actual]*100</v>
      </c>
      <c r="Y93" s="10" t="s">
        <v>949</v>
      </c>
      <c r="AL93" s="10" t="str">
        <f t="shared" si="12"/>
        <v>FALSE</v>
      </c>
      <c r="AM93" s="10" t="str">
        <f t="shared" si="12"/>
        <v>FALSE</v>
      </c>
      <c r="AN93" s="10" t="str">
        <f t="shared" si="12"/>
        <v>FALSE</v>
      </c>
      <c r="AO93" s="10" t="str">
        <f t="shared" si="13"/>
        <v>FALSE</v>
      </c>
      <c r="AP93" s="10" t="str">
        <f t="shared" si="13"/>
        <v>FALSE</v>
      </c>
      <c r="AQ93" s="10" t="b">
        <f>IF(AND(I93="TP",S93&lt;=150),VLOOKUP(AF93,TPCalibEq150!$AZ$2:$BB$55,3,),IF(AND(I93="TDP",S93&lt;=150),VLOOKUP(AF93,TPCalibEq150!$AZ$2:$BB$55,3,)))</f>
        <v>0</v>
      </c>
      <c r="AR93" s="10" t="b">
        <f>IF(AND(I93="TP",S93&lt;=300),VLOOKUP(AF93,TPCalibEq300!$AZ$2:$BB$55,3,),IF(AND(I93="TDP",S93&lt;=300),VLOOKUP(AF93,TPCalibEq300!$AZ$2:$BB$55,3,)))</f>
        <v>0</v>
      </c>
      <c r="AS93" s="10" t="b">
        <f>IF(AND(I93="TP",S93&lt;=500),VLOOKUP(AF93,TPCalibEq500!$AZ$2:$BB$56,3,),IF(AND(I93="TDP",S93&lt;=500),VLOOKUP(AF93,TPCalibEq500!$AZ$2:$BB$56,3,)))</f>
        <v>0</v>
      </c>
      <c r="AT93" s="10" t="b">
        <f>IF(AND(I93="TN",S93&lt;=2800),VLOOKUP(AF93,TNCalibEq2500!$AZ$2:$BB$56,3,),IF(AND(I93="TDN",S93&lt;=2800),VLOOKUP(AF93,TNCalibEq2500!$AZ$2:$BB$56,3,)))</f>
        <v>0</v>
      </c>
      <c r="AU93" s="10" t="b">
        <f>IF(I93="TP",VLOOKUP(AF93,TPCalibEqFull!$AZ$2:$BB$56,3),IF(I93="TDP",VLOOKUP(AF93,TPCalibEqFull!$AZ$2:$BB$56,3),IF(I93="TDN",VLOOKUP(AF93,TNCalibEqFull!$AZ$1:$BB$56,3),IF(I93="TN",VLOOKUP(AF93,TNCalibEqFull!$AZ$1:$BB$56,3),FALSE))))</f>
        <v>0</v>
      </c>
      <c r="AV93" s="10" t="str">
        <f t="shared" si="11"/>
        <v>0104 09:00:00-QAC-STD-22B-1-DI-PER</v>
      </c>
    </row>
    <row r="94" spans="1:48" s="10" customFormat="1" x14ac:dyDescent="0.55000000000000004">
      <c r="A94" s="32">
        <v>44915</v>
      </c>
      <c r="B94" s="33">
        <v>0.24930555555555556</v>
      </c>
      <c r="C94" s="10" t="s">
        <v>70</v>
      </c>
      <c r="D94" s="10" t="s">
        <v>241</v>
      </c>
      <c r="E94" s="10" t="s">
        <v>866</v>
      </c>
      <c r="F94" s="10">
        <v>1</v>
      </c>
      <c r="G94" s="10" t="s">
        <v>73</v>
      </c>
      <c r="H94" s="10" t="s">
        <v>245</v>
      </c>
      <c r="I94" s="10" t="s">
        <v>285</v>
      </c>
      <c r="J94" s="10">
        <v>53</v>
      </c>
      <c r="K94" s="12">
        <v>44930</v>
      </c>
      <c r="L94" s="33">
        <v>0.44975694444444447</v>
      </c>
      <c r="M94" s="10">
        <v>1</v>
      </c>
      <c r="N94" s="10" t="s">
        <v>211</v>
      </c>
      <c r="O94" s="10">
        <v>1.09E-2</v>
      </c>
      <c r="P94" s="10">
        <v>4.5399999999999998E-4</v>
      </c>
      <c r="Q94" s="10">
        <v>1.92</v>
      </c>
      <c r="R94" s="10" t="s">
        <v>913</v>
      </c>
      <c r="S94" s="34">
        <f t="shared" si="7"/>
        <v>1.92</v>
      </c>
      <c r="T94" s="10" t="s">
        <v>938</v>
      </c>
      <c r="U94" s="34">
        <f t="shared" si="8"/>
        <v>1.92</v>
      </c>
      <c r="V94" s="31" t="str">
        <f>IF(H94="CHK",VLOOKUP(I94,QCCHK,3,),IF(H94="GUP",VLOOKUP(E94,QCGUP,2,),IF(AND(H94="ATP",OR(I94="TN",I94="TDN",I94="TNO2-3",I94="NO2-3")),VLOOKUP(E94,QCREC_N,2,),IF(AND(H94="NIC",OR(I94="TN",I94="TDN",I94="TNO2-3",I94="NO2-3")),VLOOKUP(E94,QCNIC_N,2,),IF(AND(H94="UREA",OR(I94="TN",I94="TDN",I94="TNO2-3",I94="NO2-3")),VLOOKUP(E94,QCUREA_N,2,),IF(H94="PER",VLOOKUP(I94,QCPER,MATCH(E94,QCACTUAL!$J$25:$AA$25,0),),IF(H94="SPK",VLOOKUP(I94,QCSPK,3,),IF(AND(H94="ATP",OR(I94="TP",I94="TDP")),VLOOKUP(E94,QCATP_P,2,),""))))))))</f>
        <v/>
      </c>
      <c r="W94" s="31" t="str">
        <f t="shared" si="9"/>
        <v>TRUE</v>
      </c>
      <c r="X94" s="31" t="str">
        <f t="shared" si="10"/>
        <v>nominal concentration</v>
      </c>
      <c r="Y94" s="10" t="s">
        <v>949</v>
      </c>
      <c r="Z94" s="10" t="s">
        <v>910</v>
      </c>
      <c r="AL94" s="10" t="str">
        <f t="shared" si="12"/>
        <v>FALSE</v>
      </c>
      <c r="AM94" s="10" t="str">
        <f t="shared" si="12"/>
        <v>FALSE</v>
      </c>
      <c r="AN94" s="10" t="str">
        <f t="shared" si="12"/>
        <v>FALSE</v>
      </c>
      <c r="AO94" s="10" t="str">
        <f t="shared" si="13"/>
        <v>FALSE</v>
      </c>
      <c r="AP94" s="10" t="str">
        <f t="shared" si="13"/>
        <v>FALSE</v>
      </c>
      <c r="AQ94" s="10" t="b">
        <f>IF(AND(I94="TP",S94&lt;=150),VLOOKUP(AF94,TPCalibEq150!$AZ$2:$BB$55,3,),IF(AND(I94="TDP",S94&lt;=150),VLOOKUP(AF94,TPCalibEq150!$AZ$2:$BB$55,3,)))</f>
        <v>0</v>
      </c>
      <c r="AR94" s="10" t="b">
        <f>IF(AND(I94="TP",S94&lt;=300),VLOOKUP(AF94,TPCalibEq300!$AZ$2:$BB$55,3,),IF(AND(I94="TDP",S94&lt;=300),VLOOKUP(AF94,TPCalibEq300!$AZ$2:$BB$55,3,)))</f>
        <v>0</v>
      </c>
      <c r="AS94" s="10" t="b">
        <f>IF(AND(I94="TP",S94&lt;=500),VLOOKUP(AF94,TPCalibEq500!$AZ$2:$BB$56,3,),IF(AND(I94="TDP",S94&lt;=500),VLOOKUP(AF94,TPCalibEq500!$AZ$2:$BB$56,3,)))</f>
        <v>0</v>
      </c>
      <c r="AT94" s="10" t="b">
        <f>IF(AND(I94="TN",S94&lt;=2800),VLOOKUP(AF94,TNCalibEq2500!$AZ$2:$BB$56,3,),IF(AND(I94="TDN",S94&lt;=2800),VLOOKUP(AF94,TNCalibEq2500!$AZ$2:$BB$56,3,)))</f>
        <v>0</v>
      </c>
      <c r="AU94" s="10" t="b">
        <f>IF(I94="TP",VLOOKUP(AF94,TPCalibEqFull!$AZ$2:$BB$56,3),IF(I94="TDP",VLOOKUP(AF94,TPCalibEqFull!$AZ$2:$BB$56,3),IF(I94="TDN",VLOOKUP(AF94,TNCalibEqFull!$AZ$1:$BB$56,3),IF(I94="TN",VLOOKUP(AF94,TNCalibEqFull!$AZ$1:$BB$56,3),FALSE))))</f>
        <v>0</v>
      </c>
      <c r="AV94" s="10" t="str">
        <f t="shared" si="11"/>
        <v>1220 05:59:00-QAC-BLK-A-1-DI-ESF</v>
      </c>
    </row>
    <row r="95" spans="1:48" s="10" customFormat="1" x14ac:dyDescent="0.55000000000000004">
      <c r="A95" s="32">
        <v>44922</v>
      </c>
      <c r="B95" s="33">
        <v>0.25347222222222221</v>
      </c>
      <c r="C95" s="10" t="s">
        <v>70</v>
      </c>
      <c r="D95" s="10" t="s">
        <v>241</v>
      </c>
      <c r="E95" s="10" t="s">
        <v>866</v>
      </c>
      <c r="F95" s="10">
        <v>1</v>
      </c>
      <c r="G95" s="10" t="s">
        <v>73</v>
      </c>
      <c r="H95" s="10" t="s">
        <v>245</v>
      </c>
      <c r="I95" s="10" t="s">
        <v>285</v>
      </c>
      <c r="J95" s="10">
        <v>54</v>
      </c>
      <c r="K95" s="12">
        <v>44930</v>
      </c>
      <c r="L95" s="33">
        <v>0.45056712962962964</v>
      </c>
      <c r="M95" s="10">
        <v>1</v>
      </c>
      <c r="N95" s="10" t="s">
        <v>211</v>
      </c>
      <c r="O95" s="10">
        <v>7.5100000000000002E-3</v>
      </c>
      <c r="P95" s="10">
        <v>3.2600000000000001E-4</v>
      </c>
      <c r="Q95" s="10">
        <v>1.33</v>
      </c>
      <c r="R95" s="10" t="s">
        <v>913</v>
      </c>
      <c r="S95" s="34">
        <f t="shared" si="7"/>
        <v>1.33</v>
      </c>
      <c r="T95" s="10" t="s">
        <v>938</v>
      </c>
      <c r="U95" s="34">
        <f t="shared" si="8"/>
        <v>1.33</v>
      </c>
      <c r="V95" s="31" t="str">
        <f>IF(H95="CHK",VLOOKUP(I95,QCCHK,3,),IF(H95="GUP",VLOOKUP(E95,QCGUP,2,),IF(AND(H95="ATP",OR(I95="TN",I95="TDN",I95="TNO2-3",I95="NO2-3")),VLOOKUP(E95,QCREC_N,2,),IF(AND(H95="NIC",OR(I95="TN",I95="TDN",I95="TNO2-3",I95="NO2-3")),VLOOKUP(E95,QCNIC_N,2,),IF(AND(H95="UREA",OR(I95="TN",I95="TDN",I95="TNO2-3",I95="NO2-3")),VLOOKUP(E95,QCUREA_N,2,),IF(H95="PER",VLOOKUP(I95,QCPER,MATCH(E95,QCACTUAL!$J$25:$AA$25,0),),IF(H95="SPK",VLOOKUP(I95,QCSPK,3,),IF(AND(H95="ATP",OR(I95="TP",I95="TDP")),VLOOKUP(E95,QCATP_P,2,),""))))))))</f>
        <v/>
      </c>
      <c r="W95" s="31" t="str">
        <f t="shared" si="9"/>
        <v>TRUE</v>
      </c>
      <c r="X95" s="31" t="str">
        <f t="shared" si="10"/>
        <v>nominal concentration</v>
      </c>
      <c r="Y95" s="10" t="s">
        <v>949</v>
      </c>
      <c r="Z95" s="10" t="s">
        <v>910</v>
      </c>
      <c r="AL95" s="10" t="str">
        <f t="shared" si="12"/>
        <v>FALSE</v>
      </c>
      <c r="AM95" s="10" t="str">
        <f t="shared" si="12"/>
        <v>FALSE</v>
      </c>
      <c r="AN95" s="10" t="str">
        <f t="shared" si="12"/>
        <v>FALSE</v>
      </c>
      <c r="AO95" s="10" t="str">
        <f t="shared" si="13"/>
        <v>FALSE</v>
      </c>
      <c r="AP95" s="10" t="str">
        <f t="shared" si="13"/>
        <v>FALSE</v>
      </c>
      <c r="AQ95" s="10" t="b">
        <f>IF(AND(I95="TP",S95&lt;=150),VLOOKUP(AF95,TPCalibEq150!$AZ$2:$BB$55,3,),IF(AND(I95="TDP",S95&lt;=150),VLOOKUP(AF95,TPCalibEq150!$AZ$2:$BB$55,3,)))</f>
        <v>0</v>
      </c>
      <c r="AR95" s="10" t="b">
        <f>IF(AND(I95="TP",S95&lt;=300),VLOOKUP(AF95,TPCalibEq300!$AZ$2:$BB$55,3,),IF(AND(I95="TDP",S95&lt;=300),VLOOKUP(AF95,TPCalibEq300!$AZ$2:$BB$55,3,)))</f>
        <v>0</v>
      </c>
      <c r="AS95" s="10" t="b">
        <f>IF(AND(I95="TP",S95&lt;=500),VLOOKUP(AF95,TPCalibEq500!$AZ$2:$BB$56,3,),IF(AND(I95="TDP",S95&lt;=500),VLOOKUP(AF95,TPCalibEq500!$AZ$2:$BB$56,3,)))</f>
        <v>0</v>
      </c>
      <c r="AT95" s="10" t="b">
        <f>IF(AND(I95="TN",S95&lt;=2800),VLOOKUP(AF95,TNCalibEq2500!$AZ$2:$BB$56,3,),IF(AND(I95="TDN",S95&lt;=2800),VLOOKUP(AF95,TNCalibEq2500!$AZ$2:$BB$56,3,)))</f>
        <v>0</v>
      </c>
      <c r="AU95" s="10" t="b">
        <f>IF(I95="TP",VLOOKUP(AF95,TPCalibEqFull!$AZ$2:$BB$56,3),IF(I95="TDP",VLOOKUP(AF95,TPCalibEqFull!$AZ$2:$BB$56,3),IF(I95="TDN",VLOOKUP(AF95,TNCalibEqFull!$AZ$1:$BB$56,3),IF(I95="TN",VLOOKUP(AF95,TNCalibEqFull!$AZ$1:$BB$56,3),FALSE))))</f>
        <v>0</v>
      </c>
      <c r="AV95" s="10" t="str">
        <f t="shared" si="11"/>
        <v>1227 06:05:00-QAC-BLK-A-1-DI-ESF</v>
      </c>
    </row>
    <row r="96" spans="1:48" s="10" customFormat="1" x14ac:dyDescent="0.55000000000000004">
      <c r="A96" s="32">
        <v>44929</v>
      </c>
      <c r="B96" s="33">
        <v>0.25</v>
      </c>
      <c r="C96" s="10" t="s">
        <v>70</v>
      </c>
      <c r="D96" s="10" t="s">
        <v>241</v>
      </c>
      <c r="E96" s="10" t="s">
        <v>866</v>
      </c>
      <c r="F96" s="10">
        <v>1</v>
      </c>
      <c r="G96" s="10" t="s">
        <v>73</v>
      </c>
      <c r="H96" s="10" t="s">
        <v>245</v>
      </c>
      <c r="I96" s="10" t="s">
        <v>285</v>
      </c>
      <c r="J96" s="10">
        <v>55</v>
      </c>
      <c r="K96" s="12">
        <v>44930</v>
      </c>
      <c r="L96" s="33">
        <v>0.4513773148148148</v>
      </c>
      <c r="M96" s="10">
        <v>1</v>
      </c>
      <c r="N96" s="10" t="s">
        <v>211</v>
      </c>
      <c r="O96" s="10">
        <v>5.2100000000000002E-3</v>
      </c>
      <c r="P96" s="10">
        <v>2.6899999999999998E-4</v>
      </c>
      <c r="Q96" s="10">
        <v>0.92200000000000004</v>
      </c>
      <c r="R96" s="10" t="s">
        <v>913</v>
      </c>
      <c r="S96" s="34">
        <f t="shared" si="7"/>
        <v>0.92200000000000004</v>
      </c>
      <c r="T96" s="10" t="s">
        <v>938</v>
      </c>
      <c r="U96" s="34">
        <f t="shared" si="8"/>
        <v>0.92200000000000004</v>
      </c>
      <c r="V96" s="31" t="str">
        <f>IF(H96="CHK",VLOOKUP(I96,QCCHK,3,),IF(H96="GUP",VLOOKUP(E96,QCGUP,2,),IF(AND(H96="ATP",OR(I96="TN",I96="TDN",I96="TNO2-3",I96="NO2-3")),VLOOKUP(E96,QCREC_N,2,),IF(AND(H96="NIC",OR(I96="TN",I96="TDN",I96="TNO2-3",I96="NO2-3")),VLOOKUP(E96,QCNIC_N,2,),IF(AND(H96="UREA",OR(I96="TN",I96="TDN",I96="TNO2-3",I96="NO2-3")),VLOOKUP(E96,QCUREA_N,2,),IF(H96="PER",VLOOKUP(I96,QCPER,MATCH(E96,QCACTUAL!$J$25:$AA$25,0),),IF(H96="SPK",VLOOKUP(I96,QCSPK,3,),IF(AND(H96="ATP",OR(I96="TP",I96="TDP")),VLOOKUP(E96,QCATP_P,2,),""))))))))</f>
        <v/>
      </c>
      <c r="W96" s="31" t="str">
        <f t="shared" si="9"/>
        <v>TRUE</v>
      </c>
      <c r="X96" s="31" t="str">
        <f t="shared" si="10"/>
        <v>nominal concentration</v>
      </c>
      <c r="Y96" s="10" t="s">
        <v>949</v>
      </c>
      <c r="AL96" s="10" t="str">
        <f t="shared" si="12"/>
        <v>FALSE</v>
      </c>
      <c r="AM96" s="10" t="str">
        <f t="shared" si="12"/>
        <v>FALSE</v>
      </c>
      <c r="AN96" s="10" t="str">
        <f t="shared" si="12"/>
        <v>FALSE</v>
      </c>
      <c r="AO96" s="10" t="str">
        <f t="shared" si="13"/>
        <v>FALSE</v>
      </c>
      <c r="AP96" s="10" t="str">
        <f t="shared" si="13"/>
        <v>FALSE</v>
      </c>
      <c r="AQ96" s="10" t="b">
        <f>IF(AND(I96="TP",S96&lt;=150),VLOOKUP(AF96,TPCalibEq150!$AZ$2:$BB$55,3,),IF(AND(I96="TDP",S96&lt;=150),VLOOKUP(AF96,TPCalibEq150!$AZ$2:$BB$55,3,)))</f>
        <v>0</v>
      </c>
      <c r="AR96" s="10" t="b">
        <f>IF(AND(I96="TP",S96&lt;=300),VLOOKUP(AF96,TPCalibEq300!$AZ$2:$BB$55,3,),IF(AND(I96="TDP",S96&lt;=300),VLOOKUP(AF96,TPCalibEq300!$AZ$2:$BB$55,3,)))</f>
        <v>0</v>
      </c>
      <c r="AS96" s="10" t="b">
        <f>IF(AND(I96="TP",S96&lt;=500),VLOOKUP(AF96,TPCalibEq500!$AZ$2:$BB$56,3,),IF(AND(I96="TDP",S96&lt;=500),VLOOKUP(AF96,TPCalibEq500!$AZ$2:$BB$56,3,)))</f>
        <v>0</v>
      </c>
      <c r="AT96" s="10" t="b">
        <f>IF(AND(I96="TN",S96&lt;=2800),VLOOKUP(AF96,TNCalibEq2500!$AZ$2:$BB$56,3,),IF(AND(I96="TDN",S96&lt;=2800),VLOOKUP(AF96,TNCalibEq2500!$AZ$2:$BB$56,3,)))</f>
        <v>0</v>
      </c>
      <c r="AU96" s="10" t="b">
        <f>IF(I96="TP",VLOOKUP(AF96,TPCalibEqFull!$AZ$2:$BB$56,3),IF(I96="TDP",VLOOKUP(AF96,TPCalibEqFull!$AZ$2:$BB$56,3),IF(I96="TDN",VLOOKUP(AF96,TNCalibEqFull!$AZ$1:$BB$56,3),IF(I96="TN",VLOOKUP(AF96,TNCalibEqFull!$AZ$1:$BB$56,3),FALSE))))</f>
        <v>0</v>
      </c>
      <c r="AV96" s="10" t="str">
        <f t="shared" si="11"/>
        <v>0103 06:00:00-QAC-BLK-A-1-DI-ESF</v>
      </c>
    </row>
    <row r="97" spans="1:48" s="10" customFormat="1" x14ac:dyDescent="0.55000000000000004">
      <c r="A97" s="32">
        <v>44915</v>
      </c>
      <c r="B97" s="33">
        <v>0.24930555555555556</v>
      </c>
      <c r="C97" s="10" t="s">
        <v>70</v>
      </c>
      <c r="D97" s="10" t="s">
        <v>241</v>
      </c>
      <c r="E97" s="10" t="s">
        <v>911</v>
      </c>
      <c r="F97" s="10">
        <v>1</v>
      </c>
      <c r="G97" s="10" t="s">
        <v>73</v>
      </c>
      <c r="H97" s="10" t="s">
        <v>245</v>
      </c>
      <c r="I97" s="10" t="s">
        <v>167</v>
      </c>
      <c r="J97" s="10">
        <v>56</v>
      </c>
      <c r="K97" s="12">
        <v>44930</v>
      </c>
      <c r="L97" s="33">
        <v>0.45219907407407406</v>
      </c>
      <c r="M97" s="10">
        <v>1</v>
      </c>
      <c r="N97" s="10" t="s">
        <v>211</v>
      </c>
      <c r="O97" s="10">
        <v>1.6500000000000001E-2</v>
      </c>
      <c r="P97" s="10">
        <v>1.08E-3</v>
      </c>
      <c r="Q97" s="10">
        <v>2.92</v>
      </c>
      <c r="R97" s="10" t="s">
        <v>913</v>
      </c>
      <c r="S97" s="34">
        <f t="shared" si="7"/>
        <v>2.92</v>
      </c>
      <c r="T97" s="10" t="s">
        <v>938</v>
      </c>
      <c r="U97" s="34">
        <f t="shared" si="8"/>
        <v>2.92</v>
      </c>
      <c r="V97" s="31" t="str">
        <f>IF(H97="CHK",VLOOKUP(I97,QCCHK,3,),IF(H97="GUP",VLOOKUP(E97,QCGUP,2,),IF(AND(H97="ATP",OR(I97="TN",I97="TDN",I97="TNO2-3",I97="NO2-3")),VLOOKUP(E97,QCREC_N,2,),IF(AND(H97="NIC",OR(I97="TN",I97="TDN",I97="TNO2-3",I97="NO2-3")),VLOOKUP(E97,QCNIC_N,2,),IF(AND(H97="UREA",OR(I97="TN",I97="TDN",I97="TNO2-3",I97="NO2-3")),VLOOKUP(E97,QCUREA_N,2,),IF(H97="PER",VLOOKUP(I97,QCPER,MATCH(E97,QCACTUAL!$J$25:$AA$25,0),),IF(H97="SPK",VLOOKUP(I97,QCSPK,3,),IF(AND(H97="ATP",OR(I97="TP",I97="TDP")),VLOOKUP(E97,QCATP_P,2,),""))))))))</f>
        <v/>
      </c>
      <c r="W97" s="31" t="str">
        <f t="shared" si="9"/>
        <v>TRUE</v>
      </c>
      <c r="X97" s="31" t="str">
        <f t="shared" si="10"/>
        <v>nominal concentration</v>
      </c>
      <c r="Y97" s="10" t="s">
        <v>949</v>
      </c>
      <c r="Z97" s="10" t="s">
        <v>910</v>
      </c>
      <c r="AL97" s="10" t="str">
        <f t="shared" si="12"/>
        <v>FALSE</v>
      </c>
      <c r="AM97" s="10" t="str">
        <f t="shared" si="12"/>
        <v>FALSE</v>
      </c>
      <c r="AN97" s="10" t="str">
        <f t="shared" si="12"/>
        <v>FALSE</v>
      </c>
      <c r="AO97" s="10" t="str">
        <f t="shared" si="13"/>
        <v>FALSE</v>
      </c>
      <c r="AP97" s="10" t="str">
        <f t="shared" si="13"/>
        <v>FALSE</v>
      </c>
      <c r="AQ97" s="10" t="b">
        <f>IF(AND(I97="TP",S97&lt;=150),VLOOKUP(AF97,TPCalibEq150!$AZ$2:$BB$55,3,),IF(AND(I97="TDP",S97&lt;=150),VLOOKUP(AF97,TPCalibEq150!$AZ$2:$BB$55,3,)))</f>
        <v>0</v>
      </c>
      <c r="AR97" s="10" t="b">
        <f>IF(AND(I97="TP",S97&lt;=300),VLOOKUP(AF97,TPCalibEq300!$AZ$2:$BB$55,3,),IF(AND(I97="TDP",S97&lt;=300),VLOOKUP(AF97,TPCalibEq300!$AZ$2:$BB$55,3,)))</f>
        <v>0</v>
      </c>
      <c r="AS97" s="10" t="b">
        <f>IF(AND(I97="TP",S97&lt;=500),VLOOKUP(AF97,TPCalibEq500!$AZ$2:$BB$56,3,),IF(AND(I97="TDP",S97&lt;=500),VLOOKUP(AF97,TPCalibEq500!$AZ$2:$BB$56,3,)))</f>
        <v>0</v>
      </c>
      <c r="AT97" s="10" t="b">
        <f>IF(AND(I97="TN",S97&lt;=2800),VLOOKUP(AF97,TNCalibEq2500!$AZ$2:$BB$56,3,),IF(AND(I97="TDN",S97&lt;=2800),VLOOKUP(AF97,TNCalibEq2500!$AZ$2:$BB$56,3,)))</f>
        <v>0</v>
      </c>
      <c r="AU97" s="10" t="b">
        <f>IF(I97="TP",VLOOKUP(AF97,TPCalibEqFull!$AZ$2:$BB$56,3),IF(I97="TDP",VLOOKUP(AF97,TPCalibEqFull!$AZ$2:$BB$56,3),IF(I97="TDN",VLOOKUP(AF97,TNCalibEqFull!$AZ$1:$BB$56,3),IF(I97="TN",VLOOKUP(AF97,TNCalibEqFull!$AZ$1:$BB$56,3),FALSE))))</f>
        <v>0</v>
      </c>
      <c r="AV97" s="10" t="str">
        <f t="shared" si="11"/>
        <v>1220 05:59:00-QAC-BLK-FIL-1-DI-ESF</v>
      </c>
    </row>
    <row r="98" spans="1:48" s="10" customFormat="1" x14ac:dyDescent="0.55000000000000004">
      <c r="A98" s="32">
        <v>44922</v>
      </c>
      <c r="B98" s="33">
        <v>0.25347222222222221</v>
      </c>
      <c r="C98" s="10" t="s">
        <v>70</v>
      </c>
      <c r="D98" s="10" t="s">
        <v>241</v>
      </c>
      <c r="E98" s="10" t="s">
        <v>911</v>
      </c>
      <c r="F98" s="10">
        <v>1</v>
      </c>
      <c r="G98" s="10" t="s">
        <v>73</v>
      </c>
      <c r="H98" s="10" t="s">
        <v>245</v>
      </c>
      <c r="I98" s="10" t="s">
        <v>167</v>
      </c>
      <c r="J98" s="10">
        <v>57</v>
      </c>
      <c r="K98" s="12">
        <v>44930</v>
      </c>
      <c r="L98" s="33">
        <v>0.45300925925925922</v>
      </c>
      <c r="M98" s="10">
        <v>1</v>
      </c>
      <c r="N98" s="10" t="s">
        <v>211</v>
      </c>
      <c r="O98" s="10">
        <v>1.11E-2</v>
      </c>
      <c r="P98" s="10">
        <v>8.5599999999999999E-4</v>
      </c>
      <c r="Q98" s="10">
        <v>1.96</v>
      </c>
      <c r="R98" s="10" t="s">
        <v>913</v>
      </c>
      <c r="S98" s="34">
        <f t="shared" si="7"/>
        <v>1.96</v>
      </c>
      <c r="T98" s="10" t="s">
        <v>938</v>
      </c>
      <c r="U98" s="34">
        <f t="shared" si="8"/>
        <v>1.96</v>
      </c>
      <c r="V98" s="31" t="str">
        <f>IF(H98="CHK",VLOOKUP(I98,QCCHK,3,),IF(H98="GUP",VLOOKUP(E98,QCGUP,2,),IF(AND(H98="ATP",OR(I98="TN",I98="TDN",I98="TNO2-3",I98="NO2-3")),VLOOKUP(E98,QCREC_N,2,),IF(AND(H98="NIC",OR(I98="TN",I98="TDN",I98="TNO2-3",I98="NO2-3")),VLOOKUP(E98,QCNIC_N,2,),IF(AND(H98="UREA",OR(I98="TN",I98="TDN",I98="TNO2-3",I98="NO2-3")),VLOOKUP(E98,QCUREA_N,2,),IF(H98="PER",VLOOKUP(I98,QCPER,MATCH(E98,QCACTUAL!$J$25:$AA$25,0),),IF(H98="SPK",VLOOKUP(I98,QCSPK,3,),IF(AND(H98="ATP",OR(I98="TP",I98="TDP")),VLOOKUP(E98,QCATP_P,2,),""))))))))</f>
        <v/>
      </c>
      <c r="W98" s="31" t="str">
        <f t="shared" si="9"/>
        <v>TRUE</v>
      </c>
      <c r="X98" s="31" t="str">
        <f t="shared" si="10"/>
        <v>nominal concentration</v>
      </c>
      <c r="Y98" s="10" t="s">
        <v>949</v>
      </c>
      <c r="Z98" s="10" t="s">
        <v>910</v>
      </c>
      <c r="AL98" s="10" t="str">
        <f t="shared" si="12"/>
        <v>FALSE</v>
      </c>
      <c r="AM98" s="10" t="str">
        <f t="shared" si="12"/>
        <v>FALSE</v>
      </c>
      <c r="AN98" s="10" t="str">
        <f t="shared" si="12"/>
        <v>FALSE</v>
      </c>
      <c r="AO98" s="10" t="str">
        <f t="shared" si="13"/>
        <v>FALSE</v>
      </c>
      <c r="AP98" s="10" t="str">
        <f t="shared" si="13"/>
        <v>FALSE</v>
      </c>
      <c r="AQ98" s="10" t="b">
        <f>IF(AND(I98="TP",S98&lt;=150),VLOOKUP(AF98,TPCalibEq150!$AZ$2:$BB$55,3,),IF(AND(I98="TDP",S98&lt;=150),VLOOKUP(AF98,TPCalibEq150!$AZ$2:$BB$55,3,)))</f>
        <v>0</v>
      </c>
      <c r="AR98" s="10" t="b">
        <f>IF(AND(I98="TP",S98&lt;=300),VLOOKUP(AF98,TPCalibEq300!$AZ$2:$BB$55,3,),IF(AND(I98="TDP",S98&lt;=300),VLOOKUP(AF98,TPCalibEq300!$AZ$2:$BB$55,3,)))</f>
        <v>0</v>
      </c>
      <c r="AS98" s="10" t="b">
        <f>IF(AND(I98="TP",S98&lt;=500),VLOOKUP(AF98,TPCalibEq500!$AZ$2:$BB$56,3,),IF(AND(I98="TDP",S98&lt;=500),VLOOKUP(AF98,TPCalibEq500!$AZ$2:$BB$56,3,)))</f>
        <v>0</v>
      </c>
      <c r="AT98" s="10" t="b">
        <f>IF(AND(I98="TN",S98&lt;=2800),VLOOKUP(AF98,TNCalibEq2500!$AZ$2:$BB$56,3,),IF(AND(I98="TDN",S98&lt;=2800),VLOOKUP(AF98,TNCalibEq2500!$AZ$2:$BB$56,3,)))</f>
        <v>0</v>
      </c>
      <c r="AU98" s="10" t="b">
        <f>IF(I98="TP",VLOOKUP(AF98,TPCalibEqFull!$AZ$2:$BB$56,3),IF(I98="TDP",VLOOKUP(AF98,TPCalibEqFull!$AZ$2:$BB$56,3),IF(I98="TDN",VLOOKUP(AF98,TNCalibEqFull!$AZ$1:$BB$56,3),IF(I98="TN",VLOOKUP(AF98,TNCalibEqFull!$AZ$1:$BB$56,3),FALSE))))</f>
        <v>0</v>
      </c>
      <c r="AV98" s="10" t="str">
        <f t="shared" si="11"/>
        <v>1227 06:05:00-QAC-BLK-FIL-1-DI-ESF</v>
      </c>
    </row>
    <row r="99" spans="1:48" s="10" customFormat="1" x14ac:dyDescent="0.55000000000000004">
      <c r="A99" s="32">
        <v>44929</v>
      </c>
      <c r="B99" s="33">
        <v>0.25</v>
      </c>
      <c r="C99" s="10" t="s">
        <v>70</v>
      </c>
      <c r="D99" s="10" t="s">
        <v>241</v>
      </c>
      <c r="E99" s="10" t="s">
        <v>911</v>
      </c>
      <c r="F99" s="10">
        <v>1</v>
      </c>
      <c r="G99" s="10" t="s">
        <v>73</v>
      </c>
      <c r="H99" s="10" t="s">
        <v>245</v>
      </c>
      <c r="I99" s="10" t="s">
        <v>167</v>
      </c>
      <c r="J99" s="10">
        <v>58</v>
      </c>
      <c r="K99" s="12">
        <v>44930</v>
      </c>
      <c r="L99" s="33">
        <v>0.4538194444444445</v>
      </c>
      <c r="M99" s="10">
        <v>1</v>
      </c>
      <c r="N99" s="10" t="s">
        <v>211</v>
      </c>
      <c r="O99" s="10">
        <v>1.11E-2</v>
      </c>
      <c r="P99" s="10">
        <v>7.2499999999999995E-4</v>
      </c>
      <c r="Q99" s="10">
        <v>1.96</v>
      </c>
      <c r="R99" s="10" t="s">
        <v>913</v>
      </c>
      <c r="S99" s="34">
        <f t="shared" si="7"/>
        <v>1.96</v>
      </c>
      <c r="T99" s="10" t="s">
        <v>938</v>
      </c>
      <c r="U99" s="34">
        <f t="shared" si="8"/>
        <v>1.96</v>
      </c>
      <c r="V99" s="31" t="str">
        <f>IF(H99="CHK",VLOOKUP(I99,QCCHK,3,),IF(H99="GUP",VLOOKUP(E99,QCGUP,2,),IF(AND(H99="ATP",OR(I99="TN",I99="TDN",I99="TNO2-3",I99="NO2-3")),VLOOKUP(E99,QCREC_N,2,),IF(AND(H99="NIC",OR(I99="TN",I99="TDN",I99="TNO2-3",I99="NO2-3")),VLOOKUP(E99,QCNIC_N,2,),IF(AND(H99="UREA",OR(I99="TN",I99="TDN",I99="TNO2-3",I99="NO2-3")),VLOOKUP(E99,QCUREA_N,2,),IF(H99="PER",VLOOKUP(I99,QCPER,MATCH(E99,QCACTUAL!$J$25:$AA$25,0),),IF(H99="SPK",VLOOKUP(I99,QCSPK,3,),IF(AND(H99="ATP",OR(I99="TP",I99="TDP")),VLOOKUP(E99,QCATP_P,2,),""))))))))</f>
        <v/>
      </c>
      <c r="W99" s="31" t="str">
        <f t="shared" si="9"/>
        <v>TRUE</v>
      </c>
      <c r="X99" s="31" t="str">
        <f t="shared" si="10"/>
        <v>nominal concentration</v>
      </c>
      <c r="Y99" s="10" t="s">
        <v>949</v>
      </c>
      <c r="AL99" s="10" t="str">
        <f t="shared" si="12"/>
        <v>FALSE</v>
      </c>
      <c r="AM99" s="10" t="str">
        <f t="shared" si="12"/>
        <v>FALSE</v>
      </c>
      <c r="AN99" s="10" t="str">
        <f t="shared" si="12"/>
        <v>FALSE</v>
      </c>
      <c r="AO99" s="10" t="str">
        <f t="shared" si="13"/>
        <v>FALSE</v>
      </c>
      <c r="AP99" s="10" t="str">
        <f t="shared" si="13"/>
        <v>FALSE</v>
      </c>
      <c r="AQ99" s="10" t="b">
        <f>IF(AND(I99="TP",S99&lt;=150),VLOOKUP(AF99,TPCalibEq150!$AZ$2:$BB$55,3,),IF(AND(I99="TDP",S99&lt;=150),VLOOKUP(AF99,TPCalibEq150!$AZ$2:$BB$55,3,)))</f>
        <v>0</v>
      </c>
      <c r="AR99" s="10" t="b">
        <f>IF(AND(I99="TP",S99&lt;=300),VLOOKUP(AF99,TPCalibEq300!$AZ$2:$BB$55,3,),IF(AND(I99="TDP",S99&lt;=300),VLOOKUP(AF99,TPCalibEq300!$AZ$2:$BB$55,3,)))</f>
        <v>0</v>
      </c>
      <c r="AS99" s="10" t="b">
        <f>IF(AND(I99="TP",S99&lt;=500),VLOOKUP(AF99,TPCalibEq500!$AZ$2:$BB$56,3,),IF(AND(I99="TDP",S99&lt;=500),VLOOKUP(AF99,TPCalibEq500!$AZ$2:$BB$56,3,)))</f>
        <v>0</v>
      </c>
      <c r="AT99" s="10" t="b">
        <f>IF(AND(I99="TN",S99&lt;=2800),VLOOKUP(AF99,TNCalibEq2500!$AZ$2:$BB$56,3,),IF(AND(I99="TDN",S99&lt;=2800),VLOOKUP(AF99,TNCalibEq2500!$AZ$2:$BB$56,3,)))</f>
        <v>0</v>
      </c>
      <c r="AU99" s="10" t="b">
        <f>IF(I99="TP",VLOOKUP(AF99,TPCalibEqFull!$AZ$2:$BB$56,3),IF(I99="TDP",VLOOKUP(AF99,TPCalibEqFull!$AZ$2:$BB$56,3),IF(I99="TDN",VLOOKUP(AF99,TNCalibEqFull!$AZ$1:$BB$56,3),IF(I99="TN",VLOOKUP(AF99,TNCalibEqFull!$AZ$1:$BB$56,3),FALSE))))</f>
        <v>0</v>
      </c>
      <c r="AV99" s="10" t="str">
        <f t="shared" si="11"/>
        <v>0103 06:00:00-QAC-BLK-FIL-1-DI-ESF</v>
      </c>
    </row>
    <row r="100" spans="1:48" s="10" customFormat="1" x14ac:dyDescent="0.55000000000000004">
      <c r="A100" s="32">
        <v>44909</v>
      </c>
      <c r="B100" s="33">
        <v>0.23541666666666669</v>
      </c>
      <c r="C100" s="10" t="s">
        <v>279</v>
      </c>
      <c r="D100" s="10">
        <v>0</v>
      </c>
      <c r="E100" s="10" t="s">
        <v>190</v>
      </c>
      <c r="F100" s="10">
        <v>1</v>
      </c>
      <c r="G100" s="10" t="s">
        <v>231</v>
      </c>
      <c r="H100" s="10" t="s">
        <v>322</v>
      </c>
      <c r="I100" s="10" t="s">
        <v>285</v>
      </c>
      <c r="J100" s="10">
        <v>1</v>
      </c>
      <c r="K100" s="12">
        <v>44930</v>
      </c>
      <c r="L100" s="33">
        <v>0.4546412037037037</v>
      </c>
      <c r="M100" s="10">
        <v>1</v>
      </c>
      <c r="N100" s="10" t="s">
        <v>211</v>
      </c>
      <c r="O100" s="10">
        <v>0.72399999999999998</v>
      </c>
      <c r="P100" s="10">
        <v>7.1800000000000003E-2</v>
      </c>
      <c r="Q100" s="10">
        <v>128</v>
      </c>
      <c r="R100" s="10" t="s">
        <v>913</v>
      </c>
      <c r="S100" s="34">
        <f t="shared" si="7"/>
        <v>128</v>
      </c>
      <c r="T100" s="10" t="s">
        <v>938</v>
      </c>
      <c r="U100" s="34" t="str">
        <f t="shared" si="8"/>
        <v/>
      </c>
      <c r="V100" s="31" t="str">
        <f>IF(H100="CHK",VLOOKUP(I100,QCCHK,3,),IF(H100="GUP",VLOOKUP(E100,QCGUP,2,),IF(AND(H100="ATP",OR(I100="TN",I100="TDN",I100="TNO2-3",I100="NO2-3")),VLOOKUP(E100,QCREC_N,2,),IF(AND(H100="NIC",OR(I100="TN",I100="TDN",I100="TNO2-3",I100="NO2-3")),VLOOKUP(E100,QCNIC_N,2,),IF(AND(H100="UREA",OR(I100="TN",I100="TDN",I100="TNO2-3",I100="NO2-3")),VLOOKUP(E100,QCUREA_N,2,),IF(H100="PER",VLOOKUP(I100,QCPER,MATCH(E100,QCACTUAL!$J$25:$AA$25,0),),IF(H100="SPK",VLOOKUP(I100,QCSPK,3,),IF(AND(H100="ATP",OR(I100="TP",I100="TDP")),VLOOKUP(E100,QCATP_P,2,),""))))))))</f>
        <v/>
      </c>
      <c r="W100" s="31" t="str">
        <f t="shared" si="9"/>
        <v>TRUE</v>
      </c>
      <c r="X100" s="31" t="str">
        <f t="shared" si="10"/>
        <v/>
      </c>
      <c r="Y100" s="10" t="s">
        <v>949</v>
      </c>
      <c r="Z100" s="10" t="s">
        <v>910</v>
      </c>
      <c r="AL100" s="10" t="str">
        <f t="shared" si="12"/>
        <v>FALSE</v>
      </c>
      <c r="AM100" s="10" t="str">
        <f t="shared" si="12"/>
        <v>FALSE</v>
      </c>
      <c r="AN100" s="10" t="str">
        <f t="shared" si="12"/>
        <v>FALSE</v>
      </c>
      <c r="AO100" s="10" t="str">
        <f t="shared" si="13"/>
        <v>FALSE</v>
      </c>
      <c r="AP100" s="10" t="str">
        <f t="shared" si="13"/>
        <v>FALSE</v>
      </c>
      <c r="AQ100" s="10" t="b">
        <f>IF(AND(I100="TP",S100&lt;=150),VLOOKUP(AF100,TPCalibEq150!$AZ$2:$BB$55,3,),IF(AND(I100="TDP",S100&lt;=150),VLOOKUP(AF100,TPCalibEq150!$AZ$2:$BB$55,3,)))</f>
        <v>0</v>
      </c>
      <c r="AR100" s="10" t="b">
        <f>IF(AND(I100="TP",S100&lt;=300),VLOOKUP(AF100,TPCalibEq300!$AZ$2:$BB$55,3,),IF(AND(I100="TDP",S100&lt;=300),VLOOKUP(AF100,TPCalibEq300!$AZ$2:$BB$55,3,)))</f>
        <v>0</v>
      </c>
      <c r="AS100" s="10" t="b">
        <f>IF(AND(I100="TP",S100&lt;=500),VLOOKUP(AF100,TPCalibEq500!$AZ$2:$BB$56,3,),IF(AND(I100="TDP",S100&lt;=500),VLOOKUP(AF100,TPCalibEq500!$AZ$2:$BB$56,3,)))</f>
        <v>0</v>
      </c>
      <c r="AT100" s="10" t="b">
        <f>IF(AND(I100="TN",S100&lt;=2800),VLOOKUP(AF100,TNCalibEq2500!$AZ$2:$BB$56,3,),IF(AND(I100="TDN",S100&lt;=2800),VLOOKUP(AF100,TNCalibEq2500!$AZ$2:$BB$56,3,)))</f>
        <v>0</v>
      </c>
      <c r="AU100" s="10" t="b">
        <f>IF(I100="TP",VLOOKUP(AF100,TPCalibEqFull!$AZ$2:$BB$56,3),IF(I100="TDP",VLOOKUP(AF100,TPCalibEqFull!$AZ$2:$BB$56,3),IF(I100="TDN",VLOOKUP(AF100,TNCalibEqFull!$AZ$1:$BB$56,3),IF(I100="TN",VLOOKUP(AF100,TNCalibEqFull!$AZ$1:$BB$56,3),FALSE))))</f>
        <v>0</v>
      </c>
      <c r="AV100" s="10" t="str">
        <f t="shared" si="11"/>
        <v>1214 05:39:00-EFK-0-C-1-SW-UKN</v>
      </c>
    </row>
    <row r="101" spans="1:48" s="10" customFormat="1" x14ac:dyDescent="0.55000000000000004">
      <c r="A101" s="32">
        <v>44909</v>
      </c>
      <c r="B101" s="33">
        <v>0.24236111111111111</v>
      </c>
      <c r="C101" s="10" t="s">
        <v>333</v>
      </c>
      <c r="D101" s="10">
        <v>0</v>
      </c>
      <c r="E101" s="10" t="s">
        <v>190</v>
      </c>
      <c r="F101" s="10">
        <v>1</v>
      </c>
      <c r="G101" s="10" t="s">
        <v>231</v>
      </c>
      <c r="H101" s="10" t="s">
        <v>322</v>
      </c>
      <c r="I101" s="10" t="s">
        <v>285</v>
      </c>
      <c r="J101" s="10">
        <v>2</v>
      </c>
      <c r="K101" s="12">
        <v>44930</v>
      </c>
      <c r="L101" s="33">
        <v>0.45546296296296296</v>
      </c>
      <c r="M101" s="10">
        <v>1</v>
      </c>
      <c r="N101" s="10" t="s">
        <v>211</v>
      </c>
      <c r="O101" s="10">
        <v>0.20499999999999999</v>
      </c>
      <c r="P101" s="10">
        <v>0.02</v>
      </c>
      <c r="Q101" s="10">
        <v>36.200000000000003</v>
      </c>
      <c r="R101" s="10" t="s">
        <v>913</v>
      </c>
      <c r="S101" s="34">
        <f t="shared" si="7"/>
        <v>36.200000000000003</v>
      </c>
      <c r="T101" s="10" t="s">
        <v>938</v>
      </c>
      <c r="U101" s="34" t="str">
        <f t="shared" si="8"/>
        <v/>
      </c>
      <c r="V101" s="31" t="str">
        <f>IF(H101="CHK",VLOOKUP(I101,QCCHK,3,),IF(H101="GUP",VLOOKUP(E101,QCGUP,2,),IF(AND(H101="ATP",OR(I101="TN",I101="TDN",I101="TNO2-3",I101="NO2-3")),VLOOKUP(E101,QCREC_N,2,),IF(AND(H101="NIC",OR(I101="TN",I101="TDN",I101="TNO2-3",I101="NO2-3")),VLOOKUP(E101,QCNIC_N,2,),IF(AND(H101="UREA",OR(I101="TN",I101="TDN",I101="TNO2-3",I101="NO2-3")),VLOOKUP(E101,QCUREA_N,2,),IF(H101="PER",VLOOKUP(I101,QCPER,MATCH(E101,QCACTUAL!$J$25:$AA$25,0),),IF(H101="SPK",VLOOKUP(I101,QCSPK,3,),IF(AND(H101="ATP",OR(I101="TP",I101="TDP")),VLOOKUP(E101,QCATP_P,2,),""))))))))</f>
        <v/>
      </c>
      <c r="W101" s="31" t="str">
        <f t="shared" si="9"/>
        <v>TRUE</v>
      </c>
      <c r="X101" s="31" t="str">
        <f t="shared" si="10"/>
        <v/>
      </c>
      <c r="Y101" s="10" t="s">
        <v>949</v>
      </c>
      <c r="Z101" s="10" t="s">
        <v>910</v>
      </c>
      <c r="AL101" s="10" t="str">
        <f t="shared" si="12"/>
        <v>FALSE</v>
      </c>
      <c r="AM101" s="10" t="str">
        <f t="shared" si="12"/>
        <v>FALSE</v>
      </c>
      <c r="AN101" s="10" t="str">
        <f t="shared" si="12"/>
        <v>FALSE</v>
      </c>
      <c r="AO101" s="10" t="str">
        <f t="shared" si="13"/>
        <v>FALSE</v>
      </c>
      <c r="AP101" s="10" t="str">
        <f t="shared" si="13"/>
        <v>FALSE</v>
      </c>
      <c r="AQ101" s="10" t="b">
        <f>IF(AND(I101="TP",S101&lt;=150),VLOOKUP(AF101,TPCalibEq150!$AZ$2:$BB$55,3,),IF(AND(I101="TDP",S101&lt;=150),VLOOKUP(AF101,TPCalibEq150!$AZ$2:$BB$55,3,)))</f>
        <v>0</v>
      </c>
      <c r="AR101" s="10" t="b">
        <f>IF(AND(I101="TP",S101&lt;=300),VLOOKUP(AF101,TPCalibEq300!$AZ$2:$BB$55,3,),IF(AND(I101="TDP",S101&lt;=300),VLOOKUP(AF101,TPCalibEq300!$AZ$2:$BB$55,3,)))</f>
        <v>0</v>
      </c>
      <c r="AS101" s="10" t="b">
        <f>IF(AND(I101="TP",S101&lt;=500),VLOOKUP(AF101,TPCalibEq500!$AZ$2:$BB$56,3,),IF(AND(I101="TDP",S101&lt;=500),VLOOKUP(AF101,TPCalibEq500!$AZ$2:$BB$56,3,)))</f>
        <v>0</v>
      </c>
      <c r="AT101" s="10" t="b">
        <f>IF(AND(I101="TN",S101&lt;=2800),VLOOKUP(AF101,TNCalibEq2500!$AZ$2:$BB$56,3,),IF(AND(I101="TDN",S101&lt;=2800),VLOOKUP(AF101,TNCalibEq2500!$AZ$2:$BB$56,3,)))</f>
        <v>0</v>
      </c>
      <c r="AU101" s="10" t="b">
        <f>IF(I101="TP",VLOOKUP(AF101,TPCalibEqFull!$AZ$2:$BB$56,3),IF(I101="TDP",VLOOKUP(AF101,TPCalibEqFull!$AZ$2:$BB$56,3),IF(I101="TDN",VLOOKUP(AF101,TNCalibEqFull!$AZ$1:$BB$56,3),IF(I101="TN",VLOOKUP(AF101,TNCalibEqFull!$AZ$1:$BB$56,3),FALSE))))</f>
        <v>0</v>
      </c>
      <c r="AV101" s="10" t="str">
        <f t="shared" si="11"/>
        <v>1214 05:49:00-HST-0-C-1-SW-UKN</v>
      </c>
    </row>
    <row r="102" spans="1:48" s="10" customFormat="1" x14ac:dyDescent="0.55000000000000004">
      <c r="A102" s="32">
        <v>44910</v>
      </c>
      <c r="B102" s="33">
        <v>0.18472222222222223</v>
      </c>
      <c r="C102" s="10" t="s">
        <v>279</v>
      </c>
      <c r="D102" s="10">
        <v>0</v>
      </c>
      <c r="E102" s="10" t="s">
        <v>190</v>
      </c>
      <c r="F102" s="10">
        <v>1</v>
      </c>
      <c r="G102" s="10" t="s">
        <v>231</v>
      </c>
      <c r="H102" s="10" t="s">
        <v>322</v>
      </c>
      <c r="I102" s="10" t="s">
        <v>285</v>
      </c>
      <c r="J102" s="10">
        <v>3</v>
      </c>
      <c r="K102" s="12">
        <v>44930</v>
      </c>
      <c r="L102" s="33">
        <v>0.45628472222222222</v>
      </c>
      <c r="M102" s="10">
        <v>1</v>
      </c>
      <c r="N102" s="10" t="s">
        <v>211</v>
      </c>
      <c r="O102" s="10">
        <v>0.71199999999999997</v>
      </c>
      <c r="P102" s="10">
        <v>7.0499999999999993E-2</v>
      </c>
      <c r="Q102" s="10">
        <v>126</v>
      </c>
      <c r="R102" s="10" t="s">
        <v>913</v>
      </c>
      <c r="S102" s="34">
        <f t="shared" si="7"/>
        <v>126</v>
      </c>
      <c r="T102" s="10" t="s">
        <v>938</v>
      </c>
      <c r="U102" s="34" t="str">
        <f t="shared" si="8"/>
        <v/>
      </c>
      <c r="V102" s="31" t="str">
        <f>IF(H102="CHK",VLOOKUP(I102,QCCHK,3,),IF(H102="GUP",VLOOKUP(E102,QCGUP,2,),IF(AND(H102="ATP",OR(I102="TN",I102="TDN",I102="TNO2-3",I102="NO2-3")),VLOOKUP(E102,QCREC_N,2,),IF(AND(H102="NIC",OR(I102="TN",I102="TDN",I102="TNO2-3",I102="NO2-3")),VLOOKUP(E102,QCNIC_N,2,),IF(AND(H102="UREA",OR(I102="TN",I102="TDN",I102="TNO2-3",I102="NO2-3")),VLOOKUP(E102,QCUREA_N,2,),IF(H102="PER",VLOOKUP(I102,QCPER,MATCH(E102,QCACTUAL!$J$25:$AA$25,0),),IF(H102="SPK",VLOOKUP(I102,QCSPK,3,),IF(AND(H102="ATP",OR(I102="TP",I102="TDP")),VLOOKUP(E102,QCATP_P,2,),""))))))))</f>
        <v/>
      </c>
      <c r="W102" s="31" t="str">
        <f t="shared" si="9"/>
        <v>TRUE</v>
      </c>
      <c r="X102" s="31" t="str">
        <f t="shared" si="10"/>
        <v/>
      </c>
      <c r="Y102" s="10" t="s">
        <v>949</v>
      </c>
      <c r="Z102" s="10" t="s">
        <v>910</v>
      </c>
      <c r="AL102" s="10" t="str">
        <f t="shared" si="12"/>
        <v>FALSE</v>
      </c>
      <c r="AM102" s="10" t="str">
        <f t="shared" si="12"/>
        <v>FALSE</v>
      </c>
      <c r="AN102" s="10" t="str">
        <f t="shared" si="12"/>
        <v>FALSE</v>
      </c>
      <c r="AO102" s="10" t="str">
        <f t="shared" si="13"/>
        <v>FALSE</v>
      </c>
      <c r="AP102" s="10" t="str">
        <f t="shared" si="13"/>
        <v>FALSE</v>
      </c>
      <c r="AQ102" s="10" t="b">
        <f>IF(AND(I102="TP",S102&lt;=150),VLOOKUP(AF102,TPCalibEq150!$AZ$2:$BB$55,3,),IF(AND(I102="TDP",S102&lt;=150),VLOOKUP(AF102,TPCalibEq150!$AZ$2:$BB$55,3,)))</f>
        <v>0</v>
      </c>
      <c r="AR102" s="10" t="b">
        <f>IF(AND(I102="TP",S102&lt;=300),VLOOKUP(AF102,TPCalibEq300!$AZ$2:$BB$55,3,),IF(AND(I102="TDP",S102&lt;=300),VLOOKUP(AF102,TPCalibEq300!$AZ$2:$BB$55,3,)))</f>
        <v>0</v>
      </c>
      <c r="AS102" s="10" t="b">
        <f>IF(AND(I102="TP",S102&lt;=500),VLOOKUP(AF102,TPCalibEq500!$AZ$2:$BB$56,3,),IF(AND(I102="TDP",S102&lt;=500),VLOOKUP(AF102,TPCalibEq500!$AZ$2:$BB$56,3,)))</f>
        <v>0</v>
      </c>
      <c r="AT102" s="10" t="b">
        <f>IF(AND(I102="TN",S102&lt;=2800),VLOOKUP(AF102,TNCalibEq2500!$AZ$2:$BB$56,3,),IF(AND(I102="TDN",S102&lt;=2800),VLOOKUP(AF102,TNCalibEq2500!$AZ$2:$BB$56,3,)))</f>
        <v>0</v>
      </c>
      <c r="AU102" s="10" t="b">
        <f>IF(I102="TP",VLOOKUP(AF102,TPCalibEqFull!$AZ$2:$BB$56,3),IF(I102="TDP",VLOOKUP(AF102,TPCalibEqFull!$AZ$2:$BB$56,3),IF(I102="TDN",VLOOKUP(AF102,TNCalibEqFull!$AZ$1:$BB$56,3),IF(I102="TN",VLOOKUP(AF102,TNCalibEqFull!$AZ$1:$BB$56,3),FALSE))))</f>
        <v>0</v>
      </c>
      <c r="AV102" s="10" t="str">
        <f t="shared" si="11"/>
        <v>1215 04:26:00-EFK-0-C-1-SW-UKN</v>
      </c>
    </row>
    <row r="103" spans="1:48" s="10" customFormat="1" x14ac:dyDescent="0.55000000000000004">
      <c r="A103" s="32">
        <v>44910</v>
      </c>
      <c r="B103" s="33">
        <v>0.18819444444444444</v>
      </c>
      <c r="C103" s="10" t="s">
        <v>333</v>
      </c>
      <c r="D103" s="10">
        <v>0</v>
      </c>
      <c r="E103" s="10" t="s">
        <v>190</v>
      </c>
      <c r="F103" s="10">
        <v>1</v>
      </c>
      <c r="G103" s="10" t="s">
        <v>231</v>
      </c>
      <c r="H103" s="10" t="s">
        <v>322</v>
      </c>
      <c r="I103" s="10" t="s">
        <v>285</v>
      </c>
      <c r="J103" s="10">
        <v>4</v>
      </c>
      <c r="K103" s="12">
        <v>44930</v>
      </c>
      <c r="L103" s="33">
        <v>0.45956018518518515</v>
      </c>
      <c r="M103" s="10">
        <v>1</v>
      </c>
      <c r="N103" s="10" t="s">
        <v>211</v>
      </c>
      <c r="O103" s="10">
        <v>0.88400000000000001</v>
      </c>
      <c r="P103" s="10">
        <v>8.8099999999999998E-2</v>
      </c>
      <c r="Q103" s="10">
        <v>156</v>
      </c>
      <c r="R103" s="10" t="s">
        <v>913</v>
      </c>
      <c r="S103" s="34">
        <f t="shared" si="7"/>
        <v>156</v>
      </c>
      <c r="T103" s="10" t="s">
        <v>938</v>
      </c>
      <c r="U103" s="34" t="str">
        <f t="shared" si="8"/>
        <v/>
      </c>
      <c r="V103" s="31" t="str">
        <f>IF(H103="CHK",VLOOKUP(I103,QCCHK,3,),IF(H103="GUP",VLOOKUP(E103,QCGUP,2,),IF(AND(H103="ATP",OR(I103="TN",I103="TDN",I103="TNO2-3",I103="NO2-3")),VLOOKUP(E103,QCREC_N,2,),IF(AND(H103="NIC",OR(I103="TN",I103="TDN",I103="TNO2-3",I103="NO2-3")),VLOOKUP(E103,QCNIC_N,2,),IF(AND(H103="UREA",OR(I103="TN",I103="TDN",I103="TNO2-3",I103="NO2-3")),VLOOKUP(E103,QCUREA_N,2,),IF(H103="PER",VLOOKUP(I103,QCPER,MATCH(E103,QCACTUAL!$J$25:$AA$25,0),),IF(H103="SPK",VLOOKUP(I103,QCSPK,3,),IF(AND(H103="ATP",OR(I103="TP",I103="TDP")),VLOOKUP(E103,QCATP_P,2,),""))))))))</f>
        <v/>
      </c>
      <c r="W103" s="31" t="str">
        <f t="shared" si="9"/>
        <v>TRUE</v>
      </c>
      <c r="X103" s="31" t="str">
        <f t="shared" si="10"/>
        <v/>
      </c>
      <c r="Y103" s="10" t="s">
        <v>949</v>
      </c>
      <c r="Z103" s="10" t="s">
        <v>910</v>
      </c>
      <c r="AL103" s="10" t="str">
        <f t="shared" si="12"/>
        <v>FALSE</v>
      </c>
      <c r="AM103" s="10" t="str">
        <f t="shared" si="12"/>
        <v>FALSE</v>
      </c>
      <c r="AN103" s="10" t="str">
        <f t="shared" si="12"/>
        <v>FALSE</v>
      </c>
      <c r="AO103" s="10" t="str">
        <f t="shared" si="13"/>
        <v>FALSE</v>
      </c>
      <c r="AP103" s="10" t="str">
        <f t="shared" si="13"/>
        <v>FALSE</v>
      </c>
      <c r="AQ103" s="10" t="b">
        <f>IF(AND(I103="TP",S103&lt;=150),VLOOKUP(AF103,TPCalibEq150!$AZ$2:$BB$55,3,),IF(AND(I103="TDP",S103&lt;=150),VLOOKUP(AF103,TPCalibEq150!$AZ$2:$BB$55,3,)))</f>
        <v>0</v>
      </c>
      <c r="AR103" s="10" t="b">
        <f>IF(AND(I103="TP",S103&lt;=300),VLOOKUP(AF103,TPCalibEq300!$AZ$2:$BB$55,3,),IF(AND(I103="TDP",S103&lt;=300),VLOOKUP(AF103,TPCalibEq300!$AZ$2:$BB$55,3,)))</f>
        <v>0</v>
      </c>
      <c r="AS103" s="10" t="b">
        <f>IF(AND(I103="TP",S103&lt;=500),VLOOKUP(AF103,TPCalibEq500!$AZ$2:$BB$56,3,),IF(AND(I103="TDP",S103&lt;=500),VLOOKUP(AF103,TPCalibEq500!$AZ$2:$BB$56,3,)))</f>
        <v>0</v>
      </c>
      <c r="AT103" s="10" t="b">
        <f>IF(AND(I103="TN",S103&lt;=2800),VLOOKUP(AF103,TNCalibEq2500!$AZ$2:$BB$56,3,),IF(AND(I103="TDN",S103&lt;=2800),VLOOKUP(AF103,TNCalibEq2500!$AZ$2:$BB$56,3,)))</f>
        <v>0</v>
      </c>
      <c r="AU103" s="10" t="b">
        <f>IF(I103="TP",VLOOKUP(AF103,TPCalibEqFull!$AZ$2:$BB$56,3),IF(I103="TDP",VLOOKUP(AF103,TPCalibEqFull!$AZ$2:$BB$56,3),IF(I103="TDN",VLOOKUP(AF103,TNCalibEqFull!$AZ$1:$BB$56,3),IF(I103="TN",VLOOKUP(AF103,TNCalibEqFull!$AZ$1:$BB$56,3),FALSE))))</f>
        <v>0</v>
      </c>
      <c r="AV103" s="10" t="str">
        <f t="shared" si="11"/>
        <v>1215 04:31:00-HST-0-C-1-SW-UKN</v>
      </c>
    </row>
    <row r="104" spans="1:48" s="10" customFormat="1" x14ac:dyDescent="0.55000000000000004">
      <c r="A104" s="32">
        <v>44911</v>
      </c>
      <c r="B104" s="33">
        <v>0.4993055555555555</v>
      </c>
      <c r="C104" s="10" t="s">
        <v>279</v>
      </c>
      <c r="D104" s="10">
        <v>0</v>
      </c>
      <c r="E104" s="10" t="s">
        <v>190</v>
      </c>
      <c r="F104" s="10">
        <v>1</v>
      </c>
      <c r="G104" s="10" t="s">
        <v>231</v>
      </c>
      <c r="H104" s="10" t="s">
        <v>322</v>
      </c>
      <c r="I104" s="10" t="s">
        <v>285</v>
      </c>
      <c r="J104" s="10">
        <v>5</v>
      </c>
      <c r="K104" s="12">
        <v>44930</v>
      </c>
      <c r="L104" s="33">
        <v>0.45792824074074073</v>
      </c>
      <c r="M104" s="10">
        <v>1</v>
      </c>
      <c r="N104" s="10" t="s">
        <v>211</v>
      </c>
      <c r="O104" s="10">
        <v>0.56100000000000005</v>
      </c>
      <c r="P104" s="10">
        <v>5.4800000000000001E-2</v>
      </c>
      <c r="Q104" s="10">
        <v>99.1</v>
      </c>
      <c r="R104" s="10" t="s">
        <v>913</v>
      </c>
      <c r="S104" s="34">
        <f t="shared" si="7"/>
        <v>99.1</v>
      </c>
      <c r="T104" s="10" t="s">
        <v>938</v>
      </c>
      <c r="U104" s="34" t="str">
        <f t="shared" si="8"/>
        <v/>
      </c>
      <c r="V104" s="31" t="str">
        <f>IF(H104="CHK",VLOOKUP(I104,QCCHK,3,),IF(H104="GUP",VLOOKUP(E104,QCGUP,2,),IF(AND(H104="ATP",OR(I104="TN",I104="TDN",I104="TNO2-3",I104="NO2-3")),VLOOKUP(E104,QCREC_N,2,),IF(AND(H104="NIC",OR(I104="TN",I104="TDN",I104="TNO2-3",I104="NO2-3")),VLOOKUP(E104,QCNIC_N,2,),IF(AND(H104="UREA",OR(I104="TN",I104="TDN",I104="TNO2-3",I104="NO2-3")),VLOOKUP(E104,QCUREA_N,2,),IF(H104="PER",VLOOKUP(I104,QCPER,MATCH(E104,QCACTUAL!$J$25:$AA$25,0),),IF(H104="SPK",VLOOKUP(I104,QCSPK,3,),IF(AND(H104="ATP",OR(I104="TP",I104="TDP")),VLOOKUP(E104,QCATP_P,2,),""))))))))</f>
        <v/>
      </c>
      <c r="W104" s="31" t="str">
        <f t="shared" si="9"/>
        <v>TRUE</v>
      </c>
      <c r="X104" s="31" t="str">
        <f t="shared" si="10"/>
        <v/>
      </c>
      <c r="Y104" s="10" t="s">
        <v>949</v>
      </c>
      <c r="Z104" s="10" t="s">
        <v>910</v>
      </c>
      <c r="AL104" s="10" t="str">
        <f t="shared" si="12"/>
        <v>FALSE</v>
      </c>
      <c r="AM104" s="10" t="str">
        <f t="shared" si="12"/>
        <v>FALSE</v>
      </c>
      <c r="AN104" s="10" t="str">
        <f t="shared" si="12"/>
        <v>FALSE</v>
      </c>
      <c r="AO104" s="10" t="str">
        <f t="shared" si="13"/>
        <v>FALSE</v>
      </c>
      <c r="AP104" s="10" t="str">
        <f t="shared" si="13"/>
        <v>FALSE</v>
      </c>
      <c r="AQ104" s="10" t="b">
        <f>IF(AND(I104="TP",S104&lt;=150),VLOOKUP(AF104,TPCalibEq150!$AZ$2:$BB$55,3,),IF(AND(I104="TDP",S104&lt;=150),VLOOKUP(AF104,TPCalibEq150!$AZ$2:$BB$55,3,)))</f>
        <v>0</v>
      </c>
      <c r="AR104" s="10" t="b">
        <f>IF(AND(I104="TP",S104&lt;=300),VLOOKUP(AF104,TPCalibEq300!$AZ$2:$BB$55,3,),IF(AND(I104="TDP",S104&lt;=300),VLOOKUP(AF104,TPCalibEq300!$AZ$2:$BB$55,3,)))</f>
        <v>0</v>
      </c>
      <c r="AS104" s="10" t="b">
        <f>IF(AND(I104="TP",S104&lt;=500),VLOOKUP(AF104,TPCalibEq500!$AZ$2:$BB$56,3,),IF(AND(I104="TDP",S104&lt;=500),VLOOKUP(AF104,TPCalibEq500!$AZ$2:$BB$56,3,)))</f>
        <v>0</v>
      </c>
      <c r="AT104" s="10" t="b">
        <f>IF(AND(I104="TN",S104&lt;=2800),VLOOKUP(AF104,TNCalibEq2500!$AZ$2:$BB$56,3,),IF(AND(I104="TDN",S104&lt;=2800),VLOOKUP(AF104,TNCalibEq2500!$AZ$2:$BB$56,3,)))</f>
        <v>0</v>
      </c>
      <c r="AU104" s="10" t="b">
        <f>IF(I104="TP",VLOOKUP(AF104,TPCalibEqFull!$AZ$2:$BB$56,3),IF(I104="TDP",VLOOKUP(AF104,TPCalibEqFull!$AZ$2:$BB$56,3),IF(I104="TDN",VLOOKUP(AF104,TNCalibEqFull!$AZ$1:$BB$56,3),IF(I104="TN",VLOOKUP(AF104,TNCalibEqFull!$AZ$1:$BB$56,3),FALSE))))</f>
        <v>0</v>
      </c>
      <c r="AV104" s="10" t="str">
        <f t="shared" si="11"/>
        <v>1216 11:59:00-EFK-0-C-1-SW-UKN</v>
      </c>
    </row>
    <row r="105" spans="1:48" s="10" customFormat="1" x14ac:dyDescent="0.55000000000000004">
      <c r="A105" s="32">
        <v>44911</v>
      </c>
      <c r="B105" s="33">
        <v>0.49722222222222223</v>
      </c>
      <c r="C105" s="10" t="s">
        <v>333</v>
      </c>
      <c r="D105" s="10">
        <v>0</v>
      </c>
      <c r="E105" s="10" t="s">
        <v>190</v>
      </c>
      <c r="F105" s="10">
        <v>1</v>
      </c>
      <c r="G105" s="10" t="s">
        <v>231</v>
      </c>
      <c r="H105" s="10" t="s">
        <v>322</v>
      </c>
      <c r="I105" s="10" t="s">
        <v>285</v>
      </c>
      <c r="J105" s="10">
        <v>6</v>
      </c>
      <c r="K105" s="12">
        <v>44930</v>
      </c>
      <c r="L105" s="33">
        <v>0.45874999999999999</v>
      </c>
      <c r="M105" s="10">
        <v>1</v>
      </c>
      <c r="N105" s="10" t="s">
        <v>211</v>
      </c>
      <c r="O105" s="10">
        <v>0.42699999999999999</v>
      </c>
      <c r="P105" s="10">
        <v>4.1399999999999999E-2</v>
      </c>
      <c r="Q105" s="10">
        <v>75.5</v>
      </c>
      <c r="R105" s="10" t="s">
        <v>913</v>
      </c>
      <c r="S105" s="34">
        <f t="shared" si="7"/>
        <v>75.5</v>
      </c>
      <c r="T105" s="10" t="s">
        <v>938</v>
      </c>
      <c r="U105" s="34" t="str">
        <f t="shared" si="8"/>
        <v/>
      </c>
      <c r="V105" s="31" t="str">
        <f>IF(H105="CHK",VLOOKUP(I105,QCCHK,3,),IF(H105="GUP",VLOOKUP(E105,QCGUP,2,),IF(AND(H105="ATP",OR(I105="TN",I105="TDN",I105="TNO2-3",I105="NO2-3")),VLOOKUP(E105,QCREC_N,2,),IF(AND(H105="NIC",OR(I105="TN",I105="TDN",I105="TNO2-3",I105="NO2-3")),VLOOKUP(E105,QCNIC_N,2,),IF(AND(H105="UREA",OR(I105="TN",I105="TDN",I105="TNO2-3",I105="NO2-3")),VLOOKUP(E105,QCUREA_N,2,),IF(H105="PER",VLOOKUP(I105,QCPER,MATCH(E105,QCACTUAL!$J$25:$AA$25,0),),IF(H105="SPK",VLOOKUP(I105,QCSPK,3,),IF(AND(H105="ATP",OR(I105="TP",I105="TDP")),VLOOKUP(E105,QCATP_P,2,),""))))))))</f>
        <v/>
      </c>
      <c r="W105" s="31" t="str">
        <f t="shared" si="9"/>
        <v>TRUE</v>
      </c>
      <c r="X105" s="31" t="str">
        <f t="shared" si="10"/>
        <v/>
      </c>
      <c r="Y105" s="10" t="s">
        <v>949</v>
      </c>
      <c r="Z105" s="10" t="s">
        <v>910</v>
      </c>
      <c r="AL105" s="10" t="str">
        <f t="shared" si="12"/>
        <v>FALSE</v>
      </c>
      <c r="AM105" s="10" t="str">
        <f t="shared" si="12"/>
        <v>FALSE</v>
      </c>
      <c r="AN105" s="10" t="str">
        <f t="shared" si="12"/>
        <v>FALSE</v>
      </c>
      <c r="AO105" s="10" t="str">
        <f t="shared" si="13"/>
        <v>FALSE</v>
      </c>
      <c r="AP105" s="10" t="str">
        <f t="shared" si="13"/>
        <v>FALSE</v>
      </c>
      <c r="AQ105" s="10" t="b">
        <f>IF(AND(I105="TP",S105&lt;=150),VLOOKUP(AF105,TPCalibEq150!$AZ$2:$BB$55,3,),IF(AND(I105="TDP",S105&lt;=150),VLOOKUP(AF105,TPCalibEq150!$AZ$2:$BB$55,3,)))</f>
        <v>0</v>
      </c>
      <c r="AR105" s="10" t="b">
        <f>IF(AND(I105="TP",S105&lt;=300),VLOOKUP(AF105,TPCalibEq300!$AZ$2:$BB$55,3,),IF(AND(I105="TDP",S105&lt;=300),VLOOKUP(AF105,TPCalibEq300!$AZ$2:$BB$55,3,)))</f>
        <v>0</v>
      </c>
      <c r="AS105" s="10" t="b">
        <f>IF(AND(I105="TP",S105&lt;=500),VLOOKUP(AF105,TPCalibEq500!$AZ$2:$BB$56,3,),IF(AND(I105="TDP",S105&lt;=500),VLOOKUP(AF105,TPCalibEq500!$AZ$2:$BB$56,3,)))</f>
        <v>0</v>
      </c>
      <c r="AT105" s="10" t="b">
        <f>IF(AND(I105="TN",S105&lt;=2800),VLOOKUP(AF105,TNCalibEq2500!$AZ$2:$BB$56,3,),IF(AND(I105="TDN",S105&lt;=2800),VLOOKUP(AF105,TNCalibEq2500!$AZ$2:$BB$56,3,)))</f>
        <v>0</v>
      </c>
      <c r="AU105" s="10" t="b">
        <f>IF(I105="TP",VLOOKUP(AF105,TPCalibEqFull!$AZ$2:$BB$56,3),IF(I105="TDP",VLOOKUP(AF105,TPCalibEqFull!$AZ$2:$BB$56,3),IF(I105="TDN",VLOOKUP(AF105,TNCalibEqFull!$AZ$1:$BB$56,3),IF(I105="TN",VLOOKUP(AF105,TNCalibEqFull!$AZ$1:$BB$56,3),FALSE))))</f>
        <v>0</v>
      </c>
      <c r="AV105" s="10" t="str">
        <f t="shared" si="11"/>
        <v>1216 11:56:00-HST-0-C-1-SW-UKN</v>
      </c>
    </row>
    <row r="106" spans="1:48" s="10" customFormat="1" x14ac:dyDescent="0.55000000000000004">
      <c r="A106" s="32">
        <v>44914</v>
      </c>
      <c r="B106" s="33">
        <v>0.22361111111111109</v>
      </c>
      <c r="C106" s="10" t="s">
        <v>279</v>
      </c>
      <c r="D106" s="10">
        <v>0</v>
      </c>
      <c r="E106" s="10" t="s">
        <v>190</v>
      </c>
      <c r="F106" s="10">
        <v>1</v>
      </c>
      <c r="G106" s="10" t="s">
        <v>231</v>
      </c>
      <c r="H106" s="10" t="s">
        <v>322</v>
      </c>
      <c r="I106" s="10" t="s">
        <v>285</v>
      </c>
      <c r="J106" s="10">
        <v>7</v>
      </c>
      <c r="K106" s="12">
        <v>44930</v>
      </c>
      <c r="L106" s="33">
        <v>0.46038194444444441</v>
      </c>
      <c r="M106" s="10">
        <v>1</v>
      </c>
      <c r="N106" s="10" t="s">
        <v>211</v>
      </c>
      <c r="O106" s="10">
        <v>0.47</v>
      </c>
      <c r="P106" s="10">
        <v>4.5699999999999998E-2</v>
      </c>
      <c r="Q106" s="10">
        <v>83</v>
      </c>
      <c r="R106" s="10" t="s">
        <v>913</v>
      </c>
      <c r="S106" s="34">
        <f t="shared" si="7"/>
        <v>83</v>
      </c>
      <c r="T106" s="10" t="s">
        <v>938</v>
      </c>
      <c r="U106" s="34" t="str">
        <f t="shared" si="8"/>
        <v/>
      </c>
      <c r="V106" s="31" t="str">
        <f>IF(H106="CHK",VLOOKUP(I106,QCCHK,3,),IF(H106="GUP",VLOOKUP(E106,QCGUP,2,),IF(AND(H106="ATP",OR(I106="TN",I106="TDN",I106="TNO2-3",I106="NO2-3")),VLOOKUP(E106,QCREC_N,2,),IF(AND(H106="NIC",OR(I106="TN",I106="TDN",I106="TNO2-3",I106="NO2-3")),VLOOKUP(E106,QCNIC_N,2,),IF(AND(H106="UREA",OR(I106="TN",I106="TDN",I106="TNO2-3",I106="NO2-3")),VLOOKUP(E106,QCUREA_N,2,),IF(H106="PER",VLOOKUP(I106,QCPER,MATCH(E106,QCACTUAL!$J$25:$AA$25,0),),IF(H106="SPK",VLOOKUP(I106,QCSPK,3,),IF(AND(H106="ATP",OR(I106="TP",I106="TDP")),VLOOKUP(E106,QCATP_P,2,),""))))))))</f>
        <v/>
      </c>
      <c r="W106" s="31" t="str">
        <f t="shared" si="9"/>
        <v>TRUE</v>
      </c>
      <c r="X106" s="31" t="str">
        <f t="shared" si="10"/>
        <v/>
      </c>
      <c r="Y106" s="10" t="s">
        <v>949</v>
      </c>
      <c r="Z106" s="10" t="s">
        <v>910</v>
      </c>
      <c r="AL106" s="10" t="str">
        <f t="shared" si="12"/>
        <v>FALSE</v>
      </c>
      <c r="AM106" s="10" t="str">
        <f t="shared" si="12"/>
        <v>FALSE</v>
      </c>
      <c r="AN106" s="10" t="str">
        <f t="shared" si="12"/>
        <v>FALSE</v>
      </c>
      <c r="AO106" s="10" t="str">
        <f t="shared" si="13"/>
        <v>FALSE</v>
      </c>
      <c r="AP106" s="10" t="str">
        <f t="shared" si="13"/>
        <v>FALSE</v>
      </c>
      <c r="AQ106" s="10" t="b">
        <f>IF(AND(I106="TP",S106&lt;=150),VLOOKUP(AF106,TPCalibEq150!$AZ$2:$BB$55,3,),IF(AND(I106="TDP",S106&lt;=150),VLOOKUP(AF106,TPCalibEq150!$AZ$2:$BB$55,3,)))</f>
        <v>0</v>
      </c>
      <c r="AR106" s="10" t="b">
        <f>IF(AND(I106="TP",S106&lt;=300),VLOOKUP(AF106,TPCalibEq300!$AZ$2:$BB$55,3,),IF(AND(I106="TDP",S106&lt;=300),VLOOKUP(AF106,TPCalibEq300!$AZ$2:$BB$55,3,)))</f>
        <v>0</v>
      </c>
      <c r="AS106" s="10" t="b">
        <f>IF(AND(I106="TP",S106&lt;=500),VLOOKUP(AF106,TPCalibEq500!$AZ$2:$BB$56,3,),IF(AND(I106="TDP",S106&lt;=500),VLOOKUP(AF106,TPCalibEq500!$AZ$2:$BB$56,3,)))</f>
        <v>0</v>
      </c>
      <c r="AT106" s="10" t="b">
        <f>IF(AND(I106="TN",S106&lt;=2800),VLOOKUP(AF106,TNCalibEq2500!$AZ$2:$BB$56,3,),IF(AND(I106="TDN",S106&lt;=2800),VLOOKUP(AF106,TNCalibEq2500!$AZ$2:$BB$56,3,)))</f>
        <v>0</v>
      </c>
      <c r="AU106" s="10" t="b">
        <f>IF(I106="TP",VLOOKUP(AF106,TPCalibEqFull!$AZ$2:$BB$56,3),IF(I106="TDP",VLOOKUP(AF106,TPCalibEqFull!$AZ$2:$BB$56,3),IF(I106="TDN",VLOOKUP(AF106,TNCalibEqFull!$AZ$1:$BB$56,3),IF(I106="TN",VLOOKUP(AF106,TNCalibEqFull!$AZ$1:$BB$56,3),FALSE))))</f>
        <v>0</v>
      </c>
      <c r="AV106" s="10" t="str">
        <f t="shared" si="11"/>
        <v>1219 05:22:00-EFK-0-C-1-SW-UKN</v>
      </c>
    </row>
    <row r="107" spans="1:48" s="10" customFormat="1" x14ac:dyDescent="0.55000000000000004">
      <c r="A107" s="32">
        <v>44914</v>
      </c>
      <c r="B107" s="33">
        <v>0.23124999999999998</v>
      </c>
      <c r="C107" s="10" t="s">
        <v>333</v>
      </c>
      <c r="D107" s="10">
        <v>0</v>
      </c>
      <c r="E107" s="10" t="s">
        <v>190</v>
      </c>
      <c r="F107" s="10">
        <v>1</v>
      </c>
      <c r="G107" s="10" t="s">
        <v>231</v>
      </c>
      <c r="H107" s="10" t="s">
        <v>322</v>
      </c>
      <c r="I107" s="10" t="s">
        <v>285</v>
      </c>
      <c r="J107" s="10">
        <v>8</v>
      </c>
      <c r="K107" s="12">
        <v>44930</v>
      </c>
      <c r="L107" s="33">
        <v>0.46120370370370373</v>
      </c>
      <c r="M107" s="10">
        <v>1</v>
      </c>
      <c r="N107" s="10" t="s">
        <v>211</v>
      </c>
      <c r="O107" s="10">
        <v>0.29699999999999999</v>
      </c>
      <c r="P107" s="10">
        <v>2.8899999999999999E-2</v>
      </c>
      <c r="Q107" s="10">
        <v>52.5</v>
      </c>
      <c r="R107" s="10" t="s">
        <v>913</v>
      </c>
      <c r="S107" s="34">
        <f t="shared" si="7"/>
        <v>52.5</v>
      </c>
      <c r="T107" s="10" t="s">
        <v>938</v>
      </c>
      <c r="U107" s="34" t="str">
        <f t="shared" si="8"/>
        <v/>
      </c>
      <c r="V107" s="31" t="str">
        <f>IF(H107="CHK",VLOOKUP(I107,QCCHK,3,),IF(H107="GUP",VLOOKUP(E107,QCGUP,2,),IF(AND(H107="ATP",OR(I107="TN",I107="TDN",I107="TNO2-3",I107="NO2-3")),VLOOKUP(E107,QCREC_N,2,),IF(AND(H107="NIC",OR(I107="TN",I107="TDN",I107="TNO2-3",I107="NO2-3")),VLOOKUP(E107,QCNIC_N,2,),IF(AND(H107="UREA",OR(I107="TN",I107="TDN",I107="TNO2-3",I107="NO2-3")),VLOOKUP(E107,QCUREA_N,2,),IF(H107="PER",VLOOKUP(I107,QCPER,MATCH(E107,QCACTUAL!$J$25:$AA$25,0),),IF(H107="SPK",VLOOKUP(I107,QCSPK,3,),IF(AND(H107="ATP",OR(I107="TP",I107="TDP")),VLOOKUP(E107,QCATP_P,2,),""))))))))</f>
        <v/>
      </c>
      <c r="W107" s="31" t="str">
        <f t="shared" si="9"/>
        <v>TRUE</v>
      </c>
      <c r="X107" s="31" t="str">
        <f t="shared" si="10"/>
        <v/>
      </c>
      <c r="Y107" s="10" t="s">
        <v>949</v>
      </c>
      <c r="Z107" s="10" t="s">
        <v>910</v>
      </c>
      <c r="AL107" s="10" t="str">
        <f t="shared" si="12"/>
        <v>FALSE</v>
      </c>
      <c r="AM107" s="10" t="str">
        <f t="shared" si="12"/>
        <v>FALSE</v>
      </c>
      <c r="AN107" s="10" t="str">
        <f t="shared" si="12"/>
        <v>FALSE</v>
      </c>
      <c r="AO107" s="10" t="str">
        <f t="shared" si="13"/>
        <v>FALSE</v>
      </c>
      <c r="AP107" s="10" t="str">
        <f t="shared" si="13"/>
        <v>FALSE</v>
      </c>
      <c r="AQ107" s="10" t="b">
        <f>IF(AND(I107="TP",S107&lt;=150),VLOOKUP(AF107,TPCalibEq150!$AZ$2:$BB$55,3,),IF(AND(I107="TDP",S107&lt;=150),VLOOKUP(AF107,TPCalibEq150!$AZ$2:$BB$55,3,)))</f>
        <v>0</v>
      </c>
      <c r="AR107" s="10" t="b">
        <f>IF(AND(I107="TP",S107&lt;=300),VLOOKUP(AF107,TPCalibEq300!$AZ$2:$BB$55,3,),IF(AND(I107="TDP",S107&lt;=300),VLOOKUP(AF107,TPCalibEq300!$AZ$2:$BB$55,3,)))</f>
        <v>0</v>
      </c>
      <c r="AS107" s="10" t="b">
        <f>IF(AND(I107="TP",S107&lt;=500),VLOOKUP(AF107,TPCalibEq500!$AZ$2:$BB$56,3,),IF(AND(I107="TDP",S107&lt;=500),VLOOKUP(AF107,TPCalibEq500!$AZ$2:$BB$56,3,)))</f>
        <v>0</v>
      </c>
      <c r="AT107" s="10" t="b">
        <f>IF(AND(I107="TN",S107&lt;=2800),VLOOKUP(AF107,TNCalibEq2500!$AZ$2:$BB$56,3,),IF(AND(I107="TDN",S107&lt;=2800),VLOOKUP(AF107,TNCalibEq2500!$AZ$2:$BB$56,3,)))</f>
        <v>0</v>
      </c>
      <c r="AU107" s="10" t="b">
        <f>IF(I107="TP",VLOOKUP(AF107,TPCalibEqFull!$AZ$2:$BB$56,3),IF(I107="TDP",VLOOKUP(AF107,TPCalibEqFull!$AZ$2:$BB$56,3),IF(I107="TDN",VLOOKUP(AF107,TNCalibEqFull!$AZ$1:$BB$56,3),IF(I107="TN",VLOOKUP(AF107,TNCalibEqFull!$AZ$1:$BB$56,3),FALSE))))</f>
        <v>0</v>
      </c>
      <c r="AV107" s="10" t="str">
        <f t="shared" si="11"/>
        <v>1219 05:33:00-HST-0-C-1-SW-UKN</v>
      </c>
    </row>
    <row r="108" spans="1:48" s="10" customFormat="1" x14ac:dyDescent="0.55000000000000004">
      <c r="A108" s="32">
        <v>44915</v>
      </c>
      <c r="B108" s="33">
        <v>0.23263888888888887</v>
      </c>
      <c r="C108" s="10" t="s">
        <v>279</v>
      </c>
      <c r="D108" s="10">
        <v>0</v>
      </c>
      <c r="E108" s="10" t="s">
        <v>190</v>
      </c>
      <c r="F108" s="10">
        <v>1</v>
      </c>
      <c r="G108" s="10" t="s">
        <v>231</v>
      </c>
      <c r="H108" s="10" t="s">
        <v>322</v>
      </c>
      <c r="I108" s="10" t="s">
        <v>285</v>
      </c>
      <c r="J108" s="10">
        <v>9</v>
      </c>
      <c r="K108" s="12">
        <v>44930</v>
      </c>
      <c r="L108" s="33">
        <v>0.46201388888888889</v>
      </c>
      <c r="M108" s="10">
        <v>1</v>
      </c>
      <c r="N108" s="10" t="s">
        <v>211</v>
      </c>
      <c r="O108" s="10">
        <v>0.46100000000000002</v>
      </c>
      <c r="P108" s="10">
        <v>4.5400000000000003E-2</v>
      </c>
      <c r="Q108" s="10">
        <v>81.5</v>
      </c>
      <c r="R108" s="10" t="s">
        <v>913</v>
      </c>
      <c r="S108" s="34">
        <f t="shared" si="7"/>
        <v>81.5</v>
      </c>
      <c r="T108" s="10" t="s">
        <v>938</v>
      </c>
      <c r="U108" s="34" t="str">
        <f t="shared" si="8"/>
        <v/>
      </c>
      <c r="V108" s="31" t="str">
        <f>IF(H108="CHK",VLOOKUP(I108,QCCHK,3,),IF(H108="GUP",VLOOKUP(E108,QCGUP,2,),IF(AND(H108="ATP",OR(I108="TN",I108="TDN",I108="TNO2-3",I108="NO2-3")),VLOOKUP(E108,QCREC_N,2,),IF(AND(H108="NIC",OR(I108="TN",I108="TDN",I108="TNO2-3",I108="NO2-3")),VLOOKUP(E108,QCNIC_N,2,),IF(AND(H108="UREA",OR(I108="TN",I108="TDN",I108="TNO2-3",I108="NO2-3")),VLOOKUP(E108,QCUREA_N,2,),IF(H108="PER",VLOOKUP(I108,QCPER,MATCH(E108,QCACTUAL!$J$25:$AA$25,0),),IF(H108="SPK",VLOOKUP(I108,QCSPK,3,),IF(AND(H108="ATP",OR(I108="TP",I108="TDP")),VLOOKUP(E108,QCATP_P,2,),""))))))))</f>
        <v/>
      </c>
      <c r="W108" s="31" t="str">
        <f t="shared" si="9"/>
        <v>TRUE</v>
      </c>
      <c r="X108" s="31" t="str">
        <f t="shared" si="10"/>
        <v/>
      </c>
      <c r="Y108" s="10" t="s">
        <v>949</v>
      </c>
      <c r="Z108" s="10" t="s">
        <v>910</v>
      </c>
      <c r="AL108" s="10" t="str">
        <f t="shared" si="12"/>
        <v>FALSE</v>
      </c>
      <c r="AM108" s="10" t="str">
        <f t="shared" si="12"/>
        <v>FALSE</v>
      </c>
      <c r="AN108" s="10" t="str">
        <f t="shared" si="12"/>
        <v>FALSE</v>
      </c>
      <c r="AO108" s="10" t="str">
        <f t="shared" si="13"/>
        <v>FALSE</v>
      </c>
      <c r="AP108" s="10" t="str">
        <f t="shared" si="13"/>
        <v>FALSE</v>
      </c>
      <c r="AQ108" s="10" t="b">
        <f>IF(AND(I108="TP",S108&lt;=150),VLOOKUP(AF108,TPCalibEq150!$AZ$2:$BB$55,3,),IF(AND(I108="TDP",S108&lt;=150),VLOOKUP(AF108,TPCalibEq150!$AZ$2:$BB$55,3,)))</f>
        <v>0</v>
      </c>
      <c r="AR108" s="10" t="b">
        <f>IF(AND(I108="TP",S108&lt;=300),VLOOKUP(AF108,TPCalibEq300!$AZ$2:$BB$55,3,),IF(AND(I108="TDP",S108&lt;=300),VLOOKUP(AF108,TPCalibEq300!$AZ$2:$BB$55,3,)))</f>
        <v>0</v>
      </c>
      <c r="AS108" s="10" t="b">
        <f>IF(AND(I108="TP",S108&lt;=500),VLOOKUP(AF108,TPCalibEq500!$AZ$2:$BB$56,3,),IF(AND(I108="TDP",S108&lt;=500),VLOOKUP(AF108,TPCalibEq500!$AZ$2:$BB$56,3,)))</f>
        <v>0</v>
      </c>
      <c r="AT108" s="10" t="b">
        <f>IF(AND(I108="TN",S108&lt;=2800),VLOOKUP(AF108,TNCalibEq2500!$AZ$2:$BB$56,3,),IF(AND(I108="TDN",S108&lt;=2800),VLOOKUP(AF108,TNCalibEq2500!$AZ$2:$BB$56,3,)))</f>
        <v>0</v>
      </c>
      <c r="AU108" s="10" t="b">
        <f>IF(I108="TP",VLOOKUP(AF108,TPCalibEqFull!$AZ$2:$BB$56,3),IF(I108="TDP",VLOOKUP(AF108,TPCalibEqFull!$AZ$2:$BB$56,3),IF(I108="TDN",VLOOKUP(AF108,TNCalibEqFull!$AZ$1:$BB$56,3),IF(I108="TN",VLOOKUP(AF108,TNCalibEqFull!$AZ$1:$BB$56,3),FALSE))))</f>
        <v>0</v>
      </c>
      <c r="AV108" s="10" t="str">
        <f t="shared" si="11"/>
        <v>1220 05:35:00-EFK-0-C-1-SW-UKN</v>
      </c>
    </row>
    <row r="109" spans="1:48" s="10" customFormat="1" x14ac:dyDescent="0.55000000000000004">
      <c r="A109" s="32">
        <v>44915</v>
      </c>
      <c r="B109" s="33">
        <v>0.24652777777777779</v>
      </c>
      <c r="C109" s="10" t="s">
        <v>333</v>
      </c>
      <c r="D109" s="10">
        <v>0</v>
      </c>
      <c r="E109" s="10" t="s">
        <v>190</v>
      </c>
      <c r="F109" s="10">
        <v>1</v>
      </c>
      <c r="G109" s="10" t="s">
        <v>231</v>
      </c>
      <c r="H109" s="10" t="s">
        <v>322</v>
      </c>
      <c r="I109" s="10" t="s">
        <v>285</v>
      </c>
      <c r="J109" s="10">
        <v>10</v>
      </c>
      <c r="K109" s="12">
        <v>44930</v>
      </c>
      <c r="L109" s="33">
        <v>0.46282407407407411</v>
      </c>
      <c r="M109" s="10">
        <v>1</v>
      </c>
      <c r="N109" s="10" t="s">
        <v>211</v>
      </c>
      <c r="O109" s="10">
        <v>0.23300000000000001</v>
      </c>
      <c r="P109" s="10">
        <v>2.2100000000000002E-2</v>
      </c>
      <c r="Q109" s="10">
        <v>41.2</v>
      </c>
      <c r="R109" s="10" t="s">
        <v>913</v>
      </c>
      <c r="S109" s="34">
        <f t="shared" si="7"/>
        <v>41.2</v>
      </c>
      <c r="T109" s="10" t="s">
        <v>938</v>
      </c>
      <c r="U109" s="34" t="str">
        <f t="shared" si="8"/>
        <v/>
      </c>
      <c r="V109" s="31" t="str">
        <f>IF(H109="CHK",VLOOKUP(I109,QCCHK,3,),IF(H109="GUP",VLOOKUP(E109,QCGUP,2,),IF(AND(H109="ATP",OR(I109="TN",I109="TDN",I109="TNO2-3",I109="NO2-3")),VLOOKUP(E109,QCREC_N,2,),IF(AND(H109="NIC",OR(I109="TN",I109="TDN",I109="TNO2-3",I109="NO2-3")),VLOOKUP(E109,QCNIC_N,2,),IF(AND(H109="UREA",OR(I109="TN",I109="TDN",I109="TNO2-3",I109="NO2-3")),VLOOKUP(E109,QCUREA_N,2,),IF(H109="PER",VLOOKUP(I109,QCPER,MATCH(E109,QCACTUAL!$J$25:$AA$25,0),),IF(H109="SPK",VLOOKUP(I109,QCSPK,3,),IF(AND(H109="ATP",OR(I109="TP",I109="TDP")),VLOOKUP(E109,QCATP_P,2,),""))))))))</f>
        <v/>
      </c>
      <c r="W109" s="31" t="str">
        <f t="shared" si="9"/>
        <v>TRUE</v>
      </c>
      <c r="X109" s="31" t="str">
        <f t="shared" si="10"/>
        <v/>
      </c>
      <c r="Y109" s="10" t="s">
        <v>949</v>
      </c>
      <c r="Z109" s="10" t="s">
        <v>910</v>
      </c>
      <c r="AL109" s="10" t="str">
        <f t="shared" si="12"/>
        <v>FALSE</v>
      </c>
      <c r="AM109" s="10" t="str">
        <f t="shared" si="12"/>
        <v>FALSE</v>
      </c>
      <c r="AN109" s="10" t="str">
        <f t="shared" si="12"/>
        <v>FALSE</v>
      </c>
      <c r="AO109" s="10" t="str">
        <f t="shared" si="13"/>
        <v>FALSE</v>
      </c>
      <c r="AP109" s="10" t="str">
        <f t="shared" si="13"/>
        <v>FALSE</v>
      </c>
      <c r="AQ109" s="10" t="b">
        <f>IF(AND(I109="TP",S109&lt;=150),VLOOKUP(AF109,TPCalibEq150!$AZ$2:$BB$55,3,),IF(AND(I109="TDP",S109&lt;=150),VLOOKUP(AF109,TPCalibEq150!$AZ$2:$BB$55,3,)))</f>
        <v>0</v>
      </c>
      <c r="AR109" s="10" t="b">
        <f>IF(AND(I109="TP",S109&lt;=300),VLOOKUP(AF109,TPCalibEq300!$AZ$2:$BB$55,3,),IF(AND(I109="TDP",S109&lt;=300),VLOOKUP(AF109,TPCalibEq300!$AZ$2:$BB$55,3,)))</f>
        <v>0</v>
      </c>
      <c r="AS109" s="10" t="b">
        <f>IF(AND(I109="TP",S109&lt;=500),VLOOKUP(AF109,TPCalibEq500!$AZ$2:$BB$56,3,),IF(AND(I109="TDP",S109&lt;=500),VLOOKUP(AF109,TPCalibEq500!$AZ$2:$BB$56,3,)))</f>
        <v>0</v>
      </c>
      <c r="AT109" s="10" t="b">
        <f>IF(AND(I109="TN",S109&lt;=2800),VLOOKUP(AF109,TNCalibEq2500!$AZ$2:$BB$56,3,),IF(AND(I109="TDN",S109&lt;=2800),VLOOKUP(AF109,TNCalibEq2500!$AZ$2:$BB$56,3,)))</f>
        <v>0</v>
      </c>
      <c r="AU109" s="10" t="b">
        <f>IF(I109="TP",VLOOKUP(AF109,TPCalibEqFull!$AZ$2:$BB$56,3),IF(I109="TDP",VLOOKUP(AF109,TPCalibEqFull!$AZ$2:$BB$56,3),IF(I109="TDN",VLOOKUP(AF109,TNCalibEqFull!$AZ$1:$BB$56,3),IF(I109="TN",VLOOKUP(AF109,TNCalibEqFull!$AZ$1:$BB$56,3),FALSE))))</f>
        <v>0</v>
      </c>
      <c r="AV109" s="10" t="str">
        <f t="shared" si="11"/>
        <v>1220 05:55:00-HST-0-C-1-SW-UKN</v>
      </c>
    </row>
    <row r="110" spans="1:48" s="10" customFormat="1" x14ac:dyDescent="0.55000000000000004">
      <c r="A110" s="32">
        <v>44915</v>
      </c>
      <c r="B110" s="33">
        <v>0.24652777777777779</v>
      </c>
      <c r="C110" s="10" t="s">
        <v>333</v>
      </c>
      <c r="D110" s="10">
        <v>0</v>
      </c>
      <c r="E110" s="10" t="s">
        <v>190</v>
      </c>
      <c r="F110" s="10">
        <v>1</v>
      </c>
      <c r="G110" s="10" t="s">
        <v>231</v>
      </c>
      <c r="H110" s="10" t="s">
        <v>233</v>
      </c>
      <c r="I110" s="10" t="s">
        <v>285</v>
      </c>
      <c r="J110" s="10">
        <v>10</v>
      </c>
      <c r="K110" s="12">
        <v>44930</v>
      </c>
      <c r="L110" s="33">
        <v>0.46363425925925927</v>
      </c>
      <c r="M110" s="10">
        <v>1</v>
      </c>
      <c r="N110" s="10" t="s">
        <v>211</v>
      </c>
      <c r="O110" s="10">
        <v>0.22700000000000001</v>
      </c>
      <c r="P110" s="10">
        <v>2.2100000000000002E-2</v>
      </c>
      <c r="Q110" s="10">
        <v>40.1</v>
      </c>
      <c r="R110" s="10" t="s">
        <v>913</v>
      </c>
      <c r="S110" s="34">
        <f t="shared" si="7"/>
        <v>40.1</v>
      </c>
      <c r="T110" s="10" t="s">
        <v>938</v>
      </c>
      <c r="U110" s="34">
        <f t="shared" si="8"/>
        <v>2.706027060270606</v>
      </c>
      <c r="V110" s="31" t="str">
        <f>IF(H110="CHK",VLOOKUP(I110,QCCHK,3,),IF(H110="GUP",VLOOKUP(E110,QCGUP,2,),IF(AND(H110="ATP",OR(I110="TN",I110="TDN",I110="TNO2-3",I110="NO2-3")),VLOOKUP(E110,QCREC_N,2,),IF(AND(H110="NIC",OR(I110="TN",I110="TDN",I110="TNO2-3",I110="NO2-3")),VLOOKUP(E110,QCNIC_N,2,),IF(AND(H110="UREA",OR(I110="TN",I110="TDN",I110="TNO2-3",I110="NO2-3")),VLOOKUP(E110,QCUREA_N,2,),IF(H110="PER",VLOOKUP(I110,QCPER,MATCH(E110,QCACTUAL!$J$25:$AA$25,0),),IF(H110="SPK",VLOOKUP(I110,QCSPK,3,),IF(AND(H110="ATP",OR(I110="TP",I110="TDP")),VLOOKUP(E110,QCATP_P,2,),""))))))))</f>
        <v/>
      </c>
      <c r="W110" s="31" t="str">
        <f t="shared" si="9"/>
        <v>TRUE</v>
      </c>
      <c r="X110" s="31" t="str">
        <f t="shared" si="10"/>
        <v>((ABS(rep1-rep2))/((rep1+rep2)/2)*100</v>
      </c>
      <c r="Y110" s="10" t="s">
        <v>949</v>
      </c>
      <c r="Z110" s="10" t="s">
        <v>910</v>
      </c>
      <c r="AL110" s="10" t="str">
        <f t="shared" si="12"/>
        <v>FALSE</v>
      </c>
      <c r="AM110" s="10" t="str">
        <f t="shared" si="12"/>
        <v>FALSE</v>
      </c>
      <c r="AN110" s="10" t="str">
        <f t="shared" si="12"/>
        <v>FALSE</v>
      </c>
      <c r="AO110" s="10" t="str">
        <f t="shared" si="13"/>
        <v>FALSE</v>
      </c>
      <c r="AP110" s="10" t="str">
        <f t="shared" si="13"/>
        <v>FALSE</v>
      </c>
      <c r="AQ110" s="10" t="b">
        <f>IF(AND(I110="TP",S110&lt;=150),VLOOKUP(AF110,TPCalibEq150!$AZ$2:$BB$55,3,),IF(AND(I110="TDP",S110&lt;=150),VLOOKUP(AF110,TPCalibEq150!$AZ$2:$BB$55,3,)))</f>
        <v>0</v>
      </c>
      <c r="AR110" s="10" t="b">
        <f>IF(AND(I110="TP",S110&lt;=300),VLOOKUP(AF110,TPCalibEq300!$AZ$2:$BB$55,3,),IF(AND(I110="TDP",S110&lt;=300),VLOOKUP(AF110,TPCalibEq300!$AZ$2:$BB$55,3,)))</f>
        <v>0</v>
      </c>
      <c r="AS110" s="10" t="b">
        <f>IF(AND(I110="TP",S110&lt;=500),VLOOKUP(AF110,TPCalibEq500!$AZ$2:$BB$56,3,),IF(AND(I110="TDP",S110&lt;=500),VLOOKUP(AF110,TPCalibEq500!$AZ$2:$BB$56,3,)))</f>
        <v>0</v>
      </c>
      <c r="AT110" s="10" t="b">
        <f>IF(AND(I110="TN",S110&lt;=2800),VLOOKUP(AF110,TNCalibEq2500!$AZ$2:$BB$56,3,),IF(AND(I110="TDN",S110&lt;=2800),VLOOKUP(AF110,TNCalibEq2500!$AZ$2:$BB$56,3,)))</f>
        <v>0</v>
      </c>
      <c r="AU110" s="10" t="b">
        <f>IF(I110="TP",VLOOKUP(AF110,TPCalibEqFull!$AZ$2:$BB$56,3),IF(I110="TDP",VLOOKUP(AF110,TPCalibEqFull!$AZ$2:$BB$56,3),IF(I110="TDN",VLOOKUP(AF110,TNCalibEqFull!$AZ$1:$BB$56,3),IF(I110="TN",VLOOKUP(AF110,TNCalibEqFull!$AZ$1:$BB$56,3),FALSE))))</f>
        <v>0</v>
      </c>
      <c r="AV110" s="10" t="str">
        <f t="shared" si="11"/>
        <v>1220 05:55:00-HST-0-C-1-SW-DUP</v>
      </c>
    </row>
    <row r="111" spans="1:48" s="10" customFormat="1" x14ac:dyDescent="0.55000000000000004">
      <c r="A111" s="32">
        <v>44915</v>
      </c>
      <c r="B111" s="33">
        <v>0.24652777777777779</v>
      </c>
      <c r="C111" s="10" t="s">
        <v>912</v>
      </c>
      <c r="D111" s="10">
        <v>0</v>
      </c>
      <c r="E111" s="10" t="s">
        <v>190</v>
      </c>
      <c r="F111" s="10">
        <v>1</v>
      </c>
      <c r="G111" s="10" t="s">
        <v>231</v>
      </c>
      <c r="H111" s="10" t="s">
        <v>314</v>
      </c>
      <c r="I111" s="10" t="s">
        <v>285</v>
      </c>
      <c r="J111" s="10">
        <v>49</v>
      </c>
      <c r="K111" s="12">
        <v>44930</v>
      </c>
      <c r="L111" s="33">
        <v>0.46445601851851853</v>
      </c>
      <c r="M111" s="10">
        <v>1</v>
      </c>
      <c r="N111" s="10" t="s">
        <v>211</v>
      </c>
      <c r="O111" s="10">
        <v>1.18</v>
      </c>
      <c r="P111" s="10">
        <v>0.11600000000000001</v>
      </c>
      <c r="Q111" s="10">
        <v>208</v>
      </c>
      <c r="R111" s="10" t="s">
        <v>913</v>
      </c>
      <c r="S111" s="34">
        <f t="shared" si="7"/>
        <v>208</v>
      </c>
      <c r="T111" s="10" t="s">
        <v>938</v>
      </c>
      <c r="U111" s="34">
        <f t="shared" si="8"/>
        <v>107.45599999999999</v>
      </c>
      <c r="V111" s="31">
        <f>IF(H111="CHK",VLOOKUP(I111,QCCHK,3,),IF(H111="GUP",VLOOKUP(E111,QCGUP,2,),IF(AND(H111="ATP",OR(I111="TN",I111="TDN",I111="TNO2-3",I111="NO2-3")),VLOOKUP(E111,QCREC_N,2,),IF(AND(H111="NIC",OR(I111="TN",I111="TDN",I111="TNO2-3",I111="NO2-3")),VLOOKUP(E111,QCNIC_N,2,),IF(AND(H111="UREA",OR(I111="TN",I111="TDN",I111="TNO2-3",I111="NO2-3")),VLOOKUP(E111,QCUREA_N,2,),IF(H111="PER",VLOOKUP(I111,QCPER,MATCH(E111,QCACTUAL!$J$25:$AA$25,0),),IF(H111="SPK",VLOOKUP(I111,QCSPK,3,),IF(AND(H111="ATP",OR(I111="TP",I111="TDP")),VLOOKUP(E111,QCATP_P,2,),""))))))))</f>
        <v>156.25</v>
      </c>
      <c r="W111" s="31" t="str">
        <f t="shared" si="9"/>
        <v>TRUE</v>
      </c>
      <c r="X111" s="31" t="str">
        <f t="shared" si="10"/>
        <v>([spikedunkn]-[unkn])/[spike]*100</v>
      </c>
      <c r="Y111" s="10" t="s">
        <v>949</v>
      </c>
      <c r="Z111" s="10" t="s">
        <v>910</v>
      </c>
      <c r="AL111" s="10" t="str">
        <f t="shared" si="12"/>
        <v>FALSE</v>
      </c>
      <c r="AM111" s="10" t="str">
        <f t="shared" si="12"/>
        <v>FALSE</v>
      </c>
      <c r="AN111" s="10" t="str">
        <f t="shared" si="12"/>
        <v>FALSE</v>
      </c>
      <c r="AO111" s="10" t="str">
        <f t="shared" si="13"/>
        <v>FALSE</v>
      </c>
      <c r="AP111" s="10" t="str">
        <f t="shared" si="13"/>
        <v>FALSE</v>
      </c>
      <c r="AQ111" s="10" t="b">
        <f>IF(AND(I111="TP",S111&lt;=150),VLOOKUP(AF111,TPCalibEq150!$AZ$2:$BB$55,3,),IF(AND(I111="TDP",S111&lt;=150),VLOOKUP(AF111,TPCalibEq150!$AZ$2:$BB$55,3,)))</f>
        <v>0</v>
      </c>
      <c r="AR111" s="10" t="b">
        <f>IF(AND(I111="TP",S111&lt;=300),VLOOKUP(AF111,TPCalibEq300!$AZ$2:$BB$55,3,),IF(AND(I111="TDP",S111&lt;=300),VLOOKUP(AF111,TPCalibEq300!$AZ$2:$BB$55,3,)))</f>
        <v>0</v>
      </c>
      <c r="AS111" s="10" t="b">
        <f>IF(AND(I111="TP",S111&lt;=500),VLOOKUP(AF111,TPCalibEq500!$AZ$2:$BB$56,3,),IF(AND(I111="TDP",S111&lt;=500),VLOOKUP(AF111,TPCalibEq500!$AZ$2:$BB$56,3,)))</f>
        <v>0</v>
      </c>
      <c r="AT111" s="10" t="b">
        <f>IF(AND(I111="TN",S111&lt;=2800),VLOOKUP(AF111,TNCalibEq2500!$AZ$2:$BB$56,3,),IF(AND(I111="TDN",S111&lt;=2800),VLOOKUP(AF111,TNCalibEq2500!$AZ$2:$BB$56,3,)))</f>
        <v>0</v>
      </c>
      <c r="AU111" s="10" t="b">
        <f>IF(I111="TP",VLOOKUP(AF111,TPCalibEqFull!$AZ$2:$BB$56,3),IF(I111="TDP",VLOOKUP(AF111,TPCalibEqFull!$AZ$2:$BB$56,3),IF(I111="TDN",VLOOKUP(AF111,TNCalibEqFull!$AZ$1:$BB$56,3),IF(I111="TN",VLOOKUP(AF111,TNCalibEqFull!$AZ$1:$BB$56,3),FALSE))))</f>
        <v>0</v>
      </c>
      <c r="AV111" s="10" t="str">
        <f t="shared" si="11"/>
        <v>1220 05:55:00-HST -0-C-1-SW-SPK</v>
      </c>
    </row>
    <row r="112" spans="1:48" s="10" customFormat="1" x14ac:dyDescent="0.55000000000000004">
      <c r="A112" s="32">
        <v>44930</v>
      </c>
      <c r="B112" s="33">
        <v>0.375</v>
      </c>
      <c r="C112" s="10" t="s">
        <v>70</v>
      </c>
      <c r="D112" s="10" t="s">
        <v>71</v>
      </c>
      <c r="E112" s="10" t="s">
        <v>901</v>
      </c>
      <c r="F112" s="10">
        <v>1</v>
      </c>
      <c r="G112" s="10" t="s">
        <v>73</v>
      </c>
      <c r="H112" s="10" t="s">
        <v>207</v>
      </c>
      <c r="I112" s="10" t="s">
        <v>285</v>
      </c>
      <c r="J112" s="10">
        <v>199</v>
      </c>
      <c r="K112" s="12">
        <v>44930</v>
      </c>
      <c r="L112" s="33">
        <v>0.46527777777777773</v>
      </c>
      <c r="M112" s="10">
        <v>1</v>
      </c>
      <c r="N112" s="10" t="s">
        <v>211</v>
      </c>
      <c r="O112" s="10">
        <v>0.44900000000000001</v>
      </c>
      <c r="P112" s="10">
        <v>4.3400000000000001E-2</v>
      </c>
      <c r="Q112" s="10">
        <v>79.3</v>
      </c>
      <c r="R112" s="10" t="s">
        <v>913</v>
      </c>
      <c r="S112" s="34">
        <f t="shared" si="7"/>
        <v>79.3</v>
      </c>
      <c r="T112" s="10" t="s">
        <v>938</v>
      </c>
      <c r="U112" s="34">
        <f t="shared" si="8"/>
        <v>105.73333333333332</v>
      </c>
      <c r="V112" s="31">
        <f>IF(H112="CHK",VLOOKUP(I112,QCCHK,3,),IF(H112="GUP",VLOOKUP(E112,QCGUP,2,),IF(AND(H112="ATP",OR(I112="TN",I112="TDN",I112="TNO2-3",I112="NO2-3")),VLOOKUP(E112,QCREC_N,2,),IF(AND(H112="NIC",OR(I112="TN",I112="TDN",I112="TNO2-3",I112="NO2-3")),VLOOKUP(E112,QCNIC_N,2,),IF(AND(H112="UREA",OR(I112="TN",I112="TDN",I112="TNO2-3",I112="NO2-3")),VLOOKUP(E112,QCUREA_N,2,),IF(H112="PER",VLOOKUP(I112,QCPER,MATCH(E112,QCACTUAL!$J$25:$AA$25,0),),IF(H112="SPK",VLOOKUP(I112,QCSPK,3,),IF(AND(H112="ATP",OR(I112="TP",I112="TDP")),VLOOKUP(E112,QCATP_P,2,),""))))))))</f>
        <v>75</v>
      </c>
      <c r="W112" s="31" t="str">
        <f t="shared" si="9"/>
        <v>TRUE</v>
      </c>
      <c r="X112" s="31" t="str">
        <f t="shared" si="10"/>
        <v>[chk]/[actual]*100</v>
      </c>
      <c r="Y112" s="10" t="s">
        <v>949</v>
      </c>
      <c r="AL112" s="10" t="str">
        <f t="shared" si="12"/>
        <v>FALSE</v>
      </c>
      <c r="AM112" s="10" t="str">
        <f t="shared" si="12"/>
        <v>FALSE</v>
      </c>
      <c r="AN112" s="10" t="str">
        <f t="shared" si="12"/>
        <v>FALSE</v>
      </c>
      <c r="AO112" s="10" t="str">
        <f t="shared" si="13"/>
        <v>FALSE</v>
      </c>
      <c r="AP112" s="10" t="str">
        <f t="shared" si="13"/>
        <v>FALSE</v>
      </c>
      <c r="AQ112" s="10" t="b">
        <f>IF(AND(I112="TP",S112&lt;=150),VLOOKUP(AF112,TPCalibEq150!$AZ$2:$BB$55,3,),IF(AND(I112="TDP",S112&lt;=150),VLOOKUP(AF112,TPCalibEq150!$AZ$2:$BB$55,3,)))</f>
        <v>0</v>
      </c>
      <c r="AR112" s="10" t="b">
        <f>IF(AND(I112="TP",S112&lt;=300),VLOOKUP(AF112,TPCalibEq300!$AZ$2:$BB$55,3,),IF(AND(I112="TDP",S112&lt;=300),VLOOKUP(AF112,TPCalibEq300!$AZ$2:$BB$55,3,)))</f>
        <v>0</v>
      </c>
      <c r="AS112" s="10" t="b">
        <f>IF(AND(I112="TP",S112&lt;=500),VLOOKUP(AF112,TPCalibEq500!$AZ$2:$BB$56,3,),IF(AND(I112="TDP",S112&lt;=500),VLOOKUP(AF112,TPCalibEq500!$AZ$2:$BB$56,3,)))</f>
        <v>0</v>
      </c>
      <c r="AT112" s="10" t="b">
        <f>IF(AND(I112="TN",S112&lt;=2800),VLOOKUP(AF112,TNCalibEq2500!$AZ$2:$BB$56,3,),IF(AND(I112="TDN",S112&lt;=2800),VLOOKUP(AF112,TNCalibEq2500!$AZ$2:$BB$56,3,)))</f>
        <v>0</v>
      </c>
      <c r="AU112" s="10" t="b">
        <f>IF(I112="TP",VLOOKUP(AF112,TPCalibEqFull!$AZ$2:$BB$56,3),IF(I112="TDP",VLOOKUP(AF112,TPCalibEqFull!$AZ$2:$BB$56,3),IF(I112="TDN",VLOOKUP(AF112,TNCalibEqFull!$AZ$1:$BB$56,3),IF(I112="TN",VLOOKUP(AF112,TNCalibEqFull!$AZ$1:$BB$56,3),FALSE))))</f>
        <v>0</v>
      </c>
      <c r="AV112" s="10" t="str">
        <f t="shared" si="11"/>
        <v>0104 09:00:00-QAC-STD-D-1-DI-CHK</v>
      </c>
    </row>
    <row r="113" spans="1:48" s="10" customFormat="1" x14ac:dyDescent="0.55000000000000004">
      <c r="A113" s="32">
        <v>44916</v>
      </c>
      <c r="B113" s="33">
        <v>0.22916666666666666</v>
      </c>
      <c r="C113" s="10" t="s">
        <v>279</v>
      </c>
      <c r="D113" s="10">
        <v>0</v>
      </c>
      <c r="E113" s="10" t="s">
        <v>190</v>
      </c>
      <c r="F113" s="10">
        <v>1</v>
      </c>
      <c r="G113" s="10" t="s">
        <v>231</v>
      </c>
      <c r="H113" s="10" t="s">
        <v>322</v>
      </c>
      <c r="I113" s="10" t="s">
        <v>285</v>
      </c>
      <c r="J113" s="10">
        <v>11</v>
      </c>
      <c r="K113" s="12">
        <v>44930</v>
      </c>
      <c r="L113" s="33">
        <v>0.46609953703703705</v>
      </c>
      <c r="M113" s="10">
        <v>1</v>
      </c>
      <c r="N113" s="10" t="s">
        <v>211</v>
      </c>
      <c r="O113" s="10">
        <v>0.438</v>
      </c>
      <c r="P113" s="10">
        <v>4.2700000000000002E-2</v>
      </c>
      <c r="Q113" s="10">
        <v>77.400000000000006</v>
      </c>
      <c r="R113" s="10" t="s">
        <v>913</v>
      </c>
      <c r="S113" s="34">
        <f t="shared" si="7"/>
        <v>77.400000000000006</v>
      </c>
      <c r="T113" s="10" t="s">
        <v>938</v>
      </c>
      <c r="U113" s="34" t="str">
        <f t="shared" si="8"/>
        <v/>
      </c>
      <c r="V113" s="31" t="str">
        <f>IF(H113="CHK",VLOOKUP(I113,QCCHK,3,),IF(H113="GUP",VLOOKUP(E113,QCGUP,2,),IF(AND(H113="ATP",OR(I113="TN",I113="TDN",I113="TNO2-3",I113="NO2-3")),VLOOKUP(E113,QCREC_N,2,),IF(AND(H113="NIC",OR(I113="TN",I113="TDN",I113="TNO2-3",I113="NO2-3")),VLOOKUP(E113,QCNIC_N,2,),IF(AND(H113="UREA",OR(I113="TN",I113="TDN",I113="TNO2-3",I113="NO2-3")),VLOOKUP(E113,QCUREA_N,2,),IF(H113="PER",VLOOKUP(I113,QCPER,MATCH(E113,QCACTUAL!$J$25:$AA$25,0),),IF(H113="SPK",VLOOKUP(I113,QCSPK,3,),IF(AND(H113="ATP",OR(I113="TP",I113="TDP")),VLOOKUP(E113,QCATP_P,2,),""))))))))</f>
        <v/>
      </c>
      <c r="W113" s="31" t="str">
        <f t="shared" si="9"/>
        <v>TRUE</v>
      </c>
      <c r="X113" s="31" t="str">
        <f t="shared" si="10"/>
        <v/>
      </c>
      <c r="Y113" s="10" t="s">
        <v>949</v>
      </c>
      <c r="Z113" s="10" t="s">
        <v>910</v>
      </c>
      <c r="AL113" s="10" t="str">
        <f t="shared" si="12"/>
        <v>FALSE</v>
      </c>
      <c r="AM113" s="10" t="str">
        <f t="shared" si="12"/>
        <v>FALSE</v>
      </c>
      <c r="AN113" s="10" t="str">
        <f t="shared" si="12"/>
        <v>FALSE</v>
      </c>
      <c r="AO113" s="10" t="str">
        <f t="shared" si="13"/>
        <v>FALSE</v>
      </c>
      <c r="AP113" s="10" t="str">
        <f t="shared" si="13"/>
        <v>FALSE</v>
      </c>
      <c r="AQ113" s="10" t="b">
        <f>IF(AND(I113="TP",S113&lt;=150),VLOOKUP(AF113,TPCalibEq150!$AZ$2:$BB$55,3,),IF(AND(I113="TDP",S113&lt;=150),VLOOKUP(AF113,TPCalibEq150!$AZ$2:$BB$55,3,)))</f>
        <v>0</v>
      </c>
      <c r="AR113" s="10" t="b">
        <f>IF(AND(I113="TP",S113&lt;=300),VLOOKUP(AF113,TPCalibEq300!$AZ$2:$BB$55,3,),IF(AND(I113="TDP",S113&lt;=300),VLOOKUP(AF113,TPCalibEq300!$AZ$2:$BB$55,3,)))</f>
        <v>0</v>
      </c>
      <c r="AS113" s="10" t="b">
        <f>IF(AND(I113="TP",S113&lt;=500),VLOOKUP(AF113,TPCalibEq500!$AZ$2:$BB$56,3,),IF(AND(I113="TDP",S113&lt;=500),VLOOKUP(AF113,TPCalibEq500!$AZ$2:$BB$56,3,)))</f>
        <v>0</v>
      </c>
      <c r="AT113" s="10" t="b">
        <f>IF(AND(I113="TN",S113&lt;=2800),VLOOKUP(AF113,TNCalibEq2500!$AZ$2:$BB$56,3,),IF(AND(I113="TDN",S113&lt;=2800),VLOOKUP(AF113,TNCalibEq2500!$AZ$2:$BB$56,3,)))</f>
        <v>0</v>
      </c>
      <c r="AU113" s="10" t="b">
        <f>IF(I113="TP",VLOOKUP(AF113,TPCalibEqFull!$AZ$2:$BB$56,3),IF(I113="TDP",VLOOKUP(AF113,TPCalibEqFull!$AZ$2:$BB$56,3),IF(I113="TDN",VLOOKUP(AF113,TNCalibEqFull!$AZ$1:$BB$56,3),IF(I113="TN",VLOOKUP(AF113,TNCalibEqFull!$AZ$1:$BB$56,3),FALSE))))</f>
        <v>0</v>
      </c>
      <c r="AV113" s="10" t="str">
        <f t="shared" si="11"/>
        <v>1221 05:30:00-EFK-0-C-1-SW-UKN</v>
      </c>
    </row>
    <row r="114" spans="1:48" s="10" customFormat="1" x14ac:dyDescent="0.55000000000000004">
      <c r="A114" s="32">
        <v>44916</v>
      </c>
      <c r="B114" s="33">
        <v>0.23611111111111113</v>
      </c>
      <c r="C114" s="10" t="s">
        <v>333</v>
      </c>
      <c r="D114" s="10">
        <v>0</v>
      </c>
      <c r="E114" s="10" t="s">
        <v>190</v>
      </c>
      <c r="F114" s="10">
        <v>1</v>
      </c>
      <c r="G114" s="10" t="s">
        <v>231</v>
      </c>
      <c r="H114" s="10" t="s">
        <v>322</v>
      </c>
      <c r="I114" s="10" t="s">
        <v>285</v>
      </c>
      <c r="J114" s="10">
        <v>12</v>
      </c>
      <c r="K114" s="12">
        <v>44930</v>
      </c>
      <c r="L114" s="33">
        <v>0.46689814814814817</v>
      </c>
      <c r="M114" s="10">
        <v>1</v>
      </c>
      <c r="N114" s="10" t="s">
        <v>211</v>
      </c>
      <c r="O114" s="10">
        <v>0.22800000000000001</v>
      </c>
      <c r="P114" s="10">
        <v>2.1999999999999999E-2</v>
      </c>
      <c r="Q114" s="10">
        <v>40.299999999999997</v>
      </c>
      <c r="R114" s="10" t="s">
        <v>913</v>
      </c>
      <c r="S114" s="34">
        <f t="shared" si="7"/>
        <v>40.299999999999997</v>
      </c>
      <c r="T114" s="10" t="s">
        <v>938</v>
      </c>
      <c r="U114" s="34" t="str">
        <f t="shared" si="8"/>
        <v/>
      </c>
      <c r="V114" s="31" t="str">
        <f>IF(H114="CHK",VLOOKUP(I114,QCCHK,3,),IF(H114="GUP",VLOOKUP(E114,QCGUP,2,),IF(AND(H114="ATP",OR(I114="TN",I114="TDN",I114="TNO2-3",I114="NO2-3")),VLOOKUP(E114,QCREC_N,2,),IF(AND(H114="NIC",OR(I114="TN",I114="TDN",I114="TNO2-3",I114="NO2-3")),VLOOKUP(E114,QCNIC_N,2,),IF(AND(H114="UREA",OR(I114="TN",I114="TDN",I114="TNO2-3",I114="NO2-3")),VLOOKUP(E114,QCUREA_N,2,),IF(H114="PER",VLOOKUP(I114,QCPER,MATCH(E114,QCACTUAL!$J$25:$AA$25,0),),IF(H114="SPK",VLOOKUP(I114,QCSPK,3,),IF(AND(H114="ATP",OR(I114="TP",I114="TDP")),VLOOKUP(E114,QCATP_P,2,),""))))))))</f>
        <v/>
      </c>
      <c r="W114" s="31" t="str">
        <f t="shared" si="9"/>
        <v>TRUE</v>
      </c>
      <c r="X114" s="31" t="str">
        <f t="shared" si="10"/>
        <v/>
      </c>
      <c r="Y114" s="10" t="s">
        <v>949</v>
      </c>
      <c r="Z114" s="10" t="s">
        <v>910</v>
      </c>
      <c r="AL114" s="10" t="str">
        <f t="shared" si="12"/>
        <v>FALSE</v>
      </c>
      <c r="AM114" s="10" t="str">
        <f t="shared" si="12"/>
        <v>FALSE</v>
      </c>
      <c r="AN114" s="10" t="str">
        <f t="shared" si="12"/>
        <v>FALSE</v>
      </c>
      <c r="AO114" s="10" t="str">
        <f t="shared" si="13"/>
        <v>FALSE</v>
      </c>
      <c r="AP114" s="10" t="str">
        <f t="shared" si="13"/>
        <v>FALSE</v>
      </c>
      <c r="AQ114" s="10" t="b">
        <f>IF(AND(I114="TP",S114&lt;=150),VLOOKUP(AF114,TPCalibEq150!$AZ$2:$BB$55,3,),IF(AND(I114="TDP",S114&lt;=150),VLOOKUP(AF114,TPCalibEq150!$AZ$2:$BB$55,3,)))</f>
        <v>0</v>
      </c>
      <c r="AR114" s="10" t="b">
        <f>IF(AND(I114="TP",S114&lt;=300),VLOOKUP(AF114,TPCalibEq300!$AZ$2:$BB$55,3,),IF(AND(I114="TDP",S114&lt;=300),VLOOKUP(AF114,TPCalibEq300!$AZ$2:$BB$55,3,)))</f>
        <v>0</v>
      </c>
      <c r="AS114" s="10" t="b">
        <f>IF(AND(I114="TP",S114&lt;=500),VLOOKUP(AF114,TPCalibEq500!$AZ$2:$BB$56,3,),IF(AND(I114="TDP",S114&lt;=500),VLOOKUP(AF114,TPCalibEq500!$AZ$2:$BB$56,3,)))</f>
        <v>0</v>
      </c>
      <c r="AT114" s="10" t="b">
        <f>IF(AND(I114="TN",S114&lt;=2800),VLOOKUP(AF114,TNCalibEq2500!$AZ$2:$BB$56,3,),IF(AND(I114="TDN",S114&lt;=2800),VLOOKUP(AF114,TNCalibEq2500!$AZ$2:$BB$56,3,)))</f>
        <v>0</v>
      </c>
      <c r="AU114" s="10" t="b">
        <f>IF(I114="TP",VLOOKUP(AF114,TPCalibEqFull!$AZ$2:$BB$56,3),IF(I114="TDP",VLOOKUP(AF114,TPCalibEqFull!$AZ$2:$BB$56,3),IF(I114="TDN",VLOOKUP(AF114,TNCalibEqFull!$AZ$1:$BB$56,3),IF(I114="TN",VLOOKUP(AF114,TNCalibEqFull!$AZ$1:$BB$56,3),FALSE))))</f>
        <v>0</v>
      </c>
      <c r="AV114" s="10" t="str">
        <f t="shared" si="11"/>
        <v>1221 05:40:00-HST-0-C-1-SW-UKN</v>
      </c>
    </row>
    <row r="115" spans="1:48" s="10" customFormat="1" x14ac:dyDescent="0.55000000000000004">
      <c r="A115" s="32">
        <v>44917</v>
      </c>
      <c r="B115" s="33">
        <v>0.24513888888888888</v>
      </c>
      <c r="C115" s="10" t="s">
        <v>279</v>
      </c>
      <c r="D115" s="10">
        <v>0</v>
      </c>
      <c r="E115" s="10" t="s">
        <v>190</v>
      </c>
      <c r="F115" s="10">
        <v>1</v>
      </c>
      <c r="G115" s="10" t="s">
        <v>231</v>
      </c>
      <c r="H115" s="10" t="s">
        <v>322</v>
      </c>
      <c r="I115" s="10" t="s">
        <v>285</v>
      </c>
      <c r="J115" s="10">
        <v>13</v>
      </c>
      <c r="K115" s="12">
        <v>44930</v>
      </c>
      <c r="L115" s="33">
        <v>0.46770833333333334</v>
      </c>
      <c r="M115" s="10">
        <v>1</v>
      </c>
      <c r="N115" s="10" t="s">
        <v>211</v>
      </c>
      <c r="O115" s="10">
        <v>0.80200000000000005</v>
      </c>
      <c r="P115" s="10">
        <v>7.9000000000000001E-2</v>
      </c>
      <c r="Q115" s="10">
        <v>142</v>
      </c>
      <c r="R115" s="10" t="s">
        <v>913</v>
      </c>
      <c r="S115" s="34">
        <f t="shared" si="7"/>
        <v>142</v>
      </c>
      <c r="T115" s="10" t="s">
        <v>938</v>
      </c>
      <c r="U115" s="34" t="str">
        <f t="shared" si="8"/>
        <v/>
      </c>
      <c r="V115" s="31" t="str">
        <f>IF(H115="CHK",VLOOKUP(I115,QCCHK,3,),IF(H115="GUP",VLOOKUP(E115,QCGUP,2,),IF(AND(H115="ATP",OR(I115="TN",I115="TDN",I115="TNO2-3",I115="NO2-3")),VLOOKUP(E115,QCREC_N,2,),IF(AND(H115="NIC",OR(I115="TN",I115="TDN",I115="TNO2-3",I115="NO2-3")),VLOOKUP(E115,QCNIC_N,2,),IF(AND(H115="UREA",OR(I115="TN",I115="TDN",I115="TNO2-3",I115="NO2-3")),VLOOKUP(E115,QCUREA_N,2,),IF(H115="PER",VLOOKUP(I115,QCPER,MATCH(E115,QCACTUAL!$J$25:$AA$25,0),),IF(H115="SPK",VLOOKUP(I115,QCSPK,3,),IF(AND(H115="ATP",OR(I115="TP",I115="TDP")),VLOOKUP(E115,QCATP_P,2,),""))))))))</f>
        <v/>
      </c>
      <c r="W115" s="31" t="str">
        <f t="shared" si="9"/>
        <v>TRUE</v>
      </c>
      <c r="X115" s="31" t="str">
        <f t="shared" si="10"/>
        <v/>
      </c>
      <c r="Y115" s="10" t="s">
        <v>949</v>
      </c>
      <c r="Z115" s="10" t="s">
        <v>910</v>
      </c>
      <c r="AL115" s="10" t="str">
        <f t="shared" si="12"/>
        <v>FALSE</v>
      </c>
      <c r="AM115" s="10" t="str">
        <f t="shared" si="12"/>
        <v>FALSE</v>
      </c>
      <c r="AN115" s="10" t="str">
        <f t="shared" si="12"/>
        <v>FALSE</v>
      </c>
      <c r="AO115" s="10" t="str">
        <f t="shared" si="13"/>
        <v>FALSE</v>
      </c>
      <c r="AP115" s="10" t="str">
        <f t="shared" si="13"/>
        <v>FALSE</v>
      </c>
      <c r="AQ115" s="10" t="b">
        <f>IF(AND(I115="TP",S115&lt;=150),VLOOKUP(AF115,TPCalibEq150!$AZ$2:$BB$55,3,),IF(AND(I115="TDP",S115&lt;=150),VLOOKUP(AF115,TPCalibEq150!$AZ$2:$BB$55,3,)))</f>
        <v>0</v>
      </c>
      <c r="AR115" s="10" t="b">
        <f>IF(AND(I115="TP",S115&lt;=300),VLOOKUP(AF115,TPCalibEq300!$AZ$2:$BB$55,3,),IF(AND(I115="TDP",S115&lt;=300),VLOOKUP(AF115,TPCalibEq300!$AZ$2:$BB$55,3,)))</f>
        <v>0</v>
      </c>
      <c r="AS115" s="10" t="b">
        <f>IF(AND(I115="TP",S115&lt;=500),VLOOKUP(AF115,TPCalibEq500!$AZ$2:$BB$56,3,),IF(AND(I115="TDP",S115&lt;=500),VLOOKUP(AF115,TPCalibEq500!$AZ$2:$BB$56,3,)))</f>
        <v>0</v>
      </c>
      <c r="AT115" s="10" t="b">
        <f>IF(AND(I115="TN",S115&lt;=2800),VLOOKUP(AF115,TNCalibEq2500!$AZ$2:$BB$56,3,),IF(AND(I115="TDN",S115&lt;=2800),VLOOKUP(AF115,TNCalibEq2500!$AZ$2:$BB$56,3,)))</f>
        <v>0</v>
      </c>
      <c r="AU115" s="10" t="b">
        <f>IF(I115="TP",VLOOKUP(AF115,TPCalibEqFull!$AZ$2:$BB$56,3),IF(I115="TDP",VLOOKUP(AF115,TPCalibEqFull!$AZ$2:$BB$56,3),IF(I115="TDN",VLOOKUP(AF115,TNCalibEqFull!$AZ$1:$BB$56,3),IF(I115="TN",VLOOKUP(AF115,TNCalibEqFull!$AZ$1:$BB$56,3),FALSE))))</f>
        <v>0</v>
      </c>
      <c r="AV115" s="10" t="str">
        <f t="shared" si="11"/>
        <v>1222 05:53:00-EFK-0-C-1-SW-UKN</v>
      </c>
    </row>
    <row r="116" spans="1:48" s="10" customFormat="1" x14ac:dyDescent="0.55000000000000004">
      <c r="A116" s="32">
        <v>44917</v>
      </c>
      <c r="B116" s="33">
        <v>0.24166666666666667</v>
      </c>
      <c r="C116" s="10" t="s">
        <v>333</v>
      </c>
      <c r="D116" s="10">
        <v>0</v>
      </c>
      <c r="E116" s="10" t="s">
        <v>190</v>
      </c>
      <c r="F116" s="10">
        <v>1</v>
      </c>
      <c r="G116" s="10" t="s">
        <v>231</v>
      </c>
      <c r="H116" s="10" t="s">
        <v>322</v>
      </c>
      <c r="I116" s="10" t="s">
        <v>285</v>
      </c>
      <c r="J116" s="10">
        <v>14</v>
      </c>
      <c r="K116" s="12">
        <v>44930</v>
      </c>
      <c r="L116" s="33">
        <v>0.4685185185185185</v>
      </c>
      <c r="M116" s="10">
        <v>1</v>
      </c>
      <c r="N116" s="10" t="s">
        <v>211</v>
      </c>
      <c r="O116" s="10">
        <v>0.27600000000000002</v>
      </c>
      <c r="P116" s="10">
        <v>2.6499999999999999E-2</v>
      </c>
      <c r="Q116" s="10">
        <v>48.8</v>
      </c>
      <c r="R116" s="10" t="s">
        <v>913</v>
      </c>
      <c r="S116" s="34">
        <f t="shared" si="7"/>
        <v>48.8</v>
      </c>
      <c r="T116" s="10" t="s">
        <v>938</v>
      </c>
      <c r="U116" s="34" t="str">
        <f t="shared" si="8"/>
        <v/>
      </c>
      <c r="V116" s="31" t="str">
        <f>IF(H116="CHK",VLOOKUP(I116,QCCHK,3,),IF(H116="GUP",VLOOKUP(E116,QCGUP,2,),IF(AND(H116="ATP",OR(I116="TN",I116="TDN",I116="TNO2-3",I116="NO2-3")),VLOOKUP(E116,QCREC_N,2,),IF(AND(H116="NIC",OR(I116="TN",I116="TDN",I116="TNO2-3",I116="NO2-3")),VLOOKUP(E116,QCNIC_N,2,),IF(AND(H116="UREA",OR(I116="TN",I116="TDN",I116="TNO2-3",I116="NO2-3")),VLOOKUP(E116,QCUREA_N,2,),IF(H116="PER",VLOOKUP(I116,QCPER,MATCH(E116,QCACTUAL!$J$25:$AA$25,0),),IF(H116="SPK",VLOOKUP(I116,QCSPK,3,),IF(AND(H116="ATP",OR(I116="TP",I116="TDP")),VLOOKUP(E116,QCATP_P,2,),""))))))))</f>
        <v/>
      </c>
      <c r="W116" s="31" t="str">
        <f t="shared" si="9"/>
        <v>TRUE</v>
      </c>
      <c r="X116" s="31" t="str">
        <f t="shared" si="10"/>
        <v/>
      </c>
      <c r="Y116" s="10" t="s">
        <v>949</v>
      </c>
      <c r="Z116" s="10" t="s">
        <v>910</v>
      </c>
      <c r="AL116" s="10" t="str">
        <f t="shared" si="12"/>
        <v>FALSE</v>
      </c>
      <c r="AM116" s="10" t="str">
        <f t="shared" si="12"/>
        <v>FALSE</v>
      </c>
      <c r="AN116" s="10" t="str">
        <f t="shared" si="12"/>
        <v>FALSE</v>
      </c>
      <c r="AO116" s="10" t="str">
        <f t="shared" si="13"/>
        <v>FALSE</v>
      </c>
      <c r="AP116" s="10" t="str">
        <f t="shared" si="13"/>
        <v>FALSE</v>
      </c>
      <c r="AQ116" s="10" t="b">
        <f>IF(AND(I116="TP",S116&lt;=150),VLOOKUP(AF116,TPCalibEq150!$AZ$2:$BB$55,3,),IF(AND(I116="TDP",S116&lt;=150),VLOOKUP(AF116,TPCalibEq150!$AZ$2:$BB$55,3,)))</f>
        <v>0</v>
      </c>
      <c r="AR116" s="10" t="b">
        <f>IF(AND(I116="TP",S116&lt;=300),VLOOKUP(AF116,TPCalibEq300!$AZ$2:$BB$55,3,),IF(AND(I116="TDP",S116&lt;=300),VLOOKUP(AF116,TPCalibEq300!$AZ$2:$BB$55,3,)))</f>
        <v>0</v>
      </c>
      <c r="AS116" s="10" t="b">
        <f>IF(AND(I116="TP",S116&lt;=500),VLOOKUP(AF116,TPCalibEq500!$AZ$2:$BB$56,3,),IF(AND(I116="TDP",S116&lt;=500),VLOOKUP(AF116,TPCalibEq500!$AZ$2:$BB$56,3,)))</f>
        <v>0</v>
      </c>
      <c r="AT116" s="10" t="b">
        <f>IF(AND(I116="TN",S116&lt;=2800),VLOOKUP(AF116,TNCalibEq2500!$AZ$2:$BB$56,3,),IF(AND(I116="TDN",S116&lt;=2800),VLOOKUP(AF116,TNCalibEq2500!$AZ$2:$BB$56,3,)))</f>
        <v>0</v>
      </c>
      <c r="AU116" s="10" t="b">
        <f>IF(I116="TP",VLOOKUP(AF116,TPCalibEqFull!$AZ$2:$BB$56,3),IF(I116="TDP",VLOOKUP(AF116,TPCalibEqFull!$AZ$2:$BB$56,3),IF(I116="TDN",VLOOKUP(AF116,TNCalibEqFull!$AZ$1:$BB$56,3),IF(I116="TN",VLOOKUP(AF116,TNCalibEqFull!$AZ$1:$BB$56,3),FALSE))))</f>
        <v>0</v>
      </c>
      <c r="AV116" s="10" t="str">
        <f t="shared" si="11"/>
        <v>1222 05:48:00-HST-0-C-1-SW-UKN</v>
      </c>
    </row>
    <row r="117" spans="1:48" s="10" customFormat="1" x14ac:dyDescent="0.55000000000000004">
      <c r="A117" s="32">
        <v>44922</v>
      </c>
      <c r="B117" s="33">
        <v>0.24652777777777779</v>
      </c>
      <c r="C117" s="10" t="s">
        <v>279</v>
      </c>
      <c r="D117" s="10">
        <v>0</v>
      </c>
      <c r="E117" s="10" t="s">
        <v>190</v>
      </c>
      <c r="F117" s="10">
        <v>1</v>
      </c>
      <c r="G117" s="10" t="s">
        <v>231</v>
      </c>
      <c r="H117" s="10" t="s">
        <v>322</v>
      </c>
      <c r="I117" s="10" t="s">
        <v>285</v>
      </c>
      <c r="J117" s="10">
        <v>15</v>
      </c>
      <c r="K117" s="12">
        <v>44930</v>
      </c>
      <c r="L117" s="33">
        <v>0.46932870370370372</v>
      </c>
      <c r="M117" s="10">
        <v>1</v>
      </c>
      <c r="N117" s="10" t="s">
        <v>211</v>
      </c>
      <c r="O117" s="10">
        <v>1.05</v>
      </c>
      <c r="P117" s="10">
        <v>0.104</v>
      </c>
      <c r="Q117" s="10">
        <v>185</v>
      </c>
      <c r="R117" s="10" t="s">
        <v>913</v>
      </c>
      <c r="S117" s="34">
        <f t="shared" si="7"/>
        <v>185</v>
      </c>
      <c r="T117" s="10" t="s">
        <v>938</v>
      </c>
      <c r="U117" s="34" t="str">
        <f t="shared" si="8"/>
        <v/>
      </c>
      <c r="V117" s="31" t="str">
        <f>IF(H117="CHK",VLOOKUP(I117,QCCHK,3,),IF(H117="GUP",VLOOKUP(E117,QCGUP,2,),IF(AND(H117="ATP",OR(I117="TN",I117="TDN",I117="TNO2-3",I117="NO2-3")),VLOOKUP(E117,QCREC_N,2,),IF(AND(H117="NIC",OR(I117="TN",I117="TDN",I117="TNO2-3",I117="NO2-3")),VLOOKUP(E117,QCNIC_N,2,),IF(AND(H117="UREA",OR(I117="TN",I117="TDN",I117="TNO2-3",I117="NO2-3")),VLOOKUP(E117,QCUREA_N,2,),IF(H117="PER",VLOOKUP(I117,QCPER,MATCH(E117,QCACTUAL!$J$25:$AA$25,0),),IF(H117="SPK",VLOOKUP(I117,QCSPK,3,),IF(AND(H117="ATP",OR(I117="TP",I117="TDP")),VLOOKUP(E117,QCATP_P,2,),""))))))))</f>
        <v/>
      </c>
      <c r="W117" s="31" t="str">
        <f t="shared" si="9"/>
        <v>TRUE</v>
      </c>
      <c r="X117" s="31" t="str">
        <f t="shared" si="10"/>
        <v/>
      </c>
      <c r="Y117" s="10" t="s">
        <v>949</v>
      </c>
      <c r="Z117" s="10" t="s">
        <v>910</v>
      </c>
      <c r="AL117" s="10" t="str">
        <f t="shared" si="12"/>
        <v>FALSE</v>
      </c>
      <c r="AM117" s="10" t="str">
        <f t="shared" si="12"/>
        <v>FALSE</v>
      </c>
      <c r="AN117" s="10" t="str">
        <f t="shared" si="12"/>
        <v>FALSE</v>
      </c>
      <c r="AO117" s="10" t="str">
        <f t="shared" si="13"/>
        <v>FALSE</v>
      </c>
      <c r="AP117" s="10" t="str">
        <f t="shared" si="13"/>
        <v>FALSE</v>
      </c>
      <c r="AQ117" s="10" t="b">
        <f>IF(AND(I117="TP",S117&lt;=150),VLOOKUP(AF117,TPCalibEq150!$AZ$2:$BB$55,3,),IF(AND(I117="TDP",S117&lt;=150),VLOOKUP(AF117,TPCalibEq150!$AZ$2:$BB$55,3,)))</f>
        <v>0</v>
      </c>
      <c r="AR117" s="10" t="b">
        <f>IF(AND(I117="TP",S117&lt;=300),VLOOKUP(AF117,TPCalibEq300!$AZ$2:$BB$55,3,),IF(AND(I117="TDP",S117&lt;=300),VLOOKUP(AF117,TPCalibEq300!$AZ$2:$BB$55,3,)))</f>
        <v>0</v>
      </c>
      <c r="AS117" s="10" t="b">
        <f>IF(AND(I117="TP",S117&lt;=500),VLOOKUP(AF117,TPCalibEq500!$AZ$2:$BB$56,3,),IF(AND(I117="TDP",S117&lt;=500),VLOOKUP(AF117,TPCalibEq500!$AZ$2:$BB$56,3,)))</f>
        <v>0</v>
      </c>
      <c r="AT117" s="10" t="b">
        <f>IF(AND(I117="TN",S117&lt;=2800),VLOOKUP(AF117,TNCalibEq2500!$AZ$2:$BB$56,3,),IF(AND(I117="TDN",S117&lt;=2800),VLOOKUP(AF117,TNCalibEq2500!$AZ$2:$BB$56,3,)))</f>
        <v>0</v>
      </c>
      <c r="AU117" s="10" t="b">
        <f>IF(I117="TP",VLOOKUP(AF117,TPCalibEqFull!$AZ$2:$BB$56,3),IF(I117="TDP",VLOOKUP(AF117,TPCalibEqFull!$AZ$2:$BB$56,3),IF(I117="TDN",VLOOKUP(AF117,TNCalibEqFull!$AZ$1:$BB$56,3),IF(I117="TN",VLOOKUP(AF117,TNCalibEqFull!$AZ$1:$BB$56,3),FALSE))))</f>
        <v>0</v>
      </c>
      <c r="AV117" s="10" t="str">
        <f t="shared" si="11"/>
        <v>1227 05:55:00-EFK-0-C-1-SW-UKN</v>
      </c>
    </row>
    <row r="118" spans="1:48" s="10" customFormat="1" x14ac:dyDescent="0.55000000000000004">
      <c r="A118" s="32">
        <v>44922</v>
      </c>
      <c r="B118" s="33">
        <v>0.3576388888888889</v>
      </c>
      <c r="C118" s="10" t="s">
        <v>333</v>
      </c>
      <c r="D118" s="10">
        <v>0</v>
      </c>
      <c r="E118" s="10" t="s">
        <v>190</v>
      </c>
      <c r="F118" s="10">
        <v>1</v>
      </c>
      <c r="G118" s="10" t="s">
        <v>231</v>
      </c>
      <c r="H118" s="10" t="s">
        <v>322</v>
      </c>
      <c r="I118" s="10" t="s">
        <v>285</v>
      </c>
      <c r="J118" s="10">
        <v>16</v>
      </c>
      <c r="K118" s="12">
        <v>44930</v>
      </c>
      <c r="L118" s="33">
        <v>0.47015046296296298</v>
      </c>
      <c r="M118" s="10">
        <v>1</v>
      </c>
      <c r="N118" s="10" t="s">
        <v>211</v>
      </c>
      <c r="O118" s="10">
        <v>0.26</v>
      </c>
      <c r="P118" s="10">
        <v>2.12E-2</v>
      </c>
      <c r="Q118" s="10">
        <v>45.9</v>
      </c>
      <c r="R118" s="10" t="s">
        <v>913</v>
      </c>
      <c r="S118" s="34">
        <f t="shared" si="7"/>
        <v>45.9</v>
      </c>
      <c r="T118" s="10" t="s">
        <v>938</v>
      </c>
      <c r="U118" s="34" t="str">
        <f t="shared" si="8"/>
        <v/>
      </c>
      <c r="V118" s="31" t="str">
        <f>IF(H118="CHK",VLOOKUP(I118,QCCHK,3,),IF(H118="GUP",VLOOKUP(E118,QCGUP,2,),IF(AND(H118="ATP",OR(I118="TN",I118="TDN",I118="TNO2-3",I118="NO2-3")),VLOOKUP(E118,QCREC_N,2,),IF(AND(H118="NIC",OR(I118="TN",I118="TDN",I118="TNO2-3",I118="NO2-3")),VLOOKUP(E118,QCNIC_N,2,),IF(AND(H118="UREA",OR(I118="TN",I118="TDN",I118="TNO2-3",I118="NO2-3")),VLOOKUP(E118,QCUREA_N,2,),IF(H118="PER",VLOOKUP(I118,QCPER,MATCH(E118,QCACTUAL!$J$25:$AA$25,0),),IF(H118="SPK",VLOOKUP(I118,QCSPK,3,),IF(AND(H118="ATP",OR(I118="TP",I118="TDP")),VLOOKUP(E118,QCATP_P,2,),""))))))))</f>
        <v/>
      </c>
      <c r="W118" s="31" t="str">
        <f t="shared" si="9"/>
        <v>TRUE</v>
      </c>
      <c r="X118" s="31" t="str">
        <f t="shared" si="10"/>
        <v/>
      </c>
      <c r="Y118" s="10" t="s">
        <v>949</v>
      </c>
      <c r="Z118" s="10" t="s">
        <v>910</v>
      </c>
      <c r="AL118" s="10" t="str">
        <f t="shared" si="12"/>
        <v>FALSE</v>
      </c>
      <c r="AM118" s="10" t="str">
        <f t="shared" si="12"/>
        <v>FALSE</v>
      </c>
      <c r="AN118" s="10" t="str">
        <f t="shared" si="12"/>
        <v>FALSE</v>
      </c>
      <c r="AO118" s="10" t="str">
        <f t="shared" si="13"/>
        <v>FALSE</v>
      </c>
      <c r="AP118" s="10" t="str">
        <f t="shared" si="13"/>
        <v>FALSE</v>
      </c>
      <c r="AQ118" s="10" t="b">
        <f>IF(AND(I118="TP",S118&lt;=150),VLOOKUP(AF118,TPCalibEq150!$AZ$2:$BB$55,3,),IF(AND(I118="TDP",S118&lt;=150),VLOOKUP(AF118,TPCalibEq150!$AZ$2:$BB$55,3,)))</f>
        <v>0</v>
      </c>
      <c r="AR118" s="10" t="b">
        <f>IF(AND(I118="TP",S118&lt;=300),VLOOKUP(AF118,TPCalibEq300!$AZ$2:$BB$55,3,),IF(AND(I118="TDP",S118&lt;=300),VLOOKUP(AF118,TPCalibEq300!$AZ$2:$BB$55,3,)))</f>
        <v>0</v>
      </c>
      <c r="AS118" s="10" t="b">
        <f>IF(AND(I118="TP",S118&lt;=500),VLOOKUP(AF118,TPCalibEq500!$AZ$2:$BB$56,3,),IF(AND(I118="TDP",S118&lt;=500),VLOOKUP(AF118,TPCalibEq500!$AZ$2:$BB$56,3,)))</f>
        <v>0</v>
      </c>
      <c r="AT118" s="10" t="b">
        <f>IF(AND(I118="TN",S118&lt;=2800),VLOOKUP(AF118,TNCalibEq2500!$AZ$2:$BB$56,3,),IF(AND(I118="TDN",S118&lt;=2800),VLOOKUP(AF118,TNCalibEq2500!$AZ$2:$BB$56,3,)))</f>
        <v>0</v>
      </c>
      <c r="AU118" s="10" t="b">
        <f>IF(I118="TP",VLOOKUP(AF118,TPCalibEqFull!$AZ$2:$BB$56,3),IF(I118="TDP",VLOOKUP(AF118,TPCalibEqFull!$AZ$2:$BB$56,3),IF(I118="TDN",VLOOKUP(AF118,TNCalibEqFull!$AZ$1:$BB$56,3),IF(I118="TN",VLOOKUP(AF118,TNCalibEqFull!$AZ$1:$BB$56,3),FALSE))))</f>
        <v>0</v>
      </c>
      <c r="AV118" s="10" t="str">
        <f t="shared" si="11"/>
        <v>1227 08:35:00-HST-0-C-1-SW-UKN</v>
      </c>
    </row>
    <row r="119" spans="1:48" s="10" customFormat="1" x14ac:dyDescent="0.55000000000000004">
      <c r="A119" s="32">
        <v>44923</v>
      </c>
      <c r="B119" s="33">
        <v>0.23958333333333334</v>
      </c>
      <c r="C119" s="10" t="s">
        <v>279</v>
      </c>
      <c r="D119" s="10">
        <v>0</v>
      </c>
      <c r="E119" s="10" t="s">
        <v>190</v>
      </c>
      <c r="F119" s="10">
        <v>1</v>
      </c>
      <c r="G119" s="10" t="s">
        <v>231</v>
      </c>
      <c r="H119" s="10" t="s">
        <v>322</v>
      </c>
      <c r="I119" s="10" t="s">
        <v>285</v>
      </c>
      <c r="J119" s="10">
        <v>17</v>
      </c>
      <c r="K119" s="12">
        <v>44930</v>
      </c>
      <c r="L119" s="33">
        <v>0.47344907407407405</v>
      </c>
      <c r="M119" s="10">
        <v>1</v>
      </c>
      <c r="N119" s="10" t="s">
        <v>211</v>
      </c>
      <c r="O119" s="10">
        <v>0.98799999999999999</v>
      </c>
      <c r="P119" s="10">
        <v>9.7199999999999995E-2</v>
      </c>
      <c r="Q119" s="10">
        <v>175</v>
      </c>
      <c r="R119" s="10" t="s">
        <v>913</v>
      </c>
      <c r="S119" s="34">
        <f t="shared" si="7"/>
        <v>175</v>
      </c>
      <c r="T119" s="10" t="s">
        <v>938</v>
      </c>
      <c r="U119" s="34" t="str">
        <f t="shared" si="8"/>
        <v/>
      </c>
      <c r="V119" s="31" t="str">
        <f>IF(H119="CHK",VLOOKUP(I119,QCCHK,3,),IF(H119="GUP",VLOOKUP(E119,QCGUP,2,),IF(AND(H119="ATP",OR(I119="TN",I119="TDN",I119="TNO2-3",I119="NO2-3")),VLOOKUP(E119,QCREC_N,2,),IF(AND(H119="NIC",OR(I119="TN",I119="TDN",I119="TNO2-3",I119="NO2-3")),VLOOKUP(E119,QCNIC_N,2,),IF(AND(H119="UREA",OR(I119="TN",I119="TDN",I119="TNO2-3",I119="NO2-3")),VLOOKUP(E119,QCUREA_N,2,),IF(H119="PER",VLOOKUP(I119,QCPER,MATCH(E119,QCACTUAL!$J$25:$AA$25,0),),IF(H119="SPK",VLOOKUP(I119,QCSPK,3,),IF(AND(H119="ATP",OR(I119="TP",I119="TDP")),VLOOKUP(E119,QCATP_P,2,),""))))))))</f>
        <v/>
      </c>
      <c r="W119" s="31" t="str">
        <f t="shared" si="9"/>
        <v>TRUE</v>
      </c>
      <c r="X119" s="31" t="str">
        <f t="shared" si="10"/>
        <v/>
      </c>
      <c r="Y119" s="10" t="s">
        <v>949</v>
      </c>
      <c r="Z119" s="10" t="s">
        <v>910</v>
      </c>
      <c r="AL119" s="10" t="str">
        <f t="shared" si="12"/>
        <v>FALSE</v>
      </c>
      <c r="AM119" s="10" t="str">
        <f t="shared" si="12"/>
        <v>FALSE</v>
      </c>
      <c r="AN119" s="10" t="str">
        <f t="shared" si="12"/>
        <v>FALSE</v>
      </c>
      <c r="AO119" s="10" t="str">
        <f t="shared" si="13"/>
        <v>FALSE</v>
      </c>
      <c r="AP119" s="10" t="str">
        <f t="shared" si="13"/>
        <v>FALSE</v>
      </c>
      <c r="AQ119" s="10" t="b">
        <f>IF(AND(I119="TP",S119&lt;=150),VLOOKUP(AF119,TPCalibEq150!$AZ$2:$BB$55,3,),IF(AND(I119="TDP",S119&lt;=150),VLOOKUP(AF119,TPCalibEq150!$AZ$2:$BB$55,3,)))</f>
        <v>0</v>
      </c>
      <c r="AR119" s="10" t="b">
        <f>IF(AND(I119="TP",S119&lt;=300),VLOOKUP(AF119,TPCalibEq300!$AZ$2:$BB$55,3,),IF(AND(I119="TDP",S119&lt;=300),VLOOKUP(AF119,TPCalibEq300!$AZ$2:$BB$55,3,)))</f>
        <v>0</v>
      </c>
      <c r="AS119" s="10" t="b">
        <f>IF(AND(I119="TP",S119&lt;=500),VLOOKUP(AF119,TPCalibEq500!$AZ$2:$BB$56,3,),IF(AND(I119="TDP",S119&lt;=500),VLOOKUP(AF119,TPCalibEq500!$AZ$2:$BB$56,3,)))</f>
        <v>0</v>
      </c>
      <c r="AT119" s="10" t="b">
        <f>IF(AND(I119="TN",S119&lt;=2800),VLOOKUP(AF119,TNCalibEq2500!$AZ$2:$BB$56,3,),IF(AND(I119="TDN",S119&lt;=2800),VLOOKUP(AF119,TNCalibEq2500!$AZ$2:$BB$56,3,)))</f>
        <v>0</v>
      </c>
      <c r="AU119" s="10" t="b">
        <f>IF(I119="TP",VLOOKUP(AF119,TPCalibEqFull!$AZ$2:$BB$56,3),IF(I119="TDP",VLOOKUP(AF119,TPCalibEqFull!$AZ$2:$BB$56,3),IF(I119="TDN",VLOOKUP(AF119,TNCalibEqFull!$AZ$1:$BB$56,3),IF(I119="TN",VLOOKUP(AF119,TNCalibEqFull!$AZ$1:$BB$56,3),FALSE))))</f>
        <v>0</v>
      </c>
      <c r="AV119" s="10" t="str">
        <f t="shared" si="11"/>
        <v>1228 05:45:00-EFK-0-C-1-SW-UKN</v>
      </c>
    </row>
    <row r="120" spans="1:48" s="10" customFormat="1" x14ac:dyDescent="0.55000000000000004">
      <c r="A120" s="32">
        <v>44923</v>
      </c>
      <c r="B120" s="33">
        <v>0.36249999999999999</v>
      </c>
      <c r="C120" s="10" t="s">
        <v>333</v>
      </c>
      <c r="D120" s="10">
        <v>0</v>
      </c>
      <c r="E120" s="10" t="s">
        <v>190</v>
      </c>
      <c r="F120" s="10">
        <v>1</v>
      </c>
      <c r="G120" s="10" t="s">
        <v>231</v>
      </c>
      <c r="H120" s="10" t="s">
        <v>322</v>
      </c>
      <c r="I120" s="10" t="s">
        <v>285</v>
      </c>
      <c r="J120" s="10">
        <v>18</v>
      </c>
      <c r="K120" s="12">
        <v>44930</v>
      </c>
      <c r="L120" s="33">
        <v>0.47180555555555559</v>
      </c>
      <c r="M120" s="10">
        <v>1</v>
      </c>
      <c r="N120" s="10" t="s">
        <v>211</v>
      </c>
      <c r="O120" s="10">
        <v>0.17499999999999999</v>
      </c>
      <c r="P120" s="10">
        <v>1.6500000000000001E-2</v>
      </c>
      <c r="Q120" s="10">
        <v>31</v>
      </c>
      <c r="R120" s="10" t="s">
        <v>913</v>
      </c>
      <c r="S120" s="34">
        <f t="shared" si="7"/>
        <v>31</v>
      </c>
      <c r="T120" s="10" t="s">
        <v>938</v>
      </c>
      <c r="U120" s="34" t="str">
        <f t="shared" si="8"/>
        <v/>
      </c>
      <c r="V120" s="31" t="str">
        <f>IF(H120="CHK",VLOOKUP(I120,QCCHK,3,),IF(H120="GUP",VLOOKUP(E120,QCGUP,2,),IF(AND(H120="ATP",OR(I120="TN",I120="TDN",I120="TNO2-3",I120="NO2-3")),VLOOKUP(E120,QCREC_N,2,),IF(AND(H120="NIC",OR(I120="TN",I120="TDN",I120="TNO2-3",I120="NO2-3")),VLOOKUP(E120,QCNIC_N,2,),IF(AND(H120="UREA",OR(I120="TN",I120="TDN",I120="TNO2-3",I120="NO2-3")),VLOOKUP(E120,QCUREA_N,2,),IF(H120="PER",VLOOKUP(I120,QCPER,MATCH(E120,QCACTUAL!$J$25:$AA$25,0),),IF(H120="SPK",VLOOKUP(I120,QCSPK,3,),IF(AND(H120="ATP",OR(I120="TP",I120="TDP")),VLOOKUP(E120,QCATP_P,2,),""))))))))</f>
        <v/>
      </c>
      <c r="W120" s="31" t="str">
        <f t="shared" si="9"/>
        <v>TRUE</v>
      </c>
      <c r="X120" s="31" t="str">
        <f t="shared" si="10"/>
        <v/>
      </c>
      <c r="Y120" s="10" t="s">
        <v>949</v>
      </c>
      <c r="Z120" s="10" t="s">
        <v>910</v>
      </c>
      <c r="AL120" s="10" t="str">
        <f t="shared" si="12"/>
        <v>FALSE</v>
      </c>
      <c r="AM120" s="10" t="str">
        <f t="shared" si="12"/>
        <v>FALSE</v>
      </c>
      <c r="AN120" s="10" t="str">
        <f t="shared" si="12"/>
        <v>FALSE</v>
      </c>
      <c r="AO120" s="10" t="str">
        <f t="shared" si="13"/>
        <v>FALSE</v>
      </c>
      <c r="AP120" s="10" t="str">
        <f t="shared" si="13"/>
        <v>FALSE</v>
      </c>
      <c r="AQ120" s="10" t="b">
        <f>IF(AND(I120="TP",S120&lt;=150),VLOOKUP(AF120,TPCalibEq150!$AZ$2:$BB$55,3,),IF(AND(I120="TDP",S120&lt;=150),VLOOKUP(AF120,TPCalibEq150!$AZ$2:$BB$55,3,)))</f>
        <v>0</v>
      </c>
      <c r="AR120" s="10" t="b">
        <f>IF(AND(I120="TP",S120&lt;=300),VLOOKUP(AF120,TPCalibEq300!$AZ$2:$BB$55,3,),IF(AND(I120="TDP",S120&lt;=300),VLOOKUP(AF120,TPCalibEq300!$AZ$2:$BB$55,3,)))</f>
        <v>0</v>
      </c>
      <c r="AS120" s="10" t="b">
        <f>IF(AND(I120="TP",S120&lt;=500),VLOOKUP(AF120,TPCalibEq500!$AZ$2:$BB$56,3,),IF(AND(I120="TDP",S120&lt;=500),VLOOKUP(AF120,TPCalibEq500!$AZ$2:$BB$56,3,)))</f>
        <v>0</v>
      </c>
      <c r="AT120" s="10" t="b">
        <f>IF(AND(I120="TN",S120&lt;=2800),VLOOKUP(AF120,TNCalibEq2500!$AZ$2:$BB$56,3,),IF(AND(I120="TDN",S120&lt;=2800),VLOOKUP(AF120,TNCalibEq2500!$AZ$2:$BB$56,3,)))</f>
        <v>0</v>
      </c>
      <c r="AU120" s="10" t="b">
        <f>IF(I120="TP",VLOOKUP(AF120,TPCalibEqFull!$AZ$2:$BB$56,3),IF(I120="TDP",VLOOKUP(AF120,TPCalibEqFull!$AZ$2:$BB$56,3),IF(I120="TDN",VLOOKUP(AF120,TNCalibEqFull!$AZ$1:$BB$56,3),IF(I120="TN",VLOOKUP(AF120,TNCalibEqFull!$AZ$1:$BB$56,3),FALSE))))</f>
        <v>0</v>
      </c>
      <c r="AV120" s="10" t="str">
        <f t="shared" si="11"/>
        <v>1228 08:42:00-HST-0-C-1-SW-UKN</v>
      </c>
    </row>
    <row r="121" spans="1:48" s="10" customFormat="1" x14ac:dyDescent="0.55000000000000004">
      <c r="A121" s="32">
        <v>44924</v>
      </c>
      <c r="B121" s="33">
        <v>0.21180555555555555</v>
      </c>
      <c r="C121" s="10" t="s">
        <v>279</v>
      </c>
      <c r="D121" s="10">
        <v>0</v>
      </c>
      <c r="E121" s="10" t="s">
        <v>190</v>
      </c>
      <c r="F121" s="10">
        <v>1</v>
      </c>
      <c r="G121" s="10" t="s">
        <v>231</v>
      </c>
      <c r="H121" s="10" t="s">
        <v>322</v>
      </c>
      <c r="I121" s="10" t="s">
        <v>285</v>
      </c>
      <c r="J121" s="10">
        <v>19</v>
      </c>
      <c r="K121" s="12">
        <v>44930</v>
      </c>
      <c r="L121" s="33">
        <v>0.47261574074074075</v>
      </c>
      <c r="M121" s="10">
        <v>1</v>
      </c>
      <c r="N121" s="10" t="s">
        <v>211</v>
      </c>
      <c r="O121" s="10">
        <v>0.94399999999999995</v>
      </c>
      <c r="P121" s="10">
        <v>9.2600000000000002E-2</v>
      </c>
      <c r="Q121" s="10">
        <v>167</v>
      </c>
      <c r="R121" s="10" t="s">
        <v>913</v>
      </c>
      <c r="S121" s="34">
        <f t="shared" si="7"/>
        <v>167</v>
      </c>
      <c r="T121" s="10" t="s">
        <v>938</v>
      </c>
      <c r="U121" s="34" t="str">
        <f t="shared" si="8"/>
        <v/>
      </c>
      <c r="V121" s="31" t="str">
        <f>IF(H121="CHK",VLOOKUP(I121,QCCHK,3,),IF(H121="GUP",VLOOKUP(E121,QCGUP,2,),IF(AND(H121="ATP",OR(I121="TN",I121="TDN",I121="TNO2-3",I121="NO2-3")),VLOOKUP(E121,QCREC_N,2,),IF(AND(H121="NIC",OR(I121="TN",I121="TDN",I121="TNO2-3",I121="NO2-3")),VLOOKUP(E121,QCNIC_N,2,),IF(AND(H121="UREA",OR(I121="TN",I121="TDN",I121="TNO2-3",I121="NO2-3")),VLOOKUP(E121,QCUREA_N,2,),IF(H121="PER",VLOOKUP(I121,QCPER,MATCH(E121,QCACTUAL!$J$25:$AA$25,0),),IF(H121="SPK",VLOOKUP(I121,QCSPK,3,),IF(AND(H121="ATP",OR(I121="TP",I121="TDP")),VLOOKUP(E121,QCATP_P,2,),""))))))))</f>
        <v/>
      </c>
      <c r="W121" s="31" t="str">
        <f t="shared" si="9"/>
        <v>TRUE</v>
      </c>
      <c r="X121" s="31" t="str">
        <f t="shared" si="10"/>
        <v/>
      </c>
      <c r="Y121" s="10" t="s">
        <v>949</v>
      </c>
      <c r="Z121" s="10" t="s">
        <v>910</v>
      </c>
      <c r="AL121" s="10" t="str">
        <f t="shared" si="12"/>
        <v>FALSE</v>
      </c>
      <c r="AM121" s="10" t="str">
        <f t="shared" si="12"/>
        <v>FALSE</v>
      </c>
      <c r="AN121" s="10" t="str">
        <f t="shared" si="12"/>
        <v>FALSE</v>
      </c>
      <c r="AO121" s="10" t="str">
        <f t="shared" si="13"/>
        <v>FALSE</v>
      </c>
      <c r="AP121" s="10" t="str">
        <f t="shared" si="13"/>
        <v>FALSE</v>
      </c>
      <c r="AQ121" s="10" t="b">
        <f>IF(AND(I121="TP",S121&lt;=150),VLOOKUP(AF121,TPCalibEq150!$AZ$2:$BB$55,3,),IF(AND(I121="TDP",S121&lt;=150),VLOOKUP(AF121,TPCalibEq150!$AZ$2:$BB$55,3,)))</f>
        <v>0</v>
      </c>
      <c r="AR121" s="10" t="b">
        <f>IF(AND(I121="TP",S121&lt;=300),VLOOKUP(AF121,TPCalibEq300!$AZ$2:$BB$55,3,),IF(AND(I121="TDP",S121&lt;=300),VLOOKUP(AF121,TPCalibEq300!$AZ$2:$BB$55,3,)))</f>
        <v>0</v>
      </c>
      <c r="AS121" s="10" t="b">
        <f>IF(AND(I121="TP",S121&lt;=500),VLOOKUP(AF121,TPCalibEq500!$AZ$2:$BB$56,3,),IF(AND(I121="TDP",S121&lt;=500),VLOOKUP(AF121,TPCalibEq500!$AZ$2:$BB$56,3,)))</f>
        <v>0</v>
      </c>
      <c r="AT121" s="10" t="b">
        <f>IF(AND(I121="TN",S121&lt;=2800),VLOOKUP(AF121,TNCalibEq2500!$AZ$2:$BB$56,3,),IF(AND(I121="TDN",S121&lt;=2800),VLOOKUP(AF121,TNCalibEq2500!$AZ$2:$BB$56,3,)))</f>
        <v>0</v>
      </c>
      <c r="AU121" s="10" t="b">
        <f>IF(I121="TP",VLOOKUP(AF121,TPCalibEqFull!$AZ$2:$BB$56,3),IF(I121="TDP",VLOOKUP(AF121,TPCalibEqFull!$AZ$2:$BB$56,3),IF(I121="TDN",VLOOKUP(AF121,TNCalibEqFull!$AZ$1:$BB$56,3),IF(I121="TN",VLOOKUP(AF121,TNCalibEqFull!$AZ$1:$BB$56,3),FALSE))))</f>
        <v>0</v>
      </c>
      <c r="AV121" s="10" t="str">
        <f t="shared" si="11"/>
        <v>1229 05:05:00-EFK-0-C-1-SW-UKN</v>
      </c>
    </row>
    <row r="122" spans="1:48" s="10" customFormat="1" x14ac:dyDescent="0.55000000000000004">
      <c r="A122" s="32">
        <v>44924</v>
      </c>
      <c r="B122" s="33">
        <v>0.22013888888888888</v>
      </c>
      <c r="C122" s="10" t="s">
        <v>333</v>
      </c>
      <c r="D122" s="10">
        <v>0</v>
      </c>
      <c r="E122" s="10" t="s">
        <v>190</v>
      </c>
      <c r="F122" s="10">
        <v>1</v>
      </c>
      <c r="G122" s="10" t="s">
        <v>231</v>
      </c>
      <c r="H122" s="10" t="s">
        <v>322</v>
      </c>
      <c r="I122" s="10" t="s">
        <v>285</v>
      </c>
      <c r="J122" s="10">
        <v>20</v>
      </c>
      <c r="K122" s="12">
        <v>44930</v>
      </c>
      <c r="L122" s="33">
        <v>0.47427083333333336</v>
      </c>
      <c r="M122" s="10">
        <v>1</v>
      </c>
      <c r="N122" s="10" t="s">
        <v>211</v>
      </c>
      <c r="O122" s="10">
        <v>0.23799999999999999</v>
      </c>
      <c r="P122" s="10">
        <v>2.2200000000000001E-2</v>
      </c>
      <c r="Q122" s="10">
        <v>42</v>
      </c>
      <c r="R122" s="10" t="s">
        <v>913</v>
      </c>
      <c r="S122" s="34">
        <f t="shared" si="7"/>
        <v>42</v>
      </c>
      <c r="T122" s="10" t="s">
        <v>938</v>
      </c>
      <c r="U122" s="34" t="str">
        <f t="shared" si="8"/>
        <v/>
      </c>
      <c r="V122" s="31" t="str">
        <f>IF(H122="CHK",VLOOKUP(I122,QCCHK,3,),IF(H122="GUP",VLOOKUP(E122,QCGUP,2,),IF(AND(H122="ATP",OR(I122="TN",I122="TDN",I122="TNO2-3",I122="NO2-3")),VLOOKUP(E122,QCREC_N,2,),IF(AND(H122="NIC",OR(I122="TN",I122="TDN",I122="TNO2-3",I122="NO2-3")),VLOOKUP(E122,QCNIC_N,2,),IF(AND(H122="UREA",OR(I122="TN",I122="TDN",I122="TNO2-3",I122="NO2-3")),VLOOKUP(E122,QCUREA_N,2,),IF(H122="PER",VLOOKUP(I122,QCPER,MATCH(E122,QCACTUAL!$J$25:$AA$25,0),),IF(H122="SPK",VLOOKUP(I122,QCSPK,3,),IF(AND(H122="ATP",OR(I122="TP",I122="TDP")),VLOOKUP(E122,QCATP_P,2,),""))))))))</f>
        <v/>
      </c>
      <c r="W122" s="31" t="str">
        <f t="shared" si="9"/>
        <v>TRUE</v>
      </c>
      <c r="X122" s="31" t="str">
        <f t="shared" si="10"/>
        <v/>
      </c>
      <c r="Y122" s="10" t="s">
        <v>949</v>
      </c>
      <c r="Z122" s="10" t="s">
        <v>910</v>
      </c>
      <c r="AL122" s="10" t="str">
        <f t="shared" si="12"/>
        <v>FALSE</v>
      </c>
      <c r="AM122" s="10" t="str">
        <f t="shared" si="12"/>
        <v>FALSE</v>
      </c>
      <c r="AN122" s="10" t="str">
        <f t="shared" si="12"/>
        <v>FALSE</v>
      </c>
      <c r="AO122" s="10" t="str">
        <f t="shared" si="13"/>
        <v>FALSE</v>
      </c>
      <c r="AP122" s="10" t="str">
        <f t="shared" si="13"/>
        <v>FALSE</v>
      </c>
      <c r="AQ122" s="10" t="b">
        <f>IF(AND(I122="TP",S122&lt;=150),VLOOKUP(AF122,TPCalibEq150!$AZ$2:$BB$55,3,),IF(AND(I122="TDP",S122&lt;=150),VLOOKUP(AF122,TPCalibEq150!$AZ$2:$BB$55,3,)))</f>
        <v>0</v>
      </c>
      <c r="AR122" s="10" t="b">
        <f>IF(AND(I122="TP",S122&lt;=300),VLOOKUP(AF122,TPCalibEq300!$AZ$2:$BB$55,3,),IF(AND(I122="TDP",S122&lt;=300),VLOOKUP(AF122,TPCalibEq300!$AZ$2:$BB$55,3,)))</f>
        <v>0</v>
      </c>
      <c r="AS122" s="10" t="b">
        <f>IF(AND(I122="TP",S122&lt;=500),VLOOKUP(AF122,TPCalibEq500!$AZ$2:$BB$56,3,),IF(AND(I122="TDP",S122&lt;=500),VLOOKUP(AF122,TPCalibEq500!$AZ$2:$BB$56,3,)))</f>
        <v>0</v>
      </c>
      <c r="AT122" s="10" t="b">
        <f>IF(AND(I122="TN",S122&lt;=2800),VLOOKUP(AF122,TNCalibEq2500!$AZ$2:$BB$56,3,),IF(AND(I122="TDN",S122&lt;=2800),VLOOKUP(AF122,TNCalibEq2500!$AZ$2:$BB$56,3,)))</f>
        <v>0</v>
      </c>
      <c r="AU122" s="10" t="b">
        <f>IF(I122="TP",VLOOKUP(AF122,TPCalibEqFull!$AZ$2:$BB$56,3),IF(I122="TDP",VLOOKUP(AF122,TPCalibEqFull!$AZ$2:$BB$56,3),IF(I122="TDN",VLOOKUP(AF122,TNCalibEqFull!$AZ$1:$BB$56,3),IF(I122="TN",VLOOKUP(AF122,TNCalibEqFull!$AZ$1:$BB$56,3),FALSE))))</f>
        <v>0</v>
      </c>
      <c r="AV122" s="10" t="str">
        <f t="shared" si="11"/>
        <v>1229 05:17:00-HST-0-C-1-SW-UKN</v>
      </c>
    </row>
    <row r="123" spans="1:48" s="10" customFormat="1" x14ac:dyDescent="0.55000000000000004">
      <c r="A123" s="32">
        <v>44924</v>
      </c>
      <c r="B123" s="33">
        <v>0.22013888888888888</v>
      </c>
      <c r="C123" s="10" t="s">
        <v>333</v>
      </c>
      <c r="D123" s="10">
        <v>0</v>
      </c>
      <c r="E123" s="10" t="s">
        <v>190</v>
      </c>
      <c r="F123" s="10">
        <v>1</v>
      </c>
      <c r="G123" s="10" t="s">
        <v>231</v>
      </c>
      <c r="H123" s="10" t="s">
        <v>233</v>
      </c>
      <c r="I123" s="10" t="s">
        <v>285</v>
      </c>
      <c r="J123" s="10">
        <v>20</v>
      </c>
      <c r="K123" s="12">
        <v>44930</v>
      </c>
      <c r="L123" s="33">
        <v>0.47508101851851853</v>
      </c>
      <c r="M123" s="10">
        <v>1</v>
      </c>
      <c r="N123" s="10" t="s">
        <v>211</v>
      </c>
      <c r="O123" s="10">
        <v>0.22600000000000001</v>
      </c>
      <c r="P123" s="10">
        <v>2.1000000000000001E-2</v>
      </c>
      <c r="Q123" s="10">
        <v>39.9</v>
      </c>
      <c r="R123" s="10" t="s">
        <v>913</v>
      </c>
      <c r="S123" s="34">
        <f t="shared" si="7"/>
        <v>39.9</v>
      </c>
      <c r="T123" s="10" t="s">
        <v>938</v>
      </c>
      <c r="U123" s="34">
        <f t="shared" si="8"/>
        <v>5.1282051282051313</v>
      </c>
      <c r="V123" s="31" t="str">
        <f>IF(H123="CHK",VLOOKUP(I123,QCCHK,3,),IF(H123="GUP",VLOOKUP(E123,QCGUP,2,),IF(AND(H123="ATP",OR(I123="TN",I123="TDN",I123="TNO2-3",I123="NO2-3")),VLOOKUP(E123,QCREC_N,2,),IF(AND(H123="NIC",OR(I123="TN",I123="TDN",I123="TNO2-3",I123="NO2-3")),VLOOKUP(E123,QCNIC_N,2,),IF(AND(H123="UREA",OR(I123="TN",I123="TDN",I123="TNO2-3",I123="NO2-3")),VLOOKUP(E123,QCUREA_N,2,),IF(H123="PER",VLOOKUP(I123,QCPER,MATCH(E123,QCACTUAL!$J$25:$AA$25,0),),IF(H123="SPK",VLOOKUP(I123,QCSPK,3,),IF(AND(H123="ATP",OR(I123="TP",I123="TDP")),VLOOKUP(E123,QCATP_P,2,),""))))))))</f>
        <v/>
      </c>
      <c r="W123" s="31" t="str">
        <f t="shared" si="9"/>
        <v>TRUE</v>
      </c>
      <c r="X123" s="31" t="str">
        <f t="shared" si="10"/>
        <v>((ABS(rep1-rep2))/((rep1+rep2)/2)*100</v>
      </c>
      <c r="Y123" s="10" t="s">
        <v>949</v>
      </c>
      <c r="Z123" s="10" t="s">
        <v>910</v>
      </c>
      <c r="AL123" s="10" t="str">
        <f t="shared" si="12"/>
        <v>FALSE</v>
      </c>
      <c r="AM123" s="10" t="str">
        <f t="shared" si="12"/>
        <v>FALSE</v>
      </c>
      <c r="AN123" s="10" t="str">
        <f t="shared" si="12"/>
        <v>FALSE</v>
      </c>
      <c r="AO123" s="10" t="str">
        <f t="shared" si="13"/>
        <v>FALSE</v>
      </c>
      <c r="AP123" s="10" t="str">
        <f t="shared" si="13"/>
        <v>FALSE</v>
      </c>
      <c r="AQ123" s="10" t="b">
        <f>IF(AND(I123="TP",S123&lt;=150),VLOOKUP(AF123,TPCalibEq150!$AZ$2:$BB$55,3,),IF(AND(I123="TDP",S123&lt;=150),VLOOKUP(AF123,TPCalibEq150!$AZ$2:$BB$55,3,)))</f>
        <v>0</v>
      </c>
      <c r="AR123" s="10" t="b">
        <f>IF(AND(I123="TP",S123&lt;=300),VLOOKUP(AF123,TPCalibEq300!$AZ$2:$BB$55,3,),IF(AND(I123="TDP",S123&lt;=300),VLOOKUP(AF123,TPCalibEq300!$AZ$2:$BB$55,3,)))</f>
        <v>0</v>
      </c>
      <c r="AS123" s="10" t="b">
        <f>IF(AND(I123="TP",S123&lt;=500),VLOOKUP(AF123,TPCalibEq500!$AZ$2:$BB$56,3,),IF(AND(I123="TDP",S123&lt;=500),VLOOKUP(AF123,TPCalibEq500!$AZ$2:$BB$56,3,)))</f>
        <v>0</v>
      </c>
      <c r="AT123" s="10" t="b">
        <f>IF(AND(I123="TN",S123&lt;=2800),VLOOKUP(AF123,TNCalibEq2500!$AZ$2:$BB$56,3,),IF(AND(I123="TDN",S123&lt;=2800),VLOOKUP(AF123,TNCalibEq2500!$AZ$2:$BB$56,3,)))</f>
        <v>0</v>
      </c>
      <c r="AU123" s="10" t="b">
        <f>IF(I123="TP",VLOOKUP(AF123,TPCalibEqFull!$AZ$2:$BB$56,3),IF(I123="TDP",VLOOKUP(AF123,TPCalibEqFull!$AZ$2:$BB$56,3),IF(I123="TDN",VLOOKUP(AF123,TNCalibEqFull!$AZ$1:$BB$56,3),IF(I123="TN",VLOOKUP(AF123,TNCalibEqFull!$AZ$1:$BB$56,3),FALSE))))</f>
        <v>0</v>
      </c>
      <c r="AV123" s="10" t="str">
        <f t="shared" si="11"/>
        <v>1229 05:17:00-HST-0-C-1-SW-DUP</v>
      </c>
    </row>
    <row r="124" spans="1:48" s="10" customFormat="1" x14ac:dyDescent="0.55000000000000004">
      <c r="A124" s="32">
        <v>44924</v>
      </c>
      <c r="B124" s="33">
        <v>0.22013888888888888</v>
      </c>
      <c r="C124" s="10" t="s">
        <v>912</v>
      </c>
      <c r="D124" s="10">
        <v>0</v>
      </c>
      <c r="E124" s="10" t="s">
        <v>190</v>
      </c>
      <c r="F124" s="10">
        <v>1</v>
      </c>
      <c r="G124" s="10" t="s">
        <v>231</v>
      </c>
      <c r="H124" s="10" t="s">
        <v>314</v>
      </c>
      <c r="I124" s="10" t="s">
        <v>285</v>
      </c>
      <c r="J124" s="10">
        <v>50</v>
      </c>
      <c r="K124" s="12">
        <v>44930</v>
      </c>
      <c r="L124" s="33">
        <v>0.47590277777777779</v>
      </c>
      <c r="M124" s="10">
        <v>1</v>
      </c>
      <c r="N124" s="10" t="s">
        <v>211</v>
      </c>
      <c r="O124" s="10">
        <v>0.96</v>
      </c>
      <c r="P124" s="10">
        <v>9.35E-2</v>
      </c>
      <c r="Q124" s="10">
        <v>170</v>
      </c>
      <c r="R124" s="10" t="s">
        <v>913</v>
      </c>
      <c r="S124" s="34">
        <f t="shared" si="7"/>
        <v>170</v>
      </c>
      <c r="T124" s="10" t="s">
        <v>938</v>
      </c>
      <c r="U124" s="34">
        <f t="shared" si="8"/>
        <v>83.263999999999996</v>
      </c>
      <c r="V124" s="31">
        <f>IF(H124="CHK",VLOOKUP(I124,QCCHK,3,),IF(H124="GUP",VLOOKUP(E124,QCGUP,2,),IF(AND(H124="ATP",OR(I124="TN",I124="TDN",I124="TNO2-3",I124="NO2-3")),VLOOKUP(E124,QCREC_N,2,),IF(AND(H124="NIC",OR(I124="TN",I124="TDN",I124="TNO2-3",I124="NO2-3")),VLOOKUP(E124,QCNIC_N,2,),IF(AND(H124="UREA",OR(I124="TN",I124="TDN",I124="TNO2-3",I124="NO2-3")),VLOOKUP(E124,QCUREA_N,2,),IF(H124="PER",VLOOKUP(I124,QCPER,MATCH(E124,QCACTUAL!$J$25:$AA$25,0),),IF(H124="SPK",VLOOKUP(I124,QCSPK,3,),IF(AND(H124="ATP",OR(I124="TP",I124="TDP")),VLOOKUP(E124,QCATP_P,2,),""))))))))</f>
        <v>156.25</v>
      </c>
      <c r="W124" s="31" t="str">
        <f t="shared" si="9"/>
        <v>TRUE</v>
      </c>
      <c r="X124" s="31" t="str">
        <f t="shared" si="10"/>
        <v>([spikedunkn]-[unkn])/[spike]*100</v>
      </c>
      <c r="Y124" s="10" t="s">
        <v>949</v>
      </c>
      <c r="Z124" s="10" t="s">
        <v>910</v>
      </c>
      <c r="AL124" s="10" t="str">
        <f t="shared" si="12"/>
        <v>FALSE</v>
      </c>
      <c r="AM124" s="10" t="str">
        <f t="shared" si="12"/>
        <v>FALSE</v>
      </c>
      <c r="AN124" s="10" t="str">
        <f t="shared" si="12"/>
        <v>FALSE</v>
      </c>
      <c r="AO124" s="10" t="str">
        <f t="shared" si="13"/>
        <v>FALSE</v>
      </c>
      <c r="AP124" s="10" t="str">
        <f t="shared" si="13"/>
        <v>FALSE</v>
      </c>
      <c r="AQ124" s="10" t="b">
        <f>IF(AND(I124="TP",S124&lt;=150),VLOOKUP(AF124,TPCalibEq150!$AZ$2:$BB$55,3,),IF(AND(I124="TDP",S124&lt;=150),VLOOKUP(AF124,TPCalibEq150!$AZ$2:$BB$55,3,)))</f>
        <v>0</v>
      </c>
      <c r="AR124" s="10" t="b">
        <f>IF(AND(I124="TP",S124&lt;=300),VLOOKUP(AF124,TPCalibEq300!$AZ$2:$BB$55,3,),IF(AND(I124="TDP",S124&lt;=300),VLOOKUP(AF124,TPCalibEq300!$AZ$2:$BB$55,3,)))</f>
        <v>0</v>
      </c>
      <c r="AS124" s="10" t="b">
        <f>IF(AND(I124="TP",S124&lt;=500),VLOOKUP(AF124,TPCalibEq500!$AZ$2:$BB$56,3,),IF(AND(I124="TDP",S124&lt;=500),VLOOKUP(AF124,TPCalibEq500!$AZ$2:$BB$56,3,)))</f>
        <v>0</v>
      </c>
      <c r="AT124" s="10" t="b">
        <f>IF(AND(I124="TN",S124&lt;=2800),VLOOKUP(AF124,TNCalibEq2500!$AZ$2:$BB$56,3,),IF(AND(I124="TDN",S124&lt;=2800),VLOOKUP(AF124,TNCalibEq2500!$AZ$2:$BB$56,3,)))</f>
        <v>0</v>
      </c>
      <c r="AU124" s="10" t="b">
        <f>IF(I124="TP",VLOOKUP(AF124,TPCalibEqFull!$AZ$2:$BB$56,3),IF(I124="TDP",VLOOKUP(AF124,TPCalibEqFull!$AZ$2:$BB$56,3),IF(I124="TDN",VLOOKUP(AF124,TNCalibEqFull!$AZ$1:$BB$56,3),IF(I124="TN",VLOOKUP(AF124,TNCalibEqFull!$AZ$1:$BB$56,3),FALSE))))</f>
        <v>0</v>
      </c>
      <c r="AV124" s="10" t="str">
        <f t="shared" si="11"/>
        <v>1229 05:17:00-HST -0-C-1-SW-SPK</v>
      </c>
    </row>
    <row r="125" spans="1:48" s="10" customFormat="1" x14ac:dyDescent="0.55000000000000004">
      <c r="A125" s="32">
        <v>44930</v>
      </c>
      <c r="B125" s="33">
        <v>0.375</v>
      </c>
      <c r="C125" s="10" t="s">
        <v>70</v>
      </c>
      <c r="D125" s="10" t="s">
        <v>71</v>
      </c>
      <c r="E125" s="10" t="s">
        <v>901</v>
      </c>
      <c r="F125" s="10">
        <v>1</v>
      </c>
      <c r="G125" s="10" t="s">
        <v>73</v>
      </c>
      <c r="H125" s="10" t="s">
        <v>207</v>
      </c>
      <c r="I125" s="10" t="s">
        <v>285</v>
      </c>
      <c r="J125" s="10">
        <v>199</v>
      </c>
      <c r="K125" s="12">
        <v>44930</v>
      </c>
      <c r="L125" s="33">
        <v>0.47672453703703704</v>
      </c>
      <c r="M125" s="10">
        <v>1</v>
      </c>
      <c r="N125" s="10" t="s">
        <v>211</v>
      </c>
      <c r="O125" s="10">
        <v>0.45200000000000001</v>
      </c>
      <c r="P125" s="10">
        <v>4.3700000000000003E-2</v>
      </c>
      <c r="Q125" s="10">
        <v>79.8</v>
      </c>
      <c r="R125" s="10" t="s">
        <v>913</v>
      </c>
      <c r="S125" s="34">
        <f t="shared" si="7"/>
        <v>79.8</v>
      </c>
      <c r="T125" s="10" t="s">
        <v>938</v>
      </c>
      <c r="U125" s="34">
        <f t="shared" si="8"/>
        <v>106.4</v>
      </c>
      <c r="V125" s="31">
        <f>IF(H125="CHK",VLOOKUP(I125,QCCHK,3,),IF(H125="GUP",VLOOKUP(E125,QCGUP,2,),IF(AND(H125="ATP",OR(I125="TN",I125="TDN",I125="TNO2-3",I125="NO2-3")),VLOOKUP(E125,QCREC_N,2,),IF(AND(H125="NIC",OR(I125="TN",I125="TDN",I125="TNO2-3",I125="NO2-3")),VLOOKUP(E125,QCNIC_N,2,),IF(AND(H125="UREA",OR(I125="TN",I125="TDN",I125="TNO2-3",I125="NO2-3")),VLOOKUP(E125,QCUREA_N,2,),IF(H125="PER",VLOOKUP(I125,QCPER,MATCH(E125,QCACTUAL!$J$25:$AA$25,0),),IF(H125="SPK",VLOOKUP(I125,QCSPK,3,),IF(AND(H125="ATP",OR(I125="TP",I125="TDP")),VLOOKUP(E125,QCATP_P,2,),""))))))))</f>
        <v>75</v>
      </c>
      <c r="W125" s="31" t="str">
        <f t="shared" si="9"/>
        <v>TRUE</v>
      </c>
      <c r="X125" s="31" t="str">
        <f t="shared" si="10"/>
        <v>[chk]/[actual]*100</v>
      </c>
      <c r="Y125" s="10" t="s">
        <v>949</v>
      </c>
      <c r="AL125" s="10" t="str">
        <f t="shared" si="12"/>
        <v>FALSE</v>
      </c>
      <c r="AM125" s="10" t="str">
        <f t="shared" si="12"/>
        <v>FALSE</v>
      </c>
      <c r="AN125" s="10" t="str">
        <f t="shared" si="12"/>
        <v>FALSE</v>
      </c>
      <c r="AO125" s="10" t="str">
        <f t="shared" si="13"/>
        <v>FALSE</v>
      </c>
      <c r="AP125" s="10" t="str">
        <f t="shared" si="13"/>
        <v>FALSE</v>
      </c>
      <c r="AQ125" s="10" t="b">
        <f>IF(AND(I125="TP",S125&lt;=150),VLOOKUP(AF125,TPCalibEq150!$AZ$2:$BB$55,3,),IF(AND(I125="TDP",S125&lt;=150),VLOOKUP(AF125,TPCalibEq150!$AZ$2:$BB$55,3,)))</f>
        <v>0</v>
      </c>
      <c r="AR125" s="10" t="b">
        <f>IF(AND(I125="TP",S125&lt;=300),VLOOKUP(AF125,TPCalibEq300!$AZ$2:$BB$55,3,),IF(AND(I125="TDP",S125&lt;=300),VLOOKUP(AF125,TPCalibEq300!$AZ$2:$BB$55,3,)))</f>
        <v>0</v>
      </c>
      <c r="AS125" s="10" t="b">
        <f>IF(AND(I125="TP",S125&lt;=500),VLOOKUP(AF125,TPCalibEq500!$AZ$2:$BB$56,3,),IF(AND(I125="TDP",S125&lt;=500),VLOOKUP(AF125,TPCalibEq500!$AZ$2:$BB$56,3,)))</f>
        <v>0</v>
      </c>
      <c r="AT125" s="10" t="b">
        <f>IF(AND(I125="TN",S125&lt;=2800),VLOOKUP(AF125,TNCalibEq2500!$AZ$2:$BB$56,3,),IF(AND(I125="TDN",S125&lt;=2800),VLOOKUP(AF125,TNCalibEq2500!$AZ$2:$BB$56,3,)))</f>
        <v>0</v>
      </c>
      <c r="AU125" s="10" t="b">
        <f>IF(I125="TP",VLOOKUP(AF125,TPCalibEqFull!$AZ$2:$BB$56,3),IF(I125="TDP",VLOOKUP(AF125,TPCalibEqFull!$AZ$2:$BB$56,3),IF(I125="TDN",VLOOKUP(AF125,TNCalibEqFull!$AZ$1:$BB$56,3),IF(I125="TN",VLOOKUP(AF125,TNCalibEqFull!$AZ$1:$BB$56,3),FALSE))))</f>
        <v>0</v>
      </c>
      <c r="AV125" s="10" t="str">
        <f t="shared" si="11"/>
        <v>0104 09:00:00-QAC-STD-D-1-DI-CHK</v>
      </c>
    </row>
    <row r="126" spans="1:48" s="10" customFormat="1" x14ac:dyDescent="0.55000000000000004">
      <c r="A126" s="32">
        <v>44925</v>
      </c>
      <c r="B126" s="33">
        <v>0.55555555555555558</v>
      </c>
      <c r="C126" s="10" t="s">
        <v>279</v>
      </c>
      <c r="D126" s="10">
        <v>0</v>
      </c>
      <c r="E126" s="10" t="s">
        <v>190</v>
      </c>
      <c r="F126" s="10">
        <v>1</v>
      </c>
      <c r="G126" s="10" t="s">
        <v>231</v>
      </c>
      <c r="H126" s="10" t="s">
        <v>322</v>
      </c>
      <c r="I126" s="10" t="s">
        <v>285</v>
      </c>
      <c r="J126" s="10">
        <v>21</v>
      </c>
      <c r="K126" s="12">
        <v>44930</v>
      </c>
      <c r="L126" s="33">
        <v>0.47753472222222221</v>
      </c>
      <c r="M126" s="10">
        <v>1</v>
      </c>
      <c r="N126" s="10" t="s">
        <v>211</v>
      </c>
      <c r="O126" s="10">
        <v>0.54600000000000004</v>
      </c>
      <c r="P126" s="10">
        <v>5.2600000000000001E-2</v>
      </c>
      <c r="Q126" s="10">
        <v>96.6</v>
      </c>
      <c r="R126" s="10" t="s">
        <v>913</v>
      </c>
      <c r="S126" s="34">
        <f t="shared" si="7"/>
        <v>96.6</v>
      </c>
      <c r="T126" s="10" t="s">
        <v>938</v>
      </c>
      <c r="U126" s="34" t="str">
        <f t="shared" si="8"/>
        <v/>
      </c>
      <c r="V126" s="31" t="str">
        <f>IF(H126="CHK",VLOOKUP(I126,QCCHK,3,),IF(H126="GUP",VLOOKUP(E126,QCGUP,2,),IF(AND(H126="ATP",OR(I126="TN",I126="TDN",I126="TNO2-3",I126="NO2-3")),VLOOKUP(E126,QCREC_N,2,),IF(AND(H126="NIC",OR(I126="TN",I126="TDN",I126="TNO2-3",I126="NO2-3")),VLOOKUP(E126,QCNIC_N,2,),IF(AND(H126="UREA",OR(I126="TN",I126="TDN",I126="TNO2-3",I126="NO2-3")),VLOOKUP(E126,QCUREA_N,2,),IF(H126="PER",VLOOKUP(I126,QCPER,MATCH(E126,QCACTUAL!$J$25:$AA$25,0),),IF(H126="SPK",VLOOKUP(I126,QCSPK,3,),IF(AND(H126="ATP",OR(I126="TP",I126="TDP")),VLOOKUP(E126,QCATP_P,2,),""))))))))</f>
        <v/>
      </c>
      <c r="W126" s="31" t="str">
        <f t="shared" si="9"/>
        <v>TRUE</v>
      </c>
      <c r="X126" s="31" t="str">
        <f t="shared" si="10"/>
        <v/>
      </c>
      <c r="Y126" s="10" t="s">
        <v>949</v>
      </c>
      <c r="Z126" s="10" t="s">
        <v>910</v>
      </c>
      <c r="AL126" s="10" t="str">
        <f t="shared" si="12"/>
        <v>FALSE</v>
      </c>
      <c r="AM126" s="10" t="str">
        <f t="shared" si="12"/>
        <v>FALSE</v>
      </c>
      <c r="AN126" s="10" t="str">
        <f t="shared" si="12"/>
        <v>FALSE</v>
      </c>
      <c r="AO126" s="10" t="str">
        <f t="shared" si="13"/>
        <v>FALSE</v>
      </c>
      <c r="AP126" s="10" t="str">
        <f t="shared" si="13"/>
        <v>FALSE</v>
      </c>
      <c r="AQ126" s="10" t="b">
        <f>IF(AND(I126="TP",S126&lt;=150),VLOOKUP(AF126,TPCalibEq150!$AZ$2:$BB$55,3,),IF(AND(I126="TDP",S126&lt;=150),VLOOKUP(AF126,TPCalibEq150!$AZ$2:$BB$55,3,)))</f>
        <v>0</v>
      </c>
      <c r="AR126" s="10" t="b">
        <f>IF(AND(I126="TP",S126&lt;=300),VLOOKUP(AF126,TPCalibEq300!$AZ$2:$BB$55,3,),IF(AND(I126="TDP",S126&lt;=300),VLOOKUP(AF126,TPCalibEq300!$AZ$2:$BB$55,3,)))</f>
        <v>0</v>
      </c>
      <c r="AS126" s="10" t="b">
        <f>IF(AND(I126="TP",S126&lt;=500),VLOOKUP(AF126,TPCalibEq500!$AZ$2:$BB$56,3,),IF(AND(I126="TDP",S126&lt;=500),VLOOKUP(AF126,TPCalibEq500!$AZ$2:$BB$56,3,)))</f>
        <v>0</v>
      </c>
      <c r="AT126" s="10" t="b">
        <f>IF(AND(I126="TN",S126&lt;=2800),VLOOKUP(AF126,TNCalibEq2500!$AZ$2:$BB$56,3,),IF(AND(I126="TDN",S126&lt;=2800),VLOOKUP(AF126,TNCalibEq2500!$AZ$2:$BB$56,3,)))</f>
        <v>0</v>
      </c>
      <c r="AU126" s="10" t="b">
        <f>IF(I126="TP",VLOOKUP(AF126,TPCalibEqFull!$AZ$2:$BB$56,3),IF(I126="TDP",VLOOKUP(AF126,TPCalibEqFull!$AZ$2:$BB$56,3),IF(I126="TDN",VLOOKUP(AF126,TNCalibEqFull!$AZ$1:$BB$56,3),IF(I126="TN",VLOOKUP(AF126,TNCalibEqFull!$AZ$1:$BB$56,3),FALSE))))</f>
        <v>0</v>
      </c>
      <c r="AV126" s="10" t="str">
        <f t="shared" si="11"/>
        <v>1230 13:20:00-EFK-0-C-1-SW-UKN</v>
      </c>
    </row>
    <row r="127" spans="1:48" s="10" customFormat="1" x14ac:dyDescent="0.55000000000000004">
      <c r="A127" s="32">
        <v>44925</v>
      </c>
      <c r="B127" s="33">
        <v>0.55902777777777779</v>
      </c>
      <c r="C127" s="10" t="s">
        <v>333</v>
      </c>
      <c r="D127" s="10">
        <v>0</v>
      </c>
      <c r="E127" s="10" t="s">
        <v>190</v>
      </c>
      <c r="F127" s="10">
        <v>1</v>
      </c>
      <c r="G127" s="10" t="s">
        <v>231</v>
      </c>
      <c r="H127" s="10" t="s">
        <v>322</v>
      </c>
      <c r="I127" s="10" t="s">
        <v>285</v>
      </c>
      <c r="J127" s="10">
        <v>22</v>
      </c>
      <c r="K127" s="12">
        <v>44930</v>
      </c>
      <c r="L127" s="33">
        <v>0.47835648148148152</v>
      </c>
      <c r="M127" s="10">
        <v>1</v>
      </c>
      <c r="N127" s="10" t="s">
        <v>211</v>
      </c>
      <c r="O127" s="10">
        <v>0.35699999999999998</v>
      </c>
      <c r="P127" s="10">
        <v>3.3599999999999998E-2</v>
      </c>
      <c r="Q127" s="10">
        <v>63.1</v>
      </c>
      <c r="R127" s="10" t="s">
        <v>913</v>
      </c>
      <c r="S127" s="34">
        <f t="shared" si="7"/>
        <v>63.1</v>
      </c>
      <c r="T127" s="10" t="s">
        <v>938</v>
      </c>
      <c r="U127" s="34" t="str">
        <f t="shared" si="8"/>
        <v/>
      </c>
      <c r="V127" s="31" t="str">
        <f>IF(H127="CHK",VLOOKUP(I127,QCCHK,3,),IF(H127="GUP",VLOOKUP(E127,QCGUP,2,),IF(AND(H127="ATP",OR(I127="TN",I127="TDN",I127="TNO2-3",I127="NO2-3")),VLOOKUP(E127,QCREC_N,2,),IF(AND(H127="NIC",OR(I127="TN",I127="TDN",I127="TNO2-3",I127="NO2-3")),VLOOKUP(E127,QCNIC_N,2,),IF(AND(H127="UREA",OR(I127="TN",I127="TDN",I127="TNO2-3",I127="NO2-3")),VLOOKUP(E127,QCUREA_N,2,),IF(H127="PER",VLOOKUP(I127,QCPER,MATCH(E127,QCACTUAL!$J$25:$AA$25,0),),IF(H127="SPK",VLOOKUP(I127,QCSPK,3,),IF(AND(H127="ATP",OR(I127="TP",I127="TDP")),VLOOKUP(E127,QCATP_P,2,),""))))))))</f>
        <v/>
      </c>
      <c r="W127" s="31" t="str">
        <f t="shared" si="9"/>
        <v>TRUE</v>
      </c>
      <c r="X127" s="31" t="str">
        <f t="shared" si="10"/>
        <v/>
      </c>
      <c r="Y127" s="10" t="s">
        <v>949</v>
      </c>
      <c r="Z127" s="10" t="s">
        <v>910</v>
      </c>
      <c r="AL127" s="10" t="str">
        <f t="shared" si="12"/>
        <v>FALSE</v>
      </c>
      <c r="AM127" s="10" t="str">
        <f t="shared" si="12"/>
        <v>FALSE</v>
      </c>
      <c r="AN127" s="10" t="str">
        <f t="shared" si="12"/>
        <v>FALSE</v>
      </c>
      <c r="AO127" s="10" t="str">
        <f t="shared" si="13"/>
        <v>FALSE</v>
      </c>
      <c r="AP127" s="10" t="str">
        <f t="shared" si="13"/>
        <v>FALSE</v>
      </c>
      <c r="AQ127" s="10" t="b">
        <f>IF(AND(I127="TP",S127&lt;=150),VLOOKUP(AF127,TPCalibEq150!$AZ$2:$BB$55,3,),IF(AND(I127="TDP",S127&lt;=150),VLOOKUP(AF127,TPCalibEq150!$AZ$2:$BB$55,3,)))</f>
        <v>0</v>
      </c>
      <c r="AR127" s="10" t="b">
        <f>IF(AND(I127="TP",S127&lt;=300),VLOOKUP(AF127,TPCalibEq300!$AZ$2:$BB$55,3,),IF(AND(I127="TDP",S127&lt;=300),VLOOKUP(AF127,TPCalibEq300!$AZ$2:$BB$55,3,)))</f>
        <v>0</v>
      </c>
      <c r="AS127" s="10" t="b">
        <f>IF(AND(I127="TP",S127&lt;=500),VLOOKUP(AF127,TPCalibEq500!$AZ$2:$BB$56,3,),IF(AND(I127="TDP",S127&lt;=500),VLOOKUP(AF127,TPCalibEq500!$AZ$2:$BB$56,3,)))</f>
        <v>0</v>
      </c>
      <c r="AT127" s="10" t="b">
        <f>IF(AND(I127="TN",S127&lt;=2800),VLOOKUP(AF127,TNCalibEq2500!$AZ$2:$BB$56,3,),IF(AND(I127="TDN",S127&lt;=2800),VLOOKUP(AF127,TNCalibEq2500!$AZ$2:$BB$56,3,)))</f>
        <v>0</v>
      </c>
      <c r="AU127" s="10" t="b">
        <f>IF(I127="TP",VLOOKUP(AF127,TPCalibEqFull!$AZ$2:$BB$56,3),IF(I127="TDP",VLOOKUP(AF127,TPCalibEqFull!$AZ$2:$BB$56,3),IF(I127="TDN",VLOOKUP(AF127,TNCalibEqFull!$AZ$1:$BB$56,3),IF(I127="TN",VLOOKUP(AF127,TNCalibEqFull!$AZ$1:$BB$56,3),FALSE))))</f>
        <v>0</v>
      </c>
      <c r="AV127" s="10" t="str">
        <f t="shared" si="11"/>
        <v>1230 13:25:00-HST-0-C-1-SW-UKN</v>
      </c>
    </row>
    <row r="128" spans="1:48" s="10" customFormat="1" x14ac:dyDescent="0.55000000000000004">
      <c r="A128" s="32">
        <v>44929</v>
      </c>
      <c r="B128" s="33">
        <v>0.22222222222222221</v>
      </c>
      <c r="C128" s="10" t="s">
        <v>279</v>
      </c>
      <c r="D128" s="10">
        <v>0</v>
      </c>
      <c r="E128" s="10" t="s">
        <v>190</v>
      </c>
      <c r="F128" s="10">
        <v>1</v>
      </c>
      <c r="G128" s="10" t="s">
        <v>231</v>
      </c>
      <c r="H128" s="10" t="s">
        <v>322</v>
      </c>
      <c r="I128" s="10" t="s">
        <v>285</v>
      </c>
      <c r="J128" s="10">
        <v>23</v>
      </c>
      <c r="K128" s="12">
        <v>44930</v>
      </c>
      <c r="L128" s="33">
        <v>0.47917824074074072</v>
      </c>
      <c r="M128" s="10">
        <v>1</v>
      </c>
      <c r="N128" s="10" t="s">
        <v>211</v>
      </c>
      <c r="O128" s="10">
        <v>0.96199999999999997</v>
      </c>
      <c r="P128" s="10">
        <v>9.9199999999999997E-2</v>
      </c>
      <c r="Q128" s="10">
        <v>170</v>
      </c>
      <c r="R128" s="10" t="s">
        <v>913</v>
      </c>
      <c r="S128" s="34">
        <f t="shared" si="7"/>
        <v>170</v>
      </c>
      <c r="T128" s="10" t="s">
        <v>938</v>
      </c>
      <c r="U128" s="34" t="str">
        <f t="shared" si="8"/>
        <v/>
      </c>
      <c r="V128" s="31" t="str">
        <f>IF(H128="CHK",VLOOKUP(I128,QCCHK,3,),IF(H128="GUP",VLOOKUP(E128,QCGUP,2,),IF(AND(H128="ATP",OR(I128="TN",I128="TDN",I128="TNO2-3",I128="NO2-3")),VLOOKUP(E128,QCREC_N,2,),IF(AND(H128="NIC",OR(I128="TN",I128="TDN",I128="TNO2-3",I128="NO2-3")),VLOOKUP(E128,QCNIC_N,2,),IF(AND(H128="UREA",OR(I128="TN",I128="TDN",I128="TNO2-3",I128="NO2-3")),VLOOKUP(E128,QCUREA_N,2,),IF(H128="PER",VLOOKUP(I128,QCPER,MATCH(E128,QCACTUAL!$J$25:$AA$25,0),),IF(H128="SPK",VLOOKUP(I128,QCSPK,3,),IF(AND(H128="ATP",OR(I128="TP",I128="TDP")),VLOOKUP(E128,QCATP_P,2,),""))))))))</f>
        <v/>
      </c>
      <c r="W128" s="31" t="str">
        <f t="shared" si="9"/>
        <v>TRUE</v>
      </c>
      <c r="X128" s="31" t="str">
        <f t="shared" si="10"/>
        <v/>
      </c>
      <c r="Y128" s="10" t="s">
        <v>949</v>
      </c>
      <c r="AL128" s="10" t="str">
        <f t="shared" si="12"/>
        <v>FALSE</v>
      </c>
      <c r="AM128" s="10" t="str">
        <f t="shared" si="12"/>
        <v>FALSE</v>
      </c>
      <c r="AN128" s="10" t="str">
        <f t="shared" si="12"/>
        <v>FALSE</v>
      </c>
      <c r="AO128" s="10" t="str">
        <f t="shared" si="13"/>
        <v>FALSE</v>
      </c>
      <c r="AP128" s="10" t="str">
        <f t="shared" si="13"/>
        <v>FALSE</v>
      </c>
      <c r="AQ128" s="10" t="b">
        <f>IF(AND(I128="TP",S128&lt;=150),VLOOKUP(AF128,TPCalibEq150!$AZ$2:$BB$55,3,),IF(AND(I128="TDP",S128&lt;=150),VLOOKUP(AF128,TPCalibEq150!$AZ$2:$BB$55,3,)))</f>
        <v>0</v>
      </c>
      <c r="AR128" s="10" t="b">
        <f>IF(AND(I128="TP",S128&lt;=300),VLOOKUP(AF128,TPCalibEq300!$AZ$2:$BB$55,3,),IF(AND(I128="TDP",S128&lt;=300),VLOOKUP(AF128,TPCalibEq300!$AZ$2:$BB$55,3,)))</f>
        <v>0</v>
      </c>
      <c r="AS128" s="10" t="b">
        <f>IF(AND(I128="TP",S128&lt;=500),VLOOKUP(AF128,TPCalibEq500!$AZ$2:$BB$56,3,),IF(AND(I128="TDP",S128&lt;=500),VLOOKUP(AF128,TPCalibEq500!$AZ$2:$BB$56,3,)))</f>
        <v>0</v>
      </c>
      <c r="AT128" s="10" t="b">
        <f>IF(AND(I128="TN",S128&lt;=2800),VLOOKUP(AF128,TNCalibEq2500!$AZ$2:$BB$56,3,),IF(AND(I128="TDN",S128&lt;=2800),VLOOKUP(AF128,TNCalibEq2500!$AZ$2:$BB$56,3,)))</f>
        <v>0</v>
      </c>
      <c r="AU128" s="10" t="b">
        <f>IF(I128="TP",VLOOKUP(AF128,TPCalibEqFull!$AZ$2:$BB$56,3),IF(I128="TDP",VLOOKUP(AF128,TPCalibEqFull!$AZ$2:$BB$56,3),IF(I128="TDN",VLOOKUP(AF128,TNCalibEqFull!$AZ$1:$BB$56,3),IF(I128="TN",VLOOKUP(AF128,TNCalibEqFull!$AZ$1:$BB$56,3),FALSE))))</f>
        <v>0</v>
      </c>
      <c r="AV128" s="10" t="str">
        <f t="shared" si="11"/>
        <v>0103 05:20:00-EFK-0-C-1-SW-UKN</v>
      </c>
    </row>
    <row r="129" spans="1:48" s="10" customFormat="1" x14ac:dyDescent="0.55000000000000004">
      <c r="A129" s="32">
        <v>44929</v>
      </c>
      <c r="B129" s="33">
        <v>0.22569444444444445</v>
      </c>
      <c r="C129" s="10" t="s">
        <v>333</v>
      </c>
      <c r="D129" s="10">
        <v>0</v>
      </c>
      <c r="E129" s="10" t="s">
        <v>190</v>
      </c>
      <c r="F129" s="10">
        <v>1</v>
      </c>
      <c r="G129" s="10" t="s">
        <v>231</v>
      </c>
      <c r="H129" s="10" t="s">
        <v>322</v>
      </c>
      <c r="I129" s="10" t="s">
        <v>285</v>
      </c>
      <c r="J129" s="10">
        <v>24</v>
      </c>
      <c r="K129" s="12">
        <v>44930</v>
      </c>
      <c r="L129" s="33">
        <v>0.47998842592592594</v>
      </c>
      <c r="M129" s="10">
        <v>1</v>
      </c>
      <c r="N129" s="10" t="s">
        <v>211</v>
      </c>
      <c r="O129" s="10">
        <v>2.09</v>
      </c>
      <c r="P129" s="10">
        <v>0.22</v>
      </c>
      <c r="Q129" s="10">
        <v>369</v>
      </c>
      <c r="R129" s="10" t="s">
        <v>913</v>
      </c>
      <c r="S129" s="34">
        <f t="shared" si="7"/>
        <v>369</v>
      </c>
      <c r="T129" s="10" t="s">
        <v>938</v>
      </c>
      <c r="U129" s="34" t="str">
        <f t="shared" si="8"/>
        <v/>
      </c>
      <c r="V129" s="31" t="str">
        <f>IF(H129="CHK",VLOOKUP(I129,QCCHK,3,),IF(H129="GUP",VLOOKUP(E129,QCGUP,2,),IF(AND(H129="ATP",OR(I129="TN",I129="TDN",I129="TNO2-3",I129="NO2-3")),VLOOKUP(E129,QCREC_N,2,),IF(AND(H129="NIC",OR(I129="TN",I129="TDN",I129="TNO2-3",I129="NO2-3")),VLOOKUP(E129,QCNIC_N,2,),IF(AND(H129="UREA",OR(I129="TN",I129="TDN",I129="TNO2-3",I129="NO2-3")),VLOOKUP(E129,QCUREA_N,2,),IF(H129="PER",VLOOKUP(I129,QCPER,MATCH(E129,QCACTUAL!$J$25:$AA$25,0),),IF(H129="SPK",VLOOKUP(I129,QCSPK,3,),IF(AND(H129="ATP",OR(I129="TP",I129="TDP")),VLOOKUP(E129,QCATP_P,2,),""))))))))</f>
        <v/>
      </c>
      <c r="W129" s="31" t="str">
        <f t="shared" si="9"/>
        <v>TRUE</v>
      </c>
      <c r="X129" s="31" t="str">
        <f t="shared" si="10"/>
        <v/>
      </c>
      <c r="Y129" s="10" t="s">
        <v>949</v>
      </c>
      <c r="AL129" s="10" t="str">
        <f t="shared" si="12"/>
        <v>FALSE</v>
      </c>
      <c r="AM129" s="10" t="str">
        <f t="shared" si="12"/>
        <v>FALSE</v>
      </c>
      <c r="AN129" s="10" t="str">
        <f t="shared" si="12"/>
        <v>FALSE</v>
      </c>
      <c r="AO129" s="10" t="str">
        <f t="shared" si="13"/>
        <v>FALSE</v>
      </c>
      <c r="AP129" s="10" t="str">
        <f t="shared" si="13"/>
        <v>FALSE</v>
      </c>
      <c r="AQ129" s="10" t="b">
        <f>IF(AND(I129="TP",S129&lt;=150),VLOOKUP(AF129,TPCalibEq150!$AZ$2:$BB$55,3,),IF(AND(I129="TDP",S129&lt;=150),VLOOKUP(AF129,TPCalibEq150!$AZ$2:$BB$55,3,)))</f>
        <v>0</v>
      </c>
      <c r="AR129" s="10" t="b">
        <f>IF(AND(I129="TP",S129&lt;=300),VLOOKUP(AF129,TPCalibEq300!$AZ$2:$BB$55,3,),IF(AND(I129="TDP",S129&lt;=300),VLOOKUP(AF129,TPCalibEq300!$AZ$2:$BB$55,3,)))</f>
        <v>0</v>
      </c>
      <c r="AS129" s="10" t="b">
        <f>IF(AND(I129="TP",S129&lt;=500),VLOOKUP(AF129,TPCalibEq500!$AZ$2:$BB$56,3,),IF(AND(I129="TDP",S129&lt;=500),VLOOKUP(AF129,TPCalibEq500!$AZ$2:$BB$56,3,)))</f>
        <v>0</v>
      </c>
      <c r="AT129" s="10" t="b">
        <f>IF(AND(I129="TN",S129&lt;=2800),VLOOKUP(AF129,TNCalibEq2500!$AZ$2:$BB$56,3,),IF(AND(I129="TDN",S129&lt;=2800),VLOOKUP(AF129,TNCalibEq2500!$AZ$2:$BB$56,3,)))</f>
        <v>0</v>
      </c>
      <c r="AU129" s="10" t="b">
        <f>IF(I129="TP",VLOOKUP(AF129,TPCalibEqFull!$AZ$2:$BB$56,3),IF(I129="TDP",VLOOKUP(AF129,TPCalibEqFull!$AZ$2:$BB$56,3),IF(I129="TDN",VLOOKUP(AF129,TNCalibEqFull!$AZ$1:$BB$56,3),IF(I129="TN",VLOOKUP(AF129,TNCalibEqFull!$AZ$1:$BB$56,3),FALSE))))</f>
        <v>0</v>
      </c>
      <c r="AV129" s="10" t="str">
        <f t="shared" si="11"/>
        <v>0103 05:25:00-HST-0-C-1-SW-UKN</v>
      </c>
    </row>
    <row r="130" spans="1:48" s="10" customFormat="1" x14ac:dyDescent="0.55000000000000004">
      <c r="A130" s="32">
        <v>44909</v>
      </c>
      <c r="B130" s="33">
        <v>0.23541666666666669</v>
      </c>
      <c r="C130" s="10" t="s">
        <v>279</v>
      </c>
      <c r="D130" s="10">
        <v>0</v>
      </c>
      <c r="E130" s="10" t="s">
        <v>911</v>
      </c>
      <c r="F130" s="10">
        <v>1</v>
      </c>
      <c r="G130" s="10" t="s">
        <v>231</v>
      </c>
      <c r="H130" s="10" t="s">
        <v>322</v>
      </c>
      <c r="I130" s="10" t="s">
        <v>167</v>
      </c>
      <c r="J130" s="10">
        <v>25</v>
      </c>
      <c r="K130" s="12">
        <v>44930</v>
      </c>
      <c r="L130" s="33">
        <v>0.48079861111111111</v>
      </c>
      <c r="M130" s="10">
        <v>1</v>
      </c>
      <c r="N130" s="10" t="s">
        <v>211</v>
      </c>
      <c r="O130" s="10">
        <v>0.61499999999999999</v>
      </c>
      <c r="P130" s="10">
        <v>5.9700000000000003E-2</v>
      </c>
      <c r="Q130" s="10">
        <v>109</v>
      </c>
      <c r="R130" s="10" t="s">
        <v>913</v>
      </c>
      <c r="S130" s="34">
        <f t="shared" ref="S130:S193" si="14">IF(OR(AND(I130&lt;&gt;"TP", I130&lt;&gt;"TDP",I130&lt;&gt;"TN", I130&lt;&gt;"TDN"),H130="CAL"), Q130*M130, IF(OR(AND(I130="TN", Q130&gt;2500), AND(I130="TDN", Q130&gt;2500)),MAX(Q130, AK130)*M130, IF(OR(AND(I130="TN", Q130&lt;=2500), AND(I130="TDN", Q130&lt;=2500)),MAX(Q130, AJ130,AK130)*M130, IF(OR(AND(I130="TP",Q130&gt;500), AND(I130="TDP", Q130&gt;500)),MAX(Q130,AK130)*M130,IF(OR(AND(I130="TP",Q130&lt;=150), AND(I130="TDP", Q130&lt;=150)),MAX(Q130,AG130:AI130,AK130)*M130,IF(OR(AND(I130="TP",Q130&lt;=300), AND(I130="TDP", Q130&lt;=300)),MAX(Q130,AH130,AI130,AK130)*M130,IF(OR(AND(I130="TP",Q130&lt;=500), AND(I130="TDP", Q130&lt;=500)),MAX(Q130,AI130,AK130)*M130,"")))))))</f>
        <v>109</v>
      </c>
      <c r="T130" s="10" t="s">
        <v>938</v>
      </c>
      <c r="U130" s="34" t="str">
        <f t="shared" ref="U130:U193" si="15">IF(OR(H130="CHK",H130="ATP",H130="GUP",H130="PER", H130="NIC", H130="UREA"),(S130/V130*100),IF(H130="DUP",((ABS(S130-S129))/((S129+S130)/2))*100,IF(H130="SPK",((S130-S129)/V130*100),IF(OR(H130="LAB",H130="FLD",H130="ESF"),S130,""))))</f>
        <v/>
      </c>
      <c r="V130" s="31" t="str">
        <f>IF(H130="CHK",VLOOKUP(I130,QCCHK,3,),IF(H130="GUP",VLOOKUP(E130,QCGUP,2,),IF(AND(H130="ATP",OR(I130="TN",I130="TDN",I130="TNO2-3",I130="NO2-3")),VLOOKUP(E130,QCREC_N,2,),IF(AND(H130="NIC",OR(I130="TN",I130="TDN",I130="TNO2-3",I130="NO2-3")),VLOOKUP(E130,QCNIC_N,2,),IF(AND(H130="UREA",OR(I130="TN",I130="TDN",I130="TNO2-3",I130="NO2-3")),VLOOKUP(E130,QCUREA_N,2,),IF(H130="PER",VLOOKUP(I130,QCPER,MATCH(E130,QCACTUAL!$J$25:$AA$25,0),),IF(H130="SPK",VLOOKUP(I130,QCSPK,3,),IF(AND(H130="ATP",OR(I130="TP",I130="TDP")),VLOOKUP(E130,QCATP_P,2,),""))))))))</f>
        <v/>
      </c>
      <c r="W130" s="31" t="str">
        <f t="shared" ref="W130:W193" si="16">IF(AND(OR(H130="PER",H130="ATP",H130="GUP",H130="CHK",H130="SPK", H130="NIC"),OR(U130&gt;125,U130&lt;75)),"FALSE",IF(AND(H130="DUP",OR(U130&gt;25, U130&lt;-25)),"FALSE",IF(AND(OR(H130="LAB",H130="FLD",H130="ESF"),U130&gt;15),"FALSE","TRUE")))</f>
        <v>TRUE</v>
      </c>
      <c r="X130" s="31" t="str">
        <f t="shared" ref="X130:X193" si="17">IF(ISNA(VLOOKUP(H130,QCEQUATIONS,2,)),"",(VLOOKUP(H130,QCEQUATIONS,2,)))</f>
        <v/>
      </c>
      <c r="Y130" s="10" t="s">
        <v>949</v>
      </c>
      <c r="Z130" s="10" t="s">
        <v>910</v>
      </c>
      <c r="AL130" s="10" t="str">
        <f t="shared" si="12"/>
        <v>FALSE</v>
      </c>
      <c r="AM130" s="10" t="str">
        <f t="shared" si="12"/>
        <v>FALSE</v>
      </c>
      <c r="AN130" s="10" t="str">
        <f t="shared" si="12"/>
        <v>FALSE</v>
      </c>
      <c r="AO130" s="10" t="str">
        <f t="shared" si="13"/>
        <v>FALSE</v>
      </c>
      <c r="AP130" s="10" t="str">
        <f t="shared" si="13"/>
        <v>FALSE</v>
      </c>
      <c r="AQ130" s="10" t="b">
        <f>IF(AND(I130="TP",S130&lt;=150),VLOOKUP(AF130,TPCalibEq150!$AZ$2:$BB$55,3,),IF(AND(I130="TDP",S130&lt;=150),VLOOKUP(AF130,TPCalibEq150!$AZ$2:$BB$55,3,)))</f>
        <v>0</v>
      </c>
      <c r="AR130" s="10" t="b">
        <f>IF(AND(I130="TP",S130&lt;=300),VLOOKUP(AF130,TPCalibEq300!$AZ$2:$BB$55,3,),IF(AND(I130="TDP",S130&lt;=300),VLOOKUP(AF130,TPCalibEq300!$AZ$2:$BB$55,3,)))</f>
        <v>0</v>
      </c>
      <c r="AS130" s="10" t="b">
        <f>IF(AND(I130="TP",S130&lt;=500),VLOOKUP(AF130,TPCalibEq500!$AZ$2:$BB$56,3,),IF(AND(I130="TDP",S130&lt;=500),VLOOKUP(AF130,TPCalibEq500!$AZ$2:$BB$56,3,)))</f>
        <v>0</v>
      </c>
      <c r="AT130" s="10" t="b">
        <f>IF(AND(I130="TN",S130&lt;=2800),VLOOKUP(AF130,TNCalibEq2500!$AZ$2:$BB$56,3,),IF(AND(I130="TDN",S130&lt;=2800),VLOOKUP(AF130,TNCalibEq2500!$AZ$2:$BB$56,3,)))</f>
        <v>0</v>
      </c>
      <c r="AU130" s="10" t="b">
        <f>IF(I130="TP",VLOOKUP(AF130,TPCalibEqFull!$AZ$2:$BB$56,3),IF(I130="TDP",VLOOKUP(AF130,TPCalibEqFull!$AZ$2:$BB$56,3),IF(I130="TDN",VLOOKUP(AF130,TNCalibEqFull!$AZ$1:$BB$56,3),IF(I130="TN",VLOOKUP(AF130,TNCalibEqFull!$AZ$1:$BB$56,3),FALSE))))</f>
        <v>0</v>
      </c>
      <c r="AV130" s="10" t="str">
        <f t="shared" ref="AV130:AV193" si="18">TEXT(A130, "MMDD")&amp;" "&amp;TEXT(B130, "HH:MM:SS")&amp;"-"&amp;C130&amp;"-"&amp;D130&amp;"-"&amp;E130&amp;"-"&amp;F130&amp;"-"&amp;G130&amp;"-"&amp;H130</f>
        <v>1214 05:39:00-EFK-0-FIL-1-SW-UKN</v>
      </c>
    </row>
    <row r="131" spans="1:48" s="10" customFormat="1" x14ac:dyDescent="0.55000000000000004">
      <c r="A131" s="32">
        <v>44909</v>
      </c>
      <c r="B131" s="33">
        <v>0.24236111111111111</v>
      </c>
      <c r="C131" s="10" t="s">
        <v>333</v>
      </c>
      <c r="D131" s="10">
        <v>0</v>
      </c>
      <c r="E131" s="10" t="s">
        <v>911</v>
      </c>
      <c r="F131" s="10">
        <v>1</v>
      </c>
      <c r="G131" s="10" t="s">
        <v>231</v>
      </c>
      <c r="H131" s="10" t="s">
        <v>322</v>
      </c>
      <c r="I131" s="10" t="s">
        <v>167</v>
      </c>
      <c r="J131" s="10">
        <v>26</v>
      </c>
      <c r="K131" s="12">
        <v>44930</v>
      </c>
      <c r="L131" s="33">
        <v>0.48160879629629627</v>
      </c>
      <c r="M131" s="10">
        <v>1</v>
      </c>
      <c r="N131" s="10" t="s">
        <v>211</v>
      </c>
      <c r="O131" s="10">
        <v>0.16800000000000001</v>
      </c>
      <c r="P131" s="10">
        <v>1.6199999999999999E-2</v>
      </c>
      <c r="Q131" s="10">
        <v>29.8</v>
      </c>
      <c r="R131" s="10" t="s">
        <v>913</v>
      </c>
      <c r="S131" s="34">
        <f t="shared" si="14"/>
        <v>29.8</v>
      </c>
      <c r="T131" s="10" t="s">
        <v>938</v>
      </c>
      <c r="U131" s="34" t="str">
        <f t="shared" si="15"/>
        <v/>
      </c>
      <c r="V131" s="31" t="str">
        <f>IF(H131="CHK",VLOOKUP(I131,QCCHK,3,),IF(H131="GUP",VLOOKUP(E131,QCGUP,2,),IF(AND(H131="ATP",OR(I131="TN",I131="TDN",I131="TNO2-3",I131="NO2-3")),VLOOKUP(E131,QCREC_N,2,),IF(AND(H131="NIC",OR(I131="TN",I131="TDN",I131="TNO2-3",I131="NO2-3")),VLOOKUP(E131,QCNIC_N,2,),IF(AND(H131="UREA",OR(I131="TN",I131="TDN",I131="TNO2-3",I131="NO2-3")),VLOOKUP(E131,QCUREA_N,2,),IF(H131="PER",VLOOKUP(I131,QCPER,MATCH(E131,QCACTUAL!$J$25:$AA$25,0),),IF(H131="SPK",VLOOKUP(I131,QCSPK,3,),IF(AND(H131="ATP",OR(I131="TP",I131="TDP")),VLOOKUP(E131,QCATP_P,2,),""))))))))</f>
        <v/>
      </c>
      <c r="W131" s="31" t="str">
        <f t="shared" si="16"/>
        <v>TRUE</v>
      </c>
      <c r="X131" s="31" t="str">
        <f t="shared" si="17"/>
        <v/>
      </c>
      <c r="Y131" s="10" t="s">
        <v>949</v>
      </c>
      <c r="Z131" s="10" t="s">
        <v>910</v>
      </c>
      <c r="AL131" s="10" t="str">
        <f t="shared" ref="AL131:AN194" si="19">IF($O131="", "", IF(AQ131&lt;&gt;"", SUBSTITUTE(SUBSTITUTE(AQ131, "x", "*"&amp;$O131&amp;"^", 1), "x", "*"&amp;$O131, 1), ""))</f>
        <v>FALSE</v>
      </c>
      <c r="AM131" s="10" t="str">
        <f t="shared" si="19"/>
        <v>FALSE</v>
      </c>
      <c r="AN131" s="10" t="str">
        <f t="shared" si="19"/>
        <v>FALSE</v>
      </c>
      <c r="AO131" s="10" t="str">
        <f t="shared" ref="AO131:AP194" si="20">IF($O131="", "FALSE", IF(AT131&lt;&gt;"FALSE", SUBSTITUTE(SUBSTITUTE(AT131, "x", "*"&amp;$O131&amp;"^", 1), "x", "*"&amp;$O131, 1), ""))</f>
        <v>FALSE</v>
      </c>
      <c r="AP131" s="10" t="str">
        <f t="shared" si="20"/>
        <v>FALSE</v>
      </c>
      <c r="AQ131" s="10" t="b">
        <f>IF(AND(I131="TP",S131&lt;=150),VLOOKUP(AF131,TPCalibEq150!$AZ$2:$BB$55,3,),IF(AND(I131="TDP",S131&lt;=150),VLOOKUP(AF131,TPCalibEq150!$AZ$2:$BB$55,3,)))</f>
        <v>0</v>
      </c>
      <c r="AR131" s="10" t="b">
        <f>IF(AND(I131="TP",S131&lt;=300),VLOOKUP(AF131,TPCalibEq300!$AZ$2:$BB$55,3,),IF(AND(I131="TDP",S131&lt;=300),VLOOKUP(AF131,TPCalibEq300!$AZ$2:$BB$55,3,)))</f>
        <v>0</v>
      </c>
      <c r="AS131" s="10" t="b">
        <f>IF(AND(I131="TP",S131&lt;=500),VLOOKUP(AF131,TPCalibEq500!$AZ$2:$BB$56,3,),IF(AND(I131="TDP",S131&lt;=500),VLOOKUP(AF131,TPCalibEq500!$AZ$2:$BB$56,3,)))</f>
        <v>0</v>
      </c>
      <c r="AT131" s="10" t="b">
        <f>IF(AND(I131="TN",S131&lt;=2800),VLOOKUP(AF131,TNCalibEq2500!$AZ$2:$BB$56,3,),IF(AND(I131="TDN",S131&lt;=2800),VLOOKUP(AF131,TNCalibEq2500!$AZ$2:$BB$56,3,)))</f>
        <v>0</v>
      </c>
      <c r="AU131" s="10" t="b">
        <f>IF(I131="TP",VLOOKUP(AF131,TPCalibEqFull!$AZ$2:$BB$56,3),IF(I131="TDP",VLOOKUP(AF131,TPCalibEqFull!$AZ$2:$BB$56,3),IF(I131="TDN",VLOOKUP(AF131,TNCalibEqFull!$AZ$1:$BB$56,3),IF(I131="TN",VLOOKUP(AF131,TNCalibEqFull!$AZ$1:$BB$56,3),FALSE))))</f>
        <v>0</v>
      </c>
      <c r="AV131" s="10" t="str">
        <f t="shared" si="18"/>
        <v>1214 05:49:00-HST-0-FIL-1-SW-UKN</v>
      </c>
    </row>
    <row r="132" spans="1:48" s="10" customFormat="1" x14ac:dyDescent="0.55000000000000004">
      <c r="A132" s="32">
        <v>44910</v>
      </c>
      <c r="B132" s="33">
        <v>0.18472222222222223</v>
      </c>
      <c r="C132" s="10" t="s">
        <v>279</v>
      </c>
      <c r="D132" s="10">
        <v>0</v>
      </c>
      <c r="E132" s="10" t="s">
        <v>911</v>
      </c>
      <c r="F132" s="10">
        <v>1</v>
      </c>
      <c r="G132" s="10" t="s">
        <v>231</v>
      </c>
      <c r="H132" s="10" t="s">
        <v>322</v>
      </c>
      <c r="I132" s="10" t="s">
        <v>167</v>
      </c>
      <c r="J132" s="10">
        <v>27</v>
      </c>
      <c r="K132" s="12">
        <v>44930</v>
      </c>
      <c r="L132" s="33">
        <v>0.48241898148148149</v>
      </c>
      <c r="M132" s="10">
        <v>1</v>
      </c>
      <c r="N132" s="10" t="s">
        <v>211</v>
      </c>
      <c r="O132" s="10">
        <v>0.52100000000000002</v>
      </c>
      <c r="P132" s="10">
        <v>5.04E-2</v>
      </c>
      <c r="Q132" s="10">
        <v>92.1</v>
      </c>
      <c r="R132" s="10" t="s">
        <v>913</v>
      </c>
      <c r="S132" s="34">
        <f t="shared" si="14"/>
        <v>92.1</v>
      </c>
      <c r="T132" s="10" t="s">
        <v>938</v>
      </c>
      <c r="U132" s="34" t="str">
        <f t="shared" si="15"/>
        <v/>
      </c>
      <c r="V132" s="31" t="str">
        <f>IF(H132="CHK",VLOOKUP(I132,QCCHK,3,),IF(H132="GUP",VLOOKUP(E132,QCGUP,2,),IF(AND(H132="ATP",OR(I132="TN",I132="TDN",I132="TNO2-3",I132="NO2-3")),VLOOKUP(E132,QCREC_N,2,),IF(AND(H132="NIC",OR(I132="TN",I132="TDN",I132="TNO2-3",I132="NO2-3")),VLOOKUP(E132,QCNIC_N,2,),IF(AND(H132="UREA",OR(I132="TN",I132="TDN",I132="TNO2-3",I132="NO2-3")),VLOOKUP(E132,QCUREA_N,2,),IF(H132="PER",VLOOKUP(I132,QCPER,MATCH(E132,QCACTUAL!$J$25:$AA$25,0),),IF(H132="SPK",VLOOKUP(I132,QCSPK,3,),IF(AND(H132="ATP",OR(I132="TP",I132="TDP")),VLOOKUP(E132,QCATP_P,2,),""))))))))</f>
        <v/>
      </c>
      <c r="W132" s="31" t="str">
        <f t="shared" si="16"/>
        <v>TRUE</v>
      </c>
      <c r="X132" s="31" t="str">
        <f t="shared" si="17"/>
        <v/>
      </c>
      <c r="Y132" s="10" t="s">
        <v>949</v>
      </c>
      <c r="Z132" s="10" t="s">
        <v>910</v>
      </c>
      <c r="AL132" s="10" t="str">
        <f t="shared" si="19"/>
        <v>FALSE</v>
      </c>
      <c r="AM132" s="10" t="str">
        <f t="shared" si="19"/>
        <v>FALSE</v>
      </c>
      <c r="AN132" s="10" t="str">
        <f t="shared" si="19"/>
        <v>FALSE</v>
      </c>
      <c r="AO132" s="10" t="str">
        <f t="shared" si="20"/>
        <v>FALSE</v>
      </c>
      <c r="AP132" s="10" t="str">
        <f t="shared" si="20"/>
        <v>FALSE</v>
      </c>
      <c r="AQ132" s="10" t="b">
        <f>IF(AND(I132="TP",S132&lt;=150),VLOOKUP(AF132,TPCalibEq150!$AZ$2:$BB$55,3,),IF(AND(I132="TDP",S132&lt;=150),VLOOKUP(AF132,TPCalibEq150!$AZ$2:$BB$55,3,)))</f>
        <v>0</v>
      </c>
      <c r="AR132" s="10" t="b">
        <f>IF(AND(I132="TP",S132&lt;=300),VLOOKUP(AF132,TPCalibEq300!$AZ$2:$BB$55,3,),IF(AND(I132="TDP",S132&lt;=300),VLOOKUP(AF132,TPCalibEq300!$AZ$2:$BB$55,3,)))</f>
        <v>0</v>
      </c>
      <c r="AS132" s="10" t="b">
        <f>IF(AND(I132="TP",S132&lt;=500),VLOOKUP(AF132,TPCalibEq500!$AZ$2:$BB$56,3,),IF(AND(I132="TDP",S132&lt;=500),VLOOKUP(AF132,TPCalibEq500!$AZ$2:$BB$56,3,)))</f>
        <v>0</v>
      </c>
      <c r="AT132" s="10" t="b">
        <f>IF(AND(I132="TN",S132&lt;=2800),VLOOKUP(AF132,TNCalibEq2500!$AZ$2:$BB$56,3,),IF(AND(I132="TDN",S132&lt;=2800),VLOOKUP(AF132,TNCalibEq2500!$AZ$2:$BB$56,3,)))</f>
        <v>0</v>
      </c>
      <c r="AU132" s="10" t="b">
        <f>IF(I132="TP",VLOOKUP(AF132,TPCalibEqFull!$AZ$2:$BB$56,3),IF(I132="TDP",VLOOKUP(AF132,TPCalibEqFull!$AZ$2:$BB$56,3),IF(I132="TDN",VLOOKUP(AF132,TNCalibEqFull!$AZ$1:$BB$56,3),IF(I132="TN",VLOOKUP(AF132,TNCalibEqFull!$AZ$1:$BB$56,3),FALSE))))</f>
        <v>0</v>
      </c>
      <c r="AV132" s="10" t="str">
        <f t="shared" si="18"/>
        <v>1215 04:26:00-EFK-0-FIL-1-SW-UKN</v>
      </c>
    </row>
    <row r="133" spans="1:48" s="10" customFormat="1" x14ac:dyDescent="0.55000000000000004">
      <c r="A133" s="32">
        <v>44910</v>
      </c>
      <c r="B133" s="33">
        <v>0.18819444444444444</v>
      </c>
      <c r="C133" s="10" t="s">
        <v>333</v>
      </c>
      <c r="D133" s="10">
        <v>0</v>
      </c>
      <c r="E133" s="10" t="s">
        <v>911</v>
      </c>
      <c r="F133" s="10">
        <v>1</v>
      </c>
      <c r="G133" s="10" t="s">
        <v>231</v>
      </c>
      <c r="H133" s="10" t="s">
        <v>322</v>
      </c>
      <c r="I133" s="10" t="s">
        <v>167</v>
      </c>
      <c r="J133" s="10">
        <v>28</v>
      </c>
      <c r="K133" s="12">
        <v>44930</v>
      </c>
      <c r="L133" s="33">
        <v>0.48322916666666665</v>
      </c>
      <c r="M133" s="10">
        <v>1</v>
      </c>
      <c r="N133" s="10" t="s">
        <v>211</v>
      </c>
      <c r="O133" s="10">
        <v>0.76900000000000002</v>
      </c>
      <c r="P133" s="10">
        <v>7.3899999999999993E-2</v>
      </c>
      <c r="Q133" s="10">
        <v>136</v>
      </c>
      <c r="R133" s="10" t="s">
        <v>913</v>
      </c>
      <c r="S133" s="34">
        <f t="shared" si="14"/>
        <v>136</v>
      </c>
      <c r="T133" s="10" t="s">
        <v>938</v>
      </c>
      <c r="U133" s="34" t="str">
        <f t="shared" si="15"/>
        <v/>
      </c>
      <c r="V133" s="31" t="str">
        <f>IF(H133="CHK",VLOOKUP(I133,QCCHK,3,),IF(H133="GUP",VLOOKUP(E133,QCGUP,2,),IF(AND(H133="ATP",OR(I133="TN",I133="TDN",I133="TNO2-3",I133="NO2-3")),VLOOKUP(E133,QCREC_N,2,),IF(AND(H133="NIC",OR(I133="TN",I133="TDN",I133="TNO2-3",I133="NO2-3")),VLOOKUP(E133,QCNIC_N,2,),IF(AND(H133="UREA",OR(I133="TN",I133="TDN",I133="TNO2-3",I133="NO2-3")),VLOOKUP(E133,QCUREA_N,2,),IF(H133="PER",VLOOKUP(I133,QCPER,MATCH(E133,QCACTUAL!$J$25:$AA$25,0),),IF(H133="SPK",VLOOKUP(I133,QCSPK,3,),IF(AND(H133="ATP",OR(I133="TP",I133="TDP")),VLOOKUP(E133,QCATP_P,2,),""))))))))</f>
        <v/>
      </c>
      <c r="W133" s="31" t="str">
        <f t="shared" si="16"/>
        <v>TRUE</v>
      </c>
      <c r="X133" s="31" t="str">
        <f t="shared" si="17"/>
        <v/>
      </c>
      <c r="Y133" s="10" t="s">
        <v>949</v>
      </c>
      <c r="Z133" s="10" t="s">
        <v>910</v>
      </c>
      <c r="AL133" s="10" t="str">
        <f t="shared" si="19"/>
        <v>FALSE</v>
      </c>
      <c r="AM133" s="10" t="str">
        <f t="shared" si="19"/>
        <v>FALSE</v>
      </c>
      <c r="AN133" s="10" t="str">
        <f t="shared" si="19"/>
        <v>FALSE</v>
      </c>
      <c r="AO133" s="10" t="str">
        <f t="shared" si="20"/>
        <v>FALSE</v>
      </c>
      <c r="AP133" s="10" t="str">
        <f t="shared" si="20"/>
        <v>FALSE</v>
      </c>
      <c r="AQ133" s="10" t="b">
        <f>IF(AND(I133="TP",S133&lt;=150),VLOOKUP(AF133,TPCalibEq150!$AZ$2:$BB$55,3,),IF(AND(I133="TDP",S133&lt;=150),VLOOKUP(AF133,TPCalibEq150!$AZ$2:$BB$55,3,)))</f>
        <v>0</v>
      </c>
      <c r="AR133" s="10" t="b">
        <f>IF(AND(I133="TP",S133&lt;=300),VLOOKUP(AF133,TPCalibEq300!$AZ$2:$BB$55,3,),IF(AND(I133="TDP",S133&lt;=300),VLOOKUP(AF133,TPCalibEq300!$AZ$2:$BB$55,3,)))</f>
        <v>0</v>
      </c>
      <c r="AS133" s="10" t="b">
        <f>IF(AND(I133="TP",S133&lt;=500),VLOOKUP(AF133,TPCalibEq500!$AZ$2:$BB$56,3,),IF(AND(I133="TDP",S133&lt;=500),VLOOKUP(AF133,TPCalibEq500!$AZ$2:$BB$56,3,)))</f>
        <v>0</v>
      </c>
      <c r="AT133" s="10" t="b">
        <f>IF(AND(I133="TN",S133&lt;=2800),VLOOKUP(AF133,TNCalibEq2500!$AZ$2:$BB$56,3,),IF(AND(I133="TDN",S133&lt;=2800),VLOOKUP(AF133,TNCalibEq2500!$AZ$2:$BB$56,3,)))</f>
        <v>0</v>
      </c>
      <c r="AU133" s="10" t="b">
        <f>IF(I133="TP",VLOOKUP(AF133,TPCalibEqFull!$AZ$2:$BB$56,3),IF(I133="TDP",VLOOKUP(AF133,TPCalibEqFull!$AZ$2:$BB$56,3),IF(I133="TDN",VLOOKUP(AF133,TNCalibEqFull!$AZ$1:$BB$56,3),IF(I133="TN",VLOOKUP(AF133,TNCalibEqFull!$AZ$1:$BB$56,3),FALSE))))</f>
        <v>0</v>
      </c>
      <c r="AV133" s="10" t="str">
        <f t="shared" si="18"/>
        <v>1215 04:31:00-HST-0-FIL-1-SW-UKN</v>
      </c>
    </row>
    <row r="134" spans="1:48" s="10" customFormat="1" x14ac:dyDescent="0.55000000000000004">
      <c r="A134" s="32">
        <v>44911</v>
      </c>
      <c r="B134" s="33">
        <v>0.4993055555555555</v>
      </c>
      <c r="C134" s="10" t="s">
        <v>279</v>
      </c>
      <c r="D134" s="10">
        <v>0</v>
      </c>
      <c r="E134" s="10" t="s">
        <v>911</v>
      </c>
      <c r="F134" s="10">
        <v>1</v>
      </c>
      <c r="G134" s="10" t="s">
        <v>231</v>
      </c>
      <c r="H134" s="10" t="s">
        <v>322</v>
      </c>
      <c r="I134" s="10" t="s">
        <v>167</v>
      </c>
      <c r="J134" s="10">
        <v>29</v>
      </c>
      <c r="K134" s="12">
        <v>44930</v>
      </c>
      <c r="L134" s="33">
        <v>0.48403935185185182</v>
      </c>
      <c r="M134" s="10">
        <v>1</v>
      </c>
      <c r="N134" s="10" t="s">
        <v>211</v>
      </c>
      <c r="O134" s="10">
        <v>0.51</v>
      </c>
      <c r="P134" s="10">
        <v>4.8800000000000003E-2</v>
      </c>
      <c r="Q134" s="10">
        <v>90.1</v>
      </c>
      <c r="R134" s="10" t="s">
        <v>913</v>
      </c>
      <c r="S134" s="34">
        <f t="shared" si="14"/>
        <v>90.1</v>
      </c>
      <c r="T134" s="10" t="s">
        <v>938</v>
      </c>
      <c r="U134" s="34" t="str">
        <f t="shared" si="15"/>
        <v/>
      </c>
      <c r="V134" s="31" t="str">
        <f>IF(H134="CHK",VLOOKUP(I134,QCCHK,3,),IF(H134="GUP",VLOOKUP(E134,QCGUP,2,),IF(AND(H134="ATP",OR(I134="TN",I134="TDN",I134="TNO2-3",I134="NO2-3")),VLOOKUP(E134,QCREC_N,2,),IF(AND(H134="NIC",OR(I134="TN",I134="TDN",I134="TNO2-3",I134="NO2-3")),VLOOKUP(E134,QCNIC_N,2,),IF(AND(H134="UREA",OR(I134="TN",I134="TDN",I134="TNO2-3",I134="NO2-3")),VLOOKUP(E134,QCUREA_N,2,),IF(H134="PER",VLOOKUP(I134,QCPER,MATCH(E134,QCACTUAL!$J$25:$AA$25,0),),IF(H134="SPK",VLOOKUP(I134,QCSPK,3,),IF(AND(H134="ATP",OR(I134="TP",I134="TDP")),VLOOKUP(E134,QCATP_P,2,),""))))))))</f>
        <v/>
      </c>
      <c r="W134" s="31" t="str">
        <f t="shared" si="16"/>
        <v>TRUE</v>
      </c>
      <c r="X134" s="31" t="str">
        <f t="shared" si="17"/>
        <v/>
      </c>
      <c r="Y134" s="10" t="s">
        <v>949</v>
      </c>
      <c r="Z134" s="10" t="s">
        <v>910</v>
      </c>
      <c r="AL134" s="10" t="str">
        <f t="shared" si="19"/>
        <v>FALSE</v>
      </c>
      <c r="AM134" s="10" t="str">
        <f t="shared" si="19"/>
        <v>FALSE</v>
      </c>
      <c r="AN134" s="10" t="str">
        <f t="shared" si="19"/>
        <v>FALSE</v>
      </c>
      <c r="AO134" s="10" t="str">
        <f t="shared" si="20"/>
        <v>FALSE</v>
      </c>
      <c r="AP134" s="10" t="str">
        <f t="shared" si="20"/>
        <v>FALSE</v>
      </c>
      <c r="AQ134" s="10" t="b">
        <f>IF(AND(I134="TP",S134&lt;=150),VLOOKUP(AF134,TPCalibEq150!$AZ$2:$BB$55,3,),IF(AND(I134="TDP",S134&lt;=150),VLOOKUP(AF134,TPCalibEq150!$AZ$2:$BB$55,3,)))</f>
        <v>0</v>
      </c>
      <c r="AR134" s="10" t="b">
        <f>IF(AND(I134="TP",S134&lt;=300),VLOOKUP(AF134,TPCalibEq300!$AZ$2:$BB$55,3,),IF(AND(I134="TDP",S134&lt;=300),VLOOKUP(AF134,TPCalibEq300!$AZ$2:$BB$55,3,)))</f>
        <v>0</v>
      </c>
      <c r="AS134" s="10" t="b">
        <f>IF(AND(I134="TP",S134&lt;=500),VLOOKUP(AF134,TPCalibEq500!$AZ$2:$BB$56,3,),IF(AND(I134="TDP",S134&lt;=500),VLOOKUP(AF134,TPCalibEq500!$AZ$2:$BB$56,3,)))</f>
        <v>0</v>
      </c>
      <c r="AT134" s="10" t="b">
        <f>IF(AND(I134="TN",S134&lt;=2800),VLOOKUP(AF134,TNCalibEq2500!$AZ$2:$BB$56,3,),IF(AND(I134="TDN",S134&lt;=2800),VLOOKUP(AF134,TNCalibEq2500!$AZ$2:$BB$56,3,)))</f>
        <v>0</v>
      </c>
      <c r="AU134" s="10" t="b">
        <f>IF(I134="TP",VLOOKUP(AF134,TPCalibEqFull!$AZ$2:$BB$56,3),IF(I134="TDP",VLOOKUP(AF134,TPCalibEqFull!$AZ$2:$BB$56,3),IF(I134="TDN",VLOOKUP(AF134,TNCalibEqFull!$AZ$1:$BB$56,3),IF(I134="TN",VLOOKUP(AF134,TNCalibEqFull!$AZ$1:$BB$56,3),FALSE))))</f>
        <v>0</v>
      </c>
      <c r="AV134" s="10" t="str">
        <f t="shared" si="18"/>
        <v>1216 11:59:00-EFK-0-FIL-1-SW-UKN</v>
      </c>
    </row>
    <row r="135" spans="1:48" s="10" customFormat="1" x14ac:dyDescent="0.55000000000000004">
      <c r="A135" s="32">
        <v>44911</v>
      </c>
      <c r="B135" s="33">
        <v>0.49722222222222223</v>
      </c>
      <c r="C135" s="10" t="s">
        <v>333</v>
      </c>
      <c r="D135" s="10">
        <v>0</v>
      </c>
      <c r="E135" s="10" t="s">
        <v>911</v>
      </c>
      <c r="F135" s="10">
        <v>1</v>
      </c>
      <c r="G135" s="10" t="s">
        <v>231</v>
      </c>
      <c r="H135" s="10" t="s">
        <v>322</v>
      </c>
      <c r="I135" s="10" t="s">
        <v>167</v>
      </c>
      <c r="J135" s="10">
        <v>30</v>
      </c>
      <c r="K135" s="12">
        <v>44930</v>
      </c>
      <c r="L135" s="33">
        <v>0.48484953703703698</v>
      </c>
      <c r="M135" s="10">
        <v>1</v>
      </c>
      <c r="N135" s="10" t="s">
        <v>211</v>
      </c>
      <c r="O135" s="10">
        <v>0.39100000000000001</v>
      </c>
      <c r="P135" s="10">
        <v>3.7100000000000001E-2</v>
      </c>
      <c r="Q135" s="10">
        <v>69.099999999999994</v>
      </c>
      <c r="R135" s="10" t="s">
        <v>913</v>
      </c>
      <c r="S135" s="34">
        <f t="shared" si="14"/>
        <v>69.099999999999994</v>
      </c>
      <c r="T135" s="10" t="s">
        <v>938</v>
      </c>
      <c r="U135" s="34" t="str">
        <f t="shared" si="15"/>
        <v/>
      </c>
      <c r="V135" s="31" t="str">
        <f>IF(H135="CHK",VLOOKUP(I135,QCCHK,3,),IF(H135="GUP",VLOOKUP(E135,QCGUP,2,),IF(AND(H135="ATP",OR(I135="TN",I135="TDN",I135="TNO2-3",I135="NO2-3")),VLOOKUP(E135,QCREC_N,2,),IF(AND(H135="NIC",OR(I135="TN",I135="TDN",I135="TNO2-3",I135="NO2-3")),VLOOKUP(E135,QCNIC_N,2,),IF(AND(H135="UREA",OR(I135="TN",I135="TDN",I135="TNO2-3",I135="NO2-3")),VLOOKUP(E135,QCUREA_N,2,),IF(H135="PER",VLOOKUP(I135,QCPER,MATCH(E135,QCACTUAL!$J$25:$AA$25,0),),IF(H135="SPK",VLOOKUP(I135,QCSPK,3,),IF(AND(H135="ATP",OR(I135="TP",I135="TDP")),VLOOKUP(E135,QCATP_P,2,),""))))))))</f>
        <v/>
      </c>
      <c r="W135" s="31" t="str">
        <f t="shared" si="16"/>
        <v>TRUE</v>
      </c>
      <c r="X135" s="31" t="str">
        <f t="shared" si="17"/>
        <v/>
      </c>
      <c r="Y135" s="10" t="s">
        <v>949</v>
      </c>
      <c r="Z135" s="10" t="s">
        <v>910</v>
      </c>
      <c r="AL135" s="10" t="str">
        <f t="shared" si="19"/>
        <v>FALSE</v>
      </c>
      <c r="AM135" s="10" t="str">
        <f t="shared" si="19"/>
        <v>FALSE</v>
      </c>
      <c r="AN135" s="10" t="str">
        <f t="shared" si="19"/>
        <v>FALSE</v>
      </c>
      <c r="AO135" s="10" t="str">
        <f t="shared" si="20"/>
        <v>FALSE</v>
      </c>
      <c r="AP135" s="10" t="str">
        <f t="shared" si="20"/>
        <v>FALSE</v>
      </c>
      <c r="AQ135" s="10" t="b">
        <f>IF(AND(I135="TP",S135&lt;=150),VLOOKUP(AF135,TPCalibEq150!$AZ$2:$BB$55,3,),IF(AND(I135="TDP",S135&lt;=150),VLOOKUP(AF135,TPCalibEq150!$AZ$2:$BB$55,3,)))</f>
        <v>0</v>
      </c>
      <c r="AR135" s="10" t="b">
        <f>IF(AND(I135="TP",S135&lt;=300),VLOOKUP(AF135,TPCalibEq300!$AZ$2:$BB$55,3,),IF(AND(I135="TDP",S135&lt;=300),VLOOKUP(AF135,TPCalibEq300!$AZ$2:$BB$55,3,)))</f>
        <v>0</v>
      </c>
      <c r="AS135" s="10" t="b">
        <f>IF(AND(I135="TP",S135&lt;=500),VLOOKUP(AF135,TPCalibEq500!$AZ$2:$BB$56,3,),IF(AND(I135="TDP",S135&lt;=500),VLOOKUP(AF135,TPCalibEq500!$AZ$2:$BB$56,3,)))</f>
        <v>0</v>
      </c>
      <c r="AT135" s="10" t="b">
        <f>IF(AND(I135="TN",S135&lt;=2800),VLOOKUP(AF135,TNCalibEq2500!$AZ$2:$BB$56,3,),IF(AND(I135="TDN",S135&lt;=2800),VLOOKUP(AF135,TNCalibEq2500!$AZ$2:$BB$56,3,)))</f>
        <v>0</v>
      </c>
      <c r="AU135" s="10" t="b">
        <f>IF(I135="TP",VLOOKUP(AF135,TPCalibEqFull!$AZ$2:$BB$56,3),IF(I135="TDP",VLOOKUP(AF135,TPCalibEqFull!$AZ$2:$BB$56,3),IF(I135="TDN",VLOOKUP(AF135,TNCalibEqFull!$AZ$1:$BB$56,3),IF(I135="TN",VLOOKUP(AF135,TNCalibEqFull!$AZ$1:$BB$56,3),FALSE))))</f>
        <v>0</v>
      </c>
      <c r="AV135" s="10" t="str">
        <f t="shared" si="18"/>
        <v>1216 11:56:00-HST-0-FIL-1-SW-UKN</v>
      </c>
    </row>
    <row r="136" spans="1:48" s="10" customFormat="1" x14ac:dyDescent="0.55000000000000004">
      <c r="A136" s="32">
        <v>44914</v>
      </c>
      <c r="B136" s="33">
        <v>0.22361111111111109</v>
      </c>
      <c r="C136" s="10" t="s">
        <v>279</v>
      </c>
      <c r="D136" s="10">
        <v>0</v>
      </c>
      <c r="E136" s="10" t="s">
        <v>911</v>
      </c>
      <c r="F136" s="10">
        <v>1</v>
      </c>
      <c r="G136" s="10" t="s">
        <v>231</v>
      </c>
      <c r="H136" s="10" t="s">
        <v>322</v>
      </c>
      <c r="I136" s="10" t="s">
        <v>167</v>
      </c>
      <c r="J136" s="10">
        <v>31</v>
      </c>
      <c r="K136" s="12">
        <v>44930</v>
      </c>
      <c r="L136" s="33">
        <v>0.4856712962962963</v>
      </c>
      <c r="M136" s="10">
        <v>1</v>
      </c>
      <c r="N136" s="10" t="s">
        <v>211</v>
      </c>
      <c r="O136" s="10">
        <v>0.40699999999999997</v>
      </c>
      <c r="P136" s="10">
        <v>3.9E-2</v>
      </c>
      <c r="Q136" s="10">
        <v>72</v>
      </c>
      <c r="R136" s="10" t="s">
        <v>913</v>
      </c>
      <c r="S136" s="34">
        <f t="shared" si="14"/>
        <v>72</v>
      </c>
      <c r="T136" s="10" t="s">
        <v>938</v>
      </c>
      <c r="U136" s="34" t="str">
        <f t="shared" si="15"/>
        <v/>
      </c>
      <c r="V136" s="31" t="str">
        <f>IF(H136="CHK",VLOOKUP(I136,QCCHK,3,),IF(H136="GUP",VLOOKUP(E136,QCGUP,2,),IF(AND(H136="ATP",OR(I136="TN",I136="TDN",I136="TNO2-3",I136="NO2-3")),VLOOKUP(E136,QCREC_N,2,),IF(AND(H136="NIC",OR(I136="TN",I136="TDN",I136="TNO2-3",I136="NO2-3")),VLOOKUP(E136,QCNIC_N,2,),IF(AND(H136="UREA",OR(I136="TN",I136="TDN",I136="TNO2-3",I136="NO2-3")),VLOOKUP(E136,QCUREA_N,2,),IF(H136="PER",VLOOKUP(I136,QCPER,MATCH(E136,QCACTUAL!$J$25:$AA$25,0),),IF(H136="SPK",VLOOKUP(I136,QCSPK,3,),IF(AND(H136="ATP",OR(I136="TP",I136="TDP")),VLOOKUP(E136,QCATP_P,2,),""))))))))</f>
        <v/>
      </c>
      <c r="W136" s="31" t="str">
        <f t="shared" si="16"/>
        <v>TRUE</v>
      </c>
      <c r="X136" s="31" t="str">
        <f t="shared" si="17"/>
        <v/>
      </c>
      <c r="Y136" s="10" t="s">
        <v>949</v>
      </c>
      <c r="Z136" s="10" t="s">
        <v>910</v>
      </c>
      <c r="AL136" s="10" t="str">
        <f t="shared" si="19"/>
        <v>FALSE</v>
      </c>
      <c r="AM136" s="10" t="str">
        <f t="shared" si="19"/>
        <v>FALSE</v>
      </c>
      <c r="AN136" s="10" t="str">
        <f t="shared" si="19"/>
        <v>FALSE</v>
      </c>
      <c r="AO136" s="10" t="str">
        <f t="shared" si="20"/>
        <v>FALSE</v>
      </c>
      <c r="AP136" s="10" t="str">
        <f t="shared" si="20"/>
        <v>FALSE</v>
      </c>
      <c r="AQ136" s="10" t="b">
        <f>IF(AND(I136="TP",S136&lt;=150),VLOOKUP(AF136,TPCalibEq150!$AZ$2:$BB$55,3,),IF(AND(I136="TDP",S136&lt;=150),VLOOKUP(AF136,TPCalibEq150!$AZ$2:$BB$55,3,)))</f>
        <v>0</v>
      </c>
      <c r="AR136" s="10" t="b">
        <f>IF(AND(I136="TP",S136&lt;=300),VLOOKUP(AF136,TPCalibEq300!$AZ$2:$BB$55,3,),IF(AND(I136="TDP",S136&lt;=300),VLOOKUP(AF136,TPCalibEq300!$AZ$2:$BB$55,3,)))</f>
        <v>0</v>
      </c>
      <c r="AS136" s="10" t="b">
        <f>IF(AND(I136="TP",S136&lt;=500),VLOOKUP(AF136,TPCalibEq500!$AZ$2:$BB$56,3,),IF(AND(I136="TDP",S136&lt;=500),VLOOKUP(AF136,TPCalibEq500!$AZ$2:$BB$56,3,)))</f>
        <v>0</v>
      </c>
      <c r="AT136" s="10" t="b">
        <f>IF(AND(I136="TN",S136&lt;=2800),VLOOKUP(AF136,TNCalibEq2500!$AZ$2:$BB$56,3,),IF(AND(I136="TDN",S136&lt;=2800),VLOOKUP(AF136,TNCalibEq2500!$AZ$2:$BB$56,3,)))</f>
        <v>0</v>
      </c>
      <c r="AU136" s="10" t="b">
        <f>IF(I136="TP",VLOOKUP(AF136,TPCalibEqFull!$AZ$2:$BB$56,3),IF(I136="TDP",VLOOKUP(AF136,TPCalibEqFull!$AZ$2:$BB$56,3),IF(I136="TDN",VLOOKUP(AF136,TNCalibEqFull!$AZ$1:$BB$56,3),IF(I136="TN",VLOOKUP(AF136,TNCalibEqFull!$AZ$1:$BB$56,3),FALSE))))</f>
        <v>0</v>
      </c>
      <c r="AV136" s="10" t="str">
        <f t="shared" si="18"/>
        <v>1219 05:22:00-EFK-0-FIL-1-SW-UKN</v>
      </c>
    </row>
    <row r="137" spans="1:48" s="10" customFormat="1" x14ac:dyDescent="0.55000000000000004">
      <c r="A137" s="32">
        <v>44914</v>
      </c>
      <c r="B137" s="33">
        <v>0.23124999999999998</v>
      </c>
      <c r="C137" s="10" t="s">
        <v>333</v>
      </c>
      <c r="D137" s="10">
        <v>0</v>
      </c>
      <c r="E137" s="10" t="s">
        <v>911</v>
      </c>
      <c r="F137" s="10">
        <v>1</v>
      </c>
      <c r="G137" s="10" t="s">
        <v>231</v>
      </c>
      <c r="H137" s="10" t="s">
        <v>322</v>
      </c>
      <c r="I137" s="10" t="s">
        <v>167</v>
      </c>
      <c r="J137" s="10">
        <v>32</v>
      </c>
      <c r="K137" s="12">
        <v>44930</v>
      </c>
      <c r="L137" s="33">
        <v>0.48649305555555555</v>
      </c>
      <c r="M137" s="10">
        <v>1</v>
      </c>
      <c r="N137" s="10" t="s">
        <v>211</v>
      </c>
      <c r="O137" s="10">
        <v>0.26700000000000002</v>
      </c>
      <c r="P137" s="10">
        <v>2.5100000000000001E-2</v>
      </c>
      <c r="Q137" s="10">
        <v>47.2</v>
      </c>
      <c r="R137" s="10" t="s">
        <v>913</v>
      </c>
      <c r="S137" s="34">
        <f t="shared" si="14"/>
        <v>47.2</v>
      </c>
      <c r="T137" s="10" t="s">
        <v>938</v>
      </c>
      <c r="U137" s="34" t="str">
        <f t="shared" si="15"/>
        <v/>
      </c>
      <c r="V137" s="31" t="str">
        <f>IF(H137="CHK",VLOOKUP(I137,QCCHK,3,),IF(H137="GUP",VLOOKUP(E137,QCGUP,2,),IF(AND(H137="ATP",OR(I137="TN",I137="TDN",I137="TNO2-3",I137="NO2-3")),VLOOKUP(E137,QCREC_N,2,),IF(AND(H137="NIC",OR(I137="TN",I137="TDN",I137="TNO2-3",I137="NO2-3")),VLOOKUP(E137,QCNIC_N,2,),IF(AND(H137="UREA",OR(I137="TN",I137="TDN",I137="TNO2-3",I137="NO2-3")),VLOOKUP(E137,QCUREA_N,2,),IF(H137="PER",VLOOKUP(I137,QCPER,MATCH(E137,QCACTUAL!$J$25:$AA$25,0),),IF(H137="SPK",VLOOKUP(I137,QCSPK,3,),IF(AND(H137="ATP",OR(I137="TP",I137="TDP")),VLOOKUP(E137,QCATP_P,2,),""))))))))</f>
        <v/>
      </c>
      <c r="W137" s="31" t="str">
        <f t="shared" si="16"/>
        <v>TRUE</v>
      </c>
      <c r="X137" s="31" t="str">
        <f t="shared" si="17"/>
        <v/>
      </c>
      <c r="Y137" s="10" t="s">
        <v>949</v>
      </c>
      <c r="Z137" s="10" t="s">
        <v>910</v>
      </c>
      <c r="AL137" s="10" t="str">
        <f t="shared" si="19"/>
        <v>FALSE</v>
      </c>
      <c r="AM137" s="10" t="str">
        <f t="shared" si="19"/>
        <v>FALSE</v>
      </c>
      <c r="AN137" s="10" t="str">
        <f t="shared" si="19"/>
        <v>FALSE</v>
      </c>
      <c r="AO137" s="10" t="str">
        <f t="shared" si="20"/>
        <v>FALSE</v>
      </c>
      <c r="AP137" s="10" t="str">
        <f t="shared" si="20"/>
        <v>FALSE</v>
      </c>
      <c r="AQ137" s="10" t="b">
        <f>IF(AND(I137="TP",S137&lt;=150),VLOOKUP(AF137,TPCalibEq150!$AZ$2:$BB$55,3,),IF(AND(I137="TDP",S137&lt;=150),VLOOKUP(AF137,TPCalibEq150!$AZ$2:$BB$55,3,)))</f>
        <v>0</v>
      </c>
      <c r="AR137" s="10" t="b">
        <f>IF(AND(I137="TP",S137&lt;=300),VLOOKUP(AF137,TPCalibEq300!$AZ$2:$BB$55,3,),IF(AND(I137="TDP",S137&lt;=300),VLOOKUP(AF137,TPCalibEq300!$AZ$2:$BB$55,3,)))</f>
        <v>0</v>
      </c>
      <c r="AS137" s="10" t="b">
        <f>IF(AND(I137="TP",S137&lt;=500),VLOOKUP(AF137,TPCalibEq500!$AZ$2:$BB$56,3,),IF(AND(I137="TDP",S137&lt;=500),VLOOKUP(AF137,TPCalibEq500!$AZ$2:$BB$56,3,)))</f>
        <v>0</v>
      </c>
      <c r="AT137" s="10" t="b">
        <f>IF(AND(I137="TN",S137&lt;=2800),VLOOKUP(AF137,TNCalibEq2500!$AZ$2:$BB$56,3,),IF(AND(I137="TDN",S137&lt;=2800),VLOOKUP(AF137,TNCalibEq2500!$AZ$2:$BB$56,3,)))</f>
        <v>0</v>
      </c>
      <c r="AU137" s="10" t="b">
        <f>IF(I137="TP",VLOOKUP(AF137,TPCalibEqFull!$AZ$2:$BB$56,3),IF(I137="TDP",VLOOKUP(AF137,TPCalibEqFull!$AZ$2:$BB$56,3),IF(I137="TDN",VLOOKUP(AF137,TNCalibEqFull!$AZ$1:$BB$56,3),IF(I137="TN",VLOOKUP(AF137,TNCalibEqFull!$AZ$1:$BB$56,3),FALSE))))</f>
        <v>0</v>
      </c>
      <c r="AV137" s="10" t="str">
        <f t="shared" si="18"/>
        <v>1219 05:33:00-HST-0-FIL-1-SW-UKN</v>
      </c>
    </row>
    <row r="138" spans="1:48" s="10" customFormat="1" x14ac:dyDescent="0.55000000000000004">
      <c r="A138" s="32">
        <v>44915</v>
      </c>
      <c r="B138" s="33">
        <v>0.23263888888888887</v>
      </c>
      <c r="C138" s="10" t="s">
        <v>279</v>
      </c>
      <c r="D138" s="10">
        <v>0</v>
      </c>
      <c r="E138" s="10" t="s">
        <v>911</v>
      </c>
      <c r="F138" s="10">
        <v>1</v>
      </c>
      <c r="G138" s="10" t="s">
        <v>231</v>
      </c>
      <c r="H138" s="10" t="s">
        <v>322</v>
      </c>
      <c r="I138" s="10" t="s">
        <v>167</v>
      </c>
      <c r="J138" s="10">
        <v>33</v>
      </c>
      <c r="K138" s="12">
        <v>44930</v>
      </c>
      <c r="L138" s="33">
        <v>0.48731481481481481</v>
      </c>
      <c r="M138" s="10">
        <v>1</v>
      </c>
      <c r="N138" s="10" t="s">
        <v>211</v>
      </c>
      <c r="O138" s="10">
        <v>0.39100000000000001</v>
      </c>
      <c r="P138" s="10">
        <v>3.6900000000000002E-2</v>
      </c>
      <c r="Q138" s="10">
        <v>69.2</v>
      </c>
      <c r="R138" s="10" t="s">
        <v>913</v>
      </c>
      <c r="S138" s="34">
        <f t="shared" si="14"/>
        <v>69.2</v>
      </c>
      <c r="T138" s="10" t="s">
        <v>938</v>
      </c>
      <c r="U138" s="34" t="str">
        <f t="shared" si="15"/>
        <v/>
      </c>
      <c r="V138" s="31" t="str">
        <f>IF(H138="CHK",VLOOKUP(I138,QCCHK,3,),IF(H138="GUP",VLOOKUP(E138,QCGUP,2,),IF(AND(H138="ATP",OR(I138="TN",I138="TDN",I138="TNO2-3",I138="NO2-3")),VLOOKUP(E138,QCREC_N,2,),IF(AND(H138="NIC",OR(I138="TN",I138="TDN",I138="TNO2-3",I138="NO2-3")),VLOOKUP(E138,QCNIC_N,2,),IF(AND(H138="UREA",OR(I138="TN",I138="TDN",I138="TNO2-3",I138="NO2-3")),VLOOKUP(E138,QCUREA_N,2,),IF(H138="PER",VLOOKUP(I138,QCPER,MATCH(E138,QCACTUAL!$J$25:$AA$25,0),),IF(H138="SPK",VLOOKUP(I138,QCSPK,3,),IF(AND(H138="ATP",OR(I138="TP",I138="TDP")),VLOOKUP(E138,QCATP_P,2,),""))))))))</f>
        <v/>
      </c>
      <c r="W138" s="31" t="str">
        <f t="shared" si="16"/>
        <v>TRUE</v>
      </c>
      <c r="X138" s="31" t="str">
        <f t="shared" si="17"/>
        <v/>
      </c>
      <c r="Y138" s="10" t="s">
        <v>949</v>
      </c>
      <c r="Z138" s="10" t="s">
        <v>910</v>
      </c>
      <c r="AL138" s="10" t="str">
        <f t="shared" si="19"/>
        <v>FALSE</v>
      </c>
      <c r="AM138" s="10" t="str">
        <f t="shared" si="19"/>
        <v>FALSE</v>
      </c>
      <c r="AN138" s="10" t="str">
        <f t="shared" si="19"/>
        <v>FALSE</v>
      </c>
      <c r="AO138" s="10" t="str">
        <f t="shared" si="20"/>
        <v>FALSE</v>
      </c>
      <c r="AP138" s="10" t="str">
        <f t="shared" si="20"/>
        <v>FALSE</v>
      </c>
      <c r="AQ138" s="10" t="b">
        <f>IF(AND(I138="TP",S138&lt;=150),VLOOKUP(AF138,TPCalibEq150!$AZ$2:$BB$55,3,),IF(AND(I138="TDP",S138&lt;=150),VLOOKUP(AF138,TPCalibEq150!$AZ$2:$BB$55,3,)))</f>
        <v>0</v>
      </c>
      <c r="AR138" s="10" t="b">
        <f>IF(AND(I138="TP",S138&lt;=300),VLOOKUP(AF138,TPCalibEq300!$AZ$2:$BB$55,3,),IF(AND(I138="TDP",S138&lt;=300),VLOOKUP(AF138,TPCalibEq300!$AZ$2:$BB$55,3,)))</f>
        <v>0</v>
      </c>
      <c r="AS138" s="10" t="b">
        <f>IF(AND(I138="TP",S138&lt;=500),VLOOKUP(AF138,TPCalibEq500!$AZ$2:$BB$56,3,),IF(AND(I138="TDP",S138&lt;=500),VLOOKUP(AF138,TPCalibEq500!$AZ$2:$BB$56,3,)))</f>
        <v>0</v>
      </c>
      <c r="AT138" s="10" t="b">
        <f>IF(AND(I138="TN",S138&lt;=2800),VLOOKUP(AF138,TNCalibEq2500!$AZ$2:$BB$56,3,),IF(AND(I138="TDN",S138&lt;=2800),VLOOKUP(AF138,TNCalibEq2500!$AZ$2:$BB$56,3,)))</f>
        <v>0</v>
      </c>
      <c r="AU138" s="10" t="b">
        <f>IF(I138="TP",VLOOKUP(AF138,TPCalibEqFull!$AZ$2:$BB$56,3),IF(I138="TDP",VLOOKUP(AF138,TPCalibEqFull!$AZ$2:$BB$56,3),IF(I138="TDN",VLOOKUP(AF138,TNCalibEqFull!$AZ$1:$BB$56,3),IF(I138="TN",VLOOKUP(AF138,TNCalibEqFull!$AZ$1:$BB$56,3),FALSE))))</f>
        <v>0</v>
      </c>
      <c r="AV138" s="10" t="str">
        <f t="shared" si="18"/>
        <v>1220 05:35:00-EFK-0-FIL-1-SW-UKN</v>
      </c>
    </row>
    <row r="139" spans="1:48" s="10" customFormat="1" x14ac:dyDescent="0.55000000000000004">
      <c r="A139" s="32">
        <v>44915</v>
      </c>
      <c r="B139" s="33">
        <v>0.24652777777777779</v>
      </c>
      <c r="C139" s="10" t="s">
        <v>333</v>
      </c>
      <c r="D139" s="10">
        <v>0</v>
      </c>
      <c r="E139" s="10" t="s">
        <v>911</v>
      </c>
      <c r="F139" s="10">
        <v>1</v>
      </c>
      <c r="G139" s="10" t="s">
        <v>231</v>
      </c>
      <c r="H139" s="10" t="s">
        <v>322</v>
      </c>
      <c r="I139" s="10" t="s">
        <v>167</v>
      </c>
      <c r="J139" s="10">
        <v>34</v>
      </c>
      <c r="K139" s="12">
        <v>44930</v>
      </c>
      <c r="L139" s="33">
        <v>0.48813657407407413</v>
      </c>
      <c r="M139" s="10">
        <v>1</v>
      </c>
      <c r="N139" s="10" t="s">
        <v>211</v>
      </c>
      <c r="O139" s="10">
        <v>0.183</v>
      </c>
      <c r="P139" s="10">
        <v>1.7100000000000001E-2</v>
      </c>
      <c r="Q139" s="10">
        <v>32.299999999999997</v>
      </c>
      <c r="R139" s="10" t="s">
        <v>913</v>
      </c>
      <c r="S139" s="34">
        <f t="shared" si="14"/>
        <v>32.299999999999997</v>
      </c>
      <c r="T139" s="10" t="s">
        <v>938</v>
      </c>
      <c r="U139" s="34" t="str">
        <f t="shared" si="15"/>
        <v/>
      </c>
      <c r="V139" s="31" t="str">
        <f>IF(H139="CHK",VLOOKUP(I139,QCCHK,3,),IF(H139="GUP",VLOOKUP(E139,QCGUP,2,),IF(AND(H139="ATP",OR(I139="TN",I139="TDN",I139="TNO2-3",I139="NO2-3")),VLOOKUP(E139,QCREC_N,2,),IF(AND(H139="NIC",OR(I139="TN",I139="TDN",I139="TNO2-3",I139="NO2-3")),VLOOKUP(E139,QCNIC_N,2,),IF(AND(H139="UREA",OR(I139="TN",I139="TDN",I139="TNO2-3",I139="NO2-3")),VLOOKUP(E139,QCUREA_N,2,),IF(H139="PER",VLOOKUP(I139,QCPER,MATCH(E139,QCACTUAL!$J$25:$AA$25,0),),IF(H139="SPK",VLOOKUP(I139,QCSPK,3,),IF(AND(H139="ATP",OR(I139="TP",I139="TDP")),VLOOKUP(E139,QCATP_P,2,),""))))))))</f>
        <v/>
      </c>
      <c r="W139" s="31" t="str">
        <f t="shared" si="16"/>
        <v>TRUE</v>
      </c>
      <c r="X139" s="31" t="str">
        <f t="shared" si="17"/>
        <v/>
      </c>
      <c r="Y139" s="10" t="s">
        <v>949</v>
      </c>
      <c r="Z139" s="10" t="s">
        <v>910</v>
      </c>
      <c r="AL139" s="10" t="str">
        <f t="shared" si="19"/>
        <v>FALSE</v>
      </c>
      <c r="AM139" s="10" t="str">
        <f t="shared" si="19"/>
        <v>FALSE</v>
      </c>
      <c r="AN139" s="10" t="str">
        <f t="shared" si="19"/>
        <v>FALSE</v>
      </c>
      <c r="AO139" s="10" t="str">
        <f t="shared" si="20"/>
        <v>FALSE</v>
      </c>
      <c r="AP139" s="10" t="str">
        <f t="shared" si="20"/>
        <v>FALSE</v>
      </c>
      <c r="AQ139" s="10" t="b">
        <f>IF(AND(I139="TP",S139&lt;=150),VLOOKUP(AF139,TPCalibEq150!$AZ$2:$BB$55,3,),IF(AND(I139="TDP",S139&lt;=150),VLOOKUP(AF139,TPCalibEq150!$AZ$2:$BB$55,3,)))</f>
        <v>0</v>
      </c>
      <c r="AR139" s="10" t="b">
        <f>IF(AND(I139="TP",S139&lt;=300),VLOOKUP(AF139,TPCalibEq300!$AZ$2:$BB$55,3,),IF(AND(I139="TDP",S139&lt;=300),VLOOKUP(AF139,TPCalibEq300!$AZ$2:$BB$55,3,)))</f>
        <v>0</v>
      </c>
      <c r="AS139" s="10" t="b">
        <f>IF(AND(I139="TP",S139&lt;=500),VLOOKUP(AF139,TPCalibEq500!$AZ$2:$BB$56,3,),IF(AND(I139="TDP",S139&lt;=500),VLOOKUP(AF139,TPCalibEq500!$AZ$2:$BB$56,3,)))</f>
        <v>0</v>
      </c>
      <c r="AT139" s="10" t="b">
        <f>IF(AND(I139="TN",S139&lt;=2800),VLOOKUP(AF139,TNCalibEq2500!$AZ$2:$BB$56,3,),IF(AND(I139="TDN",S139&lt;=2800),VLOOKUP(AF139,TNCalibEq2500!$AZ$2:$BB$56,3,)))</f>
        <v>0</v>
      </c>
      <c r="AU139" s="10" t="b">
        <f>IF(I139="TP",VLOOKUP(AF139,TPCalibEqFull!$AZ$2:$BB$56,3),IF(I139="TDP",VLOOKUP(AF139,TPCalibEqFull!$AZ$2:$BB$56,3),IF(I139="TDN",VLOOKUP(AF139,TNCalibEqFull!$AZ$1:$BB$56,3),IF(I139="TN",VLOOKUP(AF139,TNCalibEqFull!$AZ$1:$BB$56,3),FALSE))))</f>
        <v>0</v>
      </c>
      <c r="AV139" s="10" t="str">
        <f t="shared" si="18"/>
        <v>1220 05:55:00-HST-0-FIL-1-SW-UKN</v>
      </c>
    </row>
    <row r="140" spans="1:48" s="10" customFormat="1" x14ac:dyDescent="0.55000000000000004">
      <c r="A140" s="32">
        <v>44915</v>
      </c>
      <c r="B140" s="33">
        <v>0.24652777777777779</v>
      </c>
      <c r="C140" s="10" t="s">
        <v>333</v>
      </c>
      <c r="D140" s="10">
        <v>0</v>
      </c>
      <c r="E140" s="10" t="s">
        <v>911</v>
      </c>
      <c r="F140" s="10">
        <v>1</v>
      </c>
      <c r="G140" s="10" t="s">
        <v>231</v>
      </c>
      <c r="H140" s="10" t="s">
        <v>233</v>
      </c>
      <c r="I140" s="10" t="s">
        <v>167</v>
      </c>
      <c r="J140" s="10">
        <v>34</v>
      </c>
      <c r="K140" s="12">
        <v>44930</v>
      </c>
      <c r="L140" s="33">
        <v>0.48895833333333333</v>
      </c>
      <c r="M140" s="10">
        <v>1</v>
      </c>
      <c r="N140" s="10" t="s">
        <v>211</v>
      </c>
      <c r="O140" s="10">
        <v>0.17199999999999999</v>
      </c>
      <c r="P140" s="10">
        <v>1.6199999999999999E-2</v>
      </c>
      <c r="Q140" s="10">
        <v>30.4</v>
      </c>
      <c r="R140" s="10" t="s">
        <v>913</v>
      </c>
      <c r="S140" s="34">
        <f t="shared" si="14"/>
        <v>30.4</v>
      </c>
      <c r="T140" s="10" t="s">
        <v>938</v>
      </c>
      <c r="U140" s="34">
        <f t="shared" si="15"/>
        <v>6.060606060606057</v>
      </c>
      <c r="V140" s="31" t="str">
        <f>IF(H140="CHK",VLOOKUP(I140,QCCHK,3,),IF(H140="GUP",VLOOKUP(E140,QCGUP,2,),IF(AND(H140="ATP",OR(I140="TN",I140="TDN",I140="TNO2-3",I140="NO2-3")),VLOOKUP(E140,QCREC_N,2,),IF(AND(H140="NIC",OR(I140="TN",I140="TDN",I140="TNO2-3",I140="NO2-3")),VLOOKUP(E140,QCNIC_N,2,),IF(AND(H140="UREA",OR(I140="TN",I140="TDN",I140="TNO2-3",I140="NO2-3")),VLOOKUP(E140,QCUREA_N,2,),IF(H140="PER",VLOOKUP(I140,QCPER,MATCH(E140,QCACTUAL!$J$25:$AA$25,0),),IF(H140="SPK",VLOOKUP(I140,QCSPK,3,),IF(AND(H140="ATP",OR(I140="TP",I140="TDP")),VLOOKUP(E140,QCATP_P,2,),""))))))))</f>
        <v/>
      </c>
      <c r="W140" s="31" t="str">
        <f t="shared" si="16"/>
        <v>TRUE</v>
      </c>
      <c r="X140" s="31" t="str">
        <f t="shared" si="17"/>
        <v>((ABS(rep1-rep2))/((rep1+rep2)/2)*100</v>
      </c>
      <c r="Y140" s="10" t="s">
        <v>949</v>
      </c>
      <c r="Z140" s="10" t="s">
        <v>910</v>
      </c>
      <c r="AL140" s="10" t="str">
        <f t="shared" si="19"/>
        <v>FALSE</v>
      </c>
      <c r="AM140" s="10" t="str">
        <f t="shared" si="19"/>
        <v>FALSE</v>
      </c>
      <c r="AN140" s="10" t="str">
        <f t="shared" si="19"/>
        <v>FALSE</v>
      </c>
      <c r="AO140" s="10" t="str">
        <f t="shared" si="20"/>
        <v>FALSE</v>
      </c>
      <c r="AP140" s="10" t="str">
        <f t="shared" si="20"/>
        <v>FALSE</v>
      </c>
      <c r="AQ140" s="10" t="b">
        <f>IF(AND(I140="TP",S140&lt;=150),VLOOKUP(AF140,TPCalibEq150!$AZ$2:$BB$55,3,),IF(AND(I140="TDP",S140&lt;=150),VLOOKUP(AF140,TPCalibEq150!$AZ$2:$BB$55,3,)))</f>
        <v>0</v>
      </c>
      <c r="AR140" s="10" t="b">
        <f>IF(AND(I140="TP",S140&lt;=300),VLOOKUP(AF140,TPCalibEq300!$AZ$2:$BB$55,3,),IF(AND(I140="TDP",S140&lt;=300),VLOOKUP(AF140,TPCalibEq300!$AZ$2:$BB$55,3,)))</f>
        <v>0</v>
      </c>
      <c r="AS140" s="10" t="b">
        <f>IF(AND(I140="TP",S140&lt;=500),VLOOKUP(AF140,TPCalibEq500!$AZ$2:$BB$56,3,),IF(AND(I140="TDP",S140&lt;=500),VLOOKUP(AF140,TPCalibEq500!$AZ$2:$BB$56,3,)))</f>
        <v>0</v>
      </c>
      <c r="AT140" s="10" t="b">
        <f>IF(AND(I140="TN",S140&lt;=2800),VLOOKUP(AF140,TNCalibEq2500!$AZ$2:$BB$56,3,),IF(AND(I140="TDN",S140&lt;=2800),VLOOKUP(AF140,TNCalibEq2500!$AZ$2:$BB$56,3,)))</f>
        <v>0</v>
      </c>
      <c r="AU140" s="10" t="b">
        <f>IF(I140="TP",VLOOKUP(AF140,TPCalibEqFull!$AZ$2:$BB$56,3),IF(I140="TDP",VLOOKUP(AF140,TPCalibEqFull!$AZ$2:$BB$56,3),IF(I140="TDN",VLOOKUP(AF140,TNCalibEqFull!$AZ$1:$BB$56,3),IF(I140="TN",VLOOKUP(AF140,TNCalibEqFull!$AZ$1:$BB$56,3),FALSE))))</f>
        <v>0</v>
      </c>
      <c r="AV140" s="10" t="str">
        <f t="shared" si="18"/>
        <v>1220 05:55:00-HST-0-FIL-1-SW-DUP</v>
      </c>
    </row>
    <row r="141" spans="1:48" s="10" customFormat="1" x14ac:dyDescent="0.55000000000000004">
      <c r="A141" s="32">
        <v>44915</v>
      </c>
      <c r="B141" s="33">
        <v>0.24652777777777779</v>
      </c>
      <c r="C141" s="10" t="s">
        <v>912</v>
      </c>
      <c r="D141" s="10">
        <v>0</v>
      </c>
      <c r="E141" s="10" t="s">
        <v>911</v>
      </c>
      <c r="F141" s="10">
        <v>1</v>
      </c>
      <c r="G141" s="10" t="s">
        <v>231</v>
      </c>
      <c r="H141" s="10" t="s">
        <v>314</v>
      </c>
      <c r="I141" s="10" t="s">
        <v>167</v>
      </c>
      <c r="J141" s="10">
        <v>51</v>
      </c>
      <c r="K141" s="12">
        <v>44930</v>
      </c>
      <c r="L141" s="33">
        <v>0.48978009259259259</v>
      </c>
      <c r="M141" s="10">
        <v>1</v>
      </c>
      <c r="N141" s="10" t="s">
        <v>211</v>
      </c>
      <c r="O141" s="10">
        <v>1.21</v>
      </c>
      <c r="P141" s="10">
        <v>0.11799999999999999</v>
      </c>
      <c r="Q141" s="10">
        <v>214</v>
      </c>
      <c r="R141" s="10" t="s">
        <v>913</v>
      </c>
      <c r="S141" s="34">
        <f t="shared" si="14"/>
        <v>214</v>
      </c>
      <c r="T141" s="10" t="s">
        <v>938</v>
      </c>
      <c r="U141" s="34">
        <f t="shared" si="15"/>
        <v>117.50399999999999</v>
      </c>
      <c r="V141" s="31">
        <f>IF(H141="CHK",VLOOKUP(I141,QCCHK,3,),IF(H141="GUP",VLOOKUP(E141,QCGUP,2,),IF(AND(H141="ATP",OR(I141="TN",I141="TDN",I141="TNO2-3",I141="NO2-3")),VLOOKUP(E141,QCREC_N,2,),IF(AND(H141="NIC",OR(I141="TN",I141="TDN",I141="TNO2-3",I141="NO2-3")),VLOOKUP(E141,QCNIC_N,2,),IF(AND(H141="UREA",OR(I141="TN",I141="TDN",I141="TNO2-3",I141="NO2-3")),VLOOKUP(E141,QCUREA_N,2,),IF(H141="PER",VLOOKUP(I141,QCPER,MATCH(E141,QCACTUAL!$J$25:$AA$25,0),),IF(H141="SPK",VLOOKUP(I141,QCSPK,3,),IF(AND(H141="ATP",OR(I141="TP",I141="TDP")),VLOOKUP(E141,QCATP_P,2,),""))))))))</f>
        <v>156.25</v>
      </c>
      <c r="W141" s="31" t="str">
        <f t="shared" si="16"/>
        <v>TRUE</v>
      </c>
      <c r="X141" s="31" t="str">
        <f t="shared" si="17"/>
        <v>([spikedunkn]-[unkn])/[spike]*100</v>
      </c>
      <c r="Y141" s="10" t="s">
        <v>949</v>
      </c>
      <c r="Z141" s="10" t="s">
        <v>910</v>
      </c>
      <c r="AL141" s="10" t="str">
        <f t="shared" si="19"/>
        <v>FALSE</v>
      </c>
      <c r="AM141" s="10" t="str">
        <f t="shared" si="19"/>
        <v>FALSE</v>
      </c>
      <c r="AN141" s="10" t="str">
        <f t="shared" si="19"/>
        <v>FALSE</v>
      </c>
      <c r="AO141" s="10" t="str">
        <f t="shared" si="20"/>
        <v>FALSE</v>
      </c>
      <c r="AP141" s="10" t="str">
        <f t="shared" si="20"/>
        <v>FALSE</v>
      </c>
      <c r="AQ141" s="10" t="b">
        <f>IF(AND(I141="TP",S141&lt;=150),VLOOKUP(AF141,TPCalibEq150!$AZ$2:$BB$55,3,),IF(AND(I141="TDP",S141&lt;=150),VLOOKUP(AF141,TPCalibEq150!$AZ$2:$BB$55,3,)))</f>
        <v>0</v>
      </c>
      <c r="AR141" s="10" t="b">
        <f>IF(AND(I141="TP",S141&lt;=300),VLOOKUP(AF141,TPCalibEq300!$AZ$2:$BB$55,3,),IF(AND(I141="TDP",S141&lt;=300),VLOOKUP(AF141,TPCalibEq300!$AZ$2:$BB$55,3,)))</f>
        <v>0</v>
      </c>
      <c r="AS141" s="10" t="b">
        <f>IF(AND(I141="TP",S141&lt;=500),VLOOKUP(AF141,TPCalibEq500!$AZ$2:$BB$56,3,),IF(AND(I141="TDP",S141&lt;=500),VLOOKUP(AF141,TPCalibEq500!$AZ$2:$BB$56,3,)))</f>
        <v>0</v>
      </c>
      <c r="AT141" s="10" t="b">
        <f>IF(AND(I141="TN",S141&lt;=2800),VLOOKUP(AF141,TNCalibEq2500!$AZ$2:$BB$56,3,),IF(AND(I141="TDN",S141&lt;=2800),VLOOKUP(AF141,TNCalibEq2500!$AZ$2:$BB$56,3,)))</f>
        <v>0</v>
      </c>
      <c r="AU141" s="10" t="b">
        <f>IF(I141="TP",VLOOKUP(AF141,TPCalibEqFull!$AZ$2:$BB$56,3),IF(I141="TDP",VLOOKUP(AF141,TPCalibEqFull!$AZ$2:$BB$56,3),IF(I141="TDN",VLOOKUP(AF141,TNCalibEqFull!$AZ$1:$BB$56,3),IF(I141="TN",VLOOKUP(AF141,TNCalibEqFull!$AZ$1:$BB$56,3),FALSE))))</f>
        <v>0</v>
      </c>
      <c r="AV141" s="10" t="str">
        <f t="shared" si="18"/>
        <v>1220 05:55:00-HST -0-FIL-1-SW-SPK</v>
      </c>
    </row>
    <row r="142" spans="1:48" s="10" customFormat="1" x14ac:dyDescent="0.55000000000000004">
      <c r="A142" s="32">
        <v>44930</v>
      </c>
      <c r="B142" s="33">
        <v>0.375</v>
      </c>
      <c r="C142" s="10" t="s">
        <v>70</v>
      </c>
      <c r="D142" s="10" t="s">
        <v>71</v>
      </c>
      <c r="E142" s="10" t="s">
        <v>901</v>
      </c>
      <c r="F142" s="10">
        <v>1</v>
      </c>
      <c r="G142" s="10" t="s">
        <v>73</v>
      </c>
      <c r="H142" s="10" t="s">
        <v>207</v>
      </c>
      <c r="I142" s="10" t="s">
        <v>285</v>
      </c>
      <c r="J142" s="10">
        <v>200</v>
      </c>
      <c r="K142" s="12">
        <v>44930</v>
      </c>
      <c r="L142" s="33">
        <v>0.49060185185185184</v>
      </c>
      <c r="M142" s="10">
        <v>1</v>
      </c>
      <c r="N142" s="10" t="s">
        <v>211</v>
      </c>
      <c r="O142" s="10">
        <v>0.42899999999999999</v>
      </c>
      <c r="P142" s="10">
        <v>4.1599999999999998E-2</v>
      </c>
      <c r="Q142" s="10">
        <v>75.8</v>
      </c>
      <c r="R142" s="10" t="s">
        <v>913</v>
      </c>
      <c r="S142" s="34">
        <f t="shared" si="14"/>
        <v>75.8</v>
      </c>
      <c r="T142" s="10" t="s">
        <v>938</v>
      </c>
      <c r="U142" s="34">
        <f t="shared" si="15"/>
        <v>101.06666666666666</v>
      </c>
      <c r="V142" s="31">
        <f>IF(H142="CHK",VLOOKUP(I142,QCCHK,3,),IF(H142="GUP",VLOOKUP(E142,QCGUP,2,),IF(AND(H142="ATP",OR(I142="TN",I142="TDN",I142="TNO2-3",I142="NO2-3")),VLOOKUP(E142,QCREC_N,2,),IF(AND(H142="NIC",OR(I142="TN",I142="TDN",I142="TNO2-3",I142="NO2-3")),VLOOKUP(E142,QCNIC_N,2,),IF(AND(H142="UREA",OR(I142="TN",I142="TDN",I142="TNO2-3",I142="NO2-3")),VLOOKUP(E142,QCUREA_N,2,),IF(H142="PER",VLOOKUP(I142,QCPER,MATCH(E142,QCACTUAL!$J$25:$AA$25,0),),IF(H142="SPK",VLOOKUP(I142,QCSPK,3,),IF(AND(H142="ATP",OR(I142="TP",I142="TDP")),VLOOKUP(E142,QCATP_P,2,),""))))))))</f>
        <v>75</v>
      </c>
      <c r="W142" s="31" t="str">
        <f t="shared" si="16"/>
        <v>TRUE</v>
      </c>
      <c r="X142" s="31" t="str">
        <f t="shared" si="17"/>
        <v>[chk]/[actual]*100</v>
      </c>
      <c r="Y142" s="10" t="s">
        <v>949</v>
      </c>
      <c r="AL142" s="10" t="str">
        <f t="shared" si="19"/>
        <v>FALSE</v>
      </c>
      <c r="AM142" s="10" t="str">
        <f t="shared" si="19"/>
        <v>FALSE</v>
      </c>
      <c r="AN142" s="10" t="str">
        <f t="shared" si="19"/>
        <v>FALSE</v>
      </c>
      <c r="AO142" s="10" t="str">
        <f t="shared" si="20"/>
        <v>FALSE</v>
      </c>
      <c r="AP142" s="10" t="str">
        <f t="shared" si="20"/>
        <v>FALSE</v>
      </c>
      <c r="AQ142" s="10" t="b">
        <f>IF(AND(I142="TP",S142&lt;=150),VLOOKUP(AF142,TPCalibEq150!$AZ$2:$BB$55,3,),IF(AND(I142="TDP",S142&lt;=150),VLOOKUP(AF142,TPCalibEq150!$AZ$2:$BB$55,3,)))</f>
        <v>0</v>
      </c>
      <c r="AR142" s="10" t="b">
        <f>IF(AND(I142="TP",S142&lt;=300),VLOOKUP(AF142,TPCalibEq300!$AZ$2:$BB$55,3,),IF(AND(I142="TDP",S142&lt;=300),VLOOKUP(AF142,TPCalibEq300!$AZ$2:$BB$55,3,)))</f>
        <v>0</v>
      </c>
      <c r="AS142" s="10" t="b">
        <f>IF(AND(I142="TP",S142&lt;=500),VLOOKUP(AF142,TPCalibEq500!$AZ$2:$BB$56,3,),IF(AND(I142="TDP",S142&lt;=500),VLOOKUP(AF142,TPCalibEq500!$AZ$2:$BB$56,3,)))</f>
        <v>0</v>
      </c>
      <c r="AT142" s="10" t="b">
        <f>IF(AND(I142="TN",S142&lt;=2800),VLOOKUP(AF142,TNCalibEq2500!$AZ$2:$BB$56,3,),IF(AND(I142="TDN",S142&lt;=2800),VLOOKUP(AF142,TNCalibEq2500!$AZ$2:$BB$56,3,)))</f>
        <v>0</v>
      </c>
      <c r="AU142" s="10" t="b">
        <f>IF(I142="TP",VLOOKUP(AF142,TPCalibEqFull!$AZ$2:$BB$56,3),IF(I142="TDP",VLOOKUP(AF142,TPCalibEqFull!$AZ$2:$BB$56,3),IF(I142="TDN",VLOOKUP(AF142,TNCalibEqFull!$AZ$1:$BB$56,3),IF(I142="TN",VLOOKUP(AF142,TNCalibEqFull!$AZ$1:$BB$56,3),FALSE))))</f>
        <v>0</v>
      </c>
      <c r="AV142" s="10" t="str">
        <f t="shared" si="18"/>
        <v>0104 09:00:00-QAC-STD-D-1-DI-CHK</v>
      </c>
    </row>
    <row r="143" spans="1:48" s="10" customFormat="1" x14ac:dyDescent="0.55000000000000004">
      <c r="A143" s="32">
        <v>44916</v>
      </c>
      <c r="B143" s="33">
        <v>0.22916666666666666</v>
      </c>
      <c r="C143" s="10" t="s">
        <v>279</v>
      </c>
      <c r="D143" s="10">
        <v>0</v>
      </c>
      <c r="E143" s="10" t="s">
        <v>911</v>
      </c>
      <c r="F143" s="10">
        <v>1</v>
      </c>
      <c r="G143" s="10" t="s">
        <v>231</v>
      </c>
      <c r="H143" s="10" t="s">
        <v>322</v>
      </c>
      <c r="I143" s="10" t="s">
        <v>167</v>
      </c>
      <c r="J143" s="10">
        <v>35</v>
      </c>
      <c r="K143" s="12">
        <v>44930</v>
      </c>
      <c r="L143" s="33">
        <v>0.49142361111111116</v>
      </c>
      <c r="M143" s="10">
        <v>1</v>
      </c>
      <c r="N143" s="10" t="s">
        <v>211</v>
      </c>
      <c r="O143" s="10">
        <v>0.36</v>
      </c>
      <c r="P143" s="10">
        <v>3.4299999999999997E-2</v>
      </c>
      <c r="Q143" s="10">
        <v>63.7</v>
      </c>
      <c r="R143" s="10" t="s">
        <v>913</v>
      </c>
      <c r="S143" s="34">
        <f t="shared" si="14"/>
        <v>63.7</v>
      </c>
      <c r="T143" s="10" t="s">
        <v>938</v>
      </c>
      <c r="U143" s="34" t="str">
        <f t="shared" si="15"/>
        <v/>
      </c>
      <c r="V143" s="31" t="str">
        <f>IF(H143="CHK",VLOOKUP(I143,QCCHK,3,),IF(H143="GUP",VLOOKUP(E143,QCGUP,2,),IF(AND(H143="ATP",OR(I143="TN",I143="TDN",I143="TNO2-3",I143="NO2-3")),VLOOKUP(E143,QCREC_N,2,),IF(AND(H143="NIC",OR(I143="TN",I143="TDN",I143="TNO2-3",I143="NO2-3")),VLOOKUP(E143,QCNIC_N,2,),IF(AND(H143="UREA",OR(I143="TN",I143="TDN",I143="TNO2-3",I143="NO2-3")),VLOOKUP(E143,QCUREA_N,2,),IF(H143="PER",VLOOKUP(I143,QCPER,MATCH(E143,QCACTUAL!$J$25:$AA$25,0),),IF(H143="SPK",VLOOKUP(I143,QCSPK,3,),IF(AND(H143="ATP",OR(I143="TP",I143="TDP")),VLOOKUP(E143,QCATP_P,2,),""))))))))</f>
        <v/>
      </c>
      <c r="W143" s="31" t="str">
        <f t="shared" si="16"/>
        <v>TRUE</v>
      </c>
      <c r="X143" s="31" t="str">
        <f t="shared" si="17"/>
        <v/>
      </c>
      <c r="Y143" s="10" t="s">
        <v>949</v>
      </c>
      <c r="Z143" s="10" t="s">
        <v>910</v>
      </c>
      <c r="AL143" s="10" t="str">
        <f t="shared" si="19"/>
        <v>FALSE</v>
      </c>
      <c r="AM143" s="10" t="str">
        <f t="shared" si="19"/>
        <v>FALSE</v>
      </c>
      <c r="AN143" s="10" t="str">
        <f t="shared" si="19"/>
        <v>FALSE</v>
      </c>
      <c r="AO143" s="10" t="str">
        <f t="shared" si="20"/>
        <v>FALSE</v>
      </c>
      <c r="AP143" s="10" t="str">
        <f t="shared" si="20"/>
        <v>FALSE</v>
      </c>
      <c r="AQ143" s="10" t="b">
        <f>IF(AND(I143="TP",S143&lt;=150),VLOOKUP(AF143,TPCalibEq150!$AZ$2:$BB$55,3,),IF(AND(I143="TDP",S143&lt;=150),VLOOKUP(AF143,TPCalibEq150!$AZ$2:$BB$55,3,)))</f>
        <v>0</v>
      </c>
      <c r="AR143" s="10" t="b">
        <f>IF(AND(I143="TP",S143&lt;=300),VLOOKUP(AF143,TPCalibEq300!$AZ$2:$BB$55,3,),IF(AND(I143="TDP",S143&lt;=300),VLOOKUP(AF143,TPCalibEq300!$AZ$2:$BB$55,3,)))</f>
        <v>0</v>
      </c>
      <c r="AS143" s="10" t="b">
        <f>IF(AND(I143="TP",S143&lt;=500),VLOOKUP(AF143,TPCalibEq500!$AZ$2:$BB$56,3,),IF(AND(I143="TDP",S143&lt;=500),VLOOKUP(AF143,TPCalibEq500!$AZ$2:$BB$56,3,)))</f>
        <v>0</v>
      </c>
      <c r="AT143" s="10" t="b">
        <f>IF(AND(I143="TN",S143&lt;=2800),VLOOKUP(AF143,TNCalibEq2500!$AZ$2:$BB$56,3,),IF(AND(I143="TDN",S143&lt;=2800),VLOOKUP(AF143,TNCalibEq2500!$AZ$2:$BB$56,3,)))</f>
        <v>0</v>
      </c>
      <c r="AU143" s="10" t="b">
        <f>IF(I143="TP",VLOOKUP(AF143,TPCalibEqFull!$AZ$2:$BB$56,3),IF(I143="TDP",VLOOKUP(AF143,TPCalibEqFull!$AZ$2:$BB$56,3),IF(I143="TDN",VLOOKUP(AF143,TNCalibEqFull!$AZ$1:$BB$56,3),IF(I143="TN",VLOOKUP(AF143,TNCalibEqFull!$AZ$1:$BB$56,3),FALSE))))</f>
        <v>0</v>
      </c>
      <c r="AV143" s="10" t="str">
        <f t="shared" si="18"/>
        <v>1221 05:30:00-EFK-0-FIL-1-SW-UKN</v>
      </c>
    </row>
    <row r="144" spans="1:48" s="10" customFormat="1" x14ac:dyDescent="0.55000000000000004">
      <c r="A144" s="32">
        <v>44916</v>
      </c>
      <c r="B144" s="33">
        <v>0.23611111111111113</v>
      </c>
      <c r="C144" s="10" t="s">
        <v>333</v>
      </c>
      <c r="D144" s="10">
        <v>0</v>
      </c>
      <c r="E144" s="10" t="s">
        <v>911</v>
      </c>
      <c r="F144" s="10">
        <v>1</v>
      </c>
      <c r="G144" s="10" t="s">
        <v>231</v>
      </c>
      <c r="H144" s="10" t="s">
        <v>322</v>
      </c>
      <c r="I144" s="10" t="s">
        <v>167</v>
      </c>
      <c r="J144" s="10">
        <v>36</v>
      </c>
      <c r="K144" s="12">
        <v>44930</v>
      </c>
      <c r="L144" s="33">
        <v>0.49223379629629632</v>
      </c>
      <c r="M144" s="10">
        <v>1</v>
      </c>
      <c r="N144" s="10" t="s">
        <v>211</v>
      </c>
      <c r="O144" s="10">
        <v>0.17</v>
      </c>
      <c r="P144" s="10">
        <v>1.6199999999999999E-2</v>
      </c>
      <c r="Q144" s="10">
        <v>30</v>
      </c>
      <c r="R144" s="10" t="s">
        <v>913</v>
      </c>
      <c r="S144" s="34">
        <f t="shared" si="14"/>
        <v>30</v>
      </c>
      <c r="T144" s="10" t="s">
        <v>938</v>
      </c>
      <c r="U144" s="34" t="str">
        <f t="shared" si="15"/>
        <v/>
      </c>
      <c r="V144" s="31" t="str">
        <f>IF(H144="CHK",VLOOKUP(I144,QCCHK,3,),IF(H144="GUP",VLOOKUP(E144,QCGUP,2,),IF(AND(H144="ATP",OR(I144="TN",I144="TDN",I144="TNO2-3",I144="NO2-3")),VLOOKUP(E144,QCREC_N,2,),IF(AND(H144="NIC",OR(I144="TN",I144="TDN",I144="TNO2-3",I144="NO2-3")),VLOOKUP(E144,QCNIC_N,2,),IF(AND(H144="UREA",OR(I144="TN",I144="TDN",I144="TNO2-3",I144="NO2-3")),VLOOKUP(E144,QCUREA_N,2,),IF(H144="PER",VLOOKUP(I144,QCPER,MATCH(E144,QCACTUAL!$J$25:$AA$25,0),),IF(H144="SPK",VLOOKUP(I144,QCSPK,3,),IF(AND(H144="ATP",OR(I144="TP",I144="TDP")),VLOOKUP(E144,QCATP_P,2,),""))))))))</f>
        <v/>
      </c>
      <c r="W144" s="31" t="str">
        <f t="shared" si="16"/>
        <v>TRUE</v>
      </c>
      <c r="X144" s="31" t="str">
        <f t="shared" si="17"/>
        <v/>
      </c>
      <c r="Y144" s="10" t="s">
        <v>949</v>
      </c>
      <c r="Z144" s="10" t="s">
        <v>910</v>
      </c>
      <c r="AL144" s="10" t="str">
        <f t="shared" si="19"/>
        <v>FALSE</v>
      </c>
      <c r="AM144" s="10" t="str">
        <f t="shared" si="19"/>
        <v>FALSE</v>
      </c>
      <c r="AN144" s="10" t="str">
        <f t="shared" si="19"/>
        <v>FALSE</v>
      </c>
      <c r="AO144" s="10" t="str">
        <f t="shared" si="20"/>
        <v>FALSE</v>
      </c>
      <c r="AP144" s="10" t="str">
        <f t="shared" si="20"/>
        <v>FALSE</v>
      </c>
      <c r="AQ144" s="10" t="b">
        <f>IF(AND(I144="TP",S144&lt;=150),VLOOKUP(AF144,TPCalibEq150!$AZ$2:$BB$55,3,),IF(AND(I144="TDP",S144&lt;=150),VLOOKUP(AF144,TPCalibEq150!$AZ$2:$BB$55,3,)))</f>
        <v>0</v>
      </c>
      <c r="AR144" s="10" t="b">
        <f>IF(AND(I144="TP",S144&lt;=300),VLOOKUP(AF144,TPCalibEq300!$AZ$2:$BB$55,3,),IF(AND(I144="TDP",S144&lt;=300),VLOOKUP(AF144,TPCalibEq300!$AZ$2:$BB$55,3,)))</f>
        <v>0</v>
      </c>
      <c r="AS144" s="10" t="b">
        <f>IF(AND(I144="TP",S144&lt;=500),VLOOKUP(AF144,TPCalibEq500!$AZ$2:$BB$56,3,),IF(AND(I144="TDP",S144&lt;=500),VLOOKUP(AF144,TPCalibEq500!$AZ$2:$BB$56,3,)))</f>
        <v>0</v>
      </c>
      <c r="AT144" s="10" t="b">
        <f>IF(AND(I144="TN",S144&lt;=2800),VLOOKUP(AF144,TNCalibEq2500!$AZ$2:$BB$56,3,),IF(AND(I144="TDN",S144&lt;=2800),VLOOKUP(AF144,TNCalibEq2500!$AZ$2:$BB$56,3,)))</f>
        <v>0</v>
      </c>
      <c r="AU144" s="10" t="b">
        <f>IF(I144="TP",VLOOKUP(AF144,TPCalibEqFull!$AZ$2:$BB$56,3),IF(I144="TDP",VLOOKUP(AF144,TPCalibEqFull!$AZ$2:$BB$56,3),IF(I144="TDN",VLOOKUP(AF144,TNCalibEqFull!$AZ$1:$BB$56,3),IF(I144="TN",VLOOKUP(AF144,TNCalibEqFull!$AZ$1:$BB$56,3),FALSE))))</f>
        <v>0</v>
      </c>
      <c r="AV144" s="10" t="str">
        <f t="shared" si="18"/>
        <v>1221 05:40:00-HST-0-FIL-1-SW-UKN</v>
      </c>
    </row>
    <row r="145" spans="1:48" s="10" customFormat="1" x14ac:dyDescent="0.55000000000000004">
      <c r="A145" s="32">
        <v>44917</v>
      </c>
      <c r="B145" s="33">
        <v>0.24513888888888888</v>
      </c>
      <c r="C145" s="10" t="s">
        <v>279</v>
      </c>
      <c r="D145" s="10">
        <v>0</v>
      </c>
      <c r="E145" s="10" t="s">
        <v>911</v>
      </c>
      <c r="F145" s="10">
        <v>1</v>
      </c>
      <c r="G145" s="10" t="s">
        <v>231</v>
      </c>
      <c r="H145" s="10" t="s">
        <v>322</v>
      </c>
      <c r="I145" s="10" t="s">
        <v>167</v>
      </c>
      <c r="J145" s="10">
        <v>37</v>
      </c>
      <c r="K145" s="12">
        <v>44930</v>
      </c>
      <c r="L145" s="33">
        <v>0.49305555555555558</v>
      </c>
      <c r="M145" s="10">
        <v>1</v>
      </c>
      <c r="N145" s="10" t="s">
        <v>211</v>
      </c>
      <c r="O145" s="10">
        <v>0.70099999999999996</v>
      </c>
      <c r="P145" s="10">
        <v>6.7599999999999993E-2</v>
      </c>
      <c r="Q145" s="10">
        <v>124</v>
      </c>
      <c r="R145" s="10" t="s">
        <v>913</v>
      </c>
      <c r="S145" s="34">
        <f t="shared" si="14"/>
        <v>124</v>
      </c>
      <c r="T145" s="10" t="s">
        <v>938</v>
      </c>
      <c r="U145" s="34" t="str">
        <f t="shared" si="15"/>
        <v/>
      </c>
      <c r="V145" s="31" t="str">
        <f>IF(H145="CHK",VLOOKUP(I145,QCCHK,3,),IF(H145="GUP",VLOOKUP(E145,QCGUP,2,),IF(AND(H145="ATP",OR(I145="TN",I145="TDN",I145="TNO2-3",I145="NO2-3")),VLOOKUP(E145,QCREC_N,2,),IF(AND(H145="NIC",OR(I145="TN",I145="TDN",I145="TNO2-3",I145="NO2-3")),VLOOKUP(E145,QCNIC_N,2,),IF(AND(H145="UREA",OR(I145="TN",I145="TDN",I145="TNO2-3",I145="NO2-3")),VLOOKUP(E145,QCUREA_N,2,),IF(H145="PER",VLOOKUP(I145,QCPER,MATCH(E145,QCACTUAL!$J$25:$AA$25,0),),IF(H145="SPK",VLOOKUP(I145,QCSPK,3,),IF(AND(H145="ATP",OR(I145="TP",I145="TDP")),VLOOKUP(E145,QCATP_P,2,),""))))))))</f>
        <v/>
      </c>
      <c r="W145" s="31" t="str">
        <f t="shared" si="16"/>
        <v>TRUE</v>
      </c>
      <c r="X145" s="31" t="str">
        <f t="shared" si="17"/>
        <v/>
      </c>
      <c r="Y145" s="10" t="s">
        <v>949</v>
      </c>
      <c r="Z145" s="10" t="s">
        <v>910</v>
      </c>
      <c r="AL145" s="10" t="str">
        <f t="shared" si="19"/>
        <v>FALSE</v>
      </c>
      <c r="AM145" s="10" t="str">
        <f t="shared" si="19"/>
        <v>FALSE</v>
      </c>
      <c r="AN145" s="10" t="str">
        <f t="shared" si="19"/>
        <v>FALSE</v>
      </c>
      <c r="AO145" s="10" t="str">
        <f t="shared" si="20"/>
        <v>FALSE</v>
      </c>
      <c r="AP145" s="10" t="str">
        <f t="shared" si="20"/>
        <v>FALSE</v>
      </c>
      <c r="AQ145" s="10" t="b">
        <f>IF(AND(I145="TP",S145&lt;=150),VLOOKUP(AF145,TPCalibEq150!$AZ$2:$BB$55,3,),IF(AND(I145="TDP",S145&lt;=150),VLOOKUP(AF145,TPCalibEq150!$AZ$2:$BB$55,3,)))</f>
        <v>0</v>
      </c>
      <c r="AR145" s="10" t="b">
        <f>IF(AND(I145="TP",S145&lt;=300),VLOOKUP(AF145,TPCalibEq300!$AZ$2:$BB$55,3,),IF(AND(I145="TDP",S145&lt;=300),VLOOKUP(AF145,TPCalibEq300!$AZ$2:$BB$55,3,)))</f>
        <v>0</v>
      </c>
      <c r="AS145" s="10" t="b">
        <f>IF(AND(I145="TP",S145&lt;=500),VLOOKUP(AF145,TPCalibEq500!$AZ$2:$BB$56,3,),IF(AND(I145="TDP",S145&lt;=500),VLOOKUP(AF145,TPCalibEq500!$AZ$2:$BB$56,3,)))</f>
        <v>0</v>
      </c>
      <c r="AT145" s="10" t="b">
        <f>IF(AND(I145="TN",S145&lt;=2800),VLOOKUP(AF145,TNCalibEq2500!$AZ$2:$BB$56,3,),IF(AND(I145="TDN",S145&lt;=2800),VLOOKUP(AF145,TNCalibEq2500!$AZ$2:$BB$56,3,)))</f>
        <v>0</v>
      </c>
      <c r="AU145" s="10" t="b">
        <f>IF(I145="TP",VLOOKUP(AF145,TPCalibEqFull!$AZ$2:$BB$56,3),IF(I145="TDP",VLOOKUP(AF145,TPCalibEqFull!$AZ$2:$BB$56,3),IF(I145="TDN",VLOOKUP(AF145,TNCalibEqFull!$AZ$1:$BB$56,3),IF(I145="TN",VLOOKUP(AF145,TNCalibEqFull!$AZ$1:$BB$56,3),FALSE))))</f>
        <v>0</v>
      </c>
      <c r="AV145" s="10" t="str">
        <f t="shared" si="18"/>
        <v>1222 05:53:00-EFK-0-FIL-1-SW-UKN</v>
      </c>
    </row>
    <row r="146" spans="1:48" s="10" customFormat="1" x14ac:dyDescent="0.55000000000000004">
      <c r="A146" s="32">
        <v>44917</v>
      </c>
      <c r="B146" s="33">
        <v>0.24166666666666667</v>
      </c>
      <c r="C146" s="10" t="s">
        <v>333</v>
      </c>
      <c r="D146" s="10">
        <v>0</v>
      </c>
      <c r="E146" s="10" t="s">
        <v>911</v>
      </c>
      <c r="F146" s="10">
        <v>1</v>
      </c>
      <c r="G146" s="10" t="s">
        <v>231</v>
      </c>
      <c r="H146" s="10" t="s">
        <v>322</v>
      </c>
      <c r="I146" s="10" t="s">
        <v>167</v>
      </c>
      <c r="J146" s="10">
        <v>38</v>
      </c>
      <c r="K146" s="12">
        <v>44930</v>
      </c>
      <c r="L146" s="33">
        <v>0.49387731481481478</v>
      </c>
      <c r="M146" s="10">
        <v>1</v>
      </c>
      <c r="N146" s="10" t="s">
        <v>211</v>
      </c>
      <c r="O146" s="10">
        <v>0.218</v>
      </c>
      <c r="P146" s="10">
        <v>2.07E-2</v>
      </c>
      <c r="Q146" s="10">
        <v>38.6</v>
      </c>
      <c r="R146" s="10" t="s">
        <v>913</v>
      </c>
      <c r="S146" s="34">
        <f t="shared" si="14"/>
        <v>38.6</v>
      </c>
      <c r="T146" s="10" t="s">
        <v>938</v>
      </c>
      <c r="U146" s="34" t="str">
        <f t="shared" si="15"/>
        <v/>
      </c>
      <c r="V146" s="31" t="str">
        <f>IF(H146="CHK",VLOOKUP(I146,QCCHK,3,),IF(H146="GUP",VLOOKUP(E146,QCGUP,2,),IF(AND(H146="ATP",OR(I146="TN",I146="TDN",I146="TNO2-3",I146="NO2-3")),VLOOKUP(E146,QCREC_N,2,),IF(AND(H146="NIC",OR(I146="TN",I146="TDN",I146="TNO2-3",I146="NO2-3")),VLOOKUP(E146,QCNIC_N,2,),IF(AND(H146="UREA",OR(I146="TN",I146="TDN",I146="TNO2-3",I146="NO2-3")),VLOOKUP(E146,QCUREA_N,2,),IF(H146="PER",VLOOKUP(I146,QCPER,MATCH(E146,QCACTUAL!$J$25:$AA$25,0),),IF(H146="SPK",VLOOKUP(I146,QCSPK,3,),IF(AND(H146="ATP",OR(I146="TP",I146="TDP")),VLOOKUP(E146,QCATP_P,2,),""))))))))</f>
        <v/>
      </c>
      <c r="W146" s="31" t="str">
        <f t="shared" si="16"/>
        <v>TRUE</v>
      </c>
      <c r="X146" s="31" t="str">
        <f t="shared" si="17"/>
        <v/>
      </c>
      <c r="Y146" s="10" t="s">
        <v>949</v>
      </c>
      <c r="Z146" s="10" t="s">
        <v>910</v>
      </c>
      <c r="AL146" s="10" t="str">
        <f t="shared" si="19"/>
        <v>FALSE</v>
      </c>
      <c r="AM146" s="10" t="str">
        <f t="shared" si="19"/>
        <v>FALSE</v>
      </c>
      <c r="AN146" s="10" t="str">
        <f t="shared" si="19"/>
        <v>FALSE</v>
      </c>
      <c r="AO146" s="10" t="str">
        <f t="shared" si="20"/>
        <v>FALSE</v>
      </c>
      <c r="AP146" s="10" t="str">
        <f t="shared" si="20"/>
        <v>FALSE</v>
      </c>
      <c r="AQ146" s="10" t="b">
        <f>IF(AND(I146="TP",S146&lt;=150),VLOOKUP(AF146,TPCalibEq150!$AZ$2:$BB$55,3,),IF(AND(I146="TDP",S146&lt;=150),VLOOKUP(AF146,TPCalibEq150!$AZ$2:$BB$55,3,)))</f>
        <v>0</v>
      </c>
      <c r="AR146" s="10" t="b">
        <f>IF(AND(I146="TP",S146&lt;=300),VLOOKUP(AF146,TPCalibEq300!$AZ$2:$BB$55,3,),IF(AND(I146="TDP",S146&lt;=300),VLOOKUP(AF146,TPCalibEq300!$AZ$2:$BB$55,3,)))</f>
        <v>0</v>
      </c>
      <c r="AS146" s="10" t="b">
        <f>IF(AND(I146="TP",S146&lt;=500),VLOOKUP(AF146,TPCalibEq500!$AZ$2:$BB$56,3,),IF(AND(I146="TDP",S146&lt;=500),VLOOKUP(AF146,TPCalibEq500!$AZ$2:$BB$56,3,)))</f>
        <v>0</v>
      </c>
      <c r="AT146" s="10" t="b">
        <f>IF(AND(I146="TN",S146&lt;=2800),VLOOKUP(AF146,TNCalibEq2500!$AZ$2:$BB$56,3,),IF(AND(I146="TDN",S146&lt;=2800),VLOOKUP(AF146,TNCalibEq2500!$AZ$2:$BB$56,3,)))</f>
        <v>0</v>
      </c>
      <c r="AU146" s="10" t="b">
        <f>IF(I146="TP",VLOOKUP(AF146,TPCalibEqFull!$AZ$2:$BB$56,3),IF(I146="TDP",VLOOKUP(AF146,TPCalibEqFull!$AZ$2:$BB$56,3),IF(I146="TDN",VLOOKUP(AF146,TNCalibEqFull!$AZ$1:$BB$56,3),IF(I146="TN",VLOOKUP(AF146,TNCalibEqFull!$AZ$1:$BB$56,3),FALSE))))</f>
        <v>0</v>
      </c>
      <c r="AV146" s="10" t="str">
        <f t="shared" si="18"/>
        <v>1222 05:48:00-HST-0-FIL-1-SW-UKN</v>
      </c>
    </row>
    <row r="147" spans="1:48" s="10" customFormat="1" x14ac:dyDescent="0.55000000000000004">
      <c r="A147" s="32">
        <v>44922</v>
      </c>
      <c r="B147" s="33">
        <v>0.24652777777777779</v>
      </c>
      <c r="C147" s="10" t="s">
        <v>279</v>
      </c>
      <c r="D147" s="10">
        <v>0</v>
      </c>
      <c r="E147" s="10" t="s">
        <v>911</v>
      </c>
      <c r="F147" s="10">
        <v>1</v>
      </c>
      <c r="G147" s="10" t="s">
        <v>231</v>
      </c>
      <c r="H147" s="10" t="s">
        <v>322</v>
      </c>
      <c r="I147" s="10" t="s">
        <v>167</v>
      </c>
      <c r="J147" s="10">
        <v>39</v>
      </c>
      <c r="K147" s="12">
        <v>44930</v>
      </c>
      <c r="L147" s="33">
        <v>0.4946875</v>
      </c>
      <c r="M147" s="10">
        <v>1</v>
      </c>
      <c r="N147" s="10" t="s">
        <v>211</v>
      </c>
      <c r="O147" s="10">
        <v>0.97699999999999998</v>
      </c>
      <c r="P147" s="10">
        <v>9.5100000000000004E-2</v>
      </c>
      <c r="Q147" s="10">
        <v>173</v>
      </c>
      <c r="R147" s="10" t="s">
        <v>913</v>
      </c>
      <c r="S147" s="34">
        <f t="shared" si="14"/>
        <v>173</v>
      </c>
      <c r="T147" s="10" t="s">
        <v>938</v>
      </c>
      <c r="U147" s="34" t="str">
        <f t="shared" si="15"/>
        <v/>
      </c>
      <c r="V147" s="31" t="str">
        <f>IF(H147="CHK",VLOOKUP(I147,QCCHK,3,),IF(H147="GUP",VLOOKUP(E147,QCGUP,2,),IF(AND(H147="ATP",OR(I147="TN",I147="TDN",I147="TNO2-3",I147="NO2-3")),VLOOKUP(E147,QCREC_N,2,),IF(AND(H147="NIC",OR(I147="TN",I147="TDN",I147="TNO2-3",I147="NO2-3")),VLOOKUP(E147,QCNIC_N,2,),IF(AND(H147="UREA",OR(I147="TN",I147="TDN",I147="TNO2-3",I147="NO2-3")),VLOOKUP(E147,QCUREA_N,2,),IF(H147="PER",VLOOKUP(I147,QCPER,MATCH(E147,QCACTUAL!$J$25:$AA$25,0),),IF(H147="SPK",VLOOKUP(I147,QCSPK,3,),IF(AND(H147="ATP",OR(I147="TP",I147="TDP")),VLOOKUP(E147,QCATP_P,2,),""))))))))</f>
        <v/>
      </c>
      <c r="W147" s="31" t="str">
        <f t="shared" si="16"/>
        <v>TRUE</v>
      </c>
      <c r="X147" s="31" t="str">
        <f t="shared" si="17"/>
        <v/>
      </c>
      <c r="Y147" s="10" t="s">
        <v>949</v>
      </c>
      <c r="Z147" s="10" t="s">
        <v>910</v>
      </c>
      <c r="AL147" s="10" t="str">
        <f t="shared" si="19"/>
        <v>FALSE</v>
      </c>
      <c r="AM147" s="10" t="str">
        <f t="shared" si="19"/>
        <v>FALSE</v>
      </c>
      <c r="AN147" s="10" t="str">
        <f t="shared" si="19"/>
        <v>FALSE</v>
      </c>
      <c r="AO147" s="10" t="str">
        <f t="shared" si="20"/>
        <v>FALSE</v>
      </c>
      <c r="AP147" s="10" t="str">
        <f t="shared" si="20"/>
        <v>FALSE</v>
      </c>
      <c r="AQ147" s="10" t="b">
        <f>IF(AND(I147="TP",S147&lt;=150),VLOOKUP(AF147,TPCalibEq150!$AZ$2:$BB$55,3,),IF(AND(I147="TDP",S147&lt;=150),VLOOKUP(AF147,TPCalibEq150!$AZ$2:$BB$55,3,)))</f>
        <v>0</v>
      </c>
      <c r="AR147" s="10" t="b">
        <f>IF(AND(I147="TP",S147&lt;=300),VLOOKUP(AF147,TPCalibEq300!$AZ$2:$BB$55,3,),IF(AND(I147="TDP",S147&lt;=300),VLOOKUP(AF147,TPCalibEq300!$AZ$2:$BB$55,3,)))</f>
        <v>0</v>
      </c>
      <c r="AS147" s="10" t="b">
        <f>IF(AND(I147="TP",S147&lt;=500),VLOOKUP(AF147,TPCalibEq500!$AZ$2:$BB$56,3,),IF(AND(I147="TDP",S147&lt;=500),VLOOKUP(AF147,TPCalibEq500!$AZ$2:$BB$56,3,)))</f>
        <v>0</v>
      </c>
      <c r="AT147" s="10" t="b">
        <f>IF(AND(I147="TN",S147&lt;=2800),VLOOKUP(AF147,TNCalibEq2500!$AZ$2:$BB$56,3,),IF(AND(I147="TDN",S147&lt;=2800),VLOOKUP(AF147,TNCalibEq2500!$AZ$2:$BB$56,3,)))</f>
        <v>0</v>
      </c>
      <c r="AU147" s="10" t="b">
        <f>IF(I147="TP",VLOOKUP(AF147,TPCalibEqFull!$AZ$2:$BB$56,3),IF(I147="TDP",VLOOKUP(AF147,TPCalibEqFull!$AZ$2:$BB$56,3),IF(I147="TDN",VLOOKUP(AF147,TNCalibEqFull!$AZ$1:$BB$56,3),IF(I147="TN",VLOOKUP(AF147,TNCalibEqFull!$AZ$1:$BB$56,3),FALSE))))</f>
        <v>0</v>
      </c>
      <c r="AV147" s="10" t="str">
        <f t="shared" si="18"/>
        <v>1227 05:55:00-EFK-0-FIL-1-SW-UKN</v>
      </c>
    </row>
    <row r="148" spans="1:48" s="10" customFormat="1" x14ac:dyDescent="0.55000000000000004">
      <c r="A148" s="32">
        <v>44922</v>
      </c>
      <c r="B148" s="33">
        <v>0.3576388888888889</v>
      </c>
      <c r="C148" s="10" t="s">
        <v>333</v>
      </c>
      <c r="D148" s="10">
        <v>0</v>
      </c>
      <c r="E148" s="10" t="s">
        <v>911</v>
      </c>
      <c r="F148" s="10">
        <v>1</v>
      </c>
      <c r="G148" s="10" t="s">
        <v>231</v>
      </c>
      <c r="H148" s="10" t="s">
        <v>322</v>
      </c>
      <c r="I148" s="10" t="s">
        <v>167</v>
      </c>
      <c r="J148" s="10">
        <v>40</v>
      </c>
      <c r="K148" s="12">
        <v>44930</v>
      </c>
      <c r="L148" s="33">
        <v>0.49549768518518517</v>
      </c>
      <c r="M148" s="10">
        <v>1</v>
      </c>
      <c r="N148" s="10" t="s">
        <v>211</v>
      </c>
      <c r="O148" s="10">
        <v>0.22700000000000001</v>
      </c>
      <c r="P148" s="10">
        <v>2.0799999999999999E-2</v>
      </c>
      <c r="Q148" s="10">
        <v>40.1</v>
      </c>
      <c r="R148" s="10" t="s">
        <v>913</v>
      </c>
      <c r="S148" s="34">
        <f t="shared" si="14"/>
        <v>40.1</v>
      </c>
      <c r="T148" s="10" t="s">
        <v>938</v>
      </c>
      <c r="U148" s="34" t="str">
        <f t="shared" si="15"/>
        <v/>
      </c>
      <c r="V148" s="31" t="str">
        <f>IF(H148="CHK",VLOOKUP(I148,QCCHK,3,),IF(H148="GUP",VLOOKUP(E148,QCGUP,2,),IF(AND(H148="ATP",OR(I148="TN",I148="TDN",I148="TNO2-3",I148="NO2-3")),VLOOKUP(E148,QCREC_N,2,),IF(AND(H148="NIC",OR(I148="TN",I148="TDN",I148="TNO2-3",I148="NO2-3")),VLOOKUP(E148,QCNIC_N,2,),IF(AND(H148="UREA",OR(I148="TN",I148="TDN",I148="TNO2-3",I148="NO2-3")),VLOOKUP(E148,QCUREA_N,2,),IF(H148="PER",VLOOKUP(I148,QCPER,MATCH(E148,QCACTUAL!$J$25:$AA$25,0),),IF(H148="SPK",VLOOKUP(I148,QCSPK,3,),IF(AND(H148="ATP",OR(I148="TP",I148="TDP")),VLOOKUP(E148,QCATP_P,2,),""))))))))</f>
        <v/>
      </c>
      <c r="W148" s="31" t="str">
        <f t="shared" si="16"/>
        <v>TRUE</v>
      </c>
      <c r="X148" s="31" t="str">
        <f t="shared" si="17"/>
        <v/>
      </c>
      <c r="Y148" s="10" t="s">
        <v>949</v>
      </c>
      <c r="Z148" s="10" t="s">
        <v>910</v>
      </c>
      <c r="AL148" s="10" t="str">
        <f t="shared" si="19"/>
        <v>FALSE</v>
      </c>
      <c r="AM148" s="10" t="str">
        <f t="shared" si="19"/>
        <v>FALSE</v>
      </c>
      <c r="AN148" s="10" t="str">
        <f t="shared" si="19"/>
        <v>FALSE</v>
      </c>
      <c r="AO148" s="10" t="str">
        <f t="shared" si="20"/>
        <v>FALSE</v>
      </c>
      <c r="AP148" s="10" t="str">
        <f t="shared" si="20"/>
        <v>FALSE</v>
      </c>
      <c r="AQ148" s="10" t="b">
        <f>IF(AND(I148="TP",S148&lt;=150),VLOOKUP(AF148,TPCalibEq150!$AZ$2:$BB$55,3,),IF(AND(I148="TDP",S148&lt;=150),VLOOKUP(AF148,TPCalibEq150!$AZ$2:$BB$55,3,)))</f>
        <v>0</v>
      </c>
      <c r="AR148" s="10" t="b">
        <f>IF(AND(I148="TP",S148&lt;=300),VLOOKUP(AF148,TPCalibEq300!$AZ$2:$BB$55,3,),IF(AND(I148="TDP",S148&lt;=300),VLOOKUP(AF148,TPCalibEq300!$AZ$2:$BB$55,3,)))</f>
        <v>0</v>
      </c>
      <c r="AS148" s="10" t="b">
        <f>IF(AND(I148="TP",S148&lt;=500),VLOOKUP(AF148,TPCalibEq500!$AZ$2:$BB$56,3,),IF(AND(I148="TDP",S148&lt;=500),VLOOKUP(AF148,TPCalibEq500!$AZ$2:$BB$56,3,)))</f>
        <v>0</v>
      </c>
      <c r="AT148" s="10" t="b">
        <f>IF(AND(I148="TN",S148&lt;=2800),VLOOKUP(AF148,TNCalibEq2500!$AZ$2:$BB$56,3,),IF(AND(I148="TDN",S148&lt;=2800),VLOOKUP(AF148,TNCalibEq2500!$AZ$2:$BB$56,3,)))</f>
        <v>0</v>
      </c>
      <c r="AU148" s="10" t="b">
        <f>IF(I148="TP",VLOOKUP(AF148,TPCalibEqFull!$AZ$2:$BB$56,3),IF(I148="TDP",VLOOKUP(AF148,TPCalibEqFull!$AZ$2:$BB$56,3),IF(I148="TDN",VLOOKUP(AF148,TNCalibEqFull!$AZ$1:$BB$56,3),IF(I148="TN",VLOOKUP(AF148,TNCalibEqFull!$AZ$1:$BB$56,3),FALSE))))</f>
        <v>0</v>
      </c>
      <c r="AV148" s="10" t="str">
        <f t="shared" si="18"/>
        <v>1227 08:35:00-HST-0-FIL-1-SW-UKN</v>
      </c>
    </row>
    <row r="149" spans="1:48" s="10" customFormat="1" x14ac:dyDescent="0.55000000000000004">
      <c r="A149" s="32">
        <v>44923</v>
      </c>
      <c r="B149" s="33">
        <v>0.23958333333333334</v>
      </c>
      <c r="C149" s="10" t="s">
        <v>279</v>
      </c>
      <c r="D149" s="10">
        <v>0</v>
      </c>
      <c r="E149" s="10" t="s">
        <v>911</v>
      </c>
      <c r="F149" s="10">
        <v>1</v>
      </c>
      <c r="G149" s="10" t="s">
        <v>231</v>
      </c>
      <c r="H149" s="10" t="s">
        <v>322</v>
      </c>
      <c r="I149" s="10" t="s">
        <v>167</v>
      </c>
      <c r="J149" s="10">
        <v>41</v>
      </c>
      <c r="K149" s="12">
        <v>44930</v>
      </c>
      <c r="L149" s="33">
        <v>0.49630787037037033</v>
      </c>
      <c r="M149" s="10">
        <v>1</v>
      </c>
      <c r="N149" s="10" t="s">
        <v>211</v>
      </c>
      <c r="O149" s="10">
        <v>1.03</v>
      </c>
      <c r="P149" s="10">
        <v>0.1</v>
      </c>
      <c r="Q149" s="10">
        <v>182</v>
      </c>
      <c r="R149" s="10" t="s">
        <v>913</v>
      </c>
      <c r="S149" s="34">
        <f t="shared" si="14"/>
        <v>182</v>
      </c>
      <c r="T149" s="10" t="s">
        <v>938</v>
      </c>
      <c r="U149" s="34" t="str">
        <f t="shared" si="15"/>
        <v/>
      </c>
      <c r="V149" s="31" t="str">
        <f>IF(H149="CHK",VLOOKUP(I149,QCCHK,3,),IF(H149="GUP",VLOOKUP(E149,QCGUP,2,),IF(AND(H149="ATP",OR(I149="TN",I149="TDN",I149="TNO2-3",I149="NO2-3")),VLOOKUP(E149,QCREC_N,2,),IF(AND(H149="NIC",OR(I149="TN",I149="TDN",I149="TNO2-3",I149="NO2-3")),VLOOKUP(E149,QCNIC_N,2,),IF(AND(H149="UREA",OR(I149="TN",I149="TDN",I149="TNO2-3",I149="NO2-3")),VLOOKUP(E149,QCUREA_N,2,),IF(H149="PER",VLOOKUP(I149,QCPER,MATCH(E149,QCACTUAL!$J$25:$AA$25,0),),IF(H149="SPK",VLOOKUP(I149,QCSPK,3,),IF(AND(H149="ATP",OR(I149="TP",I149="TDP")),VLOOKUP(E149,QCATP_P,2,),""))))))))</f>
        <v/>
      </c>
      <c r="W149" s="31" t="str">
        <f t="shared" si="16"/>
        <v>TRUE</v>
      </c>
      <c r="X149" s="31" t="str">
        <f t="shared" si="17"/>
        <v/>
      </c>
      <c r="Y149" s="10" t="s">
        <v>949</v>
      </c>
      <c r="Z149" s="10" t="s">
        <v>910</v>
      </c>
      <c r="AL149" s="10" t="str">
        <f t="shared" si="19"/>
        <v>FALSE</v>
      </c>
      <c r="AM149" s="10" t="str">
        <f t="shared" si="19"/>
        <v>FALSE</v>
      </c>
      <c r="AN149" s="10" t="str">
        <f t="shared" si="19"/>
        <v>FALSE</v>
      </c>
      <c r="AO149" s="10" t="str">
        <f t="shared" si="20"/>
        <v>FALSE</v>
      </c>
      <c r="AP149" s="10" t="str">
        <f t="shared" si="20"/>
        <v>FALSE</v>
      </c>
      <c r="AQ149" s="10" t="b">
        <f>IF(AND(I149="TP",S149&lt;=150),VLOOKUP(AF149,TPCalibEq150!$AZ$2:$BB$55,3,),IF(AND(I149="TDP",S149&lt;=150),VLOOKUP(AF149,TPCalibEq150!$AZ$2:$BB$55,3,)))</f>
        <v>0</v>
      </c>
      <c r="AR149" s="10" t="b">
        <f>IF(AND(I149="TP",S149&lt;=300),VLOOKUP(AF149,TPCalibEq300!$AZ$2:$BB$55,3,),IF(AND(I149="TDP",S149&lt;=300),VLOOKUP(AF149,TPCalibEq300!$AZ$2:$BB$55,3,)))</f>
        <v>0</v>
      </c>
      <c r="AS149" s="10" t="b">
        <f>IF(AND(I149="TP",S149&lt;=500),VLOOKUP(AF149,TPCalibEq500!$AZ$2:$BB$56,3,),IF(AND(I149="TDP",S149&lt;=500),VLOOKUP(AF149,TPCalibEq500!$AZ$2:$BB$56,3,)))</f>
        <v>0</v>
      </c>
      <c r="AT149" s="10" t="b">
        <f>IF(AND(I149="TN",S149&lt;=2800),VLOOKUP(AF149,TNCalibEq2500!$AZ$2:$BB$56,3,),IF(AND(I149="TDN",S149&lt;=2800),VLOOKUP(AF149,TNCalibEq2500!$AZ$2:$BB$56,3,)))</f>
        <v>0</v>
      </c>
      <c r="AU149" s="10" t="b">
        <f>IF(I149="TP",VLOOKUP(AF149,TPCalibEqFull!$AZ$2:$BB$56,3),IF(I149="TDP",VLOOKUP(AF149,TPCalibEqFull!$AZ$2:$BB$56,3),IF(I149="TDN",VLOOKUP(AF149,TNCalibEqFull!$AZ$1:$BB$56,3),IF(I149="TN",VLOOKUP(AF149,TNCalibEqFull!$AZ$1:$BB$56,3),FALSE))))</f>
        <v>0</v>
      </c>
      <c r="AV149" s="10" t="str">
        <f t="shared" si="18"/>
        <v>1228 05:45:00-EFK-0-FIL-1-SW-UKN</v>
      </c>
    </row>
    <row r="150" spans="1:48" s="10" customFormat="1" x14ac:dyDescent="0.55000000000000004">
      <c r="A150" s="32">
        <v>44923</v>
      </c>
      <c r="B150" s="33">
        <v>0.36249999999999999</v>
      </c>
      <c r="C150" s="10" t="s">
        <v>333</v>
      </c>
      <c r="D150" s="10">
        <v>0</v>
      </c>
      <c r="E150" s="10" t="s">
        <v>911</v>
      </c>
      <c r="F150" s="10">
        <v>1</v>
      </c>
      <c r="G150" s="10" t="s">
        <v>231</v>
      </c>
      <c r="H150" s="10" t="s">
        <v>322</v>
      </c>
      <c r="I150" s="10" t="s">
        <v>167</v>
      </c>
      <c r="J150" s="10">
        <v>42</v>
      </c>
      <c r="K150" s="12">
        <v>44930</v>
      </c>
      <c r="L150" s="33">
        <v>0.4971180555555556</v>
      </c>
      <c r="M150" s="10">
        <v>1</v>
      </c>
      <c r="N150" s="10" t="s">
        <v>211</v>
      </c>
      <c r="O150" s="10">
        <v>0.19800000000000001</v>
      </c>
      <c r="P150" s="10">
        <v>1.84E-2</v>
      </c>
      <c r="Q150" s="10">
        <v>35</v>
      </c>
      <c r="R150" s="10" t="s">
        <v>913</v>
      </c>
      <c r="S150" s="34">
        <f t="shared" si="14"/>
        <v>35</v>
      </c>
      <c r="T150" s="10" t="s">
        <v>938</v>
      </c>
      <c r="U150" s="34" t="str">
        <f t="shared" si="15"/>
        <v/>
      </c>
      <c r="V150" s="31" t="str">
        <f>IF(H150="CHK",VLOOKUP(I150,QCCHK,3,),IF(H150="GUP",VLOOKUP(E150,QCGUP,2,),IF(AND(H150="ATP",OR(I150="TN",I150="TDN",I150="TNO2-3",I150="NO2-3")),VLOOKUP(E150,QCREC_N,2,),IF(AND(H150="NIC",OR(I150="TN",I150="TDN",I150="TNO2-3",I150="NO2-3")),VLOOKUP(E150,QCNIC_N,2,),IF(AND(H150="UREA",OR(I150="TN",I150="TDN",I150="TNO2-3",I150="NO2-3")),VLOOKUP(E150,QCUREA_N,2,),IF(H150="PER",VLOOKUP(I150,QCPER,MATCH(E150,QCACTUAL!$J$25:$AA$25,0),),IF(H150="SPK",VLOOKUP(I150,QCSPK,3,),IF(AND(H150="ATP",OR(I150="TP",I150="TDP")),VLOOKUP(E150,QCATP_P,2,),""))))))))</f>
        <v/>
      </c>
      <c r="W150" s="31" t="str">
        <f t="shared" si="16"/>
        <v>TRUE</v>
      </c>
      <c r="X150" s="31" t="str">
        <f t="shared" si="17"/>
        <v/>
      </c>
      <c r="Y150" s="10" t="s">
        <v>949</v>
      </c>
      <c r="Z150" s="10" t="s">
        <v>910</v>
      </c>
      <c r="AL150" s="10" t="str">
        <f t="shared" si="19"/>
        <v>FALSE</v>
      </c>
      <c r="AM150" s="10" t="str">
        <f t="shared" si="19"/>
        <v>FALSE</v>
      </c>
      <c r="AN150" s="10" t="str">
        <f t="shared" si="19"/>
        <v>FALSE</v>
      </c>
      <c r="AO150" s="10" t="str">
        <f t="shared" si="20"/>
        <v>FALSE</v>
      </c>
      <c r="AP150" s="10" t="str">
        <f t="shared" si="20"/>
        <v>FALSE</v>
      </c>
      <c r="AQ150" s="10" t="b">
        <f>IF(AND(I150="TP",S150&lt;=150),VLOOKUP(AF150,TPCalibEq150!$AZ$2:$BB$55,3,),IF(AND(I150="TDP",S150&lt;=150),VLOOKUP(AF150,TPCalibEq150!$AZ$2:$BB$55,3,)))</f>
        <v>0</v>
      </c>
      <c r="AR150" s="10" t="b">
        <f>IF(AND(I150="TP",S150&lt;=300),VLOOKUP(AF150,TPCalibEq300!$AZ$2:$BB$55,3,),IF(AND(I150="TDP",S150&lt;=300),VLOOKUP(AF150,TPCalibEq300!$AZ$2:$BB$55,3,)))</f>
        <v>0</v>
      </c>
      <c r="AS150" s="10" t="b">
        <f>IF(AND(I150="TP",S150&lt;=500),VLOOKUP(AF150,TPCalibEq500!$AZ$2:$BB$56,3,),IF(AND(I150="TDP",S150&lt;=500),VLOOKUP(AF150,TPCalibEq500!$AZ$2:$BB$56,3,)))</f>
        <v>0</v>
      </c>
      <c r="AT150" s="10" t="b">
        <f>IF(AND(I150="TN",S150&lt;=2800),VLOOKUP(AF150,TNCalibEq2500!$AZ$2:$BB$56,3,),IF(AND(I150="TDN",S150&lt;=2800),VLOOKUP(AF150,TNCalibEq2500!$AZ$2:$BB$56,3,)))</f>
        <v>0</v>
      </c>
      <c r="AU150" s="10" t="b">
        <f>IF(I150="TP",VLOOKUP(AF150,TPCalibEqFull!$AZ$2:$BB$56,3),IF(I150="TDP",VLOOKUP(AF150,TPCalibEqFull!$AZ$2:$BB$56,3),IF(I150="TDN",VLOOKUP(AF150,TNCalibEqFull!$AZ$1:$BB$56,3),IF(I150="TN",VLOOKUP(AF150,TNCalibEqFull!$AZ$1:$BB$56,3),FALSE))))</f>
        <v>0</v>
      </c>
      <c r="AV150" s="10" t="str">
        <f t="shared" si="18"/>
        <v>1228 08:42:00-HST-0-FIL-1-SW-UKN</v>
      </c>
    </row>
    <row r="151" spans="1:48" s="10" customFormat="1" x14ac:dyDescent="0.55000000000000004">
      <c r="A151" s="32">
        <v>44924</v>
      </c>
      <c r="B151" s="33">
        <v>0.21180555555555555</v>
      </c>
      <c r="C151" s="10" t="s">
        <v>279</v>
      </c>
      <c r="D151" s="10">
        <v>0</v>
      </c>
      <c r="E151" s="10" t="s">
        <v>911</v>
      </c>
      <c r="F151" s="10">
        <v>1</v>
      </c>
      <c r="G151" s="10" t="s">
        <v>231</v>
      </c>
      <c r="H151" s="10" t="s">
        <v>322</v>
      </c>
      <c r="I151" s="10" t="s">
        <v>167</v>
      </c>
      <c r="J151" s="10">
        <v>43</v>
      </c>
      <c r="K151" s="12">
        <v>44930</v>
      </c>
      <c r="L151" s="33">
        <v>0.49792824074074077</v>
      </c>
      <c r="M151" s="10">
        <v>1</v>
      </c>
      <c r="N151" s="10" t="s">
        <v>211</v>
      </c>
      <c r="O151" s="10">
        <v>1</v>
      </c>
      <c r="P151" s="10">
        <v>9.74E-2</v>
      </c>
      <c r="Q151" s="10">
        <v>177</v>
      </c>
      <c r="R151" s="10" t="s">
        <v>913</v>
      </c>
      <c r="S151" s="34">
        <f t="shared" si="14"/>
        <v>177</v>
      </c>
      <c r="T151" s="10" t="s">
        <v>938</v>
      </c>
      <c r="U151" s="34" t="str">
        <f t="shared" si="15"/>
        <v/>
      </c>
      <c r="V151" s="31" t="str">
        <f>IF(H151="CHK",VLOOKUP(I151,QCCHK,3,),IF(H151="GUP",VLOOKUP(E151,QCGUP,2,),IF(AND(H151="ATP",OR(I151="TN",I151="TDN",I151="TNO2-3",I151="NO2-3")),VLOOKUP(E151,QCREC_N,2,),IF(AND(H151="NIC",OR(I151="TN",I151="TDN",I151="TNO2-3",I151="NO2-3")),VLOOKUP(E151,QCNIC_N,2,),IF(AND(H151="UREA",OR(I151="TN",I151="TDN",I151="TNO2-3",I151="NO2-3")),VLOOKUP(E151,QCUREA_N,2,),IF(H151="PER",VLOOKUP(I151,QCPER,MATCH(E151,QCACTUAL!$J$25:$AA$25,0),),IF(H151="SPK",VLOOKUP(I151,QCSPK,3,),IF(AND(H151="ATP",OR(I151="TP",I151="TDP")),VLOOKUP(E151,QCATP_P,2,),""))))))))</f>
        <v/>
      </c>
      <c r="W151" s="31" t="str">
        <f t="shared" si="16"/>
        <v>TRUE</v>
      </c>
      <c r="X151" s="31" t="str">
        <f t="shared" si="17"/>
        <v/>
      </c>
      <c r="Y151" s="10" t="s">
        <v>949</v>
      </c>
      <c r="Z151" s="10" t="s">
        <v>910</v>
      </c>
      <c r="AL151" s="10" t="str">
        <f t="shared" si="19"/>
        <v>FALSE</v>
      </c>
      <c r="AM151" s="10" t="str">
        <f t="shared" si="19"/>
        <v>FALSE</v>
      </c>
      <c r="AN151" s="10" t="str">
        <f t="shared" si="19"/>
        <v>FALSE</v>
      </c>
      <c r="AO151" s="10" t="str">
        <f t="shared" si="20"/>
        <v>FALSE</v>
      </c>
      <c r="AP151" s="10" t="str">
        <f t="shared" si="20"/>
        <v>FALSE</v>
      </c>
      <c r="AQ151" s="10" t="b">
        <f>IF(AND(I151="TP",S151&lt;=150),VLOOKUP(AF151,TPCalibEq150!$AZ$2:$BB$55,3,),IF(AND(I151="TDP",S151&lt;=150),VLOOKUP(AF151,TPCalibEq150!$AZ$2:$BB$55,3,)))</f>
        <v>0</v>
      </c>
      <c r="AR151" s="10" t="b">
        <f>IF(AND(I151="TP",S151&lt;=300),VLOOKUP(AF151,TPCalibEq300!$AZ$2:$BB$55,3,),IF(AND(I151="TDP",S151&lt;=300),VLOOKUP(AF151,TPCalibEq300!$AZ$2:$BB$55,3,)))</f>
        <v>0</v>
      </c>
      <c r="AS151" s="10" t="b">
        <f>IF(AND(I151="TP",S151&lt;=500),VLOOKUP(AF151,TPCalibEq500!$AZ$2:$BB$56,3,),IF(AND(I151="TDP",S151&lt;=500),VLOOKUP(AF151,TPCalibEq500!$AZ$2:$BB$56,3,)))</f>
        <v>0</v>
      </c>
      <c r="AT151" s="10" t="b">
        <f>IF(AND(I151="TN",S151&lt;=2800),VLOOKUP(AF151,TNCalibEq2500!$AZ$2:$BB$56,3,),IF(AND(I151="TDN",S151&lt;=2800),VLOOKUP(AF151,TNCalibEq2500!$AZ$2:$BB$56,3,)))</f>
        <v>0</v>
      </c>
      <c r="AU151" s="10" t="b">
        <f>IF(I151="TP",VLOOKUP(AF151,TPCalibEqFull!$AZ$2:$BB$56,3),IF(I151="TDP",VLOOKUP(AF151,TPCalibEqFull!$AZ$2:$BB$56,3),IF(I151="TDN",VLOOKUP(AF151,TNCalibEqFull!$AZ$1:$BB$56,3),IF(I151="TN",VLOOKUP(AF151,TNCalibEqFull!$AZ$1:$BB$56,3),FALSE))))</f>
        <v>0</v>
      </c>
      <c r="AV151" s="10" t="str">
        <f t="shared" si="18"/>
        <v>1229 05:05:00-EFK-0-FIL-1-SW-UKN</v>
      </c>
    </row>
    <row r="152" spans="1:48" s="10" customFormat="1" x14ac:dyDescent="0.55000000000000004">
      <c r="A152" s="32">
        <v>44924</v>
      </c>
      <c r="B152" s="33">
        <v>0.22013888888888888</v>
      </c>
      <c r="C152" s="10" t="s">
        <v>333</v>
      </c>
      <c r="D152" s="10">
        <v>0</v>
      </c>
      <c r="E152" s="10" t="s">
        <v>911</v>
      </c>
      <c r="F152" s="10">
        <v>1</v>
      </c>
      <c r="G152" s="10" t="s">
        <v>231</v>
      </c>
      <c r="H152" s="10" t="s">
        <v>322</v>
      </c>
      <c r="I152" s="10" t="s">
        <v>167</v>
      </c>
      <c r="J152" s="10">
        <v>44</v>
      </c>
      <c r="K152" s="12">
        <v>44930</v>
      </c>
      <c r="L152" s="33">
        <v>0.49873842592592593</v>
      </c>
      <c r="M152" s="10">
        <v>1</v>
      </c>
      <c r="N152" s="10" t="s">
        <v>211</v>
      </c>
      <c r="O152" s="10">
        <v>0.245</v>
      </c>
      <c r="P152" s="10">
        <v>2.4E-2</v>
      </c>
      <c r="Q152" s="10">
        <v>43.3</v>
      </c>
      <c r="R152" s="10" t="s">
        <v>913</v>
      </c>
      <c r="S152" s="34">
        <f t="shared" si="14"/>
        <v>43.3</v>
      </c>
      <c r="T152" s="10" t="s">
        <v>938</v>
      </c>
      <c r="U152" s="34" t="str">
        <f t="shared" si="15"/>
        <v/>
      </c>
      <c r="V152" s="31" t="str">
        <f>IF(H152="CHK",VLOOKUP(I152,QCCHK,3,),IF(H152="GUP",VLOOKUP(E152,QCGUP,2,),IF(AND(H152="ATP",OR(I152="TN",I152="TDN",I152="TNO2-3",I152="NO2-3")),VLOOKUP(E152,QCREC_N,2,),IF(AND(H152="NIC",OR(I152="TN",I152="TDN",I152="TNO2-3",I152="NO2-3")),VLOOKUP(E152,QCNIC_N,2,),IF(AND(H152="UREA",OR(I152="TN",I152="TDN",I152="TNO2-3",I152="NO2-3")),VLOOKUP(E152,QCUREA_N,2,),IF(H152="PER",VLOOKUP(I152,QCPER,MATCH(E152,QCACTUAL!$J$25:$AA$25,0),),IF(H152="SPK",VLOOKUP(I152,QCSPK,3,),IF(AND(H152="ATP",OR(I152="TP",I152="TDP")),VLOOKUP(E152,QCATP_P,2,),""))))))))</f>
        <v/>
      </c>
      <c r="W152" s="31" t="str">
        <f t="shared" si="16"/>
        <v>TRUE</v>
      </c>
      <c r="X152" s="31" t="str">
        <f t="shared" si="17"/>
        <v/>
      </c>
      <c r="Y152" s="10" t="s">
        <v>949</v>
      </c>
      <c r="Z152" s="10" t="s">
        <v>910</v>
      </c>
      <c r="AL152" s="10" t="str">
        <f t="shared" si="19"/>
        <v>FALSE</v>
      </c>
      <c r="AM152" s="10" t="str">
        <f t="shared" si="19"/>
        <v>FALSE</v>
      </c>
      <c r="AN152" s="10" t="str">
        <f t="shared" si="19"/>
        <v>FALSE</v>
      </c>
      <c r="AO152" s="10" t="str">
        <f t="shared" si="20"/>
        <v>FALSE</v>
      </c>
      <c r="AP152" s="10" t="str">
        <f t="shared" si="20"/>
        <v>FALSE</v>
      </c>
      <c r="AQ152" s="10" t="b">
        <f>IF(AND(I152="TP",S152&lt;=150),VLOOKUP(AF152,TPCalibEq150!$AZ$2:$BB$55,3,),IF(AND(I152="TDP",S152&lt;=150),VLOOKUP(AF152,TPCalibEq150!$AZ$2:$BB$55,3,)))</f>
        <v>0</v>
      </c>
      <c r="AR152" s="10" t="b">
        <f>IF(AND(I152="TP",S152&lt;=300),VLOOKUP(AF152,TPCalibEq300!$AZ$2:$BB$55,3,),IF(AND(I152="TDP",S152&lt;=300),VLOOKUP(AF152,TPCalibEq300!$AZ$2:$BB$55,3,)))</f>
        <v>0</v>
      </c>
      <c r="AS152" s="10" t="b">
        <f>IF(AND(I152="TP",S152&lt;=500),VLOOKUP(AF152,TPCalibEq500!$AZ$2:$BB$56,3,),IF(AND(I152="TDP",S152&lt;=500),VLOOKUP(AF152,TPCalibEq500!$AZ$2:$BB$56,3,)))</f>
        <v>0</v>
      </c>
      <c r="AT152" s="10" t="b">
        <f>IF(AND(I152="TN",S152&lt;=2800),VLOOKUP(AF152,TNCalibEq2500!$AZ$2:$BB$56,3,),IF(AND(I152="TDN",S152&lt;=2800),VLOOKUP(AF152,TNCalibEq2500!$AZ$2:$BB$56,3,)))</f>
        <v>0</v>
      </c>
      <c r="AU152" s="10" t="b">
        <f>IF(I152="TP",VLOOKUP(AF152,TPCalibEqFull!$AZ$2:$BB$56,3),IF(I152="TDP",VLOOKUP(AF152,TPCalibEqFull!$AZ$2:$BB$56,3),IF(I152="TDN",VLOOKUP(AF152,TNCalibEqFull!$AZ$1:$BB$56,3),IF(I152="TN",VLOOKUP(AF152,TNCalibEqFull!$AZ$1:$BB$56,3),FALSE))))</f>
        <v>0</v>
      </c>
      <c r="AV152" s="10" t="str">
        <f t="shared" si="18"/>
        <v>1229 05:17:00-HST-0-FIL-1-SW-UKN</v>
      </c>
    </row>
    <row r="153" spans="1:48" s="10" customFormat="1" x14ac:dyDescent="0.55000000000000004">
      <c r="A153" s="32">
        <v>44924</v>
      </c>
      <c r="B153" s="33">
        <v>0.22013888888888888</v>
      </c>
      <c r="C153" s="10" t="s">
        <v>333</v>
      </c>
      <c r="D153" s="10">
        <v>0</v>
      </c>
      <c r="E153" s="10" t="s">
        <v>911</v>
      </c>
      <c r="F153" s="10">
        <v>1</v>
      </c>
      <c r="G153" s="10" t="s">
        <v>231</v>
      </c>
      <c r="H153" s="10" t="s">
        <v>233</v>
      </c>
      <c r="I153" s="10" t="s">
        <v>167</v>
      </c>
      <c r="J153" s="10">
        <v>44</v>
      </c>
      <c r="K153" s="12">
        <v>44930</v>
      </c>
      <c r="L153" s="33">
        <v>0.49953703703703706</v>
      </c>
      <c r="M153" s="10">
        <v>1</v>
      </c>
      <c r="N153" s="10" t="s">
        <v>211</v>
      </c>
      <c r="O153" s="10">
        <v>0.26900000000000002</v>
      </c>
      <c r="P153" s="10">
        <v>2.3599999999999999E-2</v>
      </c>
      <c r="Q153" s="10">
        <v>47.6</v>
      </c>
      <c r="R153" s="10" t="s">
        <v>913</v>
      </c>
      <c r="S153" s="34">
        <f t="shared" si="14"/>
        <v>47.6</v>
      </c>
      <c r="T153" s="10" t="s">
        <v>938</v>
      </c>
      <c r="U153" s="34">
        <f t="shared" si="15"/>
        <v>9.4609460946094703</v>
      </c>
      <c r="V153" s="31" t="str">
        <f>IF(H153="CHK",VLOOKUP(I153,QCCHK,3,),IF(H153="GUP",VLOOKUP(E153,QCGUP,2,),IF(AND(H153="ATP",OR(I153="TN",I153="TDN",I153="TNO2-3",I153="NO2-3")),VLOOKUP(E153,QCREC_N,2,),IF(AND(H153="NIC",OR(I153="TN",I153="TDN",I153="TNO2-3",I153="NO2-3")),VLOOKUP(E153,QCNIC_N,2,),IF(AND(H153="UREA",OR(I153="TN",I153="TDN",I153="TNO2-3",I153="NO2-3")),VLOOKUP(E153,QCUREA_N,2,),IF(H153="PER",VLOOKUP(I153,QCPER,MATCH(E153,QCACTUAL!$J$25:$AA$25,0),),IF(H153="SPK",VLOOKUP(I153,QCSPK,3,),IF(AND(H153="ATP",OR(I153="TP",I153="TDP")),VLOOKUP(E153,QCATP_P,2,),""))))))))</f>
        <v/>
      </c>
      <c r="W153" s="31" t="str">
        <f t="shared" si="16"/>
        <v>TRUE</v>
      </c>
      <c r="X153" s="31" t="str">
        <f t="shared" si="17"/>
        <v>((ABS(rep1-rep2))/((rep1+rep2)/2)*100</v>
      </c>
      <c r="Y153" s="10" t="s">
        <v>949</v>
      </c>
      <c r="Z153" s="10" t="s">
        <v>910</v>
      </c>
      <c r="AL153" s="10" t="str">
        <f t="shared" si="19"/>
        <v>FALSE</v>
      </c>
      <c r="AM153" s="10" t="str">
        <f t="shared" si="19"/>
        <v>FALSE</v>
      </c>
      <c r="AN153" s="10" t="str">
        <f t="shared" si="19"/>
        <v>FALSE</v>
      </c>
      <c r="AO153" s="10" t="str">
        <f t="shared" si="20"/>
        <v>FALSE</v>
      </c>
      <c r="AP153" s="10" t="str">
        <f t="shared" si="20"/>
        <v>FALSE</v>
      </c>
      <c r="AQ153" s="10" t="b">
        <f>IF(AND(I153="TP",S153&lt;=150),VLOOKUP(AF153,TPCalibEq150!$AZ$2:$BB$55,3,),IF(AND(I153="TDP",S153&lt;=150),VLOOKUP(AF153,TPCalibEq150!$AZ$2:$BB$55,3,)))</f>
        <v>0</v>
      </c>
      <c r="AR153" s="10" t="b">
        <f>IF(AND(I153="TP",S153&lt;=300),VLOOKUP(AF153,TPCalibEq300!$AZ$2:$BB$55,3,),IF(AND(I153="TDP",S153&lt;=300),VLOOKUP(AF153,TPCalibEq300!$AZ$2:$BB$55,3,)))</f>
        <v>0</v>
      </c>
      <c r="AS153" s="10" t="b">
        <f>IF(AND(I153="TP",S153&lt;=500),VLOOKUP(AF153,TPCalibEq500!$AZ$2:$BB$56,3,),IF(AND(I153="TDP",S153&lt;=500),VLOOKUP(AF153,TPCalibEq500!$AZ$2:$BB$56,3,)))</f>
        <v>0</v>
      </c>
      <c r="AT153" s="10" t="b">
        <f>IF(AND(I153="TN",S153&lt;=2800),VLOOKUP(AF153,TNCalibEq2500!$AZ$2:$BB$56,3,),IF(AND(I153="TDN",S153&lt;=2800),VLOOKUP(AF153,TNCalibEq2500!$AZ$2:$BB$56,3,)))</f>
        <v>0</v>
      </c>
      <c r="AU153" s="10" t="b">
        <f>IF(I153="TP",VLOOKUP(AF153,TPCalibEqFull!$AZ$2:$BB$56,3),IF(I153="TDP",VLOOKUP(AF153,TPCalibEqFull!$AZ$2:$BB$56,3),IF(I153="TDN",VLOOKUP(AF153,TNCalibEqFull!$AZ$1:$BB$56,3),IF(I153="TN",VLOOKUP(AF153,TNCalibEqFull!$AZ$1:$BB$56,3),FALSE))))</f>
        <v>0</v>
      </c>
      <c r="AV153" s="10" t="str">
        <f t="shared" si="18"/>
        <v>1229 05:17:00-HST-0-FIL-1-SW-DUP</v>
      </c>
    </row>
    <row r="154" spans="1:48" s="10" customFormat="1" x14ac:dyDescent="0.55000000000000004">
      <c r="A154" s="32">
        <v>44924</v>
      </c>
      <c r="B154" s="33">
        <v>0.22013888888888888</v>
      </c>
      <c r="C154" s="10" t="s">
        <v>912</v>
      </c>
      <c r="D154" s="10">
        <v>0</v>
      </c>
      <c r="E154" s="10" t="s">
        <v>911</v>
      </c>
      <c r="F154" s="10">
        <v>1</v>
      </c>
      <c r="G154" s="10" t="s">
        <v>231</v>
      </c>
      <c r="H154" s="10" t="s">
        <v>314</v>
      </c>
      <c r="I154" s="10" t="s">
        <v>167</v>
      </c>
      <c r="J154" s="10">
        <v>52</v>
      </c>
      <c r="K154" s="12">
        <v>44930</v>
      </c>
      <c r="L154" s="33">
        <v>0.50035879629629632</v>
      </c>
      <c r="M154" s="10">
        <v>1</v>
      </c>
      <c r="N154" s="10" t="s">
        <v>211</v>
      </c>
      <c r="O154" s="10">
        <v>1.17</v>
      </c>
      <c r="P154" s="10">
        <v>0.113</v>
      </c>
      <c r="Q154" s="10">
        <v>207</v>
      </c>
      <c r="R154" s="10" t="s">
        <v>913</v>
      </c>
      <c r="S154" s="34">
        <f t="shared" si="14"/>
        <v>207</v>
      </c>
      <c r="T154" s="10" t="s">
        <v>938</v>
      </c>
      <c r="U154" s="34">
        <f t="shared" si="15"/>
        <v>102.01599999999999</v>
      </c>
      <c r="V154" s="31">
        <f>IF(H154="CHK",VLOOKUP(I154,QCCHK,3,),IF(H154="GUP",VLOOKUP(E154,QCGUP,2,),IF(AND(H154="ATP",OR(I154="TN",I154="TDN",I154="TNO2-3",I154="NO2-3")),VLOOKUP(E154,QCREC_N,2,),IF(AND(H154="NIC",OR(I154="TN",I154="TDN",I154="TNO2-3",I154="NO2-3")),VLOOKUP(E154,QCNIC_N,2,),IF(AND(H154="UREA",OR(I154="TN",I154="TDN",I154="TNO2-3",I154="NO2-3")),VLOOKUP(E154,QCUREA_N,2,),IF(H154="PER",VLOOKUP(I154,QCPER,MATCH(E154,QCACTUAL!$J$25:$AA$25,0),),IF(H154="SPK",VLOOKUP(I154,QCSPK,3,),IF(AND(H154="ATP",OR(I154="TP",I154="TDP")),VLOOKUP(E154,QCATP_P,2,),""))))))))</f>
        <v>156.25</v>
      </c>
      <c r="W154" s="31" t="str">
        <f t="shared" si="16"/>
        <v>TRUE</v>
      </c>
      <c r="X154" s="31" t="str">
        <f t="shared" si="17"/>
        <v>([spikedunkn]-[unkn])/[spike]*100</v>
      </c>
      <c r="Y154" s="10" t="s">
        <v>949</v>
      </c>
      <c r="Z154" s="10" t="s">
        <v>910</v>
      </c>
      <c r="AL154" s="10" t="str">
        <f t="shared" si="19"/>
        <v>FALSE</v>
      </c>
      <c r="AM154" s="10" t="str">
        <f t="shared" si="19"/>
        <v>FALSE</v>
      </c>
      <c r="AN154" s="10" t="str">
        <f t="shared" si="19"/>
        <v>FALSE</v>
      </c>
      <c r="AO154" s="10" t="str">
        <f t="shared" si="20"/>
        <v>FALSE</v>
      </c>
      <c r="AP154" s="10" t="str">
        <f t="shared" si="20"/>
        <v>FALSE</v>
      </c>
      <c r="AQ154" s="10" t="b">
        <f>IF(AND(I154="TP",S154&lt;=150),VLOOKUP(AF154,TPCalibEq150!$AZ$2:$BB$55,3,),IF(AND(I154="TDP",S154&lt;=150),VLOOKUP(AF154,TPCalibEq150!$AZ$2:$BB$55,3,)))</f>
        <v>0</v>
      </c>
      <c r="AR154" s="10" t="b">
        <f>IF(AND(I154="TP",S154&lt;=300),VLOOKUP(AF154,TPCalibEq300!$AZ$2:$BB$55,3,),IF(AND(I154="TDP",S154&lt;=300),VLOOKUP(AF154,TPCalibEq300!$AZ$2:$BB$55,3,)))</f>
        <v>0</v>
      </c>
      <c r="AS154" s="10" t="b">
        <f>IF(AND(I154="TP",S154&lt;=500),VLOOKUP(AF154,TPCalibEq500!$AZ$2:$BB$56,3,),IF(AND(I154="TDP",S154&lt;=500),VLOOKUP(AF154,TPCalibEq500!$AZ$2:$BB$56,3,)))</f>
        <v>0</v>
      </c>
      <c r="AT154" s="10" t="b">
        <f>IF(AND(I154="TN",S154&lt;=2800),VLOOKUP(AF154,TNCalibEq2500!$AZ$2:$BB$56,3,),IF(AND(I154="TDN",S154&lt;=2800),VLOOKUP(AF154,TNCalibEq2500!$AZ$2:$BB$56,3,)))</f>
        <v>0</v>
      </c>
      <c r="AU154" s="10" t="b">
        <f>IF(I154="TP",VLOOKUP(AF154,TPCalibEqFull!$AZ$2:$BB$56,3),IF(I154="TDP",VLOOKUP(AF154,TPCalibEqFull!$AZ$2:$BB$56,3),IF(I154="TDN",VLOOKUP(AF154,TNCalibEqFull!$AZ$1:$BB$56,3),IF(I154="TN",VLOOKUP(AF154,TNCalibEqFull!$AZ$1:$BB$56,3),FALSE))))</f>
        <v>0</v>
      </c>
      <c r="AV154" s="10" t="str">
        <f t="shared" si="18"/>
        <v>1229 05:17:00-HST -0-FIL-1-SW-SPK</v>
      </c>
    </row>
    <row r="155" spans="1:48" s="10" customFormat="1" x14ac:dyDescent="0.55000000000000004">
      <c r="A155" s="32">
        <v>44930</v>
      </c>
      <c r="B155" s="33">
        <v>0.375</v>
      </c>
      <c r="C155" s="10" t="s">
        <v>70</v>
      </c>
      <c r="D155" s="10" t="s">
        <v>71</v>
      </c>
      <c r="E155" s="10" t="s">
        <v>901</v>
      </c>
      <c r="F155" s="10">
        <v>1</v>
      </c>
      <c r="G155" s="10" t="s">
        <v>73</v>
      </c>
      <c r="H155" s="10" t="s">
        <v>207</v>
      </c>
      <c r="I155" s="10" t="s">
        <v>285</v>
      </c>
      <c r="J155" s="10">
        <v>200</v>
      </c>
      <c r="K155" s="12">
        <v>44930</v>
      </c>
      <c r="L155" s="33">
        <v>0.50118055555555563</v>
      </c>
      <c r="M155" s="10">
        <v>1</v>
      </c>
      <c r="N155" s="10" t="s">
        <v>211</v>
      </c>
      <c r="O155" s="10">
        <v>0.42899999999999999</v>
      </c>
      <c r="P155" s="10">
        <v>4.1399999999999999E-2</v>
      </c>
      <c r="Q155" s="10">
        <v>75.8</v>
      </c>
      <c r="R155" s="10" t="s">
        <v>913</v>
      </c>
      <c r="S155" s="34">
        <f t="shared" si="14"/>
        <v>75.8</v>
      </c>
      <c r="T155" s="10" t="s">
        <v>938</v>
      </c>
      <c r="U155" s="34">
        <f t="shared" si="15"/>
        <v>101.06666666666666</v>
      </c>
      <c r="V155" s="31">
        <f>IF(H155="CHK",VLOOKUP(I155,QCCHK,3,),IF(H155="GUP",VLOOKUP(E155,QCGUP,2,),IF(AND(H155="ATP",OR(I155="TN",I155="TDN",I155="TNO2-3",I155="NO2-3")),VLOOKUP(E155,QCREC_N,2,),IF(AND(H155="NIC",OR(I155="TN",I155="TDN",I155="TNO2-3",I155="NO2-3")),VLOOKUP(E155,QCNIC_N,2,),IF(AND(H155="UREA",OR(I155="TN",I155="TDN",I155="TNO2-3",I155="NO2-3")),VLOOKUP(E155,QCUREA_N,2,),IF(H155="PER",VLOOKUP(I155,QCPER,MATCH(E155,QCACTUAL!$J$25:$AA$25,0),),IF(H155="SPK",VLOOKUP(I155,QCSPK,3,),IF(AND(H155="ATP",OR(I155="TP",I155="TDP")),VLOOKUP(E155,QCATP_P,2,),""))))))))</f>
        <v>75</v>
      </c>
      <c r="W155" s="31" t="str">
        <f t="shared" si="16"/>
        <v>TRUE</v>
      </c>
      <c r="X155" s="31" t="str">
        <f t="shared" si="17"/>
        <v>[chk]/[actual]*100</v>
      </c>
      <c r="Y155" s="10" t="s">
        <v>949</v>
      </c>
      <c r="AL155" s="10" t="str">
        <f t="shared" si="19"/>
        <v>FALSE</v>
      </c>
      <c r="AM155" s="10" t="str">
        <f t="shared" si="19"/>
        <v>FALSE</v>
      </c>
      <c r="AN155" s="10" t="str">
        <f t="shared" si="19"/>
        <v>FALSE</v>
      </c>
      <c r="AO155" s="10" t="str">
        <f t="shared" si="20"/>
        <v>FALSE</v>
      </c>
      <c r="AP155" s="10" t="str">
        <f t="shared" si="20"/>
        <v>FALSE</v>
      </c>
      <c r="AQ155" s="10" t="b">
        <f>IF(AND(I155="TP",S155&lt;=150),VLOOKUP(AF155,TPCalibEq150!$AZ$2:$BB$55,3,),IF(AND(I155="TDP",S155&lt;=150),VLOOKUP(AF155,TPCalibEq150!$AZ$2:$BB$55,3,)))</f>
        <v>0</v>
      </c>
      <c r="AR155" s="10" t="b">
        <f>IF(AND(I155="TP",S155&lt;=300),VLOOKUP(AF155,TPCalibEq300!$AZ$2:$BB$55,3,),IF(AND(I155="TDP",S155&lt;=300),VLOOKUP(AF155,TPCalibEq300!$AZ$2:$BB$55,3,)))</f>
        <v>0</v>
      </c>
      <c r="AS155" s="10" t="b">
        <f>IF(AND(I155="TP",S155&lt;=500),VLOOKUP(AF155,TPCalibEq500!$AZ$2:$BB$56,3,),IF(AND(I155="TDP",S155&lt;=500),VLOOKUP(AF155,TPCalibEq500!$AZ$2:$BB$56,3,)))</f>
        <v>0</v>
      </c>
      <c r="AT155" s="10" t="b">
        <f>IF(AND(I155="TN",S155&lt;=2800),VLOOKUP(AF155,TNCalibEq2500!$AZ$2:$BB$56,3,),IF(AND(I155="TDN",S155&lt;=2800),VLOOKUP(AF155,TNCalibEq2500!$AZ$2:$BB$56,3,)))</f>
        <v>0</v>
      </c>
      <c r="AU155" s="10" t="b">
        <f>IF(I155="TP",VLOOKUP(AF155,TPCalibEqFull!$AZ$2:$BB$56,3),IF(I155="TDP",VLOOKUP(AF155,TPCalibEqFull!$AZ$2:$BB$56,3),IF(I155="TDN",VLOOKUP(AF155,TNCalibEqFull!$AZ$1:$BB$56,3),IF(I155="TN",VLOOKUP(AF155,TNCalibEqFull!$AZ$1:$BB$56,3),FALSE))))</f>
        <v>0</v>
      </c>
      <c r="AV155" s="10" t="str">
        <f t="shared" si="18"/>
        <v>0104 09:00:00-QAC-STD-D-1-DI-CHK</v>
      </c>
    </row>
    <row r="156" spans="1:48" s="10" customFormat="1" x14ac:dyDescent="0.55000000000000004">
      <c r="A156" s="32">
        <v>44925</v>
      </c>
      <c r="B156" s="33">
        <v>0.55555555555555558</v>
      </c>
      <c r="C156" s="10" t="s">
        <v>279</v>
      </c>
      <c r="D156" s="10">
        <v>0</v>
      </c>
      <c r="E156" s="10" t="s">
        <v>911</v>
      </c>
      <c r="F156" s="10">
        <v>1</v>
      </c>
      <c r="G156" s="10" t="s">
        <v>231</v>
      </c>
      <c r="H156" s="10" t="s">
        <v>322</v>
      </c>
      <c r="I156" s="10" t="s">
        <v>167</v>
      </c>
      <c r="J156" s="10">
        <v>45</v>
      </c>
      <c r="K156" s="12">
        <v>44930</v>
      </c>
      <c r="L156" s="33">
        <v>0.50199074074074079</v>
      </c>
      <c r="M156" s="10">
        <v>1</v>
      </c>
      <c r="N156" s="10" t="s">
        <v>211</v>
      </c>
      <c r="O156" s="10">
        <v>0.83599999999999997</v>
      </c>
      <c r="P156" s="10">
        <v>8.0299999999999996E-2</v>
      </c>
      <c r="Q156" s="10">
        <v>148</v>
      </c>
      <c r="R156" s="10" t="s">
        <v>913</v>
      </c>
      <c r="S156" s="34">
        <f t="shared" si="14"/>
        <v>148</v>
      </c>
      <c r="T156" s="10" t="s">
        <v>938</v>
      </c>
      <c r="U156" s="34" t="str">
        <f t="shared" si="15"/>
        <v/>
      </c>
      <c r="V156" s="31" t="str">
        <f>IF(H156="CHK",VLOOKUP(I156,QCCHK,3,),IF(H156="GUP",VLOOKUP(E156,QCGUP,2,),IF(AND(H156="ATP",OR(I156="TN",I156="TDN",I156="TNO2-3",I156="NO2-3")),VLOOKUP(E156,QCREC_N,2,),IF(AND(H156="NIC",OR(I156="TN",I156="TDN",I156="TNO2-3",I156="NO2-3")),VLOOKUP(E156,QCNIC_N,2,),IF(AND(H156="UREA",OR(I156="TN",I156="TDN",I156="TNO2-3",I156="NO2-3")),VLOOKUP(E156,QCUREA_N,2,),IF(H156="PER",VLOOKUP(I156,QCPER,MATCH(E156,QCACTUAL!$J$25:$AA$25,0),),IF(H156="SPK",VLOOKUP(I156,QCSPK,3,),IF(AND(H156="ATP",OR(I156="TP",I156="TDP")),VLOOKUP(E156,QCATP_P,2,),""))))))))</f>
        <v/>
      </c>
      <c r="W156" s="31" t="str">
        <f t="shared" si="16"/>
        <v>TRUE</v>
      </c>
      <c r="X156" s="31" t="str">
        <f t="shared" si="17"/>
        <v/>
      </c>
      <c r="Y156" s="10" t="s">
        <v>949</v>
      </c>
      <c r="Z156" s="10" t="s">
        <v>910</v>
      </c>
      <c r="AL156" s="10" t="str">
        <f t="shared" si="19"/>
        <v>FALSE</v>
      </c>
      <c r="AM156" s="10" t="str">
        <f t="shared" si="19"/>
        <v>FALSE</v>
      </c>
      <c r="AN156" s="10" t="str">
        <f t="shared" si="19"/>
        <v>FALSE</v>
      </c>
      <c r="AO156" s="10" t="str">
        <f t="shared" si="20"/>
        <v>FALSE</v>
      </c>
      <c r="AP156" s="10" t="str">
        <f t="shared" si="20"/>
        <v>FALSE</v>
      </c>
      <c r="AQ156" s="10" t="b">
        <f>IF(AND(I156="TP",S156&lt;=150),VLOOKUP(AF156,TPCalibEq150!$AZ$2:$BB$55,3,),IF(AND(I156="TDP",S156&lt;=150),VLOOKUP(AF156,TPCalibEq150!$AZ$2:$BB$55,3,)))</f>
        <v>0</v>
      </c>
      <c r="AR156" s="10" t="b">
        <f>IF(AND(I156="TP",S156&lt;=300),VLOOKUP(AF156,TPCalibEq300!$AZ$2:$BB$55,3,),IF(AND(I156="TDP",S156&lt;=300),VLOOKUP(AF156,TPCalibEq300!$AZ$2:$BB$55,3,)))</f>
        <v>0</v>
      </c>
      <c r="AS156" s="10" t="b">
        <f>IF(AND(I156="TP",S156&lt;=500),VLOOKUP(AF156,TPCalibEq500!$AZ$2:$BB$56,3,),IF(AND(I156="TDP",S156&lt;=500),VLOOKUP(AF156,TPCalibEq500!$AZ$2:$BB$56,3,)))</f>
        <v>0</v>
      </c>
      <c r="AT156" s="10" t="b">
        <f>IF(AND(I156="TN",S156&lt;=2800),VLOOKUP(AF156,TNCalibEq2500!$AZ$2:$BB$56,3,),IF(AND(I156="TDN",S156&lt;=2800),VLOOKUP(AF156,TNCalibEq2500!$AZ$2:$BB$56,3,)))</f>
        <v>0</v>
      </c>
      <c r="AU156" s="10" t="b">
        <f>IF(I156="TP",VLOOKUP(AF156,TPCalibEqFull!$AZ$2:$BB$56,3),IF(I156="TDP",VLOOKUP(AF156,TPCalibEqFull!$AZ$2:$BB$56,3),IF(I156="TDN",VLOOKUP(AF156,TNCalibEqFull!$AZ$1:$BB$56,3),IF(I156="TN",VLOOKUP(AF156,TNCalibEqFull!$AZ$1:$BB$56,3),FALSE))))</f>
        <v>0</v>
      </c>
      <c r="AV156" s="10" t="str">
        <f t="shared" si="18"/>
        <v>1230 13:20:00-EFK-0-FIL-1-SW-UKN</v>
      </c>
    </row>
    <row r="157" spans="1:48" s="10" customFormat="1" x14ac:dyDescent="0.55000000000000004">
      <c r="A157" s="32">
        <v>44925</v>
      </c>
      <c r="B157" s="33">
        <v>0.55902777777777779</v>
      </c>
      <c r="C157" s="10" t="s">
        <v>333</v>
      </c>
      <c r="D157" s="10">
        <v>0</v>
      </c>
      <c r="E157" s="10" t="s">
        <v>911</v>
      </c>
      <c r="F157" s="10">
        <v>1</v>
      </c>
      <c r="G157" s="10" t="s">
        <v>231</v>
      </c>
      <c r="H157" s="10" t="s">
        <v>322</v>
      </c>
      <c r="I157" s="10" t="s">
        <v>167</v>
      </c>
      <c r="J157" s="10">
        <v>46</v>
      </c>
      <c r="K157" s="12">
        <v>44930</v>
      </c>
      <c r="L157" s="33">
        <v>0.5028125</v>
      </c>
      <c r="M157" s="10">
        <v>1</v>
      </c>
      <c r="N157" s="10" t="s">
        <v>211</v>
      </c>
      <c r="O157" s="10">
        <v>0.35599999999999998</v>
      </c>
      <c r="P157" s="10">
        <v>3.3799999999999997E-2</v>
      </c>
      <c r="Q157" s="10">
        <v>62.9</v>
      </c>
      <c r="R157" s="10" t="s">
        <v>913</v>
      </c>
      <c r="S157" s="34">
        <f t="shared" si="14"/>
        <v>62.9</v>
      </c>
      <c r="T157" s="10" t="s">
        <v>938</v>
      </c>
      <c r="U157" s="34" t="str">
        <f t="shared" si="15"/>
        <v/>
      </c>
      <c r="V157" s="31" t="str">
        <f>IF(H157="CHK",VLOOKUP(I157,QCCHK,3,),IF(H157="GUP",VLOOKUP(E157,QCGUP,2,),IF(AND(H157="ATP",OR(I157="TN",I157="TDN",I157="TNO2-3",I157="NO2-3")),VLOOKUP(E157,QCREC_N,2,),IF(AND(H157="NIC",OR(I157="TN",I157="TDN",I157="TNO2-3",I157="NO2-3")),VLOOKUP(E157,QCNIC_N,2,),IF(AND(H157="UREA",OR(I157="TN",I157="TDN",I157="TNO2-3",I157="NO2-3")),VLOOKUP(E157,QCUREA_N,2,),IF(H157="PER",VLOOKUP(I157,QCPER,MATCH(E157,QCACTUAL!$J$25:$AA$25,0),),IF(H157="SPK",VLOOKUP(I157,QCSPK,3,),IF(AND(H157="ATP",OR(I157="TP",I157="TDP")),VLOOKUP(E157,QCATP_P,2,),""))))))))</f>
        <v/>
      </c>
      <c r="W157" s="31" t="str">
        <f t="shared" si="16"/>
        <v>TRUE</v>
      </c>
      <c r="X157" s="31" t="str">
        <f t="shared" si="17"/>
        <v/>
      </c>
      <c r="Y157" s="10" t="s">
        <v>949</v>
      </c>
      <c r="Z157" s="10" t="s">
        <v>910</v>
      </c>
      <c r="AL157" s="10" t="str">
        <f t="shared" si="19"/>
        <v>FALSE</v>
      </c>
      <c r="AM157" s="10" t="str">
        <f t="shared" si="19"/>
        <v>FALSE</v>
      </c>
      <c r="AN157" s="10" t="str">
        <f t="shared" si="19"/>
        <v>FALSE</v>
      </c>
      <c r="AO157" s="10" t="str">
        <f t="shared" si="20"/>
        <v>FALSE</v>
      </c>
      <c r="AP157" s="10" t="str">
        <f t="shared" si="20"/>
        <v>FALSE</v>
      </c>
      <c r="AQ157" s="10" t="b">
        <f>IF(AND(I157="TP",S157&lt;=150),VLOOKUP(AF157,TPCalibEq150!$AZ$2:$BB$55,3,),IF(AND(I157="TDP",S157&lt;=150),VLOOKUP(AF157,TPCalibEq150!$AZ$2:$BB$55,3,)))</f>
        <v>0</v>
      </c>
      <c r="AR157" s="10" t="b">
        <f>IF(AND(I157="TP",S157&lt;=300),VLOOKUP(AF157,TPCalibEq300!$AZ$2:$BB$55,3,),IF(AND(I157="TDP",S157&lt;=300),VLOOKUP(AF157,TPCalibEq300!$AZ$2:$BB$55,3,)))</f>
        <v>0</v>
      </c>
      <c r="AS157" s="10" t="b">
        <f>IF(AND(I157="TP",S157&lt;=500),VLOOKUP(AF157,TPCalibEq500!$AZ$2:$BB$56,3,),IF(AND(I157="TDP",S157&lt;=500),VLOOKUP(AF157,TPCalibEq500!$AZ$2:$BB$56,3,)))</f>
        <v>0</v>
      </c>
      <c r="AT157" s="10" t="b">
        <f>IF(AND(I157="TN",S157&lt;=2800),VLOOKUP(AF157,TNCalibEq2500!$AZ$2:$BB$56,3,),IF(AND(I157="TDN",S157&lt;=2800),VLOOKUP(AF157,TNCalibEq2500!$AZ$2:$BB$56,3,)))</f>
        <v>0</v>
      </c>
      <c r="AU157" s="10" t="b">
        <f>IF(I157="TP",VLOOKUP(AF157,TPCalibEqFull!$AZ$2:$BB$56,3),IF(I157="TDP",VLOOKUP(AF157,TPCalibEqFull!$AZ$2:$BB$56,3),IF(I157="TDN",VLOOKUP(AF157,TNCalibEqFull!$AZ$1:$BB$56,3),IF(I157="TN",VLOOKUP(AF157,TNCalibEqFull!$AZ$1:$BB$56,3),FALSE))))</f>
        <v>0</v>
      </c>
      <c r="AV157" s="10" t="str">
        <f t="shared" si="18"/>
        <v>1230 13:25:00-HST-0-FIL-1-SW-UKN</v>
      </c>
    </row>
    <row r="158" spans="1:48" s="10" customFormat="1" x14ac:dyDescent="0.55000000000000004">
      <c r="A158" s="32">
        <v>44929</v>
      </c>
      <c r="B158" s="33">
        <v>0.22222222222222221</v>
      </c>
      <c r="C158" s="10" t="s">
        <v>279</v>
      </c>
      <c r="D158" s="10">
        <v>0</v>
      </c>
      <c r="E158" s="10" t="s">
        <v>911</v>
      </c>
      <c r="F158" s="10">
        <v>1</v>
      </c>
      <c r="G158" s="10" t="s">
        <v>231</v>
      </c>
      <c r="H158" s="10" t="s">
        <v>322</v>
      </c>
      <c r="I158" s="10" t="s">
        <v>167</v>
      </c>
      <c r="J158" s="10">
        <v>47</v>
      </c>
      <c r="K158" s="12">
        <v>44930</v>
      </c>
      <c r="L158" s="33">
        <v>0.5036342592592592</v>
      </c>
      <c r="M158" s="10">
        <v>1</v>
      </c>
      <c r="N158" s="10" t="s">
        <v>211</v>
      </c>
      <c r="O158" s="10">
        <v>0.46200000000000002</v>
      </c>
      <c r="P158" s="10">
        <v>4.4200000000000003E-2</v>
      </c>
      <c r="Q158" s="10">
        <v>81.7</v>
      </c>
      <c r="R158" s="10" t="s">
        <v>913</v>
      </c>
      <c r="S158" s="34">
        <f t="shared" si="14"/>
        <v>81.7</v>
      </c>
      <c r="T158" s="10" t="s">
        <v>938</v>
      </c>
      <c r="U158" s="34" t="str">
        <f t="shared" si="15"/>
        <v/>
      </c>
      <c r="V158" s="31" t="str">
        <f>IF(H158="CHK",VLOOKUP(I158,QCCHK,3,),IF(H158="GUP",VLOOKUP(E158,QCGUP,2,),IF(AND(H158="ATP",OR(I158="TN",I158="TDN",I158="TNO2-3",I158="NO2-3")),VLOOKUP(E158,QCREC_N,2,),IF(AND(H158="NIC",OR(I158="TN",I158="TDN",I158="TNO2-3",I158="NO2-3")),VLOOKUP(E158,QCNIC_N,2,),IF(AND(H158="UREA",OR(I158="TN",I158="TDN",I158="TNO2-3",I158="NO2-3")),VLOOKUP(E158,QCUREA_N,2,),IF(H158="PER",VLOOKUP(I158,QCPER,MATCH(E158,QCACTUAL!$J$25:$AA$25,0),),IF(H158="SPK",VLOOKUP(I158,QCSPK,3,),IF(AND(H158="ATP",OR(I158="TP",I158="TDP")),VLOOKUP(E158,QCATP_P,2,),""))))))))</f>
        <v/>
      </c>
      <c r="W158" s="31" t="str">
        <f t="shared" si="16"/>
        <v>TRUE</v>
      </c>
      <c r="X158" s="31" t="str">
        <f t="shared" si="17"/>
        <v/>
      </c>
      <c r="Y158" s="10" t="s">
        <v>949</v>
      </c>
      <c r="AL158" s="10" t="str">
        <f t="shared" si="19"/>
        <v>FALSE</v>
      </c>
      <c r="AM158" s="10" t="str">
        <f t="shared" si="19"/>
        <v>FALSE</v>
      </c>
      <c r="AN158" s="10" t="str">
        <f t="shared" si="19"/>
        <v>FALSE</v>
      </c>
      <c r="AO158" s="10" t="str">
        <f t="shared" si="20"/>
        <v>FALSE</v>
      </c>
      <c r="AP158" s="10" t="str">
        <f t="shared" si="20"/>
        <v>FALSE</v>
      </c>
      <c r="AQ158" s="10" t="b">
        <f>IF(AND(I158="TP",S158&lt;=150),VLOOKUP(AF158,TPCalibEq150!$AZ$2:$BB$55,3,),IF(AND(I158="TDP",S158&lt;=150),VLOOKUP(AF158,TPCalibEq150!$AZ$2:$BB$55,3,)))</f>
        <v>0</v>
      </c>
      <c r="AR158" s="10" t="b">
        <f>IF(AND(I158="TP",S158&lt;=300),VLOOKUP(AF158,TPCalibEq300!$AZ$2:$BB$55,3,),IF(AND(I158="TDP",S158&lt;=300),VLOOKUP(AF158,TPCalibEq300!$AZ$2:$BB$55,3,)))</f>
        <v>0</v>
      </c>
      <c r="AS158" s="10" t="b">
        <f>IF(AND(I158="TP",S158&lt;=500),VLOOKUP(AF158,TPCalibEq500!$AZ$2:$BB$56,3,),IF(AND(I158="TDP",S158&lt;=500),VLOOKUP(AF158,TPCalibEq500!$AZ$2:$BB$56,3,)))</f>
        <v>0</v>
      </c>
      <c r="AT158" s="10" t="b">
        <f>IF(AND(I158="TN",S158&lt;=2800),VLOOKUP(AF158,TNCalibEq2500!$AZ$2:$BB$56,3,),IF(AND(I158="TDN",S158&lt;=2800),VLOOKUP(AF158,TNCalibEq2500!$AZ$2:$BB$56,3,)))</f>
        <v>0</v>
      </c>
      <c r="AU158" s="10" t="b">
        <f>IF(I158="TP",VLOOKUP(AF158,TPCalibEqFull!$AZ$2:$BB$56,3),IF(I158="TDP",VLOOKUP(AF158,TPCalibEqFull!$AZ$2:$BB$56,3),IF(I158="TDN",VLOOKUP(AF158,TNCalibEqFull!$AZ$1:$BB$56,3),IF(I158="TN",VLOOKUP(AF158,TNCalibEqFull!$AZ$1:$BB$56,3),FALSE))))</f>
        <v>0</v>
      </c>
      <c r="AV158" s="10" t="str">
        <f t="shared" si="18"/>
        <v>0103 05:20:00-EFK-0-FIL-1-SW-UKN</v>
      </c>
    </row>
    <row r="159" spans="1:48" s="10" customFormat="1" x14ac:dyDescent="0.55000000000000004">
      <c r="A159" s="32">
        <v>44929</v>
      </c>
      <c r="B159" s="33">
        <v>0.22569444444444445</v>
      </c>
      <c r="C159" s="10" t="s">
        <v>333</v>
      </c>
      <c r="D159" s="10">
        <v>0</v>
      </c>
      <c r="E159" s="10" t="s">
        <v>911</v>
      </c>
      <c r="F159" s="10">
        <v>1</v>
      </c>
      <c r="G159" s="10" t="s">
        <v>231</v>
      </c>
      <c r="H159" s="10" t="s">
        <v>322</v>
      </c>
      <c r="I159" s="10" t="s">
        <v>167</v>
      </c>
      <c r="J159" s="10">
        <v>48</v>
      </c>
      <c r="K159" s="12">
        <v>44930</v>
      </c>
      <c r="L159" s="33">
        <v>0.50446759259259266</v>
      </c>
      <c r="M159" s="10">
        <v>1</v>
      </c>
      <c r="N159" s="10" t="s">
        <v>211</v>
      </c>
      <c r="O159" s="10">
        <v>0.71599999999999997</v>
      </c>
      <c r="P159" s="10">
        <v>6.9099999999999995E-2</v>
      </c>
      <c r="Q159" s="10">
        <v>127</v>
      </c>
      <c r="R159" s="10" t="s">
        <v>913</v>
      </c>
      <c r="S159" s="34">
        <f t="shared" si="14"/>
        <v>127</v>
      </c>
      <c r="T159" s="10" t="s">
        <v>938</v>
      </c>
      <c r="U159" s="34" t="str">
        <f t="shared" si="15"/>
        <v/>
      </c>
      <c r="V159" s="31" t="str">
        <f>IF(H159="CHK",VLOOKUP(I159,QCCHK,3,),IF(H159="GUP",VLOOKUP(E159,QCGUP,2,),IF(AND(H159="ATP",OR(I159="TN",I159="TDN",I159="TNO2-3",I159="NO2-3")),VLOOKUP(E159,QCREC_N,2,),IF(AND(H159="NIC",OR(I159="TN",I159="TDN",I159="TNO2-3",I159="NO2-3")),VLOOKUP(E159,QCNIC_N,2,),IF(AND(H159="UREA",OR(I159="TN",I159="TDN",I159="TNO2-3",I159="NO2-3")),VLOOKUP(E159,QCUREA_N,2,),IF(H159="PER",VLOOKUP(I159,QCPER,MATCH(E159,QCACTUAL!$J$25:$AA$25,0),),IF(H159="SPK",VLOOKUP(I159,QCSPK,3,),IF(AND(H159="ATP",OR(I159="TP",I159="TDP")),VLOOKUP(E159,QCATP_P,2,),""))))))))</f>
        <v/>
      </c>
      <c r="W159" s="31" t="str">
        <f t="shared" si="16"/>
        <v>TRUE</v>
      </c>
      <c r="X159" s="31" t="str">
        <f t="shared" si="17"/>
        <v/>
      </c>
      <c r="Y159" s="10" t="s">
        <v>949</v>
      </c>
      <c r="AL159" s="10" t="str">
        <f t="shared" si="19"/>
        <v>FALSE</v>
      </c>
      <c r="AM159" s="10" t="str">
        <f t="shared" si="19"/>
        <v>FALSE</v>
      </c>
      <c r="AN159" s="10" t="str">
        <f t="shared" si="19"/>
        <v>FALSE</v>
      </c>
      <c r="AO159" s="10" t="str">
        <f t="shared" si="20"/>
        <v>FALSE</v>
      </c>
      <c r="AP159" s="10" t="str">
        <f t="shared" si="20"/>
        <v>FALSE</v>
      </c>
      <c r="AQ159" s="10" t="b">
        <f>IF(AND(I159="TP",S159&lt;=150),VLOOKUP(AF159,TPCalibEq150!$AZ$2:$BB$55,3,),IF(AND(I159="TDP",S159&lt;=150),VLOOKUP(AF159,TPCalibEq150!$AZ$2:$BB$55,3,)))</f>
        <v>0</v>
      </c>
      <c r="AR159" s="10" t="b">
        <f>IF(AND(I159="TP",S159&lt;=300),VLOOKUP(AF159,TPCalibEq300!$AZ$2:$BB$55,3,),IF(AND(I159="TDP",S159&lt;=300),VLOOKUP(AF159,TPCalibEq300!$AZ$2:$BB$55,3,)))</f>
        <v>0</v>
      </c>
      <c r="AS159" s="10" t="b">
        <f>IF(AND(I159="TP",S159&lt;=500),VLOOKUP(AF159,TPCalibEq500!$AZ$2:$BB$56,3,),IF(AND(I159="TDP",S159&lt;=500),VLOOKUP(AF159,TPCalibEq500!$AZ$2:$BB$56,3,)))</f>
        <v>0</v>
      </c>
      <c r="AT159" s="10" t="b">
        <f>IF(AND(I159="TN",S159&lt;=2800),VLOOKUP(AF159,TNCalibEq2500!$AZ$2:$BB$56,3,),IF(AND(I159="TDN",S159&lt;=2800),VLOOKUP(AF159,TNCalibEq2500!$AZ$2:$BB$56,3,)))</f>
        <v>0</v>
      </c>
      <c r="AU159" s="10" t="b">
        <f>IF(I159="TP",VLOOKUP(AF159,TPCalibEqFull!$AZ$2:$BB$56,3),IF(I159="TDP",VLOOKUP(AF159,TPCalibEqFull!$AZ$2:$BB$56,3),IF(I159="TDN",VLOOKUP(AF159,TNCalibEqFull!$AZ$1:$BB$56,3),IF(I159="TN",VLOOKUP(AF159,TNCalibEqFull!$AZ$1:$BB$56,3),FALSE))))</f>
        <v>0</v>
      </c>
      <c r="AV159" s="10" t="str">
        <f t="shared" si="18"/>
        <v>0103 05:25:00-HST-0-FIL-1-SW-UKN</v>
      </c>
    </row>
    <row r="160" spans="1:48" s="10" customFormat="1" x14ac:dyDescent="0.55000000000000004">
      <c r="A160" s="32">
        <v>44929</v>
      </c>
      <c r="B160" s="33">
        <v>0.22569444444444445</v>
      </c>
      <c r="C160" s="10" t="s">
        <v>333</v>
      </c>
      <c r="D160" s="10">
        <v>0</v>
      </c>
      <c r="E160" s="10" t="s">
        <v>911</v>
      </c>
      <c r="F160" s="10">
        <v>1</v>
      </c>
      <c r="G160" s="10" t="s">
        <v>231</v>
      </c>
      <c r="H160" s="10" t="s">
        <v>233</v>
      </c>
      <c r="I160" s="10" t="s">
        <v>167</v>
      </c>
      <c r="J160" s="10">
        <v>48</v>
      </c>
      <c r="K160" s="12">
        <v>44930</v>
      </c>
      <c r="L160" s="33">
        <v>0.50528935185185186</v>
      </c>
      <c r="M160" s="10">
        <v>1</v>
      </c>
      <c r="N160" s="10" t="s">
        <v>211</v>
      </c>
      <c r="O160" s="10">
        <v>0.71499999999999997</v>
      </c>
      <c r="P160" s="10">
        <v>6.88E-2</v>
      </c>
      <c r="Q160" s="10">
        <v>126</v>
      </c>
      <c r="R160" s="10" t="s">
        <v>913</v>
      </c>
      <c r="S160" s="34">
        <f t="shared" si="14"/>
        <v>126</v>
      </c>
      <c r="T160" s="10" t="s">
        <v>938</v>
      </c>
      <c r="U160" s="34">
        <f t="shared" si="15"/>
        <v>0.79051383399209485</v>
      </c>
      <c r="V160" s="31" t="str">
        <f>IF(H160="CHK",VLOOKUP(I160,QCCHK,3,),IF(H160="GUP",VLOOKUP(E160,QCGUP,2,),IF(AND(H160="ATP",OR(I160="TN",I160="TDN",I160="TNO2-3",I160="NO2-3")),VLOOKUP(E160,QCREC_N,2,),IF(AND(H160="NIC",OR(I160="TN",I160="TDN",I160="TNO2-3",I160="NO2-3")),VLOOKUP(E160,QCNIC_N,2,),IF(AND(H160="UREA",OR(I160="TN",I160="TDN",I160="TNO2-3",I160="NO2-3")),VLOOKUP(E160,QCUREA_N,2,),IF(H160="PER",VLOOKUP(I160,QCPER,MATCH(E160,QCACTUAL!$J$25:$AA$25,0),),IF(H160="SPK",VLOOKUP(I160,QCSPK,3,),IF(AND(H160="ATP",OR(I160="TP",I160="TDP")),VLOOKUP(E160,QCATP_P,2,),""))))))))</f>
        <v/>
      </c>
      <c r="W160" s="31" t="str">
        <f t="shared" si="16"/>
        <v>TRUE</v>
      </c>
      <c r="X160" s="31" t="str">
        <f t="shared" si="17"/>
        <v>((ABS(rep1-rep2))/((rep1+rep2)/2)*100</v>
      </c>
      <c r="Y160" s="10" t="s">
        <v>949</v>
      </c>
      <c r="AL160" s="10" t="str">
        <f t="shared" si="19"/>
        <v>FALSE</v>
      </c>
      <c r="AM160" s="10" t="str">
        <f t="shared" si="19"/>
        <v>FALSE</v>
      </c>
      <c r="AN160" s="10" t="str">
        <f t="shared" si="19"/>
        <v>FALSE</v>
      </c>
      <c r="AO160" s="10" t="str">
        <f t="shared" si="20"/>
        <v>FALSE</v>
      </c>
      <c r="AP160" s="10" t="str">
        <f t="shared" si="20"/>
        <v>FALSE</v>
      </c>
      <c r="AQ160" s="10" t="b">
        <f>IF(AND(I160="TP",S160&lt;=150),VLOOKUP(AF160,TPCalibEq150!$AZ$2:$BB$55,3,),IF(AND(I160="TDP",S160&lt;=150),VLOOKUP(AF160,TPCalibEq150!$AZ$2:$BB$55,3,)))</f>
        <v>0</v>
      </c>
      <c r="AR160" s="10" t="b">
        <f>IF(AND(I160="TP",S160&lt;=300),VLOOKUP(AF160,TPCalibEq300!$AZ$2:$BB$55,3,),IF(AND(I160="TDP",S160&lt;=300),VLOOKUP(AF160,TPCalibEq300!$AZ$2:$BB$55,3,)))</f>
        <v>0</v>
      </c>
      <c r="AS160" s="10" t="b">
        <f>IF(AND(I160="TP",S160&lt;=500),VLOOKUP(AF160,TPCalibEq500!$AZ$2:$BB$56,3,),IF(AND(I160="TDP",S160&lt;=500),VLOOKUP(AF160,TPCalibEq500!$AZ$2:$BB$56,3,)))</f>
        <v>0</v>
      </c>
      <c r="AT160" s="10" t="b">
        <f>IF(AND(I160="TN",S160&lt;=2800),VLOOKUP(AF160,TNCalibEq2500!$AZ$2:$BB$56,3,),IF(AND(I160="TDN",S160&lt;=2800),VLOOKUP(AF160,TNCalibEq2500!$AZ$2:$BB$56,3,)))</f>
        <v>0</v>
      </c>
      <c r="AU160" s="10" t="b">
        <f>IF(I160="TP",VLOOKUP(AF160,TPCalibEqFull!$AZ$2:$BB$56,3),IF(I160="TDP",VLOOKUP(AF160,TPCalibEqFull!$AZ$2:$BB$56,3),IF(I160="TDN",VLOOKUP(AF160,TNCalibEqFull!$AZ$1:$BB$56,3),IF(I160="TN",VLOOKUP(AF160,TNCalibEqFull!$AZ$1:$BB$56,3),FALSE))))</f>
        <v>0</v>
      </c>
      <c r="AV160" s="10" t="str">
        <f t="shared" si="18"/>
        <v>0103 05:25:00-HST-0-FIL-1-SW-DUP</v>
      </c>
    </row>
    <row r="161" spans="1:48" s="10" customFormat="1" x14ac:dyDescent="0.55000000000000004">
      <c r="A161" s="32">
        <v>44930</v>
      </c>
      <c r="B161" s="33">
        <v>0.375</v>
      </c>
      <c r="C161" s="10" t="s">
        <v>70</v>
      </c>
      <c r="D161" s="10" t="s">
        <v>71</v>
      </c>
      <c r="E161" s="10" t="s">
        <v>901</v>
      </c>
      <c r="F161" s="10">
        <v>1</v>
      </c>
      <c r="G161" s="10" t="s">
        <v>73</v>
      </c>
      <c r="H161" s="10" t="s">
        <v>207</v>
      </c>
      <c r="I161" s="10" t="s">
        <v>285</v>
      </c>
      <c r="J161" s="10">
        <v>200</v>
      </c>
      <c r="K161" s="12">
        <v>44930</v>
      </c>
      <c r="L161" s="33">
        <v>0.50611111111111107</v>
      </c>
      <c r="M161" s="10">
        <v>1</v>
      </c>
      <c r="N161" s="10" t="s">
        <v>211</v>
      </c>
      <c r="O161" s="10">
        <v>0.442</v>
      </c>
      <c r="P161" s="10">
        <v>4.2099999999999999E-2</v>
      </c>
      <c r="Q161" s="10">
        <v>78.099999999999994</v>
      </c>
      <c r="R161" s="10" t="s">
        <v>913</v>
      </c>
      <c r="S161" s="34">
        <f t="shared" si="14"/>
        <v>78.099999999999994</v>
      </c>
      <c r="T161" s="10" t="s">
        <v>938</v>
      </c>
      <c r="U161" s="34">
        <f t="shared" si="15"/>
        <v>104.13333333333333</v>
      </c>
      <c r="V161" s="31">
        <f>IF(H161="CHK",VLOOKUP(I161,QCCHK,3,),IF(H161="GUP",VLOOKUP(E161,QCGUP,2,),IF(AND(H161="ATP",OR(I161="TN",I161="TDN",I161="TNO2-3",I161="NO2-3")),VLOOKUP(E161,QCREC_N,2,),IF(AND(H161="NIC",OR(I161="TN",I161="TDN",I161="TNO2-3",I161="NO2-3")),VLOOKUP(E161,QCNIC_N,2,),IF(AND(H161="UREA",OR(I161="TN",I161="TDN",I161="TNO2-3",I161="NO2-3")),VLOOKUP(E161,QCUREA_N,2,),IF(H161="PER",VLOOKUP(I161,QCPER,MATCH(E161,QCACTUAL!$J$25:$AA$25,0),),IF(H161="SPK",VLOOKUP(I161,QCSPK,3,),IF(AND(H161="ATP",OR(I161="TP",I161="TDP")),VLOOKUP(E161,QCATP_P,2,),""))))))))</f>
        <v>75</v>
      </c>
      <c r="W161" s="31" t="str">
        <f t="shared" si="16"/>
        <v>TRUE</v>
      </c>
      <c r="X161" s="31" t="str">
        <f t="shared" si="17"/>
        <v>[chk]/[actual]*100</v>
      </c>
      <c r="Y161" s="10" t="s">
        <v>949</v>
      </c>
      <c r="AL161" s="10" t="str">
        <f t="shared" si="19"/>
        <v>FALSE</v>
      </c>
      <c r="AM161" s="10" t="str">
        <f t="shared" si="19"/>
        <v>FALSE</v>
      </c>
      <c r="AN161" s="10" t="str">
        <f t="shared" si="19"/>
        <v>FALSE</v>
      </c>
      <c r="AO161" s="10" t="str">
        <f t="shared" si="20"/>
        <v>FALSE</v>
      </c>
      <c r="AP161" s="10" t="str">
        <f t="shared" si="20"/>
        <v>FALSE</v>
      </c>
      <c r="AQ161" s="10" t="b">
        <f>IF(AND(I161="TP",S161&lt;=150),VLOOKUP(AF161,TPCalibEq150!$AZ$2:$BB$55,3,),IF(AND(I161="TDP",S161&lt;=150),VLOOKUP(AF161,TPCalibEq150!$AZ$2:$BB$55,3,)))</f>
        <v>0</v>
      </c>
      <c r="AR161" s="10" t="b">
        <f>IF(AND(I161="TP",S161&lt;=300),VLOOKUP(AF161,TPCalibEq300!$AZ$2:$BB$55,3,),IF(AND(I161="TDP",S161&lt;=300),VLOOKUP(AF161,TPCalibEq300!$AZ$2:$BB$55,3,)))</f>
        <v>0</v>
      </c>
      <c r="AS161" s="10" t="b">
        <f>IF(AND(I161="TP",S161&lt;=500),VLOOKUP(AF161,TPCalibEq500!$AZ$2:$BB$56,3,),IF(AND(I161="TDP",S161&lt;=500),VLOOKUP(AF161,TPCalibEq500!$AZ$2:$BB$56,3,)))</f>
        <v>0</v>
      </c>
      <c r="AT161" s="10" t="b">
        <f>IF(AND(I161="TN",S161&lt;=2800),VLOOKUP(AF161,TNCalibEq2500!$AZ$2:$BB$56,3,),IF(AND(I161="TDN",S161&lt;=2800),VLOOKUP(AF161,TNCalibEq2500!$AZ$2:$BB$56,3,)))</f>
        <v>0</v>
      </c>
      <c r="AU161" s="10" t="b">
        <f>IF(I161="TP",VLOOKUP(AF161,TPCalibEqFull!$AZ$2:$BB$56,3),IF(I161="TDP",VLOOKUP(AF161,TPCalibEqFull!$AZ$2:$BB$56,3),IF(I161="TDN",VLOOKUP(AF161,TNCalibEqFull!$AZ$1:$BB$56,3),IF(I161="TN",VLOOKUP(AF161,TNCalibEqFull!$AZ$1:$BB$56,3),FALSE))))</f>
        <v>0</v>
      </c>
      <c r="AV161" s="10" t="str">
        <f t="shared" si="18"/>
        <v>0104 09:00:00-QAC-STD-D-1-DI-CHK</v>
      </c>
    </row>
    <row r="162" spans="1:48" s="10" customFormat="1" x14ac:dyDescent="0.55000000000000004">
      <c r="A162" s="32">
        <v>44930</v>
      </c>
      <c r="B162" s="33">
        <v>0.375</v>
      </c>
      <c r="C162" s="10" t="s">
        <v>70</v>
      </c>
      <c r="D162" s="10" t="s">
        <v>71</v>
      </c>
      <c r="E162" s="10" t="s">
        <v>72</v>
      </c>
      <c r="F162" s="10">
        <v>1</v>
      </c>
      <c r="G162" s="10" t="s">
        <v>73</v>
      </c>
      <c r="H162" s="10" t="s">
        <v>74</v>
      </c>
      <c r="I162" s="10" t="s">
        <v>256</v>
      </c>
      <c r="J162" s="10">
        <v>181</v>
      </c>
      <c r="K162" s="12">
        <v>44930</v>
      </c>
      <c r="L162" s="33">
        <v>0.4365856481481481</v>
      </c>
      <c r="M162" s="10">
        <v>1</v>
      </c>
      <c r="N162" s="10" t="s">
        <v>169</v>
      </c>
      <c r="O162" s="10">
        <v>1.26E-2</v>
      </c>
      <c r="P162" s="10">
        <v>5.9699999999999996E-3</v>
      </c>
      <c r="Q162" s="10">
        <v>0</v>
      </c>
      <c r="R162" s="10" t="s">
        <v>77</v>
      </c>
      <c r="S162" s="34">
        <f t="shared" si="14"/>
        <v>0</v>
      </c>
      <c r="T162" s="10" t="s">
        <v>914</v>
      </c>
      <c r="U162" s="34" t="str">
        <f t="shared" si="15"/>
        <v/>
      </c>
      <c r="V162" s="31" t="str">
        <f>IF(H162="CHK",VLOOKUP(I162,QCCHK,3,),IF(H162="GUP",VLOOKUP(E162,QCGUP,2,),IF(AND(H162="ATP",OR(I162="TN",I162="TDN",I162="TNO2-3",I162="NO2-3")),VLOOKUP(E162,QCREC_N,2,),IF(AND(H162="NIC",OR(I162="TN",I162="TDN",I162="TNO2-3",I162="NO2-3")),VLOOKUP(E162,QCNIC_N,2,),IF(AND(H162="UREA",OR(I162="TN",I162="TDN",I162="TNO2-3",I162="NO2-3")),VLOOKUP(E162,QCUREA_N,2,),IF(H162="PER",VLOOKUP(I162,QCPER,MATCH(E162,QCACTUAL!$J$25:$AA$25,0),),IF(H162="SPK",VLOOKUP(I162,QCSPK,3,),IF(AND(H162="ATP",OR(I162="TP",I162="TDP")),VLOOKUP(E162,QCATP_P,2,),""))))))))</f>
        <v/>
      </c>
      <c r="W162" s="31" t="str">
        <f t="shared" si="16"/>
        <v>TRUE</v>
      </c>
      <c r="X162" s="31" t="str">
        <f t="shared" si="17"/>
        <v/>
      </c>
      <c r="Y162" s="10" t="s">
        <v>949</v>
      </c>
      <c r="AL162" s="10" t="str">
        <f t="shared" si="19"/>
        <v>FALSE</v>
      </c>
      <c r="AM162" s="10" t="str">
        <f t="shared" si="19"/>
        <v>FALSE</v>
      </c>
      <c r="AN162" s="10" t="str">
        <f t="shared" si="19"/>
        <v>FALSE</v>
      </c>
      <c r="AO162" s="10" t="str">
        <f t="shared" si="20"/>
        <v>FALSE</v>
      </c>
      <c r="AP162" s="10" t="str">
        <f t="shared" si="20"/>
        <v>FALSE</v>
      </c>
      <c r="AQ162" s="10" t="b">
        <f>IF(AND(I162="TP",S162&lt;=150),VLOOKUP(AF162,TPCalibEq150!$AZ$2:$BB$55,3,),IF(AND(I162="TDP",S162&lt;=150),VLOOKUP(AF162,TPCalibEq150!$AZ$2:$BB$55,3,)))</f>
        <v>0</v>
      </c>
      <c r="AR162" s="10" t="b">
        <f>IF(AND(I162="TP",S162&lt;=300),VLOOKUP(AF162,TPCalibEq300!$AZ$2:$BB$55,3,),IF(AND(I162="TDP",S162&lt;=300),VLOOKUP(AF162,TPCalibEq300!$AZ$2:$BB$55,3,)))</f>
        <v>0</v>
      </c>
      <c r="AS162" s="10" t="b">
        <f>IF(AND(I162="TP",S162&lt;=500),VLOOKUP(AF162,TPCalibEq500!$AZ$2:$BB$56,3,),IF(AND(I162="TDP",S162&lt;=500),VLOOKUP(AF162,TPCalibEq500!$AZ$2:$BB$56,3,)))</f>
        <v>0</v>
      </c>
      <c r="AT162" s="10" t="b">
        <f>IF(AND(I162="TN",S162&lt;=2800),VLOOKUP(AF162,TNCalibEq2500!$AZ$2:$BB$56,3,),IF(AND(I162="TDN",S162&lt;=2800),VLOOKUP(AF162,TNCalibEq2500!$AZ$2:$BB$56,3,)))</f>
        <v>0</v>
      </c>
      <c r="AU162" s="10" t="b">
        <f>IF(I162="TP",VLOOKUP(AF162,TPCalibEqFull!$AZ$2:$BB$56,3),IF(I162="TDP",VLOOKUP(AF162,TPCalibEqFull!$AZ$2:$BB$56,3),IF(I162="TDN",VLOOKUP(AF162,TNCalibEqFull!$AZ$1:$BB$56,3),IF(I162="TN",VLOOKUP(AF162,TNCalibEqFull!$AZ$1:$BB$56,3),FALSE))))</f>
        <v>0</v>
      </c>
      <c r="AV162" s="10" t="str">
        <f t="shared" si="18"/>
        <v>0104 09:00:00-QAC-STD-H-1-DI-CAL</v>
      </c>
    </row>
    <row r="163" spans="1:48" s="10" customFormat="1" x14ac:dyDescent="0.55000000000000004">
      <c r="A163" s="32">
        <v>44930</v>
      </c>
      <c r="B163" s="33">
        <v>0.375</v>
      </c>
      <c r="C163" s="10" t="s">
        <v>70</v>
      </c>
      <c r="D163" s="10" t="s">
        <v>71</v>
      </c>
      <c r="E163" s="10" t="s">
        <v>908</v>
      </c>
      <c r="F163" s="10">
        <v>1</v>
      </c>
      <c r="G163" s="10" t="s">
        <v>73</v>
      </c>
      <c r="H163" s="10" t="s">
        <v>74</v>
      </c>
      <c r="I163" s="10" t="s">
        <v>256</v>
      </c>
      <c r="J163" s="10">
        <v>182</v>
      </c>
      <c r="K163" s="12">
        <v>44930</v>
      </c>
      <c r="L163" s="33">
        <v>0.43743055555555554</v>
      </c>
      <c r="M163" s="10">
        <v>1</v>
      </c>
      <c r="N163" s="10" t="s">
        <v>169</v>
      </c>
      <c r="O163" s="10">
        <v>0.21099999999999999</v>
      </c>
      <c r="P163" s="10">
        <v>1.2699999999999999E-2</v>
      </c>
      <c r="Q163" s="10">
        <v>20</v>
      </c>
      <c r="R163" s="10" t="s">
        <v>77</v>
      </c>
      <c r="S163" s="34">
        <f t="shared" si="14"/>
        <v>20</v>
      </c>
      <c r="T163" s="10" t="s">
        <v>957</v>
      </c>
      <c r="U163" s="34" t="str">
        <f t="shared" si="15"/>
        <v/>
      </c>
      <c r="V163" s="31" t="str">
        <f>IF(H163="CHK",VLOOKUP(I163,QCCHK,3,),IF(H163="GUP",VLOOKUP(E163,QCGUP,2,),IF(AND(H163="ATP",OR(I163="TN",I163="TDN",I163="TNO2-3",I163="NO2-3")),VLOOKUP(E163,QCREC_N,2,),IF(AND(H163="NIC",OR(I163="TN",I163="TDN",I163="TNO2-3",I163="NO2-3")),VLOOKUP(E163,QCNIC_N,2,),IF(AND(H163="UREA",OR(I163="TN",I163="TDN",I163="TNO2-3",I163="NO2-3")),VLOOKUP(E163,QCUREA_N,2,),IF(H163="PER",VLOOKUP(I163,QCPER,MATCH(E163,QCACTUAL!$J$25:$AA$25,0),),IF(H163="SPK",VLOOKUP(I163,QCSPK,3,),IF(AND(H163="ATP",OR(I163="TP",I163="TDP")),VLOOKUP(E163,QCATP_P,2,),""))))))))</f>
        <v/>
      </c>
      <c r="W163" s="31" t="str">
        <f t="shared" si="16"/>
        <v>TRUE</v>
      </c>
      <c r="X163" s="31" t="str">
        <f t="shared" si="17"/>
        <v/>
      </c>
      <c r="Y163" s="10" t="s">
        <v>949</v>
      </c>
      <c r="AL163" s="10" t="str">
        <f t="shared" si="19"/>
        <v>FALSE</v>
      </c>
      <c r="AM163" s="10" t="str">
        <f t="shared" si="19"/>
        <v>FALSE</v>
      </c>
      <c r="AN163" s="10" t="str">
        <f t="shared" si="19"/>
        <v>FALSE</v>
      </c>
      <c r="AO163" s="10" t="str">
        <f t="shared" si="20"/>
        <v>FALSE</v>
      </c>
      <c r="AP163" s="10" t="str">
        <f t="shared" si="20"/>
        <v>FALSE</v>
      </c>
      <c r="AQ163" s="10" t="b">
        <f>IF(AND(I163="TP",S163&lt;=150),VLOOKUP(AF163,TPCalibEq150!$AZ$2:$BB$55,3,),IF(AND(I163="TDP",S163&lt;=150),VLOOKUP(AF163,TPCalibEq150!$AZ$2:$BB$55,3,)))</f>
        <v>0</v>
      </c>
      <c r="AR163" s="10" t="b">
        <f>IF(AND(I163="TP",S163&lt;=300),VLOOKUP(AF163,TPCalibEq300!$AZ$2:$BB$55,3,),IF(AND(I163="TDP",S163&lt;=300),VLOOKUP(AF163,TPCalibEq300!$AZ$2:$BB$55,3,)))</f>
        <v>0</v>
      </c>
      <c r="AS163" s="10" t="b">
        <f>IF(AND(I163="TP",S163&lt;=500),VLOOKUP(AF163,TPCalibEq500!$AZ$2:$BB$56,3,),IF(AND(I163="TDP",S163&lt;=500),VLOOKUP(AF163,TPCalibEq500!$AZ$2:$BB$56,3,)))</f>
        <v>0</v>
      </c>
      <c r="AT163" s="10" t="b">
        <f>IF(AND(I163="TN",S163&lt;=2800),VLOOKUP(AF163,TNCalibEq2500!$AZ$2:$BB$56,3,),IF(AND(I163="TDN",S163&lt;=2800),VLOOKUP(AF163,TNCalibEq2500!$AZ$2:$BB$56,3,)))</f>
        <v>0</v>
      </c>
      <c r="AU163" s="10" t="b">
        <f>IF(I163="TP",VLOOKUP(AF163,TPCalibEqFull!$AZ$2:$BB$56,3),IF(I163="TDP",VLOOKUP(AF163,TPCalibEqFull!$AZ$2:$BB$56,3),IF(I163="TDN",VLOOKUP(AF163,TNCalibEqFull!$AZ$1:$BB$56,3),IF(I163="TN",VLOOKUP(AF163,TNCalibEqFull!$AZ$1:$BB$56,3),FALSE))))</f>
        <v>0</v>
      </c>
      <c r="AV163" s="10" t="str">
        <f t="shared" si="18"/>
        <v>0104 09:00:00-QAC-STD-G-1-DI-CAL</v>
      </c>
    </row>
    <row r="164" spans="1:48" s="10" customFormat="1" x14ac:dyDescent="0.55000000000000004">
      <c r="A164" s="32">
        <v>44930</v>
      </c>
      <c r="B164" s="33">
        <v>0.375</v>
      </c>
      <c r="C164" s="10" t="s">
        <v>70</v>
      </c>
      <c r="D164" s="10" t="s">
        <v>71</v>
      </c>
      <c r="E164" s="10" t="s">
        <v>550</v>
      </c>
      <c r="F164" s="10">
        <v>1</v>
      </c>
      <c r="G164" s="10" t="s">
        <v>73</v>
      </c>
      <c r="H164" s="10" t="s">
        <v>74</v>
      </c>
      <c r="I164" s="10" t="s">
        <v>256</v>
      </c>
      <c r="J164" s="10">
        <v>183</v>
      </c>
      <c r="K164" s="12">
        <v>44930</v>
      </c>
      <c r="L164" s="33">
        <v>0.4382523148148148</v>
      </c>
      <c r="M164" s="10">
        <v>1</v>
      </c>
      <c r="N164" s="10" t="s">
        <v>169</v>
      </c>
      <c r="O164" s="10">
        <v>0.51900000000000002</v>
      </c>
      <c r="P164" s="10">
        <v>2.3699999999999999E-2</v>
      </c>
      <c r="Q164" s="10">
        <v>60</v>
      </c>
      <c r="R164" s="10" t="s">
        <v>77</v>
      </c>
      <c r="S164" s="34">
        <f t="shared" si="14"/>
        <v>60</v>
      </c>
      <c r="T164" s="10" t="s">
        <v>942</v>
      </c>
      <c r="U164" s="34" t="str">
        <f t="shared" si="15"/>
        <v/>
      </c>
      <c r="V164" s="31" t="str">
        <f>IF(H164="CHK",VLOOKUP(I164,QCCHK,3,),IF(H164="GUP",VLOOKUP(E164,QCGUP,2,),IF(AND(H164="ATP",OR(I164="TN",I164="TDN",I164="TNO2-3",I164="NO2-3")),VLOOKUP(E164,QCREC_N,2,),IF(AND(H164="NIC",OR(I164="TN",I164="TDN",I164="TNO2-3",I164="NO2-3")),VLOOKUP(E164,QCNIC_N,2,),IF(AND(H164="UREA",OR(I164="TN",I164="TDN",I164="TNO2-3",I164="NO2-3")),VLOOKUP(E164,QCUREA_N,2,),IF(H164="PER",VLOOKUP(I164,QCPER,MATCH(E164,QCACTUAL!$J$25:$AA$25,0),),IF(H164="SPK",VLOOKUP(I164,QCSPK,3,),IF(AND(H164="ATP",OR(I164="TP",I164="TDP")),VLOOKUP(E164,QCATP_P,2,),""))))))))</f>
        <v/>
      </c>
      <c r="W164" s="31" t="str">
        <f t="shared" si="16"/>
        <v>TRUE</v>
      </c>
      <c r="X164" s="31" t="str">
        <f t="shared" si="17"/>
        <v/>
      </c>
      <c r="Y164" s="10" t="s">
        <v>949</v>
      </c>
      <c r="AL164" s="10" t="str">
        <f t="shared" si="19"/>
        <v>FALSE</v>
      </c>
      <c r="AM164" s="10" t="str">
        <f t="shared" si="19"/>
        <v>FALSE</v>
      </c>
      <c r="AN164" s="10" t="str">
        <f t="shared" si="19"/>
        <v>FALSE</v>
      </c>
      <c r="AO164" s="10" t="str">
        <f t="shared" si="20"/>
        <v>FALSE</v>
      </c>
      <c r="AP164" s="10" t="str">
        <f t="shared" si="20"/>
        <v>FALSE</v>
      </c>
      <c r="AQ164" s="10" t="b">
        <f>IF(AND(I164="TP",S164&lt;=150),VLOOKUP(AF164,TPCalibEq150!$AZ$2:$BB$55,3,),IF(AND(I164="TDP",S164&lt;=150),VLOOKUP(AF164,TPCalibEq150!$AZ$2:$BB$55,3,)))</f>
        <v>0</v>
      </c>
      <c r="AR164" s="10" t="b">
        <f>IF(AND(I164="TP",S164&lt;=300),VLOOKUP(AF164,TPCalibEq300!$AZ$2:$BB$55,3,),IF(AND(I164="TDP",S164&lt;=300),VLOOKUP(AF164,TPCalibEq300!$AZ$2:$BB$55,3,)))</f>
        <v>0</v>
      </c>
      <c r="AS164" s="10" t="b">
        <f>IF(AND(I164="TP",S164&lt;=500),VLOOKUP(AF164,TPCalibEq500!$AZ$2:$BB$56,3,),IF(AND(I164="TDP",S164&lt;=500),VLOOKUP(AF164,TPCalibEq500!$AZ$2:$BB$56,3,)))</f>
        <v>0</v>
      </c>
      <c r="AT164" s="10" t="b">
        <f>IF(AND(I164="TN",S164&lt;=2800),VLOOKUP(AF164,TNCalibEq2500!$AZ$2:$BB$56,3,),IF(AND(I164="TDN",S164&lt;=2800),VLOOKUP(AF164,TNCalibEq2500!$AZ$2:$BB$56,3,)))</f>
        <v>0</v>
      </c>
      <c r="AU164" s="10" t="b">
        <f>IF(I164="TP",VLOOKUP(AF164,TPCalibEqFull!$AZ$2:$BB$56,3),IF(I164="TDP",VLOOKUP(AF164,TPCalibEqFull!$AZ$2:$BB$56,3),IF(I164="TDN",VLOOKUP(AF164,TNCalibEqFull!$AZ$1:$BB$56,3),IF(I164="TN",VLOOKUP(AF164,TNCalibEqFull!$AZ$1:$BB$56,3),FALSE))))</f>
        <v>0</v>
      </c>
      <c r="AV164" s="10" t="str">
        <f t="shared" si="18"/>
        <v>0104 09:00:00-QAC-STD-F-1-DI-CAL</v>
      </c>
    </row>
    <row r="165" spans="1:48" s="10" customFormat="1" x14ac:dyDescent="0.55000000000000004">
      <c r="A165" s="32">
        <v>44930</v>
      </c>
      <c r="B165" s="33">
        <v>0.375</v>
      </c>
      <c r="C165" s="10" t="s">
        <v>70</v>
      </c>
      <c r="D165" s="10" t="s">
        <v>71</v>
      </c>
      <c r="E165" s="10" t="s">
        <v>909</v>
      </c>
      <c r="F165" s="10">
        <v>1</v>
      </c>
      <c r="G165" s="10" t="s">
        <v>73</v>
      </c>
      <c r="H165" s="10" t="s">
        <v>74</v>
      </c>
      <c r="I165" s="10" t="s">
        <v>256</v>
      </c>
      <c r="J165" s="10">
        <v>184</v>
      </c>
      <c r="K165" s="12">
        <v>44930</v>
      </c>
      <c r="L165" s="33">
        <v>0.43908564814814816</v>
      </c>
      <c r="M165" s="10">
        <v>1</v>
      </c>
      <c r="N165" s="10" t="s">
        <v>169</v>
      </c>
      <c r="O165" s="10">
        <v>0.68799999999999994</v>
      </c>
      <c r="P165" s="10">
        <v>3.15E-2</v>
      </c>
      <c r="Q165" s="10">
        <v>80</v>
      </c>
      <c r="R165" s="10" t="s">
        <v>77</v>
      </c>
      <c r="S165" s="34">
        <f t="shared" si="14"/>
        <v>80</v>
      </c>
      <c r="T165" s="10" t="s">
        <v>958</v>
      </c>
      <c r="U165" s="34" t="str">
        <f t="shared" si="15"/>
        <v/>
      </c>
      <c r="V165" s="31" t="str">
        <f>IF(H165="CHK",VLOOKUP(I165,QCCHK,3,),IF(H165="GUP",VLOOKUP(E165,QCGUP,2,),IF(AND(H165="ATP",OR(I165="TN",I165="TDN",I165="TNO2-3",I165="NO2-3")),VLOOKUP(E165,QCREC_N,2,),IF(AND(H165="NIC",OR(I165="TN",I165="TDN",I165="TNO2-3",I165="NO2-3")),VLOOKUP(E165,QCNIC_N,2,),IF(AND(H165="UREA",OR(I165="TN",I165="TDN",I165="TNO2-3",I165="NO2-3")),VLOOKUP(E165,QCUREA_N,2,),IF(H165="PER",VLOOKUP(I165,QCPER,MATCH(E165,QCACTUAL!$J$25:$AA$25,0),),IF(H165="SPK",VLOOKUP(I165,QCSPK,3,),IF(AND(H165="ATP",OR(I165="TP",I165="TDP")),VLOOKUP(E165,QCATP_P,2,),""))))))))</f>
        <v/>
      </c>
      <c r="W165" s="31" t="str">
        <f t="shared" si="16"/>
        <v>TRUE</v>
      </c>
      <c r="X165" s="31" t="str">
        <f t="shared" si="17"/>
        <v/>
      </c>
      <c r="Y165" s="10" t="s">
        <v>949</v>
      </c>
      <c r="AL165" s="10" t="str">
        <f t="shared" si="19"/>
        <v>FALSE</v>
      </c>
      <c r="AM165" s="10" t="str">
        <f t="shared" si="19"/>
        <v>FALSE</v>
      </c>
      <c r="AN165" s="10" t="str">
        <f t="shared" si="19"/>
        <v>FALSE</v>
      </c>
      <c r="AO165" s="10" t="str">
        <f t="shared" si="20"/>
        <v>FALSE</v>
      </c>
      <c r="AP165" s="10" t="str">
        <f t="shared" si="20"/>
        <v>FALSE</v>
      </c>
      <c r="AQ165" s="10" t="b">
        <f>IF(AND(I165="TP",S165&lt;=150),VLOOKUP(AF165,TPCalibEq150!$AZ$2:$BB$55,3,),IF(AND(I165="TDP",S165&lt;=150),VLOOKUP(AF165,TPCalibEq150!$AZ$2:$BB$55,3,)))</f>
        <v>0</v>
      </c>
      <c r="AR165" s="10" t="b">
        <f>IF(AND(I165="TP",S165&lt;=300),VLOOKUP(AF165,TPCalibEq300!$AZ$2:$BB$55,3,),IF(AND(I165="TDP",S165&lt;=300),VLOOKUP(AF165,TPCalibEq300!$AZ$2:$BB$55,3,)))</f>
        <v>0</v>
      </c>
      <c r="AS165" s="10" t="b">
        <f>IF(AND(I165="TP",S165&lt;=500),VLOOKUP(AF165,TPCalibEq500!$AZ$2:$BB$56,3,),IF(AND(I165="TDP",S165&lt;=500),VLOOKUP(AF165,TPCalibEq500!$AZ$2:$BB$56,3,)))</f>
        <v>0</v>
      </c>
      <c r="AT165" s="10" t="b">
        <f>IF(AND(I165="TN",S165&lt;=2800),VLOOKUP(AF165,TNCalibEq2500!$AZ$2:$BB$56,3,),IF(AND(I165="TDN",S165&lt;=2800),VLOOKUP(AF165,TNCalibEq2500!$AZ$2:$BB$56,3,)))</f>
        <v>0</v>
      </c>
      <c r="AU165" s="10" t="b">
        <f>IF(I165="TP",VLOOKUP(AF165,TPCalibEqFull!$AZ$2:$BB$56,3),IF(I165="TDP",VLOOKUP(AF165,TPCalibEqFull!$AZ$2:$BB$56,3),IF(I165="TDN",VLOOKUP(AF165,TNCalibEqFull!$AZ$1:$BB$56,3),IF(I165="TN",VLOOKUP(AF165,TNCalibEqFull!$AZ$1:$BB$56,3),FALSE))))</f>
        <v>0</v>
      </c>
      <c r="AV165" s="10" t="str">
        <f t="shared" si="18"/>
        <v>0104 09:00:00-QAC-STD-E-1-DI-CAL</v>
      </c>
    </row>
    <row r="166" spans="1:48" s="10" customFormat="1" x14ac:dyDescent="0.55000000000000004">
      <c r="A166" s="32">
        <v>44930</v>
      </c>
      <c r="B166" s="33">
        <v>0.375</v>
      </c>
      <c r="C166" s="10" t="s">
        <v>70</v>
      </c>
      <c r="D166" s="10" t="s">
        <v>71</v>
      </c>
      <c r="E166" s="10" t="s">
        <v>901</v>
      </c>
      <c r="F166" s="10">
        <v>1</v>
      </c>
      <c r="G166" s="10" t="s">
        <v>73</v>
      </c>
      <c r="H166" s="10" t="s">
        <v>74</v>
      </c>
      <c r="I166" s="10" t="s">
        <v>256</v>
      </c>
      <c r="J166" s="10">
        <v>185</v>
      </c>
      <c r="K166" s="12">
        <v>44930</v>
      </c>
      <c r="L166" s="33">
        <v>0.43990740740740741</v>
      </c>
      <c r="M166" s="10">
        <v>1</v>
      </c>
      <c r="N166" s="10" t="s">
        <v>169</v>
      </c>
      <c r="O166" s="10">
        <v>2.2599999999999998</v>
      </c>
      <c r="P166" s="10">
        <v>0.107</v>
      </c>
      <c r="Q166" s="10">
        <v>300</v>
      </c>
      <c r="R166" s="10" t="s">
        <v>77</v>
      </c>
      <c r="S166" s="34">
        <f t="shared" si="14"/>
        <v>300</v>
      </c>
      <c r="T166" s="10" t="s">
        <v>940</v>
      </c>
      <c r="U166" s="34" t="str">
        <f t="shared" si="15"/>
        <v/>
      </c>
      <c r="V166" s="31" t="str">
        <f>IF(H166="CHK",VLOOKUP(I166,QCCHK,3,),IF(H166="GUP",VLOOKUP(E166,QCGUP,2,),IF(AND(H166="ATP",OR(I166="TN",I166="TDN",I166="TNO2-3",I166="NO2-3")),VLOOKUP(E166,QCREC_N,2,),IF(AND(H166="NIC",OR(I166="TN",I166="TDN",I166="TNO2-3",I166="NO2-3")),VLOOKUP(E166,QCNIC_N,2,),IF(AND(H166="UREA",OR(I166="TN",I166="TDN",I166="TNO2-3",I166="NO2-3")),VLOOKUP(E166,QCUREA_N,2,),IF(H166="PER",VLOOKUP(I166,QCPER,MATCH(E166,QCACTUAL!$J$25:$AA$25,0),),IF(H166="SPK",VLOOKUP(I166,QCSPK,3,),IF(AND(H166="ATP",OR(I166="TP",I166="TDP")),VLOOKUP(E166,QCATP_P,2,),""))))))))</f>
        <v/>
      </c>
      <c r="W166" s="31" t="str">
        <f t="shared" si="16"/>
        <v>TRUE</v>
      </c>
      <c r="X166" s="31" t="str">
        <f t="shared" si="17"/>
        <v/>
      </c>
      <c r="Y166" s="10" t="s">
        <v>949</v>
      </c>
      <c r="AL166" s="10" t="str">
        <f t="shared" si="19"/>
        <v>FALSE</v>
      </c>
      <c r="AM166" s="10" t="str">
        <f t="shared" si="19"/>
        <v>FALSE</v>
      </c>
      <c r="AN166" s="10" t="str">
        <f t="shared" si="19"/>
        <v>FALSE</v>
      </c>
      <c r="AO166" s="10" t="str">
        <f t="shared" si="20"/>
        <v>FALSE</v>
      </c>
      <c r="AP166" s="10" t="str">
        <f t="shared" si="20"/>
        <v>FALSE</v>
      </c>
      <c r="AQ166" s="10" t="b">
        <f>IF(AND(I166="TP",S166&lt;=150),VLOOKUP(AF166,TPCalibEq150!$AZ$2:$BB$55,3,),IF(AND(I166="TDP",S166&lt;=150),VLOOKUP(AF166,TPCalibEq150!$AZ$2:$BB$55,3,)))</f>
        <v>0</v>
      </c>
      <c r="AR166" s="10" t="b">
        <f>IF(AND(I166="TP",S166&lt;=300),VLOOKUP(AF166,TPCalibEq300!$AZ$2:$BB$55,3,),IF(AND(I166="TDP",S166&lt;=300),VLOOKUP(AF166,TPCalibEq300!$AZ$2:$BB$55,3,)))</f>
        <v>0</v>
      </c>
      <c r="AS166" s="10" t="b">
        <f>IF(AND(I166="TP",S166&lt;=500),VLOOKUP(AF166,TPCalibEq500!$AZ$2:$BB$56,3,),IF(AND(I166="TDP",S166&lt;=500),VLOOKUP(AF166,TPCalibEq500!$AZ$2:$BB$56,3,)))</f>
        <v>0</v>
      </c>
      <c r="AT166" s="10" t="b">
        <f>IF(AND(I166="TN",S166&lt;=2800),VLOOKUP(AF166,TNCalibEq2500!$AZ$2:$BB$56,3,),IF(AND(I166="TDN",S166&lt;=2800),VLOOKUP(AF166,TNCalibEq2500!$AZ$2:$BB$56,3,)))</f>
        <v>0</v>
      </c>
      <c r="AU166" s="10" t="b">
        <f>IF(I166="TP",VLOOKUP(AF166,TPCalibEqFull!$AZ$2:$BB$56,3),IF(I166="TDP",VLOOKUP(AF166,TPCalibEqFull!$AZ$2:$BB$56,3),IF(I166="TDN",VLOOKUP(AF166,TNCalibEqFull!$AZ$1:$BB$56,3),IF(I166="TN",VLOOKUP(AF166,TNCalibEqFull!$AZ$1:$BB$56,3),FALSE))))</f>
        <v>0</v>
      </c>
      <c r="AV166" s="10" t="str">
        <f t="shared" si="18"/>
        <v>0104 09:00:00-QAC-STD-D-1-DI-CAL</v>
      </c>
    </row>
    <row r="167" spans="1:48" s="10" customFormat="1" x14ac:dyDescent="0.55000000000000004">
      <c r="A167" s="32">
        <v>44930</v>
      </c>
      <c r="B167" s="33">
        <v>0.375</v>
      </c>
      <c r="C167" s="10" t="s">
        <v>70</v>
      </c>
      <c r="D167" s="10" t="s">
        <v>71</v>
      </c>
      <c r="E167" s="10" t="s">
        <v>190</v>
      </c>
      <c r="F167" s="10">
        <v>1</v>
      </c>
      <c r="G167" s="10" t="s">
        <v>73</v>
      </c>
      <c r="H167" s="10" t="s">
        <v>74</v>
      </c>
      <c r="I167" s="10" t="s">
        <v>256</v>
      </c>
      <c r="J167" s="10">
        <v>186</v>
      </c>
      <c r="K167" s="12">
        <v>44930</v>
      </c>
      <c r="L167" s="33">
        <v>0.44074074074074071</v>
      </c>
      <c r="M167" s="10">
        <v>1</v>
      </c>
      <c r="N167" s="10" t="s">
        <v>169</v>
      </c>
      <c r="O167" s="10">
        <v>4.4800000000000004</v>
      </c>
      <c r="P167" s="10">
        <v>0.215</v>
      </c>
      <c r="Q167" s="10">
        <v>600</v>
      </c>
      <c r="R167" s="10" t="s">
        <v>77</v>
      </c>
      <c r="S167" s="34">
        <f t="shared" si="14"/>
        <v>600</v>
      </c>
      <c r="T167" s="10" t="s">
        <v>916</v>
      </c>
      <c r="U167" s="34" t="str">
        <f t="shared" si="15"/>
        <v/>
      </c>
      <c r="V167" s="31" t="str">
        <f>IF(H167="CHK",VLOOKUP(I167,QCCHK,3,),IF(H167="GUP",VLOOKUP(E167,QCGUP,2,),IF(AND(H167="ATP",OR(I167="TN",I167="TDN",I167="TNO2-3",I167="NO2-3")),VLOOKUP(E167,QCREC_N,2,),IF(AND(H167="NIC",OR(I167="TN",I167="TDN",I167="TNO2-3",I167="NO2-3")),VLOOKUP(E167,QCNIC_N,2,),IF(AND(H167="UREA",OR(I167="TN",I167="TDN",I167="TNO2-3",I167="NO2-3")),VLOOKUP(E167,QCUREA_N,2,),IF(H167="PER",VLOOKUP(I167,QCPER,MATCH(E167,QCACTUAL!$J$25:$AA$25,0),),IF(H167="SPK",VLOOKUP(I167,QCSPK,3,),IF(AND(H167="ATP",OR(I167="TP",I167="TDP")),VLOOKUP(E167,QCATP_P,2,),""))))))))</f>
        <v/>
      </c>
      <c r="W167" s="31" t="str">
        <f t="shared" si="16"/>
        <v>TRUE</v>
      </c>
      <c r="X167" s="31" t="str">
        <f t="shared" si="17"/>
        <v/>
      </c>
      <c r="Y167" s="10" t="s">
        <v>949</v>
      </c>
      <c r="AL167" s="10" t="str">
        <f t="shared" si="19"/>
        <v>FALSE</v>
      </c>
      <c r="AM167" s="10" t="str">
        <f t="shared" si="19"/>
        <v>FALSE</v>
      </c>
      <c r="AN167" s="10" t="str">
        <f t="shared" si="19"/>
        <v>FALSE</v>
      </c>
      <c r="AO167" s="10" t="str">
        <f t="shared" si="20"/>
        <v>FALSE</v>
      </c>
      <c r="AP167" s="10" t="str">
        <f t="shared" si="20"/>
        <v>FALSE</v>
      </c>
      <c r="AQ167" s="10" t="b">
        <f>IF(AND(I167="TP",S167&lt;=150),VLOOKUP(AF167,TPCalibEq150!$AZ$2:$BB$55,3,),IF(AND(I167="TDP",S167&lt;=150),VLOOKUP(AF167,TPCalibEq150!$AZ$2:$BB$55,3,)))</f>
        <v>0</v>
      </c>
      <c r="AR167" s="10" t="b">
        <f>IF(AND(I167="TP",S167&lt;=300),VLOOKUP(AF167,TPCalibEq300!$AZ$2:$BB$55,3,),IF(AND(I167="TDP",S167&lt;=300),VLOOKUP(AF167,TPCalibEq300!$AZ$2:$BB$55,3,)))</f>
        <v>0</v>
      </c>
      <c r="AS167" s="10" t="b">
        <f>IF(AND(I167="TP",S167&lt;=500),VLOOKUP(AF167,TPCalibEq500!$AZ$2:$BB$56,3,),IF(AND(I167="TDP",S167&lt;=500),VLOOKUP(AF167,TPCalibEq500!$AZ$2:$BB$56,3,)))</f>
        <v>0</v>
      </c>
      <c r="AT167" s="10" t="b">
        <f>IF(AND(I167="TN",S167&lt;=2800),VLOOKUP(AF167,TNCalibEq2500!$AZ$2:$BB$56,3,),IF(AND(I167="TDN",S167&lt;=2800),VLOOKUP(AF167,TNCalibEq2500!$AZ$2:$BB$56,3,)))</f>
        <v>0</v>
      </c>
      <c r="AU167" s="10" t="b">
        <f>IF(I167="TP",VLOOKUP(AF167,TPCalibEqFull!$AZ$2:$BB$56,3),IF(I167="TDP",VLOOKUP(AF167,TPCalibEqFull!$AZ$2:$BB$56,3),IF(I167="TDN",VLOOKUP(AF167,TNCalibEqFull!$AZ$1:$BB$56,3),IF(I167="TN",VLOOKUP(AF167,TNCalibEqFull!$AZ$1:$BB$56,3),FALSE))))</f>
        <v>0</v>
      </c>
      <c r="AV167" s="10" t="str">
        <f t="shared" si="18"/>
        <v>0104 09:00:00-QAC-STD-C-1-DI-CAL</v>
      </c>
    </row>
    <row r="168" spans="1:48" s="10" customFormat="1" x14ac:dyDescent="0.55000000000000004">
      <c r="A168" s="32">
        <v>44930</v>
      </c>
      <c r="B168" s="33">
        <v>0.375</v>
      </c>
      <c r="C168" s="10" t="s">
        <v>70</v>
      </c>
      <c r="D168" s="10" t="s">
        <v>71</v>
      </c>
      <c r="E168" s="10" t="s">
        <v>583</v>
      </c>
      <c r="F168" s="10">
        <v>1</v>
      </c>
      <c r="G168" s="10" t="s">
        <v>73</v>
      </c>
      <c r="H168" s="10" t="s">
        <v>74</v>
      </c>
      <c r="I168" s="10" t="s">
        <v>256</v>
      </c>
      <c r="J168" s="10">
        <v>187</v>
      </c>
      <c r="K168" s="12">
        <v>44930</v>
      </c>
      <c r="L168" s="33">
        <v>0.44162037037037033</v>
      </c>
      <c r="M168" s="10">
        <v>1</v>
      </c>
      <c r="N168" s="10" t="s">
        <v>169</v>
      </c>
      <c r="O168" s="10">
        <v>8.7899999999999991</v>
      </c>
      <c r="P168" s="10">
        <v>0.42399999999999999</v>
      </c>
      <c r="Q168" s="10">
        <v>1200</v>
      </c>
      <c r="R168" s="10" t="s">
        <v>77</v>
      </c>
      <c r="S168" s="34">
        <f t="shared" si="14"/>
        <v>1200</v>
      </c>
      <c r="T168" s="10" t="s">
        <v>939</v>
      </c>
      <c r="U168" s="34" t="str">
        <f t="shared" si="15"/>
        <v/>
      </c>
      <c r="V168" s="31" t="str">
        <f>IF(H168="CHK",VLOOKUP(I168,QCCHK,3,),IF(H168="GUP",VLOOKUP(E168,QCGUP,2,),IF(AND(H168="ATP",OR(I168="TN",I168="TDN",I168="TNO2-3",I168="NO2-3")),VLOOKUP(E168,QCREC_N,2,),IF(AND(H168="NIC",OR(I168="TN",I168="TDN",I168="TNO2-3",I168="NO2-3")),VLOOKUP(E168,QCNIC_N,2,),IF(AND(H168="UREA",OR(I168="TN",I168="TDN",I168="TNO2-3",I168="NO2-3")),VLOOKUP(E168,QCUREA_N,2,),IF(H168="PER",VLOOKUP(I168,QCPER,MATCH(E168,QCACTUAL!$J$25:$AA$25,0),),IF(H168="SPK",VLOOKUP(I168,QCSPK,3,),IF(AND(H168="ATP",OR(I168="TP",I168="TDP")),VLOOKUP(E168,QCATP_P,2,),""))))))))</f>
        <v/>
      </c>
      <c r="W168" s="31" t="str">
        <f t="shared" si="16"/>
        <v>TRUE</v>
      </c>
      <c r="X168" s="31" t="str">
        <f t="shared" si="17"/>
        <v/>
      </c>
      <c r="Y168" s="10" t="s">
        <v>949</v>
      </c>
      <c r="AL168" s="10" t="str">
        <f t="shared" si="19"/>
        <v>FALSE</v>
      </c>
      <c r="AM168" s="10" t="str">
        <f t="shared" si="19"/>
        <v>FALSE</v>
      </c>
      <c r="AN168" s="10" t="str">
        <f t="shared" si="19"/>
        <v>FALSE</v>
      </c>
      <c r="AO168" s="10" t="str">
        <f t="shared" si="20"/>
        <v>FALSE</v>
      </c>
      <c r="AP168" s="10" t="str">
        <f t="shared" si="20"/>
        <v>FALSE</v>
      </c>
      <c r="AQ168" s="10" t="b">
        <f>IF(AND(I168="TP",S168&lt;=150),VLOOKUP(AF168,TPCalibEq150!$AZ$2:$BB$55,3,),IF(AND(I168="TDP",S168&lt;=150),VLOOKUP(AF168,TPCalibEq150!$AZ$2:$BB$55,3,)))</f>
        <v>0</v>
      </c>
      <c r="AR168" s="10" t="b">
        <f>IF(AND(I168="TP",S168&lt;=300),VLOOKUP(AF168,TPCalibEq300!$AZ$2:$BB$55,3,),IF(AND(I168="TDP",S168&lt;=300),VLOOKUP(AF168,TPCalibEq300!$AZ$2:$BB$55,3,)))</f>
        <v>0</v>
      </c>
      <c r="AS168" s="10" t="b">
        <f>IF(AND(I168="TP",S168&lt;=500),VLOOKUP(AF168,TPCalibEq500!$AZ$2:$BB$56,3,),IF(AND(I168="TDP",S168&lt;=500),VLOOKUP(AF168,TPCalibEq500!$AZ$2:$BB$56,3,)))</f>
        <v>0</v>
      </c>
      <c r="AT168" s="10" t="b">
        <f>IF(AND(I168="TN",S168&lt;=2800),VLOOKUP(AF168,TNCalibEq2500!$AZ$2:$BB$56,3,),IF(AND(I168="TDN",S168&lt;=2800),VLOOKUP(AF168,TNCalibEq2500!$AZ$2:$BB$56,3,)))</f>
        <v>0</v>
      </c>
      <c r="AU168" s="10" t="b">
        <f>IF(I168="TP",VLOOKUP(AF168,TPCalibEqFull!$AZ$2:$BB$56,3),IF(I168="TDP",VLOOKUP(AF168,TPCalibEqFull!$AZ$2:$BB$56,3),IF(I168="TDN",VLOOKUP(AF168,TNCalibEqFull!$AZ$1:$BB$56,3),IF(I168="TN",VLOOKUP(AF168,TNCalibEqFull!$AZ$1:$BB$56,3),FALSE))))</f>
        <v>0</v>
      </c>
      <c r="AV168" s="10" t="str">
        <f t="shared" si="18"/>
        <v>0104 09:00:00-QAC-STD-B-1-DI-CAL</v>
      </c>
    </row>
    <row r="169" spans="1:48" s="10" customFormat="1" x14ac:dyDescent="0.55000000000000004">
      <c r="A169" s="32">
        <v>44930</v>
      </c>
      <c r="B169" s="33">
        <v>0.375</v>
      </c>
      <c r="C169" s="10" t="s">
        <v>70</v>
      </c>
      <c r="D169" s="10" t="s">
        <v>71</v>
      </c>
      <c r="E169" s="10" t="s">
        <v>866</v>
      </c>
      <c r="F169" s="10">
        <v>1</v>
      </c>
      <c r="G169" s="10" t="s">
        <v>73</v>
      </c>
      <c r="H169" s="10" t="s">
        <v>74</v>
      </c>
      <c r="I169" s="10" t="s">
        <v>256</v>
      </c>
      <c r="J169" s="10">
        <v>188</v>
      </c>
      <c r="K169" s="12">
        <v>44930</v>
      </c>
      <c r="L169" s="33">
        <v>0.44238425925925928</v>
      </c>
      <c r="M169" s="10">
        <v>1</v>
      </c>
      <c r="N169" s="10" t="s">
        <v>169</v>
      </c>
      <c r="O169" s="10">
        <v>14.7</v>
      </c>
      <c r="P169" s="10">
        <v>0.70699999999999996</v>
      </c>
      <c r="Q169" s="10">
        <v>2000</v>
      </c>
      <c r="R169" s="10" t="s">
        <v>77</v>
      </c>
      <c r="S169" s="34">
        <f t="shared" si="14"/>
        <v>2000</v>
      </c>
      <c r="T169" s="10" t="s">
        <v>939</v>
      </c>
      <c r="U169" s="34" t="str">
        <f t="shared" si="15"/>
        <v/>
      </c>
      <c r="V169" s="31" t="str">
        <f>IF(H169="CHK",VLOOKUP(I169,QCCHK,3,),IF(H169="GUP",VLOOKUP(E169,QCGUP,2,),IF(AND(H169="ATP",OR(I169="TN",I169="TDN",I169="TNO2-3",I169="NO2-3")),VLOOKUP(E169,QCREC_N,2,),IF(AND(H169="NIC",OR(I169="TN",I169="TDN",I169="TNO2-3",I169="NO2-3")),VLOOKUP(E169,QCNIC_N,2,),IF(AND(H169="UREA",OR(I169="TN",I169="TDN",I169="TNO2-3",I169="NO2-3")),VLOOKUP(E169,QCUREA_N,2,),IF(H169="PER",VLOOKUP(I169,QCPER,MATCH(E169,QCACTUAL!$J$25:$AA$25,0),),IF(H169="SPK",VLOOKUP(I169,QCSPK,3,),IF(AND(H169="ATP",OR(I169="TP",I169="TDP")),VLOOKUP(E169,QCATP_P,2,),""))))))))</f>
        <v/>
      </c>
      <c r="W169" s="31" t="str">
        <f t="shared" si="16"/>
        <v>TRUE</v>
      </c>
      <c r="X169" s="31" t="str">
        <f t="shared" si="17"/>
        <v/>
      </c>
      <c r="Y169" s="10" t="s">
        <v>949</v>
      </c>
      <c r="AL169" s="10" t="str">
        <f t="shared" si="19"/>
        <v>FALSE</v>
      </c>
      <c r="AM169" s="10" t="str">
        <f t="shared" si="19"/>
        <v>FALSE</v>
      </c>
      <c r="AN169" s="10" t="str">
        <f t="shared" si="19"/>
        <v>FALSE</v>
      </c>
      <c r="AO169" s="10" t="str">
        <f t="shared" si="20"/>
        <v>FALSE</v>
      </c>
      <c r="AP169" s="10" t="str">
        <f t="shared" si="20"/>
        <v>FALSE</v>
      </c>
      <c r="AQ169" s="10" t="b">
        <f>IF(AND(I169="TP",S169&lt;=150),VLOOKUP(AF169,TPCalibEq150!$AZ$2:$BB$55,3,),IF(AND(I169="TDP",S169&lt;=150),VLOOKUP(AF169,TPCalibEq150!$AZ$2:$BB$55,3,)))</f>
        <v>0</v>
      </c>
      <c r="AR169" s="10" t="b">
        <f>IF(AND(I169="TP",S169&lt;=300),VLOOKUP(AF169,TPCalibEq300!$AZ$2:$BB$55,3,),IF(AND(I169="TDP",S169&lt;=300),VLOOKUP(AF169,TPCalibEq300!$AZ$2:$BB$55,3,)))</f>
        <v>0</v>
      </c>
      <c r="AS169" s="10" t="b">
        <f>IF(AND(I169="TP",S169&lt;=500),VLOOKUP(AF169,TPCalibEq500!$AZ$2:$BB$56,3,),IF(AND(I169="TDP",S169&lt;=500),VLOOKUP(AF169,TPCalibEq500!$AZ$2:$BB$56,3,)))</f>
        <v>0</v>
      </c>
      <c r="AT169" s="10" t="b">
        <f>IF(AND(I169="TN",S169&lt;=2800),VLOOKUP(AF169,TNCalibEq2500!$AZ$2:$BB$56,3,),IF(AND(I169="TDN",S169&lt;=2800),VLOOKUP(AF169,TNCalibEq2500!$AZ$2:$BB$56,3,)))</f>
        <v>0</v>
      </c>
      <c r="AU169" s="10" t="b">
        <f>IF(I169="TP",VLOOKUP(AF169,TPCalibEqFull!$AZ$2:$BB$56,3),IF(I169="TDP",VLOOKUP(AF169,TPCalibEqFull!$AZ$2:$BB$56,3),IF(I169="TDN",VLOOKUP(AF169,TNCalibEqFull!$AZ$1:$BB$56,3),IF(I169="TN",VLOOKUP(AF169,TNCalibEqFull!$AZ$1:$BB$56,3),FALSE))))</f>
        <v>0</v>
      </c>
      <c r="AV169" s="10" t="str">
        <f t="shared" si="18"/>
        <v>0104 09:00:00-QAC-STD-A-1-DI-CAL</v>
      </c>
    </row>
    <row r="170" spans="1:48" s="10" customFormat="1" x14ac:dyDescent="0.55000000000000004">
      <c r="A170" s="32">
        <v>44930</v>
      </c>
      <c r="B170" s="33">
        <v>0.375</v>
      </c>
      <c r="C170" s="10" t="s">
        <v>70</v>
      </c>
      <c r="D170" s="10" t="s">
        <v>241</v>
      </c>
      <c r="E170" s="10" t="s">
        <v>866</v>
      </c>
      <c r="F170" s="10">
        <v>1</v>
      </c>
      <c r="G170" s="10" t="s">
        <v>73</v>
      </c>
      <c r="H170" s="10" t="s">
        <v>283</v>
      </c>
      <c r="I170" s="10" t="s">
        <v>256</v>
      </c>
      <c r="J170" s="10">
        <v>198</v>
      </c>
      <c r="K170" s="12">
        <v>44930</v>
      </c>
      <c r="L170" s="33">
        <v>0.44400462962962961</v>
      </c>
      <c r="M170" s="10">
        <v>1</v>
      </c>
      <c r="N170" s="10" t="s">
        <v>169</v>
      </c>
      <c r="O170" s="10">
        <v>-3.1099999999999999E-2</v>
      </c>
      <c r="P170" s="10">
        <v>-5.8399999999999997E-3</v>
      </c>
      <c r="Q170" s="10">
        <v>-4.2300000000000004</v>
      </c>
      <c r="R170" s="10" t="s">
        <v>77</v>
      </c>
      <c r="S170" s="34">
        <f t="shared" si="14"/>
        <v>-4.2300000000000004</v>
      </c>
      <c r="T170" s="10" t="s">
        <v>939</v>
      </c>
      <c r="U170" s="34">
        <f t="shared" si="15"/>
        <v>-4.2300000000000004</v>
      </c>
      <c r="V170" s="31" t="str">
        <f>IF(H170="CHK",VLOOKUP(I170,QCCHK,3,),IF(H170="GUP",VLOOKUP(E170,QCGUP,2,),IF(AND(H170="ATP",OR(I170="TN",I170="TDN",I170="TNO2-3",I170="NO2-3")),VLOOKUP(E170,QCREC_N,2,),IF(AND(H170="NIC",OR(I170="TN",I170="TDN",I170="TNO2-3",I170="NO2-3")),VLOOKUP(E170,QCNIC_N,2,),IF(AND(H170="UREA",OR(I170="TN",I170="TDN",I170="TNO2-3",I170="NO2-3")),VLOOKUP(E170,QCUREA_N,2,),IF(H170="PER",VLOOKUP(I170,QCPER,MATCH(E170,QCACTUAL!$J$25:$AA$25,0),),IF(H170="SPK",VLOOKUP(I170,QCSPK,3,),IF(AND(H170="ATP",OR(I170="TP",I170="TDP")),VLOOKUP(E170,QCATP_P,2,),""))))))))</f>
        <v/>
      </c>
      <c r="W170" s="31" t="str">
        <f t="shared" si="16"/>
        <v>TRUE</v>
      </c>
      <c r="X170" s="31" t="str">
        <f t="shared" si="17"/>
        <v>nominal concentration</v>
      </c>
      <c r="Y170" s="10" t="s">
        <v>949</v>
      </c>
      <c r="AL170" s="10" t="str">
        <f t="shared" si="19"/>
        <v>FALSE</v>
      </c>
      <c r="AM170" s="10" t="str">
        <f t="shared" si="19"/>
        <v>FALSE</v>
      </c>
      <c r="AN170" s="10" t="str">
        <f t="shared" si="19"/>
        <v>FALSE</v>
      </c>
      <c r="AO170" s="10" t="str">
        <f t="shared" si="20"/>
        <v>FALSE</v>
      </c>
      <c r="AP170" s="10" t="str">
        <f t="shared" si="20"/>
        <v>FALSE</v>
      </c>
      <c r="AQ170" s="10" t="b">
        <f>IF(AND(I170="TP",S170&lt;=150),VLOOKUP(AF170,TPCalibEq150!$AZ$2:$BB$55,3,),IF(AND(I170="TDP",S170&lt;=150),VLOOKUP(AF170,TPCalibEq150!$AZ$2:$BB$55,3,)))</f>
        <v>0</v>
      </c>
      <c r="AR170" s="10" t="b">
        <f>IF(AND(I170="TP",S170&lt;=300),VLOOKUP(AF170,TPCalibEq300!$AZ$2:$BB$55,3,),IF(AND(I170="TDP",S170&lt;=300),VLOOKUP(AF170,TPCalibEq300!$AZ$2:$BB$55,3,)))</f>
        <v>0</v>
      </c>
      <c r="AS170" s="10" t="b">
        <f>IF(AND(I170="TP",S170&lt;=500),VLOOKUP(AF170,TPCalibEq500!$AZ$2:$BB$56,3,),IF(AND(I170="TDP",S170&lt;=500),VLOOKUP(AF170,TPCalibEq500!$AZ$2:$BB$56,3,)))</f>
        <v>0</v>
      </c>
      <c r="AT170" s="10" t="b">
        <f>IF(AND(I170="TN",S170&lt;=2800),VLOOKUP(AF170,TNCalibEq2500!$AZ$2:$BB$56,3,),IF(AND(I170="TDN",S170&lt;=2800),VLOOKUP(AF170,TNCalibEq2500!$AZ$2:$BB$56,3,)))</f>
        <v>0</v>
      </c>
      <c r="AU170" s="10" t="b">
        <f>IF(I170="TP",VLOOKUP(AF170,TPCalibEqFull!$AZ$2:$BB$56,3),IF(I170="TDP",VLOOKUP(AF170,TPCalibEqFull!$AZ$2:$BB$56,3),IF(I170="TDN",VLOOKUP(AF170,TNCalibEqFull!$AZ$1:$BB$56,3),IF(I170="TN",VLOOKUP(AF170,TNCalibEqFull!$AZ$1:$BB$56,3),FALSE))))</f>
        <v>0</v>
      </c>
      <c r="AV170" s="10" t="str">
        <f t="shared" si="18"/>
        <v>0104 09:00:00-QAC-BLK-A-1-DI-LAB</v>
      </c>
    </row>
    <row r="171" spans="1:48" s="10" customFormat="1" x14ac:dyDescent="0.55000000000000004">
      <c r="A171" s="32">
        <v>44930</v>
      </c>
      <c r="B171" s="33">
        <v>0.375</v>
      </c>
      <c r="C171" s="10" t="s">
        <v>70</v>
      </c>
      <c r="D171" s="10" t="s">
        <v>241</v>
      </c>
      <c r="E171" s="10" t="s">
        <v>866</v>
      </c>
      <c r="F171" s="10">
        <v>1</v>
      </c>
      <c r="G171" s="10" t="s">
        <v>73</v>
      </c>
      <c r="H171" s="10" t="s">
        <v>314</v>
      </c>
      <c r="I171" s="10" t="s">
        <v>256</v>
      </c>
      <c r="J171" s="10">
        <v>225</v>
      </c>
      <c r="K171" s="12">
        <v>44930</v>
      </c>
      <c r="L171" s="33">
        <v>0.44483796296296302</v>
      </c>
      <c r="M171" s="10">
        <v>1</v>
      </c>
      <c r="N171" s="10" t="s">
        <v>169</v>
      </c>
      <c r="O171" s="10">
        <v>6.03</v>
      </c>
      <c r="P171" s="10">
        <v>0.28899999999999998</v>
      </c>
      <c r="Q171" s="10">
        <v>820</v>
      </c>
      <c r="R171" s="10" t="s">
        <v>77</v>
      </c>
      <c r="S171" s="34">
        <f t="shared" si="14"/>
        <v>820</v>
      </c>
      <c r="T171" s="10" t="s">
        <v>939</v>
      </c>
      <c r="U171" s="34">
        <f t="shared" si="15"/>
        <v>131.8768</v>
      </c>
      <c r="V171" s="31">
        <f>IF(H171="CHK",VLOOKUP(I171,QCCHK,3,),IF(H171="GUP",VLOOKUP(E171,QCGUP,2,),IF(AND(H171="ATP",OR(I171="TN",I171="TDN",I171="TNO2-3",I171="NO2-3")),VLOOKUP(E171,QCREC_N,2,),IF(AND(H171="NIC",OR(I171="TN",I171="TDN",I171="TNO2-3",I171="NO2-3")),VLOOKUP(E171,QCNIC_N,2,),IF(AND(H171="UREA",OR(I171="TN",I171="TDN",I171="TNO2-3",I171="NO2-3")),VLOOKUP(E171,QCUREA_N,2,),IF(H171="PER",VLOOKUP(I171,QCPER,MATCH(E171,QCACTUAL!$J$25:$AA$25,0),),IF(H171="SPK",VLOOKUP(I171,QCSPK,3,),IF(AND(H171="ATP",OR(I171="TP",I171="TDP")),VLOOKUP(E171,QCATP_P,2,),""))))))))</f>
        <v>625</v>
      </c>
      <c r="W171" s="31" t="str">
        <f t="shared" si="16"/>
        <v>FALSE</v>
      </c>
      <c r="X171" s="31" t="str">
        <f t="shared" si="17"/>
        <v>([spikedunkn]-[unkn])/[spike]*100</v>
      </c>
      <c r="Y171" s="10" t="s">
        <v>949</v>
      </c>
      <c r="AL171" s="10" t="str">
        <f t="shared" si="19"/>
        <v>FALSE</v>
      </c>
      <c r="AM171" s="10" t="str">
        <f t="shared" si="19"/>
        <v>FALSE</v>
      </c>
      <c r="AN171" s="10" t="str">
        <f t="shared" si="19"/>
        <v>FALSE</v>
      </c>
      <c r="AO171" s="10" t="str">
        <f t="shared" si="20"/>
        <v>FALSE</v>
      </c>
      <c r="AP171" s="10" t="str">
        <f t="shared" si="20"/>
        <v>FALSE</v>
      </c>
      <c r="AQ171" s="10" t="b">
        <f>IF(AND(I171="TP",S171&lt;=150),VLOOKUP(AF171,TPCalibEq150!$AZ$2:$BB$55,3,),IF(AND(I171="TDP",S171&lt;=150),VLOOKUP(AF171,TPCalibEq150!$AZ$2:$BB$55,3,)))</f>
        <v>0</v>
      </c>
      <c r="AR171" s="10" t="b">
        <f>IF(AND(I171="TP",S171&lt;=300),VLOOKUP(AF171,TPCalibEq300!$AZ$2:$BB$55,3,),IF(AND(I171="TDP",S171&lt;=300),VLOOKUP(AF171,TPCalibEq300!$AZ$2:$BB$55,3,)))</f>
        <v>0</v>
      </c>
      <c r="AS171" s="10" t="b">
        <f>IF(AND(I171="TP",S171&lt;=500),VLOOKUP(AF171,TPCalibEq500!$AZ$2:$BB$56,3,),IF(AND(I171="TDP",S171&lt;=500),VLOOKUP(AF171,TPCalibEq500!$AZ$2:$BB$56,3,)))</f>
        <v>0</v>
      </c>
      <c r="AT171" s="10" t="b">
        <f>IF(AND(I171="TN",S171&lt;=2800),VLOOKUP(AF171,TNCalibEq2500!$AZ$2:$BB$56,3,),IF(AND(I171="TDN",S171&lt;=2800),VLOOKUP(AF171,TNCalibEq2500!$AZ$2:$BB$56,3,)))</f>
        <v>0</v>
      </c>
      <c r="AU171" s="10" t="b">
        <f>IF(I171="TP",VLOOKUP(AF171,TPCalibEqFull!$AZ$2:$BB$56,3),IF(I171="TDP",VLOOKUP(AF171,TPCalibEqFull!$AZ$2:$BB$56,3),IF(I171="TDN",VLOOKUP(AF171,TNCalibEqFull!$AZ$1:$BB$56,3),IF(I171="TN",VLOOKUP(AF171,TNCalibEqFull!$AZ$1:$BB$56,3),FALSE))))</f>
        <v>0</v>
      </c>
      <c r="AV171" s="10" t="str">
        <f t="shared" si="18"/>
        <v>0104 09:00:00-QAC-BLK-A-1-DI-SPK</v>
      </c>
    </row>
    <row r="172" spans="1:48" s="10" customFormat="1" x14ac:dyDescent="0.55000000000000004">
      <c r="A172" s="32">
        <v>44930</v>
      </c>
      <c r="B172" s="33">
        <v>0.375</v>
      </c>
      <c r="C172" s="10" t="s">
        <v>70</v>
      </c>
      <c r="D172" s="10" t="s">
        <v>71</v>
      </c>
      <c r="E172" s="10" t="s">
        <v>316</v>
      </c>
      <c r="F172" s="10">
        <v>1</v>
      </c>
      <c r="G172" s="10" t="s">
        <v>73</v>
      </c>
      <c r="H172" s="10" t="s">
        <v>74</v>
      </c>
      <c r="I172" s="10" t="s">
        <v>256</v>
      </c>
      <c r="J172" s="10">
        <v>189</v>
      </c>
      <c r="K172" s="12">
        <v>44930</v>
      </c>
      <c r="L172" s="33">
        <v>0.44730324074074074</v>
      </c>
      <c r="M172" s="10">
        <v>1</v>
      </c>
      <c r="N172" s="10" t="s">
        <v>169</v>
      </c>
      <c r="O172" s="10">
        <v>9.69</v>
      </c>
      <c r="P172" s="10">
        <v>0.45900000000000002</v>
      </c>
      <c r="Q172" s="10">
        <v>1320</v>
      </c>
      <c r="R172" s="10" t="s">
        <v>77</v>
      </c>
      <c r="S172" s="34">
        <f t="shared" si="14"/>
        <v>1320</v>
      </c>
      <c r="T172" s="10" t="s">
        <v>939</v>
      </c>
      <c r="U172" s="34" t="str">
        <f t="shared" si="15"/>
        <v/>
      </c>
      <c r="V172" s="31" t="str">
        <f>IF(H172="CHK",VLOOKUP(I172,QCCHK,3,),IF(H172="GUP",VLOOKUP(E172,QCGUP,2,),IF(AND(H172="ATP",OR(I172="TN",I172="TDN",I172="TNO2-3",I172="NO2-3")),VLOOKUP(E172,QCREC_N,2,),IF(AND(H172="NIC",OR(I172="TN",I172="TDN",I172="TNO2-3",I172="NO2-3")),VLOOKUP(E172,QCNIC_N,2,),IF(AND(H172="UREA",OR(I172="TN",I172="TDN",I172="TNO2-3",I172="NO2-3")),VLOOKUP(E172,QCUREA_N,2,),IF(H172="PER",VLOOKUP(I172,QCPER,MATCH(E172,QCACTUAL!$J$25:$AA$25,0),),IF(H172="SPK",VLOOKUP(I172,QCSPK,3,),IF(AND(H172="ATP",OR(I172="TP",I172="TDP")),VLOOKUP(E172,QCATP_P,2,),""))))))))</f>
        <v/>
      </c>
      <c r="W172" s="31" t="str">
        <f t="shared" si="16"/>
        <v>TRUE</v>
      </c>
      <c r="X172" s="31" t="str">
        <f t="shared" si="17"/>
        <v/>
      </c>
      <c r="Y172" s="10" t="s">
        <v>949</v>
      </c>
      <c r="AL172" s="10" t="str">
        <f t="shared" si="19"/>
        <v>FALSE</v>
      </c>
      <c r="AM172" s="10" t="str">
        <f t="shared" si="19"/>
        <v>FALSE</v>
      </c>
      <c r="AN172" s="10" t="str">
        <f t="shared" si="19"/>
        <v>FALSE</v>
      </c>
      <c r="AO172" s="10" t="str">
        <f t="shared" si="20"/>
        <v>FALSE</v>
      </c>
      <c r="AP172" s="10" t="str">
        <f t="shared" si="20"/>
        <v>FALSE</v>
      </c>
      <c r="AQ172" s="10" t="b">
        <f>IF(AND(I172="TP",S172&lt;=150),VLOOKUP(AF172,TPCalibEq150!$AZ$2:$BB$55,3,),IF(AND(I172="TDP",S172&lt;=150),VLOOKUP(AF172,TPCalibEq150!$AZ$2:$BB$55,3,)))</f>
        <v>0</v>
      </c>
      <c r="AR172" s="10" t="b">
        <f>IF(AND(I172="TP",S172&lt;=300),VLOOKUP(AF172,TPCalibEq300!$AZ$2:$BB$55,3,),IF(AND(I172="TDP",S172&lt;=300),VLOOKUP(AF172,TPCalibEq300!$AZ$2:$BB$55,3,)))</f>
        <v>0</v>
      </c>
      <c r="AS172" s="10" t="b">
        <f>IF(AND(I172="TP",S172&lt;=500),VLOOKUP(AF172,TPCalibEq500!$AZ$2:$BB$56,3,),IF(AND(I172="TDP",S172&lt;=500),VLOOKUP(AF172,TPCalibEq500!$AZ$2:$BB$56,3,)))</f>
        <v>0</v>
      </c>
      <c r="AT172" s="10" t="b">
        <f>IF(AND(I172="TN",S172&lt;=2800),VLOOKUP(AF172,TNCalibEq2500!$AZ$2:$BB$56,3,),IF(AND(I172="TDN",S172&lt;=2800),VLOOKUP(AF172,TNCalibEq2500!$AZ$2:$BB$56,3,)))</f>
        <v>0</v>
      </c>
      <c r="AU172" s="10" t="b">
        <f>IF(I172="TP",VLOOKUP(AF172,TPCalibEqFull!$AZ$2:$BB$56,3),IF(I172="TDP",VLOOKUP(AF172,TPCalibEqFull!$AZ$2:$BB$56,3),IF(I172="TDN",VLOOKUP(AF172,TNCalibEqFull!$AZ$1:$BB$56,3),IF(I172="TN",VLOOKUP(AF172,TNCalibEqFull!$AZ$1:$BB$56,3),FALSE))))</f>
        <v>0</v>
      </c>
      <c r="AV172" s="10" t="str">
        <f t="shared" si="18"/>
        <v>0104 09:00:00-QAC-STD-NO2-1-DI-CAL</v>
      </c>
    </row>
    <row r="173" spans="1:48" s="10" customFormat="1" x14ac:dyDescent="0.55000000000000004">
      <c r="A173" s="32">
        <v>44900</v>
      </c>
      <c r="B173" s="33">
        <v>0.375</v>
      </c>
      <c r="C173" s="10" t="s">
        <v>70</v>
      </c>
      <c r="D173" s="10" t="s">
        <v>71</v>
      </c>
      <c r="E173" s="10" t="s">
        <v>316</v>
      </c>
      <c r="F173" s="10">
        <v>1</v>
      </c>
      <c r="G173" s="10" t="s">
        <v>73</v>
      </c>
      <c r="H173" s="10" t="s">
        <v>74</v>
      </c>
      <c r="I173" s="10" t="s">
        <v>256</v>
      </c>
      <c r="J173" s="10">
        <v>190</v>
      </c>
      <c r="K173" s="12">
        <v>44930</v>
      </c>
      <c r="L173" s="33">
        <v>0.44813657407407409</v>
      </c>
      <c r="M173" s="10">
        <v>1</v>
      </c>
      <c r="N173" s="10" t="s">
        <v>169</v>
      </c>
      <c r="O173" s="10">
        <v>9.59</v>
      </c>
      <c r="P173" s="10">
        <v>0.45800000000000002</v>
      </c>
      <c r="Q173" s="10">
        <v>1300</v>
      </c>
      <c r="R173" s="10" t="s">
        <v>77</v>
      </c>
      <c r="S173" s="34">
        <f t="shared" si="14"/>
        <v>1300</v>
      </c>
      <c r="T173" s="10" t="s">
        <v>939</v>
      </c>
      <c r="U173" s="34" t="str">
        <f t="shared" si="15"/>
        <v/>
      </c>
      <c r="V173" s="31" t="str">
        <f>IF(H173="CHK",VLOOKUP(I173,QCCHK,3,),IF(H173="GUP",VLOOKUP(E173,QCGUP,2,),IF(AND(H173="ATP",OR(I173="TN",I173="TDN",I173="TNO2-3",I173="NO2-3")),VLOOKUP(E173,QCREC_N,2,),IF(AND(H173="NIC",OR(I173="TN",I173="TDN",I173="TNO2-3",I173="NO2-3")),VLOOKUP(E173,QCNIC_N,2,),IF(AND(H173="UREA",OR(I173="TN",I173="TDN",I173="TNO2-3",I173="NO2-3")),VLOOKUP(E173,QCUREA_N,2,),IF(H173="PER",VLOOKUP(I173,QCPER,MATCH(E173,QCACTUAL!$J$25:$AA$25,0),),IF(H173="SPK",VLOOKUP(I173,QCSPK,3,),IF(AND(H173="ATP",OR(I173="TP",I173="TDP")),VLOOKUP(E173,QCATP_P,2,),""))))))))</f>
        <v/>
      </c>
      <c r="W173" s="31" t="str">
        <f t="shared" si="16"/>
        <v>TRUE</v>
      </c>
      <c r="X173" s="31" t="str">
        <f t="shared" si="17"/>
        <v/>
      </c>
      <c r="Y173" s="10" t="s">
        <v>949</v>
      </c>
      <c r="Z173" s="10" t="s">
        <v>910</v>
      </c>
      <c r="AL173" s="10" t="str">
        <f t="shared" si="19"/>
        <v>FALSE</v>
      </c>
      <c r="AM173" s="10" t="str">
        <f t="shared" si="19"/>
        <v>FALSE</v>
      </c>
      <c r="AN173" s="10" t="str">
        <f t="shared" si="19"/>
        <v>FALSE</v>
      </c>
      <c r="AO173" s="10" t="str">
        <f t="shared" si="20"/>
        <v>FALSE</v>
      </c>
      <c r="AP173" s="10" t="str">
        <f t="shared" si="20"/>
        <v>FALSE</v>
      </c>
      <c r="AQ173" s="10" t="b">
        <f>IF(AND(I173="TP",S173&lt;=150),VLOOKUP(AF173,TPCalibEq150!$AZ$2:$BB$55,3,),IF(AND(I173="TDP",S173&lt;=150),VLOOKUP(AF173,TPCalibEq150!$AZ$2:$BB$55,3,)))</f>
        <v>0</v>
      </c>
      <c r="AR173" s="10" t="b">
        <f>IF(AND(I173="TP",S173&lt;=300),VLOOKUP(AF173,TPCalibEq300!$AZ$2:$BB$55,3,),IF(AND(I173="TDP",S173&lt;=300),VLOOKUP(AF173,TPCalibEq300!$AZ$2:$BB$55,3,)))</f>
        <v>0</v>
      </c>
      <c r="AS173" s="10" t="b">
        <f>IF(AND(I173="TP",S173&lt;=500),VLOOKUP(AF173,TPCalibEq500!$AZ$2:$BB$56,3,),IF(AND(I173="TDP",S173&lt;=500),VLOOKUP(AF173,TPCalibEq500!$AZ$2:$BB$56,3,)))</f>
        <v>0</v>
      </c>
      <c r="AT173" s="10" t="b">
        <f>IF(AND(I173="TN",S173&lt;=2800),VLOOKUP(AF173,TNCalibEq2500!$AZ$2:$BB$56,3,),IF(AND(I173="TDN",S173&lt;=2800),VLOOKUP(AF173,TNCalibEq2500!$AZ$2:$BB$56,3,)))</f>
        <v>0</v>
      </c>
      <c r="AU173" s="10" t="b">
        <f>IF(I173="TP",VLOOKUP(AF173,TPCalibEqFull!$AZ$2:$BB$56,3),IF(I173="TDP",VLOOKUP(AF173,TPCalibEqFull!$AZ$2:$BB$56,3),IF(I173="TDN",VLOOKUP(AF173,TNCalibEqFull!$AZ$1:$BB$56,3),IF(I173="TN",VLOOKUP(AF173,TNCalibEqFull!$AZ$1:$BB$56,3),FALSE))))</f>
        <v>0</v>
      </c>
      <c r="AV173" s="10" t="str">
        <f t="shared" si="18"/>
        <v>1205 09:00:00-QAC-STD-NO2-1-DI-CAL</v>
      </c>
    </row>
    <row r="174" spans="1:48" s="10" customFormat="1" x14ac:dyDescent="0.55000000000000004">
      <c r="A174" s="32">
        <v>44915</v>
      </c>
      <c r="B174" s="33">
        <v>0.24930555555555556</v>
      </c>
      <c r="C174" s="10" t="s">
        <v>70</v>
      </c>
      <c r="D174" s="10" t="s">
        <v>241</v>
      </c>
      <c r="E174" s="10" t="s">
        <v>866</v>
      </c>
      <c r="F174" s="10">
        <v>1</v>
      </c>
      <c r="G174" s="10" t="s">
        <v>73</v>
      </c>
      <c r="H174" s="10" t="s">
        <v>245</v>
      </c>
      <c r="I174" s="10" t="s">
        <v>256</v>
      </c>
      <c r="J174" s="10">
        <v>53</v>
      </c>
      <c r="K174" s="12">
        <v>44930</v>
      </c>
      <c r="L174" s="33">
        <v>0.44975694444444447</v>
      </c>
      <c r="M174" s="10">
        <v>1</v>
      </c>
      <c r="N174" s="10" t="s">
        <v>169</v>
      </c>
      <c r="O174" s="10">
        <v>8.4500000000000006E-2</v>
      </c>
      <c r="P174" s="10">
        <v>6.3699999999999998E-3</v>
      </c>
      <c r="Q174" s="10">
        <v>11.5</v>
      </c>
      <c r="R174" s="10" t="s">
        <v>77</v>
      </c>
      <c r="S174" s="34">
        <f t="shared" si="14"/>
        <v>11.5</v>
      </c>
      <c r="T174" s="10" t="s">
        <v>939</v>
      </c>
      <c r="U174" s="34">
        <f t="shared" si="15"/>
        <v>11.5</v>
      </c>
      <c r="V174" s="31" t="str">
        <f>IF(H174="CHK",VLOOKUP(I174,QCCHK,3,),IF(H174="GUP",VLOOKUP(E174,QCGUP,2,),IF(AND(H174="ATP",OR(I174="TN",I174="TDN",I174="TNO2-3",I174="NO2-3")),VLOOKUP(E174,QCREC_N,2,),IF(AND(H174="NIC",OR(I174="TN",I174="TDN",I174="TNO2-3",I174="NO2-3")),VLOOKUP(E174,QCNIC_N,2,),IF(AND(H174="UREA",OR(I174="TN",I174="TDN",I174="TNO2-3",I174="NO2-3")),VLOOKUP(E174,QCUREA_N,2,),IF(H174="PER",VLOOKUP(I174,QCPER,MATCH(E174,QCACTUAL!$J$25:$AA$25,0),),IF(H174="SPK",VLOOKUP(I174,QCSPK,3,),IF(AND(H174="ATP",OR(I174="TP",I174="TDP")),VLOOKUP(E174,QCATP_P,2,),""))))))))</f>
        <v/>
      </c>
      <c r="W174" s="31" t="str">
        <f t="shared" si="16"/>
        <v>TRUE</v>
      </c>
      <c r="X174" s="31" t="str">
        <f t="shared" si="17"/>
        <v>nominal concentration</v>
      </c>
      <c r="Y174" s="10" t="s">
        <v>949</v>
      </c>
      <c r="Z174" s="10" t="s">
        <v>910</v>
      </c>
      <c r="AL174" s="10" t="str">
        <f t="shared" si="19"/>
        <v>FALSE</v>
      </c>
      <c r="AM174" s="10" t="str">
        <f t="shared" si="19"/>
        <v>FALSE</v>
      </c>
      <c r="AN174" s="10" t="str">
        <f t="shared" si="19"/>
        <v>FALSE</v>
      </c>
      <c r="AO174" s="10" t="str">
        <f t="shared" si="20"/>
        <v>FALSE</v>
      </c>
      <c r="AP174" s="10" t="str">
        <f t="shared" si="20"/>
        <v>FALSE</v>
      </c>
      <c r="AQ174" s="10" t="b">
        <f>IF(AND(I174="TP",S174&lt;=150),VLOOKUP(AF174,TPCalibEq150!$AZ$2:$BB$55,3,),IF(AND(I174="TDP",S174&lt;=150),VLOOKUP(AF174,TPCalibEq150!$AZ$2:$BB$55,3,)))</f>
        <v>0</v>
      </c>
      <c r="AR174" s="10" t="b">
        <f>IF(AND(I174="TP",S174&lt;=300),VLOOKUP(AF174,TPCalibEq300!$AZ$2:$BB$55,3,),IF(AND(I174="TDP",S174&lt;=300),VLOOKUP(AF174,TPCalibEq300!$AZ$2:$BB$55,3,)))</f>
        <v>0</v>
      </c>
      <c r="AS174" s="10" t="b">
        <f>IF(AND(I174="TP",S174&lt;=500),VLOOKUP(AF174,TPCalibEq500!$AZ$2:$BB$56,3,),IF(AND(I174="TDP",S174&lt;=500),VLOOKUP(AF174,TPCalibEq500!$AZ$2:$BB$56,3,)))</f>
        <v>0</v>
      </c>
      <c r="AT174" s="10" t="b">
        <f>IF(AND(I174="TN",S174&lt;=2800),VLOOKUP(AF174,TNCalibEq2500!$AZ$2:$BB$56,3,),IF(AND(I174="TDN",S174&lt;=2800),VLOOKUP(AF174,TNCalibEq2500!$AZ$2:$BB$56,3,)))</f>
        <v>0</v>
      </c>
      <c r="AU174" s="10" t="b">
        <f>IF(I174="TP",VLOOKUP(AF174,TPCalibEqFull!$AZ$2:$BB$56,3),IF(I174="TDP",VLOOKUP(AF174,TPCalibEqFull!$AZ$2:$BB$56,3),IF(I174="TDN",VLOOKUP(AF174,TNCalibEqFull!$AZ$1:$BB$56,3),IF(I174="TN",VLOOKUP(AF174,TNCalibEqFull!$AZ$1:$BB$56,3),FALSE))))</f>
        <v>0</v>
      </c>
      <c r="AV174" s="10" t="str">
        <f t="shared" si="18"/>
        <v>1220 05:59:00-QAC-BLK-A-1-DI-ESF</v>
      </c>
    </row>
    <row r="175" spans="1:48" s="10" customFormat="1" x14ac:dyDescent="0.55000000000000004">
      <c r="A175" s="32">
        <v>44922</v>
      </c>
      <c r="B175" s="33">
        <v>0.25347222222222221</v>
      </c>
      <c r="C175" s="10" t="s">
        <v>70</v>
      </c>
      <c r="D175" s="10" t="s">
        <v>241</v>
      </c>
      <c r="E175" s="10" t="s">
        <v>866</v>
      </c>
      <c r="F175" s="10">
        <v>1</v>
      </c>
      <c r="G175" s="10" t="s">
        <v>73</v>
      </c>
      <c r="H175" s="10" t="s">
        <v>245</v>
      </c>
      <c r="I175" s="10" t="s">
        <v>256</v>
      </c>
      <c r="J175" s="10">
        <v>54</v>
      </c>
      <c r="K175" s="12">
        <v>44930</v>
      </c>
      <c r="L175" s="33">
        <v>0.45056712962962964</v>
      </c>
      <c r="M175" s="10">
        <v>1</v>
      </c>
      <c r="N175" s="10" t="s">
        <v>169</v>
      </c>
      <c r="O175" s="10">
        <v>6.7599999999999993E-2</v>
      </c>
      <c r="P175" s="10">
        <v>6.1999999999999998E-3</v>
      </c>
      <c r="Q175" s="10">
        <v>9.1999999999999993</v>
      </c>
      <c r="R175" s="10" t="s">
        <v>77</v>
      </c>
      <c r="S175" s="34">
        <f t="shared" si="14"/>
        <v>9.1999999999999993</v>
      </c>
      <c r="T175" s="10" t="s">
        <v>939</v>
      </c>
      <c r="U175" s="34">
        <f t="shared" si="15"/>
        <v>9.1999999999999993</v>
      </c>
      <c r="V175" s="31" t="str">
        <f>IF(H175="CHK",VLOOKUP(I175,QCCHK,3,),IF(H175="GUP",VLOOKUP(E175,QCGUP,2,),IF(AND(H175="ATP",OR(I175="TN",I175="TDN",I175="TNO2-3",I175="NO2-3")),VLOOKUP(E175,QCREC_N,2,),IF(AND(H175="NIC",OR(I175="TN",I175="TDN",I175="TNO2-3",I175="NO2-3")),VLOOKUP(E175,QCNIC_N,2,),IF(AND(H175="UREA",OR(I175="TN",I175="TDN",I175="TNO2-3",I175="NO2-3")),VLOOKUP(E175,QCUREA_N,2,),IF(H175="PER",VLOOKUP(I175,QCPER,MATCH(E175,QCACTUAL!$J$25:$AA$25,0),),IF(H175="SPK",VLOOKUP(I175,QCSPK,3,),IF(AND(H175="ATP",OR(I175="TP",I175="TDP")),VLOOKUP(E175,QCATP_P,2,),""))))))))</f>
        <v/>
      </c>
      <c r="W175" s="31" t="str">
        <f t="shared" si="16"/>
        <v>TRUE</v>
      </c>
      <c r="X175" s="31" t="str">
        <f t="shared" si="17"/>
        <v>nominal concentration</v>
      </c>
      <c r="Y175" s="10" t="s">
        <v>949</v>
      </c>
      <c r="Z175" s="10" t="s">
        <v>910</v>
      </c>
      <c r="AL175" s="10" t="str">
        <f t="shared" si="19"/>
        <v>FALSE</v>
      </c>
      <c r="AM175" s="10" t="str">
        <f t="shared" si="19"/>
        <v>FALSE</v>
      </c>
      <c r="AN175" s="10" t="str">
        <f t="shared" si="19"/>
        <v>FALSE</v>
      </c>
      <c r="AO175" s="10" t="str">
        <f t="shared" si="20"/>
        <v>FALSE</v>
      </c>
      <c r="AP175" s="10" t="str">
        <f t="shared" si="20"/>
        <v>FALSE</v>
      </c>
      <c r="AQ175" s="10" t="b">
        <f>IF(AND(I175="TP",S175&lt;=150),VLOOKUP(AF175,TPCalibEq150!$AZ$2:$BB$55,3,),IF(AND(I175="TDP",S175&lt;=150),VLOOKUP(AF175,TPCalibEq150!$AZ$2:$BB$55,3,)))</f>
        <v>0</v>
      </c>
      <c r="AR175" s="10" t="b">
        <f>IF(AND(I175="TP",S175&lt;=300),VLOOKUP(AF175,TPCalibEq300!$AZ$2:$BB$55,3,),IF(AND(I175="TDP",S175&lt;=300),VLOOKUP(AF175,TPCalibEq300!$AZ$2:$BB$55,3,)))</f>
        <v>0</v>
      </c>
      <c r="AS175" s="10" t="b">
        <f>IF(AND(I175="TP",S175&lt;=500),VLOOKUP(AF175,TPCalibEq500!$AZ$2:$BB$56,3,),IF(AND(I175="TDP",S175&lt;=500),VLOOKUP(AF175,TPCalibEq500!$AZ$2:$BB$56,3,)))</f>
        <v>0</v>
      </c>
      <c r="AT175" s="10" t="b">
        <f>IF(AND(I175="TN",S175&lt;=2800),VLOOKUP(AF175,TNCalibEq2500!$AZ$2:$BB$56,3,),IF(AND(I175="TDN",S175&lt;=2800),VLOOKUP(AF175,TNCalibEq2500!$AZ$2:$BB$56,3,)))</f>
        <v>0</v>
      </c>
      <c r="AU175" s="10" t="b">
        <f>IF(I175="TP",VLOOKUP(AF175,TPCalibEqFull!$AZ$2:$BB$56,3),IF(I175="TDP",VLOOKUP(AF175,TPCalibEqFull!$AZ$2:$BB$56,3),IF(I175="TDN",VLOOKUP(AF175,TNCalibEqFull!$AZ$1:$BB$56,3),IF(I175="TN",VLOOKUP(AF175,TNCalibEqFull!$AZ$1:$BB$56,3),FALSE))))</f>
        <v>0</v>
      </c>
      <c r="AV175" s="10" t="str">
        <f t="shared" si="18"/>
        <v>1227 06:05:00-QAC-BLK-A-1-DI-ESF</v>
      </c>
    </row>
    <row r="176" spans="1:48" s="10" customFormat="1" x14ac:dyDescent="0.55000000000000004">
      <c r="A176" s="32">
        <v>44929</v>
      </c>
      <c r="B176" s="33">
        <v>0.25</v>
      </c>
      <c r="C176" s="10" t="s">
        <v>70</v>
      </c>
      <c r="D176" s="10" t="s">
        <v>241</v>
      </c>
      <c r="E176" s="10" t="s">
        <v>866</v>
      </c>
      <c r="F176" s="10">
        <v>1</v>
      </c>
      <c r="G176" s="10" t="s">
        <v>73</v>
      </c>
      <c r="H176" s="10" t="s">
        <v>245</v>
      </c>
      <c r="I176" s="10" t="s">
        <v>256</v>
      </c>
      <c r="J176" s="10">
        <v>55</v>
      </c>
      <c r="K176" s="12">
        <v>44930</v>
      </c>
      <c r="L176" s="33">
        <v>0.4513773148148148</v>
      </c>
      <c r="M176" s="10">
        <v>1</v>
      </c>
      <c r="N176" s="10" t="s">
        <v>169</v>
      </c>
      <c r="O176" s="10">
        <v>4.2700000000000002E-2</v>
      </c>
      <c r="P176" s="10">
        <v>5.9100000000000003E-3</v>
      </c>
      <c r="Q176" s="10">
        <v>5.81</v>
      </c>
      <c r="R176" s="10" t="s">
        <v>77</v>
      </c>
      <c r="S176" s="34">
        <f t="shared" si="14"/>
        <v>5.81</v>
      </c>
      <c r="T176" s="10" t="s">
        <v>939</v>
      </c>
      <c r="U176" s="34">
        <f t="shared" si="15"/>
        <v>5.81</v>
      </c>
      <c r="V176" s="31" t="str">
        <f>IF(H176="CHK",VLOOKUP(I176,QCCHK,3,),IF(H176="GUP",VLOOKUP(E176,QCGUP,2,),IF(AND(H176="ATP",OR(I176="TN",I176="TDN",I176="TNO2-3",I176="NO2-3")),VLOOKUP(E176,QCREC_N,2,),IF(AND(H176="NIC",OR(I176="TN",I176="TDN",I176="TNO2-3",I176="NO2-3")),VLOOKUP(E176,QCNIC_N,2,),IF(AND(H176="UREA",OR(I176="TN",I176="TDN",I176="TNO2-3",I176="NO2-3")),VLOOKUP(E176,QCUREA_N,2,),IF(H176="PER",VLOOKUP(I176,QCPER,MATCH(E176,QCACTUAL!$J$25:$AA$25,0),),IF(H176="SPK",VLOOKUP(I176,QCSPK,3,),IF(AND(H176="ATP",OR(I176="TP",I176="TDP")),VLOOKUP(E176,QCATP_P,2,),""))))))))</f>
        <v/>
      </c>
      <c r="W176" s="31" t="str">
        <f t="shared" si="16"/>
        <v>TRUE</v>
      </c>
      <c r="X176" s="31" t="str">
        <f t="shared" si="17"/>
        <v>nominal concentration</v>
      </c>
      <c r="Y176" s="10" t="s">
        <v>949</v>
      </c>
      <c r="AL176" s="10" t="str">
        <f t="shared" si="19"/>
        <v>FALSE</v>
      </c>
      <c r="AM176" s="10" t="str">
        <f t="shared" si="19"/>
        <v>FALSE</v>
      </c>
      <c r="AN176" s="10" t="str">
        <f t="shared" si="19"/>
        <v>FALSE</v>
      </c>
      <c r="AO176" s="10" t="str">
        <f t="shared" si="20"/>
        <v>FALSE</v>
      </c>
      <c r="AP176" s="10" t="str">
        <f t="shared" si="20"/>
        <v>FALSE</v>
      </c>
      <c r="AQ176" s="10" t="b">
        <f>IF(AND(I176="TP",S176&lt;=150),VLOOKUP(AF176,TPCalibEq150!$AZ$2:$BB$55,3,),IF(AND(I176="TDP",S176&lt;=150),VLOOKUP(AF176,TPCalibEq150!$AZ$2:$BB$55,3,)))</f>
        <v>0</v>
      </c>
      <c r="AR176" s="10" t="b">
        <f>IF(AND(I176="TP",S176&lt;=300),VLOOKUP(AF176,TPCalibEq300!$AZ$2:$BB$55,3,),IF(AND(I176="TDP",S176&lt;=300),VLOOKUP(AF176,TPCalibEq300!$AZ$2:$BB$55,3,)))</f>
        <v>0</v>
      </c>
      <c r="AS176" s="10" t="b">
        <f>IF(AND(I176="TP",S176&lt;=500),VLOOKUP(AF176,TPCalibEq500!$AZ$2:$BB$56,3,),IF(AND(I176="TDP",S176&lt;=500),VLOOKUP(AF176,TPCalibEq500!$AZ$2:$BB$56,3,)))</f>
        <v>0</v>
      </c>
      <c r="AT176" s="10" t="b">
        <f>IF(AND(I176="TN",S176&lt;=2800),VLOOKUP(AF176,TNCalibEq2500!$AZ$2:$BB$56,3,),IF(AND(I176="TDN",S176&lt;=2800),VLOOKUP(AF176,TNCalibEq2500!$AZ$2:$BB$56,3,)))</f>
        <v>0</v>
      </c>
      <c r="AU176" s="10" t="b">
        <f>IF(I176="TP",VLOOKUP(AF176,TPCalibEqFull!$AZ$2:$BB$56,3),IF(I176="TDP",VLOOKUP(AF176,TPCalibEqFull!$AZ$2:$BB$56,3),IF(I176="TDN",VLOOKUP(AF176,TNCalibEqFull!$AZ$1:$BB$56,3),IF(I176="TN",VLOOKUP(AF176,TNCalibEqFull!$AZ$1:$BB$56,3),FALSE))))</f>
        <v>0</v>
      </c>
      <c r="AV176" s="10" t="str">
        <f t="shared" si="18"/>
        <v>0103 06:00:00-QAC-BLK-A-1-DI-ESF</v>
      </c>
    </row>
    <row r="177" spans="1:48" s="10" customFormat="1" x14ac:dyDescent="0.55000000000000004">
      <c r="A177" s="32">
        <v>44915</v>
      </c>
      <c r="B177" s="33">
        <v>0.24930555555555556</v>
      </c>
      <c r="C177" s="10" t="s">
        <v>70</v>
      </c>
      <c r="D177" s="10" t="s">
        <v>241</v>
      </c>
      <c r="E177" s="10" t="s">
        <v>911</v>
      </c>
      <c r="F177" s="10">
        <v>1</v>
      </c>
      <c r="G177" s="10" t="s">
        <v>73</v>
      </c>
      <c r="H177" s="10" t="s">
        <v>245</v>
      </c>
      <c r="I177" s="10" t="s">
        <v>209</v>
      </c>
      <c r="J177" s="10">
        <v>56</v>
      </c>
      <c r="K177" s="12">
        <v>44930</v>
      </c>
      <c r="L177" s="33">
        <v>0.45219907407407406</v>
      </c>
      <c r="M177" s="10">
        <v>1</v>
      </c>
      <c r="N177" s="10" t="s">
        <v>169</v>
      </c>
      <c r="O177" s="10">
        <v>4.0800000000000003E-2</v>
      </c>
      <c r="P177" s="10">
        <v>6.0299999999999998E-3</v>
      </c>
      <c r="Q177" s="10">
        <v>5.55</v>
      </c>
      <c r="R177" s="10" t="s">
        <v>77</v>
      </c>
      <c r="S177" s="34">
        <f t="shared" si="14"/>
        <v>5.55</v>
      </c>
      <c r="T177" s="10" t="s">
        <v>939</v>
      </c>
      <c r="U177" s="34">
        <f t="shared" si="15"/>
        <v>5.55</v>
      </c>
      <c r="V177" s="31" t="str">
        <f>IF(H177="CHK",VLOOKUP(I177,QCCHK,3,),IF(H177="GUP",VLOOKUP(E177,QCGUP,2,),IF(AND(H177="ATP",OR(I177="TN",I177="TDN",I177="TNO2-3",I177="NO2-3")),VLOOKUP(E177,QCREC_N,2,),IF(AND(H177="NIC",OR(I177="TN",I177="TDN",I177="TNO2-3",I177="NO2-3")),VLOOKUP(E177,QCNIC_N,2,),IF(AND(H177="UREA",OR(I177="TN",I177="TDN",I177="TNO2-3",I177="NO2-3")),VLOOKUP(E177,QCUREA_N,2,),IF(H177="PER",VLOOKUP(I177,QCPER,MATCH(E177,QCACTUAL!$J$25:$AA$25,0),),IF(H177="SPK",VLOOKUP(I177,QCSPK,3,),IF(AND(H177="ATP",OR(I177="TP",I177="TDP")),VLOOKUP(E177,QCATP_P,2,),""))))))))</f>
        <v/>
      </c>
      <c r="W177" s="31" t="str">
        <f t="shared" si="16"/>
        <v>TRUE</v>
      </c>
      <c r="X177" s="31" t="str">
        <f t="shared" si="17"/>
        <v>nominal concentration</v>
      </c>
      <c r="Y177" s="10" t="s">
        <v>949</v>
      </c>
      <c r="Z177" s="10" t="s">
        <v>910</v>
      </c>
      <c r="AL177" s="10" t="str">
        <f t="shared" si="19"/>
        <v>FALSE</v>
      </c>
      <c r="AM177" s="10" t="str">
        <f t="shared" si="19"/>
        <v>FALSE</v>
      </c>
      <c r="AN177" s="10" t="str">
        <f t="shared" si="19"/>
        <v>FALSE</v>
      </c>
      <c r="AO177" s="10" t="str">
        <f t="shared" si="20"/>
        <v>FALSE</v>
      </c>
      <c r="AP177" s="10" t="str">
        <f t="shared" si="20"/>
        <v>FALSE</v>
      </c>
      <c r="AQ177" s="10" t="b">
        <f>IF(AND(I177="TP",S177&lt;=150),VLOOKUP(AF177,TPCalibEq150!$AZ$2:$BB$55,3,),IF(AND(I177="TDP",S177&lt;=150),VLOOKUP(AF177,TPCalibEq150!$AZ$2:$BB$55,3,)))</f>
        <v>0</v>
      </c>
      <c r="AR177" s="10" t="b">
        <f>IF(AND(I177="TP",S177&lt;=300),VLOOKUP(AF177,TPCalibEq300!$AZ$2:$BB$55,3,),IF(AND(I177="TDP",S177&lt;=300),VLOOKUP(AF177,TPCalibEq300!$AZ$2:$BB$55,3,)))</f>
        <v>0</v>
      </c>
      <c r="AS177" s="10" t="b">
        <f>IF(AND(I177="TP",S177&lt;=500),VLOOKUP(AF177,TPCalibEq500!$AZ$2:$BB$56,3,),IF(AND(I177="TDP",S177&lt;=500),VLOOKUP(AF177,TPCalibEq500!$AZ$2:$BB$56,3,)))</f>
        <v>0</v>
      </c>
      <c r="AT177" s="10" t="b">
        <f>IF(AND(I177="TN",S177&lt;=2800),VLOOKUP(AF177,TNCalibEq2500!$AZ$2:$BB$56,3,),IF(AND(I177="TDN",S177&lt;=2800),VLOOKUP(AF177,TNCalibEq2500!$AZ$2:$BB$56,3,)))</f>
        <v>0</v>
      </c>
      <c r="AU177" s="10" t="b">
        <f>IF(I177="TP",VLOOKUP(AF177,TPCalibEqFull!$AZ$2:$BB$56,3),IF(I177="TDP",VLOOKUP(AF177,TPCalibEqFull!$AZ$2:$BB$56,3),IF(I177="TDN",VLOOKUP(AF177,TNCalibEqFull!$AZ$1:$BB$56,3),IF(I177="TN",VLOOKUP(AF177,TNCalibEqFull!$AZ$1:$BB$56,3),FALSE))))</f>
        <v>0</v>
      </c>
      <c r="AV177" s="10" t="str">
        <f t="shared" si="18"/>
        <v>1220 05:59:00-QAC-BLK-FIL-1-DI-ESF</v>
      </c>
    </row>
    <row r="178" spans="1:48" s="10" customFormat="1" x14ac:dyDescent="0.55000000000000004">
      <c r="A178" s="32">
        <v>44922</v>
      </c>
      <c r="B178" s="33">
        <v>0.25347222222222221</v>
      </c>
      <c r="C178" s="10" t="s">
        <v>70</v>
      </c>
      <c r="D178" s="10" t="s">
        <v>241</v>
      </c>
      <c r="E178" s="10" t="s">
        <v>911</v>
      </c>
      <c r="F178" s="10">
        <v>1</v>
      </c>
      <c r="G178" s="10" t="s">
        <v>73</v>
      </c>
      <c r="H178" s="10" t="s">
        <v>245</v>
      </c>
      <c r="I178" s="10" t="s">
        <v>209</v>
      </c>
      <c r="J178" s="10">
        <v>57</v>
      </c>
      <c r="K178" s="12">
        <v>44930</v>
      </c>
      <c r="L178" s="33">
        <v>0.45300925925925922</v>
      </c>
      <c r="M178" s="10">
        <v>1</v>
      </c>
      <c r="N178" s="10" t="s">
        <v>169</v>
      </c>
      <c r="O178" s="10">
        <v>8.3500000000000005E-2</v>
      </c>
      <c r="P178" s="10">
        <v>6.2300000000000003E-3</v>
      </c>
      <c r="Q178" s="10">
        <v>11.4</v>
      </c>
      <c r="R178" s="10" t="s">
        <v>77</v>
      </c>
      <c r="S178" s="34">
        <f t="shared" si="14"/>
        <v>11.4</v>
      </c>
      <c r="T178" s="10" t="s">
        <v>939</v>
      </c>
      <c r="U178" s="34">
        <f t="shared" si="15"/>
        <v>11.4</v>
      </c>
      <c r="V178" s="31" t="str">
        <f>IF(H178="CHK",VLOOKUP(I178,QCCHK,3,),IF(H178="GUP",VLOOKUP(E178,QCGUP,2,),IF(AND(H178="ATP",OR(I178="TN",I178="TDN",I178="TNO2-3",I178="NO2-3")),VLOOKUP(E178,QCREC_N,2,),IF(AND(H178="NIC",OR(I178="TN",I178="TDN",I178="TNO2-3",I178="NO2-3")),VLOOKUP(E178,QCNIC_N,2,),IF(AND(H178="UREA",OR(I178="TN",I178="TDN",I178="TNO2-3",I178="NO2-3")),VLOOKUP(E178,QCUREA_N,2,),IF(H178="PER",VLOOKUP(I178,QCPER,MATCH(E178,QCACTUAL!$J$25:$AA$25,0),),IF(H178="SPK",VLOOKUP(I178,QCSPK,3,),IF(AND(H178="ATP",OR(I178="TP",I178="TDP")),VLOOKUP(E178,QCATP_P,2,),""))))))))</f>
        <v/>
      </c>
      <c r="W178" s="31" t="str">
        <f t="shared" si="16"/>
        <v>TRUE</v>
      </c>
      <c r="X178" s="31" t="str">
        <f t="shared" si="17"/>
        <v>nominal concentration</v>
      </c>
      <c r="Y178" s="10" t="s">
        <v>949</v>
      </c>
      <c r="Z178" s="10" t="s">
        <v>910</v>
      </c>
      <c r="AL178" s="10" t="str">
        <f t="shared" si="19"/>
        <v>FALSE</v>
      </c>
      <c r="AM178" s="10" t="str">
        <f t="shared" si="19"/>
        <v>FALSE</v>
      </c>
      <c r="AN178" s="10" t="str">
        <f t="shared" si="19"/>
        <v>FALSE</v>
      </c>
      <c r="AO178" s="10" t="str">
        <f t="shared" si="20"/>
        <v>FALSE</v>
      </c>
      <c r="AP178" s="10" t="str">
        <f t="shared" si="20"/>
        <v>FALSE</v>
      </c>
      <c r="AQ178" s="10" t="b">
        <f>IF(AND(I178="TP",S178&lt;=150),VLOOKUP(AF178,TPCalibEq150!$AZ$2:$BB$55,3,),IF(AND(I178="TDP",S178&lt;=150),VLOOKUP(AF178,TPCalibEq150!$AZ$2:$BB$55,3,)))</f>
        <v>0</v>
      </c>
      <c r="AR178" s="10" t="b">
        <f>IF(AND(I178="TP",S178&lt;=300),VLOOKUP(AF178,TPCalibEq300!$AZ$2:$BB$55,3,),IF(AND(I178="TDP",S178&lt;=300),VLOOKUP(AF178,TPCalibEq300!$AZ$2:$BB$55,3,)))</f>
        <v>0</v>
      </c>
      <c r="AS178" s="10" t="b">
        <f>IF(AND(I178="TP",S178&lt;=500),VLOOKUP(AF178,TPCalibEq500!$AZ$2:$BB$56,3,),IF(AND(I178="TDP",S178&lt;=500),VLOOKUP(AF178,TPCalibEq500!$AZ$2:$BB$56,3,)))</f>
        <v>0</v>
      </c>
      <c r="AT178" s="10" t="b">
        <f>IF(AND(I178="TN",S178&lt;=2800),VLOOKUP(AF178,TNCalibEq2500!$AZ$2:$BB$56,3,),IF(AND(I178="TDN",S178&lt;=2800),VLOOKUP(AF178,TNCalibEq2500!$AZ$2:$BB$56,3,)))</f>
        <v>0</v>
      </c>
      <c r="AU178" s="10" t="b">
        <f>IF(I178="TP",VLOOKUP(AF178,TPCalibEqFull!$AZ$2:$BB$56,3),IF(I178="TDP",VLOOKUP(AF178,TPCalibEqFull!$AZ$2:$BB$56,3),IF(I178="TDN",VLOOKUP(AF178,TNCalibEqFull!$AZ$1:$BB$56,3),IF(I178="TN",VLOOKUP(AF178,TNCalibEqFull!$AZ$1:$BB$56,3),FALSE))))</f>
        <v>0</v>
      </c>
      <c r="AV178" s="10" t="str">
        <f t="shared" si="18"/>
        <v>1227 06:05:00-QAC-BLK-FIL-1-DI-ESF</v>
      </c>
    </row>
    <row r="179" spans="1:48" s="10" customFormat="1" x14ac:dyDescent="0.55000000000000004">
      <c r="A179" s="32">
        <v>44929</v>
      </c>
      <c r="B179" s="33">
        <v>0.25</v>
      </c>
      <c r="C179" s="10" t="s">
        <v>70</v>
      </c>
      <c r="D179" s="10" t="s">
        <v>241</v>
      </c>
      <c r="E179" s="10" t="s">
        <v>911</v>
      </c>
      <c r="F179" s="10">
        <v>1</v>
      </c>
      <c r="G179" s="10" t="s">
        <v>73</v>
      </c>
      <c r="H179" s="10" t="s">
        <v>245</v>
      </c>
      <c r="I179" s="10" t="s">
        <v>209</v>
      </c>
      <c r="J179" s="10">
        <v>58</v>
      </c>
      <c r="K179" s="12">
        <v>44930</v>
      </c>
      <c r="L179" s="33">
        <v>0.4538194444444445</v>
      </c>
      <c r="M179" s="10">
        <v>1</v>
      </c>
      <c r="N179" s="10" t="s">
        <v>169</v>
      </c>
      <c r="O179" s="10">
        <v>8.4500000000000006E-2</v>
      </c>
      <c r="P179" s="10">
        <v>6.0699999999999999E-3</v>
      </c>
      <c r="Q179" s="10">
        <v>11.5</v>
      </c>
      <c r="R179" s="10" t="s">
        <v>77</v>
      </c>
      <c r="S179" s="34">
        <f t="shared" si="14"/>
        <v>11.5</v>
      </c>
      <c r="T179" s="10" t="s">
        <v>939</v>
      </c>
      <c r="U179" s="34">
        <f t="shared" si="15"/>
        <v>11.5</v>
      </c>
      <c r="V179" s="31" t="str">
        <f>IF(H179="CHK",VLOOKUP(I179,QCCHK,3,),IF(H179="GUP",VLOOKUP(E179,QCGUP,2,),IF(AND(H179="ATP",OR(I179="TN",I179="TDN",I179="TNO2-3",I179="NO2-3")),VLOOKUP(E179,QCREC_N,2,),IF(AND(H179="NIC",OR(I179="TN",I179="TDN",I179="TNO2-3",I179="NO2-3")),VLOOKUP(E179,QCNIC_N,2,),IF(AND(H179="UREA",OR(I179="TN",I179="TDN",I179="TNO2-3",I179="NO2-3")),VLOOKUP(E179,QCUREA_N,2,),IF(H179="PER",VLOOKUP(I179,QCPER,MATCH(E179,QCACTUAL!$J$25:$AA$25,0),),IF(H179="SPK",VLOOKUP(I179,QCSPK,3,),IF(AND(H179="ATP",OR(I179="TP",I179="TDP")),VLOOKUP(E179,QCATP_P,2,),""))))))))</f>
        <v/>
      </c>
      <c r="W179" s="31" t="str">
        <f t="shared" si="16"/>
        <v>TRUE</v>
      </c>
      <c r="X179" s="31" t="str">
        <f t="shared" si="17"/>
        <v>nominal concentration</v>
      </c>
      <c r="Y179" s="10" t="s">
        <v>949</v>
      </c>
      <c r="AL179" s="10" t="str">
        <f t="shared" si="19"/>
        <v>FALSE</v>
      </c>
      <c r="AM179" s="10" t="str">
        <f t="shared" si="19"/>
        <v>FALSE</v>
      </c>
      <c r="AN179" s="10" t="str">
        <f t="shared" si="19"/>
        <v>FALSE</v>
      </c>
      <c r="AO179" s="10" t="str">
        <f t="shared" si="20"/>
        <v>FALSE</v>
      </c>
      <c r="AP179" s="10" t="str">
        <f t="shared" si="20"/>
        <v>FALSE</v>
      </c>
      <c r="AQ179" s="10" t="b">
        <f>IF(AND(I179="TP",S179&lt;=150),VLOOKUP(AF179,TPCalibEq150!$AZ$2:$BB$55,3,),IF(AND(I179="TDP",S179&lt;=150),VLOOKUP(AF179,TPCalibEq150!$AZ$2:$BB$55,3,)))</f>
        <v>0</v>
      </c>
      <c r="AR179" s="10" t="b">
        <f>IF(AND(I179="TP",S179&lt;=300),VLOOKUP(AF179,TPCalibEq300!$AZ$2:$BB$55,3,),IF(AND(I179="TDP",S179&lt;=300),VLOOKUP(AF179,TPCalibEq300!$AZ$2:$BB$55,3,)))</f>
        <v>0</v>
      </c>
      <c r="AS179" s="10" t="b">
        <f>IF(AND(I179="TP",S179&lt;=500),VLOOKUP(AF179,TPCalibEq500!$AZ$2:$BB$56,3,),IF(AND(I179="TDP",S179&lt;=500),VLOOKUP(AF179,TPCalibEq500!$AZ$2:$BB$56,3,)))</f>
        <v>0</v>
      </c>
      <c r="AT179" s="10" t="b">
        <f>IF(AND(I179="TN",S179&lt;=2800),VLOOKUP(AF179,TNCalibEq2500!$AZ$2:$BB$56,3,),IF(AND(I179="TDN",S179&lt;=2800),VLOOKUP(AF179,TNCalibEq2500!$AZ$2:$BB$56,3,)))</f>
        <v>0</v>
      </c>
      <c r="AU179" s="10" t="b">
        <f>IF(I179="TP",VLOOKUP(AF179,TPCalibEqFull!$AZ$2:$BB$56,3),IF(I179="TDP",VLOOKUP(AF179,TPCalibEqFull!$AZ$2:$BB$56,3),IF(I179="TDN",VLOOKUP(AF179,TNCalibEqFull!$AZ$1:$BB$56,3),IF(I179="TN",VLOOKUP(AF179,TNCalibEqFull!$AZ$1:$BB$56,3),FALSE))))</f>
        <v>0</v>
      </c>
      <c r="AV179" s="10" t="str">
        <f t="shared" si="18"/>
        <v>0103 06:00:00-QAC-BLK-FIL-1-DI-ESF</v>
      </c>
    </row>
    <row r="180" spans="1:48" s="10" customFormat="1" x14ac:dyDescent="0.55000000000000004">
      <c r="A180" s="32">
        <v>44909</v>
      </c>
      <c r="B180" s="33">
        <v>0.23541666666666669</v>
      </c>
      <c r="C180" s="10" t="s">
        <v>279</v>
      </c>
      <c r="D180" s="10">
        <v>0</v>
      </c>
      <c r="E180" s="10" t="s">
        <v>190</v>
      </c>
      <c r="F180" s="10">
        <v>1</v>
      </c>
      <c r="G180" s="10" t="s">
        <v>231</v>
      </c>
      <c r="H180" s="10" t="s">
        <v>322</v>
      </c>
      <c r="I180" s="10" t="s">
        <v>256</v>
      </c>
      <c r="J180" s="10">
        <v>1</v>
      </c>
      <c r="K180" s="12">
        <v>44930</v>
      </c>
      <c r="L180" s="33">
        <v>0.4546412037037037</v>
      </c>
      <c r="M180" s="10">
        <v>1</v>
      </c>
      <c r="N180" s="10" t="s">
        <v>169</v>
      </c>
      <c r="O180" s="10">
        <v>9.85</v>
      </c>
      <c r="P180" s="10">
        <v>0.45900000000000002</v>
      </c>
      <c r="Q180" s="10">
        <v>1340</v>
      </c>
      <c r="R180" s="10" t="s">
        <v>77</v>
      </c>
      <c r="S180" s="34">
        <f t="shared" si="14"/>
        <v>1340</v>
      </c>
      <c r="T180" s="10" t="s">
        <v>939</v>
      </c>
      <c r="U180" s="34" t="str">
        <f t="shared" si="15"/>
        <v/>
      </c>
      <c r="V180" s="31" t="str">
        <f>IF(H180="CHK",VLOOKUP(I180,QCCHK,3,),IF(H180="GUP",VLOOKUP(E180,QCGUP,2,),IF(AND(H180="ATP",OR(I180="TN",I180="TDN",I180="TNO2-3",I180="NO2-3")),VLOOKUP(E180,QCREC_N,2,),IF(AND(H180="NIC",OR(I180="TN",I180="TDN",I180="TNO2-3",I180="NO2-3")),VLOOKUP(E180,QCNIC_N,2,),IF(AND(H180="UREA",OR(I180="TN",I180="TDN",I180="TNO2-3",I180="NO2-3")),VLOOKUP(E180,QCUREA_N,2,),IF(H180="PER",VLOOKUP(I180,QCPER,MATCH(E180,QCACTUAL!$J$25:$AA$25,0),),IF(H180="SPK",VLOOKUP(I180,QCSPK,3,),IF(AND(H180="ATP",OR(I180="TP",I180="TDP")),VLOOKUP(E180,QCATP_P,2,),""))))))))</f>
        <v/>
      </c>
      <c r="W180" s="31" t="str">
        <f t="shared" si="16"/>
        <v>TRUE</v>
      </c>
      <c r="X180" s="31" t="str">
        <f t="shared" si="17"/>
        <v/>
      </c>
      <c r="Y180" s="10" t="s">
        <v>949</v>
      </c>
      <c r="Z180" s="10" t="s">
        <v>910</v>
      </c>
      <c r="AL180" s="10" t="str">
        <f t="shared" si="19"/>
        <v>FALSE</v>
      </c>
      <c r="AM180" s="10" t="str">
        <f t="shared" si="19"/>
        <v>FALSE</v>
      </c>
      <c r="AN180" s="10" t="str">
        <f t="shared" si="19"/>
        <v>FALSE</v>
      </c>
      <c r="AO180" s="10" t="str">
        <f t="shared" si="20"/>
        <v>FALSE</v>
      </c>
      <c r="AP180" s="10" t="str">
        <f t="shared" si="20"/>
        <v>FALSE</v>
      </c>
      <c r="AQ180" s="10" t="b">
        <f>IF(AND(I180="TP",S180&lt;=150),VLOOKUP(AF180,TPCalibEq150!$AZ$2:$BB$55,3,),IF(AND(I180="TDP",S180&lt;=150),VLOOKUP(AF180,TPCalibEq150!$AZ$2:$BB$55,3,)))</f>
        <v>0</v>
      </c>
      <c r="AR180" s="10" t="b">
        <f>IF(AND(I180="TP",S180&lt;=300),VLOOKUP(AF180,TPCalibEq300!$AZ$2:$BB$55,3,),IF(AND(I180="TDP",S180&lt;=300),VLOOKUP(AF180,TPCalibEq300!$AZ$2:$BB$55,3,)))</f>
        <v>0</v>
      </c>
      <c r="AS180" s="10" t="b">
        <f>IF(AND(I180="TP",S180&lt;=500),VLOOKUP(AF180,TPCalibEq500!$AZ$2:$BB$56,3,),IF(AND(I180="TDP",S180&lt;=500),VLOOKUP(AF180,TPCalibEq500!$AZ$2:$BB$56,3,)))</f>
        <v>0</v>
      </c>
      <c r="AT180" s="10" t="b">
        <f>IF(AND(I180="TN",S180&lt;=2800),VLOOKUP(AF180,TNCalibEq2500!$AZ$2:$BB$56,3,),IF(AND(I180="TDN",S180&lt;=2800),VLOOKUP(AF180,TNCalibEq2500!$AZ$2:$BB$56,3,)))</f>
        <v>0</v>
      </c>
      <c r="AU180" s="10" t="b">
        <f>IF(I180="TP",VLOOKUP(AF180,TPCalibEqFull!$AZ$2:$BB$56,3),IF(I180="TDP",VLOOKUP(AF180,TPCalibEqFull!$AZ$2:$BB$56,3),IF(I180="TDN",VLOOKUP(AF180,TNCalibEqFull!$AZ$1:$BB$56,3),IF(I180="TN",VLOOKUP(AF180,TNCalibEqFull!$AZ$1:$BB$56,3),FALSE))))</f>
        <v>0</v>
      </c>
      <c r="AV180" s="10" t="str">
        <f t="shared" si="18"/>
        <v>1214 05:39:00-EFK-0-C-1-SW-UKN</v>
      </c>
    </row>
    <row r="181" spans="1:48" s="10" customFormat="1" x14ac:dyDescent="0.55000000000000004">
      <c r="A181" s="32">
        <v>44909</v>
      </c>
      <c r="B181" s="33">
        <v>0.24236111111111111</v>
      </c>
      <c r="C181" s="10" t="s">
        <v>333</v>
      </c>
      <c r="D181" s="10">
        <v>0</v>
      </c>
      <c r="E181" s="10" t="s">
        <v>190</v>
      </c>
      <c r="F181" s="10">
        <v>1</v>
      </c>
      <c r="G181" s="10" t="s">
        <v>231</v>
      </c>
      <c r="H181" s="10" t="s">
        <v>322</v>
      </c>
      <c r="I181" s="10" t="s">
        <v>256</v>
      </c>
      <c r="J181" s="10">
        <v>2</v>
      </c>
      <c r="K181" s="12">
        <v>44930</v>
      </c>
      <c r="L181" s="33">
        <v>0.45546296296296296</v>
      </c>
      <c r="M181" s="10">
        <v>1</v>
      </c>
      <c r="N181" s="10" t="s">
        <v>169</v>
      </c>
      <c r="O181" s="10">
        <v>2.4500000000000002</v>
      </c>
      <c r="P181" s="10">
        <v>0.112</v>
      </c>
      <c r="Q181" s="10">
        <v>334</v>
      </c>
      <c r="R181" s="10" t="s">
        <v>77</v>
      </c>
      <c r="S181" s="34">
        <f t="shared" si="14"/>
        <v>334</v>
      </c>
      <c r="T181" s="10" t="s">
        <v>939</v>
      </c>
      <c r="U181" s="34" t="str">
        <f t="shared" si="15"/>
        <v/>
      </c>
      <c r="V181" s="31" t="str">
        <f>IF(H181="CHK",VLOOKUP(I181,QCCHK,3,),IF(H181="GUP",VLOOKUP(E181,QCGUP,2,),IF(AND(H181="ATP",OR(I181="TN",I181="TDN",I181="TNO2-3",I181="NO2-3")),VLOOKUP(E181,QCREC_N,2,),IF(AND(H181="NIC",OR(I181="TN",I181="TDN",I181="TNO2-3",I181="NO2-3")),VLOOKUP(E181,QCNIC_N,2,),IF(AND(H181="UREA",OR(I181="TN",I181="TDN",I181="TNO2-3",I181="NO2-3")),VLOOKUP(E181,QCUREA_N,2,),IF(H181="PER",VLOOKUP(I181,QCPER,MATCH(E181,QCACTUAL!$J$25:$AA$25,0),),IF(H181="SPK",VLOOKUP(I181,QCSPK,3,),IF(AND(H181="ATP",OR(I181="TP",I181="TDP")),VLOOKUP(E181,QCATP_P,2,),""))))))))</f>
        <v/>
      </c>
      <c r="W181" s="31" t="str">
        <f t="shared" si="16"/>
        <v>TRUE</v>
      </c>
      <c r="X181" s="31" t="str">
        <f t="shared" si="17"/>
        <v/>
      </c>
      <c r="Y181" s="10" t="s">
        <v>949</v>
      </c>
      <c r="Z181" s="10" t="s">
        <v>910</v>
      </c>
      <c r="AL181" s="10" t="str">
        <f t="shared" si="19"/>
        <v>FALSE</v>
      </c>
      <c r="AM181" s="10" t="str">
        <f t="shared" si="19"/>
        <v>FALSE</v>
      </c>
      <c r="AN181" s="10" t="str">
        <f t="shared" si="19"/>
        <v>FALSE</v>
      </c>
      <c r="AO181" s="10" t="str">
        <f t="shared" si="20"/>
        <v>FALSE</v>
      </c>
      <c r="AP181" s="10" t="str">
        <f t="shared" si="20"/>
        <v>FALSE</v>
      </c>
      <c r="AQ181" s="10" t="b">
        <f>IF(AND(I181="TP",S181&lt;=150),VLOOKUP(AF181,TPCalibEq150!$AZ$2:$BB$55,3,),IF(AND(I181="TDP",S181&lt;=150),VLOOKUP(AF181,TPCalibEq150!$AZ$2:$BB$55,3,)))</f>
        <v>0</v>
      </c>
      <c r="AR181" s="10" t="b">
        <f>IF(AND(I181="TP",S181&lt;=300),VLOOKUP(AF181,TPCalibEq300!$AZ$2:$BB$55,3,),IF(AND(I181="TDP",S181&lt;=300),VLOOKUP(AF181,TPCalibEq300!$AZ$2:$BB$55,3,)))</f>
        <v>0</v>
      </c>
      <c r="AS181" s="10" t="b">
        <f>IF(AND(I181="TP",S181&lt;=500),VLOOKUP(AF181,TPCalibEq500!$AZ$2:$BB$56,3,),IF(AND(I181="TDP",S181&lt;=500),VLOOKUP(AF181,TPCalibEq500!$AZ$2:$BB$56,3,)))</f>
        <v>0</v>
      </c>
      <c r="AT181" s="10" t="b">
        <f>IF(AND(I181="TN",S181&lt;=2800),VLOOKUP(AF181,TNCalibEq2500!$AZ$2:$BB$56,3,),IF(AND(I181="TDN",S181&lt;=2800),VLOOKUP(AF181,TNCalibEq2500!$AZ$2:$BB$56,3,)))</f>
        <v>0</v>
      </c>
      <c r="AU181" s="10" t="b">
        <f>IF(I181="TP",VLOOKUP(AF181,TPCalibEqFull!$AZ$2:$BB$56,3),IF(I181="TDP",VLOOKUP(AF181,TPCalibEqFull!$AZ$2:$BB$56,3),IF(I181="TDN",VLOOKUP(AF181,TNCalibEqFull!$AZ$1:$BB$56,3),IF(I181="TN",VLOOKUP(AF181,TNCalibEqFull!$AZ$1:$BB$56,3),FALSE))))</f>
        <v>0</v>
      </c>
      <c r="AV181" s="10" t="str">
        <f t="shared" si="18"/>
        <v>1214 05:49:00-HST-0-C-1-SW-UKN</v>
      </c>
    </row>
    <row r="182" spans="1:48" s="10" customFormat="1" x14ac:dyDescent="0.55000000000000004">
      <c r="A182" s="32">
        <v>44910</v>
      </c>
      <c r="B182" s="33">
        <v>0.18472222222222223</v>
      </c>
      <c r="C182" s="10" t="s">
        <v>279</v>
      </c>
      <c r="D182" s="10">
        <v>0</v>
      </c>
      <c r="E182" s="10" t="s">
        <v>190</v>
      </c>
      <c r="F182" s="10">
        <v>1</v>
      </c>
      <c r="G182" s="10" t="s">
        <v>231</v>
      </c>
      <c r="H182" s="10" t="s">
        <v>322</v>
      </c>
      <c r="I182" s="10" t="s">
        <v>256</v>
      </c>
      <c r="J182" s="10">
        <v>3</v>
      </c>
      <c r="K182" s="12">
        <v>44930</v>
      </c>
      <c r="L182" s="33">
        <v>0.45628472222222222</v>
      </c>
      <c r="M182" s="10">
        <v>1</v>
      </c>
      <c r="N182" s="10" t="s">
        <v>169</v>
      </c>
      <c r="O182" s="10">
        <v>7.98</v>
      </c>
      <c r="P182" s="10">
        <v>0.374</v>
      </c>
      <c r="Q182" s="10">
        <v>1090</v>
      </c>
      <c r="R182" s="10" t="s">
        <v>77</v>
      </c>
      <c r="S182" s="34">
        <f t="shared" si="14"/>
        <v>1090</v>
      </c>
      <c r="T182" s="10" t="s">
        <v>939</v>
      </c>
      <c r="U182" s="34" t="str">
        <f t="shared" si="15"/>
        <v/>
      </c>
      <c r="V182" s="31" t="str">
        <f>IF(H182="CHK",VLOOKUP(I182,QCCHK,3,),IF(H182="GUP",VLOOKUP(E182,QCGUP,2,),IF(AND(H182="ATP",OR(I182="TN",I182="TDN",I182="TNO2-3",I182="NO2-3")),VLOOKUP(E182,QCREC_N,2,),IF(AND(H182="NIC",OR(I182="TN",I182="TDN",I182="TNO2-3",I182="NO2-3")),VLOOKUP(E182,QCNIC_N,2,),IF(AND(H182="UREA",OR(I182="TN",I182="TDN",I182="TNO2-3",I182="NO2-3")),VLOOKUP(E182,QCUREA_N,2,),IF(H182="PER",VLOOKUP(I182,QCPER,MATCH(E182,QCACTUAL!$J$25:$AA$25,0),),IF(H182="SPK",VLOOKUP(I182,QCSPK,3,),IF(AND(H182="ATP",OR(I182="TP",I182="TDP")),VLOOKUP(E182,QCATP_P,2,),""))))))))</f>
        <v/>
      </c>
      <c r="W182" s="31" t="str">
        <f t="shared" si="16"/>
        <v>TRUE</v>
      </c>
      <c r="X182" s="31" t="str">
        <f t="shared" si="17"/>
        <v/>
      </c>
      <c r="Y182" s="10" t="s">
        <v>949</v>
      </c>
      <c r="Z182" s="10" t="s">
        <v>910</v>
      </c>
      <c r="AL182" s="10" t="str">
        <f t="shared" si="19"/>
        <v>FALSE</v>
      </c>
      <c r="AM182" s="10" t="str">
        <f t="shared" si="19"/>
        <v>FALSE</v>
      </c>
      <c r="AN182" s="10" t="str">
        <f t="shared" si="19"/>
        <v>FALSE</v>
      </c>
      <c r="AO182" s="10" t="str">
        <f t="shared" si="20"/>
        <v>FALSE</v>
      </c>
      <c r="AP182" s="10" t="str">
        <f t="shared" si="20"/>
        <v>FALSE</v>
      </c>
      <c r="AQ182" s="10" t="b">
        <f>IF(AND(I182="TP",S182&lt;=150),VLOOKUP(AF182,TPCalibEq150!$AZ$2:$BB$55,3,),IF(AND(I182="TDP",S182&lt;=150),VLOOKUP(AF182,TPCalibEq150!$AZ$2:$BB$55,3,)))</f>
        <v>0</v>
      </c>
      <c r="AR182" s="10" t="b">
        <f>IF(AND(I182="TP",S182&lt;=300),VLOOKUP(AF182,TPCalibEq300!$AZ$2:$BB$55,3,),IF(AND(I182="TDP",S182&lt;=300),VLOOKUP(AF182,TPCalibEq300!$AZ$2:$BB$55,3,)))</f>
        <v>0</v>
      </c>
      <c r="AS182" s="10" t="b">
        <f>IF(AND(I182="TP",S182&lt;=500),VLOOKUP(AF182,TPCalibEq500!$AZ$2:$BB$56,3,),IF(AND(I182="TDP",S182&lt;=500),VLOOKUP(AF182,TPCalibEq500!$AZ$2:$BB$56,3,)))</f>
        <v>0</v>
      </c>
      <c r="AT182" s="10" t="b">
        <f>IF(AND(I182="TN",S182&lt;=2800),VLOOKUP(AF182,TNCalibEq2500!$AZ$2:$BB$56,3,),IF(AND(I182="TDN",S182&lt;=2800),VLOOKUP(AF182,TNCalibEq2500!$AZ$2:$BB$56,3,)))</f>
        <v>0</v>
      </c>
      <c r="AU182" s="10" t="b">
        <f>IF(I182="TP",VLOOKUP(AF182,TPCalibEqFull!$AZ$2:$BB$56,3),IF(I182="TDP",VLOOKUP(AF182,TPCalibEqFull!$AZ$2:$BB$56,3),IF(I182="TDN",VLOOKUP(AF182,TNCalibEqFull!$AZ$1:$BB$56,3),IF(I182="TN",VLOOKUP(AF182,TNCalibEqFull!$AZ$1:$BB$56,3),FALSE))))</f>
        <v>0</v>
      </c>
      <c r="AV182" s="10" t="str">
        <f t="shared" si="18"/>
        <v>1215 04:26:00-EFK-0-C-1-SW-UKN</v>
      </c>
    </row>
    <row r="183" spans="1:48" s="10" customFormat="1" x14ac:dyDescent="0.55000000000000004">
      <c r="A183" s="32">
        <v>44910</v>
      </c>
      <c r="B183" s="33">
        <v>0.18819444444444444</v>
      </c>
      <c r="C183" s="10" t="s">
        <v>333</v>
      </c>
      <c r="D183" s="10">
        <v>0</v>
      </c>
      <c r="E183" s="10" t="s">
        <v>190</v>
      </c>
      <c r="F183" s="10">
        <v>1</v>
      </c>
      <c r="G183" s="10" t="s">
        <v>231</v>
      </c>
      <c r="H183" s="10" t="s">
        <v>322</v>
      </c>
      <c r="I183" s="10" t="s">
        <v>256</v>
      </c>
      <c r="J183" s="10">
        <v>4</v>
      </c>
      <c r="K183" s="12">
        <v>44930</v>
      </c>
      <c r="L183" s="33">
        <v>0.45710648148148153</v>
      </c>
      <c r="M183" s="10">
        <v>1</v>
      </c>
      <c r="N183" s="10" t="s">
        <v>169</v>
      </c>
      <c r="O183" s="10">
        <v>4.33</v>
      </c>
      <c r="P183" s="10">
        <v>0.20599999999999999</v>
      </c>
      <c r="Q183" s="10">
        <v>589</v>
      </c>
      <c r="R183" s="10" t="s">
        <v>77</v>
      </c>
      <c r="S183" s="34">
        <f t="shared" si="14"/>
        <v>589</v>
      </c>
      <c r="T183" s="10" t="s">
        <v>939</v>
      </c>
      <c r="U183" s="34" t="str">
        <f t="shared" si="15"/>
        <v/>
      </c>
      <c r="V183" s="31" t="str">
        <f>IF(H183="CHK",VLOOKUP(I183,QCCHK,3,),IF(H183="GUP",VLOOKUP(E183,QCGUP,2,),IF(AND(H183="ATP",OR(I183="TN",I183="TDN",I183="TNO2-3",I183="NO2-3")),VLOOKUP(E183,QCREC_N,2,),IF(AND(H183="NIC",OR(I183="TN",I183="TDN",I183="TNO2-3",I183="NO2-3")),VLOOKUP(E183,QCNIC_N,2,),IF(AND(H183="UREA",OR(I183="TN",I183="TDN",I183="TNO2-3",I183="NO2-3")),VLOOKUP(E183,QCUREA_N,2,),IF(H183="PER",VLOOKUP(I183,QCPER,MATCH(E183,QCACTUAL!$J$25:$AA$25,0),),IF(H183="SPK",VLOOKUP(I183,QCSPK,3,),IF(AND(H183="ATP",OR(I183="TP",I183="TDP")),VLOOKUP(E183,QCATP_P,2,),""))))))))</f>
        <v/>
      </c>
      <c r="W183" s="31" t="str">
        <f t="shared" si="16"/>
        <v>TRUE</v>
      </c>
      <c r="X183" s="31" t="str">
        <f t="shared" si="17"/>
        <v/>
      </c>
      <c r="Y183" s="10" t="s">
        <v>949</v>
      </c>
      <c r="Z183" s="10" t="s">
        <v>910</v>
      </c>
      <c r="AL183" s="10" t="str">
        <f t="shared" si="19"/>
        <v>FALSE</v>
      </c>
      <c r="AM183" s="10" t="str">
        <f t="shared" si="19"/>
        <v>FALSE</v>
      </c>
      <c r="AN183" s="10" t="str">
        <f t="shared" si="19"/>
        <v>FALSE</v>
      </c>
      <c r="AO183" s="10" t="str">
        <f t="shared" si="20"/>
        <v>FALSE</v>
      </c>
      <c r="AP183" s="10" t="str">
        <f t="shared" si="20"/>
        <v>FALSE</v>
      </c>
      <c r="AQ183" s="10" t="b">
        <f>IF(AND(I183="TP",S183&lt;=150),VLOOKUP(AF183,TPCalibEq150!$AZ$2:$BB$55,3,),IF(AND(I183="TDP",S183&lt;=150),VLOOKUP(AF183,TPCalibEq150!$AZ$2:$BB$55,3,)))</f>
        <v>0</v>
      </c>
      <c r="AR183" s="10" t="b">
        <f>IF(AND(I183="TP",S183&lt;=300),VLOOKUP(AF183,TPCalibEq300!$AZ$2:$BB$55,3,),IF(AND(I183="TDP",S183&lt;=300),VLOOKUP(AF183,TPCalibEq300!$AZ$2:$BB$55,3,)))</f>
        <v>0</v>
      </c>
      <c r="AS183" s="10" t="b">
        <f>IF(AND(I183="TP",S183&lt;=500),VLOOKUP(AF183,TPCalibEq500!$AZ$2:$BB$56,3,),IF(AND(I183="TDP",S183&lt;=500),VLOOKUP(AF183,TPCalibEq500!$AZ$2:$BB$56,3,)))</f>
        <v>0</v>
      </c>
      <c r="AT183" s="10" t="b">
        <f>IF(AND(I183="TN",S183&lt;=2800),VLOOKUP(AF183,TNCalibEq2500!$AZ$2:$BB$56,3,),IF(AND(I183="TDN",S183&lt;=2800),VLOOKUP(AF183,TNCalibEq2500!$AZ$2:$BB$56,3,)))</f>
        <v>0</v>
      </c>
      <c r="AU183" s="10" t="b">
        <f>IF(I183="TP",VLOOKUP(AF183,TPCalibEqFull!$AZ$2:$BB$56,3),IF(I183="TDP",VLOOKUP(AF183,TPCalibEqFull!$AZ$2:$BB$56,3),IF(I183="TDN",VLOOKUP(AF183,TNCalibEqFull!$AZ$1:$BB$56,3),IF(I183="TN",VLOOKUP(AF183,TNCalibEqFull!$AZ$1:$BB$56,3),FALSE))))</f>
        <v>0</v>
      </c>
      <c r="AV183" s="10" t="str">
        <f t="shared" si="18"/>
        <v>1215 04:31:00-HST-0-C-1-SW-UKN</v>
      </c>
    </row>
    <row r="184" spans="1:48" s="10" customFormat="1" x14ac:dyDescent="0.55000000000000004">
      <c r="A184" s="32">
        <v>44911</v>
      </c>
      <c r="B184" s="33">
        <v>0.4993055555555555</v>
      </c>
      <c r="C184" s="10" t="s">
        <v>279</v>
      </c>
      <c r="D184" s="10">
        <v>0</v>
      </c>
      <c r="E184" s="10" t="s">
        <v>190</v>
      </c>
      <c r="F184" s="10">
        <v>1</v>
      </c>
      <c r="G184" s="10" t="s">
        <v>231</v>
      </c>
      <c r="H184" s="10" t="s">
        <v>322</v>
      </c>
      <c r="I184" s="10" t="s">
        <v>256</v>
      </c>
      <c r="J184" s="10">
        <v>5</v>
      </c>
      <c r="K184" s="12">
        <v>44930</v>
      </c>
      <c r="L184" s="33">
        <v>0.45792824074074073</v>
      </c>
      <c r="M184" s="10">
        <v>1</v>
      </c>
      <c r="N184" s="10" t="s">
        <v>169</v>
      </c>
      <c r="O184" s="10">
        <v>4.91</v>
      </c>
      <c r="P184" s="10">
        <v>0.22900000000000001</v>
      </c>
      <c r="Q184" s="10">
        <v>668</v>
      </c>
      <c r="R184" s="10" t="s">
        <v>77</v>
      </c>
      <c r="S184" s="34">
        <f t="shared" si="14"/>
        <v>668</v>
      </c>
      <c r="T184" s="10" t="s">
        <v>939</v>
      </c>
      <c r="U184" s="34" t="str">
        <f t="shared" si="15"/>
        <v/>
      </c>
      <c r="V184" s="31" t="str">
        <f>IF(H184="CHK",VLOOKUP(I184,QCCHK,3,),IF(H184="GUP",VLOOKUP(E184,QCGUP,2,),IF(AND(H184="ATP",OR(I184="TN",I184="TDN",I184="TNO2-3",I184="NO2-3")),VLOOKUP(E184,QCREC_N,2,),IF(AND(H184="NIC",OR(I184="TN",I184="TDN",I184="TNO2-3",I184="NO2-3")),VLOOKUP(E184,QCNIC_N,2,),IF(AND(H184="UREA",OR(I184="TN",I184="TDN",I184="TNO2-3",I184="NO2-3")),VLOOKUP(E184,QCUREA_N,2,),IF(H184="PER",VLOOKUP(I184,QCPER,MATCH(E184,QCACTUAL!$J$25:$AA$25,0),),IF(H184="SPK",VLOOKUP(I184,QCSPK,3,),IF(AND(H184="ATP",OR(I184="TP",I184="TDP")),VLOOKUP(E184,QCATP_P,2,),""))))))))</f>
        <v/>
      </c>
      <c r="W184" s="31" t="str">
        <f t="shared" si="16"/>
        <v>TRUE</v>
      </c>
      <c r="X184" s="31" t="str">
        <f t="shared" si="17"/>
        <v/>
      </c>
      <c r="Y184" s="10" t="s">
        <v>949</v>
      </c>
      <c r="Z184" s="10" t="s">
        <v>910</v>
      </c>
      <c r="AL184" s="10" t="str">
        <f t="shared" si="19"/>
        <v>FALSE</v>
      </c>
      <c r="AM184" s="10" t="str">
        <f t="shared" si="19"/>
        <v>FALSE</v>
      </c>
      <c r="AN184" s="10" t="str">
        <f t="shared" si="19"/>
        <v>FALSE</v>
      </c>
      <c r="AO184" s="10" t="str">
        <f t="shared" si="20"/>
        <v>FALSE</v>
      </c>
      <c r="AP184" s="10" t="str">
        <f t="shared" si="20"/>
        <v>FALSE</v>
      </c>
      <c r="AQ184" s="10" t="b">
        <f>IF(AND(I184="TP",S184&lt;=150),VLOOKUP(AF184,TPCalibEq150!$AZ$2:$BB$55,3,),IF(AND(I184="TDP",S184&lt;=150),VLOOKUP(AF184,TPCalibEq150!$AZ$2:$BB$55,3,)))</f>
        <v>0</v>
      </c>
      <c r="AR184" s="10" t="b">
        <f>IF(AND(I184="TP",S184&lt;=300),VLOOKUP(AF184,TPCalibEq300!$AZ$2:$BB$55,3,),IF(AND(I184="TDP",S184&lt;=300),VLOOKUP(AF184,TPCalibEq300!$AZ$2:$BB$55,3,)))</f>
        <v>0</v>
      </c>
      <c r="AS184" s="10" t="b">
        <f>IF(AND(I184="TP",S184&lt;=500),VLOOKUP(AF184,TPCalibEq500!$AZ$2:$BB$56,3,),IF(AND(I184="TDP",S184&lt;=500),VLOOKUP(AF184,TPCalibEq500!$AZ$2:$BB$56,3,)))</f>
        <v>0</v>
      </c>
      <c r="AT184" s="10" t="b">
        <f>IF(AND(I184="TN",S184&lt;=2800),VLOOKUP(AF184,TNCalibEq2500!$AZ$2:$BB$56,3,),IF(AND(I184="TDN",S184&lt;=2800),VLOOKUP(AF184,TNCalibEq2500!$AZ$2:$BB$56,3,)))</f>
        <v>0</v>
      </c>
      <c r="AU184" s="10" t="b">
        <f>IF(I184="TP",VLOOKUP(AF184,TPCalibEqFull!$AZ$2:$BB$56,3),IF(I184="TDP",VLOOKUP(AF184,TPCalibEqFull!$AZ$2:$BB$56,3),IF(I184="TDN",VLOOKUP(AF184,TNCalibEqFull!$AZ$1:$BB$56,3),IF(I184="TN",VLOOKUP(AF184,TNCalibEqFull!$AZ$1:$BB$56,3),FALSE))))</f>
        <v>0</v>
      </c>
      <c r="AV184" s="10" t="str">
        <f t="shared" si="18"/>
        <v>1216 11:59:00-EFK-0-C-1-SW-UKN</v>
      </c>
    </row>
    <row r="185" spans="1:48" s="10" customFormat="1" x14ac:dyDescent="0.55000000000000004">
      <c r="A185" s="32">
        <v>44911</v>
      </c>
      <c r="B185" s="33">
        <v>0.49722222222222223</v>
      </c>
      <c r="C185" s="10" t="s">
        <v>333</v>
      </c>
      <c r="D185" s="10">
        <v>0</v>
      </c>
      <c r="E185" s="10" t="s">
        <v>190</v>
      </c>
      <c r="F185" s="10">
        <v>1</v>
      </c>
      <c r="G185" s="10" t="s">
        <v>231</v>
      </c>
      <c r="H185" s="10" t="s">
        <v>322</v>
      </c>
      <c r="I185" s="10" t="s">
        <v>256</v>
      </c>
      <c r="J185" s="10">
        <v>6</v>
      </c>
      <c r="K185" s="12">
        <v>44930</v>
      </c>
      <c r="L185" s="33">
        <v>0.45874999999999999</v>
      </c>
      <c r="M185" s="10">
        <v>1</v>
      </c>
      <c r="N185" s="10" t="s">
        <v>169</v>
      </c>
      <c r="O185" s="10">
        <v>4.41</v>
      </c>
      <c r="P185" s="10">
        <v>0.20200000000000001</v>
      </c>
      <c r="Q185" s="10">
        <v>600</v>
      </c>
      <c r="R185" s="10" t="s">
        <v>77</v>
      </c>
      <c r="S185" s="34">
        <f t="shared" si="14"/>
        <v>600</v>
      </c>
      <c r="T185" s="10" t="s">
        <v>939</v>
      </c>
      <c r="U185" s="34" t="str">
        <f t="shared" si="15"/>
        <v/>
      </c>
      <c r="V185" s="31" t="str">
        <f>IF(H185="CHK",VLOOKUP(I185,QCCHK,3,),IF(H185="GUP",VLOOKUP(E185,QCGUP,2,),IF(AND(H185="ATP",OR(I185="TN",I185="TDN",I185="TNO2-3",I185="NO2-3")),VLOOKUP(E185,QCREC_N,2,),IF(AND(H185="NIC",OR(I185="TN",I185="TDN",I185="TNO2-3",I185="NO2-3")),VLOOKUP(E185,QCNIC_N,2,),IF(AND(H185="UREA",OR(I185="TN",I185="TDN",I185="TNO2-3",I185="NO2-3")),VLOOKUP(E185,QCUREA_N,2,),IF(H185="PER",VLOOKUP(I185,QCPER,MATCH(E185,QCACTUAL!$J$25:$AA$25,0),),IF(H185="SPK",VLOOKUP(I185,QCSPK,3,),IF(AND(H185="ATP",OR(I185="TP",I185="TDP")),VLOOKUP(E185,QCATP_P,2,),""))))))))</f>
        <v/>
      </c>
      <c r="W185" s="31" t="str">
        <f t="shared" si="16"/>
        <v>TRUE</v>
      </c>
      <c r="X185" s="31" t="str">
        <f t="shared" si="17"/>
        <v/>
      </c>
      <c r="Y185" s="10" t="s">
        <v>949</v>
      </c>
      <c r="Z185" s="10" t="s">
        <v>910</v>
      </c>
      <c r="AL185" s="10" t="str">
        <f t="shared" si="19"/>
        <v>FALSE</v>
      </c>
      <c r="AM185" s="10" t="str">
        <f t="shared" si="19"/>
        <v>FALSE</v>
      </c>
      <c r="AN185" s="10" t="str">
        <f t="shared" si="19"/>
        <v>FALSE</v>
      </c>
      <c r="AO185" s="10" t="str">
        <f t="shared" si="20"/>
        <v>FALSE</v>
      </c>
      <c r="AP185" s="10" t="str">
        <f t="shared" si="20"/>
        <v>FALSE</v>
      </c>
      <c r="AQ185" s="10" t="b">
        <f>IF(AND(I185="TP",S185&lt;=150),VLOOKUP(AF185,TPCalibEq150!$AZ$2:$BB$55,3,),IF(AND(I185="TDP",S185&lt;=150),VLOOKUP(AF185,TPCalibEq150!$AZ$2:$BB$55,3,)))</f>
        <v>0</v>
      </c>
      <c r="AR185" s="10" t="b">
        <f>IF(AND(I185="TP",S185&lt;=300),VLOOKUP(AF185,TPCalibEq300!$AZ$2:$BB$55,3,),IF(AND(I185="TDP",S185&lt;=300),VLOOKUP(AF185,TPCalibEq300!$AZ$2:$BB$55,3,)))</f>
        <v>0</v>
      </c>
      <c r="AS185" s="10" t="b">
        <f>IF(AND(I185="TP",S185&lt;=500),VLOOKUP(AF185,TPCalibEq500!$AZ$2:$BB$56,3,),IF(AND(I185="TDP",S185&lt;=500),VLOOKUP(AF185,TPCalibEq500!$AZ$2:$BB$56,3,)))</f>
        <v>0</v>
      </c>
      <c r="AT185" s="10" t="b">
        <f>IF(AND(I185="TN",S185&lt;=2800),VLOOKUP(AF185,TNCalibEq2500!$AZ$2:$BB$56,3,),IF(AND(I185="TDN",S185&lt;=2800),VLOOKUP(AF185,TNCalibEq2500!$AZ$2:$BB$56,3,)))</f>
        <v>0</v>
      </c>
      <c r="AU185" s="10" t="b">
        <f>IF(I185="TP",VLOOKUP(AF185,TPCalibEqFull!$AZ$2:$BB$56,3),IF(I185="TDP",VLOOKUP(AF185,TPCalibEqFull!$AZ$2:$BB$56,3),IF(I185="TDN",VLOOKUP(AF185,TNCalibEqFull!$AZ$1:$BB$56,3),IF(I185="TN",VLOOKUP(AF185,TNCalibEqFull!$AZ$1:$BB$56,3),FALSE))))</f>
        <v>0</v>
      </c>
      <c r="AV185" s="10" t="str">
        <f t="shared" si="18"/>
        <v>1216 11:56:00-HST-0-C-1-SW-UKN</v>
      </c>
    </row>
    <row r="186" spans="1:48" s="10" customFormat="1" x14ac:dyDescent="0.55000000000000004">
      <c r="A186" s="32">
        <v>44914</v>
      </c>
      <c r="B186" s="33">
        <v>0.22361111111111109</v>
      </c>
      <c r="C186" s="10" t="s">
        <v>279</v>
      </c>
      <c r="D186" s="10">
        <v>0</v>
      </c>
      <c r="E186" s="10" t="s">
        <v>190</v>
      </c>
      <c r="F186" s="10">
        <v>1</v>
      </c>
      <c r="G186" s="10" t="s">
        <v>231</v>
      </c>
      <c r="H186" s="10" t="s">
        <v>322</v>
      </c>
      <c r="I186" s="10" t="s">
        <v>256</v>
      </c>
      <c r="J186" s="10">
        <v>7</v>
      </c>
      <c r="K186" s="12">
        <v>44930</v>
      </c>
      <c r="L186" s="33">
        <v>0.46038194444444441</v>
      </c>
      <c r="M186" s="10">
        <v>1</v>
      </c>
      <c r="N186" s="10" t="s">
        <v>169</v>
      </c>
      <c r="O186" s="10">
        <v>6.39</v>
      </c>
      <c r="P186" s="10">
        <v>0.29799999999999999</v>
      </c>
      <c r="Q186" s="10">
        <v>869</v>
      </c>
      <c r="R186" s="10" t="s">
        <v>77</v>
      </c>
      <c r="S186" s="34">
        <f t="shared" si="14"/>
        <v>869</v>
      </c>
      <c r="T186" s="10" t="s">
        <v>939</v>
      </c>
      <c r="U186" s="34" t="str">
        <f t="shared" si="15"/>
        <v/>
      </c>
      <c r="V186" s="31" t="str">
        <f>IF(H186="CHK",VLOOKUP(I186,QCCHK,3,),IF(H186="GUP",VLOOKUP(E186,QCGUP,2,),IF(AND(H186="ATP",OR(I186="TN",I186="TDN",I186="TNO2-3",I186="NO2-3")),VLOOKUP(E186,QCREC_N,2,),IF(AND(H186="NIC",OR(I186="TN",I186="TDN",I186="TNO2-3",I186="NO2-3")),VLOOKUP(E186,QCNIC_N,2,),IF(AND(H186="UREA",OR(I186="TN",I186="TDN",I186="TNO2-3",I186="NO2-3")),VLOOKUP(E186,QCUREA_N,2,),IF(H186="PER",VLOOKUP(I186,QCPER,MATCH(E186,QCACTUAL!$J$25:$AA$25,0),),IF(H186="SPK",VLOOKUP(I186,QCSPK,3,),IF(AND(H186="ATP",OR(I186="TP",I186="TDP")),VLOOKUP(E186,QCATP_P,2,),""))))))))</f>
        <v/>
      </c>
      <c r="W186" s="31" t="str">
        <f t="shared" si="16"/>
        <v>TRUE</v>
      </c>
      <c r="X186" s="31" t="str">
        <f t="shared" si="17"/>
        <v/>
      </c>
      <c r="Y186" s="10" t="s">
        <v>949</v>
      </c>
      <c r="Z186" s="10" t="s">
        <v>910</v>
      </c>
      <c r="AL186" s="10" t="str">
        <f t="shared" si="19"/>
        <v>FALSE</v>
      </c>
      <c r="AM186" s="10" t="str">
        <f t="shared" si="19"/>
        <v>FALSE</v>
      </c>
      <c r="AN186" s="10" t="str">
        <f t="shared" si="19"/>
        <v>FALSE</v>
      </c>
      <c r="AO186" s="10" t="str">
        <f t="shared" si="20"/>
        <v>FALSE</v>
      </c>
      <c r="AP186" s="10" t="str">
        <f t="shared" si="20"/>
        <v>FALSE</v>
      </c>
      <c r="AQ186" s="10" t="b">
        <f>IF(AND(I186="TP",S186&lt;=150),VLOOKUP(AF186,TPCalibEq150!$AZ$2:$BB$55,3,),IF(AND(I186="TDP",S186&lt;=150),VLOOKUP(AF186,TPCalibEq150!$AZ$2:$BB$55,3,)))</f>
        <v>0</v>
      </c>
      <c r="AR186" s="10" t="b">
        <f>IF(AND(I186="TP",S186&lt;=300),VLOOKUP(AF186,TPCalibEq300!$AZ$2:$BB$55,3,),IF(AND(I186="TDP",S186&lt;=300),VLOOKUP(AF186,TPCalibEq300!$AZ$2:$BB$55,3,)))</f>
        <v>0</v>
      </c>
      <c r="AS186" s="10" t="b">
        <f>IF(AND(I186="TP",S186&lt;=500),VLOOKUP(AF186,TPCalibEq500!$AZ$2:$BB$56,3,),IF(AND(I186="TDP",S186&lt;=500),VLOOKUP(AF186,TPCalibEq500!$AZ$2:$BB$56,3,)))</f>
        <v>0</v>
      </c>
      <c r="AT186" s="10" t="b">
        <f>IF(AND(I186="TN",S186&lt;=2800),VLOOKUP(AF186,TNCalibEq2500!$AZ$2:$BB$56,3,),IF(AND(I186="TDN",S186&lt;=2800),VLOOKUP(AF186,TNCalibEq2500!$AZ$2:$BB$56,3,)))</f>
        <v>0</v>
      </c>
      <c r="AU186" s="10" t="b">
        <f>IF(I186="TP",VLOOKUP(AF186,TPCalibEqFull!$AZ$2:$BB$56,3),IF(I186="TDP",VLOOKUP(AF186,TPCalibEqFull!$AZ$2:$BB$56,3),IF(I186="TDN",VLOOKUP(AF186,TNCalibEqFull!$AZ$1:$BB$56,3),IF(I186="TN",VLOOKUP(AF186,TNCalibEqFull!$AZ$1:$BB$56,3),FALSE))))</f>
        <v>0</v>
      </c>
      <c r="AV186" s="10" t="str">
        <f t="shared" si="18"/>
        <v>1219 05:22:00-EFK-0-C-1-SW-UKN</v>
      </c>
    </row>
    <row r="187" spans="1:48" s="10" customFormat="1" x14ac:dyDescent="0.55000000000000004">
      <c r="A187" s="32">
        <v>44914</v>
      </c>
      <c r="B187" s="33">
        <v>0.23124999999999998</v>
      </c>
      <c r="C187" s="10" t="s">
        <v>333</v>
      </c>
      <c r="D187" s="10">
        <v>0</v>
      </c>
      <c r="E187" s="10" t="s">
        <v>190</v>
      </c>
      <c r="F187" s="10">
        <v>1</v>
      </c>
      <c r="G187" s="10" t="s">
        <v>231</v>
      </c>
      <c r="H187" s="10" t="s">
        <v>322</v>
      </c>
      <c r="I187" s="10" t="s">
        <v>256</v>
      </c>
      <c r="J187" s="10">
        <v>8</v>
      </c>
      <c r="K187" s="12">
        <v>44930</v>
      </c>
      <c r="L187" s="33">
        <v>0.46120370370370373</v>
      </c>
      <c r="M187" s="10">
        <v>1</v>
      </c>
      <c r="N187" s="10" t="s">
        <v>169</v>
      </c>
      <c r="O187" s="10">
        <v>4.43</v>
      </c>
      <c r="P187" s="10">
        <v>0.20200000000000001</v>
      </c>
      <c r="Q187" s="10">
        <v>603</v>
      </c>
      <c r="R187" s="10" t="s">
        <v>77</v>
      </c>
      <c r="S187" s="34">
        <f t="shared" si="14"/>
        <v>603</v>
      </c>
      <c r="T187" s="10" t="s">
        <v>939</v>
      </c>
      <c r="U187" s="34" t="str">
        <f t="shared" si="15"/>
        <v/>
      </c>
      <c r="V187" s="31" t="str">
        <f>IF(H187="CHK",VLOOKUP(I187,QCCHK,3,),IF(H187="GUP",VLOOKUP(E187,QCGUP,2,),IF(AND(H187="ATP",OR(I187="TN",I187="TDN",I187="TNO2-3",I187="NO2-3")),VLOOKUP(E187,QCREC_N,2,),IF(AND(H187="NIC",OR(I187="TN",I187="TDN",I187="TNO2-3",I187="NO2-3")),VLOOKUP(E187,QCNIC_N,2,),IF(AND(H187="UREA",OR(I187="TN",I187="TDN",I187="TNO2-3",I187="NO2-3")),VLOOKUP(E187,QCUREA_N,2,),IF(H187="PER",VLOOKUP(I187,QCPER,MATCH(E187,QCACTUAL!$J$25:$AA$25,0),),IF(H187="SPK",VLOOKUP(I187,QCSPK,3,),IF(AND(H187="ATP",OR(I187="TP",I187="TDP")),VLOOKUP(E187,QCATP_P,2,),""))))))))</f>
        <v/>
      </c>
      <c r="W187" s="31" t="str">
        <f t="shared" si="16"/>
        <v>TRUE</v>
      </c>
      <c r="X187" s="31" t="str">
        <f t="shared" si="17"/>
        <v/>
      </c>
      <c r="Y187" s="10" t="s">
        <v>949</v>
      </c>
      <c r="Z187" s="10" t="s">
        <v>910</v>
      </c>
      <c r="AL187" s="10" t="str">
        <f t="shared" si="19"/>
        <v>FALSE</v>
      </c>
      <c r="AM187" s="10" t="str">
        <f t="shared" si="19"/>
        <v>FALSE</v>
      </c>
      <c r="AN187" s="10" t="str">
        <f t="shared" si="19"/>
        <v>FALSE</v>
      </c>
      <c r="AO187" s="10" t="str">
        <f t="shared" si="20"/>
        <v>FALSE</v>
      </c>
      <c r="AP187" s="10" t="str">
        <f t="shared" si="20"/>
        <v>FALSE</v>
      </c>
      <c r="AQ187" s="10" t="b">
        <f>IF(AND(I187="TP",S187&lt;=150),VLOOKUP(AF187,TPCalibEq150!$AZ$2:$BB$55,3,),IF(AND(I187="TDP",S187&lt;=150),VLOOKUP(AF187,TPCalibEq150!$AZ$2:$BB$55,3,)))</f>
        <v>0</v>
      </c>
      <c r="AR187" s="10" t="b">
        <f>IF(AND(I187="TP",S187&lt;=300),VLOOKUP(AF187,TPCalibEq300!$AZ$2:$BB$55,3,),IF(AND(I187="TDP",S187&lt;=300),VLOOKUP(AF187,TPCalibEq300!$AZ$2:$BB$55,3,)))</f>
        <v>0</v>
      </c>
      <c r="AS187" s="10" t="b">
        <f>IF(AND(I187="TP",S187&lt;=500),VLOOKUP(AF187,TPCalibEq500!$AZ$2:$BB$56,3,),IF(AND(I187="TDP",S187&lt;=500),VLOOKUP(AF187,TPCalibEq500!$AZ$2:$BB$56,3,)))</f>
        <v>0</v>
      </c>
      <c r="AT187" s="10" t="b">
        <f>IF(AND(I187="TN",S187&lt;=2800),VLOOKUP(AF187,TNCalibEq2500!$AZ$2:$BB$56,3,),IF(AND(I187="TDN",S187&lt;=2800),VLOOKUP(AF187,TNCalibEq2500!$AZ$2:$BB$56,3,)))</f>
        <v>0</v>
      </c>
      <c r="AU187" s="10" t="b">
        <f>IF(I187="TP",VLOOKUP(AF187,TPCalibEqFull!$AZ$2:$BB$56,3),IF(I187="TDP",VLOOKUP(AF187,TPCalibEqFull!$AZ$2:$BB$56,3),IF(I187="TDN",VLOOKUP(AF187,TNCalibEqFull!$AZ$1:$BB$56,3),IF(I187="TN",VLOOKUP(AF187,TNCalibEqFull!$AZ$1:$BB$56,3),FALSE))))</f>
        <v>0</v>
      </c>
      <c r="AV187" s="10" t="str">
        <f t="shared" si="18"/>
        <v>1219 05:33:00-HST-0-C-1-SW-UKN</v>
      </c>
    </row>
    <row r="188" spans="1:48" s="10" customFormat="1" x14ac:dyDescent="0.55000000000000004">
      <c r="A188" s="32">
        <v>44915</v>
      </c>
      <c r="B188" s="33">
        <v>0.23263888888888887</v>
      </c>
      <c r="C188" s="10" t="s">
        <v>279</v>
      </c>
      <c r="D188" s="10">
        <v>0</v>
      </c>
      <c r="E188" s="10" t="s">
        <v>190</v>
      </c>
      <c r="F188" s="10">
        <v>1</v>
      </c>
      <c r="G188" s="10" t="s">
        <v>231</v>
      </c>
      <c r="H188" s="10" t="s">
        <v>322</v>
      </c>
      <c r="I188" s="10" t="s">
        <v>256</v>
      </c>
      <c r="J188" s="10">
        <v>9</v>
      </c>
      <c r="K188" s="12">
        <v>44930</v>
      </c>
      <c r="L188" s="33">
        <v>0.46201388888888889</v>
      </c>
      <c r="M188" s="10">
        <v>1</v>
      </c>
      <c r="N188" s="10" t="s">
        <v>169</v>
      </c>
      <c r="O188" s="10">
        <v>6.08</v>
      </c>
      <c r="P188" s="10">
        <v>0.28599999999999998</v>
      </c>
      <c r="Q188" s="10">
        <v>828</v>
      </c>
      <c r="R188" s="10" t="s">
        <v>77</v>
      </c>
      <c r="S188" s="34">
        <f t="shared" si="14"/>
        <v>828</v>
      </c>
      <c r="T188" s="10" t="s">
        <v>939</v>
      </c>
      <c r="U188" s="34" t="str">
        <f t="shared" si="15"/>
        <v/>
      </c>
      <c r="V188" s="31" t="str">
        <f>IF(H188="CHK",VLOOKUP(I188,QCCHK,3,),IF(H188="GUP",VLOOKUP(E188,QCGUP,2,),IF(AND(H188="ATP",OR(I188="TN",I188="TDN",I188="TNO2-3",I188="NO2-3")),VLOOKUP(E188,QCREC_N,2,),IF(AND(H188="NIC",OR(I188="TN",I188="TDN",I188="TNO2-3",I188="NO2-3")),VLOOKUP(E188,QCNIC_N,2,),IF(AND(H188="UREA",OR(I188="TN",I188="TDN",I188="TNO2-3",I188="NO2-3")),VLOOKUP(E188,QCUREA_N,2,),IF(H188="PER",VLOOKUP(I188,QCPER,MATCH(E188,QCACTUAL!$J$25:$AA$25,0),),IF(H188="SPK",VLOOKUP(I188,QCSPK,3,),IF(AND(H188="ATP",OR(I188="TP",I188="TDP")),VLOOKUP(E188,QCATP_P,2,),""))))))))</f>
        <v/>
      </c>
      <c r="W188" s="31" t="str">
        <f t="shared" si="16"/>
        <v>TRUE</v>
      </c>
      <c r="X188" s="31" t="str">
        <f t="shared" si="17"/>
        <v/>
      </c>
      <c r="Y188" s="10" t="s">
        <v>949</v>
      </c>
      <c r="Z188" s="10" t="s">
        <v>910</v>
      </c>
      <c r="AL188" s="10" t="str">
        <f t="shared" si="19"/>
        <v>FALSE</v>
      </c>
      <c r="AM188" s="10" t="str">
        <f t="shared" si="19"/>
        <v>FALSE</v>
      </c>
      <c r="AN188" s="10" t="str">
        <f t="shared" si="19"/>
        <v>FALSE</v>
      </c>
      <c r="AO188" s="10" t="str">
        <f t="shared" si="20"/>
        <v>FALSE</v>
      </c>
      <c r="AP188" s="10" t="str">
        <f t="shared" si="20"/>
        <v>FALSE</v>
      </c>
      <c r="AQ188" s="10" t="b">
        <f>IF(AND(I188="TP",S188&lt;=150),VLOOKUP(AF188,TPCalibEq150!$AZ$2:$BB$55,3,),IF(AND(I188="TDP",S188&lt;=150),VLOOKUP(AF188,TPCalibEq150!$AZ$2:$BB$55,3,)))</f>
        <v>0</v>
      </c>
      <c r="AR188" s="10" t="b">
        <f>IF(AND(I188="TP",S188&lt;=300),VLOOKUP(AF188,TPCalibEq300!$AZ$2:$BB$55,3,),IF(AND(I188="TDP",S188&lt;=300),VLOOKUP(AF188,TPCalibEq300!$AZ$2:$BB$55,3,)))</f>
        <v>0</v>
      </c>
      <c r="AS188" s="10" t="b">
        <f>IF(AND(I188="TP",S188&lt;=500),VLOOKUP(AF188,TPCalibEq500!$AZ$2:$BB$56,3,),IF(AND(I188="TDP",S188&lt;=500),VLOOKUP(AF188,TPCalibEq500!$AZ$2:$BB$56,3,)))</f>
        <v>0</v>
      </c>
      <c r="AT188" s="10" t="b">
        <f>IF(AND(I188="TN",S188&lt;=2800),VLOOKUP(AF188,TNCalibEq2500!$AZ$2:$BB$56,3,),IF(AND(I188="TDN",S188&lt;=2800),VLOOKUP(AF188,TNCalibEq2500!$AZ$2:$BB$56,3,)))</f>
        <v>0</v>
      </c>
      <c r="AU188" s="10" t="b">
        <f>IF(I188="TP",VLOOKUP(AF188,TPCalibEqFull!$AZ$2:$BB$56,3),IF(I188="TDP",VLOOKUP(AF188,TPCalibEqFull!$AZ$2:$BB$56,3),IF(I188="TDN",VLOOKUP(AF188,TNCalibEqFull!$AZ$1:$BB$56,3),IF(I188="TN",VLOOKUP(AF188,TNCalibEqFull!$AZ$1:$BB$56,3),FALSE))))</f>
        <v>0</v>
      </c>
      <c r="AV188" s="10" t="str">
        <f t="shared" si="18"/>
        <v>1220 05:35:00-EFK-0-C-1-SW-UKN</v>
      </c>
    </row>
    <row r="189" spans="1:48" s="10" customFormat="1" x14ac:dyDescent="0.55000000000000004">
      <c r="A189" s="32">
        <v>44915</v>
      </c>
      <c r="B189" s="33">
        <v>0.24652777777777779</v>
      </c>
      <c r="C189" s="10" t="s">
        <v>333</v>
      </c>
      <c r="D189" s="10">
        <v>0</v>
      </c>
      <c r="E189" s="10" t="s">
        <v>190</v>
      </c>
      <c r="F189" s="10">
        <v>1</v>
      </c>
      <c r="G189" s="10" t="s">
        <v>231</v>
      </c>
      <c r="H189" s="10" t="s">
        <v>322</v>
      </c>
      <c r="I189" s="10" t="s">
        <v>256</v>
      </c>
      <c r="J189" s="10">
        <v>10</v>
      </c>
      <c r="K189" s="12">
        <v>44930</v>
      </c>
      <c r="L189" s="33">
        <v>0.46282407407407411</v>
      </c>
      <c r="M189" s="10">
        <v>1</v>
      </c>
      <c r="N189" s="10" t="s">
        <v>169</v>
      </c>
      <c r="O189" s="10">
        <v>3.99</v>
      </c>
      <c r="P189" s="10">
        <v>0.184</v>
      </c>
      <c r="Q189" s="10">
        <v>543</v>
      </c>
      <c r="R189" s="10" t="s">
        <v>77</v>
      </c>
      <c r="S189" s="34">
        <f t="shared" si="14"/>
        <v>543</v>
      </c>
      <c r="T189" s="10" t="s">
        <v>939</v>
      </c>
      <c r="U189" s="34" t="str">
        <f t="shared" si="15"/>
        <v/>
      </c>
      <c r="V189" s="31" t="str">
        <f>IF(H189="CHK",VLOOKUP(I189,QCCHK,3,),IF(H189="GUP",VLOOKUP(E189,QCGUP,2,),IF(AND(H189="ATP",OR(I189="TN",I189="TDN",I189="TNO2-3",I189="NO2-3")),VLOOKUP(E189,QCREC_N,2,),IF(AND(H189="NIC",OR(I189="TN",I189="TDN",I189="TNO2-3",I189="NO2-3")),VLOOKUP(E189,QCNIC_N,2,),IF(AND(H189="UREA",OR(I189="TN",I189="TDN",I189="TNO2-3",I189="NO2-3")),VLOOKUP(E189,QCUREA_N,2,),IF(H189="PER",VLOOKUP(I189,QCPER,MATCH(E189,QCACTUAL!$J$25:$AA$25,0),),IF(H189="SPK",VLOOKUP(I189,QCSPK,3,),IF(AND(H189="ATP",OR(I189="TP",I189="TDP")),VLOOKUP(E189,QCATP_P,2,),""))))))))</f>
        <v/>
      </c>
      <c r="W189" s="31" t="str">
        <f t="shared" si="16"/>
        <v>TRUE</v>
      </c>
      <c r="X189" s="31" t="str">
        <f t="shared" si="17"/>
        <v/>
      </c>
      <c r="Y189" s="10" t="s">
        <v>949</v>
      </c>
      <c r="Z189" s="10" t="s">
        <v>910</v>
      </c>
      <c r="AL189" s="10" t="str">
        <f t="shared" si="19"/>
        <v>FALSE</v>
      </c>
      <c r="AM189" s="10" t="str">
        <f t="shared" si="19"/>
        <v>FALSE</v>
      </c>
      <c r="AN189" s="10" t="str">
        <f t="shared" si="19"/>
        <v>FALSE</v>
      </c>
      <c r="AO189" s="10" t="str">
        <f t="shared" si="20"/>
        <v>FALSE</v>
      </c>
      <c r="AP189" s="10" t="str">
        <f t="shared" si="20"/>
        <v>FALSE</v>
      </c>
      <c r="AQ189" s="10" t="b">
        <f>IF(AND(I189="TP",S189&lt;=150),VLOOKUP(AF189,TPCalibEq150!$AZ$2:$BB$55,3,),IF(AND(I189="TDP",S189&lt;=150),VLOOKUP(AF189,TPCalibEq150!$AZ$2:$BB$55,3,)))</f>
        <v>0</v>
      </c>
      <c r="AR189" s="10" t="b">
        <f>IF(AND(I189="TP",S189&lt;=300),VLOOKUP(AF189,TPCalibEq300!$AZ$2:$BB$55,3,),IF(AND(I189="TDP",S189&lt;=300),VLOOKUP(AF189,TPCalibEq300!$AZ$2:$BB$55,3,)))</f>
        <v>0</v>
      </c>
      <c r="AS189" s="10" t="b">
        <f>IF(AND(I189="TP",S189&lt;=500),VLOOKUP(AF189,TPCalibEq500!$AZ$2:$BB$56,3,),IF(AND(I189="TDP",S189&lt;=500),VLOOKUP(AF189,TPCalibEq500!$AZ$2:$BB$56,3,)))</f>
        <v>0</v>
      </c>
      <c r="AT189" s="10" t="b">
        <f>IF(AND(I189="TN",S189&lt;=2800),VLOOKUP(AF189,TNCalibEq2500!$AZ$2:$BB$56,3,),IF(AND(I189="TDN",S189&lt;=2800),VLOOKUP(AF189,TNCalibEq2500!$AZ$2:$BB$56,3,)))</f>
        <v>0</v>
      </c>
      <c r="AU189" s="10" t="b">
        <f>IF(I189="TP",VLOOKUP(AF189,TPCalibEqFull!$AZ$2:$BB$56,3),IF(I189="TDP",VLOOKUP(AF189,TPCalibEqFull!$AZ$2:$BB$56,3),IF(I189="TDN",VLOOKUP(AF189,TNCalibEqFull!$AZ$1:$BB$56,3),IF(I189="TN",VLOOKUP(AF189,TNCalibEqFull!$AZ$1:$BB$56,3),FALSE))))</f>
        <v>0</v>
      </c>
      <c r="AV189" s="10" t="str">
        <f t="shared" si="18"/>
        <v>1220 05:55:00-HST-0-C-1-SW-UKN</v>
      </c>
    </row>
    <row r="190" spans="1:48" s="10" customFormat="1" x14ac:dyDescent="0.55000000000000004">
      <c r="A190" s="32">
        <v>44915</v>
      </c>
      <c r="B190" s="33">
        <v>0.24652777777777779</v>
      </c>
      <c r="C190" s="10" t="s">
        <v>333</v>
      </c>
      <c r="D190" s="10">
        <v>0</v>
      </c>
      <c r="E190" s="10" t="s">
        <v>190</v>
      </c>
      <c r="F190" s="10">
        <v>1</v>
      </c>
      <c r="G190" s="10" t="s">
        <v>231</v>
      </c>
      <c r="H190" s="10" t="s">
        <v>233</v>
      </c>
      <c r="I190" s="10" t="s">
        <v>256</v>
      </c>
      <c r="J190" s="10">
        <v>10</v>
      </c>
      <c r="K190" s="12">
        <v>44930</v>
      </c>
      <c r="L190" s="33">
        <v>0.46363425925925927</v>
      </c>
      <c r="M190" s="10">
        <v>1</v>
      </c>
      <c r="N190" s="10" t="s">
        <v>169</v>
      </c>
      <c r="O190" s="10">
        <v>3.99</v>
      </c>
      <c r="P190" s="10">
        <v>0.186</v>
      </c>
      <c r="Q190" s="10">
        <v>543</v>
      </c>
      <c r="R190" s="10" t="s">
        <v>77</v>
      </c>
      <c r="S190" s="34">
        <f t="shared" si="14"/>
        <v>543</v>
      </c>
      <c r="T190" s="10" t="s">
        <v>939</v>
      </c>
      <c r="U190" s="34">
        <f t="shared" si="15"/>
        <v>0</v>
      </c>
      <c r="V190" s="31" t="str">
        <f>IF(H190="CHK",VLOOKUP(I190,QCCHK,3,),IF(H190="GUP",VLOOKUP(E190,QCGUP,2,),IF(AND(H190="ATP",OR(I190="TN",I190="TDN",I190="TNO2-3",I190="NO2-3")),VLOOKUP(E190,QCREC_N,2,),IF(AND(H190="NIC",OR(I190="TN",I190="TDN",I190="TNO2-3",I190="NO2-3")),VLOOKUP(E190,QCNIC_N,2,),IF(AND(H190="UREA",OR(I190="TN",I190="TDN",I190="TNO2-3",I190="NO2-3")),VLOOKUP(E190,QCUREA_N,2,),IF(H190="PER",VLOOKUP(I190,QCPER,MATCH(E190,QCACTUAL!$J$25:$AA$25,0),),IF(H190="SPK",VLOOKUP(I190,QCSPK,3,),IF(AND(H190="ATP",OR(I190="TP",I190="TDP")),VLOOKUP(E190,QCATP_P,2,),""))))))))</f>
        <v/>
      </c>
      <c r="W190" s="31" t="str">
        <f t="shared" si="16"/>
        <v>TRUE</v>
      </c>
      <c r="X190" s="31" t="str">
        <f t="shared" si="17"/>
        <v>((ABS(rep1-rep2))/((rep1+rep2)/2)*100</v>
      </c>
      <c r="Y190" s="10" t="s">
        <v>949</v>
      </c>
      <c r="Z190" s="10" t="s">
        <v>910</v>
      </c>
      <c r="AL190" s="10" t="str">
        <f t="shared" si="19"/>
        <v>FALSE</v>
      </c>
      <c r="AM190" s="10" t="str">
        <f t="shared" si="19"/>
        <v>FALSE</v>
      </c>
      <c r="AN190" s="10" t="str">
        <f t="shared" si="19"/>
        <v>FALSE</v>
      </c>
      <c r="AO190" s="10" t="str">
        <f t="shared" si="20"/>
        <v>FALSE</v>
      </c>
      <c r="AP190" s="10" t="str">
        <f t="shared" si="20"/>
        <v>FALSE</v>
      </c>
      <c r="AQ190" s="10" t="b">
        <f>IF(AND(I190="TP",S190&lt;=150),VLOOKUP(AF190,TPCalibEq150!$AZ$2:$BB$55,3,),IF(AND(I190="TDP",S190&lt;=150),VLOOKUP(AF190,TPCalibEq150!$AZ$2:$BB$55,3,)))</f>
        <v>0</v>
      </c>
      <c r="AR190" s="10" t="b">
        <f>IF(AND(I190="TP",S190&lt;=300),VLOOKUP(AF190,TPCalibEq300!$AZ$2:$BB$55,3,),IF(AND(I190="TDP",S190&lt;=300),VLOOKUP(AF190,TPCalibEq300!$AZ$2:$BB$55,3,)))</f>
        <v>0</v>
      </c>
      <c r="AS190" s="10" t="b">
        <f>IF(AND(I190="TP",S190&lt;=500),VLOOKUP(AF190,TPCalibEq500!$AZ$2:$BB$56,3,),IF(AND(I190="TDP",S190&lt;=500),VLOOKUP(AF190,TPCalibEq500!$AZ$2:$BB$56,3,)))</f>
        <v>0</v>
      </c>
      <c r="AT190" s="10" t="b">
        <f>IF(AND(I190="TN",S190&lt;=2800),VLOOKUP(AF190,TNCalibEq2500!$AZ$2:$BB$56,3,),IF(AND(I190="TDN",S190&lt;=2800),VLOOKUP(AF190,TNCalibEq2500!$AZ$2:$BB$56,3,)))</f>
        <v>0</v>
      </c>
      <c r="AU190" s="10" t="b">
        <f>IF(I190="TP",VLOOKUP(AF190,TPCalibEqFull!$AZ$2:$BB$56,3),IF(I190="TDP",VLOOKUP(AF190,TPCalibEqFull!$AZ$2:$BB$56,3),IF(I190="TDN",VLOOKUP(AF190,TNCalibEqFull!$AZ$1:$BB$56,3),IF(I190="TN",VLOOKUP(AF190,TNCalibEqFull!$AZ$1:$BB$56,3),FALSE))))</f>
        <v>0</v>
      </c>
      <c r="AV190" s="10" t="str">
        <f t="shared" si="18"/>
        <v>1220 05:55:00-HST-0-C-1-SW-DUP</v>
      </c>
    </row>
    <row r="191" spans="1:48" s="10" customFormat="1" x14ac:dyDescent="0.55000000000000004">
      <c r="A191" s="32">
        <v>44915</v>
      </c>
      <c r="B191" s="33">
        <v>0.24652777777777779</v>
      </c>
      <c r="C191" s="10" t="s">
        <v>912</v>
      </c>
      <c r="D191" s="10">
        <v>0</v>
      </c>
      <c r="E191" s="10" t="s">
        <v>190</v>
      </c>
      <c r="F191" s="10">
        <v>1</v>
      </c>
      <c r="G191" s="10" t="s">
        <v>231</v>
      </c>
      <c r="H191" s="10" t="s">
        <v>314</v>
      </c>
      <c r="I191" s="10" t="s">
        <v>256</v>
      </c>
      <c r="J191" s="10">
        <v>49</v>
      </c>
      <c r="K191" s="12">
        <v>44930</v>
      </c>
      <c r="L191" s="33">
        <v>0.46445601851851853</v>
      </c>
      <c r="M191" s="10">
        <v>1</v>
      </c>
      <c r="N191" s="10" t="s">
        <v>169</v>
      </c>
      <c r="O191" s="10">
        <v>8.7799999999999994</v>
      </c>
      <c r="P191" s="10">
        <v>0.41299999999999998</v>
      </c>
      <c r="Q191" s="10">
        <v>1190</v>
      </c>
      <c r="R191" s="10" t="s">
        <v>77</v>
      </c>
      <c r="S191" s="34">
        <f t="shared" si="14"/>
        <v>1190</v>
      </c>
      <c r="T191" s="10" t="s">
        <v>939</v>
      </c>
      <c r="U191" s="34">
        <f t="shared" si="15"/>
        <v>103.52</v>
      </c>
      <c r="V191" s="31">
        <f>IF(H191="CHK",VLOOKUP(I191,QCCHK,3,),IF(H191="GUP",VLOOKUP(E191,QCGUP,2,),IF(AND(H191="ATP",OR(I191="TN",I191="TDN",I191="TNO2-3",I191="NO2-3")),VLOOKUP(E191,QCREC_N,2,),IF(AND(H191="NIC",OR(I191="TN",I191="TDN",I191="TNO2-3",I191="NO2-3")),VLOOKUP(E191,QCNIC_N,2,),IF(AND(H191="UREA",OR(I191="TN",I191="TDN",I191="TNO2-3",I191="NO2-3")),VLOOKUP(E191,QCUREA_N,2,),IF(H191="PER",VLOOKUP(I191,QCPER,MATCH(E191,QCACTUAL!$J$25:$AA$25,0),),IF(H191="SPK",VLOOKUP(I191,QCSPK,3,),IF(AND(H191="ATP",OR(I191="TP",I191="TDP")),VLOOKUP(E191,QCATP_P,2,),""))))))))</f>
        <v>625</v>
      </c>
      <c r="W191" s="31" t="str">
        <f t="shared" si="16"/>
        <v>TRUE</v>
      </c>
      <c r="X191" s="31" t="str">
        <f t="shared" si="17"/>
        <v>([spikedunkn]-[unkn])/[spike]*100</v>
      </c>
      <c r="Y191" s="10" t="s">
        <v>949</v>
      </c>
      <c r="Z191" s="10" t="s">
        <v>910</v>
      </c>
      <c r="AL191" s="10" t="str">
        <f t="shared" si="19"/>
        <v>FALSE</v>
      </c>
      <c r="AM191" s="10" t="str">
        <f t="shared" si="19"/>
        <v>FALSE</v>
      </c>
      <c r="AN191" s="10" t="str">
        <f t="shared" si="19"/>
        <v>FALSE</v>
      </c>
      <c r="AO191" s="10" t="str">
        <f t="shared" si="20"/>
        <v>FALSE</v>
      </c>
      <c r="AP191" s="10" t="str">
        <f t="shared" si="20"/>
        <v>FALSE</v>
      </c>
      <c r="AQ191" s="10" t="b">
        <f>IF(AND(I191="TP",S191&lt;=150),VLOOKUP(AF191,TPCalibEq150!$AZ$2:$BB$55,3,),IF(AND(I191="TDP",S191&lt;=150),VLOOKUP(AF191,TPCalibEq150!$AZ$2:$BB$55,3,)))</f>
        <v>0</v>
      </c>
      <c r="AR191" s="10" t="b">
        <f>IF(AND(I191="TP",S191&lt;=300),VLOOKUP(AF191,TPCalibEq300!$AZ$2:$BB$55,3,),IF(AND(I191="TDP",S191&lt;=300),VLOOKUP(AF191,TPCalibEq300!$AZ$2:$BB$55,3,)))</f>
        <v>0</v>
      </c>
      <c r="AS191" s="10" t="b">
        <f>IF(AND(I191="TP",S191&lt;=500),VLOOKUP(AF191,TPCalibEq500!$AZ$2:$BB$56,3,),IF(AND(I191="TDP",S191&lt;=500),VLOOKUP(AF191,TPCalibEq500!$AZ$2:$BB$56,3,)))</f>
        <v>0</v>
      </c>
      <c r="AT191" s="10" t="b">
        <f>IF(AND(I191="TN",S191&lt;=2800),VLOOKUP(AF191,TNCalibEq2500!$AZ$2:$BB$56,3,),IF(AND(I191="TDN",S191&lt;=2800),VLOOKUP(AF191,TNCalibEq2500!$AZ$2:$BB$56,3,)))</f>
        <v>0</v>
      </c>
      <c r="AU191" s="10" t="b">
        <f>IF(I191="TP",VLOOKUP(AF191,TPCalibEqFull!$AZ$2:$BB$56,3),IF(I191="TDP",VLOOKUP(AF191,TPCalibEqFull!$AZ$2:$BB$56,3),IF(I191="TDN",VLOOKUP(AF191,TNCalibEqFull!$AZ$1:$BB$56,3),IF(I191="TN",VLOOKUP(AF191,TNCalibEqFull!$AZ$1:$BB$56,3),FALSE))))</f>
        <v>0</v>
      </c>
      <c r="AV191" s="10" t="str">
        <f t="shared" si="18"/>
        <v>1220 05:55:00-HST -0-C-1-SW-SPK</v>
      </c>
    </row>
    <row r="192" spans="1:48" s="10" customFormat="1" x14ac:dyDescent="0.55000000000000004">
      <c r="A192" s="32">
        <v>44930</v>
      </c>
      <c r="B192" s="33">
        <v>0.375</v>
      </c>
      <c r="C192" s="10" t="s">
        <v>70</v>
      </c>
      <c r="D192" s="10" t="s">
        <v>71</v>
      </c>
      <c r="E192" s="10" t="s">
        <v>901</v>
      </c>
      <c r="F192" s="10">
        <v>1</v>
      </c>
      <c r="G192" s="10" t="s">
        <v>73</v>
      </c>
      <c r="H192" s="10" t="s">
        <v>207</v>
      </c>
      <c r="I192" s="10" t="s">
        <v>256</v>
      </c>
      <c r="J192" s="10">
        <v>199</v>
      </c>
      <c r="K192" s="12">
        <v>44930</v>
      </c>
      <c r="L192" s="33">
        <v>0.46527777777777773</v>
      </c>
      <c r="M192" s="10">
        <v>1</v>
      </c>
      <c r="N192" s="10" t="s">
        <v>169</v>
      </c>
      <c r="O192" s="10">
        <v>2.2200000000000002</v>
      </c>
      <c r="P192" s="10">
        <v>0.104</v>
      </c>
      <c r="Q192" s="10">
        <v>302</v>
      </c>
      <c r="R192" s="10" t="s">
        <v>77</v>
      </c>
      <c r="S192" s="34">
        <f t="shared" si="14"/>
        <v>302</v>
      </c>
      <c r="T192" s="10" t="s">
        <v>939</v>
      </c>
      <c r="U192" s="34">
        <f t="shared" si="15"/>
        <v>100.66666666666666</v>
      </c>
      <c r="V192" s="31">
        <f>IF(H192="CHK",VLOOKUP(I192,QCCHK,3,),IF(H192="GUP",VLOOKUP(E192,QCGUP,2,),IF(AND(H192="ATP",OR(I192="TN",I192="TDN",I192="TNO2-3",I192="NO2-3")),VLOOKUP(E192,QCREC_N,2,),IF(AND(H192="NIC",OR(I192="TN",I192="TDN",I192="TNO2-3",I192="NO2-3")),VLOOKUP(E192,QCNIC_N,2,),IF(AND(H192="UREA",OR(I192="TN",I192="TDN",I192="TNO2-3",I192="NO2-3")),VLOOKUP(E192,QCUREA_N,2,),IF(H192="PER",VLOOKUP(I192,QCPER,MATCH(E192,QCACTUAL!$J$25:$AA$25,0),),IF(H192="SPK",VLOOKUP(I192,QCSPK,3,),IF(AND(H192="ATP",OR(I192="TP",I192="TDP")),VLOOKUP(E192,QCATP_P,2,),""))))))))</f>
        <v>300</v>
      </c>
      <c r="W192" s="31" t="str">
        <f t="shared" si="16"/>
        <v>TRUE</v>
      </c>
      <c r="X192" s="31" t="str">
        <f t="shared" si="17"/>
        <v>[chk]/[actual]*100</v>
      </c>
      <c r="Y192" s="10" t="s">
        <v>949</v>
      </c>
      <c r="AL192" s="10" t="str">
        <f t="shared" si="19"/>
        <v>FALSE</v>
      </c>
      <c r="AM192" s="10" t="str">
        <f t="shared" si="19"/>
        <v>FALSE</v>
      </c>
      <c r="AN192" s="10" t="str">
        <f t="shared" si="19"/>
        <v>FALSE</v>
      </c>
      <c r="AO192" s="10" t="str">
        <f t="shared" si="20"/>
        <v>FALSE</v>
      </c>
      <c r="AP192" s="10" t="str">
        <f t="shared" si="20"/>
        <v>FALSE</v>
      </c>
      <c r="AQ192" s="10" t="b">
        <f>IF(AND(I192="TP",S192&lt;=150),VLOOKUP(AF192,TPCalibEq150!$AZ$2:$BB$55,3,),IF(AND(I192="TDP",S192&lt;=150),VLOOKUP(AF192,TPCalibEq150!$AZ$2:$BB$55,3,)))</f>
        <v>0</v>
      </c>
      <c r="AR192" s="10" t="b">
        <f>IF(AND(I192="TP",S192&lt;=300),VLOOKUP(AF192,TPCalibEq300!$AZ$2:$BB$55,3,),IF(AND(I192="TDP",S192&lt;=300),VLOOKUP(AF192,TPCalibEq300!$AZ$2:$BB$55,3,)))</f>
        <v>0</v>
      </c>
      <c r="AS192" s="10" t="b">
        <f>IF(AND(I192="TP",S192&lt;=500),VLOOKUP(AF192,TPCalibEq500!$AZ$2:$BB$56,3,),IF(AND(I192="TDP",S192&lt;=500),VLOOKUP(AF192,TPCalibEq500!$AZ$2:$BB$56,3,)))</f>
        <v>0</v>
      </c>
      <c r="AT192" s="10" t="b">
        <f>IF(AND(I192="TN",S192&lt;=2800),VLOOKUP(AF192,TNCalibEq2500!$AZ$2:$BB$56,3,),IF(AND(I192="TDN",S192&lt;=2800),VLOOKUP(AF192,TNCalibEq2500!$AZ$2:$BB$56,3,)))</f>
        <v>0</v>
      </c>
      <c r="AU192" s="10" t="b">
        <f>IF(I192="TP",VLOOKUP(AF192,TPCalibEqFull!$AZ$2:$BB$56,3),IF(I192="TDP",VLOOKUP(AF192,TPCalibEqFull!$AZ$2:$BB$56,3),IF(I192="TDN",VLOOKUP(AF192,TNCalibEqFull!$AZ$1:$BB$56,3),IF(I192="TN",VLOOKUP(AF192,TNCalibEqFull!$AZ$1:$BB$56,3),FALSE))))</f>
        <v>0</v>
      </c>
      <c r="AV192" s="10" t="str">
        <f t="shared" si="18"/>
        <v>0104 09:00:00-QAC-STD-D-1-DI-CHK</v>
      </c>
    </row>
    <row r="193" spans="1:48" s="10" customFormat="1" x14ac:dyDescent="0.55000000000000004">
      <c r="A193" s="32">
        <v>44916</v>
      </c>
      <c r="B193" s="33">
        <v>0.22916666666666666</v>
      </c>
      <c r="C193" s="10" t="s">
        <v>279</v>
      </c>
      <c r="D193" s="10">
        <v>0</v>
      </c>
      <c r="E193" s="10" t="s">
        <v>190</v>
      </c>
      <c r="F193" s="10">
        <v>1</v>
      </c>
      <c r="G193" s="10" t="s">
        <v>231</v>
      </c>
      <c r="H193" s="10" t="s">
        <v>322</v>
      </c>
      <c r="I193" s="10" t="s">
        <v>256</v>
      </c>
      <c r="J193" s="10">
        <v>11</v>
      </c>
      <c r="K193" s="12">
        <v>44930</v>
      </c>
      <c r="L193" s="33">
        <v>0.46609953703703705</v>
      </c>
      <c r="M193" s="10">
        <v>1</v>
      </c>
      <c r="N193" s="10" t="s">
        <v>169</v>
      </c>
      <c r="O193" s="10">
        <v>5.89</v>
      </c>
      <c r="P193" s="10">
        <v>0.27300000000000002</v>
      </c>
      <c r="Q193" s="10">
        <v>802</v>
      </c>
      <c r="R193" s="10" t="s">
        <v>77</v>
      </c>
      <c r="S193" s="34">
        <f t="shared" si="14"/>
        <v>802</v>
      </c>
      <c r="T193" s="10" t="s">
        <v>939</v>
      </c>
      <c r="U193" s="34" t="str">
        <f t="shared" si="15"/>
        <v/>
      </c>
      <c r="V193" s="31" t="str">
        <f>IF(H193="CHK",VLOOKUP(I193,QCCHK,3,),IF(H193="GUP",VLOOKUP(E193,QCGUP,2,),IF(AND(H193="ATP",OR(I193="TN",I193="TDN",I193="TNO2-3",I193="NO2-3")),VLOOKUP(E193,QCREC_N,2,),IF(AND(H193="NIC",OR(I193="TN",I193="TDN",I193="TNO2-3",I193="NO2-3")),VLOOKUP(E193,QCNIC_N,2,),IF(AND(H193="UREA",OR(I193="TN",I193="TDN",I193="TNO2-3",I193="NO2-3")),VLOOKUP(E193,QCUREA_N,2,),IF(H193="PER",VLOOKUP(I193,QCPER,MATCH(E193,QCACTUAL!$J$25:$AA$25,0),),IF(H193="SPK",VLOOKUP(I193,QCSPK,3,),IF(AND(H193="ATP",OR(I193="TP",I193="TDP")),VLOOKUP(E193,QCATP_P,2,),""))))))))</f>
        <v/>
      </c>
      <c r="W193" s="31" t="str">
        <f t="shared" si="16"/>
        <v>TRUE</v>
      </c>
      <c r="X193" s="31" t="str">
        <f t="shared" si="17"/>
        <v/>
      </c>
      <c r="Y193" s="10" t="s">
        <v>949</v>
      </c>
      <c r="Z193" s="10" t="s">
        <v>910</v>
      </c>
      <c r="AL193" s="10" t="str">
        <f t="shared" si="19"/>
        <v>FALSE</v>
      </c>
      <c r="AM193" s="10" t="str">
        <f t="shared" si="19"/>
        <v>FALSE</v>
      </c>
      <c r="AN193" s="10" t="str">
        <f t="shared" si="19"/>
        <v>FALSE</v>
      </c>
      <c r="AO193" s="10" t="str">
        <f t="shared" si="20"/>
        <v>FALSE</v>
      </c>
      <c r="AP193" s="10" t="str">
        <f t="shared" si="20"/>
        <v>FALSE</v>
      </c>
      <c r="AQ193" s="10" t="b">
        <f>IF(AND(I193="TP",S193&lt;=150),VLOOKUP(AF193,TPCalibEq150!$AZ$2:$BB$55,3,),IF(AND(I193="TDP",S193&lt;=150),VLOOKUP(AF193,TPCalibEq150!$AZ$2:$BB$55,3,)))</f>
        <v>0</v>
      </c>
      <c r="AR193" s="10" t="b">
        <f>IF(AND(I193="TP",S193&lt;=300),VLOOKUP(AF193,TPCalibEq300!$AZ$2:$BB$55,3,),IF(AND(I193="TDP",S193&lt;=300),VLOOKUP(AF193,TPCalibEq300!$AZ$2:$BB$55,3,)))</f>
        <v>0</v>
      </c>
      <c r="AS193" s="10" t="b">
        <f>IF(AND(I193="TP",S193&lt;=500),VLOOKUP(AF193,TPCalibEq500!$AZ$2:$BB$56,3,),IF(AND(I193="TDP",S193&lt;=500),VLOOKUP(AF193,TPCalibEq500!$AZ$2:$BB$56,3,)))</f>
        <v>0</v>
      </c>
      <c r="AT193" s="10" t="b">
        <f>IF(AND(I193="TN",S193&lt;=2800),VLOOKUP(AF193,TNCalibEq2500!$AZ$2:$BB$56,3,),IF(AND(I193="TDN",S193&lt;=2800),VLOOKUP(AF193,TNCalibEq2500!$AZ$2:$BB$56,3,)))</f>
        <v>0</v>
      </c>
      <c r="AU193" s="10" t="b">
        <f>IF(I193="TP",VLOOKUP(AF193,TPCalibEqFull!$AZ$2:$BB$56,3),IF(I193="TDP",VLOOKUP(AF193,TPCalibEqFull!$AZ$2:$BB$56,3),IF(I193="TDN",VLOOKUP(AF193,TNCalibEqFull!$AZ$1:$BB$56,3),IF(I193="TN",VLOOKUP(AF193,TNCalibEqFull!$AZ$1:$BB$56,3),FALSE))))</f>
        <v>0</v>
      </c>
      <c r="AV193" s="10" t="str">
        <f t="shared" si="18"/>
        <v>1221 05:30:00-EFK-0-C-1-SW-UKN</v>
      </c>
    </row>
    <row r="194" spans="1:48" s="10" customFormat="1" x14ac:dyDescent="0.55000000000000004">
      <c r="A194" s="32">
        <v>44916</v>
      </c>
      <c r="B194" s="33">
        <v>0.23611111111111113</v>
      </c>
      <c r="C194" s="10" t="s">
        <v>333</v>
      </c>
      <c r="D194" s="10">
        <v>0</v>
      </c>
      <c r="E194" s="10" t="s">
        <v>190</v>
      </c>
      <c r="F194" s="10">
        <v>1</v>
      </c>
      <c r="G194" s="10" t="s">
        <v>231</v>
      </c>
      <c r="H194" s="10" t="s">
        <v>322</v>
      </c>
      <c r="I194" s="10" t="s">
        <v>256</v>
      </c>
      <c r="J194" s="10">
        <v>12</v>
      </c>
      <c r="K194" s="12">
        <v>44930</v>
      </c>
      <c r="L194" s="33">
        <v>0.46689814814814817</v>
      </c>
      <c r="M194" s="10">
        <v>1</v>
      </c>
      <c r="N194" s="10" t="s">
        <v>169</v>
      </c>
      <c r="O194" s="10">
        <v>4.45</v>
      </c>
      <c r="P194" s="10">
        <v>0.20499999999999999</v>
      </c>
      <c r="Q194" s="10">
        <v>605</v>
      </c>
      <c r="R194" s="10" t="s">
        <v>77</v>
      </c>
      <c r="S194" s="34">
        <f t="shared" ref="S194:S257" si="21">IF(OR(AND(I194&lt;&gt;"TP", I194&lt;&gt;"TDP",I194&lt;&gt;"TN", I194&lt;&gt;"TDN"),H194="CAL"), Q194*M194, IF(OR(AND(I194="TN", Q194&gt;2500), AND(I194="TDN", Q194&gt;2500)),MAX(Q194, AK194)*M194, IF(OR(AND(I194="TN", Q194&lt;=2500), AND(I194="TDN", Q194&lt;=2500)),MAX(Q194, AJ194,AK194)*M194, IF(OR(AND(I194="TP",Q194&gt;500), AND(I194="TDP", Q194&gt;500)),MAX(Q194,AK194)*M194,IF(OR(AND(I194="TP",Q194&lt;=150), AND(I194="TDP", Q194&lt;=150)),MAX(Q194,AG194:AI194,AK194)*M194,IF(OR(AND(I194="TP",Q194&lt;=300), AND(I194="TDP", Q194&lt;=300)),MAX(Q194,AH194,AI194,AK194)*M194,IF(OR(AND(I194="TP",Q194&lt;=500), AND(I194="TDP", Q194&lt;=500)),MAX(Q194,AI194,AK194)*M194,"")))))))</f>
        <v>605</v>
      </c>
      <c r="T194" s="10" t="s">
        <v>939</v>
      </c>
      <c r="U194" s="34" t="str">
        <f t="shared" ref="U194:U257" si="22">IF(OR(H194="CHK",H194="ATP",H194="GUP",H194="PER", H194="NIC", H194="UREA"),(S194/V194*100),IF(H194="DUP",((ABS(S194-S193))/((S193+S194)/2))*100,IF(H194="SPK",((S194-S193)/V194*100),IF(OR(H194="LAB",H194="FLD",H194="ESF"),S194,""))))</f>
        <v/>
      </c>
      <c r="V194" s="31" t="str">
        <f>IF(H194="CHK",VLOOKUP(I194,QCCHK,3,),IF(H194="GUP",VLOOKUP(E194,QCGUP,2,),IF(AND(H194="ATP",OR(I194="TN",I194="TDN",I194="TNO2-3",I194="NO2-3")),VLOOKUP(E194,QCREC_N,2,),IF(AND(H194="NIC",OR(I194="TN",I194="TDN",I194="TNO2-3",I194="NO2-3")),VLOOKUP(E194,QCNIC_N,2,),IF(AND(H194="UREA",OR(I194="TN",I194="TDN",I194="TNO2-3",I194="NO2-3")),VLOOKUP(E194,QCUREA_N,2,),IF(H194="PER",VLOOKUP(I194,QCPER,MATCH(E194,QCACTUAL!$J$25:$AA$25,0),),IF(H194="SPK",VLOOKUP(I194,QCSPK,3,),IF(AND(H194="ATP",OR(I194="TP",I194="TDP")),VLOOKUP(E194,QCATP_P,2,),""))))))))</f>
        <v/>
      </c>
      <c r="W194" s="31" t="str">
        <f t="shared" ref="W194:W257" si="23">IF(AND(OR(H194="PER",H194="ATP",H194="GUP",H194="CHK",H194="SPK", H194="NIC"),OR(U194&gt;125,U194&lt;75)),"FALSE",IF(AND(H194="DUP",OR(U194&gt;25, U194&lt;-25)),"FALSE",IF(AND(OR(H194="LAB",H194="FLD",H194="ESF"),U194&gt;15),"FALSE","TRUE")))</f>
        <v>TRUE</v>
      </c>
      <c r="X194" s="31" t="str">
        <f t="shared" ref="X194:X257" si="24">IF(ISNA(VLOOKUP(H194,QCEQUATIONS,2,)),"",(VLOOKUP(H194,QCEQUATIONS,2,)))</f>
        <v/>
      </c>
      <c r="Y194" s="10" t="s">
        <v>949</v>
      </c>
      <c r="Z194" s="10" t="s">
        <v>910</v>
      </c>
      <c r="AL194" s="10" t="str">
        <f t="shared" si="19"/>
        <v>FALSE</v>
      </c>
      <c r="AM194" s="10" t="str">
        <f t="shared" si="19"/>
        <v>FALSE</v>
      </c>
      <c r="AN194" s="10" t="str">
        <f t="shared" si="19"/>
        <v>FALSE</v>
      </c>
      <c r="AO194" s="10" t="str">
        <f t="shared" si="20"/>
        <v>FALSE</v>
      </c>
      <c r="AP194" s="10" t="str">
        <f t="shared" si="20"/>
        <v>FALSE</v>
      </c>
      <c r="AQ194" s="10" t="b">
        <f>IF(AND(I194="TP",S194&lt;=150),VLOOKUP(AF194,TPCalibEq150!$AZ$2:$BB$55,3,),IF(AND(I194="TDP",S194&lt;=150),VLOOKUP(AF194,TPCalibEq150!$AZ$2:$BB$55,3,)))</f>
        <v>0</v>
      </c>
      <c r="AR194" s="10" t="b">
        <f>IF(AND(I194="TP",S194&lt;=300),VLOOKUP(AF194,TPCalibEq300!$AZ$2:$BB$55,3,),IF(AND(I194="TDP",S194&lt;=300),VLOOKUP(AF194,TPCalibEq300!$AZ$2:$BB$55,3,)))</f>
        <v>0</v>
      </c>
      <c r="AS194" s="10" t="b">
        <f>IF(AND(I194="TP",S194&lt;=500),VLOOKUP(AF194,TPCalibEq500!$AZ$2:$BB$56,3,),IF(AND(I194="TDP",S194&lt;=500),VLOOKUP(AF194,TPCalibEq500!$AZ$2:$BB$56,3,)))</f>
        <v>0</v>
      </c>
      <c r="AT194" s="10" t="b">
        <f>IF(AND(I194="TN",S194&lt;=2800),VLOOKUP(AF194,TNCalibEq2500!$AZ$2:$BB$56,3,),IF(AND(I194="TDN",S194&lt;=2800),VLOOKUP(AF194,TNCalibEq2500!$AZ$2:$BB$56,3,)))</f>
        <v>0</v>
      </c>
      <c r="AU194" s="10" t="b">
        <f>IF(I194="TP",VLOOKUP(AF194,TPCalibEqFull!$AZ$2:$BB$56,3),IF(I194="TDP",VLOOKUP(AF194,TPCalibEqFull!$AZ$2:$BB$56,3),IF(I194="TDN",VLOOKUP(AF194,TNCalibEqFull!$AZ$1:$BB$56,3),IF(I194="TN",VLOOKUP(AF194,TNCalibEqFull!$AZ$1:$BB$56,3),FALSE))))</f>
        <v>0</v>
      </c>
      <c r="AV194" s="10" t="str">
        <f t="shared" ref="AV194:AV257" si="25">TEXT(A194, "MMDD")&amp;" "&amp;TEXT(B194, "HH:MM:SS")&amp;"-"&amp;C194&amp;"-"&amp;D194&amp;"-"&amp;E194&amp;"-"&amp;F194&amp;"-"&amp;G194&amp;"-"&amp;H194</f>
        <v>1221 05:40:00-HST-0-C-1-SW-UKN</v>
      </c>
    </row>
    <row r="195" spans="1:48" s="10" customFormat="1" x14ac:dyDescent="0.55000000000000004">
      <c r="A195" s="32">
        <v>44917</v>
      </c>
      <c r="B195" s="33">
        <v>0.24513888888888888</v>
      </c>
      <c r="C195" s="10" t="s">
        <v>279</v>
      </c>
      <c r="D195" s="10">
        <v>0</v>
      </c>
      <c r="E195" s="10" t="s">
        <v>190</v>
      </c>
      <c r="F195" s="10">
        <v>1</v>
      </c>
      <c r="G195" s="10" t="s">
        <v>231</v>
      </c>
      <c r="H195" s="10" t="s">
        <v>322</v>
      </c>
      <c r="I195" s="10" t="s">
        <v>256</v>
      </c>
      <c r="J195" s="10">
        <v>13</v>
      </c>
      <c r="K195" s="12">
        <v>44930</v>
      </c>
      <c r="L195" s="33">
        <v>0.46770833333333334</v>
      </c>
      <c r="M195" s="10">
        <v>1</v>
      </c>
      <c r="N195" s="10" t="s">
        <v>169</v>
      </c>
      <c r="O195" s="10">
        <v>8.98</v>
      </c>
      <c r="P195" s="10">
        <v>0.41899999999999998</v>
      </c>
      <c r="Q195" s="10">
        <v>1220</v>
      </c>
      <c r="R195" s="10" t="s">
        <v>77</v>
      </c>
      <c r="S195" s="34">
        <f t="shared" si="21"/>
        <v>1220</v>
      </c>
      <c r="T195" s="10" t="s">
        <v>939</v>
      </c>
      <c r="U195" s="34" t="str">
        <f t="shared" si="22"/>
        <v/>
      </c>
      <c r="V195" s="31" t="str">
        <f>IF(H195="CHK",VLOOKUP(I195,QCCHK,3,),IF(H195="GUP",VLOOKUP(E195,QCGUP,2,),IF(AND(H195="ATP",OR(I195="TN",I195="TDN",I195="TNO2-3",I195="NO2-3")),VLOOKUP(E195,QCREC_N,2,),IF(AND(H195="NIC",OR(I195="TN",I195="TDN",I195="TNO2-3",I195="NO2-3")),VLOOKUP(E195,QCNIC_N,2,),IF(AND(H195="UREA",OR(I195="TN",I195="TDN",I195="TNO2-3",I195="NO2-3")),VLOOKUP(E195,QCUREA_N,2,),IF(H195="PER",VLOOKUP(I195,QCPER,MATCH(E195,QCACTUAL!$J$25:$AA$25,0),),IF(H195="SPK",VLOOKUP(I195,QCSPK,3,),IF(AND(H195="ATP",OR(I195="TP",I195="TDP")),VLOOKUP(E195,QCATP_P,2,),""))))))))</f>
        <v/>
      </c>
      <c r="W195" s="31" t="str">
        <f t="shared" si="23"/>
        <v>TRUE</v>
      </c>
      <c r="X195" s="31" t="str">
        <f t="shared" si="24"/>
        <v/>
      </c>
      <c r="Y195" s="10" t="s">
        <v>949</v>
      </c>
      <c r="Z195" s="10" t="s">
        <v>910</v>
      </c>
      <c r="AL195" s="10" t="str">
        <f t="shared" ref="AL195:AN258" si="26">IF($O195="", "", IF(AQ195&lt;&gt;"", SUBSTITUTE(SUBSTITUTE(AQ195, "x", "*"&amp;$O195&amp;"^", 1), "x", "*"&amp;$O195, 1), ""))</f>
        <v>FALSE</v>
      </c>
      <c r="AM195" s="10" t="str">
        <f t="shared" si="26"/>
        <v>FALSE</v>
      </c>
      <c r="AN195" s="10" t="str">
        <f t="shared" si="26"/>
        <v>FALSE</v>
      </c>
      <c r="AO195" s="10" t="str">
        <f t="shared" ref="AO195:AP258" si="27">IF($O195="", "FALSE", IF(AT195&lt;&gt;"FALSE", SUBSTITUTE(SUBSTITUTE(AT195, "x", "*"&amp;$O195&amp;"^", 1), "x", "*"&amp;$O195, 1), ""))</f>
        <v>FALSE</v>
      </c>
      <c r="AP195" s="10" t="str">
        <f t="shared" si="27"/>
        <v>FALSE</v>
      </c>
      <c r="AQ195" s="10" t="b">
        <f>IF(AND(I195="TP",S195&lt;=150),VLOOKUP(AF195,TPCalibEq150!$AZ$2:$BB$55,3,),IF(AND(I195="TDP",S195&lt;=150),VLOOKUP(AF195,TPCalibEq150!$AZ$2:$BB$55,3,)))</f>
        <v>0</v>
      </c>
      <c r="AR195" s="10" t="b">
        <f>IF(AND(I195="TP",S195&lt;=300),VLOOKUP(AF195,TPCalibEq300!$AZ$2:$BB$55,3,),IF(AND(I195="TDP",S195&lt;=300),VLOOKUP(AF195,TPCalibEq300!$AZ$2:$BB$55,3,)))</f>
        <v>0</v>
      </c>
      <c r="AS195" s="10" t="b">
        <f>IF(AND(I195="TP",S195&lt;=500),VLOOKUP(AF195,TPCalibEq500!$AZ$2:$BB$56,3,),IF(AND(I195="TDP",S195&lt;=500),VLOOKUP(AF195,TPCalibEq500!$AZ$2:$BB$56,3,)))</f>
        <v>0</v>
      </c>
      <c r="AT195" s="10" t="b">
        <f>IF(AND(I195="TN",S195&lt;=2800),VLOOKUP(AF195,TNCalibEq2500!$AZ$2:$BB$56,3,),IF(AND(I195="TDN",S195&lt;=2800),VLOOKUP(AF195,TNCalibEq2500!$AZ$2:$BB$56,3,)))</f>
        <v>0</v>
      </c>
      <c r="AU195" s="10" t="b">
        <f>IF(I195="TP",VLOOKUP(AF195,TPCalibEqFull!$AZ$2:$BB$56,3),IF(I195="TDP",VLOOKUP(AF195,TPCalibEqFull!$AZ$2:$BB$56,3),IF(I195="TDN",VLOOKUP(AF195,TNCalibEqFull!$AZ$1:$BB$56,3),IF(I195="TN",VLOOKUP(AF195,TNCalibEqFull!$AZ$1:$BB$56,3),FALSE))))</f>
        <v>0</v>
      </c>
      <c r="AV195" s="10" t="str">
        <f t="shared" si="25"/>
        <v>1222 05:53:00-EFK-0-C-1-SW-UKN</v>
      </c>
    </row>
    <row r="196" spans="1:48" s="10" customFormat="1" x14ac:dyDescent="0.55000000000000004">
      <c r="A196" s="32">
        <v>44917</v>
      </c>
      <c r="B196" s="33">
        <v>0.24166666666666667</v>
      </c>
      <c r="C196" s="10" t="s">
        <v>333</v>
      </c>
      <c r="D196" s="10">
        <v>0</v>
      </c>
      <c r="E196" s="10" t="s">
        <v>190</v>
      </c>
      <c r="F196" s="10">
        <v>1</v>
      </c>
      <c r="G196" s="10" t="s">
        <v>231</v>
      </c>
      <c r="H196" s="10" t="s">
        <v>322</v>
      </c>
      <c r="I196" s="10" t="s">
        <v>256</v>
      </c>
      <c r="J196" s="10">
        <v>14</v>
      </c>
      <c r="K196" s="12">
        <v>44930</v>
      </c>
      <c r="L196" s="33">
        <v>0.4685185185185185</v>
      </c>
      <c r="M196" s="10">
        <v>1</v>
      </c>
      <c r="N196" s="10" t="s">
        <v>169</v>
      </c>
      <c r="O196" s="10">
        <v>5.0999999999999996</v>
      </c>
      <c r="P196" s="10">
        <v>0.23699999999999999</v>
      </c>
      <c r="Q196" s="10">
        <v>693</v>
      </c>
      <c r="R196" s="10" t="s">
        <v>77</v>
      </c>
      <c r="S196" s="34">
        <f t="shared" si="21"/>
        <v>693</v>
      </c>
      <c r="T196" s="10" t="s">
        <v>939</v>
      </c>
      <c r="U196" s="34" t="str">
        <f t="shared" si="22"/>
        <v/>
      </c>
      <c r="V196" s="31" t="str">
        <f>IF(H196="CHK",VLOOKUP(I196,QCCHK,3,),IF(H196="GUP",VLOOKUP(E196,QCGUP,2,),IF(AND(H196="ATP",OR(I196="TN",I196="TDN",I196="TNO2-3",I196="NO2-3")),VLOOKUP(E196,QCREC_N,2,),IF(AND(H196="NIC",OR(I196="TN",I196="TDN",I196="TNO2-3",I196="NO2-3")),VLOOKUP(E196,QCNIC_N,2,),IF(AND(H196="UREA",OR(I196="TN",I196="TDN",I196="TNO2-3",I196="NO2-3")),VLOOKUP(E196,QCUREA_N,2,),IF(H196="PER",VLOOKUP(I196,QCPER,MATCH(E196,QCACTUAL!$J$25:$AA$25,0),),IF(H196="SPK",VLOOKUP(I196,QCSPK,3,),IF(AND(H196="ATP",OR(I196="TP",I196="TDP")),VLOOKUP(E196,QCATP_P,2,),""))))))))</f>
        <v/>
      </c>
      <c r="W196" s="31" t="str">
        <f t="shared" si="23"/>
        <v>TRUE</v>
      </c>
      <c r="X196" s="31" t="str">
        <f t="shared" si="24"/>
        <v/>
      </c>
      <c r="Y196" s="10" t="s">
        <v>949</v>
      </c>
      <c r="Z196" s="10" t="s">
        <v>910</v>
      </c>
      <c r="AL196" s="10" t="str">
        <f t="shared" si="26"/>
        <v>FALSE</v>
      </c>
      <c r="AM196" s="10" t="str">
        <f t="shared" si="26"/>
        <v>FALSE</v>
      </c>
      <c r="AN196" s="10" t="str">
        <f t="shared" si="26"/>
        <v>FALSE</v>
      </c>
      <c r="AO196" s="10" t="str">
        <f t="shared" si="27"/>
        <v>FALSE</v>
      </c>
      <c r="AP196" s="10" t="str">
        <f t="shared" si="27"/>
        <v>FALSE</v>
      </c>
      <c r="AQ196" s="10" t="b">
        <f>IF(AND(I196="TP",S196&lt;=150),VLOOKUP(AF196,TPCalibEq150!$AZ$2:$BB$55,3,),IF(AND(I196="TDP",S196&lt;=150),VLOOKUP(AF196,TPCalibEq150!$AZ$2:$BB$55,3,)))</f>
        <v>0</v>
      </c>
      <c r="AR196" s="10" t="b">
        <f>IF(AND(I196="TP",S196&lt;=300),VLOOKUP(AF196,TPCalibEq300!$AZ$2:$BB$55,3,),IF(AND(I196="TDP",S196&lt;=300),VLOOKUP(AF196,TPCalibEq300!$AZ$2:$BB$55,3,)))</f>
        <v>0</v>
      </c>
      <c r="AS196" s="10" t="b">
        <f>IF(AND(I196="TP",S196&lt;=500),VLOOKUP(AF196,TPCalibEq500!$AZ$2:$BB$56,3,),IF(AND(I196="TDP",S196&lt;=500),VLOOKUP(AF196,TPCalibEq500!$AZ$2:$BB$56,3,)))</f>
        <v>0</v>
      </c>
      <c r="AT196" s="10" t="b">
        <f>IF(AND(I196="TN",S196&lt;=2800),VLOOKUP(AF196,TNCalibEq2500!$AZ$2:$BB$56,3,),IF(AND(I196="TDN",S196&lt;=2800),VLOOKUP(AF196,TNCalibEq2500!$AZ$2:$BB$56,3,)))</f>
        <v>0</v>
      </c>
      <c r="AU196" s="10" t="b">
        <f>IF(I196="TP",VLOOKUP(AF196,TPCalibEqFull!$AZ$2:$BB$56,3),IF(I196="TDP",VLOOKUP(AF196,TPCalibEqFull!$AZ$2:$BB$56,3),IF(I196="TDN",VLOOKUP(AF196,TNCalibEqFull!$AZ$1:$BB$56,3),IF(I196="TN",VLOOKUP(AF196,TNCalibEqFull!$AZ$1:$BB$56,3),FALSE))))</f>
        <v>0</v>
      </c>
      <c r="AV196" s="10" t="str">
        <f t="shared" si="25"/>
        <v>1222 05:48:00-HST-0-C-1-SW-UKN</v>
      </c>
    </row>
    <row r="197" spans="1:48" s="10" customFormat="1" x14ac:dyDescent="0.55000000000000004">
      <c r="A197" s="32">
        <v>44922</v>
      </c>
      <c r="B197" s="33">
        <v>0.24652777777777779</v>
      </c>
      <c r="C197" s="10" t="s">
        <v>279</v>
      </c>
      <c r="D197" s="10">
        <v>0</v>
      </c>
      <c r="E197" s="10" t="s">
        <v>190</v>
      </c>
      <c r="F197" s="10">
        <v>1</v>
      </c>
      <c r="G197" s="10" t="s">
        <v>231</v>
      </c>
      <c r="H197" s="10" t="s">
        <v>322</v>
      </c>
      <c r="I197" s="10" t="s">
        <v>256</v>
      </c>
      <c r="J197" s="10">
        <v>15</v>
      </c>
      <c r="K197" s="12">
        <v>44930</v>
      </c>
      <c r="L197" s="33">
        <v>0.46932870370370372</v>
      </c>
      <c r="M197" s="10">
        <v>1</v>
      </c>
      <c r="N197" s="10" t="s">
        <v>169</v>
      </c>
      <c r="O197" s="10">
        <v>12</v>
      </c>
      <c r="P197" s="10">
        <v>0.56200000000000006</v>
      </c>
      <c r="Q197" s="10">
        <v>1630</v>
      </c>
      <c r="R197" s="10" t="s">
        <v>77</v>
      </c>
      <c r="S197" s="34">
        <f t="shared" si="21"/>
        <v>1630</v>
      </c>
      <c r="T197" s="10" t="s">
        <v>939</v>
      </c>
      <c r="U197" s="34" t="str">
        <f t="shared" si="22"/>
        <v/>
      </c>
      <c r="V197" s="31" t="str">
        <f>IF(H197="CHK",VLOOKUP(I197,QCCHK,3,),IF(H197="GUP",VLOOKUP(E197,QCGUP,2,),IF(AND(H197="ATP",OR(I197="TN",I197="TDN",I197="TNO2-3",I197="NO2-3")),VLOOKUP(E197,QCREC_N,2,),IF(AND(H197="NIC",OR(I197="TN",I197="TDN",I197="TNO2-3",I197="NO2-3")),VLOOKUP(E197,QCNIC_N,2,),IF(AND(H197="UREA",OR(I197="TN",I197="TDN",I197="TNO2-3",I197="NO2-3")),VLOOKUP(E197,QCUREA_N,2,),IF(H197="PER",VLOOKUP(I197,QCPER,MATCH(E197,QCACTUAL!$J$25:$AA$25,0),),IF(H197="SPK",VLOOKUP(I197,QCSPK,3,),IF(AND(H197="ATP",OR(I197="TP",I197="TDP")),VLOOKUP(E197,QCATP_P,2,),""))))))))</f>
        <v/>
      </c>
      <c r="W197" s="31" t="str">
        <f t="shared" si="23"/>
        <v>TRUE</v>
      </c>
      <c r="X197" s="31" t="str">
        <f t="shared" si="24"/>
        <v/>
      </c>
      <c r="Y197" s="10" t="s">
        <v>949</v>
      </c>
      <c r="Z197" s="10" t="s">
        <v>910</v>
      </c>
      <c r="AL197" s="10" t="str">
        <f t="shared" si="26"/>
        <v>FALSE</v>
      </c>
      <c r="AM197" s="10" t="str">
        <f t="shared" si="26"/>
        <v>FALSE</v>
      </c>
      <c r="AN197" s="10" t="str">
        <f t="shared" si="26"/>
        <v>FALSE</v>
      </c>
      <c r="AO197" s="10" t="str">
        <f t="shared" si="27"/>
        <v>FALSE</v>
      </c>
      <c r="AP197" s="10" t="str">
        <f t="shared" si="27"/>
        <v>FALSE</v>
      </c>
      <c r="AQ197" s="10" t="b">
        <f>IF(AND(I197="TP",S197&lt;=150),VLOOKUP(AF197,TPCalibEq150!$AZ$2:$BB$55,3,),IF(AND(I197="TDP",S197&lt;=150),VLOOKUP(AF197,TPCalibEq150!$AZ$2:$BB$55,3,)))</f>
        <v>0</v>
      </c>
      <c r="AR197" s="10" t="b">
        <f>IF(AND(I197="TP",S197&lt;=300),VLOOKUP(AF197,TPCalibEq300!$AZ$2:$BB$55,3,),IF(AND(I197="TDP",S197&lt;=300),VLOOKUP(AF197,TPCalibEq300!$AZ$2:$BB$55,3,)))</f>
        <v>0</v>
      </c>
      <c r="AS197" s="10" t="b">
        <f>IF(AND(I197="TP",S197&lt;=500),VLOOKUP(AF197,TPCalibEq500!$AZ$2:$BB$56,3,),IF(AND(I197="TDP",S197&lt;=500),VLOOKUP(AF197,TPCalibEq500!$AZ$2:$BB$56,3,)))</f>
        <v>0</v>
      </c>
      <c r="AT197" s="10" t="b">
        <f>IF(AND(I197="TN",S197&lt;=2800),VLOOKUP(AF197,TNCalibEq2500!$AZ$2:$BB$56,3,),IF(AND(I197="TDN",S197&lt;=2800),VLOOKUP(AF197,TNCalibEq2500!$AZ$2:$BB$56,3,)))</f>
        <v>0</v>
      </c>
      <c r="AU197" s="10" t="b">
        <f>IF(I197="TP",VLOOKUP(AF197,TPCalibEqFull!$AZ$2:$BB$56,3),IF(I197="TDP",VLOOKUP(AF197,TPCalibEqFull!$AZ$2:$BB$56,3),IF(I197="TDN",VLOOKUP(AF197,TNCalibEqFull!$AZ$1:$BB$56,3),IF(I197="TN",VLOOKUP(AF197,TNCalibEqFull!$AZ$1:$BB$56,3),FALSE))))</f>
        <v>0</v>
      </c>
      <c r="AV197" s="10" t="str">
        <f t="shared" si="25"/>
        <v>1227 05:55:00-EFK-0-C-1-SW-UKN</v>
      </c>
    </row>
    <row r="198" spans="1:48" s="10" customFormat="1" x14ac:dyDescent="0.55000000000000004">
      <c r="A198" s="32">
        <v>44922</v>
      </c>
      <c r="B198" s="33">
        <v>0.3576388888888889</v>
      </c>
      <c r="C198" s="10" t="s">
        <v>333</v>
      </c>
      <c r="D198" s="10">
        <v>0</v>
      </c>
      <c r="E198" s="10" t="s">
        <v>190</v>
      </c>
      <c r="F198" s="10">
        <v>1</v>
      </c>
      <c r="G198" s="10" t="s">
        <v>231</v>
      </c>
      <c r="H198" s="10" t="s">
        <v>322</v>
      </c>
      <c r="I198" s="10" t="s">
        <v>256</v>
      </c>
      <c r="J198" s="10">
        <v>16</v>
      </c>
      <c r="K198" s="12">
        <v>44930</v>
      </c>
      <c r="L198" s="33">
        <v>0.47015046296296298</v>
      </c>
      <c r="M198" s="10">
        <v>1</v>
      </c>
      <c r="N198" s="10" t="s">
        <v>169</v>
      </c>
      <c r="O198" s="10">
        <v>6.58</v>
      </c>
      <c r="P198" s="10">
        <v>0.30599999999999999</v>
      </c>
      <c r="Q198" s="10">
        <v>895</v>
      </c>
      <c r="R198" s="10" t="s">
        <v>77</v>
      </c>
      <c r="S198" s="34">
        <f t="shared" si="21"/>
        <v>895</v>
      </c>
      <c r="T198" s="10" t="s">
        <v>939</v>
      </c>
      <c r="U198" s="34" t="str">
        <f t="shared" si="22"/>
        <v/>
      </c>
      <c r="V198" s="31" t="str">
        <f>IF(H198="CHK",VLOOKUP(I198,QCCHK,3,),IF(H198="GUP",VLOOKUP(E198,QCGUP,2,),IF(AND(H198="ATP",OR(I198="TN",I198="TDN",I198="TNO2-3",I198="NO2-3")),VLOOKUP(E198,QCREC_N,2,),IF(AND(H198="NIC",OR(I198="TN",I198="TDN",I198="TNO2-3",I198="NO2-3")),VLOOKUP(E198,QCNIC_N,2,),IF(AND(H198="UREA",OR(I198="TN",I198="TDN",I198="TNO2-3",I198="NO2-3")),VLOOKUP(E198,QCUREA_N,2,),IF(H198="PER",VLOOKUP(I198,QCPER,MATCH(E198,QCACTUAL!$J$25:$AA$25,0),),IF(H198="SPK",VLOOKUP(I198,QCSPK,3,),IF(AND(H198="ATP",OR(I198="TP",I198="TDP")),VLOOKUP(E198,QCATP_P,2,),""))))))))</f>
        <v/>
      </c>
      <c r="W198" s="31" t="str">
        <f t="shared" si="23"/>
        <v>TRUE</v>
      </c>
      <c r="X198" s="31" t="str">
        <f t="shared" si="24"/>
        <v/>
      </c>
      <c r="Y198" s="10" t="s">
        <v>949</v>
      </c>
      <c r="Z198" s="10" t="s">
        <v>910</v>
      </c>
      <c r="AL198" s="10" t="str">
        <f t="shared" si="26"/>
        <v>FALSE</v>
      </c>
      <c r="AM198" s="10" t="str">
        <f t="shared" si="26"/>
        <v>FALSE</v>
      </c>
      <c r="AN198" s="10" t="str">
        <f t="shared" si="26"/>
        <v>FALSE</v>
      </c>
      <c r="AO198" s="10" t="str">
        <f t="shared" si="27"/>
        <v>FALSE</v>
      </c>
      <c r="AP198" s="10" t="str">
        <f t="shared" si="27"/>
        <v>FALSE</v>
      </c>
      <c r="AQ198" s="10" t="b">
        <f>IF(AND(I198="TP",S198&lt;=150),VLOOKUP(AF198,TPCalibEq150!$AZ$2:$BB$55,3,),IF(AND(I198="TDP",S198&lt;=150),VLOOKUP(AF198,TPCalibEq150!$AZ$2:$BB$55,3,)))</f>
        <v>0</v>
      </c>
      <c r="AR198" s="10" t="b">
        <f>IF(AND(I198="TP",S198&lt;=300),VLOOKUP(AF198,TPCalibEq300!$AZ$2:$BB$55,3,),IF(AND(I198="TDP",S198&lt;=300),VLOOKUP(AF198,TPCalibEq300!$AZ$2:$BB$55,3,)))</f>
        <v>0</v>
      </c>
      <c r="AS198" s="10" t="b">
        <f>IF(AND(I198="TP",S198&lt;=500),VLOOKUP(AF198,TPCalibEq500!$AZ$2:$BB$56,3,),IF(AND(I198="TDP",S198&lt;=500),VLOOKUP(AF198,TPCalibEq500!$AZ$2:$BB$56,3,)))</f>
        <v>0</v>
      </c>
      <c r="AT198" s="10" t="b">
        <f>IF(AND(I198="TN",S198&lt;=2800),VLOOKUP(AF198,TNCalibEq2500!$AZ$2:$BB$56,3,),IF(AND(I198="TDN",S198&lt;=2800),VLOOKUP(AF198,TNCalibEq2500!$AZ$2:$BB$56,3,)))</f>
        <v>0</v>
      </c>
      <c r="AU198" s="10" t="b">
        <f>IF(I198="TP",VLOOKUP(AF198,TPCalibEqFull!$AZ$2:$BB$56,3),IF(I198="TDP",VLOOKUP(AF198,TPCalibEqFull!$AZ$2:$BB$56,3),IF(I198="TDN",VLOOKUP(AF198,TNCalibEqFull!$AZ$1:$BB$56,3),IF(I198="TN",VLOOKUP(AF198,TNCalibEqFull!$AZ$1:$BB$56,3),FALSE))))</f>
        <v>0</v>
      </c>
      <c r="AV198" s="10" t="str">
        <f t="shared" si="25"/>
        <v>1227 08:35:00-HST-0-C-1-SW-UKN</v>
      </c>
    </row>
    <row r="199" spans="1:48" s="10" customFormat="1" x14ac:dyDescent="0.55000000000000004">
      <c r="A199" s="32">
        <v>44923</v>
      </c>
      <c r="B199" s="33">
        <v>0.23958333333333334</v>
      </c>
      <c r="C199" s="10" t="s">
        <v>279</v>
      </c>
      <c r="D199" s="10">
        <v>0</v>
      </c>
      <c r="E199" s="10" t="s">
        <v>190</v>
      </c>
      <c r="F199" s="10">
        <v>1</v>
      </c>
      <c r="G199" s="10" t="s">
        <v>231</v>
      </c>
      <c r="H199" s="10" t="s">
        <v>322</v>
      </c>
      <c r="I199" s="10" t="s">
        <v>256</v>
      </c>
      <c r="J199" s="10">
        <v>17</v>
      </c>
      <c r="K199" s="12">
        <v>44930</v>
      </c>
      <c r="L199" s="33">
        <v>0.47097222222222218</v>
      </c>
      <c r="M199" s="10">
        <v>1</v>
      </c>
      <c r="N199" s="10" t="s">
        <v>169</v>
      </c>
      <c r="O199" s="10">
        <v>13</v>
      </c>
      <c r="P199" s="10">
        <v>0.60599999999999998</v>
      </c>
      <c r="Q199" s="10">
        <v>1770</v>
      </c>
      <c r="R199" s="10" t="s">
        <v>77</v>
      </c>
      <c r="S199" s="34">
        <f t="shared" si="21"/>
        <v>1770</v>
      </c>
      <c r="T199" s="10" t="s">
        <v>939</v>
      </c>
      <c r="U199" s="34" t="str">
        <f t="shared" si="22"/>
        <v/>
      </c>
      <c r="V199" s="31" t="str">
        <f>IF(H199="CHK",VLOOKUP(I199,QCCHK,3,),IF(H199="GUP",VLOOKUP(E199,QCGUP,2,),IF(AND(H199="ATP",OR(I199="TN",I199="TDN",I199="TNO2-3",I199="NO2-3")),VLOOKUP(E199,QCREC_N,2,),IF(AND(H199="NIC",OR(I199="TN",I199="TDN",I199="TNO2-3",I199="NO2-3")),VLOOKUP(E199,QCNIC_N,2,),IF(AND(H199="UREA",OR(I199="TN",I199="TDN",I199="TNO2-3",I199="NO2-3")),VLOOKUP(E199,QCUREA_N,2,),IF(H199="PER",VLOOKUP(I199,QCPER,MATCH(E199,QCACTUAL!$J$25:$AA$25,0),),IF(H199="SPK",VLOOKUP(I199,QCSPK,3,),IF(AND(H199="ATP",OR(I199="TP",I199="TDP")),VLOOKUP(E199,QCATP_P,2,),""))))))))</f>
        <v/>
      </c>
      <c r="W199" s="31" t="str">
        <f t="shared" si="23"/>
        <v>TRUE</v>
      </c>
      <c r="X199" s="31" t="str">
        <f t="shared" si="24"/>
        <v/>
      </c>
      <c r="Y199" s="10" t="s">
        <v>949</v>
      </c>
      <c r="Z199" s="10" t="s">
        <v>910</v>
      </c>
      <c r="AL199" s="10" t="str">
        <f t="shared" si="26"/>
        <v>FALSE</v>
      </c>
      <c r="AM199" s="10" t="str">
        <f t="shared" si="26"/>
        <v>FALSE</v>
      </c>
      <c r="AN199" s="10" t="str">
        <f t="shared" si="26"/>
        <v>FALSE</v>
      </c>
      <c r="AO199" s="10" t="str">
        <f t="shared" si="27"/>
        <v>FALSE</v>
      </c>
      <c r="AP199" s="10" t="str">
        <f t="shared" si="27"/>
        <v>FALSE</v>
      </c>
      <c r="AQ199" s="10" t="b">
        <f>IF(AND(I199="TP",S199&lt;=150),VLOOKUP(AF199,TPCalibEq150!$AZ$2:$BB$55,3,),IF(AND(I199="TDP",S199&lt;=150),VLOOKUP(AF199,TPCalibEq150!$AZ$2:$BB$55,3,)))</f>
        <v>0</v>
      </c>
      <c r="AR199" s="10" t="b">
        <f>IF(AND(I199="TP",S199&lt;=300),VLOOKUP(AF199,TPCalibEq300!$AZ$2:$BB$55,3,),IF(AND(I199="TDP",S199&lt;=300),VLOOKUP(AF199,TPCalibEq300!$AZ$2:$BB$55,3,)))</f>
        <v>0</v>
      </c>
      <c r="AS199" s="10" t="b">
        <f>IF(AND(I199="TP",S199&lt;=500),VLOOKUP(AF199,TPCalibEq500!$AZ$2:$BB$56,3,),IF(AND(I199="TDP",S199&lt;=500),VLOOKUP(AF199,TPCalibEq500!$AZ$2:$BB$56,3,)))</f>
        <v>0</v>
      </c>
      <c r="AT199" s="10" t="b">
        <f>IF(AND(I199="TN",S199&lt;=2800),VLOOKUP(AF199,TNCalibEq2500!$AZ$2:$BB$56,3,),IF(AND(I199="TDN",S199&lt;=2800),VLOOKUP(AF199,TNCalibEq2500!$AZ$2:$BB$56,3,)))</f>
        <v>0</v>
      </c>
      <c r="AU199" s="10" t="b">
        <f>IF(I199="TP",VLOOKUP(AF199,TPCalibEqFull!$AZ$2:$BB$56,3),IF(I199="TDP",VLOOKUP(AF199,TPCalibEqFull!$AZ$2:$BB$56,3),IF(I199="TDN",VLOOKUP(AF199,TNCalibEqFull!$AZ$1:$BB$56,3),IF(I199="TN",VLOOKUP(AF199,TNCalibEqFull!$AZ$1:$BB$56,3),FALSE))))</f>
        <v>0</v>
      </c>
      <c r="AV199" s="10" t="str">
        <f t="shared" si="25"/>
        <v>1228 05:45:00-EFK-0-C-1-SW-UKN</v>
      </c>
    </row>
    <row r="200" spans="1:48" s="10" customFormat="1" x14ac:dyDescent="0.55000000000000004">
      <c r="A200" s="32">
        <v>44923</v>
      </c>
      <c r="B200" s="33">
        <v>0.36249999999999999</v>
      </c>
      <c r="C200" s="10" t="s">
        <v>333</v>
      </c>
      <c r="D200" s="10">
        <v>0</v>
      </c>
      <c r="E200" s="10" t="s">
        <v>190</v>
      </c>
      <c r="F200" s="10">
        <v>1</v>
      </c>
      <c r="G200" s="10" t="s">
        <v>231</v>
      </c>
      <c r="H200" s="10" t="s">
        <v>322</v>
      </c>
      <c r="I200" s="10" t="s">
        <v>256</v>
      </c>
      <c r="J200" s="10">
        <v>18</v>
      </c>
      <c r="K200" s="12">
        <v>44930</v>
      </c>
      <c r="L200" s="33">
        <v>0.47180555555555559</v>
      </c>
      <c r="M200" s="10">
        <v>1</v>
      </c>
      <c r="N200" s="10" t="s">
        <v>169</v>
      </c>
      <c r="O200" s="10">
        <v>7.02</v>
      </c>
      <c r="P200" s="10">
        <v>0.32600000000000001</v>
      </c>
      <c r="Q200" s="10">
        <v>955</v>
      </c>
      <c r="R200" s="10" t="s">
        <v>77</v>
      </c>
      <c r="S200" s="34">
        <f t="shared" si="21"/>
        <v>955</v>
      </c>
      <c r="T200" s="10" t="s">
        <v>939</v>
      </c>
      <c r="U200" s="34" t="str">
        <f t="shared" si="22"/>
        <v/>
      </c>
      <c r="V200" s="31" t="str">
        <f>IF(H200="CHK",VLOOKUP(I200,QCCHK,3,),IF(H200="GUP",VLOOKUP(E200,QCGUP,2,),IF(AND(H200="ATP",OR(I200="TN",I200="TDN",I200="TNO2-3",I200="NO2-3")),VLOOKUP(E200,QCREC_N,2,),IF(AND(H200="NIC",OR(I200="TN",I200="TDN",I200="TNO2-3",I200="NO2-3")),VLOOKUP(E200,QCNIC_N,2,),IF(AND(H200="UREA",OR(I200="TN",I200="TDN",I200="TNO2-3",I200="NO2-3")),VLOOKUP(E200,QCUREA_N,2,),IF(H200="PER",VLOOKUP(I200,QCPER,MATCH(E200,QCACTUAL!$J$25:$AA$25,0),),IF(H200="SPK",VLOOKUP(I200,QCSPK,3,),IF(AND(H200="ATP",OR(I200="TP",I200="TDP")),VLOOKUP(E200,QCATP_P,2,),""))))))))</f>
        <v/>
      </c>
      <c r="W200" s="31" t="str">
        <f t="shared" si="23"/>
        <v>TRUE</v>
      </c>
      <c r="X200" s="31" t="str">
        <f t="shared" si="24"/>
        <v/>
      </c>
      <c r="Y200" s="10" t="s">
        <v>949</v>
      </c>
      <c r="Z200" s="10" t="s">
        <v>910</v>
      </c>
      <c r="AL200" s="10" t="str">
        <f t="shared" si="26"/>
        <v>FALSE</v>
      </c>
      <c r="AM200" s="10" t="str">
        <f t="shared" si="26"/>
        <v>FALSE</v>
      </c>
      <c r="AN200" s="10" t="str">
        <f t="shared" si="26"/>
        <v>FALSE</v>
      </c>
      <c r="AO200" s="10" t="str">
        <f t="shared" si="27"/>
        <v>FALSE</v>
      </c>
      <c r="AP200" s="10" t="str">
        <f t="shared" si="27"/>
        <v>FALSE</v>
      </c>
      <c r="AQ200" s="10" t="b">
        <f>IF(AND(I200="TP",S200&lt;=150),VLOOKUP(AF200,TPCalibEq150!$AZ$2:$BB$55,3,),IF(AND(I200="TDP",S200&lt;=150),VLOOKUP(AF200,TPCalibEq150!$AZ$2:$BB$55,3,)))</f>
        <v>0</v>
      </c>
      <c r="AR200" s="10" t="b">
        <f>IF(AND(I200="TP",S200&lt;=300),VLOOKUP(AF200,TPCalibEq300!$AZ$2:$BB$55,3,),IF(AND(I200="TDP",S200&lt;=300),VLOOKUP(AF200,TPCalibEq300!$AZ$2:$BB$55,3,)))</f>
        <v>0</v>
      </c>
      <c r="AS200" s="10" t="b">
        <f>IF(AND(I200="TP",S200&lt;=500),VLOOKUP(AF200,TPCalibEq500!$AZ$2:$BB$56,3,),IF(AND(I200="TDP",S200&lt;=500),VLOOKUP(AF200,TPCalibEq500!$AZ$2:$BB$56,3,)))</f>
        <v>0</v>
      </c>
      <c r="AT200" s="10" t="b">
        <f>IF(AND(I200="TN",S200&lt;=2800),VLOOKUP(AF200,TNCalibEq2500!$AZ$2:$BB$56,3,),IF(AND(I200="TDN",S200&lt;=2800),VLOOKUP(AF200,TNCalibEq2500!$AZ$2:$BB$56,3,)))</f>
        <v>0</v>
      </c>
      <c r="AU200" s="10" t="b">
        <f>IF(I200="TP",VLOOKUP(AF200,TPCalibEqFull!$AZ$2:$BB$56,3),IF(I200="TDP",VLOOKUP(AF200,TPCalibEqFull!$AZ$2:$BB$56,3),IF(I200="TDN",VLOOKUP(AF200,TNCalibEqFull!$AZ$1:$BB$56,3),IF(I200="TN",VLOOKUP(AF200,TNCalibEqFull!$AZ$1:$BB$56,3),FALSE))))</f>
        <v>0</v>
      </c>
      <c r="AV200" s="10" t="str">
        <f t="shared" si="25"/>
        <v>1228 08:42:00-HST-0-C-1-SW-UKN</v>
      </c>
    </row>
    <row r="201" spans="1:48" s="10" customFormat="1" x14ac:dyDescent="0.55000000000000004">
      <c r="A201" s="32">
        <v>44924</v>
      </c>
      <c r="B201" s="33">
        <v>0.21180555555555555</v>
      </c>
      <c r="C201" s="10" t="s">
        <v>279</v>
      </c>
      <c r="D201" s="10">
        <v>0</v>
      </c>
      <c r="E201" s="10" t="s">
        <v>190</v>
      </c>
      <c r="F201" s="10">
        <v>1</v>
      </c>
      <c r="G201" s="10" t="s">
        <v>231</v>
      </c>
      <c r="H201" s="10" t="s">
        <v>322</v>
      </c>
      <c r="I201" s="10" t="s">
        <v>256</v>
      </c>
      <c r="J201" s="10">
        <v>19</v>
      </c>
      <c r="K201" s="12">
        <v>44930</v>
      </c>
      <c r="L201" s="33">
        <v>0.47261574074074075</v>
      </c>
      <c r="M201" s="10">
        <v>1</v>
      </c>
      <c r="N201" s="10" t="s">
        <v>169</v>
      </c>
      <c r="O201" s="10">
        <v>13.4</v>
      </c>
      <c r="P201" s="10">
        <v>0.63</v>
      </c>
      <c r="Q201" s="10">
        <v>1820</v>
      </c>
      <c r="R201" s="10" t="s">
        <v>77</v>
      </c>
      <c r="S201" s="34">
        <f t="shared" si="21"/>
        <v>1820</v>
      </c>
      <c r="T201" s="10" t="s">
        <v>939</v>
      </c>
      <c r="U201" s="34" t="str">
        <f t="shared" si="22"/>
        <v/>
      </c>
      <c r="V201" s="31" t="str">
        <f>IF(H201="CHK",VLOOKUP(I201,QCCHK,3,),IF(H201="GUP",VLOOKUP(E201,QCGUP,2,),IF(AND(H201="ATP",OR(I201="TN",I201="TDN",I201="TNO2-3",I201="NO2-3")),VLOOKUP(E201,QCREC_N,2,),IF(AND(H201="NIC",OR(I201="TN",I201="TDN",I201="TNO2-3",I201="NO2-3")),VLOOKUP(E201,QCNIC_N,2,),IF(AND(H201="UREA",OR(I201="TN",I201="TDN",I201="TNO2-3",I201="NO2-3")),VLOOKUP(E201,QCUREA_N,2,),IF(H201="PER",VLOOKUP(I201,QCPER,MATCH(E201,QCACTUAL!$J$25:$AA$25,0),),IF(H201="SPK",VLOOKUP(I201,QCSPK,3,),IF(AND(H201="ATP",OR(I201="TP",I201="TDP")),VLOOKUP(E201,QCATP_P,2,),""))))))))</f>
        <v/>
      </c>
      <c r="W201" s="31" t="str">
        <f t="shared" si="23"/>
        <v>TRUE</v>
      </c>
      <c r="X201" s="31" t="str">
        <f t="shared" si="24"/>
        <v/>
      </c>
      <c r="Y201" s="10" t="s">
        <v>949</v>
      </c>
      <c r="Z201" s="10" t="s">
        <v>910</v>
      </c>
      <c r="AL201" s="10" t="str">
        <f t="shared" si="26"/>
        <v>FALSE</v>
      </c>
      <c r="AM201" s="10" t="str">
        <f t="shared" si="26"/>
        <v>FALSE</v>
      </c>
      <c r="AN201" s="10" t="str">
        <f t="shared" si="26"/>
        <v>FALSE</v>
      </c>
      <c r="AO201" s="10" t="str">
        <f t="shared" si="27"/>
        <v>FALSE</v>
      </c>
      <c r="AP201" s="10" t="str">
        <f t="shared" si="27"/>
        <v>FALSE</v>
      </c>
      <c r="AQ201" s="10" t="b">
        <f>IF(AND(I201="TP",S201&lt;=150),VLOOKUP(AF201,TPCalibEq150!$AZ$2:$BB$55,3,),IF(AND(I201="TDP",S201&lt;=150),VLOOKUP(AF201,TPCalibEq150!$AZ$2:$BB$55,3,)))</f>
        <v>0</v>
      </c>
      <c r="AR201" s="10" t="b">
        <f>IF(AND(I201="TP",S201&lt;=300),VLOOKUP(AF201,TPCalibEq300!$AZ$2:$BB$55,3,),IF(AND(I201="TDP",S201&lt;=300),VLOOKUP(AF201,TPCalibEq300!$AZ$2:$BB$55,3,)))</f>
        <v>0</v>
      </c>
      <c r="AS201" s="10" t="b">
        <f>IF(AND(I201="TP",S201&lt;=500),VLOOKUP(AF201,TPCalibEq500!$AZ$2:$BB$56,3,),IF(AND(I201="TDP",S201&lt;=500),VLOOKUP(AF201,TPCalibEq500!$AZ$2:$BB$56,3,)))</f>
        <v>0</v>
      </c>
      <c r="AT201" s="10" t="b">
        <f>IF(AND(I201="TN",S201&lt;=2800),VLOOKUP(AF201,TNCalibEq2500!$AZ$2:$BB$56,3,),IF(AND(I201="TDN",S201&lt;=2800),VLOOKUP(AF201,TNCalibEq2500!$AZ$2:$BB$56,3,)))</f>
        <v>0</v>
      </c>
      <c r="AU201" s="10" t="b">
        <f>IF(I201="TP",VLOOKUP(AF201,TPCalibEqFull!$AZ$2:$BB$56,3),IF(I201="TDP",VLOOKUP(AF201,TPCalibEqFull!$AZ$2:$BB$56,3),IF(I201="TDN",VLOOKUP(AF201,TNCalibEqFull!$AZ$1:$BB$56,3),IF(I201="TN",VLOOKUP(AF201,TNCalibEqFull!$AZ$1:$BB$56,3),FALSE))))</f>
        <v>0</v>
      </c>
      <c r="AV201" s="10" t="str">
        <f t="shared" si="25"/>
        <v>1229 05:05:00-EFK-0-C-1-SW-UKN</v>
      </c>
    </row>
    <row r="202" spans="1:48" s="10" customFormat="1" x14ac:dyDescent="0.55000000000000004">
      <c r="A202" s="32">
        <v>44924</v>
      </c>
      <c r="B202" s="33">
        <v>0.22013888888888888</v>
      </c>
      <c r="C202" s="10" t="s">
        <v>333</v>
      </c>
      <c r="D202" s="10">
        <v>0</v>
      </c>
      <c r="E202" s="10" t="s">
        <v>190</v>
      </c>
      <c r="F202" s="10">
        <v>1</v>
      </c>
      <c r="G202" s="10" t="s">
        <v>231</v>
      </c>
      <c r="H202" s="10" t="s">
        <v>322</v>
      </c>
      <c r="I202" s="10" t="s">
        <v>256</v>
      </c>
      <c r="J202" s="10">
        <v>20</v>
      </c>
      <c r="K202" s="12">
        <v>44930</v>
      </c>
      <c r="L202" s="33">
        <v>0.47427083333333336</v>
      </c>
      <c r="M202" s="10">
        <v>1</v>
      </c>
      <c r="N202" s="10" t="s">
        <v>169</v>
      </c>
      <c r="O202" s="10">
        <v>7.71</v>
      </c>
      <c r="P202" s="10">
        <v>0.35799999999999998</v>
      </c>
      <c r="Q202" s="10">
        <v>1050</v>
      </c>
      <c r="R202" s="10" t="s">
        <v>77</v>
      </c>
      <c r="S202" s="34">
        <f t="shared" si="21"/>
        <v>1050</v>
      </c>
      <c r="T202" s="10" t="s">
        <v>939</v>
      </c>
      <c r="U202" s="34" t="str">
        <f t="shared" si="22"/>
        <v/>
      </c>
      <c r="V202" s="31" t="str">
        <f>IF(H202="CHK",VLOOKUP(I202,QCCHK,3,),IF(H202="GUP",VLOOKUP(E202,QCGUP,2,),IF(AND(H202="ATP",OR(I202="TN",I202="TDN",I202="TNO2-3",I202="NO2-3")),VLOOKUP(E202,QCREC_N,2,),IF(AND(H202="NIC",OR(I202="TN",I202="TDN",I202="TNO2-3",I202="NO2-3")),VLOOKUP(E202,QCNIC_N,2,),IF(AND(H202="UREA",OR(I202="TN",I202="TDN",I202="TNO2-3",I202="NO2-3")),VLOOKUP(E202,QCUREA_N,2,),IF(H202="PER",VLOOKUP(I202,QCPER,MATCH(E202,QCACTUAL!$J$25:$AA$25,0),),IF(H202="SPK",VLOOKUP(I202,QCSPK,3,),IF(AND(H202="ATP",OR(I202="TP",I202="TDP")),VLOOKUP(E202,QCATP_P,2,),""))))))))</f>
        <v/>
      </c>
      <c r="W202" s="31" t="str">
        <f t="shared" si="23"/>
        <v>TRUE</v>
      </c>
      <c r="X202" s="31" t="str">
        <f t="shared" si="24"/>
        <v/>
      </c>
      <c r="Y202" s="10" t="s">
        <v>949</v>
      </c>
      <c r="Z202" s="10" t="s">
        <v>910</v>
      </c>
      <c r="AL202" s="10" t="str">
        <f t="shared" si="26"/>
        <v>FALSE</v>
      </c>
      <c r="AM202" s="10" t="str">
        <f t="shared" si="26"/>
        <v>FALSE</v>
      </c>
      <c r="AN202" s="10" t="str">
        <f t="shared" si="26"/>
        <v>FALSE</v>
      </c>
      <c r="AO202" s="10" t="str">
        <f t="shared" si="27"/>
        <v>FALSE</v>
      </c>
      <c r="AP202" s="10" t="str">
        <f t="shared" si="27"/>
        <v>FALSE</v>
      </c>
      <c r="AQ202" s="10" t="b">
        <f>IF(AND(I202="TP",S202&lt;=150),VLOOKUP(AF202,TPCalibEq150!$AZ$2:$BB$55,3,),IF(AND(I202="TDP",S202&lt;=150),VLOOKUP(AF202,TPCalibEq150!$AZ$2:$BB$55,3,)))</f>
        <v>0</v>
      </c>
      <c r="AR202" s="10" t="b">
        <f>IF(AND(I202="TP",S202&lt;=300),VLOOKUP(AF202,TPCalibEq300!$AZ$2:$BB$55,3,),IF(AND(I202="TDP",S202&lt;=300),VLOOKUP(AF202,TPCalibEq300!$AZ$2:$BB$55,3,)))</f>
        <v>0</v>
      </c>
      <c r="AS202" s="10" t="b">
        <f>IF(AND(I202="TP",S202&lt;=500),VLOOKUP(AF202,TPCalibEq500!$AZ$2:$BB$56,3,),IF(AND(I202="TDP",S202&lt;=500),VLOOKUP(AF202,TPCalibEq500!$AZ$2:$BB$56,3,)))</f>
        <v>0</v>
      </c>
      <c r="AT202" s="10" t="b">
        <f>IF(AND(I202="TN",S202&lt;=2800),VLOOKUP(AF202,TNCalibEq2500!$AZ$2:$BB$56,3,),IF(AND(I202="TDN",S202&lt;=2800),VLOOKUP(AF202,TNCalibEq2500!$AZ$2:$BB$56,3,)))</f>
        <v>0</v>
      </c>
      <c r="AU202" s="10" t="b">
        <f>IF(I202="TP",VLOOKUP(AF202,TPCalibEqFull!$AZ$2:$BB$56,3),IF(I202="TDP",VLOOKUP(AF202,TPCalibEqFull!$AZ$2:$BB$56,3),IF(I202="TDN",VLOOKUP(AF202,TNCalibEqFull!$AZ$1:$BB$56,3),IF(I202="TN",VLOOKUP(AF202,TNCalibEqFull!$AZ$1:$BB$56,3),FALSE))))</f>
        <v>0</v>
      </c>
      <c r="AV202" s="10" t="str">
        <f t="shared" si="25"/>
        <v>1229 05:17:00-HST-0-C-1-SW-UKN</v>
      </c>
    </row>
    <row r="203" spans="1:48" s="10" customFormat="1" x14ac:dyDescent="0.55000000000000004">
      <c r="A203" s="32">
        <v>44924</v>
      </c>
      <c r="B203" s="33">
        <v>0.22013888888888888</v>
      </c>
      <c r="C203" s="10" t="s">
        <v>333</v>
      </c>
      <c r="D203" s="10">
        <v>0</v>
      </c>
      <c r="E203" s="10" t="s">
        <v>190</v>
      </c>
      <c r="F203" s="10">
        <v>1</v>
      </c>
      <c r="G203" s="10" t="s">
        <v>231</v>
      </c>
      <c r="H203" s="10" t="s">
        <v>233</v>
      </c>
      <c r="I203" s="10" t="s">
        <v>256</v>
      </c>
      <c r="J203" s="10">
        <v>20</v>
      </c>
      <c r="K203" s="12">
        <v>44930</v>
      </c>
      <c r="L203" s="33">
        <v>0.47508101851851853</v>
      </c>
      <c r="M203" s="10">
        <v>1</v>
      </c>
      <c r="N203" s="10" t="s">
        <v>169</v>
      </c>
      <c r="O203" s="10">
        <v>7.38</v>
      </c>
      <c r="P203" s="10">
        <v>0.34399999999999997</v>
      </c>
      <c r="Q203" s="10">
        <v>1000</v>
      </c>
      <c r="R203" s="10" t="s">
        <v>77</v>
      </c>
      <c r="S203" s="34">
        <f t="shared" si="21"/>
        <v>1000</v>
      </c>
      <c r="T203" s="10" t="s">
        <v>939</v>
      </c>
      <c r="U203" s="34">
        <f t="shared" si="22"/>
        <v>4.8780487804878048</v>
      </c>
      <c r="V203" s="31" t="str">
        <f>IF(H203="CHK",VLOOKUP(I203,QCCHK,3,),IF(H203="GUP",VLOOKUP(E203,QCGUP,2,),IF(AND(H203="ATP",OR(I203="TN",I203="TDN",I203="TNO2-3",I203="NO2-3")),VLOOKUP(E203,QCREC_N,2,),IF(AND(H203="NIC",OR(I203="TN",I203="TDN",I203="TNO2-3",I203="NO2-3")),VLOOKUP(E203,QCNIC_N,2,),IF(AND(H203="UREA",OR(I203="TN",I203="TDN",I203="TNO2-3",I203="NO2-3")),VLOOKUP(E203,QCUREA_N,2,),IF(H203="PER",VLOOKUP(I203,QCPER,MATCH(E203,QCACTUAL!$J$25:$AA$25,0),),IF(H203="SPK",VLOOKUP(I203,QCSPK,3,),IF(AND(H203="ATP",OR(I203="TP",I203="TDP")),VLOOKUP(E203,QCATP_P,2,),""))))))))</f>
        <v/>
      </c>
      <c r="W203" s="31" t="str">
        <f t="shared" si="23"/>
        <v>TRUE</v>
      </c>
      <c r="X203" s="31" t="str">
        <f t="shared" si="24"/>
        <v>((ABS(rep1-rep2))/((rep1+rep2)/2)*100</v>
      </c>
      <c r="Y203" s="10" t="s">
        <v>949</v>
      </c>
      <c r="Z203" s="10" t="s">
        <v>910</v>
      </c>
      <c r="AL203" s="10" t="str">
        <f t="shared" si="26"/>
        <v>FALSE</v>
      </c>
      <c r="AM203" s="10" t="str">
        <f t="shared" si="26"/>
        <v>FALSE</v>
      </c>
      <c r="AN203" s="10" t="str">
        <f t="shared" si="26"/>
        <v>FALSE</v>
      </c>
      <c r="AO203" s="10" t="str">
        <f t="shared" si="27"/>
        <v>FALSE</v>
      </c>
      <c r="AP203" s="10" t="str">
        <f t="shared" si="27"/>
        <v>FALSE</v>
      </c>
      <c r="AQ203" s="10" t="b">
        <f>IF(AND(I203="TP",S203&lt;=150),VLOOKUP(AF203,TPCalibEq150!$AZ$2:$BB$55,3,),IF(AND(I203="TDP",S203&lt;=150),VLOOKUP(AF203,TPCalibEq150!$AZ$2:$BB$55,3,)))</f>
        <v>0</v>
      </c>
      <c r="AR203" s="10" t="b">
        <f>IF(AND(I203="TP",S203&lt;=300),VLOOKUP(AF203,TPCalibEq300!$AZ$2:$BB$55,3,),IF(AND(I203="TDP",S203&lt;=300),VLOOKUP(AF203,TPCalibEq300!$AZ$2:$BB$55,3,)))</f>
        <v>0</v>
      </c>
      <c r="AS203" s="10" t="b">
        <f>IF(AND(I203="TP",S203&lt;=500),VLOOKUP(AF203,TPCalibEq500!$AZ$2:$BB$56,3,),IF(AND(I203="TDP",S203&lt;=500),VLOOKUP(AF203,TPCalibEq500!$AZ$2:$BB$56,3,)))</f>
        <v>0</v>
      </c>
      <c r="AT203" s="10" t="b">
        <f>IF(AND(I203="TN",S203&lt;=2800),VLOOKUP(AF203,TNCalibEq2500!$AZ$2:$BB$56,3,),IF(AND(I203="TDN",S203&lt;=2800),VLOOKUP(AF203,TNCalibEq2500!$AZ$2:$BB$56,3,)))</f>
        <v>0</v>
      </c>
      <c r="AU203" s="10" t="b">
        <f>IF(I203="TP",VLOOKUP(AF203,TPCalibEqFull!$AZ$2:$BB$56,3),IF(I203="TDP",VLOOKUP(AF203,TPCalibEqFull!$AZ$2:$BB$56,3),IF(I203="TDN",VLOOKUP(AF203,TNCalibEqFull!$AZ$1:$BB$56,3),IF(I203="TN",VLOOKUP(AF203,TNCalibEqFull!$AZ$1:$BB$56,3),FALSE))))</f>
        <v>0</v>
      </c>
      <c r="AV203" s="10" t="str">
        <f t="shared" si="25"/>
        <v>1229 05:17:00-HST-0-C-1-SW-DUP</v>
      </c>
    </row>
    <row r="204" spans="1:48" s="10" customFormat="1" x14ac:dyDescent="0.55000000000000004">
      <c r="A204" s="32">
        <v>44924</v>
      </c>
      <c r="B204" s="33">
        <v>0.22013888888888888</v>
      </c>
      <c r="C204" s="10" t="s">
        <v>912</v>
      </c>
      <c r="D204" s="10">
        <v>0</v>
      </c>
      <c r="E204" s="10" t="s">
        <v>190</v>
      </c>
      <c r="F204" s="10">
        <v>1</v>
      </c>
      <c r="G204" s="10" t="s">
        <v>231</v>
      </c>
      <c r="H204" s="10" t="s">
        <v>314</v>
      </c>
      <c r="I204" s="10" t="s">
        <v>256</v>
      </c>
      <c r="J204" s="10">
        <v>50</v>
      </c>
      <c r="K204" s="12">
        <v>44930</v>
      </c>
      <c r="L204" s="33">
        <v>0.47590277777777779</v>
      </c>
      <c r="M204" s="10">
        <v>1</v>
      </c>
      <c r="N204" s="10" t="s">
        <v>169</v>
      </c>
      <c r="O204" s="10">
        <v>11.3</v>
      </c>
      <c r="P204" s="10">
        <v>0.53600000000000003</v>
      </c>
      <c r="Q204" s="10">
        <v>1540</v>
      </c>
      <c r="R204" s="10" t="s">
        <v>77</v>
      </c>
      <c r="S204" s="34">
        <f t="shared" si="21"/>
        <v>1540</v>
      </c>
      <c r="T204" s="10" t="s">
        <v>939</v>
      </c>
      <c r="U204" s="34">
        <f t="shared" si="22"/>
        <v>86.4</v>
      </c>
      <c r="V204" s="31">
        <f>IF(H204="CHK",VLOOKUP(I204,QCCHK,3,),IF(H204="GUP",VLOOKUP(E204,QCGUP,2,),IF(AND(H204="ATP",OR(I204="TN",I204="TDN",I204="TNO2-3",I204="NO2-3")),VLOOKUP(E204,QCREC_N,2,),IF(AND(H204="NIC",OR(I204="TN",I204="TDN",I204="TNO2-3",I204="NO2-3")),VLOOKUP(E204,QCNIC_N,2,),IF(AND(H204="UREA",OR(I204="TN",I204="TDN",I204="TNO2-3",I204="NO2-3")),VLOOKUP(E204,QCUREA_N,2,),IF(H204="PER",VLOOKUP(I204,QCPER,MATCH(E204,QCACTUAL!$J$25:$AA$25,0),),IF(H204="SPK",VLOOKUP(I204,QCSPK,3,),IF(AND(H204="ATP",OR(I204="TP",I204="TDP")),VLOOKUP(E204,QCATP_P,2,),""))))))))</f>
        <v>625</v>
      </c>
      <c r="W204" s="31" t="str">
        <f t="shared" si="23"/>
        <v>TRUE</v>
      </c>
      <c r="X204" s="31" t="str">
        <f t="shared" si="24"/>
        <v>([spikedunkn]-[unkn])/[spike]*100</v>
      </c>
      <c r="Y204" s="10" t="s">
        <v>949</v>
      </c>
      <c r="Z204" s="10" t="s">
        <v>910</v>
      </c>
      <c r="AL204" s="10" t="str">
        <f t="shared" si="26"/>
        <v>FALSE</v>
      </c>
      <c r="AM204" s="10" t="str">
        <f t="shared" si="26"/>
        <v>FALSE</v>
      </c>
      <c r="AN204" s="10" t="str">
        <f t="shared" si="26"/>
        <v>FALSE</v>
      </c>
      <c r="AO204" s="10" t="str">
        <f t="shared" si="27"/>
        <v>FALSE</v>
      </c>
      <c r="AP204" s="10" t="str">
        <f t="shared" si="27"/>
        <v>FALSE</v>
      </c>
      <c r="AQ204" s="10" t="b">
        <f>IF(AND(I204="TP",S204&lt;=150),VLOOKUP(AF204,TPCalibEq150!$AZ$2:$BB$55,3,),IF(AND(I204="TDP",S204&lt;=150),VLOOKUP(AF204,TPCalibEq150!$AZ$2:$BB$55,3,)))</f>
        <v>0</v>
      </c>
      <c r="AR204" s="10" t="b">
        <f>IF(AND(I204="TP",S204&lt;=300),VLOOKUP(AF204,TPCalibEq300!$AZ$2:$BB$55,3,),IF(AND(I204="TDP",S204&lt;=300),VLOOKUP(AF204,TPCalibEq300!$AZ$2:$BB$55,3,)))</f>
        <v>0</v>
      </c>
      <c r="AS204" s="10" t="b">
        <f>IF(AND(I204="TP",S204&lt;=500),VLOOKUP(AF204,TPCalibEq500!$AZ$2:$BB$56,3,),IF(AND(I204="TDP",S204&lt;=500),VLOOKUP(AF204,TPCalibEq500!$AZ$2:$BB$56,3,)))</f>
        <v>0</v>
      </c>
      <c r="AT204" s="10" t="b">
        <f>IF(AND(I204="TN",S204&lt;=2800),VLOOKUP(AF204,TNCalibEq2500!$AZ$2:$BB$56,3,),IF(AND(I204="TDN",S204&lt;=2800),VLOOKUP(AF204,TNCalibEq2500!$AZ$2:$BB$56,3,)))</f>
        <v>0</v>
      </c>
      <c r="AU204" s="10" t="b">
        <f>IF(I204="TP",VLOOKUP(AF204,TPCalibEqFull!$AZ$2:$BB$56,3),IF(I204="TDP",VLOOKUP(AF204,TPCalibEqFull!$AZ$2:$BB$56,3),IF(I204="TDN",VLOOKUP(AF204,TNCalibEqFull!$AZ$1:$BB$56,3),IF(I204="TN",VLOOKUP(AF204,TNCalibEqFull!$AZ$1:$BB$56,3),FALSE))))</f>
        <v>0</v>
      </c>
      <c r="AV204" s="10" t="str">
        <f t="shared" si="25"/>
        <v>1229 05:17:00-HST -0-C-1-SW-SPK</v>
      </c>
    </row>
    <row r="205" spans="1:48" s="10" customFormat="1" x14ac:dyDescent="0.55000000000000004">
      <c r="A205" s="32">
        <v>44930</v>
      </c>
      <c r="B205" s="33">
        <v>0.375</v>
      </c>
      <c r="C205" s="10" t="s">
        <v>70</v>
      </c>
      <c r="D205" s="10" t="s">
        <v>71</v>
      </c>
      <c r="E205" s="10" t="s">
        <v>901</v>
      </c>
      <c r="F205" s="10">
        <v>1</v>
      </c>
      <c r="G205" s="10" t="s">
        <v>73</v>
      </c>
      <c r="H205" s="10" t="s">
        <v>207</v>
      </c>
      <c r="I205" s="10" t="s">
        <v>256</v>
      </c>
      <c r="J205" s="10">
        <v>199</v>
      </c>
      <c r="K205" s="12">
        <v>44930</v>
      </c>
      <c r="L205" s="33">
        <v>0.47672453703703704</v>
      </c>
      <c r="M205" s="10">
        <v>1</v>
      </c>
      <c r="N205" s="10" t="s">
        <v>169</v>
      </c>
      <c r="O205" s="10">
        <v>2.2200000000000002</v>
      </c>
      <c r="P205" s="10">
        <v>0.104</v>
      </c>
      <c r="Q205" s="10">
        <v>302</v>
      </c>
      <c r="R205" s="10" t="s">
        <v>77</v>
      </c>
      <c r="S205" s="34">
        <f t="shared" si="21"/>
        <v>302</v>
      </c>
      <c r="T205" s="10" t="s">
        <v>939</v>
      </c>
      <c r="U205" s="34">
        <f t="shared" si="22"/>
        <v>100.66666666666666</v>
      </c>
      <c r="V205" s="31">
        <f>IF(H205="CHK",VLOOKUP(I205,QCCHK,3,),IF(H205="GUP",VLOOKUP(E205,QCGUP,2,),IF(AND(H205="ATP",OR(I205="TN",I205="TDN",I205="TNO2-3",I205="NO2-3")),VLOOKUP(E205,QCREC_N,2,),IF(AND(H205="NIC",OR(I205="TN",I205="TDN",I205="TNO2-3",I205="NO2-3")),VLOOKUP(E205,QCNIC_N,2,),IF(AND(H205="UREA",OR(I205="TN",I205="TDN",I205="TNO2-3",I205="NO2-3")),VLOOKUP(E205,QCUREA_N,2,),IF(H205="PER",VLOOKUP(I205,QCPER,MATCH(E205,QCACTUAL!$J$25:$AA$25,0),),IF(H205="SPK",VLOOKUP(I205,QCSPK,3,),IF(AND(H205="ATP",OR(I205="TP",I205="TDP")),VLOOKUP(E205,QCATP_P,2,),""))))))))</f>
        <v>300</v>
      </c>
      <c r="W205" s="31" t="str">
        <f t="shared" si="23"/>
        <v>TRUE</v>
      </c>
      <c r="X205" s="31" t="str">
        <f t="shared" si="24"/>
        <v>[chk]/[actual]*100</v>
      </c>
      <c r="Y205" s="10" t="s">
        <v>949</v>
      </c>
      <c r="AL205" s="10" t="str">
        <f t="shared" si="26"/>
        <v>FALSE</v>
      </c>
      <c r="AM205" s="10" t="str">
        <f t="shared" si="26"/>
        <v>FALSE</v>
      </c>
      <c r="AN205" s="10" t="str">
        <f t="shared" si="26"/>
        <v>FALSE</v>
      </c>
      <c r="AO205" s="10" t="str">
        <f t="shared" si="27"/>
        <v>FALSE</v>
      </c>
      <c r="AP205" s="10" t="str">
        <f t="shared" si="27"/>
        <v>FALSE</v>
      </c>
      <c r="AQ205" s="10" t="b">
        <f>IF(AND(I205="TP",S205&lt;=150),VLOOKUP(AF205,TPCalibEq150!$AZ$2:$BB$55,3,),IF(AND(I205="TDP",S205&lt;=150),VLOOKUP(AF205,TPCalibEq150!$AZ$2:$BB$55,3,)))</f>
        <v>0</v>
      </c>
      <c r="AR205" s="10" t="b">
        <f>IF(AND(I205="TP",S205&lt;=300),VLOOKUP(AF205,TPCalibEq300!$AZ$2:$BB$55,3,),IF(AND(I205="TDP",S205&lt;=300),VLOOKUP(AF205,TPCalibEq300!$AZ$2:$BB$55,3,)))</f>
        <v>0</v>
      </c>
      <c r="AS205" s="10" t="b">
        <f>IF(AND(I205="TP",S205&lt;=500),VLOOKUP(AF205,TPCalibEq500!$AZ$2:$BB$56,3,),IF(AND(I205="TDP",S205&lt;=500),VLOOKUP(AF205,TPCalibEq500!$AZ$2:$BB$56,3,)))</f>
        <v>0</v>
      </c>
      <c r="AT205" s="10" t="b">
        <f>IF(AND(I205="TN",S205&lt;=2800),VLOOKUP(AF205,TNCalibEq2500!$AZ$2:$BB$56,3,),IF(AND(I205="TDN",S205&lt;=2800),VLOOKUP(AF205,TNCalibEq2500!$AZ$2:$BB$56,3,)))</f>
        <v>0</v>
      </c>
      <c r="AU205" s="10" t="b">
        <f>IF(I205="TP",VLOOKUP(AF205,TPCalibEqFull!$AZ$2:$BB$56,3),IF(I205="TDP",VLOOKUP(AF205,TPCalibEqFull!$AZ$2:$BB$56,3),IF(I205="TDN",VLOOKUP(AF205,TNCalibEqFull!$AZ$1:$BB$56,3),IF(I205="TN",VLOOKUP(AF205,TNCalibEqFull!$AZ$1:$BB$56,3),FALSE))))</f>
        <v>0</v>
      </c>
      <c r="AV205" s="10" t="str">
        <f t="shared" si="25"/>
        <v>0104 09:00:00-QAC-STD-D-1-DI-CHK</v>
      </c>
    </row>
    <row r="206" spans="1:48" s="10" customFormat="1" x14ac:dyDescent="0.55000000000000004">
      <c r="A206" s="32">
        <v>44925</v>
      </c>
      <c r="B206" s="33">
        <v>0.55555555555555558</v>
      </c>
      <c r="C206" s="10" t="s">
        <v>279</v>
      </c>
      <c r="D206" s="10">
        <v>0</v>
      </c>
      <c r="E206" s="10" t="s">
        <v>190</v>
      </c>
      <c r="F206" s="10">
        <v>1</v>
      </c>
      <c r="G206" s="10" t="s">
        <v>231</v>
      </c>
      <c r="H206" s="10" t="s">
        <v>322</v>
      </c>
      <c r="I206" s="10" t="s">
        <v>256</v>
      </c>
      <c r="J206" s="10">
        <v>21</v>
      </c>
      <c r="K206" s="12">
        <v>44930</v>
      </c>
      <c r="L206" s="33">
        <v>0.47753472222222221</v>
      </c>
      <c r="M206" s="10">
        <v>1</v>
      </c>
      <c r="N206" s="10" t="s">
        <v>169</v>
      </c>
      <c r="O206" s="10">
        <v>10.199999999999999</v>
      </c>
      <c r="P206" s="10">
        <v>0.47499999999999998</v>
      </c>
      <c r="Q206" s="10">
        <v>1390</v>
      </c>
      <c r="R206" s="10" t="s">
        <v>77</v>
      </c>
      <c r="S206" s="34">
        <f t="shared" si="21"/>
        <v>1390</v>
      </c>
      <c r="T206" s="10" t="s">
        <v>939</v>
      </c>
      <c r="U206" s="34" t="str">
        <f t="shared" si="22"/>
        <v/>
      </c>
      <c r="V206" s="31" t="str">
        <f>IF(H206="CHK",VLOOKUP(I206,QCCHK,3,),IF(H206="GUP",VLOOKUP(E206,QCGUP,2,),IF(AND(H206="ATP",OR(I206="TN",I206="TDN",I206="TNO2-3",I206="NO2-3")),VLOOKUP(E206,QCREC_N,2,),IF(AND(H206="NIC",OR(I206="TN",I206="TDN",I206="TNO2-3",I206="NO2-3")),VLOOKUP(E206,QCNIC_N,2,),IF(AND(H206="UREA",OR(I206="TN",I206="TDN",I206="TNO2-3",I206="NO2-3")),VLOOKUP(E206,QCUREA_N,2,),IF(H206="PER",VLOOKUP(I206,QCPER,MATCH(E206,QCACTUAL!$J$25:$AA$25,0),),IF(H206="SPK",VLOOKUP(I206,QCSPK,3,),IF(AND(H206="ATP",OR(I206="TP",I206="TDP")),VLOOKUP(E206,QCATP_P,2,),""))))))))</f>
        <v/>
      </c>
      <c r="W206" s="31" t="str">
        <f t="shared" si="23"/>
        <v>TRUE</v>
      </c>
      <c r="X206" s="31" t="str">
        <f t="shared" si="24"/>
        <v/>
      </c>
      <c r="Y206" s="10" t="s">
        <v>949</v>
      </c>
      <c r="Z206" s="10" t="s">
        <v>910</v>
      </c>
      <c r="AL206" s="10" t="str">
        <f t="shared" si="26"/>
        <v>FALSE</v>
      </c>
      <c r="AM206" s="10" t="str">
        <f t="shared" si="26"/>
        <v>FALSE</v>
      </c>
      <c r="AN206" s="10" t="str">
        <f t="shared" si="26"/>
        <v>FALSE</v>
      </c>
      <c r="AO206" s="10" t="str">
        <f t="shared" si="27"/>
        <v>FALSE</v>
      </c>
      <c r="AP206" s="10" t="str">
        <f t="shared" si="27"/>
        <v>FALSE</v>
      </c>
      <c r="AQ206" s="10" t="b">
        <f>IF(AND(I206="TP",S206&lt;=150),VLOOKUP(AF206,TPCalibEq150!$AZ$2:$BB$55,3,),IF(AND(I206="TDP",S206&lt;=150),VLOOKUP(AF206,TPCalibEq150!$AZ$2:$BB$55,3,)))</f>
        <v>0</v>
      </c>
      <c r="AR206" s="10" t="b">
        <f>IF(AND(I206="TP",S206&lt;=300),VLOOKUP(AF206,TPCalibEq300!$AZ$2:$BB$55,3,),IF(AND(I206="TDP",S206&lt;=300),VLOOKUP(AF206,TPCalibEq300!$AZ$2:$BB$55,3,)))</f>
        <v>0</v>
      </c>
      <c r="AS206" s="10" t="b">
        <f>IF(AND(I206="TP",S206&lt;=500),VLOOKUP(AF206,TPCalibEq500!$AZ$2:$BB$56,3,),IF(AND(I206="TDP",S206&lt;=500),VLOOKUP(AF206,TPCalibEq500!$AZ$2:$BB$56,3,)))</f>
        <v>0</v>
      </c>
      <c r="AT206" s="10" t="b">
        <f>IF(AND(I206="TN",S206&lt;=2800),VLOOKUP(AF206,TNCalibEq2500!$AZ$2:$BB$56,3,),IF(AND(I206="TDN",S206&lt;=2800),VLOOKUP(AF206,TNCalibEq2500!$AZ$2:$BB$56,3,)))</f>
        <v>0</v>
      </c>
      <c r="AU206" s="10" t="b">
        <f>IF(I206="TP",VLOOKUP(AF206,TPCalibEqFull!$AZ$2:$BB$56,3),IF(I206="TDP",VLOOKUP(AF206,TPCalibEqFull!$AZ$2:$BB$56,3),IF(I206="TDN",VLOOKUP(AF206,TNCalibEqFull!$AZ$1:$BB$56,3),IF(I206="TN",VLOOKUP(AF206,TNCalibEqFull!$AZ$1:$BB$56,3),FALSE))))</f>
        <v>0</v>
      </c>
      <c r="AV206" s="10" t="str">
        <f t="shared" si="25"/>
        <v>1230 13:20:00-EFK-0-C-1-SW-UKN</v>
      </c>
    </row>
    <row r="207" spans="1:48" s="10" customFormat="1" x14ac:dyDescent="0.55000000000000004">
      <c r="A207" s="32">
        <v>44925</v>
      </c>
      <c r="B207" s="33">
        <v>0.55902777777777779</v>
      </c>
      <c r="C207" s="10" t="s">
        <v>333</v>
      </c>
      <c r="D207" s="10">
        <v>0</v>
      </c>
      <c r="E207" s="10" t="s">
        <v>190</v>
      </c>
      <c r="F207" s="10">
        <v>1</v>
      </c>
      <c r="G207" s="10" t="s">
        <v>231</v>
      </c>
      <c r="H207" s="10" t="s">
        <v>322</v>
      </c>
      <c r="I207" s="10" t="s">
        <v>256</v>
      </c>
      <c r="J207" s="10">
        <v>22</v>
      </c>
      <c r="K207" s="12">
        <v>44930</v>
      </c>
      <c r="L207" s="33">
        <v>0.47835648148148152</v>
      </c>
      <c r="M207" s="10">
        <v>1</v>
      </c>
      <c r="N207" s="10" t="s">
        <v>169</v>
      </c>
      <c r="O207" s="10">
        <v>6.66</v>
      </c>
      <c r="P207" s="10">
        <v>0.312</v>
      </c>
      <c r="Q207" s="10">
        <v>907</v>
      </c>
      <c r="R207" s="10" t="s">
        <v>77</v>
      </c>
      <c r="S207" s="34">
        <f t="shared" si="21"/>
        <v>907</v>
      </c>
      <c r="T207" s="10" t="s">
        <v>939</v>
      </c>
      <c r="U207" s="34" t="str">
        <f t="shared" si="22"/>
        <v/>
      </c>
      <c r="V207" s="31" t="str">
        <f>IF(H207="CHK",VLOOKUP(I207,QCCHK,3,),IF(H207="GUP",VLOOKUP(E207,QCGUP,2,),IF(AND(H207="ATP",OR(I207="TN",I207="TDN",I207="TNO2-3",I207="NO2-3")),VLOOKUP(E207,QCREC_N,2,),IF(AND(H207="NIC",OR(I207="TN",I207="TDN",I207="TNO2-3",I207="NO2-3")),VLOOKUP(E207,QCNIC_N,2,),IF(AND(H207="UREA",OR(I207="TN",I207="TDN",I207="TNO2-3",I207="NO2-3")),VLOOKUP(E207,QCUREA_N,2,),IF(H207="PER",VLOOKUP(I207,QCPER,MATCH(E207,QCACTUAL!$J$25:$AA$25,0),),IF(H207="SPK",VLOOKUP(I207,QCSPK,3,),IF(AND(H207="ATP",OR(I207="TP",I207="TDP")),VLOOKUP(E207,QCATP_P,2,),""))))))))</f>
        <v/>
      </c>
      <c r="W207" s="31" t="str">
        <f t="shared" si="23"/>
        <v>TRUE</v>
      </c>
      <c r="X207" s="31" t="str">
        <f t="shared" si="24"/>
        <v/>
      </c>
      <c r="Y207" s="10" t="s">
        <v>949</v>
      </c>
      <c r="Z207" s="10" t="s">
        <v>910</v>
      </c>
      <c r="AL207" s="10" t="str">
        <f t="shared" si="26"/>
        <v>FALSE</v>
      </c>
      <c r="AM207" s="10" t="str">
        <f t="shared" si="26"/>
        <v>FALSE</v>
      </c>
      <c r="AN207" s="10" t="str">
        <f t="shared" si="26"/>
        <v>FALSE</v>
      </c>
      <c r="AO207" s="10" t="str">
        <f t="shared" si="27"/>
        <v>FALSE</v>
      </c>
      <c r="AP207" s="10" t="str">
        <f t="shared" si="27"/>
        <v>FALSE</v>
      </c>
      <c r="AQ207" s="10" t="b">
        <f>IF(AND(I207="TP",S207&lt;=150),VLOOKUP(AF207,TPCalibEq150!$AZ$2:$BB$55,3,),IF(AND(I207="TDP",S207&lt;=150),VLOOKUP(AF207,TPCalibEq150!$AZ$2:$BB$55,3,)))</f>
        <v>0</v>
      </c>
      <c r="AR207" s="10" t="b">
        <f>IF(AND(I207="TP",S207&lt;=300),VLOOKUP(AF207,TPCalibEq300!$AZ$2:$BB$55,3,),IF(AND(I207="TDP",S207&lt;=300),VLOOKUP(AF207,TPCalibEq300!$AZ$2:$BB$55,3,)))</f>
        <v>0</v>
      </c>
      <c r="AS207" s="10" t="b">
        <f>IF(AND(I207="TP",S207&lt;=500),VLOOKUP(AF207,TPCalibEq500!$AZ$2:$BB$56,3,),IF(AND(I207="TDP",S207&lt;=500),VLOOKUP(AF207,TPCalibEq500!$AZ$2:$BB$56,3,)))</f>
        <v>0</v>
      </c>
      <c r="AT207" s="10" t="b">
        <f>IF(AND(I207="TN",S207&lt;=2800),VLOOKUP(AF207,TNCalibEq2500!$AZ$2:$BB$56,3,),IF(AND(I207="TDN",S207&lt;=2800),VLOOKUP(AF207,TNCalibEq2500!$AZ$2:$BB$56,3,)))</f>
        <v>0</v>
      </c>
      <c r="AU207" s="10" t="b">
        <f>IF(I207="TP",VLOOKUP(AF207,TPCalibEqFull!$AZ$2:$BB$56,3),IF(I207="TDP",VLOOKUP(AF207,TPCalibEqFull!$AZ$2:$BB$56,3),IF(I207="TDN",VLOOKUP(AF207,TNCalibEqFull!$AZ$1:$BB$56,3),IF(I207="TN",VLOOKUP(AF207,TNCalibEqFull!$AZ$1:$BB$56,3),FALSE))))</f>
        <v>0</v>
      </c>
      <c r="AV207" s="10" t="str">
        <f t="shared" si="25"/>
        <v>1230 13:25:00-HST-0-C-1-SW-UKN</v>
      </c>
    </row>
    <row r="208" spans="1:48" s="10" customFormat="1" x14ac:dyDescent="0.55000000000000004">
      <c r="A208" s="32">
        <v>44929</v>
      </c>
      <c r="B208" s="33">
        <v>0.22222222222222221</v>
      </c>
      <c r="C208" s="10" t="s">
        <v>279</v>
      </c>
      <c r="D208" s="10">
        <v>0</v>
      </c>
      <c r="E208" s="10" t="s">
        <v>190</v>
      </c>
      <c r="F208" s="10">
        <v>1</v>
      </c>
      <c r="G208" s="10" t="s">
        <v>231</v>
      </c>
      <c r="H208" s="10" t="s">
        <v>322</v>
      </c>
      <c r="I208" s="10" t="s">
        <v>256</v>
      </c>
      <c r="J208" s="10">
        <v>23</v>
      </c>
      <c r="K208" s="12">
        <v>44930</v>
      </c>
      <c r="L208" s="33">
        <v>0.47917824074074072</v>
      </c>
      <c r="M208" s="10">
        <v>1</v>
      </c>
      <c r="N208" s="10" t="s">
        <v>169</v>
      </c>
      <c r="O208" s="10">
        <v>4.91</v>
      </c>
      <c r="P208" s="10">
        <v>0.22600000000000001</v>
      </c>
      <c r="Q208" s="10">
        <v>667</v>
      </c>
      <c r="R208" s="10" t="s">
        <v>77</v>
      </c>
      <c r="S208" s="34">
        <f t="shared" si="21"/>
        <v>667</v>
      </c>
      <c r="T208" s="10" t="s">
        <v>939</v>
      </c>
      <c r="U208" s="34" t="str">
        <f t="shared" si="22"/>
        <v/>
      </c>
      <c r="V208" s="31" t="str">
        <f>IF(H208="CHK",VLOOKUP(I208,QCCHK,3,),IF(H208="GUP",VLOOKUP(E208,QCGUP,2,),IF(AND(H208="ATP",OR(I208="TN",I208="TDN",I208="TNO2-3",I208="NO2-3")),VLOOKUP(E208,QCREC_N,2,),IF(AND(H208="NIC",OR(I208="TN",I208="TDN",I208="TNO2-3",I208="NO2-3")),VLOOKUP(E208,QCNIC_N,2,),IF(AND(H208="UREA",OR(I208="TN",I208="TDN",I208="TNO2-3",I208="NO2-3")),VLOOKUP(E208,QCUREA_N,2,),IF(H208="PER",VLOOKUP(I208,QCPER,MATCH(E208,QCACTUAL!$J$25:$AA$25,0),),IF(H208="SPK",VLOOKUP(I208,QCSPK,3,),IF(AND(H208="ATP",OR(I208="TP",I208="TDP")),VLOOKUP(E208,QCATP_P,2,),""))))))))</f>
        <v/>
      </c>
      <c r="W208" s="31" t="str">
        <f t="shared" si="23"/>
        <v>TRUE</v>
      </c>
      <c r="X208" s="31" t="str">
        <f t="shared" si="24"/>
        <v/>
      </c>
      <c r="Y208" s="10" t="s">
        <v>949</v>
      </c>
      <c r="AL208" s="10" t="str">
        <f t="shared" si="26"/>
        <v>FALSE</v>
      </c>
      <c r="AM208" s="10" t="str">
        <f t="shared" si="26"/>
        <v>FALSE</v>
      </c>
      <c r="AN208" s="10" t="str">
        <f t="shared" si="26"/>
        <v>FALSE</v>
      </c>
      <c r="AO208" s="10" t="str">
        <f t="shared" si="27"/>
        <v>FALSE</v>
      </c>
      <c r="AP208" s="10" t="str">
        <f t="shared" si="27"/>
        <v>FALSE</v>
      </c>
      <c r="AQ208" s="10" t="b">
        <f>IF(AND(I208="TP",S208&lt;=150),VLOOKUP(AF208,TPCalibEq150!$AZ$2:$BB$55,3,),IF(AND(I208="TDP",S208&lt;=150),VLOOKUP(AF208,TPCalibEq150!$AZ$2:$BB$55,3,)))</f>
        <v>0</v>
      </c>
      <c r="AR208" s="10" t="b">
        <f>IF(AND(I208="TP",S208&lt;=300),VLOOKUP(AF208,TPCalibEq300!$AZ$2:$BB$55,3,),IF(AND(I208="TDP",S208&lt;=300),VLOOKUP(AF208,TPCalibEq300!$AZ$2:$BB$55,3,)))</f>
        <v>0</v>
      </c>
      <c r="AS208" s="10" t="b">
        <f>IF(AND(I208="TP",S208&lt;=500),VLOOKUP(AF208,TPCalibEq500!$AZ$2:$BB$56,3,),IF(AND(I208="TDP",S208&lt;=500),VLOOKUP(AF208,TPCalibEq500!$AZ$2:$BB$56,3,)))</f>
        <v>0</v>
      </c>
      <c r="AT208" s="10" t="b">
        <f>IF(AND(I208="TN",S208&lt;=2800),VLOOKUP(AF208,TNCalibEq2500!$AZ$2:$BB$56,3,),IF(AND(I208="TDN",S208&lt;=2800),VLOOKUP(AF208,TNCalibEq2500!$AZ$2:$BB$56,3,)))</f>
        <v>0</v>
      </c>
      <c r="AU208" s="10" t="b">
        <f>IF(I208="TP",VLOOKUP(AF208,TPCalibEqFull!$AZ$2:$BB$56,3),IF(I208="TDP",VLOOKUP(AF208,TPCalibEqFull!$AZ$2:$BB$56,3),IF(I208="TDN",VLOOKUP(AF208,TNCalibEqFull!$AZ$1:$BB$56,3),IF(I208="TN",VLOOKUP(AF208,TNCalibEqFull!$AZ$1:$BB$56,3),FALSE))))</f>
        <v>0</v>
      </c>
      <c r="AV208" s="10" t="str">
        <f t="shared" si="25"/>
        <v>0103 05:20:00-EFK-0-C-1-SW-UKN</v>
      </c>
    </row>
    <row r="209" spans="1:48" s="10" customFormat="1" x14ac:dyDescent="0.55000000000000004">
      <c r="A209" s="32">
        <v>44929</v>
      </c>
      <c r="B209" s="33">
        <v>0.22569444444444445</v>
      </c>
      <c r="C209" s="10" t="s">
        <v>333</v>
      </c>
      <c r="D209" s="10">
        <v>0</v>
      </c>
      <c r="E209" s="10" t="s">
        <v>190</v>
      </c>
      <c r="F209" s="10">
        <v>1</v>
      </c>
      <c r="G209" s="10" t="s">
        <v>231</v>
      </c>
      <c r="H209" s="10" t="s">
        <v>322</v>
      </c>
      <c r="I209" s="10" t="s">
        <v>256</v>
      </c>
      <c r="J209" s="10">
        <v>24</v>
      </c>
      <c r="K209" s="12">
        <v>44930</v>
      </c>
      <c r="L209" s="33">
        <v>0.47998842592592594</v>
      </c>
      <c r="M209" s="10">
        <v>1</v>
      </c>
      <c r="N209" s="10" t="s">
        <v>169</v>
      </c>
      <c r="O209" s="10">
        <v>3.38</v>
      </c>
      <c r="P209" s="10">
        <v>0.155</v>
      </c>
      <c r="Q209" s="10">
        <v>460</v>
      </c>
      <c r="R209" s="10" t="s">
        <v>77</v>
      </c>
      <c r="S209" s="34">
        <f t="shared" si="21"/>
        <v>460</v>
      </c>
      <c r="T209" s="10" t="s">
        <v>939</v>
      </c>
      <c r="U209" s="34" t="str">
        <f t="shared" si="22"/>
        <v/>
      </c>
      <c r="V209" s="31" t="str">
        <f>IF(H209="CHK",VLOOKUP(I209,QCCHK,3,),IF(H209="GUP",VLOOKUP(E209,QCGUP,2,),IF(AND(H209="ATP",OR(I209="TN",I209="TDN",I209="TNO2-3",I209="NO2-3")),VLOOKUP(E209,QCREC_N,2,),IF(AND(H209="NIC",OR(I209="TN",I209="TDN",I209="TNO2-3",I209="NO2-3")),VLOOKUP(E209,QCNIC_N,2,),IF(AND(H209="UREA",OR(I209="TN",I209="TDN",I209="TNO2-3",I209="NO2-3")),VLOOKUP(E209,QCUREA_N,2,),IF(H209="PER",VLOOKUP(I209,QCPER,MATCH(E209,QCACTUAL!$J$25:$AA$25,0),),IF(H209="SPK",VLOOKUP(I209,QCSPK,3,),IF(AND(H209="ATP",OR(I209="TP",I209="TDP")),VLOOKUP(E209,QCATP_P,2,),""))))))))</f>
        <v/>
      </c>
      <c r="W209" s="31" t="str">
        <f t="shared" si="23"/>
        <v>TRUE</v>
      </c>
      <c r="X209" s="31" t="str">
        <f t="shared" si="24"/>
        <v/>
      </c>
      <c r="Y209" s="10" t="s">
        <v>949</v>
      </c>
      <c r="AL209" s="10" t="str">
        <f t="shared" si="26"/>
        <v>FALSE</v>
      </c>
      <c r="AM209" s="10" t="str">
        <f t="shared" si="26"/>
        <v>FALSE</v>
      </c>
      <c r="AN209" s="10" t="str">
        <f t="shared" si="26"/>
        <v>FALSE</v>
      </c>
      <c r="AO209" s="10" t="str">
        <f t="shared" si="27"/>
        <v>FALSE</v>
      </c>
      <c r="AP209" s="10" t="str">
        <f t="shared" si="27"/>
        <v>FALSE</v>
      </c>
      <c r="AQ209" s="10" t="b">
        <f>IF(AND(I209="TP",S209&lt;=150),VLOOKUP(AF209,TPCalibEq150!$AZ$2:$BB$55,3,),IF(AND(I209="TDP",S209&lt;=150),VLOOKUP(AF209,TPCalibEq150!$AZ$2:$BB$55,3,)))</f>
        <v>0</v>
      </c>
      <c r="AR209" s="10" t="b">
        <f>IF(AND(I209="TP",S209&lt;=300),VLOOKUP(AF209,TPCalibEq300!$AZ$2:$BB$55,3,),IF(AND(I209="TDP",S209&lt;=300),VLOOKUP(AF209,TPCalibEq300!$AZ$2:$BB$55,3,)))</f>
        <v>0</v>
      </c>
      <c r="AS209" s="10" t="b">
        <f>IF(AND(I209="TP",S209&lt;=500),VLOOKUP(AF209,TPCalibEq500!$AZ$2:$BB$56,3,),IF(AND(I209="TDP",S209&lt;=500),VLOOKUP(AF209,TPCalibEq500!$AZ$2:$BB$56,3,)))</f>
        <v>0</v>
      </c>
      <c r="AT209" s="10" t="b">
        <f>IF(AND(I209="TN",S209&lt;=2800),VLOOKUP(AF209,TNCalibEq2500!$AZ$2:$BB$56,3,),IF(AND(I209="TDN",S209&lt;=2800),VLOOKUP(AF209,TNCalibEq2500!$AZ$2:$BB$56,3,)))</f>
        <v>0</v>
      </c>
      <c r="AU209" s="10" t="b">
        <f>IF(I209="TP",VLOOKUP(AF209,TPCalibEqFull!$AZ$2:$BB$56,3),IF(I209="TDP",VLOOKUP(AF209,TPCalibEqFull!$AZ$2:$BB$56,3),IF(I209="TDN",VLOOKUP(AF209,TNCalibEqFull!$AZ$1:$BB$56,3),IF(I209="TN",VLOOKUP(AF209,TNCalibEqFull!$AZ$1:$BB$56,3),FALSE))))</f>
        <v>0</v>
      </c>
      <c r="AV209" s="10" t="str">
        <f t="shared" si="25"/>
        <v>0103 05:25:00-HST-0-C-1-SW-UKN</v>
      </c>
    </row>
    <row r="210" spans="1:48" s="10" customFormat="1" x14ac:dyDescent="0.55000000000000004">
      <c r="A210" s="32">
        <v>44909</v>
      </c>
      <c r="B210" s="33">
        <v>0.23541666666666669</v>
      </c>
      <c r="C210" s="10" t="s">
        <v>279</v>
      </c>
      <c r="D210" s="10">
        <v>0</v>
      </c>
      <c r="E210" s="10" t="s">
        <v>911</v>
      </c>
      <c r="F210" s="10">
        <v>1</v>
      </c>
      <c r="G210" s="10" t="s">
        <v>231</v>
      </c>
      <c r="H210" s="10" t="s">
        <v>322</v>
      </c>
      <c r="I210" s="10" t="s">
        <v>209</v>
      </c>
      <c r="J210" s="10">
        <v>25</v>
      </c>
      <c r="K210" s="12">
        <v>44930</v>
      </c>
      <c r="L210" s="33">
        <v>0.48079861111111111</v>
      </c>
      <c r="M210" s="10">
        <v>1</v>
      </c>
      <c r="N210" s="10" t="s">
        <v>169</v>
      </c>
      <c r="O210" s="10">
        <v>9.68</v>
      </c>
      <c r="P210" s="10">
        <v>0.45400000000000001</v>
      </c>
      <c r="Q210" s="10">
        <v>1320</v>
      </c>
      <c r="R210" s="10" t="s">
        <v>77</v>
      </c>
      <c r="S210" s="34">
        <f t="shared" si="21"/>
        <v>1320</v>
      </c>
      <c r="T210" s="10" t="s">
        <v>939</v>
      </c>
      <c r="U210" s="34" t="str">
        <f t="shared" si="22"/>
        <v/>
      </c>
      <c r="V210" s="31" t="str">
        <f>IF(H210="CHK",VLOOKUP(I210,QCCHK,3,),IF(H210="GUP",VLOOKUP(E210,QCGUP,2,),IF(AND(H210="ATP",OR(I210="TN",I210="TDN",I210="TNO2-3",I210="NO2-3")),VLOOKUP(E210,QCREC_N,2,),IF(AND(H210="NIC",OR(I210="TN",I210="TDN",I210="TNO2-3",I210="NO2-3")),VLOOKUP(E210,QCNIC_N,2,),IF(AND(H210="UREA",OR(I210="TN",I210="TDN",I210="TNO2-3",I210="NO2-3")),VLOOKUP(E210,QCUREA_N,2,),IF(H210="PER",VLOOKUP(I210,QCPER,MATCH(E210,QCACTUAL!$J$25:$AA$25,0),),IF(H210="SPK",VLOOKUP(I210,QCSPK,3,),IF(AND(H210="ATP",OR(I210="TP",I210="TDP")),VLOOKUP(E210,QCATP_P,2,),""))))))))</f>
        <v/>
      </c>
      <c r="W210" s="31" t="str">
        <f t="shared" si="23"/>
        <v>TRUE</v>
      </c>
      <c r="X210" s="31" t="str">
        <f t="shared" si="24"/>
        <v/>
      </c>
      <c r="Y210" s="10" t="s">
        <v>949</v>
      </c>
      <c r="Z210" s="10" t="s">
        <v>910</v>
      </c>
      <c r="AL210" s="10" t="str">
        <f t="shared" si="26"/>
        <v>FALSE</v>
      </c>
      <c r="AM210" s="10" t="str">
        <f t="shared" si="26"/>
        <v>FALSE</v>
      </c>
      <c r="AN210" s="10" t="str">
        <f t="shared" si="26"/>
        <v>FALSE</v>
      </c>
      <c r="AO210" s="10" t="str">
        <f t="shared" si="27"/>
        <v>FALSE</v>
      </c>
      <c r="AP210" s="10" t="str">
        <f t="shared" si="27"/>
        <v>FALSE</v>
      </c>
      <c r="AQ210" s="10" t="b">
        <f>IF(AND(I210="TP",S210&lt;=150),VLOOKUP(AF210,TPCalibEq150!$AZ$2:$BB$55,3,),IF(AND(I210="TDP",S210&lt;=150),VLOOKUP(AF210,TPCalibEq150!$AZ$2:$BB$55,3,)))</f>
        <v>0</v>
      </c>
      <c r="AR210" s="10" t="b">
        <f>IF(AND(I210="TP",S210&lt;=300),VLOOKUP(AF210,TPCalibEq300!$AZ$2:$BB$55,3,),IF(AND(I210="TDP",S210&lt;=300),VLOOKUP(AF210,TPCalibEq300!$AZ$2:$BB$55,3,)))</f>
        <v>0</v>
      </c>
      <c r="AS210" s="10" t="b">
        <f>IF(AND(I210="TP",S210&lt;=500),VLOOKUP(AF210,TPCalibEq500!$AZ$2:$BB$56,3,),IF(AND(I210="TDP",S210&lt;=500),VLOOKUP(AF210,TPCalibEq500!$AZ$2:$BB$56,3,)))</f>
        <v>0</v>
      </c>
      <c r="AT210" s="10" t="b">
        <f>IF(AND(I210="TN",S210&lt;=2800),VLOOKUP(AF210,TNCalibEq2500!$AZ$2:$BB$56,3,),IF(AND(I210="TDN",S210&lt;=2800),VLOOKUP(AF210,TNCalibEq2500!$AZ$2:$BB$56,3,)))</f>
        <v>0</v>
      </c>
      <c r="AU210" s="10" t="b">
        <f>IF(I210="TP",VLOOKUP(AF210,TPCalibEqFull!$AZ$2:$BB$56,3),IF(I210="TDP",VLOOKUP(AF210,TPCalibEqFull!$AZ$2:$BB$56,3),IF(I210="TDN",VLOOKUP(AF210,TNCalibEqFull!$AZ$1:$BB$56,3),IF(I210="TN",VLOOKUP(AF210,TNCalibEqFull!$AZ$1:$BB$56,3),FALSE))))</f>
        <v>0</v>
      </c>
      <c r="AV210" s="10" t="str">
        <f t="shared" si="25"/>
        <v>1214 05:39:00-EFK-0-FIL-1-SW-UKN</v>
      </c>
    </row>
    <row r="211" spans="1:48" s="10" customFormat="1" x14ac:dyDescent="0.55000000000000004">
      <c r="A211" s="32">
        <v>44909</v>
      </c>
      <c r="B211" s="33">
        <v>0.24236111111111111</v>
      </c>
      <c r="C211" s="10" t="s">
        <v>333</v>
      </c>
      <c r="D211" s="10">
        <v>0</v>
      </c>
      <c r="E211" s="10" t="s">
        <v>911</v>
      </c>
      <c r="F211" s="10">
        <v>1</v>
      </c>
      <c r="G211" s="10" t="s">
        <v>231</v>
      </c>
      <c r="H211" s="10" t="s">
        <v>322</v>
      </c>
      <c r="I211" s="10" t="s">
        <v>209</v>
      </c>
      <c r="J211" s="10">
        <v>26</v>
      </c>
      <c r="K211" s="12">
        <v>44930</v>
      </c>
      <c r="L211" s="33">
        <v>0.48160879629629627</v>
      </c>
      <c r="M211" s="10">
        <v>1</v>
      </c>
      <c r="N211" s="10" t="s">
        <v>169</v>
      </c>
      <c r="O211" s="10">
        <v>2.38</v>
      </c>
      <c r="P211" s="10">
        <v>0.11</v>
      </c>
      <c r="Q211" s="10">
        <v>324</v>
      </c>
      <c r="R211" s="10" t="s">
        <v>77</v>
      </c>
      <c r="S211" s="34">
        <f t="shared" si="21"/>
        <v>324</v>
      </c>
      <c r="T211" s="10" t="s">
        <v>939</v>
      </c>
      <c r="U211" s="34" t="str">
        <f t="shared" si="22"/>
        <v/>
      </c>
      <c r="V211" s="31" t="str">
        <f>IF(H211="CHK",VLOOKUP(I211,QCCHK,3,),IF(H211="GUP",VLOOKUP(E211,QCGUP,2,),IF(AND(H211="ATP",OR(I211="TN",I211="TDN",I211="TNO2-3",I211="NO2-3")),VLOOKUP(E211,QCREC_N,2,),IF(AND(H211="NIC",OR(I211="TN",I211="TDN",I211="TNO2-3",I211="NO2-3")),VLOOKUP(E211,QCNIC_N,2,),IF(AND(H211="UREA",OR(I211="TN",I211="TDN",I211="TNO2-3",I211="NO2-3")),VLOOKUP(E211,QCUREA_N,2,),IF(H211="PER",VLOOKUP(I211,QCPER,MATCH(E211,QCACTUAL!$J$25:$AA$25,0),),IF(H211="SPK",VLOOKUP(I211,QCSPK,3,),IF(AND(H211="ATP",OR(I211="TP",I211="TDP")),VLOOKUP(E211,QCATP_P,2,),""))))))))</f>
        <v/>
      </c>
      <c r="W211" s="31" t="str">
        <f t="shared" si="23"/>
        <v>TRUE</v>
      </c>
      <c r="X211" s="31" t="str">
        <f t="shared" si="24"/>
        <v/>
      </c>
      <c r="Y211" s="10" t="s">
        <v>949</v>
      </c>
      <c r="Z211" s="10" t="s">
        <v>910</v>
      </c>
      <c r="AL211" s="10" t="str">
        <f t="shared" si="26"/>
        <v>FALSE</v>
      </c>
      <c r="AM211" s="10" t="str">
        <f t="shared" si="26"/>
        <v>FALSE</v>
      </c>
      <c r="AN211" s="10" t="str">
        <f t="shared" si="26"/>
        <v>FALSE</v>
      </c>
      <c r="AO211" s="10" t="str">
        <f t="shared" si="27"/>
        <v>FALSE</v>
      </c>
      <c r="AP211" s="10" t="str">
        <f t="shared" si="27"/>
        <v>FALSE</v>
      </c>
      <c r="AQ211" s="10" t="b">
        <f>IF(AND(I211="TP",S211&lt;=150),VLOOKUP(AF211,TPCalibEq150!$AZ$2:$BB$55,3,),IF(AND(I211="TDP",S211&lt;=150),VLOOKUP(AF211,TPCalibEq150!$AZ$2:$BB$55,3,)))</f>
        <v>0</v>
      </c>
      <c r="AR211" s="10" t="b">
        <f>IF(AND(I211="TP",S211&lt;=300),VLOOKUP(AF211,TPCalibEq300!$AZ$2:$BB$55,3,),IF(AND(I211="TDP",S211&lt;=300),VLOOKUP(AF211,TPCalibEq300!$AZ$2:$BB$55,3,)))</f>
        <v>0</v>
      </c>
      <c r="AS211" s="10" t="b">
        <f>IF(AND(I211="TP",S211&lt;=500),VLOOKUP(AF211,TPCalibEq500!$AZ$2:$BB$56,3,),IF(AND(I211="TDP",S211&lt;=500),VLOOKUP(AF211,TPCalibEq500!$AZ$2:$BB$56,3,)))</f>
        <v>0</v>
      </c>
      <c r="AT211" s="10" t="b">
        <f>IF(AND(I211="TN",S211&lt;=2800),VLOOKUP(AF211,TNCalibEq2500!$AZ$2:$BB$56,3,),IF(AND(I211="TDN",S211&lt;=2800),VLOOKUP(AF211,TNCalibEq2500!$AZ$2:$BB$56,3,)))</f>
        <v>0</v>
      </c>
      <c r="AU211" s="10" t="b">
        <f>IF(I211="TP",VLOOKUP(AF211,TPCalibEqFull!$AZ$2:$BB$56,3),IF(I211="TDP",VLOOKUP(AF211,TPCalibEqFull!$AZ$2:$BB$56,3),IF(I211="TDN",VLOOKUP(AF211,TNCalibEqFull!$AZ$1:$BB$56,3),IF(I211="TN",VLOOKUP(AF211,TNCalibEqFull!$AZ$1:$BB$56,3),FALSE))))</f>
        <v>0</v>
      </c>
      <c r="AV211" s="10" t="str">
        <f t="shared" si="25"/>
        <v>1214 05:49:00-HST-0-FIL-1-SW-UKN</v>
      </c>
    </row>
    <row r="212" spans="1:48" s="10" customFormat="1" x14ac:dyDescent="0.55000000000000004">
      <c r="A212" s="32">
        <v>44910</v>
      </c>
      <c r="B212" s="33">
        <v>0.18472222222222223</v>
      </c>
      <c r="C212" s="10" t="s">
        <v>279</v>
      </c>
      <c r="D212" s="10">
        <v>0</v>
      </c>
      <c r="E212" s="10" t="s">
        <v>911</v>
      </c>
      <c r="F212" s="10">
        <v>1</v>
      </c>
      <c r="G212" s="10" t="s">
        <v>231</v>
      </c>
      <c r="H212" s="10" t="s">
        <v>322</v>
      </c>
      <c r="I212" s="10" t="s">
        <v>209</v>
      </c>
      <c r="J212" s="10">
        <v>27</v>
      </c>
      <c r="K212" s="12">
        <v>44930</v>
      </c>
      <c r="L212" s="33">
        <v>0.48241898148148149</v>
      </c>
      <c r="M212" s="10">
        <v>1</v>
      </c>
      <c r="N212" s="10" t="s">
        <v>169</v>
      </c>
      <c r="O212" s="10">
        <v>7.91</v>
      </c>
      <c r="P212" s="10">
        <v>0.37</v>
      </c>
      <c r="Q212" s="10">
        <v>1080</v>
      </c>
      <c r="R212" s="10" t="s">
        <v>77</v>
      </c>
      <c r="S212" s="34">
        <f t="shared" si="21"/>
        <v>1080</v>
      </c>
      <c r="T212" s="10" t="s">
        <v>939</v>
      </c>
      <c r="U212" s="34" t="str">
        <f t="shared" si="22"/>
        <v/>
      </c>
      <c r="V212" s="31" t="str">
        <f>IF(H212="CHK",VLOOKUP(I212,QCCHK,3,),IF(H212="GUP",VLOOKUP(E212,QCGUP,2,),IF(AND(H212="ATP",OR(I212="TN",I212="TDN",I212="TNO2-3",I212="NO2-3")),VLOOKUP(E212,QCREC_N,2,),IF(AND(H212="NIC",OR(I212="TN",I212="TDN",I212="TNO2-3",I212="NO2-3")),VLOOKUP(E212,QCNIC_N,2,),IF(AND(H212="UREA",OR(I212="TN",I212="TDN",I212="TNO2-3",I212="NO2-3")),VLOOKUP(E212,QCUREA_N,2,),IF(H212="PER",VLOOKUP(I212,QCPER,MATCH(E212,QCACTUAL!$J$25:$AA$25,0),),IF(H212="SPK",VLOOKUP(I212,QCSPK,3,),IF(AND(H212="ATP",OR(I212="TP",I212="TDP")),VLOOKUP(E212,QCATP_P,2,),""))))))))</f>
        <v/>
      </c>
      <c r="W212" s="31" t="str">
        <f t="shared" si="23"/>
        <v>TRUE</v>
      </c>
      <c r="X212" s="31" t="str">
        <f t="shared" si="24"/>
        <v/>
      </c>
      <c r="Y212" s="10" t="s">
        <v>949</v>
      </c>
      <c r="Z212" s="10" t="s">
        <v>910</v>
      </c>
      <c r="AL212" s="10" t="str">
        <f t="shared" si="26"/>
        <v>FALSE</v>
      </c>
      <c r="AM212" s="10" t="str">
        <f t="shared" si="26"/>
        <v>FALSE</v>
      </c>
      <c r="AN212" s="10" t="str">
        <f t="shared" si="26"/>
        <v>FALSE</v>
      </c>
      <c r="AO212" s="10" t="str">
        <f t="shared" si="27"/>
        <v>FALSE</v>
      </c>
      <c r="AP212" s="10" t="str">
        <f t="shared" si="27"/>
        <v>FALSE</v>
      </c>
      <c r="AQ212" s="10" t="b">
        <f>IF(AND(I212="TP",S212&lt;=150),VLOOKUP(AF212,TPCalibEq150!$AZ$2:$BB$55,3,),IF(AND(I212="TDP",S212&lt;=150),VLOOKUP(AF212,TPCalibEq150!$AZ$2:$BB$55,3,)))</f>
        <v>0</v>
      </c>
      <c r="AR212" s="10" t="b">
        <f>IF(AND(I212="TP",S212&lt;=300),VLOOKUP(AF212,TPCalibEq300!$AZ$2:$BB$55,3,),IF(AND(I212="TDP",S212&lt;=300),VLOOKUP(AF212,TPCalibEq300!$AZ$2:$BB$55,3,)))</f>
        <v>0</v>
      </c>
      <c r="AS212" s="10" t="b">
        <f>IF(AND(I212="TP",S212&lt;=500),VLOOKUP(AF212,TPCalibEq500!$AZ$2:$BB$56,3,),IF(AND(I212="TDP",S212&lt;=500),VLOOKUP(AF212,TPCalibEq500!$AZ$2:$BB$56,3,)))</f>
        <v>0</v>
      </c>
      <c r="AT212" s="10" t="b">
        <f>IF(AND(I212="TN",S212&lt;=2800),VLOOKUP(AF212,TNCalibEq2500!$AZ$2:$BB$56,3,),IF(AND(I212="TDN",S212&lt;=2800),VLOOKUP(AF212,TNCalibEq2500!$AZ$2:$BB$56,3,)))</f>
        <v>0</v>
      </c>
      <c r="AU212" s="10" t="b">
        <f>IF(I212="TP",VLOOKUP(AF212,TPCalibEqFull!$AZ$2:$BB$56,3),IF(I212="TDP",VLOOKUP(AF212,TPCalibEqFull!$AZ$2:$BB$56,3),IF(I212="TDN",VLOOKUP(AF212,TNCalibEqFull!$AZ$1:$BB$56,3),IF(I212="TN",VLOOKUP(AF212,TNCalibEqFull!$AZ$1:$BB$56,3),FALSE))))</f>
        <v>0</v>
      </c>
      <c r="AV212" s="10" t="str">
        <f t="shared" si="25"/>
        <v>1215 04:26:00-EFK-0-FIL-1-SW-UKN</v>
      </c>
    </row>
    <row r="213" spans="1:48" s="10" customFormat="1" x14ac:dyDescent="0.55000000000000004">
      <c r="A213" s="32">
        <v>44910</v>
      </c>
      <c r="B213" s="33">
        <v>0.18819444444444444</v>
      </c>
      <c r="C213" s="10" t="s">
        <v>333</v>
      </c>
      <c r="D213" s="10">
        <v>0</v>
      </c>
      <c r="E213" s="10" t="s">
        <v>911</v>
      </c>
      <c r="F213" s="10">
        <v>1</v>
      </c>
      <c r="G213" s="10" t="s">
        <v>231</v>
      </c>
      <c r="H213" s="10" t="s">
        <v>322</v>
      </c>
      <c r="I213" s="10" t="s">
        <v>209</v>
      </c>
      <c r="J213" s="10">
        <v>28</v>
      </c>
      <c r="K213" s="12">
        <v>44930</v>
      </c>
      <c r="L213" s="33">
        <v>0.48322916666666665</v>
      </c>
      <c r="M213" s="10">
        <v>1</v>
      </c>
      <c r="N213" s="10" t="s">
        <v>169</v>
      </c>
      <c r="O213" s="10">
        <v>4.3</v>
      </c>
      <c r="P213" s="10">
        <v>0.19700000000000001</v>
      </c>
      <c r="Q213" s="10">
        <v>585</v>
      </c>
      <c r="R213" s="10" t="s">
        <v>77</v>
      </c>
      <c r="S213" s="34">
        <f t="shared" si="21"/>
        <v>585</v>
      </c>
      <c r="T213" s="10" t="s">
        <v>939</v>
      </c>
      <c r="U213" s="34" t="str">
        <f t="shared" si="22"/>
        <v/>
      </c>
      <c r="V213" s="31" t="str">
        <f>IF(H213="CHK",VLOOKUP(I213,QCCHK,3,),IF(H213="GUP",VLOOKUP(E213,QCGUP,2,),IF(AND(H213="ATP",OR(I213="TN",I213="TDN",I213="TNO2-3",I213="NO2-3")),VLOOKUP(E213,QCREC_N,2,),IF(AND(H213="NIC",OR(I213="TN",I213="TDN",I213="TNO2-3",I213="NO2-3")),VLOOKUP(E213,QCNIC_N,2,),IF(AND(H213="UREA",OR(I213="TN",I213="TDN",I213="TNO2-3",I213="NO2-3")),VLOOKUP(E213,QCUREA_N,2,),IF(H213="PER",VLOOKUP(I213,QCPER,MATCH(E213,QCACTUAL!$J$25:$AA$25,0),),IF(H213="SPK",VLOOKUP(I213,QCSPK,3,),IF(AND(H213="ATP",OR(I213="TP",I213="TDP")),VLOOKUP(E213,QCATP_P,2,),""))))))))</f>
        <v/>
      </c>
      <c r="W213" s="31" t="str">
        <f t="shared" si="23"/>
        <v>TRUE</v>
      </c>
      <c r="X213" s="31" t="str">
        <f t="shared" si="24"/>
        <v/>
      </c>
      <c r="Y213" s="10" t="s">
        <v>949</v>
      </c>
      <c r="Z213" s="10" t="s">
        <v>910</v>
      </c>
      <c r="AL213" s="10" t="str">
        <f t="shared" si="26"/>
        <v>FALSE</v>
      </c>
      <c r="AM213" s="10" t="str">
        <f t="shared" si="26"/>
        <v>FALSE</v>
      </c>
      <c r="AN213" s="10" t="str">
        <f t="shared" si="26"/>
        <v>FALSE</v>
      </c>
      <c r="AO213" s="10" t="str">
        <f t="shared" si="27"/>
        <v>FALSE</v>
      </c>
      <c r="AP213" s="10" t="str">
        <f t="shared" si="27"/>
        <v>FALSE</v>
      </c>
      <c r="AQ213" s="10" t="b">
        <f>IF(AND(I213="TP",S213&lt;=150),VLOOKUP(AF213,TPCalibEq150!$AZ$2:$BB$55,3,),IF(AND(I213="TDP",S213&lt;=150),VLOOKUP(AF213,TPCalibEq150!$AZ$2:$BB$55,3,)))</f>
        <v>0</v>
      </c>
      <c r="AR213" s="10" t="b">
        <f>IF(AND(I213="TP",S213&lt;=300),VLOOKUP(AF213,TPCalibEq300!$AZ$2:$BB$55,3,),IF(AND(I213="TDP",S213&lt;=300),VLOOKUP(AF213,TPCalibEq300!$AZ$2:$BB$55,3,)))</f>
        <v>0</v>
      </c>
      <c r="AS213" s="10" t="b">
        <f>IF(AND(I213="TP",S213&lt;=500),VLOOKUP(AF213,TPCalibEq500!$AZ$2:$BB$56,3,),IF(AND(I213="TDP",S213&lt;=500),VLOOKUP(AF213,TPCalibEq500!$AZ$2:$BB$56,3,)))</f>
        <v>0</v>
      </c>
      <c r="AT213" s="10" t="b">
        <f>IF(AND(I213="TN",S213&lt;=2800),VLOOKUP(AF213,TNCalibEq2500!$AZ$2:$BB$56,3,),IF(AND(I213="TDN",S213&lt;=2800),VLOOKUP(AF213,TNCalibEq2500!$AZ$2:$BB$56,3,)))</f>
        <v>0</v>
      </c>
      <c r="AU213" s="10" t="b">
        <f>IF(I213="TP",VLOOKUP(AF213,TPCalibEqFull!$AZ$2:$BB$56,3),IF(I213="TDP",VLOOKUP(AF213,TPCalibEqFull!$AZ$2:$BB$56,3),IF(I213="TDN",VLOOKUP(AF213,TNCalibEqFull!$AZ$1:$BB$56,3),IF(I213="TN",VLOOKUP(AF213,TNCalibEqFull!$AZ$1:$BB$56,3),FALSE))))</f>
        <v>0</v>
      </c>
      <c r="AV213" s="10" t="str">
        <f t="shared" si="25"/>
        <v>1215 04:31:00-HST-0-FIL-1-SW-UKN</v>
      </c>
    </row>
    <row r="214" spans="1:48" s="10" customFormat="1" x14ac:dyDescent="0.55000000000000004">
      <c r="A214" s="32">
        <v>44911</v>
      </c>
      <c r="B214" s="33">
        <v>0.4993055555555555</v>
      </c>
      <c r="C214" s="10" t="s">
        <v>279</v>
      </c>
      <c r="D214" s="10">
        <v>0</v>
      </c>
      <c r="E214" s="10" t="s">
        <v>911</v>
      </c>
      <c r="F214" s="10">
        <v>1</v>
      </c>
      <c r="G214" s="10" t="s">
        <v>231</v>
      </c>
      <c r="H214" s="10" t="s">
        <v>322</v>
      </c>
      <c r="I214" s="10" t="s">
        <v>209</v>
      </c>
      <c r="J214" s="10">
        <v>29</v>
      </c>
      <c r="K214" s="12">
        <v>44930</v>
      </c>
      <c r="L214" s="33">
        <v>0.48403935185185182</v>
      </c>
      <c r="M214" s="10">
        <v>1</v>
      </c>
      <c r="N214" s="10" t="s">
        <v>169</v>
      </c>
      <c r="O214" s="10">
        <v>4.84</v>
      </c>
      <c r="P214" s="10">
        <v>0.22600000000000001</v>
      </c>
      <c r="Q214" s="10">
        <v>658</v>
      </c>
      <c r="R214" s="10" t="s">
        <v>77</v>
      </c>
      <c r="S214" s="34">
        <f t="shared" si="21"/>
        <v>658</v>
      </c>
      <c r="T214" s="10" t="s">
        <v>939</v>
      </c>
      <c r="U214" s="34" t="str">
        <f t="shared" si="22"/>
        <v/>
      </c>
      <c r="V214" s="31" t="str">
        <f>IF(H214="CHK",VLOOKUP(I214,QCCHK,3,),IF(H214="GUP",VLOOKUP(E214,QCGUP,2,),IF(AND(H214="ATP",OR(I214="TN",I214="TDN",I214="TNO2-3",I214="NO2-3")),VLOOKUP(E214,QCREC_N,2,),IF(AND(H214="NIC",OR(I214="TN",I214="TDN",I214="TNO2-3",I214="NO2-3")),VLOOKUP(E214,QCNIC_N,2,),IF(AND(H214="UREA",OR(I214="TN",I214="TDN",I214="TNO2-3",I214="NO2-3")),VLOOKUP(E214,QCUREA_N,2,),IF(H214="PER",VLOOKUP(I214,QCPER,MATCH(E214,QCACTUAL!$J$25:$AA$25,0),),IF(H214="SPK",VLOOKUP(I214,QCSPK,3,),IF(AND(H214="ATP",OR(I214="TP",I214="TDP")),VLOOKUP(E214,QCATP_P,2,),""))))))))</f>
        <v/>
      </c>
      <c r="W214" s="31" t="str">
        <f t="shared" si="23"/>
        <v>TRUE</v>
      </c>
      <c r="X214" s="31" t="str">
        <f t="shared" si="24"/>
        <v/>
      </c>
      <c r="Y214" s="10" t="s">
        <v>949</v>
      </c>
      <c r="Z214" s="10" t="s">
        <v>910</v>
      </c>
      <c r="AL214" s="10" t="str">
        <f t="shared" si="26"/>
        <v>FALSE</v>
      </c>
      <c r="AM214" s="10" t="str">
        <f t="shared" si="26"/>
        <v>FALSE</v>
      </c>
      <c r="AN214" s="10" t="str">
        <f t="shared" si="26"/>
        <v>FALSE</v>
      </c>
      <c r="AO214" s="10" t="str">
        <f t="shared" si="27"/>
        <v>FALSE</v>
      </c>
      <c r="AP214" s="10" t="str">
        <f t="shared" si="27"/>
        <v>FALSE</v>
      </c>
      <c r="AQ214" s="10" t="b">
        <f>IF(AND(I214="TP",S214&lt;=150),VLOOKUP(AF214,TPCalibEq150!$AZ$2:$BB$55,3,),IF(AND(I214="TDP",S214&lt;=150),VLOOKUP(AF214,TPCalibEq150!$AZ$2:$BB$55,3,)))</f>
        <v>0</v>
      </c>
      <c r="AR214" s="10" t="b">
        <f>IF(AND(I214="TP",S214&lt;=300),VLOOKUP(AF214,TPCalibEq300!$AZ$2:$BB$55,3,),IF(AND(I214="TDP",S214&lt;=300),VLOOKUP(AF214,TPCalibEq300!$AZ$2:$BB$55,3,)))</f>
        <v>0</v>
      </c>
      <c r="AS214" s="10" t="b">
        <f>IF(AND(I214="TP",S214&lt;=500),VLOOKUP(AF214,TPCalibEq500!$AZ$2:$BB$56,3,),IF(AND(I214="TDP",S214&lt;=500),VLOOKUP(AF214,TPCalibEq500!$AZ$2:$BB$56,3,)))</f>
        <v>0</v>
      </c>
      <c r="AT214" s="10" t="b">
        <f>IF(AND(I214="TN",S214&lt;=2800),VLOOKUP(AF214,TNCalibEq2500!$AZ$2:$BB$56,3,),IF(AND(I214="TDN",S214&lt;=2800),VLOOKUP(AF214,TNCalibEq2500!$AZ$2:$BB$56,3,)))</f>
        <v>0</v>
      </c>
      <c r="AU214" s="10" t="b">
        <f>IF(I214="TP",VLOOKUP(AF214,TPCalibEqFull!$AZ$2:$BB$56,3),IF(I214="TDP",VLOOKUP(AF214,TPCalibEqFull!$AZ$2:$BB$56,3),IF(I214="TDN",VLOOKUP(AF214,TNCalibEqFull!$AZ$1:$BB$56,3),IF(I214="TN",VLOOKUP(AF214,TNCalibEqFull!$AZ$1:$BB$56,3),FALSE))))</f>
        <v>0</v>
      </c>
      <c r="AV214" s="10" t="str">
        <f t="shared" si="25"/>
        <v>1216 11:59:00-EFK-0-FIL-1-SW-UKN</v>
      </c>
    </row>
    <row r="215" spans="1:48" s="10" customFormat="1" x14ac:dyDescent="0.55000000000000004">
      <c r="A215" s="32">
        <v>44911</v>
      </c>
      <c r="B215" s="33">
        <v>0.49722222222222223</v>
      </c>
      <c r="C215" s="10" t="s">
        <v>333</v>
      </c>
      <c r="D215" s="10">
        <v>0</v>
      </c>
      <c r="E215" s="10" t="s">
        <v>911</v>
      </c>
      <c r="F215" s="10">
        <v>1</v>
      </c>
      <c r="G215" s="10" t="s">
        <v>231</v>
      </c>
      <c r="H215" s="10" t="s">
        <v>322</v>
      </c>
      <c r="I215" s="10" t="s">
        <v>209</v>
      </c>
      <c r="J215" s="10">
        <v>30</v>
      </c>
      <c r="K215" s="12">
        <v>44930</v>
      </c>
      <c r="L215" s="33">
        <v>0.48484953703703698</v>
      </c>
      <c r="M215" s="10">
        <v>1</v>
      </c>
      <c r="N215" s="10" t="s">
        <v>169</v>
      </c>
      <c r="O215" s="10">
        <v>4.4400000000000004</v>
      </c>
      <c r="P215" s="10">
        <v>0.20599999999999999</v>
      </c>
      <c r="Q215" s="10">
        <v>604</v>
      </c>
      <c r="R215" s="10" t="s">
        <v>77</v>
      </c>
      <c r="S215" s="34">
        <f t="shared" si="21"/>
        <v>604</v>
      </c>
      <c r="T215" s="10" t="s">
        <v>939</v>
      </c>
      <c r="U215" s="34" t="str">
        <f t="shared" si="22"/>
        <v/>
      </c>
      <c r="V215" s="31" t="str">
        <f>IF(H215="CHK",VLOOKUP(I215,QCCHK,3,),IF(H215="GUP",VLOOKUP(E215,QCGUP,2,),IF(AND(H215="ATP",OR(I215="TN",I215="TDN",I215="TNO2-3",I215="NO2-3")),VLOOKUP(E215,QCREC_N,2,),IF(AND(H215="NIC",OR(I215="TN",I215="TDN",I215="TNO2-3",I215="NO2-3")),VLOOKUP(E215,QCNIC_N,2,),IF(AND(H215="UREA",OR(I215="TN",I215="TDN",I215="TNO2-3",I215="NO2-3")),VLOOKUP(E215,QCUREA_N,2,),IF(H215="PER",VLOOKUP(I215,QCPER,MATCH(E215,QCACTUAL!$J$25:$AA$25,0),),IF(H215="SPK",VLOOKUP(I215,QCSPK,3,),IF(AND(H215="ATP",OR(I215="TP",I215="TDP")),VLOOKUP(E215,QCATP_P,2,),""))))))))</f>
        <v/>
      </c>
      <c r="W215" s="31" t="str">
        <f t="shared" si="23"/>
        <v>TRUE</v>
      </c>
      <c r="X215" s="31" t="str">
        <f t="shared" si="24"/>
        <v/>
      </c>
      <c r="Y215" s="10" t="s">
        <v>949</v>
      </c>
      <c r="Z215" s="10" t="s">
        <v>910</v>
      </c>
      <c r="AL215" s="10" t="str">
        <f t="shared" si="26"/>
        <v>FALSE</v>
      </c>
      <c r="AM215" s="10" t="str">
        <f t="shared" si="26"/>
        <v>FALSE</v>
      </c>
      <c r="AN215" s="10" t="str">
        <f t="shared" si="26"/>
        <v>FALSE</v>
      </c>
      <c r="AO215" s="10" t="str">
        <f t="shared" si="27"/>
        <v>FALSE</v>
      </c>
      <c r="AP215" s="10" t="str">
        <f t="shared" si="27"/>
        <v>FALSE</v>
      </c>
      <c r="AQ215" s="10" t="b">
        <f>IF(AND(I215="TP",S215&lt;=150),VLOOKUP(AF215,TPCalibEq150!$AZ$2:$BB$55,3,),IF(AND(I215="TDP",S215&lt;=150),VLOOKUP(AF215,TPCalibEq150!$AZ$2:$BB$55,3,)))</f>
        <v>0</v>
      </c>
      <c r="AR215" s="10" t="b">
        <f>IF(AND(I215="TP",S215&lt;=300),VLOOKUP(AF215,TPCalibEq300!$AZ$2:$BB$55,3,),IF(AND(I215="TDP",S215&lt;=300),VLOOKUP(AF215,TPCalibEq300!$AZ$2:$BB$55,3,)))</f>
        <v>0</v>
      </c>
      <c r="AS215" s="10" t="b">
        <f>IF(AND(I215="TP",S215&lt;=500),VLOOKUP(AF215,TPCalibEq500!$AZ$2:$BB$56,3,),IF(AND(I215="TDP",S215&lt;=500),VLOOKUP(AF215,TPCalibEq500!$AZ$2:$BB$56,3,)))</f>
        <v>0</v>
      </c>
      <c r="AT215" s="10" t="b">
        <f>IF(AND(I215="TN",S215&lt;=2800),VLOOKUP(AF215,TNCalibEq2500!$AZ$2:$BB$56,3,),IF(AND(I215="TDN",S215&lt;=2800),VLOOKUP(AF215,TNCalibEq2500!$AZ$2:$BB$56,3,)))</f>
        <v>0</v>
      </c>
      <c r="AU215" s="10" t="b">
        <f>IF(I215="TP",VLOOKUP(AF215,TPCalibEqFull!$AZ$2:$BB$56,3),IF(I215="TDP",VLOOKUP(AF215,TPCalibEqFull!$AZ$2:$BB$56,3),IF(I215="TDN",VLOOKUP(AF215,TNCalibEqFull!$AZ$1:$BB$56,3),IF(I215="TN",VLOOKUP(AF215,TNCalibEqFull!$AZ$1:$BB$56,3),FALSE))))</f>
        <v>0</v>
      </c>
      <c r="AV215" s="10" t="str">
        <f t="shared" si="25"/>
        <v>1216 11:56:00-HST-0-FIL-1-SW-UKN</v>
      </c>
    </row>
    <row r="216" spans="1:48" s="10" customFormat="1" x14ac:dyDescent="0.55000000000000004">
      <c r="A216" s="32">
        <v>44914</v>
      </c>
      <c r="B216" s="33">
        <v>0.22361111111111109</v>
      </c>
      <c r="C216" s="10" t="s">
        <v>279</v>
      </c>
      <c r="D216" s="10">
        <v>0</v>
      </c>
      <c r="E216" s="10" t="s">
        <v>911</v>
      </c>
      <c r="F216" s="10">
        <v>1</v>
      </c>
      <c r="G216" s="10" t="s">
        <v>231</v>
      </c>
      <c r="H216" s="10" t="s">
        <v>322</v>
      </c>
      <c r="I216" s="10" t="s">
        <v>209</v>
      </c>
      <c r="J216" s="10">
        <v>31</v>
      </c>
      <c r="K216" s="12">
        <v>44930</v>
      </c>
      <c r="L216" s="33">
        <v>0.4856712962962963</v>
      </c>
      <c r="M216" s="10">
        <v>1</v>
      </c>
      <c r="N216" s="10" t="s">
        <v>169</v>
      </c>
      <c r="O216" s="10">
        <v>6.3</v>
      </c>
      <c r="P216" s="10">
        <v>0.29399999999999998</v>
      </c>
      <c r="Q216" s="10">
        <v>857</v>
      </c>
      <c r="R216" s="10" t="s">
        <v>77</v>
      </c>
      <c r="S216" s="34">
        <f t="shared" si="21"/>
        <v>857</v>
      </c>
      <c r="T216" s="10" t="s">
        <v>939</v>
      </c>
      <c r="U216" s="34" t="str">
        <f t="shared" si="22"/>
        <v/>
      </c>
      <c r="V216" s="31" t="str">
        <f>IF(H216="CHK",VLOOKUP(I216,QCCHK,3,),IF(H216="GUP",VLOOKUP(E216,QCGUP,2,),IF(AND(H216="ATP",OR(I216="TN",I216="TDN",I216="TNO2-3",I216="NO2-3")),VLOOKUP(E216,QCREC_N,2,),IF(AND(H216="NIC",OR(I216="TN",I216="TDN",I216="TNO2-3",I216="NO2-3")),VLOOKUP(E216,QCNIC_N,2,),IF(AND(H216="UREA",OR(I216="TN",I216="TDN",I216="TNO2-3",I216="NO2-3")),VLOOKUP(E216,QCUREA_N,2,),IF(H216="PER",VLOOKUP(I216,QCPER,MATCH(E216,QCACTUAL!$J$25:$AA$25,0),),IF(H216="SPK",VLOOKUP(I216,QCSPK,3,),IF(AND(H216="ATP",OR(I216="TP",I216="TDP")),VLOOKUP(E216,QCATP_P,2,),""))))))))</f>
        <v/>
      </c>
      <c r="W216" s="31" t="str">
        <f t="shared" si="23"/>
        <v>TRUE</v>
      </c>
      <c r="X216" s="31" t="str">
        <f t="shared" si="24"/>
        <v/>
      </c>
      <c r="Y216" s="10" t="s">
        <v>949</v>
      </c>
      <c r="Z216" s="10" t="s">
        <v>910</v>
      </c>
      <c r="AL216" s="10" t="str">
        <f t="shared" si="26"/>
        <v>FALSE</v>
      </c>
      <c r="AM216" s="10" t="str">
        <f t="shared" si="26"/>
        <v>FALSE</v>
      </c>
      <c r="AN216" s="10" t="str">
        <f t="shared" si="26"/>
        <v>FALSE</v>
      </c>
      <c r="AO216" s="10" t="str">
        <f t="shared" si="27"/>
        <v>FALSE</v>
      </c>
      <c r="AP216" s="10" t="str">
        <f t="shared" si="27"/>
        <v>FALSE</v>
      </c>
      <c r="AQ216" s="10" t="b">
        <f>IF(AND(I216="TP",S216&lt;=150),VLOOKUP(AF216,TPCalibEq150!$AZ$2:$BB$55,3,),IF(AND(I216="TDP",S216&lt;=150),VLOOKUP(AF216,TPCalibEq150!$AZ$2:$BB$55,3,)))</f>
        <v>0</v>
      </c>
      <c r="AR216" s="10" t="b">
        <f>IF(AND(I216="TP",S216&lt;=300),VLOOKUP(AF216,TPCalibEq300!$AZ$2:$BB$55,3,),IF(AND(I216="TDP",S216&lt;=300),VLOOKUP(AF216,TPCalibEq300!$AZ$2:$BB$55,3,)))</f>
        <v>0</v>
      </c>
      <c r="AS216" s="10" t="b">
        <f>IF(AND(I216="TP",S216&lt;=500),VLOOKUP(AF216,TPCalibEq500!$AZ$2:$BB$56,3,),IF(AND(I216="TDP",S216&lt;=500),VLOOKUP(AF216,TPCalibEq500!$AZ$2:$BB$56,3,)))</f>
        <v>0</v>
      </c>
      <c r="AT216" s="10" t="b">
        <f>IF(AND(I216="TN",S216&lt;=2800),VLOOKUP(AF216,TNCalibEq2500!$AZ$2:$BB$56,3,),IF(AND(I216="TDN",S216&lt;=2800),VLOOKUP(AF216,TNCalibEq2500!$AZ$2:$BB$56,3,)))</f>
        <v>0</v>
      </c>
      <c r="AU216" s="10" t="b">
        <f>IF(I216="TP",VLOOKUP(AF216,TPCalibEqFull!$AZ$2:$BB$56,3),IF(I216="TDP",VLOOKUP(AF216,TPCalibEqFull!$AZ$2:$BB$56,3),IF(I216="TDN",VLOOKUP(AF216,TNCalibEqFull!$AZ$1:$BB$56,3),IF(I216="TN",VLOOKUP(AF216,TNCalibEqFull!$AZ$1:$BB$56,3),FALSE))))</f>
        <v>0</v>
      </c>
      <c r="AV216" s="10" t="str">
        <f t="shared" si="25"/>
        <v>1219 05:22:00-EFK-0-FIL-1-SW-UKN</v>
      </c>
    </row>
    <row r="217" spans="1:48" s="10" customFormat="1" x14ac:dyDescent="0.55000000000000004">
      <c r="A217" s="32">
        <v>44914</v>
      </c>
      <c r="B217" s="33">
        <v>0.23124999999999998</v>
      </c>
      <c r="C217" s="10" t="s">
        <v>333</v>
      </c>
      <c r="D217" s="10">
        <v>0</v>
      </c>
      <c r="E217" s="10" t="s">
        <v>911</v>
      </c>
      <c r="F217" s="10">
        <v>1</v>
      </c>
      <c r="G217" s="10" t="s">
        <v>231</v>
      </c>
      <c r="H217" s="10" t="s">
        <v>322</v>
      </c>
      <c r="I217" s="10" t="s">
        <v>209</v>
      </c>
      <c r="J217" s="10">
        <v>32</v>
      </c>
      <c r="K217" s="12">
        <v>44930</v>
      </c>
      <c r="L217" s="33">
        <v>0.48649305555555555</v>
      </c>
      <c r="M217" s="10">
        <v>1</v>
      </c>
      <c r="N217" s="10" t="s">
        <v>169</v>
      </c>
      <c r="O217" s="10">
        <v>4.71</v>
      </c>
      <c r="P217" s="10">
        <v>0.22</v>
      </c>
      <c r="Q217" s="10">
        <v>641</v>
      </c>
      <c r="R217" s="10" t="s">
        <v>77</v>
      </c>
      <c r="S217" s="34">
        <f t="shared" si="21"/>
        <v>641</v>
      </c>
      <c r="T217" s="10" t="s">
        <v>939</v>
      </c>
      <c r="U217" s="34" t="str">
        <f t="shared" si="22"/>
        <v/>
      </c>
      <c r="V217" s="31" t="str">
        <f>IF(H217="CHK",VLOOKUP(I217,QCCHK,3,),IF(H217="GUP",VLOOKUP(E217,QCGUP,2,),IF(AND(H217="ATP",OR(I217="TN",I217="TDN",I217="TNO2-3",I217="NO2-3")),VLOOKUP(E217,QCREC_N,2,),IF(AND(H217="NIC",OR(I217="TN",I217="TDN",I217="TNO2-3",I217="NO2-3")),VLOOKUP(E217,QCNIC_N,2,),IF(AND(H217="UREA",OR(I217="TN",I217="TDN",I217="TNO2-3",I217="NO2-3")),VLOOKUP(E217,QCUREA_N,2,),IF(H217="PER",VLOOKUP(I217,QCPER,MATCH(E217,QCACTUAL!$J$25:$AA$25,0),),IF(H217="SPK",VLOOKUP(I217,QCSPK,3,),IF(AND(H217="ATP",OR(I217="TP",I217="TDP")),VLOOKUP(E217,QCATP_P,2,),""))))))))</f>
        <v/>
      </c>
      <c r="W217" s="31" t="str">
        <f t="shared" si="23"/>
        <v>TRUE</v>
      </c>
      <c r="X217" s="31" t="str">
        <f t="shared" si="24"/>
        <v/>
      </c>
      <c r="Y217" s="10" t="s">
        <v>949</v>
      </c>
      <c r="Z217" s="10" t="s">
        <v>910</v>
      </c>
      <c r="AL217" s="10" t="str">
        <f t="shared" si="26"/>
        <v>FALSE</v>
      </c>
      <c r="AM217" s="10" t="str">
        <f t="shared" si="26"/>
        <v>FALSE</v>
      </c>
      <c r="AN217" s="10" t="str">
        <f t="shared" si="26"/>
        <v>FALSE</v>
      </c>
      <c r="AO217" s="10" t="str">
        <f t="shared" si="27"/>
        <v>FALSE</v>
      </c>
      <c r="AP217" s="10" t="str">
        <f t="shared" si="27"/>
        <v>FALSE</v>
      </c>
      <c r="AQ217" s="10" t="b">
        <f>IF(AND(I217="TP",S217&lt;=150),VLOOKUP(AF217,TPCalibEq150!$AZ$2:$BB$55,3,),IF(AND(I217="TDP",S217&lt;=150),VLOOKUP(AF217,TPCalibEq150!$AZ$2:$BB$55,3,)))</f>
        <v>0</v>
      </c>
      <c r="AR217" s="10" t="b">
        <f>IF(AND(I217="TP",S217&lt;=300),VLOOKUP(AF217,TPCalibEq300!$AZ$2:$BB$55,3,),IF(AND(I217="TDP",S217&lt;=300),VLOOKUP(AF217,TPCalibEq300!$AZ$2:$BB$55,3,)))</f>
        <v>0</v>
      </c>
      <c r="AS217" s="10" t="b">
        <f>IF(AND(I217="TP",S217&lt;=500),VLOOKUP(AF217,TPCalibEq500!$AZ$2:$BB$56,3,),IF(AND(I217="TDP",S217&lt;=500),VLOOKUP(AF217,TPCalibEq500!$AZ$2:$BB$56,3,)))</f>
        <v>0</v>
      </c>
      <c r="AT217" s="10" t="b">
        <f>IF(AND(I217="TN",S217&lt;=2800),VLOOKUP(AF217,TNCalibEq2500!$AZ$2:$BB$56,3,),IF(AND(I217="TDN",S217&lt;=2800),VLOOKUP(AF217,TNCalibEq2500!$AZ$2:$BB$56,3,)))</f>
        <v>0</v>
      </c>
      <c r="AU217" s="10" t="b">
        <f>IF(I217="TP",VLOOKUP(AF217,TPCalibEqFull!$AZ$2:$BB$56,3),IF(I217="TDP",VLOOKUP(AF217,TPCalibEqFull!$AZ$2:$BB$56,3),IF(I217="TDN",VLOOKUP(AF217,TNCalibEqFull!$AZ$1:$BB$56,3),IF(I217="TN",VLOOKUP(AF217,TNCalibEqFull!$AZ$1:$BB$56,3),FALSE))))</f>
        <v>0</v>
      </c>
      <c r="AV217" s="10" t="str">
        <f t="shared" si="25"/>
        <v>1219 05:33:00-HST-0-FIL-1-SW-UKN</v>
      </c>
    </row>
    <row r="218" spans="1:48" s="10" customFormat="1" x14ac:dyDescent="0.55000000000000004">
      <c r="A218" s="32">
        <v>44915</v>
      </c>
      <c r="B218" s="33">
        <v>0.23263888888888887</v>
      </c>
      <c r="C218" s="10" t="s">
        <v>279</v>
      </c>
      <c r="D218" s="10">
        <v>0</v>
      </c>
      <c r="E218" s="10" t="s">
        <v>911</v>
      </c>
      <c r="F218" s="10">
        <v>1</v>
      </c>
      <c r="G218" s="10" t="s">
        <v>231</v>
      </c>
      <c r="H218" s="10" t="s">
        <v>322</v>
      </c>
      <c r="I218" s="10" t="s">
        <v>209</v>
      </c>
      <c r="J218" s="10">
        <v>33</v>
      </c>
      <c r="K218" s="12">
        <v>44930</v>
      </c>
      <c r="L218" s="33">
        <v>0.48731481481481481</v>
      </c>
      <c r="M218" s="10">
        <v>1</v>
      </c>
      <c r="N218" s="10" t="s">
        <v>169</v>
      </c>
      <c r="O218" s="10">
        <v>5.29</v>
      </c>
      <c r="P218" s="10">
        <v>0.249</v>
      </c>
      <c r="Q218" s="10">
        <v>720</v>
      </c>
      <c r="R218" s="10" t="s">
        <v>77</v>
      </c>
      <c r="S218" s="34">
        <f t="shared" si="21"/>
        <v>720</v>
      </c>
      <c r="T218" s="10" t="s">
        <v>939</v>
      </c>
      <c r="U218" s="34" t="str">
        <f t="shared" si="22"/>
        <v/>
      </c>
      <c r="V218" s="31" t="str">
        <f>IF(H218="CHK",VLOOKUP(I218,QCCHK,3,),IF(H218="GUP",VLOOKUP(E218,QCGUP,2,),IF(AND(H218="ATP",OR(I218="TN",I218="TDN",I218="TNO2-3",I218="NO2-3")),VLOOKUP(E218,QCREC_N,2,),IF(AND(H218="NIC",OR(I218="TN",I218="TDN",I218="TNO2-3",I218="NO2-3")),VLOOKUP(E218,QCNIC_N,2,),IF(AND(H218="UREA",OR(I218="TN",I218="TDN",I218="TNO2-3",I218="NO2-3")),VLOOKUP(E218,QCUREA_N,2,),IF(H218="PER",VLOOKUP(I218,QCPER,MATCH(E218,QCACTUAL!$J$25:$AA$25,0),),IF(H218="SPK",VLOOKUP(I218,QCSPK,3,),IF(AND(H218="ATP",OR(I218="TP",I218="TDP")),VLOOKUP(E218,QCATP_P,2,),""))))))))</f>
        <v/>
      </c>
      <c r="W218" s="31" t="str">
        <f t="shared" si="23"/>
        <v>TRUE</v>
      </c>
      <c r="X218" s="31" t="str">
        <f t="shared" si="24"/>
        <v/>
      </c>
      <c r="Y218" s="10" t="s">
        <v>949</v>
      </c>
      <c r="Z218" s="10" t="s">
        <v>910</v>
      </c>
      <c r="AL218" s="10" t="str">
        <f t="shared" si="26"/>
        <v>FALSE</v>
      </c>
      <c r="AM218" s="10" t="str">
        <f t="shared" si="26"/>
        <v>FALSE</v>
      </c>
      <c r="AN218" s="10" t="str">
        <f t="shared" si="26"/>
        <v>FALSE</v>
      </c>
      <c r="AO218" s="10" t="str">
        <f t="shared" si="27"/>
        <v>FALSE</v>
      </c>
      <c r="AP218" s="10" t="str">
        <f t="shared" si="27"/>
        <v>FALSE</v>
      </c>
      <c r="AQ218" s="10" t="b">
        <f>IF(AND(I218="TP",S218&lt;=150),VLOOKUP(AF218,TPCalibEq150!$AZ$2:$BB$55,3,),IF(AND(I218="TDP",S218&lt;=150),VLOOKUP(AF218,TPCalibEq150!$AZ$2:$BB$55,3,)))</f>
        <v>0</v>
      </c>
      <c r="AR218" s="10" t="b">
        <f>IF(AND(I218="TP",S218&lt;=300),VLOOKUP(AF218,TPCalibEq300!$AZ$2:$BB$55,3,),IF(AND(I218="TDP",S218&lt;=300),VLOOKUP(AF218,TPCalibEq300!$AZ$2:$BB$55,3,)))</f>
        <v>0</v>
      </c>
      <c r="AS218" s="10" t="b">
        <f>IF(AND(I218="TP",S218&lt;=500),VLOOKUP(AF218,TPCalibEq500!$AZ$2:$BB$56,3,),IF(AND(I218="TDP",S218&lt;=500),VLOOKUP(AF218,TPCalibEq500!$AZ$2:$BB$56,3,)))</f>
        <v>0</v>
      </c>
      <c r="AT218" s="10" t="b">
        <f>IF(AND(I218="TN",S218&lt;=2800),VLOOKUP(AF218,TNCalibEq2500!$AZ$2:$BB$56,3,),IF(AND(I218="TDN",S218&lt;=2800),VLOOKUP(AF218,TNCalibEq2500!$AZ$2:$BB$56,3,)))</f>
        <v>0</v>
      </c>
      <c r="AU218" s="10" t="b">
        <f>IF(I218="TP",VLOOKUP(AF218,TPCalibEqFull!$AZ$2:$BB$56,3),IF(I218="TDP",VLOOKUP(AF218,TPCalibEqFull!$AZ$2:$BB$56,3),IF(I218="TDN",VLOOKUP(AF218,TNCalibEqFull!$AZ$1:$BB$56,3),IF(I218="TN",VLOOKUP(AF218,TNCalibEqFull!$AZ$1:$BB$56,3),FALSE))))</f>
        <v>0</v>
      </c>
      <c r="AV218" s="10" t="str">
        <f t="shared" si="25"/>
        <v>1220 05:35:00-EFK-0-FIL-1-SW-UKN</v>
      </c>
    </row>
    <row r="219" spans="1:48" s="10" customFormat="1" x14ac:dyDescent="0.55000000000000004">
      <c r="A219" s="32">
        <v>44915</v>
      </c>
      <c r="B219" s="33">
        <v>0.24652777777777779</v>
      </c>
      <c r="C219" s="10" t="s">
        <v>333</v>
      </c>
      <c r="D219" s="10">
        <v>0</v>
      </c>
      <c r="E219" s="10" t="s">
        <v>911</v>
      </c>
      <c r="F219" s="10">
        <v>1</v>
      </c>
      <c r="G219" s="10" t="s">
        <v>231</v>
      </c>
      <c r="H219" s="10" t="s">
        <v>322</v>
      </c>
      <c r="I219" s="10" t="s">
        <v>209</v>
      </c>
      <c r="J219" s="10">
        <v>34</v>
      </c>
      <c r="K219" s="12">
        <v>44930</v>
      </c>
      <c r="L219" s="33">
        <v>0.48813657407407413</v>
      </c>
      <c r="M219" s="10">
        <v>1</v>
      </c>
      <c r="N219" s="10" t="s">
        <v>169</v>
      </c>
      <c r="O219" s="10">
        <v>4.0599999999999996</v>
      </c>
      <c r="P219" s="10">
        <v>0.186</v>
      </c>
      <c r="Q219" s="10">
        <v>553</v>
      </c>
      <c r="R219" s="10" t="s">
        <v>77</v>
      </c>
      <c r="S219" s="34">
        <f t="shared" si="21"/>
        <v>553</v>
      </c>
      <c r="T219" s="10" t="s">
        <v>939</v>
      </c>
      <c r="U219" s="34" t="str">
        <f t="shared" si="22"/>
        <v/>
      </c>
      <c r="V219" s="31" t="str">
        <f>IF(H219="CHK",VLOOKUP(I219,QCCHK,3,),IF(H219="GUP",VLOOKUP(E219,QCGUP,2,),IF(AND(H219="ATP",OR(I219="TN",I219="TDN",I219="TNO2-3",I219="NO2-3")),VLOOKUP(E219,QCREC_N,2,),IF(AND(H219="NIC",OR(I219="TN",I219="TDN",I219="TNO2-3",I219="NO2-3")),VLOOKUP(E219,QCNIC_N,2,),IF(AND(H219="UREA",OR(I219="TN",I219="TDN",I219="TNO2-3",I219="NO2-3")),VLOOKUP(E219,QCUREA_N,2,),IF(H219="PER",VLOOKUP(I219,QCPER,MATCH(E219,QCACTUAL!$J$25:$AA$25,0),),IF(H219="SPK",VLOOKUP(I219,QCSPK,3,),IF(AND(H219="ATP",OR(I219="TP",I219="TDP")),VLOOKUP(E219,QCATP_P,2,),""))))))))</f>
        <v/>
      </c>
      <c r="W219" s="31" t="str">
        <f t="shared" si="23"/>
        <v>TRUE</v>
      </c>
      <c r="X219" s="31" t="str">
        <f t="shared" si="24"/>
        <v/>
      </c>
      <c r="Y219" s="10" t="s">
        <v>949</v>
      </c>
      <c r="Z219" s="10" t="s">
        <v>910</v>
      </c>
      <c r="AL219" s="10" t="str">
        <f t="shared" si="26"/>
        <v>FALSE</v>
      </c>
      <c r="AM219" s="10" t="str">
        <f t="shared" si="26"/>
        <v>FALSE</v>
      </c>
      <c r="AN219" s="10" t="str">
        <f t="shared" si="26"/>
        <v>FALSE</v>
      </c>
      <c r="AO219" s="10" t="str">
        <f t="shared" si="27"/>
        <v>FALSE</v>
      </c>
      <c r="AP219" s="10" t="str">
        <f t="shared" si="27"/>
        <v>FALSE</v>
      </c>
      <c r="AQ219" s="10" t="b">
        <f>IF(AND(I219="TP",S219&lt;=150),VLOOKUP(AF219,TPCalibEq150!$AZ$2:$BB$55,3,),IF(AND(I219="TDP",S219&lt;=150),VLOOKUP(AF219,TPCalibEq150!$AZ$2:$BB$55,3,)))</f>
        <v>0</v>
      </c>
      <c r="AR219" s="10" t="b">
        <f>IF(AND(I219="TP",S219&lt;=300),VLOOKUP(AF219,TPCalibEq300!$AZ$2:$BB$55,3,),IF(AND(I219="TDP",S219&lt;=300),VLOOKUP(AF219,TPCalibEq300!$AZ$2:$BB$55,3,)))</f>
        <v>0</v>
      </c>
      <c r="AS219" s="10" t="b">
        <f>IF(AND(I219="TP",S219&lt;=500),VLOOKUP(AF219,TPCalibEq500!$AZ$2:$BB$56,3,),IF(AND(I219="TDP",S219&lt;=500),VLOOKUP(AF219,TPCalibEq500!$AZ$2:$BB$56,3,)))</f>
        <v>0</v>
      </c>
      <c r="AT219" s="10" t="b">
        <f>IF(AND(I219="TN",S219&lt;=2800),VLOOKUP(AF219,TNCalibEq2500!$AZ$2:$BB$56,3,),IF(AND(I219="TDN",S219&lt;=2800),VLOOKUP(AF219,TNCalibEq2500!$AZ$2:$BB$56,3,)))</f>
        <v>0</v>
      </c>
      <c r="AU219" s="10" t="b">
        <f>IF(I219="TP",VLOOKUP(AF219,TPCalibEqFull!$AZ$2:$BB$56,3),IF(I219="TDP",VLOOKUP(AF219,TPCalibEqFull!$AZ$2:$BB$56,3),IF(I219="TDN",VLOOKUP(AF219,TNCalibEqFull!$AZ$1:$BB$56,3),IF(I219="TN",VLOOKUP(AF219,TNCalibEqFull!$AZ$1:$BB$56,3),FALSE))))</f>
        <v>0</v>
      </c>
      <c r="AV219" s="10" t="str">
        <f t="shared" si="25"/>
        <v>1220 05:55:00-HST-0-FIL-1-SW-UKN</v>
      </c>
    </row>
    <row r="220" spans="1:48" s="10" customFormat="1" x14ac:dyDescent="0.55000000000000004">
      <c r="A220" s="32">
        <v>44915</v>
      </c>
      <c r="B220" s="33">
        <v>0.24652777777777779</v>
      </c>
      <c r="C220" s="10" t="s">
        <v>333</v>
      </c>
      <c r="D220" s="10">
        <v>0</v>
      </c>
      <c r="E220" s="10" t="s">
        <v>911</v>
      </c>
      <c r="F220" s="10">
        <v>1</v>
      </c>
      <c r="G220" s="10" t="s">
        <v>231</v>
      </c>
      <c r="H220" s="10" t="s">
        <v>233</v>
      </c>
      <c r="I220" s="10" t="s">
        <v>209</v>
      </c>
      <c r="J220" s="10">
        <v>34</v>
      </c>
      <c r="K220" s="12">
        <v>44930</v>
      </c>
      <c r="L220" s="33">
        <v>0.48895833333333333</v>
      </c>
      <c r="M220" s="10">
        <v>1</v>
      </c>
      <c r="N220" s="10" t="s">
        <v>169</v>
      </c>
      <c r="O220" s="10">
        <v>3.96</v>
      </c>
      <c r="P220" s="10">
        <v>0.183</v>
      </c>
      <c r="Q220" s="10">
        <v>538</v>
      </c>
      <c r="R220" s="10" t="s">
        <v>77</v>
      </c>
      <c r="S220" s="34">
        <f t="shared" si="21"/>
        <v>538</v>
      </c>
      <c r="T220" s="10" t="s">
        <v>939</v>
      </c>
      <c r="U220" s="34">
        <f t="shared" si="22"/>
        <v>2.7497708524289641</v>
      </c>
      <c r="V220" s="31" t="str">
        <f>IF(H220="CHK",VLOOKUP(I220,QCCHK,3,),IF(H220="GUP",VLOOKUP(E220,QCGUP,2,),IF(AND(H220="ATP",OR(I220="TN",I220="TDN",I220="TNO2-3",I220="NO2-3")),VLOOKUP(E220,QCREC_N,2,),IF(AND(H220="NIC",OR(I220="TN",I220="TDN",I220="TNO2-3",I220="NO2-3")),VLOOKUP(E220,QCNIC_N,2,),IF(AND(H220="UREA",OR(I220="TN",I220="TDN",I220="TNO2-3",I220="NO2-3")),VLOOKUP(E220,QCUREA_N,2,),IF(H220="PER",VLOOKUP(I220,QCPER,MATCH(E220,QCACTUAL!$J$25:$AA$25,0),),IF(H220="SPK",VLOOKUP(I220,QCSPK,3,),IF(AND(H220="ATP",OR(I220="TP",I220="TDP")),VLOOKUP(E220,QCATP_P,2,),""))))))))</f>
        <v/>
      </c>
      <c r="W220" s="31" t="str">
        <f t="shared" si="23"/>
        <v>TRUE</v>
      </c>
      <c r="X220" s="31" t="str">
        <f t="shared" si="24"/>
        <v>((ABS(rep1-rep2))/((rep1+rep2)/2)*100</v>
      </c>
      <c r="Y220" s="10" t="s">
        <v>949</v>
      </c>
      <c r="Z220" s="10" t="s">
        <v>910</v>
      </c>
      <c r="AL220" s="10" t="str">
        <f t="shared" si="26"/>
        <v>FALSE</v>
      </c>
      <c r="AM220" s="10" t="str">
        <f t="shared" si="26"/>
        <v>FALSE</v>
      </c>
      <c r="AN220" s="10" t="str">
        <f t="shared" si="26"/>
        <v>FALSE</v>
      </c>
      <c r="AO220" s="10" t="str">
        <f t="shared" si="27"/>
        <v>FALSE</v>
      </c>
      <c r="AP220" s="10" t="str">
        <f t="shared" si="27"/>
        <v>FALSE</v>
      </c>
      <c r="AQ220" s="10" t="b">
        <f>IF(AND(I220="TP",S220&lt;=150),VLOOKUP(AF220,TPCalibEq150!$AZ$2:$BB$55,3,),IF(AND(I220="TDP",S220&lt;=150),VLOOKUP(AF220,TPCalibEq150!$AZ$2:$BB$55,3,)))</f>
        <v>0</v>
      </c>
      <c r="AR220" s="10" t="b">
        <f>IF(AND(I220="TP",S220&lt;=300),VLOOKUP(AF220,TPCalibEq300!$AZ$2:$BB$55,3,),IF(AND(I220="TDP",S220&lt;=300),VLOOKUP(AF220,TPCalibEq300!$AZ$2:$BB$55,3,)))</f>
        <v>0</v>
      </c>
      <c r="AS220" s="10" t="b">
        <f>IF(AND(I220="TP",S220&lt;=500),VLOOKUP(AF220,TPCalibEq500!$AZ$2:$BB$56,3,),IF(AND(I220="TDP",S220&lt;=500),VLOOKUP(AF220,TPCalibEq500!$AZ$2:$BB$56,3,)))</f>
        <v>0</v>
      </c>
      <c r="AT220" s="10" t="b">
        <f>IF(AND(I220="TN",S220&lt;=2800),VLOOKUP(AF220,TNCalibEq2500!$AZ$2:$BB$56,3,),IF(AND(I220="TDN",S220&lt;=2800),VLOOKUP(AF220,TNCalibEq2500!$AZ$2:$BB$56,3,)))</f>
        <v>0</v>
      </c>
      <c r="AU220" s="10" t="b">
        <f>IF(I220="TP",VLOOKUP(AF220,TPCalibEqFull!$AZ$2:$BB$56,3),IF(I220="TDP",VLOOKUP(AF220,TPCalibEqFull!$AZ$2:$BB$56,3),IF(I220="TDN",VLOOKUP(AF220,TNCalibEqFull!$AZ$1:$BB$56,3),IF(I220="TN",VLOOKUP(AF220,TNCalibEqFull!$AZ$1:$BB$56,3),FALSE))))</f>
        <v>0</v>
      </c>
      <c r="AV220" s="10" t="str">
        <f t="shared" si="25"/>
        <v>1220 05:55:00-HST-0-FIL-1-SW-DUP</v>
      </c>
    </row>
    <row r="221" spans="1:48" s="10" customFormat="1" x14ac:dyDescent="0.55000000000000004">
      <c r="A221" s="32">
        <v>44915</v>
      </c>
      <c r="B221" s="33">
        <v>0.24652777777777779</v>
      </c>
      <c r="C221" s="10" t="s">
        <v>912</v>
      </c>
      <c r="D221" s="10">
        <v>0</v>
      </c>
      <c r="E221" s="10" t="s">
        <v>911</v>
      </c>
      <c r="F221" s="10">
        <v>1</v>
      </c>
      <c r="G221" s="10" t="s">
        <v>231</v>
      </c>
      <c r="H221" s="10" t="s">
        <v>314</v>
      </c>
      <c r="I221" s="10" t="s">
        <v>209</v>
      </c>
      <c r="J221" s="10">
        <v>51</v>
      </c>
      <c r="K221" s="12">
        <v>44930</v>
      </c>
      <c r="L221" s="33">
        <v>0.48978009259259259</v>
      </c>
      <c r="M221" s="10">
        <v>1</v>
      </c>
      <c r="N221" s="10" t="s">
        <v>169</v>
      </c>
      <c r="O221" s="10">
        <v>9.25</v>
      </c>
      <c r="P221" s="10">
        <v>0.434</v>
      </c>
      <c r="Q221" s="10">
        <v>1260</v>
      </c>
      <c r="R221" s="10" t="s">
        <v>77</v>
      </c>
      <c r="S221" s="34">
        <f t="shared" si="21"/>
        <v>1260</v>
      </c>
      <c r="T221" s="10" t="s">
        <v>939</v>
      </c>
      <c r="U221" s="34">
        <f t="shared" si="22"/>
        <v>115.52</v>
      </c>
      <c r="V221" s="31">
        <f>IF(H221="CHK",VLOOKUP(I221,QCCHK,3,),IF(H221="GUP",VLOOKUP(E221,QCGUP,2,),IF(AND(H221="ATP",OR(I221="TN",I221="TDN",I221="TNO2-3",I221="NO2-3")),VLOOKUP(E221,QCREC_N,2,),IF(AND(H221="NIC",OR(I221="TN",I221="TDN",I221="TNO2-3",I221="NO2-3")),VLOOKUP(E221,QCNIC_N,2,),IF(AND(H221="UREA",OR(I221="TN",I221="TDN",I221="TNO2-3",I221="NO2-3")),VLOOKUP(E221,QCUREA_N,2,),IF(H221="PER",VLOOKUP(I221,QCPER,MATCH(E221,QCACTUAL!$J$25:$AA$25,0),),IF(H221="SPK",VLOOKUP(I221,QCSPK,3,),IF(AND(H221="ATP",OR(I221="TP",I221="TDP")),VLOOKUP(E221,QCATP_P,2,),""))))))))</f>
        <v>625</v>
      </c>
      <c r="W221" s="31" t="str">
        <f t="shared" si="23"/>
        <v>TRUE</v>
      </c>
      <c r="X221" s="31" t="str">
        <f t="shared" si="24"/>
        <v>([spikedunkn]-[unkn])/[spike]*100</v>
      </c>
      <c r="Y221" s="10" t="s">
        <v>949</v>
      </c>
      <c r="Z221" s="10" t="s">
        <v>910</v>
      </c>
      <c r="AL221" s="10" t="str">
        <f t="shared" si="26"/>
        <v>FALSE</v>
      </c>
      <c r="AM221" s="10" t="str">
        <f t="shared" si="26"/>
        <v>FALSE</v>
      </c>
      <c r="AN221" s="10" t="str">
        <f t="shared" si="26"/>
        <v>FALSE</v>
      </c>
      <c r="AO221" s="10" t="str">
        <f t="shared" si="27"/>
        <v>FALSE</v>
      </c>
      <c r="AP221" s="10" t="str">
        <f t="shared" si="27"/>
        <v>FALSE</v>
      </c>
      <c r="AQ221" s="10" t="b">
        <f>IF(AND(I221="TP",S221&lt;=150),VLOOKUP(AF221,TPCalibEq150!$AZ$2:$BB$55,3,),IF(AND(I221="TDP",S221&lt;=150),VLOOKUP(AF221,TPCalibEq150!$AZ$2:$BB$55,3,)))</f>
        <v>0</v>
      </c>
      <c r="AR221" s="10" t="b">
        <f>IF(AND(I221="TP",S221&lt;=300),VLOOKUP(AF221,TPCalibEq300!$AZ$2:$BB$55,3,),IF(AND(I221="TDP",S221&lt;=300),VLOOKUP(AF221,TPCalibEq300!$AZ$2:$BB$55,3,)))</f>
        <v>0</v>
      </c>
      <c r="AS221" s="10" t="b">
        <f>IF(AND(I221="TP",S221&lt;=500),VLOOKUP(AF221,TPCalibEq500!$AZ$2:$BB$56,3,),IF(AND(I221="TDP",S221&lt;=500),VLOOKUP(AF221,TPCalibEq500!$AZ$2:$BB$56,3,)))</f>
        <v>0</v>
      </c>
      <c r="AT221" s="10" t="b">
        <f>IF(AND(I221="TN",S221&lt;=2800),VLOOKUP(AF221,TNCalibEq2500!$AZ$2:$BB$56,3,),IF(AND(I221="TDN",S221&lt;=2800),VLOOKUP(AF221,TNCalibEq2500!$AZ$2:$BB$56,3,)))</f>
        <v>0</v>
      </c>
      <c r="AU221" s="10" t="b">
        <f>IF(I221="TP",VLOOKUP(AF221,TPCalibEqFull!$AZ$2:$BB$56,3),IF(I221="TDP",VLOOKUP(AF221,TPCalibEqFull!$AZ$2:$BB$56,3),IF(I221="TDN",VLOOKUP(AF221,TNCalibEqFull!$AZ$1:$BB$56,3),IF(I221="TN",VLOOKUP(AF221,TNCalibEqFull!$AZ$1:$BB$56,3),FALSE))))</f>
        <v>0</v>
      </c>
      <c r="AV221" s="10" t="str">
        <f t="shared" si="25"/>
        <v>1220 05:55:00-HST -0-FIL-1-SW-SPK</v>
      </c>
    </row>
    <row r="222" spans="1:48" s="10" customFormat="1" x14ac:dyDescent="0.55000000000000004">
      <c r="A222" s="32">
        <v>44930</v>
      </c>
      <c r="B222" s="33">
        <v>0.375</v>
      </c>
      <c r="C222" s="10" t="s">
        <v>70</v>
      </c>
      <c r="D222" s="10" t="s">
        <v>71</v>
      </c>
      <c r="E222" s="10" t="s">
        <v>901</v>
      </c>
      <c r="F222" s="10">
        <v>1</v>
      </c>
      <c r="G222" s="10" t="s">
        <v>73</v>
      </c>
      <c r="H222" s="10" t="s">
        <v>207</v>
      </c>
      <c r="I222" s="10" t="s">
        <v>256</v>
      </c>
      <c r="J222" s="10">
        <v>200</v>
      </c>
      <c r="K222" s="12">
        <v>44930</v>
      </c>
      <c r="L222" s="33">
        <v>0.49060185185185184</v>
      </c>
      <c r="M222" s="10">
        <v>1</v>
      </c>
      <c r="N222" s="10" t="s">
        <v>169</v>
      </c>
      <c r="O222" s="10">
        <v>2.2599999999999998</v>
      </c>
      <c r="P222" s="10">
        <v>0.106</v>
      </c>
      <c r="Q222" s="10">
        <v>308</v>
      </c>
      <c r="R222" s="10" t="s">
        <v>77</v>
      </c>
      <c r="S222" s="34">
        <f t="shared" si="21"/>
        <v>308</v>
      </c>
      <c r="T222" s="10" t="s">
        <v>939</v>
      </c>
      <c r="U222" s="34">
        <f t="shared" si="22"/>
        <v>102.66666666666666</v>
      </c>
      <c r="V222" s="31">
        <f>IF(H222="CHK",VLOOKUP(I222,QCCHK,3,),IF(H222="GUP",VLOOKUP(E222,QCGUP,2,),IF(AND(H222="ATP",OR(I222="TN",I222="TDN",I222="TNO2-3",I222="NO2-3")),VLOOKUP(E222,QCREC_N,2,),IF(AND(H222="NIC",OR(I222="TN",I222="TDN",I222="TNO2-3",I222="NO2-3")),VLOOKUP(E222,QCNIC_N,2,),IF(AND(H222="UREA",OR(I222="TN",I222="TDN",I222="TNO2-3",I222="NO2-3")),VLOOKUP(E222,QCUREA_N,2,),IF(H222="PER",VLOOKUP(I222,QCPER,MATCH(E222,QCACTUAL!$J$25:$AA$25,0),),IF(H222="SPK",VLOOKUP(I222,QCSPK,3,),IF(AND(H222="ATP",OR(I222="TP",I222="TDP")),VLOOKUP(E222,QCATP_P,2,),""))))))))</f>
        <v>300</v>
      </c>
      <c r="W222" s="31" t="str">
        <f t="shared" si="23"/>
        <v>TRUE</v>
      </c>
      <c r="X222" s="31" t="str">
        <f t="shared" si="24"/>
        <v>[chk]/[actual]*100</v>
      </c>
      <c r="Y222" s="10" t="s">
        <v>949</v>
      </c>
      <c r="AL222" s="10" t="str">
        <f t="shared" si="26"/>
        <v>FALSE</v>
      </c>
      <c r="AM222" s="10" t="str">
        <f t="shared" si="26"/>
        <v>FALSE</v>
      </c>
      <c r="AN222" s="10" t="str">
        <f t="shared" si="26"/>
        <v>FALSE</v>
      </c>
      <c r="AO222" s="10" t="str">
        <f t="shared" si="27"/>
        <v>FALSE</v>
      </c>
      <c r="AP222" s="10" t="str">
        <f t="shared" si="27"/>
        <v>FALSE</v>
      </c>
      <c r="AQ222" s="10" t="b">
        <f>IF(AND(I222="TP",S222&lt;=150),VLOOKUP(AF222,TPCalibEq150!$AZ$2:$BB$55,3,),IF(AND(I222="TDP",S222&lt;=150),VLOOKUP(AF222,TPCalibEq150!$AZ$2:$BB$55,3,)))</f>
        <v>0</v>
      </c>
      <c r="AR222" s="10" t="b">
        <f>IF(AND(I222="TP",S222&lt;=300),VLOOKUP(AF222,TPCalibEq300!$AZ$2:$BB$55,3,),IF(AND(I222="TDP",S222&lt;=300),VLOOKUP(AF222,TPCalibEq300!$AZ$2:$BB$55,3,)))</f>
        <v>0</v>
      </c>
      <c r="AS222" s="10" t="b">
        <f>IF(AND(I222="TP",S222&lt;=500),VLOOKUP(AF222,TPCalibEq500!$AZ$2:$BB$56,3,),IF(AND(I222="TDP",S222&lt;=500),VLOOKUP(AF222,TPCalibEq500!$AZ$2:$BB$56,3,)))</f>
        <v>0</v>
      </c>
      <c r="AT222" s="10" t="b">
        <f>IF(AND(I222="TN",S222&lt;=2800),VLOOKUP(AF222,TNCalibEq2500!$AZ$2:$BB$56,3,),IF(AND(I222="TDN",S222&lt;=2800),VLOOKUP(AF222,TNCalibEq2500!$AZ$2:$BB$56,3,)))</f>
        <v>0</v>
      </c>
      <c r="AU222" s="10" t="b">
        <f>IF(I222="TP",VLOOKUP(AF222,TPCalibEqFull!$AZ$2:$BB$56,3),IF(I222="TDP",VLOOKUP(AF222,TPCalibEqFull!$AZ$2:$BB$56,3),IF(I222="TDN",VLOOKUP(AF222,TNCalibEqFull!$AZ$1:$BB$56,3),IF(I222="TN",VLOOKUP(AF222,TNCalibEqFull!$AZ$1:$BB$56,3),FALSE))))</f>
        <v>0</v>
      </c>
      <c r="AV222" s="10" t="str">
        <f t="shared" si="25"/>
        <v>0104 09:00:00-QAC-STD-D-1-DI-CHK</v>
      </c>
    </row>
    <row r="223" spans="1:48" s="10" customFormat="1" x14ac:dyDescent="0.55000000000000004">
      <c r="A223" s="32">
        <v>44916</v>
      </c>
      <c r="B223" s="33">
        <v>0.22916666666666666</v>
      </c>
      <c r="C223" s="10" t="s">
        <v>279</v>
      </c>
      <c r="D223" s="10">
        <v>0</v>
      </c>
      <c r="E223" s="10" t="s">
        <v>911</v>
      </c>
      <c r="F223" s="10">
        <v>1</v>
      </c>
      <c r="G223" s="10" t="s">
        <v>231</v>
      </c>
      <c r="H223" s="10" t="s">
        <v>322</v>
      </c>
      <c r="I223" s="10" t="s">
        <v>209</v>
      </c>
      <c r="J223" s="10">
        <v>35</v>
      </c>
      <c r="K223" s="12">
        <v>44930</v>
      </c>
      <c r="L223" s="33">
        <v>0.49142361111111116</v>
      </c>
      <c r="M223" s="10">
        <v>1</v>
      </c>
      <c r="N223" s="10" t="s">
        <v>169</v>
      </c>
      <c r="O223" s="10">
        <v>5.81</v>
      </c>
      <c r="P223" s="10">
        <v>0.27200000000000002</v>
      </c>
      <c r="Q223" s="10">
        <v>791</v>
      </c>
      <c r="R223" s="10" t="s">
        <v>77</v>
      </c>
      <c r="S223" s="34">
        <f t="shared" si="21"/>
        <v>791</v>
      </c>
      <c r="T223" s="10" t="s">
        <v>939</v>
      </c>
      <c r="U223" s="34" t="str">
        <f t="shared" si="22"/>
        <v/>
      </c>
      <c r="V223" s="31" t="str">
        <f>IF(H223="CHK",VLOOKUP(I223,QCCHK,3,),IF(H223="GUP",VLOOKUP(E223,QCGUP,2,),IF(AND(H223="ATP",OR(I223="TN",I223="TDN",I223="TNO2-3",I223="NO2-3")),VLOOKUP(E223,QCREC_N,2,),IF(AND(H223="NIC",OR(I223="TN",I223="TDN",I223="TNO2-3",I223="NO2-3")),VLOOKUP(E223,QCNIC_N,2,),IF(AND(H223="UREA",OR(I223="TN",I223="TDN",I223="TNO2-3",I223="NO2-3")),VLOOKUP(E223,QCUREA_N,2,),IF(H223="PER",VLOOKUP(I223,QCPER,MATCH(E223,QCACTUAL!$J$25:$AA$25,0),),IF(H223="SPK",VLOOKUP(I223,QCSPK,3,),IF(AND(H223="ATP",OR(I223="TP",I223="TDP")),VLOOKUP(E223,QCATP_P,2,),""))))))))</f>
        <v/>
      </c>
      <c r="W223" s="31" t="str">
        <f t="shared" si="23"/>
        <v>TRUE</v>
      </c>
      <c r="X223" s="31" t="str">
        <f t="shared" si="24"/>
        <v/>
      </c>
      <c r="Y223" s="10" t="s">
        <v>949</v>
      </c>
      <c r="Z223" s="10" t="s">
        <v>910</v>
      </c>
      <c r="AL223" s="10" t="str">
        <f t="shared" si="26"/>
        <v>FALSE</v>
      </c>
      <c r="AM223" s="10" t="str">
        <f t="shared" si="26"/>
        <v>FALSE</v>
      </c>
      <c r="AN223" s="10" t="str">
        <f t="shared" si="26"/>
        <v>FALSE</v>
      </c>
      <c r="AO223" s="10" t="str">
        <f t="shared" si="27"/>
        <v>FALSE</v>
      </c>
      <c r="AP223" s="10" t="str">
        <f t="shared" si="27"/>
        <v>FALSE</v>
      </c>
      <c r="AQ223" s="10" t="b">
        <f>IF(AND(I223="TP",S223&lt;=150),VLOOKUP(AF223,TPCalibEq150!$AZ$2:$BB$55,3,),IF(AND(I223="TDP",S223&lt;=150),VLOOKUP(AF223,TPCalibEq150!$AZ$2:$BB$55,3,)))</f>
        <v>0</v>
      </c>
      <c r="AR223" s="10" t="b">
        <f>IF(AND(I223="TP",S223&lt;=300),VLOOKUP(AF223,TPCalibEq300!$AZ$2:$BB$55,3,),IF(AND(I223="TDP",S223&lt;=300),VLOOKUP(AF223,TPCalibEq300!$AZ$2:$BB$55,3,)))</f>
        <v>0</v>
      </c>
      <c r="AS223" s="10" t="b">
        <f>IF(AND(I223="TP",S223&lt;=500),VLOOKUP(AF223,TPCalibEq500!$AZ$2:$BB$56,3,),IF(AND(I223="TDP",S223&lt;=500),VLOOKUP(AF223,TPCalibEq500!$AZ$2:$BB$56,3,)))</f>
        <v>0</v>
      </c>
      <c r="AT223" s="10" t="b">
        <f>IF(AND(I223="TN",S223&lt;=2800),VLOOKUP(AF223,TNCalibEq2500!$AZ$2:$BB$56,3,),IF(AND(I223="TDN",S223&lt;=2800),VLOOKUP(AF223,TNCalibEq2500!$AZ$2:$BB$56,3,)))</f>
        <v>0</v>
      </c>
      <c r="AU223" s="10" t="b">
        <f>IF(I223="TP",VLOOKUP(AF223,TPCalibEqFull!$AZ$2:$BB$56,3),IF(I223="TDP",VLOOKUP(AF223,TPCalibEqFull!$AZ$2:$BB$56,3),IF(I223="TDN",VLOOKUP(AF223,TNCalibEqFull!$AZ$1:$BB$56,3),IF(I223="TN",VLOOKUP(AF223,TNCalibEqFull!$AZ$1:$BB$56,3),FALSE))))</f>
        <v>0</v>
      </c>
      <c r="AV223" s="10" t="str">
        <f t="shared" si="25"/>
        <v>1221 05:30:00-EFK-0-FIL-1-SW-UKN</v>
      </c>
    </row>
    <row r="224" spans="1:48" s="10" customFormat="1" x14ac:dyDescent="0.55000000000000004">
      <c r="A224" s="32">
        <v>44916</v>
      </c>
      <c r="B224" s="33">
        <v>0.23611111111111113</v>
      </c>
      <c r="C224" s="10" t="s">
        <v>333</v>
      </c>
      <c r="D224" s="10">
        <v>0</v>
      </c>
      <c r="E224" s="10" t="s">
        <v>911</v>
      </c>
      <c r="F224" s="10">
        <v>1</v>
      </c>
      <c r="G224" s="10" t="s">
        <v>231</v>
      </c>
      <c r="H224" s="10" t="s">
        <v>322</v>
      </c>
      <c r="I224" s="10" t="s">
        <v>209</v>
      </c>
      <c r="J224" s="10">
        <v>36</v>
      </c>
      <c r="K224" s="12">
        <v>44930</v>
      </c>
      <c r="L224" s="33">
        <v>0.49223379629629632</v>
      </c>
      <c r="M224" s="10">
        <v>1</v>
      </c>
      <c r="N224" s="10" t="s">
        <v>169</v>
      </c>
      <c r="O224" s="10">
        <v>4.66</v>
      </c>
      <c r="P224" s="10">
        <v>0.216</v>
      </c>
      <c r="Q224" s="10">
        <v>633</v>
      </c>
      <c r="R224" s="10" t="s">
        <v>77</v>
      </c>
      <c r="S224" s="34">
        <f t="shared" si="21"/>
        <v>633</v>
      </c>
      <c r="T224" s="10" t="s">
        <v>939</v>
      </c>
      <c r="U224" s="34" t="str">
        <f t="shared" si="22"/>
        <v/>
      </c>
      <c r="V224" s="31" t="str">
        <f>IF(H224="CHK",VLOOKUP(I224,QCCHK,3,),IF(H224="GUP",VLOOKUP(E224,QCGUP,2,),IF(AND(H224="ATP",OR(I224="TN",I224="TDN",I224="TNO2-3",I224="NO2-3")),VLOOKUP(E224,QCREC_N,2,),IF(AND(H224="NIC",OR(I224="TN",I224="TDN",I224="TNO2-3",I224="NO2-3")),VLOOKUP(E224,QCNIC_N,2,),IF(AND(H224="UREA",OR(I224="TN",I224="TDN",I224="TNO2-3",I224="NO2-3")),VLOOKUP(E224,QCUREA_N,2,),IF(H224="PER",VLOOKUP(I224,QCPER,MATCH(E224,QCACTUAL!$J$25:$AA$25,0),),IF(H224="SPK",VLOOKUP(I224,QCSPK,3,),IF(AND(H224="ATP",OR(I224="TP",I224="TDP")),VLOOKUP(E224,QCATP_P,2,),""))))))))</f>
        <v/>
      </c>
      <c r="W224" s="31" t="str">
        <f t="shared" si="23"/>
        <v>TRUE</v>
      </c>
      <c r="X224" s="31" t="str">
        <f t="shared" si="24"/>
        <v/>
      </c>
      <c r="Y224" s="10" t="s">
        <v>949</v>
      </c>
      <c r="Z224" s="10" t="s">
        <v>910</v>
      </c>
      <c r="AL224" s="10" t="str">
        <f t="shared" si="26"/>
        <v>FALSE</v>
      </c>
      <c r="AM224" s="10" t="str">
        <f t="shared" si="26"/>
        <v>FALSE</v>
      </c>
      <c r="AN224" s="10" t="str">
        <f t="shared" si="26"/>
        <v>FALSE</v>
      </c>
      <c r="AO224" s="10" t="str">
        <f t="shared" si="27"/>
        <v>FALSE</v>
      </c>
      <c r="AP224" s="10" t="str">
        <f t="shared" si="27"/>
        <v>FALSE</v>
      </c>
      <c r="AQ224" s="10" t="b">
        <f>IF(AND(I224="TP",S224&lt;=150),VLOOKUP(AF224,TPCalibEq150!$AZ$2:$BB$55,3,),IF(AND(I224="TDP",S224&lt;=150),VLOOKUP(AF224,TPCalibEq150!$AZ$2:$BB$55,3,)))</f>
        <v>0</v>
      </c>
      <c r="AR224" s="10" t="b">
        <f>IF(AND(I224="TP",S224&lt;=300),VLOOKUP(AF224,TPCalibEq300!$AZ$2:$BB$55,3,),IF(AND(I224="TDP",S224&lt;=300),VLOOKUP(AF224,TPCalibEq300!$AZ$2:$BB$55,3,)))</f>
        <v>0</v>
      </c>
      <c r="AS224" s="10" t="b">
        <f>IF(AND(I224="TP",S224&lt;=500),VLOOKUP(AF224,TPCalibEq500!$AZ$2:$BB$56,3,),IF(AND(I224="TDP",S224&lt;=500),VLOOKUP(AF224,TPCalibEq500!$AZ$2:$BB$56,3,)))</f>
        <v>0</v>
      </c>
      <c r="AT224" s="10" t="b">
        <f>IF(AND(I224="TN",S224&lt;=2800),VLOOKUP(AF224,TNCalibEq2500!$AZ$2:$BB$56,3,),IF(AND(I224="TDN",S224&lt;=2800),VLOOKUP(AF224,TNCalibEq2500!$AZ$2:$BB$56,3,)))</f>
        <v>0</v>
      </c>
      <c r="AU224" s="10" t="b">
        <f>IF(I224="TP",VLOOKUP(AF224,TPCalibEqFull!$AZ$2:$BB$56,3),IF(I224="TDP",VLOOKUP(AF224,TPCalibEqFull!$AZ$2:$BB$56,3),IF(I224="TDN",VLOOKUP(AF224,TNCalibEqFull!$AZ$1:$BB$56,3),IF(I224="TN",VLOOKUP(AF224,TNCalibEqFull!$AZ$1:$BB$56,3),FALSE))))</f>
        <v>0</v>
      </c>
      <c r="AV224" s="10" t="str">
        <f t="shared" si="25"/>
        <v>1221 05:40:00-HST-0-FIL-1-SW-UKN</v>
      </c>
    </row>
    <row r="225" spans="1:48" s="10" customFormat="1" x14ac:dyDescent="0.55000000000000004">
      <c r="A225" s="32">
        <v>44917</v>
      </c>
      <c r="B225" s="33">
        <v>0.24513888888888888</v>
      </c>
      <c r="C225" s="10" t="s">
        <v>279</v>
      </c>
      <c r="D225" s="10">
        <v>0</v>
      </c>
      <c r="E225" s="10" t="s">
        <v>911</v>
      </c>
      <c r="F225" s="10">
        <v>1</v>
      </c>
      <c r="G225" s="10" t="s">
        <v>231</v>
      </c>
      <c r="H225" s="10" t="s">
        <v>322</v>
      </c>
      <c r="I225" s="10" t="s">
        <v>209</v>
      </c>
      <c r="J225" s="10">
        <v>37</v>
      </c>
      <c r="K225" s="12">
        <v>44930</v>
      </c>
      <c r="L225" s="33">
        <v>0.49305555555555558</v>
      </c>
      <c r="M225" s="10">
        <v>1</v>
      </c>
      <c r="N225" s="10" t="s">
        <v>169</v>
      </c>
      <c r="O225" s="10">
        <v>9.14</v>
      </c>
      <c r="P225" s="10">
        <v>0.42899999999999999</v>
      </c>
      <c r="Q225" s="10">
        <v>1240</v>
      </c>
      <c r="R225" s="10" t="s">
        <v>77</v>
      </c>
      <c r="S225" s="34">
        <f t="shared" si="21"/>
        <v>1240</v>
      </c>
      <c r="T225" s="10" t="s">
        <v>939</v>
      </c>
      <c r="U225" s="34" t="str">
        <f t="shared" si="22"/>
        <v/>
      </c>
      <c r="V225" s="31" t="str">
        <f>IF(H225="CHK",VLOOKUP(I225,QCCHK,3,),IF(H225="GUP",VLOOKUP(E225,QCGUP,2,),IF(AND(H225="ATP",OR(I225="TN",I225="TDN",I225="TNO2-3",I225="NO2-3")),VLOOKUP(E225,QCREC_N,2,),IF(AND(H225="NIC",OR(I225="TN",I225="TDN",I225="TNO2-3",I225="NO2-3")),VLOOKUP(E225,QCNIC_N,2,),IF(AND(H225="UREA",OR(I225="TN",I225="TDN",I225="TNO2-3",I225="NO2-3")),VLOOKUP(E225,QCUREA_N,2,),IF(H225="PER",VLOOKUP(I225,QCPER,MATCH(E225,QCACTUAL!$J$25:$AA$25,0),),IF(H225="SPK",VLOOKUP(I225,QCSPK,3,),IF(AND(H225="ATP",OR(I225="TP",I225="TDP")),VLOOKUP(E225,QCATP_P,2,),""))))))))</f>
        <v/>
      </c>
      <c r="W225" s="31" t="str">
        <f t="shared" si="23"/>
        <v>TRUE</v>
      </c>
      <c r="X225" s="31" t="str">
        <f t="shared" si="24"/>
        <v/>
      </c>
      <c r="Y225" s="10" t="s">
        <v>949</v>
      </c>
      <c r="Z225" s="10" t="s">
        <v>910</v>
      </c>
      <c r="AL225" s="10" t="str">
        <f t="shared" si="26"/>
        <v>FALSE</v>
      </c>
      <c r="AM225" s="10" t="str">
        <f t="shared" si="26"/>
        <v>FALSE</v>
      </c>
      <c r="AN225" s="10" t="str">
        <f t="shared" si="26"/>
        <v>FALSE</v>
      </c>
      <c r="AO225" s="10" t="str">
        <f t="shared" si="27"/>
        <v>FALSE</v>
      </c>
      <c r="AP225" s="10" t="str">
        <f t="shared" si="27"/>
        <v>FALSE</v>
      </c>
      <c r="AQ225" s="10" t="b">
        <f>IF(AND(I225="TP",S225&lt;=150),VLOOKUP(AF225,TPCalibEq150!$AZ$2:$BB$55,3,),IF(AND(I225="TDP",S225&lt;=150),VLOOKUP(AF225,TPCalibEq150!$AZ$2:$BB$55,3,)))</f>
        <v>0</v>
      </c>
      <c r="AR225" s="10" t="b">
        <f>IF(AND(I225="TP",S225&lt;=300),VLOOKUP(AF225,TPCalibEq300!$AZ$2:$BB$55,3,),IF(AND(I225="TDP",S225&lt;=300),VLOOKUP(AF225,TPCalibEq300!$AZ$2:$BB$55,3,)))</f>
        <v>0</v>
      </c>
      <c r="AS225" s="10" t="b">
        <f>IF(AND(I225="TP",S225&lt;=500),VLOOKUP(AF225,TPCalibEq500!$AZ$2:$BB$56,3,),IF(AND(I225="TDP",S225&lt;=500),VLOOKUP(AF225,TPCalibEq500!$AZ$2:$BB$56,3,)))</f>
        <v>0</v>
      </c>
      <c r="AT225" s="10" t="b">
        <f>IF(AND(I225="TN",S225&lt;=2800),VLOOKUP(AF225,TNCalibEq2500!$AZ$2:$BB$56,3,),IF(AND(I225="TDN",S225&lt;=2800),VLOOKUP(AF225,TNCalibEq2500!$AZ$2:$BB$56,3,)))</f>
        <v>0</v>
      </c>
      <c r="AU225" s="10" t="b">
        <f>IF(I225="TP",VLOOKUP(AF225,TPCalibEqFull!$AZ$2:$BB$56,3),IF(I225="TDP",VLOOKUP(AF225,TPCalibEqFull!$AZ$2:$BB$56,3),IF(I225="TDN",VLOOKUP(AF225,TNCalibEqFull!$AZ$1:$BB$56,3),IF(I225="TN",VLOOKUP(AF225,TNCalibEqFull!$AZ$1:$BB$56,3),FALSE))))</f>
        <v>0</v>
      </c>
      <c r="AV225" s="10" t="str">
        <f t="shared" si="25"/>
        <v>1222 05:53:00-EFK-0-FIL-1-SW-UKN</v>
      </c>
    </row>
    <row r="226" spans="1:48" s="10" customFormat="1" x14ac:dyDescent="0.55000000000000004">
      <c r="A226" s="32">
        <v>44917</v>
      </c>
      <c r="B226" s="33">
        <v>0.24166666666666667</v>
      </c>
      <c r="C226" s="10" t="s">
        <v>333</v>
      </c>
      <c r="D226" s="10">
        <v>0</v>
      </c>
      <c r="E226" s="10" t="s">
        <v>911</v>
      </c>
      <c r="F226" s="10">
        <v>1</v>
      </c>
      <c r="G226" s="10" t="s">
        <v>231</v>
      </c>
      <c r="H226" s="10" t="s">
        <v>322</v>
      </c>
      <c r="I226" s="10" t="s">
        <v>209</v>
      </c>
      <c r="J226" s="10">
        <v>38</v>
      </c>
      <c r="K226" s="12">
        <v>44930</v>
      </c>
      <c r="L226" s="33">
        <v>0.49387731481481478</v>
      </c>
      <c r="M226" s="10">
        <v>1</v>
      </c>
      <c r="N226" s="10" t="s">
        <v>169</v>
      </c>
      <c r="O226" s="10">
        <v>5.29</v>
      </c>
      <c r="P226" s="10">
        <v>0.247</v>
      </c>
      <c r="Q226" s="10">
        <v>719</v>
      </c>
      <c r="R226" s="10" t="s">
        <v>77</v>
      </c>
      <c r="S226" s="34">
        <f t="shared" si="21"/>
        <v>719</v>
      </c>
      <c r="T226" s="10" t="s">
        <v>939</v>
      </c>
      <c r="U226" s="34" t="str">
        <f t="shared" si="22"/>
        <v/>
      </c>
      <c r="V226" s="31" t="str">
        <f>IF(H226="CHK",VLOOKUP(I226,QCCHK,3,),IF(H226="GUP",VLOOKUP(E226,QCGUP,2,),IF(AND(H226="ATP",OR(I226="TN",I226="TDN",I226="TNO2-3",I226="NO2-3")),VLOOKUP(E226,QCREC_N,2,),IF(AND(H226="NIC",OR(I226="TN",I226="TDN",I226="TNO2-3",I226="NO2-3")),VLOOKUP(E226,QCNIC_N,2,),IF(AND(H226="UREA",OR(I226="TN",I226="TDN",I226="TNO2-3",I226="NO2-3")),VLOOKUP(E226,QCUREA_N,2,),IF(H226="PER",VLOOKUP(I226,QCPER,MATCH(E226,QCACTUAL!$J$25:$AA$25,0),),IF(H226="SPK",VLOOKUP(I226,QCSPK,3,),IF(AND(H226="ATP",OR(I226="TP",I226="TDP")),VLOOKUP(E226,QCATP_P,2,),""))))))))</f>
        <v/>
      </c>
      <c r="W226" s="31" t="str">
        <f t="shared" si="23"/>
        <v>TRUE</v>
      </c>
      <c r="X226" s="31" t="str">
        <f t="shared" si="24"/>
        <v/>
      </c>
      <c r="Y226" s="10" t="s">
        <v>949</v>
      </c>
      <c r="Z226" s="10" t="s">
        <v>910</v>
      </c>
      <c r="AL226" s="10" t="str">
        <f t="shared" si="26"/>
        <v>FALSE</v>
      </c>
      <c r="AM226" s="10" t="str">
        <f t="shared" si="26"/>
        <v>FALSE</v>
      </c>
      <c r="AN226" s="10" t="str">
        <f t="shared" si="26"/>
        <v>FALSE</v>
      </c>
      <c r="AO226" s="10" t="str">
        <f t="shared" si="27"/>
        <v>FALSE</v>
      </c>
      <c r="AP226" s="10" t="str">
        <f t="shared" si="27"/>
        <v>FALSE</v>
      </c>
      <c r="AQ226" s="10" t="b">
        <f>IF(AND(I226="TP",S226&lt;=150),VLOOKUP(AF226,TPCalibEq150!$AZ$2:$BB$55,3,),IF(AND(I226="TDP",S226&lt;=150),VLOOKUP(AF226,TPCalibEq150!$AZ$2:$BB$55,3,)))</f>
        <v>0</v>
      </c>
      <c r="AR226" s="10" t="b">
        <f>IF(AND(I226="TP",S226&lt;=300),VLOOKUP(AF226,TPCalibEq300!$AZ$2:$BB$55,3,),IF(AND(I226="TDP",S226&lt;=300),VLOOKUP(AF226,TPCalibEq300!$AZ$2:$BB$55,3,)))</f>
        <v>0</v>
      </c>
      <c r="AS226" s="10" t="b">
        <f>IF(AND(I226="TP",S226&lt;=500),VLOOKUP(AF226,TPCalibEq500!$AZ$2:$BB$56,3,),IF(AND(I226="TDP",S226&lt;=500),VLOOKUP(AF226,TPCalibEq500!$AZ$2:$BB$56,3,)))</f>
        <v>0</v>
      </c>
      <c r="AT226" s="10" t="b">
        <f>IF(AND(I226="TN",S226&lt;=2800),VLOOKUP(AF226,TNCalibEq2500!$AZ$2:$BB$56,3,),IF(AND(I226="TDN",S226&lt;=2800),VLOOKUP(AF226,TNCalibEq2500!$AZ$2:$BB$56,3,)))</f>
        <v>0</v>
      </c>
      <c r="AU226" s="10" t="b">
        <f>IF(I226="TP",VLOOKUP(AF226,TPCalibEqFull!$AZ$2:$BB$56,3),IF(I226="TDP",VLOOKUP(AF226,TPCalibEqFull!$AZ$2:$BB$56,3),IF(I226="TDN",VLOOKUP(AF226,TNCalibEqFull!$AZ$1:$BB$56,3),IF(I226="TN",VLOOKUP(AF226,TNCalibEqFull!$AZ$1:$BB$56,3),FALSE))))</f>
        <v>0</v>
      </c>
      <c r="AV226" s="10" t="str">
        <f t="shared" si="25"/>
        <v>1222 05:48:00-HST-0-FIL-1-SW-UKN</v>
      </c>
    </row>
    <row r="227" spans="1:48" s="10" customFormat="1" x14ac:dyDescent="0.55000000000000004">
      <c r="A227" s="32">
        <v>44922</v>
      </c>
      <c r="B227" s="33">
        <v>0.24652777777777779</v>
      </c>
      <c r="C227" s="10" t="s">
        <v>279</v>
      </c>
      <c r="D227" s="10">
        <v>0</v>
      </c>
      <c r="E227" s="10" t="s">
        <v>911</v>
      </c>
      <c r="F227" s="10">
        <v>1</v>
      </c>
      <c r="G227" s="10" t="s">
        <v>231</v>
      </c>
      <c r="H227" s="10" t="s">
        <v>322</v>
      </c>
      <c r="I227" s="10" t="s">
        <v>209</v>
      </c>
      <c r="J227" s="10">
        <v>39</v>
      </c>
      <c r="K227" s="12">
        <v>44930</v>
      </c>
      <c r="L227" s="33">
        <v>0.4946875</v>
      </c>
      <c r="M227" s="10">
        <v>1</v>
      </c>
      <c r="N227" s="10" t="s">
        <v>169</v>
      </c>
      <c r="O227" s="10">
        <v>12</v>
      </c>
      <c r="P227" s="10">
        <v>0.55900000000000005</v>
      </c>
      <c r="Q227" s="10">
        <v>1630</v>
      </c>
      <c r="R227" s="10" t="s">
        <v>77</v>
      </c>
      <c r="S227" s="34">
        <f t="shared" si="21"/>
        <v>1630</v>
      </c>
      <c r="T227" s="10" t="s">
        <v>939</v>
      </c>
      <c r="U227" s="34" t="str">
        <f t="shared" si="22"/>
        <v/>
      </c>
      <c r="V227" s="31" t="str">
        <f>IF(H227="CHK",VLOOKUP(I227,QCCHK,3,),IF(H227="GUP",VLOOKUP(E227,QCGUP,2,),IF(AND(H227="ATP",OR(I227="TN",I227="TDN",I227="TNO2-3",I227="NO2-3")),VLOOKUP(E227,QCREC_N,2,),IF(AND(H227="NIC",OR(I227="TN",I227="TDN",I227="TNO2-3",I227="NO2-3")),VLOOKUP(E227,QCNIC_N,2,),IF(AND(H227="UREA",OR(I227="TN",I227="TDN",I227="TNO2-3",I227="NO2-3")),VLOOKUP(E227,QCUREA_N,2,),IF(H227="PER",VLOOKUP(I227,QCPER,MATCH(E227,QCACTUAL!$J$25:$AA$25,0),),IF(H227="SPK",VLOOKUP(I227,QCSPK,3,),IF(AND(H227="ATP",OR(I227="TP",I227="TDP")),VLOOKUP(E227,QCATP_P,2,),""))))))))</f>
        <v/>
      </c>
      <c r="W227" s="31" t="str">
        <f t="shared" si="23"/>
        <v>TRUE</v>
      </c>
      <c r="X227" s="31" t="str">
        <f t="shared" si="24"/>
        <v/>
      </c>
      <c r="Y227" s="10" t="s">
        <v>949</v>
      </c>
      <c r="Z227" s="10" t="s">
        <v>910</v>
      </c>
      <c r="AL227" s="10" t="str">
        <f t="shared" si="26"/>
        <v>FALSE</v>
      </c>
      <c r="AM227" s="10" t="str">
        <f t="shared" si="26"/>
        <v>FALSE</v>
      </c>
      <c r="AN227" s="10" t="str">
        <f t="shared" si="26"/>
        <v>FALSE</v>
      </c>
      <c r="AO227" s="10" t="str">
        <f t="shared" si="27"/>
        <v>FALSE</v>
      </c>
      <c r="AP227" s="10" t="str">
        <f t="shared" si="27"/>
        <v>FALSE</v>
      </c>
      <c r="AQ227" s="10" t="b">
        <f>IF(AND(I227="TP",S227&lt;=150),VLOOKUP(AF227,TPCalibEq150!$AZ$2:$BB$55,3,),IF(AND(I227="TDP",S227&lt;=150),VLOOKUP(AF227,TPCalibEq150!$AZ$2:$BB$55,3,)))</f>
        <v>0</v>
      </c>
      <c r="AR227" s="10" t="b">
        <f>IF(AND(I227="TP",S227&lt;=300),VLOOKUP(AF227,TPCalibEq300!$AZ$2:$BB$55,3,),IF(AND(I227="TDP",S227&lt;=300),VLOOKUP(AF227,TPCalibEq300!$AZ$2:$BB$55,3,)))</f>
        <v>0</v>
      </c>
      <c r="AS227" s="10" t="b">
        <f>IF(AND(I227="TP",S227&lt;=500),VLOOKUP(AF227,TPCalibEq500!$AZ$2:$BB$56,3,),IF(AND(I227="TDP",S227&lt;=500),VLOOKUP(AF227,TPCalibEq500!$AZ$2:$BB$56,3,)))</f>
        <v>0</v>
      </c>
      <c r="AT227" s="10" t="b">
        <f>IF(AND(I227="TN",S227&lt;=2800),VLOOKUP(AF227,TNCalibEq2500!$AZ$2:$BB$56,3,),IF(AND(I227="TDN",S227&lt;=2800),VLOOKUP(AF227,TNCalibEq2500!$AZ$2:$BB$56,3,)))</f>
        <v>0</v>
      </c>
      <c r="AU227" s="10" t="b">
        <f>IF(I227="TP",VLOOKUP(AF227,TPCalibEqFull!$AZ$2:$BB$56,3),IF(I227="TDP",VLOOKUP(AF227,TPCalibEqFull!$AZ$2:$BB$56,3),IF(I227="TDN",VLOOKUP(AF227,TNCalibEqFull!$AZ$1:$BB$56,3),IF(I227="TN",VLOOKUP(AF227,TNCalibEqFull!$AZ$1:$BB$56,3),FALSE))))</f>
        <v>0</v>
      </c>
      <c r="AV227" s="10" t="str">
        <f t="shared" si="25"/>
        <v>1227 05:55:00-EFK-0-FIL-1-SW-UKN</v>
      </c>
    </row>
    <row r="228" spans="1:48" s="10" customFormat="1" x14ac:dyDescent="0.55000000000000004">
      <c r="A228" s="32">
        <v>44922</v>
      </c>
      <c r="B228" s="33">
        <v>0.3576388888888889</v>
      </c>
      <c r="C228" s="10" t="s">
        <v>333</v>
      </c>
      <c r="D228" s="10">
        <v>0</v>
      </c>
      <c r="E228" s="10" t="s">
        <v>911</v>
      </c>
      <c r="F228" s="10">
        <v>1</v>
      </c>
      <c r="G228" s="10" t="s">
        <v>231</v>
      </c>
      <c r="H228" s="10" t="s">
        <v>322</v>
      </c>
      <c r="I228" s="10" t="s">
        <v>209</v>
      </c>
      <c r="J228" s="10">
        <v>40</v>
      </c>
      <c r="K228" s="12">
        <v>44930</v>
      </c>
      <c r="L228" s="33">
        <v>0.49549768518518517</v>
      </c>
      <c r="M228" s="10">
        <v>1</v>
      </c>
      <c r="N228" s="10" t="s">
        <v>169</v>
      </c>
      <c r="O228" s="10">
        <v>6.37</v>
      </c>
      <c r="P228" s="10">
        <v>0.29699999999999999</v>
      </c>
      <c r="Q228" s="10">
        <v>866</v>
      </c>
      <c r="R228" s="10" t="s">
        <v>77</v>
      </c>
      <c r="S228" s="34">
        <f t="shared" si="21"/>
        <v>866</v>
      </c>
      <c r="T228" s="10" t="s">
        <v>939</v>
      </c>
      <c r="U228" s="34" t="str">
        <f t="shared" si="22"/>
        <v/>
      </c>
      <c r="V228" s="31" t="str">
        <f>IF(H228="CHK",VLOOKUP(I228,QCCHK,3,),IF(H228="GUP",VLOOKUP(E228,QCGUP,2,),IF(AND(H228="ATP",OR(I228="TN",I228="TDN",I228="TNO2-3",I228="NO2-3")),VLOOKUP(E228,QCREC_N,2,),IF(AND(H228="NIC",OR(I228="TN",I228="TDN",I228="TNO2-3",I228="NO2-3")),VLOOKUP(E228,QCNIC_N,2,),IF(AND(H228="UREA",OR(I228="TN",I228="TDN",I228="TNO2-3",I228="NO2-3")),VLOOKUP(E228,QCUREA_N,2,),IF(H228="PER",VLOOKUP(I228,QCPER,MATCH(E228,QCACTUAL!$J$25:$AA$25,0),),IF(H228="SPK",VLOOKUP(I228,QCSPK,3,),IF(AND(H228="ATP",OR(I228="TP",I228="TDP")),VLOOKUP(E228,QCATP_P,2,),""))))))))</f>
        <v/>
      </c>
      <c r="W228" s="31" t="str">
        <f t="shared" si="23"/>
        <v>TRUE</v>
      </c>
      <c r="X228" s="31" t="str">
        <f t="shared" si="24"/>
        <v/>
      </c>
      <c r="Y228" s="10" t="s">
        <v>949</v>
      </c>
      <c r="Z228" s="10" t="s">
        <v>910</v>
      </c>
      <c r="AL228" s="10" t="str">
        <f t="shared" si="26"/>
        <v>FALSE</v>
      </c>
      <c r="AM228" s="10" t="str">
        <f t="shared" si="26"/>
        <v>FALSE</v>
      </c>
      <c r="AN228" s="10" t="str">
        <f t="shared" si="26"/>
        <v>FALSE</v>
      </c>
      <c r="AO228" s="10" t="str">
        <f t="shared" si="27"/>
        <v>FALSE</v>
      </c>
      <c r="AP228" s="10" t="str">
        <f t="shared" si="27"/>
        <v>FALSE</v>
      </c>
      <c r="AQ228" s="10" t="b">
        <f>IF(AND(I228="TP",S228&lt;=150),VLOOKUP(AF228,TPCalibEq150!$AZ$2:$BB$55,3,),IF(AND(I228="TDP",S228&lt;=150),VLOOKUP(AF228,TPCalibEq150!$AZ$2:$BB$55,3,)))</f>
        <v>0</v>
      </c>
      <c r="AR228" s="10" t="b">
        <f>IF(AND(I228="TP",S228&lt;=300),VLOOKUP(AF228,TPCalibEq300!$AZ$2:$BB$55,3,),IF(AND(I228="TDP",S228&lt;=300),VLOOKUP(AF228,TPCalibEq300!$AZ$2:$BB$55,3,)))</f>
        <v>0</v>
      </c>
      <c r="AS228" s="10" t="b">
        <f>IF(AND(I228="TP",S228&lt;=500),VLOOKUP(AF228,TPCalibEq500!$AZ$2:$BB$56,3,),IF(AND(I228="TDP",S228&lt;=500),VLOOKUP(AF228,TPCalibEq500!$AZ$2:$BB$56,3,)))</f>
        <v>0</v>
      </c>
      <c r="AT228" s="10" t="b">
        <f>IF(AND(I228="TN",S228&lt;=2800),VLOOKUP(AF228,TNCalibEq2500!$AZ$2:$BB$56,3,),IF(AND(I228="TDN",S228&lt;=2800),VLOOKUP(AF228,TNCalibEq2500!$AZ$2:$BB$56,3,)))</f>
        <v>0</v>
      </c>
      <c r="AU228" s="10" t="b">
        <f>IF(I228="TP",VLOOKUP(AF228,TPCalibEqFull!$AZ$2:$BB$56,3),IF(I228="TDP",VLOOKUP(AF228,TPCalibEqFull!$AZ$2:$BB$56,3),IF(I228="TDN",VLOOKUP(AF228,TNCalibEqFull!$AZ$1:$BB$56,3),IF(I228="TN",VLOOKUP(AF228,TNCalibEqFull!$AZ$1:$BB$56,3),FALSE))))</f>
        <v>0</v>
      </c>
      <c r="AV228" s="10" t="str">
        <f t="shared" si="25"/>
        <v>1227 08:35:00-HST-0-FIL-1-SW-UKN</v>
      </c>
    </row>
    <row r="229" spans="1:48" s="10" customFormat="1" x14ac:dyDescent="0.55000000000000004">
      <c r="A229" s="32">
        <v>44923</v>
      </c>
      <c r="B229" s="33">
        <v>0.23958333333333334</v>
      </c>
      <c r="C229" s="10" t="s">
        <v>279</v>
      </c>
      <c r="D229" s="10">
        <v>0</v>
      </c>
      <c r="E229" s="10" t="s">
        <v>911</v>
      </c>
      <c r="F229" s="10">
        <v>1</v>
      </c>
      <c r="G229" s="10" t="s">
        <v>231</v>
      </c>
      <c r="H229" s="10" t="s">
        <v>322</v>
      </c>
      <c r="I229" s="10" t="s">
        <v>209</v>
      </c>
      <c r="J229" s="10">
        <v>41</v>
      </c>
      <c r="K229" s="12">
        <v>44930</v>
      </c>
      <c r="L229" s="33">
        <v>0.49630787037037033</v>
      </c>
      <c r="M229" s="10">
        <v>1</v>
      </c>
      <c r="N229" s="10" t="s">
        <v>169</v>
      </c>
      <c r="O229" s="10">
        <v>13.1</v>
      </c>
      <c r="P229" s="10">
        <v>0.61499999999999999</v>
      </c>
      <c r="Q229" s="10">
        <v>1790</v>
      </c>
      <c r="R229" s="10" t="s">
        <v>77</v>
      </c>
      <c r="S229" s="34">
        <f t="shared" si="21"/>
        <v>1790</v>
      </c>
      <c r="T229" s="10" t="s">
        <v>939</v>
      </c>
      <c r="U229" s="34" t="str">
        <f t="shared" si="22"/>
        <v/>
      </c>
      <c r="V229" s="31" t="str">
        <f>IF(H229="CHK",VLOOKUP(I229,QCCHK,3,),IF(H229="GUP",VLOOKUP(E229,QCGUP,2,),IF(AND(H229="ATP",OR(I229="TN",I229="TDN",I229="TNO2-3",I229="NO2-3")),VLOOKUP(E229,QCREC_N,2,),IF(AND(H229="NIC",OR(I229="TN",I229="TDN",I229="TNO2-3",I229="NO2-3")),VLOOKUP(E229,QCNIC_N,2,),IF(AND(H229="UREA",OR(I229="TN",I229="TDN",I229="TNO2-3",I229="NO2-3")),VLOOKUP(E229,QCUREA_N,2,),IF(H229="PER",VLOOKUP(I229,QCPER,MATCH(E229,QCACTUAL!$J$25:$AA$25,0),),IF(H229="SPK",VLOOKUP(I229,QCSPK,3,),IF(AND(H229="ATP",OR(I229="TP",I229="TDP")),VLOOKUP(E229,QCATP_P,2,),""))))))))</f>
        <v/>
      </c>
      <c r="W229" s="31" t="str">
        <f t="shared" si="23"/>
        <v>TRUE</v>
      </c>
      <c r="X229" s="31" t="str">
        <f t="shared" si="24"/>
        <v/>
      </c>
      <c r="Y229" s="10" t="s">
        <v>949</v>
      </c>
      <c r="Z229" s="10" t="s">
        <v>910</v>
      </c>
      <c r="AL229" s="10" t="str">
        <f t="shared" si="26"/>
        <v>FALSE</v>
      </c>
      <c r="AM229" s="10" t="str">
        <f t="shared" si="26"/>
        <v>FALSE</v>
      </c>
      <c r="AN229" s="10" t="str">
        <f t="shared" si="26"/>
        <v>FALSE</v>
      </c>
      <c r="AO229" s="10" t="str">
        <f t="shared" si="27"/>
        <v>FALSE</v>
      </c>
      <c r="AP229" s="10" t="str">
        <f t="shared" si="27"/>
        <v>FALSE</v>
      </c>
      <c r="AQ229" s="10" t="b">
        <f>IF(AND(I229="TP",S229&lt;=150),VLOOKUP(AF229,TPCalibEq150!$AZ$2:$BB$55,3,),IF(AND(I229="TDP",S229&lt;=150),VLOOKUP(AF229,TPCalibEq150!$AZ$2:$BB$55,3,)))</f>
        <v>0</v>
      </c>
      <c r="AR229" s="10" t="b">
        <f>IF(AND(I229="TP",S229&lt;=300),VLOOKUP(AF229,TPCalibEq300!$AZ$2:$BB$55,3,),IF(AND(I229="TDP",S229&lt;=300),VLOOKUP(AF229,TPCalibEq300!$AZ$2:$BB$55,3,)))</f>
        <v>0</v>
      </c>
      <c r="AS229" s="10" t="b">
        <f>IF(AND(I229="TP",S229&lt;=500),VLOOKUP(AF229,TPCalibEq500!$AZ$2:$BB$56,3,),IF(AND(I229="TDP",S229&lt;=500),VLOOKUP(AF229,TPCalibEq500!$AZ$2:$BB$56,3,)))</f>
        <v>0</v>
      </c>
      <c r="AT229" s="10" t="b">
        <f>IF(AND(I229="TN",S229&lt;=2800),VLOOKUP(AF229,TNCalibEq2500!$AZ$2:$BB$56,3,),IF(AND(I229="TDN",S229&lt;=2800),VLOOKUP(AF229,TNCalibEq2500!$AZ$2:$BB$56,3,)))</f>
        <v>0</v>
      </c>
      <c r="AU229" s="10" t="b">
        <f>IF(I229="TP",VLOOKUP(AF229,TPCalibEqFull!$AZ$2:$BB$56,3),IF(I229="TDP",VLOOKUP(AF229,TPCalibEqFull!$AZ$2:$BB$56,3),IF(I229="TDN",VLOOKUP(AF229,TNCalibEqFull!$AZ$1:$BB$56,3),IF(I229="TN",VLOOKUP(AF229,TNCalibEqFull!$AZ$1:$BB$56,3),FALSE))))</f>
        <v>0</v>
      </c>
      <c r="AV229" s="10" t="str">
        <f t="shared" si="25"/>
        <v>1228 05:45:00-EFK-0-FIL-1-SW-UKN</v>
      </c>
    </row>
    <row r="230" spans="1:48" s="10" customFormat="1" x14ac:dyDescent="0.55000000000000004">
      <c r="A230" s="32">
        <v>44923</v>
      </c>
      <c r="B230" s="33">
        <v>0.36249999999999999</v>
      </c>
      <c r="C230" s="10" t="s">
        <v>333</v>
      </c>
      <c r="D230" s="10">
        <v>0</v>
      </c>
      <c r="E230" s="10" t="s">
        <v>911</v>
      </c>
      <c r="F230" s="10">
        <v>1</v>
      </c>
      <c r="G230" s="10" t="s">
        <v>231</v>
      </c>
      <c r="H230" s="10" t="s">
        <v>322</v>
      </c>
      <c r="I230" s="10" t="s">
        <v>209</v>
      </c>
      <c r="J230" s="10">
        <v>42</v>
      </c>
      <c r="K230" s="12">
        <v>44930</v>
      </c>
      <c r="L230" s="33">
        <v>0.4971180555555556</v>
      </c>
      <c r="M230" s="10">
        <v>1</v>
      </c>
      <c r="N230" s="10" t="s">
        <v>169</v>
      </c>
      <c r="O230" s="10">
        <v>7.46</v>
      </c>
      <c r="P230" s="10">
        <v>0.34799999999999998</v>
      </c>
      <c r="Q230" s="10">
        <v>1010</v>
      </c>
      <c r="R230" s="10" t="s">
        <v>77</v>
      </c>
      <c r="S230" s="34">
        <f t="shared" si="21"/>
        <v>1010</v>
      </c>
      <c r="T230" s="10" t="s">
        <v>939</v>
      </c>
      <c r="U230" s="34" t="str">
        <f t="shared" si="22"/>
        <v/>
      </c>
      <c r="V230" s="31" t="str">
        <f>IF(H230="CHK",VLOOKUP(I230,QCCHK,3,),IF(H230="GUP",VLOOKUP(E230,QCGUP,2,),IF(AND(H230="ATP",OR(I230="TN",I230="TDN",I230="TNO2-3",I230="NO2-3")),VLOOKUP(E230,QCREC_N,2,),IF(AND(H230="NIC",OR(I230="TN",I230="TDN",I230="TNO2-3",I230="NO2-3")),VLOOKUP(E230,QCNIC_N,2,),IF(AND(H230="UREA",OR(I230="TN",I230="TDN",I230="TNO2-3",I230="NO2-3")),VLOOKUP(E230,QCUREA_N,2,),IF(H230="PER",VLOOKUP(I230,QCPER,MATCH(E230,QCACTUAL!$J$25:$AA$25,0),),IF(H230="SPK",VLOOKUP(I230,QCSPK,3,),IF(AND(H230="ATP",OR(I230="TP",I230="TDP")),VLOOKUP(E230,QCATP_P,2,),""))))))))</f>
        <v/>
      </c>
      <c r="W230" s="31" t="str">
        <f t="shared" si="23"/>
        <v>TRUE</v>
      </c>
      <c r="X230" s="31" t="str">
        <f t="shared" si="24"/>
        <v/>
      </c>
      <c r="Y230" s="10" t="s">
        <v>949</v>
      </c>
      <c r="Z230" s="10" t="s">
        <v>910</v>
      </c>
      <c r="AL230" s="10" t="str">
        <f t="shared" si="26"/>
        <v>FALSE</v>
      </c>
      <c r="AM230" s="10" t="str">
        <f t="shared" si="26"/>
        <v>FALSE</v>
      </c>
      <c r="AN230" s="10" t="str">
        <f t="shared" si="26"/>
        <v>FALSE</v>
      </c>
      <c r="AO230" s="10" t="str">
        <f t="shared" si="27"/>
        <v>FALSE</v>
      </c>
      <c r="AP230" s="10" t="str">
        <f t="shared" si="27"/>
        <v>FALSE</v>
      </c>
      <c r="AQ230" s="10" t="b">
        <f>IF(AND(I230="TP",S230&lt;=150),VLOOKUP(AF230,TPCalibEq150!$AZ$2:$BB$55,3,),IF(AND(I230="TDP",S230&lt;=150),VLOOKUP(AF230,TPCalibEq150!$AZ$2:$BB$55,3,)))</f>
        <v>0</v>
      </c>
      <c r="AR230" s="10" t="b">
        <f>IF(AND(I230="TP",S230&lt;=300),VLOOKUP(AF230,TPCalibEq300!$AZ$2:$BB$55,3,),IF(AND(I230="TDP",S230&lt;=300),VLOOKUP(AF230,TPCalibEq300!$AZ$2:$BB$55,3,)))</f>
        <v>0</v>
      </c>
      <c r="AS230" s="10" t="b">
        <f>IF(AND(I230="TP",S230&lt;=500),VLOOKUP(AF230,TPCalibEq500!$AZ$2:$BB$56,3,),IF(AND(I230="TDP",S230&lt;=500),VLOOKUP(AF230,TPCalibEq500!$AZ$2:$BB$56,3,)))</f>
        <v>0</v>
      </c>
      <c r="AT230" s="10" t="b">
        <f>IF(AND(I230="TN",S230&lt;=2800),VLOOKUP(AF230,TNCalibEq2500!$AZ$2:$BB$56,3,),IF(AND(I230="TDN",S230&lt;=2800),VLOOKUP(AF230,TNCalibEq2500!$AZ$2:$BB$56,3,)))</f>
        <v>0</v>
      </c>
      <c r="AU230" s="10" t="b">
        <f>IF(I230="TP",VLOOKUP(AF230,TPCalibEqFull!$AZ$2:$BB$56,3),IF(I230="TDP",VLOOKUP(AF230,TPCalibEqFull!$AZ$2:$BB$56,3),IF(I230="TDN",VLOOKUP(AF230,TNCalibEqFull!$AZ$1:$BB$56,3),IF(I230="TN",VLOOKUP(AF230,TNCalibEqFull!$AZ$1:$BB$56,3),FALSE))))</f>
        <v>0</v>
      </c>
      <c r="AV230" s="10" t="str">
        <f t="shared" si="25"/>
        <v>1228 08:42:00-HST-0-FIL-1-SW-UKN</v>
      </c>
    </row>
    <row r="231" spans="1:48" s="10" customFormat="1" x14ac:dyDescent="0.55000000000000004">
      <c r="A231" s="32">
        <v>44924</v>
      </c>
      <c r="B231" s="33">
        <v>0.21180555555555555</v>
      </c>
      <c r="C231" s="10" t="s">
        <v>279</v>
      </c>
      <c r="D231" s="10">
        <v>0</v>
      </c>
      <c r="E231" s="10" t="s">
        <v>911</v>
      </c>
      <c r="F231" s="10">
        <v>1</v>
      </c>
      <c r="G231" s="10" t="s">
        <v>231</v>
      </c>
      <c r="H231" s="10" t="s">
        <v>322</v>
      </c>
      <c r="I231" s="10" t="s">
        <v>209</v>
      </c>
      <c r="J231" s="10">
        <v>43</v>
      </c>
      <c r="K231" s="12">
        <v>44930</v>
      </c>
      <c r="L231" s="33">
        <v>0.49792824074074077</v>
      </c>
      <c r="M231" s="10">
        <v>1</v>
      </c>
      <c r="N231" s="10" t="s">
        <v>169</v>
      </c>
      <c r="O231" s="10">
        <v>13</v>
      </c>
      <c r="P231" s="10">
        <v>0.60799999999999998</v>
      </c>
      <c r="Q231" s="10">
        <v>1760</v>
      </c>
      <c r="R231" s="10" t="s">
        <v>77</v>
      </c>
      <c r="S231" s="34">
        <f t="shared" si="21"/>
        <v>1760</v>
      </c>
      <c r="T231" s="10" t="s">
        <v>939</v>
      </c>
      <c r="U231" s="34" t="str">
        <f t="shared" si="22"/>
        <v/>
      </c>
      <c r="V231" s="31" t="str">
        <f>IF(H231="CHK",VLOOKUP(I231,QCCHK,3,),IF(H231="GUP",VLOOKUP(E231,QCGUP,2,),IF(AND(H231="ATP",OR(I231="TN",I231="TDN",I231="TNO2-3",I231="NO2-3")),VLOOKUP(E231,QCREC_N,2,),IF(AND(H231="NIC",OR(I231="TN",I231="TDN",I231="TNO2-3",I231="NO2-3")),VLOOKUP(E231,QCNIC_N,2,),IF(AND(H231="UREA",OR(I231="TN",I231="TDN",I231="TNO2-3",I231="NO2-3")),VLOOKUP(E231,QCUREA_N,2,),IF(H231="PER",VLOOKUP(I231,QCPER,MATCH(E231,QCACTUAL!$J$25:$AA$25,0),),IF(H231="SPK",VLOOKUP(I231,QCSPK,3,),IF(AND(H231="ATP",OR(I231="TP",I231="TDP")),VLOOKUP(E231,QCATP_P,2,),""))))))))</f>
        <v/>
      </c>
      <c r="W231" s="31" t="str">
        <f t="shared" si="23"/>
        <v>TRUE</v>
      </c>
      <c r="X231" s="31" t="str">
        <f t="shared" si="24"/>
        <v/>
      </c>
      <c r="Y231" s="10" t="s">
        <v>949</v>
      </c>
      <c r="Z231" s="10" t="s">
        <v>910</v>
      </c>
      <c r="AL231" s="10" t="str">
        <f t="shared" si="26"/>
        <v>FALSE</v>
      </c>
      <c r="AM231" s="10" t="str">
        <f t="shared" si="26"/>
        <v>FALSE</v>
      </c>
      <c r="AN231" s="10" t="str">
        <f t="shared" si="26"/>
        <v>FALSE</v>
      </c>
      <c r="AO231" s="10" t="str">
        <f t="shared" si="27"/>
        <v>FALSE</v>
      </c>
      <c r="AP231" s="10" t="str">
        <f t="shared" si="27"/>
        <v>FALSE</v>
      </c>
      <c r="AQ231" s="10" t="b">
        <f>IF(AND(I231="TP",S231&lt;=150),VLOOKUP(AF231,TPCalibEq150!$AZ$2:$BB$55,3,),IF(AND(I231="TDP",S231&lt;=150),VLOOKUP(AF231,TPCalibEq150!$AZ$2:$BB$55,3,)))</f>
        <v>0</v>
      </c>
      <c r="AR231" s="10" t="b">
        <f>IF(AND(I231="TP",S231&lt;=300),VLOOKUP(AF231,TPCalibEq300!$AZ$2:$BB$55,3,),IF(AND(I231="TDP",S231&lt;=300),VLOOKUP(AF231,TPCalibEq300!$AZ$2:$BB$55,3,)))</f>
        <v>0</v>
      </c>
      <c r="AS231" s="10" t="b">
        <f>IF(AND(I231="TP",S231&lt;=500),VLOOKUP(AF231,TPCalibEq500!$AZ$2:$BB$56,3,),IF(AND(I231="TDP",S231&lt;=500),VLOOKUP(AF231,TPCalibEq500!$AZ$2:$BB$56,3,)))</f>
        <v>0</v>
      </c>
      <c r="AT231" s="10" t="b">
        <f>IF(AND(I231="TN",S231&lt;=2800),VLOOKUP(AF231,TNCalibEq2500!$AZ$2:$BB$56,3,),IF(AND(I231="TDN",S231&lt;=2800),VLOOKUP(AF231,TNCalibEq2500!$AZ$2:$BB$56,3,)))</f>
        <v>0</v>
      </c>
      <c r="AU231" s="10" t="b">
        <f>IF(I231="TP",VLOOKUP(AF231,TPCalibEqFull!$AZ$2:$BB$56,3),IF(I231="TDP",VLOOKUP(AF231,TPCalibEqFull!$AZ$2:$BB$56,3),IF(I231="TDN",VLOOKUP(AF231,TNCalibEqFull!$AZ$1:$BB$56,3),IF(I231="TN",VLOOKUP(AF231,TNCalibEqFull!$AZ$1:$BB$56,3),FALSE))))</f>
        <v>0</v>
      </c>
      <c r="AV231" s="10" t="str">
        <f t="shared" si="25"/>
        <v>1229 05:05:00-EFK-0-FIL-1-SW-UKN</v>
      </c>
    </row>
    <row r="232" spans="1:48" s="10" customFormat="1" x14ac:dyDescent="0.55000000000000004">
      <c r="A232" s="32">
        <v>44924</v>
      </c>
      <c r="B232" s="33">
        <v>0.22013888888888888</v>
      </c>
      <c r="C232" s="10" t="s">
        <v>333</v>
      </c>
      <c r="D232" s="10">
        <v>0</v>
      </c>
      <c r="E232" s="10" t="s">
        <v>911</v>
      </c>
      <c r="F232" s="10">
        <v>1</v>
      </c>
      <c r="G232" s="10" t="s">
        <v>231</v>
      </c>
      <c r="H232" s="10" t="s">
        <v>322</v>
      </c>
      <c r="I232" s="10" t="s">
        <v>209</v>
      </c>
      <c r="J232" s="10">
        <v>44</v>
      </c>
      <c r="K232" s="12">
        <v>44930</v>
      </c>
      <c r="L232" s="33">
        <v>0.49873842592592593</v>
      </c>
      <c r="M232" s="10">
        <v>1</v>
      </c>
      <c r="N232" s="10" t="s">
        <v>169</v>
      </c>
      <c r="O232" s="10">
        <v>7.89</v>
      </c>
      <c r="P232" s="10">
        <v>0.36399999999999999</v>
      </c>
      <c r="Q232" s="10">
        <v>1070</v>
      </c>
      <c r="R232" s="10" t="s">
        <v>77</v>
      </c>
      <c r="S232" s="34">
        <f t="shared" si="21"/>
        <v>1070</v>
      </c>
      <c r="T232" s="10" t="s">
        <v>939</v>
      </c>
      <c r="U232" s="34" t="str">
        <f t="shared" si="22"/>
        <v/>
      </c>
      <c r="V232" s="31" t="str">
        <f>IF(H232="CHK",VLOOKUP(I232,QCCHK,3,),IF(H232="GUP",VLOOKUP(E232,QCGUP,2,),IF(AND(H232="ATP",OR(I232="TN",I232="TDN",I232="TNO2-3",I232="NO2-3")),VLOOKUP(E232,QCREC_N,2,),IF(AND(H232="NIC",OR(I232="TN",I232="TDN",I232="TNO2-3",I232="NO2-3")),VLOOKUP(E232,QCNIC_N,2,),IF(AND(H232="UREA",OR(I232="TN",I232="TDN",I232="TNO2-3",I232="NO2-3")),VLOOKUP(E232,QCUREA_N,2,),IF(H232="PER",VLOOKUP(I232,QCPER,MATCH(E232,QCACTUAL!$J$25:$AA$25,0),),IF(H232="SPK",VLOOKUP(I232,QCSPK,3,),IF(AND(H232="ATP",OR(I232="TP",I232="TDP")),VLOOKUP(E232,QCATP_P,2,),""))))))))</f>
        <v/>
      </c>
      <c r="W232" s="31" t="str">
        <f t="shared" si="23"/>
        <v>TRUE</v>
      </c>
      <c r="X232" s="31" t="str">
        <f t="shared" si="24"/>
        <v/>
      </c>
      <c r="Y232" s="10" t="s">
        <v>949</v>
      </c>
      <c r="Z232" s="10" t="s">
        <v>910</v>
      </c>
      <c r="AL232" s="10" t="str">
        <f t="shared" si="26"/>
        <v>FALSE</v>
      </c>
      <c r="AM232" s="10" t="str">
        <f t="shared" si="26"/>
        <v>FALSE</v>
      </c>
      <c r="AN232" s="10" t="str">
        <f t="shared" si="26"/>
        <v>FALSE</v>
      </c>
      <c r="AO232" s="10" t="str">
        <f t="shared" si="27"/>
        <v>FALSE</v>
      </c>
      <c r="AP232" s="10" t="str">
        <f t="shared" si="27"/>
        <v>FALSE</v>
      </c>
      <c r="AQ232" s="10" t="b">
        <f>IF(AND(I232="TP",S232&lt;=150),VLOOKUP(AF232,TPCalibEq150!$AZ$2:$BB$55,3,),IF(AND(I232="TDP",S232&lt;=150),VLOOKUP(AF232,TPCalibEq150!$AZ$2:$BB$55,3,)))</f>
        <v>0</v>
      </c>
      <c r="AR232" s="10" t="b">
        <f>IF(AND(I232="TP",S232&lt;=300),VLOOKUP(AF232,TPCalibEq300!$AZ$2:$BB$55,3,),IF(AND(I232="TDP",S232&lt;=300),VLOOKUP(AF232,TPCalibEq300!$AZ$2:$BB$55,3,)))</f>
        <v>0</v>
      </c>
      <c r="AS232" s="10" t="b">
        <f>IF(AND(I232="TP",S232&lt;=500),VLOOKUP(AF232,TPCalibEq500!$AZ$2:$BB$56,3,),IF(AND(I232="TDP",S232&lt;=500),VLOOKUP(AF232,TPCalibEq500!$AZ$2:$BB$56,3,)))</f>
        <v>0</v>
      </c>
      <c r="AT232" s="10" t="b">
        <f>IF(AND(I232="TN",S232&lt;=2800),VLOOKUP(AF232,TNCalibEq2500!$AZ$2:$BB$56,3,),IF(AND(I232="TDN",S232&lt;=2800),VLOOKUP(AF232,TNCalibEq2500!$AZ$2:$BB$56,3,)))</f>
        <v>0</v>
      </c>
      <c r="AU232" s="10" t="b">
        <f>IF(I232="TP",VLOOKUP(AF232,TPCalibEqFull!$AZ$2:$BB$56,3),IF(I232="TDP",VLOOKUP(AF232,TPCalibEqFull!$AZ$2:$BB$56,3),IF(I232="TDN",VLOOKUP(AF232,TNCalibEqFull!$AZ$1:$BB$56,3),IF(I232="TN",VLOOKUP(AF232,TNCalibEqFull!$AZ$1:$BB$56,3),FALSE))))</f>
        <v>0</v>
      </c>
      <c r="AV232" s="10" t="str">
        <f t="shared" si="25"/>
        <v>1229 05:17:00-HST-0-FIL-1-SW-UKN</v>
      </c>
    </row>
    <row r="233" spans="1:48" s="10" customFormat="1" x14ac:dyDescent="0.55000000000000004">
      <c r="A233" s="32">
        <v>44924</v>
      </c>
      <c r="B233" s="33">
        <v>0.22013888888888888</v>
      </c>
      <c r="C233" s="10" t="s">
        <v>333</v>
      </c>
      <c r="D233" s="10">
        <v>0</v>
      </c>
      <c r="E233" s="10" t="s">
        <v>911</v>
      </c>
      <c r="F233" s="10">
        <v>1</v>
      </c>
      <c r="G233" s="10" t="s">
        <v>231</v>
      </c>
      <c r="H233" s="10" t="s">
        <v>233</v>
      </c>
      <c r="I233" s="10" t="s">
        <v>209</v>
      </c>
      <c r="J233" s="10">
        <v>44</v>
      </c>
      <c r="K233" s="12">
        <v>44930</v>
      </c>
      <c r="L233" s="33">
        <v>0.49953703703703706</v>
      </c>
      <c r="M233" s="10">
        <v>1</v>
      </c>
      <c r="N233" s="10" t="s">
        <v>169</v>
      </c>
      <c r="O233" s="10">
        <v>7.34</v>
      </c>
      <c r="P233" s="10">
        <v>0.34</v>
      </c>
      <c r="Q233" s="10">
        <v>999</v>
      </c>
      <c r="R233" s="10" t="s">
        <v>77</v>
      </c>
      <c r="S233" s="34">
        <f t="shared" si="21"/>
        <v>999</v>
      </c>
      <c r="T233" s="10" t="s">
        <v>939</v>
      </c>
      <c r="U233" s="34">
        <f t="shared" si="22"/>
        <v>6.8632189463508935</v>
      </c>
      <c r="V233" s="31" t="str">
        <f>IF(H233="CHK",VLOOKUP(I233,QCCHK,3,),IF(H233="GUP",VLOOKUP(E233,QCGUP,2,),IF(AND(H233="ATP",OR(I233="TN",I233="TDN",I233="TNO2-3",I233="NO2-3")),VLOOKUP(E233,QCREC_N,2,),IF(AND(H233="NIC",OR(I233="TN",I233="TDN",I233="TNO2-3",I233="NO2-3")),VLOOKUP(E233,QCNIC_N,2,),IF(AND(H233="UREA",OR(I233="TN",I233="TDN",I233="TNO2-3",I233="NO2-3")),VLOOKUP(E233,QCUREA_N,2,),IF(H233="PER",VLOOKUP(I233,QCPER,MATCH(E233,QCACTUAL!$J$25:$AA$25,0),),IF(H233="SPK",VLOOKUP(I233,QCSPK,3,),IF(AND(H233="ATP",OR(I233="TP",I233="TDP")),VLOOKUP(E233,QCATP_P,2,),""))))))))</f>
        <v/>
      </c>
      <c r="W233" s="31" t="str">
        <f t="shared" si="23"/>
        <v>TRUE</v>
      </c>
      <c r="X233" s="31" t="str">
        <f t="shared" si="24"/>
        <v>((ABS(rep1-rep2))/((rep1+rep2)/2)*100</v>
      </c>
      <c r="Y233" s="10" t="s">
        <v>949</v>
      </c>
      <c r="Z233" s="10" t="s">
        <v>910</v>
      </c>
      <c r="AL233" s="10" t="str">
        <f t="shared" si="26"/>
        <v>FALSE</v>
      </c>
      <c r="AM233" s="10" t="str">
        <f t="shared" si="26"/>
        <v>FALSE</v>
      </c>
      <c r="AN233" s="10" t="str">
        <f t="shared" si="26"/>
        <v>FALSE</v>
      </c>
      <c r="AO233" s="10" t="str">
        <f t="shared" si="27"/>
        <v>FALSE</v>
      </c>
      <c r="AP233" s="10" t="str">
        <f t="shared" si="27"/>
        <v>FALSE</v>
      </c>
      <c r="AQ233" s="10" t="b">
        <f>IF(AND(I233="TP",S233&lt;=150),VLOOKUP(AF233,TPCalibEq150!$AZ$2:$BB$55,3,),IF(AND(I233="TDP",S233&lt;=150),VLOOKUP(AF233,TPCalibEq150!$AZ$2:$BB$55,3,)))</f>
        <v>0</v>
      </c>
      <c r="AR233" s="10" t="b">
        <f>IF(AND(I233="TP",S233&lt;=300),VLOOKUP(AF233,TPCalibEq300!$AZ$2:$BB$55,3,),IF(AND(I233="TDP",S233&lt;=300),VLOOKUP(AF233,TPCalibEq300!$AZ$2:$BB$55,3,)))</f>
        <v>0</v>
      </c>
      <c r="AS233" s="10" t="b">
        <f>IF(AND(I233="TP",S233&lt;=500),VLOOKUP(AF233,TPCalibEq500!$AZ$2:$BB$56,3,),IF(AND(I233="TDP",S233&lt;=500),VLOOKUP(AF233,TPCalibEq500!$AZ$2:$BB$56,3,)))</f>
        <v>0</v>
      </c>
      <c r="AT233" s="10" t="b">
        <f>IF(AND(I233="TN",S233&lt;=2800),VLOOKUP(AF233,TNCalibEq2500!$AZ$2:$BB$56,3,),IF(AND(I233="TDN",S233&lt;=2800),VLOOKUP(AF233,TNCalibEq2500!$AZ$2:$BB$56,3,)))</f>
        <v>0</v>
      </c>
      <c r="AU233" s="10" t="b">
        <f>IF(I233="TP",VLOOKUP(AF233,TPCalibEqFull!$AZ$2:$BB$56,3),IF(I233="TDP",VLOOKUP(AF233,TPCalibEqFull!$AZ$2:$BB$56,3),IF(I233="TDN",VLOOKUP(AF233,TNCalibEqFull!$AZ$1:$BB$56,3),IF(I233="TN",VLOOKUP(AF233,TNCalibEqFull!$AZ$1:$BB$56,3),FALSE))))</f>
        <v>0</v>
      </c>
      <c r="AV233" s="10" t="str">
        <f t="shared" si="25"/>
        <v>1229 05:17:00-HST-0-FIL-1-SW-DUP</v>
      </c>
    </row>
    <row r="234" spans="1:48" s="10" customFormat="1" x14ac:dyDescent="0.55000000000000004">
      <c r="A234" s="32">
        <v>44924</v>
      </c>
      <c r="B234" s="33">
        <v>0.22013888888888888</v>
      </c>
      <c r="C234" s="10" t="s">
        <v>912</v>
      </c>
      <c r="D234" s="10">
        <v>0</v>
      </c>
      <c r="E234" s="10" t="s">
        <v>911</v>
      </c>
      <c r="F234" s="10">
        <v>1</v>
      </c>
      <c r="G234" s="10" t="s">
        <v>231</v>
      </c>
      <c r="H234" s="10" t="s">
        <v>314</v>
      </c>
      <c r="I234" s="10" t="s">
        <v>209</v>
      </c>
      <c r="J234" s="10">
        <v>52</v>
      </c>
      <c r="K234" s="12">
        <v>44930</v>
      </c>
      <c r="L234" s="33">
        <v>0.50035879629629632</v>
      </c>
      <c r="M234" s="10">
        <v>1</v>
      </c>
      <c r="N234" s="10" t="s">
        <v>169</v>
      </c>
      <c r="O234" s="10">
        <v>12.2</v>
      </c>
      <c r="P234" s="10">
        <v>0.56599999999999995</v>
      </c>
      <c r="Q234" s="10">
        <v>1650</v>
      </c>
      <c r="R234" s="10" t="s">
        <v>77</v>
      </c>
      <c r="S234" s="34">
        <f t="shared" si="21"/>
        <v>1650</v>
      </c>
      <c r="T234" s="10" t="s">
        <v>939</v>
      </c>
      <c r="U234" s="34">
        <f t="shared" si="22"/>
        <v>104.16000000000001</v>
      </c>
      <c r="V234" s="31">
        <f>IF(H234="CHK",VLOOKUP(I234,QCCHK,3,),IF(H234="GUP",VLOOKUP(E234,QCGUP,2,),IF(AND(H234="ATP",OR(I234="TN",I234="TDN",I234="TNO2-3",I234="NO2-3")),VLOOKUP(E234,QCREC_N,2,),IF(AND(H234="NIC",OR(I234="TN",I234="TDN",I234="TNO2-3",I234="NO2-3")),VLOOKUP(E234,QCNIC_N,2,),IF(AND(H234="UREA",OR(I234="TN",I234="TDN",I234="TNO2-3",I234="NO2-3")),VLOOKUP(E234,QCUREA_N,2,),IF(H234="PER",VLOOKUP(I234,QCPER,MATCH(E234,QCACTUAL!$J$25:$AA$25,0),),IF(H234="SPK",VLOOKUP(I234,QCSPK,3,),IF(AND(H234="ATP",OR(I234="TP",I234="TDP")),VLOOKUP(E234,QCATP_P,2,),""))))))))</f>
        <v>625</v>
      </c>
      <c r="W234" s="31" t="str">
        <f t="shared" si="23"/>
        <v>TRUE</v>
      </c>
      <c r="X234" s="31" t="str">
        <f t="shared" si="24"/>
        <v>([spikedunkn]-[unkn])/[spike]*100</v>
      </c>
      <c r="Y234" s="10" t="s">
        <v>949</v>
      </c>
      <c r="Z234" s="10" t="s">
        <v>910</v>
      </c>
      <c r="AL234" s="10" t="str">
        <f t="shared" si="26"/>
        <v>FALSE</v>
      </c>
      <c r="AM234" s="10" t="str">
        <f t="shared" si="26"/>
        <v>FALSE</v>
      </c>
      <c r="AN234" s="10" t="str">
        <f t="shared" si="26"/>
        <v>FALSE</v>
      </c>
      <c r="AO234" s="10" t="str">
        <f t="shared" si="27"/>
        <v>FALSE</v>
      </c>
      <c r="AP234" s="10" t="str">
        <f t="shared" si="27"/>
        <v>FALSE</v>
      </c>
      <c r="AQ234" s="10" t="b">
        <f>IF(AND(I234="TP",S234&lt;=150),VLOOKUP(AF234,TPCalibEq150!$AZ$2:$BB$55,3,),IF(AND(I234="TDP",S234&lt;=150),VLOOKUP(AF234,TPCalibEq150!$AZ$2:$BB$55,3,)))</f>
        <v>0</v>
      </c>
      <c r="AR234" s="10" t="b">
        <f>IF(AND(I234="TP",S234&lt;=300),VLOOKUP(AF234,TPCalibEq300!$AZ$2:$BB$55,3,),IF(AND(I234="TDP",S234&lt;=300),VLOOKUP(AF234,TPCalibEq300!$AZ$2:$BB$55,3,)))</f>
        <v>0</v>
      </c>
      <c r="AS234" s="10" t="b">
        <f>IF(AND(I234="TP",S234&lt;=500),VLOOKUP(AF234,TPCalibEq500!$AZ$2:$BB$56,3,),IF(AND(I234="TDP",S234&lt;=500),VLOOKUP(AF234,TPCalibEq500!$AZ$2:$BB$56,3,)))</f>
        <v>0</v>
      </c>
      <c r="AT234" s="10" t="b">
        <f>IF(AND(I234="TN",S234&lt;=2800),VLOOKUP(AF234,TNCalibEq2500!$AZ$2:$BB$56,3,),IF(AND(I234="TDN",S234&lt;=2800),VLOOKUP(AF234,TNCalibEq2500!$AZ$2:$BB$56,3,)))</f>
        <v>0</v>
      </c>
      <c r="AU234" s="10" t="b">
        <f>IF(I234="TP",VLOOKUP(AF234,TPCalibEqFull!$AZ$2:$BB$56,3),IF(I234="TDP",VLOOKUP(AF234,TPCalibEqFull!$AZ$2:$BB$56,3),IF(I234="TDN",VLOOKUP(AF234,TNCalibEqFull!$AZ$1:$BB$56,3),IF(I234="TN",VLOOKUP(AF234,TNCalibEqFull!$AZ$1:$BB$56,3),FALSE))))</f>
        <v>0</v>
      </c>
      <c r="AV234" s="10" t="str">
        <f t="shared" si="25"/>
        <v>1229 05:17:00-HST -0-FIL-1-SW-SPK</v>
      </c>
    </row>
    <row r="235" spans="1:48" s="10" customFormat="1" x14ac:dyDescent="0.55000000000000004">
      <c r="A235" s="32">
        <v>44930</v>
      </c>
      <c r="B235" s="33">
        <v>0.375</v>
      </c>
      <c r="C235" s="10" t="s">
        <v>70</v>
      </c>
      <c r="D235" s="10" t="s">
        <v>71</v>
      </c>
      <c r="E235" s="10" t="s">
        <v>901</v>
      </c>
      <c r="F235" s="10">
        <v>1</v>
      </c>
      <c r="G235" s="10" t="s">
        <v>73</v>
      </c>
      <c r="H235" s="10" t="s">
        <v>207</v>
      </c>
      <c r="I235" s="10" t="s">
        <v>256</v>
      </c>
      <c r="J235" s="10">
        <v>200</v>
      </c>
      <c r="K235" s="12">
        <v>44930</v>
      </c>
      <c r="L235" s="33">
        <v>0.50118055555555563</v>
      </c>
      <c r="M235" s="10">
        <v>1</v>
      </c>
      <c r="N235" s="10" t="s">
        <v>169</v>
      </c>
      <c r="O235" s="10">
        <v>2.23</v>
      </c>
      <c r="P235" s="10">
        <v>0.105</v>
      </c>
      <c r="Q235" s="10">
        <v>303</v>
      </c>
      <c r="R235" s="10" t="s">
        <v>77</v>
      </c>
      <c r="S235" s="34">
        <f t="shared" si="21"/>
        <v>303</v>
      </c>
      <c r="T235" s="10" t="s">
        <v>939</v>
      </c>
      <c r="U235" s="34">
        <f t="shared" si="22"/>
        <v>101</v>
      </c>
      <c r="V235" s="31">
        <f>IF(H235="CHK",VLOOKUP(I235,QCCHK,3,),IF(H235="GUP",VLOOKUP(E235,QCGUP,2,),IF(AND(H235="ATP",OR(I235="TN",I235="TDN",I235="TNO2-3",I235="NO2-3")),VLOOKUP(E235,QCREC_N,2,),IF(AND(H235="NIC",OR(I235="TN",I235="TDN",I235="TNO2-3",I235="NO2-3")),VLOOKUP(E235,QCNIC_N,2,),IF(AND(H235="UREA",OR(I235="TN",I235="TDN",I235="TNO2-3",I235="NO2-3")),VLOOKUP(E235,QCUREA_N,2,),IF(H235="PER",VLOOKUP(I235,QCPER,MATCH(E235,QCACTUAL!$J$25:$AA$25,0),),IF(H235="SPK",VLOOKUP(I235,QCSPK,3,),IF(AND(H235="ATP",OR(I235="TP",I235="TDP")),VLOOKUP(E235,QCATP_P,2,),""))))))))</f>
        <v>300</v>
      </c>
      <c r="W235" s="31" t="str">
        <f t="shared" si="23"/>
        <v>TRUE</v>
      </c>
      <c r="X235" s="31" t="str">
        <f t="shared" si="24"/>
        <v>[chk]/[actual]*100</v>
      </c>
      <c r="Y235" s="10" t="s">
        <v>949</v>
      </c>
      <c r="AL235" s="10" t="str">
        <f t="shared" si="26"/>
        <v>FALSE</v>
      </c>
      <c r="AM235" s="10" t="str">
        <f t="shared" si="26"/>
        <v>FALSE</v>
      </c>
      <c r="AN235" s="10" t="str">
        <f t="shared" si="26"/>
        <v>FALSE</v>
      </c>
      <c r="AO235" s="10" t="str">
        <f t="shared" si="27"/>
        <v>FALSE</v>
      </c>
      <c r="AP235" s="10" t="str">
        <f t="shared" si="27"/>
        <v>FALSE</v>
      </c>
      <c r="AQ235" s="10" t="b">
        <f>IF(AND(I235="TP",S235&lt;=150),VLOOKUP(AF235,TPCalibEq150!$AZ$2:$BB$55,3,),IF(AND(I235="TDP",S235&lt;=150),VLOOKUP(AF235,TPCalibEq150!$AZ$2:$BB$55,3,)))</f>
        <v>0</v>
      </c>
      <c r="AR235" s="10" t="b">
        <f>IF(AND(I235="TP",S235&lt;=300),VLOOKUP(AF235,TPCalibEq300!$AZ$2:$BB$55,3,),IF(AND(I235="TDP",S235&lt;=300),VLOOKUP(AF235,TPCalibEq300!$AZ$2:$BB$55,3,)))</f>
        <v>0</v>
      </c>
      <c r="AS235" s="10" t="b">
        <f>IF(AND(I235="TP",S235&lt;=500),VLOOKUP(AF235,TPCalibEq500!$AZ$2:$BB$56,3,),IF(AND(I235="TDP",S235&lt;=500),VLOOKUP(AF235,TPCalibEq500!$AZ$2:$BB$56,3,)))</f>
        <v>0</v>
      </c>
      <c r="AT235" s="10" t="b">
        <f>IF(AND(I235="TN",S235&lt;=2800),VLOOKUP(AF235,TNCalibEq2500!$AZ$2:$BB$56,3,),IF(AND(I235="TDN",S235&lt;=2800),VLOOKUP(AF235,TNCalibEq2500!$AZ$2:$BB$56,3,)))</f>
        <v>0</v>
      </c>
      <c r="AU235" s="10" t="b">
        <f>IF(I235="TP",VLOOKUP(AF235,TPCalibEqFull!$AZ$2:$BB$56,3),IF(I235="TDP",VLOOKUP(AF235,TPCalibEqFull!$AZ$2:$BB$56,3),IF(I235="TDN",VLOOKUP(AF235,TNCalibEqFull!$AZ$1:$BB$56,3),IF(I235="TN",VLOOKUP(AF235,TNCalibEqFull!$AZ$1:$BB$56,3),FALSE))))</f>
        <v>0</v>
      </c>
      <c r="AV235" s="10" t="str">
        <f t="shared" si="25"/>
        <v>0104 09:00:00-QAC-STD-D-1-DI-CHK</v>
      </c>
    </row>
    <row r="236" spans="1:48" s="10" customFormat="1" x14ac:dyDescent="0.55000000000000004">
      <c r="A236" s="32">
        <v>44925</v>
      </c>
      <c r="B236" s="33">
        <v>0.55555555555555558</v>
      </c>
      <c r="C236" s="10" t="s">
        <v>279</v>
      </c>
      <c r="D236" s="10">
        <v>0</v>
      </c>
      <c r="E236" s="10" t="s">
        <v>911</v>
      </c>
      <c r="F236" s="10">
        <v>1</v>
      </c>
      <c r="G236" s="10" t="s">
        <v>231</v>
      </c>
      <c r="H236" s="10" t="s">
        <v>322</v>
      </c>
      <c r="I236" s="10" t="s">
        <v>209</v>
      </c>
      <c r="J236" s="10">
        <v>45</v>
      </c>
      <c r="K236" s="12">
        <v>44930</v>
      </c>
      <c r="L236" s="33">
        <v>0.50199074074074079</v>
      </c>
      <c r="M236" s="10">
        <v>1</v>
      </c>
      <c r="N236" s="10" t="s">
        <v>169</v>
      </c>
      <c r="O236" s="10">
        <v>10.6</v>
      </c>
      <c r="P236" s="10">
        <v>0.49099999999999999</v>
      </c>
      <c r="Q236" s="10">
        <v>1440</v>
      </c>
      <c r="R236" s="10" t="s">
        <v>77</v>
      </c>
      <c r="S236" s="34">
        <f t="shared" si="21"/>
        <v>1440</v>
      </c>
      <c r="T236" s="10" t="s">
        <v>939</v>
      </c>
      <c r="U236" s="34" t="str">
        <f t="shared" si="22"/>
        <v/>
      </c>
      <c r="V236" s="31" t="str">
        <f>IF(H236="CHK",VLOOKUP(I236,QCCHK,3,),IF(H236="GUP",VLOOKUP(E236,QCGUP,2,),IF(AND(H236="ATP",OR(I236="TN",I236="TDN",I236="TNO2-3",I236="NO2-3")),VLOOKUP(E236,QCREC_N,2,),IF(AND(H236="NIC",OR(I236="TN",I236="TDN",I236="TNO2-3",I236="NO2-3")),VLOOKUP(E236,QCNIC_N,2,),IF(AND(H236="UREA",OR(I236="TN",I236="TDN",I236="TNO2-3",I236="NO2-3")),VLOOKUP(E236,QCUREA_N,2,),IF(H236="PER",VLOOKUP(I236,QCPER,MATCH(E236,QCACTUAL!$J$25:$AA$25,0),),IF(H236="SPK",VLOOKUP(I236,QCSPK,3,),IF(AND(H236="ATP",OR(I236="TP",I236="TDP")),VLOOKUP(E236,QCATP_P,2,),""))))))))</f>
        <v/>
      </c>
      <c r="W236" s="31" t="str">
        <f t="shared" si="23"/>
        <v>TRUE</v>
      </c>
      <c r="X236" s="31" t="str">
        <f t="shared" si="24"/>
        <v/>
      </c>
      <c r="Y236" s="10" t="s">
        <v>949</v>
      </c>
      <c r="Z236" s="10" t="s">
        <v>910</v>
      </c>
      <c r="AL236" s="10" t="str">
        <f t="shared" si="26"/>
        <v>FALSE</v>
      </c>
      <c r="AM236" s="10" t="str">
        <f t="shared" si="26"/>
        <v>FALSE</v>
      </c>
      <c r="AN236" s="10" t="str">
        <f t="shared" si="26"/>
        <v>FALSE</v>
      </c>
      <c r="AO236" s="10" t="str">
        <f t="shared" si="27"/>
        <v>FALSE</v>
      </c>
      <c r="AP236" s="10" t="str">
        <f t="shared" si="27"/>
        <v>FALSE</v>
      </c>
      <c r="AQ236" s="10" t="b">
        <f>IF(AND(I236="TP",S236&lt;=150),VLOOKUP(AF236,TPCalibEq150!$AZ$2:$BB$55,3,),IF(AND(I236="TDP",S236&lt;=150),VLOOKUP(AF236,TPCalibEq150!$AZ$2:$BB$55,3,)))</f>
        <v>0</v>
      </c>
      <c r="AR236" s="10" t="b">
        <f>IF(AND(I236="TP",S236&lt;=300),VLOOKUP(AF236,TPCalibEq300!$AZ$2:$BB$55,3,),IF(AND(I236="TDP",S236&lt;=300),VLOOKUP(AF236,TPCalibEq300!$AZ$2:$BB$55,3,)))</f>
        <v>0</v>
      </c>
      <c r="AS236" s="10" t="b">
        <f>IF(AND(I236="TP",S236&lt;=500),VLOOKUP(AF236,TPCalibEq500!$AZ$2:$BB$56,3,),IF(AND(I236="TDP",S236&lt;=500),VLOOKUP(AF236,TPCalibEq500!$AZ$2:$BB$56,3,)))</f>
        <v>0</v>
      </c>
      <c r="AT236" s="10" t="b">
        <f>IF(AND(I236="TN",S236&lt;=2800),VLOOKUP(AF236,TNCalibEq2500!$AZ$2:$BB$56,3,),IF(AND(I236="TDN",S236&lt;=2800),VLOOKUP(AF236,TNCalibEq2500!$AZ$2:$BB$56,3,)))</f>
        <v>0</v>
      </c>
      <c r="AU236" s="10" t="b">
        <f>IF(I236="TP",VLOOKUP(AF236,TPCalibEqFull!$AZ$2:$BB$56,3),IF(I236="TDP",VLOOKUP(AF236,TPCalibEqFull!$AZ$2:$BB$56,3),IF(I236="TDN",VLOOKUP(AF236,TNCalibEqFull!$AZ$1:$BB$56,3),IF(I236="TN",VLOOKUP(AF236,TNCalibEqFull!$AZ$1:$BB$56,3),FALSE))))</f>
        <v>0</v>
      </c>
      <c r="AV236" s="10" t="str">
        <f t="shared" si="25"/>
        <v>1230 13:20:00-EFK-0-FIL-1-SW-UKN</v>
      </c>
    </row>
    <row r="237" spans="1:48" s="10" customFormat="1" x14ac:dyDescent="0.55000000000000004">
      <c r="A237" s="32">
        <v>44925</v>
      </c>
      <c r="B237" s="33">
        <v>0.55902777777777779</v>
      </c>
      <c r="C237" s="10" t="s">
        <v>333</v>
      </c>
      <c r="D237" s="10">
        <v>0</v>
      </c>
      <c r="E237" s="10" t="s">
        <v>911</v>
      </c>
      <c r="F237" s="10">
        <v>1</v>
      </c>
      <c r="G237" s="10" t="s">
        <v>231</v>
      </c>
      <c r="H237" s="10" t="s">
        <v>322</v>
      </c>
      <c r="I237" s="10" t="s">
        <v>209</v>
      </c>
      <c r="J237" s="10">
        <v>46</v>
      </c>
      <c r="K237" s="12">
        <v>44930</v>
      </c>
      <c r="L237" s="33">
        <v>0.5028125</v>
      </c>
      <c r="M237" s="10">
        <v>1</v>
      </c>
      <c r="N237" s="10" t="s">
        <v>169</v>
      </c>
      <c r="O237" s="10">
        <v>6.94</v>
      </c>
      <c r="P237" s="10">
        <v>0.32400000000000001</v>
      </c>
      <c r="Q237" s="10">
        <v>944</v>
      </c>
      <c r="R237" s="10" t="s">
        <v>77</v>
      </c>
      <c r="S237" s="34">
        <f t="shared" si="21"/>
        <v>944</v>
      </c>
      <c r="T237" s="10" t="s">
        <v>939</v>
      </c>
      <c r="U237" s="34" t="str">
        <f t="shared" si="22"/>
        <v/>
      </c>
      <c r="V237" s="31" t="str">
        <f>IF(H237="CHK",VLOOKUP(I237,QCCHK,3,),IF(H237="GUP",VLOOKUP(E237,QCGUP,2,),IF(AND(H237="ATP",OR(I237="TN",I237="TDN",I237="TNO2-3",I237="NO2-3")),VLOOKUP(E237,QCREC_N,2,),IF(AND(H237="NIC",OR(I237="TN",I237="TDN",I237="TNO2-3",I237="NO2-3")),VLOOKUP(E237,QCNIC_N,2,),IF(AND(H237="UREA",OR(I237="TN",I237="TDN",I237="TNO2-3",I237="NO2-3")),VLOOKUP(E237,QCUREA_N,2,),IF(H237="PER",VLOOKUP(I237,QCPER,MATCH(E237,QCACTUAL!$J$25:$AA$25,0),),IF(H237="SPK",VLOOKUP(I237,QCSPK,3,),IF(AND(H237="ATP",OR(I237="TP",I237="TDP")),VLOOKUP(E237,QCATP_P,2,),""))))))))</f>
        <v/>
      </c>
      <c r="W237" s="31" t="str">
        <f t="shared" si="23"/>
        <v>TRUE</v>
      </c>
      <c r="X237" s="31" t="str">
        <f t="shared" si="24"/>
        <v/>
      </c>
      <c r="Y237" s="10" t="s">
        <v>949</v>
      </c>
      <c r="Z237" s="10" t="s">
        <v>910</v>
      </c>
      <c r="AL237" s="10" t="str">
        <f t="shared" si="26"/>
        <v>FALSE</v>
      </c>
      <c r="AM237" s="10" t="str">
        <f t="shared" si="26"/>
        <v>FALSE</v>
      </c>
      <c r="AN237" s="10" t="str">
        <f t="shared" si="26"/>
        <v>FALSE</v>
      </c>
      <c r="AO237" s="10" t="str">
        <f t="shared" si="27"/>
        <v>FALSE</v>
      </c>
      <c r="AP237" s="10" t="str">
        <f t="shared" si="27"/>
        <v>FALSE</v>
      </c>
      <c r="AQ237" s="10" t="b">
        <f>IF(AND(I237="TP",S237&lt;=150),VLOOKUP(AF237,TPCalibEq150!$AZ$2:$BB$55,3,),IF(AND(I237="TDP",S237&lt;=150),VLOOKUP(AF237,TPCalibEq150!$AZ$2:$BB$55,3,)))</f>
        <v>0</v>
      </c>
      <c r="AR237" s="10" t="b">
        <f>IF(AND(I237="TP",S237&lt;=300),VLOOKUP(AF237,TPCalibEq300!$AZ$2:$BB$55,3,),IF(AND(I237="TDP",S237&lt;=300),VLOOKUP(AF237,TPCalibEq300!$AZ$2:$BB$55,3,)))</f>
        <v>0</v>
      </c>
      <c r="AS237" s="10" t="b">
        <f>IF(AND(I237="TP",S237&lt;=500),VLOOKUP(AF237,TPCalibEq500!$AZ$2:$BB$56,3,),IF(AND(I237="TDP",S237&lt;=500),VLOOKUP(AF237,TPCalibEq500!$AZ$2:$BB$56,3,)))</f>
        <v>0</v>
      </c>
      <c r="AT237" s="10" t="b">
        <f>IF(AND(I237="TN",S237&lt;=2800),VLOOKUP(AF237,TNCalibEq2500!$AZ$2:$BB$56,3,),IF(AND(I237="TDN",S237&lt;=2800),VLOOKUP(AF237,TNCalibEq2500!$AZ$2:$BB$56,3,)))</f>
        <v>0</v>
      </c>
      <c r="AU237" s="10" t="b">
        <f>IF(I237="TP",VLOOKUP(AF237,TPCalibEqFull!$AZ$2:$BB$56,3),IF(I237="TDP",VLOOKUP(AF237,TPCalibEqFull!$AZ$2:$BB$56,3),IF(I237="TDN",VLOOKUP(AF237,TNCalibEqFull!$AZ$1:$BB$56,3),IF(I237="TN",VLOOKUP(AF237,TNCalibEqFull!$AZ$1:$BB$56,3),FALSE))))</f>
        <v>0</v>
      </c>
      <c r="AV237" s="10" t="str">
        <f t="shared" si="25"/>
        <v>1230 13:25:00-HST-0-FIL-1-SW-UKN</v>
      </c>
    </row>
    <row r="238" spans="1:48" s="10" customFormat="1" x14ac:dyDescent="0.55000000000000004">
      <c r="A238" s="32">
        <v>44929</v>
      </c>
      <c r="B238" s="33">
        <v>0.22222222222222221</v>
      </c>
      <c r="C238" s="10" t="s">
        <v>279</v>
      </c>
      <c r="D238" s="10">
        <v>0</v>
      </c>
      <c r="E238" s="10" t="s">
        <v>911</v>
      </c>
      <c r="F238" s="10">
        <v>1</v>
      </c>
      <c r="G238" s="10" t="s">
        <v>231</v>
      </c>
      <c r="H238" s="10" t="s">
        <v>322</v>
      </c>
      <c r="I238" s="10" t="s">
        <v>209</v>
      </c>
      <c r="J238" s="10">
        <v>47</v>
      </c>
      <c r="K238" s="12">
        <v>44930</v>
      </c>
      <c r="L238" s="33">
        <v>0.5036342592592592</v>
      </c>
      <c r="M238" s="10">
        <v>1</v>
      </c>
      <c r="N238" s="10" t="s">
        <v>169</v>
      </c>
      <c r="O238" s="10">
        <v>4.93</v>
      </c>
      <c r="P238" s="10">
        <v>0.23</v>
      </c>
      <c r="Q238" s="10">
        <v>670</v>
      </c>
      <c r="R238" s="10" t="s">
        <v>77</v>
      </c>
      <c r="S238" s="34">
        <f t="shared" si="21"/>
        <v>670</v>
      </c>
      <c r="T238" s="10" t="s">
        <v>939</v>
      </c>
      <c r="U238" s="34" t="str">
        <f t="shared" si="22"/>
        <v/>
      </c>
      <c r="V238" s="31" t="str">
        <f>IF(H238="CHK",VLOOKUP(I238,QCCHK,3,),IF(H238="GUP",VLOOKUP(E238,QCGUP,2,),IF(AND(H238="ATP",OR(I238="TN",I238="TDN",I238="TNO2-3",I238="NO2-3")),VLOOKUP(E238,QCREC_N,2,),IF(AND(H238="NIC",OR(I238="TN",I238="TDN",I238="TNO2-3",I238="NO2-3")),VLOOKUP(E238,QCNIC_N,2,),IF(AND(H238="UREA",OR(I238="TN",I238="TDN",I238="TNO2-3",I238="NO2-3")),VLOOKUP(E238,QCUREA_N,2,),IF(H238="PER",VLOOKUP(I238,QCPER,MATCH(E238,QCACTUAL!$J$25:$AA$25,0),),IF(H238="SPK",VLOOKUP(I238,QCSPK,3,),IF(AND(H238="ATP",OR(I238="TP",I238="TDP")),VLOOKUP(E238,QCATP_P,2,),""))))))))</f>
        <v/>
      </c>
      <c r="W238" s="31" t="str">
        <f t="shared" si="23"/>
        <v>TRUE</v>
      </c>
      <c r="X238" s="31" t="str">
        <f t="shared" si="24"/>
        <v/>
      </c>
      <c r="Y238" s="10" t="s">
        <v>949</v>
      </c>
      <c r="AL238" s="10" t="str">
        <f t="shared" si="26"/>
        <v>FALSE</v>
      </c>
      <c r="AM238" s="10" t="str">
        <f t="shared" si="26"/>
        <v>FALSE</v>
      </c>
      <c r="AN238" s="10" t="str">
        <f t="shared" si="26"/>
        <v>FALSE</v>
      </c>
      <c r="AO238" s="10" t="str">
        <f t="shared" si="27"/>
        <v>FALSE</v>
      </c>
      <c r="AP238" s="10" t="str">
        <f t="shared" si="27"/>
        <v>FALSE</v>
      </c>
      <c r="AQ238" s="10" t="b">
        <f>IF(AND(I238="TP",S238&lt;=150),VLOOKUP(AF238,TPCalibEq150!$AZ$2:$BB$55,3,),IF(AND(I238="TDP",S238&lt;=150),VLOOKUP(AF238,TPCalibEq150!$AZ$2:$BB$55,3,)))</f>
        <v>0</v>
      </c>
      <c r="AR238" s="10" t="b">
        <f>IF(AND(I238="TP",S238&lt;=300),VLOOKUP(AF238,TPCalibEq300!$AZ$2:$BB$55,3,),IF(AND(I238="TDP",S238&lt;=300),VLOOKUP(AF238,TPCalibEq300!$AZ$2:$BB$55,3,)))</f>
        <v>0</v>
      </c>
      <c r="AS238" s="10" t="b">
        <f>IF(AND(I238="TP",S238&lt;=500),VLOOKUP(AF238,TPCalibEq500!$AZ$2:$BB$56,3,),IF(AND(I238="TDP",S238&lt;=500),VLOOKUP(AF238,TPCalibEq500!$AZ$2:$BB$56,3,)))</f>
        <v>0</v>
      </c>
      <c r="AT238" s="10" t="b">
        <f>IF(AND(I238="TN",S238&lt;=2800),VLOOKUP(AF238,TNCalibEq2500!$AZ$2:$BB$56,3,),IF(AND(I238="TDN",S238&lt;=2800),VLOOKUP(AF238,TNCalibEq2500!$AZ$2:$BB$56,3,)))</f>
        <v>0</v>
      </c>
      <c r="AU238" s="10" t="b">
        <f>IF(I238="TP",VLOOKUP(AF238,TPCalibEqFull!$AZ$2:$BB$56,3),IF(I238="TDP",VLOOKUP(AF238,TPCalibEqFull!$AZ$2:$BB$56,3),IF(I238="TDN",VLOOKUP(AF238,TNCalibEqFull!$AZ$1:$BB$56,3),IF(I238="TN",VLOOKUP(AF238,TNCalibEqFull!$AZ$1:$BB$56,3),FALSE))))</f>
        <v>0</v>
      </c>
      <c r="AV238" s="10" t="str">
        <f t="shared" si="25"/>
        <v>0103 05:20:00-EFK-0-FIL-1-SW-UKN</v>
      </c>
    </row>
    <row r="239" spans="1:48" s="10" customFormat="1" x14ac:dyDescent="0.55000000000000004">
      <c r="A239" s="32">
        <v>44929</v>
      </c>
      <c r="B239" s="33">
        <v>0.22569444444444445</v>
      </c>
      <c r="C239" s="10" t="s">
        <v>333</v>
      </c>
      <c r="D239" s="10">
        <v>0</v>
      </c>
      <c r="E239" s="10" t="s">
        <v>911</v>
      </c>
      <c r="F239" s="10">
        <v>1</v>
      </c>
      <c r="G239" s="10" t="s">
        <v>231</v>
      </c>
      <c r="H239" s="10" t="s">
        <v>322</v>
      </c>
      <c r="I239" s="10" t="s">
        <v>209</v>
      </c>
      <c r="J239" s="10">
        <v>48</v>
      </c>
      <c r="K239" s="12">
        <v>44930</v>
      </c>
      <c r="L239" s="33">
        <v>0.50446759259259266</v>
      </c>
      <c r="M239" s="10">
        <v>1</v>
      </c>
      <c r="N239" s="10" t="s">
        <v>169</v>
      </c>
      <c r="O239" s="10">
        <v>2.86</v>
      </c>
      <c r="P239" s="10">
        <v>0.13</v>
      </c>
      <c r="Q239" s="10">
        <v>389</v>
      </c>
      <c r="R239" s="10" t="s">
        <v>77</v>
      </c>
      <c r="S239" s="34">
        <f t="shared" si="21"/>
        <v>389</v>
      </c>
      <c r="T239" s="10" t="s">
        <v>939</v>
      </c>
      <c r="U239" s="34" t="str">
        <f t="shared" si="22"/>
        <v/>
      </c>
      <c r="V239" s="31" t="str">
        <f>IF(H239="CHK",VLOOKUP(I239,QCCHK,3,),IF(H239="GUP",VLOOKUP(E239,QCGUP,2,),IF(AND(H239="ATP",OR(I239="TN",I239="TDN",I239="TNO2-3",I239="NO2-3")),VLOOKUP(E239,QCREC_N,2,),IF(AND(H239="NIC",OR(I239="TN",I239="TDN",I239="TNO2-3",I239="NO2-3")),VLOOKUP(E239,QCNIC_N,2,),IF(AND(H239="UREA",OR(I239="TN",I239="TDN",I239="TNO2-3",I239="NO2-3")),VLOOKUP(E239,QCUREA_N,2,),IF(H239="PER",VLOOKUP(I239,QCPER,MATCH(E239,QCACTUAL!$J$25:$AA$25,0),),IF(H239="SPK",VLOOKUP(I239,QCSPK,3,),IF(AND(H239="ATP",OR(I239="TP",I239="TDP")),VLOOKUP(E239,QCATP_P,2,),""))))))))</f>
        <v/>
      </c>
      <c r="W239" s="31" t="str">
        <f t="shared" si="23"/>
        <v>TRUE</v>
      </c>
      <c r="X239" s="31" t="str">
        <f t="shared" si="24"/>
        <v/>
      </c>
      <c r="Y239" s="10" t="s">
        <v>949</v>
      </c>
      <c r="AL239" s="10" t="str">
        <f t="shared" si="26"/>
        <v>FALSE</v>
      </c>
      <c r="AM239" s="10" t="str">
        <f t="shared" si="26"/>
        <v>FALSE</v>
      </c>
      <c r="AN239" s="10" t="str">
        <f t="shared" si="26"/>
        <v>FALSE</v>
      </c>
      <c r="AO239" s="10" t="str">
        <f t="shared" si="27"/>
        <v>FALSE</v>
      </c>
      <c r="AP239" s="10" t="str">
        <f t="shared" si="27"/>
        <v>FALSE</v>
      </c>
      <c r="AQ239" s="10" t="b">
        <f>IF(AND(I239="TP",S239&lt;=150),VLOOKUP(AF239,TPCalibEq150!$AZ$2:$BB$55,3,),IF(AND(I239="TDP",S239&lt;=150),VLOOKUP(AF239,TPCalibEq150!$AZ$2:$BB$55,3,)))</f>
        <v>0</v>
      </c>
      <c r="AR239" s="10" t="b">
        <f>IF(AND(I239="TP",S239&lt;=300),VLOOKUP(AF239,TPCalibEq300!$AZ$2:$BB$55,3,),IF(AND(I239="TDP",S239&lt;=300),VLOOKUP(AF239,TPCalibEq300!$AZ$2:$BB$55,3,)))</f>
        <v>0</v>
      </c>
      <c r="AS239" s="10" t="b">
        <f>IF(AND(I239="TP",S239&lt;=500),VLOOKUP(AF239,TPCalibEq500!$AZ$2:$BB$56,3,),IF(AND(I239="TDP",S239&lt;=500),VLOOKUP(AF239,TPCalibEq500!$AZ$2:$BB$56,3,)))</f>
        <v>0</v>
      </c>
      <c r="AT239" s="10" t="b">
        <f>IF(AND(I239="TN",S239&lt;=2800),VLOOKUP(AF239,TNCalibEq2500!$AZ$2:$BB$56,3,),IF(AND(I239="TDN",S239&lt;=2800),VLOOKUP(AF239,TNCalibEq2500!$AZ$2:$BB$56,3,)))</f>
        <v>0</v>
      </c>
      <c r="AU239" s="10" t="b">
        <f>IF(I239="TP",VLOOKUP(AF239,TPCalibEqFull!$AZ$2:$BB$56,3),IF(I239="TDP",VLOOKUP(AF239,TPCalibEqFull!$AZ$2:$BB$56,3),IF(I239="TDN",VLOOKUP(AF239,TNCalibEqFull!$AZ$1:$BB$56,3),IF(I239="TN",VLOOKUP(AF239,TNCalibEqFull!$AZ$1:$BB$56,3),FALSE))))</f>
        <v>0</v>
      </c>
      <c r="AV239" s="10" t="str">
        <f t="shared" si="25"/>
        <v>0103 05:25:00-HST-0-FIL-1-SW-UKN</v>
      </c>
    </row>
    <row r="240" spans="1:48" s="10" customFormat="1" x14ac:dyDescent="0.55000000000000004">
      <c r="A240" s="32">
        <v>44929</v>
      </c>
      <c r="B240" s="33">
        <v>0.22569444444444445</v>
      </c>
      <c r="C240" s="10" t="s">
        <v>333</v>
      </c>
      <c r="D240" s="10">
        <v>0</v>
      </c>
      <c r="E240" s="10" t="s">
        <v>911</v>
      </c>
      <c r="F240" s="10">
        <v>1</v>
      </c>
      <c r="G240" s="10" t="s">
        <v>231</v>
      </c>
      <c r="H240" s="10" t="s">
        <v>233</v>
      </c>
      <c r="I240" s="10" t="s">
        <v>209</v>
      </c>
      <c r="J240" s="10">
        <v>48</v>
      </c>
      <c r="K240" s="12">
        <v>44930</v>
      </c>
      <c r="L240" s="33">
        <v>0.50528935185185186</v>
      </c>
      <c r="M240" s="10">
        <v>1</v>
      </c>
      <c r="N240" s="10" t="s">
        <v>169</v>
      </c>
      <c r="O240" s="10">
        <v>2.83</v>
      </c>
      <c r="P240" s="10">
        <v>0.129</v>
      </c>
      <c r="Q240" s="10">
        <v>385</v>
      </c>
      <c r="R240" s="10" t="s">
        <v>77</v>
      </c>
      <c r="S240" s="34">
        <f t="shared" si="21"/>
        <v>385</v>
      </c>
      <c r="T240" s="10" t="s">
        <v>939</v>
      </c>
      <c r="U240" s="34">
        <f t="shared" si="22"/>
        <v>1.03359173126615</v>
      </c>
      <c r="V240" s="31" t="str">
        <f>IF(H240="CHK",VLOOKUP(I240,QCCHK,3,),IF(H240="GUP",VLOOKUP(E240,QCGUP,2,),IF(AND(H240="ATP",OR(I240="TN",I240="TDN",I240="TNO2-3",I240="NO2-3")),VLOOKUP(E240,QCREC_N,2,),IF(AND(H240="NIC",OR(I240="TN",I240="TDN",I240="TNO2-3",I240="NO2-3")),VLOOKUP(E240,QCNIC_N,2,),IF(AND(H240="UREA",OR(I240="TN",I240="TDN",I240="TNO2-3",I240="NO2-3")),VLOOKUP(E240,QCUREA_N,2,),IF(H240="PER",VLOOKUP(I240,QCPER,MATCH(E240,QCACTUAL!$J$25:$AA$25,0),),IF(H240="SPK",VLOOKUP(I240,QCSPK,3,),IF(AND(H240="ATP",OR(I240="TP",I240="TDP")),VLOOKUP(E240,QCATP_P,2,),""))))))))</f>
        <v/>
      </c>
      <c r="W240" s="31" t="str">
        <f t="shared" si="23"/>
        <v>TRUE</v>
      </c>
      <c r="X240" s="31" t="str">
        <f t="shared" si="24"/>
        <v>((ABS(rep1-rep2))/((rep1+rep2)/2)*100</v>
      </c>
      <c r="Y240" s="10" t="s">
        <v>949</v>
      </c>
      <c r="AL240" s="10" t="str">
        <f t="shared" si="26"/>
        <v>FALSE</v>
      </c>
      <c r="AM240" s="10" t="str">
        <f t="shared" si="26"/>
        <v>FALSE</v>
      </c>
      <c r="AN240" s="10" t="str">
        <f t="shared" si="26"/>
        <v>FALSE</v>
      </c>
      <c r="AO240" s="10" t="str">
        <f t="shared" si="27"/>
        <v>FALSE</v>
      </c>
      <c r="AP240" s="10" t="str">
        <f t="shared" si="27"/>
        <v>FALSE</v>
      </c>
      <c r="AQ240" s="10" t="b">
        <f>IF(AND(I240="TP",S240&lt;=150),VLOOKUP(AF240,TPCalibEq150!$AZ$2:$BB$55,3,),IF(AND(I240="TDP",S240&lt;=150),VLOOKUP(AF240,TPCalibEq150!$AZ$2:$BB$55,3,)))</f>
        <v>0</v>
      </c>
      <c r="AR240" s="10" t="b">
        <f>IF(AND(I240="TP",S240&lt;=300),VLOOKUP(AF240,TPCalibEq300!$AZ$2:$BB$55,3,),IF(AND(I240="TDP",S240&lt;=300),VLOOKUP(AF240,TPCalibEq300!$AZ$2:$BB$55,3,)))</f>
        <v>0</v>
      </c>
      <c r="AS240" s="10" t="b">
        <f>IF(AND(I240="TP",S240&lt;=500),VLOOKUP(AF240,TPCalibEq500!$AZ$2:$BB$56,3,),IF(AND(I240="TDP",S240&lt;=500),VLOOKUP(AF240,TPCalibEq500!$AZ$2:$BB$56,3,)))</f>
        <v>0</v>
      </c>
      <c r="AT240" s="10" t="b">
        <f>IF(AND(I240="TN",S240&lt;=2800),VLOOKUP(AF240,TNCalibEq2500!$AZ$2:$BB$56,3,),IF(AND(I240="TDN",S240&lt;=2800),VLOOKUP(AF240,TNCalibEq2500!$AZ$2:$BB$56,3,)))</f>
        <v>0</v>
      </c>
      <c r="AU240" s="10" t="b">
        <f>IF(I240="TP",VLOOKUP(AF240,TPCalibEqFull!$AZ$2:$BB$56,3),IF(I240="TDP",VLOOKUP(AF240,TPCalibEqFull!$AZ$2:$BB$56,3),IF(I240="TDN",VLOOKUP(AF240,TNCalibEqFull!$AZ$1:$BB$56,3),IF(I240="TN",VLOOKUP(AF240,TNCalibEqFull!$AZ$1:$BB$56,3),FALSE))))</f>
        <v>0</v>
      </c>
      <c r="AV240" s="10" t="str">
        <f t="shared" si="25"/>
        <v>0103 05:25:00-HST-0-FIL-1-SW-DUP</v>
      </c>
    </row>
    <row r="241" spans="1:48" s="10" customFormat="1" x14ac:dyDescent="0.55000000000000004">
      <c r="A241" s="32">
        <v>44930</v>
      </c>
      <c r="B241" s="33">
        <v>0.375</v>
      </c>
      <c r="C241" s="10" t="s">
        <v>70</v>
      </c>
      <c r="D241" s="10" t="s">
        <v>71</v>
      </c>
      <c r="E241" s="10" t="s">
        <v>901</v>
      </c>
      <c r="F241" s="10">
        <v>1</v>
      </c>
      <c r="G241" s="10" t="s">
        <v>73</v>
      </c>
      <c r="H241" s="10" t="s">
        <v>207</v>
      </c>
      <c r="I241" s="10" t="s">
        <v>256</v>
      </c>
      <c r="J241" s="10">
        <v>200</v>
      </c>
      <c r="K241" s="12">
        <v>44930</v>
      </c>
      <c r="L241" s="33">
        <v>0.50611111111111107</v>
      </c>
      <c r="M241" s="10">
        <v>1</v>
      </c>
      <c r="N241" s="10" t="s">
        <v>169</v>
      </c>
      <c r="O241" s="10">
        <v>2.27</v>
      </c>
      <c r="P241" s="10">
        <v>0.109</v>
      </c>
      <c r="Q241" s="10">
        <v>309</v>
      </c>
      <c r="R241" s="10" t="s">
        <v>77</v>
      </c>
      <c r="S241" s="34">
        <f t="shared" si="21"/>
        <v>309</v>
      </c>
      <c r="T241" s="10" t="s">
        <v>939</v>
      </c>
      <c r="U241" s="34">
        <f t="shared" si="22"/>
        <v>103</v>
      </c>
      <c r="V241" s="31">
        <f>IF(H241="CHK",VLOOKUP(I241,QCCHK,3,),IF(H241="GUP",VLOOKUP(E241,QCGUP,2,),IF(AND(H241="ATP",OR(I241="TN",I241="TDN",I241="TNO2-3",I241="NO2-3")),VLOOKUP(E241,QCREC_N,2,),IF(AND(H241="NIC",OR(I241="TN",I241="TDN",I241="TNO2-3",I241="NO2-3")),VLOOKUP(E241,QCNIC_N,2,),IF(AND(H241="UREA",OR(I241="TN",I241="TDN",I241="TNO2-3",I241="NO2-3")),VLOOKUP(E241,QCUREA_N,2,),IF(H241="PER",VLOOKUP(I241,QCPER,MATCH(E241,QCACTUAL!$J$25:$AA$25,0),),IF(H241="SPK",VLOOKUP(I241,QCSPK,3,),IF(AND(H241="ATP",OR(I241="TP",I241="TDP")),VLOOKUP(E241,QCATP_P,2,),""))))))))</f>
        <v>300</v>
      </c>
      <c r="W241" s="31" t="str">
        <f t="shared" si="23"/>
        <v>TRUE</v>
      </c>
      <c r="X241" s="31" t="str">
        <f t="shared" si="24"/>
        <v>[chk]/[actual]*100</v>
      </c>
      <c r="Y241" s="10" t="s">
        <v>949</v>
      </c>
      <c r="AL241" s="10" t="str">
        <f t="shared" si="26"/>
        <v>FALSE</v>
      </c>
      <c r="AM241" s="10" t="str">
        <f t="shared" si="26"/>
        <v>FALSE</v>
      </c>
      <c r="AN241" s="10" t="str">
        <f t="shared" si="26"/>
        <v>FALSE</v>
      </c>
      <c r="AO241" s="10" t="str">
        <f t="shared" si="27"/>
        <v>FALSE</v>
      </c>
      <c r="AP241" s="10" t="str">
        <f t="shared" si="27"/>
        <v>FALSE</v>
      </c>
      <c r="AQ241" s="10" t="b">
        <f>IF(AND(I241="TP",S241&lt;=150),VLOOKUP(AF241,TPCalibEq150!$AZ$2:$BB$55,3,),IF(AND(I241="TDP",S241&lt;=150),VLOOKUP(AF241,TPCalibEq150!$AZ$2:$BB$55,3,)))</f>
        <v>0</v>
      </c>
      <c r="AR241" s="10" t="b">
        <f>IF(AND(I241="TP",S241&lt;=300),VLOOKUP(AF241,TPCalibEq300!$AZ$2:$BB$55,3,),IF(AND(I241="TDP",S241&lt;=300),VLOOKUP(AF241,TPCalibEq300!$AZ$2:$BB$55,3,)))</f>
        <v>0</v>
      </c>
      <c r="AS241" s="10" t="b">
        <f>IF(AND(I241="TP",S241&lt;=500),VLOOKUP(AF241,TPCalibEq500!$AZ$2:$BB$56,3,),IF(AND(I241="TDP",S241&lt;=500),VLOOKUP(AF241,TPCalibEq500!$AZ$2:$BB$56,3,)))</f>
        <v>0</v>
      </c>
      <c r="AT241" s="10" t="b">
        <f>IF(AND(I241="TN",S241&lt;=2800),VLOOKUP(AF241,TNCalibEq2500!$AZ$2:$BB$56,3,),IF(AND(I241="TDN",S241&lt;=2800),VLOOKUP(AF241,TNCalibEq2500!$AZ$2:$BB$56,3,)))</f>
        <v>0</v>
      </c>
      <c r="AU241" s="10" t="b">
        <f>IF(I241="TP",VLOOKUP(AF241,TPCalibEqFull!$AZ$2:$BB$56,3),IF(I241="TDP",VLOOKUP(AF241,TPCalibEqFull!$AZ$2:$BB$56,3),IF(I241="TDN",VLOOKUP(AF241,TNCalibEqFull!$AZ$1:$BB$56,3),IF(I241="TN",VLOOKUP(AF241,TNCalibEqFull!$AZ$1:$BB$56,3),FALSE))))</f>
        <v>0</v>
      </c>
      <c r="AV241" s="10" t="str">
        <f t="shared" si="25"/>
        <v>0104 09:00:00-QAC-STD-D-1-DI-CHK</v>
      </c>
    </row>
    <row r="242" spans="1:48" s="10" customFormat="1" x14ac:dyDescent="0.55000000000000004">
      <c r="A242" s="32">
        <v>44930</v>
      </c>
      <c r="B242" s="33">
        <v>0.375</v>
      </c>
      <c r="C242" s="10" t="s">
        <v>70</v>
      </c>
      <c r="D242" s="10" t="s">
        <v>71</v>
      </c>
      <c r="E242" s="10" t="s">
        <v>917</v>
      </c>
      <c r="F242" s="10">
        <v>1</v>
      </c>
      <c r="G242" s="10" t="s">
        <v>73</v>
      </c>
      <c r="H242" s="10" t="s">
        <v>74</v>
      </c>
      <c r="I242" s="10" t="s">
        <v>235</v>
      </c>
      <c r="J242" s="10">
        <v>181</v>
      </c>
      <c r="K242" s="12">
        <v>44930</v>
      </c>
      <c r="L242" s="33">
        <v>0.5556712962962963</v>
      </c>
      <c r="M242" s="10">
        <v>1</v>
      </c>
      <c r="N242" s="10" t="s">
        <v>196</v>
      </c>
      <c r="O242" s="10">
        <v>0.51500000000000001</v>
      </c>
      <c r="P242" s="10">
        <v>3.0099999999999998E-2</v>
      </c>
      <c r="Q242" s="10">
        <v>0</v>
      </c>
      <c r="R242" s="10" t="s">
        <v>170</v>
      </c>
      <c r="S242" s="34">
        <f t="shared" si="21"/>
        <v>0</v>
      </c>
      <c r="T242" s="10" t="s">
        <v>914</v>
      </c>
      <c r="U242" s="34" t="str">
        <f t="shared" si="22"/>
        <v/>
      </c>
      <c r="V242" s="31" t="str">
        <f>IF(H242="CHK",VLOOKUP(I242,QCCHK,3,),IF(H242="GUP",VLOOKUP(E242,QCGUP,2,),IF(AND(H242="ATP",OR(I242="TN",I242="TDN",I242="TNO2-3",I242="NO2-3")),VLOOKUP(E242,QCREC_N,2,),IF(AND(H242="NIC",OR(I242="TN",I242="TDN",I242="TNO2-3",I242="NO2-3")),VLOOKUP(E242,QCNIC_N,2,),IF(AND(H242="UREA",OR(I242="TN",I242="TDN",I242="TNO2-3",I242="NO2-3")),VLOOKUP(E242,QCUREA_N,2,),IF(H242="PER",VLOOKUP(I242,QCPER,MATCH(E242,QCACTUAL!$J$25:$AA$25,0),),IF(H242="SPK",VLOOKUP(I242,QCSPK,3,),IF(AND(H242="ATP",OR(I242="TP",I242="TDP")),VLOOKUP(E242,QCATP_P,2,),""))))))))</f>
        <v/>
      </c>
      <c r="W242" s="31" t="str">
        <f t="shared" si="23"/>
        <v>TRUE</v>
      </c>
      <c r="X242" s="31" t="str">
        <f t="shared" si="24"/>
        <v/>
      </c>
      <c r="Y242" s="10" t="s">
        <v>959</v>
      </c>
      <c r="AF242" s="12">
        <v>44930</v>
      </c>
      <c r="AJ242" s="10">
        <f>0.4739*0.515^2+205.64*0.515-100.4</f>
        <v>5.6302901274999897</v>
      </c>
      <c r="AK242" s="10">
        <f>-0.5241*0.515^2+227.02*0.515-134.2</f>
        <v>-17.423704422499981</v>
      </c>
      <c r="AL242" s="10" t="str">
        <f t="shared" si="26"/>
        <v>FALSE</v>
      </c>
      <c r="AM242" s="10" t="str">
        <f t="shared" si="26"/>
        <v>FALSE</v>
      </c>
      <c r="AN242" s="10" t="str">
        <f t="shared" si="26"/>
        <v>FALSE</v>
      </c>
      <c r="AO242" s="10" t="str">
        <f t="shared" si="27"/>
        <v>y=0.4739*0.515^2+205.64*0.515-100.4</v>
      </c>
      <c r="AP242" s="10" t="str">
        <f t="shared" si="27"/>
        <v>y=-0.5241*0.515^2+227.02*0.515-134.2</v>
      </c>
      <c r="AQ242" s="10" t="b">
        <f>IF(AND(I242="TP",S242&lt;=150),VLOOKUP(AF242,TPCalibEq150!$AZ$2:$BB$55,3,),IF(AND(I242="TDP",S242&lt;=150),VLOOKUP(AF242,TPCalibEq150!$AZ$2:$BB$55,3,)))</f>
        <v>0</v>
      </c>
      <c r="AR242" s="10" t="b">
        <f>IF(AND(I242="TP",S242&lt;=300),VLOOKUP(AF242,TPCalibEq300!$AZ$2:$BB$55,3,),IF(AND(I242="TDP",S242&lt;=300),VLOOKUP(AF242,TPCalibEq300!$AZ$2:$BB$55,3,)))</f>
        <v>0</v>
      </c>
      <c r="AS242" s="10" t="b">
        <f>IF(AND(I242="TP",S242&lt;=500),VLOOKUP(AF242,TPCalibEq500!$AZ$2:$BB$56,3,),IF(AND(I242="TDP",S242&lt;=500),VLOOKUP(AF242,TPCalibEq500!$AZ$2:$BB$56,3,)))</f>
        <v>0</v>
      </c>
      <c r="AT242" s="10" t="str">
        <f>IF(AND(I242="TN",S242&lt;=2800),VLOOKUP(AF242,TNCalibEq2500!$AZ$2:$BB$56,3,),IF(AND(I242="TDN",S242&lt;=2800),VLOOKUP(AF242,TNCalibEq2500!$AZ$2:$BB$56,3,)))</f>
        <v>y=0.4739x2+205.64x-100.4</v>
      </c>
      <c r="AU242" s="10" t="str">
        <f>IF(I242="TP",VLOOKUP(AF242,TPCalibEqFull!$AZ$2:$BB$56,3),IF(I242="TDP",VLOOKUP(AF242,TPCalibEqFull!$AZ$2:$BB$56,3),IF(I242="TDN",VLOOKUP(AF242,TNCalibEqFull!$AZ$1:$BB$56,3),IF(I242="TN",VLOOKUP(AF242,TNCalibEqFull!$AZ$1:$BB$56,3),FALSE))))</f>
        <v>y=-0.5241x2+227.02x-134.2</v>
      </c>
      <c r="AV242" s="10" t="str">
        <f t="shared" si="25"/>
        <v>0104 09:00:00-QAC-STD-D.H-1-DI-CAL</v>
      </c>
    </row>
    <row r="243" spans="1:48" s="10" customFormat="1" x14ac:dyDescent="0.55000000000000004">
      <c r="A243" s="32">
        <v>44930</v>
      </c>
      <c r="B243" s="33">
        <v>0.375</v>
      </c>
      <c r="C243" s="10" t="s">
        <v>70</v>
      </c>
      <c r="D243" s="10" t="s">
        <v>71</v>
      </c>
      <c r="E243" s="10" t="s">
        <v>918</v>
      </c>
      <c r="F243" s="10">
        <v>1</v>
      </c>
      <c r="G243" s="10" t="s">
        <v>73</v>
      </c>
      <c r="H243" s="10" t="s">
        <v>74</v>
      </c>
      <c r="I243" s="10" t="s">
        <v>235</v>
      </c>
      <c r="J243" s="10">
        <v>182</v>
      </c>
      <c r="K243" s="12">
        <v>44930</v>
      </c>
      <c r="L243" s="33">
        <v>0.55635416666666659</v>
      </c>
      <c r="M243" s="10">
        <v>1</v>
      </c>
      <c r="N243" s="10" t="s">
        <v>196</v>
      </c>
      <c r="O243" s="10">
        <v>0.59599999999999997</v>
      </c>
      <c r="P243" s="10">
        <v>3.5200000000000002E-2</v>
      </c>
      <c r="Q243" s="10">
        <v>30</v>
      </c>
      <c r="R243" s="10" t="s">
        <v>170</v>
      </c>
      <c r="S243" s="34">
        <f t="shared" si="21"/>
        <v>30</v>
      </c>
      <c r="T243" s="10" t="s">
        <v>960</v>
      </c>
      <c r="U243" s="34" t="str">
        <f t="shared" si="22"/>
        <v/>
      </c>
      <c r="V243" s="31" t="str">
        <f>IF(H243="CHK",VLOOKUP(I243,QCCHK,3,),IF(H243="GUP",VLOOKUP(E243,QCGUP,2,),IF(AND(H243="ATP",OR(I243="TN",I243="TDN",I243="TNO2-3",I243="NO2-3")),VLOOKUP(E243,QCREC_N,2,),IF(AND(H243="NIC",OR(I243="TN",I243="TDN",I243="TNO2-3",I243="NO2-3")),VLOOKUP(E243,QCNIC_N,2,),IF(AND(H243="UREA",OR(I243="TN",I243="TDN",I243="TNO2-3",I243="NO2-3")),VLOOKUP(E243,QCUREA_N,2,),IF(H243="PER",VLOOKUP(I243,QCPER,MATCH(E243,QCACTUAL!$J$25:$AA$25,0),),IF(H243="SPK",VLOOKUP(I243,QCSPK,3,),IF(AND(H243="ATP",OR(I243="TP",I243="TDP")),VLOOKUP(E243,QCATP_P,2,),""))))))))</f>
        <v/>
      </c>
      <c r="W243" s="31" t="str">
        <f t="shared" si="23"/>
        <v>TRUE</v>
      </c>
      <c r="X243" s="31" t="str">
        <f t="shared" si="24"/>
        <v/>
      </c>
      <c r="Y243" s="10" t="s">
        <v>959</v>
      </c>
      <c r="AF243" s="12">
        <v>44930</v>
      </c>
      <c r="AJ243" s="10">
        <f>0.4739*0.596^2+205.64*0.596-100.4</f>
        <v>22.329776862399981</v>
      </c>
      <c r="AK243" s="10">
        <f>-0.5241*0.596^2+227.02*0.596-134.2</f>
        <v>0.91775129440000569</v>
      </c>
      <c r="AL243" s="10" t="str">
        <f t="shared" si="26"/>
        <v>FALSE</v>
      </c>
      <c r="AM243" s="10" t="str">
        <f t="shared" si="26"/>
        <v>FALSE</v>
      </c>
      <c r="AN243" s="10" t="str">
        <f t="shared" si="26"/>
        <v>FALSE</v>
      </c>
      <c r="AO243" s="10" t="str">
        <f t="shared" si="27"/>
        <v>y=0.4739*0.596^2+205.64*0.596-100.4</v>
      </c>
      <c r="AP243" s="10" t="str">
        <f t="shared" si="27"/>
        <v>y=-0.5241*0.596^2+227.02*0.596-134.2</v>
      </c>
      <c r="AQ243" s="10" t="b">
        <f>IF(AND(I243="TP",S243&lt;=150),VLOOKUP(AF243,TPCalibEq150!$AZ$2:$BB$55,3,),IF(AND(I243="TDP",S243&lt;=150),VLOOKUP(AF243,TPCalibEq150!$AZ$2:$BB$55,3,)))</f>
        <v>0</v>
      </c>
      <c r="AR243" s="10" t="b">
        <f>IF(AND(I243="TP",S243&lt;=300),VLOOKUP(AF243,TPCalibEq300!$AZ$2:$BB$55,3,),IF(AND(I243="TDP",S243&lt;=300),VLOOKUP(AF243,TPCalibEq300!$AZ$2:$BB$55,3,)))</f>
        <v>0</v>
      </c>
      <c r="AS243" s="10" t="b">
        <f>IF(AND(I243="TP",S243&lt;=500),VLOOKUP(AF243,TPCalibEq500!$AZ$2:$BB$56,3,),IF(AND(I243="TDP",S243&lt;=500),VLOOKUP(AF243,TPCalibEq500!$AZ$2:$BB$56,3,)))</f>
        <v>0</v>
      </c>
      <c r="AT243" s="10" t="str">
        <f>IF(AND(I243="TN",S243&lt;=2800),VLOOKUP(AF243,TNCalibEq2500!$AZ$2:$BB$56,3,),IF(AND(I243="TDN",S243&lt;=2800),VLOOKUP(AF243,TNCalibEq2500!$AZ$2:$BB$56,3,)))</f>
        <v>y=0.4739x2+205.64x-100.4</v>
      </c>
      <c r="AU243" s="10" t="str">
        <f>IF(I243="TP",VLOOKUP(AF243,TPCalibEqFull!$AZ$2:$BB$56,3),IF(I243="TDP",VLOOKUP(AF243,TPCalibEqFull!$AZ$2:$BB$56,3),IF(I243="TDN",VLOOKUP(AF243,TNCalibEqFull!$AZ$1:$BB$56,3),IF(I243="TN",VLOOKUP(AF243,TNCalibEqFull!$AZ$1:$BB$56,3),FALSE))))</f>
        <v>y=-0.5241x2+227.02x-134.2</v>
      </c>
      <c r="AV243" s="10" t="str">
        <f t="shared" si="25"/>
        <v>0104 09:00:00-QAC-STD-D.G-1-DI-CAL</v>
      </c>
    </row>
    <row r="244" spans="1:48" s="10" customFormat="1" x14ac:dyDescent="0.55000000000000004">
      <c r="A244" s="32">
        <v>44930</v>
      </c>
      <c r="B244" s="33">
        <v>0.375</v>
      </c>
      <c r="C244" s="10" t="s">
        <v>70</v>
      </c>
      <c r="D244" s="10" t="s">
        <v>71</v>
      </c>
      <c r="E244" s="10" t="s">
        <v>919</v>
      </c>
      <c r="F244" s="10">
        <v>1</v>
      </c>
      <c r="G244" s="10" t="s">
        <v>73</v>
      </c>
      <c r="H244" s="10" t="s">
        <v>74</v>
      </c>
      <c r="I244" s="10" t="s">
        <v>235</v>
      </c>
      <c r="J244" s="10">
        <v>183</v>
      </c>
      <c r="K244" s="12">
        <v>44930</v>
      </c>
      <c r="L244" s="33">
        <v>0.55702546296296296</v>
      </c>
      <c r="M244" s="10">
        <v>1</v>
      </c>
      <c r="N244" s="10" t="s">
        <v>196</v>
      </c>
      <c r="O244" s="10">
        <v>1.07</v>
      </c>
      <c r="P244" s="10">
        <v>6.1899999999999997E-2</v>
      </c>
      <c r="Q244" s="10">
        <v>125</v>
      </c>
      <c r="R244" s="10" t="s">
        <v>170</v>
      </c>
      <c r="S244" s="34">
        <f t="shared" si="21"/>
        <v>125</v>
      </c>
      <c r="T244" s="10" t="s">
        <v>961</v>
      </c>
      <c r="U244" s="34" t="str">
        <f t="shared" si="22"/>
        <v/>
      </c>
      <c r="V244" s="31" t="str">
        <f>IF(H244="CHK",VLOOKUP(I244,QCCHK,3,),IF(H244="GUP",VLOOKUP(E244,QCGUP,2,),IF(AND(H244="ATP",OR(I244="TN",I244="TDN",I244="TNO2-3",I244="NO2-3")),VLOOKUP(E244,QCREC_N,2,),IF(AND(H244="NIC",OR(I244="TN",I244="TDN",I244="TNO2-3",I244="NO2-3")),VLOOKUP(E244,QCNIC_N,2,),IF(AND(H244="UREA",OR(I244="TN",I244="TDN",I244="TNO2-3",I244="NO2-3")),VLOOKUP(E244,QCUREA_N,2,),IF(H244="PER",VLOOKUP(I244,QCPER,MATCH(E244,QCACTUAL!$J$25:$AA$25,0),),IF(H244="SPK",VLOOKUP(I244,QCSPK,3,),IF(AND(H244="ATP",OR(I244="TP",I244="TDP")),VLOOKUP(E244,QCATP_P,2,),""))))))))</f>
        <v/>
      </c>
      <c r="W244" s="31" t="str">
        <f t="shared" si="23"/>
        <v>TRUE</v>
      </c>
      <c r="X244" s="31" t="str">
        <f t="shared" si="24"/>
        <v/>
      </c>
      <c r="Y244" s="10" t="s">
        <v>959</v>
      </c>
      <c r="AF244" s="12">
        <v>44930</v>
      </c>
      <c r="AJ244" s="10">
        <f>0.4739*1.07^2+205.64*1.07-100.4</f>
        <v>120.17736810999997</v>
      </c>
      <c r="AK244" s="10">
        <f>-0.5241*1.07^2+227.02*1.07-134.2</f>
        <v>108.11135791000004</v>
      </c>
      <c r="AL244" s="10" t="str">
        <f t="shared" si="26"/>
        <v>FALSE</v>
      </c>
      <c r="AM244" s="10" t="str">
        <f t="shared" si="26"/>
        <v>FALSE</v>
      </c>
      <c r="AN244" s="10" t="str">
        <f t="shared" si="26"/>
        <v>FALSE</v>
      </c>
      <c r="AO244" s="10" t="str">
        <f t="shared" si="27"/>
        <v>y=0.4739*1.07^2+205.64*1.07-100.4</v>
      </c>
      <c r="AP244" s="10" t="str">
        <f t="shared" si="27"/>
        <v>y=-0.5241*1.07^2+227.02*1.07-134.2</v>
      </c>
      <c r="AQ244" s="10" t="b">
        <f>IF(AND(I244="TP",S244&lt;=150),VLOOKUP(AF244,TPCalibEq150!$AZ$2:$BB$55,3,),IF(AND(I244="TDP",S244&lt;=150),VLOOKUP(AF244,TPCalibEq150!$AZ$2:$BB$55,3,)))</f>
        <v>0</v>
      </c>
      <c r="AR244" s="10" t="b">
        <f>IF(AND(I244="TP",S244&lt;=300),VLOOKUP(AF244,TPCalibEq300!$AZ$2:$BB$55,3,),IF(AND(I244="TDP",S244&lt;=300),VLOOKUP(AF244,TPCalibEq300!$AZ$2:$BB$55,3,)))</f>
        <v>0</v>
      </c>
      <c r="AS244" s="10" t="b">
        <f>IF(AND(I244="TP",S244&lt;=500),VLOOKUP(AF244,TPCalibEq500!$AZ$2:$BB$56,3,),IF(AND(I244="TDP",S244&lt;=500),VLOOKUP(AF244,TPCalibEq500!$AZ$2:$BB$56,3,)))</f>
        <v>0</v>
      </c>
      <c r="AT244" s="10" t="str">
        <f>IF(AND(I244="TN",S244&lt;=2800),VLOOKUP(AF244,TNCalibEq2500!$AZ$2:$BB$56,3,),IF(AND(I244="TDN",S244&lt;=2800),VLOOKUP(AF244,TNCalibEq2500!$AZ$2:$BB$56,3,)))</f>
        <v>y=0.4739x2+205.64x-100.4</v>
      </c>
      <c r="AU244" s="10" t="str">
        <f>IF(I244="TP",VLOOKUP(AF244,TPCalibEqFull!$AZ$2:$BB$56,3),IF(I244="TDP",VLOOKUP(AF244,TPCalibEqFull!$AZ$2:$BB$56,3),IF(I244="TDN",VLOOKUP(AF244,TNCalibEqFull!$AZ$1:$BB$56,3),IF(I244="TN",VLOOKUP(AF244,TNCalibEqFull!$AZ$1:$BB$56,3),FALSE))))</f>
        <v>y=-0.5241x2+227.02x-134.2</v>
      </c>
      <c r="AV244" s="10" t="str">
        <f t="shared" si="25"/>
        <v>0104 09:00:00-QAC-STD-D.F-1-DI-CAL</v>
      </c>
    </row>
    <row r="245" spans="1:48" s="10" customFormat="1" x14ac:dyDescent="0.55000000000000004">
      <c r="A245" s="32">
        <v>44930</v>
      </c>
      <c r="B245" s="33">
        <v>0.375</v>
      </c>
      <c r="C245" s="10" t="s">
        <v>70</v>
      </c>
      <c r="D245" s="10" t="s">
        <v>71</v>
      </c>
      <c r="E245" s="10" t="s">
        <v>920</v>
      </c>
      <c r="F245" s="10">
        <v>1</v>
      </c>
      <c r="G245" s="10" t="s">
        <v>73</v>
      </c>
      <c r="H245" s="10" t="s">
        <v>74</v>
      </c>
      <c r="I245" s="10" t="s">
        <v>235</v>
      </c>
      <c r="J245" s="10">
        <v>184</v>
      </c>
      <c r="K245" s="12">
        <v>44930</v>
      </c>
      <c r="L245" s="33">
        <v>0.55770833333333336</v>
      </c>
      <c r="M245" s="10">
        <v>1</v>
      </c>
      <c r="N245" s="10" t="s">
        <v>196</v>
      </c>
      <c r="O245" s="10">
        <v>2.95</v>
      </c>
      <c r="P245" s="10">
        <v>0.16800000000000001</v>
      </c>
      <c r="Q245" s="10">
        <v>500</v>
      </c>
      <c r="R245" s="10" t="s">
        <v>170</v>
      </c>
      <c r="S245" s="34">
        <f t="shared" si="21"/>
        <v>500</v>
      </c>
      <c r="T245" s="10" t="s">
        <v>962</v>
      </c>
      <c r="U245" s="34" t="str">
        <f t="shared" si="22"/>
        <v/>
      </c>
      <c r="V245" s="31" t="str">
        <f>IF(H245="CHK",VLOOKUP(I245,QCCHK,3,),IF(H245="GUP",VLOOKUP(E245,QCGUP,2,),IF(AND(H245="ATP",OR(I245="TN",I245="TDN",I245="TNO2-3",I245="NO2-3")),VLOOKUP(E245,QCREC_N,2,),IF(AND(H245="NIC",OR(I245="TN",I245="TDN",I245="TNO2-3",I245="NO2-3")),VLOOKUP(E245,QCNIC_N,2,),IF(AND(H245="UREA",OR(I245="TN",I245="TDN",I245="TNO2-3",I245="NO2-3")),VLOOKUP(E245,QCUREA_N,2,),IF(H245="PER",VLOOKUP(I245,QCPER,MATCH(E245,QCACTUAL!$J$25:$AA$25,0),),IF(H245="SPK",VLOOKUP(I245,QCSPK,3,),IF(AND(H245="ATP",OR(I245="TP",I245="TDP")),VLOOKUP(E245,QCATP_P,2,),""))))))))</f>
        <v/>
      </c>
      <c r="W245" s="31" t="str">
        <f t="shared" si="23"/>
        <v>TRUE</v>
      </c>
      <c r="X245" s="31" t="str">
        <f t="shared" si="24"/>
        <v/>
      </c>
      <c r="Y245" s="10" t="s">
        <v>959</v>
      </c>
      <c r="AF245" s="12">
        <v>44930</v>
      </c>
      <c r="AJ245" s="10">
        <f>0.4739*2.95^2+205.64*2.95-100.4</f>
        <v>510.36211475000005</v>
      </c>
      <c r="AK245" s="10">
        <f>-0.5241*2.95^2+227.02*2.95-134.2</f>
        <v>530.94801974999996</v>
      </c>
      <c r="AL245" s="10" t="str">
        <f t="shared" si="26"/>
        <v>FALSE</v>
      </c>
      <c r="AM245" s="10" t="str">
        <f t="shared" si="26"/>
        <v>FALSE</v>
      </c>
      <c r="AN245" s="10" t="str">
        <f t="shared" si="26"/>
        <v>FALSE</v>
      </c>
      <c r="AO245" s="10" t="str">
        <f t="shared" si="27"/>
        <v>y=0.4739*2.95^2+205.64*2.95-100.4</v>
      </c>
      <c r="AP245" s="10" t="str">
        <f t="shared" si="27"/>
        <v>y=-0.5241*2.95^2+227.02*2.95-134.2</v>
      </c>
      <c r="AQ245" s="10" t="b">
        <f>IF(AND(I245="TP",S245&lt;=150),VLOOKUP(AF245,TPCalibEq150!$AZ$2:$BB$55,3,),IF(AND(I245="TDP",S245&lt;=150),VLOOKUP(AF245,TPCalibEq150!$AZ$2:$BB$55,3,)))</f>
        <v>0</v>
      </c>
      <c r="AR245" s="10" t="b">
        <f>IF(AND(I245="TP",S245&lt;=300),VLOOKUP(AF245,TPCalibEq300!$AZ$2:$BB$55,3,),IF(AND(I245="TDP",S245&lt;=300),VLOOKUP(AF245,TPCalibEq300!$AZ$2:$BB$55,3,)))</f>
        <v>0</v>
      </c>
      <c r="AS245" s="10" t="b">
        <f>IF(AND(I245="TP",S245&lt;=500),VLOOKUP(AF245,TPCalibEq500!$AZ$2:$BB$56,3,),IF(AND(I245="TDP",S245&lt;=500),VLOOKUP(AF245,TPCalibEq500!$AZ$2:$BB$56,3,)))</f>
        <v>0</v>
      </c>
      <c r="AT245" s="10" t="str">
        <f>IF(AND(I245="TN",S245&lt;=2800),VLOOKUP(AF245,TNCalibEq2500!$AZ$2:$BB$56,3,),IF(AND(I245="TDN",S245&lt;=2800),VLOOKUP(AF245,TNCalibEq2500!$AZ$2:$BB$56,3,)))</f>
        <v>y=0.4739x2+205.64x-100.4</v>
      </c>
      <c r="AU245" s="10" t="str">
        <f>IF(I245="TP",VLOOKUP(AF245,TPCalibEqFull!$AZ$2:$BB$56,3),IF(I245="TDP",VLOOKUP(AF245,TPCalibEqFull!$AZ$2:$BB$56,3),IF(I245="TDN",VLOOKUP(AF245,TNCalibEqFull!$AZ$1:$BB$56,3),IF(I245="TN",VLOOKUP(AF245,TNCalibEqFull!$AZ$1:$BB$56,3),FALSE))))</f>
        <v>y=-0.5241x2+227.02x-134.2</v>
      </c>
      <c r="AV245" s="10" t="str">
        <f t="shared" si="25"/>
        <v>0104 09:00:00-QAC-STD-D.E-1-DI-CAL</v>
      </c>
    </row>
    <row r="246" spans="1:48" s="10" customFormat="1" x14ac:dyDescent="0.55000000000000004">
      <c r="A246" s="32">
        <v>44930</v>
      </c>
      <c r="B246" s="33">
        <v>0.375</v>
      </c>
      <c r="C246" s="10" t="s">
        <v>70</v>
      </c>
      <c r="D246" s="10" t="s">
        <v>71</v>
      </c>
      <c r="E246" s="10" t="s">
        <v>921</v>
      </c>
      <c r="F246" s="10">
        <v>1</v>
      </c>
      <c r="G246" s="10" t="s">
        <v>73</v>
      </c>
      <c r="H246" s="10" t="s">
        <v>74</v>
      </c>
      <c r="I246" s="10" t="s">
        <v>235</v>
      </c>
      <c r="J246" s="10">
        <v>185</v>
      </c>
      <c r="K246" s="12">
        <v>44930</v>
      </c>
      <c r="L246" s="33">
        <v>0.55837962962962961</v>
      </c>
      <c r="M246" s="10">
        <v>1</v>
      </c>
      <c r="N246" s="10" t="s">
        <v>196</v>
      </c>
      <c r="O246" s="10">
        <v>6.44</v>
      </c>
      <c r="P246" s="10">
        <v>0.376</v>
      </c>
      <c r="Q246" s="10">
        <v>1250</v>
      </c>
      <c r="R246" s="10" t="s">
        <v>170</v>
      </c>
      <c r="S246" s="34">
        <f t="shared" si="21"/>
        <v>1250</v>
      </c>
      <c r="T246" s="10" t="s">
        <v>963</v>
      </c>
      <c r="U246" s="34" t="str">
        <f t="shared" si="22"/>
        <v/>
      </c>
      <c r="V246" s="31" t="str">
        <f>IF(H246="CHK",VLOOKUP(I246,QCCHK,3,),IF(H246="GUP",VLOOKUP(E246,QCGUP,2,),IF(AND(H246="ATP",OR(I246="TN",I246="TDN",I246="TNO2-3",I246="NO2-3")),VLOOKUP(E246,QCREC_N,2,),IF(AND(H246="NIC",OR(I246="TN",I246="TDN",I246="TNO2-3",I246="NO2-3")),VLOOKUP(E246,QCNIC_N,2,),IF(AND(H246="UREA",OR(I246="TN",I246="TDN",I246="TNO2-3",I246="NO2-3")),VLOOKUP(E246,QCUREA_N,2,),IF(H246="PER",VLOOKUP(I246,QCPER,MATCH(E246,QCACTUAL!$J$25:$AA$25,0),),IF(H246="SPK",VLOOKUP(I246,QCSPK,3,),IF(AND(H246="ATP",OR(I246="TP",I246="TDP")),VLOOKUP(E246,QCATP_P,2,),""))))))))</f>
        <v/>
      </c>
      <c r="W246" s="31" t="str">
        <f t="shared" si="23"/>
        <v>TRUE</v>
      </c>
      <c r="X246" s="31" t="str">
        <f t="shared" si="24"/>
        <v/>
      </c>
      <c r="Y246" s="10" t="s">
        <v>959</v>
      </c>
      <c r="AF246" s="12">
        <v>44930</v>
      </c>
      <c r="AJ246" s="10">
        <f>0.4739*6.44^2+205.64*6.44-100.4</f>
        <v>1243.5759390399999</v>
      </c>
      <c r="AK246" s="10">
        <f>-0.5241*6.44^2+227.02*6.44-134.2</f>
        <v>1306.07248624</v>
      </c>
      <c r="AL246" s="10" t="str">
        <f t="shared" si="26"/>
        <v>FALSE</v>
      </c>
      <c r="AM246" s="10" t="str">
        <f t="shared" si="26"/>
        <v>FALSE</v>
      </c>
      <c r="AN246" s="10" t="str">
        <f t="shared" si="26"/>
        <v>FALSE</v>
      </c>
      <c r="AO246" s="10" t="str">
        <f t="shared" si="27"/>
        <v>y=0.4739*6.44^2+205.64*6.44-100.4</v>
      </c>
      <c r="AP246" s="10" t="str">
        <f t="shared" si="27"/>
        <v>y=-0.5241*6.44^2+227.02*6.44-134.2</v>
      </c>
      <c r="AQ246" s="10" t="b">
        <f>IF(AND(I246="TP",S246&lt;=150),VLOOKUP(AF246,TPCalibEq150!$AZ$2:$BB$55,3,),IF(AND(I246="TDP",S246&lt;=150),VLOOKUP(AF246,TPCalibEq150!$AZ$2:$BB$55,3,)))</f>
        <v>0</v>
      </c>
      <c r="AR246" s="10" t="b">
        <f>IF(AND(I246="TP",S246&lt;=300),VLOOKUP(AF246,TPCalibEq300!$AZ$2:$BB$55,3,),IF(AND(I246="TDP",S246&lt;=300),VLOOKUP(AF246,TPCalibEq300!$AZ$2:$BB$55,3,)))</f>
        <v>0</v>
      </c>
      <c r="AS246" s="10" t="b">
        <f>IF(AND(I246="TP",S246&lt;=500),VLOOKUP(AF246,TPCalibEq500!$AZ$2:$BB$56,3,),IF(AND(I246="TDP",S246&lt;=500),VLOOKUP(AF246,TPCalibEq500!$AZ$2:$BB$56,3,)))</f>
        <v>0</v>
      </c>
      <c r="AT246" s="10" t="str">
        <f>IF(AND(I246="TN",S246&lt;=2800),VLOOKUP(AF246,TNCalibEq2500!$AZ$2:$BB$56,3,),IF(AND(I246="TDN",S246&lt;=2800),VLOOKUP(AF246,TNCalibEq2500!$AZ$2:$BB$56,3,)))</f>
        <v>y=0.4739x2+205.64x-100.4</v>
      </c>
      <c r="AU246" s="10" t="str">
        <f>IF(I246="TP",VLOOKUP(AF246,TPCalibEqFull!$AZ$2:$BB$56,3),IF(I246="TDP",VLOOKUP(AF246,TPCalibEqFull!$AZ$2:$BB$56,3),IF(I246="TDN",VLOOKUP(AF246,TNCalibEqFull!$AZ$1:$BB$56,3),IF(I246="TN",VLOOKUP(AF246,TNCalibEqFull!$AZ$1:$BB$56,3),FALSE))))</f>
        <v>y=-0.5241x2+227.02x-134.2</v>
      </c>
      <c r="AV246" s="10" t="str">
        <f t="shared" si="25"/>
        <v>0104 09:00:00-QAC-STD-D.D-1-DI-CAL</v>
      </c>
    </row>
    <row r="247" spans="1:48" s="10" customFormat="1" x14ac:dyDescent="0.55000000000000004">
      <c r="A247" s="32">
        <v>44930</v>
      </c>
      <c r="B247" s="33">
        <v>0.375</v>
      </c>
      <c r="C247" s="10" t="s">
        <v>70</v>
      </c>
      <c r="D247" s="10" t="s">
        <v>71</v>
      </c>
      <c r="E247" s="10" t="s">
        <v>922</v>
      </c>
      <c r="F247" s="10">
        <v>1</v>
      </c>
      <c r="G247" s="10" t="s">
        <v>73</v>
      </c>
      <c r="H247" s="10" t="s">
        <v>74</v>
      </c>
      <c r="I247" s="10" t="s">
        <v>235</v>
      </c>
      <c r="J247" s="10">
        <v>186</v>
      </c>
      <c r="K247" s="12">
        <v>44930</v>
      </c>
      <c r="L247" s="33">
        <v>0.55905092592592587</v>
      </c>
      <c r="M247" s="10">
        <v>1</v>
      </c>
      <c r="N247" s="10" t="s">
        <v>196</v>
      </c>
      <c r="O247" s="10">
        <v>12.3</v>
      </c>
      <c r="P247" s="10">
        <v>0.71599999999999997</v>
      </c>
      <c r="Q247" s="10">
        <v>2500</v>
      </c>
      <c r="R247" s="10" t="s">
        <v>170</v>
      </c>
      <c r="S247" s="34">
        <f t="shared" si="21"/>
        <v>2500</v>
      </c>
      <c r="T247" s="10" t="s">
        <v>964</v>
      </c>
      <c r="U247" s="34" t="str">
        <f t="shared" si="22"/>
        <v/>
      </c>
      <c r="V247" s="31" t="str">
        <f>IF(H247="CHK",VLOOKUP(I247,QCCHK,3,),IF(H247="GUP",VLOOKUP(E247,QCGUP,2,),IF(AND(H247="ATP",OR(I247="TN",I247="TDN",I247="TNO2-3",I247="NO2-3")),VLOOKUP(E247,QCREC_N,2,),IF(AND(H247="NIC",OR(I247="TN",I247="TDN",I247="TNO2-3",I247="NO2-3")),VLOOKUP(E247,QCNIC_N,2,),IF(AND(H247="UREA",OR(I247="TN",I247="TDN",I247="TNO2-3",I247="NO2-3")),VLOOKUP(E247,QCUREA_N,2,),IF(H247="PER",VLOOKUP(I247,QCPER,MATCH(E247,QCACTUAL!$J$25:$AA$25,0),),IF(H247="SPK",VLOOKUP(I247,QCSPK,3,),IF(AND(H247="ATP",OR(I247="TP",I247="TDP")),VLOOKUP(E247,QCATP_P,2,),""))))))))</f>
        <v/>
      </c>
      <c r="W247" s="31" t="str">
        <f t="shared" si="23"/>
        <v>TRUE</v>
      </c>
      <c r="X247" s="31" t="str">
        <f t="shared" si="24"/>
        <v/>
      </c>
      <c r="Y247" s="10" t="s">
        <v>959</v>
      </c>
      <c r="AF247" s="12">
        <v>44930</v>
      </c>
      <c r="AJ247" s="10">
        <f>0.4739*12.3^2+205.64*12.3-100.4</f>
        <v>2500.6683309999999</v>
      </c>
      <c r="AK247" s="10">
        <f>-0.5241*12.3^2+227.02*12.3-134.2</f>
        <v>2578.8549110000008</v>
      </c>
      <c r="AL247" s="10" t="str">
        <f t="shared" si="26"/>
        <v>FALSE</v>
      </c>
      <c r="AM247" s="10" t="str">
        <f t="shared" si="26"/>
        <v>FALSE</v>
      </c>
      <c r="AN247" s="10" t="str">
        <f t="shared" si="26"/>
        <v>FALSE</v>
      </c>
      <c r="AO247" s="10" t="str">
        <f t="shared" si="27"/>
        <v>y=0.4739*12.3^2+205.64*12.3-100.4</v>
      </c>
      <c r="AP247" s="10" t="str">
        <f t="shared" si="27"/>
        <v>y=-0.5241*12.3^2+227.02*12.3-134.2</v>
      </c>
      <c r="AQ247" s="10" t="b">
        <f>IF(AND(I247="TP",S247&lt;=150),VLOOKUP(AF247,TPCalibEq150!$AZ$2:$BB$55,3,),IF(AND(I247="TDP",S247&lt;=150),VLOOKUP(AF247,TPCalibEq150!$AZ$2:$BB$55,3,)))</f>
        <v>0</v>
      </c>
      <c r="AR247" s="10" t="b">
        <f>IF(AND(I247="TP",S247&lt;=300),VLOOKUP(AF247,TPCalibEq300!$AZ$2:$BB$55,3,),IF(AND(I247="TDP",S247&lt;=300),VLOOKUP(AF247,TPCalibEq300!$AZ$2:$BB$55,3,)))</f>
        <v>0</v>
      </c>
      <c r="AS247" s="10" t="b">
        <f>IF(AND(I247="TP",S247&lt;=500),VLOOKUP(AF247,TPCalibEq500!$AZ$2:$BB$56,3,),IF(AND(I247="TDP",S247&lt;=500),VLOOKUP(AF247,TPCalibEq500!$AZ$2:$BB$56,3,)))</f>
        <v>0</v>
      </c>
      <c r="AT247" s="10" t="str">
        <f>IF(AND(I247="TN",S247&lt;=2800),VLOOKUP(AF247,TNCalibEq2500!$AZ$2:$BB$56,3,),IF(AND(I247="TDN",S247&lt;=2800),VLOOKUP(AF247,TNCalibEq2500!$AZ$2:$BB$56,3,)))</f>
        <v>y=0.4739x2+205.64x-100.4</v>
      </c>
      <c r="AU247" s="10" t="str">
        <f>IF(I247="TP",VLOOKUP(AF247,TPCalibEqFull!$AZ$2:$BB$56,3),IF(I247="TDP",VLOOKUP(AF247,TPCalibEqFull!$AZ$2:$BB$56,3),IF(I247="TDN",VLOOKUP(AF247,TNCalibEqFull!$AZ$1:$BB$56,3),IF(I247="TN",VLOOKUP(AF247,TNCalibEqFull!$AZ$1:$BB$56,3),FALSE))))</f>
        <v>y=-0.5241x2+227.02x-134.2</v>
      </c>
      <c r="AV247" s="10" t="str">
        <f t="shared" si="25"/>
        <v>0104 09:00:00-QAC-STD-D.C-1-DI-CAL</v>
      </c>
    </row>
    <row r="248" spans="1:48" s="10" customFormat="1" x14ac:dyDescent="0.55000000000000004">
      <c r="A248" s="32">
        <v>44930</v>
      </c>
      <c r="B248" s="33">
        <v>0.375</v>
      </c>
      <c r="C248" s="10" t="s">
        <v>70</v>
      </c>
      <c r="D248" s="10" t="s">
        <v>71</v>
      </c>
      <c r="E248" s="10" t="s">
        <v>923</v>
      </c>
      <c r="F248" s="10">
        <v>1</v>
      </c>
      <c r="G248" s="10" t="s">
        <v>73</v>
      </c>
      <c r="H248" s="10" t="s">
        <v>74</v>
      </c>
      <c r="I248" s="10" t="s">
        <v>235</v>
      </c>
      <c r="J248" s="10">
        <v>187</v>
      </c>
      <c r="K248" s="12">
        <v>44930</v>
      </c>
      <c r="L248" s="33">
        <v>0.55972222222222223</v>
      </c>
      <c r="M248" s="10">
        <v>1</v>
      </c>
      <c r="N248" s="10" t="s">
        <v>196</v>
      </c>
      <c r="O248" s="10">
        <v>17.100000000000001</v>
      </c>
      <c r="P248" s="10">
        <v>0.99399999999999999</v>
      </c>
      <c r="Q248" s="10">
        <v>3750</v>
      </c>
      <c r="R248" s="10" t="s">
        <v>170</v>
      </c>
      <c r="S248" s="34">
        <f t="shared" si="21"/>
        <v>3750</v>
      </c>
      <c r="T248" s="10" t="s">
        <v>965</v>
      </c>
      <c r="U248" s="34" t="str">
        <f t="shared" si="22"/>
        <v/>
      </c>
      <c r="V248" s="31" t="str">
        <f>IF(H248="CHK",VLOOKUP(I248,QCCHK,3,),IF(H248="GUP",VLOOKUP(E248,QCGUP,2,),IF(AND(H248="ATP",OR(I248="TN",I248="TDN",I248="TNO2-3",I248="NO2-3")),VLOOKUP(E248,QCREC_N,2,),IF(AND(H248="NIC",OR(I248="TN",I248="TDN",I248="TNO2-3",I248="NO2-3")),VLOOKUP(E248,QCNIC_N,2,),IF(AND(H248="UREA",OR(I248="TN",I248="TDN",I248="TNO2-3",I248="NO2-3")),VLOOKUP(E248,QCUREA_N,2,),IF(H248="PER",VLOOKUP(I248,QCPER,MATCH(E248,QCACTUAL!$J$25:$AA$25,0),),IF(H248="SPK",VLOOKUP(I248,QCSPK,3,),IF(AND(H248="ATP",OR(I248="TP",I248="TDP")),VLOOKUP(E248,QCATP_P,2,),""))))))))</f>
        <v/>
      </c>
      <c r="W248" s="31" t="str">
        <f t="shared" si="23"/>
        <v>TRUE</v>
      </c>
      <c r="X248" s="31" t="str">
        <f t="shared" si="24"/>
        <v/>
      </c>
      <c r="Y248" s="10" t="s">
        <v>959</v>
      </c>
      <c r="AF248" s="12">
        <v>44930</v>
      </c>
      <c r="AK248" s="10">
        <f>-0.5241*17.1^2+227.02*17.1-134.2</f>
        <v>3594.5899190000005</v>
      </c>
      <c r="AL248" s="10" t="str">
        <f t="shared" si="26"/>
        <v>FALSE</v>
      </c>
      <c r="AM248" s="10" t="str">
        <f t="shared" si="26"/>
        <v>FALSE</v>
      </c>
      <c r="AN248" s="10" t="str">
        <f t="shared" si="26"/>
        <v>FALSE</v>
      </c>
      <c r="AO248" s="10" t="str">
        <f t="shared" si="27"/>
        <v>FALSE</v>
      </c>
      <c r="AP248" s="10" t="str">
        <f t="shared" si="27"/>
        <v>y=-0.5241*17.1^2+227.02*17.1-134.2</v>
      </c>
      <c r="AQ248" s="10" t="b">
        <f>IF(AND(I248="TP",S248&lt;=150),VLOOKUP(AF248,TPCalibEq150!$AZ$2:$BB$55,3,),IF(AND(I248="TDP",S248&lt;=150),VLOOKUP(AF248,TPCalibEq150!$AZ$2:$BB$55,3,)))</f>
        <v>0</v>
      </c>
      <c r="AR248" s="10" t="b">
        <f>IF(AND(I248="TP",S248&lt;=300),VLOOKUP(AF248,TPCalibEq300!$AZ$2:$BB$55,3,),IF(AND(I248="TDP",S248&lt;=300),VLOOKUP(AF248,TPCalibEq300!$AZ$2:$BB$55,3,)))</f>
        <v>0</v>
      </c>
      <c r="AS248" s="10" t="b">
        <f>IF(AND(I248="TP",S248&lt;=500),VLOOKUP(AF248,TPCalibEq500!$AZ$2:$BB$56,3,),IF(AND(I248="TDP",S248&lt;=500),VLOOKUP(AF248,TPCalibEq500!$AZ$2:$BB$56,3,)))</f>
        <v>0</v>
      </c>
      <c r="AT248" s="10" t="b">
        <f>IF(AND(I248="TN",S248&lt;=2800),VLOOKUP(AF248,TNCalibEq2500!$AZ$2:$BB$56,3,),IF(AND(I248="TDN",S248&lt;=2800),VLOOKUP(AF248,TNCalibEq2500!$AZ$2:$BB$56,3,)))</f>
        <v>0</v>
      </c>
      <c r="AU248" s="10" t="str">
        <f>IF(I248="TP",VLOOKUP(AF248,TPCalibEqFull!$AZ$2:$BB$56,3),IF(I248="TDP",VLOOKUP(AF248,TPCalibEqFull!$AZ$2:$BB$56,3),IF(I248="TDN",VLOOKUP(AF248,TNCalibEqFull!$AZ$1:$BB$56,3),IF(I248="TN",VLOOKUP(AF248,TNCalibEqFull!$AZ$1:$BB$56,3),FALSE))))</f>
        <v>y=-0.5241x2+227.02x-134.2</v>
      </c>
      <c r="AV248" s="10" t="str">
        <f t="shared" si="25"/>
        <v>0104 09:00:00-QAC-STD-D.B-1-DI-CAL</v>
      </c>
    </row>
    <row r="249" spans="1:48" s="10" customFormat="1" x14ac:dyDescent="0.55000000000000004">
      <c r="A249" s="32">
        <v>44930</v>
      </c>
      <c r="B249" s="33">
        <v>0.375</v>
      </c>
      <c r="C249" s="10" t="s">
        <v>70</v>
      </c>
      <c r="D249" s="10" t="s">
        <v>71</v>
      </c>
      <c r="E249" s="10" t="s">
        <v>924</v>
      </c>
      <c r="F249" s="10">
        <v>1</v>
      </c>
      <c r="G249" s="10" t="s">
        <v>73</v>
      </c>
      <c r="H249" s="10" t="s">
        <v>74</v>
      </c>
      <c r="I249" s="10" t="s">
        <v>235</v>
      </c>
      <c r="J249" s="10">
        <v>188</v>
      </c>
      <c r="K249" s="12">
        <v>44930</v>
      </c>
      <c r="L249" s="33">
        <v>0.56040509259259264</v>
      </c>
      <c r="M249" s="10">
        <v>1</v>
      </c>
      <c r="N249" s="10" t="s">
        <v>196</v>
      </c>
      <c r="O249" s="10">
        <v>24.2</v>
      </c>
      <c r="P249" s="10">
        <v>1.4</v>
      </c>
      <c r="Q249" s="10">
        <v>5000</v>
      </c>
      <c r="R249" s="10" t="s">
        <v>170</v>
      </c>
      <c r="S249" s="34">
        <f t="shared" si="21"/>
        <v>5000</v>
      </c>
      <c r="T249" s="10" t="s">
        <v>966</v>
      </c>
      <c r="U249" s="34" t="str">
        <f t="shared" si="22"/>
        <v/>
      </c>
      <c r="V249" s="31" t="str">
        <f>IF(H249="CHK",VLOOKUP(I249,QCCHK,3,),IF(H249="GUP",VLOOKUP(E249,QCGUP,2,),IF(AND(H249="ATP",OR(I249="TN",I249="TDN",I249="TNO2-3",I249="NO2-3")),VLOOKUP(E249,QCREC_N,2,),IF(AND(H249="NIC",OR(I249="TN",I249="TDN",I249="TNO2-3",I249="NO2-3")),VLOOKUP(E249,QCNIC_N,2,),IF(AND(H249="UREA",OR(I249="TN",I249="TDN",I249="TNO2-3",I249="NO2-3")),VLOOKUP(E249,QCUREA_N,2,),IF(H249="PER",VLOOKUP(I249,QCPER,MATCH(E249,QCACTUAL!$J$25:$AA$25,0),),IF(H249="SPK",VLOOKUP(I249,QCSPK,3,),IF(AND(H249="ATP",OR(I249="TP",I249="TDP")),VLOOKUP(E249,QCATP_P,2,),""))))))))</f>
        <v/>
      </c>
      <c r="W249" s="31" t="str">
        <f t="shared" si="23"/>
        <v>TRUE</v>
      </c>
      <c r="X249" s="31" t="str">
        <f t="shared" si="24"/>
        <v/>
      </c>
      <c r="Y249" s="10" t="s">
        <v>959</v>
      </c>
      <c r="AF249" s="12">
        <v>44930</v>
      </c>
      <c r="AK249" s="10">
        <f>-0.5241*24.2^2+227.02*24.2-134.2</f>
        <v>5052.7500760000003</v>
      </c>
      <c r="AL249" s="10" t="str">
        <f t="shared" si="26"/>
        <v>FALSE</v>
      </c>
      <c r="AM249" s="10" t="str">
        <f t="shared" si="26"/>
        <v>FALSE</v>
      </c>
      <c r="AN249" s="10" t="str">
        <f t="shared" si="26"/>
        <v>FALSE</v>
      </c>
      <c r="AO249" s="10" t="str">
        <f t="shared" si="27"/>
        <v>FALSE</v>
      </c>
      <c r="AP249" s="10" t="str">
        <f t="shared" si="27"/>
        <v>y=-0.5241*24.2^2+227.02*24.2-134.2</v>
      </c>
      <c r="AQ249" s="10" t="b">
        <f>IF(AND(I249="TP",S249&lt;=150),VLOOKUP(AF249,TPCalibEq150!$AZ$2:$BB$55,3,),IF(AND(I249="TDP",S249&lt;=150),VLOOKUP(AF249,TPCalibEq150!$AZ$2:$BB$55,3,)))</f>
        <v>0</v>
      </c>
      <c r="AR249" s="10" t="b">
        <f>IF(AND(I249="TP",S249&lt;=300),VLOOKUP(AF249,TPCalibEq300!$AZ$2:$BB$55,3,),IF(AND(I249="TDP",S249&lt;=300),VLOOKUP(AF249,TPCalibEq300!$AZ$2:$BB$55,3,)))</f>
        <v>0</v>
      </c>
      <c r="AS249" s="10" t="b">
        <f>IF(AND(I249="TP",S249&lt;=500),VLOOKUP(AF249,TPCalibEq500!$AZ$2:$BB$56,3,),IF(AND(I249="TDP",S249&lt;=500),VLOOKUP(AF249,TPCalibEq500!$AZ$2:$BB$56,3,)))</f>
        <v>0</v>
      </c>
      <c r="AT249" s="10" t="b">
        <f>IF(AND(I249="TN",S249&lt;=2800),VLOOKUP(AF249,TNCalibEq2500!$AZ$2:$BB$56,3,),IF(AND(I249="TDN",S249&lt;=2800),VLOOKUP(AF249,TNCalibEq2500!$AZ$2:$BB$56,3,)))</f>
        <v>0</v>
      </c>
      <c r="AU249" s="10" t="str">
        <f>IF(I249="TP",VLOOKUP(AF249,TPCalibEqFull!$AZ$2:$BB$56,3),IF(I249="TDP",VLOOKUP(AF249,TPCalibEqFull!$AZ$2:$BB$56,3),IF(I249="TDN",VLOOKUP(AF249,TNCalibEqFull!$AZ$1:$BB$56,3),IF(I249="TN",VLOOKUP(AF249,TNCalibEqFull!$AZ$1:$BB$56,3),FALSE))))</f>
        <v>y=-0.5241x2+227.02x-134.2</v>
      </c>
      <c r="AV249" s="10" t="str">
        <f t="shared" si="25"/>
        <v>0104 09:00:00-QAC-STD-D.A-1-DI-CAL</v>
      </c>
    </row>
    <row r="250" spans="1:48" s="10" customFormat="1" x14ac:dyDescent="0.55000000000000004">
      <c r="A250" s="32">
        <v>44930</v>
      </c>
      <c r="B250" s="33">
        <v>0.375</v>
      </c>
      <c r="C250" s="10" t="s">
        <v>70</v>
      </c>
      <c r="D250" s="10" t="s">
        <v>241</v>
      </c>
      <c r="E250" s="10" t="s">
        <v>866</v>
      </c>
      <c r="F250" s="10">
        <v>1</v>
      </c>
      <c r="G250" s="10" t="s">
        <v>73</v>
      </c>
      <c r="H250" s="10" t="s">
        <v>283</v>
      </c>
      <c r="I250" s="10" t="s">
        <v>235</v>
      </c>
      <c r="J250" s="10">
        <v>198</v>
      </c>
      <c r="K250" s="12">
        <v>44930</v>
      </c>
      <c r="L250" s="33">
        <v>0.5617361111111111</v>
      </c>
      <c r="M250" s="10">
        <v>1</v>
      </c>
      <c r="N250" s="10" t="s">
        <v>196</v>
      </c>
      <c r="O250" s="10">
        <v>0.47599999999999998</v>
      </c>
      <c r="P250" s="10">
        <v>2.7799999999999998E-2</v>
      </c>
      <c r="Q250" s="10">
        <v>-5.61</v>
      </c>
      <c r="R250" s="10" t="s">
        <v>170</v>
      </c>
      <c r="S250" s="34">
        <f t="shared" si="21"/>
        <v>-2.4079856336000205</v>
      </c>
      <c r="T250" s="10" t="s">
        <v>966</v>
      </c>
      <c r="U250" s="34">
        <f t="shared" si="22"/>
        <v>-2.4079856336000205</v>
      </c>
      <c r="V250" s="31" t="str">
        <f>IF(H250="CHK",VLOOKUP(I250,QCCHK,3,),IF(H250="GUP",VLOOKUP(E250,QCGUP,2,),IF(AND(H250="ATP",OR(I250="TN",I250="TDN",I250="TNO2-3",I250="NO2-3")),VLOOKUP(E250,QCREC_N,2,),IF(AND(H250="NIC",OR(I250="TN",I250="TDN",I250="TNO2-3",I250="NO2-3")),VLOOKUP(E250,QCNIC_N,2,),IF(AND(H250="UREA",OR(I250="TN",I250="TDN",I250="TNO2-3",I250="NO2-3")),VLOOKUP(E250,QCUREA_N,2,),IF(H250="PER",VLOOKUP(I250,QCPER,MATCH(E250,QCACTUAL!$J$25:$AA$25,0),),IF(H250="SPK",VLOOKUP(I250,QCSPK,3,),IF(AND(H250="ATP",OR(I250="TP",I250="TDP")),VLOOKUP(E250,QCATP_P,2,),""))))))))</f>
        <v/>
      </c>
      <c r="W250" s="31" t="str">
        <f t="shared" si="23"/>
        <v>TRUE</v>
      </c>
      <c r="X250" s="31" t="str">
        <f t="shared" si="24"/>
        <v>nominal concentration</v>
      </c>
      <c r="Y250" s="10" t="s">
        <v>959</v>
      </c>
      <c r="AF250" s="12">
        <v>44930</v>
      </c>
      <c r="AJ250" s="10">
        <f>0.4739*0.476^2+205.64*0.476-100.4</f>
        <v>-2.4079856336000205</v>
      </c>
      <c r="AK250" s="10">
        <f>-0.5241*0.476^2+227.02*0.476-134.2</f>
        <v>-26.257228481599981</v>
      </c>
      <c r="AL250" s="10" t="str">
        <f t="shared" si="26"/>
        <v>FALSE</v>
      </c>
      <c r="AM250" s="10" t="str">
        <f t="shared" si="26"/>
        <v>FALSE</v>
      </c>
      <c r="AN250" s="10" t="str">
        <f t="shared" si="26"/>
        <v>FALSE</v>
      </c>
      <c r="AO250" s="10" t="str">
        <f t="shared" si="27"/>
        <v>y=0.4739*0.476^2+205.64*0.476-100.4</v>
      </c>
      <c r="AP250" s="10" t="str">
        <f t="shared" si="27"/>
        <v>y=-0.5241*0.476^2+227.02*0.476-134.2</v>
      </c>
      <c r="AQ250" s="10" t="b">
        <f>IF(AND(I250="TP",S250&lt;=150),VLOOKUP(AF250,TPCalibEq150!$AZ$2:$BB$55,3,),IF(AND(I250="TDP",S250&lt;=150),VLOOKUP(AF250,TPCalibEq150!$AZ$2:$BB$55,3,)))</f>
        <v>0</v>
      </c>
      <c r="AR250" s="10" t="b">
        <f>IF(AND(I250="TP",S250&lt;=300),VLOOKUP(AF250,TPCalibEq300!$AZ$2:$BB$55,3,),IF(AND(I250="TDP",S250&lt;=300),VLOOKUP(AF250,TPCalibEq300!$AZ$2:$BB$55,3,)))</f>
        <v>0</v>
      </c>
      <c r="AS250" s="10" t="b">
        <f>IF(AND(I250="TP",S250&lt;=500),VLOOKUP(AF250,TPCalibEq500!$AZ$2:$BB$56,3,),IF(AND(I250="TDP",S250&lt;=500),VLOOKUP(AF250,TPCalibEq500!$AZ$2:$BB$56,3,)))</f>
        <v>0</v>
      </c>
      <c r="AT250" s="10" t="str">
        <f>IF(AND(I250="TN",S250&lt;=2800),VLOOKUP(AF250,TNCalibEq2500!$AZ$2:$BB$56,3,),IF(AND(I250="TDN",S250&lt;=2800),VLOOKUP(AF250,TNCalibEq2500!$AZ$2:$BB$56,3,)))</f>
        <v>y=0.4739x2+205.64x-100.4</v>
      </c>
      <c r="AU250" s="10" t="str">
        <f>IF(I250="TP",VLOOKUP(AF250,TPCalibEqFull!$AZ$2:$BB$56,3),IF(I250="TDP",VLOOKUP(AF250,TPCalibEqFull!$AZ$2:$BB$56,3),IF(I250="TDN",VLOOKUP(AF250,TNCalibEqFull!$AZ$1:$BB$56,3),IF(I250="TN",VLOOKUP(AF250,TNCalibEqFull!$AZ$1:$BB$56,3),FALSE))))</f>
        <v>y=-0.5241x2+227.02x-134.2</v>
      </c>
      <c r="AV250" s="10" t="str">
        <f t="shared" si="25"/>
        <v>0104 09:00:00-QAC-BLK-A-1-DI-LAB</v>
      </c>
    </row>
    <row r="251" spans="1:48" s="10" customFormat="1" x14ac:dyDescent="0.55000000000000004">
      <c r="A251" s="32">
        <v>44930</v>
      </c>
      <c r="B251" s="33">
        <v>0.375</v>
      </c>
      <c r="C251" s="10" t="s">
        <v>70</v>
      </c>
      <c r="D251" s="10" t="s">
        <v>241</v>
      </c>
      <c r="E251" s="10" t="s">
        <v>866</v>
      </c>
      <c r="F251" s="10">
        <v>1</v>
      </c>
      <c r="G251" s="10" t="s">
        <v>73</v>
      </c>
      <c r="H251" s="10" t="s">
        <v>283</v>
      </c>
      <c r="I251" s="10" t="s">
        <v>235</v>
      </c>
      <c r="J251" s="10">
        <v>220</v>
      </c>
      <c r="K251" s="12">
        <v>44930</v>
      </c>
      <c r="L251" s="33">
        <v>0.56240740740740736</v>
      </c>
      <c r="M251" s="10">
        <v>1</v>
      </c>
      <c r="N251" s="10" t="s">
        <v>196</v>
      </c>
      <c r="O251" s="10">
        <v>0.38900000000000001</v>
      </c>
      <c r="P251" s="10">
        <v>2.3900000000000001E-2</v>
      </c>
      <c r="Q251" s="10">
        <v>-24.3</v>
      </c>
      <c r="R251" s="10" t="s">
        <v>170</v>
      </c>
      <c r="S251" s="34">
        <f t="shared" si="21"/>
        <v>-20.334328978100004</v>
      </c>
      <c r="T251" s="10" t="s">
        <v>966</v>
      </c>
      <c r="U251" s="34">
        <f t="shared" si="22"/>
        <v>-20.334328978100004</v>
      </c>
      <c r="V251" s="31" t="str">
        <f>IF(H251="CHK",VLOOKUP(I251,QCCHK,3,),IF(H251="GUP",VLOOKUP(E251,QCGUP,2,),IF(AND(H251="ATP",OR(I251="TN",I251="TDN",I251="TNO2-3",I251="NO2-3")),VLOOKUP(E251,QCREC_N,2,),IF(AND(H251="NIC",OR(I251="TN",I251="TDN",I251="TNO2-3",I251="NO2-3")),VLOOKUP(E251,QCNIC_N,2,),IF(AND(H251="UREA",OR(I251="TN",I251="TDN",I251="TNO2-3",I251="NO2-3")),VLOOKUP(E251,QCUREA_N,2,),IF(H251="PER",VLOOKUP(I251,QCPER,MATCH(E251,QCACTUAL!$J$25:$AA$25,0),),IF(H251="SPK",VLOOKUP(I251,QCSPK,3,),IF(AND(H251="ATP",OR(I251="TP",I251="TDP")),VLOOKUP(E251,QCATP_P,2,),""))))))))</f>
        <v/>
      </c>
      <c r="W251" s="31" t="str">
        <f t="shared" si="23"/>
        <v>TRUE</v>
      </c>
      <c r="X251" s="31" t="str">
        <f t="shared" si="24"/>
        <v>nominal concentration</v>
      </c>
      <c r="Y251" s="10" t="s">
        <v>959</v>
      </c>
      <c r="Z251" s="10" t="s">
        <v>967</v>
      </c>
      <c r="AF251" s="12">
        <v>44930</v>
      </c>
      <c r="AJ251" s="10">
        <f>0.4739*0.389^2+205.64*0.389-100.4</f>
        <v>-20.334328978100004</v>
      </c>
      <c r="AK251" s="10">
        <f>-0.5241*0.389^2+227.02*0.389-134.2</f>
        <v>-45.968527336099982</v>
      </c>
      <c r="AL251" s="10" t="str">
        <f t="shared" si="26"/>
        <v>FALSE</v>
      </c>
      <c r="AM251" s="10" t="str">
        <f t="shared" si="26"/>
        <v>FALSE</v>
      </c>
      <c r="AN251" s="10" t="str">
        <f t="shared" si="26"/>
        <v>FALSE</v>
      </c>
      <c r="AO251" s="10" t="str">
        <f t="shared" si="27"/>
        <v>y=0.4739*0.389^2+205.64*0.389-100.4</v>
      </c>
      <c r="AP251" s="10" t="str">
        <f t="shared" si="27"/>
        <v>y=-0.5241*0.389^2+227.02*0.389-134.2</v>
      </c>
      <c r="AQ251" s="10" t="b">
        <f>IF(AND(I251="TP",S251&lt;=150),VLOOKUP(AF251,TPCalibEq150!$AZ$2:$BB$55,3,),IF(AND(I251="TDP",S251&lt;=150),VLOOKUP(AF251,TPCalibEq150!$AZ$2:$BB$55,3,)))</f>
        <v>0</v>
      </c>
      <c r="AR251" s="10" t="b">
        <f>IF(AND(I251="TP",S251&lt;=300),VLOOKUP(AF251,TPCalibEq300!$AZ$2:$BB$55,3,),IF(AND(I251="TDP",S251&lt;=300),VLOOKUP(AF251,TPCalibEq300!$AZ$2:$BB$55,3,)))</f>
        <v>0</v>
      </c>
      <c r="AS251" s="10" t="b">
        <f>IF(AND(I251="TP",S251&lt;=500),VLOOKUP(AF251,TPCalibEq500!$AZ$2:$BB$56,3,),IF(AND(I251="TDP",S251&lt;=500),VLOOKUP(AF251,TPCalibEq500!$AZ$2:$BB$56,3,)))</f>
        <v>0</v>
      </c>
      <c r="AT251" s="10" t="str">
        <f>IF(AND(I251="TN",S251&lt;=2800),VLOOKUP(AF251,TNCalibEq2500!$AZ$2:$BB$56,3,),IF(AND(I251="TDN",S251&lt;=2800),VLOOKUP(AF251,TNCalibEq2500!$AZ$2:$BB$56,3,)))</f>
        <v>y=0.4739x2+205.64x-100.4</v>
      </c>
      <c r="AU251" s="10" t="str">
        <f>IF(I251="TP",VLOOKUP(AF251,TPCalibEqFull!$AZ$2:$BB$56,3),IF(I251="TDP",VLOOKUP(AF251,TPCalibEqFull!$AZ$2:$BB$56,3),IF(I251="TDN",VLOOKUP(AF251,TNCalibEqFull!$AZ$1:$BB$56,3),IF(I251="TN",VLOOKUP(AF251,TNCalibEqFull!$AZ$1:$BB$56,3),FALSE))))</f>
        <v>y=-0.5241x2+227.02x-134.2</v>
      </c>
      <c r="AV251" s="10" t="str">
        <f t="shared" si="25"/>
        <v>0104 09:00:00-QAC-BLK-A-1-DI-LAB</v>
      </c>
    </row>
    <row r="252" spans="1:48" s="10" customFormat="1" x14ac:dyDescent="0.55000000000000004">
      <c r="A252" s="32">
        <v>44930</v>
      </c>
      <c r="B252" s="33">
        <v>0.375</v>
      </c>
      <c r="C252" s="10" t="s">
        <v>70</v>
      </c>
      <c r="D252" s="10" t="s">
        <v>241</v>
      </c>
      <c r="E252" s="10" t="s">
        <v>866</v>
      </c>
      <c r="F252" s="10">
        <v>1</v>
      </c>
      <c r="G252" s="10" t="s">
        <v>73</v>
      </c>
      <c r="H252" s="10" t="s">
        <v>283</v>
      </c>
      <c r="I252" s="10" t="s">
        <v>235</v>
      </c>
      <c r="J252" s="10">
        <v>221</v>
      </c>
      <c r="K252" s="12">
        <v>44930</v>
      </c>
      <c r="L252" s="33">
        <v>0.56307870370370372</v>
      </c>
      <c r="M252" s="10">
        <v>1</v>
      </c>
      <c r="N252" s="10" t="s">
        <v>196</v>
      </c>
      <c r="O252" s="10">
        <v>0.46100000000000002</v>
      </c>
      <c r="P252" s="10">
        <v>2.7900000000000001E-2</v>
      </c>
      <c r="Q252" s="10">
        <v>-8.83</v>
      </c>
      <c r="R252" s="10" t="s">
        <v>170</v>
      </c>
      <c r="S252" s="34">
        <f t="shared" si="21"/>
        <v>-5.4992462981000045</v>
      </c>
      <c r="T252" s="10" t="s">
        <v>966</v>
      </c>
      <c r="U252" s="34">
        <f t="shared" si="22"/>
        <v>-5.4992462981000045</v>
      </c>
      <c r="V252" s="31" t="str">
        <f>IF(H252="CHK",VLOOKUP(I252,QCCHK,3,),IF(H252="GUP",VLOOKUP(E252,QCGUP,2,),IF(AND(H252="ATP",OR(I252="TN",I252="TDN",I252="TNO2-3",I252="NO2-3")),VLOOKUP(E252,QCREC_N,2,),IF(AND(H252="NIC",OR(I252="TN",I252="TDN",I252="TNO2-3",I252="NO2-3")),VLOOKUP(E252,QCNIC_N,2,),IF(AND(H252="UREA",OR(I252="TN",I252="TDN",I252="TNO2-3",I252="NO2-3")),VLOOKUP(E252,QCUREA_N,2,),IF(H252="PER",VLOOKUP(I252,QCPER,MATCH(E252,QCACTUAL!$J$25:$AA$25,0),),IF(H252="SPK",VLOOKUP(I252,QCSPK,3,),IF(AND(H252="ATP",OR(I252="TP",I252="TDP")),VLOOKUP(E252,QCATP_P,2,),""))))))))</f>
        <v/>
      </c>
      <c r="W252" s="31" t="str">
        <f t="shared" si="23"/>
        <v>TRUE</v>
      </c>
      <c r="X252" s="31" t="str">
        <f t="shared" si="24"/>
        <v>nominal concentration</v>
      </c>
      <c r="Y252" s="10" t="s">
        <v>959</v>
      </c>
      <c r="Z252" s="10" t="s">
        <v>947</v>
      </c>
      <c r="AF252" s="12">
        <v>44930</v>
      </c>
      <c r="AJ252" s="10">
        <f>0.4739*0.461^2+205.64*0.461-100.4</f>
        <v>-5.4992462981000045</v>
      </c>
      <c r="AK252" s="10">
        <f>-0.5241*0.461^2+227.02*0.461-134.2</f>
        <v>-29.655162256099985</v>
      </c>
      <c r="AL252" s="10" t="str">
        <f t="shared" si="26"/>
        <v>FALSE</v>
      </c>
      <c r="AM252" s="10" t="str">
        <f t="shared" si="26"/>
        <v>FALSE</v>
      </c>
      <c r="AN252" s="10" t="str">
        <f t="shared" si="26"/>
        <v>FALSE</v>
      </c>
      <c r="AO252" s="10" t="str">
        <f t="shared" si="27"/>
        <v>y=0.4739*0.461^2+205.64*0.461-100.4</v>
      </c>
      <c r="AP252" s="10" t="str">
        <f t="shared" si="27"/>
        <v>y=-0.5241*0.461^2+227.02*0.461-134.2</v>
      </c>
      <c r="AQ252" s="10" t="b">
        <f>IF(AND(I252="TP",S252&lt;=150),VLOOKUP(AF252,TPCalibEq150!$AZ$2:$BB$55,3,),IF(AND(I252="TDP",S252&lt;=150),VLOOKUP(AF252,TPCalibEq150!$AZ$2:$BB$55,3,)))</f>
        <v>0</v>
      </c>
      <c r="AR252" s="10" t="b">
        <f>IF(AND(I252="TP",S252&lt;=300),VLOOKUP(AF252,TPCalibEq300!$AZ$2:$BB$55,3,),IF(AND(I252="TDP",S252&lt;=300),VLOOKUP(AF252,TPCalibEq300!$AZ$2:$BB$55,3,)))</f>
        <v>0</v>
      </c>
      <c r="AS252" s="10" t="b">
        <f>IF(AND(I252="TP",S252&lt;=500),VLOOKUP(AF252,TPCalibEq500!$AZ$2:$BB$56,3,),IF(AND(I252="TDP",S252&lt;=500),VLOOKUP(AF252,TPCalibEq500!$AZ$2:$BB$56,3,)))</f>
        <v>0</v>
      </c>
      <c r="AT252" s="10" t="str">
        <f>IF(AND(I252="TN",S252&lt;=2800),VLOOKUP(AF252,TNCalibEq2500!$AZ$2:$BB$56,3,),IF(AND(I252="TDN",S252&lt;=2800),VLOOKUP(AF252,TNCalibEq2500!$AZ$2:$BB$56,3,)))</f>
        <v>y=0.4739x2+205.64x-100.4</v>
      </c>
      <c r="AU252" s="10" t="str">
        <f>IF(I252="TP",VLOOKUP(AF252,TPCalibEqFull!$AZ$2:$BB$56,3),IF(I252="TDP",VLOOKUP(AF252,TPCalibEqFull!$AZ$2:$BB$56,3),IF(I252="TDN",VLOOKUP(AF252,TNCalibEqFull!$AZ$1:$BB$56,3),IF(I252="TN",VLOOKUP(AF252,TNCalibEqFull!$AZ$1:$BB$56,3),FALSE))))</f>
        <v>y=-0.5241x2+227.02x-134.2</v>
      </c>
      <c r="AV252" s="10" t="str">
        <f t="shared" si="25"/>
        <v>0104 09:00:00-QAC-BLK-A-1-DI-LAB</v>
      </c>
    </row>
    <row r="253" spans="1:48" s="10" customFormat="1" x14ac:dyDescent="0.55000000000000004">
      <c r="A253" s="32">
        <v>44930</v>
      </c>
      <c r="B253" s="33">
        <v>0.375</v>
      </c>
      <c r="C253" s="10" t="s">
        <v>70</v>
      </c>
      <c r="D253" s="10" t="s">
        <v>241</v>
      </c>
      <c r="E253" s="10" t="s">
        <v>866</v>
      </c>
      <c r="F253" s="10">
        <v>1</v>
      </c>
      <c r="G253" s="10" t="s">
        <v>73</v>
      </c>
      <c r="H253" s="10" t="s">
        <v>314</v>
      </c>
      <c r="I253" s="10" t="s">
        <v>235</v>
      </c>
      <c r="J253" s="10">
        <v>225</v>
      </c>
      <c r="K253" s="12">
        <v>44930</v>
      </c>
      <c r="L253" s="33">
        <v>0.56374999999999997</v>
      </c>
      <c r="M253" s="10">
        <v>1</v>
      </c>
      <c r="N253" s="10" t="s">
        <v>196</v>
      </c>
      <c r="O253" s="10">
        <v>11.7</v>
      </c>
      <c r="P253" s="10">
        <v>0.68</v>
      </c>
      <c r="Q253" s="10">
        <v>2420</v>
      </c>
      <c r="R253" s="10" t="s">
        <v>170</v>
      </c>
      <c r="S253" s="34">
        <f t="shared" si="21"/>
        <v>2450.1899510000003</v>
      </c>
      <c r="T253" s="10" t="s">
        <v>966</v>
      </c>
      <c r="U253" s="34">
        <f t="shared" si="22"/>
        <v>98.227567891924011</v>
      </c>
      <c r="V253" s="31">
        <f>IF(H253="CHK",VLOOKUP(I253,QCCHK,3,),IF(H253="GUP",VLOOKUP(E253,QCGUP,2,),IF(AND(H253="ATP",OR(I253="TN",I253="TDN",I253="TNO2-3",I253="NO2-3")),VLOOKUP(E253,QCREC_N,2,),IF(AND(H253="NIC",OR(I253="TN",I253="TDN",I253="TNO2-3",I253="NO2-3")),VLOOKUP(E253,QCNIC_N,2,),IF(AND(H253="UREA",OR(I253="TN",I253="TDN",I253="TNO2-3",I253="NO2-3")),VLOOKUP(E253,QCUREA_N,2,),IF(H253="PER",VLOOKUP(I253,QCPER,MATCH(E253,QCACTUAL!$J$25:$AA$25,0),),IF(H253="SPK",VLOOKUP(I253,QCSPK,3,),IF(AND(H253="ATP",OR(I253="TP",I253="TDP")),VLOOKUP(E253,QCATP_P,2,),""))))))))</f>
        <v>2500</v>
      </c>
      <c r="W253" s="31" t="str">
        <f t="shared" si="23"/>
        <v>TRUE</v>
      </c>
      <c r="X253" s="31" t="str">
        <f t="shared" si="24"/>
        <v>([spikedunkn]-[unkn])/[spike]*100</v>
      </c>
      <c r="Y253" s="10" t="s">
        <v>959</v>
      </c>
      <c r="AF253" s="12">
        <v>44930</v>
      </c>
      <c r="AJ253" s="10">
        <f>0.4739*11.7^2+205.64*11.7-100.4</f>
        <v>2370.4601709999997</v>
      </c>
      <c r="AK253" s="10">
        <f>-0.5241*11.7^2+227.02*11.7-134.2</f>
        <v>2450.1899510000003</v>
      </c>
      <c r="AL253" s="10" t="str">
        <f t="shared" si="26"/>
        <v>FALSE</v>
      </c>
      <c r="AM253" s="10" t="str">
        <f t="shared" si="26"/>
        <v>FALSE</v>
      </c>
      <c r="AN253" s="10" t="str">
        <f t="shared" si="26"/>
        <v>FALSE</v>
      </c>
      <c r="AO253" s="10" t="str">
        <f t="shared" si="27"/>
        <v>y=0.4739*11.7^2+205.64*11.7-100.4</v>
      </c>
      <c r="AP253" s="10" t="str">
        <f t="shared" si="27"/>
        <v>y=-0.5241*11.7^2+227.02*11.7-134.2</v>
      </c>
      <c r="AQ253" s="10" t="b">
        <f>IF(AND(I253="TP",S253&lt;=150),VLOOKUP(AF253,TPCalibEq150!$AZ$2:$BB$55,3,),IF(AND(I253="TDP",S253&lt;=150),VLOOKUP(AF253,TPCalibEq150!$AZ$2:$BB$55,3,)))</f>
        <v>0</v>
      </c>
      <c r="AR253" s="10" t="b">
        <f>IF(AND(I253="TP",S253&lt;=300),VLOOKUP(AF253,TPCalibEq300!$AZ$2:$BB$55,3,),IF(AND(I253="TDP",S253&lt;=300),VLOOKUP(AF253,TPCalibEq300!$AZ$2:$BB$55,3,)))</f>
        <v>0</v>
      </c>
      <c r="AS253" s="10" t="b">
        <f>IF(AND(I253="TP",S253&lt;=500),VLOOKUP(AF253,TPCalibEq500!$AZ$2:$BB$56,3,),IF(AND(I253="TDP",S253&lt;=500),VLOOKUP(AF253,TPCalibEq500!$AZ$2:$BB$56,3,)))</f>
        <v>0</v>
      </c>
      <c r="AT253" s="10" t="str">
        <f>IF(AND(I253="TN",S253&lt;=2800),VLOOKUP(AF253,TNCalibEq2500!$AZ$2:$BB$56,3,),IF(AND(I253="TDN",S253&lt;=2800),VLOOKUP(AF253,TNCalibEq2500!$AZ$2:$BB$56,3,)))</f>
        <v>y=0.4739x2+205.64x-100.4</v>
      </c>
      <c r="AU253" s="10" t="str">
        <f>IF(I253="TP",VLOOKUP(AF253,TPCalibEqFull!$AZ$2:$BB$56,3),IF(I253="TDP",VLOOKUP(AF253,TPCalibEqFull!$AZ$2:$BB$56,3),IF(I253="TDN",VLOOKUP(AF253,TNCalibEqFull!$AZ$1:$BB$56,3),IF(I253="TN",VLOOKUP(AF253,TNCalibEqFull!$AZ$1:$BB$56,3),FALSE))))</f>
        <v>y=-0.5241x2+227.02x-134.2</v>
      </c>
      <c r="AV253" s="10" t="str">
        <f t="shared" si="25"/>
        <v>0104 09:00:00-QAC-BLK-A-1-DI-SPK</v>
      </c>
    </row>
    <row r="254" spans="1:48" s="10" customFormat="1" x14ac:dyDescent="0.55000000000000004">
      <c r="A254" s="32">
        <v>44930</v>
      </c>
      <c r="B254" s="33">
        <v>0.375</v>
      </c>
      <c r="C254" s="10" t="s">
        <v>70</v>
      </c>
      <c r="D254" s="10" t="s">
        <v>71</v>
      </c>
      <c r="E254" s="10" t="s">
        <v>899</v>
      </c>
      <c r="F254" s="10">
        <v>1</v>
      </c>
      <c r="G254" s="10" t="s">
        <v>73</v>
      </c>
      <c r="H254" s="10" t="s">
        <v>299</v>
      </c>
      <c r="I254" s="10" t="s">
        <v>235</v>
      </c>
      <c r="J254" s="10">
        <v>197</v>
      </c>
      <c r="K254" s="12">
        <v>44930</v>
      </c>
      <c r="L254" s="33">
        <v>0.56442129629629634</v>
      </c>
      <c r="M254" s="10">
        <v>1</v>
      </c>
      <c r="N254" s="10" t="s">
        <v>196</v>
      </c>
      <c r="O254" s="10">
        <v>9.1</v>
      </c>
      <c r="P254" s="10">
        <v>0.53100000000000003</v>
      </c>
      <c r="Q254" s="10">
        <v>1850</v>
      </c>
      <c r="R254" s="10" t="s">
        <v>170</v>
      </c>
      <c r="S254" s="34">
        <f t="shared" si="21"/>
        <v>1888.281279</v>
      </c>
      <c r="T254" s="10" t="s">
        <v>966</v>
      </c>
      <c r="U254" s="34">
        <f t="shared" si="22"/>
        <v>252.78196506024096</v>
      </c>
      <c r="V254" s="31">
        <f>IF(H254="CHK",VLOOKUP(I254,QCCHK,3,),IF(H254="GUP",VLOOKUP(E254,QCGUP,2,),IF(AND(H254="ATP",OR(I254="TN",I254="TDN",I254="TNO2-3",I254="NO2-3")),VLOOKUP(E254,QCREC_N,2,),IF(AND(H254="NIC",OR(I254="TN",I254="TDN",I254="TNO2-3",I254="NO2-3")),VLOOKUP(E254,QCNIC_N,2,),IF(AND(H254="UREA",OR(I254="TN",I254="TDN",I254="TNO2-3",I254="NO2-3")),VLOOKUP(E254,QCUREA_N,2,),IF(H254="PER",VLOOKUP(I254,QCPER,MATCH(E254,QCACTUAL!$J$25:$AA$25,0),),IF(H254="SPK",VLOOKUP(I254,QCSPK,3,),IF(AND(H254="ATP",OR(I254="TP",I254="TDP")),VLOOKUP(E254,QCATP_P,2,),""))))))))</f>
        <v>747</v>
      </c>
      <c r="W254" s="31" t="str">
        <f t="shared" si="23"/>
        <v>FALSE</v>
      </c>
      <c r="X254" s="31" t="str">
        <f t="shared" si="24"/>
        <v>[per]/[actual]*100</v>
      </c>
      <c r="Y254" s="10" t="s">
        <v>959</v>
      </c>
      <c r="AF254" s="12">
        <v>44930</v>
      </c>
      <c r="AJ254" s="10">
        <f>0.4739*9.1^2+205.64*9.1-100.4</f>
        <v>1810.1676589999997</v>
      </c>
      <c r="AK254" s="10">
        <f>-0.5241*9.1^2+227.02*9.1-134.2</f>
        <v>1888.281279</v>
      </c>
      <c r="AL254" s="10" t="str">
        <f t="shared" si="26"/>
        <v>FALSE</v>
      </c>
      <c r="AM254" s="10" t="str">
        <f t="shared" si="26"/>
        <v>FALSE</v>
      </c>
      <c r="AN254" s="10" t="str">
        <f t="shared" si="26"/>
        <v>FALSE</v>
      </c>
      <c r="AO254" s="10" t="str">
        <f t="shared" si="27"/>
        <v>y=0.4739*9.1^2+205.64*9.1-100.4</v>
      </c>
      <c r="AP254" s="10" t="str">
        <f t="shared" si="27"/>
        <v>y=-0.5241*9.1^2+227.02*9.1-134.2</v>
      </c>
      <c r="AQ254" s="10" t="b">
        <f>IF(AND(I254="TP",S254&lt;=150),VLOOKUP(AF254,TPCalibEq150!$AZ$2:$BB$55,3,),IF(AND(I254="TDP",S254&lt;=150),VLOOKUP(AF254,TPCalibEq150!$AZ$2:$BB$55,3,)))</f>
        <v>0</v>
      </c>
      <c r="AR254" s="10" t="b">
        <f>IF(AND(I254="TP",S254&lt;=300),VLOOKUP(AF254,TPCalibEq300!$AZ$2:$BB$55,3,),IF(AND(I254="TDP",S254&lt;=300),VLOOKUP(AF254,TPCalibEq300!$AZ$2:$BB$55,3,)))</f>
        <v>0</v>
      </c>
      <c r="AS254" s="10" t="b">
        <f>IF(AND(I254="TP",S254&lt;=500),VLOOKUP(AF254,TPCalibEq500!$AZ$2:$BB$56,3,),IF(AND(I254="TDP",S254&lt;=500),VLOOKUP(AF254,TPCalibEq500!$AZ$2:$BB$56,3,)))</f>
        <v>0</v>
      </c>
      <c r="AT254" s="10" t="str">
        <f>IF(AND(I254="TN",S254&lt;=2800),VLOOKUP(AF254,TNCalibEq2500!$AZ$2:$BB$56,3,),IF(AND(I254="TDN",S254&lt;=2800),VLOOKUP(AF254,TNCalibEq2500!$AZ$2:$BB$56,3,)))</f>
        <v>y=0.4739x2+205.64x-100.4</v>
      </c>
      <c r="AU254" s="10" t="str">
        <f>IF(I254="TP",VLOOKUP(AF254,TPCalibEqFull!$AZ$2:$BB$56,3),IF(I254="TDP",VLOOKUP(AF254,TPCalibEqFull!$AZ$2:$BB$56,3),IF(I254="TDN",VLOOKUP(AF254,TNCalibEqFull!$AZ$1:$BB$56,3),IF(I254="TN",VLOOKUP(AF254,TNCalibEqFull!$AZ$1:$BB$56,3),FALSE))))</f>
        <v>y=-0.5241x2+227.02x-134.2</v>
      </c>
      <c r="AV254" s="10" t="str">
        <f t="shared" si="25"/>
        <v>0104 09:00:00-QAC-STD-21A-1-DI-PER</v>
      </c>
    </row>
    <row r="255" spans="1:48" s="10" customFormat="1" x14ac:dyDescent="0.55000000000000004">
      <c r="A255" s="32">
        <v>44930</v>
      </c>
      <c r="B255" s="33">
        <v>0.375</v>
      </c>
      <c r="C255" s="10" t="s">
        <v>70</v>
      </c>
      <c r="D255" s="10" t="s">
        <v>305</v>
      </c>
      <c r="E255" s="10" t="s">
        <v>866</v>
      </c>
      <c r="F255" s="10">
        <v>1</v>
      </c>
      <c r="G255" s="10" t="s">
        <v>73</v>
      </c>
      <c r="H255" s="10" t="s">
        <v>274</v>
      </c>
      <c r="I255" s="10" t="s">
        <v>235</v>
      </c>
      <c r="J255" s="10">
        <v>204</v>
      </c>
      <c r="K255" s="12">
        <v>44930</v>
      </c>
      <c r="L255" s="33">
        <v>0.56510416666666663</v>
      </c>
      <c r="M255" s="10">
        <v>1</v>
      </c>
      <c r="N255" s="10" t="s">
        <v>196</v>
      </c>
      <c r="O255" s="10">
        <v>5.18</v>
      </c>
      <c r="P255" s="10">
        <v>0.30199999999999999</v>
      </c>
      <c r="Q255" s="10">
        <v>1010</v>
      </c>
      <c r="R255" s="10" t="s">
        <v>170</v>
      </c>
      <c r="S255" s="34">
        <f t="shared" si="21"/>
        <v>1027.70073916</v>
      </c>
      <c r="T255" s="10" t="s">
        <v>966</v>
      </c>
      <c r="U255" s="34">
        <f t="shared" si="22"/>
        <v>102.77007391599999</v>
      </c>
      <c r="V255" s="31">
        <f>IF(H255="CHK",VLOOKUP(I255,QCCHK,3,),IF(H255="GUP",VLOOKUP(E255,QCGUP,2,),IF(AND(H255="ATP",OR(I255="TN",I255="TDN",I255="TNO2-3",I255="NO2-3")),VLOOKUP(E255,QCREC_N,2,),IF(AND(H255="NIC",OR(I255="TN",I255="TDN",I255="TNO2-3",I255="NO2-3")),VLOOKUP(E255,QCNIC_N,2,),IF(AND(H255="UREA",OR(I255="TN",I255="TDN",I255="TNO2-3",I255="NO2-3")),VLOOKUP(E255,QCUREA_N,2,),IF(H255="PER",VLOOKUP(I255,QCPER,MATCH(E255,QCACTUAL!$J$25:$AA$25,0),),IF(H255="SPK",VLOOKUP(I255,QCSPK,3,),IF(AND(H255="ATP",OR(I255="TP",I255="TDP")),VLOOKUP(E255,QCATP_P,2,),""))))))))</f>
        <v>1000</v>
      </c>
      <c r="W255" s="31" t="str">
        <f t="shared" si="23"/>
        <v>TRUE</v>
      </c>
      <c r="X255" s="31" t="str">
        <f t="shared" si="24"/>
        <v>[rec]/[actual]*100</v>
      </c>
      <c r="Y255" s="10" t="s">
        <v>959</v>
      </c>
      <c r="AF255" s="12">
        <v>44930</v>
      </c>
      <c r="AJ255" s="10">
        <f>0.4739*5.18^2+205.64*5.18-100.4</f>
        <v>977.53107435999993</v>
      </c>
      <c r="AK255" s="10">
        <f>-0.5241*5.18^2+227.02*5.18-134.2</f>
        <v>1027.70073916</v>
      </c>
      <c r="AL255" s="10" t="str">
        <f t="shared" si="26"/>
        <v>FALSE</v>
      </c>
      <c r="AM255" s="10" t="str">
        <f t="shared" si="26"/>
        <v>FALSE</v>
      </c>
      <c r="AN255" s="10" t="str">
        <f t="shared" si="26"/>
        <v>FALSE</v>
      </c>
      <c r="AO255" s="10" t="str">
        <f t="shared" si="27"/>
        <v>y=0.4739*5.18^2+205.64*5.18-100.4</v>
      </c>
      <c r="AP255" s="10" t="str">
        <f t="shared" si="27"/>
        <v>y=-0.5241*5.18^2+227.02*5.18-134.2</v>
      </c>
      <c r="AQ255" s="10" t="b">
        <f>IF(AND(I255="TP",S255&lt;=150),VLOOKUP(AF255,TPCalibEq150!$AZ$2:$BB$55,3,),IF(AND(I255="TDP",S255&lt;=150),VLOOKUP(AF255,TPCalibEq150!$AZ$2:$BB$55,3,)))</f>
        <v>0</v>
      </c>
      <c r="AR255" s="10" t="b">
        <f>IF(AND(I255="TP",S255&lt;=300),VLOOKUP(AF255,TPCalibEq300!$AZ$2:$BB$55,3,),IF(AND(I255="TDP",S255&lt;=300),VLOOKUP(AF255,TPCalibEq300!$AZ$2:$BB$55,3,)))</f>
        <v>0</v>
      </c>
      <c r="AS255" s="10" t="b">
        <f>IF(AND(I255="TP",S255&lt;=500),VLOOKUP(AF255,TPCalibEq500!$AZ$2:$BB$56,3,),IF(AND(I255="TDP",S255&lt;=500),VLOOKUP(AF255,TPCalibEq500!$AZ$2:$BB$56,3,)))</f>
        <v>0</v>
      </c>
      <c r="AT255" s="10" t="str">
        <f>IF(AND(I255="TN",S255&lt;=2800),VLOOKUP(AF255,TNCalibEq2500!$AZ$2:$BB$56,3,),IF(AND(I255="TDN",S255&lt;=2800),VLOOKUP(AF255,TNCalibEq2500!$AZ$2:$BB$56,3,)))</f>
        <v>y=0.4739x2+205.64x-100.4</v>
      </c>
      <c r="AU255" s="10" t="str">
        <f>IF(I255="TP",VLOOKUP(AF255,TPCalibEqFull!$AZ$2:$BB$56,3),IF(I255="TDP",VLOOKUP(AF255,TPCalibEqFull!$AZ$2:$BB$56,3),IF(I255="TDN",VLOOKUP(AF255,TNCalibEqFull!$AZ$1:$BB$56,3),IF(I255="TN",VLOOKUP(AF255,TNCalibEqFull!$AZ$1:$BB$56,3),FALSE))))</f>
        <v>y=-0.5241x2+227.02x-134.2</v>
      </c>
      <c r="AV255" s="10" t="str">
        <f t="shared" si="25"/>
        <v>0104 09:00:00-QAC-REC-A-1-DI-GUP</v>
      </c>
    </row>
    <row r="256" spans="1:48" s="10" customFormat="1" x14ac:dyDescent="0.55000000000000004">
      <c r="A256" s="32">
        <v>44930</v>
      </c>
      <c r="B256" s="33">
        <v>0.375</v>
      </c>
      <c r="C256" s="10" t="s">
        <v>70</v>
      </c>
      <c r="D256" s="10" t="s">
        <v>305</v>
      </c>
      <c r="E256" s="10" t="s">
        <v>583</v>
      </c>
      <c r="F256" s="10">
        <v>1</v>
      </c>
      <c r="G256" s="10" t="s">
        <v>73</v>
      </c>
      <c r="H256" s="10" t="s">
        <v>274</v>
      </c>
      <c r="I256" s="10" t="s">
        <v>235</v>
      </c>
      <c r="J256" s="10">
        <v>205</v>
      </c>
      <c r="K256" s="12">
        <v>44930</v>
      </c>
      <c r="L256" s="33">
        <v>0.56577546296296299</v>
      </c>
      <c r="M256" s="10">
        <v>1</v>
      </c>
      <c r="N256" s="10" t="s">
        <v>196</v>
      </c>
      <c r="O256" s="10">
        <v>1.38</v>
      </c>
      <c r="P256" s="10">
        <v>8.1500000000000003E-2</v>
      </c>
      <c r="Q256" s="10">
        <v>189</v>
      </c>
      <c r="R256" s="10" t="s">
        <v>170</v>
      </c>
      <c r="S256" s="34">
        <f t="shared" si="21"/>
        <v>189</v>
      </c>
      <c r="T256" s="10" t="s">
        <v>966</v>
      </c>
      <c r="U256" s="34">
        <f t="shared" si="22"/>
        <v>94.5</v>
      </c>
      <c r="V256" s="31">
        <f>IF(H256="CHK",VLOOKUP(I256,QCCHK,3,),IF(H256="GUP",VLOOKUP(E256,QCGUP,2,),IF(AND(H256="ATP",OR(I256="TN",I256="TDN",I256="TNO2-3",I256="NO2-3")),VLOOKUP(E256,QCREC_N,2,),IF(AND(H256="NIC",OR(I256="TN",I256="TDN",I256="TNO2-3",I256="NO2-3")),VLOOKUP(E256,QCNIC_N,2,),IF(AND(H256="UREA",OR(I256="TN",I256="TDN",I256="TNO2-3",I256="NO2-3")),VLOOKUP(E256,QCUREA_N,2,),IF(H256="PER",VLOOKUP(I256,QCPER,MATCH(E256,QCACTUAL!$J$25:$AA$25,0),),IF(H256="SPK",VLOOKUP(I256,QCSPK,3,),IF(AND(H256="ATP",OR(I256="TP",I256="TDP")),VLOOKUP(E256,QCATP_P,2,),""))))))))</f>
        <v>200</v>
      </c>
      <c r="W256" s="31" t="str">
        <f t="shared" si="23"/>
        <v>TRUE</v>
      </c>
      <c r="X256" s="31" t="str">
        <f t="shared" si="24"/>
        <v>[rec]/[actual]*100</v>
      </c>
      <c r="Y256" s="10" t="s">
        <v>959</v>
      </c>
      <c r="AF256" s="12">
        <v>44930</v>
      </c>
      <c r="AJ256" s="10">
        <f>0.4739*1.38^2+205.64*1.38-100.4</f>
        <v>184.28569515999996</v>
      </c>
      <c r="AK256" s="10">
        <f>-0.5241*1.38^2+227.02*1.38-134.2</f>
        <v>178.08950396</v>
      </c>
      <c r="AL256" s="10" t="str">
        <f t="shared" si="26"/>
        <v>FALSE</v>
      </c>
      <c r="AM256" s="10" t="str">
        <f t="shared" si="26"/>
        <v>FALSE</v>
      </c>
      <c r="AN256" s="10" t="str">
        <f t="shared" si="26"/>
        <v>FALSE</v>
      </c>
      <c r="AO256" s="10" t="str">
        <f t="shared" si="27"/>
        <v>y=0.4739*1.38^2+205.64*1.38-100.4</v>
      </c>
      <c r="AP256" s="10" t="str">
        <f t="shared" si="27"/>
        <v>y=-0.5241*1.38^2+227.02*1.38-134.2</v>
      </c>
      <c r="AQ256" s="10" t="b">
        <f>IF(AND(I256="TP",S256&lt;=150),VLOOKUP(AF256,TPCalibEq150!$AZ$2:$BB$55,3,),IF(AND(I256="TDP",S256&lt;=150),VLOOKUP(AF256,TPCalibEq150!$AZ$2:$BB$55,3,)))</f>
        <v>0</v>
      </c>
      <c r="AR256" s="10" t="b">
        <f>IF(AND(I256="TP",S256&lt;=300),VLOOKUP(AF256,TPCalibEq300!$AZ$2:$BB$55,3,),IF(AND(I256="TDP",S256&lt;=300),VLOOKUP(AF256,TPCalibEq300!$AZ$2:$BB$55,3,)))</f>
        <v>0</v>
      </c>
      <c r="AS256" s="10" t="b">
        <f>IF(AND(I256="TP",S256&lt;=500),VLOOKUP(AF256,TPCalibEq500!$AZ$2:$BB$56,3,),IF(AND(I256="TDP",S256&lt;=500),VLOOKUP(AF256,TPCalibEq500!$AZ$2:$BB$56,3,)))</f>
        <v>0</v>
      </c>
      <c r="AT256" s="10" t="str">
        <f>IF(AND(I256="TN",S256&lt;=2800),VLOOKUP(AF256,TNCalibEq2500!$AZ$2:$BB$56,3,),IF(AND(I256="TDN",S256&lt;=2800),VLOOKUP(AF256,TNCalibEq2500!$AZ$2:$BB$56,3,)))</f>
        <v>y=0.4739x2+205.64x-100.4</v>
      </c>
      <c r="AU256" s="10" t="str">
        <f>IF(I256="TP",VLOOKUP(AF256,TPCalibEqFull!$AZ$2:$BB$56,3),IF(I256="TDP",VLOOKUP(AF256,TPCalibEqFull!$AZ$2:$BB$56,3),IF(I256="TDN",VLOOKUP(AF256,TNCalibEqFull!$AZ$1:$BB$56,3),IF(I256="TN",VLOOKUP(AF256,TNCalibEqFull!$AZ$1:$BB$56,3),FALSE))))</f>
        <v>y=-0.5241x2+227.02x-134.2</v>
      </c>
      <c r="AV256" s="10" t="str">
        <f t="shared" si="25"/>
        <v>0104 09:00:00-QAC-REC-B-1-DI-GUP</v>
      </c>
    </row>
    <row r="257" spans="1:48" s="10" customFormat="1" x14ac:dyDescent="0.55000000000000004">
      <c r="A257" s="32">
        <v>44930</v>
      </c>
      <c r="B257" s="33">
        <v>0.375</v>
      </c>
      <c r="C257" s="10" t="s">
        <v>70</v>
      </c>
      <c r="D257" s="10" t="s">
        <v>305</v>
      </c>
      <c r="E257" s="10" t="s">
        <v>190</v>
      </c>
      <c r="F257" s="10">
        <v>1</v>
      </c>
      <c r="G257" s="10" t="s">
        <v>73</v>
      </c>
      <c r="H257" s="10" t="s">
        <v>274</v>
      </c>
      <c r="I257" s="10" t="s">
        <v>235</v>
      </c>
      <c r="J257" s="10">
        <v>206</v>
      </c>
      <c r="K257" s="12">
        <v>44930</v>
      </c>
      <c r="L257" s="33">
        <v>0.56644675925925925</v>
      </c>
      <c r="M257" s="10">
        <v>1</v>
      </c>
      <c r="N257" s="10" t="s">
        <v>196</v>
      </c>
      <c r="O257" s="10">
        <v>0.97299999999999998</v>
      </c>
      <c r="P257" s="10">
        <v>5.6099999999999997E-2</v>
      </c>
      <c r="Q257" s="10">
        <v>101</v>
      </c>
      <c r="R257" s="10" t="s">
        <v>170</v>
      </c>
      <c r="S257" s="34">
        <f t="shared" si="21"/>
        <v>101</v>
      </c>
      <c r="T257" s="10" t="s">
        <v>966</v>
      </c>
      <c r="U257" s="34">
        <f t="shared" si="22"/>
        <v>101</v>
      </c>
      <c r="V257" s="31">
        <f>IF(H257="CHK",VLOOKUP(I257,QCCHK,3,),IF(H257="GUP",VLOOKUP(E257,QCGUP,2,),IF(AND(H257="ATP",OR(I257="TN",I257="TDN",I257="TNO2-3",I257="NO2-3")),VLOOKUP(E257,QCREC_N,2,),IF(AND(H257="NIC",OR(I257="TN",I257="TDN",I257="TNO2-3",I257="NO2-3")),VLOOKUP(E257,QCNIC_N,2,),IF(AND(H257="UREA",OR(I257="TN",I257="TDN",I257="TNO2-3",I257="NO2-3")),VLOOKUP(E257,QCUREA_N,2,),IF(H257="PER",VLOOKUP(I257,QCPER,MATCH(E257,QCACTUAL!$J$25:$AA$25,0),),IF(H257="SPK",VLOOKUP(I257,QCSPK,3,),IF(AND(H257="ATP",OR(I257="TP",I257="TDP")),VLOOKUP(E257,QCATP_P,2,),""))))))))</f>
        <v>100</v>
      </c>
      <c r="W257" s="31" t="str">
        <f t="shared" si="23"/>
        <v>TRUE</v>
      </c>
      <c r="X257" s="31" t="str">
        <f t="shared" si="24"/>
        <v>[rec]/[actual]*100</v>
      </c>
      <c r="Y257" s="10" t="s">
        <v>959</v>
      </c>
      <c r="AF257" s="12">
        <v>44930</v>
      </c>
      <c r="AJ257" s="10">
        <f>0.4739*0.973^2+205.64*0.973-100.4</f>
        <v>100.13637487309998</v>
      </c>
      <c r="AK257" s="10">
        <f>-0.5241*0.973^2+227.02*0.973-134.2</f>
        <v>86.194279331100034</v>
      </c>
      <c r="AL257" s="10" t="str">
        <f t="shared" si="26"/>
        <v>FALSE</v>
      </c>
      <c r="AM257" s="10" t="str">
        <f t="shared" si="26"/>
        <v>FALSE</v>
      </c>
      <c r="AN257" s="10" t="str">
        <f t="shared" si="26"/>
        <v>FALSE</v>
      </c>
      <c r="AO257" s="10" t="str">
        <f t="shared" si="27"/>
        <v>y=0.4739*0.973^2+205.64*0.973-100.4</v>
      </c>
      <c r="AP257" s="10" t="str">
        <f t="shared" si="27"/>
        <v>y=-0.5241*0.973^2+227.02*0.973-134.2</v>
      </c>
      <c r="AQ257" s="10" t="b">
        <f>IF(AND(I257="TP",S257&lt;=150),VLOOKUP(AF257,TPCalibEq150!$AZ$2:$BB$55,3,),IF(AND(I257="TDP",S257&lt;=150),VLOOKUP(AF257,TPCalibEq150!$AZ$2:$BB$55,3,)))</f>
        <v>0</v>
      </c>
      <c r="AR257" s="10" t="b">
        <f>IF(AND(I257="TP",S257&lt;=300),VLOOKUP(AF257,TPCalibEq300!$AZ$2:$BB$55,3,),IF(AND(I257="TDP",S257&lt;=300),VLOOKUP(AF257,TPCalibEq300!$AZ$2:$BB$55,3,)))</f>
        <v>0</v>
      </c>
      <c r="AS257" s="10" t="b">
        <f>IF(AND(I257="TP",S257&lt;=500),VLOOKUP(AF257,TPCalibEq500!$AZ$2:$BB$56,3,),IF(AND(I257="TDP",S257&lt;=500),VLOOKUP(AF257,TPCalibEq500!$AZ$2:$BB$56,3,)))</f>
        <v>0</v>
      </c>
      <c r="AT257" s="10" t="str">
        <f>IF(AND(I257="TN",S257&lt;=2800),VLOOKUP(AF257,TNCalibEq2500!$AZ$2:$BB$56,3,),IF(AND(I257="TDN",S257&lt;=2800),VLOOKUP(AF257,TNCalibEq2500!$AZ$2:$BB$56,3,)))</f>
        <v>y=0.4739x2+205.64x-100.4</v>
      </c>
      <c r="AU257" s="10" t="str">
        <f>IF(I257="TP",VLOOKUP(AF257,TPCalibEqFull!$AZ$2:$BB$56,3),IF(I257="TDP",VLOOKUP(AF257,TPCalibEqFull!$AZ$2:$BB$56,3),IF(I257="TDN",VLOOKUP(AF257,TNCalibEqFull!$AZ$1:$BB$56,3),IF(I257="TN",VLOOKUP(AF257,TNCalibEqFull!$AZ$1:$BB$56,3),FALSE))))</f>
        <v>y=-0.5241x2+227.02x-134.2</v>
      </c>
      <c r="AV257" s="10" t="str">
        <f t="shared" si="25"/>
        <v>0104 09:00:00-QAC-REC-C-1-DI-GUP</v>
      </c>
    </row>
    <row r="258" spans="1:48" s="10" customFormat="1" x14ac:dyDescent="0.55000000000000004">
      <c r="A258" s="32">
        <v>44930</v>
      </c>
      <c r="B258" s="33">
        <v>0.375</v>
      </c>
      <c r="C258" s="10" t="s">
        <v>70</v>
      </c>
      <c r="D258" s="10" t="s">
        <v>305</v>
      </c>
      <c r="E258" s="10" t="s">
        <v>866</v>
      </c>
      <c r="F258" s="10">
        <v>1</v>
      </c>
      <c r="G258" s="10" t="s">
        <v>73</v>
      </c>
      <c r="H258" s="10" t="s">
        <v>181</v>
      </c>
      <c r="I258" s="10" t="s">
        <v>235</v>
      </c>
      <c r="J258" s="10">
        <v>207</v>
      </c>
      <c r="K258" s="12">
        <v>44930</v>
      </c>
      <c r="L258" s="33">
        <v>0.56712962962962965</v>
      </c>
      <c r="M258" s="10">
        <v>1</v>
      </c>
      <c r="N258" s="10" t="s">
        <v>196</v>
      </c>
      <c r="O258" s="10">
        <v>4.51</v>
      </c>
      <c r="P258" s="10">
        <v>0.26</v>
      </c>
      <c r="Q258" s="10">
        <v>863</v>
      </c>
      <c r="R258" s="10" t="s">
        <v>170</v>
      </c>
      <c r="S258" s="34">
        <f t="shared" ref="S258:S321" si="28">IF(OR(AND(I258&lt;&gt;"TP", I258&lt;&gt;"TDP",I258&lt;&gt;"TN", I258&lt;&gt;"TDN"),H258="CAL"), Q258*M258, IF(OR(AND(I258="TN", Q258&gt;2500), AND(I258="TDN", Q258&gt;2500)),MAX(Q258, AK258)*M258, IF(OR(AND(I258="TN", Q258&lt;=2500), AND(I258="TDN", Q258&lt;=2500)),MAX(Q258, AJ258,AK258)*M258, IF(OR(AND(I258="TP",Q258&gt;500), AND(I258="TDP", Q258&gt;500)),MAX(Q258,AK258)*M258,IF(OR(AND(I258="TP",Q258&lt;=150), AND(I258="TDP", Q258&lt;=150)),MAX(Q258,AG258:AI258,AK258)*M258,IF(OR(AND(I258="TP",Q258&lt;=300), AND(I258="TDP", Q258&lt;=300)),MAX(Q258,AH258,AI258,AK258)*M258,IF(OR(AND(I258="TP",Q258&lt;=500), AND(I258="TDP", Q258&lt;=500)),MAX(Q258,AI258,AK258)*M258,"")))))))</f>
        <v>878.9999535899999</v>
      </c>
      <c r="T258" s="10" t="s">
        <v>966</v>
      </c>
      <c r="U258" s="34">
        <f t="shared" ref="U258:U321" si="29">IF(OR(H258="CHK",H258="ATP",H258="GUP",H258="PER", H258="NIC", H258="UREA"),(S258/V258*100),IF(H258="DUP",((ABS(S258-S257))/((S257+S258)/2))*100,IF(H258="SPK",((S258-S257)/V258*100),IF(OR(H258="LAB",H258="FLD",H258="ESF"),S258,""))))</f>
        <v>87.899995358999988</v>
      </c>
      <c r="V258" s="31">
        <f>IF(H258="CHK",VLOOKUP(I258,QCCHK,3,),IF(H258="GUP",VLOOKUP(E258,QCGUP,2,),IF(AND(H258="ATP",OR(I258="TN",I258="TDN",I258="TNO2-3",I258="NO2-3")),VLOOKUP(E258,QCREC_N,2,),IF(AND(H258="NIC",OR(I258="TN",I258="TDN",I258="TNO2-3",I258="NO2-3")),VLOOKUP(E258,QCNIC_N,2,),IF(AND(H258="UREA",OR(I258="TN",I258="TDN",I258="TNO2-3",I258="NO2-3")),VLOOKUP(E258,QCUREA_N,2,),IF(H258="PER",VLOOKUP(I258,QCPER,MATCH(E258,QCACTUAL!$J$25:$AA$25,0),),IF(H258="SPK",VLOOKUP(I258,QCSPK,3,),IF(AND(H258="ATP",OR(I258="TP",I258="TDP")),VLOOKUP(E258,QCATP_P,2,),""))))))))</f>
        <v>1000</v>
      </c>
      <c r="W258" s="31" t="str">
        <f t="shared" ref="W258:W321" si="30">IF(AND(OR(H258="PER",H258="ATP",H258="GUP",H258="CHK",H258="SPK", H258="NIC"),OR(U258&gt;125,U258&lt;75)),"FALSE",IF(AND(H258="DUP",OR(U258&gt;25, U258&lt;-25)),"FALSE",IF(AND(OR(H258="LAB",H258="FLD",H258="ESF"),U258&gt;15),"FALSE","TRUE")))</f>
        <v>TRUE</v>
      </c>
      <c r="X258" s="31" t="str">
        <f t="shared" ref="X258:X321" si="31">IF(ISNA(VLOOKUP(H258,QCEQUATIONS,2,)),"",(VLOOKUP(H258,QCEQUATIONS,2,)))</f>
        <v>[rec]/[actual]*100</v>
      </c>
      <c r="Y258" s="10" t="s">
        <v>959</v>
      </c>
      <c r="AF258" s="12">
        <v>44930</v>
      </c>
      <c r="AJ258" s="10">
        <f>0.4739*4.51^2+205.64*4.51-100.4</f>
        <v>836.67557338999995</v>
      </c>
      <c r="AK258" s="10">
        <f>-0.5241*4.51^2+227.02*4.51-134.2</f>
        <v>878.9999535899999</v>
      </c>
      <c r="AL258" s="10" t="str">
        <f t="shared" si="26"/>
        <v>FALSE</v>
      </c>
      <c r="AM258" s="10" t="str">
        <f t="shared" si="26"/>
        <v>FALSE</v>
      </c>
      <c r="AN258" s="10" t="str">
        <f t="shared" si="26"/>
        <v>FALSE</v>
      </c>
      <c r="AO258" s="10" t="str">
        <f t="shared" si="27"/>
        <v>y=0.4739*4.51^2+205.64*4.51-100.4</v>
      </c>
      <c r="AP258" s="10" t="str">
        <f t="shared" si="27"/>
        <v>y=-0.5241*4.51^2+227.02*4.51-134.2</v>
      </c>
      <c r="AQ258" s="10" t="b">
        <f>IF(AND(I258="TP",S258&lt;=150),VLOOKUP(AF258,TPCalibEq150!$AZ$2:$BB$55,3,),IF(AND(I258="TDP",S258&lt;=150),VLOOKUP(AF258,TPCalibEq150!$AZ$2:$BB$55,3,)))</f>
        <v>0</v>
      </c>
      <c r="AR258" s="10" t="b">
        <f>IF(AND(I258="TP",S258&lt;=300),VLOOKUP(AF258,TPCalibEq300!$AZ$2:$BB$55,3,),IF(AND(I258="TDP",S258&lt;=300),VLOOKUP(AF258,TPCalibEq300!$AZ$2:$BB$55,3,)))</f>
        <v>0</v>
      </c>
      <c r="AS258" s="10" t="b">
        <f>IF(AND(I258="TP",S258&lt;=500),VLOOKUP(AF258,TPCalibEq500!$AZ$2:$BB$56,3,),IF(AND(I258="TDP",S258&lt;=500),VLOOKUP(AF258,TPCalibEq500!$AZ$2:$BB$56,3,)))</f>
        <v>0</v>
      </c>
      <c r="AT258" s="10" t="str">
        <f>IF(AND(I258="TN",S258&lt;=2800),VLOOKUP(AF258,TNCalibEq2500!$AZ$2:$BB$56,3,),IF(AND(I258="TDN",S258&lt;=2800),VLOOKUP(AF258,TNCalibEq2500!$AZ$2:$BB$56,3,)))</f>
        <v>y=0.4739x2+205.64x-100.4</v>
      </c>
      <c r="AU258" s="10" t="str">
        <f>IF(I258="TP",VLOOKUP(AF258,TPCalibEqFull!$AZ$2:$BB$56,3),IF(I258="TDP",VLOOKUP(AF258,TPCalibEqFull!$AZ$2:$BB$56,3),IF(I258="TDN",VLOOKUP(AF258,TNCalibEqFull!$AZ$1:$BB$56,3),IF(I258="TN",VLOOKUP(AF258,TNCalibEqFull!$AZ$1:$BB$56,3),FALSE))))</f>
        <v>y=-0.5241x2+227.02x-134.2</v>
      </c>
      <c r="AV258" s="10" t="str">
        <f t="shared" ref="AV258:AV321" si="32">TEXT(A258, "MMDD")&amp;" "&amp;TEXT(B258, "HH:MM:SS")&amp;"-"&amp;C258&amp;"-"&amp;D258&amp;"-"&amp;E258&amp;"-"&amp;F258&amp;"-"&amp;G258&amp;"-"&amp;H258</f>
        <v>0104 09:00:00-QAC-REC-A-1-DI-ATP</v>
      </c>
    </row>
    <row r="259" spans="1:48" s="10" customFormat="1" x14ac:dyDescent="0.55000000000000004">
      <c r="A259" s="32">
        <v>44930</v>
      </c>
      <c r="B259" s="33">
        <v>0.375</v>
      </c>
      <c r="C259" s="10" t="s">
        <v>70</v>
      </c>
      <c r="D259" s="10" t="s">
        <v>305</v>
      </c>
      <c r="E259" s="10" t="s">
        <v>583</v>
      </c>
      <c r="F259" s="10">
        <v>1</v>
      </c>
      <c r="G259" s="10" t="s">
        <v>73</v>
      </c>
      <c r="H259" s="10" t="s">
        <v>181</v>
      </c>
      <c r="I259" s="10" t="s">
        <v>235</v>
      </c>
      <c r="J259" s="10">
        <v>208</v>
      </c>
      <c r="K259" s="12">
        <v>44930</v>
      </c>
      <c r="L259" s="33">
        <v>0.5678009259259259</v>
      </c>
      <c r="M259" s="10">
        <v>1</v>
      </c>
      <c r="N259" s="10" t="s">
        <v>196</v>
      </c>
      <c r="O259" s="10">
        <v>1.38</v>
      </c>
      <c r="P259" s="10">
        <v>7.8600000000000003E-2</v>
      </c>
      <c r="Q259" s="10">
        <v>189</v>
      </c>
      <c r="R259" s="10" t="s">
        <v>170</v>
      </c>
      <c r="S259" s="34">
        <f t="shared" si="28"/>
        <v>189</v>
      </c>
      <c r="T259" s="10" t="s">
        <v>966</v>
      </c>
      <c r="U259" s="34">
        <f t="shared" si="29"/>
        <v>94.5</v>
      </c>
      <c r="V259" s="31">
        <f>IF(H259="CHK",VLOOKUP(I259,QCCHK,3,),IF(H259="GUP",VLOOKUP(E259,QCGUP,2,),IF(AND(H259="ATP",OR(I259="TN",I259="TDN",I259="TNO2-3",I259="NO2-3")),VLOOKUP(E259,QCREC_N,2,),IF(AND(H259="NIC",OR(I259="TN",I259="TDN",I259="TNO2-3",I259="NO2-3")),VLOOKUP(E259,QCNIC_N,2,),IF(AND(H259="UREA",OR(I259="TN",I259="TDN",I259="TNO2-3",I259="NO2-3")),VLOOKUP(E259,QCUREA_N,2,),IF(H259="PER",VLOOKUP(I259,QCPER,MATCH(E259,QCACTUAL!$J$25:$AA$25,0),),IF(H259="SPK",VLOOKUP(I259,QCSPK,3,),IF(AND(H259="ATP",OR(I259="TP",I259="TDP")),VLOOKUP(E259,QCATP_P,2,),""))))))))</f>
        <v>200</v>
      </c>
      <c r="W259" s="31" t="str">
        <f t="shared" si="30"/>
        <v>TRUE</v>
      </c>
      <c r="X259" s="31" t="str">
        <f t="shared" si="31"/>
        <v>[rec]/[actual]*100</v>
      </c>
      <c r="Y259" s="10" t="s">
        <v>959</v>
      </c>
      <c r="AF259" s="12">
        <v>44930</v>
      </c>
      <c r="AJ259" s="10">
        <f>0.4739*1.38^2+205.64*1.38-100.4</f>
        <v>184.28569515999996</v>
      </c>
      <c r="AK259" s="10">
        <f>-0.5241*1.38^2+227.02*1.38-134.2</f>
        <v>178.08950396</v>
      </c>
      <c r="AL259" s="10" t="str">
        <f t="shared" ref="AL259:AN322" si="33">IF($O259="", "", IF(AQ259&lt;&gt;"", SUBSTITUTE(SUBSTITUTE(AQ259, "x", "*"&amp;$O259&amp;"^", 1), "x", "*"&amp;$O259, 1), ""))</f>
        <v>FALSE</v>
      </c>
      <c r="AM259" s="10" t="str">
        <f t="shared" si="33"/>
        <v>FALSE</v>
      </c>
      <c r="AN259" s="10" t="str">
        <f t="shared" si="33"/>
        <v>FALSE</v>
      </c>
      <c r="AO259" s="10" t="str">
        <f t="shared" ref="AO259:AP322" si="34">IF($O259="", "FALSE", IF(AT259&lt;&gt;"FALSE", SUBSTITUTE(SUBSTITUTE(AT259, "x", "*"&amp;$O259&amp;"^", 1), "x", "*"&amp;$O259, 1), ""))</f>
        <v>y=0.4739*1.38^2+205.64*1.38-100.4</v>
      </c>
      <c r="AP259" s="10" t="str">
        <f t="shared" si="34"/>
        <v>y=-0.5241*1.38^2+227.02*1.38-134.2</v>
      </c>
      <c r="AQ259" s="10" t="b">
        <f>IF(AND(I259="TP",S259&lt;=150),VLOOKUP(AF259,TPCalibEq150!$AZ$2:$BB$55,3,),IF(AND(I259="TDP",S259&lt;=150),VLOOKUP(AF259,TPCalibEq150!$AZ$2:$BB$55,3,)))</f>
        <v>0</v>
      </c>
      <c r="AR259" s="10" t="b">
        <f>IF(AND(I259="TP",S259&lt;=300),VLOOKUP(AF259,TPCalibEq300!$AZ$2:$BB$55,3,),IF(AND(I259="TDP",S259&lt;=300),VLOOKUP(AF259,TPCalibEq300!$AZ$2:$BB$55,3,)))</f>
        <v>0</v>
      </c>
      <c r="AS259" s="10" t="b">
        <f>IF(AND(I259="TP",S259&lt;=500),VLOOKUP(AF259,TPCalibEq500!$AZ$2:$BB$56,3,),IF(AND(I259="TDP",S259&lt;=500),VLOOKUP(AF259,TPCalibEq500!$AZ$2:$BB$56,3,)))</f>
        <v>0</v>
      </c>
      <c r="AT259" s="10" t="str">
        <f>IF(AND(I259="TN",S259&lt;=2800),VLOOKUP(AF259,TNCalibEq2500!$AZ$2:$BB$56,3,),IF(AND(I259="TDN",S259&lt;=2800),VLOOKUP(AF259,TNCalibEq2500!$AZ$2:$BB$56,3,)))</f>
        <v>y=0.4739x2+205.64x-100.4</v>
      </c>
      <c r="AU259" s="10" t="str">
        <f>IF(I259="TP",VLOOKUP(AF259,TPCalibEqFull!$AZ$2:$BB$56,3),IF(I259="TDP",VLOOKUP(AF259,TPCalibEqFull!$AZ$2:$BB$56,3),IF(I259="TDN",VLOOKUP(AF259,TNCalibEqFull!$AZ$1:$BB$56,3),IF(I259="TN",VLOOKUP(AF259,TNCalibEqFull!$AZ$1:$BB$56,3),FALSE))))</f>
        <v>y=-0.5241x2+227.02x-134.2</v>
      </c>
      <c r="AV259" s="10" t="str">
        <f t="shared" si="32"/>
        <v>0104 09:00:00-QAC-REC-B-1-DI-ATP</v>
      </c>
    </row>
    <row r="260" spans="1:48" s="10" customFormat="1" x14ac:dyDescent="0.55000000000000004">
      <c r="A260" s="32">
        <v>44930</v>
      </c>
      <c r="B260" s="33">
        <v>0.375</v>
      </c>
      <c r="C260" s="10" t="s">
        <v>70</v>
      </c>
      <c r="D260" s="10" t="s">
        <v>305</v>
      </c>
      <c r="E260" s="10" t="s">
        <v>190</v>
      </c>
      <c r="F260" s="10">
        <v>1</v>
      </c>
      <c r="G260" s="10" t="s">
        <v>73</v>
      </c>
      <c r="H260" s="10" t="s">
        <v>181</v>
      </c>
      <c r="I260" s="10" t="s">
        <v>235</v>
      </c>
      <c r="J260" s="10">
        <v>209</v>
      </c>
      <c r="K260" s="12">
        <v>44930</v>
      </c>
      <c r="L260" s="33">
        <v>0.56848379629629631</v>
      </c>
      <c r="M260" s="10">
        <v>1</v>
      </c>
      <c r="N260" s="10" t="s">
        <v>196</v>
      </c>
      <c r="O260" s="10">
        <v>0.94499999999999995</v>
      </c>
      <c r="P260" s="10">
        <v>5.57E-2</v>
      </c>
      <c r="Q260" s="10">
        <v>95.3</v>
      </c>
      <c r="R260" s="10" t="s">
        <v>170</v>
      </c>
      <c r="S260" s="34">
        <f t="shared" si="28"/>
        <v>95.3</v>
      </c>
      <c r="T260" s="10" t="s">
        <v>966</v>
      </c>
      <c r="U260" s="34">
        <f t="shared" si="29"/>
        <v>95.3</v>
      </c>
      <c r="V260" s="31">
        <f>IF(H260="CHK",VLOOKUP(I260,QCCHK,3,),IF(H260="GUP",VLOOKUP(E260,QCGUP,2,),IF(AND(H260="ATP",OR(I260="TN",I260="TDN",I260="TNO2-3",I260="NO2-3")),VLOOKUP(E260,QCREC_N,2,),IF(AND(H260="NIC",OR(I260="TN",I260="TDN",I260="TNO2-3",I260="NO2-3")),VLOOKUP(E260,QCNIC_N,2,),IF(AND(H260="UREA",OR(I260="TN",I260="TDN",I260="TNO2-3",I260="NO2-3")),VLOOKUP(E260,QCUREA_N,2,),IF(H260="PER",VLOOKUP(I260,QCPER,MATCH(E260,QCACTUAL!$J$25:$AA$25,0),),IF(H260="SPK",VLOOKUP(I260,QCSPK,3,),IF(AND(H260="ATP",OR(I260="TP",I260="TDP")),VLOOKUP(E260,QCATP_P,2,),""))))))))</f>
        <v>100</v>
      </c>
      <c r="W260" s="31" t="str">
        <f t="shared" si="30"/>
        <v>TRUE</v>
      </c>
      <c r="X260" s="31" t="str">
        <f t="shared" si="31"/>
        <v>[rec]/[actual]*100</v>
      </c>
      <c r="Y260" s="10" t="s">
        <v>959</v>
      </c>
      <c r="AF260" s="12">
        <v>44930</v>
      </c>
      <c r="AJ260" s="10">
        <f>0.4739*0.945^2+205.64*0.945-100.4</f>
        <v>94.353004547499978</v>
      </c>
      <c r="AK260" s="10">
        <f>-0.5241*0.945^2+227.02*0.945-134.2</f>
        <v>79.865865597500004</v>
      </c>
      <c r="AL260" s="10" t="str">
        <f t="shared" si="33"/>
        <v>FALSE</v>
      </c>
      <c r="AM260" s="10" t="str">
        <f t="shared" si="33"/>
        <v>FALSE</v>
      </c>
      <c r="AN260" s="10" t="str">
        <f t="shared" si="33"/>
        <v>FALSE</v>
      </c>
      <c r="AO260" s="10" t="str">
        <f t="shared" si="34"/>
        <v>y=0.4739*0.945^2+205.64*0.945-100.4</v>
      </c>
      <c r="AP260" s="10" t="str">
        <f t="shared" si="34"/>
        <v>y=-0.5241*0.945^2+227.02*0.945-134.2</v>
      </c>
      <c r="AQ260" s="10" t="b">
        <f>IF(AND(I260="TP",S260&lt;=150),VLOOKUP(AF260,TPCalibEq150!$AZ$2:$BB$55,3,),IF(AND(I260="TDP",S260&lt;=150),VLOOKUP(AF260,TPCalibEq150!$AZ$2:$BB$55,3,)))</f>
        <v>0</v>
      </c>
      <c r="AR260" s="10" t="b">
        <f>IF(AND(I260="TP",S260&lt;=300),VLOOKUP(AF260,TPCalibEq300!$AZ$2:$BB$55,3,),IF(AND(I260="TDP",S260&lt;=300),VLOOKUP(AF260,TPCalibEq300!$AZ$2:$BB$55,3,)))</f>
        <v>0</v>
      </c>
      <c r="AS260" s="10" t="b">
        <f>IF(AND(I260="TP",S260&lt;=500),VLOOKUP(AF260,TPCalibEq500!$AZ$2:$BB$56,3,),IF(AND(I260="TDP",S260&lt;=500),VLOOKUP(AF260,TPCalibEq500!$AZ$2:$BB$56,3,)))</f>
        <v>0</v>
      </c>
      <c r="AT260" s="10" t="str">
        <f>IF(AND(I260="TN",S260&lt;=2800),VLOOKUP(AF260,TNCalibEq2500!$AZ$2:$BB$56,3,),IF(AND(I260="TDN",S260&lt;=2800),VLOOKUP(AF260,TNCalibEq2500!$AZ$2:$BB$56,3,)))</f>
        <v>y=0.4739x2+205.64x-100.4</v>
      </c>
      <c r="AU260" s="10" t="str">
        <f>IF(I260="TP",VLOOKUP(AF260,TPCalibEqFull!$AZ$2:$BB$56,3),IF(I260="TDP",VLOOKUP(AF260,TPCalibEqFull!$AZ$2:$BB$56,3),IF(I260="TDN",VLOOKUP(AF260,TNCalibEqFull!$AZ$1:$BB$56,3),IF(I260="TN",VLOOKUP(AF260,TNCalibEqFull!$AZ$1:$BB$56,3),FALSE))))</f>
        <v>y=-0.5241x2+227.02x-134.2</v>
      </c>
      <c r="AV260" s="10" t="str">
        <f t="shared" si="32"/>
        <v>0104 09:00:00-QAC-REC-C-1-DI-ATP</v>
      </c>
    </row>
    <row r="261" spans="1:48" s="10" customFormat="1" x14ac:dyDescent="0.55000000000000004">
      <c r="A261" s="32">
        <v>44930</v>
      </c>
      <c r="B261" s="33">
        <v>0.375</v>
      </c>
      <c r="C261" s="10" t="s">
        <v>70</v>
      </c>
      <c r="D261" s="10" t="s">
        <v>305</v>
      </c>
      <c r="E261" s="10" t="s">
        <v>190</v>
      </c>
      <c r="F261" s="10">
        <v>1</v>
      </c>
      <c r="G261" s="10" t="s">
        <v>73</v>
      </c>
      <c r="H261" s="10" t="s">
        <v>856</v>
      </c>
      <c r="I261" s="10" t="s">
        <v>235</v>
      </c>
      <c r="J261" s="10">
        <v>210</v>
      </c>
      <c r="K261" s="12">
        <v>44930</v>
      </c>
      <c r="L261" s="33">
        <v>0.56914351851851852</v>
      </c>
      <c r="M261" s="10">
        <v>1</v>
      </c>
      <c r="N261" s="10" t="s">
        <v>196</v>
      </c>
      <c r="O261" s="10">
        <v>0.95599999999999996</v>
      </c>
      <c r="P261" s="10">
        <v>5.4300000000000001E-2</v>
      </c>
      <c r="Q261" s="10">
        <v>97.8</v>
      </c>
      <c r="R261" s="10" t="s">
        <v>170</v>
      </c>
      <c r="S261" s="34">
        <f t="shared" si="28"/>
        <v>97.8</v>
      </c>
      <c r="T261" s="10" t="s">
        <v>966</v>
      </c>
      <c r="U261" s="34">
        <f t="shared" si="29"/>
        <v>97.8</v>
      </c>
      <c r="V261" s="31">
        <f>IF(H261="CHK",VLOOKUP(I261,QCCHK,3,),IF(H261="GUP",VLOOKUP(E261,QCGUP,2,),IF(AND(H261="ATP",OR(I261="TN",I261="TDN",I261="TNO2-3",I261="NO2-3")),VLOOKUP(E261,QCREC_N,2,),IF(AND(H261="NIC",OR(I261="TN",I261="TDN",I261="TNO2-3",I261="NO2-3")),VLOOKUP(E261,QCNIC_N,2,),IF(AND(H261="UREA",OR(I261="TN",I261="TDN",I261="TNO2-3",I261="NO2-3")),VLOOKUP(E261,QCUREA_N,2,),IF(H261="PER",VLOOKUP(I261,QCPER,MATCH(E261,QCACTUAL!$J$25:$AA$25,0),),IF(H261="SPK",VLOOKUP(I261,QCSPK,3,),IF(AND(H261="ATP",OR(I261="TP",I261="TDP")),VLOOKUP(E261,QCATP_P,2,),""))))))))</f>
        <v>100</v>
      </c>
      <c r="W261" s="31" t="str">
        <f t="shared" si="30"/>
        <v>TRUE</v>
      </c>
      <c r="X261" s="31" t="str">
        <f t="shared" si="31"/>
        <v>[rec]/[actual]*100</v>
      </c>
      <c r="Y261" s="10" t="s">
        <v>959</v>
      </c>
      <c r="AF261" s="12">
        <v>44930</v>
      </c>
      <c r="AJ261" s="10">
        <f>0.4739*0.956^2+205.64*0.956-100.4</f>
        <v>96.624954270399996</v>
      </c>
      <c r="AK261" s="10">
        <f>-0.5241*0.956^2+227.02*0.956-134.2</f>
        <v>82.35212614240001</v>
      </c>
      <c r="AL261" s="10" t="str">
        <f t="shared" si="33"/>
        <v>FALSE</v>
      </c>
      <c r="AM261" s="10" t="str">
        <f t="shared" si="33"/>
        <v>FALSE</v>
      </c>
      <c r="AN261" s="10" t="str">
        <f t="shared" si="33"/>
        <v>FALSE</v>
      </c>
      <c r="AO261" s="10" t="str">
        <f t="shared" si="34"/>
        <v>y=0.4739*0.956^2+205.64*0.956-100.4</v>
      </c>
      <c r="AP261" s="10" t="str">
        <f t="shared" si="34"/>
        <v>y=-0.5241*0.956^2+227.02*0.956-134.2</v>
      </c>
      <c r="AQ261" s="10" t="b">
        <f>IF(AND(I261="TP",S261&lt;=150),VLOOKUP(AF261,TPCalibEq150!$AZ$2:$BB$55,3,),IF(AND(I261="TDP",S261&lt;=150),VLOOKUP(AF261,TPCalibEq150!$AZ$2:$BB$55,3,)))</f>
        <v>0</v>
      </c>
      <c r="AR261" s="10" t="b">
        <f>IF(AND(I261="TP",S261&lt;=300),VLOOKUP(AF261,TPCalibEq300!$AZ$2:$BB$55,3,),IF(AND(I261="TDP",S261&lt;=300),VLOOKUP(AF261,TPCalibEq300!$AZ$2:$BB$55,3,)))</f>
        <v>0</v>
      </c>
      <c r="AS261" s="10" t="b">
        <f>IF(AND(I261="TP",S261&lt;=500),VLOOKUP(AF261,TPCalibEq500!$AZ$2:$BB$56,3,),IF(AND(I261="TDP",S261&lt;=500),VLOOKUP(AF261,TPCalibEq500!$AZ$2:$BB$56,3,)))</f>
        <v>0</v>
      </c>
      <c r="AT261" s="10" t="str">
        <f>IF(AND(I261="TN",S261&lt;=2800),VLOOKUP(AF261,TNCalibEq2500!$AZ$2:$BB$56,3,),IF(AND(I261="TDN",S261&lt;=2800),VLOOKUP(AF261,TNCalibEq2500!$AZ$2:$BB$56,3,)))</f>
        <v>y=0.4739x2+205.64x-100.4</v>
      </c>
      <c r="AU261" s="10" t="str">
        <f>IF(I261="TP",VLOOKUP(AF261,TPCalibEqFull!$AZ$2:$BB$56,3),IF(I261="TDP",VLOOKUP(AF261,TPCalibEqFull!$AZ$2:$BB$56,3),IF(I261="TDN",VLOOKUP(AF261,TNCalibEqFull!$AZ$1:$BB$56,3),IF(I261="TN",VLOOKUP(AF261,TNCalibEqFull!$AZ$1:$BB$56,3),FALSE))))</f>
        <v>y=-0.5241x2+227.02x-134.2</v>
      </c>
      <c r="AV261" s="10" t="str">
        <f t="shared" si="32"/>
        <v>0104 09:00:00-QAC-REC-C-1-DI-NIC</v>
      </c>
    </row>
    <row r="262" spans="1:48" s="10" customFormat="1" x14ac:dyDescent="0.55000000000000004">
      <c r="A262" s="32">
        <v>44930</v>
      </c>
      <c r="B262" s="33">
        <v>0.375</v>
      </c>
      <c r="C262" s="10" t="s">
        <v>70</v>
      </c>
      <c r="D262" s="10" t="s">
        <v>305</v>
      </c>
      <c r="E262" s="10" t="s">
        <v>583</v>
      </c>
      <c r="F262" s="10">
        <v>1</v>
      </c>
      <c r="G262" s="10" t="s">
        <v>73</v>
      </c>
      <c r="H262" s="10" t="s">
        <v>856</v>
      </c>
      <c r="I262" s="10" t="s">
        <v>235</v>
      </c>
      <c r="J262" s="10">
        <v>211</v>
      </c>
      <c r="K262" s="12">
        <v>44930</v>
      </c>
      <c r="L262" s="33">
        <v>0.56982638888888892</v>
      </c>
      <c r="M262" s="10">
        <v>1</v>
      </c>
      <c r="N262" s="10" t="s">
        <v>196</v>
      </c>
      <c r="O262" s="10">
        <v>1.74</v>
      </c>
      <c r="P262" s="10">
        <v>0.10100000000000001</v>
      </c>
      <c r="Q262" s="10">
        <v>266</v>
      </c>
      <c r="R262" s="10" t="s">
        <v>170</v>
      </c>
      <c r="S262" s="34">
        <f t="shared" si="28"/>
        <v>266</v>
      </c>
      <c r="T262" s="10" t="s">
        <v>966</v>
      </c>
      <c r="U262" s="34">
        <f t="shared" si="29"/>
        <v>133</v>
      </c>
      <c r="V262" s="31">
        <f>IF(H262="CHK",VLOOKUP(I262,QCCHK,3,),IF(H262="GUP",VLOOKUP(E262,QCGUP,2,),IF(AND(H262="ATP",OR(I262="TN",I262="TDN",I262="TNO2-3",I262="NO2-3")),VLOOKUP(E262,QCREC_N,2,),IF(AND(H262="NIC",OR(I262="TN",I262="TDN",I262="TNO2-3",I262="NO2-3")),VLOOKUP(E262,QCNIC_N,2,),IF(AND(H262="UREA",OR(I262="TN",I262="TDN",I262="TNO2-3",I262="NO2-3")),VLOOKUP(E262,QCUREA_N,2,),IF(H262="PER",VLOOKUP(I262,QCPER,MATCH(E262,QCACTUAL!$J$25:$AA$25,0),),IF(H262="SPK",VLOOKUP(I262,QCSPK,3,),IF(AND(H262="ATP",OR(I262="TP",I262="TDP")),VLOOKUP(E262,QCATP_P,2,),""))))))))</f>
        <v>200</v>
      </c>
      <c r="W262" s="31" t="str">
        <f t="shared" si="30"/>
        <v>FALSE</v>
      </c>
      <c r="X262" s="31" t="str">
        <f t="shared" si="31"/>
        <v>[rec]/[actual]*100</v>
      </c>
      <c r="Y262" s="10" t="s">
        <v>959</v>
      </c>
      <c r="AF262" s="12">
        <v>44930</v>
      </c>
      <c r="AJ262" s="10">
        <f>0.4739*1.74^2+205.64*1.74-100.4</f>
        <v>258.84837963999996</v>
      </c>
      <c r="AK262" s="10">
        <f>-0.5241*1.74^2+227.02*1.74-134.2</f>
        <v>259.22803484000002</v>
      </c>
      <c r="AL262" s="10" t="str">
        <f t="shared" si="33"/>
        <v>FALSE</v>
      </c>
      <c r="AM262" s="10" t="str">
        <f t="shared" si="33"/>
        <v>FALSE</v>
      </c>
      <c r="AN262" s="10" t="str">
        <f t="shared" si="33"/>
        <v>FALSE</v>
      </c>
      <c r="AO262" s="10" t="str">
        <f t="shared" si="34"/>
        <v>y=0.4739*1.74^2+205.64*1.74-100.4</v>
      </c>
      <c r="AP262" s="10" t="str">
        <f t="shared" si="34"/>
        <v>y=-0.5241*1.74^2+227.02*1.74-134.2</v>
      </c>
      <c r="AQ262" s="10" t="b">
        <f>IF(AND(I262="TP",S262&lt;=150),VLOOKUP(AF262,TPCalibEq150!$AZ$2:$BB$55,3,),IF(AND(I262="TDP",S262&lt;=150),VLOOKUP(AF262,TPCalibEq150!$AZ$2:$BB$55,3,)))</f>
        <v>0</v>
      </c>
      <c r="AR262" s="10" t="b">
        <f>IF(AND(I262="TP",S262&lt;=300),VLOOKUP(AF262,TPCalibEq300!$AZ$2:$BB$55,3,),IF(AND(I262="TDP",S262&lt;=300),VLOOKUP(AF262,TPCalibEq300!$AZ$2:$BB$55,3,)))</f>
        <v>0</v>
      </c>
      <c r="AS262" s="10" t="b">
        <f>IF(AND(I262="TP",S262&lt;=500),VLOOKUP(AF262,TPCalibEq500!$AZ$2:$BB$56,3,),IF(AND(I262="TDP",S262&lt;=500),VLOOKUP(AF262,TPCalibEq500!$AZ$2:$BB$56,3,)))</f>
        <v>0</v>
      </c>
      <c r="AT262" s="10" t="str">
        <f>IF(AND(I262="TN",S262&lt;=2800),VLOOKUP(AF262,TNCalibEq2500!$AZ$2:$BB$56,3,),IF(AND(I262="TDN",S262&lt;=2800),VLOOKUP(AF262,TNCalibEq2500!$AZ$2:$BB$56,3,)))</f>
        <v>y=0.4739x2+205.64x-100.4</v>
      </c>
      <c r="AU262" s="10" t="str">
        <f>IF(I262="TP",VLOOKUP(AF262,TPCalibEqFull!$AZ$2:$BB$56,3),IF(I262="TDP",VLOOKUP(AF262,TPCalibEqFull!$AZ$2:$BB$56,3),IF(I262="TDN",VLOOKUP(AF262,TNCalibEqFull!$AZ$1:$BB$56,3),IF(I262="TN",VLOOKUP(AF262,TNCalibEqFull!$AZ$1:$BB$56,3),FALSE))))</f>
        <v>y=-0.5241x2+227.02x-134.2</v>
      </c>
      <c r="AV262" s="10" t="str">
        <f t="shared" si="32"/>
        <v>0104 09:00:00-QAC-REC-B-1-DI-NIC</v>
      </c>
    </row>
    <row r="263" spans="1:48" s="10" customFormat="1" x14ac:dyDescent="0.55000000000000004">
      <c r="A263" s="32">
        <v>44930</v>
      </c>
      <c r="B263" s="33">
        <v>0.375</v>
      </c>
      <c r="C263" s="10" t="s">
        <v>70</v>
      </c>
      <c r="D263" s="10" t="s">
        <v>305</v>
      </c>
      <c r="E263" s="10" t="s">
        <v>866</v>
      </c>
      <c r="F263" s="10">
        <v>1</v>
      </c>
      <c r="G263" s="10" t="s">
        <v>73</v>
      </c>
      <c r="H263" s="10" t="s">
        <v>856</v>
      </c>
      <c r="I263" s="10" t="s">
        <v>235</v>
      </c>
      <c r="J263" s="10">
        <v>212</v>
      </c>
      <c r="K263" s="12">
        <v>44930</v>
      </c>
      <c r="L263" s="33">
        <v>0.57049768518518518</v>
      </c>
      <c r="M263" s="10">
        <v>1</v>
      </c>
      <c r="N263" s="10" t="s">
        <v>196</v>
      </c>
      <c r="O263" s="10">
        <v>5.2</v>
      </c>
      <c r="P263" s="10">
        <v>0.30299999999999999</v>
      </c>
      <c r="Q263" s="10">
        <v>1010</v>
      </c>
      <c r="R263" s="10" t="s">
        <v>170</v>
      </c>
      <c r="S263" s="34">
        <f t="shared" si="28"/>
        <v>1032.1323360000001</v>
      </c>
      <c r="T263" s="10" t="s">
        <v>966</v>
      </c>
      <c r="U263" s="34">
        <f t="shared" si="29"/>
        <v>103.21323360000001</v>
      </c>
      <c r="V263" s="31">
        <f>IF(H263="CHK",VLOOKUP(I263,QCCHK,3,),IF(H263="GUP",VLOOKUP(E263,QCGUP,2,),IF(AND(H263="ATP",OR(I263="TN",I263="TDN",I263="TNO2-3",I263="NO2-3")),VLOOKUP(E263,QCREC_N,2,),IF(AND(H263="NIC",OR(I263="TN",I263="TDN",I263="TNO2-3",I263="NO2-3")),VLOOKUP(E263,QCNIC_N,2,),IF(AND(H263="UREA",OR(I263="TN",I263="TDN",I263="TNO2-3",I263="NO2-3")),VLOOKUP(E263,QCUREA_N,2,),IF(H263="PER",VLOOKUP(I263,QCPER,MATCH(E263,QCACTUAL!$J$25:$AA$25,0),),IF(H263="SPK",VLOOKUP(I263,QCSPK,3,),IF(AND(H263="ATP",OR(I263="TP",I263="TDP")),VLOOKUP(E263,QCATP_P,2,),""))))))))</f>
        <v>1000</v>
      </c>
      <c r="W263" s="31" t="str">
        <f t="shared" si="30"/>
        <v>TRUE</v>
      </c>
      <c r="X263" s="31" t="str">
        <f t="shared" si="31"/>
        <v>[rec]/[actual]*100</v>
      </c>
      <c r="Y263" s="10" t="s">
        <v>959</v>
      </c>
      <c r="AF263" s="12">
        <v>44930</v>
      </c>
      <c r="AJ263" s="10">
        <f>0.4739*5.2^2+205.64*5.2-100.4</f>
        <v>981.74225600000011</v>
      </c>
      <c r="AK263" s="10">
        <f>-0.5241*5.2^2+227.02*5.2-134.2</f>
        <v>1032.1323360000001</v>
      </c>
      <c r="AL263" s="10" t="str">
        <f t="shared" si="33"/>
        <v>FALSE</v>
      </c>
      <c r="AM263" s="10" t="str">
        <f t="shared" si="33"/>
        <v>FALSE</v>
      </c>
      <c r="AN263" s="10" t="str">
        <f t="shared" si="33"/>
        <v>FALSE</v>
      </c>
      <c r="AO263" s="10" t="str">
        <f t="shared" si="34"/>
        <v>y=0.4739*5.2^2+205.64*5.2-100.4</v>
      </c>
      <c r="AP263" s="10" t="str">
        <f t="shared" si="34"/>
        <v>y=-0.5241*5.2^2+227.02*5.2-134.2</v>
      </c>
      <c r="AQ263" s="10" t="b">
        <f>IF(AND(I263="TP",S263&lt;=150),VLOOKUP(AF263,TPCalibEq150!$AZ$2:$BB$55,3,),IF(AND(I263="TDP",S263&lt;=150),VLOOKUP(AF263,TPCalibEq150!$AZ$2:$BB$55,3,)))</f>
        <v>0</v>
      </c>
      <c r="AR263" s="10" t="b">
        <f>IF(AND(I263="TP",S263&lt;=300),VLOOKUP(AF263,TPCalibEq300!$AZ$2:$BB$55,3,),IF(AND(I263="TDP",S263&lt;=300),VLOOKUP(AF263,TPCalibEq300!$AZ$2:$BB$55,3,)))</f>
        <v>0</v>
      </c>
      <c r="AS263" s="10" t="b">
        <f>IF(AND(I263="TP",S263&lt;=500),VLOOKUP(AF263,TPCalibEq500!$AZ$2:$BB$56,3,),IF(AND(I263="TDP",S263&lt;=500),VLOOKUP(AF263,TPCalibEq500!$AZ$2:$BB$56,3,)))</f>
        <v>0</v>
      </c>
      <c r="AT263" s="10" t="str">
        <f>IF(AND(I263="TN",S263&lt;=2800),VLOOKUP(AF263,TNCalibEq2500!$AZ$2:$BB$56,3,),IF(AND(I263="TDN",S263&lt;=2800),VLOOKUP(AF263,TNCalibEq2500!$AZ$2:$BB$56,3,)))</f>
        <v>y=0.4739x2+205.64x-100.4</v>
      </c>
      <c r="AU263" s="10" t="str">
        <f>IF(I263="TP",VLOOKUP(AF263,TPCalibEqFull!$AZ$2:$BB$56,3),IF(I263="TDP",VLOOKUP(AF263,TPCalibEqFull!$AZ$2:$BB$56,3),IF(I263="TDN",VLOOKUP(AF263,TNCalibEqFull!$AZ$1:$BB$56,3),IF(I263="TN",VLOOKUP(AF263,TNCalibEqFull!$AZ$1:$BB$56,3),FALSE))))</f>
        <v>y=-0.5241x2+227.02x-134.2</v>
      </c>
      <c r="AV263" s="10" t="str">
        <f t="shared" si="32"/>
        <v>0104 09:00:00-QAC-REC-A-1-DI-NIC</v>
      </c>
    </row>
    <row r="264" spans="1:48" s="10" customFormat="1" x14ac:dyDescent="0.55000000000000004">
      <c r="A264" s="32">
        <v>44930</v>
      </c>
      <c r="B264" s="33">
        <v>0.375</v>
      </c>
      <c r="C264" s="10" t="s">
        <v>70</v>
      </c>
      <c r="D264" s="10" t="s">
        <v>305</v>
      </c>
      <c r="E264" s="10" t="s">
        <v>901</v>
      </c>
      <c r="F264" s="10">
        <v>1</v>
      </c>
      <c r="G264" s="10" t="s">
        <v>73</v>
      </c>
      <c r="H264" s="10" t="s">
        <v>856</v>
      </c>
      <c r="I264" s="10" t="s">
        <v>235</v>
      </c>
      <c r="J264" s="10">
        <v>213</v>
      </c>
      <c r="K264" s="12">
        <v>44930</v>
      </c>
      <c r="L264" s="33">
        <v>0.57116898148148143</v>
      </c>
      <c r="M264" s="10">
        <v>1</v>
      </c>
      <c r="N264" s="10" t="s">
        <v>196</v>
      </c>
      <c r="O264" s="10">
        <v>21.9</v>
      </c>
      <c r="P264" s="10">
        <v>1.26</v>
      </c>
      <c r="Q264" s="10">
        <v>4600</v>
      </c>
      <c r="R264" s="10" t="s">
        <v>170</v>
      </c>
      <c r="S264" s="34">
        <f t="shared" si="28"/>
        <v>4600</v>
      </c>
      <c r="T264" s="10" t="s">
        <v>966</v>
      </c>
      <c r="U264" s="34">
        <f t="shared" si="29"/>
        <v>92</v>
      </c>
      <c r="V264" s="31">
        <f>IF(H264="CHK",VLOOKUP(I264,QCCHK,3,),IF(H264="GUP",VLOOKUP(E264,QCGUP,2,),IF(AND(H264="ATP",OR(I264="TN",I264="TDN",I264="TNO2-3",I264="NO2-3")),VLOOKUP(E264,QCREC_N,2,),IF(AND(H264="NIC",OR(I264="TN",I264="TDN",I264="TNO2-3",I264="NO2-3")),VLOOKUP(E264,QCNIC_N,2,),IF(AND(H264="UREA",OR(I264="TN",I264="TDN",I264="TNO2-3",I264="NO2-3")),VLOOKUP(E264,QCUREA_N,2,),IF(H264="PER",VLOOKUP(I264,QCPER,MATCH(E264,QCACTUAL!$J$25:$AA$25,0),),IF(H264="SPK",VLOOKUP(I264,QCSPK,3,),IF(AND(H264="ATP",OR(I264="TP",I264="TDP")),VLOOKUP(E264,QCATP_P,2,),""))))))))</f>
        <v>5000</v>
      </c>
      <c r="W264" s="31" t="str">
        <f t="shared" si="30"/>
        <v>TRUE</v>
      </c>
      <c r="X264" s="31" t="str">
        <f t="shared" si="31"/>
        <v>[rec]/[actual]*100</v>
      </c>
      <c r="Y264" s="10" t="s">
        <v>959</v>
      </c>
      <c r="AF264" s="12">
        <v>44930</v>
      </c>
      <c r="AK264" s="10">
        <f>-0.5241*21.9^2+227.02*21.9-134.2</f>
        <v>4586.1743990000004</v>
      </c>
      <c r="AL264" s="10" t="str">
        <f t="shared" si="33"/>
        <v>FALSE</v>
      </c>
      <c r="AM264" s="10" t="str">
        <f t="shared" si="33"/>
        <v>FALSE</v>
      </c>
      <c r="AN264" s="10" t="str">
        <f t="shared" si="33"/>
        <v>FALSE</v>
      </c>
      <c r="AO264" s="10" t="str">
        <f t="shared" si="34"/>
        <v>FALSE</v>
      </c>
      <c r="AP264" s="10" t="str">
        <f t="shared" si="34"/>
        <v>y=-0.5241*21.9^2+227.02*21.9-134.2</v>
      </c>
      <c r="AQ264" s="10" t="b">
        <f>IF(AND(I264="TP",S264&lt;=150),VLOOKUP(AF264,TPCalibEq150!$AZ$2:$BB$55,3,),IF(AND(I264="TDP",S264&lt;=150),VLOOKUP(AF264,TPCalibEq150!$AZ$2:$BB$55,3,)))</f>
        <v>0</v>
      </c>
      <c r="AR264" s="10" t="b">
        <f>IF(AND(I264="TP",S264&lt;=300),VLOOKUP(AF264,TPCalibEq300!$AZ$2:$BB$55,3,),IF(AND(I264="TDP",S264&lt;=300),VLOOKUP(AF264,TPCalibEq300!$AZ$2:$BB$55,3,)))</f>
        <v>0</v>
      </c>
      <c r="AS264" s="10" t="b">
        <f>IF(AND(I264="TP",S264&lt;=500),VLOOKUP(AF264,TPCalibEq500!$AZ$2:$BB$56,3,),IF(AND(I264="TDP",S264&lt;=500),VLOOKUP(AF264,TPCalibEq500!$AZ$2:$BB$56,3,)))</f>
        <v>0</v>
      </c>
      <c r="AT264" s="10" t="b">
        <f>IF(AND(I264="TN",S264&lt;=2800),VLOOKUP(AF264,TNCalibEq2500!$AZ$2:$BB$56,3,),IF(AND(I264="TDN",S264&lt;=2800),VLOOKUP(AF264,TNCalibEq2500!$AZ$2:$BB$56,3,)))</f>
        <v>0</v>
      </c>
      <c r="AU264" s="10" t="str">
        <f>IF(I264="TP",VLOOKUP(AF264,TPCalibEqFull!$AZ$2:$BB$56,3),IF(I264="TDP",VLOOKUP(AF264,TPCalibEqFull!$AZ$2:$BB$56,3),IF(I264="TDN",VLOOKUP(AF264,TNCalibEqFull!$AZ$1:$BB$56,3),IF(I264="TN",VLOOKUP(AF264,TNCalibEqFull!$AZ$1:$BB$56,3),FALSE))))</f>
        <v>y=-0.5241x2+227.02x-134.2</v>
      </c>
      <c r="AV264" s="10" t="str">
        <f t="shared" si="32"/>
        <v>0104 09:00:00-QAC-REC-D-1-DI-NIC</v>
      </c>
    </row>
    <row r="265" spans="1:48" s="10" customFormat="1" x14ac:dyDescent="0.55000000000000004">
      <c r="A265" s="32">
        <v>44915</v>
      </c>
      <c r="B265" s="33">
        <v>0.24930555555555556</v>
      </c>
      <c r="C265" s="10" t="s">
        <v>70</v>
      </c>
      <c r="D265" s="10" t="s">
        <v>241</v>
      </c>
      <c r="E265" s="10" t="s">
        <v>866</v>
      </c>
      <c r="F265" s="10">
        <v>1</v>
      </c>
      <c r="G265" s="10" t="s">
        <v>73</v>
      </c>
      <c r="H265" s="10" t="s">
        <v>245</v>
      </c>
      <c r="I265" s="10" t="s">
        <v>235</v>
      </c>
      <c r="J265" s="10">
        <v>53</v>
      </c>
      <c r="K265" s="12">
        <v>44930</v>
      </c>
      <c r="L265" s="33">
        <v>0.57250000000000001</v>
      </c>
      <c r="M265" s="10">
        <v>1</v>
      </c>
      <c r="N265" s="10" t="s">
        <v>196</v>
      </c>
      <c r="O265" s="10">
        <v>0.41299999999999998</v>
      </c>
      <c r="P265" s="10">
        <v>2.3699999999999999E-2</v>
      </c>
      <c r="Q265" s="10">
        <v>-19.2</v>
      </c>
      <c r="R265" s="10" t="s">
        <v>170</v>
      </c>
      <c r="S265" s="34">
        <f t="shared" si="28"/>
        <v>-15.389847350900013</v>
      </c>
      <c r="T265" s="10" t="s">
        <v>966</v>
      </c>
      <c r="U265" s="34">
        <f t="shared" si="29"/>
        <v>-15.389847350900013</v>
      </c>
      <c r="V265" s="31" t="str">
        <f>IF(H265="CHK",VLOOKUP(I265,QCCHK,3,),IF(H265="GUP",VLOOKUP(E265,QCGUP,2,),IF(AND(H265="ATP",OR(I265="TN",I265="TDN",I265="TNO2-3",I265="NO2-3")),VLOOKUP(E265,QCREC_N,2,),IF(AND(H265="NIC",OR(I265="TN",I265="TDN",I265="TNO2-3",I265="NO2-3")),VLOOKUP(E265,QCNIC_N,2,),IF(AND(H265="UREA",OR(I265="TN",I265="TDN",I265="TNO2-3",I265="NO2-3")),VLOOKUP(E265,QCUREA_N,2,),IF(H265="PER",VLOOKUP(I265,QCPER,MATCH(E265,QCACTUAL!$J$25:$AA$25,0),),IF(H265="SPK",VLOOKUP(I265,QCSPK,3,),IF(AND(H265="ATP",OR(I265="TP",I265="TDP")),VLOOKUP(E265,QCATP_P,2,),""))))))))</f>
        <v/>
      </c>
      <c r="W265" s="31" t="str">
        <f t="shared" si="30"/>
        <v>TRUE</v>
      </c>
      <c r="X265" s="31" t="str">
        <f t="shared" si="31"/>
        <v>nominal concentration</v>
      </c>
      <c r="Y265" s="10" t="s">
        <v>959</v>
      </c>
      <c r="Z265" s="10" t="s">
        <v>910</v>
      </c>
      <c r="AF265" s="12">
        <v>44930</v>
      </c>
      <c r="AJ265" s="10">
        <f>0.4739*0.413^2+205.64*0.413-100.4</f>
        <v>-15.389847350900013</v>
      </c>
      <c r="AK265" s="10">
        <f>-0.5241*0.413^2+227.02*0.413-134.2</f>
        <v>-40.530135212899992</v>
      </c>
      <c r="AL265" s="10" t="str">
        <f t="shared" si="33"/>
        <v>FALSE</v>
      </c>
      <c r="AM265" s="10" t="str">
        <f t="shared" si="33"/>
        <v>FALSE</v>
      </c>
      <c r="AN265" s="10" t="str">
        <f t="shared" si="33"/>
        <v>FALSE</v>
      </c>
      <c r="AO265" s="10" t="str">
        <f t="shared" si="34"/>
        <v>y=0.4739*0.413^2+205.64*0.413-100.4</v>
      </c>
      <c r="AP265" s="10" t="str">
        <f t="shared" si="34"/>
        <v>y=-0.5241*0.413^2+227.02*0.413-134.2</v>
      </c>
      <c r="AQ265" s="10" t="b">
        <f>IF(AND(I265="TP",S265&lt;=150),VLOOKUP(AF265,TPCalibEq150!$AZ$2:$BB$55,3,),IF(AND(I265="TDP",S265&lt;=150),VLOOKUP(AF265,TPCalibEq150!$AZ$2:$BB$55,3,)))</f>
        <v>0</v>
      </c>
      <c r="AR265" s="10" t="b">
        <f>IF(AND(I265="TP",S265&lt;=300),VLOOKUP(AF265,TPCalibEq300!$AZ$2:$BB$55,3,),IF(AND(I265="TDP",S265&lt;=300),VLOOKUP(AF265,TPCalibEq300!$AZ$2:$BB$55,3,)))</f>
        <v>0</v>
      </c>
      <c r="AS265" s="10" t="b">
        <f>IF(AND(I265="TP",S265&lt;=500),VLOOKUP(AF265,TPCalibEq500!$AZ$2:$BB$56,3,),IF(AND(I265="TDP",S265&lt;=500),VLOOKUP(AF265,TPCalibEq500!$AZ$2:$BB$56,3,)))</f>
        <v>0</v>
      </c>
      <c r="AT265" s="10" t="str">
        <f>IF(AND(I265="TN",S265&lt;=2800),VLOOKUP(AF265,TNCalibEq2500!$AZ$2:$BB$56,3,),IF(AND(I265="TDN",S265&lt;=2800),VLOOKUP(AF265,TNCalibEq2500!$AZ$2:$BB$56,3,)))</f>
        <v>y=0.4739x2+205.64x-100.4</v>
      </c>
      <c r="AU265" s="10" t="str">
        <f>IF(I265="TP",VLOOKUP(AF265,TPCalibEqFull!$AZ$2:$BB$56,3),IF(I265="TDP",VLOOKUP(AF265,TPCalibEqFull!$AZ$2:$BB$56,3),IF(I265="TDN",VLOOKUP(AF265,TNCalibEqFull!$AZ$1:$BB$56,3),IF(I265="TN",VLOOKUP(AF265,TNCalibEqFull!$AZ$1:$BB$56,3),FALSE))))</f>
        <v>y=-0.5241x2+227.02x-134.2</v>
      </c>
      <c r="AV265" s="10" t="str">
        <f t="shared" si="32"/>
        <v>1220 05:59:00-QAC-BLK-A-1-DI-ESF</v>
      </c>
    </row>
    <row r="266" spans="1:48" s="10" customFormat="1" x14ac:dyDescent="0.55000000000000004">
      <c r="A266" s="32">
        <v>44922</v>
      </c>
      <c r="B266" s="33">
        <v>0.25347222222222221</v>
      </c>
      <c r="C266" s="10" t="s">
        <v>70</v>
      </c>
      <c r="D266" s="10" t="s">
        <v>241</v>
      </c>
      <c r="E266" s="10" t="s">
        <v>866</v>
      </c>
      <c r="F266" s="10">
        <v>1</v>
      </c>
      <c r="G266" s="10" t="s">
        <v>73</v>
      </c>
      <c r="H266" s="10" t="s">
        <v>245</v>
      </c>
      <c r="I266" s="10" t="s">
        <v>235</v>
      </c>
      <c r="J266" s="10">
        <v>54</v>
      </c>
      <c r="K266" s="12">
        <v>44930</v>
      </c>
      <c r="L266" s="33">
        <v>0.57315972222222222</v>
      </c>
      <c r="M266" s="10">
        <v>1</v>
      </c>
      <c r="N266" s="10" t="s">
        <v>196</v>
      </c>
      <c r="O266" s="10">
        <v>0.34699999999999998</v>
      </c>
      <c r="P266" s="10">
        <v>0.02</v>
      </c>
      <c r="Q266" s="10">
        <v>-33.5</v>
      </c>
      <c r="R266" s="10" t="s">
        <v>170</v>
      </c>
      <c r="S266" s="34">
        <f t="shared" si="28"/>
        <v>-28.985858174900002</v>
      </c>
      <c r="T266" s="10" t="s">
        <v>966</v>
      </c>
      <c r="U266" s="34">
        <f t="shared" si="29"/>
        <v>-28.985858174900002</v>
      </c>
      <c r="V266" s="31" t="str">
        <f>IF(H266="CHK",VLOOKUP(I266,QCCHK,3,),IF(H266="GUP",VLOOKUP(E266,QCGUP,2,),IF(AND(H266="ATP",OR(I266="TN",I266="TDN",I266="TNO2-3",I266="NO2-3")),VLOOKUP(E266,QCREC_N,2,),IF(AND(H266="NIC",OR(I266="TN",I266="TDN",I266="TNO2-3",I266="NO2-3")),VLOOKUP(E266,QCNIC_N,2,),IF(AND(H266="UREA",OR(I266="TN",I266="TDN",I266="TNO2-3",I266="NO2-3")),VLOOKUP(E266,QCUREA_N,2,),IF(H266="PER",VLOOKUP(I266,QCPER,MATCH(E266,QCACTUAL!$J$25:$AA$25,0),),IF(H266="SPK",VLOOKUP(I266,QCSPK,3,),IF(AND(H266="ATP",OR(I266="TP",I266="TDP")),VLOOKUP(E266,QCATP_P,2,),""))))))))</f>
        <v/>
      </c>
      <c r="W266" s="31" t="str">
        <f t="shared" si="30"/>
        <v>TRUE</v>
      </c>
      <c r="X266" s="31" t="str">
        <f t="shared" si="31"/>
        <v>nominal concentration</v>
      </c>
      <c r="Y266" s="10" t="s">
        <v>959</v>
      </c>
      <c r="Z266" s="10" t="s">
        <v>910</v>
      </c>
      <c r="AF266" s="12">
        <v>44930</v>
      </c>
      <c r="AJ266" s="10">
        <f>0.4739*0.347^2+205.64*0.347-100.4</f>
        <v>-28.985858174900002</v>
      </c>
      <c r="AK266" s="10">
        <f>-0.5241*0.347^2+227.02*0.347-134.2</f>
        <v>-55.487166356899991</v>
      </c>
      <c r="AL266" s="10" t="str">
        <f t="shared" si="33"/>
        <v>FALSE</v>
      </c>
      <c r="AM266" s="10" t="str">
        <f t="shared" si="33"/>
        <v>FALSE</v>
      </c>
      <c r="AN266" s="10" t="str">
        <f t="shared" si="33"/>
        <v>FALSE</v>
      </c>
      <c r="AO266" s="10" t="str">
        <f t="shared" si="34"/>
        <v>y=0.4739*0.347^2+205.64*0.347-100.4</v>
      </c>
      <c r="AP266" s="10" t="str">
        <f t="shared" si="34"/>
        <v>y=-0.5241*0.347^2+227.02*0.347-134.2</v>
      </c>
      <c r="AQ266" s="10" t="b">
        <f>IF(AND(I266="TP",S266&lt;=150),VLOOKUP(AF266,TPCalibEq150!$AZ$2:$BB$55,3,),IF(AND(I266="TDP",S266&lt;=150),VLOOKUP(AF266,TPCalibEq150!$AZ$2:$BB$55,3,)))</f>
        <v>0</v>
      </c>
      <c r="AR266" s="10" t="b">
        <f>IF(AND(I266="TP",S266&lt;=300),VLOOKUP(AF266,TPCalibEq300!$AZ$2:$BB$55,3,),IF(AND(I266="TDP",S266&lt;=300),VLOOKUP(AF266,TPCalibEq300!$AZ$2:$BB$55,3,)))</f>
        <v>0</v>
      </c>
      <c r="AS266" s="10" t="b">
        <f>IF(AND(I266="TP",S266&lt;=500),VLOOKUP(AF266,TPCalibEq500!$AZ$2:$BB$56,3,),IF(AND(I266="TDP",S266&lt;=500),VLOOKUP(AF266,TPCalibEq500!$AZ$2:$BB$56,3,)))</f>
        <v>0</v>
      </c>
      <c r="AT266" s="10" t="str">
        <f>IF(AND(I266="TN",S266&lt;=2800),VLOOKUP(AF266,TNCalibEq2500!$AZ$2:$BB$56,3,),IF(AND(I266="TDN",S266&lt;=2800),VLOOKUP(AF266,TNCalibEq2500!$AZ$2:$BB$56,3,)))</f>
        <v>y=0.4739x2+205.64x-100.4</v>
      </c>
      <c r="AU266" s="10" t="str">
        <f>IF(I266="TP",VLOOKUP(AF266,TPCalibEqFull!$AZ$2:$BB$56,3),IF(I266="TDP",VLOOKUP(AF266,TPCalibEqFull!$AZ$2:$BB$56,3),IF(I266="TDN",VLOOKUP(AF266,TNCalibEqFull!$AZ$1:$BB$56,3),IF(I266="TN",VLOOKUP(AF266,TNCalibEqFull!$AZ$1:$BB$56,3),FALSE))))</f>
        <v>y=-0.5241x2+227.02x-134.2</v>
      </c>
      <c r="AV266" s="10" t="str">
        <f t="shared" si="32"/>
        <v>1227 06:05:00-QAC-BLK-A-1-DI-ESF</v>
      </c>
    </row>
    <row r="267" spans="1:48" s="10" customFormat="1" x14ac:dyDescent="0.55000000000000004">
      <c r="A267" s="32">
        <v>44929</v>
      </c>
      <c r="B267" s="33">
        <v>0.25</v>
      </c>
      <c r="C267" s="10" t="s">
        <v>70</v>
      </c>
      <c r="D267" s="10" t="s">
        <v>241</v>
      </c>
      <c r="E267" s="10" t="s">
        <v>866</v>
      </c>
      <c r="F267" s="10">
        <v>1</v>
      </c>
      <c r="G267" s="10" t="s">
        <v>73</v>
      </c>
      <c r="H267" s="10" t="s">
        <v>245</v>
      </c>
      <c r="I267" s="10" t="s">
        <v>235</v>
      </c>
      <c r="J267" s="10">
        <v>55</v>
      </c>
      <c r="K267" s="12">
        <v>44930</v>
      </c>
      <c r="L267" s="33">
        <v>0.57381944444444444</v>
      </c>
      <c r="M267" s="10">
        <v>1</v>
      </c>
      <c r="N267" s="10" t="s">
        <v>196</v>
      </c>
      <c r="O267" s="10">
        <v>0.39400000000000002</v>
      </c>
      <c r="P267" s="10">
        <v>2.2200000000000001E-2</v>
      </c>
      <c r="Q267" s="10">
        <v>-23.2</v>
      </c>
      <c r="R267" s="10" t="s">
        <v>170</v>
      </c>
      <c r="S267" s="34">
        <f t="shared" si="28"/>
        <v>-19.3042736596</v>
      </c>
      <c r="T267" s="10" t="s">
        <v>966</v>
      </c>
      <c r="U267" s="34">
        <f t="shared" si="29"/>
        <v>-19.3042736596</v>
      </c>
      <c r="V267" s="31" t="str">
        <f>IF(H267="CHK",VLOOKUP(I267,QCCHK,3,),IF(H267="GUP",VLOOKUP(E267,QCGUP,2,),IF(AND(H267="ATP",OR(I267="TN",I267="TDN",I267="TNO2-3",I267="NO2-3")),VLOOKUP(E267,QCREC_N,2,),IF(AND(H267="NIC",OR(I267="TN",I267="TDN",I267="TNO2-3",I267="NO2-3")),VLOOKUP(E267,QCNIC_N,2,),IF(AND(H267="UREA",OR(I267="TN",I267="TDN",I267="TNO2-3",I267="NO2-3")),VLOOKUP(E267,QCUREA_N,2,),IF(H267="PER",VLOOKUP(I267,QCPER,MATCH(E267,QCACTUAL!$J$25:$AA$25,0),),IF(H267="SPK",VLOOKUP(I267,QCSPK,3,),IF(AND(H267="ATP",OR(I267="TP",I267="TDP")),VLOOKUP(E267,QCATP_P,2,),""))))))))</f>
        <v/>
      </c>
      <c r="W267" s="31" t="str">
        <f t="shared" si="30"/>
        <v>TRUE</v>
      </c>
      <c r="X267" s="31" t="str">
        <f t="shared" si="31"/>
        <v>nominal concentration</v>
      </c>
      <c r="Y267" s="10" t="s">
        <v>959</v>
      </c>
      <c r="AF267" s="12">
        <v>44930</v>
      </c>
      <c r="AJ267" s="10">
        <f>0.4739*0.394^2+205.64*0.394-100.4</f>
        <v>-19.3042736596</v>
      </c>
      <c r="AK267" s="10">
        <f>-0.5241*0.394^2+227.02*0.394-134.2</f>
        <v>-44.835479187599987</v>
      </c>
      <c r="AL267" s="10" t="str">
        <f t="shared" si="33"/>
        <v>FALSE</v>
      </c>
      <c r="AM267" s="10" t="str">
        <f t="shared" si="33"/>
        <v>FALSE</v>
      </c>
      <c r="AN267" s="10" t="str">
        <f t="shared" si="33"/>
        <v>FALSE</v>
      </c>
      <c r="AO267" s="10" t="str">
        <f t="shared" si="34"/>
        <v>y=0.4739*0.394^2+205.64*0.394-100.4</v>
      </c>
      <c r="AP267" s="10" t="str">
        <f t="shared" si="34"/>
        <v>y=-0.5241*0.394^2+227.02*0.394-134.2</v>
      </c>
      <c r="AQ267" s="10" t="b">
        <f>IF(AND(I267="TP",S267&lt;=150),VLOOKUP(AF267,TPCalibEq150!$AZ$2:$BB$55,3,),IF(AND(I267="TDP",S267&lt;=150),VLOOKUP(AF267,TPCalibEq150!$AZ$2:$BB$55,3,)))</f>
        <v>0</v>
      </c>
      <c r="AR267" s="10" t="b">
        <f>IF(AND(I267="TP",S267&lt;=300),VLOOKUP(AF267,TPCalibEq300!$AZ$2:$BB$55,3,),IF(AND(I267="TDP",S267&lt;=300),VLOOKUP(AF267,TPCalibEq300!$AZ$2:$BB$55,3,)))</f>
        <v>0</v>
      </c>
      <c r="AS267" s="10" t="b">
        <f>IF(AND(I267="TP",S267&lt;=500),VLOOKUP(AF267,TPCalibEq500!$AZ$2:$BB$56,3,),IF(AND(I267="TDP",S267&lt;=500),VLOOKUP(AF267,TPCalibEq500!$AZ$2:$BB$56,3,)))</f>
        <v>0</v>
      </c>
      <c r="AT267" s="10" t="str">
        <f>IF(AND(I267="TN",S267&lt;=2800),VLOOKUP(AF267,TNCalibEq2500!$AZ$2:$BB$56,3,),IF(AND(I267="TDN",S267&lt;=2800),VLOOKUP(AF267,TNCalibEq2500!$AZ$2:$BB$56,3,)))</f>
        <v>y=0.4739x2+205.64x-100.4</v>
      </c>
      <c r="AU267" s="10" t="str">
        <f>IF(I267="TP",VLOOKUP(AF267,TPCalibEqFull!$AZ$2:$BB$56,3),IF(I267="TDP",VLOOKUP(AF267,TPCalibEqFull!$AZ$2:$BB$56,3),IF(I267="TDN",VLOOKUP(AF267,TNCalibEqFull!$AZ$1:$BB$56,3),IF(I267="TN",VLOOKUP(AF267,TNCalibEqFull!$AZ$1:$BB$56,3),FALSE))))</f>
        <v>y=-0.5241x2+227.02x-134.2</v>
      </c>
      <c r="AV267" s="10" t="str">
        <f t="shared" si="32"/>
        <v>0103 06:00:00-QAC-BLK-A-1-DI-ESF</v>
      </c>
    </row>
    <row r="268" spans="1:48" s="10" customFormat="1" x14ac:dyDescent="0.55000000000000004">
      <c r="A268" s="32">
        <v>44915</v>
      </c>
      <c r="B268" s="33">
        <v>0.24930555555555556</v>
      </c>
      <c r="C268" s="10" t="s">
        <v>70</v>
      </c>
      <c r="D268" s="10" t="s">
        <v>241</v>
      </c>
      <c r="E268" s="10" t="s">
        <v>911</v>
      </c>
      <c r="F268" s="10">
        <v>1</v>
      </c>
      <c r="G268" s="10" t="s">
        <v>73</v>
      </c>
      <c r="H268" s="10" t="s">
        <v>245</v>
      </c>
      <c r="I268" s="10" t="s">
        <v>224</v>
      </c>
      <c r="J268" s="10">
        <v>56</v>
      </c>
      <c r="K268" s="12">
        <v>44930</v>
      </c>
      <c r="L268" s="33">
        <v>0.57447916666666665</v>
      </c>
      <c r="M268" s="10">
        <v>1</v>
      </c>
      <c r="N268" s="10" t="s">
        <v>196</v>
      </c>
      <c r="O268" s="10">
        <v>0.44400000000000001</v>
      </c>
      <c r="P268" s="10">
        <v>2.6700000000000002E-2</v>
      </c>
      <c r="Q268" s="10">
        <v>-12.6</v>
      </c>
      <c r="R268" s="10" t="s">
        <v>170</v>
      </c>
      <c r="S268" s="34">
        <f t="shared" si="28"/>
        <v>-9.0024172496000148</v>
      </c>
      <c r="T268" s="10" t="s">
        <v>966</v>
      </c>
      <c r="U268" s="34">
        <f t="shared" si="29"/>
        <v>-9.0024172496000148</v>
      </c>
      <c r="V268" s="31" t="str">
        <f>IF(H268="CHK",VLOOKUP(I268,QCCHK,3,),IF(H268="GUP",VLOOKUP(E268,QCGUP,2,),IF(AND(H268="ATP",OR(I268="TN",I268="TDN",I268="TNO2-3",I268="NO2-3")),VLOOKUP(E268,QCREC_N,2,),IF(AND(H268="NIC",OR(I268="TN",I268="TDN",I268="TNO2-3",I268="NO2-3")),VLOOKUP(E268,QCNIC_N,2,),IF(AND(H268="UREA",OR(I268="TN",I268="TDN",I268="TNO2-3",I268="NO2-3")),VLOOKUP(E268,QCUREA_N,2,),IF(H268="PER",VLOOKUP(I268,QCPER,MATCH(E268,QCACTUAL!$J$25:$AA$25,0),),IF(H268="SPK",VLOOKUP(I268,QCSPK,3,),IF(AND(H268="ATP",OR(I268="TP",I268="TDP")),VLOOKUP(E268,QCATP_P,2,),""))))))))</f>
        <v/>
      </c>
      <c r="W268" s="31" t="str">
        <f t="shared" si="30"/>
        <v>TRUE</v>
      </c>
      <c r="X268" s="31" t="str">
        <f t="shared" si="31"/>
        <v>nominal concentration</v>
      </c>
      <c r="Y268" s="10" t="s">
        <v>959</v>
      </c>
      <c r="Z268" s="10" t="s">
        <v>910</v>
      </c>
      <c r="AF268" s="12">
        <v>44930</v>
      </c>
      <c r="AJ268" s="10">
        <f>0.4739*0.444^2+205.64*0.444-100.4</f>
        <v>-9.0024172496000148</v>
      </c>
      <c r="AK268" s="10">
        <f>-0.5241*0.444^2+227.02*0.444-134.2</f>
        <v>-33.506438977599984</v>
      </c>
      <c r="AL268" s="10" t="str">
        <f t="shared" si="33"/>
        <v>FALSE</v>
      </c>
      <c r="AM268" s="10" t="str">
        <f t="shared" si="33"/>
        <v>FALSE</v>
      </c>
      <c r="AN268" s="10" t="str">
        <f t="shared" si="33"/>
        <v>FALSE</v>
      </c>
      <c r="AO268" s="10" t="str">
        <f t="shared" si="34"/>
        <v>y=0.4739*0.444^2+205.64*0.444-100.4</v>
      </c>
      <c r="AP268" s="10" t="str">
        <f t="shared" si="34"/>
        <v>y=-0.5241*0.444^2+227.02*0.444-134.2</v>
      </c>
      <c r="AQ268" s="10" t="b">
        <f>IF(AND(I268="TP",S268&lt;=150),VLOOKUP(AF268,TPCalibEq150!$AZ$2:$BB$55,3,),IF(AND(I268="TDP",S268&lt;=150),VLOOKUP(AF268,TPCalibEq150!$AZ$2:$BB$55,3,)))</f>
        <v>0</v>
      </c>
      <c r="AR268" s="10" t="b">
        <f>IF(AND(I268="TP",S268&lt;=300),VLOOKUP(AF268,TPCalibEq300!$AZ$2:$BB$55,3,),IF(AND(I268="TDP",S268&lt;=300),VLOOKUP(AF268,TPCalibEq300!$AZ$2:$BB$55,3,)))</f>
        <v>0</v>
      </c>
      <c r="AS268" s="10" t="b">
        <f>IF(AND(I268="TP",S268&lt;=500),VLOOKUP(AF268,TPCalibEq500!$AZ$2:$BB$56,3,),IF(AND(I268="TDP",S268&lt;=500),VLOOKUP(AF268,TPCalibEq500!$AZ$2:$BB$56,3,)))</f>
        <v>0</v>
      </c>
      <c r="AT268" s="10" t="str">
        <f>IF(AND(I268="TN",S268&lt;=2800),VLOOKUP(AF268,TNCalibEq2500!$AZ$2:$BB$56,3,),IF(AND(I268="TDN",S268&lt;=2800),VLOOKUP(AF268,TNCalibEq2500!$AZ$2:$BB$56,3,)))</f>
        <v>y=0.4739x2+205.64x-100.4</v>
      </c>
      <c r="AU268" s="10" t="str">
        <f>IF(I268="TP",VLOOKUP(AF268,TPCalibEqFull!$AZ$2:$BB$56,3),IF(I268="TDP",VLOOKUP(AF268,TPCalibEqFull!$AZ$2:$BB$56,3),IF(I268="TDN",VLOOKUP(AF268,TNCalibEqFull!$AZ$1:$BB$56,3),IF(I268="TN",VLOOKUP(AF268,TNCalibEqFull!$AZ$1:$BB$56,3),FALSE))))</f>
        <v>y=-0.5241x2+227.02x-134.2</v>
      </c>
      <c r="AV268" s="10" t="str">
        <f t="shared" si="32"/>
        <v>1220 05:59:00-QAC-BLK-FIL-1-DI-ESF</v>
      </c>
    </row>
    <row r="269" spans="1:48" s="10" customFormat="1" x14ac:dyDescent="0.55000000000000004">
      <c r="A269" s="32">
        <v>44922</v>
      </c>
      <c r="B269" s="33">
        <v>0.25347222222222221</v>
      </c>
      <c r="C269" s="10" t="s">
        <v>70</v>
      </c>
      <c r="D269" s="10" t="s">
        <v>241</v>
      </c>
      <c r="E269" s="10" t="s">
        <v>911</v>
      </c>
      <c r="F269" s="10">
        <v>1</v>
      </c>
      <c r="G269" s="10" t="s">
        <v>73</v>
      </c>
      <c r="H269" s="10" t="s">
        <v>245</v>
      </c>
      <c r="I269" s="10" t="s">
        <v>224</v>
      </c>
      <c r="J269" s="10">
        <v>57</v>
      </c>
      <c r="K269" s="12">
        <v>44930</v>
      </c>
      <c r="L269" s="33">
        <v>0.57513888888888887</v>
      </c>
      <c r="M269" s="10">
        <v>1</v>
      </c>
      <c r="N269" s="10" t="s">
        <v>196</v>
      </c>
      <c r="O269" s="10">
        <v>0.42399999999999999</v>
      </c>
      <c r="P269" s="10">
        <v>2.5100000000000001E-2</v>
      </c>
      <c r="Q269" s="10">
        <v>-16.899999999999999</v>
      </c>
      <c r="R269" s="10" t="s">
        <v>170</v>
      </c>
      <c r="S269" s="34">
        <f t="shared" si="28"/>
        <v>-13.123444153600019</v>
      </c>
      <c r="T269" s="10" t="s">
        <v>966</v>
      </c>
      <c r="U269" s="34">
        <f t="shared" si="29"/>
        <v>-13.123444153600019</v>
      </c>
      <c r="V269" s="31" t="str">
        <f>IF(H269="CHK",VLOOKUP(I269,QCCHK,3,),IF(H269="GUP",VLOOKUP(E269,QCGUP,2,),IF(AND(H269="ATP",OR(I269="TN",I269="TDN",I269="TNO2-3",I269="NO2-3")),VLOOKUP(E269,QCREC_N,2,),IF(AND(H269="NIC",OR(I269="TN",I269="TDN",I269="TNO2-3",I269="NO2-3")),VLOOKUP(E269,QCNIC_N,2,),IF(AND(H269="UREA",OR(I269="TN",I269="TDN",I269="TNO2-3",I269="NO2-3")),VLOOKUP(E269,QCUREA_N,2,),IF(H269="PER",VLOOKUP(I269,QCPER,MATCH(E269,QCACTUAL!$J$25:$AA$25,0),),IF(H269="SPK",VLOOKUP(I269,QCSPK,3,),IF(AND(H269="ATP",OR(I269="TP",I269="TDP")),VLOOKUP(E269,QCATP_P,2,),""))))))))</f>
        <v/>
      </c>
      <c r="W269" s="31" t="str">
        <f t="shared" si="30"/>
        <v>TRUE</v>
      </c>
      <c r="X269" s="31" t="str">
        <f t="shared" si="31"/>
        <v>nominal concentration</v>
      </c>
      <c r="Y269" s="10" t="s">
        <v>959</v>
      </c>
      <c r="Z269" s="10" t="s">
        <v>910</v>
      </c>
      <c r="AF269" s="12">
        <v>44930</v>
      </c>
      <c r="AJ269" s="10">
        <f>0.4739*0.424^2+205.64*0.424-100.4</f>
        <v>-13.123444153600019</v>
      </c>
      <c r="AK269" s="10">
        <f>-0.5241*0.424^2+227.02*0.424-134.2</f>
        <v>-38.037740601599992</v>
      </c>
      <c r="AL269" s="10" t="str">
        <f t="shared" si="33"/>
        <v>FALSE</v>
      </c>
      <c r="AM269" s="10" t="str">
        <f t="shared" si="33"/>
        <v>FALSE</v>
      </c>
      <c r="AN269" s="10" t="str">
        <f t="shared" si="33"/>
        <v>FALSE</v>
      </c>
      <c r="AO269" s="10" t="str">
        <f t="shared" si="34"/>
        <v>y=0.4739*0.424^2+205.64*0.424-100.4</v>
      </c>
      <c r="AP269" s="10" t="str">
        <f t="shared" si="34"/>
        <v>y=-0.5241*0.424^2+227.02*0.424-134.2</v>
      </c>
      <c r="AQ269" s="10" t="b">
        <f>IF(AND(I269="TP",S269&lt;=150),VLOOKUP(AF269,TPCalibEq150!$AZ$2:$BB$55,3,),IF(AND(I269="TDP",S269&lt;=150),VLOOKUP(AF269,TPCalibEq150!$AZ$2:$BB$55,3,)))</f>
        <v>0</v>
      </c>
      <c r="AR269" s="10" t="b">
        <f>IF(AND(I269="TP",S269&lt;=300),VLOOKUP(AF269,TPCalibEq300!$AZ$2:$BB$55,3,),IF(AND(I269="TDP",S269&lt;=300),VLOOKUP(AF269,TPCalibEq300!$AZ$2:$BB$55,3,)))</f>
        <v>0</v>
      </c>
      <c r="AS269" s="10" t="b">
        <f>IF(AND(I269="TP",S269&lt;=500),VLOOKUP(AF269,TPCalibEq500!$AZ$2:$BB$56,3,),IF(AND(I269="TDP",S269&lt;=500),VLOOKUP(AF269,TPCalibEq500!$AZ$2:$BB$56,3,)))</f>
        <v>0</v>
      </c>
      <c r="AT269" s="10" t="str">
        <f>IF(AND(I269="TN",S269&lt;=2800),VLOOKUP(AF269,TNCalibEq2500!$AZ$2:$BB$56,3,),IF(AND(I269="TDN",S269&lt;=2800),VLOOKUP(AF269,TNCalibEq2500!$AZ$2:$BB$56,3,)))</f>
        <v>y=0.4739x2+205.64x-100.4</v>
      </c>
      <c r="AU269" s="10" t="str">
        <f>IF(I269="TP",VLOOKUP(AF269,TPCalibEqFull!$AZ$2:$BB$56,3),IF(I269="TDP",VLOOKUP(AF269,TPCalibEqFull!$AZ$2:$BB$56,3),IF(I269="TDN",VLOOKUP(AF269,TNCalibEqFull!$AZ$1:$BB$56,3),IF(I269="TN",VLOOKUP(AF269,TNCalibEqFull!$AZ$1:$BB$56,3),FALSE))))</f>
        <v>y=-0.5241x2+227.02x-134.2</v>
      </c>
      <c r="AV269" s="10" t="str">
        <f t="shared" si="32"/>
        <v>1227 06:05:00-QAC-BLK-FIL-1-DI-ESF</v>
      </c>
    </row>
    <row r="270" spans="1:48" s="10" customFormat="1" x14ac:dyDescent="0.55000000000000004">
      <c r="A270" s="32">
        <v>44929</v>
      </c>
      <c r="B270" s="33">
        <v>0.25</v>
      </c>
      <c r="C270" s="10" t="s">
        <v>70</v>
      </c>
      <c r="D270" s="10" t="s">
        <v>241</v>
      </c>
      <c r="E270" s="10" t="s">
        <v>911</v>
      </c>
      <c r="F270" s="10">
        <v>1</v>
      </c>
      <c r="G270" s="10" t="s">
        <v>73</v>
      </c>
      <c r="H270" s="10" t="s">
        <v>245</v>
      </c>
      <c r="I270" s="10" t="s">
        <v>224</v>
      </c>
      <c r="J270" s="10">
        <v>58</v>
      </c>
      <c r="K270" s="12">
        <v>44930</v>
      </c>
      <c r="L270" s="33">
        <v>0.57579861111111108</v>
      </c>
      <c r="M270" s="10">
        <v>1</v>
      </c>
      <c r="N270" s="10" t="s">
        <v>196</v>
      </c>
      <c r="O270" s="10">
        <v>0.49</v>
      </c>
      <c r="P270" s="10">
        <v>2.7900000000000001E-2</v>
      </c>
      <c r="Q270" s="10">
        <v>-2.7</v>
      </c>
      <c r="R270" s="10" t="s">
        <v>170</v>
      </c>
      <c r="S270" s="34">
        <f t="shared" si="28"/>
        <v>0.47738338999998575</v>
      </c>
      <c r="T270" s="10" t="s">
        <v>966</v>
      </c>
      <c r="U270" s="34">
        <f t="shared" si="29"/>
        <v>0.47738338999998575</v>
      </c>
      <c r="V270" s="31" t="str">
        <f>IF(H270="CHK",VLOOKUP(I270,QCCHK,3,),IF(H270="GUP",VLOOKUP(E270,QCGUP,2,),IF(AND(H270="ATP",OR(I270="TN",I270="TDN",I270="TNO2-3",I270="NO2-3")),VLOOKUP(E270,QCREC_N,2,),IF(AND(H270="NIC",OR(I270="TN",I270="TDN",I270="TNO2-3",I270="NO2-3")),VLOOKUP(E270,QCNIC_N,2,),IF(AND(H270="UREA",OR(I270="TN",I270="TDN",I270="TNO2-3",I270="NO2-3")),VLOOKUP(E270,QCUREA_N,2,),IF(H270="PER",VLOOKUP(I270,QCPER,MATCH(E270,QCACTUAL!$J$25:$AA$25,0),),IF(H270="SPK",VLOOKUP(I270,QCSPK,3,),IF(AND(H270="ATP",OR(I270="TP",I270="TDP")),VLOOKUP(E270,QCATP_P,2,),""))))))))</f>
        <v/>
      </c>
      <c r="W270" s="31" t="str">
        <f t="shared" si="30"/>
        <v>TRUE</v>
      </c>
      <c r="X270" s="31" t="str">
        <f t="shared" si="31"/>
        <v>nominal concentration</v>
      </c>
      <c r="Y270" s="10" t="s">
        <v>959</v>
      </c>
      <c r="AF270" s="12">
        <v>44930</v>
      </c>
      <c r="AJ270" s="10">
        <f>0.4739*0.49^2+205.64*0.49-100.4</f>
        <v>0.47738338999998575</v>
      </c>
      <c r="AK270" s="10">
        <f>-0.5241*0.49^2+227.02*0.49-134.2</f>
        <v>-23.086036409999991</v>
      </c>
      <c r="AL270" s="10" t="str">
        <f t="shared" si="33"/>
        <v>FALSE</v>
      </c>
      <c r="AM270" s="10" t="str">
        <f t="shared" si="33"/>
        <v>FALSE</v>
      </c>
      <c r="AN270" s="10" t="str">
        <f t="shared" si="33"/>
        <v>FALSE</v>
      </c>
      <c r="AO270" s="10" t="str">
        <f t="shared" si="34"/>
        <v>y=0.4739*0.49^2+205.64*0.49-100.4</v>
      </c>
      <c r="AP270" s="10" t="str">
        <f t="shared" si="34"/>
        <v>y=-0.5241*0.49^2+227.02*0.49-134.2</v>
      </c>
      <c r="AQ270" s="10" t="b">
        <f>IF(AND(I270="TP",S270&lt;=150),VLOOKUP(AF270,TPCalibEq150!$AZ$2:$BB$55,3,),IF(AND(I270="TDP",S270&lt;=150),VLOOKUP(AF270,TPCalibEq150!$AZ$2:$BB$55,3,)))</f>
        <v>0</v>
      </c>
      <c r="AR270" s="10" t="b">
        <f>IF(AND(I270="TP",S270&lt;=300),VLOOKUP(AF270,TPCalibEq300!$AZ$2:$BB$55,3,),IF(AND(I270="TDP",S270&lt;=300),VLOOKUP(AF270,TPCalibEq300!$AZ$2:$BB$55,3,)))</f>
        <v>0</v>
      </c>
      <c r="AS270" s="10" t="b">
        <f>IF(AND(I270="TP",S270&lt;=500),VLOOKUP(AF270,TPCalibEq500!$AZ$2:$BB$56,3,),IF(AND(I270="TDP",S270&lt;=500),VLOOKUP(AF270,TPCalibEq500!$AZ$2:$BB$56,3,)))</f>
        <v>0</v>
      </c>
      <c r="AT270" s="10" t="str">
        <f>IF(AND(I270="TN",S270&lt;=2800),VLOOKUP(AF270,TNCalibEq2500!$AZ$2:$BB$56,3,),IF(AND(I270="TDN",S270&lt;=2800),VLOOKUP(AF270,TNCalibEq2500!$AZ$2:$BB$56,3,)))</f>
        <v>y=0.4739x2+205.64x-100.4</v>
      </c>
      <c r="AU270" s="10" t="str">
        <f>IF(I270="TP",VLOOKUP(AF270,TPCalibEqFull!$AZ$2:$BB$56,3),IF(I270="TDP",VLOOKUP(AF270,TPCalibEqFull!$AZ$2:$BB$56,3),IF(I270="TDN",VLOOKUP(AF270,TNCalibEqFull!$AZ$1:$BB$56,3),IF(I270="TN",VLOOKUP(AF270,TNCalibEqFull!$AZ$1:$BB$56,3),FALSE))))</f>
        <v>y=-0.5241x2+227.02x-134.2</v>
      </c>
      <c r="AV270" s="10" t="str">
        <f t="shared" si="32"/>
        <v>0103 06:00:00-QAC-BLK-FIL-1-DI-ESF</v>
      </c>
    </row>
    <row r="271" spans="1:48" s="10" customFormat="1" x14ac:dyDescent="0.55000000000000004">
      <c r="A271" s="32">
        <v>44909</v>
      </c>
      <c r="B271" s="33">
        <v>0.23541666666666669</v>
      </c>
      <c r="C271" s="10" t="s">
        <v>279</v>
      </c>
      <c r="D271" s="10">
        <v>0</v>
      </c>
      <c r="E271" s="10" t="s">
        <v>190</v>
      </c>
      <c r="F271" s="10">
        <v>1</v>
      </c>
      <c r="G271" s="10" t="s">
        <v>231</v>
      </c>
      <c r="H271" s="10" t="s">
        <v>322</v>
      </c>
      <c r="I271" s="10" t="s">
        <v>235</v>
      </c>
      <c r="J271" s="10">
        <v>1</v>
      </c>
      <c r="K271" s="12">
        <v>44930</v>
      </c>
      <c r="L271" s="33">
        <v>0.57646990740740744</v>
      </c>
      <c r="M271" s="10">
        <v>1</v>
      </c>
      <c r="N271" s="10" t="s">
        <v>196</v>
      </c>
      <c r="O271" s="10">
        <v>8.09</v>
      </c>
      <c r="P271" s="10">
        <v>0.47199999999999998</v>
      </c>
      <c r="Q271" s="10">
        <v>1630</v>
      </c>
      <c r="R271" s="10" t="s">
        <v>170</v>
      </c>
      <c r="S271" s="34">
        <f t="shared" si="28"/>
        <v>1668.0904507900002</v>
      </c>
      <c r="T271" s="10" t="s">
        <v>966</v>
      </c>
      <c r="U271" s="34" t="str">
        <f t="shared" si="29"/>
        <v/>
      </c>
      <c r="V271" s="31" t="str">
        <f>IF(H271="CHK",VLOOKUP(I271,QCCHK,3,),IF(H271="GUP",VLOOKUP(E271,QCGUP,2,),IF(AND(H271="ATP",OR(I271="TN",I271="TDN",I271="TNO2-3",I271="NO2-3")),VLOOKUP(E271,QCREC_N,2,),IF(AND(H271="NIC",OR(I271="TN",I271="TDN",I271="TNO2-3",I271="NO2-3")),VLOOKUP(E271,QCNIC_N,2,),IF(AND(H271="UREA",OR(I271="TN",I271="TDN",I271="TNO2-3",I271="NO2-3")),VLOOKUP(E271,QCUREA_N,2,),IF(H271="PER",VLOOKUP(I271,QCPER,MATCH(E271,QCACTUAL!$J$25:$AA$25,0),),IF(H271="SPK",VLOOKUP(I271,QCSPK,3,),IF(AND(H271="ATP",OR(I271="TP",I271="TDP")),VLOOKUP(E271,QCATP_P,2,),""))))))))</f>
        <v/>
      </c>
      <c r="W271" s="31" t="str">
        <f t="shared" si="30"/>
        <v>TRUE</v>
      </c>
      <c r="X271" s="31" t="str">
        <f t="shared" si="31"/>
        <v/>
      </c>
      <c r="Y271" s="10" t="s">
        <v>959</v>
      </c>
      <c r="Z271" s="10" t="s">
        <v>910</v>
      </c>
      <c r="AF271" s="12">
        <v>44930</v>
      </c>
      <c r="AJ271" s="10">
        <f>0.4739*8.09^2+205.64*8.09-100.4</f>
        <v>1594.2434545899996</v>
      </c>
      <c r="AK271" s="10">
        <f>-0.5241*8.09^2+227.02*8.09-134.2</f>
        <v>1668.0904507900002</v>
      </c>
      <c r="AL271" s="10" t="str">
        <f t="shared" si="33"/>
        <v>FALSE</v>
      </c>
      <c r="AM271" s="10" t="str">
        <f t="shared" si="33"/>
        <v>FALSE</v>
      </c>
      <c r="AN271" s="10" t="str">
        <f t="shared" si="33"/>
        <v>FALSE</v>
      </c>
      <c r="AO271" s="10" t="str">
        <f t="shared" si="34"/>
        <v>y=0.4739*8.09^2+205.64*8.09-100.4</v>
      </c>
      <c r="AP271" s="10" t="str">
        <f t="shared" si="34"/>
        <v>y=-0.5241*8.09^2+227.02*8.09-134.2</v>
      </c>
      <c r="AQ271" s="10" t="b">
        <f>IF(AND(I271="TP",S271&lt;=150),VLOOKUP(AF271,TPCalibEq150!$AZ$2:$BB$55,3,),IF(AND(I271="TDP",S271&lt;=150),VLOOKUP(AF271,TPCalibEq150!$AZ$2:$BB$55,3,)))</f>
        <v>0</v>
      </c>
      <c r="AR271" s="10" t="b">
        <f>IF(AND(I271="TP",S271&lt;=300),VLOOKUP(AF271,TPCalibEq300!$AZ$2:$BB$55,3,),IF(AND(I271="TDP",S271&lt;=300),VLOOKUP(AF271,TPCalibEq300!$AZ$2:$BB$55,3,)))</f>
        <v>0</v>
      </c>
      <c r="AS271" s="10" t="b">
        <f>IF(AND(I271="TP",S271&lt;=500),VLOOKUP(AF271,TPCalibEq500!$AZ$2:$BB$56,3,),IF(AND(I271="TDP",S271&lt;=500),VLOOKUP(AF271,TPCalibEq500!$AZ$2:$BB$56,3,)))</f>
        <v>0</v>
      </c>
      <c r="AT271" s="10" t="str">
        <f>IF(AND(I271="TN",S271&lt;=2800),VLOOKUP(AF271,TNCalibEq2500!$AZ$2:$BB$56,3,),IF(AND(I271="TDN",S271&lt;=2800),VLOOKUP(AF271,TNCalibEq2500!$AZ$2:$BB$56,3,)))</f>
        <v>y=0.4739x2+205.64x-100.4</v>
      </c>
      <c r="AU271" s="10" t="str">
        <f>IF(I271="TP",VLOOKUP(AF271,TPCalibEqFull!$AZ$2:$BB$56,3),IF(I271="TDP",VLOOKUP(AF271,TPCalibEqFull!$AZ$2:$BB$56,3),IF(I271="TDN",VLOOKUP(AF271,TNCalibEqFull!$AZ$1:$BB$56,3),IF(I271="TN",VLOOKUP(AF271,TNCalibEqFull!$AZ$1:$BB$56,3),FALSE))))</f>
        <v>y=-0.5241x2+227.02x-134.2</v>
      </c>
      <c r="AV271" s="10" t="str">
        <f t="shared" si="32"/>
        <v>1214 05:39:00-EFK-0-C-1-SW-UKN</v>
      </c>
    </row>
    <row r="272" spans="1:48" s="10" customFormat="1" x14ac:dyDescent="0.55000000000000004">
      <c r="A272" s="32">
        <v>44909</v>
      </c>
      <c r="B272" s="33">
        <v>0.24236111111111111</v>
      </c>
      <c r="C272" s="10" t="s">
        <v>333</v>
      </c>
      <c r="D272" s="10">
        <v>0</v>
      </c>
      <c r="E272" s="10" t="s">
        <v>190</v>
      </c>
      <c r="F272" s="10">
        <v>1</v>
      </c>
      <c r="G272" s="10" t="s">
        <v>231</v>
      </c>
      <c r="H272" s="10" t="s">
        <v>322</v>
      </c>
      <c r="I272" s="10" t="s">
        <v>235</v>
      </c>
      <c r="J272" s="10">
        <v>2</v>
      </c>
      <c r="K272" s="12">
        <v>44930</v>
      </c>
      <c r="L272" s="33">
        <v>0.57715277777777774</v>
      </c>
      <c r="M272" s="10">
        <v>1</v>
      </c>
      <c r="N272" s="10" t="s">
        <v>196</v>
      </c>
      <c r="O272" s="10">
        <v>2.4300000000000002</v>
      </c>
      <c r="P272" s="10">
        <v>0.14000000000000001</v>
      </c>
      <c r="Q272" s="10">
        <v>416</v>
      </c>
      <c r="R272" s="10" t="s">
        <v>170</v>
      </c>
      <c r="S272" s="34">
        <f t="shared" si="28"/>
        <v>416</v>
      </c>
      <c r="T272" s="10" t="s">
        <v>966</v>
      </c>
      <c r="U272" s="34" t="str">
        <f t="shared" si="29"/>
        <v/>
      </c>
      <c r="V272" s="31" t="str">
        <f>IF(H272="CHK",VLOOKUP(I272,QCCHK,3,),IF(H272="GUP",VLOOKUP(E272,QCGUP,2,),IF(AND(H272="ATP",OR(I272="TN",I272="TDN",I272="TNO2-3",I272="NO2-3")),VLOOKUP(E272,QCREC_N,2,),IF(AND(H272="NIC",OR(I272="TN",I272="TDN",I272="TNO2-3",I272="NO2-3")),VLOOKUP(E272,QCNIC_N,2,),IF(AND(H272="UREA",OR(I272="TN",I272="TDN",I272="TNO2-3",I272="NO2-3")),VLOOKUP(E272,QCUREA_N,2,),IF(H272="PER",VLOOKUP(I272,QCPER,MATCH(E272,QCACTUAL!$J$25:$AA$25,0),),IF(H272="SPK",VLOOKUP(I272,QCSPK,3,),IF(AND(H272="ATP",OR(I272="TP",I272="TDP")),VLOOKUP(E272,QCATP_P,2,),""))))))))</f>
        <v/>
      </c>
      <c r="W272" s="31" t="str">
        <f t="shared" si="30"/>
        <v>TRUE</v>
      </c>
      <c r="X272" s="31" t="str">
        <f t="shared" si="31"/>
        <v/>
      </c>
      <c r="Y272" s="10" t="s">
        <v>959</v>
      </c>
      <c r="Z272" s="10" t="s">
        <v>910</v>
      </c>
      <c r="AF272" s="12">
        <v>44930</v>
      </c>
      <c r="AJ272" s="10">
        <f>0.4739*2.43^2+205.64*2.43-100.4</f>
        <v>402.10353210999995</v>
      </c>
      <c r="AK272" s="10">
        <f>-0.5241*2.43^2+227.02*2.43-134.2</f>
        <v>414.36384191000008</v>
      </c>
      <c r="AL272" s="10" t="str">
        <f t="shared" si="33"/>
        <v>FALSE</v>
      </c>
      <c r="AM272" s="10" t="str">
        <f t="shared" si="33"/>
        <v>FALSE</v>
      </c>
      <c r="AN272" s="10" t="str">
        <f t="shared" si="33"/>
        <v>FALSE</v>
      </c>
      <c r="AO272" s="10" t="str">
        <f t="shared" si="34"/>
        <v>y=0.4739*2.43^2+205.64*2.43-100.4</v>
      </c>
      <c r="AP272" s="10" t="str">
        <f t="shared" si="34"/>
        <v>y=-0.5241*2.43^2+227.02*2.43-134.2</v>
      </c>
      <c r="AQ272" s="10" t="b">
        <f>IF(AND(I272="TP",S272&lt;=150),VLOOKUP(AF272,TPCalibEq150!$AZ$2:$BB$55,3,),IF(AND(I272="TDP",S272&lt;=150),VLOOKUP(AF272,TPCalibEq150!$AZ$2:$BB$55,3,)))</f>
        <v>0</v>
      </c>
      <c r="AR272" s="10" t="b">
        <f>IF(AND(I272="TP",S272&lt;=300),VLOOKUP(AF272,TPCalibEq300!$AZ$2:$BB$55,3,),IF(AND(I272="TDP",S272&lt;=300),VLOOKUP(AF272,TPCalibEq300!$AZ$2:$BB$55,3,)))</f>
        <v>0</v>
      </c>
      <c r="AS272" s="10" t="b">
        <f>IF(AND(I272="TP",S272&lt;=500),VLOOKUP(AF272,TPCalibEq500!$AZ$2:$BB$56,3,),IF(AND(I272="TDP",S272&lt;=500),VLOOKUP(AF272,TPCalibEq500!$AZ$2:$BB$56,3,)))</f>
        <v>0</v>
      </c>
      <c r="AT272" s="10" t="str">
        <f>IF(AND(I272="TN",S272&lt;=2800),VLOOKUP(AF272,TNCalibEq2500!$AZ$2:$BB$56,3,),IF(AND(I272="TDN",S272&lt;=2800),VLOOKUP(AF272,TNCalibEq2500!$AZ$2:$BB$56,3,)))</f>
        <v>y=0.4739x2+205.64x-100.4</v>
      </c>
      <c r="AU272" s="10" t="str">
        <f>IF(I272="TP",VLOOKUP(AF272,TPCalibEqFull!$AZ$2:$BB$56,3),IF(I272="TDP",VLOOKUP(AF272,TPCalibEqFull!$AZ$2:$BB$56,3),IF(I272="TDN",VLOOKUP(AF272,TNCalibEqFull!$AZ$1:$BB$56,3),IF(I272="TN",VLOOKUP(AF272,TNCalibEqFull!$AZ$1:$BB$56,3),FALSE))))</f>
        <v>y=-0.5241x2+227.02x-134.2</v>
      </c>
      <c r="AV272" s="10" t="str">
        <f t="shared" si="32"/>
        <v>1214 05:49:00-HST-0-C-1-SW-UKN</v>
      </c>
    </row>
    <row r="273" spans="1:48" s="10" customFormat="1" x14ac:dyDescent="0.55000000000000004">
      <c r="A273" s="32">
        <v>44910</v>
      </c>
      <c r="B273" s="33">
        <v>0.18472222222222223</v>
      </c>
      <c r="C273" s="10" t="s">
        <v>279</v>
      </c>
      <c r="D273" s="10">
        <v>0</v>
      </c>
      <c r="E273" s="10" t="s">
        <v>190</v>
      </c>
      <c r="F273" s="10">
        <v>1</v>
      </c>
      <c r="G273" s="10" t="s">
        <v>231</v>
      </c>
      <c r="H273" s="10" t="s">
        <v>322</v>
      </c>
      <c r="I273" s="10" t="s">
        <v>235</v>
      </c>
      <c r="J273" s="10">
        <v>3</v>
      </c>
      <c r="K273" s="12">
        <v>44930</v>
      </c>
      <c r="L273" s="33">
        <v>0.5778240740740741</v>
      </c>
      <c r="M273" s="10">
        <v>1</v>
      </c>
      <c r="N273" s="10" t="s">
        <v>196</v>
      </c>
      <c r="O273" s="10">
        <v>7.75</v>
      </c>
      <c r="P273" s="10">
        <v>0.45100000000000001</v>
      </c>
      <c r="Q273" s="10">
        <v>1560</v>
      </c>
      <c r="R273" s="10" t="s">
        <v>170</v>
      </c>
      <c r="S273" s="34">
        <f t="shared" si="28"/>
        <v>1593.7262437499999</v>
      </c>
      <c r="T273" s="10" t="s">
        <v>966</v>
      </c>
      <c r="U273" s="34" t="str">
        <f t="shared" si="29"/>
        <v/>
      </c>
      <c r="V273" s="31" t="str">
        <f>IF(H273="CHK",VLOOKUP(I273,QCCHK,3,),IF(H273="GUP",VLOOKUP(E273,QCGUP,2,),IF(AND(H273="ATP",OR(I273="TN",I273="TDN",I273="TNO2-3",I273="NO2-3")),VLOOKUP(E273,QCREC_N,2,),IF(AND(H273="NIC",OR(I273="TN",I273="TDN",I273="TNO2-3",I273="NO2-3")),VLOOKUP(E273,QCNIC_N,2,),IF(AND(H273="UREA",OR(I273="TN",I273="TDN",I273="TNO2-3",I273="NO2-3")),VLOOKUP(E273,QCUREA_N,2,),IF(H273="PER",VLOOKUP(I273,QCPER,MATCH(E273,QCACTUAL!$J$25:$AA$25,0),),IF(H273="SPK",VLOOKUP(I273,QCSPK,3,),IF(AND(H273="ATP",OR(I273="TP",I273="TDP")),VLOOKUP(E273,QCATP_P,2,),""))))))))</f>
        <v/>
      </c>
      <c r="W273" s="31" t="str">
        <f t="shared" si="30"/>
        <v>TRUE</v>
      </c>
      <c r="X273" s="31" t="str">
        <f t="shared" si="31"/>
        <v/>
      </c>
      <c r="Y273" s="10" t="s">
        <v>959</v>
      </c>
      <c r="Z273" s="10" t="s">
        <v>910</v>
      </c>
      <c r="AF273" s="12">
        <v>44930</v>
      </c>
      <c r="AJ273" s="10">
        <f>0.4739*7.75^2+205.64*7.75-100.4</f>
        <v>1521.7736187499997</v>
      </c>
      <c r="AK273" s="10">
        <f>-0.5241*7.75^2+227.02*7.75-134.2</f>
        <v>1593.7262437499999</v>
      </c>
      <c r="AL273" s="10" t="str">
        <f t="shared" si="33"/>
        <v>FALSE</v>
      </c>
      <c r="AM273" s="10" t="str">
        <f t="shared" si="33"/>
        <v>FALSE</v>
      </c>
      <c r="AN273" s="10" t="str">
        <f t="shared" si="33"/>
        <v>FALSE</v>
      </c>
      <c r="AO273" s="10" t="str">
        <f t="shared" si="34"/>
        <v>y=0.4739*7.75^2+205.64*7.75-100.4</v>
      </c>
      <c r="AP273" s="10" t="str">
        <f t="shared" si="34"/>
        <v>y=-0.5241*7.75^2+227.02*7.75-134.2</v>
      </c>
      <c r="AQ273" s="10" t="b">
        <f>IF(AND(I273="TP",S273&lt;=150),VLOOKUP(AF273,TPCalibEq150!$AZ$2:$BB$55,3,),IF(AND(I273="TDP",S273&lt;=150),VLOOKUP(AF273,TPCalibEq150!$AZ$2:$BB$55,3,)))</f>
        <v>0</v>
      </c>
      <c r="AR273" s="10" t="b">
        <f>IF(AND(I273="TP",S273&lt;=300),VLOOKUP(AF273,TPCalibEq300!$AZ$2:$BB$55,3,),IF(AND(I273="TDP",S273&lt;=300),VLOOKUP(AF273,TPCalibEq300!$AZ$2:$BB$55,3,)))</f>
        <v>0</v>
      </c>
      <c r="AS273" s="10" t="b">
        <f>IF(AND(I273="TP",S273&lt;=500),VLOOKUP(AF273,TPCalibEq500!$AZ$2:$BB$56,3,),IF(AND(I273="TDP",S273&lt;=500),VLOOKUP(AF273,TPCalibEq500!$AZ$2:$BB$56,3,)))</f>
        <v>0</v>
      </c>
      <c r="AT273" s="10" t="str">
        <f>IF(AND(I273="TN",S273&lt;=2800),VLOOKUP(AF273,TNCalibEq2500!$AZ$2:$BB$56,3,),IF(AND(I273="TDN",S273&lt;=2800),VLOOKUP(AF273,TNCalibEq2500!$AZ$2:$BB$56,3,)))</f>
        <v>y=0.4739x2+205.64x-100.4</v>
      </c>
      <c r="AU273" s="10" t="str">
        <f>IF(I273="TP",VLOOKUP(AF273,TPCalibEqFull!$AZ$2:$BB$56,3),IF(I273="TDP",VLOOKUP(AF273,TPCalibEqFull!$AZ$2:$BB$56,3),IF(I273="TDN",VLOOKUP(AF273,TNCalibEqFull!$AZ$1:$BB$56,3),IF(I273="TN",VLOOKUP(AF273,TNCalibEqFull!$AZ$1:$BB$56,3),FALSE))))</f>
        <v>y=-0.5241x2+227.02x-134.2</v>
      </c>
      <c r="AV273" s="10" t="str">
        <f t="shared" si="32"/>
        <v>1215 04:26:00-EFK-0-C-1-SW-UKN</v>
      </c>
    </row>
    <row r="274" spans="1:48" s="10" customFormat="1" x14ac:dyDescent="0.55000000000000004">
      <c r="A274" s="32">
        <v>44910</v>
      </c>
      <c r="B274" s="33">
        <v>0.18819444444444444</v>
      </c>
      <c r="C274" s="10" t="s">
        <v>333</v>
      </c>
      <c r="D274" s="10">
        <v>0</v>
      </c>
      <c r="E274" s="10" t="s">
        <v>190</v>
      </c>
      <c r="F274" s="10">
        <v>1</v>
      </c>
      <c r="G274" s="10" t="s">
        <v>231</v>
      </c>
      <c r="H274" s="10" t="s">
        <v>322</v>
      </c>
      <c r="I274" s="10" t="s">
        <v>235</v>
      </c>
      <c r="J274" s="10">
        <v>4</v>
      </c>
      <c r="K274" s="12">
        <v>44930</v>
      </c>
      <c r="L274" s="33">
        <v>0.57849537037037035</v>
      </c>
      <c r="M274" s="10">
        <v>1</v>
      </c>
      <c r="N274" s="10" t="s">
        <v>196</v>
      </c>
      <c r="O274" s="10">
        <v>4.93</v>
      </c>
      <c r="P274" s="10">
        <v>0.29099999999999998</v>
      </c>
      <c r="Q274" s="10">
        <v>954</v>
      </c>
      <c r="R274" s="10" t="s">
        <v>170</v>
      </c>
      <c r="S274" s="34">
        <f t="shared" si="28"/>
        <v>972.27040190999992</v>
      </c>
      <c r="T274" s="10" t="s">
        <v>966</v>
      </c>
      <c r="U274" s="34" t="str">
        <f t="shared" si="29"/>
        <v/>
      </c>
      <c r="V274" s="31" t="str">
        <f>IF(H274="CHK",VLOOKUP(I274,QCCHK,3,),IF(H274="GUP",VLOOKUP(E274,QCGUP,2,),IF(AND(H274="ATP",OR(I274="TN",I274="TDN",I274="TNO2-3",I274="NO2-3")),VLOOKUP(E274,QCREC_N,2,),IF(AND(H274="NIC",OR(I274="TN",I274="TDN",I274="TNO2-3",I274="NO2-3")),VLOOKUP(E274,QCNIC_N,2,),IF(AND(H274="UREA",OR(I274="TN",I274="TDN",I274="TNO2-3",I274="NO2-3")),VLOOKUP(E274,QCUREA_N,2,),IF(H274="PER",VLOOKUP(I274,QCPER,MATCH(E274,QCACTUAL!$J$25:$AA$25,0),),IF(H274="SPK",VLOOKUP(I274,QCSPK,3,),IF(AND(H274="ATP",OR(I274="TP",I274="TDP")),VLOOKUP(E274,QCATP_P,2,),""))))))))</f>
        <v/>
      </c>
      <c r="W274" s="31" t="str">
        <f t="shared" si="30"/>
        <v>TRUE</v>
      </c>
      <c r="X274" s="31" t="str">
        <f t="shared" si="31"/>
        <v/>
      </c>
      <c r="Y274" s="10" t="s">
        <v>959</v>
      </c>
      <c r="Z274" s="10" t="s">
        <v>910</v>
      </c>
      <c r="AF274" s="12">
        <v>44930</v>
      </c>
      <c r="AJ274" s="10">
        <f>0.4739*4.93^2+205.64*4.93-100.4</f>
        <v>924.92329210999981</v>
      </c>
      <c r="AK274" s="10">
        <f>-0.5241*4.93^2+227.02*4.93-134.2</f>
        <v>972.27040190999992</v>
      </c>
      <c r="AL274" s="10" t="str">
        <f t="shared" si="33"/>
        <v>FALSE</v>
      </c>
      <c r="AM274" s="10" t="str">
        <f t="shared" si="33"/>
        <v>FALSE</v>
      </c>
      <c r="AN274" s="10" t="str">
        <f t="shared" si="33"/>
        <v>FALSE</v>
      </c>
      <c r="AO274" s="10" t="str">
        <f t="shared" si="34"/>
        <v>y=0.4739*4.93^2+205.64*4.93-100.4</v>
      </c>
      <c r="AP274" s="10" t="str">
        <f t="shared" si="34"/>
        <v>y=-0.5241*4.93^2+227.02*4.93-134.2</v>
      </c>
      <c r="AQ274" s="10" t="b">
        <f>IF(AND(I274="TP",S274&lt;=150),VLOOKUP(AF274,TPCalibEq150!$AZ$2:$BB$55,3,),IF(AND(I274="TDP",S274&lt;=150),VLOOKUP(AF274,TPCalibEq150!$AZ$2:$BB$55,3,)))</f>
        <v>0</v>
      </c>
      <c r="AR274" s="10" t="b">
        <f>IF(AND(I274="TP",S274&lt;=300),VLOOKUP(AF274,TPCalibEq300!$AZ$2:$BB$55,3,),IF(AND(I274="TDP",S274&lt;=300),VLOOKUP(AF274,TPCalibEq300!$AZ$2:$BB$55,3,)))</f>
        <v>0</v>
      </c>
      <c r="AS274" s="10" t="b">
        <f>IF(AND(I274="TP",S274&lt;=500),VLOOKUP(AF274,TPCalibEq500!$AZ$2:$BB$56,3,),IF(AND(I274="TDP",S274&lt;=500),VLOOKUP(AF274,TPCalibEq500!$AZ$2:$BB$56,3,)))</f>
        <v>0</v>
      </c>
      <c r="AT274" s="10" t="str">
        <f>IF(AND(I274="TN",S274&lt;=2800),VLOOKUP(AF274,TNCalibEq2500!$AZ$2:$BB$56,3,),IF(AND(I274="TDN",S274&lt;=2800),VLOOKUP(AF274,TNCalibEq2500!$AZ$2:$BB$56,3,)))</f>
        <v>y=0.4739x2+205.64x-100.4</v>
      </c>
      <c r="AU274" s="10" t="str">
        <f>IF(I274="TP",VLOOKUP(AF274,TPCalibEqFull!$AZ$2:$BB$56,3),IF(I274="TDP",VLOOKUP(AF274,TPCalibEqFull!$AZ$2:$BB$56,3),IF(I274="TDN",VLOOKUP(AF274,TNCalibEqFull!$AZ$1:$BB$56,3),IF(I274="TN",VLOOKUP(AF274,TNCalibEqFull!$AZ$1:$BB$56,3),FALSE))))</f>
        <v>y=-0.5241x2+227.02x-134.2</v>
      </c>
      <c r="AV274" s="10" t="str">
        <f t="shared" si="32"/>
        <v>1215 04:31:00-HST-0-C-1-SW-UKN</v>
      </c>
    </row>
    <row r="275" spans="1:48" s="10" customFormat="1" x14ac:dyDescent="0.55000000000000004">
      <c r="A275" s="32">
        <v>44911</v>
      </c>
      <c r="B275" s="33">
        <v>0.4993055555555555</v>
      </c>
      <c r="C275" s="10" t="s">
        <v>279</v>
      </c>
      <c r="D275" s="10">
        <v>0</v>
      </c>
      <c r="E275" s="10" t="s">
        <v>190</v>
      </c>
      <c r="F275" s="10">
        <v>1</v>
      </c>
      <c r="G275" s="10" t="s">
        <v>231</v>
      </c>
      <c r="H275" s="10" t="s">
        <v>322</v>
      </c>
      <c r="I275" s="10" t="s">
        <v>235</v>
      </c>
      <c r="J275" s="10">
        <v>5</v>
      </c>
      <c r="K275" s="12">
        <v>44930</v>
      </c>
      <c r="L275" s="33">
        <v>0.57915509259259257</v>
      </c>
      <c r="M275" s="10">
        <v>1</v>
      </c>
      <c r="N275" s="10" t="s">
        <v>196</v>
      </c>
      <c r="O275" s="10">
        <v>6.26</v>
      </c>
      <c r="P275" s="10">
        <v>0.36699999999999999</v>
      </c>
      <c r="Q275" s="10">
        <v>1240</v>
      </c>
      <c r="R275" s="10" t="s">
        <v>170</v>
      </c>
      <c r="S275" s="34">
        <f t="shared" si="28"/>
        <v>1266.40697884</v>
      </c>
      <c r="T275" s="10" t="s">
        <v>966</v>
      </c>
      <c r="U275" s="34" t="str">
        <f t="shared" si="29"/>
        <v/>
      </c>
      <c r="V275" s="31" t="str">
        <f>IF(H275="CHK",VLOOKUP(I275,QCCHK,3,),IF(H275="GUP",VLOOKUP(E275,QCGUP,2,),IF(AND(H275="ATP",OR(I275="TN",I275="TDN",I275="TNO2-3",I275="NO2-3")),VLOOKUP(E275,QCREC_N,2,),IF(AND(H275="NIC",OR(I275="TN",I275="TDN",I275="TNO2-3",I275="NO2-3")),VLOOKUP(E275,QCNIC_N,2,),IF(AND(H275="UREA",OR(I275="TN",I275="TDN",I275="TNO2-3",I275="NO2-3")),VLOOKUP(E275,QCUREA_N,2,),IF(H275="PER",VLOOKUP(I275,QCPER,MATCH(E275,QCACTUAL!$J$25:$AA$25,0),),IF(H275="SPK",VLOOKUP(I275,QCSPK,3,),IF(AND(H275="ATP",OR(I275="TP",I275="TDP")),VLOOKUP(E275,QCATP_P,2,),""))))))))</f>
        <v/>
      </c>
      <c r="W275" s="31" t="str">
        <f t="shared" si="30"/>
        <v>TRUE</v>
      </c>
      <c r="X275" s="31" t="str">
        <f t="shared" si="31"/>
        <v/>
      </c>
      <c r="Y275" s="10" t="s">
        <v>959</v>
      </c>
      <c r="Z275" s="10" t="s">
        <v>910</v>
      </c>
      <c r="AF275" s="12">
        <v>44930</v>
      </c>
      <c r="AJ275" s="10">
        <f>0.4739*6.26^2+205.64*6.26-100.4</f>
        <v>1205.4774036399999</v>
      </c>
      <c r="AK275" s="10">
        <f>-0.5241*6.26^2+227.02*6.26-134.2</f>
        <v>1266.40697884</v>
      </c>
      <c r="AL275" s="10" t="str">
        <f t="shared" si="33"/>
        <v>FALSE</v>
      </c>
      <c r="AM275" s="10" t="str">
        <f t="shared" si="33"/>
        <v>FALSE</v>
      </c>
      <c r="AN275" s="10" t="str">
        <f t="shared" si="33"/>
        <v>FALSE</v>
      </c>
      <c r="AO275" s="10" t="str">
        <f t="shared" si="34"/>
        <v>y=0.4739*6.26^2+205.64*6.26-100.4</v>
      </c>
      <c r="AP275" s="10" t="str">
        <f t="shared" si="34"/>
        <v>y=-0.5241*6.26^2+227.02*6.26-134.2</v>
      </c>
      <c r="AQ275" s="10" t="b">
        <f>IF(AND(I275="TP",S275&lt;=150),VLOOKUP(AF275,TPCalibEq150!$AZ$2:$BB$55,3,),IF(AND(I275="TDP",S275&lt;=150),VLOOKUP(AF275,TPCalibEq150!$AZ$2:$BB$55,3,)))</f>
        <v>0</v>
      </c>
      <c r="AR275" s="10" t="b">
        <f>IF(AND(I275="TP",S275&lt;=300),VLOOKUP(AF275,TPCalibEq300!$AZ$2:$BB$55,3,),IF(AND(I275="TDP",S275&lt;=300),VLOOKUP(AF275,TPCalibEq300!$AZ$2:$BB$55,3,)))</f>
        <v>0</v>
      </c>
      <c r="AS275" s="10" t="b">
        <f>IF(AND(I275="TP",S275&lt;=500),VLOOKUP(AF275,TPCalibEq500!$AZ$2:$BB$56,3,),IF(AND(I275="TDP",S275&lt;=500),VLOOKUP(AF275,TPCalibEq500!$AZ$2:$BB$56,3,)))</f>
        <v>0</v>
      </c>
      <c r="AT275" s="10" t="str">
        <f>IF(AND(I275="TN",S275&lt;=2800),VLOOKUP(AF275,TNCalibEq2500!$AZ$2:$BB$56,3,),IF(AND(I275="TDN",S275&lt;=2800),VLOOKUP(AF275,TNCalibEq2500!$AZ$2:$BB$56,3,)))</f>
        <v>y=0.4739x2+205.64x-100.4</v>
      </c>
      <c r="AU275" s="10" t="str">
        <f>IF(I275="TP",VLOOKUP(AF275,TPCalibEqFull!$AZ$2:$BB$56,3),IF(I275="TDP",VLOOKUP(AF275,TPCalibEqFull!$AZ$2:$BB$56,3),IF(I275="TDN",VLOOKUP(AF275,TNCalibEqFull!$AZ$1:$BB$56,3),IF(I275="TN",VLOOKUP(AF275,TNCalibEqFull!$AZ$1:$BB$56,3),FALSE))))</f>
        <v>y=-0.5241x2+227.02x-134.2</v>
      </c>
      <c r="AV275" s="10" t="str">
        <f t="shared" si="32"/>
        <v>1216 11:59:00-EFK-0-C-1-SW-UKN</v>
      </c>
    </row>
    <row r="276" spans="1:48" s="10" customFormat="1" x14ac:dyDescent="0.55000000000000004">
      <c r="A276" s="32">
        <v>44911</v>
      </c>
      <c r="B276" s="33">
        <v>0.49722222222222223</v>
      </c>
      <c r="C276" s="10" t="s">
        <v>333</v>
      </c>
      <c r="D276" s="10">
        <v>0</v>
      </c>
      <c r="E276" s="10" t="s">
        <v>190</v>
      </c>
      <c r="F276" s="10">
        <v>1</v>
      </c>
      <c r="G276" s="10" t="s">
        <v>231</v>
      </c>
      <c r="H276" s="10" t="s">
        <v>322</v>
      </c>
      <c r="I276" s="10" t="s">
        <v>235</v>
      </c>
      <c r="J276" s="10">
        <v>6</v>
      </c>
      <c r="K276" s="12">
        <v>44930</v>
      </c>
      <c r="L276" s="33">
        <v>0.57982638888888893</v>
      </c>
      <c r="M276" s="10">
        <v>1</v>
      </c>
      <c r="N276" s="10" t="s">
        <v>196</v>
      </c>
      <c r="O276" s="10">
        <v>4.3</v>
      </c>
      <c r="P276" s="10">
        <v>0.251</v>
      </c>
      <c r="Q276" s="10">
        <v>818</v>
      </c>
      <c r="R276" s="10" t="s">
        <v>170</v>
      </c>
      <c r="S276" s="34">
        <f t="shared" si="28"/>
        <v>832.29539100000011</v>
      </c>
      <c r="T276" s="10" t="s">
        <v>966</v>
      </c>
      <c r="U276" s="34" t="str">
        <f t="shared" si="29"/>
        <v/>
      </c>
      <c r="V276" s="31" t="str">
        <f>IF(H276="CHK",VLOOKUP(I276,QCCHK,3,),IF(H276="GUP",VLOOKUP(E276,QCGUP,2,),IF(AND(H276="ATP",OR(I276="TN",I276="TDN",I276="TNO2-3",I276="NO2-3")),VLOOKUP(E276,QCREC_N,2,),IF(AND(H276="NIC",OR(I276="TN",I276="TDN",I276="TNO2-3",I276="NO2-3")),VLOOKUP(E276,QCNIC_N,2,),IF(AND(H276="UREA",OR(I276="TN",I276="TDN",I276="TNO2-3",I276="NO2-3")),VLOOKUP(E276,QCUREA_N,2,),IF(H276="PER",VLOOKUP(I276,QCPER,MATCH(E276,QCACTUAL!$J$25:$AA$25,0),),IF(H276="SPK",VLOOKUP(I276,QCSPK,3,),IF(AND(H276="ATP",OR(I276="TP",I276="TDP")),VLOOKUP(E276,QCATP_P,2,),""))))))))</f>
        <v/>
      </c>
      <c r="W276" s="31" t="str">
        <f t="shared" si="30"/>
        <v>TRUE</v>
      </c>
      <c r="X276" s="31" t="str">
        <f t="shared" si="31"/>
        <v/>
      </c>
      <c r="Y276" s="10" t="s">
        <v>959</v>
      </c>
      <c r="Z276" s="10" t="s">
        <v>910</v>
      </c>
      <c r="AF276" s="12">
        <v>44930</v>
      </c>
      <c r="AJ276" s="10">
        <f>0.4739*4.3^2+205.64*4.3-100.4</f>
        <v>792.61441100000002</v>
      </c>
      <c r="AK276" s="10">
        <f>-0.5241*4.3^2+227.02*4.3-134.2</f>
        <v>832.29539100000011</v>
      </c>
      <c r="AL276" s="10" t="str">
        <f t="shared" si="33"/>
        <v>FALSE</v>
      </c>
      <c r="AM276" s="10" t="str">
        <f t="shared" si="33"/>
        <v>FALSE</v>
      </c>
      <c r="AN276" s="10" t="str">
        <f t="shared" si="33"/>
        <v>FALSE</v>
      </c>
      <c r="AO276" s="10" t="str">
        <f t="shared" si="34"/>
        <v>y=0.4739*4.3^2+205.64*4.3-100.4</v>
      </c>
      <c r="AP276" s="10" t="str">
        <f t="shared" si="34"/>
        <v>y=-0.5241*4.3^2+227.02*4.3-134.2</v>
      </c>
      <c r="AQ276" s="10" t="b">
        <f>IF(AND(I276="TP",S276&lt;=150),VLOOKUP(AF276,TPCalibEq150!$AZ$2:$BB$55,3,),IF(AND(I276="TDP",S276&lt;=150),VLOOKUP(AF276,TPCalibEq150!$AZ$2:$BB$55,3,)))</f>
        <v>0</v>
      </c>
      <c r="AR276" s="10" t="b">
        <f>IF(AND(I276="TP",S276&lt;=300),VLOOKUP(AF276,TPCalibEq300!$AZ$2:$BB$55,3,),IF(AND(I276="TDP",S276&lt;=300),VLOOKUP(AF276,TPCalibEq300!$AZ$2:$BB$55,3,)))</f>
        <v>0</v>
      </c>
      <c r="AS276" s="10" t="b">
        <f>IF(AND(I276="TP",S276&lt;=500),VLOOKUP(AF276,TPCalibEq500!$AZ$2:$BB$56,3,),IF(AND(I276="TDP",S276&lt;=500),VLOOKUP(AF276,TPCalibEq500!$AZ$2:$BB$56,3,)))</f>
        <v>0</v>
      </c>
      <c r="AT276" s="10" t="str">
        <f>IF(AND(I276="TN",S276&lt;=2800),VLOOKUP(AF276,TNCalibEq2500!$AZ$2:$BB$56,3,),IF(AND(I276="TDN",S276&lt;=2800),VLOOKUP(AF276,TNCalibEq2500!$AZ$2:$BB$56,3,)))</f>
        <v>y=0.4739x2+205.64x-100.4</v>
      </c>
      <c r="AU276" s="10" t="str">
        <f>IF(I276="TP",VLOOKUP(AF276,TPCalibEqFull!$AZ$2:$BB$56,3),IF(I276="TDP",VLOOKUP(AF276,TPCalibEqFull!$AZ$2:$BB$56,3),IF(I276="TDN",VLOOKUP(AF276,TNCalibEqFull!$AZ$1:$BB$56,3),IF(I276="TN",VLOOKUP(AF276,TNCalibEqFull!$AZ$1:$BB$56,3),FALSE))))</f>
        <v>y=-0.5241x2+227.02x-134.2</v>
      </c>
      <c r="AV276" s="10" t="str">
        <f t="shared" si="32"/>
        <v>1216 11:56:00-HST-0-C-1-SW-UKN</v>
      </c>
    </row>
    <row r="277" spans="1:48" s="10" customFormat="1" x14ac:dyDescent="0.55000000000000004">
      <c r="A277" s="32">
        <v>44914</v>
      </c>
      <c r="B277" s="33">
        <v>0.22361111111111109</v>
      </c>
      <c r="C277" s="10" t="s">
        <v>279</v>
      </c>
      <c r="D277" s="10">
        <v>0</v>
      </c>
      <c r="E277" s="10" t="s">
        <v>190</v>
      </c>
      <c r="F277" s="10">
        <v>1</v>
      </c>
      <c r="G277" s="10" t="s">
        <v>231</v>
      </c>
      <c r="H277" s="10" t="s">
        <v>322</v>
      </c>
      <c r="I277" s="10" t="s">
        <v>235</v>
      </c>
      <c r="J277" s="10">
        <v>7</v>
      </c>
      <c r="K277" s="12">
        <v>44930</v>
      </c>
      <c r="L277" s="33">
        <v>0.58049768518518519</v>
      </c>
      <c r="M277" s="10">
        <v>1</v>
      </c>
      <c r="N277" s="10" t="s">
        <v>196</v>
      </c>
      <c r="O277" s="10">
        <v>6.4</v>
      </c>
      <c r="P277" s="10">
        <v>0.376</v>
      </c>
      <c r="Q277" s="10">
        <v>1270</v>
      </c>
      <c r="R277" s="10" t="s">
        <v>170</v>
      </c>
      <c r="S277" s="34">
        <f t="shared" si="28"/>
        <v>1297.2608640000001</v>
      </c>
      <c r="T277" s="10" t="s">
        <v>966</v>
      </c>
      <c r="U277" s="34" t="str">
        <f t="shared" si="29"/>
        <v/>
      </c>
      <c r="V277" s="31" t="str">
        <f>IF(H277="CHK",VLOOKUP(I277,QCCHK,3,),IF(H277="GUP",VLOOKUP(E277,QCGUP,2,),IF(AND(H277="ATP",OR(I277="TN",I277="TDN",I277="TNO2-3",I277="NO2-3")),VLOOKUP(E277,QCREC_N,2,),IF(AND(H277="NIC",OR(I277="TN",I277="TDN",I277="TNO2-3",I277="NO2-3")),VLOOKUP(E277,QCNIC_N,2,),IF(AND(H277="UREA",OR(I277="TN",I277="TDN",I277="TNO2-3",I277="NO2-3")),VLOOKUP(E277,QCUREA_N,2,),IF(H277="PER",VLOOKUP(I277,QCPER,MATCH(E277,QCACTUAL!$J$25:$AA$25,0),),IF(H277="SPK",VLOOKUP(I277,QCSPK,3,),IF(AND(H277="ATP",OR(I277="TP",I277="TDP")),VLOOKUP(E277,QCATP_P,2,),""))))))))</f>
        <v/>
      </c>
      <c r="W277" s="31" t="str">
        <f t="shared" si="30"/>
        <v>TRUE</v>
      </c>
      <c r="X277" s="31" t="str">
        <f t="shared" si="31"/>
        <v/>
      </c>
      <c r="Y277" s="10" t="s">
        <v>959</v>
      </c>
      <c r="Z277" s="10" t="s">
        <v>910</v>
      </c>
      <c r="AF277" s="12">
        <v>44930</v>
      </c>
      <c r="AJ277" s="10">
        <f>0.4739*6.4^2+205.64*6.4-100.4</f>
        <v>1235.1069439999999</v>
      </c>
      <c r="AK277" s="10">
        <f>-0.5241*6.4^2+227.02*6.4-134.2</f>
        <v>1297.2608640000001</v>
      </c>
      <c r="AL277" s="10" t="str">
        <f t="shared" si="33"/>
        <v>FALSE</v>
      </c>
      <c r="AM277" s="10" t="str">
        <f t="shared" si="33"/>
        <v>FALSE</v>
      </c>
      <c r="AN277" s="10" t="str">
        <f t="shared" si="33"/>
        <v>FALSE</v>
      </c>
      <c r="AO277" s="10" t="str">
        <f t="shared" si="34"/>
        <v>y=0.4739*6.4^2+205.64*6.4-100.4</v>
      </c>
      <c r="AP277" s="10" t="str">
        <f t="shared" si="34"/>
        <v>y=-0.5241*6.4^2+227.02*6.4-134.2</v>
      </c>
      <c r="AQ277" s="10" t="b">
        <f>IF(AND(I277="TP",S277&lt;=150),VLOOKUP(AF277,TPCalibEq150!$AZ$2:$BB$55,3,),IF(AND(I277="TDP",S277&lt;=150),VLOOKUP(AF277,TPCalibEq150!$AZ$2:$BB$55,3,)))</f>
        <v>0</v>
      </c>
      <c r="AR277" s="10" t="b">
        <f>IF(AND(I277="TP",S277&lt;=300),VLOOKUP(AF277,TPCalibEq300!$AZ$2:$BB$55,3,),IF(AND(I277="TDP",S277&lt;=300),VLOOKUP(AF277,TPCalibEq300!$AZ$2:$BB$55,3,)))</f>
        <v>0</v>
      </c>
      <c r="AS277" s="10" t="b">
        <f>IF(AND(I277="TP",S277&lt;=500),VLOOKUP(AF277,TPCalibEq500!$AZ$2:$BB$56,3,),IF(AND(I277="TDP",S277&lt;=500),VLOOKUP(AF277,TPCalibEq500!$AZ$2:$BB$56,3,)))</f>
        <v>0</v>
      </c>
      <c r="AT277" s="10" t="str">
        <f>IF(AND(I277="TN",S277&lt;=2800),VLOOKUP(AF277,TNCalibEq2500!$AZ$2:$BB$56,3,),IF(AND(I277="TDN",S277&lt;=2800),VLOOKUP(AF277,TNCalibEq2500!$AZ$2:$BB$56,3,)))</f>
        <v>y=0.4739x2+205.64x-100.4</v>
      </c>
      <c r="AU277" s="10" t="str">
        <f>IF(I277="TP",VLOOKUP(AF277,TPCalibEqFull!$AZ$2:$BB$56,3),IF(I277="TDP",VLOOKUP(AF277,TPCalibEqFull!$AZ$2:$BB$56,3),IF(I277="TDN",VLOOKUP(AF277,TNCalibEqFull!$AZ$1:$BB$56,3),IF(I277="TN",VLOOKUP(AF277,TNCalibEqFull!$AZ$1:$BB$56,3),FALSE))))</f>
        <v>y=-0.5241x2+227.02x-134.2</v>
      </c>
      <c r="AV277" s="10" t="str">
        <f t="shared" si="32"/>
        <v>1219 05:22:00-EFK-0-C-1-SW-UKN</v>
      </c>
    </row>
    <row r="278" spans="1:48" s="10" customFormat="1" x14ac:dyDescent="0.55000000000000004">
      <c r="A278" s="32">
        <v>44914</v>
      </c>
      <c r="B278" s="33">
        <v>0.23124999999999998</v>
      </c>
      <c r="C278" s="10" t="s">
        <v>333</v>
      </c>
      <c r="D278" s="10">
        <v>0</v>
      </c>
      <c r="E278" s="10" t="s">
        <v>190</v>
      </c>
      <c r="F278" s="10">
        <v>1</v>
      </c>
      <c r="G278" s="10" t="s">
        <v>231</v>
      </c>
      <c r="H278" s="10" t="s">
        <v>322</v>
      </c>
      <c r="I278" s="10" t="s">
        <v>235</v>
      </c>
      <c r="J278" s="10">
        <v>8</v>
      </c>
      <c r="K278" s="12">
        <v>44930</v>
      </c>
      <c r="L278" s="33">
        <v>0.58116898148148144</v>
      </c>
      <c r="M278" s="10">
        <v>1</v>
      </c>
      <c r="N278" s="10" t="s">
        <v>196</v>
      </c>
      <c r="O278" s="10">
        <v>3.7</v>
      </c>
      <c r="P278" s="10">
        <v>0.22</v>
      </c>
      <c r="Q278" s="10">
        <v>688</v>
      </c>
      <c r="R278" s="10" t="s">
        <v>170</v>
      </c>
      <c r="S278" s="34">
        <f t="shared" si="28"/>
        <v>698.59907100000009</v>
      </c>
      <c r="T278" s="10" t="s">
        <v>966</v>
      </c>
      <c r="U278" s="34" t="str">
        <f t="shared" si="29"/>
        <v/>
      </c>
      <c r="V278" s="31" t="str">
        <f>IF(H278="CHK",VLOOKUP(I278,QCCHK,3,),IF(H278="GUP",VLOOKUP(E278,QCGUP,2,),IF(AND(H278="ATP",OR(I278="TN",I278="TDN",I278="TNO2-3",I278="NO2-3")),VLOOKUP(E278,QCREC_N,2,),IF(AND(H278="NIC",OR(I278="TN",I278="TDN",I278="TNO2-3",I278="NO2-3")),VLOOKUP(E278,QCNIC_N,2,),IF(AND(H278="UREA",OR(I278="TN",I278="TDN",I278="TNO2-3",I278="NO2-3")),VLOOKUP(E278,QCUREA_N,2,),IF(H278="PER",VLOOKUP(I278,QCPER,MATCH(E278,QCACTUAL!$J$25:$AA$25,0),),IF(H278="SPK",VLOOKUP(I278,QCSPK,3,),IF(AND(H278="ATP",OR(I278="TP",I278="TDP")),VLOOKUP(E278,QCATP_P,2,),""))))))))</f>
        <v/>
      </c>
      <c r="W278" s="31" t="str">
        <f t="shared" si="30"/>
        <v>TRUE</v>
      </c>
      <c r="X278" s="31" t="str">
        <f t="shared" si="31"/>
        <v/>
      </c>
      <c r="Y278" s="10" t="s">
        <v>959</v>
      </c>
      <c r="Z278" s="10" t="s">
        <v>910</v>
      </c>
      <c r="AF278" s="12">
        <v>44930</v>
      </c>
      <c r="AJ278" s="10">
        <f>0.4739*3.7^2+205.64*3.7-100.4</f>
        <v>666.955691</v>
      </c>
      <c r="AK278" s="10">
        <f>-0.5241*3.7^2+227.02*3.7-134.2</f>
        <v>698.59907100000009</v>
      </c>
      <c r="AL278" s="10" t="str">
        <f t="shared" si="33"/>
        <v>FALSE</v>
      </c>
      <c r="AM278" s="10" t="str">
        <f t="shared" si="33"/>
        <v>FALSE</v>
      </c>
      <c r="AN278" s="10" t="str">
        <f t="shared" si="33"/>
        <v>FALSE</v>
      </c>
      <c r="AO278" s="10" t="str">
        <f t="shared" si="34"/>
        <v>y=0.4739*3.7^2+205.64*3.7-100.4</v>
      </c>
      <c r="AP278" s="10" t="str">
        <f t="shared" si="34"/>
        <v>y=-0.5241*3.7^2+227.02*3.7-134.2</v>
      </c>
      <c r="AQ278" s="10" t="b">
        <f>IF(AND(I278="TP",S278&lt;=150),VLOOKUP(AF278,TPCalibEq150!$AZ$2:$BB$55,3,),IF(AND(I278="TDP",S278&lt;=150),VLOOKUP(AF278,TPCalibEq150!$AZ$2:$BB$55,3,)))</f>
        <v>0</v>
      </c>
      <c r="AR278" s="10" t="b">
        <f>IF(AND(I278="TP",S278&lt;=300),VLOOKUP(AF278,TPCalibEq300!$AZ$2:$BB$55,3,),IF(AND(I278="TDP",S278&lt;=300),VLOOKUP(AF278,TPCalibEq300!$AZ$2:$BB$55,3,)))</f>
        <v>0</v>
      </c>
      <c r="AS278" s="10" t="b">
        <f>IF(AND(I278="TP",S278&lt;=500),VLOOKUP(AF278,TPCalibEq500!$AZ$2:$BB$56,3,),IF(AND(I278="TDP",S278&lt;=500),VLOOKUP(AF278,TPCalibEq500!$AZ$2:$BB$56,3,)))</f>
        <v>0</v>
      </c>
      <c r="AT278" s="10" t="str">
        <f>IF(AND(I278="TN",S278&lt;=2800),VLOOKUP(AF278,TNCalibEq2500!$AZ$2:$BB$56,3,),IF(AND(I278="TDN",S278&lt;=2800),VLOOKUP(AF278,TNCalibEq2500!$AZ$2:$BB$56,3,)))</f>
        <v>y=0.4739x2+205.64x-100.4</v>
      </c>
      <c r="AU278" s="10" t="str">
        <f>IF(I278="TP",VLOOKUP(AF278,TPCalibEqFull!$AZ$2:$BB$56,3),IF(I278="TDP",VLOOKUP(AF278,TPCalibEqFull!$AZ$2:$BB$56,3),IF(I278="TDN",VLOOKUP(AF278,TNCalibEqFull!$AZ$1:$BB$56,3),IF(I278="TN",VLOOKUP(AF278,TNCalibEqFull!$AZ$1:$BB$56,3),FALSE))))</f>
        <v>y=-0.5241x2+227.02x-134.2</v>
      </c>
      <c r="AV278" s="10" t="str">
        <f t="shared" si="32"/>
        <v>1219 05:33:00-HST-0-C-1-SW-UKN</v>
      </c>
    </row>
    <row r="279" spans="1:48" s="10" customFormat="1" x14ac:dyDescent="0.55000000000000004">
      <c r="A279" s="32">
        <v>44915</v>
      </c>
      <c r="B279" s="33">
        <v>0.23263888888888887</v>
      </c>
      <c r="C279" s="10" t="s">
        <v>279</v>
      </c>
      <c r="D279" s="10">
        <v>0</v>
      </c>
      <c r="E279" s="10" t="s">
        <v>190</v>
      </c>
      <c r="F279" s="10">
        <v>1</v>
      </c>
      <c r="G279" s="10" t="s">
        <v>231</v>
      </c>
      <c r="H279" s="10" t="s">
        <v>322</v>
      </c>
      <c r="I279" s="10" t="s">
        <v>235</v>
      </c>
      <c r="J279" s="10">
        <v>9</v>
      </c>
      <c r="K279" s="12">
        <v>44930</v>
      </c>
      <c r="L279" s="33">
        <v>0.58182870370370365</v>
      </c>
      <c r="M279" s="10">
        <v>1</v>
      </c>
      <c r="N279" s="10" t="s">
        <v>196</v>
      </c>
      <c r="O279" s="10">
        <v>6.84</v>
      </c>
      <c r="P279" s="10">
        <v>0.4</v>
      </c>
      <c r="Q279" s="10">
        <v>1370</v>
      </c>
      <c r="R279" s="10" t="s">
        <v>170</v>
      </c>
      <c r="S279" s="34">
        <f t="shared" si="28"/>
        <v>1394.0964670400001</v>
      </c>
      <c r="T279" s="10" t="s">
        <v>966</v>
      </c>
      <c r="U279" s="34" t="str">
        <f t="shared" si="29"/>
        <v/>
      </c>
      <c r="V279" s="31" t="str">
        <f>IF(H279="CHK",VLOOKUP(I279,QCCHK,3,),IF(H279="GUP",VLOOKUP(E279,QCGUP,2,),IF(AND(H279="ATP",OR(I279="TN",I279="TDN",I279="TNO2-3",I279="NO2-3")),VLOOKUP(E279,QCREC_N,2,),IF(AND(H279="NIC",OR(I279="TN",I279="TDN",I279="TNO2-3",I279="NO2-3")),VLOOKUP(E279,QCNIC_N,2,),IF(AND(H279="UREA",OR(I279="TN",I279="TDN",I279="TNO2-3",I279="NO2-3")),VLOOKUP(E279,QCUREA_N,2,),IF(H279="PER",VLOOKUP(I279,QCPER,MATCH(E279,QCACTUAL!$J$25:$AA$25,0),),IF(H279="SPK",VLOOKUP(I279,QCSPK,3,),IF(AND(H279="ATP",OR(I279="TP",I279="TDP")),VLOOKUP(E279,QCATP_P,2,),""))))))))</f>
        <v/>
      </c>
      <c r="W279" s="31" t="str">
        <f t="shared" si="30"/>
        <v>TRUE</v>
      </c>
      <c r="X279" s="31" t="str">
        <f t="shared" si="31"/>
        <v/>
      </c>
      <c r="Y279" s="10" t="s">
        <v>959</v>
      </c>
      <c r="Z279" s="10" t="s">
        <v>910</v>
      </c>
      <c r="AF279" s="12">
        <v>44930</v>
      </c>
      <c r="AJ279" s="10">
        <f>0.4739*6.84^2+205.64*6.84-100.4</f>
        <v>1328.3492958399997</v>
      </c>
      <c r="AK279" s="10">
        <f>-0.5241*6.84^2+227.02*6.84-134.2</f>
        <v>1394.0964670400001</v>
      </c>
      <c r="AL279" s="10" t="str">
        <f t="shared" si="33"/>
        <v>FALSE</v>
      </c>
      <c r="AM279" s="10" t="str">
        <f t="shared" si="33"/>
        <v>FALSE</v>
      </c>
      <c r="AN279" s="10" t="str">
        <f t="shared" si="33"/>
        <v>FALSE</v>
      </c>
      <c r="AO279" s="10" t="str">
        <f t="shared" si="34"/>
        <v>y=0.4739*6.84^2+205.64*6.84-100.4</v>
      </c>
      <c r="AP279" s="10" t="str">
        <f t="shared" si="34"/>
        <v>y=-0.5241*6.84^2+227.02*6.84-134.2</v>
      </c>
      <c r="AQ279" s="10" t="b">
        <f>IF(AND(I279="TP",S279&lt;=150),VLOOKUP(AF279,TPCalibEq150!$AZ$2:$BB$55,3,),IF(AND(I279="TDP",S279&lt;=150),VLOOKUP(AF279,TPCalibEq150!$AZ$2:$BB$55,3,)))</f>
        <v>0</v>
      </c>
      <c r="AR279" s="10" t="b">
        <f>IF(AND(I279="TP",S279&lt;=300),VLOOKUP(AF279,TPCalibEq300!$AZ$2:$BB$55,3,),IF(AND(I279="TDP",S279&lt;=300),VLOOKUP(AF279,TPCalibEq300!$AZ$2:$BB$55,3,)))</f>
        <v>0</v>
      </c>
      <c r="AS279" s="10" t="b">
        <f>IF(AND(I279="TP",S279&lt;=500),VLOOKUP(AF279,TPCalibEq500!$AZ$2:$BB$56,3,),IF(AND(I279="TDP",S279&lt;=500),VLOOKUP(AF279,TPCalibEq500!$AZ$2:$BB$56,3,)))</f>
        <v>0</v>
      </c>
      <c r="AT279" s="10" t="str">
        <f>IF(AND(I279="TN",S279&lt;=2800),VLOOKUP(AF279,TNCalibEq2500!$AZ$2:$BB$56,3,),IF(AND(I279="TDN",S279&lt;=2800),VLOOKUP(AF279,TNCalibEq2500!$AZ$2:$BB$56,3,)))</f>
        <v>y=0.4739x2+205.64x-100.4</v>
      </c>
      <c r="AU279" s="10" t="str">
        <f>IF(I279="TP",VLOOKUP(AF279,TPCalibEqFull!$AZ$2:$BB$56,3),IF(I279="TDP",VLOOKUP(AF279,TPCalibEqFull!$AZ$2:$BB$56,3),IF(I279="TDN",VLOOKUP(AF279,TNCalibEqFull!$AZ$1:$BB$56,3),IF(I279="TN",VLOOKUP(AF279,TNCalibEqFull!$AZ$1:$BB$56,3),FALSE))))</f>
        <v>y=-0.5241x2+227.02x-134.2</v>
      </c>
      <c r="AV279" s="10" t="str">
        <f t="shared" si="32"/>
        <v>1220 05:35:00-EFK-0-C-1-SW-UKN</v>
      </c>
    </row>
    <row r="280" spans="1:48" s="10" customFormat="1" x14ac:dyDescent="0.55000000000000004">
      <c r="A280" s="32">
        <v>44915</v>
      </c>
      <c r="B280" s="33">
        <v>0.24652777777777779</v>
      </c>
      <c r="C280" s="10" t="s">
        <v>333</v>
      </c>
      <c r="D280" s="10">
        <v>0</v>
      </c>
      <c r="E280" s="10" t="s">
        <v>190</v>
      </c>
      <c r="F280" s="10">
        <v>1</v>
      </c>
      <c r="G280" s="10" t="s">
        <v>231</v>
      </c>
      <c r="H280" s="10" t="s">
        <v>322</v>
      </c>
      <c r="I280" s="10" t="s">
        <v>235</v>
      </c>
      <c r="J280" s="10">
        <v>10</v>
      </c>
      <c r="K280" s="12">
        <v>44930</v>
      </c>
      <c r="L280" s="33">
        <v>0.58248842592592587</v>
      </c>
      <c r="M280" s="10">
        <v>1</v>
      </c>
      <c r="N280" s="10" t="s">
        <v>196</v>
      </c>
      <c r="O280" s="10">
        <v>3.67</v>
      </c>
      <c r="P280" s="10">
        <v>0.215</v>
      </c>
      <c r="Q280" s="10">
        <v>682</v>
      </c>
      <c r="R280" s="10" t="s">
        <v>170</v>
      </c>
      <c r="S280" s="34">
        <f t="shared" si="28"/>
        <v>691.90434950999997</v>
      </c>
      <c r="T280" s="10" t="s">
        <v>966</v>
      </c>
      <c r="U280" s="34" t="str">
        <f t="shared" si="29"/>
        <v/>
      </c>
      <c r="V280" s="31" t="str">
        <f>IF(H280="CHK",VLOOKUP(I280,QCCHK,3,),IF(H280="GUP",VLOOKUP(E280,QCGUP,2,),IF(AND(H280="ATP",OR(I280="TN",I280="TDN",I280="TNO2-3",I280="NO2-3")),VLOOKUP(E280,QCREC_N,2,),IF(AND(H280="NIC",OR(I280="TN",I280="TDN",I280="TNO2-3",I280="NO2-3")),VLOOKUP(E280,QCNIC_N,2,),IF(AND(H280="UREA",OR(I280="TN",I280="TDN",I280="TNO2-3",I280="NO2-3")),VLOOKUP(E280,QCUREA_N,2,),IF(H280="PER",VLOOKUP(I280,QCPER,MATCH(E280,QCACTUAL!$J$25:$AA$25,0),),IF(H280="SPK",VLOOKUP(I280,QCSPK,3,),IF(AND(H280="ATP",OR(I280="TP",I280="TDP")),VLOOKUP(E280,QCATP_P,2,),""))))))))</f>
        <v/>
      </c>
      <c r="W280" s="31" t="str">
        <f t="shared" si="30"/>
        <v>TRUE</v>
      </c>
      <c r="X280" s="31" t="str">
        <f t="shared" si="31"/>
        <v/>
      </c>
      <c r="Y280" s="10" t="s">
        <v>959</v>
      </c>
      <c r="Z280" s="10" t="s">
        <v>910</v>
      </c>
      <c r="AF280" s="12">
        <v>44930</v>
      </c>
      <c r="AJ280" s="10">
        <f>0.4739*3.67^2+205.64*3.67-100.4</f>
        <v>660.68171170999995</v>
      </c>
      <c r="AK280" s="10">
        <f>-0.5241*3.67^2+227.02*3.67-134.2</f>
        <v>691.90434950999997</v>
      </c>
      <c r="AL280" s="10" t="str">
        <f t="shared" si="33"/>
        <v>FALSE</v>
      </c>
      <c r="AM280" s="10" t="str">
        <f t="shared" si="33"/>
        <v>FALSE</v>
      </c>
      <c r="AN280" s="10" t="str">
        <f t="shared" si="33"/>
        <v>FALSE</v>
      </c>
      <c r="AO280" s="10" t="str">
        <f t="shared" si="34"/>
        <v>y=0.4739*3.67^2+205.64*3.67-100.4</v>
      </c>
      <c r="AP280" s="10" t="str">
        <f t="shared" si="34"/>
        <v>y=-0.5241*3.67^2+227.02*3.67-134.2</v>
      </c>
      <c r="AQ280" s="10" t="b">
        <f>IF(AND(I280="TP",S280&lt;=150),VLOOKUP(AF280,TPCalibEq150!$AZ$2:$BB$55,3,),IF(AND(I280="TDP",S280&lt;=150),VLOOKUP(AF280,TPCalibEq150!$AZ$2:$BB$55,3,)))</f>
        <v>0</v>
      </c>
      <c r="AR280" s="10" t="b">
        <f>IF(AND(I280="TP",S280&lt;=300),VLOOKUP(AF280,TPCalibEq300!$AZ$2:$BB$55,3,),IF(AND(I280="TDP",S280&lt;=300),VLOOKUP(AF280,TPCalibEq300!$AZ$2:$BB$55,3,)))</f>
        <v>0</v>
      </c>
      <c r="AS280" s="10" t="b">
        <f>IF(AND(I280="TP",S280&lt;=500),VLOOKUP(AF280,TPCalibEq500!$AZ$2:$BB$56,3,),IF(AND(I280="TDP",S280&lt;=500),VLOOKUP(AF280,TPCalibEq500!$AZ$2:$BB$56,3,)))</f>
        <v>0</v>
      </c>
      <c r="AT280" s="10" t="str">
        <f>IF(AND(I280="TN",S280&lt;=2800),VLOOKUP(AF280,TNCalibEq2500!$AZ$2:$BB$56,3,),IF(AND(I280="TDN",S280&lt;=2800),VLOOKUP(AF280,TNCalibEq2500!$AZ$2:$BB$56,3,)))</f>
        <v>y=0.4739x2+205.64x-100.4</v>
      </c>
      <c r="AU280" s="10" t="str">
        <f>IF(I280="TP",VLOOKUP(AF280,TPCalibEqFull!$AZ$2:$BB$56,3),IF(I280="TDP",VLOOKUP(AF280,TPCalibEqFull!$AZ$2:$BB$56,3),IF(I280="TDN",VLOOKUP(AF280,TNCalibEqFull!$AZ$1:$BB$56,3),IF(I280="TN",VLOOKUP(AF280,TNCalibEqFull!$AZ$1:$BB$56,3),FALSE))))</f>
        <v>y=-0.5241x2+227.02x-134.2</v>
      </c>
      <c r="AV280" s="10" t="str">
        <f t="shared" si="32"/>
        <v>1220 05:55:00-HST-0-C-1-SW-UKN</v>
      </c>
    </row>
    <row r="281" spans="1:48" s="10" customFormat="1" x14ac:dyDescent="0.55000000000000004">
      <c r="A281" s="32">
        <v>44915</v>
      </c>
      <c r="B281" s="33">
        <v>0.24652777777777779</v>
      </c>
      <c r="C281" s="10" t="s">
        <v>333</v>
      </c>
      <c r="D281" s="10">
        <v>0</v>
      </c>
      <c r="E281" s="10" t="s">
        <v>190</v>
      </c>
      <c r="F281" s="10">
        <v>1</v>
      </c>
      <c r="G281" s="10" t="s">
        <v>231</v>
      </c>
      <c r="H281" s="10" t="s">
        <v>233</v>
      </c>
      <c r="I281" s="10" t="s">
        <v>235</v>
      </c>
      <c r="J281" s="10">
        <v>10</v>
      </c>
      <c r="K281" s="12">
        <v>44930</v>
      </c>
      <c r="L281" s="33">
        <v>0.58314814814814808</v>
      </c>
      <c r="M281" s="10">
        <v>1</v>
      </c>
      <c r="N281" s="10" t="s">
        <v>196</v>
      </c>
      <c r="O281" s="10">
        <v>3.68</v>
      </c>
      <c r="P281" s="10">
        <v>0.216</v>
      </c>
      <c r="Q281" s="10">
        <v>684</v>
      </c>
      <c r="R281" s="10" t="s">
        <v>170</v>
      </c>
      <c r="S281" s="34">
        <f t="shared" si="28"/>
        <v>694.13602816000002</v>
      </c>
      <c r="T281" s="10" t="s">
        <v>966</v>
      </c>
      <c r="U281" s="34">
        <f t="shared" si="29"/>
        <v>0.32202216990988491</v>
      </c>
      <c r="V281" s="31" t="str">
        <f>IF(H281="CHK",VLOOKUP(I281,QCCHK,3,),IF(H281="GUP",VLOOKUP(E281,QCGUP,2,),IF(AND(H281="ATP",OR(I281="TN",I281="TDN",I281="TNO2-3",I281="NO2-3")),VLOOKUP(E281,QCREC_N,2,),IF(AND(H281="NIC",OR(I281="TN",I281="TDN",I281="TNO2-3",I281="NO2-3")),VLOOKUP(E281,QCNIC_N,2,),IF(AND(H281="UREA",OR(I281="TN",I281="TDN",I281="TNO2-3",I281="NO2-3")),VLOOKUP(E281,QCUREA_N,2,),IF(H281="PER",VLOOKUP(I281,QCPER,MATCH(E281,QCACTUAL!$J$25:$AA$25,0),),IF(H281="SPK",VLOOKUP(I281,QCSPK,3,),IF(AND(H281="ATP",OR(I281="TP",I281="TDP")),VLOOKUP(E281,QCATP_P,2,),""))))))))</f>
        <v/>
      </c>
      <c r="W281" s="31" t="str">
        <f t="shared" si="30"/>
        <v>TRUE</v>
      </c>
      <c r="X281" s="31" t="str">
        <f t="shared" si="31"/>
        <v>((ABS(rep1-rep2))/((rep1+rep2)/2)*100</v>
      </c>
      <c r="Y281" s="10" t="s">
        <v>959</v>
      </c>
      <c r="Z281" s="10" t="s">
        <v>910</v>
      </c>
      <c r="AF281" s="12">
        <v>44930</v>
      </c>
      <c r="AJ281" s="10">
        <f>0.4739*3.68^2+205.64*3.68-100.4</f>
        <v>662.77294336</v>
      </c>
      <c r="AK281" s="10">
        <f>-0.5241*3.68^2+227.02*3.68-134.2</f>
        <v>694.13602816000002</v>
      </c>
      <c r="AL281" s="10" t="str">
        <f t="shared" si="33"/>
        <v>FALSE</v>
      </c>
      <c r="AM281" s="10" t="str">
        <f t="shared" si="33"/>
        <v>FALSE</v>
      </c>
      <c r="AN281" s="10" t="str">
        <f t="shared" si="33"/>
        <v>FALSE</v>
      </c>
      <c r="AO281" s="10" t="str">
        <f t="shared" si="34"/>
        <v>y=0.4739*3.68^2+205.64*3.68-100.4</v>
      </c>
      <c r="AP281" s="10" t="str">
        <f t="shared" si="34"/>
        <v>y=-0.5241*3.68^2+227.02*3.68-134.2</v>
      </c>
      <c r="AQ281" s="10" t="b">
        <f>IF(AND(I281="TP",S281&lt;=150),VLOOKUP(AF281,TPCalibEq150!$AZ$2:$BB$55,3,),IF(AND(I281="TDP",S281&lt;=150),VLOOKUP(AF281,TPCalibEq150!$AZ$2:$BB$55,3,)))</f>
        <v>0</v>
      </c>
      <c r="AR281" s="10" t="b">
        <f>IF(AND(I281="TP",S281&lt;=300),VLOOKUP(AF281,TPCalibEq300!$AZ$2:$BB$55,3,),IF(AND(I281="TDP",S281&lt;=300),VLOOKUP(AF281,TPCalibEq300!$AZ$2:$BB$55,3,)))</f>
        <v>0</v>
      </c>
      <c r="AS281" s="10" t="b">
        <f>IF(AND(I281="TP",S281&lt;=500),VLOOKUP(AF281,TPCalibEq500!$AZ$2:$BB$56,3,),IF(AND(I281="TDP",S281&lt;=500),VLOOKUP(AF281,TPCalibEq500!$AZ$2:$BB$56,3,)))</f>
        <v>0</v>
      </c>
      <c r="AT281" s="10" t="str">
        <f>IF(AND(I281="TN",S281&lt;=2800),VLOOKUP(AF281,TNCalibEq2500!$AZ$2:$BB$56,3,),IF(AND(I281="TDN",S281&lt;=2800),VLOOKUP(AF281,TNCalibEq2500!$AZ$2:$BB$56,3,)))</f>
        <v>y=0.4739x2+205.64x-100.4</v>
      </c>
      <c r="AU281" s="10" t="str">
        <f>IF(I281="TP",VLOOKUP(AF281,TPCalibEqFull!$AZ$2:$BB$56,3),IF(I281="TDP",VLOOKUP(AF281,TPCalibEqFull!$AZ$2:$BB$56,3),IF(I281="TDN",VLOOKUP(AF281,TNCalibEqFull!$AZ$1:$BB$56,3),IF(I281="TN",VLOOKUP(AF281,TNCalibEqFull!$AZ$1:$BB$56,3),FALSE))))</f>
        <v>y=-0.5241x2+227.02x-134.2</v>
      </c>
      <c r="AV281" s="10" t="str">
        <f t="shared" si="32"/>
        <v>1220 05:55:00-HST-0-C-1-SW-DUP</v>
      </c>
    </row>
    <row r="282" spans="1:48" s="10" customFormat="1" x14ac:dyDescent="0.55000000000000004">
      <c r="A282" s="32">
        <v>44915</v>
      </c>
      <c r="B282" s="33">
        <v>0.24652777777777779</v>
      </c>
      <c r="C282" s="10" t="s">
        <v>912</v>
      </c>
      <c r="D282" s="10">
        <v>0</v>
      </c>
      <c r="E282" s="10" t="s">
        <v>190</v>
      </c>
      <c r="F282" s="10">
        <v>1</v>
      </c>
      <c r="G282" s="10" t="s">
        <v>231</v>
      </c>
      <c r="H282" s="10" t="s">
        <v>314</v>
      </c>
      <c r="I282" s="10" t="s">
        <v>235</v>
      </c>
      <c r="J282" s="10">
        <v>49</v>
      </c>
      <c r="K282" s="12">
        <v>44930</v>
      </c>
      <c r="L282" s="33">
        <v>0.58381944444444445</v>
      </c>
      <c r="M282" s="10">
        <v>1</v>
      </c>
      <c r="N282" s="10" t="s">
        <v>196</v>
      </c>
      <c r="O282" s="10">
        <v>15</v>
      </c>
      <c r="P282" s="10">
        <v>0.871</v>
      </c>
      <c r="Q282" s="10">
        <v>3110</v>
      </c>
      <c r="R282" s="10" t="s">
        <v>170</v>
      </c>
      <c r="S282" s="34">
        <f t="shared" si="28"/>
        <v>3153.1775000000002</v>
      </c>
      <c r="T282" s="10" t="s">
        <v>966</v>
      </c>
      <c r="U282" s="34">
        <f t="shared" si="29"/>
        <v>98.361658873600007</v>
      </c>
      <c r="V282" s="31">
        <f>IF(H282="CHK",VLOOKUP(I282,QCCHK,3,),IF(H282="GUP",VLOOKUP(E282,QCGUP,2,),IF(AND(H282="ATP",OR(I282="TN",I282="TDN",I282="TNO2-3",I282="NO2-3")),VLOOKUP(E282,QCREC_N,2,),IF(AND(H282="NIC",OR(I282="TN",I282="TDN",I282="TNO2-3",I282="NO2-3")),VLOOKUP(E282,QCNIC_N,2,),IF(AND(H282="UREA",OR(I282="TN",I282="TDN",I282="TNO2-3",I282="NO2-3")),VLOOKUP(E282,QCUREA_N,2,),IF(H282="PER",VLOOKUP(I282,QCPER,MATCH(E282,QCACTUAL!$J$25:$AA$25,0),),IF(H282="SPK",VLOOKUP(I282,QCSPK,3,),IF(AND(H282="ATP",OR(I282="TP",I282="TDP")),VLOOKUP(E282,QCATP_P,2,),""))))))))</f>
        <v>2500</v>
      </c>
      <c r="W282" s="31" t="str">
        <f t="shared" si="30"/>
        <v>TRUE</v>
      </c>
      <c r="X282" s="31" t="str">
        <f t="shared" si="31"/>
        <v>([spikedunkn]-[unkn])/[spike]*100</v>
      </c>
      <c r="Y282" s="10" t="s">
        <v>959</v>
      </c>
      <c r="Z282" s="10" t="s">
        <v>910</v>
      </c>
      <c r="AF282" s="12">
        <v>44930</v>
      </c>
      <c r="AK282" s="10">
        <f>-0.5241*15^2+227.02*15-134.2</f>
        <v>3153.1775000000002</v>
      </c>
      <c r="AL282" s="10" t="str">
        <f t="shared" si="33"/>
        <v>FALSE</v>
      </c>
      <c r="AM282" s="10" t="str">
        <f t="shared" si="33"/>
        <v>FALSE</v>
      </c>
      <c r="AN282" s="10" t="str">
        <f t="shared" si="33"/>
        <v>FALSE</v>
      </c>
      <c r="AO282" s="10" t="str">
        <f t="shared" si="34"/>
        <v>FALSE</v>
      </c>
      <c r="AP282" s="10" t="str">
        <f t="shared" si="34"/>
        <v>y=-0.5241*15^2+227.02*15-134.2</v>
      </c>
      <c r="AQ282" s="10" t="b">
        <f>IF(AND(I282="TP",S282&lt;=150),VLOOKUP(AF282,TPCalibEq150!$AZ$2:$BB$55,3,),IF(AND(I282="TDP",S282&lt;=150),VLOOKUP(AF282,TPCalibEq150!$AZ$2:$BB$55,3,)))</f>
        <v>0</v>
      </c>
      <c r="AR282" s="10" t="b">
        <f>IF(AND(I282="TP",S282&lt;=300),VLOOKUP(AF282,TPCalibEq300!$AZ$2:$BB$55,3,),IF(AND(I282="TDP",S282&lt;=300),VLOOKUP(AF282,TPCalibEq300!$AZ$2:$BB$55,3,)))</f>
        <v>0</v>
      </c>
      <c r="AS282" s="10" t="b">
        <f>IF(AND(I282="TP",S282&lt;=500),VLOOKUP(AF282,TPCalibEq500!$AZ$2:$BB$56,3,),IF(AND(I282="TDP",S282&lt;=500),VLOOKUP(AF282,TPCalibEq500!$AZ$2:$BB$56,3,)))</f>
        <v>0</v>
      </c>
      <c r="AT282" s="10" t="b">
        <f>IF(AND(I282="TN",S282&lt;=2800),VLOOKUP(AF282,TNCalibEq2500!$AZ$2:$BB$56,3,),IF(AND(I282="TDN",S282&lt;=2800),VLOOKUP(AF282,TNCalibEq2500!$AZ$2:$BB$56,3,)))</f>
        <v>0</v>
      </c>
      <c r="AU282" s="10" t="str">
        <f>IF(I282="TP",VLOOKUP(AF282,TPCalibEqFull!$AZ$2:$BB$56,3),IF(I282="TDP",VLOOKUP(AF282,TPCalibEqFull!$AZ$2:$BB$56,3),IF(I282="TDN",VLOOKUP(AF282,TNCalibEqFull!$AZ$1:$BB$56,3),IF(I282="TN",VLOOKUP(AF282,TNCalibEqFull!$AZ$1:$BB$56,3),FALSE))))</f>
        <v>y=-0.5241x2+227.02x-134.2</v>
      </c>
      <c r="AV282" s="10" t="str">
        <f t="shared" si="32"/>
        <v>1220 05:55:00-HST -0-C-1-SW-SPK</v>
      </c>
    </row>
    <row r="283" spans="1:48" s="10" customFormat="1" x14ac:dyDescent="0.55000000000000004">
      <c r="A283" s="32">
        <v>44930</v>
      </c>
      <c r="B283" s="33">
        <v>0.375</v>
      </c>
      <c r="C283" s="10" t="s">
        <v>70</v>
      </c>
      <c r="D283" s="10" t="s">
        <v>71</v>
      </c>
      <c r="E283" s="10" t="s">
        <v>901</v>
      </c>
      <c r="F283" s="10">
        <v>1</v>
      </c>
      <c r="G283" s="10" t="s">
        <v>73</v>
      </c>
      <c r="H283" s="10" t="s">
        <v>207</v>
      </c>
      <c r="I283" s="10" t="s">
        <v>235</v>
      </c>
      <c r="J283" s="10">
        <v>199</v>
      </c>
      <c r="K283" s="12">
        <v>44930</v>
      </c>
      <c r="L283" s="33">
        <v>0.58449074074074081</v>
      </c>
      <c r="M283" s="10">
        <v>1</v>
      </c>
      <c r="N283" s="10" t="s">
        <v>196</v>
      </c>
      <c r="O283" s="10">
        <v>5.89</v>
      </c>
      <c r="P283" s="10">
        <v>0.34899999999999998</v>
      </c>
      <c r="Q283" s="10">
        <v>1160</v>
      </c>
      <c r="R283" s="10" t="s">
        <v>170</v>
      </c>
      <c r="S283" s="34">
        <f t="shared" si="28"/>
        <v>1184.76567039</v>
      </c>
      <c r="T283" s="10" t="s">
        <v>966</v>
      </c>
      <c r="U283" s="34">
        <f t="shared" si="29"/>
        <v>94.781253631200002</v>
      </c>
      <c r="V283" s="31">
        <f>IF(H283="CHK",VLOOKUP(I283,QCCHK,3,),IF(H283="GUP",VLOOKUP(E283,QCGUP,2,),IF(AND(H283="ATP",OR(I283="TN",I283="TDN",I283="TNO2-3",I283="NO2-3")),VLOOKUP(E283,QCREC_N,2,),IF(AND(H283="NIC",OR(I283="TN",I283="TDN",I283="TNO2-3",I283="NO2-3")),VLOOKUP(E283,QCNIC_N,2,),IF(AND(H283="UREA",OR(I283="TN",I283="TDN",I283="TNO2-3",I283="NO2-3")),VLOOKUP(E283,QCUREA_N,2,),IF(H283="PER",VLOOKUP(I283,QCPER,MATCH(E283,QCACTUAL!$J$25:$AA$25,0),),IF(H283="SPK",VLOOKUP(I283,QCSPK,3,),IF(AND(H283="ATP",OR(I283="TP",I283="TDP")),VLOOKUP(E283,QCATP_P,2,),""))))))))</f>
        <v>1250</v>
      </c>
      <c r="W283" s="31" t="str">
        <f t="shared" si="30"/>
        <v>TRUE</v>
      </c>
      <c r="X283" s="31" t="str">
        <f t="shared" si="31"/>
        <v>[chk]/[actual]*100</v>
      </c>
      <c r="Y283" s="10" t="s">
        <v>959</v>
      </c>
      <c r="AF283" s="12">
        <v>44930</v>
      </c>
      <c r="AJ283" s="10">
        <f>0.4739*5.89^2+205.64*5.89-100.4</f>
        <v>1127.2601861899998</v>
      </c>
      <c r="AK283" s="10">
        <f>-0.5241*5.89^2+227.02*5.89-134.2</f>
        <v>1184.76567039</v>
      </c>
      <c r="AL283" s="10" t="str">
        <f t="shared" si="33"/>
        <v>FALSE</v>
      </c>
      <c r="AM283" s="10" t="str">
        <f t="shared" si="33"/>
        <v>FALSE</v>
      </c>
      <c r="AN283" s="10" t="str">
        <f t="shared" si="33"/>
        <v>FALSE</v>
      </c>
      <c r="AO283" s="10" t="str">
        <f t="shared" si="34"/>
        <v>y=0.4739*5.89^2+205.64*5.89-100.4</v>
      </c>
      <c r="AP283" s="10" t="str">
        <f t="shared" si="34"/>
        <v>y=-0.5241*5.89^2+227.02*5.89-134.2</v>
      </c>
      <c r="AQ283" s="10" t="b">
        <f>IF(AND(I283="TP",S283&lt;=150),VLOOKUP(AF283,TPCalibEq150!$AZ$2:$BB$55,3,),IF(AND(I283="TDP",S283&lt;=150),VLOOKUP(AF283,TPCalibEq150!$AZ$2:$BB$55,3,)))</f>
        <v>0</v>
      </c>
      <c r="AR283" s="10" t="b">
        <f>IF(AND(I283="TP",S283&lt;=300),VLOOKUP(AF283,TPCalibEq300!$AZ$2:$BB$55,3,),IF(AND(I283="TDP",S283&lt;=300),VLOOKUP(AF283,TPCalibEq300!$AZ$2:$BB$55,3,)))</f>
        <v>0</v>
      </c>
      <c r="AS283" s="10" t="b">
        <f>IF(AND(I283="TP",S283&lt;=500),VLOOKUP(AF283,TPCalibEq500!$AZ$2:$BB$56,3,),IF(AND(I283="TDP",S283&lt;=500),VLOOKUP(AF283,TPCalibEq500!$AZ$2:$BB$56,3,)))</f>
        <v>0</v>
      </c>
      <c r="AT283" s="10" t="str">
        <f>IF(AND(I283="TN",S283&lt;=2800),VLOOKUP(AF283,TNCalibEq2500!$AZ$2:$BB$56,3,),IF(AND(I283="TDN",S283&lt;=2800),VLOOKUP(AF283,TNCalibEq2500!$AZ$2:$BB$56,3,)))</f>
        <v>y=0.4739x2+205.64x-100.4</v>
      </c>
      <c r="AU283" s="10" t="str">
        <f>IF(I283="TP",VLOOKUP(AF283,TPCalibEqFull!$AZ$2:$BB$56,3),IF(I283="TDP",VLOOKUP(AF283,TPCalibEqFull!$AZ$2:$BB$56,3),IF(I283="TDN",VLOOKUP(AF283,TNCalibEqFull!$AZ$1:$BB$56,3),IF(I283="TN",VLOOKUP(AF283,TNCalibEqFull!$AZ$1:$BB$56,3),FALSE))))</f>
        <v>y=-0.5241x2+227.02x-134.2</v>
      </c>
      <c r="AV283" s="10" t="str">
        <f t="shared" si="32"/>
        <v>0104 09:00:00-QAC-STD-D-1-DI-CHK</v>
      </c>
    </row>
    <row r="284" spans="1:48" s="10" customFormat="1" x14ac:dyDescent="0.55000000000000004">
      <c r="A284" s="32">
        <v>44916</v>
      </c>
      <c r="B284" s="33">
        <v>0.22916666666666666</v>
      </c>
      <c r="C284" s="10" t="s">
        <v>279</v>
      </c>
      <c r="D284" s="10">
        <v>0</v>
      </c>
      <c r="E284" s="10" t="s">
        <v>190</v>
      </c>
      <c r="F284" s="10">
        <v>1</v>
      </c>
      <c r="G284" s="10" t="s">
        <v>231</v>
      </c>
      <c r="H284" s="10" t="s">
        <v>322</v>
      </c>
      <c r="I284" s="10" t="s">
        <v>235</v>
      </c>
      <c r="J284" s="10">
        <v>11</v>
      </c>
      <c r="K284" s="12">
        <v>44930</v>
      </c>
      <c r="L284" s="33">
        <v>0.58515046296296302</v>
      </c>
      <c r="M284" s="10">
        <v>1</v>
      </c>
      <c r="N284" s="10" t="s">
        <v>196</v>
      </c>
      <c r="O284" s="10">
        <v>6.22</v>
      </c>
      <c r="P284" s="10">
        <v>0.36399999999999999</v>
      </c>
      <c r="Q284" s="10">
        <v>1230</v>
      </c>
      <c r="R284" s="10" t="s">
        <v>170</v>
      </c>
      <c r="S284" s="34">
        <f t="shared" si="28"/>
        <v>1257.5878095599999</v>
      </c>
      <c r="T284" s="10" t="s">
        <v>966</v>
      </c>
      <c r="U284" s="34" t="str">
        <f t="shared" si="29"/>
        <v/>
      </c>
      <c r="V284" s="31" t="str">
        <f>IF(H284="CHK",VLOOKUP(I284,QCCHK,3,),IF(H284="GUP",VLOOKUP(E284,QCGUP,2,),IF(AND(H284="ATP",OR(I284="TN",I284="TDN",I284="TNO2-3",I284="NO2-3")),VLOOKUP(E284,QCREC_N,2,),IF(AND(H284="NIC",OR(I284="TN",I284="TDN",I284="TNO2-3",I284="NO2-3")),VLOOKUP(E284,QCNIC_N,2,),IF(AND(H284="UREA",OR(I284="TN",I284="TDN",I284="TNO2-3",I284="NO2-3")),VLOOKUP(E284,QCUREA_N,2,),IF(H284="PER",VLOOKUP(I284,QCPER,MATCH(E284,QCACTUAL!$J$25:$AA$25,0),),IF(H284="SPK",VLOOKUP(I284,QCSPK,3,),IF(AND(H284="ATP",OR(I284="TP",I284="TDP")),VLOOKUP(E284,QCATP_P,2,),""))))))))</f>
        <v/>
      </c>
      <c r="W284" s="31" t="str">
        <f t="shared" si="30"/>
        <v>TRUE</v>
      </c>
      <c r="X284" s="31" t="str">
        <f t="shared" si="31"/>
        <v/>
      </c>
      <c r="Y284" s="10" t="s">
        <v>959</v>
      </c>
      <c r="Z284" s="10" t="s">
        <v>910</v>
      </c>
      <c r="AF284" s="12">
        <v>44930</v>
      </c>
      <c r="AJ284" s="10">
        <f>0.4739*6.22^2+205.64*6.22-100.4</f>
        <v>1197.0152327599999</v>
      </c>
      <c r="AK284" s="10">
        <f>-0.5241*6.22^2+227.02*6.22-134.2</f>
        <v>1257.5878095599999</v>
      </c>
      <c r="AL284" s="10" t="str">
        <f t="shared" si="33"/>
        <v>FALSE</v>
      </c>
      <c r="AM284" s="10" t="str">
        <f t="shared" si="33"/>
        <v>FALSE</v>
      </c>
      <c r="AN284" s="10" t="str">
        <f t="shared" si="33"/>
        <v>FALSE</v>
      </c>
      <c r="AO284" s="10" t="str">
        <f t="shared" si="34"/>
        <v>y=0.4739*6.22^2+205.64*6.22-100.4</v>
      </c>
      <c r="AP284" s="10" t="str">
        <f t="shared" si="34"/>
        <v>y=-0.5241*6.22^2+227.02*6.22-134.2</v>
      </c>
      <c r="AQ284" s="10" t="b">
        <f>IF(AND(I284="TP",S284&lt;=150),VLOOKUP(AF284,TPCalibEq150!$AZ$2:$BB$55,3,),IF(AND(I284="TDP",S284&lt;=150),VLOOKUP(AF284,TPCalibEq150!$AZ$2:$BB$55,3,)))</f>
        <v>0</v>
      </c>
      <c r="AR284" s="10" t="b">
        <f>IF(AND(I284="TP",S284&lt;=300),VLOOKUP(AF284,TPCalibEq300!$AZ$2:$BB$55,3,),IF(AND(I284="TDP",S284&lt;=300),VLOOKUP(AF284,TPCalibEq300!$AZ$2:$BB$55,3,)))</f>
        <v>0</v>
      </c>
      <c r="AS284" s="10" t="b">
        <f>IF(AND(I284="TP",S284&lt;=500),VLOOKUP(AF284,TPCalibEq500!$AZ$2:$BB$56,3,),IF(AND(I284="TDP",S284&lt;=500),VLOOKUP(AF284,TPCalibEq500!$AZ$2:$BB$56,3,)))</f>
        <v>0</v>
      </c>
      <c r="AT284" s="10" t="str">
        <f>IF(AND(I284="TN",S284&lt;=2800),VLOOKUP(AF284,TNCalibEq2500!$AZ$2:$BB$56,3,),IF(AND(I284="TDN",S284&lt;=2800),VLOOKUP(AF284,TNCalibEq2500!$AZ$2:$BB$56,3,)))</f>
        <v>y=0.4739x2+205.64x-100.4</v>
      </c>
      <c r="AU284" s="10" t="str">
        <f>IF(I284="TP",VLOOKUP(AF284,TPCalibEqFull!$AZ$2:$BB$56,3),IF(I284="TDP",VLOOKUP(AF284,TPCalibEqFull!$AZ$2:$BB$56,3),IF(I284="TDN",VLOOKUP(AF284,TNCalibEqFull!$AZ$1:$BB$56,3),IF(I284="TN",VLOOKUP(AF284,TNCalibEqFull!$AZ$1:$BB$56,3),FALSE))))</f>
        <v>y=-0.5241x2+227.02x-134.2</v>
      </c>
      <c r="AV284" s="10" t="str">
        <f t="shared" si="32"/>
        <v>1221 05:30:00-EFK-0-C-1-SW-UKN</v>
      </c>
    </row>
    <row r="285" spans="1:48" s="10" customFormat="1" x14ac:dyDescent="0.55000000000000004">
      <c r="A285" s="32">
        <v>44916</v>
      </c>
      <c r="B285" s="33">
        <v>0.23611111111111113</v>
      </c>
      <c r="C285" s="10" t="s">
        <v>333</v>
      </c>
      <c r="D285" s="10">
        <v>0</v>
      </c>
      <c r="E285" s="10" t="s">
        <v>190</v>
      </c>
      <c r="F285" s="10">
        <v>1</v>
      </c>
      <c r="G285" s="10" t="s">
        <v>231</v>
      </c>
      <c r="H285" s="10" t="s">
        <v>322</v>
      </c>
      <c r="I285" s="10" t="s">
        <v>235</v>
      </c>
      <c r="J285" s="10">
        <v>12</v>
      </c>
      <c r="K285" s="12">
        <v>44930</v>
      </c>
      <c r="L285" s="33">
        <v>0.58581018518518524</v>
      </c>
      <c r="M285" s="10">
        <v>1</v>
      </c>
      <c r="N285" s="10" t="s">
        <v>196</v>
      </c>
      <c r="O285" s="10">
        <v>3.71</v>
      </c>
      <c r="P285" s="10">
        <v>0.218</v>
      </c>
      <c r="Q285" s="10">
        <v>690</v>
      </c>
      <c r="R285" s="10" t="s">
        <v>170</v>
      </c>
      <c r="S285" s="34">
        <f t="shared" si="28"/>
        <v>700.83043518999989</v>
      </c>
      <c r="T285" s="10" t="s">
        <v>966</v>
      </c>
      <c r="U285" s="34" t="str">
        <f t="shared" si="29"/>
        <v/>
      </c>
      <c r="V285" s="31" t="str">
        <f>IF(H285="CHK",VLOOKUP(I285,QCCHK,3,),IF(H285="GUP",VLOOKUP(E285,QCGUP,2,),IF(AND(H285="ATP",OR(I285="TN",I285="TDN",I285="TNO2-3",I285="NO2-3")),VLOOKUP(E285,QCREC_N,2,),IF(AND(H285="NIC",OR(I285="TN",I285="TDN",I285="TNO2-3",I285="NO2-3")),VLOOKUP(E285,QCNIC_N,2,),IF(AND(H285="UREA",OR(I285="TN",I285="TDN",I285="TNO2-3",I285="NO2-3")),VLOOKUP(E285,QCUREA_N,2,),IF(H285="PER",VLOOKUP(I285,QCPER,MATCH(E285,QCACTUAL!$J$25:$AA$25,0),),IF(H285="SPK",VLOOKUP(I285,QCSPK,3,),IF(AND(H285="ATP",OR(I285="TP",I285="TDP")),VLOOKUP(E285,QCATP_P,2,),""))))))))</f>
        <v/>
      </c>
      <c r="W285" s="31" t="str">
        <f t="shared" si="30"/>
        <v>TRUE</v>
      </c>
      <c r="X285" s="31" t="str">
        <f t="shared" si="31"/>
        <v/>
      </c>
      <c r="Y285" s="10" t="s">
        <v>959</v>
      </c>
      <c r="Z285" s="10" t="s">
        <v>910</v>
      </c>
      <c r="AF285" s="12">
        <v>44930</v>
      </c>
      <c r="AJ285" s="10">
        <f>0.4739*3.71^2+205.64*3.71-100.4</f>
        <v>669.04720699000006</v>
      </c>
      <c r="AK285" s="10">
        <f>-0.5241*3.71^2+227.02*3.71-134.2</f>
        <v>700.83043518999989</v>
      </c>
      <c r="AL285" s="10" t="str">
        <f t="shared" si="33"/>
        <v>FALSE</v>
      </c>
      <c r="AM285" s="10" t="str">
        <f t="shared" si="33"/>
        <v>FALSE</v>
      </c>
      <c r="AN285" s="10" t="str">
        <f t="shared" si="33"/>
        <v>FALSE</v>
      </c>
      <c r="AO285" s="10" t="str">
        <f t="shared" si="34"/>
        <v>y=0.4739*3.71^2+205.64*3.71-100.4</v>
      </c>
      <c r="AP285" s="10" t="str">
        <f t="shared" si="34"/>
        <v>y=-0.5241*3.71^2+227.02*3.71-134.2</v>
      </c>
      <c r="AQ285" s="10" t="b">
        <f>IF(AND(I285="TP",S285&lt;=150),VLOOKUP(AF285,TPCalibEq150!$AZ$2:$BB$55,3,),IF(AND(I285="TDP",S285&lt;=150),VLOOKUP(AF285,TPCalibEq150!$AZ$2:$BB$55,3,)))</f>
        <v>0</v>
      </c>
      <c r="AR285" s="10" t="b">
        <f>IF(AND(I285="TP",S285&lt;=300),VLOOKUP(AF285,TPCalibEq300!$AZ$2:$BB$55,3,),IF(AND(I285="TDP",S285&lt;=300),VLOOKUP(AF285,TPCalibEq300!$AZ$2:$BB$55,3,)))</f>
        <v>0</v>
      </c>
      <c r="AS285" s="10" t="b">
        <f>IF(AND(I285="TP",S285&lt;=500),VLOOKUP(AF285,TPCalibEq500!$AZ$2:$BB$56,3,),IF(AND(I285="TDP",S285&lt;=500),VLOOKUP(AF285,TPCalibEq500!$AZ$2:$BB$56,3,)))</f>
        <v>0</v>
      </c>
      <c r="AT285" s="10" t="str">
        <f>IF(AND(I285="TN",S285&lt;=2800),VLOOKUP(AF285,TNCalibEq2500!$AZ$2:$BB$56,3,),IF(AND(I285="TDN",S285&lt;=2800),VLOOKUP(AF285,TNCalibEq2500!$AZ$2:$BB$56,3,)))</f>
        <v>y=0.4739x2+205.64x-100.4</v>
      </c>
      <c r="AU285" s="10" t="str">
        <f>IF(I285="TP",VLOOKUP(AF285,TPCalibEqFull!$AZ$2:$BB$56,3),IF(I285="TDP",VLOOKUP(AF285,TPCalibEqFull!$AZ$2:$BB$56,3),IF(I285="TDN",VLOOKUP(AF285,TNCalibEqFull!$AZ$1:$BB$56,3),IF(I285="TN",VLOOKUP(AF285,TNCalibEqFull!$AZ$1:$BB$56,3),FALSE))))</f>
        <v>y=-0.5241x2+227.02x-134.2</v>
      </c>
      <c r="AV285" s="10" t="str">
        <f t="shared" si="32"/>
        <v>1221 05:40:00-HST-0-C-1-SW-UKN</v>
      </c>
    </row>
    <row r="286" spans="1:48" s="10" customFormat="1" x14ac:dyDescent="0.55000000000000004">
      <c r="A286" s="32">
        <v>44917</v>
      </c>
      <c r="B286" s="33">
        <v>0.24513888888888888</v>
      </c>
      <c r="C286" s="10" t="s">
        <v>279</v>
      </c>
      <c r="D286" s="10">
        <v>0</v>
      </c>
      <c r="E286" s="10" t="s">
        <v>190</v>
      </c>
      <c r="F286" s="10">
        <v>1</v>
      </c>
      <c r="G286" s="10" t="s">
        <v>231</v>
      </c>
      <c r="H286" s="10" t="s">
        <v>322</v>
      </c>
      <c r="I286" s="10" t="s">
        <v>235</v>
      </c>
      <c r="J286" s="10">
        <v>13</v>
      </c>
      <c r="K286" s="12">
        <v>44930</v>
      </c>
      <c r="L286" s="33">
        <v>0.58646990740740745</v>
      </c>
      <c r="M286" s="10">
        <v>1</v>
      </c>
      <c r="N286" s="10" t="s">
        <v>196</v>
      </c>
      <c r="O286" s="10">
        <v>7.37</v>
      </c>
      <c r="P286" s="10">
        <v>0.435</v>
      </c>
      <c r="Q286" s="10">
        <v>1480</v>
      </c>
      <c r="R286" s="10" t="s">
        <v>170</v>
      </c>
      <c r="S286" s="34">
        <f t="shared" si="28"/>
        <v>1510.46991271</v>
      </c>
      <c r="T286" s="10" t="s">
        <v>966</v>
      </c>
      <c r="U286" s="34" t="str">
        <f t="shared" si="29"/>
        <v/>
      </c>
      <c r="V286" s="31" t="str">
        <f>IF(H286="CHK",VLOOKUP(I286,QCCHK,3,),IF(H286="GUP",VLOOKUP(E286,QCGUP,2,),IF(AND(H286="ATP",OR(I286="TN",I286="TDN",I286="TNO2-3",I286="NO2-3")),VLOOKUP(E286,QCREC_N,2,),IF(AND(H286="NIC",OR(I286="TN",I286="TDN",I286="TNO2-3",I286="NO2-3")),VLOOKUP(E286,QCNIC_N,2,),IF(AND(H286="UREA",OR(I286="TN",I286="TDN",I286="TNO2-3",I286="NO2-3")),VLOOKUP(E286,QCUREA_N,2,),IF(H286="PER",VLOOKUP(I286,QCPER,MATCH(E286,QCACTUAL!$J$25:$AA$25,0),),IF(H286="SPK",VLOOKUP(I286,QCSPK,3,),IF(AND(H286="ATP",OR(I286="TP",I286="TDP")),VLOOKUP(E286,QCATP_P,2,),""))))))))</f>
        <v/>
      </c>
      <c r="W286" s="31" t="str">
        <f t="shared" si="30"/>
        <v>TRUE</v>
      </c>
      <c r="X286" s="31" t="str">
        <f t="shared" si="31"/>
        <v/>
      </c>
      <c r="Y286" s="10" t="s">
        <v>959</v>
      </c>
      <c r="Z286" s="10" t="s">
        <v>910</v>
      </c>
      <c r="AF286" s="12">
        <v>44930</v>
      </c>
      <c r="AJ286" s="10">
        <f>0.4739*7.37^2+205.64*7.37-100.4</f>
        <v>1440.9075789099998</v>
      </c>
      <c r="AK286" s="10">
        <f>-0.5241*7.37^2+227.02*7.37-134.2</f>
        <v>1510.46991271</v>
      </c>
      <c r="AL286" s="10" t="str">
        <f t="shared" si="33"/>
        <v>FALSE</v>
      </c>
      <c r="AM286" s="10" t="str">
        <f t="shared" si="33"/>
        <v>FALSE</v>
      </c>
      <c r="AN286" s="10" t="str">
        <f t="shared" si="33"/>
        <v>FALSE</v>
      </c>
      <c r="AO286" s="10" t="str">
        <f t="shared" si="34"/>
        <v>y=0.4739*7.37^2+205.64*7.37-100.4</v>
      </c>
      <c r="AP286" s="10" t="str">
        <f t="shared" si="34"/>
        <v>y=-0.5241*7.37^2+227.02*7.37-134.2</v>
      </c>
      <c r="AQ286" s="10" t="b">
        <f>IF(AND(I286="TP",S286&lt;=150),VLOOKUP(AF286,TPCalibEq150!$AZ$2:$BB$55,3,),IF(AND(I286="TDP",S286&lt;=150),VLOOKUP(AF286,TPCalibEq150!$AZ$2:$BB$55,3,)))</f>
        <v>0</v>
      </c>
      <c r="AR286" s="10" t="b">
        <f>IF(AND(I286="TP",S286&lt;=300),VLOOKUP(AF286,TPCalibEq300!$AZ$2:$BB$55,3,),IF(AND(I286="TDP",S286&lt;=300),VLOOKUP(AF286,TPCalibEq300!$AZ$2:$BB$55,3,)))</f>
        <v>0</v>
      </c>
      <c r="AS286" s="10" t="b">
        <f>IF(AND(I286="TP",S286&lt;=500),VLOOKUP(AF286,TPCalibEq500!$AZ$2:$BB$56,3,),IF(AND(I286="TDP",S286&lt;=500),VLOOKUP(AF286,TPCalibEq500!$AZ$2:$BB$56,3,)))</f>
        <v>0</v>
      </c>
      <c r="AT286" s="10" t="str">
        <f>IF(AND(I286="TN",S286&lt;=2800),VLOOKUP(AF286,TNCalibEq2500!$AZ$2:$BB$56,3,),IF(AND(I286="TDN",S286&lt;=2800),VLOOKUP(AF286,TNCalibEq2500!$AZ$2:$BB$56,3,)))</f>
        <v>y=0.4739x2+205.64x-100.4</v>
      </c>
      <c r="AU286" s="10" t="str">
        <f>IF(I286="TP",VLOOKUP(AF286,TPCalibEqFull!$AZ$2:$BB$56,3),IF(I286="TDP",VLOOKUP(AF286,TPCalibEqFull!$AZ$2:$BB$56,3),IF(I286="TDN",VLOOKUP(AF286,TNCalibEqFull!$AZ$1:$BB$56,3),IF(I286="TN",VLOOKUP(AF286,TNCalibEqFull!$AZ$1:$BB$56,3),FALSE))))</f>
        <v>y=-0.5241x2+227.02x-134.2</v>
      </c>
      <c r="AV286" s="10" t="str">
        <f t="shared" si="32"/>
        <v>1222 05:53:00-EFK-0-C-1-SW-UKN</v>
      </c>
    </row>
    <row r="287" spans="1:48" s="10" customFormat="1" x14ac:dyDescent="0.55000000000000004">
      <c r="A287" s="32">
        <v>44917</v>
      </c>
      <c r="B287" s="33">
        <v>0.24166666666666667</v>
      </c>
      <c r="C287" s="10" t="s">
        <v>333</v>
      </c>
      <c r="D287" s="10">
        <v>0</v>
      </c>
      <c r="E287" s="10" t="s">
        <v>190</v>
      </c>
      <c r="F287" s="10">
        <v>1</v>
      </c>
      <c r="G287" s="10" t="s">
        <v>231</v>
      </c>
      <c r="H287" s="10" t="s">
        <v>322</v>
      </c>
      <c r="I287" s="10" t="s">
        <v>235</v>
      </c>
      <c r="J287" s="10">
        <v>14</v>
      </c>
      <c r="K287" s="12">
        <v>44930</v>
      </c>
      <c r="L287" s="33">
        <v>0.58711805555555563</v>
      </c>
      <c r="M287" s="10">
        <v>1</v>
      </c>
      <c r="N287" s="10" t="s">
        <v>196</v>
      </c>
      <c r="O287" s="10">
        <v>3.83</v>
      </c>
      <c r="P287" s="10">
        <v>0.22900000000000001</v>
      </c>
      <c r="Q287" s="10">
        <v>717</v>
      </c>
      <c r="R287" s="10" t="s">
        <v>170</v>
      </c>
      <c r="S287" s="34">
        <f t="shared" si="28"/>
        <v>727.59862951000014</v>
      </c>
      <c r="T287" s="10" t="s">
        <v>966</v>
      </c>
      <c r="U287" s="34" t="str">
        <f t="shared" si="29"/>
        <v/>
      </c>
      <c r="V287" s="31" t="str">
        <f>IF(H287="CHK",VLOOKUP(I287,QCCHK,3,),IF(H287="GUP",VLOOKUP(E287,QCGUP,2,),IF(AND(H287="ATP",OR(I287="TN",I287="TDN",I287="TNO2-3",I287="NO2-3")),VLOOKUP(E287,QCREC_N,2,),IF(AND(H287="NIC",OR(I287="TN",I287="TDN",I287="TNO2-3",I287="NO2-3")),VLOOKUP(E287,QCNIC_N,2,),IF(AND(H287="UREA",OR(I287="TN",I287="TDN",I287="TNO2-3",I287="NO2-3")),VLOOKUP(E287,QCUREA_N,2,),IF(H287="PER",VLOOKUP(I287,QCPER,MATCH(E287,QCACTUAL!$J$25:$AA$25,0),),IF(H287="SPK",VLOOKUP(I287,QCSPK,3,),IF(AND(H287="ATP",OR(I287="TP",I287="TDP")),VLOOKUP(E287,QCATP_P,2,),""))))))))</f>
        <v/>
      </c>
      <c r="W287" s="31" t="str">
        <f t="shared" si="30"/>
        <v>TRUE</v>
      </c>
      <c r="X287" s="31" t="str">
        <f t="shared" si="31"/>
        <v/>
      </c>
      <c r="Y287" s="10" t="s">
        <v>959</v>
      </c>
      <c r="Z287" s="10" t="s">
        <v>910</v>
      </c>
      <c r="AF287" s="12">
        <v>44930</v>
      </c>
      <c r="AJ287" s="10">
        <f>0.4739*3.83^2+205.64*3.83-100.4</f>
        <v>694.15279170999997</v>
      </c>
      <c r="AK287" s="10">
        <f>-0.5241*3.83^2+227.02*3.83-134.2</f>
        <v>727.59862951000014</v>
      </c>
      <c r="AL287" s="10" t="str">
        <f t="shared" si="33"/>
        <v>FALSE</v>
      </c>
      <c r="AM287" s="10" t="str">
        <f t="shared" si="33"/>
        <v>FALSE</v>
      </c>
      <c r="AN287" s="10" t="str">
        <f t="shared" si="33"/>
        <v>FALSE</v>
      </c>
      <c r="AO287" s="10" t="str">
        <f t="shared" si="34"/>
        <v>y=0.4739*3.83^2+205.64*3.83-100.4</v>
      </c>
      <c r="AP287" s="10" t="str">
        <f t="shared" si="34"/>
        <v>y=-0.5241*3.83^2+227.02*3.83-134.2</v>
      </c>
      <c r="AQ287" s="10" t="b">
        <f>IF(AND(I287="TP",S287&lt;=150),VLOOKUP(AF287,TPCalibEq150!$AZ$2:$BB$55,3,),IF(AND(I287="TDP",S287&lt;=150),VLOOKUP(AF287,TPCalibEq150!$AZ$2:$BB$55,3,)))</f>
        <v>0</v>
      </c>
      <c r="AR287" s="10" t="b">
        <f>IF(AND(I287="TP",S287&lt;=300),VLOOKUP(AF287,TPCalibEq300!$AZ$2:$BB$55,3,),IF(AND(I287="TDP",S287&lt;=300),VLOOKUP(AF287,TPCalibEq300!$AZ$2:$BB$55,3,)))</f>
        <v>0</v>
      </c>
      <c r="AS287" s="10" t="b">
        <f>IF(AND(I287="TP",S287&lt;=500),VLOOKUP(AF287,TPCalibEq500!$AZ$2:$BB$56,3,),IF(AND(I287="TDP",S287&lt;=500),VLOOKUP(AF287,TPCalibEq500!$AZ$2:$BB$56,3,)))</f>
        <v>0</v>
      </c>
      <c r="AT287" s="10" t="str">
        <f>IF(AND(I287="TN",S287&lt;=2800),VLOOKUP(AF287,TNCalibEq2500!$AZ$2:$BB$56,3,),IF(AND(I287="TDN",S287&lt;=2800),VLOOKUP(AF287,TNCalibEq2500!$AZ$2:$BB$56,3,)))</f>
        <v>y=0.4739x2+205.64x-100.4</v>
      </c>
      <c r="AU287" s="10" t="str">
        <f>IF(I287="TP",VLOOKUP(AF287,TPCalibEqFull!$AZ$2:$BB$56,3),IF(I287="TDP",VLOOKUP(AF287,TPCalibEqFull!$AZ$2:$BB$56,3),IF(I287="TDN",VLOOKUP(AF287,TNCalibEqFull!$AZ$1:$BB$56,3),IF(I287="TN",VLOOKUP(AF287,TNCalibEqFull!$AZ$1:$BB$56,3),FALSE))))</f>
        <v>y=-0.5241x2+227.02x-134.2</v>
      </c>
      <c r="AV287" s="10" t="str">
        <f t="shared" si="32"/>
        <v>1222 05:48:00-HST-0-C-1-SW-UKN</v>
      </c>
    </row>
    <row r="288" spans="1:48" s="10" customFormat="1" x14ac:dyDescent="0.55000000000000004">
      <c r="A288" s="32">
        <v>44922</v>
      </c>
      <c r="B288" s="33">
        <v>0.24652777777777779</v>
      </c>
      <c r="C288" s="10" t="s">
        <v>279</v>
      </c>
      <c r="D288" s="10">
        <v>0</v>
      </c>
      <c r="E288" s="10" t="s">
        <v>190</v>
      </c>
      <c r="F288" s="10">
        <v>1</v>
      </c>
      <c r="G288" s="10" t="s">
        <v>231</v>
      </c>
      <c r="H288" s="10" t="s">
        <v>322</v>
      </c>
      <c r="I288" s="10" t="s">
        <v>235</v>
      </c>
      <c r="J288" s="10">
        <v>15</v>
      </c>
      <c r="K288" s="12">
        <v>44930</v>
      </c>
      <c r="L288" s="33">
        <v>0.58777777777777784</v>
      </c>
      <c r="M288" s="10">
        <v>1</v>
      </c>
      <c r="N288" s="10" t="s">
        <v>196</v>
      </c>
      <c r="O288" s="10">
        <v>9.76</v>
      </c>
      <c r="P288" s="10">
        <v>0.57099999999999995</v>
      </c>
      <c r="Q288" s="10">
        <v>1990</v>
      </c>
      <c r="R288" s="10" t="s">
        <v>170</v>
      </c>
      <c r="S288" s="34">
        <f t="shared" si="28"/>
        <v>2031.5906918399999</v>
      </c>
      <c r="T288" s="10" t="s">
        <v>966</v>
      </c>
      <c r="U288" s="34" t="str">
        <f t="shared" si="29"/>
        <v/>
      </c>
      <c r="V288" s="31" t="str">
        <f>IF(H288="CHK",VLOOKUP(I288,QCCHK,3,),IF(H288="GUP",VLOOKUP(E288,QCGUP,2,),IF(AND(H288="ATP",OR(I288="TN",I288="TDN",I288="TNO2-3",I288="NO2-3")),VLOOKUP(E288,QCREC_N,2,),IF(AND(H288="NIC",OR(I288="TN",I288="TDN",I288="TNO2-3",I288="NO2-3")),VLOOKUP(E288,QCNIC_N,2,),IF(AND(H288="UREA",OR(I288="TN",I288="TDN",I288="TNO2-3",I288="NO2-3")),VLOOKUP(E288,QCUREA_N,2,),IF(H288="PER",VLOOKUP(I288,QCPER,MATCH(E288,QCACTUAL!$J$25:$AA$25,0),),IF(H288="SPK",VLOOKUP(I288,QCSPK,3,),IF(AND(H288="ATP",OR(I288="TP",I288="TDP")),VLOOKUP(E288,QCATP_P,2,),""))))))))</f>
        <v/>
      </c>
      <c r="W288" s="31" t="str">
        <f t="shared" si="30"/>
        <v>TRUE</v>
      </c>
      <c r="X288" s="31" t="str">
        <f t="shared" si="31"/>
        <v/>
      </c>
      <c r="Y288" s="10" t="s">
        <v>959</v>
      </c>
      <c r="Z288" s="10" t="s">
        <v>910</v>
      </c>
      <c r="AF288" s="12">
        <v>44930</v>
      </c>
      <c r="AJ288" s="10">
        <f>0.4739*9.76^2+205.64*9.76-100.4</f>
        <v>1951.7889766399994</v>
      </c>
      <c r="AK288" s="10">
        <f>-0.5241*9.76^2+227.02*9.76-134.2</f>
        <v>2031.5906918399999</v>
      </c>
      <c r="AL288" s="10" t="str">
        <f t="shared" si="33"/>
        <v>FALSE</v>
      </c>
      <c r="AM288" s="10" t="str">
        <f t="shared" si="33"/>
        <v>FALSE</v>
      </c>
      <c r="AN288" s="10" t="str">
        <f t="shared" si="33"/>
        <v>FALSE</v>
      </c>
      <c r="AO288" s="10" t="str">
        <f t="shared" si="34"/>
        <v>y=0.4739*9.76^2+205.64*9.76-100.4</v>
      </c>
      <c r="AP288" s="10" t="str">
        <f t="shared" si="34"/>
        <v>y=-0.5241*9.76^2+227.02*9.76-134.2</v>
      </c>
      <c r="AQ288" s="10" t="b">
        <f>IF(AND(I288="TP",S288&lt;=150),VLOOKUP(AF288,TPCalibEq150!$AZ$2:$BB$55,3,),IF(AND(I288="TDP",S288&lt;=150),VLOOKUP(AF288,TPCalibEq150!$AZ$2:$BB$55,3,)))</f>
        <v>0</v>
      </c>
      <c r="AR288" s="10" t="b">
        <f>IF(AND(I288="TP",S288&lt;=300),VLOOKUP(AF288,TPCalibEq300!$AZ$2:$BB$55,3,),IF(AND(I288="TDP",S288&lt;=300),VLOOKUP(AF288,TPCalibEq300!$AZ$2:$BB$55,3,)))</f>
        <v>0</v>
      </c>
      <c r="AS288" s="10" t="b">
        <f>IF(AND(I288="TP",S288&lt;=500),VLOOKUP(AF288,TPCalibEq500!$AZ$2:$BB$56,3,),IF(AND(I288="TDP",S288&lt;=500),VLOOKUP(AF288,TPCalibEq500!$AZ$2:$BB$56,3,)))</f>
        <v>0</v>
      </c>
      <c r="AT288" s="10" t="str">
        <f>IF(AND(I288="TN",S288&lt;=2800),VLOOKUP(AF288,TNCalibEq2500!$AZ$2:$BB$56,3,),IF(AND(I288="TDN",S288&lt;=2800),VLOOKUP(AF288,TNCalibEq2500!$AZ$2:$BB$56,3,)))</f>
        <v>y=0.4739x2+205.64x-100.4</v>
      </c>
      <c r="AU288" s="10" t="str">
        <f>IF(I288="TP",VLOOKUP(AF288,TPCalibEqFull!$AZ$2:$BB$56,3),IF(I288="TDP",VLOOKUP(AF288,TPCalibEqFull!$AZ$2:$BB$56,3),IF(I288="TDN",VLOOKUP(AF288,TNCalibEqFull!$AZ$1:$BB$56,3),IF(I288="TN",VLOOKUP(AF288,TNCalibEqFull!$AZ$1:$BB$56,3),FALSE))))</f>
        <v>y=-0.5241x2+227.02x-134.2</v>
      </c>
      <c r="AV288" s="10" t="str">
        <f t="shared" si="32"/>
        <v>1227 05:55:00-EFK-0-C-1-SW-UKN</v>
      </c>
    </row>
    <row r="289" spans="1:48" s="10" customFormat="1" x14ac:dyDescent="0.55000000000000004">
      <c r="A289" s="32">
        <v>44922</v>
      </c>
      <c r="B289" s="33">
        <v>0.3576388888888889</v>
      </c>
      <c r="C289" s="10" t="s">
        <v>333</v>
      </c>
      <c r="D289" s="10">
        <v>0</v>
      </c>
      <c r="E289" s="10" t="s">
        <v>190</v>
      </c>
      <c r="F289" s="10">
        <v>1</v>
      </c>
      <c r="G289" s="10" t="s">
        <v>231</v>
      </c>
      <c r="H289" s="10" t="s">
        <v>322</v>
      </c>
      <c r="I289" s="10" t="s">
        <v>235</v>
      </c>
      <c r="J289" s="10">
        <v>16</v>
      </c>
      <c r="K289" s="12">
        <v>44930</v>
      </c>
      <c r="L289" s="33">
        <v>0.58846064814814814</v>
      </c>
      <c r="M289" s="10">
        <v>1</v>
      </c>
      <c r="N289" s="10" t="s">
        <v>196</v>
      </c>
      <c r="O289" s="10">
        <v>4.75</v>
      </c>
      <c r="P289" s="10">
        <v>0.28199999999999997</v>
      </c>
      <c r="Q289" s="10">
        <v>915</v>
      </c>
      <c r="R289" s="10" t="s">
        <v>170</v>
      </c>
      <c r="S289" s="34">
        <f t="shared" si="28"/>
        <v>932.31999375000009</v>
      </c>
      <c r="T289" s="10" t="s">
        <v>966</v>
      </c>
      <c r="U289" s="34" t="str">
        <f t="shared" si="29"/>
        <v/>
      </c>
      <c r="V289" s="31" t="str">
        <f>IF(H289="CHK",VLOOKUP(I289,QCCHK,3,),IF(H289="GUP",VLOOKUP(E289,QCGUP,2,),IF(AND(H289="ATP",OR(I289="TN",I289="TDN",I289="TNO2-3",I289="NO2-3")),VLOOKUP(E289,QCREC_N,2,),IF(AND(H289="NIC",OR(I289="TN",I289="TDN",I289="TNO2-3",I289="NO2-3")),VLOOKUP(E289,QCNIC_N,2,),IF(AND(H289="UREA",OR(I289="TN",I289="TDN",I289="TNO2-3",I289="NO2-3")),VLOOKUP(E289,QCUREA_N,2,),IF(H289="PER",VLOOKUP(I289,QCPER,MATCH(E289,QCACTUAL!$J$25:$AA$25,0),),IF(H289="SPK",VLOOKUP(I289,QCSPK,3,),IF(AND(H289="ATP",OR(I289="TP",I289="TDP")),VLOOKUP(E289,QCATP_P,2,),""))))))))</f>
        <v/>
      </c>
      <c r="W289" s="31" t="str">
        <f t="shared" si="30"/>
        <v>TRUE</v>
      </c>
      <c r="X289" s="31" t="str">
        <f t="shared" si="31"/>
        <v/>
      </c>
      <c r="Y289" s="10" t="s">
        <v>959</v>
      </c>
      <c r="Z289" s="10" t="s">
        <v>910</v>
      </c>
      <c r="AF289" s="12">
        <v>44930</v>
      </c>
      <c r="AJ289" s="10">
        <f>0.4739*4.75^2+205.64*4.75-100.4</f>
        <v>887.08236875</v>
      </c>
      <c r="AK289" s="10">
        <f>-0.5241*4.75^2+227.02*4.75-134.2</f>
        <v>932.31999375000009</v>
      </c>
      <c r="AL289" s="10" t="str">
        <f t="shared" si="33"/>
        <v>FALSE</v>
      </c>
      <c r="AM289" s="10" t="str">
        <f t="shared" si="33"/>
        <v>FALSE</v>
      </c>
      <c r="AN289" s="10" t="str">
        <f t="shared" si="33"/>
        <v>FALSE</v>
      </c>
      <c r="AO289" s="10" t="str">
        <f t="shared" si="34"/>
        <v>y=0.4739*4.75^2+205.64*4.75-100.4</v>
      </c>
      <c r="AP289" s="10" t="str">
        <f t="shared" si="34"/>
        <v>y=-0.5241*4.75^2+227.02*4.75-134.2</v>
      </c>
      <c r="AQ289" s="10" t="b">
        <f>IF(AND(I289="TP",S289&lt;=150),VLOOKUP(AF289,TPCalibEq150!$AZ$2:$BB$55,3,),IF(AND(I289="TDP",S289&lt;=150),VLOOKUP(AF289,TPCalibEq150!$AZ$2:$BB$55,3,)))</f>
        <v>0</v>
      </c>
      <c r="AR289" s="10" t="b">
        <f>IF(AND(I289="TP",S289&lt;=300),VLOOKUP(AF289,TPCalibEq300!$AZ$2:$BB$55,3,),IF(AND(I289="TDP",S289&lt;=300),VLOOKUP(AF289,TPCalibEq300!$AZ$2:$BB$55,3,)))</f>
        <v>0</v>
      </c>
      <c r="AS289" s="10" t="b">
        <f>IF(AND(I289="TP",S289&lt;=500),VLOOKUP(AF289,TPCalibEq500!$AZ$2:$BB$56,3,),IF(AND(I289="TDP",S289&lt;=500),VLOOKUP(AF289,TPCalibEq500!$AZ$2:$BB$56,3,)))</f>
        <v>0</v>
      </c>
      <c r="AT289" s="10" t="str">
        <f>IF(AND(I289="TN",S289&lt;=2800),VLOOKUP(AF289,TNCalibEq2500!$AZ$2:$BB$56,3,),IF(AND(I289="TDN",S289&lt;=2800),VLOOKUP(AF289,TNCalibEq2500!$AZ$2:$BB$56,3,)))</f>
        <v>y=0.4739x2+205.64x-100.4</v>
      </c>
      <c r="AU289" s="10" t="str">
        <f>IF(I289="TP",VLOOKUP(AF289,TPCalibEqFull!$AZ$2:$BB$56,3),IF(I289="TDP",VLOOKUP(AF289,TPCalibEqFull!$AZ$2:$BB$56,3),IF(I289="TDN",VLOOKUP(AF289,TNCalibEqFull!$AZ$1:$BB$56,3),IF(I289="TN",VLOOKUP(AF289,TNCalibEqFull!$AZ$1:$BB$56,3),FALSE))))</f>
        <v>y=-0.5241x2+227.02x-134.2</v>
      </c>
      <c r="AV289" s="10" t="str">
        <f t="shared" si="32"/>
        <v>1227 08:35:00-HST-0-C-1-SW-UKN</v>
      </c>
    </row>
    <row r="290" spans="1:48" s="10" customFormat="1" x14ac:dyDescent="0.55000000000000004">
      <c r="A290" s="32">
        <v>44923</v>
      </c>
      <c r="B290" s="33">
        <v>0.23958333333333334</v>
      </c>
      <c r="C290" s="10" t="s">
        <v>279</v>
      </c>
      <c r="D290" s="10">
        <v>0</v>
      </c>
      <c r="E290" s="10" t="s">
        <v>190</v>
      </c>
      <c r="F290" s="10">
        <v>1</v>
      </c>
      <c r="G290" s="10" t="s">
        <v>231</v>
      </c>
      <c r="H290" s="10" t="s">
        <v>322</v>
      </c>
      <c r="I290" s="10" t="s">
        <v>235</v>
      </c>
      <c r="J290" s="10">
        <v>17</v>
      </c>
      <c r="K290" s="12">
        <v>44930</v>
      </c>
      <c r="L290" s="33">
        <v>0.58913194444444439</v>
      </c>
      <c r="M290" s="10">
        <v>1</v>
      </c>
      <c r="N290" s="10" t="s">
        <v>196</v>
      </c>
      <c r="O290" s="10">
        <v>10.5</v>
      </c>
      <c r="P290" s="10">
        <v>0.61499999999999999</v>
      </c>
      <c r="Q290" s="10">
        <v>2160</v>
      </c>
      <c r="R290" s="10" t="s">
        <v>170</v>
      </c>
      <c r="S290" s="34">
        <f t="shared" si="28"/>
        <v>2191.7279750000002</v>
      </c>
      <c r="T290" s="10" t="s">
        <v>966</v>
      </c>
      <c r="U290" s="34" t="str">
        <f t="shared" si="29"/>
        <v/>
      </c>
      <c r="V290" s="31" t="str">
        <f>IF(H290="CHK",VLOOKUP(I290,QCCHK,3,),IF(H290="GUP",VLOOKUP(E290,QCGUP,2,),IF(AND(H290="ATP",OR(I290="TN",I290="TDN",I290="TNO2-3",I290="NO2-3")),VLOOKUP(E290,QCREC_N,2,),IF(AND(H290="NIC",OR(I290="TN",I290="TDN",I290="TNO2-3",I290="NO2-3")),VLOOKUP(E290,QCNIC_N,2,),IF(AND(H290="UREA",OR(I290="TN",I290="TDN",I290="TNO2-3",I290="NO2-3")),VLOOKUP(E290,QCUREA_N,2,),IF(H290="PER",VLOOKUP(I290,QCPER,MATCH(E290,QCACTUAL!$J$25:$AA$25,0),),IF(H290="SPK",VLOOKUP(I290,QCSPK,3,),IF(AND(H290="ATP",OR(I290="TP",I290="TDP")),VLOOKUP(E290,QCATP_P,2,),""))))))))</f>
        <v/>
      </c>
      <c r="W290" s="31" t="str">
        <f t="shared" si="30"/>
        <v>TRUE</v>
      </c>
      <c r="X290" s="31" t="str">
        <f t="shared" si="31"/>
        <v/>
      </c>
      <c r="Y290" s="10" t="s">
        <v>959</v>
      </c>
      <c r="Z290" s="10" t="s">
        <v>910</v>
      </c>
      <c r="AF290" s="12">
        <v>44930</v>
      </c>
      <c r="AJ290" s="10">
        <f>0.4739*10.5^2+205.64*10.5-100.4</f>
        <v>2111.0674749999998</v>
      </c>
      <c r="AK290" s="10">
        <f>-0.5241*10.5^2+227.02*10.5-134.2</f>
        <v>2191.7279750000002</v>
      </c>
      <c r="AL290" s="10" t="str">
        <f t="shared" si="33"/>
        <v>FALSE</v>
      </c>
      <c r="AM290" s="10" t="str">
        <f t="shared" si="33"/>
        <v>FALSE</v>
      </c>
      <c r="AN290" s="10" t="str">
        <f t="shared" si="33"/>
        <v>FALSE</v>
      </c>
      <c r="AO290" s="10" t="str">
        <f t="shared" si="34"/>
        <v>y=0.4739*10.5^2+205.64*10.5-100.4</v>
      </c>
      <c r="AP290" s="10" t="str">
        <f t="shared" si="34"/>
        <v>y=-0.5241*10.5^2+227.02*10.5-134.2</v>
      </c>
      <c r="AQ290" s="10" t="b">
        <f>IF(AND(I290="TP",S290&lt;=150),VLOOKUP(AF290,TPCalibEq150!$AZ$2:$BB$55,3,),IF(AND(I290="TDP",S290&lt;=150),VLOOKUP(AF290,TPCalibEq150!$AZ$2:$BB$55,3,)))</f>
        <v>0</v>
      </c>
      <c r="AR290" s="10" t="b">
        <f>IF(AND(I290="TP",S290&lt;=300),VLOOKUP(AF290,TPCalibEq300!$AZ$2:$BB$55,3,),IF(AND(I290="TDP",S290&lt;=300),VLOOKUP(AF290,TPCalibEq300!$AZ$2:$BB$55,3,)))</f>
        <v>0</v>
      </c>
      <c r="AS290" s="10" t="b">
        <f>IF(AND(I290="TP",S290&lt;=500),VLOOKUP(AF290,TPCalibEq500!$AZ$2:$BB$56,3,),IF(AND(I290="TDP",S290&lt;=500),VLOOKUP(AF290,TPCalibEq500!$AZ$2:$BB$56,3,)))</f>
        <v>0</v>
      </c>
      <c r="AT290" s="10" t="str">
        <f>IF(AND(I290="TN",S290&lt;=2800),VLOOKUP(AF290,TNCalibEq2500!$AZ$2:$BB$56,3,),IF(AND(I290="TDN",S290&lt;=2800),VLOOKUP(AF290,TNCalibEq2500!$AZ$2:$BB$56,3,)))</f>
        <v>y=0.4739x2+205.64x-100.4</v>
      </c>
      <c r="AU290" s="10" t="str">
        <f>IF(I290="TP",VLOOKUP(AF290,TPCalibEqFull!$AZ$2:$BB$56,3),IF(I290="TDP",VLOOKUP(AF290,TPCalibEqFull!$AZ$2:$BB$56,3),IF(I290="TDN",VLOOKUP(AF290,TNCalibEqFull!$AZ$1:$BB$56,3),IF(I290="TN",VLOOKUP(AF290,TNCalibEqFull!$AZ$1:$BB$56,3),FALSE))))</f>
        <v>y=-0.5241x2+227.02x-134.2</v>
      </c>
      <c r="AV290" s="10" t="str">
        <f t="shared" si="32"/>
        <v>1228 05:45:00-EFK-0-C-1-SW-UKN</v>
      </c>
    </row>
    <row r="291" spans="1:48" s="10" customFormat="1" x14ac:dyDescent="0.55000000000000004">
      <c r="A291" s="32">
        <v>44923</v>
      </c>
      <c r="B291" s="33">
        <v>0.36249999999999999</v>
      </c>
      <c r="C291" s="10" t="s">
        <v>333</v>
      </c>
      <c r="D291" s="10">
        <v>0</v>
      </c>
      <c r="E291" s="10" t="s">
        <v>190</v>
      </c>
      <c r="F291" s="10">
        <v>1</v>
      </c>
      <c r="G291" s="10" t="s">
        <v>231</v>
      </c>
      <c r="H291" s="10" t="s">
        <v>322</v>
      </c>
      <c r="I291" s="10" t="s">
        <v>235</v>
      </c>
      <c r="J291" s="10">
        <v>18</v>
      </c>
      <c r="K291" s="12">
        <v>44930</v>
      </c>
      <c r="L291" s="33">
        <v>0.58980324074074075</v>
      </c>
      <c r="M291" s="10">
        <v>1</v>
      </c>
      <c r="N291" s="10" t="s">
        <v>196</v>
      </c>
      <c r="O291" s="10">
        <v>5.34</v>
      </c>
      <c r="P291" s="10">
        <v>0.314</v>
      </c>
      <c r="Q291" s="10">
        <v>1040</v>
      </c>
      <c r="R291" s="10" t="s">
        <v>170</v>
      </c>
      <c r="S291" s="34">
        <f t="shared" si="28"/>
        <v>1063.14177404</v>
      </c>
      <c r="T291" s="10" t="s">
        <v>966</v>
      </c>
      <c r="U291" s="34" t="str">
        <f t="shared" si="29"/>
        <v/>
      </c>
      <c r="V291" s="31" t="str">
        <f>IF(H291="CHK",VLOOKUP(I291,QCCHK,3,),IF(H291="GUP",VLOOKUP(E291,QCGUP,2,),IF(AND(H291="ATP",OR(I291="TN",I291="TDN",I291="TNO2-3",I291="NO2-3")),VLOOKUP(E291,QCREC_N,2,),IF(AND(H291="NIC",OR(I291="TN",I291="TDN",I291="TNO2-3",I291="NO2-3")),VLOOKUP(E291,QCNIC_N,2,),IF(AND(H291="UREA",OR(I291="TN",I291="TDN",I291="TNO2-3",I291="NO2-3")),VLOOKUP(E291,QCUREA_N,2,),IF(H291="PER",VLOOKUP(I291,QCPER,MATCH(E291,QCACTUAL!$J$25:$AA$25,0),),IF(H291="SPK",VLOOKUP(I291,QCSPK,3,),IF(AND(H291="ATP",OR(I291="TP",I291="TDP")),VLOOKUP(E291,QCATP_P,2,),""))))))))</f>
        <v/>
      </c>
      <c r="W291" s="31" t="str">
        <f t="shared" si="30"/>
        <v>TRUE</v>
      </c>
      <c r="X291" s="31" t="str">
        <f t="shared" si="31"/>
        <v/>
      </c>
      <c r="Y291" s="10" t="s">
        <v>959</v>
      </c>
      <c r="Z291" s="10" t="s">
        <v>910</v>
      </c>
      <c r="AF291" s="12">
        <v>44930</v>
      </c>
      <c r="AJ291" s="10">
        <f>0.4739*5.34^2+205.64*5.34-100.4</f>
        <v>1011.2311428399997</v>
      </c>
      <c r="AK291" s="10">
        <f>-0.5241*5.34^2+227.02*5.34-134.2</f>
        <v>1063.14177404</v>
      </c>
      <c r="AL291" s="10" t="str">
        <f t="shared" si="33"/>
        <v>FALSE</v>
      </c>
      <c r="AM291" s="10" t="str">
        <f t="shared" si="33"/>
        <v>FALSE</v>
      </c>
      <c r="AN291" s="10" t="str">
        <f t="shared" si="33"/>
        <v>FALSE</v>
      </c>
      <c r="AO291" s="10" t="str">
        <f t="shared" si="34"/>
        <v>y=0.4739*5.34^2+205.64*5.34-100.4</v>
      </c>
      <c r="AP291" s="10" t="str">
        <f t="shared" si="34"/>
        <v>y=-0.5241*5.34^2+227.02*5.34-134.2</v>
      </c>
      <c r="AQ291" s="10" t="b">
        <f>IF(AND(I291="TP",S291&lt;=150),VLOOKUP(AF291,TPCalibEq150!$AZ$2:$BB$55,3,),IF(AND(I291="TDP",S291&lt;=150),VLOOKUP(AF291,TPCalibEq150!$AZ$2:$BB$55,3,)))</f>
        <v>0</v>
      </c>
      <c r="AR291" s="10" t="b">
        <f>IF(AND(I291="TP",S291&lt;=300),VLOOKUP(AF291,TPCalibEq300!$AZ$2:$BB$55,3,),IF(AND(I291="TDP",S291&lt;=300),VLOOKUP(AF291,TPCalibEq300!$AZ$2:$BB$55,3,)))</f>
        <v>0</v>
      </c>
      <c r="AS291" s="10" t="b">
        <f>IF(AND(I291="TP",S291&lt;=500),VLOOKUP(AF291,TPCalibEq500!$AZ$2:$BB$56,3,),IF(AND(I291="TDP",S291&lt;=500),VLOOKUP(AF291,TPCalibEq500!$AZ$2:$BB$56,3,)))</f>
        <v>0</v>
      </c>
      <c r="AT291" s="10" t="str">
        <f>IF(AND(I291="TN",S291&lt;=2800),VLOOKUP(AF291,TNCalibEq2500!$AZ$2:$BB$56,3,),IF(AND(I291="TDN",S291&lt;=2800),VLOOKUP(AF291,TNCalibEq2500!$AZ$2:$BB$56,3,)))</f>
        <v>y=0.4739x2+205.64x-100.4</v>
      </c>
      <c r="AU291" s="10" t="str">
        <f>IF(I291="TP",VLOOKUP(AF291,TPCalibEqFull!$AZ$2:$BB$56,3),IF(I291="TDP",VLOOKUP(AF291,TPCalibEqFull!$AZ$2:$BB$56,3),IF(I291="TDN",VLOOKUP(AF291,TNCalibEqFull!$AZ$1:$BB$56,3),IF(I291="TN",VLOOKUP(AF291,TNCalibEqFull!$AZ$1:$BB$56,3),FALSE))))</f>
        <v>y=-0.5241x2+227.02x-134.2</v>
      </c>
      <c r="AV291" s="10" t="str">
        <f t="shared" si="32"/>
        <v>1228 08:42:00-HST-0-C-1-SW-UKN</v>
      </c>
    </row>
    <row r="292" spans="1:48" s="10" customFormat="1" x14ac:dyDescent="0.55000000000000004">
      <c r="A292" s="32">
        <v>44924</v>
      </c>
      <c r="B292" s="33">
        <v>0.21180555555555555</v>
      </c>
      <c r="C292" s="10" t="s">
        <v>279</v>
      </c>
      <c r="D292" s="10">
        <v>0</v>
      </c>
      <c r="E292" s="10" t="s">
        <v>190</v>
      </c>
      <c r="F292" s="10">
        <v>1</v>
      </c>
      <c r="G292" s="10" t="s">
        <v>231</v>
      </c>
      <c r="H292" s="10" t="s">
        <v>322</v>
      </c>
      <c r="I292" s="10" t="s">
        <v>235</v>
      </c>
      <c r="J292" s="10">
        <v>19</v>
      </c>
      <c r="K292" s="12">
        <v>44930</v>
      </c>
      <c r="L292" s="33">
        <v>0.59047453703703701</v>
      </c>
      <c r="M292" s="10">
        <v>1</v>
      </c>
      <c r="N292" s="10" t="s">
        <v>196</v>
      </c>
      <c r="O292" s="10">
        <v>9.24</v>
      </c>
      <c r="P292" s="10">
        <v>0.55900000000000005</v>
      </c>
      <c r="Q292" s="10">
        <v>1880</v>
      </c>
      <c r="R292" s="10" t="s">
        <v>170</v>
      </c>
      <c r="S292" s="34">
        <f t="shared" si="28"/>
        <v>1918.7183998399998</v>
      </c>
      <c r="T292" s="10" t="s">
        <v>966</v>
      </c>
      <c r="U292" s="34" t="str">
        <f t="shared" si="29"/>
        <v/>
      </c>
      <c r="V292" s="31" t="str">
        <f>IF(H292="CHK",VLOOKUP(I292,QCCHK,3,),IF(H292="GUP",VLOOKUP(E292,QCGUP,2,),IF(AND(H292="ATP",OR(I292="TN",I292="TDN",I292="TNO2-3",I292="NO2-3")),VLOOKUP(E292,QCREC_N,2,),IF(AND(H292="NIC",OR(I292="TN",I292="TDN",I292="TNO2-3",I292="NO2-3")),VLOOKUP(E292,QCNIC_N,2,),IF(AND(H292="UREA",OR(I292="TN",I292="TDN",I292="TNO2-3",I292="NO2-3")),VLOOKUP(E292,QCUREA_N,2,),IF(H292="PER",VLOOKUP(I292,QCPER,MATCH(E292,QCACTUAL!$J$25:$AA$25,0),),IF(H292="SPK",VLOOKUP(I292,QCSPK,3,),IF(AND(H292="ATP",OR(I292="TP",I292="TDP")),VLOOKUP(E292,QCATP_P,2,),""))))))))</f>
        <v/>
      </c>
      <c r="W292" s="31" t="str">
        <f t="shared" si="30"/>
        <v>TRUE</v>
      </c>
      <c r="X292" s="31" t="str">
        <f t="shared" si="31"/>
        <v/>
      </c>
      <c r="Y292" s="10" t="s">
        <v>959</v>
      </c>
      <c r="Z292" s="10" t="s">
        <v>910</v>
      </c>
      <c r="AF292" s="12">
        <v>44930</v>
      </c>
      <c r="AJ292" s="10">
        <f>0.4739*9.24^2+205.64*9.24-100.4</f>
        <v>1840.1740446399999</v>
      </c>
      <c r="AK292" s="10">
        <f>-0.5241*9.24^2+227.02*9.24-134.2</f>
        <v>1918.7183998399998</v>
      </c>
      <c r="AL292" s="10" t="str">
        <f t="shared" si="33"/>
        <v>FALSE</v>
      </c>
      <c r="AM292" s="10" t="str">
        <f t="shared" si="33"/>
        <v>FALSE</v>
      </c>
      <c r="AN292" s="10" t="str">
        <f t="shared" si="33"/>
        <v>FALSE</v>
      </c>
      <c r="AO292" s="10" t="str">
        <f t="shared" si="34"/>
        <v>y=0.4739*9.24^2+205.64*9.24-100.4</v>
      </c>
      <c r="AP292" s="10" t="str">
        <f t="shared" si="34"/>
        <v>y=-0.5241*9.24^2+227.02*9.24-134.2</v>
      </c>
      <c r="AQ292" s="10" t="b">
        <f>IF(AND(I292="TP",S292&lt;=150),VLOOKUP(AF292,TPCalibEq150!$AZ$2:$BB$55,3,),IF(AND(I292="TDP",S292&lt;=150),VLOOKUP(AF292,TPCalibEq150!$AZ$2:$BB$55,3,)))</f>
        <v>0</v>
      </c>
      <c r="AR292" s="10" t="b">
        <f>IF(AND(I292="TP",S292&lt;=300),VLOOKUP(AF292,TPCalibEq300!$AZ$2:$BB$55,3,),IF(AND(I292="TDP",S292&lt;=300),VLOOKUP(AF292,TPCalibEq300!$AZ$2:$BB$55,3,)))</f>
        <v>0</v>
      </c>
      <c r="AS292" s="10" t="b">
        <f>IF(AND(I292="TP",S292&lt;=500),VLOOKUP(AF292,TPCalibEq500!$AZ$2:$BB$56,3,),IF(AND(I292="TDP",S292&lt;=500),VLOOKUP(AF292,TPCalibEq500!$AZ$2:$BB$56,3,)))</f>
        <v>0</v>
      </c>
      <c r="AT292" s="10" t="str">
        <f>IF(AND(I292="TN",S292&lt;=2800),VLOOKUP(AF292,TNCalibEq2500!$AZ$2:$BB$56,3,),IF(AND(I292="TDN",S292&lt;=2800),VLOOKUP(AF292,TNCalibEq2500!$AZ$2:$BB$56,3,)))</f>
        <v>y=0.4739x2+205.64x-100.4</v>
      </c>
      <c r="AU292" s="10" t="str">
        <f>IF(I292="TP",VLOOKUP(AF292,TPCalibEqFull!$AZ$2:$BB$56,3),IF(I292="TDP",VLOOKUP(AF292,TPCalibEqFull!$AZ$2:$BB$56,3),IF(I292="TDN",VLOOKUP(AF292,TNCalibEqFull!$AZ$1:$BB$56,3),IF(I292="TN",VLOOKUP(AF292,TNCalibEqFull!$AZ$1:$BB$56,3),FALSE))))</f>
        <v>y=-0.5241x2+227.02x-134.2</v>
      </c>
      <c r="AV292" s="10" t="str">
        <f t="shared" si="32"/>
        <v>1229 05:05:00-EFK-0-C-1-SW-UKN</v>
      </c>
    </row>
    <row r="293" spans="1:48" s="10" customFormat="1" x14ac:dyDescent="0.55000000000000004">
      <c r="A293" s="32">
        <v>44924</v>
      </c>
      <c r="B293" s="33">
        <v>0.22013888888888888</v>
      </c>
      <c r="C293" s="10" t="s">
        <v>333</v>
      </c>
      <c r="D293" s="10">
        <v>0</v>
      </c>
      <c r="E293" s="10" t="s">
        <v>190</v>
      </c>
      <c r="F293" s="10">
        <v>1</v>
      </c>
      <c r="G293" s="10" t="s">
        <v>231</v>
      </c>
      <c r="H293" s="10" t="s">
        <v>322</v>
      </c>
      <c r="I293" s="10" t="s">
        <v>235</v>
      </c>
      <c r="J293" s="10">
        <v>20</v>
      </c>
      <c r="K293" s="12">
        <v>44930</v>
      </c>
      <c r="L293" s="33">
        <v>0.59113425925925933</v>
      </c>
      <c r="M293" s="10">
        <v>1</v>
      </c>
      <c r="N293" s="10" t="s">
        <v>196</v>
      </c>
      <c r="O293" s="10">
        <v>5.79</v>
      </c>
      <c r="P293" s="10">
        <v>0.33800000000000002</v>
      </c>
      <c r="Q293" s="10">
        <v>1140</v>
      </c>
      <c r="R293" s="10" t="s">
        <v>170</v>
      </c>
      <c r="S293" s="34">
        <f t="shared" si="28"/>
        <v>1162.6758191899999</v>
      </c>
      <c r="T293" s="10" t="s">
        <v>966</v>
      </c>
      <c r="U293" s="34" t="str">
        <f t="shared" si="29"/>
        <v/>
      </c>
      <c r="V293" s="31" t="str">
        <f>IF(H293="CHK",VLOOKUP(I293,QCCHK,3,),IF(H293="GUP",VLOOKUP(E293,QCGUP,2,),IF(AND(H293="ATP",OR(I293="TN",I293="TDN",I293="TNO2-3",I293="NO2-3")),VLOOKUP(E293,QCREC_N,2,),IF(AND(H293="NIC",OR(I293="TN",I293="TDN",I293="TNO2-3",I293="NO2-3")),VLOOKUP(E293,QCNIC_N,2,),IF(AND(H293="UREA",OR(I293="TN",I293="TDN",I293="TNO2-3",I293="NO2-3")),VLOOKUP(E293,QCUREA_N,2,),IF(H293="PER",VLOOKUP(I293,QCPER,MATCH(E293,QCACTUAL!$J$25:$AA$25,0),),IF(H293="SPK",VLOOKUP(I293,QCSPK,3,),IF(AND(H293="ATP",OR(I293="TP",I293="TDP")),VLOOKUP(E293,QCATP_P,2,),""))))))))</f>
        <v/>
      </c>
      <c r="W293" s="31" t="str">
        <f t="shared" si="30"/>
        <v>TRUE</v>
      </c>
      <c r="X293" s="31" t="str">
        <f t="shared" si="31"/>
        <v/>
      </c>
      <c r="Y293" s="10" t="s">
        <v>959</v>
      </c>
      <c r="Z293" s="10" t="s">
        <v>910</v>
      </c>
      <c r="AF293" s="12">
        <v>44930</v>
      </c>
      <c r="AJ293" s="10">
        <f>0.4739*5.79^2+205.64*5.79-100.4</f>
        <v>1106.1426709899997</v>
      </c>
      <c r="AK293" s="10">
        <f>-0.5241*5.79^2+227.02*5.79-134.2</f>
        <v>1162.6758191899999</v>
      </c>
      <c r="AL293" s="10" t="str">
        <f t="shared" si="33"/>
        <v>FALSE</v>
      </c>
      <c r="AM293" s="10" t="str">
        <f t="shared" si="33"/>
        <v>FALSE</v>
      </c>
      <c r="AN293" s="10" t="str">
        <f t="shared" si="33"/>
        <v>FALSE</v>
      </c>
      <c r="AO293" s="10" t="str">
        <f t="shared" si="34"/>
        <v>y=0.4739*5.79^2+205.64*5.79-100.4</v>
      </c>
      <c r="AP293" s="10" t="str">
        <f t="shared" si="34"/>
        <v>y=-0.5241*5.79^2+227.02*5.79-134.2</v>
      </c>
      <c r="AQ293" s="10" t="b">
        <f>IF(AND(I293="TP",S293&lt;=150),VLOOKUP(AF293,TPCalibEq150!$AZ$2:$BB$55,3,),IF(AND(I293="TDP",S293&lt;=150),VLOOKUP(AF293,TPCalibEq150!$AZ$2:$BB$55,3,)))</f>
        <v>0</v>
      </c>
      <c r="AR293" s="10" t="b">
        <f>IF(AND(I293="TP",S293&lt;=300),VLOOKUP(AF293,TPCalibEq300!$AZ$2:$BB$55,3,),IF(AND(I293="TDP",S293&lt;=300),VLOOKUP(AF293,TPCalibEq300!$AZ$2:$BB$55,3,)))</f>
        <v>0</v>
      </c>
      <c r="AS293" s="10" t="b">
        <f>IF(AND(I293="TP",S293&lt;=500),VLOOKUP(AF293,TPCalibEq500!$AZ$2:$BB$56,3,),IF(AND(I293="TDP",S293&lt;=500),VLOOKUP(AF293,TPCalibEq500!$AZ$2:$BB$56,3,)))</f>
        <v>0</v>
      </c>
      <c r="AT293" s="10" t="str">
        <f>IF(AND(I293="TN",S293&lt;=2800),VLOOKUP(AF293,TNCalibEq2500!$AZ$2:$BB$56,3,),IF(AND(I293="TDN",S293&lt;=2800),VLOOKUP(AF293,TNCalibEq2500!$AZ$2:$BB$56,3,)))</f>
        <v>y=0.4739x2+205.64x-100.4</v>
      </c>
      <c r="AU293" s="10" t="str">
        <f>IF(I293="TP",VLOOKUP(AF293,TPCalibEqFull!$AZ$2:$BB$56,3),IF(I293="TDP",VLOOKUP(AF293,TPCalibEqFull!$AZ$2:$BB$56,3),IF(I293="TDN",VLOOKUP(AF293,TNCalibEqFull!$AZ$1:$BB$56,3),IF(I293="TN",VLOOKUP(AF293,TNCalibEqFull!$AZ$1:$BB$56,3),FALSE))))</f>
        <v>y=-0.5241x2+227.02x-134.2</v>
      </c>
      <c r="AV293" s="10" t="str">
        <f t="shared" si="32"/>
        <v>1229 05:17:00-HST-0-C-1-SW-UKN</v>
      </c>
    </row>
    <row r="294" spans="1:48" s="10" customFormat="1" x14ac:dyDescent="0.55000000000000004">
      <c r="A294" s="32">
        <v>44924</v>
      </c>
      <c r="B294" s="33">
        <v>0.22013888888888888</v>
      </c>
      <c r="C294" s="10" t="s">
        <v>333</v>
      </c>
      <c r="D294" s="10">
        <v>0</v>
      </c>
      <c r="E294" s="10" t="s">
        <v>190</v>
      </c>
      <c r="F294" s="10">
        <v>1</v>
      </c>
      <c r="G294" s="10" t="s">
        <v>231</v>
      </c>
      <c r="H294" s="10" t="s">
        <v>233</v>
      </c>
      <c r="I294" s="10" t="s">
        <v>235</v>
      </c>
      <c r="J294" s="10">
        <v>20</v>
      </c>
      <c r="K294" s="12">
        <v>44930</v>
      </c>
      <c r="L294" s="33">
        <v>0.59180555555555558</v>
      </c>
      <c r="M294" s="10">
        <v>1</v>
      </c>
      <c r="N294" s="10" t="s">
        <v>196</v>
      </c>
      <c r="O294" s="10">
        <v>5.81</v>
      </c>
      <c r="P294" s="10">
        <v>0.33800000000000002</v>
      </c>
      <c r="Q294" s="10">
        <v>1140</v>
      </c>
      <c r="R294" s="10" t="s">
        <v>170</v>
      </c>
      <c r="S294" s="34">
        <f t="shared" si="28"/>
        <v>1167.0946279899999</v>
      </c>
      <c r="T294" s="10" t="s">
        <v>966</v>
      </c>
      <c r="U294" s="34">
        <f t="shared" si="29"/>
        <v>0.37933426491427019</v>
      </c>
      <c r="V294" s="31" t="str">
        <f>IF(H294="CHK",VLOOKUP(I294,QCCHK,3,),IF(H294="GUP",VLOOKUP(E294,QCGUP,2,),IF(AND(H294="ATP",OR(I294="TN",I294="TDN",I294="TNO2-3",I294="NO2-3")),VLOOKUP(E294,QCREC_N,2,),IF(AND(H294="NIC",OR(I294="TN",I294="TDN",I294="TNO2-3",I294="NO2-3")),VLOOKUP(E294,QCNIC_N,2,),IF(AND(H294="UREA",OR(I294="TN",I294="TDN",I294="TNO2-3",I294="NO2-3")),VLOOKUP(E294,QCUREA_N,2,),IF(H294="PER",VLOOKUP(I294,QCPER,MATCH(E294,QCACTUAL!$J$25:$AA$25,0),),IF(H294="SPK",VLOOKUP(I294,QCSPK,3,),IF(AND(H294="ATP",OR(I294="TP",I294="TDP")),VLOOKUP(E294,QCATP_P,2,),""))))))))</f>
        <v/>
      </c>
      <c r="W294" s="31" t="str">
        <f t="shared" si="30"/>
        <v>TRUE</v>
      </c>
      <c r="X294" s="31" t="str">
        <f t="shared" si="31"/>
        <v>((ABS(rep1-rep2))/((rep1+rep2)/2)*100</v>
      </c>
      <c r="Y294" s="10" t="s">
        <v>959</v>
      </c>
      <c r="Z294" s="10" t="s">
        <v>910</v>
      </c>
      <c r="AF294" s="12">
        <v>44930</v>
      </c>
      <c r="AJ294" s="10">
        <f>0.4739*5.81^2+205.64*5.81-100.4</f>
        <v>1110.3654157899998</v>
      </c>
      <c r="AK294" s="10">
        <f>-0.5241*5.81^2+227.02*5.81-134.2</f>
        <v>1167.0946279899999</v>
      </c>
      <c r="AL294" s="10" t="str">
        <f t="shared" si="33"/>
        <v>FALSE</v>
      </c>
      <c r="AM294" s="10" t="str">
        <f t="shared" si="33"/>
        <v>FALSE</v>
      </c>
      <c r="AN294" s="10" t="str">
        <f t="shared" si="33"/>
        <v>FALSE</v>
      </c>
      <c r="AO294" s="10" t="str">
        <f t="shared" si="34"/>
        <v>y=0.4739*5.81^2+205.64*5.81-100.4</v>
      </c>
      <c r="AP294" s="10" t="str">
        <f t="shared" si="34"/>
        <v>y=-0.5241*5.81^2+227.02*5.81-134.2</v>
      </c>
      <c r="AQ294" s="10" t="b">
        <f>IF(AND(I294="TP",S294&lt;=150),VLOOKUP(AF294,TPCalibEq150!$AZ$2:$BB$55,3,),IF(AND(I294="TDP",S294&lt;=150),VLOOKUP(AF294,TPCalibEq150!$AZ$2:$BB$55,3,)))</f>
        <v>0</v>
      </c>
      <c r="AR294" s="10" t="b">
        <f>IF(AND(I294="TP",S294&lt;=300),VLOOKUP(AF294,TPCalibEq300!$AZ$2:$BB$55,3,),IF(AND(I294="TDP",S294&lt;=300),VLOOKUP(AF294,TPCalibEq300!$AZ$2:$BB$55,3,)))</f>
        <v>0</v>
      </c>
      <c r="AS294" s="10" t="b">
        <f>IF(AND(I294="TP",S294&lt;=500),VLOOKUP(AF294,TPCalibEq500!$AZ$2:$BB$56,3,),IF(AND(I294="TDP",S294&lt;=500),VLOOKUP(AF294,TPCalibEq500!$AZ$2:$BB$56,3,)))</f>
        <v>0</v>
      </c>
      <c r="AT294" s="10" t="str">
        <f>IF(AND(I294="TN",S294&lt;=2800),VLOOKUP(AF294,TNCalibEq2500!$AZ$2:$BB$56,3,),IF(AND(I294="TDN",S294&lt;=2800),VLOOKUP(AF294,TNCalibEq2500!$AZ$2:$BB$56,3,)))</f>
        <v>y=0.4739x2+205.64x-100.4</v>
      </c>
      <c r="AU294" s="10" t="str">
        <f>IF(I294="TP",VLOOKUP(AF294,TPCalibEqFull!$AZ$2:$BB$56,3),IF(I294="TDP",VLOOKUP(AF294,TPCalibEqFull!$AZ$2:$BB$56,3),IF(I294="TDN",VLOOKUP(AF294,TNCalibEqFull!$AZ$1:$BB$56,3),IF(I294="TN",VLOOKUP(AF294,TNCalibEqFull!$AZ$1:$BB$56,3),FALSE))))</f>
        <v>y=-0.5241x2+227.02x-134.2</v>
      </c>
      <c r="AV294" s="10" t="str">
        <f t="shared" si="32"/>
        <v>1229 05:17:00-HST-0-C-1-SW-DUP</v>
      </c>
    </row>
    <row r="295" spans="1:48" s="10" customFormat="1" x14ac:dyDescent="0.55000000000000004">
      <c r="A295" s="32">
        <v>44924</v>
      </c>
      <c r="B295" s="33">
        <v>0.22013888888888888</v>
      </c>
      <c r="C295" s="10" t="s">
        <v>912</v>
      </c>
      <c r="D295" s="10">
        <v>0</v>
      </c>
      <c r="E295" s="10" t="s">
        <v>190</v>
      </c>
      <c r="F295" s="10">
        <v>1</v>
      </c>
      <c r="G295" s="10" t="s">
        <v>231</v>
      </c>
      <c r="H295" s="10" t="s">
        <v>314</v>
      </c>
      <c r="I295" s="10" t="s">
        <v>235</v>
      </c>
      <c r="J295" s="10">
        <v>50</v>
      </c>
      <c r="K295" s="12">
        <v>44930</v>
      </c>
      <c r="L295" s="33">
        <v>0.59247685185185184</v>
      </c>
      <c r="M295" s="10">
        <v>1</v>
      </c>
      <c r="N295" s="10" t="s">
        <v>196</v>
      </c>
      <c r="O295" s="10">
        <v>16.600000000000001</v>
      </c>
      <c r="P295" s="10">
        <v>0.96299999999999997</v>
      </c>
      <c r="Q295" s="10">
        <v>3470</v>
      </c>
      <c r="R295" s="10" t="s">
        <v>170</v>
      </c>
      <c r="S295" s="34">
        <f t="shared" si="28"/>
        <v>3489.911004000001</v>
      </c>
      <c r="T295" s="10" t="s">
        <v>966</v>
      </c>
      <c r="U295" s="34">
        <f t="shared" si="29"/>
        <v>92.91265504040004</v>
      </c>
      <c r="V295" s="31">
        <f>IF(H295="CHK",VLOOKUP(I295,QCCHK,3,),IF(H295="GUP",VLOOKUP(E295,QCGUP,2,),IF(AND(H295="ATP",OR(I295="TN",I295="TDN",I295="TNO2-3",I295="NO2-3")),VLOOKUP(E295,QCREC_N,2,),IF(AND(H295="NIC",OR(I295="TN",I295="TDN",I295="TNO2-3",I295="NO2-3")),VLOOKUP(E295,QCNIC_N,2,),IF(AND(H295="UREA",OR(I295="TN",I295="TDN",I295="TNO2-3",I295="NO2-3")),VLOOKUP(E295,QCUREA_N,2,),IF(H295="PER",VLOOKUP(I295,QCPER,MATCH(E295,QCACTUAL!$J$25:$AA$25,0),),IF(H295="SPK",VLOOKUP(I295,QCSPK,3,),IF(AND(H295="ATP",OR(I295="TP",I295="TDP")),VLOOKUP(E295,QCATP_P,2,),""))))))))</f>
        <v>2500</v>
      </c>
      <c r="W295" s="31" t="str">
        <f t="shared" si="30"/>
        <v>TRUE</v>
      </c>
      <c r="X295" s="31" t="str">
        <f t="shared" si="31"/>
        <v>([spikedunkn]-[unkn])/[spike]*100</v>
      </c>
      <c r="Y295" s="10" t="s">
        <v>959</v>
      </c>
      <c r="Z295" s="10" t="s">
        <v>910</v>
      </c>
      <c r="AF295" s="12">
        <v>44930</v>
      </c>
      <c r="AK295" s="10">
        <f>-0.5241*16.6^2+227.02*16.6-134.2</f>
        <v>3489.911004000001</v>
      </c>
      <c r="AL295" s="10" t="str">
        <f t="shared" si="33"/>
        <v>FALSE</v>
      </c>
      <c r="AM295" s="10" t="str">
        <f t="shared" si="33"/>
        <v>FALSE</v>
      </c>
      <c r="AN295" s="10" t="str">
        <f t="shared" si="33"/>
        <v>FALSE</v>
      </c>
      <c r="AO295" s="10" t="str">
        <f t="shared" si="34"/>
        <v>FALSE</v>
      </c>
      <c r="AP295" s="10" t="str">
        <f t="shared" si="34"/>
        <v>y=-0.5241*16.6^2+227.02*16.6-134.2</v>
      </c>
      <c r="AQ295" s="10" t="b">
        <f>IF(AND(I295="TP",S295&lt;=150),VLOOKUP(AF295,TPCalibEq150!$AZ$2:$BB$55,3,),IF(AND(I295="TDP",S295&lt;=150),VLOOKUP(AF295,TPCalibEq150!$AZ$2:$BB$55,3,)))</f>
        <v>0</v>
      </c>
      <c r="AR295" s="10" t="b">
        <f>IF(AND(I295="TP",S295&lt;=300),VLOOKUP(AF295,TPCalibEq300!$AZ$2:$BB$55,3,),IF(AND(I295="TDP",S295&lt;=300),VLOOKUP(AF295,TPCalibEq300!$AZ$2:$BB$55,3,)))</f>
        <v>0</v>
      </c>
      <c r="AS295" s="10" t="b">
        <f>IF(AND(I295="TP",S295&lt;=500),VLOOKUP(AF295,TPCalibEq500!$AZ$2:$BB$56,3,),IF(AND(I295="TDP",S295&lt;=500),VLOOKUP(AF295,TPCalibEq500!$AZ$2:$BB$56,3,)))</f>
        <v>0</v>
      </c>
      <c r="AT295" s="10" t="b">
        <f>IF(AND(I295="TN",S295&lt;=2800),VLOOKUP(AF295,TNCalibEq2500!$AZ$2:$BB$56,3,),IF(AND(I295="TDN",S295&lt;=2800),VLOOKUP(AF295,TNCalibEq2500!$AZ$2:$BB$56,3,)))</f>
        <v>0</v>
      </c>
      <c r="AU295" s="10" t="str">
        <f>IF(I295="TP",VLOOKUP(AF295,TPCalibEqFull!$AZ$2:$BB$56,3),IF(I295="TDP",VLOOKUP(AF295,TPCalibEqFull!$AZ$2:$BB$56,3),IF(I295="TDN",VLOOKUP(AF295,TNCalibEqFull!$AZ$1:$BB$56,3),IF(I295="TN",VLOOKUP(AF295,TNCalibEqFull!$AZ$1:$BB$56,3),FALSE))))</f>
        <v>y=-0.5241x2+227.02x-134.2</v>
      </c>
      <c r="AV295" s="10" t="str">
        <f t="shared" si="32"/>
        <v>1229 05:17:00-HST -0-C-1-SW-SPK</v>
      </c>
    </row>
    <row r="296" spans="1:48" s="10" customFormat="1" x14ac:dyDescent="0.55000000000000004">
      <c r="A296" s="32">
        <v>44930</v>
      </c>
      <c r="B296" s="33">
        <v>0.375</v>
      </c>
      <c r="C296" s="10" t="s">
        <v>70</v>
      </c>
      <c r="D296" s="10" t="s">
        <v>71</v>
      </c>
      <c r="E296" s="10" t="s">
        <v>901</v>
      </c>
      <c r="F296" s="10">
        <v>1</v>
      </c>
      <c r="G296" s="10" t="s">
        <v>73</v>
      </c>
      <c r="H296" s="10" t="s">
        <v>207</v>
      </c>
      <c r="I296" s="10" t="s">
        <v>235</v>
      </c>
      <c r="J296" s="10">
        <v>201</v>
      </c>
      <c r="K296" s="12">
        <v>44930</v>
      </c>
      <c r="L296" s="33">
        <v>0.59314814814814809</v>
      </c>
      <c r="M296" s="10">
        <v>1</v>
      </c>
      <c r="N296" s="10" t="s">
        <v>196</v>
      </c>
      <c r="O296" s="10">
        <v>5.84</v>
      </c>
      <c r="P296" s="10">
        <v>0.34899999999999998</v>
      </c>
      <c r="Q296" s="10">
        <v>1150</v>
      </c>
      <c r="R296" s="10" t="s">
        <v>170</v>
      </c>
      <c r="S296" s="34">
        <f t="shared" si="28"/>
        <v>1173.72205504</v>
      </c>
      <c r="T296" s="10" t="s">
        <v>966</v>
      </c>
      <c r="U296" s="34">
        <f t="shared" si="29"/>
        <v>93.8977644032</v>
      </c>
      <c r="V296" s="31">
        <f>IF(H296="CHK",VLOOKUP(I296,QCCHK,3,),IF(H296="GUP",VLOOKUP(E296,QCGUP,2,),IF(AND(H296="ATP",OR(I296="TN",I296="TDN",I296="TNO2-3",I296="NO2-3")),VLOOKUP(E296,QCREC_N,2,),IF(AND(H296="NIC",OR(I296="TN",I296="TDN",I296="TNO2-3",I296="NO2-3")),VLOOKUP(E296,QCNIC_N,2,),IF(AND(H296="UREA",OR(I296="TN",I296="TDN",I296="TNO2-3",I296="NO2-3")),VLOOKUP(E296,QCUREA_N,2,),IF(H296="PER",VLOOKUP(I296,QCPER,MATCH(E296,QCACTUAL!$J$25:$AA$25,0),),IF(H296="SPK",VLOOKUP(I296,QCSPK,3,),IF(AND(H296="ATP",OR(I296="TP",I296="TDP")),VLOOKUP(E296,QCATP_P,2,),""))))))))</f>
        <v>1250</v>
      </c>
      <c r="W296" s="31" t="str">
        <f t="shared" si="30"/>
        <v>TRUE</v>
      </c>
      <c r="X296" s="31" t="str">
        <f t="shared" si="31"/>
        <v>[chk]/[actual]*100</v>
      </c>
      <c r="Y296" s="10" t="s">
        <v>959</v>
      </c>
      <c r="AF296" s="12">
        <v>44930</v>
      </c>
      <c r="AJ296" s="10">
        <f>0.4739*5.84^2+205.64*5.84-100.4</f>
        <v>1116.70024384</v>
      </c>
      <c r="AK296" s="10">
        <f>-0.5241*5.84^2+227.02*5.84-134.2</f>
        <v>1173.72205504</v>
      </c>
      <c r="AL296" s="10" t="str">
        <f t="shared" si="33"/>
        <v>FALSE</v>
      </c>
      <c r="AM296" s="10" t="str">
        <f t="shared" si="33"/>
        <v>FALSE</v>
      </c>
      <c r="AN296" s="10" t="str">
        <f t="shared" si="33"/>
        <v>FALSE</v>
      </c>
      <c r="AO296" s="10" t="str">
        <f t="shared" si="34"/>
        <v>y=0.4739*5.84^2+205.64*5.84-100.4</v>
      </c>
      <c r="AP296" s="10" t="str">
        <f t="shared" si="34"/>
        <v>y=-0.5241*5.84^2+227.02*5.84-134.2</v>
      </c>
      <c r="AQ296" s="10" t="b">
        <f>IF(AND(I296="TP",S296&lt;=150),VLOOKUP(AF296,TPCalibEq150!$AZ$2:$BB$55,3,),IF(AND(I296="TDP",S296&lt;=150),VLOOKUP(AF296,TPCalibEq150!$AZ$2:$BB$55,3,)))</f>
        <v>0</v>
      </c>
      <c r="AR296" s="10" t="b">
        <f>IF(AND(I296="TP",S296&lt;=300),VLOOKUP(AF296,TPCalibEq300!$AZ$2:$BB$55,3,),IF(AND(I296="TDP",S296&lt;=300),VLOOKUP(AF296,TPCalibEq300!$AZ$2:$BB$55,3,)))</f>
        <v>0</v>
      </c>
      <c r="AS296" s="10" t="b">
        <f>IF(AND(I296="TP",S296&lt;=500),VLOOKUP(AF296,TPCalibEq500!$AZ$2:$BB$56,3,),IF(AND(I296="TDP",S296&lt;=500),VLOOKUP(AF296,TPCalibEq500!$AZ$2:$BB$56,3,)))</f>
        <v>0</v>
      </c>
      <c r="AT296" s="10" t="str">
        <f>IF(AND(I296="TN",S296&lt;=2800),VLOOKUP(AF296,TNCalibEq2500!$AZ$2:$BB$56,3,),IF(AND(I296="TDN",S296&lt;=2800),VLOOKUP(AF296,TNCalibEq2500!$AZ$2:$BB$56,3,)))</f>
        <v>y=0.4739x2+205.64x-100.4</v>
      </c>
      <c r="AU296" s="10" t="str">
        <f>IF(I296="TP",VLOOKUP(AF296,TPCalibEqFull!$AZ$2:$BB$56,3),IF(I296="TDP",VLOOKUP(AF296,TPCalibEqFull!$AZ$2:$BB$56,3),IF(I296="TDN",VLOOKUP(AF296,TNCalibEqFull!$AZ$1:$BB$56,3),IF(I296="TN",VLOOKUP(AF296,TNCalibEqFull!$AZ$1:$BB$56,3),FALSE))))</f>
        <v>y=-0.5241x2+227.02x-134.2</v>
      </c>
      <c r="AV296" s="10" t="str">
        <f t="shared" si="32"/>
        <v>0104 09:00:00-QAC-STD-D-1-DI-CHK</v>
      </c>
    </row>
    <row r="297" spans="1:48" s="10" customFormat="1" x14ac:dyDescent="0.55000000000000004">
      <c r="A297" s="32">
        <v>44925</v>
      </c>
      <c r="B297" s="33">
        <v>0.55555555555555558</v>
      </c>
      <c r="C297" s="10" t="s">
        <v>279</v>
      </c>
      <c r="D297" s="10">
        <v>0</v>
      </c>
      <c r="E297" s="10" t="s">
        <v>190</v>
      </c>
      <c r="F297" s="10">
        <v>1</v>
      </c>
      <c r="G297" s="10" t="s">
        <v>231</v>
      </c>
      <c r="H297" s="10" t="s">
        <v>322</v>
      </c>
      <c r="I297" s="10" t="s">
        <v>235</v>
      </c>
      <c r="J297" s="10">
        <v>21</v>
      </c>
      <c r="K297" s="12">
        <v>44930</v>
      </c>
      <c r="L297" s="33">
        <v>0.59381944444444446</v>
      </c>
      <c r="M297" s="10">
        <v>1</v>
      </c>
      <c r="N297" s="10" t="s">
        <v>196</v>
      </c>
      <c r="O297" s="10">
        <v>8.6300000000000008</v>
      </c>
      <c r="P297" s="10">
        <v>0.504</v>
      </c>
      <c r="Q297" s="10">
        <v>1750</v>
      </c>
      <c r="R297" s="10" t="s">
        <v>170</v>
      </c>
      <c r="S297" s="34">
        <f t="shared" si="28"/>
        <v>1785.9492567100003</v>
      </c>
      <c r="T297" s="10" t="s">
        <v>966</v>
      </c>
      <c r="U297" s="34" t="str">
        <f t="shared" si="29"/>
        <v/>
      </c>
      <c r="V297" s="31" t="str">
        <f>IF(H297="CHK",VLOOKUP(I297,QCCHK,3,),IF(H297="GUP",VLOOKUP(E297,QCGUP,2,),IF(AND(H297="ATP",OR(I297="TN",I297="TDN",I297="TNO2-3",I297="NO2-3")),VLOOKUP(E297,QCREC_N,2,),IF(AND(H297="NIC",OR(I297="TN",I297="TDN",I297="TNO2-3",I297="NO2-3")),VLOOKUP(E297,QCNIC_N,2,),IF(AND(H297="UREA",OR(I297="TN",I297="TDN",I297="TNO2-3",I297="NO2-3")),VLOOKUP(E297,QCUREA_N,2,),IF(H297="PER",VLOOKUP(I297,QCPER,MATCH(E297,QCACTUAL!$J$25:$AA$25,0),),IF(H297="SPK",VLOOKUP(I297,QCSPK,3,),IF(AND(H297="ATP",OR(I297="TP",I297="TDP")),VLOOKUP(E297,QCATP_P,2,),""))))))))</f>
        <v/>
      </c>
      <c r="W297" s="31" t="str">
        <f t="shared" si="30"/>
        <v>TRUE</v>
      </c>
      <c r="X297" s="31" t="str">
        <f t="shared" si="31"/>
        <v/>
      </c>
      <c r="Y297" s="10" t="s">
        <v>959</v>
      </c>
      <c r="Z297" s="10" t="s">
        <v>910</v>
      </c>
      <c r="AF297" s="12">
        <v>44930</v>
      </c>
      <c r="AJ297" s="10">
        <f>0.4739*8.63^2+205.64*8.63-100.4</f>
        <v>1709.56780291</v>
      </c>
      <c r="AK297" s="10">
        <f>-0.5241*8.63^2+227.02*8.63-134.2</f>
        <v>1785.9492567100003</v>
      </c>
      <c r="AL297" s="10" t="str">
        <f t="shared" si="33"/>
        <v>FALSE</v>
      </c>
      <c r="AM297" s="10" t="str">
        <f t="shared" si="33"/>
        <v>FALSE</v>
      </c>
      <c r="AN297" s="10" t="str">
        <f t="shared" si="33"/>
        <v>FALSE</v>
      </c>
      <c r="AO297" s="10" t="str">
        <f t="shared" si="34"/>
        <v>y=0.4739*8.63^2+205.64*8.63-100.4</v>
      </c>
      <c r="AP297" s="10" t="str">
        <f t="shared" si="34"/>
        <v>y=-0.5241*8.63^2+227.02*8.63-134.2</v>
      </c>
      <c r="AQ297" s="10" t="b">
        <f>IF(AND(I297="TP",S297&lt;=150),VLOOKUP(AF297,TPCalibEq150!$AZ$2:$BB$55,3,),IF(AND(I297="TDP",S297&lt;=150),VLOOKUP(AF297,TPCalibEq150!$AZ$2:$BB$55,3,)))</f>
        <v>0</v>
      </c>
      <c r="AR297" s="10" t="b">
        <f>IF(AND(I297="TP",S297&lt;=300),VLOOKUP(AF297,TPCalibEq300!$AZ$2:$BB$55,3,),IF(AND(I297="TDP",S297&lt;=300),VLOOKUP(AF297,TPCalibEq300!$AZ$2:$BB$55,3,)))</f>
        <v>0</v>
      </c>
      <c r="AS297" s="10" t="b">
        <f>IF(AND(I297="TP",S297&lt;=500),VLOOKUP(AF297,TPCalibEq500!$AZ$2:$BB$56,3,),IF(AND(I297="TDP",S297&lt;=500),VLOOKUP(AF297,TPCalibEq500!$AZ$2:$BB$56,3,)))</f>
        <v>0</v>
      </c>
      <c r="AT297" s="10" t="str">
        <f>IF(AND(I297="TN",S297&lt;=2800),VLOOKUP(AF297,TNCalibEq2500!$AZ$2:$BB$56,3,),IF(AND(I297="TDN",S297&lt;=2800),VLOOKUP(AF297,TNCalibEq2500!$AZ$2:$BB$56,3,)))</f>
        <v>y=0.4739x2+205.64x-100.4</v>
      </c>
      <c r="AU297" s="10" t="str">
        <f>IF(I297="TP",VLOOKUP(AF297,TPCalibEqFull!$AZ$2:$BB$56,3),IF(I297="TDP",VLOOKUP(AF297,TPCalibEqFull!$AZ$2:$BB$56,3),IF(I297="TDN",VLOOKUP(AF297,TNCalibEqFull!$AZ$1:$BB$56,3),IF(I297="TN",VLOOKUP(AF297,TNCalibEqFull!$AZ$1:$BB$56,3),FALSE))))</f>
        <v>y=-0.5241x2+227.02x-134.2</v>
      </c>
      <c r="AV297" s="10" t="str">
        <f t="shared" si="32"/>
        <v>1230 13:20:00-EFK-0-C-1-SW-UKN</v>
      </c>
    </row>
    <row r="298" spans="1:48" s="10" customFormat="1" x14ac:dyDescent="0.55000000000000004">
      <c r="A298" s="32">
        <v>44925</v>
      </c>
      <c r="B298" s="33">
        <v>0.55902777777777779</v>
      </c>
      <c r="C298" s="10" t="s">
        <v>333</v>
      </c>
      <c r="D298" s="10">
        <v>0</v>
      </c>
      <c r="E298" s="10" t="s">
        <v>190</v>
      </c>
      <c r="F298" s="10">
        <v>1</v>
      </c>
      <c r="G298" s="10" t="s">
        <v>231</v>
      </c>
      <c r="H298" s="10" t="s">
        <v>322</v>
      </c>
      <c r="I298" s="10" t="s">
        <v>235</v>
      </c>
      <c r="J298" s="10">
        <v>22</v>
      </c>
      <c r="K298" s="12">
        <v>44930</v>
      </c>
      <c r="L298" s="33">
        <v>0.59447916666666667</v>
      </c>
      <c r="M298" s="10">
        <v>1</v>
      </c>
      <c r="N298" s="10" t="s">
        <v>196</v>
      </c>
      <c r="O298" s="10">
        <v>5.33</v>
      </c>
      <c r="P298" s="10">
        <v>0.314</v>
      </c>
      <c r="Q298" s="10">
        <v>1040</v>
      </c>
      <c r="R298" s="10" t="s">
        <v>170</v>
      </c>
      <c r="S298" s="34">
        <f t="shared" si="28"/>
        <v>1060.9274955100002</v>
      </c>
      <c r="T298" s="10" t="s">
        <v>966</v>
      </c>
      <c r="U298" s="34" t="str">
        <f t="shared" si="29"/>
        <v/>
      </c>
      <c r="V298" s="31" t="str">
        <f>IF(H298="CHK",VLOOKUP(I298,QCCHK,3,),IF(H298="GUP",VLOOKUP(E298,QCGUP,2,),IF(AND(H298="ATP",OR(I298="TN",I298="TDN",I298="TNO2-3",I298="NO2-3")),VLOOKUP(E298,QCREC_N,2,),IF(AND(H298="NIC",OR(I298="TN",I298="TDN",I298="TNO2-3",I298="NO2-3")),VLOOKUP(E298,QCNIC_N,2,),IF(AND(H298="UREA",OR(I298="TN",I298="TDN",I298="TNO2-3",I298="NO2-3")),VLOOKUP(E298,QCUREA_N,2,),IF(H298="PER",VLOOKUP(I298,QCPER,MATCH(E298,QCACTUAL!$J$25:$AA$25,0),),IF(H298="SPK",VLOOKUP(I298,QCSPK,3,),IF(AND(H298="ATP",OR(I298="TP",I298="TDP")),VLOOKUP(E298,QCATP_P,2,),""))))))))</f>
        <v/>
      </c>
      <c r="W298" s="31" t="str">
        <f t="shared" si="30"/>
        <v>TRUE</v>
      </c>
      <c r="X298" s="31" t="str">
        <f t="shared" si="31"/>
        <v/>
      </c>
      <c r="Y298" s="10" t="s">
        <v>959</v>
      </c>
      <c r="Z298" s="10" t="s">
        <v>910</v>
      </c>
      <c r="AF298" s="12">
        <v>44930</v>
      </c>
      <c r="AJ298" s="10">
        <f>0.4739*5.33^2+205.64*5.33-100.4</f>
        <v>1009.1241777099998</v>
      </c>
      <c r="AK298" s="10">
        <f>-0.5241*5.33^2+227.02*5.33-134.2</f>
        <v>1060.9274955100002</v>
      </c>
      <c r="AL298" s="10" t="str">
        <f t="shared" si="33"/>
        <v>FALSE</v>
      </c>
      <c r="AM298" s="10" t="str">
        <f t="shared" si="33"/>
        <v>FALSE</v>
      </c>
      <c r="AN298" s="10" t="str">
        <f t="shared" si="33"/>
        <v>FALSE</v>
      </c>
      <c r="AO298" s="10" t="str">
        <f t="shared" si="34"/>
        <v>y=0.4739*5.33^2+205.64*5.33-100.4</v>
      </c>
      <c r="AP298" s="10" t="str">
        <f t="shared" si="34"/>
        <v>y=-0.5241*5.33^2+227.02*5.33-134.2</v>
      </c>
      <c r="AQ298" s="10" t="b">
        <f>IF(AND(I298="TP",S298&lt;=150),VLOOKUP(AF298,TPCalibEq150!$AZ$2:$BB$55,3,),IF(AND(I298="TDP",S298&lt;=150),VLOOKUP(AF298,TPCalibEq150!$AZ$2:$BB$55,3,)))</f>
        <v>0</v>
      </c>
      <c r="AR298" s="10" t="b">
        <f>IF(AND(I298="TP",S298&lt;=300),VLOOKUP(AF298,TPCalibEq300!$AZ$2:$BB$55,3,),IF(AND(I298="TDP",S298&lt;=300),VLOOKUP(AF298,TPCalibEq300!$AZ$2:$BB$55,3,)))</f>
        <v>0</v>
      </c>
      <c r="AS298" s="10" t="b">
        <f>IF(AND(I298="TP",S298&lt;=500),VLOOKUP(AF298,TPCalibEq500!$AZ$2:$BB$56,3,),IF(AND(I298="TDP",S298&lt;=500),VLOOKUP(AF298,TPCalibEq500!$AZ$2:$BB$56,3,)))</f>
        <v>0</v>
      </c>
      <c r="AT298" s="10" t="str">
        <f>IF(AND(I298="TN",S298&lt;=2800),VLOOKUP(AF298,TNCalibEq2500!$AZ$2:$BB$56,3,),IF(AND(I298="TDN",S298&lt;=2800),VLOOKUP(AF298,TNCalibEq2500!$AZ$2:$BB$56,3,)))</f>
        <v>y=0.4739x2+205.64x-100.4</v>
      </c>
      <c r="AU298" s="10" t="str">
        <f>IF(I298="TP",VLOOKUP(AF298,TPCalibEqFull!$AZ$2:$BB$56,3),IF(I298="TDP",VLOOKUP(AF298,TPCalibEqFull!$AZ$2:$BB$56,3),IF(I298="TDN",VLOOKUP(AF298,TNCalibEqFull!$AZ$1:$BB$56,3),IF(I298="TN",VLOOKUP(AF298,TNCalibEqFull!$AZ$1:$BB$56,3),FALSE))))</f>
        <v>y=-0.5241x2+227.02x-134.2</v>
      </c>
      <c r="AV298" s="10" t="str">
        <f t="shared" si="32"/>
        <v>1230 13:25:00-HST-0-C-1-SW-UKN</v>
      </c>
    </row>
    <row r="299" spans="1:48" s="10" customFormat="1" x14ac:dyDescent="0.55000000000000004">
      <c r="A299" s="32">
        <v>44929</v>
      </c>
      <c r="B299" s="33">
        <v>0.22222222222222221</v>
      </c>
      <c r="C299" s="10" t="s">
        <v>279</v>
      </c>
      <c r="D299" s="10">
        <v>0</v>
      </c>
      <c r="E299" s="10" t="s">
        <v>190</v>
      </c>
      <c r="F299" s="10">
        <v>1</v>
      </c>
      <c r="G299" s="10" t="s">
        <v>231</v>
      </c>
      <c r="H299" s="10" t="s">
        <v>322</v>
      </c>
      <c r="I299" s="10" t="s">
        <v>235</v>
      </c>
      <c r="J299" s="10">
        <v>23</v>
      </c>
      <c r="K299" s="12">
        <v>44930</v>
      </c>
      <c r="L299" s="33">
        <v>0.59515046296296303</v>
      </c>
      <c r="M299" s="10">
        <v>1</v>
      </c>
      <c r="N299" s="10" t="s">
        <v>196</v>
      </c>
      <c r="O299" s="10">
        <v>7.31</v>
      </c>
      <c r="P299" s="10">
        <v>0.43</v>
      </c>
      <c r="Q299" s="10">
        <v>1460</v>
      </c>
      <c r="R299" s="10" t="s">
        <v>170</v>
      </c>
      <c r="S299" s="34">
        <f t="shared" si="28"/>
        <v>1497.3103399899999</v>
      </c>
      <c r="T299" s="10" t="s">
        <v>966</v>
      </c>
      <c r="U299" s="34" t="str">
        <f t="shared" si="29"/>
        <v/>
      </c>
      <c r="V299" s="31" t="str">
        <f>IF(H299="CHK",VLOOKUP(I299,QCCHK,3,),IF(H299="GUP",VLOOKUP(E299,QCGUP,2,),IF(AND(H299="ATP",OR(I299="TN",I299="TDN",I299="TNO2-3",I299="NO2-3")),VLOOKUP(E299,QCREC_N,2,),IF(AND(H299="NIC",OR(I299="TN",I299="TDN",I299="TNO2-3",I299="NO2-3")),VLOOKUP(E299,QCNIC_N,2,),IF(AND(H299="UREA",OR(I299="TN",I299="TDN",I299="TNO2-3",I299="NO2-3")),VLOOKUP(E299,QCUREA_N,2,),IF(H299="PER",VLOOKUP(I299,QCPER,MATCH(E299,QCACTUAL!$J$25:$AA$25,0),),IF(H299="SPK",VLOOKUP(I299,QCSPK,3,),IF(AND(H299="ATP",OR(I299="TP",I299="TDP")),VLOOKUP(E299,QCATP_P,2,),""))))))))</f>
        <v/>
      </c>
      <c r="W299" s="31" t="str">
        <f t="shared" si="30"/>
        <v>TRUE</v>
      </c>
      <c r="X299" s="31" t="str">
        <f t="shared" si="31"/>
        <v/>
      </c>
      <c r="Y299" s="10" t="s">
        <v>959</v>
      </c>
      <c r="AF299" s="12">
        <v>44930</v>
      </c>
      <c r="AJ299" s="10">
        <f>0.4739*7.31^2+205.64*7.31-100.4</f>
        <v>1428.1517677899997</v>
      </c>
      <c r="AK299" s="10">
        <f>-0.5241*7.31^2+227.02*7.31-134.2</f>
        <v>1497.3103399899999</v>
      </c>
      <c r="AL299" s="10" t="str">
        <f t="shared" si="33"/>
        <v>FALSE</v>
      </c>
      <c r="AM299" s="10" t="str">
        <f t="shared" si="33"/>
        <v>FALSE</v>
      </c>
      <c r="AN299" s="10" t="str">
        <f t="shared" si="33"/>
        <v>FALSE</v>
      </c>
      <c r="AO299" s="10" t="str">
        <f t="shared" si="34"/>
        <v>y=0.4739*7.31^2+205.64*7.31-100.4</v>
      </c>
      <c r="AP299" s="10" t="str">
        <f t="shared" si="34"/>
        <v>y=-0.5241*7.31^2+227.02*7.31-134.2</v>
      </c>
      <c r="AQ299" s="10" t="b">
        <f>IF(AND(I299="TP",S299&lt;=150),VLOOKUP(AF299,TPCalibEq150!$AZ$2:$BB$55,3,),IF(AND(I299="TDP",S299&lt;=150),VLOOKUP(AF299,TPCalibEq150!$AZ$2:$BB$55,3,)))</f>
        <v>0</v>
      </c>
      <c r="AR299" s="10" t="b">
        <f>IF(AND(I299="TP",S299&lt;=300),VLOOKUP(AF299,TPCalibEq300!$AZ$2:$BB$55,3,),IF(AND(I299="TDP",S299&lt;=300),VLOOKUP(AF299,TPCalibEq300!$AZ$2:$BB$55,3,)))</f>
        <v>0</v>
      </c>
      <c r="AS299" s="10" t="b">
        <f>IF(AND(I299="TP",S299&lt;=500),VLOOKUP(AF299,TPCalibEq500!$AZ$2:$BB$56,3,),IF(AND(I299="TDP",S299&lt;=500),VLOOKUP(AF299,TPCalibEq500!$AZ$2:$BB$56,3,)))</f>
        <v>0</v>
      </c>
      <c r="AT299" s="10" t="str">
        <f>IF(AND(I299="TN",S299&lt;=2800),VLOOKUP(AF299,TNCalibEq2500!$AZ$2:$BB$56,3,),IF(AND(I299="TDN",S299&lt;=2800),VLOOKUP(AF299,TNCalibEq2500!$AZ$2:$BB$56,3,)))</f>
        <v>y=0.4739x2+205.64x-100.4</v>
      </c>
      <c r="AU299" s="10" t="str">
        <f>IF(I299="TP",VLOOKUP(AF299,TPCalibEqFull!$AZ$2:$BB$56,3),IF(I299="TDP",VLOOKUP(AF299,TPCalibEqFull!$AZ$2:$BB$56,3),IF(I299="TDN",VLOOKUP(AF299,TNCalibEqFull!$AZ$1:$BB$56,3),IF(I299="TN",VLOOKUP(AF299,TNCalibEqFull!$AZ$1:$BB$56,3),FALSE))))</f>
        <v>y=-0.5241x2+227.02x-134.2</v>
      </c>
      <c r="AV299" s="10" t="str">
        <f t="shared" si="32"/>
        <v>0103 05:20:00-EFK-0-C-1-SW-UKN</v>
      </c>
    </row>
    <row r="300" spans="1:48" s="10" customFormat="1" x14ac:dyDescent="0.55000000000000004">
      <c r="A300" s="32">
        <v>44929</v>
      </c>
      <c r="B300" s="33">
        <v>0.22569444444444445</v>
      </c>
      <c r="C300" s="10" t="s">
        <v>333</v>
      </c>
      <c r="D300" s="10">
        <v>0</v>
      </c>
      <c r="E300" s="10" t="s">
        <v>190</v>
      </c>
      <c r="F300" s="10">
        <v>1</v>
      </c>
      <c r="G300" s="10" t="s">
        <v>231</v>
      </c>
      <c r="H300" s="10" t="s">
        <v>322</v>
      </c>
      <c r="I300" s="10" t="s">
        <v>235</v>
      </c>
      <c r="J300" s="10">
        <v>24</v>
      </c>
      <c r="K300" s="12">
        <v>44930</v>
      </c>
      <c r="L300" s="33">
        <v>0.59581018518518525</v>
      </c>
      <c r="M300" s="10">
        <v>1</v>
      </c>
      <c r="N300" s="10" t="s">
        <v>196</v>
      </c>
      <c r="O300" s="10">
        <v>7.02</v>
      </c>
      <c r="P300" s="10">
        <v>0.41599999999999998</v>
      </c>
      <c r="Q300" s="10">
        <v>1400</v>
      </c>
      <c r="R300" s="10" t="s">
        <v>170</v>
      </c>
      <c r="S300" s="34">
        <f t="shared" si="28"/>
        <v>1433.6525423599999</v>
      </c>
      <c r="T300" s="10" t="s">
        <v>966</v>
      </c>
      <c r="U300" s="34" t="str">
        <f t="shared" si="29"/>
        <v/>
      </c>
      <c r="V300" s="31" t="str">
        <f>IF(H300="CHK",VLOOKUP(I300,QCCHK,3,),IF(H300="GUP",VLOOKUP(E300,QCGUP,2,),IF(AND(H300="ATP",OR(I300="TN",I300="TDN",I300="TNO2-3",I300="NO2-3")),VLOOKUP(E300,QCREC_N,2,),IF(AND(H300="NIC",OR(I300="TN",I300="TDN",I300="TNO2-3",I300="NO2-3")),VLOOKUP(E300,QCNIC_N,2,),IF(AND(H300="UREA",OR(I300="TN",I300="TDN",I300="TNO2-3",I300="NO2-3")),VLOOKUP(E300,QCUREA_N,2,),IF(H300="PER",VLOOKUP(I300,QCPER,MATCH(E300,QCACTUAL!$J$25:$AA$25,0),),IF(H300="SPK",VLOOKUP(I300,QCSPK,3,),IF(AND(H300="ATP",OR(I300="TP",I300="TDP")),VLOOKUP(E300,QCATP_P,2,),""))))))))</f>
        <v/>
      </c>
      <c r="W300" s="31" t="str">
        <f t="shared" si="30"/>
        <v>TRUE</v>
      </c>
      <c r="X300" s="31" t="str">
        <f t="shared" si="31"/>
        <v/>
      </c>
      <c r="Y300" s="10" t="s">
        <v>959</v>
      </c>
      <c r="AF300" s="12">
        <v>44930</v>
      </c>
      <c r="AJ300" s="10">
        <f>0.4739*7.02^2+205.64*7.02-100.4</f>
        <v>1366.5467815599998</v>
      </c>
      <c r="AK300" s="10">
        <f>-0.5241*7.02^2+227.02*7.02-134.2</f>
        <v>1433.6525423599999</v>
      </c>
      <c r="AL300" s="10" t="str">
        <f t="shared" si="33"/>
        <v>FALSE</v>
      </c>
      <c r="AM300" s="10" t="str">
        <f t="shared" si="33"/>
        <v>FALSE</v>
      </c>
      <c r="AN300" s="10" t="str">
        <f t="shared" si="33"/>
        <v>FALSE</v>
      </c>
      <c r="AO300" s="10" t="str">
        <f t="shared" si="34"/>
        <v>y=0.4739*7.02^2+205.64*7.02-100.4</v>
      </c>
      <c r="AP300" s="10" t="str">
        <f t="shared" si="34"/>
        <v>y=-0.5241*7.02^2+227.02*7.02-134.2</v>
      </c>
      <c r="AQ300" s="10" t="b">
        <f>IF(AND(I300="TP",S300&lt;=150),VLOOKUP(AF300,TPCalibEq150!$AZ$2:$BB$55,3,),IF(AND(I300="TDP",S300&lt;=150),VLOOKUP(AF300,TPCalibEq150!$AZ$2:$BB$55,3,)))</f>
        <v>0</v>
      </c>
      <c r="AR300" s="10" t="b">
        <f>IF(AND(I300="TP",S300&lt;=300),VLOOKUP(AF300,TPCalibEq300!$AZ$2:$BB$55,3,),IF(AND(I300="TDP",S300&lt;=300),VLOOKUP(AF300,TPCalibEq300!$AZ$2:$BB$55,3,)))</f>
        <v>0</v>
      </c>
      <c r="AS300" s="10" t="b">
        <f>IF(AND(I300="TP",S300&lt;=500),VLOOKUP(AF300,TPCalibEq500!$AZ$2:$BB$56,3,),IF(AND(I300="TDP",S300&lt;=500),VLOOKUP(AF300,TPCalibEq500!$AZ$2:$BB$56,3,)))</f>
        <v>0</v>
      </c>
      <c r="AT300" s="10" t="str">
        <f>IF(AND(I300="TN",S300&lt;=2800),VLOOKUP(AF300,TNCalibEq2500!$AZ$2:$BB$56,3,),IF(AND(I300="TDN",S300&lt;=2800),VLOOKUP(AF300,TNCalibEq2500!$AZ$2:$BB$56,3,)))</f>
        <v>y=0.4739x2+205.64x-100.4</v>
      </c>
      <c r="AU300" s="10" t="str">
        <f>IF(I300="TP",VLOOKUP(AF300,TPCalibEqFull!$AZ$2:$BB$56,3),IF(I300="TDP",VLOOKUP(AF300,TPCalibEqFull!$AZ$2:$BB$56,3),IF(I300="TDN",VLOOKUP(AF300,TNCalibEqFull!$AZ$1:$BB$56,3),IF(I300="TN",VLOOKUP(AF300,TNCalibEqFull!$AZ$1:$BB$56,3),FALSE))))</f>
        <v>y=-0.5241x2+227.02x-134.2</v>
      </c>
      <c r="AV300" s="10" t="str">
        <f t="shared" si="32"/>
        <v>0103 05:25:00-HST-0-C-1-SW-UKN</v>
      </c>
    </row>
    <row r="301" spans="1:48" s="10" customFormat="1" x14ac:dyDescent="0.55000000000000004">
      <c r="A301" s="32">
        <v>44909</v>
      </c>
      <c r="B301" s="33">
        <v>0.23541666666666669</v>
      </c>
      <c r="C301" s="10" t="s">
        <v>279</v>
      </c>
      <c r="D301" s="10">
        <v>0</v>
      </c>
      <c r="E301" s="10" t="s">
        <v>911</v>
      </c>
      <c r="F301" s="10">
        <v>1</v>
      </c>
      <c r="G301" s="10" t="s">
        <v>231</v>
      </c>
      <c r="H301" s="10" t="s">
        <v>322</v>
      </c>
      <c r="I301" s="10" t="s">
        <v>224</v>
      </c>
      <c r="J301" s="10">
        <v>25</v>
      </c>
      <c r="K301" s="12">
        <v>44930</v>
      </c>
      <c r="L301" s="33">
        <v>0.59646990740740746</v>
      </c>
      <c r="M301" s="10">
        <v>1</v>
      </c>
      <c r="N301" s="10" t="s">
        <v>196</v>
      </c>
      <c r="O301" s="10">
        <v>7.79</v>
      </c>
      <c r="P301" s="10">
        <v>0.46</v>
      </c>
      <c r="Q301" s="10">
        <v>1570</v>
      </c>
      <c r="R301" s="10" t="s">
        <v>170</v>
      </c>
      <c r="S301" s="34">
        <f t="shared" si="28"/>
        <v>1602.4812631900002</v>
      </c>
      <c r="T301" s="10" t="s">
        <v>966</v>
      </c>
      <c r="U301" s="34" t="str">
        <f t="shared" si="29"/>
        <v/>
      </c>
      <c r="V301" s="31" t="str">
        <f>IF(H301="CHK",VLOOKUP(I301,QCCHK,3,),IF(H301="GUP",VLOOKUP(E301,QCGUP,2,),IF(AND(H301="ATP",OR(I301="TN",I301="TDN",I301="TNO2-3",I301="NO2-3")),VLOOKUP(E301,QCREC_N,2,),IF(AND(H301="NIC",OR(I301="TN",I301="TDN",I301="TNO2-3",I301="NO2-3")),VLOOKUP(E301,QCNIC_N,2,),IF(AND(H301="UREA",OR(I301="TN",I301="TDN",I301="TNO2-3",I301="NO2-3")),VLOOKUP(E301,QCUREA_N,2,),IF(H301="PER",VLOOKUP(I301,QCPER,MATCH(E301,QCACTUAL!$J$25:$AA$25,0),),IF(H301="SPK",VLOOKUP(I301,QCSPK,3,),IF(AND(H301="ATP",OR(I301="TP",I301="TDP")),VLOOKUP(E301,QCATP_P,2,),""))))))))</f>
        <v/>
      </c>
      <c r="W301" s="31" t="str">
        <f t="shared" si="30"/>
        <v>TRUE</v>
      </c>
      <c r="X301" s="31" t="str">
        <f t="shared" si="31"/>
        <v/>
      </c>
      <c r="Y301" s="10" t="s">
        <v>959</v>
      </c>
      <c r="Z301" s="10" t="s">
        <v>910</v>
      </c>
      <c r="AF301" s="12">
        <v>44930</v>
      </c>
      <c r="AJ301" s="10">
        <f>0.4739*7.79^2+205.64*7.79-100.4</f>
        <v>1530.2937949899997</v>
      </c>
      <c r="AK301" s="10">
        <f>-0.5241*7.79^2+227.02*7.79-134.2</f>
        <v>1602.4812631900002</v>
      </c>
      <c r="AL301" s="10" t="str">
        <f t="shared" si="33"/>
        <v>FALSE</v>
      </c>
      <c r="AM301" s="10" t="str">
        <f t="shared" si="33"/>
        <v>FALSE</v>
      </c>
      <c r="AN301" s="10" t="str">
        <f t="shared" si="33"/>
        <v>FALSE</v>
      </c>
      <c r="AO301" s="10" t="str">
        <f t="shared" si="34"/>
        <v>y=0.4739*7.79^2+205.64*7.79-100.4</v>
      </c>
      <c r="AP301" s="10" t="str">
        <f t="shared" si="34"/>
        <v>y=-0.5241*7.79^2+227.02*7.79-134.2</v>
      </c>
      <c r="AQ301" s="10" t="b">
        <f>IF(AND(I301="TP",S301&lt;=150),VLOOKUP(AF301,TPCalibEq150!$AZ$2:$BB$55,3,),IF(AND(I301="TDP",S301&lt;=150),VLOOKUP(AF301,TPCalibEq150!$AZ$2:$BB$55,3,)))</f>
        <v>0</v>
      </c>
      <c r="AR301" s="10" t="b">
        <f>IF(AND(I301="TP",S301&lt;=300),VLOOKUP(AF301,TPCalibEq300!$AZ$2:$BB$55,3,),IF(AND(I301="TDP",S301&lt;=300),VLOOKUP(AF301,TPCalibEq300!$AZ$2:$BB$55,3,)))</f>
        <v>0</v>
      </c>
      <c r="AS301" s="10" t="b">
        <f>IF(AND(I301="TP",S301&lt;=500),VLOOKUP(AF301,TPCalibEq500!$AZ$2:$BB$56,3,),IF(AND(I301="TDP",S301&lt;=500),VLOOKUP(AF301,TPCalibEq500!$AZ$2:$BB$56,3,)))</f>
        <v>0</v>
      </c>
      <c r="AT301" s="10" t="str">
        <f>IF(AND(I301="TN",S301&lt;=2800),VLOOKUP(AF301,TNCalibEq2500!$AZ$2:$BB$56,3,),IF(AND(I301="TDN",S301&lt;=2800),VLOOKUP(AF301,TNCalibEq2500!$AZ$2:$BB$56,3,)))</f>
        <v>y=0.4739x2+205.64x-100.4</v>
      </c>
      <c r="AU301" s="10" t="str">
        <f>IF(I301="TP",VLOOKUP(AF301,TPCalibEqFull!$AZ$2:$BB$56,3),IF(I301="TDP",VLOOKUP(AF301,TPCalibEqFull!$AZ$2:$BB$56,3),IF(I301="TDN",VLOOKUP(AF301,TNCalibEqFull!$AZ$1:$BB$56,3),IF(I301="TN",VLOOKUP(AF301,TNCalibEqFull!$AZ$1:$BB$56,3),FALSE))))</f>
        <v>y=-0.5241x2+227.02x-134.2</v>
      </c>
      <c r="AV301" s="10" t="str">
        <f t="shared" si="32"/>
        <v>1214 05:39:00-EFK-0-FIL-1-SW-UKN</v>
      </c>
    </row>
    <row r="302" spans="1:48" s="10" customFormat="1" x14ac:dyDescent="0.55000000000000004">
      <c r="A302" s="32">
        <v>44909</v>
      </c>
      <c r="B302" s="33">
        <v>0.24236111111111111</v>
      </c>
      <c r="C302" s="10" t="s">
        <v>333</v>
      </c>
      <c r="D302" s="10">
        <v>0</v>
      </c>
      <c r="E302" s="10" t="s">
        <v>911</v>
      </c>
      <c r="F302" s="10">
        <v>1</v>
      </c>
      <c r="G302" s="10" t="s">
        <v>231</v>
      </c>
      <c r="H302" s="10" t="s">
        <v>322</v>
      </c>
      <c r="I302" s="10" t="s">
        <v>224</v>
      </c>
      <c r="J302" s="10">
        <v>26</v>
      </c>
      <c r="K302" s="12">
        <v>44930</v>
      </c>
      <c r="L302" s="33">
        <v>0.59714120370370372</v>
      </c>
      <c r="M302" s="10">
        <v>1</v>
      </c>
      <c r="N302" s="10" t="s">
        <v>196</v>
      </c>
      <c r="O302" s="10">
        <v>3.18</v>
      </c>
      <c r="P302" s="10">
        <v>0.189</v>
      </c>
      <c r="Q302" s="10">
        <v>576</v>
      </c>
      <c r="R302" s="10" t="s">
        <v>170</v>
      </c>
      <c r="S302" s="34">
        <f t="shared" si="28"/>
        <v>582.42369116000009</v>
      </c>
      <c r="T302" s="10" t="s">
        <v>966</v>
      </c>
      <c r="U302" s="34" t="str">
        <f t="shared" si="29"/>
        <v/>
      </c>
      <c r="V302" s="31" t="str">
        <f>IF(H302="CHK",VLOOKUP(I302,QCCHK,3,),IF(H302="GUP",VLOOKUP(E302,QCGUP,2,),IF(AND(H302="ATP",OR(I302="TN",I302="TDN",I302="TNO2-3",I302="NO2-3")),VLOOKUP(E302,QCREC_N,2,),IF(AND(H302="NIC",OR(I302="TN",I302="TDN",I302="TNO2-3",I302="NO2-3")),VLOOKUP(E302,QCNIC_N,2,),IF(AND(H302="UREA",OR(I302="TN",I302="TDN",I302="TNO2-3",I302="NO2-3")),VLOOKUP(E302,QCUREA_N,2,),IF(H302="PER",VLOOKUP(I302,QCPER,MATCH(E302,QCACTUAL!$J$25:$AA$25,0),),IF(H302="SPK",VLOOKUP(I302,QCSPK,3,),IF(AND(H302="ATP",OR(I302="TP",I302="TDP")),VLOOKUP(E302,QCATP_P,2,),""))))))))</f>
        <v/>
      </c>
      <c r="W302" s="31" t="str">
        <f t="shared" si="30"/>
        <v>TRUE</v>
      </c>
      <c r="X302" s="31" t="str">
        <f t="shared" si="31"/>
        <v/>
      </c>
      <c r="Y302" s="10" t="s">
        <v>959</v>
      </c>
      <c r="Z302" s="10" t="s">
        <v>910</v>
      </c>
      <c r="AF302" s="12">
        <v>44930</v>
      </c>
      <c r="AJ302" s="10">
        <f>0.4739*3.18^2+205.64*3.18-100.4</f>
        <v>558.32746636000002</v>
      </c>
      <c r="AK302" s="10">
        <f>-0.5241*3.18^2+227.02*3.18-134.2</f>
        <v>582.42369116000009</v>
      </c>
      <c r="AL302" s="10" t="str">
        <f t="shared" si="33"/>
        <v>FALSE</v>
      </c>
      <c r="AM302" s="10" t="str">
        <f t="shared" si="33"/>
        <v>FALSE</v>
      </c>
      <c r="AN302" s="10" t="str">
        <f t="shared" si="33"/>
        <v>FALSE</v>
      </c>
      <c r="AO302" s="10" t="str">
        <f t="shared" si="34"/>
        <v>y=0.4739*3.18^2+205.64*3.18-100.4</v>
      </c>
      <c r="AP302" s="10" t="str">
        <f t="shared" si="34"/>
        <v>y=-0.5241*3.18^2+227.02*3.18-134.2</v>
      </c>
      <c r="AQ302" s="10" t="b">
        <f>IF(AND(I302="TP",S302&lt;=150),VLOOKUP(AF302,TPCalibEq150!$AZ$2:$BB$55,3,),IF(AND(I302="TDP",S302&lt;=150),VLOOKUP(AF302,TPCalibEq150!$AZ$2:$BB$55,3,)))</f>
        <v>0</v>
      </c>
      <c r="AR302" s="10" t="b">
        <f>IF(AND(I302="TP",S302&lt;=300),VLOOKUP(AF302,TPCalibEq300!$AZ$2:$BB$55,3,),IF(AND(I302="TDP",S302&lt;=300),VLOOKUP(AF302,TPCalibEq300!$AZ$2:$BB$55,3,)))</f>
        <v>0</v>
      </c>
      <c r="AS302" s="10" t="b">
        <f>IF(AND(I302="TP",S302&lt;=500),VLOOKUP(AF302,TPCalibEq500!$AZ$2:$BB$56,3,),IF(AND(I302="TDP",S302&lt;=500),VLOOKUP(AF302,TPCalibEq500!$AZ$2:$BB$56,3,)))</f>
        <v>0</v>
      </c>
      <c r="AT302" s="10" t="str">
        <f>IF(AND(I302="TN",S302&lt;=2800),VLOOKUP(AF302,TNCalibEq2500!$AZ$2:$BB$56,3,),IF(AND(I302="TDN",S302&lt;=2800),VLOOKUP(AF302,TNCalibEq2500!$AZ$2:$BB$56,3,)))</f>
        <v>y=0.4739x2+205.64x-100.4</v>
      </c>
      <c r="AU302" s="10" t="str">
        <f>IF(I302="TP",VLOOKUP(AF302,TPCalibEqFull!$AZ$2:$BB$56,3),IF(I302="TDP",VLOOKUP(AF302,TPCalibEqFull!$AZ$2:$BB$56,3),IF(I302="TDN",VLOOKUP(AF302,TNCalibEqFull!$AZ$1:$BB$56,3),IF(I302="TN",VLOOKUP(AF302,TNCalibEqFull!$AZ$1:$BB$56,3),FALSE))))</f>
        <v>y=-0.5241x2+227.02x-134.2</v>
      </c>
      <c r="AV302" s="10" t="str">
        <f t="shared" si="32"/>
        <v>1214 05:49:00-HST-0-FIL-1-SW-UKN</v>
      </c>
    </row>
    <row r="303" spans="1:48" s="10" customFormat="1" x14ac:dyDescent="0.55000000000000004">
      <c r="A303" s="32">
        <v>44910</v>
      </c>
      <c r="B303" s="33">
        <v>0.18472222222222223</v>
      </c>
      <c r="C303" s="10" t="s">
        <v>279</v>
      </c>
      <c r="D303" s="10">
        <v>0</v>
      </c>
      <c r="E303" s="10" t="s">
        <v>911</v>
      </c>
      <c r="F303" s="10">
        <v>1</v>
      </c>
      <c r="G303" s="10" t="s">
        <v>231</v>
      </c>
      <c r="H303" s="10" t="s">
        <v>322</v>
      </c>
      <c r="I303" s="10" t="s">
        <v>224</v>
      </c>
      <c r="J303" s="10">
        <v>27</v>
      </c>
      <c r="K303" s="12">
        <v>44930</v>
      </c>
      <c r="L303" s="33">
        <v>0.59780092592592593</v>
      </c>
      <c r="M303" s="10">
        <v>1</v>
      </c>
      <c r="N303" s="10" t="s">
        <v>196</v>
      </c>
      <c r="O303" s="10">
        <v>6.3</v>
      </c>
      <c r="P303" s="10">
        <v>0.37</v>
      </c>
      <c r="Q303" s="10">
        <v>1250</v>
      </c>
      <c r="R303" s="10" t="s">
        <v>170</v>
      </c>
      <c r="S303" s="34">
        <f t="shared" si="28"/>
        <v>1275.224471</v>
      </c>
      <c r="T303" s="10" t="s">
        <v>966</v>
      </c>
      <c r="U303" s="34" t="str">
        <f t="shared" si="29"/>
        <v/>
      </c>
      <c r="V303" s="31" t="str">
        <f>IF(H303="CHK",VLOOKUP(I303,QCCHK,3,),IF(H303="GUP",VLOOKUP(E303,QCGUP,2,),IF(AND(H303="ATP",OR(I303="TN",I303="TDN",I303="TNO2-3",I303="NO2-3")),VLOOKUP(E303,QCREC_N,2,),IF(AND(H303="NIC",OR(I303="TN",I303="TDN",I303="TNO2-3",I303="NO2-3")),VLOOKUP(E303,QCNIC_N,2,),IF(AND(H303="UREA",OR(I303="TN",I303="TDN",I303="TNO2-3",I303="NO2-3")),VLOOKUP(E303,QCUREA_N,2,),IF(H303="PER",VLOOKUP(I303,QCPER,MATCH(E303,QCACTUAL!$J$25:$AA$25,0),),IF(H303="SPK",VLOOKUP(I303,QCSPK,3,),IF(AND(H303="ATP",OR(I303="TP",I303="TDP")),VLOOKUP(E303,QCATP_P,2,),""))))))))</f>
        <v/>
      </c>
      <c r="W303" s="31" t="str">
        <f t="shared" si="30"/>
        <v>TRUE</v>
      </c>
      <c r="X303" s="31" t="str">
        <f t="shared" si="31"/>
        <v/>
      </c>
      <c r="Y303" s="10" t="s">
        <v>959</v>
      </c>
      <c r="Z303" s="10" t="s">
        <v>910</v>
      </c>
      <c r="AF303" s="12">
        <v>44930</v>
      </c>
      <c r="AJ303" s="10">
        <f>0.4739*6.3^2+205.64*6.3-100.4</f>
        <v>1213.9410909999999</v>
      </c>
      <c r="AK303" s="10">
        <f>-0.5241*6.3^2+227.02*6.3-134.2</f>
        <v>1275.224471</v>
      </c>
      <c r="AL303" s="10" t="str">
        <f t="shared" si="33"/>
        <v>FALSE</v>
      </c>
      <c r="AM303" s="10" t="str">
        <f t="shared" si="33"/>
        <v>FALSE</v>
      </c>
      <c r="AN303" s="10" t="str">
        <f t="shared" si="33"/>
        <v>FALSE</v>
      </c>
      <c r="AO303" s="10" t="str">
        <f t="shared" si="34"/>
        <v>y=0.4739*6.3^2+205.64*6.3-100.4</v>
      </c>
      <c r="AP303" s="10" t="str">
        <f t="shared" si="34"/>
        <v>y=-0.5241*6.3^2+227.02*6.3-134.2</v>
      </c>
      <c r="AQ303" s="10" t="b">
        <f>IF(AND(I303="TP",S303&lt;=150),VLOOKUP(AF303,TPCalibEq150!$AZ$2:$BB$55,3,),IF(AND(I303="TDP",S303&lt;=150),VLOOKUP(AF303,TPCalibEq150!$AZ$2:$BB$55,3,)))</f>
        <v>0</v>
      </c>
      <c r="AR303" s="10" t="b">
        <f>IF(AND(I303="TP",S303&lt;=300),VLOOKUP(AF303,TPCalibEq300!$AZ$2:$BB$55,3,),IF(AND(I303="TDP",S303&lt;=300),VLOOKUP(AF303,TPCalibEq300!$AZ$2:$BB$55,3,)))</f>
        <v>0</v>
      </c>
      <c r="AS303" s="10" t="b">
        <f>IF(AND(I303="TP",S303&lt;=500),VLOOKUP(AF303,TPCalibEq500!$AZ$2:$BB$56,3,),IF(AND(I303="TDP",S303&lt;=500),VLOOKUP(AF303,TPCalibEq500!$AZ$2:$BB$56,3,)))</f>
        <v>0</v>
      </c>
      <c r="AT303" s="10" t="str">
        <f>IF(AND(I303="TN",S303&lt;=2800),VLOOKUP(AF303,TNCalibEq2500!$AZ$2:$BB$56,3,),IF(AND(I303="TDN",S303&lt;=2800),VLOOKUP(AF303,TNCalibEq2500!$AZ$2:$BB$56,3,)))</f>
        <v>y=0.4739x2+205.64x-100.4</v>
      </c>
      <c r="AU303" s="10" t="str">
        <f>IF(I303="TP",VLOOKUP(AF303,TPCalibEqFull!$AZ$2:$BB$56,3),IF(I303="TDP",VLOOKUP(AF303,TPCalibEqFull!$AZ$2:$BB$56,3),IF(I303="TDN",VLOOKUP(AF303,TNCalibEqFull!$AZ$1:$BB$56,3),IF(I303="TN",VLOOKUP(AF303,TNCalibEqFull!$AZ$1:$BB$56,3),FALSE))))</f>
        <v>y=-0.5241x2+227.02x-134.2</v>
      </c>
      <c r="AV303" s="10" t="str">
        <f t="shared" si="32"/>
        <v>1215 04:26:00-EFK-0-FIL-1-SW-UKN</v>
      </c>
    </row>
    <row r="304" spans="1:48" s="10" customFormat="1" x14ac:dyDescent="0.55000000000000004">
      <c r="A304" s="32">
        <v>44910</v>
      </c>
      <c r="B304" s="33">
        <v>0.18819444444444444</v>
      </c>
      <c r="C304" s="10" t="s">
        <v>333</v>
      </c>
      <c r="D304" s="10">
        <v>0</v>
      </c>
      <c r="E304" s="10" t="s">
        <v>911</v>
      </c>
      <c r="F304" s="10">
        <v>1</v>
      </c>
      <c r="G304" s="10" t="s">
        <v>231</v>
      </c>
      <c r="H304" s="10" t="s">
        <v>322</v>
      </c>
      <c r="I304" s="10" t="s">
        <v>224</v>
      </c>
      <c r="J304" s="10">
        <v>28</v>
      </c>
      <c r="K304" s="12">
        <v>44930</v>
      </c>
      <c r="L304" s="33">
        <v>0.59846064814814814</v>
      </c>
      <c r="M304" s="10">
        <v>1</v>
      </c>
      <c r="N304" s="10" t="s">
        <v>196</v>
      </c>
      <c r="O304" s="10">
        <v>4.4400000000000004</v>
      </c>
      <c r="P304" s="10">
        <v>0.26100000000000001</v>
      </c>
      <c r="Q304" s="10">
        <v>847</v>
      </c>
      <c r="R304" s="10" t="s">
        <v>170</v>
      </c>
      <c r="S304" s="34">
        <f t="shared" si="28"/>
        <v>863.43690224000011</v>
      </c>
      <c r="T304" s="10" t="s">
        <v>966</v>
      </c>
      <c r="U304" s="34" t="str">
        <f t="shared" si="29"/>
        <v/>
      </c>
      <c r="V304" s="31" t="str">
        <f>IF(H304="CHK",VLOOKUP(I304,QCCHK,3,),IF(H304="GUP",VLOOKUP(E304,QCGUP,2,),IF(AND(H304="ATP",OR(I304="TN",I304="TDN",I304="TNO2-3",I304="NO2-3")),VLOOKUP(E304,QCREC_N,2,),IF(AND(H304="NIC",OR(I304="TN",I304="TDN",I304="TNO2-3",I304="NO2-3")),VLOOKUP(E304,QCNIC_N,2,),IF(AND(H304="UREA",OR(I304="TN",I304="TDN",I304="TNO2-3",I304="NO2-3")),VLOOKUP(E304,QCUREA_N,2,),IF(H304="PER",VLOOKUP(I304,QCPER,MATCH(E304,QCACTUAL!$J$25:$AA$25,0),),IF(H304="SPK",VLOOKUP(I304,QCSPK,3,),IF(AND(H304="ATP",OR(I304="TP",I304="TDP")),VLOOKUP(E304,QCATP_P,2,),""))))))))</f>
        <v/>
      </c>
      <c r="W304" s="31" t="str">
        <f t="shared" si="30"/>
        <v>TRUE</v>
      </c>
      <c r="X304" s="31" t="str">
        <f t="shared" si="31"/>
        <v/>
      </c>
      <c r="Y304" s="10" t="s">
        <v>959</v>
      </c>
      <c r="Z304" s="10" t="s">
        <v>910</v>
      </c>
      <c r="AF304" s="12">
        <v>44930</v>
      </c>
      <c r="AJ304" s="10">
        <f>0.4739*4.44^2+205.64*4.44-100.4</f>
        <v>821.98387504000004</v>
      </c>
      <c r="AK304" s="10">
        <f>-0.5241*4.44^2+227.02*4.44-134.2</f>
        <v>863.43690224000011</v>
      </c>
      <c r="AL304" s="10" t="str">
        <f t="shared" si="33"/>
        <v>FALSE</v>
      </c>
      <c r="AM304" s="10" t="str">
        <f t="shared" si="33"/>
        <v>FALSE</v>
      </c>
      <c r="AN304" s="10" t="str">
        <f t="shared" si="33"/>
        <v>FALSE</v>
      </c>
      <c r="AO304" s="10" t="str">
        <f t="shared" si="34"/>
        <v>y=0.4739*4.44^2+205.64*4.44-100.4</v>
      </c>
      <c r="AP304" s="10" t="str">
        <f t="shared" si="34"/>
        <v>y=-0.5241*4.44^2+227.02*4.44-134.2</v>
      </c>
      <c r="AQ304" s="10" t="b">
        <f>IF(AND(I304="TP",S304&lt;=150),VLOOKUP(AF304,TPCalibEq150!$AZ$2:$BB$55,3,),IF(AND(I304="TDP",S304&lt;=150),VLOOKUP(AF304,TPCalibEq150!$AZ$2:$BB$55,3,)))</f>
        <v>0</v>
      </c>
      <c r="AR304" s="10" t="b">
        <f>IF(AND(I304="TP",S304&lt;=300),VLOOKUP(AF304,TPCalibEq300!$AZ$2:$BB$55,3,),IF(AND(I304="TDP",S304&lt;=300),VLOOKUP(AF304,TPCalibEq300!$AZ$2:$BB$55,3,)))</f>
        <v>0</v>
      </c>
      <c r="AS304" s="10" t="b">
        <f>IF(AND(I304="TP",S304&lt;=500),VLOOKUP(AF304,TPCalibEq500!$AZ$2:$BB$56,3,),IF(AND(I304="TDP",S304&lt;=500),VLOOKUP(AF304,TPCalibEq500!$AZ$2:$BB$56,3,)))</f>
        <v>0</v>
      </c>
      <c r="AT304" s="10" t="str">
        <f>IF(AND(I304="TN",S304&lt;=2800),VLOOKUP(AF304,TNCalibEq2500!$AZ$2:$BB$56,3,),IF(AND(I304="TDN",S304&lt;=2800),VLOOKUP(AF304,TNCalibEq2500!$AZ$2:$BB$56,3,)))</f>
        <v>y=0.4739x2+205.64x-100.4</v>
      </c>
      <c r="AU304" s="10" t="str">
        <f>IF(I304="TP",VLOOKUP(AF304,TPCalibEqFull!$AZ$2:$BB$56,3),IF(I304="TDP",VLOOKUP(AF304,TPCalibEqFull!$AZ$2:$BB$56,3),IF(I304="TDN",VLOOKUP(AF304,TNCalibEqFull!$AZ$1:$BB$56,3),IF(I304="TN",VLOOKUP(AF304,TNCalibEqFull!$AZ$1:$BB$56,3),FALSE))))</f>
        <v>y=-0.5241x2+227.02x-134.2</v>
      </c>
      <c r="AV304" s="10" t="str">
        <f t="shared" si="32"/>
        <v>1215 04:31:00-HST-0-FIL-1-SW-UKN</v>
      </c>
    </row>
    <row r="305" spans="1:48" s="10" customFormat="1" x14ac:dyDescent="0.55000000000000004">
      <c r="A305" s="32">
        <v>44911</v>
      </c>
      <c r="B305" s="33">
        <v>0.4993055555555555</v>
      </c>
      <c r="C305" s="10" t="s">
        <v>279</v>
      </c>
      <c r="D305" s="10">
        <v>0</v>
      </c>
      <c r="E305" s="10" t="s">
        <v>911</v>
      </c>
      <c r="F305" s="10">
        <v>1</v>
      </c>
      <c r="G305" s="10" t="s">
        <v>231</v>
      </c>
      <c r="H305" s="10" t="s">
        <v>322</v>
      </c>
      <c r="I305" s="10" t="s">
        <v>224</v>
      </c>
      <c r="J305" s="10">
        <v>29</v>
      </c>
      <c r="K305" s="12">
        <v>44930</v>
      </c>
      <c r="L305" s="33">
        <v>0.59912037037037036</v>
      </c>
      <c r="M305" s="10">
        <v>1</v>
      </c>
      <c r="N305" s="10" t="s">
        <v>196</v>
      </c>
      <c r="O305" s="10">
        <v>5.82</v>
      </c>
      <c r="P305" s="10">
        <v>0.34300000000000003</v>
      </c>
      <c r="Q305" s="10">
        <v>1140</v>
      </c>
      <c r="R305" s="10" t="s">
        <v>170</v>
      </c>
      <c r="S305" s="34">
        <f t="shared" si="28"/>
        <v>1169.3038751600002</v>
      </c>
      <c r="T305" s="10" t="s">
        <v>966</v>
      </c>
      <c r="U305" s="34" t="str">
        <f t="shared" si="29"/>
        <v/>
      </c>
      <c r="V305" s="31" t="str">
        <f>IF(H305="CHK",VLOOKUP(I305,QCCHK,3,),IF(H305="GUP",VLOOKUP(E305,QCGUP,2,),IF(AND(H305="ATP",OR(I305="TN",I305="TDN",I305="TNO2-3",I305="NO2-3")),VLOOKUP(E305,QCREC_N,2,),IF(AND(H305="NIC",OR(I305="TN",I305="TDN",I305="TNO2-3",I305="NO2-3")),VLOOKUP(E305,QCNIC_N,2,),IF(AND(H305="UREA",OR(I305="TN",I305="TDN",I305="TNO2-3",I305="NO2-3")),VLOOKUP(E305,QCUREA_N,2,),IF(H305="PER",VLOOKUP(I305,QCPER,MATCH(E305,QCACTUAL!$J$25:$AA$25,0),),IF(H305="SPK",VLOOKUP(I305,QCSPK,3,),IF(AND(H305="ATP",OR(I305="TP",I305="TDP")),VLOOKUP(E305,QCATP_P,2,),""))))))))</f>
        <v/>
      </c>
      <c r="W305" s="31" t="str">
        <f t="shared" si="30"/>
        <v>TRUE</v>
      </c>
      <c r="X305" s="31" t="str">
        <f t="shared" si="31"/>
        <v/>
      </c>
      <c r="Y305" s="10" t="s">
        <v>959</v>
      </c>
      <c r="Z305" s="10" t="s">
        <v>910</v>
      </c>
      <c r="AF305" s="12">
        <v>44930</v>
      </c>
      <c r="AJ305" s="10">
        <f>0.4739*5.82^2+205.64*5.82-100.4</f>
        <v>1112.4769303599999</v>
      </c>
      <c r="AK305" s="10">
        <f>-0.5241*5.82^2+227.02*5.82-134.2</f>
        <v>1169.3038751600002</v>
      </c>
      <c r="AL305" s="10" t="str">
        <f t="shared" si="33"/>
        <v>FALSE</v>
      </c>
      <c r="AM305" s="10" t="str">
        <f t="shared" si="33"/>
        <v>FALSE</v>
      </c>
      <c r="AN305" s="10" t="str">
        <f t="shared" si="33"/>
        <v>FALSE</v>
      </c>
      <c r="AO305" s="10" t="str">
        <f t="shared" si="34"/>
        <v>y=0.4739*5.82^2+205.64*5.82-100.4</v>
      </c>
      <c r="AP305" s="10" t="str">
        <f t="shared" si="34"/>
        <v>y=-0.5241*5.82^2+227.02*5.82-134.2</v>
      </c>
      <c r="AQ305" s="10" t="b">
        <f>IF(AND(I305="TP",S305&lt;=150),VLOOKUP(AF305,TPCalibEq150!$AZ$2:$BB$55,3,),IF(AND(I305="TDP",S305&lt;=150),VLOOKUP(AF305,TPCalibEq150!$AZ$2:$BB$55,3,)))</f>
        <v>0</v>
      </c>
      <c r="AR305" s="10" t="b">
        <f>IF(AND(I305="TP",S305&lt;=300),VLOOKUP(AF305,TPCalibEq300!$AZ$2:$BB$55,3,),IF(AND(I305="TDP",S305&lt;=300),VLOOKUP(AF305,TPCalibEq300!$AZ$2:$BB$55,3,)))</f>
        <v>0</v>
      </c>
      <c r="AS305" s="10" t="b">
        <f>IF(AND(I305="TP",S305&lt;=500),VLOOKUP(AF305,TPCalibEq500!$AZ$2:$BB$56,3,),IF(AND(I305="TDP",S305&lt;=500),VLOOKUP(AF305,TPCalibEq500!$AZ$2:$BB$56,3,)))</f>
        <v>0</v>
      </c>
      <c r="AT305" s="10" t="str">
        <f>IF(AND(I305="TN",S305&lt;=2800),VLOOKUP(AF305,TNCalibEq2500!$AZ$2:$BB$56,3,),IF(AND(I305="TDN",S305&lt;=2800),VLOOKUP(AF305,TNCalibEq2500!$AZ$2:$BB$56,3,)))</f>
        <v>y=0.4739x2+205.64x-100.4</v>
      </c>
      <c r="AU305" s="10" t="str">
        <f>IF(I305="TP",VLOOKUP(AF305,TPCalibEqFull!$AZ$2:$BB$56,3),IF(I305="TDP",VLOOKUP(AF305,TPCalibEqFull!$AZ$2:$BB$56,3),IF(I305="TDN",VLOOKUP(AF305,TNCalibEqFull!$AZ$1:$BB$56,3),IF(I305="TN",VLOOKUP(AF305,TNCalibEqFull!$AZ$1:$BB$56,3),FALSE))))</f>
        <v>y=-0.5241x2+227.02x-134.2</v>
      </c>
      <c r="AV305" s="10" t="str">
        <f t="shared" si="32"/>
        <v>1216 11:59:00-EFK-0-FIL-1-SW-UKN</v>
      </c>
    </row>
    <row r="306" spans="1:48" s="10" customFormat="1" x14ac:dyDescent="0.55000000000000004">
      <c r="A306" s="32">
        <v>44911</v>
      </c>
      <c r="B306" s="33">
        <v>0.49722222222222223</v>
      </c>
      <c r="C306" s="10" t="s">
        <v>333</v>
      </c>
      <c r="D306" s="10">
        <v>0</v>
      </c>
      <c r="E306" s="10" t="s">
        <v>911</v>
      </c>
      <c r="F306" s="10">
        <v>1</v>
      </c>
      <c r="G306" s="10" t="s">
        <v>231</v>
      </c>
      <c r="H306" s="10" t="s">
        <v>322</v>
      </c>
      <c r="I306" s="10" t="s">
        <v>224</v>
      </c>
      <c r="J306" s="10">
        <v>30</v>
      </c>
      <c r="K306" s="12">
        <v>44930</v>
      </c>
      <c r="L306" s="33">
        <v>0.59976851851851853</v>
      </c>
      <c r="M306" s="10">
        <v>1</v>
      </c>
      <c r="N306" s="10" t="s">
        <v>196</v>
      </c>
      <c r="O306" s="10">
        <v>4.3099999999999996</v>
      </c>
      <c r="P306" s="10">
        <v>0.252</v>
      </c>
      <c r="Q306" s="10">
        <v>819</v>
      </c>
      <c r="R306" s="10" t="s">
        <v>170</v>
      </c>
      <c r="S306" s="34">
        <f t="shared" si="28"/>
        <v>834.52046599000005</v>
      </c>
      <c r="T306" s="10" t="s">
        <v>966</v>
      </c>
      <c r="U306" s="34" t="str">
        <f t="shared" si="29"/>
        <v/>
      </c>
      <c r="V306" s="31" t="str">
        <f>IF(H306="CHK",VLOOKUP(I306,QCCHK,3,),IF(H306="GUP",VLOOKUP(E306,QCGUP,2,),IF(AND(H306="ATP",OR(I306="TN",I306="TDN",I306="TNO2-3",I306="NO2-3")),VLOOKUP(E306,QCREC_N,2,),IF(AND(H306="NIC",OR(I306="TN",I306="TDN",I306="TNO2-3",I306="NO2-3")),VLOOKUP(E306,QCNIC_N,2,),IF(AND(H306="UREA",OR(I306="TN",I306="TDN",I306="TNO2-3",I306="NO2-3")),VLOOKUP(E306,QCUREA_N,2,),IF(H306="PER",VLOOKUP(I306,QCPER,MATCH(E306,QCACTUAL!$J$25:$AA$25,0),),IF(H306="SPK",VLOOKUP(I306,QCSPK,3,),IF(AND(H306="ATP",OR(I306="TP",I306="TDP")),VLOOKUP(E306,QCATP_P,2,),""))))))))</f>
        <v/>
      </c>
      <c r="W306" s="31" t="str">
        <f t="shared" si="30"/>
        <v>TRUE</v>
      </c>
      <c r="X306" s="31" t="str">
        <f t="shared" si="31"/>
        <v/>
      </c>
      <c r="Y306" s="10" t="s">
        <v>959</v>
      </c>
      <c r="Z306" s="10" t="s">
        <v>910</v>
      </c>
      <c r="AF306" s="12">
        <v>44930</v>
      </c>
      <c r="AJ306" s="10">
        <f>0.4739*4.31^2+205.64*4.31-100.4</f>
        <v>794.71161378999989</v>
      </c>
      <c r="AK306" s="10">
        <f>-0.5241*4.31^2+227.02*4.31-134.2</f>
        <v>834.52046599000005</v>
      </c>
      <c r="AL306" s="10" t="str">
        <f t="shared" si="33"/>
        <v>FALSE</v>
      </c>
      <c r="AM306" s="10" t="str">
        <f t="shared" si="33"/>
        <v>FALSE</v>
      </c>
      <c r="AN306" s="10" t="str">
        <f t="shared" si="33"/>
        <v>FALSE</v>
      </c>
      <c r="AO306" s="10" t="str">
        <f t="shared" si="34"/>
        <v>y=0.4739*4.31^2+205.64*4.31-100.4</v>
      </c>
      <c r="AP306" s="10" t="str">
        <f t="shared" si="34"/>
        <v>y=-0.5241*4.31^2+227.02*4.31-134.2</v>
      </c>
      <c r="AQ306" s="10" t="b">
        <f>IF(AND(I306="TP",S306&lt;=150),VLOOKUP(AF306,TPCalibEq150!$AZ$2:$BB$55,3,),IF(AND(I306="TDP",S306&lt;=150),VLOOKUP(AF306,TPCalibEq150!$AZ$2:$BB$55,3,)))</f>
        <v>0</v>
      </c>
      <c r="AR306" s="10" t="b">
        <f>IF(AND(I306="TP",S306&lt;=300),VLOOKUP(AF306,TPCalibEq300!$AZ$2:$BB$55,3,),IF(AND(I306="TDP",S306&lt;=300),VLOOKUP(AF306,TPCalibEq300!$AZ$2:$BB$55,3,)))</f>
        <v>0</v>
      </c>
      <c r="AS306" s="10" t="b">
        <f>IF(AND(I306="TP",S306&lt;=500),VLOOKUP(AF306,TPCalibEq500!$AZ$2:$BB$56,3,),IF(AND(I306="TDP",S306&lt;=500),VLOOKUP(AF306,TPCalibEq500!$AZ$2:$BB$56,3,)))</f>
        <v>0</v>
      </c>
      <c r="AT306" s="10" t="str">
        <f>IF(AND(I306="TN",S306&lt;=2800),VLOOKUP(AF306,TNCalibEq2500!$AZ$2:$BB$56,3,),IF(AND(I306="TDN",S306&lt;=2800),VLOOKUP(AF306,TNCalibEq2500!$AZ$2:$BB$56,3,)))</f>
        <v>y=0.4739x2+205.64x-100.4</v>
      </c>
      <c r="AU306" s="10" t="str">
        <f>IF(I306="TP",VLOOKUP(AF306,TPCalibEqFull!$AZ$2:$BB$56,3),IF(I306="TDP",VLOOKUP(AF306,TPCalibEqFull!$AZ$2:$BB$56,3),IF(I306="TDN",VLOOKUP(AF306,TNCalibEqFull!$AZ$1:$BB$56,3),IF(I306="TN",VLOOKUP(AF306,TNCalibEqFull!$AZ$1:$BB$56,3),FALSE))))</f>
        <v>y=-0.5241x2+227.02x-134.2</v>
      </c>
      <c r="AV306" s="10" t="str">
        <f t="shared" si="32"/>
        <v>1216 11:56:00-HST-0-FIL-1-SW-UKN</v>
      </c>
    </row>
    <row r="307" spans="1:48" s="10" customFormat="1" x14ac:dyDescent="0.55000000000000004">
      <c r="A307" s="32">
        <v>44914</v>
      </c>
      <c r="B307" s="33">
        <v>0.22361111111111109</v>
      </c>
      <c r="C307" s="10" t="s">
        <v>279</v>
      </c>
      <c r="D307" s="10">
        <v>0</v>
      </c>
      <c r="E307" s="10" t="s">
        <v>911</v>
      </c>
      <c r="F307" s="10">
        <v>1</v>
      </c>
      <c r="G307" s="10" t="s">
        <v>231</v>
      </c>
      <c r="H307" s="10" t="s">
        <v>322</v>
      </c>
      <c r="I307" s="10" t="s">
        <v>224</v>
      </c>
      <c r="J307" s="10">
        <v>31</v>
      </c>
      <c r="K307" s="12">
        <v>44930</v>
      </c>
      <c r="L307" s="33">
        <v>0.60043981481481479</v>
      </c>
      <c r="M307" s="10">
        <v>1</v>
      </c>
      <c r="N307" s="10" t="s">
        <v>196</v>
      </c>
      <c r="O307" s="10">
        <v>6.25</v>
      </c>
      <c r="P307" s="10">
        <v>0.36499999999999999</v>
      </c>
      <c r="Q307" s="10">
        <v>1240</v>
      </c>
      <c r="R307" s="10" t="s">
        <v>170</v>
      </c>
      <c r="S307" s="34">
        <f t="shared" si="28"/>
        <v>1264.20234375</v>
      </c>
      <c r="T307" s="10" t="s">
        <v>966</v>
      </c>
      <c r="U307" s="34" t="str">
        <f t="shared" si="29"/>
        <v/>
      </c>
      <c r="V307" s="31" t="str">
        <f>IF(H307="CHK",VLOOKUP(I307,QCCHK,3,),IF(H307="GUP",VLOOKUP(E307,QCGUP,2,),IF(AND(H307="ATP",OR(I307="TN",I307="TDN",I307="TNO2-3",I307="NO2-3")),VLOOKUP(E307,QCREC_N,2,),IF(AND(H307="NIC",OR(I307="TN",I307="TDN",I307="TNO2-3",I307="NO2-3")),VLOOKUP(E307,QCNIC_N,2,),IF(AND(H307="UREA",OR(I307="TN",I307="TDN",I307="TNO2-3",I307="NO2-3")),VLOOKUP(E307,QCUREA_N,2,),IF(H307="PER",VLOOKUP(I307,QCPER,MATCH(E307,QCACTUAL!$J$25:$AA$25,0),),IF(H307="SPK",VLOOKUP(I307,QCSPK,3,),IF(AND(H307="ATP",OR(I307="TP",I307="TDP")),VLOOKUP(E307,QCATP_P,2,),""))))))))</f>
        <v/>
      </c>
      <c r="W307" s="31" t="str">
        <f t="shared" si="30"/>
        <v>TRUE</v>
      </c>
      <c r="X307" s="31" t="str">
        <f t="shared" si="31"/>
        <v/>
      </c>
      <c r="Y307" s="10" t="s">
        <v>959</v>
      </c>
      <c r="Z307" s="10" t="s">
        <v>910</v>
      </c>
      <c r="AF307" s="12">
        <v>44930</v>
      </c>
      <c r="AJ307" s="10">
        <f>0.4739*6.25^2+205.64*6.25-100.4</f>
        <v>1203.3617187499999</v>
      </c>
      <c r="AK307" s="10">
        <f>-0.5241*6.25^2+227.02*6.25-134.2</f>
        <v>1264.20234375</v>
      </c>
      <c r="AL307" s="10" t="str">
        <f t="shared" si="33"/>
        <v>FALSE</v>
      </c>
      <c r="AM307" s="10" t="str">
        <f t="shared" si="33"/>
        <v>FALSE</v>
      </c>
      <c r="AN307" s="10" t="str">
        <f t="shared" si="33"/>
        <v>FALSE</v>
      </c>
      <c r="AO307" s="10" t="str">
        <f t="shared" si="34"/>
        <v>y=0.4739*6.25^2+205.64*6.25-100.4</v>
      </c>
      <c r="AP307" s="10" t="str">
        <f t="shared" si="34"/>
        <v>y=-0.5241*6.25^2+227.02*6.25-134.2</v>
      </c>
      <c r="AQ307" s="10" t="b">
        <f>IF(AND(I307="TP",S307&lt;=150),VLOOKUP(AF307,TPCalibEq150!$AZ$2:$BB$55,3,),IF(AND(I307="TDP",S307&lt;=150),VLOOKUP(AF307,TPCalibEq150!$AZ$2:$BB$55,3,)))</f>
        <v>0</v>
      </c>
      <c r="AR307" s="10" t="b">
        <f>IF(AND(I307="TP",S307&lt;=300),VLOOKUP(AF307,TPCalibEq300!$AZ$2:$BB$55,3,),IF(AND(I307="TDP",S307&lt;=300),VLOOKUP(AF307,TPCalibEq300!$AZ$2:$BB$55,3,)))</f>
        <v>0</v>
      </c>
      <c r="AS307" s="10" t="b">
        <f>IF(AND(I307="TP",S307&lt;=500),VLOOKUP(AF307,TPCalibEq500!$AZ$2:$BB$56,3,),IF(AND(I307="TDP",S307&lt;=500),VLOOKUP(AF307,TPCalibEq500!$AZ$2:$BB$56,3,)))</f>
        <v>0</v>
      </c>
      <c r="AT307" s="10" t="str">
        <f>IF(AND(I307="TN",S307&lt;=2800),VLOOKUP(AF307,TNCalibEq2500!$AZ$2:$BB$56,3,),IF(AND(I307="TDN",S307&lt;=2800),VLOOKUP(AF307,TNCalibEq2500!$AZ$2:$BB$56,3,)))</f>
        <v>y=0.4739x2+205.64x-100.4</v>
      </c>
      <c r="AU307" s="10" t="str">
        <f>IF(I307="TP",VLOOKUP(AF307,TPCalibEqFull!$AZ$2:$BB$56,3),IF(I307="TDP",VLOOKUP(AF307,TPCalibEqFull!$AZ$2:$BB$56,3),IF(I307="TDN",VLOOKUP(AF307,TNCalibEqFull!$AZ$1:$BB$56,3),IF(I307="TN",VLOOKUP(AF307,TNCalibEqFull!$AZ$1:$BB$56,3),FALSE))))</f>
        <v>y=-0.5241x2+227.02x-134.2</v>
      </c>
      <c r="AV307" s="10" t="str">
        <f t="shared" si="32"/>
        <v>1219 05:22:00-EFK-0-FIL-1-SW-UKN</v>
      </c>
    </row>
    <row r="308" spans="1:48" s="10" customFormat="1" x14ac:dyDescent="0.55000000000000004">
      <c r="A308" s="32">
        <v>44914</v>
      </c>
      <c r="B308" s="33">
        <v>0.23124999999999998</v>
      </c>
      <c r="C308" s="10" t="s">
        <v>333</v>
      </c>
      <c r="D308" s="10">
        <v>0</v>
      </c>
      <c r="E308" s="10" t="s">
        <v>911</v>
      </c>
      <c r="F308" s="10">
        <v>1</v>
      </c>
      <c r="G308" s="10" t="s">
        <v>231</v>
      </c>
      <c r="H308" s="10" t="s">
        <v>322</v>
      </c>
      <c r="I308" s="10" t="s">
        <v>224</v>
      </c>
      <c r="J308" s="10">
        <v>32</v>
      </c>
      <c r="K308" s="12">
        <v>44930</v>
      </c>
      <c r="L308" s="33">
        <v>0.60111111111111104</v>
      </c>
      <c r="M308" s="10">
        <v>1</v>
      </c>
      <c r="N308" s="10" t="s">
        <v>196</v>
      </c>
      <c r="O308" s="10">
        <v>3.88</v>
      </c>
      <c r="P308" s="10">
        <v>0.22600000000000001</v>
      </c>
      <c r="Q308" s="10">
        <v>728</v>
      </c>
      <c r="R308" s="10" t="s">
        <v>170</v>
      </c>
      <c r="S308" s="34">
        <f t="shared" si="28"/>
        <v>738.74758896000003</v>
      </c>
      <c r="T308" s="10" t="s">
        <v>966</v>
      </c>
      <c r="U308" s="34" t="str">
        <f t="shared" si="29"/>
        <v/>
      </c>
      <c r="V308" s="31" t="str">
        <f>IF(H308="CHK",VLOOKUP(I308,QCCHK,3,),IF(H308="GUP",VLOOKUP(E308,QCGUP,2,),IF(AND(H308="ATP",OR(I308="TN",I308="TDN",I308="TNO2-3",I308="NO2-3")),VLOOKUP(E308,QCREC_N,2,),IF(AND(H308="NIC",OR(I308="TN",I308="TDN",I308="TNO2-3",I308="NO2-3")),VLOOKUP(E308,QCNIC_N,2,),IF(AND(H308="UREA",OR(I308="TN",I308="TDN",I308="TNO2-3",I308="NO2-3")),VLOOKUP(E308,QCUREA_N,2,),IF(H308="PER",VLOOKUP(I308,QCPER,MATCH(E308,QCACTUAL!$J$25:$AA$25,0),),IF(H308="SPK",VLOOKUP(I308,QCSPK,3,),IF(AND(H308="ATP",OR(I308="TP",I308="TDP")),VLOOKUP(E308,QCATP_P,2,),""))))))))</f>
        <v/>
      </c>
      <c r="W308" s="31" t="str">
        <f t="shared" si="30"/>
        <v>TRUE</v>
      </c>
      <c r="X308" s="31" t="str">
        <f t="shared" si="31"/>
        <v/>
      </c>
      <c r="Y308" s="10" t="s">
        <v>959</v>
      </c>
      <c r="Z308" s="10" t="s">
        <v>910</v>
      </c>
      <c r="AF308" s="12">
        <v>44930</v>
      </c>
      <c r="AJ308" s="10">
        <f>0.4739*3.88^2+205.64*3.88-100.4</f>
        <v>704.6174801599999</v>
      </c>
      <c r="AK308" s="10">
        <f>-0.5241*3.88^2+227.02*3.88-134.2</f>
        <v>738.74758896000003</v>
      </c>
      <c r="AL308" s="10" t="str">
        <f t="shared" si="33"/>
        <v>FALSE</v>
      </c>
      <c r="AM308" s="10" t="str">
        <f t="shared" si="33"/>
        <v>FALSE</v>
      </c>
      <c r="AN308" s="10" t="str">
        <f t="shared" si="33"/>
        <v>FALSE</v>
      </c>
      <c r="AO308" s="10" t="str">
        <f t="shared" si="34"/>
        <v>y=0.4739*3.88^2+205.64*3.88-100.4</v>
      </c>
      <c r="AP308" s="10" t="str">
        <f t="shared" si="34"/>
        <v>y=-0.5241*3.88^2+227.02*3.88-134.2</v>
      </c>
      <c r="AQ308" s="10" t="b">
        <f>IF(AND(I308="TP",S308&lt;=150),VLOOKUP(AF308,TPCalibEq150!$AZ$2:$BB$55,3,),IF(AND(I308="TDP",S308&lt;=150),VLOOKUP(AF308,TPCalibEq150!$AZ$2:$BB$55,3,)))</f>
        <v>0</v>
      </c>
      <c r="AR308" s="10" t="b">
        <f>IF(AND(I308="TP",S308&lt;=300),VLOOKUP(AF308,TPCalibEq300!$AZ$2:$BB$55,3,),IF(AND(I308="TDP",S308&lt;=300),VLOOKUP(AF308,TPCalibEq300!$AZ$2:$BB$55,3,)))</f>
        <v>0</v>
      </c>
      <c r="AS308" s="10" t="b">
        <f>IF(AND(I308="TP",S308&lt;=500),VLOOKUP(AF308,TPCalibEq500!$AZ$2:$BB$56,3,),IF(AND(I308="TDP",S308&lt;=500),VLOOKUP(AF308,TPCalibEq500!$AZ$2:$BB$56,3,)))</f>
        <v>0</v>
      </c>
      <c r="AT308" s="10" t="str">
        <f>IF(AND(I308="TN",S308&lt;=2800),VLOOKUP(AF308,TNCalibEq2500!$AZ$2:$BB$56,3,),IF(AND(I308="TDN",S308&lt;=2800),VLOOKUP(AF308,TNCalibEq2500!$AZ$2:$BB$56,3,)))</f>
        <v>y=0.4739x2+205.64x-100.4</v>
      </c>
      <c r="AU308" s="10" t="str">
        <f>IF(I308="TP",VLOOKUP(AF308,TPCalibEqFull!$AZ$2:$BB$56,3),IF(I308="TDP",VLOOKUP(AF308,TPCalibEqFull!$AZ$2:$BB$56,3),IF(I308="TDN",VLOOKUP(AF308,TNCalibEqFull!$AZ$1:$BB$56,3),IF(I308="TN",VLOOKUP(AF308,TNCalibEqFull!$AZ$1:$BB$56,3),FALSE))))</f>
        <v>y=-0.5241x2+227.02x-134.2</v>
      </c>
      <c r="AV308" s="10" t="str">
        <f t="shared" si="32"/>
        <v>1219 05:33:00-HST-0-FIL-1-SW-UKN</v>
      </c>
    </row>
    <row r="309" spans="1:48" s="10" customFormat="1" x14ac:dyDescent="0.55000000000000004">
      <c r="A309" s="32">
        <v>44915</v>
      </c>
      <c r="B309" s="33">
        <v>0.23263888888888887</v>
      </c>
      <c r="C309" s="10" t="s">
        <v>279</v>
      </c>
      <c r="D309" s="10">
        <v>0</v>
      </c>
      <c r="E309" s="10" t="s">
        <v>911</v>
      </c>
      <c r="F309" s="10">
        <v>1</v>
      </c>
      <c r="G309" s="10" t="s">
        <v>231</v>
      </c>
      <c r="H309" s="10" t="s">
        <v>322</v>
      </c>
      <c r="I309" s="10" t="s">
        <v>224</v>
      </c>
      <c r="J309" s="10">
        <v>33</v>
      </c>
      <c r="K309" s="12">
        <v>44930</v>
      </c>
      <c r="L309" s="33">
        <v>0.60179398148148155</v>
      </c>
      <c r="M309" s="10">
        <v>1</v>
      </c>
      <c r="N309" s="10" t="s">
        <v>196</v>
      </c>
      <c r="O309" s="10">
        <v>5.4</v>
      </c>
      <c r="P309" s="10">
        <v>0.316</v>
      </c>
      <c r="Q309" s="10">
        <v>1050</v>
      </c>
      <c r="R309" s="10" t="s">
        <v>170</v>
      </c>
      <c r="S309" s="34">
        <f t="shared" si="28"/>
        <v>1076.425244</v>
      </c>
      <c r="T309" s="10" t="s">
        <v>966</v>
      </c>
      <c r="U309" s="34" t="str">
        <f t="shared" si="29"/>
        <v/>
      </c>
      <c r="V309" s="31" t="str">
        <f>IF(H309="CHK",VLOOKUP(I309,QCCHK,3,),IF(H309="GUP",VLOOKUP(E309,QCGUP,2,),IF(AND(H309="ATP",OR(I309="TN",I309="TDN",I309="TNO2-3",I309="NO2-3")),VLOOKUP(E309,QCREC_N,2,),IF(AND(H309="NIC",OR(I309="TN",I309="TDN",I309="TNO2-3",I309="NO2-3")),VLOOKUP(E309,QCNIC_N,2,),IF(AND(H309="UREA",OR(I309="TN",I309="TDN",I309="TNO2-3",I309="NO2-3")),VLOOKUP(E309,QCUREA_N,2,),IF(H309="PER",VLOOKUP(I309,QCPER,MATCH(E309,QCACTUAL!$J$25:$AA$25,0),),IF(H309="SPK",VLOOKUP(I309,QCSPK,3,),IF(AND(H309="ATP",OR(I309="TP",I309="TDP")),VLOOKUP(E309,QCATP_P,2,),""))))))))</f>
        <v/>
      </c>
      <c r="W309" s="31" t="str">
        <f t="shared" si="30"/>
        <v>TRUE</v>
      </c>
      <c r="X309" s="31" t="str">
        <f t="shared" si="31"/>
        <v/>
      </c>
      <c r="Y309" s="10" t="s">
        <v>959</v>
      </c>
      <c r="Z309" s="10" t="s">
        <v>910</v>
      </c>
      <c r="AF309" s="12">
        <v>44930</v>
      </c>
      <c r="AJ309" s="10">
        <f>0.4739*5.4^2+205.64*5.4-100.4</f>
        <v>1023.8749239999999</v>
      </c>
      <c r="AK309" s="10">
        <f>-0.5241*5.4^2+227.02*5.4-134.2</f>
        <v>1076.425244</v>
      </c>
      <c r="AL309" s="10" t="str">
        <f t="shared" si="33"/>
        <v>FALSE</v>
      </c>
      <c r="AM309" s="10" t="str">
        <f t="shared" si="33"/>
        <v>FALSE</v>
      </c>
      <c r="AN309" s="10" t="str">
        <f t="shared" si="33"/>
        <v>FALSE</v>
      </c>
      <c r="AO309" s="10" t="str">
        <f t="shared" si="34"/>
        <v>y=0.4739*5.4^2+205.64*5.4-100.4</v>
      </c>
      <c r="AP309" s="10" t="str">
        <f t="shared" si="34"/>
        <v>y=-0.5241*5.4^2+227.02*5.4-134.2</v>
      </c>
      <c r="AQ309" s="10" t="b">
        <f>IF(AND(I309="TP",S309&lt;=150),VLOOKUP(AF309,TPCalibEq150!$AZ$2:$BB$55,3,),IF(AND(I309="TDP",S309&lt;=150),VLOOKUP(AF309,TPCalibEq150!$AZ$2:$BB$55,3,)))</f>
        <v>0</v>
      </c>
      <c r="AR309" s="10" t="b">
        <f>IF(AND(I309="TP",S309&lt;=300),VLOOKUP(AF309,TPCalibEq300!$AZ$2:$BB$55,3,),IF(AND(I309="TDP",S309&lt;=300),VLOOKUP(AF309,TPCalibEq300!$AZ$2:$BB$55,3,)))</f>
        <v>0</v>
      </c>
      <c r="AS309" s="10" t="b">
        <f>IF(AND(I309="TP",S309&lt;=500),VLOOKUP(AF309,TPCalibEq500!$AZ$2:$BB$56,3,),IF(AND(I309="TDP",S309&lt;=500),VLOOKUP(AF309,TPCalibEq500!$AZ$2:$BB$56,3,)))</f>
        <v>0</v>
      </c>
      <c r="AT309" s="10" t="str">
        <f>IF(AND(I309="TN",S309&lt;=2800),VLOOKUP(AF309,TNCalibEq2500!$AZ$2:$BB$56,3,),IF(AND(I309="TDN",S309&lt;=2800),VLOOKUP(AF309,TNCalibEq2500!$AZ$2:$BB$56,3,)))</f>
        <v>y=0.4739x2+205.64x-100.4</v>
      </c>
      <c r="AU309" s="10" t="str">
        <f>IF(I309="TP",VLOOKUP(AF309,TPCalibEqFull!$AZ$2:$BB$56,3),IF(I309="TDP",VLOOKUP(AF309,TPCalibEqFull!$AZ$2:$BB$56,3),IF(I309="TDN",VLOOKUP(AF309,TNCalibEqFull!$AZ$1:$BB$56,3),IF(I309="TN",VLOOKUP(AF309,TNCalibEqFull!$AZ$1:$BB$56,3),FALSE))))</f>
        <v>y=-0.5241x2+227.02x-134.2</v>
      </c>
      <c r="AV309" s="10" t="str">
        <f t="shared" si="32"/>
        <v>1220 05:35:00-EFK-0-FIL-1-SW-UKN</v>
      </c>
    </row>
    <row r="310" spans="1:48" s="10" customFormat="1" x14ac:dyDescent="0.55000000000000004">
      <c r="A310" s="32">
        <v>44915</v>
      </c>
      <c r="B310" s="33">
        <v>0.24652777777777779</v>
      </c>
      <c r="C310" s="10" t="s">
        <v>333</v>
      </c>
      <c r="D310" s="10">
        <v>0</v>
      </c>
      <c r="E310" s="10" t="s">
        <v>911</v>
      </c>
      <c r="F310" s="10">
        <v>1</v>
      </c>
      <c r="G310" s="10" t="s">
        <v>231</v>
      </c>
      <c r="H310" s="10" t="s">
        <v>322</v>
      </c>
      <c r="I310" s="10" t="s">
        <v>224</v>
      </c>
      <c r="J310" s="10">
        <v>34</v>
      </c>
      <c r="K310" s="12">
        <v>44930</v>
      </c>
      <c r="L310" s="33">
        <v>0.60245370370370377</v>
      </c>
      <c r="M310" s="10">
        <v>1</v>
      </c>
      <c r="N310" s="10" t="s">
        <v>196</v>
      </c>
      <c r="O310" s="10">
        <v>3.44</v>
      </c>
      <c r="P310" s="10">
        <v>0.20300000000000001</v>
      </c>
      <c r="Q310" s="10">
        <v>633</v>
      </c>
      <c r="R310" s="10" t="s">
        <v>170</v>
      </c>
      <c r="S310" s="34">
        <f t="shared" si="28"/>
        <v>640.54681024000001</v>
      </c>
      <c r="T310" s="10" t="s">
        <v>966</v>
      </c>
      <c r="U310" s="34" t="str">
        <f t="shared" si="29"/>
        <v/>
      </c>
      <c r="V310" s="31" t="str">
        <f>IF(H310="CHK",VLOOKUP(I310,QCCHK,3,),IF(H310="GUP",VLOOKUP(E310,QCGUP,2,),IF(AND(H310="ATP",OR(I310="TN",I310="TDN",I310="TNO2-3",I310="NO2-3")),VLOOKUP(E310,QCREC_N,2,),IF(AND(H310="NIC",OR(I310="TN",I310="TDN",I310="TNO2-3",I310="NO2-3")),VLOOKUP(E310,QCNIC_N,2,),IF(AND(H310="UREA",OR(I310="TN",I310="TDN",I310="TNO2-3",I310="NO2-3")),VLOOKUP(E310,QCUREA_N,2,),IF(H310="PER",VLOOKUP(I310,QCPER,MATCH(E310,QCACTUAL!$J$25:$AA$25,0),),IF(H310="SPK",VLOOKUP(I310,QCSPK,3,),IF(AND(H310="ATP",OR(I310="TP",I310="TDP")),VLOOKUP(E310,QCATP_P,2,),""))))))))</f>
        <v/>
      </c>
      <c r="W310" s="31" t="str">
        <f t="shared" si="30"/>
        <v>TRUE</v>
      </c>
      <c r="X310" s="31" t="str">
        <f t="shared" si="31"/>
        <v/>
      </c>
      <c r="Y310" s="10" t="s">
        <v>959</v>
      </c>
      <c r="Z310" s="10" t="s">
        <v>910</v>
      </c>
      <c r="AF310" s="12">
        <v>44930</v>
      </c>
      <c r="AJ310" s="10">
        <f>0.4739*3.44^2+205.64*3.44-100.4</f>
        <v>612.60954303999995</v>
      </c>
      <c r="AK310" s="10">
        <f>-0.5241*3.44^2+227.02*3.44-134.2</f>
        <v>640.54681024000001</v>
      </c>
      <c r="AL310" s="10" t="str">
        <f t="shared" si="33"/>
        <v>FALSE</v>
      </c>
      <c r="AM310" s="10" t="str">
        <f t="shared" si="33"/>
        <v>FALSE</v>
      </c>
      <c r="AN310" s="10" t="str">
        <f t="shared" si="33"/>
        <v>FALSE</v>
      </c>
      <c r="AO310" s="10" t="str">
        <f t="shared" si="34"/>
        <v>y=0.4739*3.44^2+205.64*3.44-100.4</v>
      </c>
      <c r="AP310" s="10" t="str">
        <f t="shared" si="34"/>
        <v>y=-0.5241*3.44^2+227.02*3.44-134.2</v>
      </c>
      <c r="AQ310" s="10" t="b">
        <f>IF(AND(I310="TP",S310&lt;=150),VLOOKUP(AF310,TPCalibEq150!$AZ$2:$BB$55,3,),IF(AND(I310="TDP",S310&lt;=150),VLOOKUP(AF310,TPCalibEq150!$AZ$2:$BB$55,3,)))</f>
        <v>0</v>
      </c>
      <c r="AR310" s="10" t="b">
        <f>IF(AND(I310="TP",S310&lt;=300),VLOOKUP(AF310,TPCalibEq300!$AZ$2:$BB$55,3,),IF(AND(I310="TDP",S310&lt;=300),VLOOKUP(AF310,TPCalibEq300!$AZ$2:$BB$55,3,)))</f>
        <v>0</v>
      </c>
      <c r="AS310" s="10" t="b">
        <f>IF(AND(I310="TP",S310&lt;=500),VLOOKUP(AF310,TPCalibEq500!$AZ$2:$BB$56,3,),IF(AND(I310="TDP",S310&lt;=500),VLOOKUP(AF310,TPCalibEq500!$AZ$2:$BB$56,3,)))</f>
        <v>0</v>
      </c>
      <c r="AT310" s="10" t="str">
        <f>IF(AND(I310="TN",S310&lt;=2800),VLOOKUP(AF310,TNCalibEq2500!$AZ$2:$BB$56,3,),IF(AND(I310="TDN",S310&lt;=2800),VLOOKUP(AF310,TNCalibEq2500!$AZ$2:$BB$56,3,)))</f>
        <v>y=0.4739x2+205.64x-100.4</v>
      </c>
      <c r="AU310" s="10" t="str">
        <f>IF(I310="TP",VLOOKUP(AF310,TPCalibEqFull!$AZ$2:$BB$56,3),IF(I310="TDP",VLOOKUP(AF310,TPCalibEqFull!$AZ$2:$BB$56,3),IF(I310="TDN",VLOOKUP(AF310,TNCalibEqFull!$AZ$1:$BB$56,3),IF(I310="TN",VLOOKUP(AF310,TNCalibEqFull!$AZ$1:$BB$56,3),FALSE))))</f>
        <v>y=-0.5241x2+227.02x-134.2</v>
      </c>
      <c r="AV310" s="10" t="str">
        <f t="shared" si="32"/>
        <v>1220 05:55:00-HST-0-FIL-1-SW-UKN</v>
      </c>
    </row>
    <row r="311" spans="1:48" s="10" customFormat="1" x14ac:dyDescent="0.55000000000000004">
      <c r="A311" s="32">
        <v>44915</v>
      </c>
      <c r="B311" s="33">
        <v>0.24652777777777779</v>
      </c>
      <c r="C311" s="10" t="s">
        <v>333</v>
      </c>
      <c r="D311" s="10">
        <v>0</v>
      </c>
      <c r="E311" s="10" t="s">
        <v>911</v>
      </c>
      <c r="F311" s="10">
        <v>1</v>
      </c>
      <c r="G311" s="10" t="s">
        <v>231</v>
      </c>
      <c r="H311" s="10" t="s">
        <v>233</v>
      </c>
      <c r="I311" s="10" t="s">
        <v>224</v>
      </c>
      <c r="J311" s="10">
        <v>34</v>
      </c>
      <c r="K311" s="12">
        <v>44930</v>
      </c>
      <c r="L311" s="33">
        <v>0.60312500000000002</v>
      </c>
      <c r="M311" s="10">
        <v>1</v>
      </c>
      <c r="N311" s="10" t="s">
        <v>196</v>
      </c>
      <c r="O311" s="10">
        <v>3.49</v>
      </c>
      <c r="P311" s="10">
        <v>0.20799999999999999</v>
      </c>
      <c r="Q311" s="10">
        <v>644</v>
      </c>
      <c r="R311" s="10" t="s">
        <v>170</v>
      </c>
      <c r="S311" s="34">
        <f t="shared" si="28"/>
        <v>651.71620959000006</v>
      </c>
      <c r="T311" s="10" t="s">
        <v>966</v>
      </c>
      <c r="U311" s="34">
        <f t="shared" si="29"/>
        <v>1.7286572746575084</v>
      </c>
      <c r="V311" s="31" t="str">
        <f>IF(H311="CHK",VLOOKUP(I311,QCCHK,3,),IF(H311="GUP",VLOOKUP(E311,QCGUP,2,),IF(AND(H311="ATP",OR(I311="TN",I311="TDN",I311="TNO2-3",I311="NO2-3")),VLOOKUP(E311,QCREC_N,2,),IF(AND(H311="NIC",OR(I311="TN",I311="TDN",I311="TNO2-3",I311="NO2-3")),VLOOKUP(E311,QCNIC_N,2,),IF(AND(H311="UREA",OR(I311="TN",I311="TDN",I311="TNO2-3",I311="NO2-3")),VLOOKUP(E311,QCUREA_N,2,),IF(H311="PER",VLOOKUP(I311,QCPER,MATCH(E311,QCACTUAL!$J$25:$AA$25,0),),IF(H311="SPK",VLOOKUP(I311,QCSPK,3,),IF(AND(H311="ATP",OR(I311="TP",I311="TDP")),VLOOKUP(E311,QCATP_P,2,),""))))))))</f>
        <v/>
      </c>
      <c r="W311" s="31" t="str">
        <f t="shared" si="30"/>
        <v>TRUE</v>
      </c>
      <c r="X311" s="31" t="str">
        <f t="shared" si="31"/>
        <v>((ABS(rep1-rep2))/((rep1+rep2)/2)*100</v>
      </c>
      <c r="Y311" s="10" t="s">
        <v>959</v>
      </c>
      <c r="Z311" s="10" t="s">
        <v>910</v>
      </c>
      <c r="AF311" s="12">
        <v>44930</v>
      </c>
      <c r="AJ311" s="10">
        <f>0.4739*3.49^2+205.64*3.49-100.4</f>
        <v>623.05574938999996</v>
      </c>
      <c r="AK311" s="10">
        <f>-0.5241*3.49^2+227.02*3.49-134.2</f>
        <v>651.71620959000006</v>
      </c>
      <c r="AL311" s="10" t="str">
        <f t="shared" si="33"/>
        <v>FALSE</v>
      </c>
      <c r="AM311" s="10" t="str">
        <f t="shared" si="33"/>
        <v>FALSE</v>
      </c>
      <c r="AN311" s="10" t="str">
        <f t="shared" si="33"/>
        <v>FALSE</v>
      </c>
      <c r="AO311" s="10" t="str">
        <f t="shared" si="34"/>
        <v>y=0.4739*3.49^2+205.64*3.49-100.4</v>
      </c>
      <c r="AP311" s="10" t="str">
        <f t="shared" si="34"/>
        <v>y=-0.5241*3.49^2+227.02*3.49-134.2</v>
      </c>
      <c r="AQ311" s="10" t="b">
        <f>IF(AND(I311="TP",S311&lt;=150),VLOOKUP(AF311,TPCalibEq150!$AZ$2:$BB$55,3,),IF(AND(I311="TDP",S311&lt;=150),VLOOKUP(AF311,TPCalibEq150!$AZ$2:$BB$55,3,)))</f>
        <v>0</v>
      </c>
      <c r="AR311" s="10" t="b">
        <f>IF(AND(I311="TP",S311&lt;=300),VLOOKUP(AF311,TPCalibEq300!$AZ$2:$BB$55,3,),IF(AND(I311="TDP",S311&lt;=300),VLOOKUP(AF311,TPCalibEq300!$AZ$2:$BB$55,3,)))</f>
        <v>0</v>
      </c>
      <c r="AS311" s="10" t="b">
        <f>IF(AND(I311="TP",S311&lt;=500),VLOOKUP(AF311,TPCalibEq500!$AZ$2:$BB$56,3,),IF(AND(I311="TDP",S311&lt;=500),VLOOKUP(AF311,TPCalibEq500!$AZ$2:$BB$56,3,)))</f>
        <v>0</v>
      </c>
      <c r="AT311" s="10" t="str">
        <f>IF(AND(I311="TN",S311&lt;=2800),VLOOKUP(AF311,TNCalibEq2500!$AZ$2:$BB$56,3,),IF(AND(I311="TDN",S311&lt;=2800),VLOOKUP(AF311,TNCalibEq2500!$AZ$2:$BB$56,3,)))</f>
        <v>y=0.4739x2+205.64x-100.4</v>
      </c>
      <c r="AU311" s="10" t="str">
        <f>IF(I311="TP",VLOOKUP(AF311,TPCalibEqFull!$AZ$2:$BB$56,3),IF(I311="TDP",VLOOKUP(AF311,TPCalibEqFull!$AZ$2:$BB$56,3),IF(I311="TDN",VLOOKUP(AF311,TNCalibEqFull!$AZ$1:$BB$56,3),IF(I311="TN",VLOOKUP(AF311,TNCalibEqFull!$AZ$1:$BB$56,3),FALSE))))</f>
        <v>y=-0.5241x2+227.02x-134.2</v>
      </c>
      <c r="AV311" s="10" t="str">
        <f t="shared" si="32"/>
        <v>1220 05:55:00-HST-0-FIL-1-SW-DUP</v>
      </c>
    </row>
    <row r="312" spans="1:48" s="10" customFormat="1" x14ac:dyDescent="0.55000000000000004">
      <c r="A312" s="32">
        <v>44915</v>
      </c>
      <c r="B312" s="33">
        <v>0.24652777777777779</v>
      </c>
      <c r="C312" s="10" t="s">
        <v>912</v>
      </c>
      <c r="D312" s="10">
        <v>0</v>
      </c>
      <c r="E312" s="10" t="s">
        <v>911</v>
      </c>
      <c r="F312" s="10">
        <v>1</v>
      </c>
      <c r="G312" s="10" t="s">
        <v>231</v>
      </c>
      <c r="H312" s="10" t="s">
        <v>314</v>
      </c>
      <c r="I312" s="10" t="s">
        <v>224</v>
      </c>
      <c r="J312" s="10">
        <v>51</v>
      </c>
      <c r="K312" s="12">
        <v>44930</v>
      </c>
      <c r="L312" s="33">
        <v>0.60379629629629628</v>
      </c>
      <c r="M312" s="10">
        <v>1</v>
      </c>
      <c r="N312" s="10" t="s">
        <v>196</v>
      </c>
      <c r="O312" s="10">
        <v>15.5</v>
      </c>
      <c r="P312" s="10">
        <v>0.9</v>
      </c>
      <c r="Q312" s="10">
        <v>3230</v>
      </c>
      <c r="R312" s="10" t="s">
        <v>170</v>
      </c>
      <c r="S312" s="34">
        <f t="shared" si="28"/>
        <v>3258.6949750000003</v>
      </c>
      <c r="T312" s="10" t="s">
        <v>966</v>
      </c>
      <c r="U312" s="34">
        <f t="shared" si="29"/>
        <v>104.2791506164</v>
      </c>
      <c r="V312" s="31">
        <f>IF(H312="CHK",VLOOKUP(I312,QCCHK,3,),IF(H312="GUP",VLOOKUP(E312,QCGUP,2,),IF(AND(H312="ATP",OR(I312="TN",I312="TDN",I312="TNO2-3",I312="NO2-3")),VLOOKUP(E312,QCREC_N,2,),IF(AND(H312="NIC",OR(I312="TN",I312="TDN",I312="TNO2-3",I312="NO2-3")),VLOOKUP(E312,QCNIC_N,2,),IF(AND(H312="UREA",OR(I312="TN",I312="TDN",I312="TNO2-3",I312="NO2-3")),VLOOKUP(E312,QCUREA_N,2,),IF(H312="PER",VLOOKUP(I312,QCPER,MATCH(E312,QCACTUAL!$J$25:$AA$25,0),),IF(H312="SPK",VLOOKUP(I312,QCSPK,3,),IF(AND(H312="ATP",OR(I312="TP",I312="TDP")),VLOOKUP(E312,QCATP_P,2,),""))))))))</f>
        <v>2500</v>
      </c>
      <c r="W312" s="31" t="str">
        <f t="shared" si="30"/>
        <v>TRUE</v>
      </c>
      <c r="X312" s="31" t="str">
        <f t="shared" si="31"/>
        <v>([spikedunkn]-[unkn])/[spike]*100</v>
      </c>
      <c r="Y312" s="10" t="s">
        <v>959</v>
      </c>
      <c r="Z312" s="10" t="s">
        <v>910</v>
      </c>
      <c r="AF312" s="12">
        <v>44930</v>
      </c>
      <c r="AK312" s="10">
        <f>-0.5241*15.5^2+227.02*15.5-134.2</f>
        <v>3258.6949750000003</v>
      </c>
      <c r="AL312" s="10" t="str">
        <f t="shared" si="33"/>
        <v>FALSE</v>
      </c>
      <c r="AM312" s="10" t="str">
        <f t="shared" si="33"/>
        <v>FALSE</v>
      </c>
      <c r="AN312" s="10" t="str">
        <f t="shared" si="33"/>
        <v>FALSE</v>
      </c>
      <c r="AO312" s="10" t="str">
        <f t="shared" si="34"/>
        <v>FALSE</v>
      </c>
      <c r="AP312" s="10" t="str">
        <f t="shared" si="34"/>
        <v>y=-0.5241*15.5^2+227.02*15.5-134.2</v>
      </c>
      <c r="AQ312" s="10" t="b">
        <f>IF(AND(I312="TP",S312&lt;=150),VLOOKUP(AF312,TPCalibEq150!$AZ$2:$BB$55,3,),IF(AND(I312="TDP",S312&lt;=150),VLOOKUP(AF312,TPCalibEq150!$AZ$2:$BB$55,3,)))</f>
        <v>0</v>
      </c>
      <c r="AR312" s="10" t="b">
        <f>IF(AND(I312="TP",S312&lt;=300),VLOOKUP(AF312,TPCalibEq300!$AZ$2:$BB$55,3,),IF(AND(I312="TDP",S312&lt;=300),VLOOKUP(AF312,TPCalibEq300!$AZ$2:$BB$55,3,)))</f>
        <v>0</v>
      </c>
      <c r="AS312" s="10" t="b">
        <f>IF(AND(I312="TP",S312&lt;=500),VLOOKUP(AF312,TPCalibEq500!$AZ$2:$BB$56,3,),IF(AND(I312="TDP",S312&lt;=500),VLOOKUP(AF312,TPCalibEq500!$AZ$2:$BB$56,3,)))</f>
        <v>0</v>
      </c>
      <c r="AT312" s="10" t="b">
        <f>IF(AND(I312="TN",S312&lt;=2800),VLOOKUP(AF312,TNCalibEq2500!$AZ$2:$BB$56,3,),IF(AND(I312="TDN",S312&lt;=2800),VLOOKUP(AF312,TNCalibEq2500!$AZ$2:$BB$56,3,)))</f>
        <v>0</v>
      </c>
      <c r="AU312" s="10" t="str">
        <f>IF(I312="TP",VLOOKUP(AF312,TPCalibEqFull!$AZ$2:$BB$56,3),IF(I312="TDP",VLOOKUP(AF312,TPCalibEqFull!$AZ$2:$BB$56,3),IF(I312="TDN",VLOOKUP(AF312,TNCalibEqFull!$AZ$1:$BB$56,3),IF(I312="TN",VLOOKUP(AF312,TNCalibEqFull!$AZ$1:$BB$56,3),FALSE))))</f>
        <v>y=-0.5241x2+227.02x-134.2</v>
      </c>
      <c r="AV312" s="10" t="str">
        <f t="shared" si="32"/>
        <v>1220 05:55:00-HST -0-FIL-1-SW-SPK</v>
      </c>
    </row>
    <row r="313" spans="1:48" s="10" customFormat="1" x14ac:dyDescent="0.55000000000000004">
      <c r="A313" s="32">
        <v>44930</v>
      </c>
      <c r="B313" s="33">
        <v>0.375</v>
      </c>
      <c r="C313" s="10" t="s">
        <v>70</v>
      </c>
      <c r="D313" s="10" t="s">
        <v>71</v>
      </c>
      <c r="E313" s="10" t="s">
        <v>901</v>
      </c>
      <c r="F313" s="10">
        <v>1</v>
      </c>
      <c r="G313" s="10" t="s">
        <v>73</v>
      </c>
      <c r="H313" s="10" t="s">
        <v>207</v>
      </c>
      <c r="I313" s="10" t="s">
        <v>235</v>
      </c>
      <c r="J313" s="10">
        <v>201</v>
      </c>
      <c r="K313" s="12">
        <v>44930</v>
      </c>
      <c r="L313" s="33">
        <v>0.60446759259259253</v>
      </c>
      <c r="M313" s="10">
        <v>1</v>
      </c>
      <c r="N313" s="10" t="s">
        <v>196</v>
      </c>
      <c r="O313" s="10">
        <v>5.86</v>
      </c>
      <c r="P313" s="10">
        <v>0.34699999999999998</v>
      </c>
      <c r="Q313" s="10">
        <v>1150</v>
      </c>
      <c r="R313" s="10" t="s">
        <v>170</v>
      </c>
      <c r="S313" s="34">
        <f t="shared" si="28"/>
        <v>1178.1398156400001</v>
      </c>
      <c r="T313" s="10" t="s">
        <v>966</v>
      </c>
      <c r="U313" s="34">
        <f t="shared" si="29"/>
        <v>94.251185251200013</v>
      </c>
      <c r="V313" s="31">
        <f>IF(H313="CHK",VLOOKUP(I313,QCCHK,3,),IF(H313="GUP",VLOOKUP(E313,QCGUP,2,),IF(AND(H313="ATP",OR(I313="TN",I313="TDN",I313="TNO2-3",I313="NO2-3")),VLOOKUP(E313,QCREC_N,2,),IF(AND(H313="NIC",OR(I313="TN",I313="TDN",I313="TNO2-3",I313="NO2-3")),VLOOKUP(E313,QCNIC_N,2,),IF(AND(H313="UREA",OR(I313="TN",I313="TDN",I313="TNO2-3",I313="NO2-3")),VLOOKUP(E313,QCUREA_N,2,),IF(H313="PER",VLOOKUP(I313,QCPER,MATCH(E313,QCACTUAL!$J$25:$AA$25,0),),IF(H313="SPK",VLOOKUP(I313,QCSPK,3,),IF(AND(H313="ATP",OR(I313="TP",I313="TDP")),VLOOKUP(E313,QCATP_P,2,),""))))))))</f>
        <v>1250</v>
      </c>
      <c r="W313" s="31" t="str">
        <f t="shared" si="30"/>
        <v>TRUE</v>
      </c>
      <c r="X313" s="31" t="str">
        <f t="shared" si="31"/>
        <v>[chk]/[actual]*100</v>
      </c>
      <c r="Y313" s="10" t="s">
        <v>959</v>
      </c>
      <c r="AF313" s="12">
        <v>44930</v>
      </c>
      <c r="AJ313" s="10">
        <f>0.4739*5.86^2+205.64*5.86-100.4</f>
        <v>1120.92393644</v>
      </c>
      <c r="AK313" s="10">
        <f>-0.5241*5.86^2+227.02*5.86-134.2</f>
        <v>1178.1398156400001</v>
      </c>
      <c r="AL313" s="10" t="str">
        <f t="shared" si="33"/>
        <v>FALSE</v>
      </c>
      <c r="AM313" s="10" t="str">
        <f t="shared" si="33"/>
        <v>FALSE</v>
      </c>
      <c r="AN313" s="10" t="str">
        <f t="shared" si="33"/>
        <v>FALSE</v>
      </c>
      <c r="AO313" s="10" t="str">
        <f t="shared" si="34"/>
        <v>y=0.4739*5.86^2+205.64*5.86-100.4</v>
      </c>
      <c r="AP313" s="10" t="str">
        <f t="shared" si="34"/>
        <v>y=-0.5241*5.86^2+227.02*5.86-134.2</v>
      </c>
      <c r="AQ313" s="10" t="b">
        <f>IF(AND(I313="TP",S313&lt;=150),VLOOKUP(AF313,TPCalibEq150!$AZ$2:$BB$55,3,),IF(AND(I313="TDP",S313&lt;=150),VLOOKUP(AF313,TPCalibEq150!$AZ$2:$BB$55,3,)))</f>
        <v>0</v>
      </c>
      <c r="AR313" s="10" t="b">
        <f>IF(AND(I313="TP",S313&lt;=300),VLOOKUP(AF313,TPCalibEq300!$AZ$2:$BB$55,3,),IF(AND(I313="TDP",S313&lt;=300),VLOOKUP(AF313,TPCalibEq300!$AZ$2:$BB$55,3,)))</f>
        <v>0</v>
      </c>
      <c r="AS313" s="10" t="b">
        <f>IF(AND(I313="TP",S313&lt;=500),VLOOKUP(AF313,TPCalibEq500!$AZ$2:$BB$56,3,),IF(AND(I313="TDP",S313&lt;=500),VLOOKUP(AF313,TPCalibEq500!$AZ$2:$BB$56,3,)))</f>
        <v>0</v>
      </c>
      <c r="AT313" s="10" t="str">
        <f>IF(AND(I313="TN",S313&lt;=2800),VLOOKUP(AF313,TNCalibEq2500!$AZ$2:$BB$56,3,),IF(AND(I313="TDN",S313&lt;=2800),VLOOKUP(AF313,TNCalibEq2500!$AZ$2:$BB$56,3,)))</f>
        <v>y=0.4739x2+205.64x-100.4</v>
      </c>
      <c r="AU313" s="10" t="str">
        <f>IF(I313="TP",VLOOKUP(AF313,TPCalibEqFull!$AZ$2:$BB$56,3),IF(I313="TDP",VLOOKUP(AF313,TPCalibEqFull!$AZ$2:$BB$56,3),IF(I313="TDN",VLOOKUP(AF313,TNCalibEqFull!$AZ$1:$BB$56,3),IF(I313="TN",VLOOKUP(AF313,TNCalibEqFull!$AZ$1:$BB$56,3),FALSE))))</f>
        <v>y=-0.5241x2+227.02x-134.2</v>
      </c>
      <c r="AV313" s="10" t="str">
        <f t="shared" si="32"/>
        <v>0104 09:00:00-QAC-STD-D-1-DI-CHK</v>
      </c>
    </row>
    <row r="314" spans="1:48" s="10" customFormat="1" x14ac:dyDescent="0.55000000000000004">
      <c r="A314" s="32">
        <v>44916</v>
      </c>
      <c r="B314" s="33">
        <v>0.22916666666666666</v>
      </c>
      <c r="C314" s="10" t="s">
        <v>279</v>
      </c>
      <c r="D314" s="10">
        <v>0</v>
      </c>
      <c r="E314" s="10" t="s">
        <v>911</v>
      </c>
      <c r="F314" s="10">
        <v>1</v>
      </c>
      <c r="G314" s="10" t="s">
        <v>231</v>
      </c>
      <c r="H314" s="10" t="s">
        <v>322</v>
      </c>
      <c r="I314" s="10" t="s">
        <v>224</v>
      </c>
      <c r="J314" s="10">
        <v>35</v>
      </c>
      <c r="K314" s="12">
        <v>44930</v>
      </c>
      <c r="L314" s="33">
        <v>0.60513888888888889</v>
      </c>
      <c r="M314" s="10">
        <v>1</v>
      </c>
      <c r="N314" s="10" t="s">
        <v>196</v>
      </c>
      <c r="O314" s="10">
        <v>6.22</v>
      </c>
      <c r="P314" s="10">
        <v>0.36399999999999999</v>
      </c>
      <c r="Q314" s="10">
        <v>1230</v>
      </c>
      <c r="R314" s="10" t="s">
        <v>170</v>
      </c>
      <c r="S314" s="34">
        <f t="shared" si="28"/>
        <v>1257.5878095599999</v>
      </c>
      <c r="T314" s="10" t="s">
        <v>966</v>
      </c>
      <c r="U314" s="34" t="str">
        <f t="shared" si="29"/>
        <v/>
      </c>
      <c r="V314" s="31" t="str">
        <f>IF(H314="CHK",VLOOKUP(I314,QCCHK,3,),IF(H314="GUP",VLOOKUP(E314,QCGUP,2,),IF(AND(H314="ATP",OR(I314="TN",I314="TDN",I314="TNO2-3",I314="NO2-3")),VLOOKUP(E314,QCREC_N,2,),IF(AND(H314="NIC",OR(I314="TN",I314="TDN",I314="TNO2-3",I314="NO2-3")),VLOOKUP(E314,QCNIC_N,2,),IF(AND(H314="UREA",OR(I314="TN",I314="TDN",I314="TNO2-3",I314="NO2-3")),VLOOKUP(E314,QCUREA_N,2,),IF(H314="PER",VLOOKUP(I314,QCPER,MATCH(E314,QCACTUAL!$J$25:$AA$25,0),),IF(H314="SPK",VLOOKUP(I314,QCSPK,3,),IF(AND(H314="ATP",OR(I314="TP",I314="TDP")),VLOOKUP(E314,QCATP_P,2,),""))))))))</f>
        <v/>
      </c>
      <c r="W314" s="31" t="str">
        <f t="shared" si="30"/>
        <v>TRUE</v>
      </c>
      <c r="X314" s="31" t="str">
        <f t="shared" si="31"/>
        <v/>
      </c>
      <c r="Y314" s="10" t="s">
        <v>959</v>
      </c>
      <c r="Z314" s="10" t="s">
        <v>910</v>
      </c>
      <c r="AF314" s="12">
        <v>44930</v>
      </c>
      <c r="AJ314" s="10">
        <f>0.4739*6.22^2+205.64*6.22-100.4</f>
        <v>1197.0152327599999</v>
      </c>
      <c r="AK314" s="10">
        <f>-0.5241*6.22^2+227.02*6.22-134.2</f>
        <v>1257.5878095599999</v>
      </c>
      <c r="AL314" s="10" t="str">
        <f t="shared" si="33"/>
        <v>FALSE</v>
      </c>
      <c r="AM314" s="10" t="str">
        <f t="shared" si="33"/>
        <v>FALSE</v>
      </c>
      <c r="AN314" s="10" t="str">
        <f t="shared" si="33"/>
        <v>FALSE</v>
      </c>
      <c r="AO314" s="10" t="str">
        <f t="shared" si="34"/>
        <v>y=0.4739*6.22^2+205.64*6.22-100.4</v>
      </c>
      <c r="AP314" s="10" t="str">
        <f t="shared" si="34"/>
        <v>y=-0.5241*6.22^2+227.02*6.22-134.2</v>
      </c>
      <c r="AQ314" s="10" t="b">
        <f>IF(AND(I314="TP",S314&lt;=150),VLOOKUP(AF314,TPCalibEq150!$AZ$2:$BB$55,3,),IF(AND(I314="TDP",S314&lt;=150),VLOOKUP(AF314,TPCalibEq150!$AZ$2:$BB$55,3,)))</f>
        <v>0</v>
      </c>
      <c r="AR314" s="10" t="b">
        <f>IF(AND(I314="TP",S314&lt;=300),VLOOKUP(AF314,TPCalibEq300!$AZ$2:$BB$55,3,),IF(AND(I314="TDP",S314&lt;=300),VLOOKUP(AF314,TPCalibEq300!$AZ$2:$BB$55,3,)))</f>
        <v>0</v>
      </c>
      <c r="AS314" s="10" t="b">
        <f>IF(AND(I314="TP",S314&lt;=500),VLOOKUP(AF314,TPCalibEq500!$AZ$2:$BB$56,3,),IF(AND(I314="TDP",S314&lt;=500),VLOOKUP(AF314,TPCalibEq500!$AZ$2:$BB$56,3,)))</f>
        <v>0</v>
      </c>
      <c r="AT314" s="10" t="str">
        <f>IF(AND(I314="TN",S314&lt;=2800),VLOOKUP(AF314,TNCalibEq2500!$AZ$2:$BB$56,3,),IF(AND(I314="TDN",S314&lt;=2800),VLOOKUP(AF314,TNCalibEq2500!$AZ$2:$BB$56,3,)))</f>
        <v>y=0.4739x2+205.64x-100.4</v>
      </c>
      <c r="AU314" s="10" t="str">
        <f>IF(I314="TP",VLOOKUP(AF314,TPCalibEqFull!$AZ$2:$BB$56,3),IF(I314="TDP",VLOOKUP(AF314,TPCalibEqFull!$AZ$2:$BB$56,3),IF(I314="TDN",VLOOKUP(AF314,TNCalibEqFull!$AZ$1:$BB$56,3),IF(I314="TN",VLOOKUP(AF314,TNCalibEqFull!$AZ$1:$BB$56,3),FALSE))))</f>
        <v>y=-0.5241x2+227.02x-134.2</v>
      </c>
      <c r="AV314" s="10" t="str">
        <f t="shared" si="32"/>
        <v>1221 05:30:00-EFK-0-FIL-1-SW-UKN</v>
      </c>
    </row>
    <row r="315" spans="1:48" s="10" customFormat="1" x14ac:dyDescent="0.55000000000000004">
      <c r="A315" s="32">
        <v>44916</v>
      </c>
      <c r="B315" s="33">
        <v>0.23611111111111113</v>
      </c>
      <c r="C315" s="10" t="s">
        <v>333</v>
      </c>
      <c r="D315" s="10">
        <v>0</v>
      </c>
      <c r="E315" s="10" t="s">
        <v>911</v>
      </c>
      <c r="F315" s="10">
        <v>1</v>
      </c>
      <c r="G315" s="10" t="s">
        <v>231</v>
      </c>
      <c r="H315" s="10" t="s">
        <v>322</v>
      </c>
      <c r="I315" s="10" t="s">
        <v>224</v>
      </c>
      <c r="J315" s="10">
        <v>36</v>
      </c>
      <c r="K315" s="12">
        <v>44930</v>
      </c>
      <c r="L315" s="33">
        <v>0.60581018518518526</v>
      </c>
      <c r="M315" s="10">
        <v>1</v>
      </c>
      <c r="N315" s="10" t="s">
        <v>196</v>
      </c>
      <c r="O315" s="10">
        <v>3.78</v>
      </c>
      <c r="P315" s="10">
        <v>0.223</v>
      </c>
      <c r="Q315" s="10">
        <v>707</v>
      </c>
      <c r="R315" s="10" t="s">
        <v>170</v>
      </c>
      <c r="S315" s="34">
        <f t="shared" si="28"/>
        <v>716.44704955999987</v>
      </c>
      <c r="T315" s="10" t="s">
        <v>966</v>
      </c>
      <c r="U315" s="34" t="str">
        <f t="shared" si="29"/>
        <v/>
      </c>
      <c r="V315" s="31" t="str">
        <f>IF(H315="CHK",VLOOKUP(I315,QCCHK,3,),IF(H315="GUP",VLOOKUP(E315,QCGUP,2,),IF(AND(H315="ATP",OR(I315="TN",I315="TDN",I315="TNO2-3",I315="NO2-3")),VLOOKUP(E315,QCREC_N,2,),IF(AND(H315="NIC",OR(I315="TN",I315="TDN",I315="TNO2-3",I315="NO2-3")),VLOOKUP(E315,QCNIC_N,2,),IF(AND(H315="UREA",OR(I315="TN",I315="TDN",I315="TNO2-3",I315="NO2-3")),VLOOKUP(E315,QCUREA_N,2,),IF(H315="PER",VLOOKUP(I315,QCPER,MATCH(E315,QCACTUAL!$J$25:$AA$25,0),),IF(H315="SPK",VLOOKUP(I315,QCSPK,3,),IF(AND(H315="ATP",OR(I315="TP",I315="TDP")),VLOOKUP(E315,QCATP_P,2,),""))))))))</f>
        <v/>
      </c>
      <c r="W315" s="31" t="str">
        <f t="shared" si="30"/>
        <v>TRUE</v>
      </c>
      <c r="X315" s="31" t="str">
        <f t="shared" si="31"/>
        <v/>
      </c>
      <c r="Y315" s="10" t="s">
        <v>959</v>
      </c>
      <c r="Z315" s="10" t="s">
        <v>910</v>
      </c>
      <c r="AF315" s="12">
        <v>44930</v>
      </c>
      <c r="AJ315" s="10">
        <f>0.4739*3.78^2+205.64*3.78-100.4</f>
        <v>683.69047275999992</v>
      </c>
      <c r="AK315" s="10">
        <f>-0.5241*3.78^2+227.02*3.78-134.2</f>
        <v>716.44704955999987</v>
      </c>
      <c r="AL315" s="10" t="str">
        <f t="shared" si="33"/>
        <v>FALSE</v>
      </c>
      <c r="AM315" s="10" t="str">
        <f t="shared" si="33"/>
        <v>FALSE</v>
      </c>
      <c r="AN315" s="10" t="str">
        <f t="shared" si="33"/>
        <v>FALSE</v>
      </c>
      <c r="AO315" s="10" t="str">
        <f t="shared" si="34"/>
        <v>y=0.4739*3.78^2+205.64*3.78-100.4</v>
      </c>
      <c r="AP315" s="10" t="str">
        <f t="shared" si="34"/>
        <v>y=-0.5241*3.78^2+227.02*3.78-134.2</v>
      </c>
      <c r="AQ315" s="10" t="b">
        <f>IF(AND(I315="TP",S315&lt;=150),VLOOKUP(AF315,TPCalibEq150!$AZ$2:$BB$55,3,),IF(AND(I315="TDP",S315&lt;=150),VLOOKUP(AF315,TPCalibEq150!$AZ$2:$BB$55,3,)))</f>
        <v>0</v>
      </c>
      <c r="AR315" s="10" t="b">
        <f>IF(AND(I315="TP",S315&lt;=300),VLOOKUP(AF315,TPCalibEq300!$AZ$2:$BB$55,3,),IF(AND(I315="TDP",S315&lt;=300),VLOOKUP(AF315,TPCalibEq300!$AZ$2:$BB$55,3,)))</f>
        <v>0</v>
      </c>
      <c r="AS315" s="10" t="b">
        <f>IF(AND(I315="TP",S315&lt;=500),VLOOKUP(AF315,TPCalibEq500!$AZ$2:$BB$56,3,),IF(AND(I315="TDP",S315&lt;=500),VLOOKUP(AF315,TPCalibEq500!$AZ$2:$BB$56,3,)))</f>
        <v>0</v>
      </c>
      <c r="AT315" s="10" t="str">
        <f>IF(AND(I315="TN",S315&lt;=2800),VLOOKUP(AF315,TNCalibEq2500!$AZ$2:$BB$56,3,),IF(AND(I315="TDN",S315&lt;=2800),VLOOKUP(AF315,TNCalibEq2500!$AZ$2:$BB$56,3,)))</f>
        <v>y=0.4739x2+205.64x-100.4</v>
      </c>
      <c r="AU315" s="10" t="str">
        <f>IF(I315="TP",VLOOKUP(AF315,TPCalibEqFull!$AZ$2:$BB$56,3),IF(I315="TDP",VLOOKUP(AF315,TPCalibEqFull!$AZ$2:$BB$56,3),IF(I315="TDN",VLOOKUP(AF315,TNCalibEqFull!$AZ$1:$BB$56,3),IF(I315="TN",VLOOKUP(AF315,TNCalibEqFull!$AZ$1:$BB$56,3),FALSE))))</f>
        <v>y=-0.5241x2+227.02x-134.2</v>
      </c>
      <c r="AV315" s="10" t="str">
        <f t="shared" si="32"/>
        <v>1221 05:40:00-HST-0-FIL-1-SW-UKN</v>
      </c>
    </row>
    <row r="316" spans="1:48" s="10" customFormat="1" x14ac:dyDescent="0.55000000000000004">
      <c r="A316" s="32">
        <v>44917</v>
      </c>
      <c r="B316" s="33">
        <v>0.24513888888888888</v>
      </c>
      <c r="C316" s="10" t="s">
        <v>279</v>
      </c>
      <c r="D316" s="10">
        <v>0</v>
      </c>
      <c r="E316" s="10" t="s">
        <v>911</v>
      </c>
      <c r="F316" s="10">
        <v>1</v>
      </c>
      <c r="G316" s="10" t="s">
        <v>231</v>
      </c>
      <c r="H316" s="10" t="s">
        <v>322</v>
      </c>
      <c r="I316" s="10" t="s">
        <v>224</v>
      </c>
      <c r="J316" s="10">
        <v>37</v>
      </c>
      <c r="K316" s="12">
        <v>44930</v>
      </c>
      <c r="L316" s="33">
        <v>0.60646990740740747</v>
      </c>
      <c r="M316" s="10">
        <v>1</v>
      </c>
      <c r="N316" s="10" t="s">
        <v>196</v>
      </c>
      <c r="O316" s="10">
        <v>8.23</v>
      </c>
      <c r="P316" s="10">
        <v>0.47899999999999998</v>
      </c>
      <c r="Q316" s="10">
        <v>1660</v>
      </c>
      <c r="R316" s="10" t="s">
        <v>170</v>
      </c>
      <c r="S316" s="34">
        <f t="shared" si="28"/>
        <v>1698.6757871100001</v>
      </c>
      <c r="T316" s="10" t="s">
        <v>966</v>
      </c>
      <c r="U316" s="34" t="str">
        <f t="shared" si="29"/>
        <v/>
      </c>
      <c r="V316" s="31" t="str">
        <f>IF(H316="CHK",VLOOKUP(I316,QCCHK,3,),IF(H316="GUP",VLOOKUP(E316,QCGUP,2,),IF(AND(H316="ATP",OR(I316="TN",I316="TDN",I316="TNO2-3",I316="NO2-3")),VLOOKUP(E316,QCREC_N,2,),IF(AND(H316="NIC",OR(I316="TN",I316="TDN",I316="TNO2-3",I316="NO2-3")),VLOOKUP(E316,QCNIC_N,2,),IF(AND(H316="UREA",OR(I316="TN",I316="TDN",I316="TNO2-3",I316="NO2-3")),VLOOKUP(E316,QCUREA_N,2,),IF(H316="PER",VLOOKUP(I316,QCPER,MATCH(E316,QCACTUAL!$J$25:$AA$25,0),),IF(H316="SPK",VLOOKUP(I316,QCSPK,3,),IF(AND(H316="ATP",OR(I316="TP",I316="TDP")),VLOOKUP(E316,QCATP_P,2,),""))))))))</f>
        <v/>
      </c>
      <c r="W316" s="31" t="str">
        <f t="shared" si="30"/>
        <v>TRUE</v>
      </c>
      <c r="X316" s="31" t="str">
        <f t="shared" si="31"/>
        <v/>
      </c>
      <c r="Y316" s="10" t="s">
        <v>959</v>
      </c>
      <c r="Z316" s="10" t="s">
        <v>910</v>
      </c>
      <c r="AF316" s="12">
        <v>44930</v>
      </c>
      <c r="AJ316" s="10">
        <f>0.4739*8.23^2+205.64*8.23-100.4</f>
        <v>1624.1158213099998</v>
      </c>
      <c r="AK316" s="10">
        <f>-0.5241*8.23^2+227.02*8.23-134.2</f>
        <v>1698.6757871100001</v>
      </c>
      <c r="AL316" s="10" t="str">
        <f t="shared" si="33"/>
        <v>FALSE</v>
      </c>
      <c r="AM316" s="10" t="str">
        <f t="shared" si="33"/>
        <v>FALSE</v>
      </c>
      <c r="AN316" s="10" t="str">
        <f t="shared" si="33"/>
        <v>FALSE</v>
      </c>
      <c r="AO316" s="10" t="str">
        <f t="shared" si="34"/>
        <v>y=0.4739*8.23^2+205.64*8.23-100.4</v>
      </c>
      <c r="AP316" s="10" t="str">
        <f t="shared" si="34"/>
        <v>y=-0.5241*8.23^2+227.02*8.23-134.2</v>
      </c>
      <c r="AQ316" s="10" t="b">
        <f>IF(AND(I316="TP",S316&lt;=150),VLOOKUP(AF316,TPCalibEq150!$AZ$2:$BB$55,3,),IF(AND(I316="TDP",S316&lt;=150),VLOOKUP(AF316,TPCalibEq150!$AZ$2:$BB$55,3,)))</f>
        <v>0</v>
      </c>
      <c r="AR316" s="10" t="b">
        <f>IF(AND(I316="TP",S316&lt;=300),VLOOKUP(AF316,TPCalibEq300!$AZ$2:$BB$55,3,),IF(AND(I316="TDP",S316&lt;=300),VLOOKUP(AF316,TPCalibEq300!$AZ$2:$BB$55,3,)))</f>
        <v>0</v>
      </c>
      <c r="AS316" s="10" t="b">
        <f>IF(AND(I316="TP",S316&lt;=500),VLOOKUP(AF316,TPCalibEq500!$AZ$2:$BB$56,3,),IF(AND(I316="TDP",S316&lt;=500),VLOOKUP(AF316,TPCalibEq500!$AZ$2:$BB$56,3,)))</f>
        <v>0</v>
      </c>
      <c r="AT316" s="10" t="str">
        <f>IF(AND(I316="TN",S316&lt;=2800),VLOOKUP(AF316,TNCalibEq2500!$AZ$2:$BB$56,3,),IF(AND(I316="TDN",S316&lt;=2800),VLOOKUP(AF316,TNCalibEq2500!$AZ$2:$BB$56,3,)))</f>
        <v>y=0.4739x2+205.64x-100.4</v>
      </c>
      <c r="AU316" s="10" t="str">
        <f>IF(I316="TP",VLOOKUP(AF316,TPCalibEqFull!$AZ$2:$BB$56,3),IF(I316="TDP",VLOOKUP(AF316,TPCalibEqFull!$AZ$2:$BB$56,3),IF(I316="TDN",VLOOKUP(AF316,TNCalibEqFull!$AZ$1:$BB$56,3),IF(I316="TN",VLOOKUP(AF316,TNCalibEqFull!$AZ$1:$BB$56,3),FALSE))))</f>
        <v>y=-0.5241x2+227.02x-134.2</v>
      </c>
      <c r="AV316" s="10" t="str">
        <f t="shared" si="32"/>
        <v>1222 05:53:00-EFK-0-FIL-1-SW-UKN</v>
      </c>
    </row>
    <row r="317" spans="1:48" s="10" customFormat="1" x14ac:dyDescent="0.55000000000000004">
      <c r="A317" s="32">
        <v>44917</v>
      </c>
      <c r="B317" s="33">
        <v>0.24166666666666667</v>
      </c>
      <c r="C317" s="10" t="s">
        <v>333</v>
      </c>
      <c r="D317" s="10">
        <v>0</v>
      </c>
      <c r="E317" s="10" t="s">
        <v>911</v>
      </c>
      <c r="F317" s="10">
        <v>1</v>
      </c>
      <c r="G317" s="10" t="s">
        <v>231</v>
      </c>
      <c r="H317" s="10" t="s">
        <v>322</v>
      </c>
      <c r="I317" s="10" t="s">
        <v>224</v>
      </c>
      <c r="J317" s="10">
        <v>38</v>
      </c>
      <c r="K317" s="12">
        <v>44930</v>
      </c>
      <c r="L317" s="33">
        <v>0.60714120370370372</v>
      </c>
      <c r="M317" s="10">
        <v>1</v>
      </c>
      <c r="N317" s="10" t="s">
        <v>196</v>
      </c>
      <c r="O317" s="10">
        <v>4.18</v>
      </c>
      <c r="P317" s="10">
        <v>0.246</v>
      </c>
      <c r="Q317" s="10">
        <v>793</v>
      </c>
      <c r="R317" s="10" t="s">
        <v>170</v>
      </c>
      <c r="S317" s="34">
        <f t="shared" si="28"/>
        <v>805.58631515999991</v>
      </c>
      <c r="T317" s="10" t="s">
        <v>966</v>
      </c>
      <c r="U317" s="34" t="str">
        <f t="shared" si="29"/>
        <v/>
      </c>
      <c r="V317" s="31" t="str">
        <f>IF(H317="CHK",VLOOKUP(I317,QCCHK,3,),IF(H317="GUP",VLOOKUP(E317,QCGUP,2,),IF(AND(H317="ATP",OR(I317="TN",I317="TDN",I317="TNO2-3",I317="NO2-3")),VLOOKUP(E317,QCREC_N,2,),IF(AND(H317="NIC",OR(I317="TN",I317="TDN",I317="TNO2-3",I317="NO2-3")),VLOOKUP(E317,QCNIC_N,2,),IF(AND(H317="UREA",OR(I317="TN",I317="TDN",I317="TNO2-3",I317="NO2-3")),VLOOKUP(E317,QCUREA_N,2,),IF(H317="PER",VLOOKUP(I317,QCPER,MATCH(E317,QCACTUAL!$J$25:$AA$25,0),),IF(H317="SPK",VLOOKUP(I317,QCSPK,3,),IF(AND(H317="ATP",OR(I317="TP",I317="TDP")),VLOOKUP(E317,QCATP_P,2,),""))))))))</f>
        <v/>
      </c>
      <c r="W317" s="31" t="str">
        <f t="shared" si="30"/>
        <v>TRUE</v>
      </c>
      <c r="X317" s="31" t="str">
        <f t="shared" si="31"/>
        <v/>
      </c>
      <c r="Y317" s="10" t="s">
        <v>959</v>
      </c>
      <c r="Z317" s="10" t="s">
        <v>910</v>
      </c>
      <c r="AF317" s="12">
        <v>44930</v>
      </c>
      <c r="AJ317" s="10">
        <f>0.4739*4.18^2+205.64*4.18-100.4</f>
        <v>767.45537035999985</v>
      </c>
      <c r="AK317" s="10">
        <f>-0.5241*4.18^2+227.02*4.18-134.2</f>
        <v>805.58631515999991</v>
      </c>
      <c r="AL317" s="10" t="str">
        <f t="shared" si="33"/>
        <v>FALSE</v>
      </c>
      <c r="AM317" s="10" t="str">
        <f t="shared" si="33"/>
        <v>FALSE</v>
      </c>
      <c r="AN317" s="10" t="str">
        <f t="shared" si="33"/>
        <v>FALSE</v>
      </c>
      <c r="AO317" s="10" t="str">
        <f t="shared" si="34"/>
        <v>y=0.4739*4.18^2+205.64*4.18-100.4</v>
      </c>
      <c r="AP317" s="10" t="str">
        <f t="shared" si="34"/>
        <v>y=-0.5241*4.18^2+227.02*4.18-134.2</v>
      </c>
      <c r="AQ317" s="10" t="b">
        <f>IF(AND(I317="TP",S317&lt;=150),VLOOKUP(AF317,TPCalibEq150!$AZ$2:$BB$55,3,),IF(AND(I317="TDP",S317&lt;=150),VLOOKUP(AF317,TPCalibEq150!$AZ$2:$BB$55,3,)))</f>
        <v>0</v>
      </c>
      <c r="AR317" s="10" t="b">
        <f>IF(AND(I317="TP",S317&lt;=300),VLOOKUP(AF317,TPCalibEq300!$AZ$2:$BB$55,3,),IF(AND(I317="TDP",S317&lt;=300),VLOOKUP(AF317,TPCalibEq300!$AZ$2:$BB$55,3,)))</f>
        <v>0</v>
      </c>
      <c r="AS317" s="10" t="b">
        <f>IF(AND(I317="TP",S317&lt;=500),VLOOKUP(AF317,TPCalibEq500!$AZ$2:$BB$56,3,),IF(AND(I317="TDP",S317&lt;=500),VLOOKUP(AF317,TPCalibEq500!$AZ$2:$BB$56,3,)))</f>
        <v>0</v>
      </c>
      <c r="AT317" s="10" t="str">
        <f>IF(AND(I317="TN",S317&lt;=2800),VLOOKUP(AF317,TNCalibEq2500!$AZ$2:$BB$56,3,),IF(AND(I317="TDN",S317&lt;=2800),VLOOKUP(AF317,TNCalibEq2500!$AZ$2:$BB$56,3,)))</f>
        <v>y=0.4739x2+205.64x-100.4</v>
      </c>
      <c r="AU317" s="10" t="str">
        <f>IF(I317="TP",VLOOKUP(AF317,TPCalibEqFull!$AZ$2:$BB$56,3),IF(I317="TDP",VLOOKUP(AF317,TPCalibEqFull!$AZ$2:$BB$56,3),IF(I317="TDN",VLOOKUP(AF317,TNCalibEqFull!$AZ$1:$BB$56,3),IF(I317="TN",VLOOKUP(AF317,TNCalibEqFull!$AZ$1:$BB$56,3),FALSE))))</f>
        <v>y=-0.5241x2+227.02x-134.2</v>
      </c>
      <c r="AV317" s="10" t="str">
        <f t="shared" si="32"/>
        <v>1222 05:48:00-HST-0-FIL-1-SW-UKN</v>
      </c>
    </row>
    <row r="318" spans="1:48" s="10" customFormat="1" x14ac:dyDescent="0.55000000000000004">
      <c r="A318" s="32">
        <v>44922</v>
      </c>
      <c r="B318" s="33">
        <v>0.24652777777777779</v>
      </c>
      <c r="C318" s="10" t="s">
        <v>279</v>
      </c>
      <c r="D318" s="10">
        <v>0</v>
      </c>
      <c r="E318" s="10" t="s">
        <v>911</v>
      </c>
      <c r="F318" s="10">
        <v>1</v>
      </c>
      <c r="G318" s="10" t="s">
        <v>231</v>
      </c>
      <c r="H318" s="10" t="s">
        <v>322</v>
      </c>
      <c r="I318" s="10" t="s">
        <v>224</v>
      </c>
      <c r="J318" s="10">
        <v>39</v>
      </c>
      <c r="K318" s="12">
        <v>44930</v>
      </c>
      <c r="L318" s="33">
        <v>0.60780092592592594</v>
      </c>
      <c r="M318" s="10">
        <v>1</v>
      </c>
      <c r="N318" s="10" t="s">
        <v>196</v>
      </c>
      <c r="O318" s="10">
        <v>9.86</v>
      </c>
      <c r="P318" s="10">
        <v>0.57599999999999996</v>
      </c>
      <c r="Q318" s="10">
        <v>2020</v>
      </c>
      <c r="R318" s="10" t="s">
        <v>170</v>
      </c>
      <c r="S318" s="34">
        <f t="shared" si="28"/>
        <v>2053.2644076400002</v>
      </c>
      <c r="T318" s="10" t="s">
        <v>966</v>
      </c>
      <c r="U318" s="34" t="str">
        <f t="shared" si="29"/>
        <v/>
      </c>
      <c r="V318" s="31" t="str">
        <f>IF(H318="CHK",VLOOKUP(I318,QCCHK,3,),IF(H318="GUP",VLOOKUP(E318,QCGUP,2,),IF(AND(H318="ATP",OR(I318="TN",I318="TDN",I318="TNO2-3",I318="NO2-3")),VLOOKUP(E318,QCREC_N,2,),IF(AND(H318="NIC",OR(I318="TN",I318="TDN",I318="TNO2-3",I318="NO2-3")),VLOOKUP(E318,QCNIC_N,2,),IF(AND(H318="UREA",OR(I318="TN",I318="TDN",I318="TNO2-3",I318="NO2-3")),VLOOKUP(E318,QCUREA_N,2,),IF(H318="PER",VLOOKUP(I318,QCPER,MATCH(E318,QCACTUAL!$J$25:$AA$25,0),),IF(H318="SPK",VLOOKUP(I318,QCSPK,3,),IF(AND(H318="ATP",OR(I318="TP",I318="TDP")),VLOOKUP(E318,QCATP_P,2,),""))))))))</f>
        <v/>
      </c>
      <c r="W318" s="31" t="str">
        <f t="shared" si="30"/>
        <v>TRUE</v>
      </c>
      <c r="X318" s="31" t="str">
        <f t="shared" si="31"/>
        <v/>
      </c>
      <c r="Y318" s="10" t="s">
        <v>959</v>
      </c>
      <c r="Z318" s="10" t="s">
        <v>910</v>
      </c>
      <c r="AF318" s="12">
        <v>44930</v>
      </c>
      <c r="AJ318" s="10">
        <f>0.4739*9.86^2+205.64*9.86-100.4</f>
        <v>1973.2827684399995</v>
      </c>
      <c r="AK318" s="10">
        <f>-0.5241*9.86^2+227.02*9.86-134.2</f>
        <v>2053.2644076400002</v>
      </c>
      <c r="AL318" s="10" t="str">
        <f t="shared" si="33"/>
        <v>FALSE</v>
      </c>
      <c r="AM318" s="10" t="str">
        <f t="shared" si="33"/>
        <v>FALSE</v>
      </c>
      <c r="AN318" s="10" t="str">
        <f t="shared" si="33"/>
        <v>FALSE</v>
      </c>
      <c r="AO318" s="10" t="str">
        <f t="shared" si="34"/>
        <v>y=0.4739*9.86^2+205.64*9.86-100.4</v>
      </c>
      <c r="AP318" s="10" t="str">
        <f t="shared" si="34"/>
        <v>y=-0.5241*9.86^2+227.02*9.86-134.2</v>
      </c>
      <c r="AQ318" s="10" t="b">
        <f>IF(AND(I318="TP",S318&lt;=150),VLOOKUP(AF318,TPCalibEq150!$AZ$2:$BB$55,3,),IF(AND(I318="TDP",S318&lt;=150),VLOOKUP(AF318,TPCalibEq150!$AZ$2:$BB$55,3,)))</f>
        <v>0</v>
      </c>
      <c r="AR318" s="10" t="b">
        <f>IF(AND(I318="TP",S318&lt;=300),VLOOKUP(AF318,TPCalibEq300!$AZ$2:$BB$55,3,),IF(AND(I318="TDP",S318&lt;=300),VLOOKUP(AF318,TPCalibEq300!$AZ$2:$BB$55,3,)))</f>
        <v>0</v>
      </c>
      <c r="AS318" s="10" t="b">
        <f>IF(AND(I318="TP",S318&lt;=500),VLOOKUP(AF318,TPCalibEq500!$AZ$2:$BB$56,3,),IF(AND(I318="TDP",S318&lt;=500),VLOOKUP(AF318,TPCalibEq500!$AZ$2:$BB$56,3,)))</f>
        <v>0</v>
      </c>
      <c r="AT318" s="10" t="str">
        <f>IF(AND(I318="TN",S318&lt;=2800),VLOOKUP(AF318,TNCalibEq2500!$AZ$2:$BB$56,3,),IF(AND(I318="TDN",S318&lt;=2800),VLOOKUP(AF318,TNCalibEq2500!$AZ$2:$BB$56,3,)))</f>
        <v>y=0.4739x2+205.64x-100.4</v>
      </c>
      <c r="AU318" s="10" t="str">
        <f>IF(I318="TP",VLOOKUP(AF318,TPCalibEqFull!$AZ$2:$BB$56,3),IF(I318="TDP",VLOOKUP(AF318,TPCalibEqFull!$AZ$2:$BB$56,3),IF(I318="TDN",VLOOKUP(AF318,TNCalibEqFull!$AZ$1:$BB$56,3),IF(I318="TN",VLOOKUP(AF318,TNCalibEqFull!$AZ$1:$BB$56,3),FALSE))))</f>
        <v>y=-0.5241x2+227.02x-134.2</v>
      </c>
      <c r="AV318" s="10" t="str">
        <f t="shared" si="32"/>
        <v>1227 05:55:00-EFK-0-FIL-1-SW-UKN</v>
      </c>
    </row>
    <row r="319" spans="1:48" s="10" customFormat="1" x14ac:dyDescent="0.55000000000000004">
      <c r="A319" s="32">
        <v>44922</v>
      </c>
      <c r="B319" s="33">
        <v>0.3576388888888889</v>
      </c>
      <c r="C319" s="10" t="s">
        <v>333</v>
      </c>
      <c r="D319" s="10">
        <v>0</v>
      </c>
      <c r="E319" s="10" t="s">
        <v>911</v>
      </c>
      <c r="F319" s="10">
        <v>1</v>
      </c>
      <c r="G319" s="10" t="s">
        <v>231</v>
      </c>
      <c r="H319" s="10" t="s">
        <v>322</v>
      </c>
      <c r="I319" s="10" t="s">
        <v>224</v>
      </c>
      <c r="J319" s="10">
        <v>40</v>
      </c>
      <c r="K319" s="12">
        <v>44930</v>
      </c>
      <c r="L319" s="33">
        <v>0.60846064814814815</v>
      </c>
      <c r="M319" s="10">
        <v>1</v>
      </c>
      <c r="N319" s="10" t="s">
        <v>196</v>
      </c>
      <c r="O319" s="10">
        <v>4.96</v>
      </c>
      <c r="P319" s="10">
        <v>0.29199999999999998</v>
      </c>
      <c r="Q319" s="10">
        <v>959</v>
      </c>
      <c r="R319" s="10" t="s">
        <v>170</v>
      </c>
      <c r="S319" s="34">
        <f t="shared" si="28"/>
        <v>978.92550143999983</v>
      </c>
      <c r="T319" s="10" t="s">
        <v>966</v>
      </c>
      <c r="U319" s="34" t="str">
        <f t="shared" si="29"/>
        <v/>
      </c>
      <c r="V319" s="31" t="str">
        <f>IF(H319="CHK",VLOOKUP(I319,QCCHK,3,),IF(H319="GUP",VLOOKUP(E319,QCGUP,2,),IF(AND(H319="ATP",OR(I319="TN",I319="TDN",I319="TNO2-3",I319="NO2-3")),VLOOKUP(E319,QCREC_N,2,),IF(AND(H319="NIC",OR(I319="TN",I319="TDN",I319="TNO2-3",I319="NO2-3")),VLOOKUP(E319,QCNIC_N,2,),IF(AND(H319="UREA",OR(I319="TN",I319="TDN",I319="TNO2-3",I319="NO2-3")),VLOOKUP(E319,QCUREA_N,2,),IF(H319="PER",VLOOKUP(I319,QCPER,MATCH(E319,QCACTUAL!$J$25:$AA$25,0),),IF(H319="SPK",VLOOKUP(I319,QCSPK,3,),IF(AND(H319="ATP",OR(I319="TP",I319="TDP")),VLOOKUP(E319,QCATP_P,2,),""))))))))</f>
        <v/>
      </c>
      <c r="W319" s="31" t="str">
        <f t="shared" si="30"/>
        <v>TRUE</v>
      </c>
      <c r="X319" s="31" t="str">
        <f t="shared" si="31"/>
        <v/>
      </c>
      <c r="Y319" s="10" t="s">
        <v>959</v>
      </c>
      <c r="Z319" s="10" t="s">
        <v>910</v>
      </c>
      <c r="AF319" s="12">
        <v>44930</v>
      </c>
      <c r="AJ319" s="10">
        <f>0.4739*4.96^2+205.64*4.96-100.4</f>
        <v>931.23309824</v>
      </c>
      <c r="AK319" s="10">
        <f>-0.5241*4.96^2+227.02*4.96-134.2</f>
        <v>978.92550143999983</v>
      </c>
      <c r="AL319" s="10" t="str">
        <f t="shared" si="33"/>
        <v>FALSE</v>
      </c>
      <c r="AM319" s="10" t="str">
        <f t="shared" si="33"/>
        <v>FALSE</v>
      </c>
      <c r="AN319" s="10" t="str">
        <f t="shared" si="33"/>
        <v>FALSE</v>
      </c>
      <c r="AO319" s="10" t="str">
        <f t="shared" si="34"/>
        <v>y=0.4739*4.96^2+205.64*4.96-100.4</v>
      </c>
      <c r="AP319" s="10" t="str">
        <f t="shared" si="34"/>
        <v>y=-0.5241*4.96^2+227.02*4.96-134.2</v>
      </c>
      <c r="AQ319" s="10" t="b">
        <f>IF(AND(I319="TP",S319&lt;=150),VLOOKUP(AF319,TPCalibEq150!$AZ$2:$BB$55,3,),IF(AND(I319="TDP",S319&lt;=150),VLOOKUP(AF319,TPCalibEq150!$AZ$2:$BB$55,3,)))</f>
        <v>0</v>
      </c>
      <c r="AR319" s="10" t="b">
        <f>IF(AND(I319="TP",S319&lt;=300),VLOOKUP(AF319,TPCalibEq300!$AZ$2:$BB$55,3,),IF(AND(I319="TDP",S319&lt;=300),VLOOKUP(AF319,TPCalibEq300!$AZ$2:$BB$55,3,)))</f>
        <v>0</v>
      </c>
      <c r="AS319" s="10" t="b">
        <f>IF(AND(I319="TP",S319&lt;=500),VLOOKUP(AF319,TPCalibEq500!$AZ$2:$BB$56,3,),IF(AND(I319="TDP",S319&lt;=500),VLOOKUP(AF319,TPCalibEq500!$AZ$2:$BB$56,3,)))</f>
        <v>0</v>
      </c>
      <c r="AT319" s="10" t="str">
        <f>IF(AND(I319="TN",S319&lt;=2800),VLOOKUP(AF319,TNCalibEq2500!$AZ$2:$BB$56,3,),IF(AND(I319="TDN",S319&lt;=2800),VLOOKUP(AF319,TNCalibEq2500!$AZ$2:$BB$56,3,)))</f>
        <v>y=0.4739x2+205.64x-100.4</v>
      </c>
      <c r="AU319" s="10" t="str">
        <f>IF(I319="TP",VLOOKUP(AF319,TPCalibEqFull!$AZ$2:$BB$56,3),IF(I319="TDP",VLOOKUP(AF319,TPCalibEqFull!$AZ$2:$BB$56,3),IF(I319="TDN",VLOOKUP(AF319,TNCalibEqFull!$AZ$1:$BB$56,3),IF(I319="TN",VLOOKUP(AF319,TNCalibEqFull!$AZ$1:$BB$56,3),FALSE))))</f>
        <v>y=-0.5241x2+227.02x-134.2</v>
      </c>
      <c r="AV319" s="10" t="str">
        <f t="shared" si="32"/>
        <v>1227 08:35:00-HST-0-FIL-1-SW-UKN</v>
      </c>
    </row>
    <row r="320" spans="1:48" s="10" customFormat="1" x14ac:dyDescent="0.55000000000000004">
      <c r="A320" s="32">
        <v>44923</v>
      </c>
      <c r="B320" s="33">
        <v>0.23958333333333334</v>
      </c>
      <c r="C320" s="10" t="s">
        <v>279</v>
      </c>
      <c r="D320" s="10">
        <v>0</v>
      </c>
      <c r="E320" s="10" t="s">
        <v>911</v>
      </c>
      <c r="F320" s="10">
        <v>1</v>
      </c>
      <c r="G320" s="10" t="s">
        <v>231</v>
      </c>
      <c r="H320" s="10" t="s">
        <v>322</v>
      </c>
      <c r="I320" s="10" t="s">
        <v>224</v>
      </c>
      <c r="J320" s="10">
        <v>41</v>
      </c>
      <c r="K320" s="12">
        <v>44930</v>
      </c>
      <c r="L320" s="33">
        <v>0.60912037037037037</v>
      </c>
      <c r="M320" s="10">
        <v>1</v>
      </c>
      <c r="N320" s="10" t="s">
        <v>196</v>
      </c>
      <c r="O320" s="10">
        <v>10.199999999999999</v>
      </c>
      <c r="P320" s="10">
        <v>0.59699999999999998</v>
      </c>
      <c r="Q320" s="10">
        <v>2090</v>
      </c>
      <c r="R320" s="10" t="s">
        <v>170</v>
      </c>
      <c r="S320" s="34">
        <f t="shared" si="28"/>
        <v>2126.876636</v>
      </c>
      <c r="T320" s="10" t="s">
        <v>966</v>
      </c>
      <c r="U320" s="34" t="str">
        <f t="shared" si="29"/>
        <v/>
      </c>
      <c r="V320" s="31" t="str">
        <f>IF(H320="CHK",VLOOKUP(I320,QCCHK,3,),IF(H320="GUP",VLOOKUP(E320,QCGUP,2,),IF(AND(H320="ATP",OR(I320="TN",I320="TDN",I320="TNO2-3",I320="NO2-3")),VLOOKUP(E320,QCREC_N,2,),IF(AND(H320="NIC",OR(I320="TN",I320="TDN",I320="TNO2-3",I320="NO2-3")),VLOOKUP(E320,QCNIC_N,2,),IF(AND(H320="UREA",OR(I320="TN",I320="TDN",I320="TNO2-3",I320="NO2-3")),VLOOKUP(E320,QCUREA_N,2,),IF(H320="PER",VLOOKUP(I320,QCPER,MATCH(E320,QCACTUAL!$J$25:$AA$25,0),),IF(H320="SPK",VLOOKUP(I320,QCSPK,3,),IF(AND(H320="ATP",OR(I320="TP",I320="TDP")),VLOOKUP(E320,QCATP_P,2,),""))))))))</f>
        <v/>
      </c>
      <c r="W320" s="31" t="str">
        <f t="shared" si="30"/>
        <v>TRUE</v>
      </c>
      <c r="X320" s="31" t="str">
        <f t="shared" si="31"/>
        <v/>
      </c>
      <c r="Y320" s="10" t="s">
        <v>959</v>
      </c>
      <c r="Z320" s="10" t="s">
        <v>910</v>
      </c>
      <c r="AF320" s="12">
        <v>44930</v>
      </c>
      <c r="AJ320" s="10">
        <f>0.4739*10.2^2+205.64*10.2-100.4</f>
        <v>2046.4325559999997</v>
      </c>
      <c r="AK320" s="10">
        <f>-0.5241*10.2^2+227.02*10.2-134.2</f>
        <v>2126.876636</v>
      </c>
      <c r="AL320" s="10" t="str">
        <f t="shared" si="33"/>
        <v>FALSE</v>
      </c>
      <c r="AM320" s="10" t="str">
        <f t="shared" si="33"/>
        <v>FALSE</v>
      </c>
      <c r="AN320" s="10" t="str">
        <f t="shared" si="33"/>
        <v>FALSE</v>
      </c>
      <c r="AO320" s="10" t="str">
        <f t="shared" si="34"/>
        <v>y=0.4739*10.2^2+205.64*10.2-100.4</v>
      </c>
      <c r="AP320" s="10" t="str">
        <f t="shared" si="34"/>
        <v>y=-0.5241*10.2^2+227.02*10.2-134.2</v>
      </c>
      <c r="AQ320" s="10" t="b">
        <f>IF(AND(I320="TP",S320&lt;=150),VLOOKUP(AF320,TPCalibEq150!$AZ$2:$BB$55,3,),IF(AND(I320="TDP",S320&lt;=150),VLOOKUP(AF320,TPCalibEq150!$AZ$2:$BB$55,3,)))</f>
        <v>0</v>
      </c>
      <c r="AR320" s="10" t="b">
        <f>IF(AND(I320="TP",S320&lt;=300),VLOOKUP(AF320,TPCalibEq300!$AZ$2:$BB$55,3,),IF(AND(I320="TDP",S320&lt;=300),VLOOKUP(AF320,TPCalibEq300!$AZ$2:$BB$55,3,)))</f>
        <v>0</v>
      </c>
      <c r="AS320" s="10" t="b">
        <f>IF(AND(I320="TP",S320&lt;=500),VLOOKUP(AF320,TPCalibEq500!$AZ$2:$BB$56,3,),IF(AND(I320="TDP",S320&lt;=500),VLOOKUP(AF320,TPCalibEq500!$AZ$2:$BB$56,3,)))</f>
        <v>0</v>
      </c>
      <c r="AT320" s="10" t="str">
        <f>IF(AND(I320="TN",S320&lt;=2800),VLOOKUP(AF320,TNCalibEq2500!$AZ$2:$BB$56,3,),IF(AND(I320="TDN",S320&lt;=2800),VLOOKUP(AF320,TNCalibEq2500!$AZ$2:$BB$56,3,)))</f>
        <v>y=0.4739x2+205.64x-100.4</v>
      </c>
      <c r="AU320" s="10" t="str">
        <f>IF(I320="TP",VLOOKUP(AF320,TPCalibEqFull!$AZ$2:$BB$56,3),IF(I320="TDP",VLOOKUP(AF320,TPCalibEqFull!$AZ$2:$BB$56,3),IF(I320="TDN",VLOOKUP(AF320,TNCalibEqFull!$AZ$1:$BB$56,3),IF(I320="TN",VLOOKUP(AF320,TNCalibEqFull!$AZ$1:$BB$56,3),FALSE))))</f>
        <v>y=-0.5241x2+227.02x-134.2</v>
      </c>
      <c r="AV320" s="10" t="str">
        <f t="shared" si="32"/>
        <v>1228 05:45:00-EFK-0-FIL-1-SW-UKN</v>
      </c>
    </row>
    <row r="321" spans="1:48" s="10" customFormat="1" x14ac:dyDescent="0.55000000000000004">
      <c r="A321" s="32">
        <v>44923</v>
      </c>
      <c r="B321" s="33">
        <v>0.36249999999999999</v>
      </c>
      <c r="C321" s="10" t="s">
        <v>333</v>
      </c>
      <c r="D321" s="10">
        <v>0</v>
      </c>
      <c r="E321" s="10" t="s">
        <v>911</v>
      </c>
      <c r="F321" s="10">
        <v>1</v>
      </c>
      <c r="G321" s="10" t="s">
        <v>231</v>
      </c>
      <c r="H321" s="10" t="s">
        <v>322</v>
      </c>
      <c r="I321" s="10" t="s">
        <v>224</v>
      </c>
      <c r="J321" s="10">
        <v>42</v>
      </c>
      <c r="K321" s="12">
        <v>44930</v>
      </c>
      <c r="L321" s="33">
        <v>0.60978009259259258</v>
      </c>
      <c r="M321" s="10">
        <v>1</v>
      </c>
      <c r="N321" s="10" t="s">
        <v>196</v>
      </c>
      <c r="O321" s="10">
        <v>5.4</v>
      </c>
      <c r="P321" s="10">
        <v>0.31900000000000001</v>
      </c>
      <c r="Q321" s="10">
        <v>1050</v>
      </c>
      <c r="R321" s="10" t="s">
        <v>170</v>
      </c>
      <c r="S321" s="34">
        <f t="shared" si="28"/>
        <v>1076.425244</v>
      </c>
      <c r="T321" s="10" t="s">
        <v>966</v>
      </c>
      <c r="U321" s="34" t="str">
        <f t="shared" si="29"/>
        <v/>
      </c>
      <c r="V321" s="31" t="str">
        <f>IF(H321="CHK",VLOOKUP(I321,QCCHK,3,),IF(H321="GUP",VLOOKUP(E321,QCGUP,2,),IF(AND(H321="ATP",OR(I321="TN",I321="TDN",I321="TNO2-3",I321="NO2-3")),VLOOKUP(E321,QCREC_N,2,),IF(AND(H321="NIC",OR(I321="TN",I321="TDN",I321="TNO2-3",I321="NO2-3")),VLOOKUP(E321,QCNIC_N,2,),IF(AND(H321="UREA",OR(I321="TN",I321="TDN",I321="TNO2-3",I321="NO2-3")),VLOOKUP(E321,QCUREA_N,2,),IF(H321="PER",VLOOKUP(I321,QCPER,MATCH(E321,QCACTUAL!$J$25:$AA$25,0),),IF(H321="SPK",VLOOKUP(I321,QCSPK,3,),IF(AND(H321="ATP",OR(I321="TP",I321="TDP")),VLOOKUP(E321,QCATP_P,2,),""))))))))</f>
        <v/>
      </c>
      <c r="W321" s="31" t="str">
        <f t="shared" si="30"/>
        <v>TRUE</v>
      </c>
      <c r="X321" s="31" t="str">
        <f t="shared" si="31"/>
        <v/>
      </c>
      <c r="Y321" s="10" t="s">
        <v>959</v>
      </c>
      <c r="Z321" s="10" t="s">
        <v>910</v>
      </c>
      <c r="AF321" s="12">
        <v>44930</v>
      </c>
      <c r="AJ321" s="10">
        <f>0.4739*5.4^2+205.64*5.4-100.4</f>
        <v>1023.8749239999999</v>
      </c>
      <c r="AK321" s="10">
        <f>-0.5241*5.4^2+227.02*5.4-134.2</f>
        <v>1076.425244</v>
      </c>
      <c r="AL321" s="10" t="str">
        <f t="shared" si="33"/>
        <v>FALSE</v>
      </c>
      <c r="AM321" s="10" t="str">
        <f t="shared" si="33"/>
        <v>FALSE</v>
      </c>
      <c r="AN321" s="10" t="str">
        <f t="shared" si="33"/>
        <v>FALSE</v>
      </c>
      <c r="AO321" s="10" t="str">
        <f t="shared" si="34"/>
        <v>y=0.4739*5.4^2+205.64*5.4-100.4</v>
      </c>
      <c r="AP321" s="10" t="str">
        <f t="shared" si="34"/>
        <v>y=-0.5241*5.4^2+227.02*5.4-134.2</v>
      </c>
      <c r="AQ321" s="10" t="b">
        <f>IF(AND(I321="TP",S321&lt;=150),VLOOKUP(AF321,TPCalibEq150!$AZ$2:$BB$55,3,),IF(AND(I321="TDP",S321&lt;=150),VLOOKUP(AF321,TPCalibEq150!$AZ$2:$BB$55,3,)))</f>
        <v>0</v>
      </c>
      <c r="AR321" s="10" t="b">
        <f>IF(AND(I321="TP",S321&lt;=300),VLOOKUP(AF321,TPCalibEq300!$AZ$2:$BB$55,3,),IF(AND(I321="TDP",S321&lt;=300),VLOOKUP(AF321,TPCalibEq300!$AZ$2:$BB$55,3,)))</f>
        <v>0</v>
      </c>
      <c r="AS321" s="10" t="b">
        <f>IF(AND(I321="TP",S321&lt;=500),VLOOKUP(AF321,TPCalibEq500!$AZ$2:$BB$56,3,),IF(AND(I321="TDP",S321&lt;=500),VLOOKUP(AF321,TPCalibEq500!$AZ$2:$BB$56,3,)))</f>
        <v>0</v>
      </c>
      <c r="AT321" s="10" t="str">
        <f>IF(AND(I321="TN",S321&lt;=2800),VLOOKUP(AF321,TNCalibEq2500!$AZ$2:$BB$56,3,),IF(AND(I321="TDN",S321&lt;=2800),VLOOKUP(AF321,TNCalibEq2500!$AZ$2:$BB$56,3,)))</f>
        <v>y=0.4739x2+205.64x-100.4</v>
      </c>
      <c r="AU321" s="10" t="str">
        <f>IF(I321="TP",VLOOKUP(AF321,TPCalibEqFull!$AZ$2:$BB$56,3),IF(I321="TDP",VLOOKUP(AF321,TPCalibEqFull!$AZ$2:$BB$56,3),IF(I321="TDN",VLOOKUP(AF321,TNCalibEqFull!$AZ$1:$BB$56,3),IF(I321="TN",VLOOKUP(AF321,TNCalibEqFull!$AZ$1:$BB$56,3),FALSE))))</f>
        <v>y=-0.5241x2+227.02x-134.2</v>
      </c>
      <c r="AV321" s="10" t="str">
        <f t="shared" si="32"/>
        <v>1228 08:42:00-HST-0-FIL-1-SW-UKN</v>
      </c>
    </row>
    <row r="322" spans="1:48" s="10" customFormat="1" x14ac:dyDescent="0.55000000000000004">
      <c r="A322" s="32">
        <v>44924</v>
      </c>
      <c r="B322" s="33">
        <v>0.21180555555555555</v>
      </c>
      <c r="C322" s="10" t="s">
        <v>279</v>
      </c>
      <c r="D322" s="10">
        <v>0</v>
      </c>
      <c r="E322" s="10" t="s">
        <v>911</v>
      </c>
      <c r="F322" s="10">
        <v>1</v>
      </c>
      <c r="G322" s="10" t="s">
        <v>231</v>
      </c>
      <c r="H322" s="10" t="s">
        <v>322</v>
      </c>
      <c r="I322" s="10" t="s">
        <v>224</v>
      </c>
      <c r="J322" s="10">
        <v>43</v>
      </c>
      <c r="K322" s="12">
        <v>44930</v>
      </c>
      <c r="L322" s="33">
        <v>0.61045138888888884</v>
      </c>
      <c r="M322" s="10">
        <v>1</v>
      </c>
      <c r="N322" s="10" t="s">
        <v>196</v>
      </c>
      <c r="O322" s="10">
        <v>9.69</v>
      </c>
      <c r="P322" s="10">
        <v>0.56899999999999995</v>
      </c>
      <c r="Q322" s="10">
        <v>1980</v>
      </c>
      <c r="R322" s="10" t="s">
        <v>170</v>
      </c>
      <c r="S322" s="34">
        <f t="shared" ref="S322:S385" si="35">IF(OR(AND(I322&lt;&gt;"TP", I322&lt;&gt;"TDP",I322&lt;&gt;"TN", I322&lt;&gt;"TDN"),H322="CAL"), Q322*M322, IF(OR(AND(I322="TN", Q322&gt;2500), AND(I322="TDN", Q322&gt;2500)),MAX(Q322, AK322)*M322, IF(OR(AND(I322="TN", Q322&lt;=2500), AND(I322="TDN", Q322&lt;=2500)),MAX(Q322, AJ322,AK322)*M322, IF(OR(AND(I322="TP",Q322&gt;500), AND(I322="TDP", Q322&gt;500)),MAX(Q322,AK322)*M322,IF(OR(AND(I322="TP",Q322&lt;=150), AND(I322="TDP", Q322&lt;=150)),MAX(Q322,AG322:AI322,AK322)*M322,IF(OR(AND(I322="TP",Q322&lt;=300), AND(I322="TDP", Q322&lt;=300)),MAX(Q322,AH322,AI322,AK322)*M322,IF(OR(AND(I322="TP",Q322&lt;=500), AND(I322="TDP", Q322&lt;=500)),MAX(Q322,AI322,AK322)*M322,"")))))))</f>
        <v>2016.41285399</v>
      </c>
      <c r="T322" s="10" t="s">
        <v>966</v>
      </c>
      <c r="U322" s="34" t="str">
        <f t="shared" ref="U322:U385" si="36">IF(OR(H322="CHK",H322="ATP",H322="GUP",H322="PER", H322="NIC", H322="UREA"),(S322/V322*100),IF(H322="DUP",((ABS(S322-S321))/((S321+S322)/2))*100,IF(H322="SPK",((S322-S321)/V322*100),IF(OR(H322="LAB",H322="FLD",H322="ESF"),S322,""))))</f>
        <v/>
      </c>
      <c r="V322" s="31" t="str">
        <f>IF(H322="CHK",VLOOKUP(I322,QCCHK,3,),IF(H322="GUP",VLOOKUP(E322,QCGUP,2,),IF(AND(H322="ATP",OR(I322="TN",I322="TDN",I322="TNO2-3",I322="NO2-3")),VLOOKUP(E322,QCREC_N,2,),IF(AND(H322="NIC",OR(I322="TN",I322="TDN",I322="TNO2-3",I322="NO2-3")),VLOOKUP(E322,QCNIC_N,2,),IF(AND(H322="UREA",OR(I322="TN",I322="TDN",I322="TNO2-3",I322="NO2-3")),VLOOKUP(E322,QCUREA_N,2,),IF(H322="PER",VLOOKUP(I322,QCPER,MATCH(E322,QCACTUAL!$J$25:$AA$25,0),),IF(H322="SPK",VLOOKUP(I322,QCSPK,3,),IF(AND(H322="ATP",OR(I322="TP",I322="TDP")),VLOOKUP(E322,QCATP_P,2,),""))))))))</f>
        <v/>
      </c>
      <c r="W322" s="31" t="str">
        <f t="shared" ref="W322:W385" si="37">IF(AND(OR(H322="PER",H322="ATP",H322="GUP",H322="CHK",H322="SPK", H322="NIC"),OR(U322&gt;125,U322&lt;75)),"FALSE",IF(AND(H322="DUP",OR(U322&gt;25, U322&lt;-25)),"FALSE",IF(AND(OR(H322="LAB",H322="FLD",H322="ESF"),U322&gt;15),"FALSE","TRUE")))</f>
        <v>TRUE</v>
      </c>
      <c r="X322" s="31" t="str">
        <f t="shared" ref="X322:X385" si="38">IF(ISNA(VLOOKUP(H322,QCEQUATIONS,2,)),"",(VLOOKUP(H322,QCEQUATIONS,2,)))</f>
        <v/>
      </c>
      <c r="Y322" s="10" t="s">
        <v>959</v>
      </c>
      <c r="Z322" s="10" t="s">
        <v>910</v>
      </c>
      <c r="AF322" s="12">
        <v>44930</v>
      </c>
      <c r="AJ322" s="10">
        <f>0.4739*9.69^2+205.64*9.69-100.4</f>
        <v>1936.7489617899996</v>
      </c>
      <c r="AK322" s="10">
        <f>-0.5241*9.69^2+227.02*9.69-134.2</f>
        <v>2016.41285399</v>
      </c>
      <c r="AL322" s="10" t="str">
        <f t="shared" si="33"/>
        <v>FALSE</v>
      </c>
      <c r="AM322" s="10" t="str">
        <f t="shared" si="33"/>
        <v>FALSE</v>
      </c>
      <c r="AN322" s="10" t="str">
        <f t="shared" si="33"/>
        <v>FALSE</v>
      </c>
      <c r="AO322" s="10" t="str">
        <f t="shared" si="34"/>
        <v>y=0.4739*9.69^2+205.64*9.69-100.4</v>
      </c>
      <c r="AP322" s="10" t="str">
        <f t="shared" si="34"/>
        <v>y=-0.5241*9.69^2+227.02*9.69-134.2</v>
      </c>
      <c r="AQ322" s="10" t="b">
        <f>IF(AND(I322="TP",S322&lt;=150),VLOOKUP(AF322,TPCalibEq150!$AZ$2:$BB$55,3,),IF(AND(I322="TDP",S322&lt;=150),VLOOKUP(AF322,TPCalibEq150!$AZ$2:$BB$55,3,)))</f>
        <v>0</v>
      </c>
      <c r="AR322" s="10" t="b">
        <f>IF(AND(I322="TP",S322&lt;=300),VLOOKUP(AF322,TPCalibEq300!$AZ$2:$BB$55,3,),IF(AND(I322="TDP",S322&lt;=300),VLOOKUP(AF322,TPCalibEq300!$AZ$2:$BB$55,3,)))</f>
        <v>0</v>
      </c>
      <c r="AS322" s="10" t="b">
        <f>IF(AND(I322="TP",S322&lt;=500),VLOOKUP(AF322,TPCalibEq500!$AZ$2:$BB$56,3,),IF(AND(I322="TDP",S322&lt;=500),VLOOKUP(AF322,TPCalibEq500!$AZ$2:$BB$56,3,)))</f>
        <v>0</v>
      </c>
      <c r="AT322" s="10" t="str">
        <f>IF(AND(I322="TN",S322&lt;=2800),VLOOKUP(AF322,TNCalibEq2500!$AZ$2:$BB$56,3,),IF(AND(I322="TDN",S322&lt;=2800),VLOOKUP(AF322,TNCalibEq2500!$AZ$2:$BB$56,3,)))</f>
        <v>y=0.4739x2+205.64x-100.4</v>
      </c>
      <c r="AU322" s="10" t="str">
        <f>IF(I322="TP",VLOOKUP(AF322,TPCalibEqFull!$AZ$2:$BB$56,3),IF(I322="TDP",VLOOKUP(AF322,TPCalibEqFull!$AZ$2:$BB$56,3),IF(I322="TDN",VLOOKUP(AF322,TNCalibEqFull!$AZ$1:$BB$56,3),IF(I322="TN",VLOOKUP(AF322,TNCalibEqFull!$AZ$1:$BB$56,3),FALSE))))</f>
        <v>y=-0.5241x2+227.02x-134.2</v>
      </c>
      <c r="AV322" s="10" t="str">
        <f t="shared" ref="AV322:AV385" si="39">TEXT(A322, "MMDD")&amp;" "&amp;TEXT(B322, "HH:MM:SS")&amp;"-"&amp;C322&amp;"-"&amp;D322&amp;"-"&amp;E322&amp;"-"&amp;F322&amp;"-"&amp;G322&amp;"-"&amp;H322</f>
        <v>1229 05:05:00-EFK-0-FIL-1-SW-UKN</v>
      </c>
    </row>
    <row r="323" spans="1:48" s="10" customFormat="1" x14ac:dyDescent="0.55000000000000004">
      <c r="A323" s="32">
        <v>44924</v>
      </c>
      <c r="B323" s="33">
        <v>0.22013888888888888</v>
      </c>
      <c r="C323" s="10" t="s">
        <v>333</v>
      </c>
      <c r="D323" s="10">
        <v>0</v>
      </c>
      <c r="E323" s="10" t="s">
        <v>911</v>
      </c>
      <c r="F323" s="10">
        <v>1</v>
      </c>
      <c r="G323" s="10" t="s">
        <v>231</v>
      </c>
      <c r="H323" s="10" t="s">
        <v>322</v>
      </c>
      <c r="I323" s="10" t="s">
        <v>224</v>
      </c>
      <c r="J323" s="10">
        <v>44</v>
      </c>
      <c r="K323" s="12">
        <v>44930</v>
      </c>
      <c r="L323" s="33">
        <v>0.61108796296296297</v>
      </c>
      <c r="M323" s="10">
        <v>1</v>
      </c>
      <c r="N323" s="10" t="s">
        <v>196</v>
      </c>
      <c r="O323" s="10">
        <v>5.3</v>
      </c>
      <c r="P323" s="10">
        <v>0.314</v>
      </c>
      <c r="Q323" s="10">
        <v>1030</v>
      </c>
      <c r="R323" s="10" t="s">
        <v>170</v>
      </c>
      <c r="S323" s="34">
        <f t="shared" si="35"/>
        <v>1054.2840309999999</v>
      </c>
      <c r="T323" s="10" t="s">
        <v>966</v>
      </c>
      <c r="U323" s="34" t="str">
        <f t="shared" si="36"/>
        <v/>
      </c>
      <c r="V323" s="31" t="str">
        <f>IF(H323="CHK",VLOOKUP(I323,QCCHK,3,),IF(H323="GUP",VLOOKUP(E323,QCGUP,2,),IF(AND(H323="ATP",OR(I323="TN",I323="TDN",I323="TNO2-3",I323="NO2-3")),VLOOKUP(E323,QCREC_N,2,),IF(AND(H323="NIC",OR(I323="TN",I323="TDN",I323="TNO2-3",I323="NO2-3")),VLOOKUP(E323,QCNIC_N,2,),IF(AND(H323="UREA",OR(I323="TN",I323="TDN",I323="TNO2-3",I323="NO2-3")),VLOOKUP(E323,QCUREA_N,2,),IF(H323="PER",VLOOKUP(I323,QCPER,MATCH(E323,QCACTUAL!$J$25:$AA$25,0),),IF(H323="SPK",VLOOKUP(I323,QCSPK,3,),IF(AND(H323="ATP",OR(I323="TP",I323="TDP")),VLOOKUP(E323,QCATP_P,2,),""))))))))</f>
        <v/>
      </c>
      <c r="W323" s="31" t="str">
        <f t="shared" si="37"/>
        <v>TRUE</v>
      </c>
      <c r="X323" s="31" t="str">
        <f t="shared" si="38"/>
        <v/>
      </c>
      <c r="Y323" s="10" t="s">
        <v>959</v>
      </c>
      <c r="Z323" s="10" t="s">
        <v>910</v>
      </c>
      <c r="AF323" s="12">
        <v>44930</v>
      </c>
      <c r="AJ323" s="10">
        <f>0.4739*5.3^2+205.64*5.3-100.4</f>
        <v>1002.8038509999998</v>
      </c>
      <c r="AK323" s="10">
        <f>-0.5241*5.3^2+227.02*5.3-134.2</f>
        <v>1054.2840309999999</v>
      </c>
      <c r="AL323" s="10" t="str">
        <f t="shared" ref="AL323:AN386" si="40">IF($O323="", "", IF(AQ323&lt;&gt;"", SUBSTITUTE(SUBSTITUTE(AQ323, "x", "*"&amp;$O323&amp;"^", 1), "x", "*"&amp;$O323, 1), ""))</f>
        <v>FALSE</v>
      </c>
      <c r="AM323" s="10" t="str">
        <f t="shared" si="40"/>
        <v>FALSE</v>
      </c>
      <c r="AN323" s="10" t="str">
        <f t="shared" si="40"/>
        <v>FALSE</v>
      </c>
      <c r="AO323" s="10" t="str">
        <f t="shared" ref="AO323:AP386" si="41">IF($O323="", "FALSE", IF(AT323&lt;&gt;"FALSE", SUBSTITUTE(SUBSTITUTE(AT323, "x", "*"&amp;$O323&amp;"^", 1), "x", "*"&amp;$O323, 1), ""))</f>
        <v>y=0.4739*5.3^2+205.64*5.3-100.4</v>
      </c>
      <c r="AP323" s="10" t="str">
        <f t="shared" si="41"/>
        <v>y=-0.5241*5.3^2+227.02*5.3-134.2</v>
      </c>
      <c r="AQ323" s="10" t="b">
        <f>IF(AND(I323="TP",S323&lt;=150),VLOOKUP(AF323,TPCalibEq150!$AZ$2:$BB$55,3,),IF(AND(I323="TDP",S323&lt;=150),VLOOKUP(AF323,TPCalibEq150!$AZ$2:$BB$55,3,)))</f>
        <v>0</v>
      </c>
      <c r="AR323" s="10" t="b">
        <f>IF(AND(I323="TP",S323&lt;=300),VLOOKUP(AF323,TPCalibEq300!$AZ$2:$BB$55,3,),IF(AND(I323="TDP",S323&lt;=300),VLOOKUP(AF323,TPCalibEq300!$AZ$2:$BB$55,3,)))</f>
        <v>0</v>
      </c>
      <c r="AS323" s="10" t="b">
        <f>IF(AND(I323="TP",S323&lt;=500),VLOOKUP(AF323,TPCalibEq500!$AZ$2:$BB$56,3,),IF(AND(I323="TDP",S323&lt;=500),VLOOKUP(AF323,TPCalibEq500!$AZ$2:$BB$56,3,)))</f>
        <v>0</v>
      </c>
      <c r="AT323" s="10" t="str">
        <f>IF(AND(I323="TN",S323&lt;=2800),VLOOKUP(AF323,TNCalibEq2500!$AZ$2:$BB$56,3,),IF(AND(I323="TDN",S323&lt;=2800),VLOOKUP(AF323,TNCalibEq2500!$AZ$2:$BB$56,3,)))</f>
        <v>y=0.4739x2+205.64x-100.4</v>
      </c>
      <c r="AU323" s="10" t="str">
        <f>IF(I323="TP",VLOOKUP(AF323,TPCalibEqFull!$AZ$2:$BB$56,3),IF(I323="TDP",VLOOKUP(AF323,TPCalibEqFull!$AZ$2:$BB$56,3),IF(I323="TDN",VLOOKUP(AF323,TNCalibEqFull!$AZ$1:$BB$56,3),IF(I323="TN",VLOOKUP(AF323,TNCalibEqFull!$AZ$1:$BB$56,3),FALSE))))</f>
        <v>y=-0.5241x2+227.02x-134.2</v>
      </c>
      <c r="AV323" s="10" t="str">
        <f t="shared" si="39"/>
        <v>1229 05:17:00-HST-0-FIL-1-SW-UKN</v>
      </c>
    </row>
    <row r="324" spans="1:48" s="10" customFormat="1" x14ac:dyDescent="0.55000000000000004">
      <c r="A324" s="32">
        <v>44924</v>
      </c>
      <c r="B324" s="33">
        <v>0.22013888888888888</v>
      </c>
      <c r="C324" s="10" t="s">
        <v>333</v>
      </c>
      <c r="D324" s="10">
        <v>0</v>
      </c>
      <c r="E324" s="10" t="s">
        <v>911</v>
      </c>
      <c r="F324" s="10">
        <v>1</v>
      </c>
      <c r="G324" s="10" t="s">
        <v>231</v>
      </c>
      <c r="H324" s="10" t="s">
        <v>233</v>
      </c>
      <c r="I324" s="10" t="s">
        <v>224</v>
      </c>
      <c r="J324" s="10">
        <v>44</v>
      </c>
      <c r="K324" s="12">
        <v>44930</v>
      </c>
      <c r="L324" s="33">
        <v>0.61175925925925922</v>
      </c>
      <c r="M324" s="10">
        <v>1</v>
      </c>
      <c r="N324" s="10" t="s">
        <v>196</v>
      </c>
      <c r="O324" s="10">
        <v>5.37</v>
      </c>
      <c r="P324" s="10">
        <v>0.317</v>
      </c>
      <c r="Q324" s="10">
        <v>1050</v>
      </c>
      <c r="R324" s="10" t="s">
        <v>170</v>
      </c>
      <c r="S324" s="34">
        <f t="shared" si="35"/>
        <v>1069.7839807100002</v>
      </c>
      <c r="T324" s="10" t="s">
        <v>966</v>
      </c>
      <c r="U324" s="34">
        <f t="shared" si="36"/>
        <v>1.4594588896917537</v>
      </c>
      <c r="V324" s="31" t="str">
        <f>IF(H324="CHK",VLOOKUP(I324,QCCHK,3,),IF(H324="GUP",VLOOKUP(E324,QCGUP,2,),IF(AND(H324="ATP",OR(I324="TN",I324="TDN",I324="TNO2-3",I324="NO2-3")),VLOOKUP(E324,QCREC_N,2,),IF(AND(H324="NIC",OR(I324="TN",I324="TDN",I324="TNO2-3",I324="NO2-3")),VLOOKUP(E324,QCNIC_N,2,),IF(AND(H324="UREA",OR(I324="TN",I324="TDN",I324="TNO2-3",I324="NO2-3")),VLOOKUP(E324,QCUREA_N,2,),IF(H324="PER",VLOOKUP(I324,QCPER,MATCH(E324,QCACTUAL!$J$25:$AA$25,0),),IF(H324="SPK",VLOOKUP(I324,QCSPK,3,),IF(AND(H324="ATP",OR(I324="TP",I324="TDP")),VLOOKUP(E324,QCATP_P,2,),""))))))))</f>
        <v/>
      </c>
      <c r="W324" s="31" t="str">
        <f t="shared" si="37"/>
        <v>TRUE</v>
      </c>
      <c r="X324" s="31" t="str">
        <f t="shared" si="38"/>
        <v>((ABS(rep1-rep2))/((rep1+rep2)/2)*100</v>
      </c>
      <c r="Y324" s="10" t="s">
        <v>959</v>
      </c>
      <c r="Z324" s="10" t="s">
        <v>910</v>
      </c>
      <c r="AF324" s="12">
        <v>44930</v>
      </c>
      <c r="AJ324" s="10">
        <f>0.4739*5.37^2+205.64*5.37-100.4</f>
        <v>1017.5526069099998</v>
      </c>
      <c r="AK324" s="10">
        <f>-0.5241*5.37^2+227.02*5.37-134.2</f>
        <v>1069.7839807100002</v>
      </c>
      <c r="AL324" s="10" t="str">
        <f t="shared" si="40"/>
        <v>FALSE</v>
      </c>
      <c r="AM324" s="10" t="str">
        <f t="shared" si="40"/>
        <v>FALSE</v>
      </c>
      <c r="AN324" s="10" t="str">
        <f t="shared" si="40"/>
        <v>FALSE</v>
      </c>
      <c r="AO324" s="10" t="str">
        <f t="shared" si="41"/>
        <v>y=0.4739*5.37^2+205.64*5.37-100.4</v>
      </c>
      <c r="AP324" s="10" t="str">
        <f t="shared" si="41"/>
        <v>y=-0.5241*5.37^2+227.02*5.37-134.2</v>
      </c>
      <c r="AQ324" s="10" t="b">
        <f>IF(AND(I324="TP",S324&lt;=150),VLOOKUP(AF324,TPCalibEq150!$AZ$2:$BB$55,3,),IF(AND(I324="TDP",S324&lt;=150),VLOOKUP(AF324,TPCalibEq150!$AZ$2:$BB$55,3,)))</f>
        <v>0</v>
      </c>
      <c r="AR324" s="10" t="b">
        <f>IF(AND(I324="TP",S324&lt;=300),VLOOKUP(AF324,TPCalibEq300!$AZ$2:$BB$55,3,),IF(AND(I324="TDP",S324&lt;=300),VLOOKUP(AF324,TPCalibEq300!$AZ$2:$BB$55,3,)))</f>
        <v>0</v>
      </c>
      <c r="AS324" s="10" t="b">
        <f>IF(AND(I324="TP",S324&lt;=500),VLOOKUP(AF324,TPCalibEq500!$AZ$2:$BB$56,3,),IF(AND(I324="TDP",S324&lt;=500),VLOOKUP(AF324,TPCalibEq500!$AZ$2:$BB$56,3,)))</f>
        <v>0</v>
      </c>
      <c r="AT324" s="10" t="str">
        <f>IF(AND(I324="TN",S324&lt;=2800),VLOOKUP(AF324,TNCalibEq2500!$AZ$2:$BB$56,3,),IF(AND(I324="TDN",S324&lt;=2800),VLOOKUP(AF324,TNCalibEq2500!$AZ$2:$BB$56,3,)))</f>
        <v>y=0.4739x2+205.64x-100.4</v>
      </c>
      <c r="AU324" s="10" t="str">
        <f>IF(I324="TP",VLOOKUP(AF324,TPCalibEqFull!$AZ$2:$BB$56,3),IF(I324="TDP",VLOOKUP(AF324,TPCalibEqFull!$AZ$2:$BB$56,3),IF(I324="TDN",VLOOKUP(AF324,TNCalibEqFull!$AZ$1:$BB$56,3),IF(I324="TN",VLOOKUP(AF324,TNCalibEqFull!$AZ$1:$BB$56,3),FALSE))))</f>
        <v>y=-0.5241x2+227.02x-134.2</v>
      </c>
      <c r="AV324" s="10" t="str">
        <f t="shared" si="39"/>
        <v>1229 05:17:00-HST-0-FIL-1-SW-DUP</v>
      </c>
    </row>
    <row r="325" spans="1:48" s="10" customFormat="1" x14ac:dyDescent="0.55000000000000004">
      <c r="A325" s="32">
        <v>44924</v>
      </c>
      <c r="B325" s="33">
        <v>0.22013888888888888</v>
      </c>
      <c r="C325" s="10" t="s">
        <v>912</v>
      </c>
      <c r="D325" s="10">
        <v>0</v>
      </c>
      <c r="E325" s="10" t="s">
        <v>911</v>
      </c>
      <c r="F325" s="10">
        <v>1</v>
      </c>
      <c r="G325" s="10" t="s">
        <v>231</v>
      </c>
      <c r="H325" s="10" t="s">
        <v>314</v>
      </c>
      <c r="I325" s="10" t="s">
        <v>224</v>
      </c>
      <c r="J325" s="10">
        <v>52</v>
      </c>
      <c r="K325" s="12">
        <v>44930</v>
      </c>
      <c r="L325" s="33">
        <v>0.61241898148148144</v>
      </c>
      <c r="M325" s="10">
        <v>1</v>
      </c>
      <c r="N325" s="10" t="s">
        <v>196</v>
      </c>
      <c r="O325" s="10">
        <v>17.5</v>
      </c>
      <c r="P325" s="10">
        <v>1.01</v>
      </c>
      <c r="Q325" s="10">
        <v>3660</v>
      </c>
      <c r="R325" s="10" t="s">
        <v>170</v>
      </c>
      <c r="S325" s="34">
        <f t="shared" si="35"/>
        <v>3678.1443750000008</v>
      </c>
      <c r="T325" s="10" t="s">
        <v>966</v>
      </c>
      <c r="U325" s="34">
        <f t="shared" si="36"/>
        <v>104.33441577160004</v>
      </c>
      <c r="V325" s="31">
        <f>IF(H325="CHK",VLOOKUP(I325,QCCHK,3,),IF(H325="GUP",VLOOKUP(E325,QCGUP,2,),IF(AND(H325="ATP",OR(I325="TN",I325="TDN",I325="TNO2-3",I325="NO2-3")),VLOOKUP(E325,QCREC_N,2,),IF(AND(H325="NIC",OR(I325="TN",I325="TDN",I325="TNO2-3",I325="NO2-3")),VLOOKUP(E325,QCNIC_N,2,),IF(AND(H325="UREA",OR(I325="TN",I325="TDN",I325="TNO2-3",I325="NO2-3")),VLOOKUP(E325,QCUREA_N,2,),IF(H325="PER",VLOOKUP(I325,QCPER,MATCH(E325,QCACTUAL!$J$25:$AA$25,0),),IF(H325="SPK",VLOOKUP(I325,QCSPK,3,),IF(AND(H325="ATP",OR(I325="TP",I325="TDP")),VLOOKUP(E325,QCATP_P,2,),""))))))))</f>
        <v>2500</v>
      </c>
      <c r="W325" s="31" t="str">
        <f t="shared" si="37"/>
        <v>TRUE</v>
      </c>
      <c r="X325" s="31" t="str">
        <f t="shared" si="38"/>
        <v>([spikedunkn]-[unkn])/[spike]*100</v>
      </c>
      <c r="Y325" s="10" t="s">
        <v>959</v>
      </c>
      <c r="Z325" s="10" t="s">
        <v>910</v>
      </c>
      <c r="AF325" s="12">
        <v>44930</v>
      </c>
      <c r="AK325" s="10">
        <f>-0.5241*17.5^2+227.02*17.5-134.2</f>
        <v>3678.1443750000008</v>
      </c>
      <c r="AL325" s="10" t="str">
        <f t="shared" si="40"/>
        <v>FALSE</v>
      </c>
      <c r="AM325" s="10" t="str">
        <f t="shared" si="40"/>
        <v>FALSE</v>
      </c>
      <c r="AN325" s="10" t="str">
        <f t="shared" si="40"/>
        <v>FALSE</v>
      </c>
      <c r="AO325" s="10" t="str">
        <f t="shared" si="41"/>
        <v>FALSE</v>
      </c>
      <c r="AP325" s="10" t="str">
        <f t="shared" si="41"/>
        <v>y=-0.5241*17.5^2+227.02*17.5-134.2</v>
      </c>
      <c r="AQ325" s="10" t="b">
        <f>IF(AND(I325="TP",S325&lt;=150),VLOOKUP(AF325,TPCalibEq150!$AZ$2:$BB$55,3,),IF(AND(I325="TDP",S325&lt;=150),VLOOKUP(AF325,TPCalibEq150!$AZ$2:$BB$55,3,)))</f>
        <v>0</v>
      </c>
      <c r="AR325" s="10" t="b">
        <f>IF(AND(I325="TP",S325&lt;=300),VLOOKUP(AF325,TPCalibEq300!$AZ$2:$BB$55,3,),IF(AND(I325="TDP",S325&lt;=300),VLOOKUP(AF325,TPCalibEq300!$AZ$2:$BB$55,3,)))</f>
        <v>0</v>
      </c>
      <c r="AS325" s="10" t="b">
        <f>IF(AND(I325="TP",S325&lt;=500),VLOOKUP(AF325,TPCalibEq500!$AZ$2:$BB$56,3,),IF(AND(I325="TDP",S325&lt;=500),VLOOKUP(AF325,TPCalibEq500!$AZ$2:$BB$56,3,)))</f>
        <v>0</v>
      </c>
      <c r="AT325" s="10" t="b">
        <f>IF(AND(I325="TN",S325&lt;=2800),VLOOKUP(AF325,TNCalibEq2500!$AZ$2:$BB$56,3,),IF(AND(I325="TDN",S325&lt;=2800),VLOOKUP(AF325,TNCalibEq2500!$AZ$2:$BB$56,3,)))</f>
        <v>0</v>
      </c>
      <c r="AU325" s="10" t="str">
        <f>IF(I325="TP",VLOOKUP(AF325,TPCalibEqFull!$AZ$2:$BB$56,3),IF(I325="TDP",VLOOKUP(AF325,TPCalibEqFull!$AZ$2:$BB$56,3),IF(I325="TDN",VLOOKUP(AF325,TNCalibEqFull!$AZ$1:$BB$56,3),IF(I325="TN",VLOOKUP(AF325,TNCalibEqFull!$AZ$1:$BB$56,3),FALSE))))</f>
        <v>y=-0.5241x2+227.02x-134.2</v>
      </c>
      <c r="AV325" s="10" t="str">
        <f t="shared" si="39"/>
        <v>1229 05:17:00-HST -0-FIL-1-SW-SPK</v>
      </c>
    </row>
    <row r="326" spans="1:48" s="10" customFormat="1" x14ac:dyDescent="0.55000000000000004">
      <c r="A326" s="32">
        <v>44930</v>
      </c>
      <c r="B326" s="33">
        <v>0.375</v>
      </c>
      <c r="C326" s="10" t="s">
        <v>70</v>
      </c>
      <c r="D326" s="10" t="s">
        <v>71</v>
      </c>
      <c r="E326" s="10" t="s">
        <v>901</v>
      </c>
      <c r="F326" s="10">
        <v>1</v>
      </c>
      <c r="G326" s="10" t="s">
        <v>73</v>
      </c>
      <c r="H326" s="10" t="s">
        <v>207</v>
      </c>
      <c r="I326" s="10" t="s">
        <v>235</v>
      </c>
      <c r="J326" s="10">
        <v>200</v>
      </c>
      <c r="K326" s="12">
        <v>44930</v>
      </c>
      <c r="L326" s="33">
        <v>0.61310185185185184</v>
      </c>
      <c r="M326" s="10">
        <v>1</v>
      </c>
      <c r="N326" s="10" t="s">
        <v>196</v>
      </c>
      <c r="O326" s="10">
        <v>5.94</v>
      </c>
      <c r="P326" s="10">
        <v>0.35399999999999998</v>
      </c>
      <c r="Q326" s="10">
        <v>1170</v>
      </c>
      <c r="R326" s="10" t="s">
        <v>170</v>
      </c>
      <c r="S326" s="34">
        <f t="shared" si="35"/>
        <v>1195.80666524</v>
      </c>
      <c r="T326" s="10" t="s">
        <v>966</v>
      </c>
      <c r="U326" s="34">
        <f t="shared" si="36"/>
        <v>95.664533219199996</v>
      </c>
      <c r="V326" s="31">
        <f>IF(H326="CHK",VLOOKUP(I326,QCCHK,3,),IF(H326="GUP",VLOOKUP(E326,QCGUP,2,),IF(AND(H326="ATP",OR(I326="TN",I326="TDN",I326="TNO2-3",I326="NO2-3")),VLOOKUP(E326,QCREC_N,2,),IF(AND(H326="NIC",OR(I326="TN",I326="TDN",I326="TNO2-3",I326="NO2-3")),VLOOKUP(E326,QCNIC_N,2,),IF(AND(H326="UREA",OR(I326="TN",I326="TDN",I326="TNO2-3",I326="NO2-3")),VLOOKUP(E326,QCUREA_N,2,),IF(H326="PER",VLOOKUP(I326,QCPER,MATCH(E326,QCACTUAL!$J$25:$AA$25,0),),IF(H326="SPK",VLOOKUP(I326,QCSPK,3,),IF(AND(H326="ATP",OR(I326="TP",I326="TDP")),VLOOKUP(E326,QCATP_P,2,),""))))))))</f>
        <v>1250</v>
      </c>
      <c r="W326" s="31" t="str">
        <f t="shared" si="37"/>
        <v>TRUE</v>
      </c>
      <c r="X326" s="31" t="str">
        <f t="shared" si="38"/>
        <v>[chk]/[actual]*100</v>
      </c>
      <c r="Y326" s="10" t="s">
        <v>959</v>
      </c>
      <c r="AF326" s="12">
        <v>44930</v>
      </c>
      <c r="AJ326" s="10">
        <f>0.4739*5.94^2+205.64*5.94-100.4</f>
        <v>1137.82249804</v>
      </c>
      <c r="AK326" s="10">
        <f>-0.5241*5.94^2+227.02*5.94-134.2</f>
        <v>1195.80666524</v>
      </c>
      <c r="AL326" s="10" t="str">
        <f t="shared" si="40"/>
        <v>FALSE</v>
      </c>
      <c r="AM326" s="10" t="str">
        <f t="shared" si="40"/>
        <v>FALSE</v>
      </c>
      <c r="AN326" s="10" t="str">
        <f t="shared" si="40"/>
        <v>FALSE</v>
      </c>
      <c r="AO326" s="10" t="str">
        <f t="shared" si="41"/>
        <v>y=0.4739*5.94^2+205.64*5.94-100.4</v>
      </c>
      <c r="AP326" s="10" t="str">
        <f t="shared" si="41"/>
        <v>y=-0.5241*5.94^2+227.02*5.94-134.2</v>
      </c>
      <c r="AQ326" s="10" t="b">
        <f>IF(AND(I326="TP",S326&lt;=150),VLOOKUP(AF326,TPCalibEq150!$AZ$2:$BB$55,3,),IF(AND(I326="TDP",S326&lt;=150),VLOOKUP(AF326,TPCalibEq150!$AZ$2:$BB$55,3,)))</f>
        <v>0</v>
      </c>
      <c r="AR326" s="10" t="b">
        <f>IF(AND(I326="TP",S326&lt;=300),VLOOKUP(AF326,TPCalibEq300!$AZ$2:$BB$55,3,),IF(AND(I326="TDP",S326&lt;=300),VLOOKUP(AF326,TPCalibEq300!$AZ$2:$BB$55,3,)))</f>
        <v>0</v>
      </c>
      <c r="AS326" s="10" t="b">
        <f>IF(AND(I326="TP",S326&lt;=500),VLOOKUP(AF326,TPCalibEq500!$AZ$2:$BB$56,3,),IF(AND(I326="TDP",S326&lt;=500),VLOOKUP(AF326,TPCalibEq500!$AZ$2:$BB$56,3,)))</f>
        <v>0</v>
      </c>
      <c r="AT326" s="10" t="str">
        <f>IF(AND(I326="TN",S326&lt;=2800),VLOOKUP(AF326,TNCalibEq2500!$AZ$2:$BB$56,3,),IF(AND(I326="TDN",S326&lt;=2800),VLOOKUP(AF326,TNCalibEq2500!$AZ$2:$BB$56,3,)))</f>
        <v>y=0.4739x2+205.64x-100.4</v>
      </c>
      <c r="AU326" s="10" t="str">
        <f>IF(I326="TP",VLOOKUP(AF326,TPCalibEqFull!$AZ$2:$BB$56,3),IF(I326="TDP",VLOOKUP(AF326,TPCalibEqFull!$AZ$2:$BB$56,3),IF(I326="TDN",VLOOKUP(AF326,TNCalibEqFull!$AZ$1:$BB$56,3),IF(I326="TN",VLOOKUP(AF326,TNCalibEqFull!$AZ$1:$BB$56,3),FALSE))))</f>
        <v>y=-0.5241x2+227.02x-134.2</v>
      </c>
      <c r="AV326" s="10" t="str">
        <f t="shared" si="39"/>
        <v>0104 09:00:00-QAC-STD-D-1-DI-CHK</v>
      </c>
    </row>
    <row r="327" spans="1:48" s="10" customFormat="1" x14ac:dyDescent="0.55000000000000004">
      <c r="A327" s="32">
        <v>44925</v>
      </c>
      <c r="B327" s="33">
        <v>0.55555555555555558</v>
      </c>
      <c r="C327" s="10" t="s">
        <v>279</v>
      </c>
      <c r="D327" s="10">
        <v>0</v>
      </c>
      <c r="E327" s="10" t="s">
        <v>911</v>
      </c>
      <c r="F327" s="10">
        <v>1</v>
      </c>
      <c r="G327" s="10" t="s">
        <v>231</v>
      </c>
      <c r="H327" s="10" t="s">
        <v>322</v>
      </c>
      <c r="I327" s="10" t="s">
        <v>224</v>
      </c>
      <c r="J327" s="10">
        <v>45</v>
      </c>
      <c r="K327" s="12">
        <v>44930</v>
      </c>
      <c r="L327" s="33">
        <v>0.61375000000000002</v>
      </c>
      <c r="M327" s="10">
        <v>1</v>
      </c>
      <c r="N327" s="10" t="s">
        <v>196</v>
      </c>
      <c r="O327" s="10">
        <v>8.68</v>
      </c>
      <c r="P327" s="10">
        <v>0.50700000000000001</v>
      </c>
      <c r="Q327" s="10">
        <v>1760</v>
      </c>
      <c r="R327" s="10" t="s">
        <v>170</v>
      </c>
      <c r="S327" s="34">
        <f t="shared" si="35"/>
        <v>1796.8466481599999</v>
      </c>
      <c r="T327" s="10" t="s">
        <v>966</v>
      </c>
      <c r="U327" s="34" t="str">
        <f t="shared" si="36"/>
        <v/>
      </c>
      <c r="V327" s="31" t="str">
        <f>IF(H327="CHK",VLOOKUP(I327,QCCHK,3,),IF(H327="GUP",VLOOKUP(E327,QCGUP,2,),IF(AND(H327="ATP",OR(I327="TN",I327="TDN",I327="TNO2-3",I327="NO2-3")),VLOOKUP(E327,QCREC_N,2,),IF(AND(H327="NIC",OR(I327="TN",I327="TDN",I327="TNO2-3",I327="NO2-3")),VLOOKUP(E327,QCNIC_N,2,),IF(AND(H327="UREA",OR(I327="TN",I327="TDN",I327="TNO2-3",I327="NO2-3")),VLOOKUP(E327,QCUREA_N,2,),IF(H327="PER",VLOOKUP(I327,QCPER,MATCH(E327,QCACTUAL!$J$25:$AA$25,0),),IF(H327="SPK",VLOOKUP(I327,QCSPK,3,),IF(AND(H327="ATP",OR(I327="TP",I327="TDP")),VLOOKUP(E327,QCATP_P,2,),""))))))))</f>
        <v/>
      </c>
      <c r="W327" s="31" t="str">
        <f t="shared" si="37"/>
        <v>TRUE</v>
      </c>
      <c r="X327" s="31" t="str">
        <f t="shared" si="38"/>
        <v/>
      </c>
      <c r="Y327" s="10" t="s">
        <v>959</v>
      </c>
      <c r="Z327" s="10" t="s">
        <v>910</v>
      </c>
      <c r="AF327" s="12">
        <v>44930</v>
      </c>
      <c r="AJ327" s="10">
        <f>0.4739*8.68^2+205.64*8.68-100.4</f>
        <v>1720.2599633599998</v>
      </c>
      <c r="AK327" s="10">
        <f>-0.5241*8.68^2+227.02*8.68-134.2</f>
        <v>1796.8466481599999</v>
      </c>
      <c r="AL327" s="10" t="str">
        <f t="shared" si="40"/>
        <v>FALSE</v>
      </c>
      <c r="AM327" s="10" t="str">
        <f t="shared" si="40"/>
        <v>FALSE</v>
      </c>
      <c r="AN327" s="10" t="str">
        <f t="shared" si="40"/>
        <v>FALSE</v>
      </c>
      <c r="AO327" s="10" t="str">
        <f t="shared" si="41"/>
        <v>y=0.4739*8.68^2+205.64*8.68-100.4</v>
      </c>
      <c r="AP327" s="10" t="str">
        <f t="shared" si="41"/>
        <v>y=-0.5241*8.68^2+227.02*8.68-134.2</v>
      </c>
      <c r="AQ327" s="10" t="b">
        <f>IF(AND(I327="TP",S327&lt;=150),VLOOKUP(AF327,TPCalibEq150!$AZ$2:$BB$55,3,),IF(AND(I327="TDP",S327&lt;=150),VLOOKUP(AF327,TPCalibEq150!$AZ$2:$BB$55,3,)))</f>
        <v>0</v>
      </c>
      <c r="AR327" s="10" t="b">
        <f>IF(AND(I327="TP",S327&lt;=300),VLOOKUP(AF327,TPCalibEq300!$AZ$2:$BB$55,3,),IF(AND(I327="TDP",S327&lt;=300),VLOOKUP(AF327,TPCalibEq300!$AZ$2:$BB$55,3,)))</f>
        <v>0</v>
      </c>
      <c r="AS327" s="10" t="b">
        <f>IF(AND(I327="TP",S327&lt;=500),VLOOKUP(AF327,TPCalibEq500!$AZ$2:$BB$56,3,),IF(AND(I327="TDP",S327&lt;=500),VLOOKUP(AF327,TPCalibEq500!$AZ$2:$BB$56,3,)))</f>
        <v>0</v>
      </c>
      <c r="AT327" s="10" t="str">
        <f>IF(AND(I327="TN",S327&lt;=2800),VLOOKUP(AF327,TNCalibEq2500!$AZ$2:$BB$56,3,),IF(AND(I327="TDN",S327&lt;=2800),VLOOKUP(AF327,TNCalibEq2500!$AZ$2:$BB$56,3,)))</f>
        <v>y=0.4739x2+205.64x-100.4</v>
      </c>
      <c r="AU327" s="10" t="str">
        <f>IF(I327="TP",VLOOKUP(AF327,TPCalibEqFull!$AZ$2:$BB$56,3),IF(I327="TDP",VLOOKUP(AF327,TPCalibEqFull!$AZ$2:$BB$56,3),IF(I327="TDN",VLOOKUP(AF327,TNCalibEqFull!$AZ$1:$BB$56,3),IF(I327="TN",VLOOKUP(AF327,TNCalibEqFull!$AZ$1:$BB$56,3),FALSE))))</f>
        <v>y=-0.5241x2+227.02x-134.2</v>
      </c>
      <c r="AV327" s="10" t="str">
        <f t="shared" si="39"/>
        <v>1230 13:20:00-EFK-0-FIL-1-SW-UKN</v>
      </c>
    </row>
    <row r="328" spans="1:48" s="10" customFormat="1" x14ac:dyDescent="0.55000000000000004">
      <c r="A328" s="32">
        <v>44925</v>
      </c>
      <c r="B328" s="33">
        <v>0.55902777777777779</v>
      </c>
      <c r="C328" s="10" t="s">
        <v>333</v>
      </c>
      <c r="D328" s="10">
        <v>0</v>
      </c>
      <c r="E328" s="10" t="s">
        <v>911</v>
      </c>
      <c r="F328" s="10">
        <v>1</v>
      </c>
      <c r="G328" s="10" t="s">
        <v>231</v>
      </c>
      <c r="H328" s="10" t="s">
        <v>322</v>
      </c>
      <c r="I328" s="10" t="s">
        <v>224</v>
      </c>
      <c r="J328" s="10">
        <v>46</v>
      </c>
      <c r="K328" s="12">
        <v>44930</v>
      </c>
      <c r="L328" s="33">
        <v>0.61442129629629627</v>
      </c>
      <c r="M328" s="10">
        <v>1</v>
      </c>
      <c r="N328" s="10" t="s">
        <v>196</v>
      </c>
      <c r="O328" s="10">
        <v>5.26</v>
      </c>
      <c r="P328" s="10">
        <v>0.307</v>
      </c>
      <c r="Q328" s="10">
        <v>1020</v>
      </c>
      <c r="R328" s="10" t="s">
        <v>170</v>
      </c>
      <c r="S328" s="34">
        <f t="shared" si="35"/>
        <v>1045.42461084</v>
      </c>
      <c r="T328" s="10" t="s">
        <v>966</v>
      </c>
      <c r="U328" s="34" t="str">
        <f t="shared" si="36"/>
        <v/>
      </c>
      <c r="V328" s="31" t="str">
        <f>IF(H328="CHK",VLOOKUP(I328,QCCHK,3,),IF(H328="GUP",VLOOKUP(E328,QCGUP,2,),IF(AND(H328="ATP",OR(I328="TN",I328="TDN",I328="TNO2-3",I328="NO2-3")),VLOOKUP(E328,QCREC_N,2,),IF(AND(H328="NIC",OR(I328="TN",I328="TDN",I328="TNO2-3",I328="NO2-3")),VLOOKUP(E328,QCNIC_N,2,),IF(AND(H328="UREA",OR(I328="TN",I328="TDN",I328="TNO2-3",I328="NO2-3")),VLOOKUP(E328,QCUREA_N,2,),IF(H328="PER",VLOOKUP(I328,QCPER,MATCH(E328,QCACTUAL!$J$25:$AA$25,0),),IF(H328="SPK",VLOOKUP(I328,QCSPK,3,),IF(AND(H328="ATP",OR(I328="TP",I328="TDP")),VLOOKUP(E328,QCATP_P,2,),""))))))))</f>
        <v/>
      </c>
      <c r="W328" s="31" t="str">
        <f t="shared" si="37"/>
        <v>TRUE</v>
      </c>
      <c r="X328" s="31" t="str">
        <f t="shared" si="38"/>
        <v/>
      </c>
      <c r="Y328" s="10" t="s">
        <v>959</v>
      </c>
      <c r="Z328" s="10" t="s">
        <v>910</v>
      </c>
      <c r="AF328" s="12">
        <v>44930</v>
      </c>
      <c r="AJ328" s="10">
        <f>0.4739*5.26^2+205.64*5.26-100.4</f>
        <v>994.37807563999979</v>
      </c>
      <c r="AK328" s="10">
        <f>-0.5241*5.26^2+227.02*5.26-134.2</f>
        <v>1045.42461084</v>
      </c>
      <c r="AL328" s="10" t="str">
        <f t="shared" si="40"/>
        <v>FALSE</v>
      </c>
      <c r="AM328" s="10" t="str">
        <f t="shared" si="40"/>
        <v>FALSE</v>
      </c>
      <c r="AN328" s="10" t="str">
        <f t="shared" si="40"/>
        <v>FALSE</v>
      </c>
      <c r="AO328" s="10" t="str">
        <f t="shared" si="41"/>
        <v>y=0.4739*5.26^2+205.64*5.26-100.4</v>
      </c>
      <c r="AP328" s="10" t="str">
        <f t="shared" si="41"/>
        <v>y=-0.5241*5.26^2+227.02*5.26-134.2</v>
      </c>
      <c r="AQ328" s="10" t="b">
        <f>IF(AND(I328="TP",S328&lt;=150),VLOOKUP(AF328,TPCalibEq150!$AZ$2:$BB$55,3,),IF(AND(I328="TDP",S328&lt;=150),VLOOKUP(AF328,TPCalibEq150!$AZ$2:$BB$55,3,)))</f>
        <v>0</v>
      </c>
      <c r="AR328" s="10" t="b">
        <f>IF(AND(I328="TP",S328&lt;=300),VLOOKUP(AF328,TPCalibEq300!$AZ$2:$BB$55,3,),IF(AND(I328="TDP",S328&lt;=300),VLOOKUP(AF328,TPCalibEq300!$AZ$2:$BB$55,3,)))</f>
        <v>0</v>
      </c>
      <c r="AS328" s="10" t="b">
        <f>IF(AND(I328="TP",S328&lt;=500),VLOOKUP(AF328,TPCalibEq500!$AZ$2:$BB$56,3,),IF(AND(I328="TDP",S328&lt;=500),VLOOKUP(AF328,TPCalibEq500!$AZ$2:$BB$56,3,)))</f>
        <v>0</v>
      </c>
      <c r="AT328" s="10" t="str">
        <f>IF(AND(I328="TN",S328&lt;=2800),VLOOKUP(AF328,TNCalibEq2500!$AZ$2:$BB$56,3,),IF(AND(I328="TDN",S328&lt;=2800),VLOOKUP(AF328,TNCalibEq2500!$AZ$2:$BB$56,3,)))</f>
        <v>y=0.4739x2+205.64x-100.4</v>
      </c>
      <c r="AU328" s="10" t="str">
        <f>IF(I328="TP",VLOOKUP(AF328,TPCalibEqFull!$AZ$2:$BB$56,3),IF(I328="TDP",VLOOKUP(AF328,TPCalibEqFull!$AZ$2:$BB$56,3),IF(I328="TDN",VLOOKUP(AF328,TNCalibEqFull!$AZ$1:$BB$56,3),IF(I328="TN",VLOOKUP(AF328,TNCalibEqFull!$AZ$1:$BB$56,3),FALSE))))</f>
        <v>y=-0.5241x2+227.02x-134.2</v>
      </c>
      <c r="AV328" s="10" t="str">
        <f t="shared" si="39"/>
        <v>1230 13:25:00-HST-0-FIL-1-SW-UKN</v>
      </c>
    </row>
    <row r="329" spans="1:48" s="10" customFormat="1" x14ac:dyDescent="0.55000000000000004">
      <c r="A329" s="32">
        <v>44929</v>
      </c>
      <c r="B329" s="33">
        <v>0.22222222222222221</v>
      </c>
      <c r="C329" s="10" t="s">
        <v>279</v>
      </c>
      <c r="D329" s="10">
        <v>0</v>
      </c>
      <c r="E329" s="10" t="s">
        <v>911</v>
      </c>
      <c r="F329" s="10">
        <v>1</v>
      </c>
      <c r="G329" s="10" t="s">
        <v>231</v>
      </c>
      <c r="H329" s="10" t="s">
        <v>322</v>
      </c>
      <c r="I329" s="10" t="s">
        <v>224</v>
      </c>
      <c r="J329" s="10">
        <v>47</v>
      </c>
      <c r="K329" s="12">
        <v>44930</v>
      </c>
      <c r="L329" s="33">
        <v>0.61510416666666667</v>
      </c>
      <c r="M329" s="10">
        <v>1</v>
      </c>
      <c r="N329" s="10" t="s">
        <v>196</v>
      </c>
      <c r="O329" s="10">
        <v>5.52</v>
      </c>
      <c r="P329" s="10">
        <v>0.32300000000000001</v>
      </c>
      <c r="Q329" s="10">
        <v>1080</v>
      </c>
      <c r="R329" s="10" t="s">
        <v>170</v>
      </c>
      <c r="S329" s="34">
        <f t="shared" si="35"/>
        <v>1102.9808633600001</v>
      </c>
      <c r="T329" s="10" t="s">
        <v>966</v>
      </c>
      <c r="U329" s="34" t="str">
        <f t="shared" si="36"/>
        <v/>
      </c>
      <c r="V329" s="31" t="str">
        <f>IF(H329="CHK",VLOOKUP(I329,QCCHK,3,),IF(H329="GUP",VLOOKUP(E329,QCGUP,2,),IF(AND(H329="ATP",OR(I329="TN",I329="TDN",I329="TNO2-3",I329="NO2-3")),VLOOKUP(E329,QCREC_N,2,),IF(AND(H329="NIC",OR(I329="TN",I329="TDN",I329="TNO2-3",I329="NO2-3")),VLOOKUP(E329,QCNIC_N,2,),IF(AND(H329="UREA",OR(I329="TN",I329="TDN",I329="TNO2-3",I329="NO2-3")),VLOOKUP(E329,QCUREA_N,2,),IF(H329="PER",VLOOKUP(I329,QCPER,MATCH(E329,QCACTUAL!$J$25:$AA$25,0),),IF(H329="SPK",VLOOKUP(I329,QCSPK,3,),IF(AND(H329="ATP",OR(I329="TP",I329="TDP")),VLOOKUP(E329,QCATP_P,2,),""))))))))</f>
        <v/>
      </c>
      <c r="W329" s="31" t="str">
        <f t="shared" si="37"/>
        <v>TRUE</v>
      </c>
      <c r="X329" s="31" t="str">
        <f t="shared" si="38"/>
        <v/>
      </c>
      <c r="Y329" s="10" t="s">
        <v>959</v>
      </c>
      <c r="AF329" s="12">
        <v>44930</v>
      </c>
      <c r="AJ329" s="10">
        <f>0.4739*5.52^2+205.64*5.52-100.4</f>
        <v>1049.1727225599998</v>
      </c>
      <c r="AK329" s="10">
        <f>-0.5241*5.52^2+227.02*5.52-134.2</f>
        <v>1102.9808633600001</v>
      </c>
      <c r="AL329" s="10" t="str">
        <f t="shared" si="40"/>
        <v>FALSE</v>
      </c>
      <c r="AM329" s="10" t="str">
        <f t="shared" si="40"/>
        <v>FALSE</v>
      </c>
      <c r="AN329" s="10" t="str">
        <f t="shared" si="40"/>
        <v>FALSE</v>
      </c>
      <c r="AO329" s="10" t="str">
        <f t="shared" si="41"/>
        <v>y=0.4739*5.52^2+205.64*5.52-100.4</v>
      </c>
      <c r="AP329" s="10" t="str">
        <f t="shared" si="41"/>
        <v>y=-0.5241*5.52^2+227.02*5.52-134.2</v>
      </c>
      <c r="AQ329" s="10" t="b">
        <f>IF(AND(I329="TP",S329&lt;=150),VLOOKUP(AF329,TPCalibEq150!$AZ$2:$BB$55,3,),IF(AND(I329="TDP",S329&lt;=150),VLOOKUP(AF329,TPCalibEq150!$AZ$2:$BB$55,3,)))</f>
        <v>0</v>
      </c>
      <c r="AR329" s="10" t="b">
        <f>IF(AND(I329="TP",S329&lt;=300),VLOOKUP(AF329,TPCalibEq300!$AZ$2:$BB$55,3,),IF(AND(I329="TDP",S329&lt;=300),VLOOKUP(AF329,TPCalibEq300!$AZ$2:$BB$55,3,)))</f>
        <v>0</v>
      </c>
      <c r="AS329" s="10" t="b">
        <f>IF(AND(I329="TP",S329&lt;=500),VLOOKUP(AF329,TPCalibEq500!$AZ$2:$BB$56,3,),IF(AND(I329="TDP",S329&lt;=500),VLOOKUP(AF329,TPCalibEq500!$AZ$2:$BB$56,3,)))</f>
        <v>0</v>
      </c>
      <c r="AT329" s="10" t="str">
        <f>IF(AND(I329="TN",S329&lt;=2800),VLOOKUP(AF329,TNCalibEq2500!$AZ$2:$BB$56,3,),IF(AND(I329="TDN",S329&lt;=2800),VLOOKUP(AF329,TNCalibEq2500!$AZ$2:$BB$56,3,)))</f>
        <v>y=0.4739x2+205.64x-100.4</v>
      </c>
      <c r="AU329" s="10" t="str">
        <f>IF(I329="TP",VLOOKUP(AF329,TPCalibEqFull!$AZ$2:$BB$56,3),IF(I329="TDP",VLOOKUP(AF329,TPCalibEqFull!$AZ$2:$BB$56,3),IF(I329="TDN",VLOOKUP(AF329,TNCalibEqFull!$AZ$1:$BB$56,3),IF(I329="TN",VLOOKUP(AF329,TNCalibEqFull!$AZ$1:$BB$56,3),FALSE))))</f>
        <v>y=-0.5241x2+227.02x-134.2</v>
      </c>
      <c r="AV329" s="10" t="str">
        <f t="shared" si="39"/>
        <v>0103 05:20:00-EFK-0-FIL-1-SW-UKN</v>
      </c>
    </row>
    <row r="330" spans="1:48" s="10" customFormat="1" x14ac:dyDescent="0.55000000000000004">
      <c r="A330" s="32">
        <v>44929</v>
      </c>
      <c r="B330" s="33">
        <v>0.22569444444444445</v>
      </c>
      <c r="C330" s="10" t="s">
        <v>333</v>
      </c>
      <c r="D330" s="10">
        <v>0</v>
      </c>
      <c r="E330" s="10" t="s">
        <v>911</v>
      </c>
      <c r="F330" s="10">
        <v>1</v>
      </c>
      <c r="G330" s="10" t="s">
        <v>231</v>
      </c>
      <c r="H330" s="10" t="s">
        <v>322</v>
      </c>
      <c r="I330" s="10" t="s">
        <v>224</v>
      </c>
      <c r="J330" s="10">
        <v>48</v>
      </c>
      <c r="K330" s="12">
        <v>44930</v>
      </c>
      <c r="L330" s="33">
        <v>0.61577546296296293</v>
      </c>
      <c r="M330" s="10">
        <v>1</v>
      </c>
      <c r="N330" s="10" t="s">
        <v>196</v>
      </c>
      <c r="O330" s="10">
        <v>3.72</v>
      </c>
      <c r="P330" s="10">
        <v>0.218</v>
      </c>
      <c r="Q330" s="10">
        <v>692</v>
      </c>
      <c r="R330" s="10" t="s">
        <v>170</v>
      </c>
      <c r="S330" s="34">
        <f t="shared" si="35"/>
        <v>703.06169456000021</v>
      </c>
      <c r="T330" s="10" t="s">
        <v>966</v>
      </c>
      <c r="U330" s="34" t="str">
        <f t="shared" si="36"/>
        <v/>
      </c>
      <c r="V330" s="31" t="str">
        <f>IF(H330="CHK",VLOOKUP(I330,QCCHK,3,),IF(H330="GUP",VLOOKUP(E330,QCGUP,2,),IF(AND(H330="ATP",OR(I330="TN",I330="TDN",I330="TNO2-3",I330="NO2-3")),VLOOKUP(E330,QCREC_N,2,),IF(AND(H330="NIC",OR(I330="TN",I330="TDN",I330="TNO2-3",I330="NO2-3")),VLOOKUP(E330,QCNIC_N,2,),IF(AND(H330="UREA",OR(I330="TN",I330="TDN",I330="TNO2-3",I330="NO2-3")),VLOOKUP(E330,QCUREA_N,2,),IF(H330="PER",VLOOKUP(I330,QCPER,MATCH(E330,QCACTUAL!$J$25:$AA$25,0),),IF(H330="SPK",VLOOKUP(I330,QCSPK,3,),IF(AND(H330="ATP",OR(I330="TP",I330="TDP")),VLOOKUP(E330,QCATP_P,2,),""))))))))</f>
        <v/>
      </c>
      <c r="W330" s="31" t="str">
        <f t="shared" si="37"/>
        <v>TRUE</v>
      </c>
      <c r="X330" s="31" t="str">
        <f t="shared" si="38"/>
        <v/>
      </c>
      <c r="Y330" s="10" t="s">
        <v>959</v>
      </c>
      <c r="AF330" s="12">
        <v>44930</v>
      </c>
      <c r="AJ330" s="10">
        <f>0.4739*3.72^2+205.64*3.72-100.4</f>
        <v>671.13881776000005</v>
      </c>
      <c r="AK330" s="10">
        <f>-0.5241*3.72^2+227.02*3.72-134.2</f>
        <v>703.06169456000021</v>
      </c>
      <c r="AL330" s="10" t="str">
        <f t="shared" si="40"/>
        <v>FALSE</v>
      </c>
      <c r="AM330" s="10" t="str">
        <f t="shared" si="40"/>
        <v>FALSE</v>
      </c>
      <c r="AN330" s="10" t="str">
        <f t="shared" si="40"/>
        <v>FALSE</v>
      </c>
      <c r="AO330" s="10" t="str">
        <f t="shared" si="41"/>
        <v>y=0.4739*3.72^2+205.64*3.72-100.4</v>
      </c>
      <c r="AP330" s="10" t="str">
        <f t="shared" si="41"/>
        <v>y=-0.5241*3.72^2+227.02*3.72-134.2</v>
      </c>
      <c r="AQ330" s="10" t="b">
        <f>IF(AND(I330="TP",S330&lt;=150),VLOOKUP(AF330,TPCalibEq150!$AZ$2:$BB$55,3,),IF(AND(I330="TDP",S330&lt;=150),VLOOKUP(AF330,TPCalibEq150!$AZ$2:$BB$55,3,)))</f>
        <v>0</v>
      </c>
      <c r="AR330" s="10" t="b">
        <f>IF(AND(I330="TP",S330&lt;=300),VLOOKUP(AF330,TPCalibEq300!$AZ$2:$BB$55,3,),IF(AND(I330="TDP",S330&lt;=300),VLOOKUP(AF330,TPCalibEq300!$AZ$2:$BB$55,3,)))</f>
        <v>0</v>
      </c>
      <c r="AS330" s="10" t="b">
        <f>IF(AND(I330="TP",S330&lt;=500),VLOOKUP(AF330,TPCalibEq500!$AZ$2:$BB$56,3,),IF(AND(I330="TDP",S330&lt;=500),VLOOKUP(AF330,TPCalibEq500!$AZ$2:$BB$56,3,)))</f>
        <v>0</v>
      </c>
      <c r="AT330" s="10" t="str">
        <f>IF(AND(I330="TN",S330&lt;=2800),VLOOKUP(AF330,TNCalibEq2500!$AZ$2:$BB$56,3,),IF(AND(I330="TDN",S330&lt;=2800),VLOOKUP(AF330,TNCalibEq2500!$AZ$2:$BB$56,3,)))</f>
        <v>y=0.4739x2+205.64x-100.4</v>
      </c>
      <c r="AU330" s="10" t="str">
        <f>IF(I330="TP",VLOOKUP(AF330,TPCalibEqFull!$AZ$2:$BB$56,3),IF(I330="TDP",VLOOKUP(AF330,TPCalibEqFull!$AZ$2:$BB$56,3),IF(I330="TDN",VLOOKUP(AF330,TNCalibEqFull!$AZ$1:$BB$56,3),IF(I330="TN",VLOOKUP(AF330,TNCalibEqFull!$AZ$1:$BB$56,3),FALSE))))</f>
        <v>y=-0.5241x2+227.02x-134.2</v>
      </c>
      <c r="AV330" s="10" t="str">
        <f t="shared" si="39"/>
        <v>0103 05:25:00-HST-0-FIL-1-SW-UKN</v>
      </c>
    </row>
    <row r="331" spans="1:48" s="10" customFormat="1" x14ac:dyDescent="0.55000000000000004">
      <c r="A331" s="32">
        <v>44929</v>
      </c>
      <c r="B331" s="33">
        <v>0.22569444444444445</v>
      </c>
      <c r="C331" s="10" t="s">
        <v>333</v>
      </c>
      <c r="D331" s="10">
        <v>0</v>
      </c>
      <c r="E331" s="10" t="s">
        <v>911</v>
      </c>
      <c r="F331" s="10">
        <v>1</v>
      </c>
      <c r="G331" s="10" t="s">
        <v>231</v>
      </c>
      <c r="H331" s="10" t="s">
        <v>233</v>
      </c>
      <c r="I331" s="10" t="s">
        <v>224</v>
      </c>
      <c r="J331" s="10">
        <v>48</v>
      </c>
      <c r="K331" s="12">
        <v>44930</v>
      </c>
      <c r="L331" s="33">
        <v>0.61644675925925929</v>
      </c>
      <c r="M331" s="10">
        <v>1</v>
      </c>
      <c r="N331" s="10" t="s">
        <v>196</v>
      </c>
      <c r="O331" s="10">
        <v>3.74</v>
      </c>
      <c r="P331" s="10">
        <v>0.218</v>
      </c>
      <c r="Q331" s="10">
        <v>697</v>
      </c>
      <c r="R331" s="10" t="s">
        <v>170</v>
      </c>
      <c r="S331" s="34">
        <f t="shared" si="35"/>
        <v>707.52389884000013</v>
      </c>
      <c r="T331" s="10" t="s">
        <v>966</v>
      </c>
      <c r="U331" s="34">
        <f t="shared" si="36"/>
        <v>0.63267401863143435</v>
      </c>
      <c r="V331" s="31" t="str">
        <f>IF(H331="CHK",VLOOKUP(I331,QCCHK,3,),IF(H331="GUP",VLOOKUP(E331,QCGUP,2,),IF(AND(H331="ATP",OR(I331="TN",I331="TDN",I331="TNO2-3",I331="NO2-3")),VLOOKUP(E331,QCREC_N,2,),IF(AND(H331="NIC",OR(I331="TN",I331="TDN",I331="TNO2-3",I331="NO2-3")),VLOOKUP(E331,QCNIC_N,2,),IF(AND(H331="UREA",OR(I331="TN",I331="TDN",I331="TNO2-3",I331="NO2-3")),VLOOKUP(E331,QCUREA_N,2,),IF(H331="PER",VLOOKUP(I331,QCPER,MATCH(E331,QCACTUAL!$J$25:$AA$25,0),),IF(H331="SPK",VLOOKUP(I331,QCSPK,3,),IF(AND(H331="ATP",OR(I331="TP",I331="TDP")),VLOOKUP(E331,QCATP_P,2,),""))))))))</f>
        <v/>
      </c>
      <c r="W331" s="31" t="str">
        <f t="shared" si="37"/>
        <v>TRUE</v>
      </c>
      <c r="X331" s="31" t="str">
        <f t="shared" si="38"/>
        <v>((ABS(rep1-rep2))/((rep1+rep2)/2)*100</v>
      </c>
      <c r="Y331" s="10" t="s">
        <v>959</v>
      </c>
      <c r="AF331" s="12">
        <v>44930</v>
      </c>
      <c r="AJ331" s="10">
        <f>0.4739*3.74^2+205.64*3.74-100.4</f>
        <v>675.32232364000004</v>
      </c>
      <c r="AK331" s="10">
        <f>-0.5241*3.74^2+227.02*3.74-134.2</f>
        <v>707.52389884000013</v>
      </c>
      <c r="AL331" s="10" t="str">
        <f t="shared" si="40"/>
        <v>FALSE</v>
      </c>
      <c r="AM331" s="10" t="str">
        <f t="shared" si="40"/>
        <v>FALSE</v>
      </c>
      <c r="AN331" s="10" t="str">
        <f t="shared" si="40"/>
        <v>FALSE</v>
      </c>
      <c r="AO331" s="10" t="str">
        <f t="shared" si="41"/>
        <v>y=0.4739*3.74^2+205.64*3.74-100.4</v>
      </c>
      <c r="AP331" s="10" t="str">
        <f t="shared" si="41"/>
        <v>y=-0.5241*3.74^2+227.02*3.74-134.2</v>
      </c>
      <c r="AQ331" s="10" t="b">
        <f>IF(AND(I331="TP",S331&lt;=150),VLOOKUP(AF331,TPCalibEq150!$AZ$2:$BB$55,3,),IF(AND(I331="TDP",S331&lt;=150),VLOOKUP(AF331,TPCalibEq150!$AZ$2:$BB$55,3,)))</f>
        <v>0</v>
      </c>
      <c r="AR331" s="10" t="b">
        <f>IF(AND(I331="TP",S331&lt;=300),VLOOKUP(AF331,TPCalibEq300!$AZ$2:$BB$55,3,),IF(AND(I331="TDP",S331&lt;=300),VLOOKUP(AF331,TPCalibEq300!$AZ$2:$BB$55,3,)))</f>
        <v>0</v>
      </c>
      <c r="AS331" s="10" t="b">
        <f>IF(AND(I331="TP",S331&lt;=500),VLOOKUP(AF331,TPCalibEq500!$AZ$2:$BB$56,3,),IF(AND(I331="TDP",S331&lt;=500),VLOOKUP(AF331,TPCalibEq500!$AZ$2:$BB$56,3,)))</f>
        <v>0</v>
      </c>
      <c r="AT331" s="10" t="str">
        <f>IF(AND(I331="TN",S331&lt;=2800),VLOOKUP(AF331,TNCalibEq2500!$AZ$2:$BB$56,3,),IF(AND(I331="TDN",S331&lt;=2800),VLOOKUP(AF331,TNCalibEq2500!$AZ$2:$BB$56,3,)))</f>
        <v>y=0.4739x2+205.64x-100.4</v>
      </c>
      <c r="AU331" s="10" t="str">
        <f>IF(I331="TP",VLOOKUP(AF331,TPCalibEqFull!$AZ$2:$BB$56,3),IF(I331="TDP",VLOOKUP(AF331,TPCalibEqFull!$AZ$2:$BB$56,3),IF(I331="TDN",VLOOKUP(AF331,TNCalibEqFull!$AZ$1:$BB$56,3),IF(I331="TN",VLOOKUP(AF331,TNCalibEqFull!$AZ$1:$BB$56,3),FALSE))))</f>
        <v>y=-0.5241x2+227.02x-134.2</v>
      </c>
      <c r="AV331" s="10" t="str">
        <f t="shared" si="39"/>
        <v>0103 05:25:00-HST-0-FIL-1-SW-DUP</v>
      </c>
    </row>
    <row r="332" spans="1:48" s="10" customFormat="1" x14ac:dyDescent="0.55000000000000004">
      <c r="A332" s="32">
        <v>44930</v>
      </c>
      <c r="B332" s="33">
        <v>0.375</v>
      </c>
      <c r="C332" s="10" t="s">
        <v>70</v>
      </c>
      <c r="D332" s="10" t="s">
        <v>71</v>
      </c>
      <c r="E332" s="10" t="s">
        <v>901</v>
      </c>
      <c r="F332" s="10">
        <v>1</v>
      </c>
      <c r="G332" s="10" t="s">
        <v>73</v>
      </c>
      <c r="H332" s="10" t="s">
        <v>207</v>
      </c>
      <c r="I332" s="10" t="s">
        <v>235</v>
      </c>
      <c r="J332" s="10">
        <v>200</v>
      </c>
      <c r="K332" s="12">
        <v>44930</v>
      </c>
      <c r="L332" s="33">
        <v>0.61712962962962969</v>
      </c>
      <c r="M332" s="10">
        <v>1</v>
      </c>
      <c r="N332" s="10" t="s">
        <v>196</v>
      </c>
      <c r="O332" s="10">
        <v>6.16</v>
      </c>
      <c r="P332" s="10">
        <v>0.36</v>
      </c>
      <c r="Q332" s="10">
        <v>1220</v>
      </c>
      <c r="R332" s="10" t="s">
        <v>170</v>
      </c>
      <c r="S332" s="34">
        <f t="shared" si="35"/>
        <v>1244.3559110400001</v>
      </c>
      <c r="T332" s="10" t="s">
        <v>966</v>
      </c>
      <c r="U332" s="34">
        <f t="shared" si="36"/>
        <v>99.548472883200006</v>
      </c>
      <c r="V332" s="31">
        <f>IF(H332="CHK",VLOOKUP(I332,QCCHK,3,),IF(H332="GUP",VLOOKUP(E332,QCGUP,2,),IF(AND(H332="ATP",OR(I332="TN",I332="TDN",I332="TNO2-3",I332="NO2-3")),VLOOKUP(E332,QCREC_N,2,),IF(AND(H332="NIC",OR(I332="TN",I332="TDN",I332="TNO2-3",I332="NO2-3")),VLOOKUP(E332,QCNIC_N,2,),IF(AND(H332="UREA",OR(I332="TN",I332="TDN",I332="TNO2-3",I332="NO2-3")),VLOOKUP(E332,QCUREA_N,2,),IF(H332="PER",VLOOKUP(I332,QCPER,MATCH(E332,QCACTUAL!$J$25:$AA$25,0),),IF(H332="SPK",VLOOKUP(I332,QCSPK,3,),IF(AND(H332="ATP",OR(I332="TP",I332="TDP")),VLOOKUP(E332,QCATP_P,2,),""))))))))</f>
        <v>1250</v>
      </c>
      <c r="W332" s="31" t="str">
        <f t="shared" si="37"/>
        <v>TRUE</v>
      </c>
      <c r="X332" s="31" t="str">
        <f t="shared" si="38"/>
        <v>[chk]/[actual]*100</v>
      </c>
      <c r="Y332" s="10" t="s">
        <v>959</v>
      </c>
      <c r="AF332" s="12">
        <v>44930</v>
      </c>
      <c r="AJ332" s="10">
        <f>0.4739*6.16^2+205.64*6.16-100.4</f>
        <v>1184.3248198399997</v>
      </c>
      <c r="AK332" s="10">
        <f>-0.5241*6.16^2+227.02*6.16-134.2</f>
        <v>1244.3559110400001</v>
      </c>
      <c r="AL332" s="10" t="str">
        <f t="shared" si="40"/>
        <v>FALSE</v>
      </c>
      <c r="AM332" s="10" t="str">
        <f t="shared" si="40"/>
        <v>FALSE</v>
      </c>
      <c r="AN332" s="10" t="str">
        <f t="shared" si="40"/>
        <v>FALSE</v>
      </c>
      <c r="AO332" s="10" t="str">
        <f t="shared" si="41"/>
        <v>y=0.4739*6.16^2+205.64*6.16-100.4</v>
      </c>
      <c r="AP332" s="10" t="str">
        <f t="shared" si="41"/>
        <v>y=-0.5241*6.16^2+227.02*6.16-134.2</v>
      </c>
      <c r="AQ332" s="10" t="b">
        <f>IF(AND(I332="TP",S332&lt;=150),VLOOKUP(AF332,TPCalibEq150!$AZ$2:$BB$55,3,),IF(AND(I332="TDP",S332&lt;=150),VLOOKUP(AF332,TPCalibEq150!$AZ$2:$BB$55,3,)))</f>
        <v>0</v>
      </c>
      <c r="AR332" s="10" t="b">
        <f>IF(AND(I332="TP",S332&lt;=300),VLOOKUP(AF332,TPCalibEq300!$AZ$2:$BB$55,3,),IF(AND(I332="TDP",S332&lt;=300),VLOOKUP(AF332,TPCalibEq300!$AZ$2:$BB$55,3,)))</f>
        <v>0</v>
      </c>
      <c r="AS332" s="10" t="b">
        <f>IF(AND(I332="TP",S332&lt;=500),VLOOKUP(AF332,TPCalibEq500!$AZ$2:$BB$56,3,),IF(AND(I332="TDP",S332&lt;=500),VLOOKUP(AF332,TPCalibEq500!$AZ$2:$BB$56,3,)))</f>
        <v>0</v>
      </c>
      <c r="AT332" s="10" t="str">
        <f>IF(AND(I332="TN",S332&lt;=2800),VLOOKUP(AF332,TNCalibEq2500!$AZ$2:$BB$56,3,),IF(AND(I332="TDN",S332&lt;=2800),VLOOKUP(AF332,TNCalibEq2500!$AZ$2:$BB$56,3,)))</f>
        <v>y=0.4739x2+205.64x-100.4</v>
      </c>
      <c r="AU332" s="10" t="str">
        <f>IF(I332="TP",VLOOKUP(AF332,TPCalibEqFull!$AZ$2:$BB$56,3),IF(I332="TDP",VLOOKUP(AF332,TPCalibEqFull!$AZ$2:$BB$56,3),IF(I332="TDN",VLOOKUP(AF332,TNCalibEqFull!$AZ$1:$BB$56,3),IF(I332="TN",VLOOKUP(AF332,TNCalibEqFull!$AZ$1:$BB$56,3),FALSE))))</f>
        <v>y=-0.5241x2+227.02x-134.2</v>
      </c>
      <c r="AV332" s="10" t="str">
        <f t="shared" si="39"/>
        <v>0104 09:00:00-QAC-STD-D-1-DI-CHK</v>
      </c>
    </row>
    <row r="333" spans="1:48" s="10" customFormat="1" x14ac:dyDescent="0.55000000000000004">
      <c r="A333" s="32">
        <v>44930</v>
      </c>
      <c r="B333" s="33">
        <v>0.375</v>
      </c>
      <c r="C333" s="10" t="s">
        <v>70</v>
      </c>
      <c r="D333" s="10" t="s">
        <v>71</v>
      </c>
      <c r="E333" s="10" t="s">
        <v>917</v>
      </c>
      <c r="F333" s="10">
        <v>1</v>
      </c>
      <c r="G333" s="10" t="s">
        <v>73</v>
      </c>
      <c r="H333" s="10" t="s">
        <v>74</v>
      </c>
      <c r="I333" s="10" t="s">
        <v>83</v>
      </c>
      <c r="J333" s="10">
        <v>181</v>
      </c>
      <c r="K333" s="12">
        <v>44930</v>
      </c>
      <c r="L333" s="33">
        <v>0.53673611111111108</v>
      </c>
      <c r="M333" s="10">
        <v>1</v>
      </c>
      <c r="N333" s="10" t="s">
        <v>84</v>
      </c>
      <c r="O333" s="10">
        <v>0.47699999999999998</v>
      </c>
      <c r="P333" s="10">
        <v>3.3099999999999997E-2</v>
      </c>
      <c r="Q333" s="10">
        <v>0</v>
      </c>
      <c r="R333" s="10" t="s">
        <v>85</v>
      </c>
      <c r="S333" s="34">
        <f t="shared" si="35"/>
        <v>0</v>
      </c>
      <c r="T333" s="10" t="s">
        <v>78</v>
      </c>
      <c r="U333" s="34" t="str">
        <f t="shared" si="36"/>
        <v/>
      </c>
      <c r="V333" s="31" t="str">
        <f>IF(H333="CHK",VLOOKUP(I333,QCCHK,3,),IF(H333="GUP",VLOOKUP(E333,QCGUP,2,),IF(AND(H333="ATP",OR(I333="TN",I333="TDN",I333="TNO2-3",I333="NO2-3")),VLOOKUP(E333,QCREC_N,2,),IF(AND(H333="NIC",OR(I333="TN",I333="TDN",I333="TNO2-3",I333="NO2-3")),VLOOKUP(E333,QCNIC_N,2,),IF(AND(H333="UREA",OR(I333="TN",I333="TDN",I333="TNO2-3",I333="NO2-3")),VLOOKUP(E333,QCUREA_N,2,),IF(H333="PER",VLOOKUP(I333,QCPER,MATCH(E333,QCACTUAL!$J$25:$AA$25,0),),IF(H333="SPK",VLOOKUP(I333,QCSPK,3,),IF(AND(H333="ATP",OR(I333="TP",I333="TDP")),VLOOKUP(E333,QCATP_P,2,),""))))))))</f>
        <v/>
      </c>
      <c r="W333" s="31" t="str">
        <f t="shared" si="37"/>
        <v>TRUE</v>
      </c>
      <c r="X333" s="31" t="str">
        <f t="shared" si="38"/>
        <v/>
      </c>
      <c r="Y333" s="10" t="s">
        <v>970</v>
      </c>
      <c r="AF333" s="12">
        <v>44930</v>
      </c>
      <c r="AG333" s="10">
        <f>-8.4348*0.477^2+102.96*0.477-48.013</f>
        <v>-0.82024160920000355</v>
      </c>
      <c r="AH333" s="10">
        <f>-2.6941*0.477^2+86.956*0.477-40.231</f>
        <v>0.63402612109999978</v>
      </c>
      <c r="AI333" s="10">
        <f>-1.1451*0.477^2+77.605*0.477-34.739</f>
        <v>2.0180415421000006</v>
      </c>
      <c r="AK333" s="10">
        <f>-0.0423*0.477^2+66.444*0.477-22.986</f>
        <v>8.6981635232999999</v>
      </c>
      <c r="AL333" s="10" t="str">
        <f t="shared" si="40"/>
        <v>y=-8.4348*0.477^2+102.96*0.477-48.013</v>
      </c>
      <c r="AM333" s="10" t="str">
        <f t="shared" si="40"/>
        <v>y=-2.6941*0.477^2+86.956*0.477-40.231</v>
      </c>
      <c r="AN333" s="10" t="str">
        <f t="shared" si="40"/>
        <v>y=-1.1451*0.477^2+77.605*0.477-34.739</v>
      </c>
      <c r="AO333" s="10" t="str">
        <f t="shared" si="41"/>
        <v>FALSE</v>
      </c>
      <c r="AP333" s="10" t="str">
        <f t="shared" si="41"/>
        <v>y=-0.0423*0.477^2+66.444*0.477-22.986</v>
      </c>
      <c r="AQ333" s="10" t="str">
        <f>IF(AND(I333="TP",S333&lt;=150),VLOOKUP(AF333,TPCalibEq150!$AZ$2:$BB$55,3,),IF(AND(I333="TDP",S333&lt;=150),VLOOKUP(AF333,TPCalibEq150!$AZ$2:$BB$55,3,)))</f>
        <v>y=-8.4348x2+102.96x-48.013</v>
      </c>
      <c r="AR333" s="10" t="str">
        <f>IF(AND(I333="TP",S333&lt;=300),VLOOKUP(AF333,TPCalibEq300!$AZ$2:$BB$55,3,),IF(AND(I333="TDP",S333&lt;=300),VLOOKUP(AF333,TPCalibEq300!$AZ$2:$BB$55,3,)))</f>
        <v>y=-2.6941x2+86.956x-40.231</v>
      </c>
      <c r="AS333" s="10" t="str">
        <f>IF(AND(I333="TP",S333&lt;=500),VLOOKUP(AF333,TPCalibEq500!$AZ$2:$BB$56,3,),IF(AND(I333="TDP",S333&lt;=500),VLOOKUP(AF333,TPCalibEq500!$AZ$2:$BB$56,3,)))</f>
        <v>y=-1.1451x2+77.605x-34.739</v>
      </c>
      <c r="AT333" s="10" t="b">
        <f>IF(AND(I333="TN",S333&lt;=2800),VLOOKUP(AF333,TNCalibEq2500!$AZ$2:$BB$56,3,),IF(AND(I333="TDN",S333&lt;=2800),VLOOKUP(AF333,TNCalibEq2500!$AZ$2:$BB$56,3,)))</f>
        <v>0</v>
      </c>
      <c r="AU333" s="10" t="str">
        <f>IF(I333="TP",VLOOKUP(AF333,TPCalibEqFull!$AZ$2:$BB$56,3),IF(I333="TDP",VLOOKUP(AF333,TPCalibEqFull!$AZ$2:$BB$56,3),IF(I333="TDN",VLOOKUP(AF333,TNCalibEqFull!$AZ$1:$BB$56,3),IF(I333="TN",VLOOKUP(AF333,TNCalibEqFull!$AZ$1:$BB$56,3),FALSE))))</f>
        <v>y=-0.0423x2+66.444x-22.986</v>
      </c>
      <c r="AV333" s="10" t="str">
        <f t="shared" si="39"/>
        <v>0104 09:00:00-QAC-STD-D.H-1-DI-CAL</v>
      </c>
    </row>
    <row r="334" spans="1:48" s="10" customFormat="1" x14ac:dyDescent="0.55000000000000004">
      <c r="A334" s="32">
        <v>44930</v>
      </c>
      <c r="B334" s="33">
        <v>0.375</v>
      </c>
      <c r="C334" s="10" t="s">
        <v>70</v>
      </c>
      <c r="D334" s="10" t="s">
        <v>71</v>
      </c>
      <c r="E334" s="10" t="s">
        <v>918</v>
      </c>
      <c r="F334" s="10">
        <v>1</v>
      </c>
      <c r="G334" s="10" t="s">
        <v>73</v>
      </c>
      <c r="H334" s="10" t="s">
        <v>74</v>
      </c>
      <c r="I334" s="10" t="s">
        <v>83</v>
      </c>
      <c r="J334" s="10">
        <v>182</v>
      </c>
      <c r="K334" s="12">
        <v>44930</v>
      </c>
      <c r="L334" s="33">
        <v>0.53744212962962956</v>
      </c>
      <c r="M334" s="10">
        <v>1</v>
      </c>
      <c r="N334" s="10" t="s">
        <v>84</v>
      </c>
      <c r="O334" s="10">
        <v>0.60699999999999998</v>
      </c>
      <c r="P334" s="10">
        <v>4.1300000000000003E-2</v>
      </c>
      <c r="Q334" s="10">
        <v>12</v>
      </c>
      <c r="R334" s="10" t="s">
        <v>85</v>
      </c>
      <c r="S334" s="34">
        <f t="shared" si="35"/>
        <v>12</v>
      </c>
      <c r="T334" s="10" t="s">
        <v>78</v>
      </c>
      <c r="U334" s="34" t="str">
        <f t="shared" si="36"/>
        <v/>
      </c>
      <c r="V334" s="31" t="str">
        <f>IF(H334="CHK",VLOOKUP(I334,QCCHK,3,),IF(H334="GUP",VLOOKUP(E334,QCGUP,2,),IF(AND(H334="ATP",OR(I334="TN",I334="TDN",I334="TNO2-3",I334="NO2-3")),VLOOKUP(E334,QCREC_N,2,),IF(AND(H334="NIC",OR(I334="TN",I334="TDN",I334="TNO2-3",I334="NO2-3")),VLOOKUP(E334,QCNIC_N,2,),IF(AND(H334="UREA",OR(I334="TN",I334="TDN",I334="TNO2-3",I334="NO2-3")),VLOOKUP(E334,QCUREA_N,2,),IF(H334="PER",VLOOKUP(I334,QCPER,MATCH(E334,QCACTUAL!$J$25:$AA$25,0),),IF(H334="SPK",VLOOKUP(I334,QCSPK,3,),IF(AND(H334="ATP",OR(I334="TP",I334="TDP")),VLOOKUP(E334,QCATP_P,2,),""))))))))</f>
        <v/>
      </c>
      <c r="W334" s="31" t="str">
        <f t="shared" si="37"/>
        <v>TRUE</v>
      </c>
      <c r="X334" s="31" t="str">
        <f t="shared" si="38"/>
        <v/>
      </c>
      <c r="Y334" s="10" t="s">
        <v>970</v>
      </c>
      <c r="AF334" s="12">
        <v>44930</v>
      </c>
      <c r="AG334" s="10">
        <f>-8.4348*0.607^2+102.96*0.607-48.013</f>
        <v>11.375926374799995</v>
      </c>
      <c r="AH334" s="10">
        <f>-2.6941*0.607^2+86.956*0.607-40.231</f>
        <v>11.558653549099994</v>
      </c>
      <c r="AI334" s="10">
        <f>-1.1451*0.607^2+77.605*0.607-34.739</f>
        <v>11.945324050099998</v>
      </c>
      <c r="AK334" s="10">
        <f>-0.0423*0.607^2+66.444*0.607-22.986</f>
        <v>17.329922607300002</v>
      </c>
      <c r="AL334" s="10" t="str">
        <f t="shared" si="40"/>
        <v>y=-8.4348*0.607^2+102.96*0.607-48.013</v>
      </c>
      <c r="AM334" s="10" t="str">
        <f t="shared" si="40"/>
        <v>y=-2.6941*0.607^2+86.956*0.607-40.231</v>
      </c>
      <c r="AN334" s="10" t="str">
        <f t="shared" si="40"/>
        <v>y=-1.1451*0.607^2+77.605*0.607-34.739</v>
      </c>
      <c r="AO334" s="10" t="str">
        <f t="shared" si="41"/>
        <v>FALSE</v>
      </c>
      <c r="AP334" s="10" t="str">
        <f t="shared" si="41"/>
        <v>y=-0.0423*0.607^2+66.444*0.607-22.986</v>
      </c>
      <c r="AQ334" s="10" t="str">
        <f>IF(AND(I334="TP",S334&lt;=150),VLOOKUP(AF334,TPCalibEq150!$AZ$2:$BB$55,3,),IF(AND(I334="TDP",S334&lt;=150),VLOOKUP(AF334,TPCalibEq150!$AZ$2:$BB$55,3,)))</f>
        <v>y=-8.4348x2+102.96x-48.013</v>
      </c>
      <c r="AR334" s="10" t="str">
        <f>IF(AND(I334="TP",S334&lt;=300),VLOOKUP(AF334,TPCalibEq300!$AZ$2:$BB$55,3,),IF(AND(I334="TDP",S334&lt;=300),VLOOKUP(AF334,TPCalibEq300!$AZ$2:$BB$55,3,)))</f>
        <v>y=-2.6941x2+86.956x-40.231</v>
      </c>
      <c r="AS334" s="10" t="str">
        <f>IF(AND(I334="TP",S334&lt;=500),VLOOKUP(AF334,TPCalibEq500!$AZ$2:$BB$56,3,),IF(AND(I334="TDP",S334&lt;=500),VLOOKUP(AF334,TPCalibEq500!$AZ$2:$BB$56,3,)))</f>
        <v>y=-1.1451x2+77.605x-34.739</v>
      </c>
      <c r="AT334" s="10" t="b">
        <f>IF(AND(I334="TN",S334&lt;=2800),VLOOKUP(AF334,TNCalibEq2500!$AZ$2:$BB$56,3,),IF(AND(I334="TDN",S334&lt;=2800),VLOOKUP(AF334,TNCalibEq2500!$AZ$2:$BB$56,3,)))</f>
        <v>0</v>
      </c>
      <c r="AU334" s="10" t="str">
        <f>IF(I334="TP",VLOOKUP(AF334,TPCalibEqFull!$AZ$2:$BB$56,3),IF(I334="TDP",VLOOKUP(AF334,TPCalibEqFull!$AZ$2:$BB$56,3),IF(I334="TDN",VLOOKUP(AF334,TNCalibEqFull!$AZ$1:$BB$56,3),IF(I334="TN",VLOOKUP(AF334,TNCalibEqFull!$AZ$1:$BB$56,3),FALSE))))</f>
        <v>y=-0.0423x2+66.444x-22.986</v>
      </c>
      <c r="AV334" s="10" t="str">
        <f t="shared" si="39"/>
        <v>0104 09:00:00-QAC-STD-D.G-1-DI-CAL</v>
      </c>
    </row>
    <row r="335" spans="1:48" s="10" customFormat="1" x14ac:dyDescent="0.55000000000000004">
      <c r="A335" s="32">
        <v>44930</v>
      </c>
      <c r="B335" s="33">
        <v>0.375</v>
      </c>
      <c r="C335" s="10" t="s">
        <v>70</v>
      </c>
      <c r="D335" s="10" t="s">
        <v>71</v>
      </c>
      <c r="E335" s="10" t="s">
        <v>919</v>
      </c>
      <c r="F335" s="10">
        <v>1</v>
      </c>
      <c r="G335" s="10" t="s">
        <v>73</v>
      </c>
      <c r="H335" s="10" t="s">
        <v>74</v>
      </c>
      <c r="I335" s="10" t="s">
        <v>83</v>
      </c>
      <c r="J335" s="10">
        <v>183</v>
      </c>
      <c r="K335" s="12">
        <v>44930</v>
      </c>
      <c r="L335" s="33">
        <v>0.53815972222222219</v>
      </c>
      <c r="M335" s="10">
        <v>1</v>
      </c>
      <c r="N335" s="10" t="s">
        <v>84</v>
      </c>
      <c r="O335" s="10">
        <v>1.08</v>
      </c>
      <c r="P335" s="10">
        <v>7.5999999999999998E-2</v>
      </c>
      <c r="Q335" s="10">
        <v>50</v>
      </c>
      <c r="R335" s="10" t="s">
        <v>85</v>
      </c>
      <c r="S335" s="34">
        <f t="shared" si="35"/>
        <v>50</v>
      </c>
      <c r="T335" s="10" t="s">
        <v>971</v>
      </c>
      <c r="U335" s="34" t="str">
        <f t="shared" si="36"/>
        <v/>
      </c>
      <c r="V335" s="31" t="str">
        <f>IF(H335="CHK",VLOOKUP(I335,QCCHK,3,),IF(H335="GUP",VLOOKUP(E335,QCGUP,2,),IF(AND(H335="ATP",OR(I335="TN",I335="TDN",I335="TNO2-3",I335="NO2-3")),VLOOKUP(E335,QCREC_N,2,),IF(AND(H335="NIC",OR(I335="TN",I335="TDN",I335="TNO2-3",I335="NO2-3")),VLOOKUP(E335,QCNIC_N,2,),IF(AND(H335="UREA",OR(I335="TN",I335="TDN",I335="TNO2-3",I335="NO2-3")),VLOOKUP(E335,QCUREA_N,2,),IF(H335="PER",VLOOKUP(I335,QCPER,MATCH(E335,QCACTUAL!$J$25:$AA$25,0),),IF(H335="SPK",VLOOKUP(I335,QCSPK,3,),IF(AND(H335="ATP",OR(I335="TP",I335="TDP")),VLOOKUP(E335,QCATP_P,2,),""))))))))</f>
        <v/>
      </c>
      <c r="W335" s="31" t="str">
        <f t="shared" si="37"/>
        <v>TRUE</v>
      </c>
      <c r="X335" s="31" t="str">
        <f t="shared" si="38"/>
        <v/>
      </c>
      <c r="Y335" s="10" t="s">
        <v>970</v>
      </c>
      <c r="AF335" s="12">
        <v>44930</v>
      </c>
      <c r="AG335" s="10">
        <f>-8.4348*1.08^2+102.96*1.08-48.013</f>
        <v>53.345449280000004</v>
      </c>
      <c r="AH335" s="10">
        <f>-2.6941*1.08^2+86.956*1.08-40.231</f>
        <v>50.539081760000009</v>
      </c>
      <c r="AI335" s="10">
        <f>-1.1451*1.08^2+77.605*1.08-34.739</f>
        <v>47.73875536000002</v>
      </c>
      <c r="AK335" s="10">
        <f>-0.0423*1.08^2+66.444*1.08-22.986</f>
        <v>48.72418128000001</v>
      </c>
      <c r="AL335" s="10" t="str">
        <f t="shared" si="40"/>
        <v>y=-8.4348*1.08^2+102.96*1.08-48.013</v>
      </c>
      <c r="AM335" s="10" t="str">
        <f t="shared" si="40"/>
        <v>y=-2.6941*1.08^2+86.956*1.08-40.231</v>
      </c>
      <c r="AN335" s="10" t="str">
        <f t="shared" si="40"/>
        <v>y=-1.1451*1.08^2+77.605*1.08-34.739</v>
      </c>
      <c r="AO335" s="10" t="str">
        <f t="shared" si="41"/>
        <v>FALSE</v>
      </c>
      <c r="AP335" s="10" t="str">
        <f t="shared" si="41"/>
        <v>y=-0.0423*1.08^2+66.444*1.08-22.986</v>
      </c>
      <c r="AQ335" s="10" t="str">
        <f>IF(AND(I335="TP",S335&lt;=150),VLOOKUP(AF335,TPCalibEq150!$AZ$2:$BB$55,3,),IF(AND(I335="TDP",S335&lt;=150),VLOOKUP(AF335,TPCalibEq150!$AZ$2:$BB$55,3,)))</f>
        <v>y=-8.4348x2+102.96x-48.013</v>
      </c>
      <c r="AR335" s="10" t="str">
        <f>IF(AND(I335="TP",S335&lt;=300),VLOOKUP(AF335,TPCalibEq300!$AZ$2:$BB$55,3,),IF(AND(I335="TDP",S335&lt;=300),VLOOKUP(AF335,TPCalibEq300!$AZ$2:$BB$55,3,)))</f>
        <v>y=-2.6941x2+86.956x-40.231</v>
      </c>
      <c r="AS335" s="10" t="str">
        <f>IF(AND(I335="TP",S335&lt;=500),VLOOKUP(AF335,TPCalibEq500!$AZ$2:$BB$56,3,),IF(AND(I335="TDP",S335&lt;=500),VLOOKUP(AF335,TPCalibEq500!$AZ$2:$BB$56,3,)))</f>
        <v>y=-1.1451x2+77.605x-34.739</v>
      </c>
      <c r="AT335" s="10" t="b">
        <f>IF(AND(I335="TN",S335&lt;=2800),VLOOKUP(AF335,TNCalibEq2500!$AZ$2:$BB$56,3,),IF(AND(I335="TDN",S335&lt;=2800),VLOOKUP(AF335,TNCalibEq2500!$AZ$2:$BB$56,3,)))</f>
        <v>0</v>
      </c>
      <c r="AU335" s="10" t="str">
        <f>IF(I335="TP",VLOOKUP(AF335,TPCalibEqFull!$AZ$2:$BB$56,3),IF(I335="TDP",VLOOKUP(AF335,TPCalibEqFull!$AZ$2:$BB$56,3),IF(I335="TDN",VLOOKUP(AF335,TNCalibEqFull!$AZ$1:$BB$56,3),IF(I335="TN",VLOOKUP(AF335,TNCalibEqFull!$AZ$1:$BB$56,3),FALSE))))</f>
        <v>y=-0.0423x2+66.444x-22.986</v>
      </c>
      <c r="AV335" s="10" t="str">
        <f t="shared" si="39"/>
        <v>0104 09:00:00-QAC-STD-D.F-1-DI-CAL</v>
      </c>
    </row>
    <row r="336" spans="1:48" s="10" customFormat="1" x14ac:dyDescent="0.55000000000000004">
      <c r="A336" s="32">
        <v>44930</v>
      </c>
      <c r="B336" s="33">
        <v>0.375</v>
      </c>
      <c r="C336" s="10" t="s">
        <v>70</v>
      </c>
      <c r="D336" s="10" t="s">
        <v>71</v>
      </c>
      <c r="E336" s="10" t="s">
        <v>920</v>
      </c>
      <c r="F336" s="10">
        <v>1</v>
      </c>
      <c r="G336" s="10" t="s">
        <v>73</v>
      </c>
      <c r="H336" s="10" t="s">
        <v>74</v>
      </c>
      <c r="I336" s="10" t="s">
        <v>83</v>
      </c>
      <c r="J336" s="10">
        <v>184</v>
      </c>
      <c r="K336" s="12">
        <v>44930</v>
      </c>
      <c r="L336" s="33">
        <v>0.53885416666666663</v>
      </c>
      <c r="M336" s="10">
        <v>1</v>
      </c>
      <c r="N336" s="10" t="s">
        <v>84</v>
      </c>
      <c r="O336" s="10">
        <v>3.44</v>
      </c>
      <c r="P336" s="10">
        <v>0.245</v>
      </c>
      <c r="Q336" s="10">
        <v>200</v>
      </c>
      <c r="R336" s="10" t="s">
        <v>85</v>
      </c>
      <c r="S336" s="34">
        <f t="shared" si="35"/>
        <v>200</v>
      </c>
      <c r="T336" s="10" t="s">
        <v>972</v>
      </c>
      <c r="U336" s="34" t="str">
        <f t="shared" si="36"/>
        <v/>
      </c>
      <c r="V336" s="31" t="str">
        <f>IF(H336="CHK",VLOOKUP(I336,QCCHK,3,),IF(H336="GUP",VLOOKUP(E336,QCGUP,2,),IF(AND(H336="ATP",OR(I336="TN",I336="TDN",I336="TNO2-3",I336="NO2-3")),VLOOKUP(E336,QCREC_N,2,),IF(AND(H336="NIC",OR(I336="TN",I336="TDN",I336="TNO2-3",I336="NO2-3")),VLOOKUP(E336,QCNIC_N,2,),IF(AND(H336="UREA",OR(I336="TN",I336="TDN",I336="TNO2-3",I336="NO2-3")),VLOOKUP(E336,QCUREA_N,2,),IF(H336="PER",VLOOKUP(I336,QCPER,MATCH(E336,QCACTUAL!$J$25:$AA$25,0),),IF(H336="SPK",VLOOKUP(I336,QCSPK,3,),IF(AND(H336="ATP",OR(I336="TP",I336="TDP")),VLOOKUP(E336,QCATP_P,2,),""))))))))</f>
        <v/>
      </c>
      <c r="W336" s="31" t="str">
        <f t="shared" si="37"/>
        <v>TRUE</v>
      </c>
      <c r="X336" s="31" t="str">
        <f t="shared" si="38"/>
        <v/>
      </c>
      <c r="Y336" s="10" t="s">
        <v>970</v>
      </c>
      <c r="AF336" s="12">
        <v>44930</v>
      </c>
      <c r="AH336" s="10">
        <f>-2.6941*3.44^2+86.956*3.44-40.231</f>
        <v>227.01673824000005</v>
      </c>
      <c r="AI336" s="10">
        <f>-1.1451*3.44^2+77.605*3.44-34.739</f>
        <v>218.67154464000001</v>
      </c>
      <c r="AK336" s="10">
        <f>-0.0423*3.44^2+66.444*3.44-22.986</f>
        <v>205.08079872000002</v>
      </c>
      <c r="AL336" s="10" t="str">
        <f t="shared" si="40"/>
        <v>FALSE</v>
      </c>
      <c r="AM336" s="10" t="str">
        <f t="shared" si="40"/>
        <v>y=-2.6941*3.44^2+86.956*3.44-40.231</v>
      </c>
      <c r="AN336" s="10" t="str">
        <f t="shared" si="40"/>
        <v>y=-1.1451*3.44^2+77.605*3.44-34.739</v>
      </c>
      <c r="AO336" s="10" t="str">
        <f t="shared" si="41"/>
        <v>FALSE</v>
      </c>
      <c r="AP336" s="10" t="str">
        <f t="shared" si="41"/>
        <v>y=-0.0423*3.44^2+66.444*3.44-22.986</v>
      </c>
      <c r="AQ336" s="10" t="b">
        <f>IF(AND(I336="TP",S336&lt;=150),VLOOKUP(AF336,TPCalibEq150!$AZ$2:$BB$55,3,),IF(AND(I336="TDP",S336&lt;=150),VLOOKUP(AF336,TPCalibEq150!$AZ$2:$BB$55,3,)))</f>
        <v>0</v>
      </c>
      <c r="AR336" s="10" t="str">
        <f>IF(AND(I336="TP",S336&lt;=300),VLOOKUP(AF336,TPCalibEq300!$AZ$2:$BB$55,3,),IF(AND(I336="TDP",S336&lt;=300),VLOOKUP(AF336,TPCalibEq300!$AZ$2:$BB$55,3,)))</f>
        <v>y=-2.6941x2+86.956x-40.231</v>
      </c>
      <c r="AS336" s="10" t="str">
        <f>IF(AND(I336="TP",S336&lt;=500),VLOOKUP(AF336,TPCalibEq500!$AZ$2:$BB$56,3,),IF(AND(I336="TDP",S336&lt;=500),VLOOKUP(AF336,TPCalibEq500!$AZ$2:$BB$56,3,)))</f>
        <v>y=-1.1451x2+77.605x-34.739</v>
      </c>
      <c r="AT336" s="10" t="b">
        <f>IF(AND(I336="TN",S336&lt;=2800),VLOOKUP(AF336,TNCalibEq2500!$AZ$2:$BB$56,3,),IF(AND(I336="TDN",S336&lt;=2800),VLOOKUP(AF336,TNCalibEq2500!$AZ$2:$BB$56,3,)))</f>
        <v>0</v>
      </c>
      <c r="AU336" s="10" t="str">
        <f>IF(I336="TP",VLOOKUP(AF336,TPCalibEqFull!$AZ$2:$BB$56,3),IF(I336="TDP",VLOOKUP(AF336,TPCalibEqFull!$AZ$2:$BB$56,3),IF(I336="TDN",VLOOKUP(AF336,TNCalibEqFull!$AZ$1:$BB$56,3),IF(I336="TN",VLOOKUP(AF336,TNCalibEqFull!$AZ$1:$BB$56,3),FALSE))))</f>
        <v>y=-0.0423x2+66.444x-22.986</v>
      </c>
      <c r="AV336" s="10" t="str">
        <f t="shared" si="39"/>
        <v>0104 09:00:00-QAC-STD-D.E-1-DI-CAL</v>
      </c>
    </row>
    <row r="337" spans="1:48" s="10" customFormat="1" x14ac:dyDescent="0.55000000000000004">
      <c r="A337" s="32">
        <v>44930</v>
      </c>
      <c r="B337" s="33">
        <v>0.375</v>
      </c>
      <c r="C337" s="10" t="s">
        <v>70</v>
      </c>
      <c r="D337" s="10" t="s">
        <v>71</v>
      </c>
      <c r="E337" s="10" t="s">
        <v>921</v>
      </c>
      <c r="F337" s="10">
        <v>1</v>
      </c>
      <c r="G337" s="10" t="s">
        <v>73</v>
      </c>
      <c r="H337" s="10" t="s">
        <v>74</v>
      </c>
      <c r="I337" s="10" t="s">
        <v>83</v>
      </c>
      <c r="J337" s="10">
        <v>185</v>
      </c>
      <c r="K337" s="12">
        <v>44930</v>
      </c>
      <c r="L337" s="33">
        <v>0.53956018518518511</v>
      </c>
      <c r="M337" s="10">
        <v>1</v>
      </c>
      <c r="N337" s="10" t="s">
        <v>84</v>
      </c>
      <c r="O337" s="10">
        <v>8.02</v>
      </c>
      <c r="P337" s="10">
        <v>0.57899999999999996</v>
      </c>
      <c r="Q337" s="10">
        <v>500</v>
      </c>
      <c r="R337" s="10" t="s">
        <v>85</v>
      </c>
      <c r="S337" s="34">
        <f t="shared" si="35"/>
        <v>500</v>
      </c>
      <c r="T337" s="10" t="s">
        <v>973</v>
      </c>
      <c r="U337" s="34" t="str">
        <f t="shared" si="36"/>
        <v/>
      </c>
      <c r="V337" s="31" t="str">
        <f>IF(H337="CHK",VLOOKUP(I337,QCCHK,3,),IF(H337="GUP",VLOOKUP(E337,QCGUP,2,),IF(AND(H337="ATP",OR(I337="TN",I337="TDN",I337="TNO2-3",I337="NO2-3")),VLOOKUP(E337,QCREC_N,2,),IF(AND(H337="NIC",OR(I337="TN",I337="TDN",I337="TNO2-3",I337="NO2-3")),VLOOKUP(E337,QCNIC_N,2,),IF(AND(H337="UREA",OR(I337="TN",I337="TDN",I337="TNO2-3",I337="NO2-3")),VLOOKUP(E337,QCUREA_N,2,),IF(H337="PER",VLOOKUP(I337,QCPER,MATCH(E337,QCACTUAL!$J$25:$AA$25,0),),IF(H337="SPK",VLOOKUP(I337,QCSPK,3,),IF(AND(H337="ATP",OR(I337="TP",I337="TDP")),VLOOKUP(E337,QCATP_P,2,),""))))))))</f>
        <v/>
      </c>
      <c r="W337" s="31" t="str">
        <f t="shared" si="37"/>
        <v>TRUE</v>
      </c>
      <c r="X337" s="31" t="str">
        <f t="shared" si="38"/>
        <v/>
      </c>
      <c r="Y337" s="10" t="s">
        <v>970</v>
      </c>
      <c r="AF337" s="12">
        <v>44930</v>
      </c>
      <c r="AI337" s="10">
        <f>-1.1451*8.02^2+77.605*8.02-34.739</f>
        <v>513.99980995999999</v>
      </c>
      <c r="AK337" s="10">
        <f>-0.0423*8.02^2+66.444*8.02-22.986</f>
        <v>507.17412708000006</v>
      </c>
      <c r="AL337" s="10" t="str">
        <f t="shared" si="40"/>
        <v>FALSE</v>
      </c>
      <c r="AM337" s="10" t="str">
        <f t="shared" si="40"/>
        <v>FALSE</v>
      </c>
      <c r="AN337" s="10" t="str">
        <f t="shared" si="40"/>
        <v>y=-1.1451*8.02^2+77.605*8.02-34.739</v>
      </c>
      <c r="AO337" s="10" t="str">
        <f t="shared" si="41"/>
        <v>FALSE</v>
      </c>
      <c r="AP337" s="10" t="str">
        <f t="shared" si="41"/>
        <v>y=-0.0423*8.02^2+66.444*8.02-22.986</v>
      </c>
      <c r="AQ337" s="10" t="b">
        <f>IF(AND(I337="TP",S337&lt;=150),VLOOKUP(AF337,TPCalibEq150!$AZ$2:$BB$55,3,),IF(AND(I337="TDP",S337&lt;=150),VLOOKUP(AF337,TPCalibEq150!$AZ$2:$BB$55,3,)))</f>
        <v>0</v>
      </c>
      <c r="AR337" s="10" t="b">
        <f>IF(AND(I337="TP",S337&lt;=300),VLOOKUP(AF337,TPCalibEq300!$AZ$2:$BB$55,3,),IF(AND(I337="TDP",S337&lt;=300),VLOOKUP(AF337,TPCalibEq300!$AZ$2:$BB$55,3,)))</f>
        <v>0</v>
      </c>
      <c r="AS337" s="10" t="str">
        <f>IF(AND(I337="TP",S337&lt;=500),VLOOKUP(AF337,TPCalibEq500!$AZ$2:$BB$56,3,),IF(AND(I337="TDP",S337&lt;=500),VLOOKUP(AF337,TPCalibEq500!$AZ$2:$BB$56,3,)))</f>
        <v>y=-1.1451x2+77.605x-34.739</v>
      </c>
      <c r="AT337" s="10" t="b">
        <f>IF(AND(I337="TN",S337&lt;=2800),VLOOKUP(AF337,TNCalibEq2500!$AZ$2:$BB$56,3,),IF(AND(I337="TDN",S337&lt;=2800),VLOOKUP(AF337,TNCalibEq2500!$AZ$2:$BB$56,3,)))</f>
        <v>0</v>
      </c>
      <c r="AU337" s="10" t="str">
        <f>IF(I337="TP",VLOOKUP(AF337,TPCalibEqFull!$AZ$2:$BB$56,3),IF(I337="TDP",VLOOKUP(AF337,TPCalibEqFull!$AZ$2:$BB$56,3),IF(I337="TDN",VLOOKUP(AF337,TNCalibEqFull!$AZ$1:$BB$56,3),IF(I337="TN",VLOOKUP(AF337,TNCalibEqFull!$AZ$1:$BB$56,3),FALSE))))</f>
        <v>y=-0.0423x2+66.444x-22.986</v>
      </c>
      <c r="AV337" s="10" t="str">
        <f t="shared" si="39"/>
        <v>0104 09:00:00-QAC-STD-D.D-1-DI-CAL</v>
      </c>
    </row>
    <row r="338" spans="1:48" s="10" customFormat="1" x14ac:dyDescent="0.55000000000000004">
      <c r="A338" s="32">
        <v>44930</v>
      </c>
      <c r="B338" s="33">
        <v>0.375</v>
      </c>
      <c r="C338" s="10" t="s">
        <v>70</v>
      </c>
      <c r="D338" s="10" t="s">
        <v>71</v>
      </c>
      <c r="E338" s="10" t="s">
        <v>922</v>
      </c>
      <c r="F338" s="10">
        <v>1</v>
      </c>
      <c r="G338" s="10" t="s">
        <v>73</v>
      </c>
      <c r="H338" s="10" t="s">
        <v>74</v>
      </c>
      <c r="I338" s="10" t="s">
        <v>83</v>
      </c>
      <c r="J338" s="10">
        <v>186</v>
      </c>
      <c r="K338" s="12">
        <v>44930</v>
      </c>
      <c r="L338" s="33">
        <v>0.54026620370370371</v>
      </c>
      <c r="M338" s="10">
        <v>1</v>
      </c>
      <c r="N338" s="10" t="s">
        <v>84</v>
      </c>
      <c r="O338" s="10">
        <v>16</v>
      </c>
      <c r="P338" s="10">
        <v>1.1399999999999999</v>
      </c>
      <c r="Q338" s="10">
        <v>1000</v>
      </c>
      <c r="R338" s="10" t="s">
        <v>85</v>
      </c>
      <c r="S338" s="34">
        <f t="shared" si="35"/>
        <v>1000</v>
      </c>
      <c r="T338" s="10" t="s">
        <v>974</v>
      </c>
      <c r="U338" s="34" t="str">
        <f t="shared" si="36"/>
        <v/>
      </c>
      <c r="V338" s="31" t="str">
        <f>IF(H338="CHK",VLOOKUP(I338,QCCHK,3,),IF(H338="GUP",VLOOKUP(E338,QCGUP,2,),IF(AND(H338="ATP",OR(I338="TN",I338="TDN",I338="TNO2-3",I338="NO2-3")),VLOOKUP(E338,QCREC_N,2,),IF(AND(H338="NIC",OR(I338="TN",I338="TDN",I338="TNO2-3",I338="NO2-3")),VLOOKUP(E338,QCNIC_N,2,),IF(AND(H338="UREA",OR(I338="TN",I338="TDN",I338="TNO2-3",I338="NO2-3")),VLOOKUP(E338,QCUREA_N,2,),IF(H338="PER",VLOOKUP(I338,QCPER,MATCH(E338,QCACTUAL!$J$25:$AA$25,0),),IF(H338="SPK",VLOOKUP(I338,QCSPK,3,),IF(AND(H338="ATP",OR(I338="TP",I338="TDP")),VLOOKUP(E338,QCATP_P,2,),""))))))))</f>
        <v/>
      </c>
      <c r="W338" s="31" t="str">
        <f t="shared" si="37"/>
        <v>TRUE</v>
      </c>
      <c r="X338" s="31" t="str">
        <f t="shared" si="38"/>
        <v/>
      </c>
      <c r="Y338" s="10" t="s">
        <v>970</v>
      </c>
      <c r="AF338" s="12">
        <v>44930</v>
      </c>
      <c r="AK338" s="10">
        <f>-0.0423*16^2+66.444*16-22.986</f>
        <v>1029.2891999999999</v>
      </c>
      <c r="AL338" s="10" t="str">
        <f t="shared" si="40"/>
        <v>FALSE</v>
      </c>
      <c r="AM338" s="10" t="str">
        <f t="shared" si="40"/>
        <v>FALSE</v>
      </c>
      <c r="AN338" s="10" t="str">
        <f t="shared" si="40"/>
        <v>FALSE</v>
      </c>
      <c r="AO338" s="10" t="str">
        <f t="shared" si="41"/>
        <v>FALSE</v>
      </c>
      <c r="AP338" s="10" t="str">
        <f t="shared" si="41"/>
        <v>y=-0.0423*16^2+66.444*16-22.986</v>
      </c>
      <c r="AQ338" s="10" t="b">
        <f>IF(AND(I338="TP",S338&lt;=150),VLOOKUP(AF338,TPCalibEq150!$AZ$2:$BB$55,3,),IF(AND(I338="TDP",S338&lt;=150),VLOOKUP(AF338,TPCalibEq150!$AZ$2:$BB$55,3,)))</f>
        <v>0</v>
      </c>
      <c r="AR338" s="10" t="b">
        <f>IF(AND(I338="TP",S338&lt;=300),VLOOKUP(AF338,TPCalibEq300!$AZ$2:$BB$55,3,),IF(AND(I338="TDP",S338&lt;=300),VLOOKUP(AF338,TPCalibEq300!$AZ$2:$BB$55,3,)))</f>
        <v>0</v>
      </c>
      <c r="AS338" s="10" t="b">
        <f>IF(AND(I338="TP",S338&lt;=500),VLOOKUP(AF338,TPCalibEq500!$AZ$2:$BB$56,3,),IF(AND(I338="TDP",S338&lt;=500),VLOOKUP(AF338,TPCalibEq500!$AZ$2:$BB$56,3,)))</f>
        <v>0</v>
      </c>
      <c r="AT338" s="10" t="b">
        <f>IF(AND(I338="TN",S338&lt;=2800),VLOOKUP(AF338,TNCalibEq2500!$AZ$2:$BB$56,3,),IF(AND(I338="TDN",S338&lt;=2800),VLOOKUP(AF338,TNCalibEq2500!$AZ$2:$BB$56,3,)))</f>
        <v>0</v>
      </c>
      <c r="AU338" s="10" t="str">
        <f>IF(I338="TP",VLOOKUP(AF338,TPCalibEqFull!$AZ$2:$BB$56,3),IF(I338="TDP",VLOOKUP(AF338,TPCalibEqFull!$AZ$2:$BB$56,3),IF(I338="TDN",VLOOKUP(AF338,TNCalibEqFull!$AZ$1:$BB$56,3),IF(I338="TN",VLOOKUP(AF338,TNCalibEqFull!$AZ$1:$BB$56,3),FALSE))))</f>
        <v>y=-0.0423x2+66.444x-22.986</v>
      </c>
      <c r="AV338" s="10" t="str">
        <f t="shared" si="39"/>
        <v>0104 09:00:00-QAC-STD-D.C-1-DI-CAL</v>
      </c>
    </row>
    <row r="339" spans="1:48" s="10" customFormat="1" x14ac:dyDescent="0.55000000000000004">
      <c r="A339" s="32">
        <v>44930</v>
      </c>
      <c r="B339" s="33">
        <v>0.375</v>
      </c>
      <c r="C339" s="10" t="s">
        <v>70</v>
      </c>
      <c r="D339" s="10" t="s">
        <v>71</v>
      </c>
      <c r="E339" s="10" t="s">
        <v>923</v>
      </c>
      <c r="F339" s="10">
        <v>1</v>
      </c>
      <c r="G339" s="10" t="s">
        <v>73</v>
      </c>
      <c r="H339" s="10" t="s">
        <v>74</v>
      </c>
      <c r="I339" s="10" t="s">
        <v>83</v>
      </c>
      <c r="J339" s="10">
        <v>187</v>
      </c>
      <c r="K339" s="12">
        <v>44930</v>
      </c>
      <c r="L339" s="33">
        <v>0.54097222222222219</v>
      </c>
      <c r="M339" s="10">
        <v>1</v>
      </c>
      <c r="N339" s="10" t="s">
        <v>84</v>
      </c>
      <c r="O339" s="10">
        <v>23.2</v>
      </c>
      <c r="P339" s="10">
        <v>1.59</v>
      </c>
      <c r="Q339" s="10">
        <v>1500</v>
      </c>
      <c r="R339" s="10" t="s">
        <v>85</v>
      </c>
      <c r="S339" s="34">
        <f t="shared" si="35"/>
        <v>1500</v>
      </c>
      <c r="T339" s="10" t="s">
        <v>975</v>
      </c>
      <c r="U339" s="34" t="str">
        <f t="shared" si="36"/>
        <v/>
      </c>
      <c r="V339" s="31" t="str">
        <f>IF(H339="CHK",VLOOKUP(I339,QCCHK,3,),IF(H339="GUP",VLOOKUP(E339,QCGUP,2,),IF(AND(H339="ATP",OR(I339="TN",I339="TDN",I339="TNO2-3",I339="NO2-3")),VLOOKUP(E339,QCREC_N,2,),IF(AND(H339="NIC",OR(I339="TN",I339="TDN",I339="TNO2-3",I339="NO2-3")),VLOOKUP(E339,QCNIC_N,2,),IF(AND(H339="UREA",OR(I339="TN",I339="TDN",I339="TNO2-3",I339="NO2-3")),VLOOKUP(E339,QCUREA_N,2,),IF(H339="PER",VLOOKUP(I339,QCPER,MATCH(E339,QCACTUAL!$J$25:$AA$25,0),),IF(H339="SPK",VLOOKUP(I339,QCSPK,3,),IF(AND(H339="ATP",OR(I339="TP",I339="TDP")),VLOOKUP(E339,QCATP_P,2,),""))))))))</f>
        <v/>
      </c>
      <c r="W339" s="31" t="str">
        <f t="shared" si="37"/>
        <v>TRUE</v>
      </c>
      <c r="X339" s="31" t="str">
        <f t="shared" si="38"/>
        <v/>
      </c>
      <c r="Y339" s="10" t="s">
        <v>970</v>
      </c>
      <c r="AF339" s="12">
        <v>44930</v>
      </c>
      <c r="AK339" s="10">
        <f>-0.0423*23.2^2+66.444*23.2-22.986</f>
        <v>1495.7472479999999</v>
      </c>
      <c r="AL339" s="10" t="str">
        <f t="shared" si="40"/>
        <v>FALSE</v>
      </c>
      <c r="AM339" s="10" t="str">
        <f t="shared" si="40"/>
        <v>FALSE</v>
      </c>
      <c r="AN339" s="10" t="str">
        <f t="shared" si="40"/>
        <v>FALSE</v>
      </c>
      <c r="AO339" s="10" t="str">
        <f t="shared" si="41"/>
        <v>FALSE</v>
      </c>
      <c r="AP339" s="10" t="str">
        <f t="shared" si="41"/>
        <v>y=-0.0423*23.2^2+66.444*23.2-22.986</v>
      </c>
      <c r="AQ339" s="10" t="b">
        <f>IF(AND(I339="TP",S339&lt;=150),VLOOKUP(AF339,TPCalibEq150!$AZ$2:$BB$55,3,),IF(AND(I339="TDP",S339&lt;=150),VLOOKUP(AF339,TPCalibEq150!$AZ$2:$BB$55,3,)))</f>
        <v>0</v>
      </c>
      <c r="AR339" s="10" t="b">
        <f>IF(AND(I339="TP",S339&lt;=300),VLOOKUP(AF339,TPCalibEq300!$AZ$2:$BB$55,3,),IF(AND(I339="TDP",S339&lt;=300),VLOOKUP(AF339,TPCalibEq300!$AZ$2:$BB$55,3,)))</f>
        <v>0</v>
      </c>
      <c r="AS339" s="10" t="b">
        <f>IF(AND(I339="TP",S339&lt;=500),VLOOKUP(AF339,TPCalibEq500!$AZ$2:$BB$56,3,),IF(AND(I339="TDP",S339&lt;=500),VLOOKUP(AF339,TPCalibEq500!$AZ$2:$BB$56,3,)))</f>
        <v>0</v>
      </c>
      <c r="AT339" s="10" t="b">
        <f>IF(AND(I339="TN",S339&lt;=2800),VLOOKUP(AF339,TNCalibEq2500!$AZ$2:$BB$56,3,),IF(AND(I339="TDN",S339&lt;=2800),VLOOKUP(AF339,TNCalibEq2500!$AZ$2:$BB$56,3,)))</f>
        <v>0</v>
      </c>
      <c r="AU339" s="10" t="str">
        <f>IF(I339="TP",VLOOKUP(AF339,TPCalibEqFull!$AZ$2:$BB$56,3),IF(I339="TDP",VLOOKUP(AF339,TPCalibEqFull!$AZ$2:$BB$56,3),IF(I339="TDN",VLOOKUP(AF339,TNCalibEqFull!$AZ$1:$BB$56,3),IF(I339="TN",VLOOKUP(AF339,TNCalibEqFull!$AZ$1:$BB$56,3),FALSE))))</f>
        <v>y=-0.0423x2+66.444x-22.986</v>
      </c>
      <c r="AV339" s="10" t="str">
        <f t="shared" si="39"/>
        <v>0104 09:00:00-QAC-STD-D.B-1-DI-CAL</v>
      </c>
    </row>
    <row r="340" spans="1:48" s="10" customFormat="1" x14ac:dyDescent="0.55000000000000004">
      <c r="A340" s="32">
        <v>44930</v>
      </c>
      <c r="B340" s="33">
        <v>0.375</v>
      </c>
      <c r="C340" s="10" t="s">
        <v>70</v>
      </c>
      <c r="D340" s="10" t="s">
        <v>71</v>
      </c>
      <c r="E340" s="10" t="s">
        <v>924</v>
      </c>
      <c r="F340" s="10">
        <v>1</v>
      </c>
      <c r="G340" s="10" t="s">
        <v>73</v>
      </c>
      <c r="H340" s="10" t="s">
        <v>74</v>
      </c>
      <c r="I340" s="10" t="s">
        <v>83</v>
      </c>
      <c r="J340" s="10">
        <v>188</v>
      </c>
      <c r="K340" s="12">
        <v>44930</v>
      </c>
      <c r="L340" s="33">
        <v>0.54167824074074067</v>
      </c>
      <c r="M340" s="10">
        <v>1</v>
      </c>
      <c r="N340" s="10" t="s">
        <v>84</v>
      </c>
      <c r="O340" s="10">
        <v>31</v>
      </c>
      <c r="P340" s="10">
        <v>2.15</v>
      </c>
      <c r="Q340" s="10">
        <v>2000</v>
      </c>
      <c r="R340" s="10" t="s">
        <v>85</v>
      </c>
      <c r="S340" s="34">
        <f t="shared" si="35"/>
        <v>2000</v>
      </c>
      <c r="T340" s="10" t="s">
        <v>976</v>
      </c>
      <c r="U340" s="34" t="str">
        <f t="shared" si="36"/>
        <v/>
      </c>
      <c r="V340" s="31" t="str">
        <f>IF(H340="CHK",VLOOKUP(I340,QCCHK,3,),IF(H340="GUP",VLOOKUP(E340,QCGUP,2,),IF(AND(H340="ATP",OR(I340="TN",I340="TDN",I340="TNO2-3",I340="NO2-3")),VLOOKUP(E340,QCREC_N,2,),IF(AND(H340="NIC",OR(I340="TN",I340="TDN",I340="TNO2-3",I340="NO2-3")),VLOOKUP(E340,QCNIC_N,2,),IF(AND(H340="UREA",OR(I340="TN",I340="TDN",I340="TNO2-3",I340="NO2-3")),VLOOKUP(E340,QCUREA_N,2,),IF(H340="PER",VLOOKUP(I340,QCPER,MATCH(E340,QCACTUAL!$J$25:$AA$25,0),),IF(H340="SPK",VLOOKUP(I340,QCSPK,3,),IF(AND(H340="ATP",OR(I340="TP",I340="TDP")),VLOOKUP(E340,QCATP_P,2,),""))))))))</f>
        <v/>
      </c>
      <c r="W340" s="31" t="str">
        <f t="shared" si="37"/>
        <v>TRUE</v>
      </c>
      <c r="X340" s="31" t="str">
        <f t="shared" si="38"/>
        <v/>
      </c>
      <c r="Y340" s="10" t="s">
        <v>970</v>
      </c>
      <c r="AF340" s="12">
        <v>44930</v>
      </c>
      <c r="AK340" s="10">
        <f>-0.0423*31^2+66.444*31-22.986</f>
        <v>1996.1277</v>
      </c>
      <c r="AL340" s="10" t="str">
        <f t="shared" si="40"/>
        <v>FALSE</v>
      </c>
      <c r="AM340" s="10" t="str">
        <f t="shared" si="40"/>
        <v>FALSE</v>
      </c>
      <c r="AN340" s="10" t="str">
        <f t="shared" si="40"/>
        <v>FALSE</v>
      </c>
      <c r="AO340" s="10" t="str">
        <f t="shared" si="41"/>
        <v>FALSE</v>
      </c>
      <c r="AP340" s="10" t="str">
        <f t="shared" si="41"/>
        <v>y=-0.0423*31^2+66.444*31-22.986</v>
      </c>
      <c r="AQ340" s="10" t="b">
        <f>IF(AND(I340="TP",S340&lt;=150),VLOOKUP(AF340,TPCalibEq150!$AZ$2:$BB$55,3,),IF(AND(I340="TDP",S340&lt;=150),VLOOKUP(AF340,TPCalibEq150!$AZ$2:$BB$55,3,)))</f>
        <v>0</v>
      </c>
      <c r="AR340" s="10" t="b">
        <f>IF(AND(I340="TP",S340&lt;=300),VLOOKUP(AF340,TPCalibEq300!$AZ$2:$BB$55,3,),IF(AND(I340="TDP",S340&lt;=300),VLOOKUP(AF340,TPCalibEq300!$AZ$2:$BB$55,3,)))</f>
        <v>0</v>
      </c>
      <c r="AS340" s="10" t="b">
        <f>IF(AND(I340="TP",S340&lt;=500),VLOOKUP(AF340,TPCalibEq500!$AZ$2:$BB$56,3,),IF(AND(I340="TDP",S340&lt;=500),VLOOKUP(AF340,TPCalibEq500!$AZ$2:$BB$56,3,)))</f>
        <v>0</v>
      </c>
      <c r="AT340" s="10" t="b">
        <f>IF(AND(I340="TN",S340&lt;=2800),VLOOKUP(AF340,TNCalibEq2500!$AZ$2:$BB$56,3,),IF(AND(I340="TDN",S340&lt;=2800),VLOOKUP(AF340,TNCalibEq2500!$AZ$2:$BB$56,3,)))</f>
        <v>0</v>
      </c>
      <c r="AU340" s="10" t="str">
        <f>IF(I340="TP",VLOOKUP(AF340,TPCalibEqFull!$AZ$2:$BB$56,3),IF(I340="TDP",VLOOKUP(AF340,TPCalibEqFull!$AZ$2:$BB$56,3),IF(I340="TDN",VLOOKUP(AF340,TNCalibEqFull!$AZ$1:$BB$56,3),IF(I340="TN",VLOOKUP(AF340,TNCalibEqFull!$AZ$1:$BB$56,3),FALSE))))</f>
        <v>y=-0.0423x2+66.444x-22.986</v>
      </c>
      <c r="AV340" s="10" t="str">
        <f t="shared" si="39"/>
        <v>0104 09:00:00-QAC-STD-D.A-1-DI-CAL</v>
      </c>
    </row>
    <row r="341" spans="1:48" s="10" customFormat="1" x14ac:dyDescent="0.55000000000000004">
      <c r="A341" s="32">
        <v>44930</v>
      </c>
      <c r="B341" s="33">
        <v>0.375</v>
      </c>
      <c r="C341" s="10" t="s">
        <v>70</v>
      </c>
      <c r="D341" s="10" t="s">
        <v>71</v>
      </c>
      <c r="E341" s="10" t="s">
        <v>925</v>
      </c>
      <c r="F341" s="10">
        <v>1</v>
      </c>
      <c r="G341" s="10" t="s">
        <v>73</v>
      </c>
      <c r="H341" s="10" t="s">
        <v>74</v>
      </c>
      <c r="I341" s="10" t="s">
        <v>83</v>
      </c>
      <c r="J341" s="10">
        <v>189</v>
      </c>
      <c r="K341" s="12">
        <v>44930</v>
      </c>
      <c r="L341" s="33">
        <v>0.54238425925925926</v>
      </c>
      <c r="M341" s="10">
        <v>1</v>
      </c>
      <c r="N341" s="10" t="s">
        <v>84</v>
      </c>
      <c r="O341" s="10">
        <v>0.50800000000000001</v>
      </c>
      <c r="P341" s="10">
        <v>3.4599999999999999E-2</v>
      </c>
      <c r="Q341" s="10">
        <v>0</v>
      </c>
      <c r="R341" s="10" t="s">
        <v>85</v>
      </c>
      <c r="S341" s="34">
        <f t="shared" si="35"/>
        <v>0</v>
      </c>
      <c r="T341" s="10" t="s">
        <v>977</v>
      </c>
      <c r="U341" s="34" t="str">
        <f t="shared" si="36"/>
        <v/>
      </c>
      <c r="V341" s="31" t="str">
        <f>IF(H341="CHK",VLOOKUP(I341,QCCHK,3,),IF(H341="GUP",VLOOKUP(E341,QCGUP,2,),IF(AND(H341="ATP",OR(I341="TN",I341="TDN",I341="TNO2-3",I341="NO2-3")),VLOOKUP(E341,QCREC_N,2,),IF(AND(H341="NIC",OR(I341="TN",I341="TDN",I341="TNO2-3",I341="NO2-3")),VLOOKUP(E341,QCNIC_N,2,),IF(AND(H341="UREA",OR(I341="TN",I341="TDN",I341="TNO2-3",I341="NO2-3")),VLOOKUP(E341,QCUREA_N,2,),IF(H341="PER",VLOOKUP(I341,QCPER,MATCH(E341,QCACTUAL!$J$25:$AA$25,0),),IF(H341="SPK",VLOOKUP(I341,QCSPK,3,),IF(AND(H341="ATP",OR(I341="TP",I341="TDP")),VLOOKUP(E341,QCATP_P,2,),""))))))))</f>
        <v/>
      </c>
      <c r="W341" s="31" t="str">
        <f t="shared" si="37"/>
        <v>TRUE</v>
      </c>
      <c r="X341" s="31" t="str">
        <f t="shared" si="38"/>
        <v/>
      </c>
      <c r="Y341" s="10" t="s">
        <v>970</v>
      </c>
      <c r="AF341" s="12">
        <v>44930</v>
      </c>
      <c r="AG341" s="10">
        <f>-8.4348*0.508^2+102.96*0.508-48.013</f>
        <v>2.1139617728000033</v>
      </c>
      <c r="AH341" s="10">
        <f>-2.6941*0.508^2+86.956*0.508-40.231</f>
        <v>3.2473977775999998</v>
      </c>
      <c r="AI341" s="10">
        <f>-1.1451*0.508^2+77.605*0.508-34.739</f>
        <v>4.3888309136000032</v>
      </c>
      <c r="AK341" s="10">
        <f>-0.0423*0.508^2+66.444*0.508-22.986</f>
        <v>10.756635892799995</v>
      </c>
      <c r="AL341" s="10" t="str">
        <f t="shared" si="40"/>
        <v>y=-8.4348*0.508^2+102.96*0.508-48.013</v>
      </c>
      <c r="AM341" s="10" t="str">
        <f t="shared" si="40"/>
        <v>y=-2.6941*0.508^2+86.956*0.508-40.231</v>
      </c>
      <c r="AN341" s="10" t="str">
        <f t="shared" si="40"/>
        <v>y=-1.1451*0.508^2+77.605*0.508-34.739</v>
      </c>
      <c r="AO341" s="10" t="str">
        <f t="shared" si="41"/>
        <v>FALSE</v>
      </c>
      <c r="AP341" s="10" t="str">
        <f t="shared" si="41"/>
        <v>y=-0.0423*0.508^2+66.444*0.508-22.986</v>
      </c>
      <c r="AQ341" s="10" t="str">
        <f>IF(AND(I341="TP",S341&lt;=150),VLOOKUP(AF341,TPCalibEq150!$AZ$2:$BB$55,3,),IF(AND(I341="TDP",S341&lt;=150),VLOOKUP(AF341,TPCalibEq150!$AZ$2:$BB$55,3,)))</f>
        <v>y=-8.4348x2+102.96x-48.013</v>
      </c>
      <c r="AR341" s="10" t="str">
        <f>IF(AND(I341="TP",S341&lt;=300),VLOOKUP(AF341,TPCalibEq300!$AZ$2:$BB$55,3,),IF(AND(I341="TDP",S341&lt;=300),VLOOKUP(AF341,TPCalibEq300!$AZ$2:$BB$55,3,)))</f>
        <v>y=-2.6941x2+86.956x-40.231</v>
      </c>
      <c r="AS341" s="10" t="str">
        <f>IF(AND(I341="TP",S341&lt;=500),VLOOKUP(AF341,TPCalibEq500!$AZ$2:$BB$56,3,),IF(AND(I341="TDP",S341&lt;=500),VLOOKUP(AF341,TPCalibEq500!$AZ$2:$BB$56,3,)))</f>
        <v>y=-1.1451x2+77.605x-34.739</v>
      </c>
      <c r="AT341" s="10" t="b">
        <f>IF(AND(I341="TN",S341&lt;=2800),VLOOKUP(AF341,TNCalibEq2500!$AZ$2:$BB$56,3,),IF(AND(I341="TDN",S341&lt;=2800),VLOOKUP(AF341,TNCalibEq2500!$AZ$2:$BB$56,3,)))</f>
        <v>0</v>
      </c>
      <c r="AU341" s="10" t="str">
        <f>IF(I341="TP",VLOOKUP(AF341,TPCalibEqFull!$AZ$2:$BB$56,3),IF(I341="TDP",VLOOKUP(AF341,TPCalibEqFull!$AZ$2:$BB$56,3),IF(I341="TDN",VLOOKUP(AF341,TNCalibEqFull!$AZ$1:$BB$56,3),IF(I341="TN",VLOOKUP(AF341,TNCalibEqFull!$AZ$1:$BB$56,3),FALSE))))</f>
        <v>y=-0.0423x2+66.444x-22.986</v>
      </c>
      <c r="AV341" s="10" t="str">
        <f t="shared" si="39"/>
        <v>0104 09:00:00-QAC-STD-Q.H-1-DI-CAL</v>
      </c>
    </row>
    <row r="342" spans="1:48" s="10" customFormat="1" x14ac:dyDescent="0.55000000000000004">
      <c r="A342" s="32">
        <v>44930</v>
      </c>
      <c r="B342" s="33">
        <v>0.375</v>
      </c>
      <c r="C342" s="10" t="s">
        <v>70</v>
      </c>
      <c r="D342" s="10" t="s">
        <v>71</v>
      </c>
      <c r="E342" s="10" t="s">
        <v>926</v>
      </c>
      <c r="F342" s="10">
        <v>1</v>
      </c>
      <c r="G342" s="10" t="s">
        <v>73</v>
      </c>
      <c r="H342" s="10" t="s">
        <v>74</v>
      </c>
      <c r="I342" s="10" t="s">
        <v>83</v>
      </c>
      <c r="J342" s="10">
        <v>190</v>
      </c>
      <c r="K342" s="12">
        <v>44930</v>
      </c>
      <c r="L342" s="33">
        <v>0.54309027777777774</v>
      </c>
      <c r="M342" s="10">
        <v>1</v>
      </c>
      <c r="N342" s="10" t="s">
        <v>84</v>
      </c>
      <c r="O342" s="10">
        <v>0.52900000000000003</v>
      </c>
      <c r="P342" s="10">
        <v>3.5799999999999998E-2</v>
      </c>
      <c r="Q342" s="10">
        <v>5</v>
      </c>
      <c r="R342" s="10" t="s">
        <v>85</v>
      </c>
      <c r="S342" s="34">
        <f t="shared" si="35"/>
        <v>5</v>
      </c>
      <c r="T342" s="10" t="s">
        <v>978</v>
      </c>
      <c r="U342" s="34" t="str">
        <f t="shared" si="36"/>
        <v/>
      </c>
      <c r="V342" s="31" t="str">
        <f>IF(H342="CHK",VLOOKUP(I342,QCCHK,3,),IF(H342="GUP",VLOOKUP(E342,QCGUP,2,),IF(AND(H342="ATP",OR(I342="TN",I342="TDN",I342="TNO2-3",I342="NO2-3")),VLOOKUP(E342,QCREC_N,2,),IF(AND(H342="NIC",OR(I342="TN",I342="TDN",I342="TNO2-3",I342="NO2-3")),VLOOKUP(E342,QCNIC_N,2,),IF(AND(H342="UREA",OR(I342="TN",I342="TDN",I342="TNO2-3",I342="NO2-3")),VLOOKUP(E342,QCUREA_N,2,),IF(H342="PER",VLOOKUP(I342,QCPER,MATCH(E342,QCACTUAL!$J$25:$AA$25,0),),IF(H342="SPK",VLOOKUP(I342,QCSPK,3,),IF(AND(H342="ATP",OR(I342="TP",I342="TDP")),VLOOKUP(E342,QCATP_P,2,),""))))))))</f>
        <v/>
      </c>
      <c r="W342" s="31" t="str">
        <f t="shared" si="37"/>
        <v>TRUE</v>
      </c>
      <c r="X342" s="31" t="str">
        <f t="shared" si="38"/>
        <v/>
      </c>
      <c r="Y342" s="10" t="s">
        <v>970</v>
      </c>
      <c r="AF342" s="12">
        <v>44930</v>
      </c>
      <c r="AG342" s="10">
        <f>-8.4348*0.529^2+102.96*0.529-48.013</f>
        <v>4.0924371332000007</v>
      </c>
      <c r="AH342" s="10">
        <f>-2.6941*0.529^2+86.956*0.529-40.231</f>
        <v>5.0148043618999978</v>
      </c>
      <c r="AI342" s="10">
        <f>-1.1451*0.529^2+77.605*0.529-34.739</f>
        <v>5.9935990709000038</v>
      </c>
      <c r="AK342" s="10">
        <f>-0.0423*0.529^2+66.444*0.529-22.986</f>
        <v>12.151038725700001</v>
      </c>
      <c r="AL342" s="10" t="str">
        <f t="shared" si="40"/>
        <v>y=-8.4348*0.529^2+102.96*0.529-48.013</v>
      </c>
      <c r="AM342" s="10" t="str">
        <f t="shared" si="40"/>
        <v>y=-2.6941*0.529^2+86.956*0.529-40.231</v>
      </c>
      <c r="AN342" s="10" t="str">
        <f t="shared" si="40"/>
        <v>y=-1.1451*0.529^2+77.605*0.529-34.739</v>
      </c>
      <c r="AO342" s="10" t="str">
        <f t="shared" si="41"/>
        <v>FALSE</v>
      </c>
      <c r="AP342" s="10" t="str">
        <f t="shared" si="41"/>
        <v>y=-0.0423*0.529^2+66.444*0.529-22.986</v>
      </c>
      <c r="AQ342" s="10" t="str">
        <f>IF(AND(I342="TP",S342&lt;=150),VLOOKUP(AF342,TPCalibEq150!$AZ$2:$BB$55,3,),IF(AND(I342="TDP",S342&lt;=150),VLOOKUP(AF342,TPCalibEq150!$AZ$2:$BB$55,3,)))</f>
        <v>y=-8.4348x2+102.96x-48.013</v>
      </c>
      <c r="AR342" s="10" t="str">
        <f>IF(AND(I342="TP",S342&lt;=300),VLOOKUP(AF342,TPCalibEq300!$AZ$2:$BB$55,3,),IF(AND(I342="TDP",S342&lt;=300),VLOOKUP(AF342,TPCalibEq300!$AZ$2:$BB$55,3,)))</f>
        <v>y=-2.6941x2+86.956x-40.231</v>
      </c>
      <c r="AS342" s="10" t="str">
        <f>IF(AND(I342="TP",S342&lt;=500),VLOOKUP(AF342,TPCalibEq500!$AZ$2:$BB$56,3,),IF(AND(I342="TDP",S342&lt;=500),VLOOKUP(AF342,TPCalibEq500!$AZ$2:$BB$56,3,)))</f>
        <v>y=-1.1451x2+77.605x-34.739</v>
      </c>
      <c r="AT342" s="10" t="b">
        <f>IF(AND(I342="TN",S342&lt;=2800),VLOOKUP(AF342,TNCalibEq2500!$AZ$2:$BB$56,3,),IF(AND(I342="TDN",S342&lt;=2800),VLOOKUP(AF342,TNCalibEq2500!$AZ$2:$BB$56,3,)))</f>
        <v>0</v>
      </c>
      <c r="AU342" s="10" t="str">
        <f>IF(I342="TP",VLOOKUP(AF342,TPCalibEqFull!$AZ$2:$BB$56,3),IF(I342="TDP",VLOOKUP(AF342,TPCalibEqFull!$AZ$2:$BB$56,3),IF(I342="TDN",VLOOKUP(AF342,TNCalibEqFull!$AZ$1:$BB$56,3),IF(I342="TN",VLOOKUP(AF342,TNCalibEqFull!$AZ$1:$BB$56,3),FALSE))))</f>
        <v>y=-0.0423x2+66.444x-22.986</v>
      </c>
      <c r="AV342" s="10" t="str">
        <f t="shared" si="39"/>
        <v>0104 09:00:00-QAC-STD-Q.G-1-DI-CAL</v>
      </c>
    </row>
    <row r="343" spans="1:48" s="10" customFormat="1" x14ac:dyDescent="0.55000000000000004">
      <c r="A343" s="32">
        <v>44930</v>
      </c>
      <c r="B343" s="33">
        <v>0.375</v>
      </c>
      <c r="C343" s="10" t="s">
        <v>70</v>
      </c>
      <c r="D343" s="10" t="s">
        <v>71</v>
      </c>
      <c r="E343" s="10" t="s">
        <v>927</v>
      </c>
      <c r="F343" s="10">
        <v>1</v>
      </c>
      <c r="G343" s="10" t="s">
        <v>73</v>
      </c>
      <c r="H343" s="10" t="s">
        <v>74</v>
      </c>
      <c r="I343" s="10" t="s">
        <v>83</v>
      </c>
      <c r="J343" s="10">
        <v>191</v>
      </c>
      <c r="K343" s="12">
        <v>44930</v>
      </c>
      <c r="L343" s="33">
        <v>0.54379629629629633</v>
      </c>
      <c r="M343" s="10">
        <v>1</v>
      </c>
      <c r="N343" s="10" t="s">
        <v>84</v>
      </c>
      <c r="O343" s="10">
        <v>0.64400000000000002</v>
      </c>
      <c r="P343" s="10">
        <v>4.41E-2</v>
      </c>
      <c r="Q343" s="10">
        <v>15</v>
      </c>
      <c r="R343" s="10" t="s">
        <v>85</v>
      </c>
      <c r="S343" s="34">
        <f t="shared" si="35"/>
        <v>15</v>
      </c>
      <c r="T343" s="10" t="s">
        <v>978</v>
      </c>
      <c r="U343" s="34" t="str">
        <f t="shared" si="36"/>
        <v/>
      </c>
      <c r="V343" s="31" t="str">
        <f>IF(H343="CHK",VLOOKUP(I343,QCCHK,3,),IF(H343="GUP",VLOOKUP(E343,QCGUP,2,),IF(AND(H343="ATP",OR(I343="TN",I343="TDN",I343="TNO2-3",I343="NO2-3")),VLOOKUP(E343,QCREC_N,2,),IF(AND(H343="NIC",OR(I343="TN",I343="TDN",I343="TNO2-3",I343="NO2-3")),VLOOKUP(E343,QCNIC_N,2,),IF(AND(H343="UREA",OR(I343="TN",I343="TDN",I343="TNO2-3",I343="NO2-3")),VLOOKUP(E343,QCUREA_N,2,),IF(H343="PER",VLOOKUP(I343,QCPER,MATCH(E343,QCACTUAL!$J$25:$AA$25,0),),IF(H343="SPK",VLOOKUP(I343,QCSPK,3,),IF(AND(H343="ATP",OR(I343="TP",I343="TDP")),VLOOKUP(E343,QCATP_P,2,),""))))))))</f>
        <v/>
      </c>
      <c r="W343" s="31" t="str">
        <f t="shared" si="37"/>
        <v>TRUE</v>
      </c>
      <c r="X343" s="31" t="str">
        <f t="shared" si="38"/>
        <v/>
      </c>
      <c r="Y343" s="10" t="s">
        <v>970</v>
      </c>
      <c r="AF343" s="12">
        <v>44930</v>
      </c>
      <c r="AG343" s="10">
        <f>-8.4348*0.644^2+102.96*0.644-48.013</f>
        <v>14.795024787200006</v>
      </c>
      <c r="AH343" s="10">
        <f>-2.6941*0.644^2+86.956*0.644-40.231</f>
        <v>14.651323742400002</v>
      </c>
      <c r="AI343" s="10">
        <f>-1.1451*0.644^2+77.605*0.644-34.739</f>
        <v>14.763705806400004</v>
      </c>
      <c r="AK343" s="10">
        <f>-0.0423*0.644^2+66.444*0.644-22.986</f>
        <v>19.786392667200001</v>
      </c>
      <c r="AL343" s="10" t="str">
        <f t="shared" si="40"/>
        <v>y=-8.4348*0.644^2+102.96*0.644-48.013</v>
      </c>
      <c r="AM343" s="10" t="str">
        <f t="shared" si="40"/>
        <v>y=-2.6941*0.644^2+86.956*0.644-40.231</v>
      </c>
      <c r="AN343" s="10" t="str">
        <f t="shared" si="40"/>
        <v>y=-1.1451*0.644^2+77.605*0.644-34.739</v>
      </c>
      <c r="AO343" s="10" t="str">
        <f t="shared" si="41"/>
        <v>FALSE</v>
      </c>
      <c r="AP343" s="10" t="str">
        <f t="shared" si="41"/>
        <v>y=-0.0423*0.644^2+66.444*0.644-22.986</v>
      </c>
      <c r="AQ343" s="10" t="str">
        <f>IF(AND(I343="TP",S343&lt;=150),VLOOKUP(AF343,TPCalibEq150!$AZ$2:$BB$55,3,),IF(AND(I343="TDP",S343&lt;=150),VLOOKUP(AF343,TPCalibEq150!$AZ$2:$BB$55,3,)))</f>
        <v>y=-8.4348x2+102.96x-48.013</v>
      </c>
      <c r="AR343" s="10" t="str">
        <f>IF(AND(I343="TP",S343&lt;=300),VLOOKUP(AF343,TPCalibEq300!$AZ$2:$BB$55,3,),IF(AND(I343="TDP",S343&lt;=300),VLOOKUP(AF343,TPCalibEq300!$AZ$2:$BB$55,3,)))</f>
        <v>y=-2.6941x2+86.956x-40.231</v>
      </c>
      <c r="AS343" s="10" t="str">
        <f>IF(AND(I343="TP",S343&lt;=500),VLOOKUP(AF343,TPCalibEq500!$AZ$2:$BB$56,3,),IF(AND(I343="TDP",S343&lt;=500),VLOOKUP(AF343,TPCalibEq500!$AZ$2:$BB$56,3,)))</f>
        <v>y=-1.1451x2+77.605x-34.739</v>
      </c>
      <c r="AT343" s="10" t="b">
        <f>IF(AND(I343="TN",S343&lt;=2800),VLOOKUP(AF343,TNCalibEq2500!$AZ$2:$BB$56,3,),IF(AND(I343="TDN",S343&lt;=2800),VLOOKUP(AF343,TNCalibEq2500!$AZ$2:$BB$56,3,)))</f>
        <v>0</v>
      </c>
      <c r="AU343" s="10" t="str">
        <f>IF(I343="TP",VLOOKUP(AF343,TPCalibEqFull!$AZ$2:$BB$56,3),IF(I343="TDP",VLOOKUP(AF343,TPCalibEqFull!$AZ$2:$BB$56,3),IF(I343="TDN",VLOOKUP(AF343,TNCalibEqFull!$AZ$1:$BB$56,3),IF(I343="TN",VLOOKUP(AF343,TNCalibEqFull!$AZ$1:$BB$56,3),FALSE))))</f>
        <v>y=-0.0423x2+66.444x-22.986</v>
      </c>
      <c r="AV343" s="10" t="str">
        <f t="shared" si="39"/>
        <v>0104 09:00:00-QAC-STD-Q.F-1-DI-CAL</v>
      </c>
    </row>
    <row r="344" spans="1:48" s="10" customFormat="1" x14ac:dyDescent="0.55000000000000004">
      <c r="A344" s="32">
        <v>44930</v>
      </c>
      <c r="B344" s="33">
        <v>0.375</v>
      </c>
      <c r="C344" s="10" t="s">
        <v>70</v>
      </c>
      <c r="D344" s="10" t="s">
        <v>71</v>
      </c>
      <c r="E344" s="10" t="s">
        <v>928</v>
      </c>
      <c r="F344" s="10">
        <v>1</v>
      </c>
      <c r="G344" s="10" t="s">
        <v>73</v>
      </c>
      <c r="H344" s="10" t="s">
        <v>74</v>
      </c>
      <c r="I344" s="10" t="s">
        <v>83</v>
      </c>
      <c r="J344" s="10">
        <v>192</v>
      </c>
      <c r="K344" s="12">
        <v>44930</v>
      </c>
      <c r="L344" s="33">
        <v>0.54451388888888885</v>
      </c>
      <c r="M344" s="10">
        <v>1</v>
      </c>
      <c r="N344" s="10" t="s">
        <v>84</v>
      </c>
      <c r="O344" s="10">
        <v>0.68400000000000005</v>
      </c>
      <c r="P344" s="10">
        <v>4.6399999999999997E-2</v>
      </c>
      <c r="Q344" s="10">
        <v>20</v>
      </c>
      <c r="R344" s="10" t="s">
        <v>85</v>
      </c>
      <c r="S344" s="34">
        <f t="shared" si="35"/>
        <v>20</v>
      </c>
      <c r="T344" s="10" t="s">
        <v>979</v>
      </c>
      <c r="U344" s="34" t="str">
        <f t="shared" si="36"/>
        <v/>
      </c>
      <c r="V344" s="31" t="str">
        <f>IF(H344="CHK",VLOOKUP(I344,QCCHK,3,),IF(H344="GUP",VLOOKUP(E344,QCGUP,2,),IF(AND(H344="ATP",OR(I344="TN",I344="TDN",I344="TNO2-3",I344="NO2-3")),VLOOKUP(E344,QCREC_N,2,),IF(AND(H344="NIC",OR(I344="TN",I344="TDN",I344="TNO2-3",I344="NO2-3")),VLOOKUP(E344,QCNIC_N,2,),IF(AND(H344="UREA",OR(I344="TN",I344="TDN",I344="TNO2-3",I344="NO2-3")),VLOOKUP(E344,QCUREA_N,2,),IF(H344="PER",VLOOKUP(I344,QCPER,MATCH(E344,QCACTUAL!$J$25:$AA$25,0),),IF(H344="SPK",VLOOKUP(I344,QCSPK,3,),IF(AND(H344="ATP",OR(I344="TP",I344="TDP")),VLOOKUP(E344,QCATP_P,2,),""))))))))</f>
        <v/>
      </c>
      <c r="W344" s="31" t="str">
        <f t="shared" si="37"/>
        <v>TRUE</v>
      </c>
      <c r="X344" s="31" t="str">
        <f t="shared" si="38"/>
        <v/>
      </c>
      <c r="Y344" s="10" t="s">
        <v>970</v>
      </c>
      <c r="AF344" s="12">
        <v>44930</v>
      </c>
      <c r="AG344" s="10">
        <f>-8.4348*0.684^2+102.96*0.684-48.013</f>
        <v>18.465368211199994</v>
      </c>
      <c r="AH344" s="10">
        <f>-2.6941*0.684^2+86.956*0.684-40.231</f>
        <v>17.98645315040001</v>
      </c>
      <c r="AI344" s="10">
        <f>-1.1451*0.684^2+77.605*0.684-34.739</f>
        <v>17.807078094400012</v>
      </c>
      <c r="AK344" s="10">
        <f>-0.0423*0.684^2+66.444*0.684-22.986</f>
        <v>22.441905691200009</v>
      </c>
      <c r="AL344" s="10" t="str">
        <f t="shared" si="40"/>
        <v>y=-8.4348*0.684^2+102.96*0.684-48.013</v>
      </c>
      <c r="AM344" s="10" t="str">
        <f t="shared" si="40"/>
        <v>y=-2.6941*0.684^2+86.956*0.684-40.231</v>
      </c>
      <c r="AN344" s="10" t="str">
        <f t="shared" si="40"/>
        <v>y=-1.1451*0.684^2+77.605*0.684-34.739</v>
      </c>
      <c r="AO344" s="10" t="str">
        <f t="shared" si="41"/>
        <v>FALSE</v>
      </c>
      <c r="AP344" s="10" t="str">
        <f t="shared" si="41"/>
        <v>y=-0.0423*0.684^2+66.444*0.684-22.986</v>
      </c>
      <c r="AQ344" s="10" t="str">
        <f>IF(AND(I344="TP",S344&lt;=150),VLOOKUP(AF344,TPCalibEq150!$AZ$2:$BB$55,3,),IF(AND(I344="TDP",S344&lt;=150),VLOOKUP(AF344,TPCalibEq150!$AZ$2:$BB$55,3,)))</f>
        <v>y=-8.4348x2+102.96x-48.013</v>
      </c>
      <c r="AR344" s="10" t="str">
        <f>IF(AND(I344="TP",S344&lt;=300),VLOOKUP(AF344,TPCalibEq300!$AZ$2:$BB$55,3,),IF(AND(I344="TDP",S344&lt;=300),VLOOKUP(AF344,TPCalibEq300!$AZ$2:$BB$55,3,)))</f>
        <v>y=-2.6941x2+86.956x-40.231</v>
      </c>
      <c r="AS344" s="10" t="str">
        <f>IF(AND(I344="TP",S344&lt;=500),VLOOKUP(AF344,TPCalibEq500!$AZ$2:$BB$56,3,),IF(AND(I344="TDP",S344&lt;=500),VLOOKUP(AF344,TPCalibEq500!$AZ$2:$BB$56,3,)))</f>
        <v>y=-1.1451x2+77.605x-34.739</v>
      </c>
      <c r="AT344" s="10" t="b">
        <f>IF(AND(I344="TN",S344&lt;=2800),VLOOKUP(AF344,TNCalibEq2500!$AZ$2:$BB$56,3,),IF(AND(I344="TDN",S344&lt;=2800),VLOOKUP(AF344,TNCalibEq2500!$AZ$2:$BB$56,3,)))</f>
        <v>0</v>
      </c>
      <c r="AU344" s="10" t="str">
        <f>IF(I344="TP",VLOOKUP(AF344,TPCalibEqFull!$AZ$2:$BB$56,3),IF(I344="TDP",VLOOKUP(AF344,TPCalibEqFull!$AZ$2:$BB$56,3),IF(I344="TDN",VLOOKUP(AF344,TNCalibEqFull!$AZ$1:$BB$56,3),IF(I344="TN",VLOOKUP(AF344,TNCalibEqFull!$AZ$1:$BB$56,3),FALSE))))</f>
        <v>y=-0.0423x2+66.444x-22.986</v>
      </c>
      <c r="AV344" s="10" t="str">
        <f t="shared" si="39"/>
        <v>0104 09:00:00-QAC-STD-Q.E-1-DI-CAL</v>
      </c>
    </row>
    <row r="345" spans="1:48" s="10" customFormat="1" x14ac:dyDescent="0.55000000000000004">
      <c r="A345" s="32">
        <v>44930</v>
      </c>
      <c r="B345" s="33">
        <v>0.375</v>
      </c>
      <c r="C345" s="10" t="s">
        <v>70</v>
      </c>
      <c r="D345" s="10" t="s">
        <v>71</v>
      </c>
      <c r="E345" s="10" t="s">
        <v>929</v>
      </c>
      <c r="F345" s="10">
        <v>1</v>
      </c>
      <c r="G345" s="10" t="s">
        <v>73</v>
      </c>
      <c r="H345" s="10" t="s">
        <v>74</v>
      </c>
      <c r="I345" s="10" t="s">
        <v>83</v>
      </c>
      <c r="J345" s="10">
        <v>193</v>
      </c>
      <c r="K345" s="12">
        <v>44930</v>
      </c>
      <c r="L345" s="33">
        <v>0.54520833333333341</v>
      </c>
      <c r="M345" s="10">
        <v>1</v>
      </c>
      <c r="N345" s="10" t="s">
        <v>84</v>
      </c>
      <c r="O345" s="10">
        <v>1.35</v>
      </c>
      <c r="P345" s="10">
        <v>9.4100000000000003E-2</v>
      </c>
      <c r="Q345" s="10">
        <v>75</v>
      </c>
      <c r="R345" s="10" t="s">
        <v>85</v>
      </c>
      <c r="S345" s="34">
        <f t="shared" si="35"/>
        <v>75</v>
      </c>
      <c r="T345" s="10" t="s">
        <v>980</v>
      </c>
      <c r="U345" s="34" t="str">
        <f t="shared" si="36"/>
        <v/>
      </c>
      <c r="V345" s="31" t="str">
        <f>IF(H345="CHK",VLOOKUP(I345,QCCHK,3,),IF(H345="GUP",VLOOKUP(E345,QCGUP,2,),IF(AND(H345="ATP",OR(I345="TN",I345="TDN",I345="TNO2-3",I345="NO2-3")),VLOOKUP(E345,QCREC_N,2,),IF(AND(H345="NIC",OR(I345="TN",I345="TDN",I345="TNO2-3",I345="NO2-3")),VLOOKUP(E345,QCNIC_N,2,),IF(AND(H345="UREA",OR(I345="TN",I345="TDN",I345="TNO2-3",I345="NO2-3")),VLOOKUP(E345,QCUREA_N,2,),IF(H345="PER",VLOOKUP(I345,QCPER,MATCH(E345,QCACTUAL!$J$25:$AA$25,0),),IF(H345="SPK",VLOOKUP(I345,QCSPK,3,),IF(AND(H345="ATP",OR(I345="TP",I345="TDP")),VLOOKUP(E345,QCATP_P,2,),""))))))))</f>
        <v/>
      </c>
      <c r="W345" s="31" t="str">
        <f t="shared" si="37"/>
        <v>TRUE</v>
      </c>
      <c r="X345" s="31" t="str">
        <f t="shared" si="38"/>
        <v/>
      </c>
      <c r="Y345" s="10" t="s">
        <v>970</v>
      </c>
      <c r="AF345" s="12">
        <v>44930</v>
      </c>
      <c r="AG345" s="10">
        <f>-8.4348*1.35^2+102.96*1.35-48.013</f>
        <v>75.610577000000006</v>
      </c>
      <c r="AH345" s="10">
        <f>-2.6941*1.35^2+86.956*1.35-40.231</f>
        <v>72.249602750000008</v>
      </c>
      <c r="AI345" s="10">
        <f>-1.1451*1.35^2+77.605*1.35-34.739</f>
        <v>67.940805250000011</v>
      </c>
      <c r="AK345" s="10">
        <f>-0.0423*1.35^2+66.444*1.35-22.986</f>
        <v>66.636308250000013</v>
      </c>
      <c r="AL345" s="10" t="str">
        <f t="shared" si="40"/>
        <v>y=-8.4348*1.35^2+102.96*1.35-48.013</v>
      </c>
      <c r="AM345" s="10" t="str">
        <f t="shared" si="40"/>
        <v>y=-2.6941*1.35^2+86.956*1.35-40.231</v>
      </c>
      <c r="AN345" s="10" t="str">
        <f t="shared" si="40"/>
        <v>y=-1.1451*1.35^2+77.605*1.35-34.739</v>
      </c>
      <c r="AO345" s="10" t="str">
        <f t="shared" si="41"/>
        <v>FALSE</v>
      </c>
      <c r="AP345" s="10" t="str">
        <f t="shared" si="41"/>
        <v>y=-0.0423*1.35^2+66.444*1.35-22.986</v>
      </c>
      <c r="AQ345" s="10" t="str">
        <f>IF(AND(I345="TP",S345&lt;=150),VLOOKUP(AF345,TPCalibEq150!$AZ$2:$BB$55,3,),IF(AND(I345="TDP",S345&lt;=150),VLOOKUP(AF345,TPCalibEq150!$AZ$2:$BB$55,3,)))</f>
        <v>y=-8.4348x2+102.96x-48.013</v>
      </c>
      <c r="AR345" s="10" t="str">
        <f>IF(AND(I345="TP",S345&lt;=300),VLOOKUP(AF345,TPCalibEq300!$AZ$2:$BB$55,3,),IF(AND(I345="TDP",S345&lt;=300),VLOOKUP(AF345,TPCalibEq300!$AZ$2:$BB$55,3,)))</f>
        <v>y=-2.6941x2+86.956x-40.231</v>
      </c>
      <c r="AS345" s="10" t="str">
        <f>IF(AND(I345="TP",S345&lt;=500),VLOOKUP(AF345,TPCalibEq500!$AZ$2:$BB$56,3,),IF(AND(I345="TDP",S345&lt;=500),VLOOKUP(AF345,TPCalibEq500!$AZ$2:$BB$56,3,)))</f>
        <v>y=-1.1451x2+77.605x-34.739</v>
      </c>
      <c r="AT345" s="10" t="b">
        <f>IF(AND(I345="TN",S345&lt;=2800),VLOOKUP(AF345,TNCalibEq2500!$AZ$2:$BB$56,3,),IF(AND(I345="TDN",S345&lt;=2800),VLOOKUP(AF345,TNCalibEq2500!$AZ$2:$BB$56,3,)))</f>
        <v>0</v>
      </c>
      <c r="AU345" s="10" t="str">
        <f>IF(I345="TP",VLOOKUP(AF345,TPCalibEqFull!$AZ$2:$BB$56,3),IF(I345="TDP",VLOOKUP(AF345,TPCalibEqFull!$AZ$2:$BB$56,3),IF(I345="TDN",VLOOKUP(AF345,TNCalibEqFull!$AZ$1:$BB$56,3),IF(I345="TN",VLOOKUP(AF345,TNCalibEqFull!$AZ$1:$BB$56,3),FALSE))))</f>
        <v>y=-0.0423x2+66.444x-22.986</v>
      </c>
      <c r="AV345" s="10" t="str">
        <f t="shared" si="39"/>
        <v>0104 09:00:00-QAC-STD-Q.D-1-DI-CAL</v>
      </c>
    </row>
    <row r="346" spans="1:48" s="10" customFormat="1" x14ac:dyDescent="0.55000000000000004">
      <c r="A346" s="32">
        <v>44930</v>
      </c>
      <c r="B346" s="33">
        <v>0.375</v>
      </c>
      <c r="C346" s="10" t="s">
        <v>70</v>
      </c>
      <c r="D346" s="10" t="s">
        <v>71</v>
      </c>
      <c r="E346" s="10" t="s">
        <v>930</v>
      </c>
      <c r="F346" s="10">
        <v>1</v>
      </c>
      <c r="G346" s="10" t="s">
        <v>73</v>
      </c>
      <c r="H346" s="10" t="s">
        <v>74</v>
      </c>
      <c r="I346" s="10" t="s">
        <v>83</v>
      </c>
      <c r="J346" s="10">
        <v>194</v>
      </c>
      <c r="K346" s="12">
        <v>44930</v>
      </c>
      <c r="L346" s="33">
        <v>0.54592592592592593</v>
      </c>
      <c r="M346" s="10">
        <v>1</v>
      </c>
      <c r="N346" s="10" t="s">
        <v>84</v>
      </c>
      <c r="O346" s="10">
        <v>2.39</v>
      </c>
      <c r="P346" s="10">
        <v>0.16900000000000001</v>
      </c>
      <c r="Q346" s="10">
        <v>150</v>
      </c>
      <c r="R346" s="10" t="s">
        <v>85</v>
      </c>
      <c r="S346" s="34">
        <f t="shared" si="35"/>
        <v>150</v>
      </c>
      <c r="T346" s="10" t="s">
        <v>981</v>
      </c>
      <c r="U346" s="34" t="str">
        <f t="shared" si="36"/>
        <v/>
      </c>
      <c r="V346" s="31" t="str">
        <f>IF(H346="CHK",VLOOKUP(I346,QCCHK,3,),IF(H346="GUP",VLOOKUP(E346,QCGUP,2,),IF(AND(H346="ATP",OR(I346="TN",I346="TDN",I346="TNO2-3",I346="NO2-3")),VLOOKUP(E346,QCREC_N,2,),IF(AND(H346="NIC",OR(I346="TN",I346="TDN",I346="TNO2-3",I346="NO2-3")),VLOOKUP(E346,QCNIC_N,2,),IF(AND(H346="UREA",OR(I346="TN",I346="TDN",I346="TNO2-3",I346="NO2-3")),VLOOKUP(E346,QCUREA_N,2,),IF(H346="PER",VLOOKUP(I346,QCPER,MATCH(E346,QCACTUAL!$J$25:$AA$25,0),),IF(H346="SPK",VLOOKUP(I346,QCSPK,3,),IF(AND(H346="ATP",OR(I346="TP",I346="TDP")),VLOOKUP(E346,QCATP_P,2,),""))))))))</f>
        <v/>
      </c>
      <c r="W346" s="31" t="str">
        <f t="shared" si="37"/>
        <v>TRUE</v>
      </c>
      <c r="X346" s="31" t="str">
        <f t="shared" si="38"/>
        <v/>
      </c>
      <c r="Y346" s="10" t="s">
        <v>970</v>
      </c>
      <c r="AF346" s="12">
        <v>44930</v>
      </c>
      <c r="AG346" s="10">
        <f>-8.4348*2.39^2+102.96*2.39-48.013</f>
        <v>149.88097891999999</v>
      </c>
      <c r="AH346" s="10">
        <f>-2.6941*2.39^2+86.956*2.39-40.231</f>
        <v>152.20487139000002</v>
      </c>
      <c r="AI346" s="10">
        <f>-1.1451*2.39^2+77.605*2.39-34.739</f>
        <v>144.19602429</v>
      </c>
      <c r="AK346" s="10">
        <f>-0.0423*2.39^2+66.444*2.39-22.986</f>
        <v>135.57353817000001</v>
      </c>
      <c r="AL346" s="10" t="str">
        <f t="shared" si="40"/>
        <v>y=-8.4348*2.39^2+102.96*2.39-48.013</v>
      </c>
      <c r="AM346" s="10" t="str">
        <f t="shared" si="40"/>
        <v>y=-2.6941*2.39^2+86.956*2.39-40.231</v>
      </c>
      <c r="AN346" s="10" t="str">
        <f t="shared" si="40"/>
        <v>y=-1.1451*2.39^2+77.605*2.39-34.739</v>
      </c>
      <c r="AO346" s="10" t="str">
        <f t="shared" si="41"/>
        <v>FALSE</v>
      </c>
      <c r="AP346" s="10" t="str">
        <f t="shared" si="41"/>
        <v>y=-0.0423*2.39^2+66.444*2.39-22.986</v>
      </c>
      <c r="AQ346" s="10" t="str">
        <f>IF(AND(I346="TP",S346&lt;=150),VLOOKUP(AF346,TPCalibEq150!$AZ$2:$BB$55,3,),IF(AND(I346="TDP",S346&lt;=150),VLOOKUP(AF346,TPCalibEq150!$AZ$2:$BB$55,3,)))</f>
        <v>y=-8.4348x2+102.96x-48.013</v>
      </c>
      <c r="AR346" s="10" t="str">
        <f>IF(AND(I346="TP",S346&lt;=300),VLOOKUP(AF346,TPCalibEq300!$AZ$2:$BB$55,3,),IF(AND(I346="TDP",S346&lt;=300),VLOOKUP(AF346,TPCalibEq300!$AZ$2:$BB$55,3,)))</f>
        <v>y=-2.6941x2+86.956x-40.231</v>
      </c>
      <c r="AS346" s="10" t="str">
        <f>IF(AND(I346="TP",S346&lt;=500),VLOOKUP(AF346,TPCalibEq500!$AZ$2:$BB$56,3,),IF(AND(I346="TDP",S346&lt;=500),VLOOKUP(AF346,TPCalibEq500!$AZ$2:$BB$56,3,)))</f>
        <v>y=-1.1451x2+77.605x-34.739</v>
      </c>
      <c r="AT346" s="10" t="b">
        <f>IF(AND(I346="TN",S346&lt;=2800),VLOOKUP(AF346,TNCalibEq2500!$AZ$2:$BB$56,3,),IF(AND(I346="TDN",S346&lt;=2800),VLOOKUP(AF346,TNCalibEq2500!$AZ$2:$BB$56,3,)))</f>
        <v>0</v>
      </c>
      <c r="AU346" s="10" t="str">
        <f>IF(I346="TP",VLOOKUP(AF346,TPCalibEqFull!$AZ$2:$BB$56,3),IF(I346="TDP",VLOOKUP(AF346,TPCalibEqFull!$AZ$2:$BB$56,3),IF(I346="TDN",VLOOKUP(AF346,TNCalibEqFull!$AZ$1:$BB$56,3),IF(I346="TN",VLOOKUP(AF346,TNCalibEqFull!$AZ$1:$BB$56,3),FALSE))))</f>
        <v>y=-0.0423x2+66.444x-22.986</v>
      </c>
      <c r="AV346" s="10" t="str">
        <f t="shared" si="39"/>
        <v>0104 09:00:00-QAC-STD-Q.C-1-DI-CAL</v>
      </c>
    </row>
    <row r="347" spans="1:48" s="10" customFormat="1" x14ac:dyDescent="0.55000000000000004">
      <c r="A347" s="32">
        <v>44930</v>
      </c>
      <c r="B347" s="33">
        <v>0.375</v>
      </c>
      <c r="C347" s="10" t="s">
        <v>70</v>
      </c>
      <c r="D347" s="10" t="s">
        <v>71</v>
      </c>
      <c r="E347" s="10" t="s">
        <v>931</v>
      </c>
      <c r="F347" s="10">
        <v>1</v>
      </c>
      <c r="G347" s="10" t="s">
        <v>73</v>
      </c>
      <c r="H347" s="10" t="s">
        <v>74</v>
      </c>
      <c r="I347" s="10" t="s">
        <v>83</v>
      </c>
      <c r="J347" s="10">
        <v>195</v>
      </c>
      <c r="K347" s="12">
        <v>44930</v>
      </c>
      <c r="L347" s="33">
        <v>0.54663194444444441</v>
      </c>
      <c r="M347" s="10">
        <v>1</v>
      </c>
      <c r="N347" s="10" t="s">
        <v>84</v>
      </c>
      <c r="O347" s="10">
        <v>4.55</v>
      </c>
      <c r="P347" s="10">
        <v>0.32500000000000001</v>
      </c>
      <c r="Q347" s="10">
        <v>300</v>
      </c>
      <c r="R347" s="10" t="s">
        <v>85</v>
      </c>
      <c r="S347" s="34">
        <f t="shared" si="35"/>
        <v>300</v>
      </c>
      <c r="T347" s="10" t="s">
        <v>982</v>
      </c>
      <c r="U347" s="34" t="str">
        <f t="shared" si="36"/>
        <v/>
      </c>
      <c r="V347" s="31" t="str">
        <f>IF(H347="CHK",VLOOKUP(I347,QCCHK,3,),IF(H347="GUP",VLOOKUP(E347,QCGUP,2,),IF(AND(H347="ATP",OR(I347="TN",I347="TDN",I347="TNO2-3",I347="NO2-3")),VLOOKUP(E347,QCREC_N,2,),IF(AND(H347="NIC",OR(I347="TN",I347="TDN",I347="TNO2-3",I347="NO2-3")),VLOOKUP(E347,QCNIC_N,2,),IF(AND(H347="UREA",OR(I347="TN",I347="TDN",I347="TNO2-3",I347="NO2-3")),VLOOKUP(E347,QCUREA_N,2,),IF(H347="PER",VLOOKUP(I347,QCPER,MATCH(E347,QCACTUAL!$J$25:$AA$25,0),),IF(H347="SPK",VLOOKUP(I347,QCSPK,3,),IF(AND(H347="ATP",OR(I347="TP",I347="TDP")),VLOOKUP(E347,QCATP_P,2,),""))))))))</f>
        <v/>
      </c>
      <c r="W347" s="31" t="str">
        <f t="shared" si="37"/>
        <v>TRUE</v>
      </c>
      <c r="X347" s="31" t="str">
        <f t="shared" si="38"/>
        <v/>
      </c>
      <c r="Y347" s="10" t="s">
        <v>970</v>
      </c>
      <c r="AF347" s="12">
        <v>44930</v>
      </c>
      <c r="AH347" s="10">
        <f>-2.6941*4.55^2+86.956*4.55-40.231</f>
        <v>299.64419475</v>
      </c>
      <c r="AI347" s="10">
        <f>-1.1451*4.55^2+77.605*4.55-34.739</f>
        <v>294.65731725000006</v>
      </c>
      <c r="AK347" s="10">
        <f>-0.0423*4.55^2+66.444*4.55-22.986</f>
        <v>278.45848425000003</v>
      </c>
      <c r="AL347" s="10" t="str">
        <f t="shared" si="40"/>
        <v>FALSE</v>
      </c>
      <c r="AM347" s="10" t="str">
        <f t="shared" si="40"/>
        <v>y=-2.6941*4.55^2+86.956*4.55-40.231</v>
      </c>
      <c r="AN347" s="10" t="str">
        <f t="shared" si="40"/>
        <v>y=-1.1451*4.55^2+77.605*4.55-34.739</v>
      </c>
      <c r="AO347" s="10" t="str">
        <f t="shared" si="41"/>
        <v>FALSE</v>
      </c>
      <c r="AP347" s="10" t="str">
        <f t="shared" si="41"/>
        <v>y=-0.0423*4.55^2+66.444*4.55-22.986</v>
      </c>
      <c r="AQ347" s="10" t="b">
        <f>IF(AND(I347="TP",S347&lt;=150),VLOOKUP(AF347,TPCalibEq150!$AZ$2:$BB$55,3,),IF(AND(I347="TDP",S347&lt;=150),VLOOKUP(AF347,TPCalibEq150!$AZ$2:$BB$55,3,)))</f>
        <v>0</v>
      </c>
      <c r="AR347" s="10" t="str">
        <f>IF(AND(I347="TP",S347&lt;=300),VLOOKUP(AF347,TPCalibEq300!$AZ$2:$BB$55,3,),IF(AND(I347="TDP",S347&lt;=300),VLOOKUP(AF347,TPCalibEq300!$AZ$2:$BB$55,3,)))</f>
        <v>y=-2.6941x2+86.956x-40.231</v>
      </c>
      <c r="AS347" s="10" t="str">
        <f>IF(AND(I347="TP",S347&lt;=500),VLOOKUP(AF347,TPCalibEq500!$AZ$2:$BB$56,3,),IF(AND(I347="TDP",S347&lt;=500),VLOOKUP(AF347,TPCalibEq500!$AZ$2:$BB$56,3,)))</f>
        <v>y=-1.1451x2+77.605x-34.739</v>
      </c>
      <c r="AT347" s="10" t="b">
        <f>IF(AND(I347="TN",S347&lt;=2800),VLOOKUP(AF347,TNCalibEq2500!$AZ$2:$BB$56,3,),IF(AND(I347="TDN",S347&lt;=2800),VLOOKUP(AF347,TNCalibEq2500!$AZ$2:$BB$56,3,)))</f>
        <v>0</v>
      </c>
      <c r="AU347" s="10" t="str">
        <f>IF(I347="TP",VLOOKUP(AF347,TPCalibEqFull!$AZ$2:$BB$56,3),IF(I347="TDP",VLOOKUP(AF347,TPCalibEqFull!$AZ$2:$BB$56,3),IF(I347="TDN",VLOOKUP(AF347,TNCalibEqFull!$AZ$1:$BB$56,3),IF(I347="TN",VLOOKUP(AF347,TNCalibEqFull!$AZ$1:$BB$56,3),FALSE))))</f>
        <v>y=-0.0423x2+66.444x-22.986</v>
      </c>
      <c r="AV347" s="10" t="str">
        <f t="shared" si="39"/>
        <v>0104 09:00:00-QAC-STD-Q.B-1-DI-CAL</v>
      </c>
    </row>
    <row r="348" spans="1:48" s="10" customFormat="1" x14ac:dyDescent="0.55000000000000004">
      <c r="A348" s="32">
        <v>44930</v>
      </c>
      <c r="B348" s="33">
        <v>0.375</v>
      </c>
      <c r="C348" s="10" t="s">
        <v>70</v>
      </c>
      <c r="D348" s="10" t="s">
        <v>71</v>
      </c>
      <c r="E348" s="10" t="s">
        <v>932</v>
      </c>
      <c r="F348" s="10">
        <v>1</v>
      </c>
      <c r="G348" s="10" t="s">
        <v>73</v>
      </c>
      <c r="H348" s="10" t="s">
        <v>74</v>
      </c>
      <c r="I348" s="10" t="s">
        <v>83</v>
      </c>
      <c r="J348" s="10">
        <v>196</v>
      </c>
      <c r="K348" s="12">
        <v>44930</v>
      </c>
      <c r="L348" s="33">
        <v>0.54732638888888896</v>
      </c>
      <c r="M348" s="10">
        <v>1</v>
      </c>
      <c r="N348" s="10" t="s">
        <v>84</v>
      </c>
      <c r="O348" s="10">
        <v>7.5</v>
      </c>
      <c r="P348" s="10">
        <v>0.54200000000000004</v>
      </c>
      <c r="Q348" s="10">
        <v>500</v>
      </c>
      <c r="R348" s="10" t="s">
        <v>85</v>
      </c>
      <c r="S348" s="34">
        <f t="shared" si="35"/>
        <v>500</v>
      </c>
      <c r="T348" s="10" t="s">
        <v>983</v>
      </c>
      <c r="U348" s="34" t="str">
        <f t="shared" si="36"/>
        <v/>
      </c>
      <c r="V348" s="31" t="str">
        <f>IF(H348="CHK",VLOOKUP(I348,QCCHK,3,),IF(H348="GUP",VLOOKUP(E348,QCGUP,2,),IF(AND(H348="ATP",OR(I348="TN",I348="TDN",I348="TNO2-3",I348="NO2-3")),VLOOKUP(E348,QCREC_N,2,),IF(AND(H348="NIC",OR(I348="TN",I348="TDN",I348="TNO2-3",I348="NO2-3")),VLOOKUP(E348,QCNIC_N,2,),IF(AND(H348="UREA",OR(I348="TN",I348="TDN",I348="TNO2-3",I348="NO2-3")),VLOOKUP(E348,QCUREA_N,2,),IF(H348="PER",VLOOKUP(I348,QCPER,MATCH(E348,QCACTUAL!$J$25:$AA$25,0),),IF(H348="SPK",VLOOKUP(I348,QCSPK,3,),IF(AND(H348="ATP",OR(I348="TP",I348="TDP")),VLOOKUP(E348,QCATP_P,2,),""))))))))</f>
        <v/>
      </c>
      <c r="W348" s="31" t="str">
        <f t="shared" si="37"/>
        <v>TRUE</v>
      </c>
      <c r="X348" s="31" t="str">
        <f t="shared" si="38"/>
        <v/>
      </c>
      <c r="Y348" s="10" t="s">
        <v>970</v>
      </c>
      <c r="AF348" s="12">
        <v>44930</v>
      </c>
      <c r="AI348" s="10">
        <f>-1.1451*7.5^2+77.605*7.5-34.739</f>
        <v>482.88662500000004</v>
      </c>
      <c r="AK348" s="10">
        <f>-0.0423*7.5^2+66.444*7.5-22.986</f>
        <v>472.96462500000007</v>
      </c>
      <c r="AL348" s="10" t="str">
        <f t="shared" si="40"/>
        <v>FALSE</v>
      </c>
      <c r="AM348" s="10" t="str">
        <f t="shared" si="40"/>
        <v>FALSE</v>
      </c>
      <c r="AN348" s="10" t="str">
        <f t="shared" si="40"/>
        <v>y=-1.1451*7.5^2+77.605*7.5-34.739</v>
      </c>
      <c r="AO348" s="10" t="str">
        <f t="shared" si="41"/>
        <v>FALSE</v>
      </c>
      <c r="AP348" s="10" t="str">
        <f t="shared" si="41"/>
        <v>y=-0.0423*7.5^2+66.444*7.5-22.986</v>
      </c>
      <c r="AQ348" s="10" t="b">
        <f>IF(AND(I348="TP",S348&lt;=150),VLOOKUP(AF348,TPCalibEq150!$AZ$2:$BB$55,3,),IF(AND(I348="TDP",S348&lt;=150),VLOOKUP(AF348,TPCalibEq150!$AZ$2:$BB$55,3,)))</f>
        <v>0</v>
      </c>
      <c r="AR348" s="10" t="b">
        <f>IF(AND(I348="TP",S348&lt;=300),VLOOKUP(AF348,TPCalibEq300!$AZ$2:$BB$55,3,),IF(AND(I348="TDP",S348&lt;=300),VLOOKUP(AF348,TPCalibEq300!$AZ$2:$BB$55,3,)))</f>
        <v>0</v>
      </c>
      <c r="AS348" s="10" t="str">
        <f>IF(AND(I348="TP",S348&lt;=500),VLOOKUP(AF348,TPCalibEq500!$AZ$2:$BB$56,3,),IF(AND(I348="TDP",S348&lt;=500),VLOOKUP(AF348,TPCalibEq500!$AZ$2:$BB$56,3,)))</f>
        <v>y=-1.1451x2+77.605x-34.739</v>
      </c>
      <c r="AT348" s="10" t="b">
        <f>IF(AND(I348="TN",S348&lt;=2800),VLOOKUP(AF348,TNCalibEq2500!$AZ$2:$BB$56,3,),IF(AND(I348="TDN",S348&lt;=2800),VLOOKUP(AF348,TNCalibEq2500!$AZ$2:$BB$56,3,)))</f>
        <v>0</v>
      </c>
      <c r="AU348" s="10" t="str">
        <f>IF(I348="TP",VLOOKUP(AF348,TPCalibEqFull!$AZ$2:$BB$56,3),IF(I348="TDP",VLOOKUP(AF348,TPCalibEqFull!$AZ$2:$BB$56,3),IF(I348="TDN",VLOOKUP(AF348,TNCalibEqFull!$AZ$1:$BB$56,3),IF(I348="TN",VLOOKUP(AF348,TNCalibEqFull!$AZ$1:$BB$56,3),FALSE))))</f>
        <v>y=-0.0423x2+66.444x-22.986</v>
      </c>
      <c r="AV348" s="10" t="str">
        <f t="shared" si="39"/>
        <v>0104 09:00:00-QAC-STD-Q.A-1-DI-CAL</v>
      </c>
    </row>
    <row r="349" spans="1:48" s="10" customFormat="1" x14ac:dyDescent="0.55000000000000004">
      <c r="A349" s="32">
        <v>44930</v>
      </c>
      <c r="B349" s="33">
        <v>0.375</v>
      </c>
      <c r="C349" s="10" t="s">
        <v>70</v>
      </c>
      <c r="D349" s="10" t="s">
        <v>241</v>
      </c>
      <c r="E349" s="10" t="s">
        <v>866</v>
      </c>
      <c r="F349" s="10">
        <v>1</v>
      </c>
      <c r="G349" s="10" t="s">
        <v>73</v>
      </c>
      <c r="H349" s="10" t="s">
        <v>283</v>
      </c>
      <c r="I349" s="10" t="s">
        <v>83</v>
      </c>
      <c r="J349" s="10">
        <v>198</v>
      </c>
      <c r="K349" s="12">
        <v>44930</v>
      </c>
      <c r="L349" s="33">
        <v>0.54871527777777784</v>
      </c>
      <c r="M349" s="10">
        <v>1</v>
      </c>
      <c r="N349" s="10" t="s">
        <v>84</v>
      </c>
      <c r="O349" s="10">
        <v>0.46700000000000003</v>
      </c>
      <c r="P349" s="10">
        <v>3.1199999999999999E-2</v>
      </c>
      <c r="Q349" s="10">
        <v>8.98</v>
      </c>
      <c r="R349" s="10" t="s">
        <v>85</v>
      </c>
      <c r="S349" s="34">
        <f t="shared" si="35"/>
        <v>8.98</v>
      </c>
      <c r="T349" s="10" t="s">
        <v>983</v>
      </c>
      <c r="U349" s="34">
        <f t="shared" si="36"/>
        <v>8.98</v>
      </c>
      <c r="V349" s="31" t="str">
        <f>IF(H349="CHK",VLOOKUP(I349,QCCHK,3,),IF(H349="GUP",VLOOKUP(E349,QCGUP,2,),IF(AND(H349="ATP",OR(I349="TN",I349="TDN",I349="TNO2-3",I349="NO2-3")),VLOOKUP(E349,QCREC_N,2,),IF(AND(H349="NIC",OR(I349="TN",I349="TDN",I349="TNO2-3",I349="NO2-3")),VLOOKUP(E349,QCNIC_N,2,),IF(AND(H349="UREA",OR(I349="TN",I349="TDN",I349="TNO2-3",I349="NO2-3")),VLOOKUP(E349,QCUREA_N,2,),IF(H349="PER",VLOOKUP(I349,QCPER,MATCH(E349,QCACTUAL!$J$25:$AA$25,0),),IF(H349="SPK",VLOOKUP(I349,QCSPK,3,),IF(AND(H349="ATP",OR(I349="TP",I349="TDP")),VLOOKUP(E349,QCATP_P,2,),""))))))))</f>
        <v/>
      </c>
      <c r="W349" s="31" t="str">
        <f t="shared" si="37"/>
        <v>TRUE</v>
      </c>
      <c r="X349" s="31" t="str">
        <f t="shared" si="38"/>
        <v>nominal concentration</v>
      </c>
      <c r="Y349" s="10" t="s">
        <v>970</v>
      </c>
      <c r="AF349" s="12">
        <v>44930</v>
      </c>
      <c r="AG349" s="10">
        <f>-8.4348*0.467^2+102.96*0.467-48.013</f>
        <v>-1.7702170971999962</v>
      </c>
      <c r="AH349" s="10">
        <f>-2.6941*0.467^2+86.956*0.467-40.231</f>
        <v>-0.21010157489999415</v>
      </c>
      <c r="AI349" s="10">
        <f>-1.1451*0.467^2+77.605*0.467-34.739</f>
        <v>1.2528012861000093</v>
      </c>
      <c r="AK349" s="10">
        <f>-0.0423*0.467^2+66.444*0.467-22.986</f>
        <v>8.0341228353000034</v>
      </c>
      <c r="AL349" s="10" t="str">
        <f t="shared" si="40"/>
        <v>y=-8.4348*0.467^2+102.96*0.467-48.013</v>
      </c>
      <c r="AM349" s="10" t="str">
        <f t="shared" si="40"/>
        <v>y=-2.6941*0.467^2+86.956*0.467-40.231</v>
      </c>
      <c r="AN349" s="10" t="str">
        <f t="shared" si="40"/>
        <v>y=-1.1451*0.467^2+77.605*0.467-34.739</v>
      </c>
      <c r="AO349" s="10" t="str">
        <f t="shared" si="41"/>
        <v>FALSE</v>
      </c>
      <c r="AP349" s="10" t="str">
        <f t="shared" si="41"/>
        <v>y=-0.0423*0.467^2+66.444*0.467-22.986</v>
      </c>
      <c r="AQ349" s="10" t="str">
        <f>IF(AND(I349="TP",S349&lt;=150),VLOOKUP(AF349,TPCalibEq150!$AZ$2:$BB$55,3,),IF(AND(I349="TDP",S349&lt;=150),VLOOKUP(AF349,TPCalibEq150!$AZ$2:$BB$55,3,)))</f>
        <v>y=-8.4348x2+102.96x-48.013</v>
      </c>
      <c r="AR349" s="10" t="str">
        <f>IF(AND(I349="TP",S349&lt;=300),VLOOKUP(AF349,TPCalibEq300!$AZ$2:$BB$55,3,),IF(AND(I349="TDP",S349&lt;=300),VLOOKUP(AF349,TPCalibEq300!$AZ$2:$BB$55,3,)))</f>
        <v>y=-2.6941x2+86.956x-40.231</v>
      </c>
      <c r="AS349" s="10" t="str">
        <f>IF(AND(I349="TP",S349&lt;=500),VLOOKUP(AF349,TPCalibEq500!$AZ$2:$BB$56,3,),IF(AND(I349="TDP",S349&lt;=500),VLOOKUP(AF349,TPCalibEq500!$AZ$2:$BB$56,3,)))</f>
        <v>y=-1.1451x2+77.605x-34.739</v>
      </c>
      <c r="AT349" s="10" t="b">
        <f>IF(AND(I349="TN",S349&lt;=2800),VLOOKUP(AF349,TNCalibEq2500!$AZ$2:$BB$56,3,),IF(AND(I349="TDN",S349&lt;=2800),VLOOKUP(AF349,TNCalibEq2500!$AZ$2:$BB$56,3,)))</f>
        <v>0</v>
      </c>
      <c r="AU349" s="10" t="str">
        <f>IF(I349="TP",VLOOKUP(AF349,TPCalibEqFull!$AZ$2:$BB$56,3),IF(I349="TDP",VLOOKUP(AF349,TPCalibEqFull!$AZ$2:$BB$56,3),IF(I349="TDN",VLOOKUP(AF349,TNCalibEqFull!$AZ$1:$BB$56,3),IF(I349="TN",VLOOKUP(AF349,TNCalibEqFull!$AZ$1:$BB$56,3),FALSE))))</f>
        <v>y=-0.0423x2+66.444x-22.986</v>
      </c>
      <c r="AV349" s="10" t="str">
        <f t="shared" si="39"/>
        <v>0104 09:00:00-QAC-BLK-A-1-DI-LAB</v>
      </c>
    </row>
    <row r="350" spans="1:48" s="10" customFormat="1" x14ac:dyDescent="0.55000000000000004">
      <c r="A350" s="32">
        <v>44930</v>
      </c>
      <c r="B350" s="33">
        <v>0.375</v>
      </c>
      <c r="C350" s="10" t="s">
        <v>70</v>
      </c>
      <c r="D350" s="10" t="s">
        <v>241</v>
      </c>
      <c r="E350" s="10" t="s">
        <v>866</v>
      </c>
      <c r="F350" s="10">
        <v>1</v>
      </c>
      <c r="G350" s="10" t="s">
        <v>73</v>
      </c>
      <c r="H350" s="10" t="s">
        <v>283</v>
      </c>
      <c r="I350" s="10" t="s">
        <v>83</v>
      </c>
      <c r="J350" s="10">
        <v>220</v>
      </c>
      <c r="K350" s="12">
        <v>44930</v>
      </c>
      <c r="L350" s="33">
        <v>0.54943287037037036</v>
      </c>
      <c r="M350" s="10">
        <v>1</v>
      </c>
      <c r="N350" s="10" t="s">
        <v>84</v>
      </c>
      <c r="O350" s="10">
        <v>0.52</v>
      </c>
      <c r="P350" s="10">
        <v>3.49E-2</v>
      </c>
      <c r="Q350" s="10">
        <v>12.5</v>
      </c>
      <c r="R350" s="10" t="s">
        <v>85</v>
      </c>
      <c r="S350" s="34">
        <f t="shared" si="35"/>
        <v>12.5</v>
      </c>
      <c r="T350" s="10" t="s">
        <v>983</v>
      </c>
      <c r="U350" s="34">
        <f t="shared" si="36"/>
        <v>12.5</v>
      </c>
      <c r="V350" s="31" t="str">
        <f>IF(H350="CHK",VLOOKUP(I350,QCCHK,3,),IF(H350="GUP",VLOOKUP(E350,QCGUP,2,),IF(AND(H350="ATP",OR(I350="TN",I350="TDN",I350="TNO2-3",I350="NO2-3")),VLOOKUP(E350,QCREC_N,2,),IF(AND(H350="NIC",OR(I350="TN",I350="TDN",I350="TNO2-3",I350="NO2-3")),VLOOKUP(E350,QCNIC_N,2,),IF(AND(H350="UREA",OR(I350="TN",I350="TDN",I350="TNO2-3",I350="NO2-3")),VLOOKUP(E350,QCUREA_N,2,),IF(H350="PER",VLOOKUP(I350,QCPER,MATCH(E350,QCACTUAL!$J$25:$AA$25,0),),IF(H350="SPK",VLOOKUP(I350,QCSPK,3,),IF(AND(H350="ATP",OR(I350="TP",I350="TDP")),VLOOKUP(E350,QCATP_P,2,),""))))))))</f>
        <v/>
      </c>
      <c r="W350" s="31" t="str">
        <f t="shared" si="37"/>
        <v>TRUE</v>
      </c>
      <c r="X350" s="31" t="str">
        <f t="shared" si="38"/>
        <v>nominal concentration</v>
      </c>
      <c r="Y350" s="10" t="s">
        <v>970</v>
      </c>
      <c r="Z350" s="10" t="s">
        <v>967</v>
      </c>
      <c r="AF350" s="12">
        <v>44930</v>
      </c>
      <c r="AG350" s="10">
        <f>-8.4348*0.52^2+102.96*0.52-48.013</f>
        <v>3.2454300800000055</v>
      </c>
      <c r="AH350" s="10">
        <f>-2.6941*0.52^2+86.956*0.52-40.231</f>
        <v>4.2576353600000019</v>
      </c>
      <c r="AI350" s="10">
        <f>-1.1451*0.52^2+77.605*0.52-34.739</f>
        <v>5.3059649600000043</v>
      </c>
      <c r="AK350" s="10">
        <f>-0.0423*0.52^2+66.444*0.52-22.986</f>
        <v>11.55344208</v>
      </c>
      <c r="AL350" s="10" t="str">
        <f t="shared" si="40"/>
        <v>y=-8.4348*0.52^2+102.96*0.52-48.013</v>
      </c>
      <c r="AM350" s="10" t="str">
        <f t="shared" si="40"/>
        <v>y=-2.6941*0.52^2+86.956*0.52-40.231</v>
      </c>
      <c r="AN350" s="10" t="str">
        <f t="shared" si="40"/>
        <v>y=-1.1451*0.52^2+77.605*0.52-34.739</v>
      </c>
      <c r="AO350" s="10" t="str">
        <f t="shared" si="41"/>
        <v>FALSE</v>
      </c>
      <c r="AP350" s="10" t="str">
        <f t="shared" si="41"/>
        <v>y=-0.0423*0.52^2+66.444*0.52-22.986</v>
      </c>
      <c r="AQ350" s="10" t="str">
        <f>IF(AND(I350="TP",S350&lt;=150),VLOOKUP(AF350,TPCalibEq150!$AZ$2:$BB$55,3,),IF(AND(I350="TDP",S350&lt;=150),VLOOKUP(AF350,TPCalibEq150!$AZ$2:$BB$55,3,)))</f>
        <v>y=-8.4348x2+102.96x-48.013</v>
      </c>
      <c r="AR350" s="10" t="str">
        <f>IF(AND(I350="TP",S350&lt;=300),VLOOKUP(AF350,TPCalibEq300!$AZ$2:$BB$55,3,),IF(AND(I350="TDP",S350&lt;=300),VLOOKUP(AF350,TPCalibEq300!$AZ$2:$BB$55,3,)))</f>
        <v>y=-2.6941x2+86.956x-40.231</v>
      </c>
      <c r="AS350" s="10" t="str">
        <f>IF(AND(I350="TP",S350&lt;=500),VLOOKUP(AF350,TPCalibEq500!$AZ$2:$BB$56,3,),IF(AND(I350="TDP",S350&lt;=500),VLOOKUP(AF350,TPCalibEq500!$AZ$2:$BB$56,3,)))</f>
        <v>y=-1.1451x2+77.605x-34.739</v>
      </c>
      <c r="AT350" s="10" t="b">
        <f>IF(AND(I350="TN",S350&lt;=2800),VLOOKUP(AF350,TNCalibEq2500!$AZ$2:$BB$56,3,),IF(AND(I350="TDN",S350&lt;=2800),VLOOKUP(AF350,TNCalibEq2500!$AZ$2:$BB$56,3,)))</f>
        <v>0</v>
      </c>
      <c r="AU350" s="10" t="str">
        <f>IF(I350="TP",VLOOKUP(AF350,TPCalibEqFull!$AZ$2:$BB$56,3),IF(I350="TDP",VLOOKUP(AF350,TPCalibEqFull!$AZ$2:$BB$56,3),IF(I350="TDN",VLOOKUP(AF350,TNCalibEqFull!$AZ$1:$BB$56,3),IF(I350="TN",VLOOKUP(AF350,TNCalibEqFull!$AZ$1:$BB$56,3),FALSE))))</f>
        <v>y=-0.0423x2+66.444x-22.986</v>
      </c>
      <c r="AV350" s="10" t="str">
        <f t="shared" si="39"/>
        <v>0104 09:00:00-QAC-BLK-A-1-DI-LAB</v>
      </c>
    </row>
    <row r="351" spans="1:48" s="10" customFormat="1" x14ac:dyDescent="0.55000000000000004">
      <c r="A351" s="32">
        <v>44930</v>
      </c>
      <c r="B351" s="33">
        <v>0.375</v>
      </c>
      <c r="C351" s="10" t="s">
        <v>70</v>
      </c>
      <c r="D351" s="10" t="s">
        <v>241</v>
      </c>
      <c r="E351" s="10" t="s">
        <v>866</v>
      </c>
      <c r="F351" s="10">
        <v>1</v>
      </c>
      <c r="G351" s="10" t="s">
        <v>73</v>
      </c>
      <c r="H351" s="10" t="s">
        <v>283</v>
      </c>
      <c r="I351" s="10" t="s">
        <v>83</v>
      </c>
      <c r="J351" s="10">
        <v>221</v>
      </c>
      <c r="K351" s="12">
        <v>44930</v>
      </c>
      <c r="L351" s="33">
        <v>0.55012731481481481</v>
      </c>
      <c r="M351" s="10">
        <v>1</v>
      </c>
      <c r="N351" s="10" t="s">
        <v>84</v>
      </c>
      <c r="O351" s="10">
        <v>0.49</v>
      </c>
      <c r="P351" s="10">
        <v>3.3000000000000002E-2</v>
      </c>
      <c r="Q351" s="10">
        <v>10.5</v>
      </c>
      <c r="R351" s="10" t="s">
        <v>85</v>
      </c>
      <c r="S351" s="34">
        <f t="shared" si="35"/>
        <v>10.5</v>
      </c>
      <c r="T351" s="10" t="s">
        <v>983</v>
      </c>
      <c r="U351" s="34">
        <f t="shared" si="36"/>
        <v>10.5</v>
      </c>
      <c r="V351" s="31" t="str">
        <f>IF(H351="CHK",VLOOKUP(I351,QCCHK,3,),IF(H351="GUP",VLOOKUP(E351,QCGUP,2,),IF(AND(H351="ATP",OR(I351="TN",I351="TDN",I351="TNO2-3",I351="NO2-3")),VLOOKUP(E351,QCREC_N,2,),IF(AND(H351="NIC",OR(I351="TN",I351="TDN",I351="TNO2-3",I351="NO2-3")),VLOOKUP(E351,QCNIC_N,2,),IF(AND(H351="UREA",OR(I351="TN",I351="TDN",I351="TNO2-3",I351="NO2-3")),VLOOKUP(E351,QCUREA_N,2,),IF(H351="PER",VLOOKUP(I351,QCPER,MATCH(E351,QCACTUAL!$J$25:$AA$25,0),),IF(H351="SPK",VLOOKUP(I351,QCSPK,3,),IF(AND(H351="ATP",OR(I351="TP",I351="TDP")),VLOOKUP(E351,QCATP_P,2,),""))))))))</f>
        <v/>
      </c>
      <c r="W351" s="31" t="str">
        <f t="shared" si="37"/>
        <v>TRUE</v>
      </c>
      <c r="X351" s="31" t="str">
        <f t="shared" si="38"/>
        <v>nominal concentration</v>
      </c>
      <c r="Y351" s="10" t="s">
        <v>970</v>
      </c>
      <c r="Z351" s="10" t="s">
        <v>947</v>
      </c>
      <c r="AF351" s="12">
        <v>44930</v>
      </c>
      <c r="AG351" s="10">
        <f>-8.4348*0.49^2+102.96*0.49-48.013</f>
        <v>0.41220451999999597</v>
      </c>
      <c r="AH351" s="10">
        <f>-2.6941*0.49^2+86.956*0.49-40.231</f>
        <v>1.7305865900000015</v>
      </c>
      <c r="AI351" s="10">
        <f>-1.1451*0.49^2+77.605*0.49-34.739</f>
        <v>3.0125114900000085</v>
      </c>
      <c r="AK351" s="10">
        <f>-0.0423*0.49^2+66.444*0.49-22.986</f>
        <v>9.5614037700000019</v>
      </c>
      <c r="AL351" s="10" t="str">
        <f t="shared" si="40"/>
        <v>y=-8.4348*0.49^2+102.96*0.49-48.013</v>
      </c>
      <c r="AM351" s="10" t="str">
        <f t="shared" si="40"/>
        <v>y=-2.6941*0.49^2+86.956*0.49-40.231</v>
      </c>
      <c r="AN351" s="10" t="str">
        <f t="shared" si="40"/>
        <v>y=-1.1451*0.49^2+77.605*0.49-34.739</v>
      </c>
      <c r="AO351" s="10" t="str">
        <f t="shared" si="41"/>
        <v>FALSE</v>
      </c>
      <c r="AP351" s="10" t="str">
        <f t="shared" si="41"/>
        <v>y=-0.0423*0.49^2+66.444*0.49-22.986</v>
      </c>
      <c r="AQ351" s="10" t="str">
        <f>IF(AND(I351="TP",S351&lt;=150),VLOOKUP(AF351,TPCalibEq150!$AZ$2:$BB$55,3,),IF(AND(I351="TDP",S351&lt;=150),VLOOKUP(AF351,TPCalibEq150!$AZ$2:$BB$55,3,)))</f>
        <v>y=-8.4348x2+102.96x-48.013</v>
      </c>
      <c r="AR351" s="10" t="str">
        <f>IF(AND(I351="TP",S351&lt;=300),VLOOKUP(AF351,TPCalibEq300!$AZ$2:$BB$55,3,),IF(AND(I351="TDP",S351&lt;=300),VLOOKUP(AF351,TPCalibEq300!$AZ$2:$BB$55,3,)))</f>
        <v>y=-2.6941x2+86.956x-40.231</v>
      </c>
      <c r="AS351" s="10" t="str">
        <f>IF(AND(I351="TP",S351&lt;=500),VLOOKUP(AF351,TPCalibEq500!$AZ$2:$BB$56,3,),IF(AND(I351="TDP",S351&lt;=500),VLOOKUP(AF351,TPCalibEq500!$AZ$2:$BB$56,3,)))</f>
        <v>y=-1.1451x2+77.605x-34.739</v>
      </c>
      <c r="AT351" s="10" t="b">
        <f>IF(AND(I351="TN",S351&lt;=2800),VLOOKUP(AF351,TNCalibEq2500!$AZ$2:$BB$56,3,),IF(AND(I351="TDN",S351&lt;=2800),VLOOKUP(AF351,TNCalibEq2500!$AZ$2:$BB$56,3,)))</f>
        <v>0</v>
      </c>
      <c r="AU351" s="10" t="str">
        <f>IF(I351="TP",VLOOKUP(AF351,TPCalibEqFull!$AZ$2:$BB$56,3),IF(I351="TDP",VLOOKUP(AF351,TPCalibEqFull!$AZ$2:$BB$56,3),IF(I351="TDN",VLOOKUP(AF351,TNCalibEqFull!$AZ$1:$BB$56,3),IF(I351="TN",VLOOKUP(AF351,TNCalibEqFull!$AZ$1:$BB$56,3),FALSE))))</f>
        <v>y=-0.0423x2+66.444x-22.986</v>
      </c>
      <c r="AV351" s="10" t="str">
        <f t="shared" si="39"/>
        <v>0104 09:00:00-QAC-BLK-A-1-DI-LAB</v>
      </c>
    </row>
    <row r="352" spans="1:48" s="10" customFormat="1" x14ac:dyDescent="0.55000000000000004">
      <c r="A352" s="32">
        <v>44930</v>
      </c>
      <c r="B352" s="33">
        <v>0.375</v>
      </c>
      <c r="C352" s="10" t="s">
        <v>70</v>
      </c>
      <c r="D352" s="10" t="s">
        <v>241</v>
      </c>
      <c r="E352" s="10" t="s">
        <v>866</v>
      </c>
      <c r="F352" s="10">
        <v>1</v>
      </c>
      <c r="G352" s="10" t="s">
        <v>73</v>
      </c>
      <c r="H352" s="10" t="s">
        <v>314</v>
      </c>
      <c r="I352" s="10" t="s">
        <v>83</v>
      </c>
      <c r="J352" s="10">
        <v>225</v>
      </c>
      <c r="K352" s="12">
        <v>44930</v>
      </c>
      <c r="L352" s="33">
        <v>0.5508333333333334</v>
      </c>
      <c r="M352" s="10">
        <v>1</v>
      </c>
      <c r="N352" s="10" t="s">
        <v>84</v>
      </c>
      <c r="O352" s="10">
        <v>15.6</v>
      </c>
      <c r="P352" s="10">
        <v>1.1100000000000001</v>
      </c>
      <c r="Q352" s="10">
        <v>1010</v>
      </c>
      <c r="R352" s="10" t="s">
        <v>85</v>
      </c>
      <c r="S352" s="34">
        <f t="shared" si="35"/>
        <v>1010</v>
      </c>
      <c r="T352" s="10" t="s">
        <v>983</v>
      </c>
      <c r="U352" s="34">
        <f t="shared" si="36"/>
        <v>99.95</v>
      </c>
      <c r="V352" s="31">
        <f>IF(H352="CHK",VLOOKUP(I352,QCCHK,3,),IF(H352="GUP",VLOOKUP(E352,QCGUP,2,),IF(AND(H352="ATP",OR(I352="TN",I352="TDN",I352="TNO2-3",I352="NO2-3")),VLOOKUP(E352,QCREC_N,2,),IF(AND(H352="NIC",OR(I352="TN",I352="TDN",I352="TNO2-3",I352="NO2-3")),VLOOKUP(E352,QCNIC_N,2,),IF(AND(H352="UREA",OR(I352="TN",I352="TDN",I352="TNO2-3",I352="NO2-3")),VLOOKUP(E352,QCUREA_N,2,),IF(H352="PER",VLOOKUP(I352,QCPER,MATCH(E352,QCACTUAL!$J$25:$AA$25,0),),IF(H352="SPK",VLOOKUP(I352,QCSPK,3,),IF(AND(H352="ATP",OR(I352="TP",I352="TDP")),VLOOKUP(E352,QCATP_P,2,),""))))))))</f>
        <v>1000</v>
      </c>
      <c r="W352" s="31" t="str">
        <f t="shared" si="37"/>
        <v>TRUE</v>
      </c>
      <c r="X352" s="31" t="str">
        <f t="shared" si="38"/>
        <v>([spikedunkn]-[unkn])/[spike]*100</v>
      </c>
      <c r="Y352" s="10" t="s">
        <v>970</v>
      </c>
      <c r="AF352" s="12">
        <v>44930</v>
      </c>
      <c r="AK352" s="10">
        <f>-0.0423*15.6^2+66.444*15.6-22.986</f>
        <v>1003.246272</v>
      </c>
      <c r="AL352" s="10" t="str">
        <f t="shared" si="40"/>
        <v>FALSE</v>
      </c>
      <c r="AM352" s="10" t="str">
        <f t="shared" si="40"/>
        <v>FALSE</v>
      </c>
      <c r="AN352" s="10" t="str">
        <f t="shared" si="40"/>
        <v>FALSE</v>
      </c>
      <c r="AO352" s="10" t="str">
        <f t="shared" si="41"/>
        <v>FALSE</v>
      </c>
      <c r="AP352" s="10" t="str">
        <f t="shared" si="41"/>
        <v>y=-0.0423*15.6^2+66.444*15.6-22.986</v>
      </c>
      <c r="AQ352" s="10" t="b">
        <f>IF(AND(I352="TP",S352&lt;=150),VLOOKUP(AF352,TPCalibEq150!$AZ$2:$BB$55,3,),IF(AND(I352="TDP",S352&lt;=150),VLOOKUP(AF352,TPCalibEq150!$AZ$2:$BB$55,3,)))</f>
        <v>0</v>
      </c>
      <c r="AR352" s="10" t="b">
        <f>IF(AND(I352="TP",S352&lt;=300),VLOOKUP(AF352,TPCalibEq300!$AZ$2:$BB$55,3,),IF(AND(I352="TDP",S352&lt;=300),VLOOKUP(AF352,TPCalibEq300!$AZ$2:$BB$55,3,)))</f>
        <v>0</v>
      </c>
      <c r="AS352" s="10" t="b">
        <f>IF(AND(I352="TP",S352&lt;=500),VLOOKUP(AF352,TPCalibEq500!$AZ$2:$BB$56,3,),IF(AND(I352="TDP",S352&lt;=500),VLOOKUP(AF352,TPCalibEq500!$AZ$2:$BB$56,3,)))</f>
        <v>0</v>
      </c>
      <c r="AT352" s="10" t="b">
        <f>IF(AND(I352="TN",S352&lt;=2800),VLOOKUP(AF352,TNCalibEq2500!$AZ$2:$BB$56,3,),IF(AND(I352="TDN",S352&lt;=2800),VLOOKUP(AF352,TNCalibEq2500!$AZ$2:$BB$56,3,)))</f>
        <v>0</v>
      </c>
      <c r="AU352" s="10" t="str">
        <f>IF(I352="TP",VLOOKUP(AF352,TPCalibEqFull!$AZ$2:$BB$56,3),IF(I352="TDP",VLOOKUP(AF352,TPCalibEqFull!$AZ$2:$BB$56,3),IF(I352="TDN",VLOOKUP(AF352,TNCalibEqFull!$AZ$1:$BB$56,3),IF(I352="TN",VLOOKUP(AF352,TNCalibEqFull!$AZ$1:$BB$56,3),FALSE))))</f>
        <v>y=-0.0423x2+66.444x-22.986</v>
      </c>
      <c r="AV352" s="10" t="str">
        <f t="shared" si="39"/>
        <v>0104 09:00:00-QAC-BLK-A-1-DI-SPK</v>
      </c>
    </row>
    <row r="353" spans="1:48" s="10" customFormat="1" x14ac:dyDescent="0.55000000000000004">
      <c r="A353" s="32">
        <v>44930</v>
      </c>
      <c r="B353" s="33">
        <v>0.375</v>
      </c>
      <c r="C353" s="10" t="s">
        <v>70</v>
      </c>
      <c r="D353" s="10" t="s">
        <v>71</v>
      </c>
      <c r="E353" s="10" t="s">
        <v>899</v>
      </c>
      <c r="F353" s="10">
        <v>1</v>
      </c>
      <c r="G353" s="10" t="s">
        <v>73</v>
      </c>
      <c r="H353" s="10" t="s">
        <v>299</v>
      </c>
      <c r="I353" s="10" t="s">
        <v>83</v>
      </c>
      <c r="J353" s="10">
        <v>197</v>
      </c>
      <c r="K353" s="12">
        <v>44930</v>
      </c>
      <c r="L353" s="33">
        <v>0.55153935185185188</v>
      </c>
      <c r="M353" s="10">
        <v>1</v>
      </c>
      <c r="N353" s="10" t="s">
        <v>84</v>
      </c>
      <c r="O353" s="10">
        <v>4.9400000000000004</v>
      </c>
      <c r="P353" s="10">
        <v>0.35599999999999998</v>
      </c>
      <c r="Q353" s="10">
        <v>306</v>
      </c>
      <c r="R353" s="10" t="s">
        <v>85</v>
      </c>
      <c r="S353" s="34">
        <f t="shared" si="35"/>
        <v>320.68513764000005</v>
      </c>
      <c r="T353" s="10" t="s">
        <v>983</v>
      </c>
      <c r="U353" s="34">
        <f t="shared" si="36"/>
        <v>78.986487103448283</v>
      </c>
      <c r="V353" s="31">
        <f>IF(H353="CHK",VLOOKUP(I353,QCCHK,3,),IF(H353="GUP",VLOOKUP(E353,QCGUP,2,),IF(AND(H353="ATP",OR(I353="TN",I353="TDN",I353="TNO2-3",I353="NO2-3")),VLOOKUP(E353,QCREC_N,2,),IF(AND(H353="NIC",OR(I353="TN",I353="TDN",I353="TNO2-3",I353="NO2-3")),VLOOKUP(E353,QCNIC_N,2,),IF(AND(H353="UREA",OR(I353="TN",I353="TDN",I353="TNO2-3",I353="NO2-3")),VLOOKUP(E353,QCUREA_N,2,),IF(H353="PER",VLOOKUP(I353,QCPER,MATCH(E353,QCACTUAL!$J$25:$AA$25,0),),IF(H353="SPK",VLOOKUP(I353,QCSPK,3,),IF(AND(H353="ATP",OR(I353="TP",I353="TDP")),VLOOKUP(E353,QCATP_P,2,),""))))))))</f>
        <v>406</v>
      </c>
      <c r="W353" s="31" t="str">
        <f t="shared" si="37"/>
        <v>TRUE</v>
      </c>
      <c r="X353" s="31" t="str">
        <f t="shared" si="38"/>
        <v>[per]/[actual]*100</v>
      </c>
      <c r="Y353" s="10" t="s">
        <v>970</v>
      </c>
      <c r="AF353" s="12">
        <v>44930</v>
      </c>
      <c r="AI353" s="10">
        <f>-1.1451*4.94^2+77.605*4.94-34.739</f>
        <v>320.68513764000005</v>
      </c>
      <c r="AK353" s="10">
        <f>-0.0423*4.94^2+66.444*4.94-22.986</f>
        <v>304.2150877200001</v>
      </c>
      <c r="AL353" s="10" t="str">
        <f t="shared" si="40"/>
        <v>FALSE</v>
      </c>
      <c r="AM353" s="10" t="str">
        <f t="shared" si="40"/>
        <v>FALSE</v>
      </c>
      <c r="AN353" s="10" t="str">
        <f t="shared" si="40"/>
        <v>y=-1.1451*4.94^2+77.605*4.94-34.739</v>
      </c>
      <c r="AO353" s="10" t="str">
        <f t="shared" si="41"/>
        <v>FALSE</v>
      </c>
      <c r="AP353" s="10" t="str">
        <f t="shared" si="41"/>
        <v>y=-0.0423*4.94^2+66.444*4.94-22.986</v>
      </c>
      <c r="AQ353" s="10" t="b">
        <f>IF(AND(I353="TP",S353&lt;=150),VLOOKUP(AF353,TPCalibEq150!$AZ$2:$BB$55,3,),IF(AND(I353="TDP",S353&lt;=150),VLOOKUP(AF353,TPCalibEq150!$AZ$2:$BB$55,3,)))</f>
        <v>0</v>
      </c>
      <c r="AR353" s="10" t="b">
        <f>IF(AND(I353="TP",S353&lt;=300),VLOOKUP(AF353,TPCalibEq300!$AZ$2:$BB$55,3,),IF(AND(I353="TDP",S353&lt;=300),VLOOKUP(AF353,TPCalibEq300!$AZ$2:$BB$55,3,)))</f>
        <v>0</v>
      </c>
      <c r="AS353" s="10" t="str">
        <f>IF(AND(I353="TP",S353&lt;=500),VLOOKUP(AF353,TPCalibEq500!$AZ$2:$BB$56,3,),IF(AND(I353="TDP",S353&lt;=500),VLOOKUP(AF353,TPCalibEq500!$AZ$2:$BB$56,3,)))</f>
        <v>y=-1.1451x2+77.605x-34.739</v>
      </c>
      <c r="AT353" s="10" t="b">
        <f>IF(AND(I353="TN",S353&lt;=2800),VLOOKUP(AF353,TNCalibEq2500!$AZ$2:$BB$56,3,),IF(AND(I353="TDN",S353&lt;=2800),VLOOKUP(AF353,TNCalibEq2500!$AZ$2:$BB$56,3,)))</f>
        <v>0</v>
      </c>
      <c r="AU353" s="10" t="str">
        <f>IF(I353="TP",VLOOKUP(AF353,TPCalibEqFull!$AZ$2:$BB$56,3),IF(I353="TDP",VLOOKUP(AF353,TPCalibEqFull!$AZ$2:$BB$56,3),IF(I353="TDN",VLOOKUP(AF353,TNCalibEqFull!$AZ$1:$BB$56,3),IF(I353="TN",VLOOKUP(AF353,TNCalibEqFull!$AZ$1:$BB$56,3),FALSE))))</f>
        <v>y=-0.0423x2+66.444x-22.986</v>
      </c>
      <c r="AV353" s="10" t="str">
        <f t="shared" si="39"/>
        <v>0104 09:00:00-QAC-STD-21A-1-DI-PER</v>
      </c>
    </row>
    <row r="354" spans="1:48" s="10" customFormat="1" x14ac:dyDescent="0.55000000000000004">
      <c r="A354" s="32">
        <v>44930</v>
      </c>
      <c r="B354" s="33">
        <v>0.375</v>
      </c>
      <c r="C354" s="10" t="s">
        <v>70</v>
      </c>
      <c r="D354" s="10" t="s">
        <v>71</v>
      </c>
      <c r="E354" s="10" t="s">
        <v>899</v>
      </c>
      <c r="F354" s="10">
        <v>2</v>
      </c>
      <c r="G354" s="10" t="s">
        <v>73</v>
      </c>
      <c r="H354" s="10" t="s">
        <v>299</v>
      </c>
      <c r="I354" s="10" t="s">
        <v>83</v>
      </c>
      <c r="J354" s="10">
        <v>214</v>
      </c>
      <c r="K354" s="12">
        <v>44930</v>
      </c>
      <c r="L354" s="33">
        <v>0.55224537037037036</v>
      </c>
      <c r="M354" s="10">
        <v>1</v>
      </c>
      <c r="N354" s="10" t="s">
        <v>84</v>
      </c>
      <c r="O354" s="10">
        <v>3.34</v>
      </c>
      <c r="P354" s="10">
        <v>0.24099999999999999</v>
      </c>
      <c r="Q354" s="10">
        <v>200</v>
      </c>
      <c r="R354" s="10" t="s">
        <v>85</v>
      </c>
      <c r="S354" s="34">
        <f t="shared" si="35"/>
        <v>220.14773804000004</v>
      </c>
      <c r="T354" s="10" t="s">
        <v>983</v>
      </c>
      <c r="U354" s="34">
        <f t="shared" si="36"/>
        <v>54.223580798029566</v>
      </c>
      <c r="V354" s="31">
        <f>IF(H354="CHK",VLOOKUP(I354,QCCHK,3,),IF(H354="GUP",VLOOKUP(E354,QCGUP,2,),IF(AND(H354="ATP",OR(I354="TN",I354="TDN",I354="TNO2-3",I354="NO2-3")),VLOOKUP(E354,QCREC_N,2,),IF(AND(H354="NIC",OR(I354="TN",I354="TDN",I354="TNO2-3",I354="NO2-3")),VLOOKUP(E354,QCNIC_N,2,),IF(AND(H354="UREA",OR(I354="TN",I354="TDN",I354="TNO2-3",I354="NO2-3")),VLOOKUP(E354,QCUREA_N,2,),IF(H354="PER",VLOOKUP(I354,QCPER,MATCH(E354,QCACTUAL!$J$25:$AA$25,0),),IF(H354="SPK",VLOOKUP(I354,QCSPK,3,),IF(AND(H354="ATP",OR(I354="TP",I354="TDP")),VLOOKUP(E354,QCATP_P,2,),""))))))))</f>
        <v>406</v>
      </c>
      <c r="W354" s="31" t="str">
        <f t="shared" si="37"/>
        <v>FALSE</v>
      </c>
      <c r="X354" s="31" t="str">
        <f t="shared" si="38"/>
        <v>[per]/[actual]*100</v>
      </c>
      <c r="Y354" s="10" t="s">
        <v>970</v>
      </c>
      <c r="AF354" s="12">
        <v>44930</v>
      </c>
      <c r="AH354" s="10">
        <f>-2.6941*3.34^2+86.956*3.34-40.231</f>
        <v>220.14773804000004</v>
      </c>
      <c r="AI354" s="10">
        <f>-1.1451*3.34^2+77.605*3.34-34.739</f>
        <v>211.68742243999998</v>
      </c>
      <c r="AK354" s="10">
        <f>-0.0423*3.34^2+66.444*3.34-22.986</f>
        <v>198.46507811999999</v>
      </c>
      <c r="AL354" s="10" t="str">
        <f t="shared" si="40"/>
        <v>FALSE</v>
      </c>
      <c r="AM354" s="10" t="str">
        <f t="shared" si="40"/>
        <v>y=-2.6941*3.34^2+86.956*3.34-40.231</v>
      </c>
      <c r="AN354" s="10" t="str">
        <f t="shared" si="40"/>
        <v>y=-1.1451*3.34^2+77.605*3.34-34.739</v>
      </c>
      <c r="AO354" s="10" t="str">
        <f t="shared" si="41"/>
        <v>FALSE</v>
      </c>
      <c r="AP354" s="10" t="str">
        <f t="shared" si="41"/>
        <v>y=-0.0423*3.34^2+66.444*3.34-22.986</v>
      </c>
      <c r="AQ354" s="10" t="b">
        <f>IF(AND(I354="TP",S354&lt;=150),VLOOKUP(AF354,TPCalibEq150!$AZ$2:$BB$55,3,),IF(AND(I354="TDP",S354&lt;=150),VLOOKUP(AF354,TPCalibEq150!$AZ$2:$BB$55,3,)))</f>
        <v>0</v>
      </c>
      <c r="AR354" s="10" t="str">
        <f>IF(AND(I354="TP",S354&lt;=300),VLOOKUP(AF354,TPCalibEq300!$AZ$2:$BB$55,3,),IF(AND(I354="TDP",S354&lt;=300),VLOOKUP(AF354,TPCalibEq300!$AZ$2:$BB$55,3,)))</f>
        <v>y=-2.6941x2+86.956x-40.231</v>
      </c>
      <c r="AS354" s="10" t="str">
        <f>IF(AND(I354="TP",S354&lt;=500),VLOOKUP(AF354,TPCalibEq500!$AZ$2:$BB$56,3,),IF(AND(I354="TDP",S354&lt;=500),VLOOKUP(AF354,TPCalibEq500!$AZ$2:$BB$56,3,)))</f>
        <v>y=-1.1451x2+77.605x-34.739</v>
      </c>
      <c r="AT354" s="10" t="b">
        <f>IF(AND(I354="TN",S354&lt;=2800),VLOOKUP(AF354,TNCalibEq2500!$AZ$2:$BB$56,3,),IF(AND(I354="TDN",S354&lt;=2800),VLOOKUP(AF354,TNCalibEq2500!$AZ$2:$BB$56,3,)))</f>
        <v>0</v>
      </c>
      <c r="AU354" s="10" t="str">
        <f>IF(I354="TP",VLOOKUP(AF354,TPCalibEqFull!$AZ$2:$BB$56,3),IF(I354="TDP",VLOOKUP(AF354,TPCalibEqFull!$AZ$2:$BB$56,3),IF(I354="TDN",VLOOKUP(AF354,TNCalibEqFull!$AZ$1:$BB$56,3),IF(I354="TN",VLOOKUP(AF354,TNCalibEqFull!$AZ$1:$BB$56,3),FALSE))))</f>
        <v>y=-0.0423x2+66.444x-22.986</v>
      </c>
      <c r="AV354" s="10" t="str">
        <f t="shared" si="39"/>
        <v>0104 09:00:00-QAC-STD-21A-2-DI-PER</v>
      </c>
    </row>
    <row r="355" spans="1:48" s="10" customFormat="1" x14ac:dyDescent="0.55000000000000004">
      <c r="A355" s="32">
        <v>44930</v>
      </c>
      <c r="B355" s="33">
        <v>0.375</v>
      </c>
      <c r="C355" s="10" t="s">
        <v>70</v>
      </c>
      <c r="D355" s="10" t="s">
        <v>305</v>
      </c>
      <c r="E355" s="10" t="s">
        <v>866</v>
      </c>
      <c r="F355" s="10">
        <v>1</v>
      </c>
      <c r="G355" s="10" t="s">
        <v>73</v>
      </c>
      <c r="H355" s="10" t="s">
        <v>274</v>
      </c>
      <c r="I355" s="10" t="s">
        <v>83</v>
      </c>
      <c r="J355" s="10">
        <v>204</v>
      </c>
      <c r="K355" s="12">
        <v>44930</v>
      </c>
      <c r="L355" s="33">
        <v>0.55295138888888895</v>
      </c>
      <c r="M355" s="10">
        <v>1</v>
      </c>
      <c r="N355" s="10" t="s">
        <v>84</v>
      </c>
      <c r="O355" s="10">
        <v>15.9</v>
      </c>
      <c r="P355" s="10">
        <v>1.1299999999999999</v>
      </c>
      <c r="Q355" s="10">
        <v>1020</v>
      </c>
      <c r="R355" s="10" t="s">
        <v>85</v>
      </c>
      <c r="S355" s="34">
        <f t="shared" si="35"/>
        <v>1022.7797370000002</v>
      </c>
      <c r="T355" s="10" t="s">
        <v>983</v>
      </c>
      <c r="U355" s="34">
        <f t="shared" si="36"/>
        <v>102.27797370000002</v>
      </c>
      <c r="V355" s="31">
        <f>IF(H355="CHK",VLOOKUP(I355,QCCHK,3,),IF(H355="GUP",VLOOKUP(E355,QCGUP,2,),IF(AND(H355="ATP",OR(I355="TN",I355="TDN",I355="TNO2-3",I355="NO2-3")),VLOOKUP(E355,QCREC_N,2,),IF(AND(H355="NIC",OR(I355="TN",I355="TDN",I355="TNO2-3",I355="NO2-3")),VLOOKUP(E355,QCNIC_N,2,),IF(AND(H355="UREA",OR(I355="TN",I355="TDN",I355="TNO2-3",I355="NO2-3")),VLOOKUP(E355,QCUREA_N,2,),IF(H355="PER",VLOOKUP(I355,QCPER,MATCH(E355,QCACTUAL!$J$25:$AA$25,0),),IF(H355="SPK",VLOOKUP(I355,QCSPK,3,),IF(AND(H355="ATP",OR(I355="TP",I355="TDP")),VLOOKUP(E355,QCATP_P,2,),""))))))))</f>
        <v>1000</v>
      </c>
      <c r="W355" s="31" t="str">
        <f t="shared" si="37"/>
        <v>TRUE</v>
      </c>
      <c r="X355" s="31" t="str">
        <f t="shared" si="38"/>
        <v>[rec]/[actual]*100</v>
      </c>
      <c r="Y355" s="10" t="s">
        <v>970</v>
      </c>
      <c r="AF355" s="12">
        <v>44930</v>
      </c>
      <c r="AK355" s="10">
        <f>-0.0423*15.9^2+66.444*15.9-22.986</f>
        <v>1022.7797370000002</v>
      </c>
      <c r="AL355" s="10" t="str">
        <f t="shared" si="40"/>
        <v>FALSE</v>
      </c>
      <c r="AM355" s="10" t="str">
        <f t="shared" si="40"/>
        <v>FALSE</v>
      </c>
      <c r="AN355" s="10" t="str">
        <f t="shared" si="40"/>
        <v>FALSE</v>
      </c>
      <c r="AO355" s="10" t="str">
        <f t="shared" si="41"/>
        <v>FALSE</v>
      </c>
      <c r="AP355" s="10" t="str">
        <f t="shared" si="41"/>
        <v>y=-0.0423*15.9^2+66.444*15.9-22.986</v>
      </c>
      <c r="AQ355" s="10" t="b">
        <f>IF(AND(I355="TP",S355&lt;=150),VLOOKUP(AF355,TPCalibEq150!$AZ$2:$BB$55,3,),IF(AND(I355="TDP",S355&lt;=150),VLOOKUP(AF355,TPCalibEq150!$AZ$2:$BB$55,3,)))</f>
        <v>0</v>
      </c>
      <c r="AR355" s="10" t="b">
        <f>IF(AND(I355="TP",S355&lt;=300),VLOOKUP(AF355,TPCalibEq300!$AZ$2:$BB$55,3,),IF(AND(I355="TDP",S355&lt;=300),VLOOKUP(AF355,TPCalibEq300!$AZ$2:$BB$55,3,)))</f>
        <v>0</v>
      </c>
      <c r="AS355" s="10" t="b">
        <f>IF(AND(I355="TP",S355&lt;=500),VLOOKUP(AF355,TPCalibEq500!$AZ$2:$BB$56,3,),IF(AND(I355="TDP",S355&lt;=500),VLOOKUP(AF355,TPCalibEq500!$AZ$2:$BB$56,3,)))</f>
        <v>0</v>
      </c>
      <c r="AT355" s="10" t="b">
        <f>IF(AND(I355="TN",S355&lt;=2800),VLOOKUP(AF355,TNCalibEq2500!$AZ$2:$BB$56,3,),IF(AND(I355="TDN",S355&lt;=2800),VLOOKUP(AF355,TNCalibEq2500!$AZ$2:$BB$56,3,)))</f>
        <v>0</v>
      </c>
      <c r="AU355" s="10" t="str">
        <f>IF(I355="TP",VLOOKUP(AF355,TPCalibEqFull!$AZ$2:$BB$56,3),IF(I355="TDP",VLOOKUP(AF355,TPCalibEqFull!$AZ$2:$BB$56,3),IF(I355="TDN",VLOOKUP(AF355,TNCalibEqFull!$AZ$1:$BB$56,3),IF(I355="TN",VLOOKUP(AF355,TNCalibEqFull!$AZ$1:$BB$56,3),FALSE))))</f>
        <v>y=-0.0423x2+66.444x-22.986</v>
      </c>
      <c r="AV355" s="10" t="str">
        <f t="shared" si="39"/>
        <v>0104 09:00:00-QAC-REC-A-1-DI-GUP</v>
      </c>
    </row>
    <row r="356" spans="1:48" s="10" customFormat="1" x14ac:dyDescent="0.55000000000000004">
      <c r="A356" s="32">
        <v>44930</v>
      </c>
      <c r="B356" s="33">
        <v>0.375</v>
      </c>
      <c r="C356" s="10" t="s">
        <v>70</v>
      </c>
      <c r="D356" s="10" t="s">
        <v>305</v>
      </c>
      <c r="E356" s="10" t="s">
        <v>583</v>
      </c>
      <c r="F356" s="10">
        <v>1</v>
      </c>
      <c r="G356" s="10" t="s">
        <v>73</v>
      </c>
      <c r="H356" s="10" t="s">
        <v>274</v>
      </c>
      <c r="I356" s="10" t="s">
        <v>83</v>
      </c>
      <c r="J356" s="10">
        <v>205</v>
      </c>
      <c r="K356" s="12">
        <v>44930</v>
      </c>
      <c r="L356" s="33">
        <v>0.55365740740740743</v>
      </c>
      <c r="M356" s="10">
        <v>1</v>
      </c>
      <c r="N356" s="10" t="s">
        <v>84</v>
      </c>
      <c r="O356" s="10">
        <v>3.36</v>
      </c>
      <c r="P356" s="10">
        <v>0.23799999999999999</v>
      </c>
      <c r="Q356" s="10">
        <v>201</v>
      </c>
      <c r="R356" s="10" t="s">
        <v>85</v>
      </c>
      <c r="S356" s="34">
        <f t="shared" si="35"/>
        <v>221.52584864000005</v>
      </c>
      <c r="T356" s="10" t="s">
        <v>983</v>
      </c>
      <c r="U356" s="34">
        <f t="shared" si="36"/>
        <v>110.76292432000004</v>
      </c>
      <c r="V356" s="31">
        <f>IF(H356="CHK",VLOOKUP(I356,QCCHK,3,),IF(H356="GUP",VLOOKUP(E356,QCGUP,2,),IF(AND(H356="ATP",OR(I356="TN",I356="TDN",I356="TNO2-3",I356="NO2-3")),VLOOKUP(E356,QCREC_N,2,),IF(AND(H356="NIC",OR(I356="TN",I356="TDN",I356="TNO2-3",I356="NO2-3")),VLOOKUP(E356,QCNIC_N,2,),IF(AND(H356="UREA",OR(I356="TN",I356="TDN",I356="TNO2-3",I356="NO2-3")),VLOOKUP(E356,QCUREA_N,2,),IF(H356="PER",VLOOKUP(I356,QCPER,MATCH(E356,QCACTUAL!$J$25:$AA$25,0),),IF(H356="SPK",VLOOKUP(I356,QCSPK,3,),IF(AND(H356="ATP",OR(I356="TP",I356="TDP")),VLOOKUP(E356,QCATP_P,2,),""))))))))</f>
        <v>200</v>
      </c>
      <c r="W356" s="31" t="str">
        <f t="shared" si="37"/>
        <v>TRUE</v>
      </c>
      <c r="X356" s="31" t="str">
        <f t="shared" si="38"/>
        <v>[rec]/[actual]*100</v>
      </c>
      <c r="Y356" s="10" t="s">
        <v>970</v>
      </c>
      <c r="AF356" s="12">
        <v>44930</v>
      </c>
      <c r="AH356" s="10">
        <f>-2.6941*3.36^2+86.956*3.36-40.231</f>
        <v>221.52584864000005</v>
      </c>
      <c r="AI356" s="10">
        <f>-1.1451*3.36^2+77.605*3.36-34.739</f>
        <v>213.08607903999999</v>
      </c>
      <c r="AK356" s="10">
        <f>-0.0423*3.36^2+66.444*3.36-22.986</f>
        <v>199.78828992000001</v>
      </c>
      <c r="AL356" s="10" t="str">
        <f t="shared" si="40"/>
        <v>FALSE</v>
      </c>
      <c r="AM356" s="10" t="str">
        <f t="shared" si="40"/>
        <v>y=-2.6941*3.36^2+86.956*3.36-40.231</v>
      </c>
      <c r="AN356" s="10" t="str">
        <f t="shared" si="40"/>
        <v>y=-1.1451*3.36^2+77.605*3.36-34.739</v>
      </c>
      <c r="AO356" s="10" t="str">
        <f t="shared" si="41"/>
        <v>FALSE</v>
      </c>
      <c r="AP356" s="10" t="str">
        <f t="shared" si="41"/>
        <v>y=-0.0423*3.36^2+66.444*3.36-22.986</v>
      </c>
      <c r="AQ356" s="10" t="b">
        <f>IF(AND(I356="TP",S356&lt;=150),VLOOKUP(AF356,TPCalibEq150!$AZ$2:$BB$55,3,),IF(AND(I356="TDP",S356&lt;=150),VLOOKUP(AF356,TPCalibEq150!$AZ$2:$BB$55,3,)))</f>
        <v>0</v>
      </c>
      <c r="AR356" s="10" t="str">
        <f>IF(AND(I356="TP",S356&lt;=300),VLOOKUP(AF356,TPCalibEq300!$AZ$2:$BB$55,3,),IF(AND(I356="TDP",S356&lt;=300),VLOOKUP(AF356,TPCalibEq300!$AZ$2:$BB$55,3,)))</f>
        <v>y=-2.6941x2+86.956x-40.231</v>
      </c>
      <c r="AS356" s="10" t="str">
        <f>IF(AND(I356="TP",S356&lt;=500),VLOOKUP(AF356,TPCalibEq500!$AZ$2:$BB$56,3,),IF(AND(I356="TDP",S356&lt;=500),VLOOKUP(AF356,TPCalibEq500!$AZ$2:$BB$56,3,)))</f>
        <v>y=-1.1451x2+77.605x-34.739</v>
      </c>
      <c r="AT356" s="10" t="b">
        <f>IF(AND(I356="TN",S356&lt;=2800),VLOOKUP(AF356,TNCalibEq2500!$AZ$2:$BB$56,3,),IF(AND(I356="TDN",S356&lt;=2800),VLOOKUP(AF356,TNCalibEq2500!$AZ$2:$BB$56,3,)))</f>
        <v>0</v>
      </c>
      <c r="AU356" s="10" t="str">
        <f>IF(I356="TP",VLOOKUP(AF356,TPCalibEqFull!$AZ$2:$BB$56,3),IF(I356="TDP",VLOOKUP(AF356,TPCalibEqFull!$AZ$2:$BB$56,3),IF(I356="TDN",VLOOKUP(AF356,TNCalibEqFull!$AZ$1:$BB$56,3),IF(I356="TN",VLOOKUP(AF356,TNCalibEqFull!$AZ$1:$BB$56,3),FALSE))))</f>
        <v>y=-0.0423x2+66.444x-22.986</v>
      </c>
      <c r="AV356" s="10" t="str">
        <f t="shared" si="39"/>
        <v>0104 09:00:00-QAC-REC-B-1-DI-GUP</v>
      </c>
    </row>
    <row r="357" spans="1:48" s="10" customFormat="1" x14ac:dyDescent="0.55000000000000004">
      <c r="A357" s="32">
        <v>44930</v>
      </c>
      <c r="B357" s="33">
        <v>0.375</v>
      </c>
      <c r="C357" s="10" t="s">
        <v>70</v>
      </c>
      <c r="D357" s="10" t="s">
        <v>305</v>
      </c>
      <c r="E357" s="10" t="s">
        <v>190</v>
      </c>
      <c r="F357" s="10">
        <v>1</v>
      </c>
      <c r="G357" s="10" t="s">
        <v>73</v>
      </c>
      <c r="H357" s="10" t="s">
        <v>274</v>
      </c>
      <c r="I357" s="10" t="s">
        <v>83</v>
      </c>
      <c r="J357" s="10">
        <v>206</v>
      </c>
      <c r="K357" s="12">
        <v>44930</v>
      </c>
      <c r="L357" s="33" t="s">
        <v>933</v>
      </c>
      <c r="M357" s="10">
        <v>1</v>
      </c>
      <c r="N357" s="10" t="s">
        <v>84</v>
      </c>
      <c r="O357" s="10" t="s">
        <v>933</v>
      </c>
      <c r="P357" s="10" t="s">
        <v>933</v>
      </c>
      <c r="Q357" s="10" t="s">
        <v>933</v>
      </c>
      <c r="R357" s="10" t="s">
        <v>85</v>
      </c>
      <c r="S357" s="34">
        <f t="shared" si="35"/>
        <v>0</v>
      </c>
      <c r="T357" s="10" t="s">
        <v>984</v>
      </c>
      <c r="U357" s="34">
        <f t="shared" si="36"/>
        <v>0</v>
      </c>
      <c r="V357" s="31">
        <f>IF(H357="CHK",VLOOKUP(I357,QCCHK,3,),IF(H357="GUP",VLOOKUP(E357,QCGUP,2,),IF(AND(H357="ATP",OR(I357="TN",I357="TDN",I357="TNO2-3",I357="NO2-3")),VLOOKUP(E357,QCREC_N,2,),IF(AND(H357="NIC",OR(I357="TN",I357="TDN",I357="TNO2-3",I357="NO2-3")),VLOOKUP(E357,QCNIC_N,2,),IF(AND(H357="UREA",OR(I357="TN",I357="TDN",I357="TNO2-3",I357="NO2-3")),VLOOKUP(E357,QCUREA_N,2,),IF(H357="PER",VLOOKUP(I357,QCPER,MATCH(E357,QCACTUAL!$J$25:$AA$25,0),),IF(H357="SPK",VLOOKUP(I357,QCSPK,3,),IF(AND(H357="ATP",OR(I357="TP",I357="TDP")),VLOOKUP(E357,QCATP_P,2,),""))))))))</f>
        <v>100</v>
      </c>
      <c r="W357" s="31" t="str">
        <f t="shared" si="37"/>
        <v>FALSE</v>
      </c>
      <c r="X357" s="31" t="str">
        <f t="shared" si="38"/>
        <v>[rec]/[actual]*100</v>
      </c>
      <c r="Y357" s="10" t="s">
        <v>970</v>
      </c>
      <c r="Z357" s="10" t="s">
        <v>935</v>
      </c>
      <c r="AF357" s="12">
        <v>44930</v>
      </c>
      <c r="AG357" s="10" t="s">
        <v>1020</v>
      </c>
      <c r="AH357" s="10" t="s">
        <v>988</v>
      </c>
      <c r="AI357" s="10" t="s">
        <v>989</v>
      </c>
      <c r="AK357" s="10" t="s">
        <v>990</v>
      </c>
      <c r="AL357" s="10" t="str">
        <f t="shared" si="40"/>
        <v>y=-8.4348*.^2+102.96*.-48.013</v>
      </c>
      <c r="AM357" s="10" t="str">
        <f t="shared" si="40"/>
        <v>y=-2.6941*.^2+86.956*.-40.231</v>
      </c>
      <c r="AN357" s="10" t="str">
        <f t="shared" si="40"/>
        <v>y=-1.1451*.^2+77.605*.-34.739</v>
      </c>
      <c r="AO357" s="10" t="str">
        <f t="shared" si="41"/>
        <v>FALSE</v>
      </c>
      <c r="AP357" s="10" t="str">
        <f t="shared" si="41"/>
        <v>y=-0.0423*.^2+66.444*.-22.986</v>
      </c>
      <c r="AQ357" s="10" t="str">
        <f>IF(AND(I357="TP",S357&lt;=150),VLOOKUP(AF357,TPCalibEq150!$AZ$2:$BB$55,3,),IF(AND(I357="TDP",S357&lt;=150),VLOOKUP(AF357,TPCalibEq150!$AZ$2:$BB$55,3,)))</f>
        <v>y=-8.4348x2+102.96x-48.013</v>
      </c>
      <c r="AR357" s="10" t="str">
        <f>IF(AND(I357="TP",S357&lt;=300),VLOOKUP(AF357,TPCalibEq300!$AZ$2:$BB$55,3,),IF(AND(I357="TDP",S357&lt;=300),VLOOKUP(AF357,TPCalibEq300!$AZ$2:$BB$55,3,)))</f>
        <v>y=-2.6941x2+86.956x-40.231</v>
      </c>
      <c r="AS357" s="10" t="str">
        <f>IF(AND(I357="TP",S357&lt;=500),VLOOKUP(AF357,TPCalibEq500!$AZ$2:$BB$56,3,),IF(AND(I357="TDP",S357&lt;=500),VLOOKUP(AF357,TPCalibEq500!$AZ$2:$BB$56,3,)))</f>
        <v>y=-1.1451x2+77.605x-34.739</v>
      </c>
      <c r="AT357" s="10" t="b">
        <f>IF(AND(I357="TN",S357&lt;=2800),VLOOKUP(AF357,TNCalibEq2500!$AZ$2:$BB$56,3,),IF(AND(I357="TDN",S357&lt;=2800),VLOOKUP(AF357,TNCalibEq2500!$AZ$2:$BB$56,3,)))</f>
        <v>0</v>
      </c>
      <c r="AU357" s="10" t="str">
        <f>IF(I357="TP",VLOOKUP(AF357,TPCalibEqFull!$AZ$2:$BB$56,3),IF(I357="TDP",VLOOKUP(AF357,TPCalibEqFull!$AZ$2:$BB$56,3),IF(I357="TDN",VLOOKUP(AF357,TNCalibEqFull!$AZ$1:$BB$56,3),IF(I357="TN",VLOOKUP(AF357,TNCalibEqFull!$AZ$1:$BB$56,3),FALSE))))</f>
        <v>y=-0.0423x2+66.444x-22.986</v>
      </c>
      <c r="AV357" s="10" t="str">
        <f t="shared" si="39"/>
        <v>0104 09:00:00-QAC-REC-C-1-DI-GUP</v>
      </c>
    </row>
    <row r="358" spans="1:48" s="10" customFormat="1" x14ac:dyDescent="0.55000000000000004">
      <c r="A358" s="32">
        <v>44930</v>
      </c>
      <c r="B358" s="33">
        <v>0.375</v>
      </c>
      <c r="C358" s="10" t="s">
        <v>70</v>
      </c>
      <c r="D358" s="10" t="s">
        <v>305</v>
      </c>
      <c r="E358" s="10" t="s">
        <v>866</v>
      </c>
      <c r="F358" s="10">
        <v>1</v>
      </c>
      <c r="G358" s="10" t="s">
        <v>73</v>
      </c>
      <c r="H358" s="10" t="s">
        <v>181</v>
      </c>
      <c r="I358" s="10" t="s">
        <v>83</v>
      </c>
      <c r="J358" s="10">
        <v>207</v>
      </c>
      <c r="K358" s="12">
        <v>44930</v>
      </c>
      <c r="L358" s="33">
        <v>0.55436342592592591</v>
      </c>
      <c r="M358" s="10">
        <v>1</v>
      </c>
      <c r="N358" s="10" t="s">
        <v>84</v>
      </c>
      <c r="O358" s="10">
        <v>18.399999999999999</v>
      </c>
      <c r="P358" s="10">
        <v>1.32</v>
      </c>
      <c r="Q358" s="10">
        <v>1190</v>
      </c>
      <c r="R358" s="10" t="s">
        <v>85</v>
      </c>
      <c r="S358" s="34">
        <f t="shared" si="35"/>
        <v>1190</v>
      </c>
      <c r="T358" s="10" t="s">
        <v>983</v>
      </c>
      <c r="U358" s="34">
        <f t="shared" si="36"/>
        <v>89.272318079519877</v>
      </c>
      <c r="V358" s="31">
        <f>IF(H358="CHK",VLOOKUP(I358,QCCHK,3,),IF(H358="GUP",VLOOKUP(E358,QCGUP,2,),IF(AND(H358="ATP",OR(I358="TN",I358="TDN",I358="TNO2-3",I358="NO2-3")),VLOOKUP(E358,QCREC_N,2,),IF(AND(H358="NIC",OR(I358="TN",I358="TDN",I358="TNO2-3",I358="NO2-3")),VLOOKUP(E358,QCNIC_N,2,),IF(AND(H358="UREA",OR(I358="TN",I358="TDN",I358="TNO2-3",I358="NO2-3")),VLOOKUP(E358,QCUREA_N,2,),IF(H358="PER",VLOOKUP(I358,QCPER,MATCH(E358,QCACTUAL!$J$25:$AA$25,0),),IF(H358="SPK",VLOOKUP(I358,QCSPK,3,),IF(AND(H358="ATP",OR(I358="TP",I358="TDP")),VLOOKUP(E358,QCATP_P,2,),""))))))))</f>
        <v>1333</v>
      </c>
      <c r="W358" s="31" t="str">
        <f t="shared" si="37"/>
        <v>TRUE</v>
      </c>
      <c r="X358" s="31" t="str">
        <f t="shared" si="38"/>
        <v>[rec]/[actual]*100</v>
      </c>
      <c r="Y358" s="10" t="s">
        <v>970</v>
      </c>
      <c r="AF358" s="12">
        <v>44930</v>
      </c>
      <c r="AK358" s="10">
        <f>-0.0423*18.4^2+66.444*18.4-22.986</f>
        <v>1185.262512</v>
      </c>
      <c r="AL358" s="10" t="str">
        <f t="shared" si="40"/>
        <v>FALSE</v>
      </c>
      <c r="AM358" s="10" t="str">
        <f t="shared" si="40"/>
        <v>FALSE</v>
      </c>
      <c r="AN358" s="10" t="str">
        <f t="shared" si="40"/>
        <v>FALSE</v>
      </c>
      <c r="AO358" s="10" t="str">
        <f t="shared" si="41"/>
        <v>FALSE</v>
      </c>
      <c r="AP358" s="10" t="str">
        <f t="shared" si="41"/>
        <v>y=-0.0423*18.4^2+66.444*18.4-22.986</v>
      </c>
      <c r="AQ358" s="10" t="b">
        <f>IF(AND(I358="TP",S358&lt;=150),VLOOKUP(AF358,TPCalibEq150!$AZ$2:$BB$55,3,),IF(AND(I358="TDP",S358&lt;=150),VLOOKUP(AF358,TPCalibEq150!$AZ$2:$BB$55,3,)))</f>
        <v>0</v>
      </c>
      <c r="AR358" s="10" t="b">
        <f>IF(AND(I358="TP",S358&lt;=300),VLOOKUP(AF358,TPCalibEq300!$AZ$2:$BB$55,3,),IF(AND(I358="TDP",S358&lt;=300),VLOOKUP(AF358,TPCalibEq300!$AZ$2:$BB$55,3,)))</f>
        <v>0</v>
      </c>
      <c r="AS358" s="10" t="b">
        <f>IF(AND(I358="TP",S358&lt;=500),VLOOKUP(AF358,TPCalibEq500!$AZ$2:$BB$56,3,),IF(AND(I358="TDP",S358&lt;=500),VLOOKUP(AF358,TPCalibEq500!$AZ$2:$BB$56,3,)))</f>
        <v>0</v>
      </c>
      <c r="AT358" s="10" t="b">
        <f>IF(AND(I358="TN",S358&lt;=2800),VLOOKUP(AF358,TNCalibEq2500!$AZ$2:$BB$56,3,),IF(AND(I358="TDN",S358&lt;=2800),VLOOKUP(AF358,TNCalibEq2500!$AZ$2:$BB$56,3,)))</f>
        <v>0</v>
      </c>
      <c r="AU358" s="10" t="str">
        <f>IF(I358="TP",VLOOKUP(AF358,TPCalibEqFull!$AZ$2:$BB$56,3),IF(I358="TDP",VLOOKUP(AF358,TPCalibEqFull!$AZ$2:$BB$56,3),IF(I358="TDN",VLOOKUP(AF358,TNCalibEqFull!$AZ$1:$BB$56,3),IF(I358="TN",VLOOKUP(AF358,TNCalibEqFull!$AZ$1:$BB$56,3),FALSE))))</f>
        <v>y=-0.0423x2+66.444x-22.986</v>
      </c>
      <c r="AV358" s="10" t="str">
        <f t="shared" si="39"/>
        <v>0104 09:00:00-QAC-REC-A-1-DI-ATP</v>
      </c>
    </row>
    <row r="359" spans="1:48" s="10" customFormat="1" x14ac:dyDescent="0.55000000000000004">
      <c r="A359" s="32">
        <v>44930</v>
      </c>
      <c r="B359" s="33">
        <v>0.375</v>
      </c>
      <c r="C359" s="10" t="s">
        <v>70</v>
      </c>
      <c r="D359" s="10" t="s">
        <v>305</v>
      </c>
      <c r="E359" s="10" t="s">
        <v>583</v>
      </c>
      <c r="F359" s="10">
        <v>1</v>
      </c>
      <c r="G359" s="10" t="s">
        <v>73</v>
      </c>
      <c r="H359" s="10" t="s">
        <v>181</v>
      </c>
      <c r="I359" s="10" t="s">
        <v>83</v>
      </c>
      <c r="J359" s="10">
        <v>208</v>
      </c>
      <c r="K359" s="12">
        <v>44930</v>
      </c>
      <c r="L359" s="33">
        <v>0.5550694444444445</v>
      </c>
      <c r="M359" s="10">
        <v>1</v>
      </c>
      <c r="N359" s="10" t="s">
        <v>84</v>
      </c>
      <c r="O359" s="10">
        <v>3.96</v>
      </c>
      <c r="P359" s="10">
        <v>0.28399999999999997</v>
      </c>
      <c r="Q359" s="10">
        <v>241</v>
      </c>
      <c r="R359" s="10" t="s">
        <v>85</v>
      </c>
      <c r="S359" s="34">
        <f t="shared" si="35"/>
        <v>261.86696144000001</v>
      </c>
      <c r="T359" s="10" t="s">
        <v>983</v>
      </c>
      <c r="U359" s="34">
        <f t="shared" si="36"/>
        <v>98.44622610526315</v>
      </c>
      <c r="V359" s="31">
        <f>IF(H359="CHK",VLOOKUP(I359,QCCHK,3,),IF(H359="GUP",VLOOKUP(E359,QCGUP,2,),IF(AND(H359="ATP",OR(I359="TN",I359="TDN",I359="TNO2-3",I359="NO2-3")),VLOOKUP(E359,QCREC_N,2,),IF(AND(H359="NIC",OR(I359="TN",I359="TDN",I359="TNO2-3",I359="NO2-3")),VLOOKUP(E359,QCNIC_N,2,),IF(AND(H359="UREA",OR(I359="TN",I359="TDN",I359="TNO2-3",I359="NO2-3")),VLOOKUP(E359,QCUREA_N,2,),IF(H359="PER",VLOOKUP(I359,QCPER,MATCH(E359,QCACTUAL!$J$25:$AA$25,0),),IF(H359="SPK",VLOOKUP(I359,QCSPK,3,),IF(AND(H359="ATP",OR(I359="TP",I359="TDP")),VLOOKUP(E359,QCATP_P,2,),""))))))))</f>
        <v>266</v>
      </c>
      <c r="W359" s="31" t="str">
        <f t="shared" si="37"/>
        <v>TRUE</v>
      </c>
      <c r="X359" s="31" t="str">
        <f t="shared" si="38"/>
        <v>[rec]/[actual]*100</v>
      </c>
      <c r="Y359" s="10" t="s">
        <v>970</v>
      </c>
      <c r="AF359" s="12">
        <v>44930</v>
      </c>
      <c r="AH359" s="10">
        <f>-2.6941*3.96^2+86.956*3.96-40.231</f>
        <v>261.86696144000001</v>
      </c>
      <c r="AI359" s="10">
        <f>-1.1451*3.96^2+77.605*3.96-34.739</f>
        <v>254.61979984000001</v>
      </c>
      <c r="AK359" s="10">
        <f>-0.0423*3.96^2+66.444*3.96-22.986</f>
        <v>239.46890832000003</v>
      </c>
      <c r="AL359" s="10" t="str">
        <f t="shared" si="40"/>
        <v>FALSE</v>
      </c>
      <c r="AM359" s="10" t="str">
        <f t="shared" si="40"/>
        <v>y=-2.6941*3.96^2+86.956*3.96-40.231</v>
      </c>
      <c r="AN359" s="10" t="str">
        <f t="shared" si="40"/>
        <v>y=-1.1451*3.96^2+77.605*3.96-34.739</v>
      </c>
      <c r="AO359" s="10" t="str">
        <f t="shared" si="41"/>
        <v>FALSE</v>
      </c>
      <c r="AP359" s="10" t="str">
        <f t="shared" si="41"/>
        <v>y=-0.0423*3.96^2+66.444*3.96-22.986</v>
      </c>
      <c r="AQ359" s="10" t="b">
        <f>IF(AND(I359="TP",S359&lt;=150),VLOOKUP(AF359,TPCalibEq150!$AZ$2:$BB$55,3,),IF(AND(I359="TDP",S359&lt;=150),VLOOKUP(AF359,TPCalibEq150!$AZ$2:$BB$55,3,)))</f>
        <v>0</v>
      </c>
      <c r="AR359" s="10" t="str">
        <f>IF(AND(I359="TP",S359&lt;=300),VLOOKUP(AF359,TPCalibEq300!$AZ$2:$BB$55,3,),IF(AND(I359="TDP",S359&lt;=300),VLOOKUP(AF359,TPCalibEq300!$AZ$2:$BB$55,3,)))</f>
        <v>y=-2.6941x2+86.956x-40.231</v>
      </c>
      <c r="AS359" s="10" t="str">
        <f>IF(AND(I359="TP",S359&lt;=500),VLOOKUP(AF359,TPCalibEq500!$AZ$2:$BB$56,3,),IF(AND(I359="TDP",S359&lt;=500),VLOOKUP(AF359,TPCalibEq500!$AZ$2:$BB$56,3,)))</f>
        <v>y=-1.1451x2+77.605x-34.739</v>
      </c>
      <c r="AT359" s="10" t="b">
        <f>IF(AND(I359="TN",S359&lt;=2800),VLOOKUP(AF359,TNCalibEq2500!$AZ$2:$BB$56,3,),IF(AND(I359="TDN",S359&lt;=2800),VLOOKUP(AF359,TNCalibEq2500!$AZ$2:$BB$56,3,)))</f>
        <v>0</v>
      </c>
      <c r="AU359" s="10" t="str">
        <f>IF(I359="TP",VLOOKUP(AF359,TPCalibEqFull!$AZ$2:$BB$56,3),IF(I359="TDP",VLOOKUP(AF359,TPCalibEqFull!$AZ$2:$BB$56,3),IF(I359="TDN",VLOOKUP(AF359,TNCalibEqFull!$AZ$1:$BB$56,3),IF(I359="TN",VLOOKUP(AF359,TNCalibEqFull!$AZ$1:$BB$56,3),FALSE))))</f>
        <v>y=-0.0423x2+66.444x-22.986</v>
      </c>
      <c r="AV359" s="10" t="str">
        <f t="shared" si="39"/>
        <v>0104 09:00:00-QAC-REC-B-1-DI-ATP</v>
      </c>
    </row>
    <row r="360" spans="1:48" s="10" customFormat="1" x14ac:dyDescent="0.55000000000000004">
      <c r="A360" s="32">
        <v>44930</v>
      </c>
      <c r="B360" s="33">
        <v>0.375</v>
      </c>
      <c r="C360" s="10" t="s">
        <v>70</v>
      </c>
      <c r="D360" s="10" t="s">
        <v>305</v>
      </c>
      <c r="E360" s="10" t="s">
        <v>190</v>
      </c>
      <c r="F360" s="10">
        <v>1</v>
      </c>
      <c r="G360" s="10" t="s">
        <v>73</v>
      </c>
      <c r="H360" s="10" t="s">
        <v>181</v>
      </c>
      <c r="I360" s="10" t="s">
        <v>83</v>
      </c>
      <c r="J360" s="10">
        <v>209</v>
      </c>
      <c r="K360" s="12">
        <v>44930</v>
      </c>
      <c r="L360" s="33">
        <v>0.55576388888888884</v>
      </c>
      <c r="M360" s="10">
        <v>1</v>
      </c>
      <c r="N360" s="10" t="s">
        <v>84</v>
      </c>
      <c r="O360" s="10">
        <v>2.25</v>
      </c>
      <c r="P360" s="10">
        <v>0.159</v>
      </c>
      <c r="Q360" s="10">
        <v>128</v>
      </c>
      <c r="R360" s="10" t="s">
        <v>85</v>
      </c>
      <c r="S360" s="34">
        <f t="shared" si="35"/>
        <v>141.78111875000002</v>
      </c>
      <c r="T360" s="10" t="s">
        <v>983</v>
      </c>
      <c r="U360" s="34">
        <f t="shared" si="36"/>
        <v>106.60234492481204</v>
      </c>
      <c r="V360" s="31">
        <f>IF(H360="CHK",VLOOKUP(I360,QCCHK,3,),IF(H360="GUP",VLOOKUP(E360,QCGUP,2,),IF(AND(H360="ATP",OR(I360="TN",I360="TDN",I360="TNO2-3",I360="NO2-3")),VLOOKUP(E360,QCREC_N,2,),IF(AND(H360="NIC",OR(I360="TN",I360="TDN",I360="TNO2-3",I360="NO2-3")),VLOOKUP(E360,QCNIC_N,2,),IF(AND(H360="UREA",OR(I360="TN",I360="TDN",I360="TNO2-3",I360="NO2-3")),VLOOKUP(E360,QCUREA_N,2,),IF(H360="PER",VLOOKUP(I360,QCPER,MATCH(E360,QCACTUAL!$J$25:$AA$25,0),),IF(H360="SPK",VLOOKUP(I360,QCSPK,3,),IF(AND(H360="ATP",OR(I360="TP",I360="TDP")),VLOOKUP(E360,QCATP_P,2,),""))))))))</f>
        <v>133</v>
      </c>
      <c r="W360" s="31" t="str">
        <f t="shared" si="37"/>
        <v>TRUE</v>
      </c>
      <c r="X360" s="31" t="str">
        <f t="shared" si="38"/>
        <v>[rec]/[actual]*100</v>
      </c>
      <c r="Y360" s="10" t="s">
        <v>970</v>
      </c>
      <c r="AF360" s="12">
        <v>44930</v>
      </c>
      <c r="AG360" s="10">
        <f>-8.4348*2.25^2+102.96*2.25-48.013</f>
        <v>140.94582499999999</v>
      </c>
      <c r="AH360" s="10">
        <f>-2.6941*2.25^2+86.956*2.25-40.231</f>
        <v>141.78111875000002</v>
      </c>
      <c r="AI360" s="10">
        <f>-1.1451*2.25^2+77.605*2.25-34.739</f>
        <v>134.07518125000001</v>
      </c>
      <c r="AK360" s="10">
        <f>-0.0423*2.25^2+66.444*2.25-22.986</f>
        <v>126.29885624999999</v>
      </c>
      <c r="AL360" s="10" t="str">
        <f t="shared" si="40"/>
        <v>y=-8.4348*2.25^2+102.96*2.25-48.013</v>
      </c>
      <c r="AM360" s="10" t="str">
        <f t="shared" si="40"/>
        <v>y=-2.6941*2.25^2+86.956*2.25-40.231</v>
      </c>
      <c r="AN360" s="10" t="str">
        <f t="shared" si="40"/>
        <v>y=-1.1451*2.25^2+77.605*2.25-34.739</v>
      </c>
      <c r="AO360" s="10" t="str">
        <f t="shared" si="41"/>
        <v>FALSE</v>
      </c>
      <c r="AP360" s="10" t="str">
        <f t="shared" si="41"/>
        <v>y=-0.0423*2.25^2+66.444*2.25-22.986</v>
      </c>
      <c r="AQ360" s="10" t="str">
        <f>IF(AND(I360="TP",S360&lt;=150),VLOOKUP(AF360,TPCalibEq150!$AZ$2:$BB$55,3,),IF(AND(I360="TDP",S360&lt;=150),VLOOKUP(AF360,TPCalibEq150!$AZ$2:$BB$55,3,)))</f>
        <v>y=-8.4348x2+102.96x-48.013</v>
      </c>
      <c r="AR360" s="10" t="str">
        <f>IF(AND(I360="TP",S360&lt;=300),VLOOKUP(AF360,TPCalibEq300!$AZ$2:$BB$55,3,),IF(AND(I360="TDP",S360&lt;=300),VLOOKUP(AF360,TPCalibEq300!$AZ$2:$BB$55,3,)))</f>
        <v>y=-2.6941x2+86.956x-40.231</v>
      </c>
      <c r="AS360" s="10" t="str">
        <f>IF(AND(I360="TP",S360&lt;=500),VLOOKUP(AF360,TPCalibEq500!$AZ$2:$BB$56,3,),IF(AND(I360="TDP",S360&lt;=500),VLOOKUP(AF360,TPCalibEq500!$AZ$2:$BB$56,3,)))</f>
        <v>y=-1.1451x2+77.605x-34.739</v>
      </c>
      <c r="AT360" s="10" t="b">
        <f>IF(AND(I360="TN",S360&lt;=2800),VLOOKUP(AF360,TNCalibEq2500!$AZ$2:$BB$56,3,),IF(AND(I360="TDN",S360&lt;=2800),VLOOKUP(AF360,TNCalibEq2500!$AZ$2:$BB$56,3,)))</f>
        <v>0</v>
      </c>
      <c r="AU360" s="10" t="str">
        <f>IF(I360="TP",VLOOKUP(AF360,TPCalibEqFull!$AZ$2:$BB$56,3),IF(I360="TDP",VLOOKUP(AF360,TPCalibEqFull!$AZ$2:$BB$56,3),IF(I360="TDN",VLOOKUP(AF360,TNCalibEqFull!$AZ$1:$BB$56,3),IF(I360="TN",VLOOKUP(AF360,TNCalibEqFull!$AZ$1:$BB$56,3),FALSE))))</f>
        <v>y=-0.0423x2+66.444x-22.986</v>
      </c>
      <c r="AV360" s="10" t="str">
        <f t="shared" si="39"/>
        <v>0104 09:00:00-QAC-REC-C-1-DI-ATP</v>
      </c>
    </row>
    <row r="361" spans="1:48" s="10" customFormat="1" x14ac:dyDescent="0.55000000000000004">
      <c r="A361" s="32">
        <v>44915</v>
      </c>
      <c r="B361" s="33">
        <v>0.24930555555555556</v>
      </c>
      <c r="C361" s="10" t="s">
        <v>70</v>
      </c>
      <c r="D361" s="10" t="s">
        <v>241</v>
      </c>
      <c r="E361" s="10" t="s">
        <v>866</v>
      </c>
      <c r="F361" s="10">
        <v>1</v>
      </c>
      <c r="G361" s="10" t="s">
        <v>73</v>
      </c>
      <c r="H361" s="10" t="s">
        <v>245</v>
      </c>
      <c r="I361" s="10" t="s">
        <v>83</v>
      </c>
      <c r="J361" s="10">
        <v>53</v>
      </c>
      <c r="K361" s="12">
        <v>44930</v>
      </c>
      <c r="L361" s="33">
        <v>0.55715277777777772</v>
      </c>
      <c r="M361" s="10">
        <v>1</v>
      </c>
      <c r="N361" s="10" t="s">
        <v>84</v>
      </c>
      <c r="O361" s="10">
        <v>1.45</v>
      </c>
      <c r="P361" s="10">
        <v>0.10199999999999999</v>
      </c>
      <c r="Q361" s="10">
        <v>74.2</v>
      </c>
      <c r="R361" s="10" t="s">
        <v>85</v>
      </c>
      <c r="S361" s="34">
        <f t="shared" si="35"/>
        <v>83.544832999999954</v>
      </c>
      <c r="T361" s="10" t="s">
        <v>983</v>
      </c>
      <c r="U361" s="34">
        <f t="shared" si="36"/>
        <v>83.544832999999954</v>
      </c>
      <c r="V361" s="31" t="str">
        <f>IF(H361="CHK",VLOOKUP(I361,QCCHK,3,),IF(H361="GUP",VLOOKUP(E361,QCGUP,2,),IF(AND(H361="ATP",OR(I361="TN",I361="TDN",I361="TNO2-3",I361="NO2-3")),VLOOKUP(E361,QCREC_N,2,),IF(AND(H361="NIC",OR(I361="TN",I361="TDN",I361="TNO2-3",I361="NO2-3")),VLOOKUP(E361,QCNIC_N,2,),IF(AND(H361="UREA",OR(I361="TN",I361="TDN",I361="TNO2-3",I361="NO2-3")),VLOOKUP(E361,QCUREA_N,2,),IF(H361="PER",VLOOKUP(I361,QCPER,MATCH(E361,QCACTUAL!$J$25:$AA$25,0),),IF(H361="SPK",VLOOKUP(I361,QCSPK,3,),IF(AND(H361="ATP",OR(I361="TP",I361="TDP")),VLOOKUP(E361,QCATP_P,2,),""))))))))</f>
        <v/>
      </c>
      <c r="W361" s="31" t="str">
        <f t="shared" si="37"/>
        <v>FALSE</v>
      </c>
      <c r="X361" s="31" t="str">
        <f t="shared" si="38"/>
        <v>nominal concentration</v>
      </c>
      <c r="Y361" s="10" t="s">
        <v>970</v>
      </c>
      <c r="Z361" s="10" t="s">
        <v>910</v>
      </c>
      <c r="AF361" s="12">
        <v>44930</v>
      </c>
      <c r="AG361" s="10">
        <f>-8.4348*1.45^2+102.96*1.45-48.013</f>
        <v>83.544832999999954</v>
      </c>
      <c r="AH361" s="10">
        <f>-2.6941*1.45^2+86.956*1.45-40.231</f>
        <v>80.19085475</v>
      </c>
      <c r="AI361" s="10">
        <f>-1.1451*1.45^2+77.605*1.45-34.739</f>
        <v>75.380677250000019</v>
      </c>
      <c r="AK361" s="10">
        <f>-0.0423*1.45^2+66.444*1.45-22.986</f>
        <v>73.268864249999993</v>
      </c>
      <c r="AL361" s="10" t="str">
        <f t="shared" si="40"/>
        <v>y=-8.4348*1.45^2+102.96*1.45-48.013</v>
      </c>
      <c r="AM361" s="10" t="str">
        <f t="shared" si="40"/>
        <v>y=-2.6941*1.45^2+86.956*1.45-40.231</v>
      </c>
      <c r="AN361" s="10" t="str">
        <f t="shared" si="40"/>
        <v>y=-1.1451*1.45^2+77.605*1.45-34.739</v>
      </c>
      <c r="AO361" s="10" t="str">
        <f t="shared" si="41"/>
        <v>FALSE</v>
      </c>
      <c r="AP361" s="10" t="str">
        <f t="shared" si="41"/>
        <v>y=-0.0423*1.45^2+66.444*1.45-22.986</v>
      </c>
      <c r="AQ361" s="10" t="str">
        <f>IF(AND(I361="TP",S361&lt;=150),VLOOKUP(AF361,TPCalibEq150!$AZ$2:$BB$55,3,),IF(AND(I361="TDP",S361&lt;=150),VLOOKUP(AF361,TPCalibEq150!$AZ$2:$BB$55,3,)))</f>
        <v>y=-8.4348x2+102.96x-48.013</v>
      </c>
      <c r="AR361" s="10" t="str">
        <f>IF(AND(I361="TP",S361&lt;=300),VLOOKUP(AF361,TPCalibEq300!$AZ$2:$BB$55,3,),IF(AND(I361="TDP",S361&lt;=300),VLOOKUP(AF361,TPCalibEq300!$AZ$2:$BB$55,3,)))</f>
        <v>y=-2.6941x2+86.956x-40.231</v>
      </c>
      <c r="AS361" s="10" t="str">
        <f>IF(AND(I361="TP",S361&lt;=500),VLOOKUP(AF361,TPCalibEq500!$AZ$2:$BB$56,3,),IF(AND(I361="TDP",S361&lt;=500),VLOOKUP(AF361,TPCalibEq500!$AZ$2:$BB$56,3,)))</f>
        <v>y=-1.1451x2+77.605x-34.739</v>
      </c>
      <c r="AT361" s="10" t="b">
        <f>IF(AND(I361="TN",S361&lt;=2800),VLOOKUP(AF361,TNCalibEq2500!$AZ$2:$BB$56,3,),IF(AND(I361="TDN",S361&lt;=2800),VLOOKUP(AF361,TNCalibEq2500!$AZ$2:$BB$56,3,)))</f>
        <v>0</v>
      </c>
      <c r="AU361" s="10" t="str">
        <f>IF(I361="TP",VLOOKUP(AF361,TPCalibEqFull!$AZ$2:$BB$56,3),IF(I361="TDP",VLOOKUP(AF361,TPCalibEqFull!$AZ$2:$BB$56,3),IF(I361="TDN",VLOOKUP(AF361,TNCalibEqFull!$AZ$1:$BB$56,3),IF(I361="TN",VLOOKUP(AF361,TNCalibEqFull!$AZ$1:$BB$56,3),FALSE))))</f>
        <v>y=-0.0423x2+66.444x-22.986</v>
      </c>
      <c r="AV361" s="10" t="str">
        <f t="shared" si="39"/>
        <v>1220 05:59:00-QAC-BLK-A-1-DI-ESF</v>
      </c>
    </row>
    <row r="362" spans="1:48" s="10" customFormat="1" x14ac:dyDescent="0.55000000000000004">
      <c r="A362" s="32">
        <v>44922</v>
      </c>
      <c r="B362" s="33">
        <v>0.25347222222222221</v>
      </c>
      <c r="C362" s="10" t="s">
        <v>70</v>
      </c>
      <c r="D362" s="10" t="s">
        <v>241</v>
      </c>
      <c r="E362" s="10" t="s">
        <v>866</v>
      </c>
      <c r="F362" s="10">
        <v>1</v>
      </c>
      <c r="G362" s="10" t="s">
        <v>73</v>
      </c>
      <c r="H362" s="10" t="s">
        <v>245</v>
      </c>
      <c r="I362" s="10" t="s">
        <v>83</v>
      </c>
      <c r="J362" s="10">
        <v>54</v>
      </c>
      <c r="K362" s="12">
        <v>44930</v>
      </c>
      <c r="L362" s="33">
        <v>0.55784722222222227</v>
      </c>
      <c r="M362" s="10">
        <v>1</v>
      </c>
      <c r="N362" s="10" t="s">
        <v>84</v>
      </c>
      <c r="O362" s="10">
        <v>0.502</v>
      </c>
      <c r="P362" s="10">
        <v>3.3599999999999998E-2</v>
      </c>
      <c r="Q362" s="10">
        <v>11.3</v>
      </c>
      <c r="R362" s="10" t="s">
        <v>85</v>
      </c>
      <c r="S362" s="34">
        <f t="shared" si="35"/>
        <v>11.3</v>
      </c>
      <c r="T362" s="10" t="s">
        <v>983</v>
      </c>
      <c r="U362" s="34">
        <f t="shared" si="36"/>
        <v>11.3</v>
      </c>
      <c r="V362" s="31" t="str">
        <f>IF(H362="CHK",VLOOKUP(I362,QCCHK,3,),IF(H362="GUP",VLOOKUP(E362,QCGUP,2,),IF(AND(H362="ATP",OR(I362="TN",I362="TDN",I362="TNO2-3",I362="NO2-3")),VLOOKUP(E362,QCREC_N,2,),IF(AND(H362="NIC",OR(I362="TN",I362="TDN",I362="TNO2-3",I362="NO2-3")),VLOOKUP(E362,QCNIC_N,2,),IF(AND(H362="UREA",OR(I362="TN",I362="TDN",I362="TNO2-3",I362="NO2-3")),VLOOKUP(E362,QCUREA_N,2,),IF(H362="PER",VLOOKUP(I362,QCPER,MATCH(E362,QCACTUAL!$J$25:$AA$25,0),),IF(H362="SPK",VLOOKUP(I362,QCSPK,3,),IF(AND(H362="ATP",OR(I362="TP",I362="TDP")),VLOOKUP(E362,QCATP_P,2,),""))))))))</f>
        <v/>
      </c>
      <c r="W362" s="31" t="str">
        <f t="shared" si="37"/>
        <v>TRUE</v>
      </c>
      <c r="X362" s="31" t="str">
        <f t="shared" si="38"/>
        <v>nominal concentration</v>
      </c>
      <c r="Y362" s="10" t="s">
        <v>970</v>
      </c>
      <c r="Z362" s="10" t="s">
        <v>910</v>
      </c>
      <c r="AF362" s="12">
        <v>44930</v>
      </c>
      <c r="AG362" s="10">
        <f>-8.4348*0.502^2+102.96*0.502-48.013</f>
        <v>1.5473166608</v>
      </c>
      <c r="AH362" s="10">
        <f>-2.6941*0.502^2+86.956*0.502-40.231</f>
        <v>2.7419880236000012</v>
      </c>
      <c r="AI362" s="10">
        <f>-1.1451*0.502^2+77.605*0.502-34.739</f>
        <v>3.9301402195999984</v>
      </c>
      <c r="AK362" s="10">
        <f>-0.0423*0.502^2+66.444*0.502-22.986</f>
        <v>10.358228230800005</v>
      </c>
      <c r="AL362" s="10" t="str">
        <f t="shared" si="40"/>
        <v>y=-8.4348*0.502^2+102.96*0.502-48.013</v>
      </c>
      <c r="AM362" s="10" t="str">
        <f t="shared" si="40"/>
        <v>y=-2.6941*0.502^2+86.956*0.502-40.231</v>
      </c>
      <c r="AN362" s="10" t="str">
        <f t="shared" si="40"/>
        <v>y=-1.1451*0.502^2+77.605*0.502-34.739</v>
      </c>
      <c r="AO362" s="10" t="str">
        <f t="shared" si="41"/>
        <v>FALSE</v>
      </c>
      <c r="AP362" s="10" t="str">
        <f t="shared" si="41"/>
        <v>y=-0.0423*0.502^2+66.444*0.502-22.986</v>
      </c>
      <c r="AQ362" s="10" t="str">
        <f>IF(AND(I362="TP",S362&lt;=150),VLOOKUP(AF362,TPCalibEq150!$AZ$2:$BB$55,3,),IF(AND(I362="TDP",S362&lt;=150),VLOOKUP(AF362,TPCalibEq150!$AZ$2:$BB$55,3,)))</f>
        <v>y=-8.4348x2+102.96x-48.013</v>
      </c>
      <c r="AR362" s="10" t="str">
        <f>IF(AND(I362="TP",S362&lt;=300),VLOOKUP(AF362,TPCalibEq300!$AZ$2:$BB$55,3,),IF(AND(I362="TDP",S362&lt;=300),VLOOKUP(AF362,TPCalibEq300!$AZ$2:$BB$55,3,)))</f>
        <v>y=-2.6941x2+86.956x-40.231</v>
      </c>
      <c r="AS362" s="10" t="str">
        <f>IF(AND(I362="TP",S362&lt;=500),VLOOKUP(AF362,TPCalibEq500!$AZ$2:$BB$56,3,),IF(AND(I362="TDP",S362&lt;=500),VLOOKUP(AF362,TPCalibEq500!$AZ$2:$BB$56,3,)))</f>
        <v>y=-1.1451x2+77.605x-34.739</v>
      </c>
      <c r="AT362" s="10" t="b">
        <f>IF(AND(I362="TN",S362&lt;=2800),VLOOKUP(AF362,TNCalibEq2500!$AZ$2:$BB$56,3,),IF(AND(I362="TDN",S362&lt;=2800),VLOOKUP(AF362,TNCalibEq2500!$AZ$2:$BB$56,3,)))</f>
        <v>0</v>
      </c>
      <c r="AU362" s="10" t="str">
        <f>IF(I362="TP",VLOOKUP(AF362,TPCalibEqFull!$AZ$2:$BB$56,3),IF(I362="TDP",VLOOKUP(AF362,TPCalibEqFull!$AZ$2:$BB$56,3),IF(I362="TDN",VLOOKUP(AF362,TNCalibEqFull!$AZ$1:$BB$56,3),IF(I362="TN",VLOOKUP(AF362,TNCalibEqFull!$AZ$1:$BB$56,3),FALSE))))</f>
        <v>y=-0.0423x2+66.444x-22.986</v>
      </c>
      <c r="AV362" s="10" t="str">
        <f t="shared" si="39"/>
        <v>1227 06:05:00-QAC-BLK-A-1-DI-ESF</v>
      </c>
    </row>
    <row r="363" spans="1:48" s="10" customFormat="1" x14ac:dyDescent="0.55000000000000004">
      <c r="A363" s="32">
        <v>44929</v>
      </c>
      <c r="B363" s="33">
        <v>0.25</v>
      </c>
      <c r="C363" s="10" t="s">
        <v>70</v>
      </c>
      <c r="D363" s="10" t="s">
        <v>241</v>
      </c>
      <c r="E363" s="10" t="s">
        <v>866</v>
      </c>
      <c r="F363" s="10">
        <v>1</v>
      </c>
      <c r="G363" s="10" t="s">
        <v>73</v>
      </c>
      <c r="H363" s="10" t="s">
        <v>245</v>
      </c>
      <c r="I363" s="10" t="s">
        <v>83</v>
      </c>
      <c r="J363" s="10">
        <v>55</v>
      </c>
      <c r="K363" s="12">
        <v>44930</v>
      </c>
      <c r="L363" s="33">
        <v>0.55853009259259256</v>
      </c>
      <c r="M363" s="10">
        <v>1</v>
      </c>
      <c r="N363" s="10" t="s">
        <v>84</v>
      </c>
      <c r="O363" s="10">
        <v>0.56599999999999995</v>
      </c>
      <c r="P363" s="10">
        <v>3.7999999999999999E-2</v>
      </c>
      <c r="Q363" s="10">
        <v>15.6</v>
      </c>
      <c r="R363" s="10" t="s">
        <v>85</v>
      </c>
      <c r="S363" s="34">
        <f t="shared" si="35"/>
        <v>15.6</v>
      </c>
      <c r="T363" s="10" t="s">
        <v>983</v>
      </c>
      <c r="U363" s="34">
        <f t="shared" si="36"/>
        <v>15.6</v>
      </c>
      <c r="V363" s="31" t="str">
        <f>IF(H363="CHK",VLOOKUP(I363,QCCHK,3,),IF(H363="GUP",VLOOKUP(E363,QCGUP,2,),IF(AND(H363="ATP",OR(I363="TN",I363="TDN",I363="TNO2-3",I363="NO2-3")),VLOOKUP(E363,QCREC_N,2,),IF(AND(H363="NIC",OR(I363="TN",I363="TDN",I363="TNO2-3",I363="NO2-3")),VLOOKUP(E363,QCNIC_N,2,),IF(AND(H363="UREA",OR(I363="TN",I363="TDN",I363="TNO2-3",I363="NO2-3")),VLOOKUP(E363,QCUREA_N,2,),IF(H363="PER",VLOOKUP(I363,QCPER,MATCH(E363,QCACTUAL!$J$25:$AA$25,0),),IF(H363="SPK",VLOOKUP(I363,QCSPK,3,),IF(AND(H363="ATP",OR(I363="TP",I363="TDP")),VLOOKUP(E363,QCATP_P,2,),""))))))))</f>
        <v/>
      </c>
      <c r="W363" s="31" t="str">
        <f t="shared" si="37"/>
        <v>FALSE</v>
      </c>
      <c r="X363" s="31" t="str">
        <f t="shared" si="38"/>
        <v>nominal concentration</v>
      </c>
      <c r="Y363" s="10" t="s">
        <v>970</v>
      </c>
      <c r="AF363" s="12">
        <v>44930</v>
      </c>
      <c r="AG363" s="10">
        <f>-8.4348*0.566^2+102.96*0.566-48.013</f>
        <v>7.5602212111999947</v>
      </c>
      <c r="AH363" s="10">
        <f>-2.6941*0.566^2+86.956*0.566-40.231</f>
        <v>8.1230249003999973</v>
      </c>
      <c r="AI363" s="10">
        <f>-1.1451*0.566^2+77.605*0.566-34.739</f>
        <v>8.8185903444000004</v>
      </c>
      <c r="AK363" s="10">
        <f>-0.0423*0.566^2+66.444*0.566-22.986</f>
        <v>14.607752941200001</v>
      </c>
      <c r="AL363" s="10" t="str">
        <f t="shared" si="40"/>
        <v>y=-8.4348*0.566^2+102.96*0.566-48.013</v>
      </c>
      <c r="AM363" s="10" t="str">
        <f t="shared" si="40"/>
        <v>y=-2.6941*0.566^2+86.956*0.566-40.231</v>
      </c>
      <c r="AN363" s="10" t="str">
        <f t="shared" si="40"/>
        <v>y=-1.1451*0.566^2+77.605*0.566-34.739</v>
      </c>
      <c r="AO363" s="10" t="str">
        <f t="shared" si="41"/>
        <v>FALSE</v>
      </c>
      <c r="AP363" s="10" t="str">
        <f t="shared" si="41"/>
        <v>y=-0.0423*0.566^2+66.444*0.566-22.986</v>
      </c>
      <c r="AQ363" s="10" t="str">
        <f>IF(AND(I363="TP",S363&lt;=150),VLOOKUP(AF363,TPCalibEq150!$AZ$2:$BB$55,3,),IF(AND(I363="TDP",S363&lt;=150),VLOOKUP(AF363,TPCalibEq150!$AZ$2:$BB$55,3,)))</f>
        <v>y=-8.4348x2+102.96x-48.013</v>
      </c>
      <c r="AR363" s="10" t="str">
        <f>IF(AND(I363="TP",S363&lt;=300),VLOOKUP(AF363,TPCalibEq300!$AZ$2:$BB$55,3,),IF(AND(I363="TDP",S363&lt;=300),VLOOKUP(AF363,TPCalibEq300!$AZ$2:$BB$55,3,)))</f>
        <v>y=-2.6941x2+86.956x-40.231</v>
      </c>
      <c r="AS363" s="10" t="str">
        <f>IF(AND(I363="TP",S363&lt;=500),VLOOKUP(AF363,TPCalibEq500!$AZ$2:$BB$56,3,),IF(AND(I363="TDP",S363&lt;=500),VLOOKUP(AF363,TPCalibEq500!$AZ$2:$BB$56,3,)))</f>
        <v>y=-1.1451x2+77.605x-34.739</v>
      </c>
      <c r="AT363" s="10" t="b">
        <f>IF(AND(I363="TN",S363&lt;=2800),VLOOKUP(AF363,TNCalibEq2500!$AZ$2:$BB$56,3,),IF(AND(I363="TDN",S363&lt;=2800),VLOOKUP(AF363,TNCalibEq2500!$AZ$2:$BB$56,3,)))</f>
        <v>0</v>
      </c>
      <c r="AU363" s="10" t="str">
        <f>IF(I363="TP",VLOOKUP(AF363,TPCalibEqFull!$AZ$2:$BB$56,3),IF(I363="TDP",VLOOKUP(AF363,TPCalibEqFull!$AZ$2:$BB$56,3),IF(I363="TDN",VLOOKUP(AF363,TNCalibEqFull!$AZ$1:$BB$56,3),IF(I363="TN",VLOOKUP(AF363,TNCalibEqFull!$AZ$1:$BB$56,3),FALSE))))</f>
        <v>y=-0.0423x2+66.444x-22.986</v>
      </c>
      <c r="AV363" s="10" t="str">
        <f t="shared" si="39"/>
        <v>0103 06:00:00-QAC-BLK-A-1-DI-ESF</v>
      </c>
    </row>
    <row r="364" spans="1:48" s="10" customFormat="1" x14ac:dyDescent="0.55000000000000004">
      <c r="A364" s="32">
        <v>44915</v>
      </c>
      <c r="B364" s="33">
        <v>0.24930555555555556</v>
      </c>
      <c r="C364" s="10" t="s">
        <v>70</v>
      </c>
      <c r="D364" s="10" t="s">
        <v>241</v>
      </c>
      <c r="E364" s="10" t="s">
        <v>911</v>
      </c>
      <c r="F364" s="10">
        <v>1</v>
      </c>
      <c r="G364" s="10" t="s">
        <v>73</v>
      </c>
      <c r="H364" s="10" t="s">
        <v>245</v>
      </c>
      <c r="I364" s="10" t="s">
        <v>83</v>
      </c>
      <c r="J364" s="10">
        <v>56</v>
      </c>
      <c r="K364" s="12">
        <v>44930</v>
      </c>
      <c r="L364" s="33" t="s">
        <v>933</v>
      </c>
      <c r="M364" s="10">
        <v>1</v>
      </c>
      <c r="N364" s="10" t="s">
        <v>84</v>
      </c>
      <c r="O364" s="10" t="s">
        <v>933</v>
      </c>
      <c r="P364" s="10" t="s">
        <v>933</v>
      </c>
      <c r="Q364" s="10" t="s">
        <v>933</v>
      </c>
      <c r="R364" s="10" t="s">
        <v>85</v>
      </c>
      <c r="S364" s="34">
        <f t="shared" si="35"/>
        <v>0</v>
      </c>
      <c r="T364" s="10" t="s">
        <v>984</v>
      </c>
      <c r="U364" s="34">
        <f t="shared" si="36"/>
        <v>0</v>
      </c>
      <c r="V364" s="31" t="str">
        <f>IF(H364="CHK",VLOOKUP(I364,QCCHK,3,),IF(H364="GUP",VLOOKUP(E364,QCGUP,2,),IF(AND(H364="ATP",OR(I364="TN",I364="TDN",I364="TNO2-3",I364="NO2-3")),VLOOKUP(E364,QCREC_N,2,),IF(AND(H364="NIC",OR(I364="TN",I364="TDN",I364="TNO2-3",I364="NO2-3")),VLOOKUP(E364,QCNIC_N,2,),IF(AND(H364="UREA",OR(I364="TN",I364="TDN",I364="TNO2-3",I364="NO2-3")),VLOOKUP(E364,QCUREA_N,2,),IF(H364="PER",VLOOKUP(I364,QCPER,MATCH(E364,QCACTUAL!$J$25:$AA$25,0),),IF(H364="SPK",VLOOKUP(I364,QCSPK,3,),IF(AND(H364="ATP",OR(I364="TP",I364="TDP")),VLOOKUP(E364,QCATP_P,2,),""))))))))</f>
        <v/>
      </c>
      <c r="W364" s="31" t="str">
        <f t="shared" si="37"/>
        <v>TRUE</v>
      </c>
      <c r="X364" s="31" t="str">
        <f t="shared" si="38"/>
        <v>nominal concentration</v>
      </c>
      <c r="Y364" s="10" t="s">
        <v>970</v>
      </c>
      <c r="Z364" s="10" t="s">
        <v>935</v>
      </c>
      <c r="AF364" s="12">
        <v>44930</v>
      </c>
      <c r="AG364" s="10" t="s">
        <v>1020</v>
      </c>
      <c r="AH364" s="10" t="s">
        <v>988</v>
      </c>
      <c r="AI364" s="10" t="s">
        <v>989</v>
      </c>
      <c r="AK364" s="10" t="s">
        <v>990</v>
      </c>
      <c r="AL364" s="10" t="str">
        <f t="shared" si="40"/>
        <v>y=-8.4348*.^2+102.96*.-48.013</v>
      </c>
      <c r="AM364" s="10" t="str">
        <f t="shared" si="40"/>
        <v>y=-2.6941*.^2+86.956*.-40.231</v>
      </c>
      <c r="AN364" s="10" t="str">
        <f t="shared" si="40"/>
        <v>y=-1.1451*.^2+77.605*.-34.739</v>
      </c>
      <c r="AO364" s="10" t="str">
        <f t="shared" si="41"/>
        <v>FALSE</v>
      </c>
      <c r="AP364" s="10" t="str">
        <f t="shared" si="41"/>
        <v>y=-0.0423*.^2+66.444*.-22.986</v>
      </c>
      <c r="AQ364" s="10" t="str">
        <f>IF(AND(I364="TP",S364&lt;=150),VLOOKUP(AF364,TPCalibEq150!$AZ$2:$BB$55,3,),IF(AND(I364="TDP",S364&lt;=150),VLOOKUP(AF364,TPCalibEq150!$AZ$2:$BB$55,3,)))</f>
        <v>y=-8.4348x2+102.96x-48.013</v>
      </c>
      <c r="AR364" s="10" t="str">
        <f>IF(AND(I364="TP",S364&lt;=300),VLOOKUP(AF364,TPCalibEq300!$AZ$2:$BB$55,3,),IF(AND(I364="TDP",S364&lt;=300),VLOOKUP(AF364,TPCalibEq300!$AZ$2:$BB$55,3,)))</f>
        <v>y=-2.6941x2+86.956x-40.231</v>
      </c>
      <c r="AS364" s="10" t="str">
        <f>IF(AND(I364="TP",S364&lt;=500),VLOOKUP(AF364,TPCalibEq500!$AZ$2:$BB$56,3,),IF(AND(I364="TDP",S364&lt;=500),VLOOKUP(AF364,TPCalibEq500!$AZ$2:$BB$56,3,)))</f>
        <v>y=-1.1451x2+77.605x-34.739</v>
      </c>
      <c r="AT364" s="10" t="b">
        <f>IF(AND(I364="TN",S364&lt;=2800),VLOOKUP(AF364,TNCalibEq2500!$AZ$2:$BB$56,3,),IF(AND(I364="TDN",S364&lt;=2800),VLOOKUP(AF364,TNCalibEq2500!$AZ$2:$BB$56,3,)))</f>
        <v>0</v>
      </c>
      <c r="AU364" s="10" t="str">
        <f>IF(I364="TP",VLOOKUP(AF364,TPCalibEqFull!$AZ$2:$BB$56,3),IF(I364="TDP",VLOOKUP(AF364,TPCalibEqFull!$AZ$2:$BB$56,3),IF(I364="TDN",VLOOKUP(AF364,TNCalibEqFull!$AZ$1:$BB$56,3),IF(I364="TN",VLOOKUP(AF364,TNCalibEqFull!$AZ$1:$BB$56,3),FALSE))))</f>
        <v>y=-0.0423x2+66.444x-22.986</v>
      </c>
      <c r="AV364" s="10" t="str">
        <f t="shared" si="39"/>
        <v>1220 05:59:00-QAC-BLK-FIL-1-DI-ESF</v>
      </c>
    </row>
    <row r="365" spans="1:48" s="10" customFormat="1" x14ac:dyDescent="0.55000000000000004">
      <c r="A365" s="32">
        <v>44922</v>
      </c>
      <c r="B365" s="33">
        <v>0.25347222222222221</v>
      </c>
      <c r="C365" s="10" t="s">
        <v>70</v>
      </c>
      <c r="D365" s="10" t="s">
        <v>241</v>
      </c>
      <c r="E365" s="10" t="s">
        <v>911</v>
      </c>
      <c r="F365" s="10">
        <v>1</v>
      </c>
      <c r="G365" s="10" t="s">
        <v>73</v>
      </c>
      <c r="H365" s="10" t="s">
        <v>245</v>
      </c>
      <c r="I365" s="10" t="s">
        <v>266</v>
      </c>
      <c r="J365" s="10">
        <v>57</v>
      </c>
      <c r="K365" s="12">
        <v>44930</v>
      </c>
      <c r="L365" s="33">
        <v>0.55922453703703701</v>
      </c>
      <c r="M365" s="10">
        <v>1</v>
      </c>
      <c r="N365" s="10" t="s">
        <v>84</v>
      </c>
      <c r="O365" s="10">
        <v>1.18</v>
      </c>
      <c r="P365" s="10">
        <v>8.1600000000000006E-2</v>
      </c>
      <c r="Q365" s="10">
        <v>56.1</v>
      </c>
      <c r="R365" s="10" t="s">
        <v>85</v>
      </c>
      <c r="S365" s="34">
        <f t="shared" si="35"/>
        <v>61.735184479999994</v>
      </c>
      <c r="T365" s="10" t="s">
        <v>983</v>
      </c>
      <c r="U365" s="34">
        <f t="shared" si="36"/>
        <v>61.735184479999994</v>
      </c>
      <c r="V365" s="31" t="str">
        <f>IF(H365="CHK",VLOOKUP(I365,QCCHK,3,),IF(H365="GUP",VLOOKUP(E365,QCGUP,2,),IF(AND(H365="ATP",OR(I365="TN",I365="TDN",I365="TNO2-3",I365="NO2-3")),VLOOKUP(E365,QCREC_N,2,),IF(AND(H365="NIC",OR(I365="TN",I365="TDN",I365="TNO2-3",I365="NO2-3")),VLOOKUP(E365,QCNIC_N,2,),IF(AND(H365="UREA",OR(I365="TN",I365="TDN",I365="TNO2-3",I365="NO2-3")),VLOOKUP(E365,QCUREA_N,2,),IF(H365="PER",VLOOKUP(I365,QCPER,MATCH(E365,QCACTUAL!$J$25:$AA$25,0),),IF(H365="SPK",VLOOKUP(I365,QCSPK,3,),IF(AND(H365="ATP",OR(I365="TP",I365="TDP")),VLOOKUP(E365,QCATP_P,2,),""))))))))</f>
        <v/>
      </c>
      <c r="W365" s="31" t="str">
        <f t="shared" si="37"/>
        <v>FALSE</v>
      </c>
      <c r="X365" s="31" t="str">
        <f t="shared" si="38"/>
        <v>nominal concentration</v>
      </c>
      <c r="Y365" s="10" t="s">
        <v>970</v>
      </c>
      <c r="Z365" s="10" t="s">
        <v>910</v>
      </c>
      <c r="AF365" s="12">
        <v>44930</v>
      </c>
      <c r="AG365" s="10">
        <f>-8.4348*1.18^2+102.96*1.18-48.013</f>
        <v>61.735184479999994</v>
      </c>
      <c r="AH365" s="10">
        <f>-2.6941*1.18^2+86.956*1.18-40.231</f>
        <v>58.625815159999995</v>
      </c>
      <c r="AI365" s="10">
        <f>-1.1451*1.18^2+77.605*1.18-34.739</f>
        <v>55.240462759999993</v>
      </c>
      <c r="AK365" s="10">
        <f>-0.0423*1.18^2+66.444*1.18-22.986</f>
        <v>55.359021479999996</v>
      </c>
      <c r="AL365" s="10" t="str">
        <f t="shared" si="40"/>
        <v>y=-8.4348*1.18^2+102.96*1.18-48.013</v>
      </c>
      <c r="AM365" s="10" t="str">
        <f t="shared" si="40"/>
        <v>y=-2.6941*1.18^2+86.956*1.18-40.231</v>
      </c>
      <c r="AN365" s="10" t="str">
        <f t="shared" si="40"/>
        <v>y=-1.1451*1.18^2+77.605*1.18-34.739</v>
      </c>
      <c r="AO365" s="10" t="str">
        <f t="shared" si="41"/>
        <v>FALSE</v>
      </c>
      <c r="AP365" s="10" t="str">
        <f t="shared" si="41"/>
        <v>y=-0.0423*1.18^2+66.444*1.18-22.986</v>
      </c>
      <c r="AQ365" s="10" t="str">
        <f>IF(AND(I365="TP",S365&lt;=150),VLOOKUP(AF365,TPCalibEq150!$AZ$2:$BB$55,3,),IF(AND(I365="TDP",S365&lt;=150),VLOOKUP(AF365,TPCalibEq150!$AZ$2:$BB$55,3,)))</f>
        <v>y=-8.4348x2+102.96x-48.013</v>
      </c>
      <c r="AR365" s="10" t="str">
        <f>IF(AND(I365="TP",S365&lt;=300),VLOOKUP(AF365,TPCalibEq300!$AZ$2:$BB$55,3,),IF(AND(I365="TDP",S365&lt;=300),VLOOKUP(AF365,TPCalibEq300!$AZ$2:$BB$55,3,)))</f>
        <v>y=-2.6941x2+86.956x-40.231</v>
      </c>
      <c r="AS365" s="10" t="str">
        <f>IF(AND(I365="TP",S365&lt;=500),VLOOKUP(AF365,TPCalibEq500!$AZ$2:$BB$56,3,),IF(AND(I365="TDP",S365&lt;=500),VLOOKUP(AF365,TPCalibEq500!$AZ$2:$BB$56,3,)))</f>
        <v>y=-1.1451x2+77.605x-34.739</v>
      </c>
      <c r="AT365" s="10" t="b">
        <f>IF(AND(I365="TN",S365&lt;=2800),VLOOKUP(AF365,TNCalibEq2500!$AZ$2:$BB$56,3,),IF(AND(I365="TDN",S365&lt;=2800),VLOOKUP(AF365,TNCalibEq2500!$AZ$2:$BB$56,3,)))</f>
        <v>0</v>
      </c>
      <c r="AU365" s="10" t="str">
        <f>IF(I365="TP",VLOOKUP(AF365,TPCalibEqFull!$AZ$2:$BB$56,3),IF(I365="TDP",VLOOKUP(AF365,TPCalibEqFull!$AZ$2:$BB$56,3),IF(I365="TDN",VLOOKUP(AF365,TNCalibEqFull!$AZ$1:$BB$56,3),IF(I365="TN",VLOOKUP(AF365,TNCalibEqFull!$AZ$1:$BB$56,3),FALSE))))</f>
        <v>y=-0.0423x2+66.444x-22.986</v>
      </c>
      <c r="AV365" s="10" t="str">
        <f t="shared" si="39"/>
        <v>1227 06:05:00-QAC-BLK-FIL-1-DI-ESF</v>
      </c>
    </row>
    <row r="366" spans="1:48" s="10" customFormat="1" x14ac:dyDescent="0.55000000000000004">
      <c r="A366" s="32">
        <v>44929</v>
      </c>
      <c r="B366" s="33">
        <v>0.25</v>
      </c>
      <c r="C366" s="10" t="s">
        <v>70</v>
      </c>
      <c r="D366" s="10" t="s">
        <v>241</v>
      </c>
      <c r="E366" s="10" t="s">
        <v>911</v>
      </c>
      <c r="F366" s="10">
        <v>1</v>
      </c>
      <c r="G366" s="10" t="s">
        <v>73</v>
      </c>
      <c r="H366" s="10" t="s">
        <v>245</v>
      </c>
      <c r="I366" s="10" t="s">
        <v>266</v>
      </c>
      <c r="J366" s="10">
        <v>58</v>
      </c>
      <c r="K366" s="12">
        <v>44930</v>
      </c>
      <c r="L366" s="33">
        <v>0.55991898148148145</v>
      </c>
      <c r="M366" s="10">
        <v>1</v>
      </c>
      <c r="N366" s="10" t="s">
        <v>84</v>
      </c>
      <c r="O366" s="10">
        <v>0.52100000000000002</v>
      </c>
      <c r="P366" s="10">
        <v>3.4599999999999999E-2</v>
      </c>
      <c r="Q366" s="10">
        <v>12.5</v>
      </c>
      <c r="R366" s="10" t="s">
        <v>85</v>
      </c>
      <c r="S366" s="34">
        <f t="shared" si="35"/>
        <v>12.5</v>
      </c>
      <c r="T366" s="10" t="s">
        <v>983</v>
      </c>
      <c r="U366" s="34">
        <f t="shared" si="36"/>
        <v>12.5</v>
      </c>
      <c r="V366" s="31" t="str">
        <f>IF(H366="CHK",VLOOKUP(I366,QCCHK,3,),IF(H366="GUP",VLOOKUP(E366,QCGUP,2,),IF(AND(H366="ATP",OR(I366="TN",I366="TDN",I366="TNO2-3",I366="NO2-3")),VLOOKUP(E366,QCREC_N,2,),IF(AND(H366="NIC",OR(I366="TN",I366="TDN",I366="TNO2-3",I366="NO2-3")),VLOOKUP(E366,QCNIC_N,2,),IF(AND(H366="UREA",OR(I366="TN",I366="TDN",I366="TNO2-3",I366="NO2-3")),VLOOKUP(E366,QCUREA_N,2,),IF(H366="PER",VLOOKUP(I366,QCPER,MATCH(E366,QCACTUAL!$J$25:$AA$25,0),),IF(H366="SPK",VLOOKUP(I366,QCSPK,3,),IF(AND(H366="ATP",OR(I366="TP",I366="TDP")),VLOOKUP(E366,QCATP_P,2,),""))))))))</f>
        <v/>
      </c>
      <c r="W366" s="31" t="str">
        <f t="shared" si="37"/>
        <v>TRUE</v>
      </c>
      <c r="X366" s="31" t="str">
        <f t="shared" si="38"/>
        <v>nominal concentration</v>
      </c>
      <c r="Y366" s="10" t="s">
        <v>970</v>
      </c>
      <c r="AF366" s="12">
        <v>44930</v>
      </c>
      <c r="AG366" s="10">
        <f>-8.4348*0.521^2+102.96*0.521-48.013</f>
        <v>3.3396094531999978</v>
      </c>
      <c r="AH366" s="10">
        <f>-2.6941*0.521^2+86.956*0.521-40.231</f>
        <v>4.3417868018999997</v>
      </c>
      <c r="AI366" s="10">
        <f>-1.1451*0.521^2+77.605*0.521-34.739</f>
        <v>5.3823779109000043</v>
      </c>
      <c r="AK366" s="10">
        <f>-0.0423*0.521^2+66.444*0.521-22.986</f>
        <v>11.6198420457</v>
      </c>
      <c r="AL366" s="10" t="str">
        <f t="shared" si="40"/>
        <v>y=-8.4348*0.521^2+102.96*0.521-48.013</v>
      </c>
      <c r="AM366" s="10" t="str">
        <f t="shared" si="40"/>
        <v>y=-2.6941*0.521^2+86.956*0.521-40.231</v>
      </c>
      <c r="AN366" s="10" t="str">
        <f t="shared" si="40"/>
        <v>y=-1.1451*0.521^2+77.605*0.521-34.739</v>
      </c>
      <c r="AO366" s="10" t="str">
        <f t="shared" si="41"/>
        <v>FALSE</v>
      </c>
      <c r="AP366" s="10" t="str">
        <f t="shared" si="41"/>
        <v>y=-0.0423*0.521^2+66.444*0.521-22.986</v>
      </c>
      <c r="AQ366" s="10" t="str">
        <f>IF(AND(I366="TP",S366&lt;=150),VLOOKUP(AF366,TPCalibEq150!$AZ$2:$BB$55,3,),IF(AND(I366="TDP",S366&lt;=150),VLOOKUP(AF366,TPCalibEq150!$AZ$2:$BB$55,3,)))</f>
        <v>y=-8.4348x2+102.96x-48.013</v>
      </c>
      <c r="AR366" s="10" t="str">
        <f>IF(AND(I366="TP",S366&lt;=300),VLOOKUP(AF366,TPCalibEq300!$AZ$2:$BB$55,3,),IF(AND(I366="TDP",S366&lt;=300),VLOOKUP(AF366,TPCalibEq300!$AZ$2:$BB$55,3,)))</f>
        <v>y=-2.6941x2+86.956x-40.231</v>
      </c>
      <c r="AS366" s="10" t="str">
        <f>IF(AND(I366="TP",S366&lt;=500),VLOOKUP(AF366,TPCalibEq500!$AZ$2:$BB$56,3,),IF(AND(I366="TDP",S366&lt;=500),VLOOKUP(AF366,TPCalibEq500!$AZ$2:$BB$56,3,)))</f>
        <v>y=-1.1451x2+77.605x-34.739</v>
      </c>
      <c r="AT366" s="10" t="b">
        <f>IF(AND(I366="TN",S366&lt;=2800),VLOOKUP(AF366,TNCalibEq2500!$AZ$2:$BB$56,3,),IF(AND(I366="TDN",S366&lt;=2800),VLOOKUP(AF366,TNCalibEq2500!$AZ$2:$BB$56,3,)))</f>
        <v>0</v>
      </c>
      <c r="AU366" s="10" t="str">
        <f>IF(I366="TP",VLOOKUP(AF366,TPCalibEqFull!$AZ$2:$BB$56,3),IF(I366="TDP",VLOOKUP(AF366,TPCalibEqFull!$AZ$2:$BB$56,3),IF(I366="TDN",VLOOKUP(AF366,TNCalibEqFull!$AZ$1:$BB$56,3),IF(I366="TN",VLOOKUP(AF366,TNCalibEqFull!$AZ$1:$BB$56,3),FALSE))))</f>
        <v>y=-0.0423x2+66.444x-22.986</v>
      </c>
      <c r="AV366" s="10" t="str">
        <f t="shared" si="39"/>
        <v>0103 06:00:00-QAC-BLK-FIL-1-DI-ESF</v>
      </c>
    </row>
    <row r="367" spans="1:48" s="10" customFormat="1" x14ac:dyDescent="0.55000000000000004">
      <c r="A367" s="32">
        <v>44909</v>
      </c>
      <c r="B367" s="33">
        <v>0.23541666666666669</v>
      </c>
      <c r="C367" s="10" t="s">
        <v>279</v>
      </c>
      <c r="D367" s="10">
        <v>0</v>
      </c>
      <c r="E367" s="10" t="s">
        <v>190</v>
      </c>
      <c r="F367" s="10">
        <v>1</v>
      </c>
      <c r="G367" s="10" t="s">
        <v>231</v>
      </c>
      <c r="H367" s="10" t="s">
        <v>322</v>
      </c>
      <c r="I367" s="10" t="s">
        <v>83</v>
      </c>
      <c r="J367" s="10">
        <v>1</v>
      </c>
      <c r="K367" s="12">
        <v>44930</v>
      </c>
      <c r="L367" s="33">
        <v>0.56062500000000004</v>
      </c>
      <c r="M367" s="10">
        <v>1</v>
      </c>
      <c r="N367" s="10" t="s">
        <v>84</v>
      </c>
      <c r="O367" s="10">
        <v>3.71</v>
      </c>
      <c r="P367" s="10">
        <v>0.26400000000000001</v>
      </c>
      <c r="Q367" s="10">
        <v>225</v>
      </c>
      <c r="R367" s="10" t="s">
        <v>85</v>
      </c>
      <c r="S367" s="34">
        <f t="shared" si="35"/>
        <v>245.29389818999999</v>
      </c>
      <c r="T367" s="10" t="s">
        <v>983</v>
      </c>
      <c r="U367" s="34" t="str">
        <f t="shared" si="36"/>
        <v/>
      </c>
      <c r="V367" s="31" t="str">
        <f>IF(H367="CHK",VLOOKUP(I367,QCCHK,3,),IF(H367="GUP",VLOOKUP(E367,QCGUP,2,),IF(AND(H367="ATP",OR(I367="TN",I367="TDN",I367="TNO2-3",I367="NO2-3")),VLOOKUP(E367,QCREC_N,2,),IF(AND(H367="NIC",OR(I367="TN",I367="TDN",I367="TNO2-3",I367="NO2-3")),VLOOKUP(E367,QCNIC_N,2,),IF(AND(H367="UREA",OR(I367="TN",I367="TDN",I367="TNO2-3",I367="NO2-3")),VLOOKUP(E367,QCUREA_N,2,),IF(H367="PER",VLOOKUP(I367,QCPER,MATCH(E367,QCACTUAL!$J$25:$AA$25,0),),IF(H367="SPK",VLOOKUP(I367,QCSPK,3,),IF(AND(H367="ATP",OR(I367="TP",I367="TDP")),VLOOKUP(E367,QCATP_P,2,),""))))))))</f>
        <v/>
      </c>
      <c r="W367" s="31" t="str">
        <f t="shared" si="37"/>
        <v>TRUE</v>
      </c>
      <c r="X367" s="31" t="str">
        <f t="shared" si="38"/>
        <v/>
      </c>
      <c r="Y367" s="10" t="s">
        <v>970</v>
      </c>
      <c r="Z367" s="10" t="s">
        <v>910</v>
      </c>
      <c r="AF367" s="12">
        <v>44930</v>
      </c>
      <c r="AH367" s="10">
        <f>-2.6941*3.71^2+86.956*3.71-40.231</f>
        <v>245.29389818999999</v>
      </c>
      <c r="AI367" s="10">
        <f>-1.1451*3.71^2+77.605*3.71-34.739</f>
        <v>237.41427909000001</v>
      </c>
      <c r="AK367" s="10">
        <f>-0.0423*3.71^2+66.444*3.71-22.986</f>
        <v>222.93901857</v>
      </c>
      <c r="AL367" s="10" t="str">
        <f t="shared" si="40"/>
        <v>FALSE</v>
      </c>
      <c r="AM367" s="10" t="str">
        <f t="shared" si="40"/>
        <v>y=-2.6941*3.71^2+86.956*3.71-40.231</v>
      </c>
      <c r="AN367" s="10" t="str">
        <f t="shared" si="40"/>
        <v>y=-1.1451*3.71^2+77.605*3.71-34.739</v>
      </c>
      <c r="AO367" s="10" t="str">
        <f t="shared" si="41"/>
        <v>FALSE</v>
      </c>
      <c r="AP367" s="10" t="str">
        <f t="shared" si="41"/>
        <v>y=-0.0423*3.71^2+66.444*3.71-22.986</v>
      </c>
      <c r="AQ367" s="10" t="b">
        <f>IF(AND(I367="TP",S367&lt;=150),VLOOKUP(AF367,TPCalibEq150!$AZ$2:$BB$55,3,),IF(AND(I367="TDP",S367&lt;=150),VLOOKUP(AF367,TPCalibEq150!$AZ$2:$BB$55,3,)))</f>
        <v>0</v>
      </c>
      <c r="AR367" s="10" t="str">
        <f>IF(AND(I367="TP",S367&lt;=300),VLOOKUP(AF367,TPCalibEq300!$AZ$2:$BB$55,3,),IF(AND(I367="TDP",S367&lt;=300),VLOOKUP(AF367,TPCalibEq300!$AZ$2:$BB$55,3,)))</f>
        <v>y=-2.6941x2+86.956x-40.231</v>
      </c>
      <c r="AS367" s="10" t="str">
        <f>IF(AND(I367="TP",S367&lt;=500),VLOOKUP(AF367,TPCalibEq500!$AZ$2:$BB$56,3,),IF(AND(I367="TDP",S367&lt;=500),VLOOKUP(AF367,TPCalibEq500!$AZ$2:$BB$56,3,)))</f>
        <v>y=-1.1451x2+77.605x-34.739</v>
      </c>
      <c r="AT367" s="10" t="b">
        <f>IF(AND(I367="TN",S367&lt;=2800),VLOOKUP(AF367,TNCalibEq2500!$AZ$2:$BB$56,3,),IF(AND(I367="TDN",S367&lt;=2800),VLOOKUP(AF367,TNCalibEq2500!$AZ$2:$BB$56,3,)))</f>
        <v>0</v>
      </c>
      <c r="AU367" s="10" t="str">
        <f>IF(I367="TP",VLOOKUP(AF367,TPCalibEqFull!$AZ$2:$BB$56,3),IF(I367="TDP",VLOOKUP(AF367,TPCalibEqFull!$AZ$2:$BB$56,3),IF(I367="TDN",VLOOKUP(AF367,TNCalibEqFull!$AZ$1:$BB$56,3),IF(I367="TN",VLOOKUP(AF367,TNCalibEqFull!$AZ$1:$BB$56,3),FALSE))))</f>
        <v>y=-0.0423x2+66.444x-22.986</v>
      </c>
      <c r="AV367" s="10" t="str">
        <f t="shared" si="39"/>
        <v>1214 05:39:00-EFK-0-C-1-SW-UKN</v>
      </c>
    </row>
    <row r="368" spans="1:48" s="10" customFormat="1" x14ac:dyDescent="0.55000000000000004">
      <c r="A368" s="32">
        <v>44909</v>
      </c>
      <c r="B368" s="33">
        <v>0.24236111111111111</v>
      </c>
      <c r="C368" s="10" t="s">
        <v>333</v>
      </c>
      <c r="D368" s="10">
        <v>0</v>
      </c>
      <c r="E368" s="10" t="s">
        <v>190</v>
      </c>
      <c r="F368" s="10">
        <v>1</v>
      </c>
      <c r="G368" s="10" t="s">
        <v>231</v>
      </c>
      <c r="H368" s="10" t="s">
        <v>322</v>
      </c>
      <c r="I368" s="10" t="s">
        <v>83</v>
      </c>
      <c r="J368" s="10">
        <v>2</v>
      </c>
      <c r="K368" s="12">
        <v>44930</v>
      </c>
      <c r="L368" s="33">
        <v>0.56133101851851852</v>
      </c>
      <c r="M368" s="10">
        <v>1</v>
      </c>
      <c r="N368" s="10" t="s">
        <v>84</v>
      </c>
      <c r="O368" s="10">
        <v>2.0699999999999998</v>
      </c>
      <c r="P368" s="10">
        <v>0.14499999999999999</v>
      </c>
      <c r="Q368" s="10">
        <v>116</v>
      </c>
      <c r="R368" s="10" t="s">
        <v>85</v>
      </c>
      <c r="S368" s="34">
        <f t="shared" si="35"/>
        <v>128.97192547999995</v>
      </c>
      <c r="T368" s="10" t="s">
        <v>983</v>
      </c>
      <c r="U368" s="34" t="str">
        <f t="shared" si="36"/>
        <v/>
      </c>
      <c r="V368" s="31" t="str">
        <f>IF(H368="CHK",VLOOKUP(I368,QCCHK,3,),IF(H368="GUP",VLOOKUP(E368,QCGUP,2,),IF(AND(H368="ATP",OR(I368="TN",I368="TDN",I368="TNO2-3",I368="NO2-3")),VLOOKUP(E368,QCREC_N,2,),IF(AND(H368="NIC",OR(I368="TN",I368="TDN",I368="TNO2-3",I368="NO2-3")),VLOOKUP(E368,QCNIC_N,2,),IF(AND(H368="UREA",OR(I368="TN",I368="TDN",I368="TNO2-3",I368="NO2-3")),VLOOKUP(E368,QCUREA_N,2,),IF(H368="PER",VLOOKUP(I368,QCPER,MATCH(E368,QCACTUAL!$J$25:$AA$25,0),),IF(H368="SPK",VLOOKUP(I368,QCSPK,3,),IF(AND(H368="ATP",OR(I368="TP",I368="TDP")),VLOOKUP(E368,QCATP_P,2,),""))))))))</f>
        <v/>
      </c>
      <c r="W368" s="31" t="str">
        <f t="shared" si="37"/>
        <v>TRUE</v>
      </c>
      <c r="X368" s="31" t="str">
        <f t="shared" si="38"/>
        <v/>
      </c>
      <c r="Y368" s="10" t="s">
        <v>970</v>
      </c>
      <c r="Z368" s="10" t="s">
        <v>910</v>
      </c>
      <c r="AF368" s="12">
        <v>44930</v>
      </c>
      <c r="AG368" s="10">
        <f>-8.4348*2.07^2+102.96*2.07-48.013</f>
        <v>128.97192547999995</v>
      </c>
      <c r="AH368" s="10">
        <f>-2.6941*2.07^2+86.956*2.07-40.231</f>
        <v>128.22397090999999</v>
      </c>
      <c r="AI368" s="10">
        <f>-1.1451*2.07^2+77.605*2.07-34.739</f>
        <v>120.99671100999998</v>
      </c>
      <c r="AK368" s="10">
        <f>-0.0423*2.07^2+66.444*2.07-22.986</f>
        <v>114.37182872999999</v>
      </c>
      <c r="AL368" s="10" t="str">
        <f t="shared" si="40"/>
        <v>y=-8.4348*2.07^2+102.96*2.07-48.013</v>
      </c>
      <c r="AM368" s="10" t="str">
        <f t="shared" si="40"/>
        <v>y=-2.6941*2.07^2+86.956*2.07-40.231</v>
      </c>
      <c r="AN368" s="10" t="str">
        <f t="shared" si="40"/>
        <v>y=-1.1451*2.07^2+77.605*2.07-34.739</v>
      </c>
      <c r="AO368" s="10" t="str">
        <f t="shared" si="41"/>
        <v>FALSE</v>
      </c>
      <c r="AP368" s="10" t="str">
        <f t="shared" si="41"/>
        <v>y=-0.0423*2.07^2+66.444*2.07-22.986</v>
      </c>
      <c r="AQ368" s="10" t="str">
        <f>IF(AND(I368="TP",S368&lt;=150),VLOOKUP(AF368,TPCalibEq150!$AZ$2:$BB$55,3,),IF(AND(I368="TDP",S368&lt;=150),VLOOKUP(AF368,TPCalibEq150!$AZ$2:$BB$55,3,)))</f>
        <v>y=-8.4348x2+102.96x-48.013</v>
      </c>
      <c r="AR368" s="10" t="str">
        <f>IF(AND(I368="TP",S368&lt;=300),VLOOKUP(AF368,TPCalibEq300!$AZ$2:$BB$55,3,),IF(AND(I368="TDP",S368&lt;=300),VLOOKUP(AF368,TPCalibEq300!$AZ$2:$BB$55,3,)))</f>
        <v>y=-2.6941x2+86.956x-40.231</v>
      </c>
      <c r="AS368" s="10" t="str">
        <f>IF(AND(I368="TP",S368&lt;=500),VLOOKUP(AF368,TPCalibEq500!$AZ$2:$BB$56,3,),IF(AND(I368="TDP",S368&lt;=500),VLOOKUP(AF368,TPCalibEq500!$AZ$2:$BB$56,3,)))</f>
        <v>y=-1.1451x2+77.605x-34.739</v>
      </c>
      <c r="AT368" s="10" t="b">
        <f>IF(AND(I368="TN",S368&lt;=2800),VLOOKUP(AF368,TNCalibEq2500!$AZ$2:$BB$56,3,),IF(AND(I368="TDN",S368&lt;=2800),VLOOKUP(AF368,TNCalibEq2500!$AZ$2:$BB$56,3,)))</f>
        <v>0</v>
      </c>
      <c r="AU368" s="10" t="str">
        <f>IF(I368="TP",VLOOKUP(AF368,TPCalibEqFull!$AZ$2:$BB$56,3),IF(I368="TDP",VLOOKUP(AF368,TPCalibEqFull!$AZ$2:$BB$56,3),IF(I368="TDN",VLOOKUP(AF368,TNCalibEqFull!$AZ$1:$BB$56,3),IF(I368="TN",VLOOKUP(AF368,TNCalibEqFull!$AZ$1:$BB$56,3),FALSE))))</f>
        <v>y=-0.0423x2+66.444x-22.986</v>
      </c>
      <c r="AV368" s="10" t="str">
        <f t="shared" si="39"/>
        <v>1214 05:49:00-HST-0-C-1-SW-UKN</v>
      </c>
    </row>
    <row r="369" spans="1:48" s="10" customFormat="1" x14ac:dyDescent="0.55000000000000004">
      <c r="A369" s="32">
        <v>44910</v>
      </c>
      <c r="B369" s="33">
        <v>0.18472222222222223</v>
      </c>
      <c r="C369" s="10" t="s">
        <v>279</v>
      </c>
      <c r="D369" s="10">
        <v>0</v>
      </c>
      <c r="E369" s="10" t="s">
        <v>190</v>
      </c>
      <c r="F369" s="10">
        <v>1</v>
      </c>
      <c r="G369" s="10" t="s">
        <v>231</v>
      </c>
      <c r="H369" s="10" t="s">
        <v>322</v>
      </c>
      <c r="I369" s="10" t="s">
        <v>83</v>
      </c>
      <c r="J369" s="10">
        <v>3</v>
      </c>
      <c r="K369" s="12">
        <v>44930</v>
      </c>
      <c r="L369" s="33">
        <v>0.562037037037037</v>
      </c>
      <c r="M369" s="10">
        <v>1</v>
      </c>
      <c r="N369" s="10" t="s">
        <v>84</v>
      </c>
      <c r="O369" s="10">
        <v>4.37</v>
      </c>
      <c r="P369" s="10">
        <v>0.313</v>
      </c>
      <c r="Q369" s="10">
        <v>268</v>
      </c>
      <c r="R369" s="10" t="s">
        <v>85</v>
      </c>
      <c r="S369" s="34">
        <f t="shared" si="35"/>
        <v>288.31776171000001</v>
      </c>
      <c r="T369" s="10" t="s">
        <v>983</v>
      </c>
      <c r="U369" s="34" t="str">
        <f t="shared" si="36"/>
        <v/>
      </c>
      <c r="V369" s="31" t="str">
        <f>IF(H369="CHK",VLOOKUP(I369,QCCHK,3,),IF(H369="GUP",VLOOKUP(E369,QCGUP,2,),IF(AND(H369="ATP",OR(I369="TN",I369="TDN",I369="TNO2-3",I369="NO2-3")),VLOOKUP(E369,QCREC_N,2,),IF(AND(H369="NIC",OR(I369="TN",I369="TDN",I369="TNO2-3",I369="NO2-3")),VLOOKUP(E369,QCNIC_N,2,),IF(AND(H369="UREA",OR(I369="TN",I369="TDN",I369="TNO2-3",I369="NO2-3")),VLOOKUP(E369,QCUREA_N,2,),IF(H369="PER",VLOOKUP(I369,QCPER,MATCH(E369,QCACTUAL!$J$25:$AA$25,0),),IF(H369="SPK",VLOOKUP(I369,QCSPK,3,),IF(AND(H369="ATP",OR(I369="TP",I369="TDP")),VLOOKUP(E369,QCATP_P,2,),""))))))))</f>
        <v/>
      </c>
      <c r="W369" s="31" t="str">
        <f t="shared" si="37"/>
        <v>TRUE</v>
      </c>
      <c r="X369" s="31" t="str">
        <f t="shared" si="38"/>
        <v/>
      </c>
      <c r="Y369" s="10" t="s">
        <v>970</v>
      </c>
      <c r="Z369" s="10" t="s">
        <v>910</v>
      </c>
      <c r="AF369" s="12">
        <v>44930</v>
      </c>
      <c r="AH369" s="10">
        <f>-2.6941*4.37^2+86.956*4.37-40.231</f>
        <v>288.31776171000001</v>
      </c>
      <c r="AI369" s="10">
        <f>-1.1451*4.37^2+77.605*4.37-34.739</f>
        <v>282.52698981000009</v>
      </c>
      <c r="AK369" s="10">
        <f>-0.0423*4.37^2+66.444*4.37-22.986</f>
        <v>266.56648113000006</v>
      </c>
      <c r="AL369" s="10" t="str">
        <f t="shared" si="40"/>
        <v>FALSE</v>
      </c>
      <c r="AM369" s="10" t="str">
        <f t="shared" si="40"/>
        <v>y=-2.6941*4.37^2+86.956*4.37-40.231</v>
      </c>
      <c r="AN369" s="10" t="str">
        <f t="shared" si="40"/>
        <v>y=-1.1451*4.37^2+77.605*4.37-34.739</v>
      </c>
      <c r="AO369" s="10" t="str">
        <f t="shared" si="41"/>
        <v>FALSE</v>
      </c>
      <c r="AP369" s="10" t="str">
        <f t="shared" si="41"/>
        <v>y=-0.0423*4.37^2+66.444*4.37-22.986</v>
      </c>
      <c r="AQ369" s="10" t="b">
        <f>IF(AND(I369="TP",S369&lt;=150),VLOOKUP(AF369,TPCalibEq150!$AZ$2:$BB$55,3,),IF(AND(I369="TDP",S369&lt;=150),VLOOKUP(AF369,TPCalibEq150!$AZ$2:$BB$55,3,)))</f>
        <v>0</v>
      </c>
      <c r="AR369" s="10" t="str">
        <f>IF(AND(I369="TP",S369&lt;=300),VLOOKUP(AF369,TPCalibEq300!$AZ$2:$BB$55,3,),IF(AND(I369="TDP",S369&lt;=300),VLOOKUP(AF369,TPCalibEq300!$AZ$2:$BB$55,3,)))</f>
        <v>y=-2.6941x2+86.956x-40.231</v>
      </c>
      <c r="AS369" s="10" t="str">
        <f>IF(AND(I369="TP",S369&lt;=500),VLOOKUP(AF369,TPCalibEq500!$AZ$2:$BB$56,3,),IF(AND(I369="TDP",S369&lt;=500),VLOOKUP(AF369,TPCalibEq500!$AZ$2:$BB$56,3,)))</f>
        <v>y=-1.1451x2+77.605x-34.739</v>
      </c>
      <c r="AT369" s="10" t="b">
        <f>IF(AND(I369="TN",S369&lt;=2800),VLOOKUP(AF369,TNCalibEq2500!$AZ$2:$BB$56,3,),IF(AND(I369="TDN",S369&lt;=2800),VLOOKUP(AF369,TNCalibEq2500!$AZ$2:$BB$56,3,)))</f>
        <v>0</v>
      </c>
      <c r="AU369" s="10" t="str">
        <f>IF(I369="TP",VLOOKUP(AF369,TPCalibEqFull!$AZ$2:$BB$56,3),IF(I369="TDP",VLOOKUP(AF369,TPCalibEqFull!$AZ$2:$BB$56,3),IF(I369="TDN",VLOOKUP(AF369,TNCalibEqFull!$AZ$1:$BB$56,3),IF(I369="TN",VLOOKUP(AF369,TNCalibEqFull!$AZ$1:$BB$56,3),FALSE))))</f>
        <v>y=-0.0423x2+66.444x-22.986</v>
      </c>
      <c r="AV369" s="10" t="str">
        <f t="shared" si="39"/>
        <v>1215 04:26:00-EFK-0-C-1-SW-UKN</v>
      </c>
    </row>
    <row r="370" spans="1:48" s="10" customFormat="1" x14ac:dyDescent="0.55000000000000004">
      <c r="A370" s="32">
        <v>44910</v>
      </c>
      <c r="B370" s="33">
        <v>0.18819444444444444</v>
      </c>
      <c r="C370" s="10" t="s">
        <v>333</v>
      </c>
      <c r="D370" s="10">
        <v>0</v>
      </c>
      <c r="E370" s="10" t="s">
        <v>190</v>
      </c>
      <c r="F370" s="10">
        <v>1</v>
      </c>
      <c r="G370" s="10" t="s">
        <v>231</v>
      </c>
      <c r="H370" s="10" t="s">
        <v>322</v>
      </c>
      <c r="I370" s="10" t="s">
        <v>83</v>
      </c>
      <c r="J370" s="10">
        <v>4</v>
      </c>
      <c r="K370" s="12">
        <v>44930</v>
      </c>
      <c r="L370" s="33">
        <v>0.56274305555555559</v>
      </c>
      <c r="M370" s="10">
        <v>1</v>
      </c>
      <c r="N370" s="10" t="s">
        <v>84</v>
      </c>
      <c r="O370" s="10">
        <v>4.0999999999999996</v>
      </c>
      <c r="P370" s="10">
        <v>0.29499999999999998</v>
      </c>
      <c r="Q370" s="10">
        <v>250</v>
      </c>
      <c r="R370" s="10" t="s">
        <v>85</v>
      </c>
      <c r="S370" s="34">
        <f t="shared" si="35"/>
        <v>271.00077899999997</v>
      </c>
      <c r="T370" s="10" t="s">
        <v>983</v>
      </c>
      <c r="U370" s="34" t="str">
        <f t="shared" si="36"/>
        <v/>
      </c>
      <c r="V370" s="31" t="str">
        <f>IF(H370="CHK",VLOOKUP(I370,QCCHK,3,),IF(H370="GUP",VLOOKUP(E370,QCGUP,2,),IF(AND(H370="ATP",OR(I370="TN",I370="TDN",I370="TNO2-3",I370="NO2-3")),VLOOKUP(E370,QCREC_N,2,),IF(AND(H370="NIC",OR(I370="TN",I370="TDN",I370="TNO2-3",I370="NO2-3")),VLOOKUP(E370,QCNIC_N,2,),IF(AND(H370="UREA",OR(I370="TN",I370="TDN",I370="TNO2-3",I370="NO2-3")),VLOOKUP(E370,QCUREA_N,2,),IF(H370="PER",VLOOKUP(I370,QCPER,MATCH(E370,QCACTUAL!$J$25:$AA$25,0),),IF(H370="SPK",VLOOKUP(I370,QCSPK,3,),IF(AND(H370="ATP",OR(I370="TP",I370="TDP")),VLOOKUP(E370,QCATP_P,2,),""))))))))</f>
        <v/>
      </c>
      <c r="W370" s="31" t="str">
        <f t="shared" si="37"/>
        <v>TRUE</v>
      </c>
      <c r="X370" s="31" t="str">
        <f t="shared" si="38"/>
        <v/>
      </c>
      <c r="Y370" s="10" t="s">
        <v>970</v>
      </c>
      <c r="Z370" s="10" t="s">
        <v>910</v>
      </c>
      <c r="AF370" s="12">
        <v>44930</v>
      </c>
      <c r="AH370" s="10">
        <f>-2.6941*4.1^2+86.956*4.1-40.231</f>
        <v>271.00077899999997</v>
      </c>
      <c r="AI370" s="10">
        <f>-1.1451*4.1^2+77.605*4.1-34.739</f>
        <v>264.19236900000004</v>
      </c>
      <c r="AK370" s="10">
        <f>-0.0423*4.1^2+66.444*4.1-22.986</f>
        <v>248.72333699999996</v>
      </c>
      <c r="AL370" s="10" t="str">
        <f t="shared" si="40"/>
        <v>FALSE</v>
      </c>
      <c r="AM370" s="10" t="str">
        <f t="shared" si="40"/>
        <v>y=-2.6941*4.1^2+86.956*4.1-40.231</v>
      </c>
      <c r="AN370" s="10" t="str">
        <f t="shared" si="40"/>
        <v>y=-1.1451*4.1^2+77.605*4.1-34.739</v>
      </c>
      <c r="AO370" s="10" t="str">
        <f t="shared" si="41"/>
        <v>FALSE</v>
      </c>
      <c r="AP370" s="10" t="str">
        <f t="shared" si="41"/>
        <v>y=-0.0423*4.1^2+66.444*4.1-22.986</v>
      </c>
      <c r="AQ370" s="10" t="b">
        <f>IF(AND(I370="TP",S370&lt;=150),VLOOKUP(AF370,TPCalibEq150!$AZ$2:$BB$55,3,),IF(AND(I370="TDP",S370&lt;=150),VLOOKUP(AF370,TPCalibEq150!$AZ$2:$BB$55,3,)))</f>
        <v>0</v>
      </c>
      <c r="AR370" s="10" t="str">
        <f>IF(AND(I370="TP",S370&lt;=300),VLOOKUP(AF370,TPCalibEq300!$AZ$2:$BB$55,3,),IF(AND(I370="TDP",S370&lt;=300),VLOOKUP(AF370,TPCalibEq300!$AZ$2:$BB$55,3,)))</f>
        <v>y=-2.6941x2+86.956x-40.231</v>
      </c>
      <c r="AS370" s="10" t="str">
        <f>IF(AND(I370="TP",S370&lt;=500),VLOOKUP(AF370,TPCalibEq500!$AZ$2:$BB$56,3,),IF(AND(I370="TDP",S370&lt;=500),VLOOKUP(AF370,TPCalibEq500!$AZ$2:$BB$56,3,)))</f>
        <v>y=-1.1451x2+77.605x-34.739</v>
      </c>
      <c r="AT370" s="10" t="b">
        <f>IF(AND(I370="TN",S370&lt;=2800),VLOOKUP(AF370,TNCalibEq2500!$AZ$2:$BB$56,3,),IF(AND(I370="TDN",S370&lt;=2800),VLOOKUP(AF370,TNCalibEq2500!$AZ$2:$BB$56,3,)))</f>
        <v>0</v>
      </c>
      <c r="AU370" s="10" t="str">
        <f>IF(I370="TP",VLOOKUP(AF370,TPCalibEqFull!$AZ$2:$BB$56,3),IF(I370="TDP",VLOOKUP(AF370,TPCalibEqFull!$AZ$2:$BB$56,3),IF(I370="TDN",VLOOKUP(AF370,TNCalibEqFull!$AZ$1:$BB$56,3),IF(I370="TN",VLOOKUP(AF370,TNCalibEqFull!$AZ$1:$BB$56,3),FALSE))))</f>
        <v>y=-0.0423x2+66.444x-22.986</v>
      </c>
      <c r="AV370" s="10" t="str">
        <f t="shared" si="39"/>
        <v>1215 04:31:00-HST-0-C-1-SW-UKN</v>
      </c>
    </row>
    <row r="371" spans="1:48" s="10" customFormat="1" x14ac:dyDescent="0.55000000000000004">
      <c r="A371" s="32">
        <v>44911</v>
      </c>
      <c r="B371" s="33">
        <v>0.4993055555555555</v>
      </c>
      <c r="C371" s="10" t="s">
        <v>279</v>
      </c>
      <c r="D371" s="10">
        <v>0</v>
      </c>
      <c r="E371" s="10" t="s">
        <v>190</v>
      </c>
      <c r="F371" s="10">
        <v>1</v>
      </c>
      <c r="G371" s="10" t="s">
        <v>231</v>
      </c>
      <c r="H371" s="10" t="s">
        <v>322</v>
      </c>
      <c r="I371" s="10" t="s">
        <v>83</v>
      </c>
      <c r="J371" s="10">
        <v>5</v>
      </c>
      <c r="K371" s="12">
        <v>44930</v>
      </c>
      <c r="L371" s="33">
        <v>0.56343750000000004</v>
      </c>
      <c r="M371" s="10">
        <v>1</v>
      </c>
      <c r="N371" s="10" t="s">
        <v>84</v>
      </c>
      <c r="O371" s="10">
        <v>3.94</v>
      </c>
      <c r="P371" s="10">
        <v>0.28399999999999997</v>
      </c>
      <c r="Q371" s="10">
        <v>240</v>
      </c>
      <c r="R371" s="10" t="s">
        <v>85</v>
      </c>
      <c r="S371" s="34">
        <f t="shared" si="35"/>
        <v>260.55350924000004</v>
      </c>
      <c r="T371" s="10" t="s">
        <v>983</v>
      </c>
      <c r="U371" s="34" t="str">
        <f t="shared" si="36"/>
        <v/>
      </c>
      <c r="V371" s="31" t="str">
        <f>IF(H371="CHK",VLOOKUP(I371,QCCHK,3,),IF(H371="GUP",VLOOKUP(E371,QCGUP,2,),IF(AND(H371="ATP",OR(I371="TN",I371="TDN",I371="TNO2-3",I371="NO2-3")),VLOOKUP(E371,QCREC_N,2,),IF(AND(H371="NIC",OR(I371="TN",I371="TDN",I371="TNO2-3",I371="NO2-3")),VLOOKUP(E371,QCNIC_N,2,),IF(AND(H371="UREA",OR(I371="TN",I371="TDN",I371="TNO2-3",I371="NO2-3")),VLOOKUP(E371,QCUREA_N,2,),IF(H371="PER",VLOOKUP(I371,QCPER,MATCH(E371,QCACTUAL!$J$25:$AA$25,0),),IF(H371="SPK",VLOOKUP(I371,QCSPK,3,),IF(AND(H371="ATP",OR(I371="TP",I371="TDP")),VLOOKUP(E371,QCATP_P,2,),""))))))))</f>
        <v/>
      </c>
      <c r="W371" s="31" t="str">
        <f t="shared" si="37"/>
        <v>TRUE</v>
      </c>
      <c r="X371" s="31" t="str">
        <f t="shared" si="38"/>
        <v/>
      </c>
      <c r="Y371" s="10" t="s">
        <v>970</v>
      </c>
      <c r="Z371" s="10" t="s">
        <v>910</v>
      </c>
      <c r="AF371" s="12">
        <v>44930</v>
      </c>
      <c r="AH371" s="10">
        <f>-2.6941*3.94^2+86.956*3.94-40.231</f>
        <v>260.55350924000004</v>
      </c>
      <c r="AI371" s="10">
        <f>-1.1451*3.94^2+77.605*3.94-34.739</f>
        <v>253.24862564000003</v>
      </c>
      <c r="AK371" s="10">
        <f>-0.0423*3.94^2+66.444*3.94-22.986</f>
        <v>238.14671171999998</v>
      </c>
      <c r="AL371" s="10" t="str">
        <f t="shared" si="40"/>
        <v>FALSE</v>
      </c>
      <c r="AM371" s="10" t="str">
        <f t="shared" si="40"/>
        <v>y=-2.6941*3.94^2+86.956*3.94-40.231</v>
      </c>
      <c r="AN371" s="10" t="str">
        <f t="shared" si="40"/>
        <v>y=-1.1451*3.94^2+77.605*3.94-34.739</v>
      </c>
      <c r="AO371" s="10" t="str">
        <f t="shared" si="41"/>
        <v>FALSE</v>
      </c>
      <c r="AP371" s="10" t="str">
        <f t="shared" si="41"/>
        <v>y=-0.0423*3.94^2+66.444*3.94-22.986</v>
      </c>
      <c r="AQ371" s="10" t="b">
        <f>IF(AND(I371="TP",S371&lt;=150),VLOOKUP(AF371,TPCalibEq150!$AZ$2:$BB$55,3,),IF(AND(I371="TDP",S371&lt;=150),VLOOKUP(AF371,TPCalibEq150!$AZ$2:$BB$55,3,)))</f>
        <v>0</v>
      </c>
      <c r="AR371" s="10" t="str">
        <f>IF(AND(I371="TP",S371&lt;=300),VLOOKUP(AF371,TPCalibEq300!$AZ$2:$BB$55,3,),IF(AND(I371="TDP",S371&lt;=300),VLOOKUP(AF371,TPCalibEq300!$AZ$2:$BB$55,3,)))</f>
        <v>y=-2.6941x2+86.956x-40.231</v>
      </c>
      <c r="AS371" s="10" t="str">
        <f>IF(AND(I371="TP",S371&lt;=500),VLOOKUP(AF371,TPCalibEq500!$AZ$2:$BB$56,3,),IF(AND(I371="TDP",S371&lt;=500),VLOOKUP(AF371,TPCalibEq500!$AZ$2:$BB$56,3,)))</f>
        <v>y=-1.1451x2+77.605x-34.739</v>
      </c>
      <c r="AT371" s="10" t="b">
        <f>IF(AND(I371="TN",S371&lt;=2800),VLOOKUP(AF371,TNCalibEq2500!$AZ$2:$BB$56,3,),IF(AND(I371="TDN",S371&lt;=2800),VLOOKUP(AF371,TNCalibEq2500!$AZ$2:$BB$56,3,)))</f>
        <v>0</v>
      </c>
      <c r="AU371" s="10" t="str">
        <f>IF(I371="TP",VLOOKUP(AF371,TPCalibEqFull!$AZ$2:$BB$56,3),IF(I371="TDP",VLOOKUP(AF371,TPCalibEqFull!$AZ$2:$BB$56,3),IF(I371="TDN",VLOOKUP(AF371,TNCalibEqFull!$AZ$1:$BB$56,3),IF(I371="TN",VLOOKUP(AF371,TNCalibEqFull!$AZ$1:$BB$56,3),FALSE))))</f>
        <v>y=-0.0423x2+66.444x-22.986</v>
      </c>
      <c r="AV371" s="10" t="str">
        <f t="shared" si="39"/>
        <v>1216 11:59:00-EFK-0-C-1-SW-UKN</v>
      </c>
    </row>
    <row r="372" spans="1:48" s="10" customFormat="1" x14ac:dyDescent="0.55000000000000004">
      <c r="A372" s="32">
        <v>44911</v>
      </c>
      <c r="B372" s="33">
        <v>0.49722222222222223</v>
      </c>
      <c r="C372" s="10" t="s">
        <v>333</v>
      </c>
      <c r="D372" s="10">
        <v>0</v>
      </c>
      <c r="E372" s="10" t="s">
        <v>190</v>
      </c>
      <c r="F372" s="10">
        <v>1</v>
      </c>
      <c r="G372" s="10" t="s">
        <v>231</v>
      </c>
      <c r="H372" s="10" t="s">
        <v>322</v>
      </c>
      <c r="I372" s="10" t="s">
        <v>83</v>
      </c>
      <c r="J372" s="10">
        <v>6</v>
      </c>
      <c r="K372" s="12">
        <v>44930</v>
      </c>
      <c r="L372" s="33">
        <v>0.56412037037037044</v>
      </c>
      <c r="M372" s="10">
        <v>1</v>
      </c>
      <c r="N372" s="10" t="s">
        <v>84</v>
      </c>
      <c r="O372" s="10">
        <v>2.88</v>
      </c>
      <c r="P372" s="10">
        <v>0.20399999999999999</v>
      </c>
      <c r="Q372" s="10">
        <v>169</v>
      </c>
      <c r="R372" s="10" t="s">
        <v>85</v>
      </c>
      <c r="S372" s="34">
        <f t="shared" si="35"/>
        <v>187.85633695999999</v>
      </c>
      <c r="T372" s="10" t="s">
        <v>983</v>
      </c>
      <c r="U372" s="34" t="str">
        <f t="shared" si="36"/>
        <v/>
      </c>
      <c r="V372" s="31" t="str">
        <f>IF(H372="CHK",VLOOKUP(I372,QCCHK,3,),IF(H372="GUP",VLOOKUP(E372,QCGUP,2,),IF(AND(H372="ATP",OR(I372="TN",I372="TDN",I372="TNO2-3",I372="NO2-3")),VLOOKUP(E372,QCREC_N,2,),IF(AND(H372="NIC",OR(I372="TN",I372="TDN",I372="TNO2-3",I372="NO2-3")),VLOOKUP(E372,QCNIC_N,2,),IF(AND(H372="UREA",OR(I372="TN",I372="TDN",I372="TNO2-3",I372="NO2-3")),VLOOKUP(E372,QCUREA_N,2,),IF(H372="PER",VLOOKUP(I372,QCPER,MATCH(E372,QCACTUAL!$J$25:$AA$25,0),),IF(H372="SPK",VLOOKUP(I372,QCSPK,3,),IF(AND(H372="ATP",OR(I372="TP",I372="TDP")),VLOOKUP(E372,QCATP_P,2,),""))))))))</f>
        <v/>
      </c>
      <c r="W372" s="31" t="str">
        <f t="shared" si="37"/>
        <v>TRUE</v>
      </c>
      <c r="X372" s="31" t="str">
        <f t="shared" si="38"/>
        <v/>
      </c>
      <c r="Y372" s="10" t="s">
        <v>970</v>
      </c>
      <c r="Z372" s="10" t="s">
        <v>910</v>
      </c>
      <c r="AF372" s="12">
        <v>44930</v>
      </c>
      <c r="AH372" s="10">
        <f>-2.6941*2.88^2+86.956*2.88-40.231</f>
        <v>187.85633695999999</v>
      </c>
      <c r="AI372" s="10">
        <f>-1.1451*2.88^2+77.605*2.88-34.739</f>
        <v>179.26548255999998</v>
      </c>
      <c r="AK372" s="10">
        <f>-0.0423*2.88^2+66.444*2.88-22.986</f>
        <v>168.02186688</v>
      </c>
      <c r="AL372" s="10" t="str">
        <f t="shared" si="40"/>
        <v>FALSE</v>
      </c>
      <c r="AM372" s="10" t="str">
        <f t="shared" si="40"/>
        <v>y=-2.6941*2.88^2+86.956*2.88-40.231</v>
      </c>
      <c r="AN372" s="10" t="str">
        <f t="shared" si="40"/>
        <v>y=-1.1451*2.88^2+77.605*2.88-34.739</v>
      </c>
      <c r="AO372" s="10" t="str">
        <f t="shared" si="41"/>
        <v>FALSE</v>
      </c>
      <c r="AP372" s="10" t="str">
        <f t="shared" si="41"/>
        <v>y=-0.0423*2.88^2+66.444*2.88-22.986</v>
      </c>
      <c r="AQ372" s="10" t="b">
        <f>IF(AND(I372="TP",S372&lt;=150),VLOOKUP(AF372,TPCalibEq150!$AZ$2:$BB$55,3,),IF(AND(I372="TDP",S372&lt;=150),VLOOKUP(AF372,TPCalibEq150!$AZ$2:$BB$55,3,)))</f>
        <v>0</v>
      </c>
      <c r="AR372" s="10" t="str">
        <f>IF(AND(I372="TP",S372&lt;=300),VLOOKUP(AF372,TPCalibEq300!$AZ$2:$BB$55,3,),IF(AND(I372="TDP",S372&lt;=300),VLOOKUP(AF372,TPCalibEq300!$AZ$2:$BB$55,3,)))</f>
        <v>y=-2.6941x2+86.956x-40.231</v>
      </c>
      <c r="AS372" s="10" t="str">
        <f>IF(AND(I372="TP",S372&lt;=500),VLOOKUP(AF372,TPCalibEq500!$AZ$2:$BB$56,3,),IF(AND(I372="TDP",S372&lt;=500),VLOOKUP(AF372,TPCalibEq500!$AZ$2:$BB$56,3,)))</f>
        <v>y=-1.1451x2+77.605x-34.739</v>
      </c>
      <c r="AT372" s="10" t="b">
        <f>IF(AND(I372="TN",S372&lt;=2800),VLOOKUP(AF372,TNCalibEq2500!$AZ$2:$BB$56,3,),IF(AND(I372="TDN",S372&lt;=2800),VLOOKUP(AF372,TNCalibEq2500!$AZ$2:$BB$56,3,)))</f>
        <v>0</v>
      </c>
      <c r="AU372" s="10" t="str">
        <f>IF(I372="TP",VLOOKUP(AF372,TPCalibEqFull!$AZ$2:$BB$56,3),IF(I372="TDP",VLOOKUP(AF372,TPCalibEqFull!$AZ$2:$BB$56,3),IF(I372="TDN",VLOOKUP(AF372,TNCalibEqFull!$AZ$1:$BB$56,3),IF(I372="TN",VLOOKUP(AF372,TNCalibEqFull!$AZ$1:$BB$56,3),FALSE))))</f>
        <v>y=-0.0423x2+66.444x-22.986</v>
      </c>
      <c r="AV372" s="10" t="str">
        <f t="shared" si="39"/>
        <v>1216 11:56:00-HST-0-C-1-SW-UKN</v>
      </c>
    </row>
    <row r="373" spans="1:48" s="10" customFormat="1" x14ac:dyDescent="0.55000000000000004">
      <c r="A373" s="32">
        <v>44914</v>
      </c>
      <c r="B373" s="33">
        <v>0.22361111111111109</v>
      </c>
      <c r="C373" s="10" t="s">
        <v>279</v>
      </c>
      <c r="D373" s="10">
        <v>0</v>
      </c>
      <c r="E373" s="10" t="s">
        <v>190</v>
      </c>
      <c r="F373" s="10">
        <v>1</v>
      </c>
      <c r="G373" s="10" t="s">
        <v>231</v>
      </c>
      <c r="H373" s="10" t="s">
        <v>322</v>
      </c>
      <c r="I373" s="10" t="s">
        <v>83</v>
      </c>
      <c r="J373" s="10">
        <v>7</v>
      </c>
      <c r="K373" s="12">
        <v>44930</v>
      </c>
      <c r="L373" s="33">
        <v>0.56482638888888892</v>
      </c>
      <c r="M373" s="10">
        <v>1</v>
      </c>
      <c r="N373" s="10" t="s">
        <v>84</v>
      </c>
      <c r="O373" s="10">
        <v>3.12</v>
      </c>
      <c r="P373" s="10">
        <v>0.223</v>
      </c>
      <c r="Q373" s="10">
        <v>185</v>
      </c>
      <c r="R373" s="10" t="s">
        <v>85</v>
      </c>
      <c r="S373" s="34">
        <f t="shared" si="35"/>
        <v>204.84627296000002</v>
      </c>
      <c r="T373" s="10" t="s">
        <v>983</v>
      </c>
      <c r="U373" s="34" t="str">
        <f t="shared" si="36"/>
        <v/>
      </c>
      <c r="V373" s="31" t="str">
        <f>IF(H373="CHK",VLOOKUP(I373,QCCHK,3,),IF(H373="GUP",VLOOKUP(E373,QCGUP,2,),IF(AND(H373="ATP",OR(I373="TN",I373="TDN",I373="TNO2-3",I373="NO2-3")),VLOOKUP(E373,QCREC_N,2,),IF(AND(H373="NIC",OR(I373="TN",I373="TDN",I373="TNO2-3",I373="NO2-3")),VLOOKUP(E373,QCNIC_N,2,),IF(AND(H373="UREA",OR(I373="TN",I373="TDN",I373="TNO2-3",I373="NO2-3")),VLOOKUP(E373,QCUREA_N,2,),IF(H373="PER",VLOOKUP(I373,QCPER,MATCH(E373,QCACTUAL!$J$25:$AA$25,0),),IF(H373="SPK",VLOOKUP(I373,QCSPK,3,),IF(AND(H373="ATP",OR(I373="TP",I373="TDP")),VLOOKUP(E373,QCATP_P,2,),""))))))))</f>
        <v/>
      </c>
      <c r="W373" s="31" t="str">
        <f t="shared" si="37"/>
        <v>TRUE</v>
      </c>
      <c r="X373" s="31" t="str">
        <f t="shared" si="38"/>
        <v/>
      </c>
      <c r="Y373" s="10" t="s">
        <v>970</v>
      </c>
      <c r="Z373" s="10" t="s">
        <v>910</v>
      </c>
      <c r="AF373" s="12">
        <v>44930</v>
      </c>
      <c r="AH373" s="10">
        <f>-2.6941*3.12^2+86.956*3.12-40.231</f>
        <v>204.84627296000002</v>
      </c>
      <c r="AI373" s="10">
        <f>-1.1451*3.12^2+77.605*3.12-34.739</f>
        <v>196.24173856000002</v>
      </c>
      <c r="AK373" s="10">
        <f>-0.0423*3.12^2+66.444*3.12-22.986</f>
        <v>183.90751488000001</v>
      </c>
      <c r="AL373" s="10" t="str">
        <f t="shared" si="40"/>
        <v>FALSE</v>
      </c>
      <c r="AM373" s="10" t="str">
        <f t="shared" si="40"/>
        <v>y=-2.6941*3.12^2+86.956*3.12-40.231</v>
      </c>
      <c r="AN373" s="10" t="str">
        <f t="shared" si="40"/>
        <v>y=-1.1451*3.12^2+77.605*3.12-34.739</v>
      </c>
      <c r="AO373" s="10" t="str">
        <f t="shared" si="41"/>
        <v>FALSE</v>
      </c>
      <c r="AP373" s="10" t="str">
        <f t="shared" si="41"/>
        <v>y=-0.0423*3.12^2+66.444*3.12-22.986</v>
      </c>
      <c r="AQ373" s="10" t="b">
        <f>IF(AND(I373="TP",S373&lt;=150),VLOOKUP(AF373,TPCalibEq150!$AZ$2:$BB$55,3,),IF(AND(I373="TDP",S373&lt;=150),VLOOKUP(AF373,TPCalibEq150!$AZ$2:$BB$55,3,)))</f>
        <v>0</v>
      </c>
      <c r="AR373" s="10" t="str">
        <f>IF(AND(I373="TP",S373&lt;=300),VLOOKUP(AF373,TPCalibEq300!$AZ$2:$BB$55,3,),IF(AND(I373="TDP",S373&lt;=300),VLOOKUP(AF373,TPCalibEq300!$AZ$2:$BB$55,3,)))</f>
        <v>y=-2.6941x2+86.956x-40.231</v>
      </c>
      <c r="AS373" s="10" t="str">
        <f>IF(AND(I373="TP",S373&lt;=500),VLOOKUP(AF373,TPCalibEq500!$AZ$2:$BB$56,3,),IF(AND(I373="TDP",S373&lt;=500),VLOOKUP(AF373,TPCalibEq500!$AZ$2:$BB$56,3,)))</f>
        <v>y=-1.1451x2+77.605x-34.739</v>
      </c>
      <c r="AT373" s="10" t="b">
        <f>IF(AND(I373="TN",S373&lt;=2800),VLOOKUP(AF373,TNCalibEq2500!$AZ$2:$BB$56,3,),IF(AND(I373="TDN",S373&lt;=2800),VLOOKUP(AF373,TNCalibEq2500!$AZ$2:$BB$56,3,)))</f>
        <v>0</v>
      </c>
      <c r="AU373" s="10" t="str">
        <f>IF(I373="TP",VLOOKUP(AF373,TPCalibEqFull!$AZ$2:$BB$56,3),IF(I373="TDP",VLOOKUP(AF373,TPCalibEqFull!$AZ$2:$BB$56,3),IF(I373="TDN",VLOOKUP(AF373,TNCalibEqFull!$AZ$1:$BB$56,3),IF(I373="TN",VLOOKUP(AF373,TNCalibEqFull!$AZ$1:$BB$56,3),FALSE))))</f>
        <v>y=-0.0423x2+66.444x-22.986</v>
      </c>
      <c r="AV373" s="10" t="str">
        <f t="shared" si="39"/>
        <v>1219 05:22:00-EFK-0-C-1-SW-UKN</v>
      </c>
    </row>
    <row r="374" spans="1:48" s="10" customFormat="1" x14ac:dyDescent="0.55000000000000004">
      <c r="A374" s="32">
        <v>44914</v>
      </c>
      <c r="B374" s="33">
        <v>0.23124999999999998</v>
      </c>
      <c r="C374" s="10" t="s">
        <v>333</v>
      </c>
      <c r="D374" s="10">
        <v>0</v>
      </c>
      <c r="E374" s="10" t="s">
        <v>190</v>
      </c>
      <c r="F374" s="10">
        <v>1</v>
      </c>
      <c r="G374" s="10" t="s">
        <v>231</v>
      </c>
      <c r="H374" s="10" t="s">
        <v>322</v>
      </c>
      <c r="I374" s="10" t="s">
        <v>83</v>
      </c>
      <c r="J374" s="10">
        <v>8</v>
      </c>
      <c r="K374" s="12">
        <v>44930</v>
      </c>
      <c r="L374" s="33">
        <v>0.56552083333333336</v>
      </c>
      <c r="M374" s="10">
        <v>1</v>
      </c>
      <c r="N374" s="10" t="s">
        <v>84</v>
      </c>
      <c r="O374" s="10">
        <v>1.78</v>
      </c>
      <c r="P374" s="10">
        <v>0.123</v>
      </c>
      <c r="Q374" s="10">
        <v>96.3</v>
      </c>
      <c r="R374" s="10" t="s">
        <v>85</v>
      </c>
      <c r="S374" s="34">
        <f t="shared" si="35"/>
        <v>108.53097968</v>
      </c>
      <c r="T374" s="10" t="s">
        <v>983</v>
      </c>
      <c r="U374" s="34" t="str">
        <f t="shared" si="36"/>
        <v/>
      </c>
      <c r="V374" s="31" t="str">
        <f>IF(H374="CHK",VLOOKUP(I374,QCCHK,3,),IF(H374="GUP",VLOOKUP(E374,QCGUP,2,),IF(AND(H374="ATP",OR(I374="TN",I374="TDN",I374="TNO2-3",I374="NO2-3")),VLOOKUP(E374,QCREC_N,2,),IF(AND(H374="NIC",OR(I374="TN",I374="TDN",I374="TNO2-3",I374="NO2-3")),VLOOKUP(E374,QCNIC_N,2,),IF(AND(H374="UREA",OR(I374="TN",I374="TDN",I374="TNO2-3",I374="NO2-3")),VLOOKUP(E374,QCUREA_N,2,),IF(H374="PER",VLOOKUP(I374,QCPER,MATCH(E374,QCACTUAL!$J$25:$AA$25,0),),IF(H374="SPK",VLOOKUP(I374,QCSPK,3,),IF(AND(H374="ATP",OR(I374="TP",I374="TDP")),VLOOKUP(E374,QCATP_P,2,),""))))))))</f>
        <v/>
      </c>
      <c r="W374" s="31" t="str">
        <f t="shared" si="37"/>
        <v>TRUE</v>
      </c>
      <c r="X374" s="31" t="str">
        <f t="shared" si="38"/>
        <v/>
      </c>
      <c r="Y374" s="10" t="s">
        <v>970</v>
      </c>
      <c r="Z374" s="10" t="s">
        <v>910</v>
      </c>
      <c r="AF374" s="12">
        <v>44930</v>
      </c>
      <c r="AG374" s="10">
        <f>-8.4348*1.78^2+102.96*1.78-48.013</f>
        <v>108.53097968</v>
      </c>
      <c r="AH374" s="10">
        <f>-2.6941*1.78^2+86.956*1.78-40.231</f>
        <v>106.01469356000001</v>
      </c>
      <c r="AI374" s="10">
        <f>-1.1451*1.78^2+77.605*1.78-34.739</f>
        <v>99.769765159999992</v>
      </c>
      <c r="AK374" s="10">
        <f>-0.0423*1.78^2+66.444*1.78-22.986</f>
        <v>95.150296680000011</v>
      </c>
      <c r="AL374" s="10" t="str">
        <f t="shared" si="40"/>
        <v>y=-8.4348*1.78^2+102.96*1.78-48.013</v>
      </c>
      <c r="AM374" s="10" t="str">
        <f t="shared" si="40"/>
        <v>y=-2.6941*1.78^2+86.956*1.78-40.231</v>
      </c>
      <c r="AN374" s="10" t="str">
        <f t="shared" si="40"/>
        <v>y=-1.1451*1.78^2+77.605*1.78-34.739</v>
      </c>
      <c r="AO374" s="10" t="str">
        <f t="shared" si="41"/>
        <v>FALSE</v>
      </c>
      <c r="AP374" s="10" t="str">
        <f t="shared" si="41"/>
        <v>y=-0.0423*1.78^2+66.444*1.78-22.986</v>
      </c>
      <c r="AQ374" s="10" t="str">
        <f>IF(AND(I374="TP",S374&lt;=150),VLOOKUP(AF374,TPCalibEq150!$AZ$2:$BB$55,3,),IF(AND(I374="TDP",S374&lt;=150),VLOOKUP(AF374,TPCalibEq150!$AZ$2:$BB$55,3,)))</f>
        <v>y=-8.4348x2+102.96x-48.013</v>
      </c>
      <c r="AR374" s="10" t="str">
        <f>IF(AND(I374="TP",S374&lt;=300),VLOOKUP(AF374,TPCalibEq300!$AZ$2:$BB$55,3,),IF(AND(I374="TDP",S374&lt;=300),VLOOKUP(AF374,TPCalibEq300!$AZ$2:$BB$55,3,)))</f>
        <v>y=-2.6941x2+86.956x-40.231</v>
      </c>
      <c r="AS374" s="10" t="str">
        <f>IF(AND(I374="TP",S374&lt;=500),VLOOKUP(AF374,TPCalibEq500!$AZ$2:$BB$56,3,),IF(AND(I374="TDP",S374&lt;=500),VLOOKUP(AF374,TPCalibEq500!$AZ$2:$BB$56,3,)))</f>
        <v>y=-1.1451x2+77.605x-34.739</v>
      </c>
      <c r="AT374" s="10" t="b">
        <f>IF(AND(I374="TN",S374&lt;=2800),VLOOKUP(AF374,TNCalibEq2500!$AZ$2:$BB$56,3,),IF(AND(I374="TDN",S374&lt;=2800),VLOOKUP(AF374,TNCalibEq2500!$AZ$2:$BB$56,3,)))</f>
        <v>0</v>
      </c>
      <c r="AU374" s="10" t="str">
        <f>IF(I374="TP",VLOOKUP(AF374,TPCalibEqFull!$AZ$2:$BB$56,3),IF(I374="TDP",VLOOKUP(AF374,TPCalibEqFull!$AZ$2:$BB$56,3),IF(I374="TDN",VLOOKUP(AF374,TNCalibEqFull!$AZ$1:$BB$56,3),IF(I374="TN",VLOOKUP(AF374,TNCalibEqFull!$AZ$1:$BB$56,3),FALSE))))</f>
        <v>y=-0.0423x2+66.444x-22.986</v>
      </c>
      <c r="AV374" s="10" t="str">
        <f t="shared" si="39"/>
        <v>1219 05:33:00-HST-0-C-1-SW-UKN</v>
      </c>
    </row>
    <row r="375" spans="1:48" s="10" customFormat="1" x14ac:dyDescent="0.55000000000000004">
      <c r="A375" s="32">
        <v>44915</v>
      </c>
      <c r="B375" s="33">
        <v>0.23263888888888887</v>
      </c>
      <c r="C375" s="10" t="s">
        <v>279</v>
      </c>
      <c r="D375" s="10">
        <v>0</v>
      </c>
      <c r="E375" s="10" t="s">
        <v>190</v>
      </c>
      <c r="F375" s="10">
        <v>1</v>
      </c>
      <c r="G375" s="10" t="s">
        <v>231</v>
      </c>
      <c r="H375" s="10" t="s">
        <v>322</v>
      </c>
      <c r="I375" s="10" t="s">
        <v>83</v>
      </c>
      <c r="J375" s="10">
        <v>9</v>
      </c>
      <c r="K375" s="12">
        <v>44930</v>
      </c>
      <c r="L375" s="33">
        <v>0.5662152777777778</v>
      </c>
      <c r="M375" s="10">
        <v>1</v>
      </c>
      <c r="N375" s="10" t="s">
        <v>84</v>
      </c>
      <c r="O375" s="10">
        <v>2.85</v>
      </c>
      <c r="P375" s="10">
        <v>0.20100000000000001</v>
      </c>
      <c r="Q375" s="10">
        <v>167</v>
      </c>
      <c r="R375" s="10" t="s">
        <v>85</v>
      </c>
      <c r="S375" s="34">
        <f t="shared" si="35"/>
        <v>185.71077275000002</v>
      </c>
      <c r="T375" s="10" t="s">
        <v>983</v>
      </c>
      <c r="U375" s="34" t="str">
        <f t="shared" si="36"/>
        <v/>
      </c>
      <c r="V375" s="31" t="str">
        <f>IF(H375="CHK",VLOOKUP(I375,QCCHK,3,),IF(H375="GUP",VLOOKUP(E375,QCGUP,2,),IF(AND(H375="ATP",OR(I375="TN",I375="TDN",I375="TNO2-3",I375="NO2-3")),VLOOKUP(E375,QCREC_N,2,),IF(AND(H375="NIC",OR(I375="TN",I375="TDN",I375="TNO2-3",I375="NO2-3")),VLOOKUP(E375,QCNIC_N,2,),IF(AND(H375="UREA",OR(I375="TN",I375="TDN",I375="TNO2-3",I375="NO2-3")),VLOOKUP(E375,QCUREA_N,2,),IF(H375="PER",VLOOKUP(I375,QCPER,MATCH(E375,QCACTUAL!$J$25:$AA$25,0),),IF(H375="SPK",VLOOKUP(I375,QCSPK,3,),IF(AND(H375="ATP",OR(I375="TP",I375="TDP")),VLOOKUP(E375,QCATP_P,2,),""))))))))</f>
        <v/>
      </c>
      <c r="W375" s="31" t="str">
        <f t="shared" si="37"/>
        <v>TRUE</v>
      </c>
      <c r="X375" s="31" t="str">
        <f t="shared" si="38"/>
        <v/>
      </c>
      <c r="Y375" s="10" t="s">
        <v>970</v>
      </c>
      <c r="Z375" s="10" t="s">
        <v>910</v>
      </c>
      <c r="AF375" s="12">
        <v>44930</v>
      </c>
      <c r="AH375" s="10">
        <f>-2.6941*2.85^2+86.956*2.85-40.231</f>
        <v>185.71077275000002</v>
      </c>
      <c r="AI375" s="10">
        <f>-1.1451*2.85^2+77.605*2.85-34.739</f>
        <v>177.13417525000003</v>
      </c>
      <c r="AK375" s="10">
        <f>-0.0423*2.85^2+66.444*2.85-22.986</f>
        <v>166.03581825000003</v>
      </c>
      <c r="AL375" s="10" t="str">
        <f t="shared" si="40"/>
        <v>FALSE</v>
      </c>
      <c r="AM375" s="10" t="str">
        <f t="shared" si="40"/>
        <v>y=-2.6941*2.85^2+86.956*2.85-40.231</v>
      </c>
      <c r="AN375" s="10" t="str">
        <f t="shared" si="40"/>
        <v>y=-1.1451*2.85^2+77.605*2.85-34.739</v>
      </c>
      <c r="AO375" s="10" t="str">
        <f t="shared" si="41"/>
        <v>FALSE</v>
      </c>
      <c r="AP375" s="10" t="str">
        <f t="shared" si="41"/>
        <v>y=-0.0423*2.85^2+66.444*2.85-22.986</v>
      </c>
      <c r="AQ375" s="10" t="b">
        <f>IF(AND(I375="TP",S375&lt;=150),VLOOKUP(AF375,TPCalibEq150!$AZ$2:$BB$55,3,),IF(AND(I375="TDP",S375&lt;=150),VLOOKUP(AF375,TPCalibEq150!$AZ$2:$BB$55,3,)))</f>
        <v>0</v>
      </c>
      <c r="AR375" s="10" t="str">
        <f>IF(AND(I375="TP",S375&lt;=300),VLOOKUP(AF375,TPCalibEq300!$AZ$2:$BB$55,3,),IF(AND(I375="TDP",S375&lt;=300),VLOOKUP(AF375,TPCalibEq300!$AZ$2:$BB$55,3,)))</f>
        <v>y=-2.6941x2+86.956x-40.231</v>
      </c>
      <c r="AS375" s="10" t="str">
        <f>IF(AND(I375="TP",S375&lt;=500),VLOOKUP(AF375,TPCalibEq500!$AZ$2:$BB$56,3,),IF(AND(I375="TDP",S375&lt;=500),VLOOKUP(AF375,TPCalibEq500!$AZ$2:$BB$56,3,)))</f>
        <v>y=-1.1451x2+77.605x-34.739</v>
      </c>
      <c r="AT375" s="10" t="b">
        <f>IF(AND(I375="TN",S375&lt;=2800),VLOOKUP(AF375,TNCalibEq2500!$AZ$2:$BB$56,3,),IF(AND(I375="TDN",S375&lt;=2800),VLOOKUP(AF375,TNCalibEq2500!$AZ$2:$BB$56,3,)))</f>
        <v>0</v>
      </c>
      <c r="AU375" s="10" t="str">
        <f>IF(I375="TP",VLOOKUP(AF375,TPCalibEqFull!$AZ$2:$BB$56,3),IF(I375="TDP",VLOOKUP(AF375,TPCalibEqFull!$AZ$2:$BB$56,3),IF(I375="TDN",VLOOKUP(AF375,TNCalibEqFull!$AZ$1:$BB$56,3),IF(I375="TN",VLOOKUP(AF375,TNCalibEqFull!$AZ$1:$BB$56,3),FALSE))))</f>
        <v>y=-0.0423x2+66.444x-22.986</v>
      </c>
      <c r="AV375" s="10" t="str">
        <f t="shared" si="39"/>
        <v>1220 05:35:00-EFK-0-C-1-SW-UKN</v>
      </c>
    </row>
    <row r="376" spans="1:48" s="10" customFormat="1" x14ac:dyDescent="0.55000000000000004">
      <c r="A376" s="32">
        <v>44915</v>
      </c>
      <c r="B376" s="33">
        <v>0.24652777777777779</v>
      </c>
      <c r="C376" s="10" t="s">
        <v>333</v>
      </c>
      <c r="D376" s="10">
        <v>0</v>
      </c>
      <c r="E376" s="10" t="s">
        <v>190</v>
      </c>
      <c r="F376" s="10">
        <v>1</v>
      </c>
      <c r="G376" s="10" t="s">
        <v>231</v>
      </c>
      <c r="H376" s="10" t="s">
        <v>322</v>
      </c>
      <c r="I376" s="10" t="s">
        <v>83</v>
      </c>
      <c r="J376" s="10">
        <v>10</v>
      </c>
      <c r="K376" s="12">
        <v>44930</v>
      </c>
      <c r="L376" s="33">
        <v>0.56689814814814821</v>
      </c>
      <c r="M376" s="10">
        <v>1</v>
      </c>
      <c r="N376" s="10" t="s">
        <v>84</v>
      </c>
      <c r="O376" s="10">
        <v>1.97</v>
      </c>
      <c r="P376" s="10">
        <v>0.13700000000000001</v>
      </c>
      <c r="Q376" s="10">
        <v>109</v>
      </c>
      <c r="R376" s="10" t="s">
        <v>85</v>
      </c>
      <c r="S376" s="34">
        <f t="shared" si="35"/>
        <v>122.08358468</v>
      </c>
      <c r="T376" s="10" t="s">
        <v>983</v>
      </c>
      <c r="U376" s="34" t="str">
        <f t="shared" si="36"/>
        <v/>
      </c>
      <c r="V376" s="31" t="str">
        <f>IF(H376="CHK",VLOOKUP(I376,QCCHK,3,),IF(H376="GUP",VLOOKUP(E376,QCGUP,2,),IF(AND(H376="ATP",OR(I376="TN",I376="TDN",I376="TNO2-3",I376="NO2-3")),VLOOKUP(E376,QCREC_N,2,),IF(AND(H376="NIC",OR(I376="TN",I376="TDN",I376="TNO2-3",I376="NO2-3")),VLOOKUP(E376,QCNIC_N,2,),IF(AND(H376="UREA",OR(I376="TN",I376="TDN",I376="TNO2-3",I376="NO2-3")),VLOOKUP(E376,QCUREA_N,2,),IF(H376="PER",VLOOKUP(I376,QCPER,MATCH(E376,QCACTUAL!$J$25:$AA$25,0),),IF(H376="SPK",VLOOKUP(I376,QCSPK,3,),IF(AND(H376="ATP",OR(I376="TP",I376="TDP")),VLOOKUP(E376,QCATP_P,2,),""))))))))</f>
        <v/>
      </c>
      <c r="W376" s="31" t="str">
        <f t="shared" si="37"/>
        <v>TRUE</v>
      </c>
      <c r="X376" s="31" t="str">
        <f t="shared" si="38"/>
        <v/>
      </c>
      <c r="Y376" s="10" t="s">
        <v>970</v>
      </c>
      <c r="Z376" s="10" t="s">
        <v>910</v>
      </c>
      <c r="AF376" s="12">
        <v>44930</v>
      </c>
      <c r="AG376" s="10">
        <f>-8.4348*1.97^2+102.96*1.97-48.013</f>
        <v>122.08358468</v>
      </c>
      <c r="AH376" s="10">
        <f>-2.6941*1.97^2+86.956*1.97-40.231</f>
        <v>120.61678731000001</v>
      </c>
      <c r="AI376" s="10">
        <f>-1.1451*1.97^2+77.605*1.97-34.739</f>
        <v>113.69883141</v>
      </c>
      <c r="AK376" s="10">
        <f>-0.0423*1.97^2+66.444*1.97-22.986</f>
        <v>107.74451792999999</v>
      </c>
      <c r="AL376" s="10" t="str">
        <f t="shared" si="40"/>
        <v>y=-8.4348*1.97^2+102.96*1.97-48.013</v>
      </c>
      <c r="AM376" s="10" t="str">
        <f t="shared" si="40"/>
        <v>y=-2.6941*1.97^2+86.956*1.97-40.231</v>
      </c>
      <c r="AN376" s="10" t="str">
        <f t="shared" si="40"/>
        <v>y=-1.1451*1.97^2+77.605*1.97-34.739</v>
      </c>
      <c r="AO376" s="10" t="str">
        <f t="shared" si="41"/>
        <v>FALSE</v>
      </c>
      <c r="AP376" s="10" t="str">
        <f t="shared" si="41"/>
        <v>y=-0.0423*1.97^2+66.444*1.97-22.986</v>
      </c>
      <c r="AQ376" s="10" t="str">
        <f>IF(AND(I376="TP",S376&lt;=150),VLOOKUP(AF376,TPCalibEq150!$AZ$2:$BB$55,3,),IF(AND(I376="TDP",S376&lt;=150),VLOOKUP(AF376,TPCalibEq150!$AZ$2:$BB$55,3,)))</f>
        <v>y=-8.4348x2+102.96x-48.013</v>
      </c>
      <c r="AR376" s="10" t="str">
        <f>IF(AND(I376="TP",S376&lt;=300),VLOOKUP(AF376,TPCalibEq300!$AZ$2:$BB$55,3,),IF(AND(I376="TDP",S376&lt;=300),VLOOKUP(AF376,TPCalibEq300!$AZ$2:$BB$55,3,)))</f>
        <v>y=-2.6941x2+86.956x-40.231</v>
      </c>
      <c r="AS376" s="10" t="str">
        <f>IF(AND(I376="TP",S376&lt;=500),VLOOKUP(AF376,TPCalibEq500!$AZ$2:$BB$56,3,),IF(AND(I376="TDP",S376&lt;=500),VLOOKUP(AF376,TPCalibEq500!$AZ$2:$BB$56,3,)))</f>
        <v>y=-1.1451x2+77.605x-34.739</v>
      </c>
      <c r="AT376" s="10" t="b">
        <f>IF(AND(I376="TN",S376&lt;=2800),VLOOKUP(AF376,TNCalibEq2500!$AZ$2:$BB$56,3,),IF(AND(I376="TDN",S376&lt;=2800),VLOOKUP(AF376,TNCalibEq2500!$AZ$2:$BB$56,3,)))</f>
        <v>0</v>
      </c>
      <c r="AU376" s="10" t="str">
        <f>IF(I376="TP",VLOOKUP(AF376,TPCalibEqFull!$AZ$2:$BB$56,3),IF(I376="TDP",VLOOKUP(AF376,TPCalibEqFull!$AZ$2:$BB$56,3),IF(I376="TDN",VLOOKUP(AF376,TNCalibEqFull!$AZ$1:$BB$56,3),IF(I376="TN",VLOOKUP(AF376,TNCalibEqFull!$AZ$1:$BB$56,3),FALSE))))</f>
        <v>y=-0.0423x2+66.444x-22.986</v>
      </c>
      <c r="AV376" s="10" t="str">
        <f t="shared" si="39"/>
        <v>1220 05:55:00-HST-0-C-1-SW-UKN</v>
      </c>
    </row>
    <row r="377" spans="1:48" s="10" customFormat="1" x14ac:dyDescent="0.55000000000000004">
      <c r="A377" s="32">
        <v>44915</v>
      </c>
      <c r="B377" s="33">
        <v>0.24652777777777779</v>
      </c>
      <c r="C377" s="10" t="s">
        <v>333</v>
      </c>
      <c r="D377" s="10">
        <v>0</v>
      </c>
      <c r="E377" s="10" t="s">
        <v>190</v>
      </c>
      <c r="F377" s="10">
        <v>1</v>
      </c>
      <c r="G377" s="10" t="s">
        <v>231</v>
      </c>
      <c r="H377" s="10" t="s">
        <v>233</v>
      </c>
      <c r="I377" s="10" t="s">
        <v>83</v>
      </c>
      <c r="J377" s="10">
        <v>10</v>
      </c>
      <c r="K377" s="12">
        <v>44930</v>
      </c>
      <c r="L377" s="33">
        <v>0.5675810185185185</v>
      </c>
      <c r="M377" s="10">
        <v>1</v>
      </c>
      <c r="N377" s="10" t="s">
        <v>84</v>
      </c>
      <c r="O377" s="10">
        <v>1.96</v>
      </c>
      <c r="P377" s="10">
        <v>0.13600000000000001</v>
      </c>
      <c r="Q377" s="10">
        <v>109</v>
      </c>
      <c r="R377" s="10" t="s">
        <v>85</v>
      </c>
      <c r="S377" s="34">
        <f t="shared" si="35"/>
        <v>121.38547231999999</v>
      </c>
      <c r="T377" s="10" t="s">
        <v>983</v>
      </c>
      <c r="U377" s="34">
        <f t="shared" si="36"/>
        <v>0.57347111670129847</v>
      </c>
      <c r="V377" s="31" t="str">
        <f>IF(H377="CHK",VLOOKUP(I377,QCCHK,3,),IF(H377="GUP",VLOOKUP(E377,QCGUP,2,),IF(AND(H377="ATP",OR(I377="TN",I377="TDN",I377="TNO2-3",I377="NO2-3")),VLOOKUP(E377,QCREC_N,2,),IF(AND(H377="NIC",OR(I377="TN",I377="TDN",I377="TNO2-3",I377="NO2-3")),VLOOKUP(E377,QCNIC_N,2,),IF(AND(H377="UREA",OR(I377="TN",I377="TDN",I377="TNO2-3",I377="NO2-3")),VLOOKUP(E377,QCUREA_N,2,),IF(H377="PER",VLOOKUP(I377,QCPER,MATCH(E377,QCACTUAL!$J$25:$AA$25,0),),IF(H377="SPK",VLOOKUP(I377,QCSPK,3,),IF(AND(H377="ATP",OR(I377="TP",I377="TDP")),VLOOKUP(E377,QCATP_P,2,),""))))))))</f>
        <v/>
      </c>
      <c r="W377" s="31" t="str">
        <f t="shared" si="37"/>
        <v>TRUE</v>
      </c>
      <c r="X377" s="31" t="str">
        <f t="shared" si="38"/>
        <v>((ABS(rep1-rep2))/((rep1+rep2)/2)*100</v>
      </c>
      <c r="Y377" s="10" t="s">
        <v>970</v>
      </c>
      <c r="Z377" s="10" t="s">
        <v>910</v>
      </c>
      <c r="AF377" s="12">
        <v>44930</v>
      </c>
      <c r="AG377" s="10">
        <f>-8.4348*1.96^2+102.96*1.96-48.013</f>
        <v>121.38547231999999</v>
      </c>
      <c r="AH377" s="10">
        <f>-2.6941*1.96^2+86.956*1.96-40.231</f>
        <v>119.85310544000001</v>
      </c>
      <c r="AI377" s="10">
        <f>-1.1451*1.96^2+77.605*1.96-34.739</f>
        <v>112.96778384000001</v>
      </c>
      <c r="AK377" s="10">
        <f>-0.0423*1.96^2+66.444*1.96-22.986</f>
        <v>107.08174032000001</v>
      </c>
      <c r="AL377" s="10" t="str">
        <f t="shared" si="40"/>
        <v>y=-8.4348*1.96^2+102.96*1.96-48.013</v>
      </c>
      <c r="AM377" s="10" t="str">
        <f t="shared" si="40"/>
        <v>y=-2.6941*1.96^2+86.956*1.96-40.231</v>
      </c>
      <c r="AN377" s="10" t="str">
        <f t="shared" si="40"/>
        <v>y=-1.1451*1.96^2+77.605*1.96-34.739</v>
      </c>
      <c r="AO377" s="10" t="str">
        <f t="shared" si="41"/>
        <v>FALSE</v>
      </c>
      <c r="AP377" s="10" t="str">
        <f t="shared" si="41"/>
        <v>y=-0.0423*1.96^2+66.444*1.96-22.986</v>
      </c>
      <c r="AQ377" s="10" t="str">
        <f>IF(AND(I377="TP",S377&lt;=150),VLOOKUP(AF377,TPCalibEq150!$AZ$2:$BB$55,3,),IF(AND(I377="TDP",S377&lt;=150),VLOOKUP(AF377,TPCalibEq150!$AZ$2:$BB$55,3,)))</f>
        <v>y=-8.4348x2+102.96x-48.013</v>
      </c>
      <c r="AR377" s="10" t="str">
        <f>IF(AND(I377="TP",S377&lt;=300),VLOOKUP(AF377,TPCalibEq300!$AZ$2:$BB$55,3,),IF(AND(I377="TDP",S377&lt;=300),VLOOKUP(AF377,TPCalibEq300!$AZ$2:$BB$55,3,)))</f>
        <v>y=-2.6941x2+86.956x-40.231</v>
      </c>
      <c r="AS377" s="10" t="str">
        <f>IF(AND(I377="TP",S377&lt;=500),VLOOKUP(AF377,TPCalibEq500!$AZ$2:$BB$56,3,),IF(AND(I377="TDP",S377&lt;=500),VLOOKUP(AF377,TPCalibEq500!$AZ$2:$BB$56,3,)))</f>
        <v>y=-1.1451x2+77.605x-34.739</v>
      </c>
      <c r="AT377" s="10" t="b">
        <f>IF(AND(I377="TN",S377&lt;=2800),VLOOKUP(AF377,TNCalibEq2500!$AZ$2:$BB$56,3,),IF(AND(I377="TDN",S377&lt;=2800),VLOOKUP(AF377,TNCalibEq2500!$AZ$2:$BB$56,3,)))</f>
        <v>0</v>
      </c>
      <c r="AU377" s="10" t="str">
        <f>IF(I377="TP",VLOOKUP(AF377,TPCalibEqFull!$AZ$2:$BB$56,3),IF(I377="TDP",VLOOKUP(AF377,TPCalibEqFull!$AZ$2:$BB$56,3),IF(I377="TDN",VLOOKUP(AF377,TNCalibEqFull!$AZ$1:$BB$56,3),IF(I377="TN",VLOOKUP(AF377,TNCalibEqFull!$AZ$1:$BB$56,3),FALSE))))</f>
        <v>y=-0.0423x2+66.444x-22.986</v>
      </c>
      <c r="AV377" s="10" t="str">
        <f t="shared" si="39"/>
        <v>1220 05:55:00-HST-0-C-1-SW-DUP</v>
      </c>
    </row>
    <row r="378" spans="1:48" s="10" customFormat="1" x14ac:dyDescent="0.55000000000000004">
      <c r="A378" s="32">
        <v>44915</v>
      </c>
      <c r="B378" s="33">
        <v>0.24652777777777779</v>
      </c>
      <c r="C378" s="10" t="s">
        <v>912</v>
      </c>
      <c r="D378" s="10">
        <v>0</v>
      </c>
      <c r="E378" s="10" t="s">
        <v>190</v>
      </c>
      <c r="F378" s="10">
        <v>1</v>
      </c>
      <c r="G378" s="10" t="s">
        <v>231</v>
      </c>
      <c r="H378" s="10" t="s">
        <v>314</v>
      </c>
      <c r="I378" s="10" t="s">
        <v>83</v>
      </c>
      <c r="J378" s="10">
        <v>49</v>
      </c>
      <c r="K378" s="12">
        <v>44930</v>
      </c>
      <c r="L378" s="33">
        <v>0.56827546296296294</v>
      </c>
      <c r="M378" s="10">
        <v>1</v>
      </c>
      <c r="N378" s="10" t="s">
        <v>84</v>
      </c>
      <c r="O378" s="10">
        <v>17.600000000000001</v>
      </c>
      <c r="P378" s="10">
        <v>1.24</v>
      </c>
      <c r="Q378" s="10">
        <v>1140</v>
      </c>
      <c r="R378" s="10" t="s">
        <v>85</v>
      </c>
      <c r="S378" s="34">
        <f t="shared" si="35"/>
        <v>1140</v>
      </c>
      <c r="T378" s="10" t="s">
        <v>983</v>
      </c>
      <c r="U378" s="34">
        <f t="shared" si="36"/>
        <v>101.86145276800001</v>
      </c>
      <c r="V378" s="31">
        <f>IF(H378="CHK",VLOOKUP(I378,QCCHK,3,),IF(H378="GUP",VLOOKUP(E378,QCGUP,2,),IF(AND(H378="ATP",OR(I378="TN",I378="TDN",I378="TNO2-3",I378="NO2-3")),VLOOKUP(E378,QCREC_N,2,),IF(AND(H378="NIC",OR(I378="TN",I378="TDN",I378="TNO2-3",I378="NO2-3")),VLOOKUP(E378,QCNIC_N,2,),IF(AND(H378="UREA",OR(I378="TN",I378="TDN",I378="TNO2-3",I378="NO2-3")),VLOOKUP(E378,QCUREA_N,2,),IF(H378="PER",VLOOKUP(I378,QCPER,MATCH(E378,QCACTUAL!$J$25:$AA$25,0),),IF(H378="SPK",VLOOKUP(I378,QCSPK,3,),IF(AND(H378="ATP",OR(I378="TP",I378="TDP")),VLOOKUP(E378,QCATP_P,2,),""))))))))</f>
        <v>1000</v>
      </c>
      <c r="W378" s="31" t="str">
        <f t="shared" si="37"/>
        <v>TRUE</v>
      </c>
      <c r="X378" s="31" t="str">
        <f t="shared" si="38"/>
        <v>([spikedunkn]-[unkn])/[spike]*100</v>
      </c>
      <c r="Y378" s="10" t="s">
        <v>970</v>
      </c>
      <c r="Z378" s="10" t="s">
        <v>910</v>
      </c>
      <c r="AF378" s="12">
        <v>44930</v>
      </c>
      <c r="AK378" s="10">
        <f>-0.0423*17.6^2+66.444*17.6-22.986</f>
        <v>1133.325552</v>
      </c>
      <c r="AL378" s="10" t="str">
        <f t="shared" si="40"/>
        <v>FALSE</v>
      </c>
      <c r="AM378" s="10" t="str">
        <f t="shared" si="40"/>
        <v>FALSE</v>
      </c>
      <c r="AN378" s="10" t="str">
        <f t="shared" si="40"/>
        <v>FALSE</v>
      </c>
      <c r="AO378" s="10" t="str">
        <f t="shared" si="41"/>
        <v>FALSE</v>
      </c>
      <c r="AP378" s="10" t="str">
        <f t="shared" si="41"/>
        <v>y=-0.0423*17.6^2+66.444*17.6-22.986</v>
      </c>
      <c r="AQ378" s="10" t="b">
        <f>IF(AND(I378="TP",S378&lt;=150),VLOOKUP(AF378,TPCalibEq150!$AZ$2:$BB$55,3,),IF(AND(I378="TDP",S378&lt;=150),VLOOKUP(AF378,TPCalibEq150!$AZ$2:$BB$55,3,)))</f>
        <v>0</v>
      </c>
      <c r="AR378" s="10" t="b">
        <f>IF(AND(I378="TP",S378&lt;=300),VLOOKUP(AF378,TPCalibEq300!$AZ$2:$BB$55,3,),IF(AND(I378="TDP",S378&lt;=300),VLOOKUP(AF378,TPCalibEq300!$AZ$2:$BB$55,3,)))</f>
        <v>0</v>
      </c>
      <c r="AS378" s="10" t="b">
        <f>IF(AND(I378="TP",S378&lt;=500),VLOOKUP(AF378,TPCalibEq500!$AZ$2:$BB$56,3,),IF(AND(I378="TDP",S378&lt;=500),VLOOKUP(AF378,TPCalibEq500!$AZ$2:$BB$56,3,)))</f>
        <v>0</v>
      </c>
      <c r="AT378" s="10" t="b">
        <f>IF(AND(I378="TN",S378&lt;=2800),VLOOKUP(AF378,TNCalibEq2500!$AZ$2:$BB$56,3,),IF(AND(I378="TDN",S378&lt;=2800),VLOOKUP(AF378,TNCalibEq2500!$AZ$2:$BB$56,3,)))</f>
        <v>0</v>
      </c>
      <c r="AU378" s="10" t="str">
        <f>IF(I378="TP",VLOOKUP(AF378,TPCalibEqFull!$AZ$2:$BB$56,3),IF(I378="TDP",VLOOKUP(AF378,TPCalibEqFull!$AZ$2:$BB$56,3),IF(I378="TDN",VLOOKUP(AF378,TNCalibEqFull!$AZ$1:$BB$56,3),IF(I378="TN",VLOOKUP(AF378,TNCalibEqFull!$AZ$1:$BB$56,3),FALSE))))</f>
        <v>y=-0.0423x2+66.444x-22.986</v>
      </c>
      <c r="AV378" s="10" t="str">
        <f t="shared" si="39"/>
        <v>1220 05:55:00-HST -0-C-1-SW-SPK</v>
      </c>
    </row>
    <row r="379" spans="1:48" s="10" customFormat="1" x14ac:dyDescent="0.55000000000000004">
      <c r="A379" s="32">
        <v>44930</v>
      </c>
      <c r="B379" s="33">
        <v>0.375</v>
      </c>
      <c r="C379" s="10" t="s">
        <v>70</v>
      </c>
      <c r="D379" s="10" t="s">
        <v>71</v>
      </c>
      <c r="E379" s="10" t="s">
        <v>901</v>
      </c>
      <c r="F379" s="10">
        <v>1</v>
      </c>
      <c r="G379" s="10" t="s">
        <v>73</v>
      </c>
      <c r="H379" s="10" t="s">
        <v>207</v>
      </c>
      <c r="I379" s="10" t="s">
        <v>83</v>
      </c>
      <c r="J379" s="10">
        <v>199</v>
      </c>
      <c r="K379" s="12">
        <v>44930</v>
      </c>
      <c r="L379" s="33">
        <v>0.56898148148148142</v>
      </c>
      <c r="M379" s="10">
        <v>1</v>
      </c>
      <c r="N379" s="10" t="s">
        <v>84</v>
      </c>
      <c r="O379" s="10">
        <v>8.18</v>
      </c>
      <c r="P379" s="10">
        <v>0.58499999999999996</v>
      </c>
      <c r="Q379" s="10">
        <v>520</v>
      </c>
      <c r="R379" s="10" t="s">
        <v>85</v>
      </c>
      <c r="S379" s="34">
        <f t="shared" si="35"/>
        <v>520</v>
      </c>
      <c r="T379" s="10" t="s">
        <v>983</v>
      </c>
      <c r="U379" s="34">
        <f t="shared" si="36"/>
        <v>104</v>
      </c>
      <c r="V379" s="31">
        <f>IF(H379="CHK",VLOOKUP(I379,QCCHK,3,),IF(H379="GUP",VLOOKUP(E379,QCGUP,2,),IF(AND(H379="ATP",OR(I379="TN",I379="TDN",I379="TNO2-3",I379="NO2-3")),VLOOKUP(E379,QCREC_N,2,),IF(AND(H379="NIC",OR(I379="TN",I379="TDN",I379="TNO2-3",I379="NO2-3")),VLOOKUP(E379,QCNIC_N,2,),IF(AND(H379="UREA",OR(I379="TN",I379="TDN",I379="TNO2-3",I379="NO2-3")),VLOOKUP(E379,QCUREA_N,2,),IF(H379="PER",VLOOKUP(I379,QCPER,MATCH(E379,QCACTUAL!$J$25:$AA$25,0),),IF(H379="SPK",VLOOKUP(I379,QCSPK,3,),IF(AND(H379="ATP",OR(I379="TP",I379="TDP")),VLOOKUP(E379,QCATP_P,2,),""))))))))</f>
        <v>500</v>
      </c>
      <c r="W379" s="31" t="str">
        <f t="shared" si="37"/>
        <v>TRUE</v>
      </c>
      <c r="X379" s="31" t="str">
        <f t="shared" si="38"/>
        <v>[chk]/[actual]*100</v>
      </c>
      <c r="Y379" s="10" t="s">
        <v>970</v>
      </c>
      <c r="AF379" s="12">
        <v>44930</v>
      </c>
      <c r="AK379" s="10">
        <f>-0.0423*8.18^2+66.444*8.18-22.986</f>
        <v>517.69552548000001</v>
      </c>
      <c r="AL379" s="10" t="str">
        <f t="shared" si="40"/>
        <v>FALSE</v>
      </c>
      <c r="AM379" s="10" t="str">
        <f t="shared" si="40"/>
        <v>FALSE</v>
      </c>
      <c r="AN379" s="10" t="str">
        <f t="shared" si="40"/>
        <v>FALSE</v>
      </c>
      <c r="AO379" s="10" t="str">
        <f t="shared" si="41"/>
        <v>FALSE</v>
      </c>
      <c r="AP379" s="10" t="str">
        <f t="shared" si="41"/>
        <v>y=-0.0423*8.18^2+66.444*8.18-22.986</v>
      </c>
      <c r="AQ379" s="10" t="b">
        <f>IF(AND(I379="TP",S379&lt;=150),VLOOKUP(AF379,TPCalibEq150!$AZ$2:$BB$55,3,),IF(AND(I379="TDP",S379&lt;=150),VLOOKUP(AF379,TPCalibEq150!$AZ$2:$BB$55,3,)))</f>
        <v>0</v>
      </c>
      <c r="AR379" s="10" t="b">
        <f>IF(AND(I379="TP",S379&lt;=300),VLOOKUP(AF379,TPCalibEq300!$AZ$2:$BB$55,3,),IF(AND(I379="TDP",S379&lt;=300),VLOOKUP(AF379,TPCalibEq300!$AZ$2:$BB$55,3,)))</f>
        <v>0</v>
      </c>
      <c r="AS379" s="10" t="b">
        <f>IF(AND(I379="TP",S379&lt;=500),VLOOKUP(AF379,TPCalibEq500!$AZ$2:$BB$56,3,),IF(AND(I379="TDP",S379&lt;=500),VLOOKUP(AF379,TPCalibEq500!$AZ$2:$BB$56,3,)))</f>
        <v>0</v>
      </c>
      <c r="AT379" s="10" t="b">
        <f>IF(AND(I379="TN",S379&lt;=2800),VLOOKUP(AF379,TNCalibEq2500!$AZ$2:$BB$56,3,),IF(AND(I379="TDN",S379&lt;=2800),VLOOKUP(AF379,TNCalibEq2500!$AZ$2:$BB$56,3,)))</f>
        <v>0</v>
      </c>
      <c r="AU379" s="10" t="str">
        <f>IF(I379="TP",VLOOKUP(AF379,TPCalibEqFull!$AZ$2:$BB$56,3),IF(I379="TDP",VLOOKUP(AF379,TPCalibEqFull!$AZ$2:$BB$56,3),IF(I379="TDN",VLOOKUP(AF379,TNCalibEqFull!$AZ$1:$BB$56,3),IF(I379="TN",VLOOKUP(AF379,TNCalibEqFull!$AZ$1:$BB$56,3),FALSE))))</f>
        <v>y=-0.0423x2+66.444x-22.986</v>
      </c>
      <c r="AV379" s="10" t="str">
        <f t="shared" si="39"/>
        <v>0104 09:00:00-QAC-STD-D-1-DI-CHK</v>
      </c>
    </row>
    <row r="380" spans="1:48" s="10" customFormat="1" x14ac:dyDescent="0.55000000000000004">
      <c r="A380" s="32">
        <v>44916</v>
      </c>
      <c r="B380" s="33">
        <v>0.22916666666666666</v>
      </c>
      <c r="C380" s="10" t="s">
        <v>279</v>
      </c>
      <c r="D380" s="10">
        <v>0</v>
      </c>
      <c r="E380" s="10" t="s">
        <v>190</v>
      </c>
      <c r="F380" s="10">
        <v>1</v>
      </c>
      <c r="G380" s="10" t="s">
        <v>231</v>
      </c>
      <c r="H380" s="10" t="s">
        <v>322</v>
      </c>
      <c r="I380" s="10" t="s">
        <v>83</v>
      </c>
      <c r="J380" s="10">
        <v>11</v>
      </c>
      <c r="K380" s="12">
        <v>44930</v>
      </c>
      <c r="L380" s="33">
        <v>0.56967592592592597</v>
      </c>
      <c r="M380" s="10">
        <v>1</v>
      </c>
      <c r="N380" s="10" t="s">
        <v>84</v>
      </c>
      <c r="O380" s="10">
        <v>1.93</v>
      </c>
      <c r="P380" s="10">
        <v>0.13400000000000001</v>
      </c>
      <c r="Q380" s="10">
        <v>106</v>
      </c>
      <c r="R380" s="10" t="s">
        <v>85</v>
      </c>
      <c r="S380" s="34">
        <f t="shared" si="35"/>
        <v>119.28101347999998</v>
      </c>
      <c r="T380" s="10" t="s">
        <v>983</v>
      </c>
      <c r="U380" s="34" t="str">
        <f t="shared" si="36"/>
        <v/>
      </c>
      <c r="V380" s="31" t="str">
        <f>IF(H380="CHK",VLOOKUP(I380,QCCHK,3,),IF(H380="GUP",VLOOKUP(E380,QCGUP,2,),IF(AND(H380="ATP",OR(I380="TN",I380="TDN",I380="TNO2-3",I380="NO2-3")),VLOOKUP(E380,QCREC_N,2,),IF(AND(H380="NIC",OR(I380="TN",I380="TDN",I380="TNO2-3",I380="NO2-3")),VLOOKUP(E380,QCNIC_N,2,),IF(AND(H380="UREA",OR(I380="TN",I380="TDN",I380="TNO2-3",I380="NO2-3")),VLOOKUP(E380,QCUREA_N,2,),IF(H380="PER",VLOOKUP(I380,QCPER,MATCH(E380,QCACTUAL!$J$25:$AA$25,0),),IF(H380="SPK",VLOOKUP(I380,QCSPK,3,),IF(AND(H380="ATP",OR(I380="TP",I380="TDP")),VLOOKUP(E380,QCATP_P,2,),""))))))))</f>
        <v/>
      </c>
      <c r="W380" s="31" t="str">
        <f t="shared" si="37"/>
        <v>TRUE</v>
      </c>
      <c r="X380" s="31" t="str">
        <f t="shared" si="38"/>
        <v/>
      </c>
      <c r="Y380" s="10" t="s">
        <v>970</v>
      </c>
      <c r="Z380" s="10" t="s">
        <v>910</v>
      </c>
      <c r="AF380" s="12">
        <v>44930</v>
      </c>
      <c r="AG380" s="10">
        <f>-8.4348*1.93^2+102.96*1.93-48.013</f>
        <v>119.28101347999998</v>
      </c>
      <c r="AH380" s="10">
        <f>-2.6941*1.93^2+86.956*1.93-40.231</f>
        <v>117.55882691000002</v>
      </c>
      <c r="AI380" s="10">
        <f>-1.1451*1.93^2+77.605*1.93-34.739</f>
        <v>110.77326700999998</v>
      </c>
      <c r="AK380" s="10">
        <f>-0.0423*1.93^2+66.444*1.93-22.986</f>
        <v>105.09335673</v>
      </c>
      <c r="AL380" s="10" t="str">
        <f t="shared" si="40"/>
        <v>y=-8.4348*1.93^2+102.96*1.93-48.013</v>
      </c>
      <c r="AM380" s="10" t="str">
        <f t="shared" si="40"/>
        <v>y=-2.6941*1.93^2+86.956*1.93-40.231</v>
      </c>
      <c r="AN380" s="10" t="str">
        <f t="shared" si="40"/>
        <v>y=-1.1451*1.93^2+77.605*1.93-34.739</v>
      </c>
      <c r="AO380" s="10" t="str">
        <f t="shared" si="41"/>
        <v>FALSE</v>
      </c>
      <c r="AP380" s="10" t="str">
        <f t="shared" si="41"/>
        <v>y=-0.0423*1.93^2+66.444*1.93-22.986</v>
      </c>
      <c r="AQ380" s="10" t="str">
        <f>IF(AND(I380="TP",S380&lt;=150),VLOOKUP(AF380,TPCalibEq150!$AZ$2:$BB$55,3,),IF(AND(I380="TDP",S380&lt;=150),VLOOKUP(AF380,TPCalibEq150!$AZ$2:$BB$55,3,)))</f>
        <v>y=-8.4348x2+102.96x-48.013</v>
      </c>
      <c r="AR380" s="10" t="str">
        <f>IF(AND(I380="TP",S380&lt;=300),VLOOKUP(AF380,TPCalibEq300!$AZ$2:$BB$55,3,),IF(AND(I380="TDP",S380&lt;=300),VLOOKUP(AF380,TPCalibEq300!$AZ$2:$BB$55,3,)))</f>
        <v>y=-2.6941x2+86.956x-40.231</v>
      </c>
      <c r="AS380" s="10" t="str">
        <f>IF(AND(I380="TP",S380&lt;=500),VLOOKUP(AF380,TPCalibEq500!$AZ$2:$BB$56,3,),IF(AND(I380="TDP",S380&lt;=500),VLOOKUP(AF380,TPCalibEq500!$AZ$2:$BB$56,3,)))</f>
        <v>y=-1.1451x2+77.605x-34.739</v>
      </c>
      <c r="AT380" s="10" t="b">
        <f>IF(AND(I380="TN",S380&lt;=2800),VLOOKUP(AF380,TNCalibEq2500!$AZ$2:$BB$56,3,),IF(AND(I380="TDN",S380&lt;=2800),VLOOKUP(AF380,TNCalibEq2500!$AZ$2:$BB$56,3,)))</f>
        <v>0</v>
      </c>
      <c r="AU380" s="10" t="str">
        <f>IF(I380="TP",VLOOKUP(AF380,TPCalibEqFull!$AZ$2:$BB$56,3),IF(I380="TDP",VLOOKUP(AF380,TPCalibEqFull!$AZ$2:$BB$56,3),IF(I380="TDN",VLOOKUP(AF380,TNCalibEqFull!$AZ$1:$BB$56,3),IF(I380="TN",VLOOKUP(AF380,TNCalibEqFull!$AZ$1:$BB$56,3),FALSE))))</f>
        <v>y=-0.0423x2+66.444x-22.986</v>
      </c>
      <c r="AV380" s="10" t="str">
        <f t="shared" si="39"/>
        <v>1221 05:30:00-EFK-0-C-1-SW-UKN</v>
      </c>
    </row>
    <row r="381" spans="1:48" s="10" customFormat="1" x14ac:dyDescent="0.55000000000000004">
      <c r="A381" s="32">
        <v>44916</v>
      </c>
      <c r="B381" s="33">
        <v>0.23611111111111113</v>
      </c>
      <c r="C381" s="10" t="s">
        <v>333</v>
      </c>
      <c r="D381" s="10">
        <v>0</v>
      </c>
      <c r="E381" s="10" t="s">
        <v>190</v>
      </c>
      <c r="F381" s="10">
        <v>1</v>
      </c>
      <c r="G381" s="10" t="s">
        <v>231</v>
      </c>
      <c r="H381" s="10" t="s">
        <v>322</v>
      </c>
      <c r="I381" s="10" t="s">
        <v>83</v>
      </c>
      <c r="J381" s="10">
        <v>12</v>
      </c>
      <c r="K381" s="12">
        <v>44930</v>
      </c>
      <c r="L381" s="33">
        <v>0.57035879629629627</v>
      </c>
      <c r="M381" s="10">
        <v>1</v>
      </c>
      <c r="N381" s="10" t="s">
        <v>84</v>
      </c>
      <c r="O381" s="10">
        <v>1.95</v>
      </c>
      <c r="P381" s="10">
        <v>0.13700000000000001</v>
      </c>
      <c r="Q381" s="10">
        <v>108</v>
      </c>
      <c r="R381" s="10" t="s">
        <v>85</v>
      </c>
      <c r="S381" s="34">
        <f t="shared" si="35"/>
        <v>120.68567299999998</v>
      </c>
      <c r="T381" s="10" t="s">
        <v>983</v>
      </c>
      <c r="U381" s="34" t="str">
        <f t="shared" si="36"/>
        <v/>
      </c>
      <c r="V381" s="31" t="str">
        <f>IF(H381="CHK",VLOOKUP(I381,QCCHK,3,),IF(H381="GUP",VLOOKUP(E381,QCGUP,2,),IF(AND(H381="ATP",OR(I381="TN",I381="TDN",I381="TNO2-3",I381="NO2-3")),VLOOKUP(E381,QCREC_N,2,),IF(AND(H381="NIC",OR(I381="TN",I381="TDN",I381="TNO2-3",I381="NO2-3")),VLOOKUP(E381,QCNIC_N,2,),IF(AND(H381="UREA",OR(I381="TN",I381="TDN",I381="TNO2-3",I381="NO2-3")),VLOOKUP(E381,QCUREA_N,2,),IF(H381="PER",VLOOKUP(I381,QCPER,MATCH(E381,QCACTUAL!$J$25:$AA$25,0),),IF(H381="SPK",VLOOKUP(I381,QCSPK,3,),IF(AND(H381="ATP",OR(I381="TP",I381="TDP")),VLOOKUP(E381,QCATP_P,2,),""))))))))</f>
        <v/>
      </c>
      <c r="W381" s="31" t="str">
        <f t="shared" si="37"/>
        <v>TRUE</v>
      </c>
      <c r="X381" s="31" t="str">
        <f t="shared" si="38"/>
        <v/>
      </c>
      <c r="Y381" s="10" t="s">
        <v>970</v>
      </c>
      <c r="Z381" s="10" t="s">
        <v>910</v>
      </c>
      <c r="AF381" s="12">
        <v>44930</v>
      </c>
      <c r="AG381" s="10">
        <f>-8.4348*1.95^2+102.96*1.95-48.013</f>
        <v>120.68567299999998</v>
      </c>
      <c r="AH381" s="10">
        <f>-2.6941*1.95^2+86.956*1.95-40.231</f>
        <v>119.08888475000001</v>
      </c>
      <c r="AI381" s="10">
        <f>-1.1451*1.95^2+77.605*1.95-34.739</f>
        <v>112.23650725000002</v>
      </c>
      <c r="AK381" s="10">
        <f>-0.0423*1.95^2+66.444*1.95-22.986</f>
        <v>106.41895425</v>
      </c>
      <c r="AL381" s="10" t="str">
        <f t="shared" si="40"/>
        <v>y=-8.4348*1.95^2+102.96*1.95-48.013</v>
      </c>
      <c r="AM381" s="10" t="str">
        <f t="shared" si="40"/>
        <v>y=-2.6941*1.95^2+86.956*1.95-40.231</v>
      </c>
      <c r="AN381" s="10" t="str">
        <f t="shared" si="40"/>
        <v>y=-1.1451*1.95^2+77.605*1.95-34.739</v>
      </c>
      <c r="AO381" s="10" t="str">
        <f t="shared" si="41"/>
        <v>FALSE</v>
      </c>
      <c r="AP381" s="10" t="str">
        <f t="shared" si="41"/>
        <v>y=-0.0423*1.95^2+66.444*1.95-22.986</v>
      </c>
      <c r="AQ381" s="10" t="str">
        <f>IF(AND(I381="TP",S381&lt;=150),VLOOKUP(AF381,TPCalibEq150!$AZ$2:$BB$55,3,),IF(AND(I381="TDP",S381&lt;=150),VLOOKUP(AF381,TPCalibEq150!$AZ$2:$BB$55,3,)))</f>
        <v>y=-8.4348x2+102.96x-48.013</v>
      </c>
      <c r="AR381" s="10" t="str">
        <f>IF(AND(I381="TP",S381&lt;=300),VLOOKUP(AF381,TPCalibEq300!$AZ$2:$BB$55,3,),IF(AND(I381="TDP",S381&lt;=300),VLOOKUP(AF381,TPCalibEq300!$AZ$2:$BB$55,3,)))</f>
        <v>y=-2.6941x2+86.956x-40.231</v>
      </c>
      <c r="AS381" s="10" t="str">
        <f>IF(AND(I381="TP",S381&lt;=500),VLOOKUP(AF381,TPCalibEq500!$AZ$2:$BB$56,3,),IF(AND(I381="TDP",S381&lt;=500),VLOOKUP(AF381,TPCalibEq500!$AZ$2:$BB$56,3,)))</f>
        <v>y=-1.1451x2+77.605x-34.739</v>
      </c>
      <c r="AT381" s="10" t="b">
        <f>IF(AND(I381="TN",S381&lt;=2800),VLOOKUP(AF381,TNCalibEq2500!$AZ$2:$BB$56,3,),IF(AND(I381="TDN",S381&lt;=2800),VLOOKUP(AF381,TNCalibEq2500!$AZ$2:$BB$56,3,)))</f>
        <v>0</v>
      </c>
      <c r="AU381" s="10" t="str">
        <f>IF(I381="TP",VLOOKUP(AF381,TPCalibEqFull!$AZ$2:$BB$56,3),IF(I381="TDP",VLOOKUP(AF381,TPCalibEqFull!$AZ$2:$BB$56,3),IF(I381="TDN",VLOOKUP(AF381,TNCalibEqFull!$AZ$1:$BB$56,3),IF(I381="TN",VLOOKUP(AF381,TNCalibEqFull!$AZ$1:$BB$56,3),FALSE))))</f>
        <v>y=-0.0423x2+66.444x-22.986</v>
      </c>
      <c r="AV381" s="10" t="str">
        <f t="shared" si="39"/>
        <v>1221 05:40:00-HST-0-C-1-SW-UKN</v>
      </c>
    </row>
    <row r="382" spans="1:48" s="10" customFormat="1" x14ac:dyDescent="0.55000000000000004">
      <c r="A382" s="32">
        <v>44917</v>
      </c>
      <c r="B382" s="33">
        <v>0.24513888888888888</v>
      </c>
      <c r="C382" s="10" t="s">
        <v>279</v>
      </c>
      <c r="D382" s="10">
        <v>0</v>
      </c>
      <c r="E382" s="10" t="s">
        <v>190</v>
      </c>
      <c r="F382" s="10">
        <v>1</v>
      </c>
      <c r="G382" s="10" t="s">
        <v>231</v>
      </c>
      <c r="H382" s="10" t="s">
        <v>322</v>
      </c>
      <c r="I382" s="10" t="s">
        <v>83</v>
      </c>
      <c r="J382" s="10">
        <v>13</v>
      </c>
      <c r="K382" s="12">
        <v>44930</v>
      </c>
      <c r="L382" s="33">
        <v>0.57105324074074071</v>
      </c>
      <c r="M382" s="10">
        <v>1</v>
      </c>
      <c r="N382" s="10" t="s">
        <v>84</v>
      </c>
      <c r="O382" s="10">
        <v>4.4400000000000004</v>
      </c>
      <c r="P382" s="10">
        <v>0.32</v>
      </c>
      <c r="Q382" s="10">
        <v>273</v>
      </c>
      <c r="R382" s="10" t="s">
        <v>85</v>
      </c>
      <c r="S382" s="34">
        <f t="shared" si="35"/>
        <v>292.74323024</v>
      </c>
      <c r="T382" s="10" t="s">
        <v>983</v>
      </c>
      <c r="U382" s="34" t="str">
        <f t="shared" si="36"/>
        <v/>
      </c>
      <c r="V382" s="31" t="str">
        <f>IF(H382="CHK",VLOOKUP(I382,QCCHK,3,),IF(H382="GUP",VLOOKUP(E382,QCGUP,2,),IF(AND(H382="ATP",OR(I382="TN",I382="TDN",I382="TNO2-3",I382="NO2-3")),VLOOKUP(E382,QCREC_N,2,),IF(AND(H382="NIC",OR(I382="TN",I382="TDN",I382="TNO2-3",I382="NO2-3")),VLOOKUP(E382,QCNIC_N,2,),IF(AND(H382="UREA",OR(I382="TN",I382="TDN",I382="TNO2-3",I382="NO2-3")),VLOOKUP(E382,QCUREA_N,2,),IF(H382="PER",VLOOKUP(I382,QCPER,MATCH(E382,QCACTUAL!$J$25:$AA$25,0),),IF(H382="SPK",VLOOKUP(I382,QCSPK,3,),IF(AND(H382="ATP",OR(I382="TP",I382="TDP")),VLOOKUP(E382,QCATP_P,2,),""))))))))</f>
        <v/>
      </c>
      <c r="W382" s="31" t="str">
        <f t="shared" si="37"/>
        <v>TRUE</v>
      </c>
      <c r="X382" s="31" t="str">
        <f t="shared" si="38"/>
        <v/>
      </c>
      <c r="Y382" s="10" t="s">
        <v>970</v>
      </c>
      <c r="Z382" s="10" t="s">
        <v>910</v>
      </c>
      <c r="AF382" s="12">
        <v>44930</v>
      </c>
      <c r="AH382" s="10">
        <f>-2.6941*4.44^2+86.956*4.44-40.231</f>
        <v>292.74323024</v>
      </c>
      <c r="AI382" s="10">
        <f>-1.1451*4.44^2+77.605*4.44-34.739</f>
        <v>287.25315664000004</v>
      </c>
      <c r="AK382" s="10">
        <f>-0.0423*4.44^2+66.444*4.44-22.986</f>
        <v>271.19147472000003</v>
      </c>
      <c r="AL382" s="10" t="str">
        <f t="shared" si="40"/>
        <v>FALSE</v>
      </c>
      <c r="AM382" s="10" t="str">
        <f t="shared" si="40"/>
        <v>y=-2.6941*4.44^2+86.956*4.44-40.231</v>
      </c>
      <c r="AN382" s="10" t="str">
        <f t="shared" si="40"/>
        <v>y=-1.1451*4.44^2+77.605*4.44-34.739</v>
      </c>
      <c r="AO382" s="10" t="str">
        <f t="shared" si="41"/>
        <v>FALSE</v>
      </c>
      <c r="AP382" s="10" t="str">
        <f t="shared" si="41"/>
        <v>y=-0.0423*4.44^2+66.444*4.44-22.986</v>
      </c>
      <c r="AQ382" s="10" t="b">
        <f>IF(AND(I382="TP",S382&lt;=150),VLOOKUP(AF382,TPCalibEq150!$AZ$2:$BB$55,3,),IF(AND(I382="TDP",S382&lt;=150),VLOOKUP(AF382,TPCalibEq150!$AZ$2:$BB$55,3,)))</f>
        <v>0</v>
      </c>
      <c r="AR382" s="10" t="str">
        <f>IF(AND(I382="TP",S382&lt;=300),VLOOKUP(AF382,TPCalibEq300!$AZ$2:$BB$55,3,),IF(AND(I382="TDP",S382&lt;=300),VLOOKUP(AF382,TPCalibEq300!$AZ$2:$BB$55,3,)))</f>
        <v>y=-2.6941x2+86.956x-40.231</v>
      </c>
      <c r="AS382" s="10" t="str">
        <f>IF(AND(I382="TP",S382&lt;=500),VLOOKUP(AF382,TPCalibEq500!$AZ$2:$BB$56,3,),IF(AND(I382="TDP",S382&lt;=500),VLOOKUP(AF382,TPCalibEq500!$AZ$2:$BB$56,3,)))</f>
        <v>y=-1.1451x2+77.605x-34.739</v>
      </c>
      <c r="AT382" s="10" t="b">
        <f>IF(AND(I382="TN",S382&lt;=2800),VLOOKUP(AF382,TNCalibEq2500!$AZ$2:$BB$56,3,),IF(AND(I382="TDN",S382&lt;=2800),VLOOKUP(AF382,TNCalibEq2500!$AZ$2:$BB$56,3,)))</f>
        <v>0</v>
      </c>
      <c r="AU382" s="10" t="str">
        <f>IF(I382="TP",VLOOKUP(AF382,TPCalibEqFull!$AZ$2:$BB$56,3),IF(I382="TDP",VLOOKUP(AF382,TPCalibEqFull!$AZ$2:$BB$56,3),IF(I382="TDN",VLOOKUP(AF382,TNCalibEqFull!$AZ$1:$BB$56,3),IF(I382="TN",VLOOKUP(AF382,TNCalibEqFull!$AZ$1:$BB$56,3),FALSE))))</f>
        <v>y=-0.0423x2+66.444x-22.986</v>
      </c>
      <c r="AV382" s="10" t="str">
        <f t="shared" si="39"/>
        <v>1222 05:53:00-EFK-0-C-1-SW-UKN</v>
      </c>
    </row>
    <row r="383" spans="1:48" s="10" customFormat="1" x14ac:dyDescent="0.55000000000000004">
      <c r="A383" s="32">
        <v>44917</v>
      </c>
      <c r="B383" s="33">
        <v>0.24166666666666667</v>
      </c>
      <c r="C383" s="10" t="s">
        <v>333</v>
      </c>
      <c r="D383" s="10">
        <v>0</v>
      </c>
      <c r="E383" s="10" t="s">
        <v>190</v>
      </c>
      <c r="F383" s="10">
        <v>1</v>
      </c>
      <c r="G383" s="10" t="s">
        <v>231</v>
      </c>
      <c r="H383" s="10" t="s">
        <v>322</v>
      </c>
      <c r="I383" s="10" t="s">
        <v>83</v>
      </c>
      <c r="J383" s="10">
        <v>14</v>
      </c>
      <c r="K383" s="12">
        <v>44930</v>
      </c>
      <c r="L383" s="33">
        <v>0.57173611111111111</v>
      </c>
      <c r="M383" s="10">
        <v>1</v>
      </c>
      <c r="N383" s="10" t="s">
        <v>84</v>
      </c>
      <c r="O383" s="10">
        <v>3</v>
      </c>
      <c r="P383" s="10">
        <v>0.215</v>
      </c>
      <c r="Q383" s="10">
        <v>178</v>
      </c>
      <c r="R383" s="10" t="s">
        <v>85</v>
      </c>
      <c r="S383" s="34">
        <f t="shared" si="35"/>
        <v>196.39009999999999</v>
      </c>
      <c r="T383" s="10" t="s">
        <v>983</v>
      </c>
      <c r="U383" s="34" t="str">
        <f t="shared" si="36"/>
        <v/>
      </c>
      <c r="V383" s="31" t="str">
        <f>IF(H383="CHK",VLOOKUP(I383,QCCHK,3,),IF(H383="GUP",VLOOKUP(E383,QCGUP,2,),IF(AND(H383="ATP",OR(I383="TN",I383="TDN",I383="TNO2-3",I383="NO2-3")),VLOOKUP(E383,QCREC_N,2,),IF(AND(H383="NIC",OR(I383="TN",I383="TDN",I383="TNO2-3",I383="NO2-3")),VLOOKUP(E383,QCNIC_N,2,),IF(AND(H383="UREA",OR(I383="TN",I383="TDN",I383="TNO2-3",I383="NO2-3")),VLOOKUP(E383,QCUREA_N,2,),IF(H383="PER",VLOOKUP(I383,QCPER,MATCH(E383,QCACTUAL!$J$25:$AA$25,0),),IF(H383="SPK",VLOOKUP(I383,QCSPK,3,),IF(AND(H383="ATP",OR(I383="TP",I383="TDP")),VLOOKUP(E383,QCATP_P,2,),""))))))))</f>
        <v/>
      </c>
      <c r="W383" s="31" t="str">
        <f t="shared" si="37"/>
        <v>TRUE</v>
      </c>
      <c r="X383" s="31" t="str">
        <f t="shared" si="38"/>
        <v/>
      </c>
      <c r="Y383" s="10" t="s">
        <v>970</v>
      </c>
      <c r="Z383" s="10" t="s">
        <v>910</v>
      </c>
      <c r="AF383" s="12">
        <v>44930</v>
      </c>
      <c r="AH383" s="10">
        <f>-2.6941*3^2+86.956*3-40.231</f>
        <v>196.39009999999999</v>
      </c>
      <c r="AI383" s="10">
        <f>-1.1451*3^2+77.605*3-34.739</f>
        <v>187.77009999999999</v>
      </c>
      <c r="AK383" s="10">
        <f>-0.0423*3^2+66.444*3-22.986</f>
        <v>175.96530000000001</v>
      </c>
      <c r="AL383" s="10" t="str">
        <f t="shared" si="40"/>
        <v>FALSE</v>
      </c>
      <c r="AM383" s="10" t="str">
        <f t="shared" si="40"/>
        <v>y=-2.6941*3^2+86.956*3-40.231</v>
      </c>
      <c r="AN383" s="10" t="str">
        <f t="shared" si="40"/>
        <v>y=-1.1451*3^2+77.605*3-34.739</v>
      </c>
      <c r="AO383" s="10" t="str">
        <f t="shared" si="41"/>
        <v>FALSE</v>
      </c>
      <c r="AP383" s="10" t="str">
        <f t="shared" si="41"/>
        <v>y=-0.0423*3^2+66.444*3-22.986</v>
      </c>
      <c r="AQ383" s="10" t="b">
        <f>IF(AND(I383="TP",S383&lt;=150),VLOOKUP(AF383,TPCalibEq150!$AZ$2:$BB$55,3,),IF(AND(I383="TDP",S383&lt;=150),VLOOKUP(AF383,TPCalibEq150!$AZ$2:$BB$55,3,)))</f>
        <v>0</v>
      </c>
      <c r="AR383" s="10" t="str">
        <f>IF(AND(I383="TP",S383&lt;=300),VLOOKUP(AF383,TPCalibEq300!$AZ$2:$BB$55,3,),IF(AND(I383="TDP",S383&lt;=300),VLOOKUP(AF383,TPCalibEq300!$AZ$2:$BB$55,3,)))</f>
        <v>y=-2.6941x2+86.956x-40.231</v>
      </c>
      <c r="AS383" s="10" t="str">
        <f>IF(AND(I383="TP",S383&lt;=500),VLOOKUP(AF383,TPCalibEq500!$AZ$2:$BB$56,3,),IF(AND(I383="TDP",S383&lt;=500),VLOOKUP(AF383,TPCalibEq500!$AZ$2:$BB$56,3,)))</f>
        <v>y=-1.1451x2+77.605x-34.739</v>
      </c>
      <c r="AT383" s="10" t="b">
        <f>IF(AND(I383="TN",S383&lt;=2800),VLOOKUP(AF383,TNCalibEq2500!$AZ$2:$BB$56,3,),IF(AND(I383="TDN",S383&lt;=2800),VLOOKUP(AF383,TNCalibEq2500!$AZ$2:$BB$56,3,)))</f>
        <v>0</v>
      </c>
      <c r="AU383" s="10" t="str">
        <f>IF(I383="TP",VLOOKUP(AF383,TPCalibEqFull!$AZ$2:$BB$56,3),IF(I383="TDP",VLOOKUP(AF383,TPCalibEqFull!$AZ$2:$BB$56,3),IF(I383="TDN",VLOOKUP(AF383,TNCalibEqFull!$AZ$1:$BB$56,3),IF(I383="TN",VLOOKUP(AF383,TNCalibEqFull!$AZ$1:$BB$56,3),FALSE))))</f>
        <v>y=-0.0423x2+66.444x-22.986</v>
      </c>
      <c r="AV383" s="10" t="str">
        <f t="shared" si="39"/>
        <v>1222 05:48:00-HST-0-C-1-SW-UKN</v>
      </c>
    </row>
    <row r="384" spans="1:48" s="10" customFormat="1" x14ac:dyDescent="0.55000000000000004">
      <c r="A384" s="32">
        <v>44922</v>
      </c>
      <c r="B384" s="33">
        <v>0.24652777777777779</v>
      </c>
      <c r="C384" s="10" t="s">
        <v>279</v>
      </c>
      <c r="D384" s="10">
        <v>0</v>
      </c>
      <c r="E384" s="10" t="s">
        <v>190</v>
      </c>
      <c r="F384" s="10">
        <v>1</v>
      </c>
      <c r="G384" s="10" t="s">
        <v>231</v>
      </c>
      <c r="H384" s="10" t="s">
        <v>322</v>
      </c>
      <c r="I384" s="10" t="s">
        <v>83</v>
      </c>
      <c r="J384" s="10">
        <v>15</v>
      </c>
      <c r="K384" s="12">
        <v>44930</v>
      </c>
      <c r="L384" s="33">
        <v>0.57240740740740736</v>
      </c>
      <c r="M384" s="10">
        <v>1</v>
      </c>
      <c r="N384" s="10" t="s">
        <v>84</v>
      </c>
      <c r="O384" s="10">
        <v>5.0599999999999996</v>
      </c>
      <c r="P384" s="10">
        <v>0.36399999999999999</v>
      </c>
      <c r="Q384" s="10">
        <v>314</v>
      </c>
      <c r="R384" s="10" t="s">
        <v>85</v>
      </c>
      <c r="S384" s="34">
        <f t="shared" si="35"/>
        <v>328.62361763999996</v>
      </c>
      <c r="T384" s="10" t="s">
        <v>983</v>
      </c>
      <c r="U384" s="34" t="str">
        <f t="shared" si="36"/>
        <v/>
      </c>
      <c r="V384" s="31" t="str">
        <f>IF(H384="CHK",VLOOKUP(I384,QCCHK,3,),IF(H384="GUP",VLOOKUP(E384,QCGUP,2,),IF(AND(H384="ATP",OR(I384="TN",I384="TDN",I384="TNO2-3",I384="NO2-3")),VLOOKUP(E384,QCREC_N,2,),IF(AND(H384="NIC",OR(I384="TN",I384="TDN",I384="TNO2-3",I384="NO2-3")),VLOOKUP(E384,QCNIC_N,2,),IF(AND(H384="UREA",OR(I384="TN",I384="TDN",I384="TNO2-3",I384="NO2-3")),VLOOKUP(E384,QCUREA_N,2,),IF(H384="PER",VLOOKUP(I384,QCPER,MATCH(E384,QCACTUAL!$J$25:$AA$25,0),),IF(H384="SPK",VLOOKUP(I384,QCSPK,3,),IF(AND(H384="ATP",OR(I384="TP",I384="TDP")),VLOOKUP(E384,QCATP_P,2,),""))))))))</f>
        <v/>
      </c>
      <c r="W384" s="31" t="str">
        <f t="shared" si="37"/>
        <v>TRUE</v>
      </c>
      <c r="X384" s="31" t="str">
        <f t="shared" si="38"/>
        <v/>
      </c>
      <c r="Y384" s="10" t="s">
        <v>970</v>
      </c>
      <c r="Z384" s="10" t="s">
        <v>910</v>
      </c>
      <c r="AF384" s="12">
        <v>44930</v>
      </c>
      <c r="AI384" s="10">
        <f>-1.1451*5.06^2+77.605*5.06-34.739</f>
        <v>328.62361763999996</v>
      </c>
      <c r="AK384" s="10">
        <f>-0.0423*5.06^2+66.444*5.06-22.986</f>
        <v>312.13760772000001</v>
      </c>
      <c r="AL384" s="10" t="str">
        <f t="shared" si="40"/>
        <v>FALSE</v>
      </c>
      <c r="AM384" s="10" t="str">
        <f t="shared" si="40"/>
        <v>FALSE</v>
      </c>
      <c r="AN384" s="10" t="str">
        <f t="shared" si="40"/>
        <v>y=-1.1451*5.06^2+77.605*5.06-34.739</v>
      </c>
      <c r="AO384" s="10" t="str">
        <f t="shared" si="41"/>
        <v>FALSE</v>
      </c>
      <c r="AP384" s="10" t="str">
        <f t="shared" si="41"/>
        <v>y=-0.0423*5.06^2+66.444*5.06-22.986</v>
      </c>
      <c r="AQ384" s="10" t="b">
        <f>IF(AND(I384="TP",S384&lt;=150),VLOOKUP(AF384,TPCalibEq150!$AZ$2:$BB$55,3,),IF(AND(I384="TDP",S384&lt;=150),VLOOKUP(AF384,TPCalibEq150!$AZ$2:$BB$55,3,)))</f>
        <v>0</v>
      </c>
      <c r="AR384" s="10" t="b">
        <f>IF(AND(I384="TP",S384&lt;=300),VLOOKUP(AF384,TPCalibEq300!$AZ$2:$BB$55,3,),IF(AND(I384="TDP",S384&lt;=300),VLOOKUP(AF384,TPCalibEq300!$AZ$2:$BB$55,3,)))</f>
        <v>0</v>
      </c>
      <c r="AS384" s="10" t="str">
        <f>IF(AND(I384="TP",S384&lt;=500),VLOOKUP(AF384,TPCalibEq500!$AZ$2:$BB$56,3,),IF(AND(I384="TDP",S384&lt;=500),VLOOKUP(AF384,TPCalibEq500!$AZ$2:$BB$56,3,)))</f>
        <v>y=-1.1451x2+77.605x-34.739</v>
      </c>
      <c r="AT384" s="10" t="b">
        <f>IF(AND(I384="TN",S384&lt;=2800),VLOOKUP(AF384,TNCalibEq2500!$AZ$2:$BB$56,3,),IF(AND(I384="TDN",S384&lt;=2800),VLOOKUP(AF384,TNCalibEq2500!$AZ$2:$BB$56,3,)))</f>
        <v>0</v>
      </c>
      <c r="AU384" s="10" t="str">
        <f>IF(I384="TP",VLOOKUP(AF384,TPCalibEqFull!$AZ$2:$BB$56,3),IF(I384="TDP",VLOOKUP(AF384,TPCalibEqFull!$AZ$2:$BB$56,3),IF(I384="TDN",VLOOKUP(AF384,TNCalibEqFull!$AZ$1:$BB$56,3),IF(I384="TN",VLOOKUP(AF384,TNCalibEqFull!$AZ$1:$BB$56,3),FALSE))))</f>
        <v>y=-0.0423x2+66.444x-22.986</v>
      </c>
      <c r="AV384" s="10" t="str">
        <f t="shared" si="39"/>
        <v>1227 05:55:00-EFK-0-C-1-SW-UKN</v>
      </c>
    </row>
    <row r="385" spans="1:48" s="10" customFormat="1" x14ac:dyDescent="0.55000000000000004">
      <c r="A385" s="32">
        <v>44922</v>
      </c>
      <c r="B385" s="33">
        <v>0.3576388888888889</v>
      </c>
      <c r="C385" s="10" t="s">
        <v>333</v>
      </c>
      <c r="D385" s="10">
        <v>0</v>
      </c>
      <c r="E385" s="10" t="s">
        <v>190</v>
      </c>
      <c r="F385" s="10">
        <v>1</v>
      </c>
      <c r="G385" s="10" t="s">
        <v>231</v>
      </c>
      <c r="H385" s="10" t="s">
        <v>322</v>
      </c>
      <c r="I385" s="10" t="s">
        <v>83</v>
      </c>
      <c r="J385" s="10">
        <v>16</v>
      </c>
      <c r="K385" s="12">
        <v>44930</v>
      </c>
      <c r="L385" s="33">
        <v>0.57311342592592596</v>
      </c>
      <c r="M385" s="10">
        <v>1</v>
      </c>
      <c r="N385" s="10" t="s">
        <v>84</v>
      </c>
      <c r="O385" s="10">
        <v>4.6100000000000003</v>
      </c>
      <c r="P385" s="10">
        <v>0.33</v>
      </c>
      <c r="Q385" s="10">
        <v>284</v>
      </c>
      <c r="R385" s="10" t="s">
        <v>85</v>
      </c>
      <c r="S385" s="34">
        <f t="shared" si="35"/>
        <v>303.38087739000008</v>
      </c>
      <c r="T385" s="10" t="s">
        <v>983</v>
      </c>
      <c r="U385" s="34" t="str">
        <f t="shared" si="36"/>
        <v/>
      </c>
      <c r="V385" s="31" t="str">
        <f>IF(H385="CHK",VLOOKUP(I385,QCCHK,3,),IF(H385="GUP",VLOOKUP(E385,QCGUP,2,),IF(AND(H385="ATP",OR(I385="TN",I385="TDN",I385="TNO2-3",I385="NO2-3")),VLOOKUP(E385,QCREC_N,2,),IF(AND(H385="NIC",OR(I385="TN",I385="TDN",I385="TNO2-3",I385="NO2-3")),VLOOKUP(E385,QCNIC_N,2,),IF(AND(H385="UREA",OR(I385="TN",I385="TDN",I385="TNO2-3",I385="NO2-3")),VLOOKUP(E385,QCUREA_N,2,),IF(H385="PER",VLOOKUP(I385,QCPER,MATCH(E385,QCACTUAL!$J$25:$AA$25,0),),IF(H385="SPK",VLOOKUP(I385,QCSPK,3,),IF(AND(H385="ATP",OR(I385="TP",I385="TDP")),VLOOKUP(E385,QCATP_P,2,),""))))))))</f>
        <v/>
      </c>
      <c r="W385" s="31" t="str">
        <f t="shared" si="37"/>
        <v>TRUE</v>
      </c>
      <c r="X385" s="31" t="str">
        <f t="shared" si="38"/>
        <v/>
      </c>
      <c r="Y385" s="10" t="s">
        <v>970</v>
      </c>
      <c r="Z385" s="10" t="s">
        <v>910</v>
      </c>
      <c r="AF385" s="12">
        <v>44930</v>
      </c>
      <c r="AH385" s="10">
        <f>-2.6941*4.61^2+86.956*4.61-40.231</f>
        <v>303.38087739000008</v>
      </c>
      <c r="AI385" s="10">
        <f>-1.1451*4.61^2+77.605*4.61-34.739</f>
        <v>298.68427029000009</v>
      </c>
      <c r="AK385" s="10">
        <f>-0.0423*4.61^2+66.444*4.61-22.986</f>
        <v>282.42187617000002</v>
      </c>
      <c r="AL385" s="10" t="str">
        <f t="shared" si="40"/>
        <v>FALSE</v>
      </c>
      <c r="AM385" s="10" t="str">
        <f t="shared" si="40"/>
        <v>FALSE</v>
      </c>
      <c r="AN385" s="10" t="str">
        <f t="shared" si="40"/>
        <v>y=-1.1451*4.61^2+77.605*4.61-34.739</v>
      </c>
      <c r="AO385" s="10" t="str">
        <f t="shared" si="41"/>
        <v>FALSE</v>
      </c>
      <c r="AP385" s="10" t="str">
        <f t="shared" si="41"/>
        <v>y=-0.0423*4.61^2+66.444*4.61-22.986</v>
      </c>
      <c r="AQ385" s="10" t="b">
        <f>IF(AND(I385="TP",S385&lt;=150),VLOOKUP(AF385,TPCalibEq150!$AZ$2:$BB$55,3,),IF(AND(I385="TDP",S385&lt;=150),VLOOKUP(AF385,TPCalibEq150!$AZ$2:$BB$55,3,)))</f>
        <v>0</v>
      </c>
      <c r="AR385" s="10" t="b">
        <f>IF(AND(I385="TP",S385&lt;=300),VLOOKUP(AF385,TPCalibEq300!$AZ$2:$BB$55,3,),IF(AND(I385="TDP",S385&lt;=300),VLOOKUP(AF385,TPCalibEq300!$AZ$2:$BB$55,3,)))</f>
        <v>0</v>
      </c>
      <c r="AS385" s="10" t="str">
        <f>IF(AND(I385="TP",S385&lt;=500),VLOOKUP(AF385,TPCalibEq500!$AZ$2:$BB$56,3,),IF(AND(I385="TDP",S385&lt;=500),VLOOKUP(AF385,TPCalibEq500!$AZ$2:$BB$56,3,)))</f>
        <v>y=-1.1451x2+77.605x-34.739</v>
      </c>
      <c r="AT385" s="10" t="b">
        <f>IF(AND(I385="TN",S385&lt;=2800),VLOOKUP(AF385,TNCalibEq2500!$AZ$2:$BB$56,3,),IF(AND(I385="TDN",S385&lt;=2800),VLOOKUP(AF385,TNCalibEq2500!$AZ$2:$BB$56,3,)))</f>
        <v>0</v>
      </c>
      <c r="AU385" s="10" t="str">
        <f>IF(I385="TP",VLOOKUP(AF385,TPCalibEqFull!$AZ$2:$BB$56,3),IF(I385="TDP",VLOOKUP(AF385,TPCalibEqFull!$AZ$2:$BB$56,3),IF(I385="TDN",VLOOKUP(AF385,TNCalibEqFull!$AZ$1:$BB$56,3),IF(I385="TN",VLOOKUP(AF385,TNCalibEqFull!$AZ$1:$BB$56,3),FALSE))))</f>
        <v>y=-0.0423x2+66.444x-22.986</v>
      </c>
      <c r="AV385" s="10" t="str">
        <f t="shared" si="39"/>
        <v>1227 08:35:00-HST-0-C-1-SW-UKN</v>
      </c>
    </row>
    <row r="386" spans="1:48" s="10" customFormat="1" x14ac:dyDescent="0.55000000000000004">
      <c r="A386" s="32">
        <v>44923</v>
      </c>
      <c r="B386" s="33">
        <v>0.23958333333333334</v>
      </c>
      <c r="C386" s="10" t="s">
        <v>279</v>
      </c>
      <c r="D386" s="10">
        <v>0</v>
      </c>
      <c r="E386" s="10" t="s">
        <v>190</v>
      </c>
      <c r="F386" s="10">
        <v>1</v>
      </c>
      <c r="G386" s="10" t="s">
        <v>231</v>
      </c>
      <c r="H386" s="10" t="s">
        <v>322</v>
      </c>
      <c r="I386" s="10" t="s">
        <v>83</v>
      </c>
      <c r="J386" s="10">
        <v>17</v>
      </c>
      <c r="K386" s="12">
        <v>44930</v>
      </c>
      <c r="L386" s="33">
        <v>0.57381944444444444</v>
      </c>
      <c r="M386" s="10">
        <v>1</v>
      </c>
      <c r="N386" s="10" t="s">
        <v>84</v>
      </c>
      <c r="O386" s="10">
        <v>4.92</v>
      </c>
      <c r="P386" s="10">
        <v>0.35199999999999998</v>
      </c>
      <c r="Q386" s="10">
        <v>305</v>
      </c>
      <c r="R386" s="10" t="s">
        <v>85</v>
      </c>
      <c r="S386" s="34">
        <f t="shared" ref="S386:S449" si="42">IF(OR(AND(I386&lt;&gt;"TP", I386&lt;&gt;"TDP",I386&lt;&gt;"TN", I386&lt;&gt;"TDN"),H386="CAL"), Q386*M386, IF(OR(AND(I386="TN", Q386&gt;2500), AND(I386="TDN", Q386&gt;2500)),MAX(Q386, AK386)*M386, IF(OR(AND(I386="TN", Q386&lt;=2500), AND(I386="TDN", Q386&lt;=2500)),MAX(Q386, AJ386,AK386)*M386, IF(OR(AND(I386="TP",Q386&gt;500), AND(I386="TDP", Q386&gt;500)),MAX(Q386,AK386)*M386,IF(OR(AND(I386="TP",Q386&lt;=150), AND(I386="TDP", Q386&lt;=150)),MAX(Q386,AG386:AI386,AK386)*M386,IF(OR(AND(I386="TP",Q386&lt;=300), AND(I386="TDP", Q386&lt;=300)),MAX(Q386,AH386,AI386,AK386)*M386,IF(OR(AND(I386="TP",Q386&lt;=500), AND(I386="TDP", Q386&lt;=500)),MAX(Q386,AI386,AK386)*M386,"")))))))</f>
        <v>319.35885136000002</v>
      </c>
      <c r="T386" s="10" t="s">
        <v>983</v>
      </c>
      <c r="U386" s="34" t="str">
        <f t="shared" ref="U386:U449" si="43">IF(OR(H386="CHK",H386="ATP",H386="GUP",H386="PER", H386="NIC", H386="UREA"),(S386/V386*100),IF(H386="DUP",((ABS(S386-S385))/((S385+S386)/2))*100,IF(H386="SPK",((S386-S385)/V386*100),IF(OR(H386="LAB",H386="FLD",H386="ESF"),S386,""))))</f>
        <v/>
      </c>
      <c r="V386" s="31" t="str">
        <f>IF(H386="CHK",VLOOKUP(I386,QCCHK,3,),IF(H386="GUP",VLOOKUP(E386,QCGUP,2,),IF(AND(H386="ATP",OR(I386="TN",I386="TDN",I386="TNO2-3",I386="NO2-3")),VLOOKUP(E386,QCREC_N,2,),IF(AND(H386="NIC",OR(I386="TN",I386="TDN",I386="TNO2-3",I386="NO2-3")),VLOOKUP(E386,QCNIC_N,2,),IF(AND(H386="UREA",OR(I386="TN",I386="TDN",I386="TNO2-3",I386="NO2-3")),VLOOKUP(E386,QCUREA_N,2,),IF(H386="PER",VLOOKUP(I386,QCPER,MATCH(E386,QCACTUAL!$J$25:$AA$25,0),),IF(H386="SPK",VLOOKUP(I386,QCSPK,3,),IF(AND(H386="ATP",OR(I386="TP",I386="TDP")),VLOOKUP(E386,QCATP_P,2,),""))))))))</f>
        <v/>
      </c>
      <c r="W386" s="31" t="str">
        <f t="shared" ref="W386:W449" si="44">IF(AND(OR(H386="PER",H386="ATP",H386="GUP",H386="CHK",H386="SPK", H386="NIC"),OR(U386&gt;125,U386&lt;75)),"FALSE",IF(AND(H386="DUP",OR(U386&gt;25, U386&lt;-25)),"FALSE",IF(AND(OR(H386="LAB",H386="FLD",H386="ESF"),U386&gt;15),"FALSE","TRUE")))</f>
        <v>TRUE</v>
      </c>
      <c r="X386" s="31" t="str">
        <f t="shared" ref="X386:X449" si="45">IF(ISNA(VLOOKUP(H386,QCEQUATIONS,2,)),"",(VLOOKUP(H386,QCEQUATIONS,2,)))</f>
        <v/>
      </c>
      <c r="Y386" s="10" t="s">
        <v>970</v>
      </c>
      <c r="Z386" s="10" t="s">
        <v>910</v>
      </c>
      <c r="AF386" s="12">
        <v>44930</v>
      </c>
      <c r="AI386" s="10">
        <f>-1.1451*4.92^2+77.605*4.92-34.739</f>
        <v>319.35885136000002</v>
      </c>
      <c r="AK386" s="10">
        <f>-0.0423*4.92^2+66.444*4.92-22.986</f>
        <v>302.89454928000004</v>
      </c>
      <c r="AL386" s="10" t="str">
        <f t="shared" si="40"/>
        <v>FALSE</v>
      </c>
      <c r="AM386" s="10" t="str">
        <f t="shared" si="40"/>
        <v>FALSE</v>
      </c>
      <c r="AN386" s="10" t="str">
        <f t="shared" si="40"/>
        <v>y=-1.1451*4.92^2+77.605*4.92-34.739</v>
      </c>
      <c r="AO386" s="10" t="str">
        <f t="shared" si="41"/>
        <v>FALSE</v>
      </c>
      <c r="AP386" s="10" t="str">
        <f t="shared" si="41"/>
        <v>y=-0.0423*4.92^2+66.444*4.92-22.986</v>
      </c>
      <c r="AQ386" s="10" t="b">
        <f>IF(AND(I386="TP",S386&lt;=150),VLOOKUP(AF386,TPCalibEq150!$AZ$2:$BB$55,3,),IF(AND(I386="TDP",S386&lt;=150),VLOOKUP(AF386,TPCalibEq150!$AZ$2:$BB$55,3,)))</f>
        <v>0</v>
      </c>
      <c r="AR386" s="10" t="b">
        <f>IF(AND(I386="TP",S386&lt;=300),VLOOKUP(AF386,TPCalibEq300!$AZ$2:$BB$55,3,),IF(AND(I386="TDP",S386&lt;=300),VLOOKUP(AF386,TPCalibEq300!$AZ$2:$BB$55,3,)))</f>
        <v>0</v>
      </c>
      <c r="AS386" s="10" t="str">
        <f>IF(AND(I386="TP",S386&lt;=500),VLOOKUP(AF386,TPCalibEq500!$AZ$2:$BB$56,3,),IF(AND(I386="TDP",S386&lt;=500),VLOOKUP(AF386,TPCalibEq500!$AZ$2:$BB$56,3,)))</f>
        <v>y=-1.1451x2+77.605x-34.739</v>
      </c>
      <c r="AT386" s="10" t="b">
        <f>IF(AND(I386="TN",S386&lt;=2800),VLOOKUP(AF386,TNCalibEq2500!$AZ$2:$BB$56,3,),IF(AND(I386="TDN",S386&lt;=2800),VLOOKUP(AF386,TNCalibEq2500!$AZ$2:$BB$56,3,)))</f>
        <v>0</v>
      </c>
      <c r="AU386" s="10" t="str">
        <f>IF(I386="TP",VLOOKUP(AF386,TPCalibEqFull!$AZ$2:$BB$56,3),IF(I386="TDP",VLOOKUP(AF386,TPCalibEqFull!$AZ$2:$BB$56,3),IF(I386="TDN",VLOOKUP(AF386,TNCalibEqFull!$AZ$1:$BB$56,3),IF(I386="TN",VLOOKUP(AF386,TNCalibEqFull!$AZ$1:$BB$56,3),FALSE))))</f>
        <v>y=-0.0423x2+66.444x-22.986</v>
      </c>
      <c r="AV386" s="10" t="str">
        <f t="shared" ref="AV386:AV449" si="46">TEXT(A386, "MMDD")&amp;" "&amp;TEXT(B386, "HH:MM:SS")&amp;"-"&amp;C386&amp;"-"&amp;D386&amp;"-"&amp;E386&amp;"-"&amp;F386&amp;"-"&amp;G386&amp;"-"&amp;H386</f>
        <v>1228 05:45:00-EFK-0-C-1-SW-UKN</v>
      </c>
    </row>
    <row r="387" spans="1:48" s="10" customFormat="1" x14ac:dyDescent="0.55000000000000004">
      <c r="A387" s="32">
        <v>44923</v>
      </c>
      <c r="B387" s="33">
        <v>0.36249999999999999</v>
      </c>
      <c r="C387" s="10" t="s">
        <v>333</v>
      </c>
      <c r="D387" s="10">
        <v>0</v>
      </c>
      <c r="E387" s="10" t="s">
        <v>190</v>
      </c>
      <c r="F387" s="10">
        <v>1</v>
      </c>
      <c r="G387" s="10" t="s">
        <v>231</v>
      </c>
      <c r="H387" s="10" t="s">
        <v>322</v>
      </c>
      <c r="I387" s="10" t="s">
        <v>83</v>
      </c>
      <c r="J387" s="10">
        <v>18</v>
      </c>
      <c r="K387" s="12">
        <v>44930</v>
      </c>
      <c r="L387" s="33">
        <v>0.57452546296296292</v>
      </c>
      <c r="M387" s="10">
        <v>1</v>
      </c>
      <c r="N387" s="10" t="s">
        <v>84</v>
      </c>
      <c r="O387" s="10">
        <v>1.59</v>
      </c>
      <c r="P387" s="10">
        <v>0.111</v>
      </c>
      <c r="Q387" s="10">
        <v>83.9</v>
      </c>
      <c r="R387" s="10" t="s">
        <v>85</v>
      </c>
      <c r="S387" s="34">
        <f t="shared" si="42"/>
        <v>94.369382119999983</v>
      </c>
      <c r="T387" s="10" t="s">
        <v>983</v>
      </c>
      <c r="U387" s="34" t="str">
        <f t="shared" si="43"/>
        <v/>
      </c>
      <c r="V387" s="31" t="str">
        <f>IF(H387="CHK",VLOOKUP(I387,QCCHK,3,),IF(H387="GUP",VLOOKUP(E387,QCGUP,2,),IF(AND(H387="ATP",OR(I387="TN",I387="TDN",I387="TNO2-3",I387="NO2-3")),VLOOKUP(E387,QCREC_N,2,),IF(AND(H387="NIC",OR(I387="TN",I387="TDN",I387="TNO2-3",I387="NO2-3")),VLOOKUP(E387,QCNIC_N,2,),IF(AND(H387="UREA",OR(I387="TN",I387="TDN",I387="TNO2-3",I387="NO2-3")),VLOOKUP(E387,QCUREA_N,2,),IF(H387="PER",VLOOKUP(I387,QCPER,MATCH(E387,QCACTUAL!$J$25:$AA$25,0),),IF(H387="SPK",VLOOKUP(I387,QCSPK,3,),IF(AND(H387="ATP",OR(I387="TP",I387="TDP")),VLOOKUP(E387,QCATP_P,2,),""))))))))</f>
        <v/>
      </c>
      <c r="W387" s="31" t="str">
        <f t="shared" si="44"/>
        <v>TRUE</v>
      </c>
      <c r="X387" s="31" t="str">
        <f t="shared" si="45"/>
        <v/>
      </c>
      <c r="Y387" s="10" t="s">
        <v>970</v>
      </c>
      <c r="Z387" s="10" t="s">
        <v>910</v>
      </c>
      <c r="AF387" s="12">
        <v>44930</v>
      </c>
      <c r="AG387" s="10">
        <f>-8.4348*1.59^2+102.96*1.59-48.013</f>
        <v>94.369382119999983</v>
      </c>
      <c r="AH387" s="10">
        <f>-2.6941*1.59^2+86.956*1.59-40.231</f>
        <v>91.218085790000003</v>
      </c>
      <c r="AI387" s="10">
        <f>-1.1451*1.59^2+77.605*1.59-34.739</f>
        <v>85.758022690000018</v>
      </c>
      <c r="AK387" s="10">
        <f>-0.0423*1.59^2+66.444*1.59-22.986</f>
        <v>82.55302137000001</v>
      </c>
      <c r="AL387" s="10" t="str">
        <f t="shared" ref="AL387:AN450" si="47">IF($O387="", "", IF(AQ387&lt;&gt;"", SUBSTITUTE(SUBSTITUTE(AQ387, "x", "*"&amp;$O387&amp;"^", 1), "x", "*"&amp;$O387, 1), ""))</f>
        <v>y=-8.4348*1.59^2+102.96*1.59-48.013</v>
      </c>
      <c r="AM387" s="10" t="str">
        <f t="shared" si="47"/>
        <v>y=-2.6941*1.59^2+86.956*1.59-40.231</v>
      </c>
      <c r="AN387" s="10" t="str">
        <f t="shared" si="47"/>
        <v>y=-1.1451*1.59^2+77.605*1.59-34.739</v>
      </c>
      <c r="AO387" s="10" t="str">
        <f t="shared" ref="AO387:AP450" si="48">IF($O387="", "FALSE", IF(AT387&lt;&gt;"FALSE", SUBSTITUTE(SUBSTITUTE(AT387, "x", "*"&amp;$O387&amp;"^", 1), "x", "*"&amp;$O387, 1), ""))</f>
        <v>FALSE</v>
      </c>
      <c r="AP387" s="10" t="str">
        <f t="shared" si="48"/>
        <v>y=-0.0423*1.59^2+66.444*1.59-22.986</v>
      </c>
      <c r="AQ387" s="10" t="str">
        <f>IF(AND(I387="TP",S387&lt;=150),VLOOKUP(AF387,TPCalibEq150!$AZ$2:$BB$55,3,),IF(AND(I387="TDP",S387&lt;=150),VLOOKUP(AF387,TPCalibEq150!$AZ$2:$BB$55,3,)))</f>
        <v>y=-8.4348x2+102.96x-48.013</v>
      </c>
      <c r="AR387" s="10" t="str">
        <f>IF(AND(I387="TP",S387&lt;=300),VLOOKUP(AF387,TPCalibEq300!$AZ$2:$BB$55,3,),IF(AND(I387="TDP",S387&lt;=300),VLOOKUP(AF387,TPCalibEq300!$AZ$2:$BB$55,3,)))</f>
        <v>y=-2.6941x2+86.956x-40.231</v>
      </c>
      <c r="AS387" s="10" t="str">
        <f>IF(AND(I387="TP",S387&lt;=500),VLOOKUP(AF387,TPCalibEq500!$AZ$2:$BB$56,3,),IF(AND(I387="TDP",S387&lt;=500),VLOOKUP(AF387,TPCalibEq500!$AZ$2:$BB$56,3,)))</f>
        <v>y=-1.1451x2+77.605x-34.739</v>
      </c>
      <c r="AT387" s="10" t="b">
        <f>IF(AND(I387="TN",S387&lt;=2800),VLOOKUP(AF387,TNCalibEq2500!$AZ$2:$BB$56,3,),IF(AND(I387="TDN",S387&lt;=2800),VLOOKUP(AF387,TNCalibEq2500!$AZ$2:$BB$56,3,)))</f>
        <v>0</v>
      </c>
      <c r="AU387" s="10" t="str">
        <f>IF(I387="TP",VLOOKUP(AF387,TPCalibEqFull!$AZ$2:$BB$56,3),IF(I387="TDP",VLOOKUP(AF387,TPCalibEqFull!$AZ$2:$BB$56,3),IF(I387="TDN",VLOOKUP(AF387,TNCalibEqFull!$AZ$1:$BB$56,3),IF(I387="TN",VLOOKUP(AF387,TNCalibEqFull!$AZ$1:$BB$56,3),FALSE))))</f>
        <v>y=-0.0423x2+66.444x-22.986</v>
      </c>
      <c r="AV387" s="10" t="str">
        <f t="shared" si="46"/>
        <v>1228 08:42:00-HST-0-C-1-SW-UKN</v>
      </c>
    </row>
    <row r="388" spans="1:48" s="10" customFormat="1" x14ac:dyDescent="0.55000000000000004">
      <c r="A388" s="32">
        <v>44924</v>
      </c>
      <c r="B388" s="33">
        <v>0.21180555555555555</v>
      </c>
      <c r="C388" s="10" t="s">
        <v>279</v>
      </c>
      <c r="D388" s="10">
        <v>0</v>
      </c>
      <c r="E388" s="10" t="s">
        <v>190</v>
      </c>
      <c r="F388" s="10">
        <v>1</v>
      </c>
      <c r="G388" s="10" t="s">
        <v>231</v>
      </c>
      <c r="H388" s="10" t="s">
        <v>322</v>
      </c>
      <c r="I388" s="10" t="s">
        <v>83</v>
      </c>
      <c r="J388" s="10">
        <v>19</v>
      </c>
      <c r="K388" s="12">
        <v>44930</v>
      </c>
      <c r="L388" s="33">
        <v>0.57521990740740747</v>
      </c>
      <c r="M388" s="10">
        <v>1</v>
      </c>
      <c r="N388" s="10" t="s">
        <v>84</v>
      </c>
      <c r="O388" s="10">
        <v>4.34</v>
      </c>
      <c r="P388" s="10">
        <v>0.309</v>
      </c>
      <c r="Q388" s="10">
        <v>266</v>
      </c>
      <c r="R388" s="10" t="s">
        <v>85</v>
      </c>
      <c r="S388" s="34">
        <f t="shared" si="42"/>
        <v>286.41305004000003</v>
      </c>
      <c r="T388" s="10" t="s">
        <v>983</v>
      </c>
      <c r="U388" s="34" t="str">
        <f t="shared" si="43"/>
        <v/>
      </c>
      <c r="V388" s="31" t="str">
        <f>IF(H388="CHK",VLOOKUP(I388,QCCHK,3,),IF(H388="GUP",VLOOKUP(E388,QCGUP,2,),IF(AND(H388="ATP",OR(I388="TN",I388="TDN",I388="TNO2-3",I388="NO2-3")),VLOOKUP(E388,QCREC_N,2,),IF(AND(H388="NIC",OR(I388="TN",I388="TDN",I388="TNO2-3",I388="NO2-3")),VLOOKUP(E388,QCNIC_N,2,),IF(AND(H388="UREA",OR(I388="TN",I388="TDN",I388="TNO2-3",I388="NO2-3")),VLOOKUP(E388,QCUREA_N,2,),IF(H388="PER",VLOOKUP(I388,QCPER,MATCH(E388,QCACTUAL!$J$25:$AA$25,0),),IF(H388="SPK",VLOOKUP(I388,QCSPK,3,),IF(AND(H388="ATP",OR(I388="TP",I388="TDP")),VLOOKUP(E388,QCATP_P,2,),""))))))))</f>
        <v/>
      </c>
      <c r="W388" s="31" t="str">
        <f t="shared" si="44"/>
        <v>TRUE</v>
      </c>
      <c r="X388" s="31" t="str">
        <f t="shared" si="45"/>
        <v/>
      </c>
      <c r="Y388" s="10" t="s">
        <v>970</v>
      </c>
      <c r="Z388" s="10" t="s">
        <v>910</v>
      </c>
      <c r="AF388" s="12">
        <v>44930</v>
      </c>
      <c r="AH388" s="10">
        <f>-2.6941*4.34^2+86.956*4.34-40.231</f>
        <v>286.41305004000003</v>
      </c>
      <c r="AI388" s="10">
        <f>-1.1451*4.34^2+77.605*4.34-34.739</f>
        <v>280.49805444000003</v>
      </c>
      <c r="AK388" s="10">
        <f>-0.0423*4.34^2+66.444*4.34-22.986</f>
        <v>264.58421412000001</v>
      </c>
      <c r="AL388" s="10" t="str">
        <f t="shared" si="47"/>
        <v>FALSE</v>
      </c>
      <c r="AM388" s="10" t="str">
        <f t="shared" si="47"/>
        <v>y=-2.6941*4.34^2+86.956*4.34-40.231</v>
      </c>
      <c r="AN388" s="10" t="str">
        <f t="shared" si="47"/>
        <v>y=-1.1451*4.34^2+77.605*4.34-34.739</v>
      </c>
      <c r="AO388" s="10" t="str">
        <f t="shared" si="48"/>
        <v>FALSE</v>
      </c>
      <c r="AP388" s="10" t="str">
        <f t="shared" si="48"/>
        <v>y=-0.0423*4.34^2+66.444*4.34-22.986</v>
      </c>
      <c r="AQ388" s="10" t="b">
        <f>IF(AND(I388="TP",S388&lt;=150),VLOOKUP(AF388,TPCalibEq150!$AZ$2:$BB$55,3,),IF(AND(I388="TDP",S388&lt;=150),VLOOKUP(AF388,TPCalibEq150!$AZ$2:$BB$55,3,)))</f>
        <v>0</v>
      </c>
      <c r="AR388" s="10" t="str">
        <f>IF(AND(I388="TP",S388&lt;=300),VLOOKUP(AF388,TPCalibEq300!$AZ$2:$BB$55,3,),IF(AND(I388="TDP",S388&lt;=300),VLOOKUP(AF388,TPCalibEq300!$AZ$2:$BB$55,3,)))</f>
        <v>y=-2.6941x2+86.956x-40.231</v>
      </c>
      <c r="AS388" s="10" t="str">
        <f>IF(AND(I388="TP",S388&lt;=500),VLOOKUP(AF388,TPCalibEq500!$AZ$2:$BB$56,3,),IF(AND(I388="TDP",S388&lt;=500),VLOOKUP(AF388,TPCalibEq500!$AZ$2:$BB$56,3,)))</f>
        <v>y=-1.1451x2+77.605x-34.739</v>
      </c>
      <c r="AT388" s="10" t="b">
        <f>IF(AND(I388="TN",S388&lt;=2800),VLOOKUP(AF388,TNCalibEq2500!$AZ$2:$BB$56,3,),IF(AND(I388="TDN",S388&lt;=2800),VLOOKUP(AF388,TNCalibEq2500!$AZ$2:$BB$56,3,)))</f>
        <v>0</v>
      </c>
      <c r="AU388" s="10" t="str">
        <f>IF(I388="TP",VLOOKUP(AF388,TPCalibEqFull!$AZ$2:$BB$56,3),IF(I388="TDP",VLOOKUP(AF388,TPCalibEqFull!$AZ$2:$BB$56,3),IF(I388="TDN",VLOOKUP(AF388,TNCalibEqFull!$AZ$1:$BB$56,3),IF(I388="TN",VLOOKUP(AF388,TNCalibEqFull!$AZ$1:$BB$56,3),FALSE))))</f>
        <v>y=-0.0423x2+66.444x-22.986</v>
      </c>
      <c r="AV388" s="10" t="str">
        <f t="shared" si="46"/>
        <v>1229 05:05:00-EFK-0-C-1-SW-UKN</v>
      </c>
    </row>
    <row r="389" spans="1:48" s="10" customFormat="1" x14ac:dyDescent="0.55000000000000004">
      <c r="A389" s="32">
        <v>44924</v>
      </c>
      <c r="B389" s="33">
        <v>0.22013888888888888</v>
      </c>
      <c r="C389" s="10" t="s">
        <v>333</v>
      </c>
      <c r="D389" s="10">
        <v>0</v>
      </c>
      <c r="E389" s="10" t="s">
        <v>190</v>
      </c>
      <c r="F389" s="10">
        <v>1</v>
      </c>
      <c r="G389" s="10" t="s">
        <v>231</v>
      </c>
      <c r="H389" s="10" t="s">
        <v>322</v>
      </c>
      <c r="I389" s="10" t="s">
        <v>83</v>
      </c>
      <c r="J389" s="10">
        <v>20</v>
      </c>
      <c r="K389" s="12">
        <v>44930</v>
      </c>
      <c r="L389" s="33">
        <v>0.5759143518518518</v>
      </c>
      <c r="M389" s="10">
        <v>1</v>
      </c>
      <c r="N389" s="10" t="s">
        <v>84</v>
      </c>
      <c r="O389" s="10">
        <v>1.52</v>
      </c>
      <c r="P389" s="10">
        <v>0.105</v>
      </c>
      <c r="Q389" s="10">
        <v>79.099999999999994</v>
      </c>
      <c r="R389" s="10" t="s">
        <v>85</v>
      </c>
      <c r="S389" s="34">
        <f t="shared" si="42"/>
        <v>88.99843808</v>
      </c>
      <c r="T389" s="10" t="s">
        <v>983</v>
      </c>
      <c r="U389" s="34" t="str">
        <f t="shared" si="43"/>
        <v/>
      </c>
      <c r="V389" s="31" t="str">
        <f>IF(H389="CHK",VLOOKUP(I389,QCCHK,3,),IF(H389="GUP",VLOOKUP(E389,QCGUP,2,),IF(AND(H389="ATP",OR(I389="TN",I389="TDN",I389="TNO2-3",I389="NO2-3")),VLOOKUP(E389,QCREC_N,2,),IF(AND(H389="NIC",OR(I389="TN",I389="TDN",I389="TNO2-3",I389="NO2-3")),VLOOKUP(E389,QCNIC_N,2,),IF(AND(H389="UREA",OR(I389="TN",I389="TDN",I389="TNO2-3",I389="NO2-3")),VLOOKUP(E389,QCUREA_N,2,),IF(H389="PER",VLOOKUP(I389,QCPER,MATCH(E389,QCACTUAL!$J$25:$AA$25,0),),IF(H389="SPK",VLOOKUP(I389,QCSPK,3,),IF(AND(H389="ATP",OR(I389="TP",I389="TDP")),VLOOKUP(E389,QCATP_P,2,),""))))))))</f>
        <v/>
      </c>
      <c r="W389" s="31" t="str">
        <f t="shared" si="44"/>
        <v>TRUE</v>
      </c>
      <c r="X389" s="31" t="str">
        <f t="shared" si="45"/>
        <v/>
      </c>
      <c r="Y389" s="10" t="s">
        <v>970</v>
      </c>
      <c r="Z389" s="10" t="s">
        <v>910</v>
      </c>
      <c r="AF389" s="12">
        <v>44930</v>
      </c>
      <c r="AG389" s="10">
        <f>-8.4348*1.52^2+102.96*1.52-48.013</f>
        <v>88.99843808</v>
      </c>
      <c r="AH389" s="10">
        <f>-2.6941*1.52^2+86.956*1.52-40.231</f>
        <v>85.717671359999997</v>
      </c>
      <c r="AI389" s="10">
        <f>-1.1451*1.52^2+77.605*1.52-34.739</f>
        <v>80.574960959999999</v>
      </c>
      <c r="AK389" s="10">
        <f>-0.0423*1.52^2+66.444*1.52-22.986</f>
        <v>77.911150079999999</v>
      </c>
      <c r="AL389" s="10" t="str">
        <f t="shared" si="47"/>
        <v>y=-8.4348*1.52^2+102.96*1.52-48.013</v>
      </c>
      <c r="AM389" s="10" t="str">
        <f t="shared" si="47"/>
        <v>y=-2.6941*1.52^2+86.956*1.52-40.231</v>
      </c>
      <c r="AN389" s="10" t="str">
        <f t="shared" si="47"/>
        <v>y=-1.1451*1.52^2+77.605*1.52-34.739</v>
      </c>
      <c r="AO389" s="10" t="str">
        <f t="shared" si="48"/>
        <v>FALSE</v>
      </c>
      <c r="AP389" s="10" t="str">
        <f t="shared" si="48"/>
        <v>y=-0.0423*1.52^2+66.444*1.52-22.986</v>
      </c>
      <c r="AQ389" s="10" t="str">
        <f>IF(AND(I389="TP",S389&lt;=150),VLOOKUP(AF389,TPCalibEq150!$AZ$2:$BB$55,3,),IF(AND(I389="TDP",S389&lt;=150),VLOOKUP(AF389,TPCalibEq150!$AZ$2:$BB$55,3,)))</f>
        <v>y=-8.4348x2+102.96x-48.013</v>
      </c>
      <c r="AR389" s="10" t="str">
        <f>IF(AND(I389="TP",S389&lt;=300),VLOOKUP(AF389,TPCalibEq300!$AZ$2:$BB$55,3,),IF(AND(I389="TDP",S389&lt;=300),VLOOKUP(AF389,TPCalibEq300!$AZ$2:$BB$55,3,)))</f>
        <v>y=-2.6941x2+86.956x-40.231</v>
      </c>
      <c r="AS389" s="10" t="str">
        <f>IF(AND(I389="TP",S389&lt;=500),VLOOKUP(AF389,TPCalibEq500!$AZ$2:$BB$56,3,),IF(AND(I389="TDP",S389&lt;=500),VLOOKUP(AF389,TPCalibEq500!$AZ$2:$BB$56,3,)))</f>
        <v>y=-1.1451x2+77.605x-34.739</v>
      </c>
      <c r="AT389" s="10" t="b">
        <f>IF(AND(I389="TN",S389&lt;=2800),VLOOKUP(AF389,TNCalibEq2500!$AZ$2:$BB$56,3,),IF(AND(I389="TDN",S389&lt;=2800),VLOOKUP(AF389,TNCalibEq2500!$AZ$2:$BB$56,3,)))</f>
        <v>0</v>
      </c>
      <c r="AU389" s="10" t="str">
        <f>IF(I389="TP",VLOOKUP(AF389,TPCalibEqFull!$AZ$2:$BB$56,3),IF(I389="TDP",VLOOKUP(AF389,TPCalibEqFull!$AZ$2:$BB$56,3),IF(I389="TDN",VLOOKUP(AF389,TNCalibEqFull!$AZ$1:$BB$56,3),IF(I389="TN",VLOOKUP(AF389,TNCalibEqFull!$AZ$1:$BB$56,3),FALSE))))</f>
        <v>y=-0.0423x2+66.444x-22.986</v>
      </c>
      <c r="AV389" s="10" t="str">
        <f t="shared" si="46"/>
        <v>1229 05:17:00-HST-0-C-1-SW-UKN</v>
      </c>
    </row>
    <row r="390" spans="1:48" s="10" customFormat="1" x14ac:dyDescent="0.55000000000000004">
      <c r="A390" s="32">
        <v>44924</v>
      </c>
      <c r="B390" s="33">
        <v>0.22013888888888888</v>
      </c>
      <c r="C390" s="10" t="s">
        <v>333</v>
      </c>
      <c r="D390" s="10">
        <v>0</v>
      </c>
      <c r="E390" s="10" t="s">
        <v>190</v>
      </c>
      <c r="F390" s="10">
        <v>1</v>
      </c>
      <c r="G390" s="10" t="s">
        <v>231</v>
      </c>
      <c r="H390" s="10" t="s">
        <v>233</v>
      </c>
      <c r="I390" s="10" t="s">
        <v>83</v>
      </c>
      <c r="J390" s="10">
        <v>20</v>
      </c>
      <c r="K390" s="12">
        <v>44930</v>
      </c>
      <c r="L390" s="33">
        <v>0.57660879629629636</v>
      </c>
      <c r="M390" s="10">
        <v>1</v>
      </c>
      <c r="N390" s="10" t="s">
        <v>84</v>
      </c>
      <c r="O390" s="10">
        <v>1.5</v>
      </c>
      <c r="P390" s="10">
        <v>0.105</v>
      </c>
      <c r="Q390" s="10">
        <v>77.7</v>
      </c>
      <c r="R390" s="10" t="s">
        <v>85</v>
      </c>
      <c r="S390" s="34">
        <f t="shared" si="42"/>
        <v>87.448700000000002</v>
      </c>
      <c r="T390" s="10" t="s">
        <v>983</v>
      </c>
      <c r="U390" s="34">
        <f t="shared" si="43"/>
        <v>1.7566032488408581</v>
      </c>
      <c r="V390" s="31" t="str">
        <f>IF(H390="CHK",VLOOKUP(I390,QCCHK,3,),IF(H390="GUP",VLOOKUP(E390,QCGUP,2,),IF(AND(H390="ATP",OR(I390="TN",I390="TDN",I390="TNO2-3",I390="NO2-3")),VLOOKUP(E390,QCREC_N,2,),IF(AND(H390="NIC",OR(I390="TN",I390="TDN",I390="TNO2-3",I390="NO2-3")),VLOOKUP(E390,QCNIC_N,2,),IF(AND(H390="UREA",OR(I390="TN",I390="TDN",I390="TNO2-3",I390="NO2-3")),VLOOKUP(E390,QCUREA_N,2,),IF(H390="PER",VLOOKUP(I390,QCPER,MATCH(E390,QCACTUAL!$J$25:$AA$25,0),),IF(H390="SPK",VLOOKUP(I390,QCSPK,3,),IF(AND(H390="ATP",OR(I390="TP",I390="TDP")),VLOOKUP(E390,QCATP_P,2,),""))))))))</f>
        <v/>
      </c>
      <c r="W390" s="31" t="str">
        <f t="shared" si="44"/>
        <v>TRUE</v>
      </c>
      <c r="X390" s="31" t="str">
        <f t="shared" si="45"/>
        <v>((ABS(rep1-rep2))/((rep1+rep2)/2)*100</v>
      </c>
      <c r="Y390" s="10" t="s">
        <v>970</v>
      </c>
      <c r="Z390" s="10" t="s">
        <v>910</v>
      </c>
      <c r="AF390" s="12">
        <v>44930</v>
      </c>
      <c r="AG390" s="10">
        <f>-8.4348*1.5^2+102.96*1.5-48.013</f>
        <v>87.448700000000002</v>
      </c>
      <c r="AH390" s="10">
        <f>-2.6941*1.5^2+86.956*1.5-40.231</f>
        <v>84.141275000000007</v>
      </c>
      <c r="AI390" s="10">
        <f>-1.1451*1.5^2+77.605*1.5-34.739</f>
        <v>79.092025000000007</v>
      </c>
      <c r="AK390" s="10">
        <f>-0.0423*1.5^2+66.444*1.5-22.986</f>
        <v>76.584824999999995</v>
      </c>
      <c r="AL390" s="10" t="str">
        <f t="shared" si="47"/>
        <v>y=-8.4348*1.5^2+102.96*1.5-48.013</v>
      </c>
      <c r="AM390" s="10" t="str">
        <f t="shared" si="47"/>
        <v>y=-2.6941*1.5^2+86.956*1.5-40.231</v>
      </c>
      <c r="AN390" s="10" t="str">
        <f t="shared" si="47"/>
        <v>y=-1.1451*1.5^2+77.605*1.5-34.739</v>
      </c>
      <c r="AO390" s="10" t="str">
        <f t="shared" si="48"/>
        <v>FALSE</v>
      </c>
      <c r="AP390" s="10" t="str">
        <f t="shared" si="48"/>
        <v>y=-0.0423*1.5^2+66.444*1.5-22.986</v>
      </c>
      <c r="AQ390" s="10" t="str">
        <f>IF(AND(I390="TP",S390&lt;=150),VLOOKUP(AF390,TPCalibEq150!$AZ$2:$BB$55,3,),IF(AND(I390="TDP",S390&lt;=150),VLOOKUP(AF390,TPCalibEq150!$AZ$2:$BB$55,3,)))</f>
        <v>y=-8.4348x2+102.96x-48.013</v>
      </c>
      <c r="AR390" s="10" t="str">
        <f>IF(AND(I390="TP",S390&lt;=300),VLOOKUP(AF390,TPCalibEq300!$AZ$2:$BB$55,3,),IF(AND(I390="TDP",S390&lt;=300),VLOOKUP(AF390,TPCalibEq300!$AZ$2:$BB$55,3,)))</f>
        <v>y=-2.6941x2+86.956x-40.231</v>
      </c>
      <c r="AS390" s="10" t="str">
        <f>IF(AND(I390="TP",S390&lt;=500),VLOOKUP(AF390,TPCalibEq500!$AZ$2:$BB$56,3,),IF(AND(I390="TDP",S390&lt;=500),VLOOKUP(AF390,TPCalibEq500!$AZ$2:$BB$56,3,)))</f>
        <v>y=-1.1451x2+77.605x-34.739</v>
      </c>
      <c r="AT390" s="10" t="b">
        <f>IF(AND(I390="TN",S390&lt;=2800),VLOOKUP(AF390,TNCalibEq2500!$AZ$2:$BB$56,3,),IF(AND(I390="TDN",S390&lt;=2800),VLOOKUP(AF390,TNCalibEq2500!$AZ$2:$BB$56,3,)))</f>
        <v>0</v>
      </c>
      <c r="AU390" s="10" t="str">
        <f>IF(I390="TP",VLOOKUP(AF390,TPCalibEqFull!$AZ$2:$BB$56,3),IF(I390="TDP",VLOOKUP(AF390,TPCalibEqFull!$AZ$2:$BB$56,3),IF(I390="TDN",VLOOKUP(AF390,TNCalibEqFull!$AZ$1:$BB$56,3),IF(I390="TN",VLOOKUP(AF390,TNCalibEqFull!$AZ$1:$BB$56,3),FALSE))))</f>
        <v>y=-0.0423x2+66.444x-22.986</v>
      </c>
      <c r="AV390" s="10" t="str">
        <f t="shared" si="46"/>
        <v>1229 05:17:00-HST-0-C-1-SW-DUP</v>
      </c>
    </row>
    <row r="391" spans="1:48" s="10" customFormat="1" x14ac:dyDescent="0.55000000000000004">
      <c r="A391" s="32">
        <v>44924</v>
      </c>
      <c r="B391" s="33">
        <v>0.22013888888888888</v>
      </c>
      <c r="C391" s="10" t="s">
        <v>912</v>
      </c>
      <c r="D391" s="10">
        <v>0</v>
      </c>
      <c r="E391" s="10" t="s">
        <v>190</v>
      </c>
      <c r="F391" s="10">
        <v>1</v>
      </c>
      <c r="G391" s="10" t="s">
        <v>231</v>
      </c>
      <c r="H391" s="10" t="s">
        <v>314</v>
      </c>
      <c r="I391" s="10" t="s">
        <v>83</v>
      </c>
      <c r="J391" s="10">
        <v>50</v>
      </c>
      <c r="K391" s="12">
        <v>44930</v>
      </c>
      <c r="L391" s="33">
        <v>0.57730324074074069</v>
      </c>
      <c r="M391" s="10">
        <v>1</v>
      </c>
      <c r="N391" s="10" t="s">
        <v>84</v>
      </c>
      <c r="O391" s="10">
        <v>17.100000000000001</v>
      </c>
      <c r="P391" s="10">
        <v>1.21</v>
      </c>
      <c r="Q391" s="10">
        <v>1100</v>
      </c>
      <c r="R391" s="10" t="s">
        <v>85</v>
      </c>
      <c r="S391" s="34">
        <f t="shared" si="42"/>
        <v>1100.8374570000001</v>
      </c>
      <c r="T391" s="10" t="s">
        <v>983</v>
      </c>
      <c r="U391" s="34">
        <f t="shared" si="43"/>
        <v>101.3388757</v>
      </c>
      <c r="V391" s="31">
        <f>IF(H391="CHK",VLOOKUP(I391,QCCHK,3,),IF(H391="GUP",VLOOKUP(E391,QCGUP,2,),IF(AND(H391="ATP",OR(I391="TN",I391="TDN",I391="TNO2-3",I391="NO2-3")),VLOOKUP(E391,QCREC_N,2,),IF(AND(H391="NIC",OR(I391="TN",I391="TDN",I391="TNO2-3",I391="NO2-3")),VLOOKUP(E391,QCNIC_N,2,),IF(AND(H391="UREA",OR(I391="TN",I391="TDN",I391="TNO2-3",I391="NO2-3")),VLOOKUP(E391,QCUREA_N,2,),IF(H391="PER",VLOOKUP(I391,QCPER,MATCH(E391,QCACTUAL!$J$25:$AA$25,0),),IF(H391="SPK",VLOOKUP(I391,QCSPK,3,),IF(AND(H391="ATP",OR(I391="TP",I391="TDP")),VLOOKUP(E391,QCATP_P,2,),""))))))))</f>
        <v>1000</v>
      </c>
      <c r="W391" s="31" t="str">
        <f t="shared" si="44"/>
        <v>TRUE</v>
      </c>
      <c r="X391" s="31" t="str">
        <f t="shared" si="45"/>
        <v>([spikedunkn]-[unkn])/[spike]*100</v>
      </c>
      <c r="Y391" s="10" t="s">
        <v>970</v>
      </c>
      <c r="Z391" s="10" t="s">
        <v>910</v>
      </c>
      <c r="AF391" s="12">
        <v>44930</v>
      </c>
      <c r="AK391" s="10">
        <f>-0.0423*17.1^2+66.444*17.1-22.986</f>
        <v>1100.8374570000001</v>
      </c>
      <c r="AL391" s="10" t="str">
        <f t="shared" si="47"/>
        <v>FALSE</v>
      </c>
      <c r="AM391" s="10" t="str">
        <f t="shared" si="47"/>
        <v>FALSE</v>
      </c>
      <c r="AN391" s="10" t="str">
        <f t="shared" si="47"/>
        <v>FALSE</v>
      </c>
      <c r="AO391" s="10" t="str">
        <f t="shared" si="48"/>
        <v>FALSE</v>
      </c>
      <c r="AP391" s="10" t="str">
        <f t="shared" si="48"/>
        <v>y=-0.0423*17.1^2+66.444*17.1-22.986</v>
      </c>
      <c r="AQ391" s="10" t="b">
        <f>IF(AND(I391="TP",S391&lt;=150),VLOOKUP(AF391,TPCalibEq150!$AZ$2:$BB$55,3,),IF(AND(I391="TDP",S391&lt;=150),VLOOKUP(AF391,TPCalibEq150!$AZ$2:$BB$55,3,)))</f>
        <v>0</v>
      </c>
      <c r="AR391" s="10" t="b">
        <f>IF(AND(I391="TP",S391&lt;=300),VLOOKUP(AF391,TPCalibEq300!$AZ$2:$BB$55,3,),IF(AND(I391="TDP",S391&lt;=300),VLOOKUP(AF391,TPCalibEq300!$AZ$2:$BB$55,3,)))</f>
        <v>0</v>
      </c>
      <c r="AS391" s="10" t="b">
        <f>IF(AND(I391="TP",S391&lt;=500),VLOOKUP(AF391,TPCalibEq500!$AZ$2:$BB$56,3,),IF(AND(I391="TDP",S391&lt;=500),VLOOKUP(AF391,TPCalibEq500!$AZ$2:$BB$56,3,)))</f>
        <v>0</v>
      </c>
      <c r="AT391" s="10" t="b">
        <f>IF(AND(I391="TN",S391&lt;=2800),VLOOKUP(AF391,TNCalibEq2500!$AZ$2:$BB$56,3,),IF(AND(I391="TDN",S391&lt;=2800),VLOOKUP(AF391,TNCalibEq2500!$AZ$2:$BB$56,3,)))</f>
        <v>0</v>
      </c>
      <c r="AU391" s="10" t="str">
        <f>IF(I391="TP",VLOOKUP(AF391,TPCalibEqFull!$AZ$2:$BB$56,3),IF(I391="TDP",VLOOKUP(AF391,TPCalibEqFull!$AZ$2:$BB$56,3),IF(I391="TDN",VLOOKUP(AF391,TNCalibEqFull!$AZ$1:$BB$56,3),IF(I391="TN",VLOOKUP(AF391,TNCalibEqFull!$AZ$1:$BB$56,3),FALSE))))</f>
        <v>y=-0.0423x2+66.444x-22.986</v>
      </c>
      <c r="AV391" s="10" t="str">
        <f t="shared" si="46"/>
        <v>1229 05:17:00-HST -0-C-1-SW-SPK</v>
      </c>
    </row>
    <row r="392" spans="1:48" s="10" customFormat="1" x14ac:dyDescent="0.55000000000000004">
      <c r="A392" s="32">
        <v>44930</v>
      </c>
      <c r="B392" s="33">
        <v>0.375</v>
      </c>
      <c r="C392" s="10" t="s">
        <v>70</v>
      </c>
      <c r="D392" s="10" t="s">
        <v>71</v>
      </c>
      <c r="E392" s="10" t="s">
        <v>901</v>
      </c>
      <c r="F392" s="10">
        <v>1</v>
      </c>
      <c r="G392" s="10" t="s">
        <v>73</v>
      </c>
      <c r="H392" s="10" t="s">
        <v>207</v>
      </c>
      <c r="I392" s="10" t="s">
        <v>83</v>
      </c>
      <c r="J392" s="10">
        <v>199</v>
      </c>
      <c r="K392" s="12">
        <v>44930</v>
      </c>
      <c r="L392" s="33">
        <v>0.57803240740740736</v>
      </c>
      <c r="M392" s="10">
        <v>1</v>
      </c>
      <c r="N392" s="10" t="s">
        <v>84</v>
      </c>
      <c r="O392" s="10">
        <v>8.2100000000000009</v>
      </c>
      <c r="P392" s="10">
        <v>0.58699999999999997</v>
      </c>
      <c r="Q392" s="10">
        <v>522</v>
      </c>
      <c r="R392" s="10" t="s">
        <v>85</v>
      </c>
      <c r="S392" s="34">
        <f t="shared" si="42"/>
        <v>522</v>
      </c>
      <c r="T392" s="10" t="s">
        <v>983</v>
      </c>
      <c r="U392" s="34">
        <f t="shared" si="43"/>
        <v>104.4</v>
      </c>
      <c r="V392" s="31">
        <f>IF(H392="CHK",VLOOKUP(I392,QCCHK,3,),IF(H392="GUP",VLOOKUP(E392,QCGUP,2,),IF(AND(H392="ATP",OR(I392="TN",I392="TDN",I392="TNO2-3",I392="NO2-3")),VLOOKUP(E392,QCREC_N,2,),IF(AND(H392="NIC",OR(I392="TN",I392="TDN",I392="TNO2-3",I392="NO2-3")),VLOOKUP(E392,QCNIC_N,2,),IF(AND(H392="UREA",OR(I392="TN",I392="TDN",I392="TNO2-3",I392="NO2-3")),VLOOKUP(E392,QCUREA_N,2,),IF(H392="PER",VLOOKUP(I392,QCPER,MATCH(E392,QCACTUAL!$J$25:$AA$25,0),),IF(H392="SPK",VLOOKUP(I392,QCSPK,3,),IF(AND(H392="ATP",OR(I392="TP",I392="TDP")),VLOOKUP(E392,QCATP_P,2,),""))))))))</f>
        <v>500</v>
      </c>
      <c r="W392" s="31" t="str">
        <f t="shared" si="44"/>
        <v>TRUE</v>
      </c>
      <c r="X392" s="31" t="str">
        <f t="shared" si="45"/>
        <v>[chk]/[actual]*100</v>
      </c>
      <c r="Y392" s="10" t="s">
        <v>970</v>
      </c>
      <c r="AF392" s="12">
        <v>44930</v>
      </c>
      <c r="AK392" s="10">
        <f>-0.0423*8.21^2+66.444*8.21-22.986</f>
        <v>519.66804657000012</v>
      </c>
      <c r="AL392" s="10" t="str">
        <f t="shared" si="47"/>
        <v>FALSE</v>
      </c>
      <c r="AM392" s="10" t="str">
        <f t="shared" si="47"/>
        <v>FALSE</v>
      </c>
      <c r="AN392" s="10" t="str">
        <f t="shared" si="47"/>
        <v>FALSE</v>
      </c>
      <c r="AO392" s="10" t="str">
        <f t="shared" si="48"/>
        <v>FALSE</v>
      </c>
      <c r="AP392" s="10" t="str">
        <f t="shared" si="48"/>
        <v>y=-0.0423*8.21^2+66.444*8.21-22.986</v>
      </c>
      <c r="AQ392" s="10" t="b">
        <f>IF(AND(I392="TP",S392&lt;=150),VLOOKUP(AF392,TPCalibEq150!$AZ$2:$BB$55,3,),IF(AND(I392="TDP",S392&lt;=150),VLOOKUP(AF392,TPCalibEq150!$AZ$2:$BB$55,3,)))</f>
        <v>0</v>
      </c>
      <c r="AR392" s="10" t="b">
        <f>IF(AND(I392="TP",S392&lt;=300),VLOOKUP(AF392,TPCalibEq300!$AZ$2:$BB$55,3,),IF(AND(I392="TDP",S392&lt;=300),VLOOKUP(AF392,TPCalibEq300!$AZ$2:$BB$55,3,)))</f>
        <v>0</v>
      </c>
      <c r="AS392" s="10" t="b">
        <f>IF(AND(I392="TP",S392&lt;=500),VLOOKUP(AF392,TPCalibEq500!$AZ$2:$BB$56,3,),IF(AND(I392="TDP",S392&lt;=500),VLOOKUP(AF392,TPCalibEq500!$AZ$2:$BB$56,3,)))</f>
        <v>0</v>
      </c>
      <c r="AT392" s="10" t="b">
        <f>IF(AND(I392="TN",S392&lt;=2800),VLOOKUP(AF392,TNCalibEq2500!$AZ$2:$BB$56,3,),IF(AND(I392="TDN",S392&lt;=2800),VLOOKUP(AF392,TNCalibEq2500!$AZ$2:$BB$56,3,)))</f>
        <v>0</v>
      </c>
      <c r="AU392" s="10" t="str">
        <f>IF(I392="TP",VLOOKUP(AF392,TPCalibEqFull!$AZ$2:$BB$56,3),IF(I392="TDP",VLOOKUP(AF392,TPCalibEqFull!$AZ$2:$BB$56,3),IF(I392="TDN",VLOOKUP(AF392,TNCalibEqFull!$AZ$1:$BB$56,3),IF(I392="TN",VLOOKUP(AF392,TNCalibEqFull!$AZ$1:$BB$56,3),FALSE))))</f>
        <v>y=-0.0423x2+66.444x-22.986</v>
      </c>
      <c r="AV392" s="10" t="str">
        <f t="shared" si="46"/>
        <v>0104 09:00:00-QAC-STD-D-1-DI-CHK</v>
      </c>
    </row>
    <row r="393" spans="1:48" s="10" customFormat="1" x14ac:dyDescent="0.55000000000000004">
      <c r="A393" s="32">
        <v>44925</v>
      </c>
      <c r="B393" s="33">
        <v>0.55555555555555558</v>
      </c>
      <c r="C393" s="10" t="s">
        <v>279</v>
      </c>
      <c r="D393" s="10">
        <v>0</v>
      </c>
      <c r="E393" s="10" t="s">
        <v>190</v>
      </c>
      <c r="F393" s="10">
        <v>1</v>
      </c>
      <c r="G393" s="10" t="s">
        <v>231</v>
      </c>
      <c r="H393" s="10" t="s">
        <v>322</v>
      </c>
      <c r="I393" s="10" t="s">
        <v>83</v>
      </c>
      <c r="J393" s="10">
        <v>21</v>
      </c>
      <c r="K393" s="12">
        <v>44930</v>
      </c>
      <c r="L393" s="33">
        <v>0.57872685185185191</v>
      </c>
      <c r="M393" s="10">
        <v>1</v>
      </c>
      <c r="N393" s="10" t="s">
        <v>84</v>
      </c>
      <c r="O393" s="10">
        <v>4.3099999999999996</v>
      </c>
      <c r="P393" s="10">
        <v>0.308</v>
      </c>
      <c r="Q393" s="10">
        <v>264</v>
      </c>
      <c r="R393" s="10" t="s">
        <v>85</v>
      </c>
      <c r="S393" s="34">
        <f t="shared" si="42"/>
        <v>284.50348898999999</v>
      </c>
      <c r="T393" s="10" t="s">
        <v>983</v>
      </c>
      <c r="U393" s="34" t="str">
        <f t="shared" si="43"/>
        <v/>
      </c>
      <c r="V393" s="31" t="str">
        <f>IF(H393="CHK",VLOOKUP(I393,QCCHK,3,),IF(H393="GUP",VLOOKUP(E393,QCGUP,2,),IF(AND(H393="ATP",OR(I393="TN",I393="TDN",I393="TNO2-3",I393="NO2-3")),VLOOKUP(E393,QCREC_N,2,),IF(AND(H393="NIC",OR(I393="TN",I393="TDN",I393="TNO2-3",I393="NO2-3")),VLOOKUP(E393,QCNIC_N,2,),IF(AND(H393="UREA",OR(I393="TN",I393="TDN",I393="TNO2-3",I393="NO2-3")),VLOOKUP(E393,QCUREA_N,2,),IF(H393="PER",VLOOKUP(I393,QCPER,MATCH(E393,QCACTUAL!$J$25:$AA$25,0),),IF(H393="SPK",VLOOKUP(I393,QCSPK,3,),IF(AND(H393="ATP",OR(I393="TP",I393="TDP")),VLOOKUP(E393,QCATP_P,2,),""))))))))</f>
        <v/>
      </c>
      <c r="W393" s="31" t="str">
        <f t="shared" si="44"/>
        <v>TRUE</v>
      </c>
      <c r="X393" s="31" t="str">
        <f t="shared" si="45"/>
        <v/>
      </c>
      <c r="Y393" s="10" t="s">
        <v>970</v>
      </c>
      <c r="Z393" s="10" t="s">
        <v>910</v>
      </c>
      <c r="AF393" s="12">
        <v>44930</v>
      </c>
      <c r="AH393" s="10">
        <f>-2.6941*4.31^2+86.956*4.31-40.231</f>
        <v>284.50348898999999</v>
      </c>
      <c r="AI393" s="10">
        <f>-1.1451*4.31^2+77.605*4.31-34.739</f>
        <v>278.46705789000004</v>
      </c>
      <c r="AK393" s="10">
        <f>-0.0423*4.31^2+66.444*4.31-22.986</f>
        <v>262.60187096999999</v>
      </c>
      <c r="AL393" s="10" t="str">
        <f t="shared" si="47"/>
        <v>FALSE</v>
      </c>
      <c r="AM393" s="10" t="str">
        <f t="shared" si="47"/>
        <v>y=-2.6941*4.31^2+86.956*4.31-40.231</v>
      </c>
      <c r="AN393" s="10" t="str">
        <f t="shared" si="47"/>
        <v>y=-1.1451*4.31^2+77.605*4.31-34.739</v>
      </c>
      <c r="AO393" s="10" t="str">
        <f t="shared" si="48"/>
        <v>FALSE</v>
      </c>
      <c r="AP393" s="10" t="str">
        <f t="shared" si="48"/>
        <v>y=-0.0423*4.31^2+66.444*4.31-22.986</v>
      </c>
      <c r="AQ393" s="10" t="b">
        <f>IF(AND(I393="TP",S393&lt;=150),VLOOKUP(AF393,TPCalibEq150!$AZ$2:$BB$55,3,),IF(AND(I393="TDP",S393&lt;=150),VLOOKUP(AF393,TPCalibEq150!$AZ$2:$BB$55,3,)))</f>
        <v>0</v>
      </c>
      <c r="AR393" s="10" t="str">
        <f>IF(AND(I393="TP",S393&lt;=300),VLOOKUP(AF393,TPCalibEq300!$AZ$2:$BB$55,3,),IF(AND(I393="TDP",S393&lt;=300),VLOOKUP(AF393,TPCalibEq300!$AZ$2:$BB$55,3,)))</f>
        <v>y=-2.6941x2+86.956x-40.231</v>
      </c>
      <c r="AS393" s="10" t="str">
        <f>IF(AND(I393="TP",S393&lt;=500),VLOOKUP(AF393,TPCalibEq500!$AZ$2:$BB$56,3,),IF(AND(I393="TDP",S393&lt;=500),VLOOKUP(AF393,TPCalibEq500!$AZ$2:$BB$56,3,)))</f>
        <v>y=-1.1451x2+77.605x-34.739</v>
      </c>
      <c r="AT393" s="10" t="b">
        <f>IF(AND(I393="TN",S393&lt;=2800),VLOOKUP(AF393,TNCalibEq2500!$AZ$2:$BB$56,3,),IF(AND(I393="TDN",S393&lt;=2800),VLOOKUP(AF393,TNCalibEq2500!$AZ$2:$BB$56,3,)))</f>
        <v>0</v>
      </c>
      <c r="AU393" s="10" t="str">
        <f>IF(I393="TP",VLOOKUP(AF393,TPCalibEqFull!$AZ$2:$BB$56,3),IF(I393="TDP",VLOOKUP(AF393,TPCalibEqFull!$AZ$2:$BB$56,3),IF(I393="TDN",VLOOKUP(AF393,TNCalibEqFull!$AZ$1:$BB$56,3),IF(I393="TN",VLOOKUP(AF393,TNCalibEqFull!$AZ$1:$BB$56,3),FALSE))))</f>
        <v>y=-0.0423x2+66.444x-22.986</v>
      </c>
      <c r="AV393" s="10" t="str">
        <f t="shared" si="46"/>
        <v>1230 13:20:00-EFK-0-C-1-SW-UKN</v>
      </c>
    </row>
    <row r="394" spans="1:48" s="10" customFormat="1" x14ac:dyDescent="0.55000000000000004">
      <c r="A394" s="32">
        <v>44925</v>
      </c>
      <c r="B394" s="33">
        <v>0.55902777777777779</v>
      </c>
      <c r="C394" s="10" t="s">
        <v>333</v>
      </c>
      <c r="D394" s="10">
        <v>0</v>
      </c>
      <c r="E394" s="10" t="s">
        <v>190</v>
      </c>
      <c r="F394" s="10">
        <v>1</v>
      </c>
      <c r="G394" s="10" t="s">
        <v>231</v>
      </c>
      <c r="H394" s="10" t="s">
        <v>322</v>
      </c>
      <c r="I394" s="10" t="s">
        <v>83</v>
      </c>
      <c r="J394" s="10">
        <v>22</v>
      </c>
      <c r="K394" s="12">
        <v>44930</v>
      </c>
      <c r="L394" s="33">
        <v>0.57942129629629624</v>
      </c>
      <c r="M394" s="10">
        <v>1</v>
      </c>
      <c r="N394" s="10" t="s">
        <v>84</v>
      </c>
      <c r="O394" s="10">
        <v>2.37</v>
      </c>
      <c r="P394" s="10">
        <v>0.16600000000000001</v>
      </c>
      <c r="Q394" s="10">
        <v>135</v>
      </c>
      <c r="R394" s="10" t="s">
        <v>85</v>
      </c>
      <c r="S394" s="34">
        <f t="shared" si="42"/>
        <v>150.72222971000002</v>
      </c>
      <c r="T394" s="10" t="s">
        <v>983</v>
      </c>
      <c r="U394" s="34" t="str">
        <f t="shared" si="43"/>
        <v/>
      </c>
      <c r="V394" s="31" t="str">
        <f>IF(H394="CHK",VLOOKUP(I394,QCCHK,3,),IF(H394="GUP",VLOOKUP(E394,QCGUP,2,),IF(AND(H394="ATP",OR(I394="TN",I394="TDN",I394="TNO2-3",I394="NO2-3")),VLOOKUP(E394,QCREC_N,2,),IF(AND(H394="NIC",OR(I394="TN",I394="TDN",I394="TNO2-3",I394="NO2-3")),VLOOKUP(E394,QCNIC_N,2,),IF(AND(H394="UREA",OR(I394="TN",I394="TDN",I394="TNO2-3",I394="NO2-3")),VLOOKUP(E394,QCUREA_N,2,),IF(H394="PER",VLOOKUP(I394,QCPER,MATCH(E394,QCACTUAL!$J$25:$AA$25,0),),IF(H394="SPK",VLOOKUP(I394,QCSPK,3,),IF(AND(H394="ATP",OR(I394="TP",I394="TDP")),VLOOKUP(E394,QCATP_P,2,),""))))))))</f>
        <v/>
      </c>
      <c r="W394" s="31" t="str">
        <f t="shared" si="44"/>
        <v>TRUE</v>
      </c>
      <c r="X394" s="31" t="str">
        <f t="shared" si="45"/>
        <v/>
      </c>
      <c r="Y394" s="10" t="s">
        <v>970</v>
      </c>
      <c r="Z394" s="10" t="s">
        <v>910</v>
      </c>
      <c r="AF394" s="12">
        <v>44930</v>
      </c>
      <c r="AH394" s="10">
        <f>-2.6941*2.37^2+86.956*2.37-40.231</f>
        <v>150.72222971000002</v>
      </c>
      <c r="AI394" s="10">
        <f>-1.1451*2.37^2+77.605*2.37-34.739</f>
        <v>142.75293781000002</v>
      </c>
      <c r="AK394" s="10">
        <f>-0.0423*2.37^2+66.444*2.37-22.986</f>
        <v>134.24868513000001</v>
      </c>
      <c r="AL394" s="10" t="str">
        <f t="shared" si="47"/>
        <v>FALSE</v>
      </c>
      <c r="AM394" s="10" t="str">
        <f t="shared" si="47"/>
        <v>y=-2.6941*2.37^2+86.956*2.37-40.231</v>
      </c>
      <c r="AN394" s="10" t="str">
        <f t="shared" si="47"/>
        <v>y=-1.1451*2.37^2+77.605*2.37-34.739</v>
      </c>
      <c r="AO394" s="10" t="str">
        <f t="shared" si="48"/>
        <v>FALSE</v>
      </c>
      <c r="AP394" s="10" t="str">
        <f t="shared" si="48"/>
        <v>y=-0.0423*2.37^2+66.444*2.37-22.986</v>
      </c>
      <c r="AQ394" s="10" t="b">
        <f>IF(AND(I394="TP",S394&lt;=150),VLOOKUP(AF394,TPCalibEq150!$AZ$2:$BB$55,3,),IF(AND(I394="TDP",S394&lt;=150),VLOOKUP(AF394,TPCalibEq150!$AZ$2:$BB$55,3,)))</f>
        <v>0</v>
      </c>
      <c r="AR394" s="10" t="str">
        <f>IF(AND(I394="TP",S394&lt;=300),VLOOKUP(AF394,TPCalibEq300!$AZ$2:$BB$55,3,),IF(AND(I394="TDP",S394&lt;=300),VLOOKUP(AF394,TPCalibEq300!$AZ$2:$BB$55,3,)))</f>
        <v>y=-2.6941x2+86.956x-40.231</v>
      </c>
      <c r="AS394" s="10" t="str">
        <f>IF(AND(I394="TP",S394&lt;=500),VLOOKUP(AF394,TPCalibEq500!$AZ$2:$BB$56,3,),IF(AND(I394="TDP",S394&lt;=500),VLOOKUP(AF394,TPCalibEq500!$AZ$2:$BB$56,3,)))</f>
        <v>y=-1.1451x2+77.605x-34.739</v>
      </c>
      <c r="AT394" s="10" t="b">
        <f>IF(AND(I394="TN",S394&lt;=2800),VLOOKUP(AF394,TNCalibEq2500!$AZ$2:$BB$56,3,),IF(AND(I394="TDN",S394&lt;=2800),VLOOKUP(AF394,TNCalibEq2500!$AZ$2:$BB$56,3,)))</f>
        <v>0</v>
      </c>
      <c r="AU394" s="10" t="str">
        <f>IF(I394="TP",VLOOKUP(AF394,TPCalibEqFull!$AZ$2:$BB$56,3),IF(I394="TDP",VLOOKUP(AF394,TPCalibEqFull!$AZ$2:$BB$56,3),IF(I394="TDN",VLOOKUP(AF394,TNCalibEqFull!$AZ$1:$BB$56,3),IF(I394="TN",VLOOKUP(AF394,TNCalibEqFull!$AZ$1:$BB$56,3),FALSE))))</f>
        <v>y=-0.0423x2+66.444x-22.986</v>
      </c>
      <c r="AV394" s="10" t="str">
        <f t="shared" si="46"/>
        <v>1230 13:25:00-HST-0-C-1-SW-UKN</v>
      </c>
    </row>
    <row r="395" spans="1:48" s="10" customFormat="1" x14ac:dyDescent="0.55000000000000004">
      <c r="A395" s="32">
        <v>44929</v>
      </c>
      <c r="B395" s="33">
        <v>0.22222222222222221</v>
      </c>
      <c r="C395" s="10" t="s">
        <v>279</v>
      </c>
      <c r="D395" s="10">
        <v>0</v>
      </c>
      <c r="E395" s="10" t="s">
        <v>190</v>
      </c>
      <c r="F395" s="10">
        <v>1</v>
      </c>
      <c r="G395" s="10" t="s">
        <v>231</v>
      </c>
      <c r="H395" s="10" t="s">
        <v>322</v>
      </c>
      <c r="I395" s="10" t="s">
        <v>83</v>
      </c>
      <c r="J395" s="10">
        <v>23</v>
      </c>
      <c r="K395" s="12">
        <v>44930</v>
      </c>
      <c r="L395" s="33">
        <v>0.58010416666666664</v>
      </c>
      <c r="M395" s="10">
        <v>1</v>
      </c>
      <c r="N395" s="10" t="s">
        <v>84</v>
      </c>
      <c r="O395" s="10">
        <v>15.4</v>
      </c>
      <c r="P395" s="10">
        <v>1.08</v>
      </c>
      <c r="Q395" s="10">
        <v>992</v>
      </c>
      <c r="R395" s="10" t="s">
        <v>85</v>
      </c>
      <c r="S395" s="34">
        <f t="shared" si="42"/>
        <v>992</v>
      </c>
      <c r="T395" s="10" t="s">
        <v>983</v>
      </c>
      <c r="U395" s="34" t="str">
        <f t="shared" si="43"/>
        <v/>
      </c>
      <c r="V395" s="31" t="str">
        <f>IF(H395="CHK",VLOOKUP(I395,QCCHK,3,),IF(H395="GUP",VLOOKUP(E395,QCGUP,2,),IF(AND(H395="ATP",OR(I395="TN",I395="TDN",I395="TNO2-3",I395="NO2-3")),VLOOKUP(E395,QCREC_N,2,),IF(AND(H395="NIC",OR(I395="TN",I395="TDN",I395="TNO2-3",I395="NO2-3")),VLOOKUP(E395,QCNIC_N,2,),IF(AND(H395="UREA",OR(I395="TN",I395="TDN",I395="TNO2-3",I395="NO2-3")),VLOOKUP(E395,QCUREA_N,2,),IF(H395="PER",VLOOKUP(I395,QCPER,MATCH(E395,QCACTUAL!$J$25:$AA$25,0),),IF(H395="SPK",VLOOKUP(I395,QCSPK,3,),IF(AND(H395="ATP",OR(I395="TP",I395="TDP")),VLOOKUP(E395,QCATP_P,2,),""))))))))</f>
        <v/>
      </c>
      <c r="W395" s="31" t="str">
        <f t="shared" si="44"/>
        <v>TRUE</v>
      </c>
      <c r="X395" s="31" t="str">
        <f t="shared" si="45"/>
        <v/>
      </c>
      <c r="Y395" s="10" t="s">
        <v>970</v>
      </c>
      <c r="AF395" s="12">
        <v>44930</v>
      </c>
      <c r="AK395" s="10">
        <f>-0.0423*15.4^2+66.444*15.4-22.986</f>
        <v>990.21973200000002</v>
      </c>
      <c r="AL395" s="10" t="str">
        <f t="shared" si="47"/>
        <v>FALSE</v>
      </c>
      <c r="AM395" s="10" t="str">
        <f t="shared" si="47"/>
        <v>FALSE</v>
      </c>
      <c r="AN395" s="10" t="str">
        <f t="shared" si="47"/>
        <v>FALSE</v>
      </c>
      <c r="AO395" s="10" t="str">
        <f t="shared" si="48"/>
        <v>FALSE</v>
      </c>
      <c r="AP395" s="10" t="str">
        <f t="shared" si="48"/>
        <v>y=-0.0423*15.4^2+66.444*15.4-22.986</v>
      </c>
      <c r="AQ395" s="10" t="b">
        <f>IF(AND(I395="TP",S395&lt;=150),VLOOKUP(AF395,TPCalibEq150!$AZ$2:$BB$55,3,),IF(AND(I395="TDP",S395&lt;=150),VLOOKUP(AF395,TPCalibEq150!$AZ$2:$BB$55,3,)))</f>
        <v>0</v>
      </c>
      <c r="AR395" s="10" t="b">
        <f>IF(AND(I395="TP",S395&lt;=300),VLOOKUP(AF395,TPCalibEq300!$AZ$2:$BB$55,3,),IF(AND(I395="TDP",S395&lt;=300),VLOOKUP(AF395,TPCalibEq300!$AZ$2:$BB$55,3,)))</f>
        <v>0</v>
      </c>
      <c r="AS395" s="10" t="b">
        <f>IF(AND(I395="TP",S395&lt;=500),VLOOKUP(AF395,TPCalibEq500!$AZ$2:$BB$56,3,),IF(AND(I395="TDP",S395&lt;=500),VLOOKUP(AF395,TPCalibEq500!$AZ$2:$BB$56,3,)))</f>
        <v>0</v>
      </c>
      <c r="AT395" s="10" t="b">
        <f>IF(AND(I395="TN",S395&lt;=2800),VLOOKUP(AF395,TNCalibEq2500!$AZ$2:$BB$56,3,),IF(AND(I395="TDN",S395&lt;=2800),VLOOKUP(AF395,TNCalibEq2500!$AZ$2:$BB$56,3,)))</f>
        <v>0</v>
      </c>
      <c r="AU395" s="10" t="str">
        <f>IF(I395="TP",VLOOKUP(AF395,TPCalibEqFull!$AZ$2:$BB$56,3),IF(I395="TDP",VLOOKUP(AF395,TPCalibEqFull!$AZ$2:$BB$56,3),IF(I395="TDN",VLOOKUP(AF395,TNCalibEqFull!$AZ$1:$BB$56,3),IF(I395="TN",VLOOKUP(AF395,TNCalibEqFull!$AZ$1:$BB$56,3),FALSE))))</f>
        <v>y=-0.0423x2+66.444x-22.986</v>
      </c>
      <c r="AV395" s="10" t="str">
        <f t="shared" si="46"/>
        <v>0103 05:20:00-EFK-0-C-1-SW-UKN</v>
      </c>
    </row>
    <row r="396" spans="1:48" s="10" customFormat="1" x14ac:dyDescent="0.55000000000000004">
      <c r="A396" s="32">
        <v>44929</v>
      </c>
      <c r="B396" s="33">
        <v>0.22569444444444445</v>
      </c>
      <c r="C396" s="10" t="s">
        <v>333</v>
      </c>
      <c r="D396" s="10">
        <v>0</v>
      </c>
      <c r="E396" s="10" t="s">
        <v>190</v>
      </c>
      <c r="F396" s="10">
        <v>1</v>
      </c>
      <c r="G396" s="10" t="s">
        <v>231</v>
      </c>
      <c r="H396" s="10" t="s">
        <v>322</v>
      </c>
      <c r="I396" s="10" t="s">
        <v>83</v>
      </c>
      <c r="J396" s="10">
        <v>24</v>
      </c>
      <c r="K396" s="12">
        <v>44930</v>
      </c>
      <c r="L396" s="33">
        <v>0.58079861111111108</v>
      </c>
      <c r="M396" s="10">
        <v>1</v>
      </c>
      <c r="N396" s="10" t="s">
        <v>84</v>
      </c>
      <c r="O396" s="10">
        <v>17.3</v>
      </c>
      <c r="P396" s="10">
        <v>1.22</v>
      </c>
      <c r="Q396" s="10">
        <v>1120</v>
      </c>
      <c r="R396" s="10" t="s">
        <v>85</v>
      </c>
      <c r="S396" s="34">
        <f t="shared" si="42"/>
        <v>1120</v>
      </c>
      <c r="T396" s="10" t="s">
        <v>983</v>
      </c>
      <c r="U396" s="34" t="str">
        <f t="shared" si="43"/>
        <v/>
      </c>
      <c r="V396" s="31" t="str">
        <f>IF(H396="CHK",VLOOKUP(I396,QCCHK,3,),IF(H396="GUP",VLOOKUP(E396,QCGUP,2,),IF(AND(H396="ATP",OR(I396="TN",I396="TDN",I396="TNO2-3",I396="NO2-3")),VLOOKUP(E396,QCREC_N,2,),IF(AND(H396="NIC",OR(I396="TN",I396="TDN",I396="TNO2-3",I396="NO2-3")),VLOOKUP(E396,QCNIC_N,2,),IF(AND(H396="UREA",OR(I396="TN",I396="TDN",I396="TNO2-3",I396="NO2-3")),VLOOKUP(E396,QCUREA_N,2,),IF(H396="PER",VLOOKUP(I396,QCPER,MATCH(E396,QCACTUAL!$J$25:$AA$25,0),),IF(H396="SPK",VLOOKUP(I396,QCSPK,3,),IF(AND(H396="ATP",OR(I396="TP",I396="TDP")),VLOOKUP(E396,QCATP_P,2,),""))))))))</f>
        <v/>
      </c>
      <c r="W396" s="31" t="str">
        <f t="shared" si="44"/>
        <v>TRUE</v>
      </c>
      <c r="X396" s="31" t="str">
        <f t="shared" si="45"/>
        <v/>
      </c>
      <c r="Y396" s="10" t="s">
        <v>970</v>
      </c>
      <c r="AF396" s="12">
        <v>44930</v>
      </c>
      <c r="AK396" s="10">
        <f>-0.0423*17.3^2+66.444*17.3-22.986</f>
        <v>1113.835233</v>
      </c>
      <c r="AL396" s="10" t="str">
        <f t="shared" si="47"/>
        <v>FALSE</v>
      </c>
      <c r="AM396" s="10" t="str">
        <f t="shared" si="47"/>
        <v>FALSE</v>
      </c>
      <c r="AN396" s="10" t="str">
        <f t="shared" si="47"/>
        <v>FALSE</v>
      </c>
      <c r="AO396" s="10" t="str">
        <f t="shared" si="48"/>
        <v>FALSE</v>
      </c>
      <c r="AP396" s="10" t="str">
        <f t="shared" si="48"/>
        <v>y=-0.0423*17.3^2+66.444*17.3-22.986</v>
      </c>
      <c r="AQ396" s="10" t="b">
        <f>IF(AND(I396="TP",S396&lt;=150),VLOOKUP(AF396,TPCalibEq150!$AZ$2:$BB$55,3,),IF(AND(I396="TDP",S396&lt;=150),VLOOKUP(AF396,TPCalibEq150!$AZ$2:$BB$55,3,)))</f>
        <v>0</v>
      </c>
      <c r="AR396" s="10" t="b">
        <f>IF(AND(I396="TP",S396&lt;=300),VLOOKUP(AF396,TPCalibEq300!$AZ$2:$BB$55,3,),IF(AND(I396="TDP",S396&lt;=300),VLOOKUP(AF396,TPCalibEq300!$AZ$2:$BB$55,3,)))</f>
        <v>0</v>
      </c>
      <c r="AS396" s="10" t="b">
        <f>IF(AND(I396="TP",S396&lt;=500),VLOOKUP(AF396,TPCalibEq500!$AZ$2:$BB$56,3,),IF(AND(I396="TDP",S396&lt;=500),VLOOKUP(AF396,TPCalibEq500!$AZ$2:$BB$56,3,)))</f>
        <v>0</v>
      </c>
      <c r="AT396" s="10" t="b">
        <f>IF(AND(I396="TN",S396&lt;=2800),VLOOKUP(AF396,TNCalibEq2500!$AZ$2:$BB$56,3,),IF(AND(I396="TDN",S396&lt;=2800),VLOOKUP(AF396,TNCalibEq2500!$AZ$2:$BB$56,3,)))</f>
        <v>0</v>
      </c>
      <c r="AU396" s="10" t="str">
        <f>IF(I396="TP",VLOOKUP(AF396,TPCalibEqFull!$AZ$2:$BB$56,3),IF(I396="TDP",VLOOKUP(AF396,TPCalibEqFull!$AZ$2:$BB$56,3),IF(I396="TDN",VLOOKUP(AF396,TNCalibEqFull!$AZ$1:$BB$56,3),IF(I396="TN",VLOOKUP(AF396,TNCalibEqFull!$AZ$1:$BB$56,3),FALSE))))</f>
        <v>y=-0.0423x2+66.444x-22.986</v>
      </c>
      <c r="AV396" s="10" t="str">
        <f t="shared" si="46"/>
        <v>0103 05:25:00-HST-0-C-1-SW-UKN</v>
      </c>
    </row>
    <row r="397" spans="1:48" s="10" customFormat="1" x14ac:dyDescent="0.55000000000000004">
      <c r="A397" s="32">
        <v>44909</v>
      </c>
      <c r="B397" s="33">
        <v>0.23541666666666669</v>
      </c>
      <c r="C397" s="10" t="s">
        <v>279</v>
      </c>
      <c r="D397" s="10">
        <v>0</v>
      </c>
      <c r="E397" s="10" t="s">
        <v>911</v>
      </c>
      <c r="F397" s="10">
        <v>1</v>
      </c>
      <c r="G397" s="10" t="s">
        <v>231</v>
      </c>
      <c r="H397" s="10" t="s">
        <v>322</v>
      </c>
      <c r="I397" s="10" t="s">
        <v>266</v>
      </c>
      <c r="J397" s="10">
        <v>25</v>
      </c>
      <c r="K397" s="12">
        <v>44930</v>
      </c>
      <c r="L397" s="33">
        <v>0.58148148148148149</v>
      </c>
      <c r="M397" s="10">
        <v>1</v>
      </c>
      <c r="N397" s="10" t="s">
        <v>84</v>
      </c>
      <c r="O397" s="10">
        <v>4.01</v>
      </c>
      <c r="P397" s="10">
        <v>0.28499999999999998</v>
      </c>
      <c r="Q397" s="10">
        <v>244</v>
      </c>
      <c r="R397" s="10" t="s">
        <v>85</v>
      </c>
      <c r="S397" s="34">
        <f t="shared" si="42"/>
        <v>265.14116259000002</v>
      </c>
      <c r="T397" s="10" t="s">
        <v>983</v>
      </c>
      <c r="U397" s="34" t="str">
        <f t="shared" si="43"/>
        <v/>
      </c>
      <c r="V397" s="31" t="str">
        <f>IF(H397="CHK",VLOOKUP(I397,QCCHK,3,),IF(H397="GUP",VLOOKUP(E397,QCGUP,2,),IF(AND(H397="ATP",OR(I397="TN",I397="TDN",I397="TNO2-3",I397="NO2-3")),VLOOKUP(E397,QCREC_N,2,),IF(AND(H397="NIC",OR(I397="TN",I397="TDN",I397="TNO2-3",I397="NO2-3")),VLOOKUP(E397,QCNIC_N,2,),IF(AND(H397="UREA",OR(I397="TN",I397="TDN",I397="TNO2-3",I397="NO2-3")),VLOOKUP(E397,QCUREA_N,2,),IF(H397="PER",VLOOKUP(I397,QCPER,MATCH(E397,QCACTUAL!$J$25:$AA$25,0),),IF(H397="SPK",VLOOKUP(I397,QCSPK,3,),IF(AND(H397="ATP",OR(I397="TP",I397="TDP")),VLOOKUP(E397,QCATP_P,2,),""))))))))</f>
        <v/>
      </c>
      <c r="W397" s="31" t="str">
        <f t="shared" si="44"/>
        <v>TRUE</v>
      </c>
      <c r="X397" s="31" t="str">
        <f t="shared" si="45"/>
        <v/>
      </c>
      <c r="Y397" s="10" t="s">
        <v>970</v>
      </c>
      <c r="Z397" s="10" t="s">
        <v>910</v>
      </c>
      <c r="AF397" s="12">
        <v>44930</v>
      </c>
      <c r="AH397" s="10">
        <f>-2.6941*4.01^2+86.956*4.01-40.231</f>
        <v>265.14116259000002</v>
      </c>
      <c r="AI397" s="10">
        <f>-1.1451*4.01^2+77.605*4.01-34.739</f>
        <v>258.04372749000004</v>
      </c>
      <c r="AK397" s="10">
        <f>-0.0423*4.01^2+66.444*4.01-22.986</f>
        <v>242.77425177000003</v>
      </c>
      <c r="AL397" s="10" t="str">
        <f t="shared" si="47"/>
        <v>FALSE</v>
      </c>
      <c r="AM397" s="10" t="str">
        <f t="shared" si="47"/>
        <v>y=-2.6941*4.01^2+86.956*4.01-40.231</v>
      </c>
      <c r="AN397" s="10" t="str">
        <f t="shared" si="47"/>
        <v>y=-1.1451*4.01^2+77.605*4.01-34.739</v>
      </c>
      <c r="AO397" s="10" t="str">
        <f t="shared" si="48"/>
        <v>FALSE</v>
      </c>
      <c r="AP397" s="10" t="str">
        <f t="shared" si="48"/>
        <v>y=-0.0423*4.01^2+66.444*4.01-22.986</v>
      </c>
      <c r="AQ397" s="10" t="b">
        <f>IF(AND(I397="TP",S397&lt;=150),VLOOKUP(AF397,TPCalibEq150!$AZ$2:$BB$55,3,),IF(AND(I397="TDP",S397&lt;=150),VLOOKUP(AF397,TPCalibEq150!$AZ$2:$BB$55,3,)))</f>
        <v>0</v>
      </c>
      <c r="AR397" s="10" t="str">
        <f>IF(AND(I397="TP",S397&lt;=300),VLOOKUP(AF397,TPCalibEq300!$AZ$2:$BB$55,3,),IF(AND(I397="TDP",S397&lt;=300),VLOOKUP(AF397,TPCalibEq300!$AZ$2:$BB$55,3,)))</f>
        <v>y=-2.6941x2+86.956x-40.231</v>
      </c>
      <c r="AS397" s="10" t="str">
        <f>IF(AND(I397="TP",S397&lt;=500),VLOOKUP(AF397,TPCalibEq500!$AZ$2:$BB$56,3,),IF(AND(I397="TDP",S397&lt;=500),VLOOKUP(AF397,TPCalibEq500!$AZ$2:$BB$56,3,)))</f>
        <v>y=-1.1451x2+77.605x-34.739</v>
      </c>
      <c r="AT397" s="10" t="b">
        <f>IF(AND(I397="TN",S397&lt;=2800),VLOOKUP(AF397,TNCalibEq2500!$AZ$2:$BB$56,3,),IF(AND(I397="TDN",S397&lt;=2800),VLOOKUP(AF397,TNCalibEq2500!$AZ$2:$BB$56,3,)))</f>
        <v>0</v>
      </c>
      <c r="AU397" s="10" t="str">
        <f>IF(I397="TP",VLOOKUP(AF397,TPCalibEqFull!$AZ$2:$BB$56,3),IF(I397="TDP",VLOOKUP(AF397,TPCalibEqFull!$AZ$2:$BB$56,3),IF(I397="TDN",VLOOKUP(AF397,TNCalibEqFull!$AZ$1:$BB$56,3),IF(I397="TN",VLOOKUP(AF397,TNCalibEqFull!$AZ$1:$BB$56,3),FALSE))))</f>
        <v>y=-0.0423x2+66.444x-22.986</v>
      </c>
      <c r="AV397" s="10" t="str">
        <f t="shared" si="46"/>
        <v>1214 05:39:00-EFK-0-FIL-1-SW-UKN</v>
      </c>
    </row>
    <row r="398" spans="1:48" s="10" customFormat="1" x14ac:dyDescent="0.55000000000000004">
      <c r="A398" s="32">
        <v>44909</v>
      </c>
      <c r="B398" s="33">
        <v>0.24236111111111111</v>
      </c>
      <c r="C398" s="10" t="s">
        <v>333</v>
      </c>
      <c r="D398" s="10">
        <v>0</v>
      </c>
      <c r="E398" s="10" t="s">
        <v>911</v>
      </c>
      <c r="F398" s="10">
        <v>1</v>
      </c>
      <c r="G398" s="10" t="s">
        <v>231</v>
      </c>
      <c r="H398" s="10" t="s">
        <v>322</v>
      </c>
      <c r="I398" s="10" t="s">
        <v>266</v>
      </c>
      <c r="J398" s="10">
        <v>26</v>
      </c>
      <c r="K398" s="12">
        <v>44930</v>
      </c>
      <c r="L398" s="33">
        <v>0.58217592592592593</v>
      </c>
      <c r="M398" s="10">
        <v>1</v>
      </c>
      <c r="N398" s="10" t="s">
        <v>84</v>
      </c>
      <c r="O398" s="10">
        <v>2.0299999999999998</v>
      </c>
      <c r="P398" s="10">
        <v>0.14199999999999999</v>
      </c>
      <c r="Q398" s="10">
        <v>113</v>
      </c>
      <c r="R398" s="10" t="s">
        <v>85</v>
      </c>
      <c r="S398" s="34">
        <f t="shared" si="42"/>
        <v>126.23683267999999</v>
      </c>
      <c r="T398" s="10" t="s">
        <v>983</v>
      </c>
      <c r="U398" s="34" t="str">
        <f t="shared" si="43"/>
        <v/>
      </c>
      <c r="V398" s="31" t="str">
        <f>IF(H398="CHK",VLOOKUP(I398,QCCHK,3,),IF(H398="GUP",VLOOKUP(E398,QCGUP,2,),IF(AND(H398="ATP",OR(I398="TN",I398="TDN",I398="TNO2-3",I398="NO2-3")),VLOOKUP(E398,QCREC_N,2,),IF(AND(H398="NIC",OR(I398="TN",I398="TDN",I398="TNO2-3",I398="NO2-3")),VLOOKUP(E398,QCNIC_N,2,),IF(AND(H398="UREA",OR(I398="TN",I398="TDN",I398="TNO2-3",I398="NO2-3")),VLOOKUP(E398,QCUREA_N,2,),IF(H398="PER",VLOOKUP(I398,QCPER,MATCH(E398,QCACTUAL!$J$25:$AA$25,0),),IF(H398="SPK",VLOOKUP(I398,QCSPK,3,),IF(AND(H398="ATP",OR(I398="TP",I398="TDP")),VLOOKUP(E398,QCATP_P,2,),""))))))))</f>
        <v/>
      </c>
      <c r="W398" s="31" t="str">
        <f t="shared" si="44"/>
        <v>TRUE</v>
      </c>
      <c r="X398" s="31" t="str">
        <f t="shared" si="45"/>
        <v/>
      </c>
      <c r="Y398" s="10" t="s">
        <v>970</v>
      </c>
      <c r="Z398" s="10" t="s">
        <v>910</v>
      </c>
      <c r="AF398" s="12">
        <v>44930</v>
      </c>
      <c r="AG398" s="10">
        <f>-8.4348*2.03^2+102.96*2.03-48.013</f>
        <v>126.23683267999999</v>
      </c>
      <c r="AH398" s="10">
        <f>-2.6941*2.03^2+86.956*2.03-40.231</f>
        <v>125.18756331</v>
      </c>
      <c r="AI398" s="10">
        <f>-1.1451*2.03^2+77.605*2.03-34.739</f>
        <v>118.08030740999999</v>
      </c>
      <c r="AK398" s="10">
        <f>-0.0423*2.03^2+66.444*2.03-22.986</f>
        <v>111.72100592999998</v>
      </c>
      <c r="AL398" s="10" t="str">
        <f t="shared" si="47"/>
        <v>y=-8.4348*2.03^2+102.96*2.03-48.013</v>
      </c>
      <c r="AM398" s="10" t="str">
        <f t="shared" si="47"/>
        <v>y=-2.6941*2.03^2+86.956*2.03-40.231</v>
      </c>
      <c r="AN398" s="10" t="str">
        <f t="shared" si="47"/>
        <v>y=-1.1451*2.03^2+77.605*2.03-34.739</v>
      </c>
      <c r="AO398" s="10" t="str">
        <f t="shared" si="48"/>
        <v>FALSE</v>
      </c>
      <c r="AP398" s="10" t="str">
        <f t="shared" si="48"/>
        <v>y=-0.0423*2.03^2+66.444*2.03-22.986</v>
      </c>
      <c r="AQ398" s="10" t="str">
        <f>IF(AND(I398="TP",S398&lt;=150),VLOOKUP(AF398,TPCalibEq150!$AZ$2:$BB$55,3,),IF(AND(I398="TDP",S398&lt;=150),VLOOKUP(AF398,TPCalibEq150!$AZ$2:$BB$55,3,)))</f>
        <v>y=-8.4348x2+102.96x-48.013</v>
      </c>
      <c r="AR398" s="10" t="str">
        <f>IF(AND(I398="TP",S398&lt;=300),VLOOKUP(AF398,TPCalibEq300!$AZ$2:$BB$55,3,),IF(AND(I398="TDP",S398&lt;=300),VLOOKUP(AF398,TPCalibEq300!$AZ$2:$BB$55,3,)))</f>
        <v>y=-2.6941x2+86.956x-40.231</v>
      </c>
      <c r="AS398" s="10" t="str">
        <f>IF(AND(I398="TP",S398&lt;=500),VLOOKUP(AF398,TPCalibEq500!$AZ$2:$BB$56,3,),IF(AND(I398="TDP",S398&lt;=500),VLOOKUP(AF398,TPCalibEq500!$AZ$2:$BB$56,3,)))</f>
        <v>y=-1.1451x2+77.605x-34.739</v>
      </c>
      <c r="AT398" s="10" t="b">
        <f>IF(AND(I398="TN",S398&lt;=2800),VLOOKUP(AF398,TNCalibEq2500!$AZ$2:$BB$56,3,),IF(AND(I398="TDN",S398&lt;=2800),VLOOKUP(AF398,TNCalibEq2500!$AZ$2:$BB$56,3,)))</f>
        <v>0</v>
      </c>
      <c r="AU398" s="10" t="str">
        <f>IF(I398="TP",VLOOKUP(AF398,TPCalibEqFull!$AZ$2:$BB$56,3),IF(I398="TDP",VLOOKUP(AF398,TPCalibEqFull!$AZ$2:$BB$56,3),IF(I398="TDN",VLOOKUP(AF398,TNCalibEqFull!$AZ$1:$BB$56,3),IF(I398="TN",VLOOKUP(AF398,TNCalibEqFull!$AZ$1:$BB$56,3),FALSE))))</f>
        <v>y=-0.0423x2+66.444x-22.986</v>
      </c>
      <c r="AV398" s="10" t="str">
        <f t="shared" si="46"/>
        <v>1214 05:49:00-HST-0-FIL-1-SW-UKN</v>
      </c>
    </row>
    <row r="399" spans="1:48" s="10" customFormat="1" x14ac:dyDescent="0.55000000000000004">
      <c r="A399" s="32">
        <v>44910</v>
      </c>
      <c r="B399" s="33">
        <v>0.18472222222222223</v>
      </c>
      <c r="C399" s="10" t="s">
        <v>279</v>
      </c>
      <c r="D399" s="10">
        <v>0</v>
      </c>
      <c r="E399" s="10" t="s">
        <v>911</v>
      </c>
      <c r="F399" s="10">
        <v>1</v>
      </c>
      <c r="G399" s="10" t="s">
        <v>231</v>
      </c>
      <c r="H399" s="10" t="s">
        <v>322</v>
      </c>
      <c r="I399" s="10" t="s">
        <v>266</v>
      </c>
      <c r="J399" s="10">
        <v>27</v>
      </c>
      <c r="K399" s="12">
        <v>44930</v>
      </c>
      <c r="L399" s="33">
        <v>0.58285879629629633</v>
      </c>
      <c r="M399" s="10">
        <v>1</v>
      </c>
      <c r="N399" s="10" t="s">
        <v>84</v>
      </c>
      <c r="O399" s="10">
        <v>3.42</v>
      </c>
      <c r="P399" s="10">
        <v>0.24199999999999999</v>
      </c>
      <c r="Q399" s="10">
        <v>205</v>
      </c>
      <c r="R399" s="10" t="s">
        <v>85</v>
      </c>
      <c r="S399" s="34">
        <f t="shared" si="42"/>
        <v>225.64724876000002</v>
      </c>
      <c r="T399" s="10" t="s">
        <v>983</v>
      </c>
      <c r="U399" s="34" t="str">
        <f t="shared" si="43"/>
        <v/>
      </c>
      <c r="V399" s="31" t="str">
        <f>IF(H399="CHK",VLOOKUP(I399,QCCHK,3,),IF(H399="GUP",VLOOKUP(E399,QCGUP,2,),IF(AND(H399="ATP",OR(I399="TN",I399="TDN",I399="TNO2-3",I399="NO2-3")),VLOOKUP(E399,QCREC_N,2,),IF(AND(H399="NIC",OR(I399="TN",I399="TDN",I399="TNO2-3",I399="NO2-3")),VLOOKUP(E399,QCNIC_N,2,),IF(AND(H399="UREA",OR(I399="TN",I399="TDN",I399="TNO2-3",I399="NO2-3")),VLOOKUP(E399,QCUREA_N,2,),IF(H399="PER",VLOOKUP(I399,QCPER,MATCH(E399,QCACTUAL!$J$25:$AA$25,0),),IF(H399="SPK",VLOOKUP(I399,QCSPK,3,),IF(AND(H399="ATP",OR(I399="TP",I399="TDP")),VLOOKUP(E399,QCATP_P,2,),""))))))))</f>
        <v/>
      </c>
      <c r="W399" s="31" t="str">
        <f t="shared" si="44"/>
        <v>TRUE</v>
      </c>
      <c r="X399" s="31" t="str">
        <f t="shared" si="45"/>
        <v/>
      </c>
      <c r="Y399" s="10" t="s">
        <v>970</v>
      </c>
      <c r="Z399" s="10" t="s">
        <v>910</v>
      </c>
      <c r="AF399" s="12">
        <v>44930</v>
      </c>
      <c r="AH399" s="10">
        <f>-2.6941*3.42^2+86.956*3.42-40.231</f>
        <v>225.64724876000002</v>
      </c>
      <c r="AI399" s="10">
        <f>-1.1451*3.42^2+77.605*3.42-34.739</f>
        <v>217.27655236000001</v>
      </c>
      <c r="AK399" s="10">
        <f>-0.0423*3.42^2+66.444*3.42-22.986</f>
        <v>203.75772228000002</v>
      </c>
      <c r="AL399" s="10" t="str">
        <f t="shared" si="47"/>
        <v>FALSE</v>
      </c>
      <c r="AM399" s="10" t="str">
        <f t="shared" si="47"/>
        <v>y=-2.6941*3.42^2+86.956*3.42-40.231</v>
      </c>
      <c r="AN399" s="10" t="str">
        <f t="shared" si="47"/>
        <v>y=-1.1451*3.42^2+77.605*3.42-34.739</v>
      </c>
      <c r="AO399" s="10" t="str">
        <f t="shared" si="48"/>
        <v>FALSE</v>
      </c>
      <c r="AP399" s="10" t="str">
        <f t="shared" si="48"/>
        <v>y=-0.0423*3.42^2+66.444*3.42-22.986</v>
      </c>
      <c r="AQ399" s="10" t="b">
        <f>IF(AND(I399="TP",S399&lt;=150),VLOOKUP(AF399,TPCalibEq150!$AZ$2:$BB$55,3,),IF(AND(I399="TDP",S399&lt;=150),VLOOKUP(AF399,TPCalibEq150!$AZ$2:$BB$55,3,)))</f>
        <v>0</v>
      </c>
      <c r="AR399" s="10" t="str">
        <f>IF(AND(I399="TP",S399&lt;=300),VLOOKUP(AF399,TPCalibEq300!$AZ$2:$BB$55,3,),IF(AND(I399="TDP",S399&lt;=300),VLOOKUP(AF399,TPCalibEq300!$AZ$2:$BB$55,3,)))</f>
        <v>y=-2.6941x2+86.956x-40.231</v>
      </c>
      <c r="AS399" s="10" t="str">
        <f>IF(AND(I399="TP",S399&lt;=500),VLOOKUP(AF399,TPCalibEq500!$AZ$2:$BB$56,3,),IF(AND(I399="TDP",S399&lt;=500),VLOOKUP(AF399,TPCalibEq500!$AZ$2:$BB$56,3,)))</f>
        <v>y=-1.1451x2+77.605x-34.739</v>
      </c>
      <c r="AT399" s="10" t="b">
        <f>IF(AND(I399="TN",S399&lt;=2800),VLOOKUP(AF399,TNCalibEq2500!$AZ$2:$BB$56,3,),IF(AND(I399="TDN",S399&lt;=2800),VLOOKUP(AF399,TNCalibEq2500!$AZ$2:$BB$56,3,)))</f>
        <v>0</v>
      </c>
      <c r="AU399" s="10" t="str">
        <f>IF(I399="TP",VLOOKUP(AF399,TPCalibEqFull!$AZ$2:$BB$56,3),IF(I399="TDP",VLOOKUP(AF399,TPCalibEqFull!$AZ$2:$BB$56,3),IF(I399="TDN",VLOOKUP(AF399,TNCalibEqFull!$AZ$1:$BB$56,3),IF(I399="TN",VLOOKUP(AF399,TNCalibEqFull!$AZ$1:$BB$56,3),FALSE))))</f>
        <v>y=-0.0423x2+66.444x-22.986</v>
      </c>
      <c r="AV399" s="10" t="str">
        <f t="shared" si="46"/>
        <v>1215 04:26:00-EFK-0-FIL-1-SW-UKN</v>
      </c>
    </row>
    <row r="400" spans="1:48" s="10" customFormat="1" x14ac:dyDescent="0.55000000000000004">
      <c r="A400" s="32">
        <v>44910</v>
      </c>
      <c r="B400" s="33">
        <v>0.18819444444444444</v>
      </c>
      <c r="C400" s="10" t="s">
        <v>333</v>
      </c>
      <c r="D400" s="10">
        <v>0</v>
      </c>
      <c r="E400" s="10" t="s">
        <v>911</v>
      </c>
      <c r="F400" s="10">
        <v>1</v>
      </c>
      <c r="G400" s="10" t="s">
        <v>231</v>
      </c>
      <c r="H400" s="10" t="s">
        <v>322</v>
      </c>
      <c r="I400" s="10" t="s">
        <v>266</v>
      </c>
      <c r="J400" s="10">
        <v>28</v>
      </c>
      <c r="K400" s="12">
        <v>44930</v>
      </c>
      <c r="L400" s="33">
        <v>0.58354166666666674</v>
      </c>
      <c r="M400" s="10">
        <v>1</v>
      </c>
      <c r="N400" s="10" t="s">
        <v>84</v>
      </c>
      <c r="O400" s="10">
        <v>4.12</v>
      </c>
      <c r="P400" s="10">
        <v>0.29299999999999998</v>
      </c>
      <c r="Q400" s="10">
        <v>252</v>
      </c>
      <c r="R400" s="10" t="s">
        <v>85</v>
      </c>
      <c r="S400" s="34">
        <f t="shared" si="42"/>
        <v>272.29698896000002</v>
      </c>
      <c r="T400" s="10" t="s">
        <v>983</v>
      </c>
      <c r="U400" s="34" t="str">
        <f t="shared" si="43"/>
        <v/>
      </c>
      <c r="V400" s="31" t="str">
        <f>IF(H400="CHK",VLOOKUP(I400,QCCHK,3,),IF(H400="GUP",VLOOKUP(E400,QCGUP,2,),IF(AND(H400="ATP",OR(I400="TN",I400="TDN",I400="TNO2-3",I400="NO2-3")),VLOOKUP(E400,QCREC_N,2,),IF(AND(H400="NIC",OR(I400="TN",I400="TDN",I400="TNO2-3",I400="NO2-3")),VLOOKUP(E400,QCNIC_N,2,),IF(AND(H400="UREA",OR(I400="TN",I400="TDN",I400="TNO2-3",I400="NO2-3")),VLOOKUP(E400,QCUREA_N,2,),IF(H400="PER",VLOOKUP(I400,QCPER,MATCH(E400,QCACTUAL!$J$25:$AA$25,0),),IF(H400="SPK",VLOOKUP(I400,QCSPK,3,),IF(AND(H400="ATP",OR(I400="TP",I400="TDP")),VLOOKUP(E400,QCATP_P,2,),""))))))))</f>
        <v/>
      </c>
      <c r="W400" s="31" t="str">
        <f t="shared" si="44"/>
        <v>TRUE</v>
      </c>
      <c r="X400" s="31" t="str">
        <f t="shared" si="45"/>
        <v/>
      </c>
      <c r="Y400" s="10" t="s">
        <v>970</v>
      </c>
      <c r="Z400" s="10" t="s">
        <v>910</v>
      </c>
      <c r="AF400" s="12">
        <v>44930</v>
      </c>
      <c r="AH400" s="10">
        <f>-2.6941*4.12^2+86.956*4.12-40.231</f>
        <v>272.29698896000002</v>
      </c>
      <c r="AI400" s="10">
        <f>-1.1451*4.12^2+77.605*4.12-34.739</f>
        <v>265.55621456000006</v>
      </c>
      <c r="AK400" s="10">
        <f>-0.0423*4.12^2+66.444*4.12-22.986</f>
        <v>250.04526288</v>
      </c>
      <c r="AL400" s="10" t="str">
        <f t="shared" si="47"/>
        <v>FALSE</v>
      </c>
      <c r="AM400" s="10" t="str">
        <f t="shared" si="47"/>
        <v>y=-2.6941*4.12^2+86.956*4.12-40.231</v>
      </c>
      <c r="AN400" s="10" t="str">
        <f t="shared" si="47"/>
        <v>y=-1.1451*4.12^2+77.605*4.12-34.739</v>
      </c>
      <c r="AO400" s="10" t="str">
        <f t="shared" si="48"/>
        <v>FALSE</v>
      </c>
      <c r="AP400" s="10" t="str">
        <f t="shared" si="48"/>
        <v>y=-0.0423*4.12^2+66.444*4.12-22.986</v>
      </c>
      <c r="AQ400" s="10" t="b">
        <f>IF(AND(I400="TP",S400&lt;=150),VLOOKUP(AF400,TPCalibEq150!$AZ$2:$BB$55,3,),IF(AND(I400="TDP",S400&lt;=150),VLOOKUP(AF400,TPCalibEq150!$AZ$2:$BB$55,3,)))</f>
        <v>0</v>
      </c>
      <c r="AR400" s="10" t="str">
        <f>IF(AND(I400="TP",S400&lt;=300),VLOOKUP(AF400,TPCalibEq300!$AZ$2:$BB$55,3,),IF(AND(I400="TDP",S400&lt;=300),VLOOKUP(AF400,TPCalibEq300!$AZ$2:$BB$55,3,)))</f>
        <v>y=-2.6941x2+86.956x-40.231</v>
      </c>
      <c r="AS400" s="10" t="str">
        <f>IF(AND(I400="TP",S400&lt;=500),VLOOKUP(AF400,TPCalibEq500!$AZ$2:$BB$56,3,),IF(AND(I400="TDP",S400&lt;=500),VLOOKUP(AF400,TPCalibEq500!$AZ$2:$BB$56,3,)))</f>
        <v>y=-1.1451x2+77.605x-34.739</v>
      </c>
      <c r="AT400" s="10" t="b">
        <f>IF(AND(I400="TN",S400&lt;=2800),VLOOKUP(AF400,TNCalibEq2500!$AZ$2:$BB$56,3,),IF(AND(I400="TDN",S400&lt;=2800),VLOOKUP(AF400,TNCalibEq2500!$AZ$2:$BB$56,3,)))</f>
        <v>0</v>
      </c>
      <c r="AU400" s="10" t="str">
        <f>IF(I400="TP",VLOOKUP(AF400,TPCalibEqFull!$AZ$2:$BB$56,3),IF(I400="TDP",VLOOKUP(AF400,TPCalibEqFull!$AZ$2:$BB$56,3),IF(I400="TDN",VLOOKUP(AF400,TNCalibEqFull!$AZ$1:$BB$56,3),IF(I400="TN",VLOOKUP(AF400,TNCalibEqFull!$AZ$1:$BB$56,3),FALSE))))</f>
        <v>y=-0.0423x2+66.444x-22.986</v>
      </c>
      <c r="AV400" s="10" t="str">
        <f t="shared" si="46"/>
        <v>1215 04:31:00-HST-0-FIL-1-SW-UKN</v>
      </c>
    </row>
    <row r="401" spans="1:48" s="10" customFormat="1" x14ac:dyDescent="0.55000000000000004">
      <c r="A401" s="32">
        <v>44911</v>
      </c>
      <c r="B401" s="33">
        <v>0.4993055555555555</v>
      </c>
      <c r="C401" s="10" t="s">
        <v>279</v>
      </c>
      <c r="D401" s="10">
        <v>0</v>
      </c>
      <c r="E401" s="10" t="s">
        <v>911</v>
      </c>
      <c r="F401" s="10">
        <v>1</v>
      </c>
      <c r="G401" s="10" t="s">
        <v>231</v>
      </c>
      <c r="H401" s="10" t="s">
        <v>322</v>
      </c>
      <c r="I401" s="10" t="s">
        <v>266</v>
      </c>
      <c r="J401" s="10">
        <v>29</v>
      </c>
      <c r="K401" s="12">
        <v>44930</v>
      </c>
      <c r="L401" s="33">
        <v>0.58423611111111107</v>
      </c>
      <c r="M401" s="10">
        <v>1</v>
      </c>
      <c r="N401" s="10" t="s">
        <v>84</v>
      </c>
      <c r="O401" s="10">
        <v>3.17</v>
      </c>
      <c r="P401" s="10">
        <v>0.224</v>
      </c>
      <c r="Q401" s="10">
        <v>188</v>
      </c>
      <c r="R401" s="10" t="s">
        <v>85</v>
      </c>
      <c r="S401" s="34">
        <f t="shared" si="42"/>
        <v>208.34677851000004</v>
      </c>
      <c r="T401" s="10" t="s">
        <v>983</v>
      </c>
      <c r="U401" s="34" t="str">
        <f t="shared" si="43"/>
        <v/>
      </c>
      <c r="V401" s="31" t="str">
        <f>IF(H401="CHK",VLOOKUP(I401,QCCHK,3,),IF(H401="GUP",VLOOKUP(E401,QCGUP,2,),IF(AND(H401="ATP",OR(I401="TN",I401="TDN",I401="TNO2-3",I401="NO2-3")),VLOOKUP(E401,QCREC_N,2,),IF(AND(H401="NIC",OR(I401="TN",I401="TDN",I401="TNO2-3",I401="NO2-3")),VLOOKUP(E401,QCNIC_N,2,),IF(AND(H401="UREA",OR(I401="TN",I401="TDN",I401="TNO2-3",I401="NO2-3")),VLOOKUP(E401,QCUREA_N,2,),IF(H401="PER",VLOOKUP(I401,QCPER,MATCH(E401,QCACTUAL!$J$25:$AA$25,0),),IF(H401="SPK",VLOOKUP(I401,QCSPK,3,),IF(AND(H401="ATP",OR(I401="TP",I401="TDP")),VLOOKUP(E401,QCATP_P,2,),""))))))))</f>
        <v/>
      </c>
      <c r="W401" s="31" t="str">
        <f t="shared" si="44"/>
        <v>TRUE</v>
      </c>
      <c r="X401" s="31" t="str">
        <f t="shared" si="45"/>
        <v/>
      </c>
      <c r="Y401" s="10" t="s">
        <v>970</v>
      </c>
      <c r="Z401" s="10" t="s">
        <v>910</v>
      </c>
      <c r="AF401" s="12">
        <v>44930</v>
      </c>
      <c r="AH401" s="10">
        <f>-2.6941*3.17^2+86.956*3.17-40.231</f>
        <v>208.34677851000004</v>
      </c>
      <c r="AI401" s="10">
        <f>-1.1451*3.17^2+77.605*3.17-34.739</f>
        <v>199.76185461000003</v>
      </c>
      <c r="AK401" s="10">
        <f>-0.0423*3.17^2+66.444*3.17-22.986</f>
        <v>187.21641152999999</v>
      </c>
      <c r="AL401" s="10" t="str">
        <f t="shared" si="47"/>
        <v>FALSE</v>
      </c>
      <c r="AM401" s="10" t="str">
        <f t="shared" si="47"/>
        <v>y=-2.6941*3.17^2+86.956*3.17-40.231</v>
      </c>
      <c r="AN401" s="10" t="str">
        <f t="shared" si="47"/>
        <v>y=-1.1451*3.17^2+77.605*3.17-34.739</v>
      </c>
      <c r="AO401" s="10" t="str">
        <f t="shared" si="48"/>
        <v>FALSE</v>
      </c>
      <c r="AP401" s="10" t="str">
        <f t="shared" si="48"/>
        <v>y=-0.0423*3.17^2+66.444*3.17-22.986</v>
      </c>
      <c r="AQ401" s="10" t="b">
        <f>IF(AND(I401="TP",S401&lt;=150),VLOOKUP(AF401,TPCalibEq150!$AZ$2:$BB$55,3,),IF(AND(I401="TDP",S401&lt;=150),VLOOKUP(AF401,TPCalibEq150!$AZ$2:$BB$55,3,)))</f>
        <v>0</v>
      </c>
      <c r="AR401" s="10" t="str">
        <f>IF(AND(I401="TP",S401&lt;=300),VLOOKUP(AF401,TPCalibEq300!$AZ$2:$BB$55,3,),IF(AND(I401="TDP",S401&lt;=300),VLOOKUP(AF401,TPCalibEq300!$AZ$2:$BB$55,3,)))</f>
        <v>y=-2.6941x2+86.956x-40.231</v>
      </c>
      <c r="AS401" s="10" t="str">
        <f>IF(AND(I401="TP",S401&lt;=500),VLOOKUP(AF401,TPCalibEq500!$AZ$2:$BB$56,3,),IF(AND(I401="TDP",S401&lt;=500),VLOOKUP(AF401,TPCalibEq500!$AZ$2:$BB$56,3,)))</f>
        <v>y=-1.1451x2+77.605x-34.739</v>
      </c>
      <c r="AT401" s="10" t="b">
        <f>IF(AND(I401="TN",S401&lt;=2800),VLOOKUP(AF401,TNCalibEq2500!$AZ$2:$BB$56,3,),IF(AND(I401="TDN",S401&lt;=2800),VLOOKUP(AF401,TNCalibEq2500!$AZ$2:$BB$56,3,)))</f>
        <v>0</v>
      </c>
      <c r="AU401" s="10" t="str">
        <f>IF(I401="TP",VLOOKUP(AF401,TPCalibEqFull!$AZ$2:$BB$56,3),IF(I401="TDP",VLOOKUP(AF401,TPCalibEqFull!$AZ$2:$BB$56,3),IF(I401="TDN",VLOOKUP(AF401,TNCalibEqFull!$AZ$1:$BB$56,3),IF(I401="TN",VLOOKUP(AF401,TNCalibEqFull!$AZ$1:$BB$56,3),FALSE))))</f>
        <v>y=-0.0423x2+66.444x-22.986</v>
      </c>
      <c r="AV401" s="10" t="str">
        <f t="shared" si="46"/>
        <v>1216 11:59:00-EFK-0-FIL-1-SW-UKN</v>
      </c>
    </row>
    <row r="402" spans="1:48" s="10" customFormat="1" x14ac:dyDescent="0.55000000000000004">
      <c r="A402" s="32">
        <v>44911</v>
      </c>
      <c r="B402" s="33">
        <v>0.49722222222222223</v>
      </c>
      <c r="C402" s="10" t="s">
        <v>333</v>
      </c>
      <c r="D402" s="10">
        <v>0</v>
      </c>
      <c r="E402" s="10" t="s">
        <v>911</v>
      </c>
      <c r="F402" s="10">
        <v>1</v>
      </c>
      <c r="G402" s="10" t="s">
        <v>231</v>
      </c>
      <c r="H402" s="10" t="s">
        <v>322</v>
      </c>
      <c r="I402" s="10" t="s">
        <v>266</v>
      </c>
      <c r="J402" s="10">
        <v>30</v>
      </c>
      <c r="K402" s="12">
        <v>44930</v>
      </c>
      <c r="L402" s="33">
        <v>0.58491898148148147</v>
      </c>
      <c r="M402" s="10">
        <v>1</v>
      </c>
      <c r="N402" s="10" t="s">
        <v>84</v>
      </c>
      <c r="O402" s="10">
        <v>2.5099999999999998</v>
      </c>
      <c r="P402" s="10">
        <v>0.17599999999999999</v>
      </c>
      <c r="Q402" s="10">
        <v>145</v>
      </c>
      <c r="R402" s="10" t="s">
        <v>85</v>
      </c>
      <c r="S402" s="34">
        <f t="shared" si="42"/>
        <v>161.05546059</v>
      </c>
      <c r="T402" s="10" t="s">
        <v>983</v>
      </c>
      <c r="U402" s="34" t="str">
        <f t="shared" si="43"/>
        <v/>
      </c>
      <c r="V402" s="31" t="str">
        <f>IF(H402="CHK",VLOOKUP(I402,QCCHK,3,),IF(H402="GUP",VLOOKUP(E402,QCGUP,2,),IF(AND(H402="ATP",OR(I402="TN",I402="TDN",I402="TNO2-3",I402="NO2-3")),VLOOKUP(E402,QCREC_N,2,),IF(AND(H402="NIC",OR(I402="TN",I402="TDN",I402="TNO2-3",I402="NO2-3")),VLOOKUP(E402,QCNIC_N,2,),IF(AND(H402="UREA",OR(I402="TN",I402="TDN",I402="TNO2-3",I402="NO2-3")),VLOOKUP(E402,QCUREA_N,2,),IF(H402="PER",VLOOKUP(I402,QCPER,MATCH(E402,QCACTUAL!$J$25:$AA$25,0),),IF(H402="SPK",VLOOKUP(I402,QCSPK,3,),IF(AND(H402="ATP",OR(I402="TP",I402="TDP")),VLOOKUP(E402,QCATP_P,2,),""))))))))</f>
        <v/>
      </c>
      <c r="W402" s="31" t="str">
        <f t="shared" si="44"/>
        <v>TRUE</v>
      </c>
      <c r="X402" s="31" t="str">
        <f t="shared" si="45"/>
        <v/>
      </c>
      <c r="Y402" s="10" t="s">
        <v>970</v>
      </c>
      <c r="Z402" s="10" t="s">
        <v>910</v>
      </c>
      <c r="AF402" s="12">
        <v>44930</v>
      </c>
      <c r="AH402" s="10">
        <f>-2.6941*2.51^2+86.956*2.51-40.231</f>
        <v>161.05546059</v>
      </c>
      <c r="AI402" s="10">
        <f>-1.1451*2.51^2+77.605*2.51-34.739</f>
        <v>152.83530549</v>
      </c>
      <c r="AK402" s="10">
        <f>-0.0423*2.51^2+66.444*2.51-22.986</f>
        <v>143.52194577</v>
      </c>
      <c r="AL402" s="10" t="str">
        <f t="shared" si="47"/>
        <v>FALSE</v>
      </c>
      <c r="AM402" s="10" t="str">
        <f t="shared" si="47"/>
        <v>y=-2.6941*2.51^2+86.956*2.51-40.231</v>
      </c>
      <c r="AN402" s="10" t="str">
        <f t="shared" si="47"/>
        <v>y=-1.1451*2.51^2+77.605*2.51-34.739</v>
      </c>
      <c r="AO402" s="10" t="str">
        <f t="shared" si="48"/>
        <v>FALSE</v>
      </c>
      <c r="AP402" s="10" t="str">
        <f t="shared" si="48"/>
        <v>y=-0.0423*2.51^2+66.444*2.51-22.986</v>
      </c>
      <c r="AQ402" s="10" t="b">
        <f>IF(AND(I402="TP",S402&lt;=150),VLOOKUP(AF402,TPCalibEq150!$AZ$2:$BB$55,3,),IF(AND(I402="TDP",S402&lt;=150),VLOOKUP(AF402,TPCalibEq150!$AZ$2:$BB$55,3,)))</f>
        <v>0</v>
      </c>
      <c r="AR402" s="10" t="str">
        <f>IF(AND(I402="TP",S402&lt;=300),VLOOKUP(AF402,TPCalibEq300!$AZ$2:$BB$55,3,),IF(AND(I402="TDP",S402&lt;=300),VLOOKUP(AF402,TPCalibEq300!$AZ$2:$BB$55,3,)))</f>
        <v>y=-2.6941x2+86.956x-40.231</v>
      </c>
      <c r="AS402" s="10" t="str">
        <f>IF(AND(I402="TP",S402&lt;=500),VLOOKUP(AF402,TPCalibEq500!$AZ$2:$BB$56,3,),IF(AND(I402="TDP",S402&lt;=500),VLOOKUP(AF402,TPCalibEq500!$AZ$2:$BB$56,3,)))</f>
        <v>y=-1.1451x2+77.605x-34.739</v>
      </c>
      <c r="AT402" s="10" t="b">
        <f>IF(AND(I402="TN",S402&lt;=2800),VLOOKUP(AF402,TNCalibEq2500!$AZ$2:$BB$56,3,),IF(AND(I402="TDN",S402&lt;=2800),VLOOKUP(AF402,TNCalibEq2500!$AZ$2:$BB$56,3,)))</f>
        <v>0</v>
      </c>
      <c r="AU402" s="10" t="str">
        <f>IF(I402="TP",VLOOKUP(AF402,TPCalibEqFull!$AZ$2:$BB$56,3),IF(I402="TDP",VLOOKUP(AF402,TPCalibEqFull!$AZ$2:$BB$56,3),IF(I402="TDN",VLOOKUP(AF402,TNCalibEqFull!$AZ$1:$BB$56,3),IF(I402="TN",VLOOKUP(AF402,TNCalibEqFull!$AZ$1:$BB$56,3),FALSE))))</f>
        <v>y=-0.0423x2+66.444x-22.986</v>
      </c>
      <c r="AV402" s="10" t="str">
        <f t="shared" si="46"/>
        <v>1216 11:56:00-HST-0-FIL-1-SW-UKN</v>
      </c>
    </row>
    <row r="403" spans="1:48" s="10" customFormat="1" x14ac:dyDescent="0.55000000000000004">
      <c r="A403" s="32">
        <v>44914</v>
      </c>
      <c r="B403" s="33">
        <v>0.22361111111111109</v>
      </c>
      <c r="C403" s="10" t="s">
        <v>279</v>
      </c>
      <c r="D403" s="10">
        <v>0</v>
      </c>
      <c r="E403" s="10" t="s">
        <v>911</v>
      </c>
      <c r="F403" s="10">
        <v>1</v>
      </c>
      <c r="G403" s="10" t="s">
        <v>231</v>
      </c>
      <c r="H403" s="10" t="s">
        <v>322</v>
      </c>
      <c r="I403" s="10" t="s">
        <v>266</v>
      </c>
      <c r="J403" s="10">
        <v>31</v>
      </c>
      <c r="K403" s="12">
        <v>44930</v>
      </c>
      <c r="L403" s="33">
        <v>0.58561342592592591</v>
      </c>
      <c r="M403" s="10">
        <v>1</v>
      </c>
      <c r="N403" s="10" t="s">
        <v>84</v>
      </c>
      <c r="O403" s="10">
        <v>2.8</v>
      </c>
      <c r="P403" s="10">
        <v>0.19700000000000001</v>
      </c>
      <c r="Q403" s="10">
        <v>164</v>
      </c>
      <c r="R403" s="10" t="s">
        <v>85</v>
      </c>
      <c r="S403" s="34">
        <f t="shared" si="42"/>
        <v>182.124056</v>
      </c>
      <c r="T403" s="10" t="s">
        <v>983</v>
      </c>
      <c r="U403" s="34" t="str">
        <f t="shared" si="43"/>
        <v/>
      </c>
      <c r="V403" s="31" t="str">
        <f>IF(H403="CHK",VLOOKUP(I403,QCCHK,3,),IF(H403="GUP",VLOOKUP(E403,QCGUP,2,),IF(AND(H403="ATP",OR(I403="TN",I403="TDN",I403="TNO2-3",I403="NO2-3")),VLOOKUP(E403,QCREC_N,2,),IF(AND(H403="NIC",OR(I403="TN",I403="TDN",I403="TNO2-3",I403="NO2-3")),VLOOKUP(E403,QCNIC_N,2,),IF(AND(H403="UREA",OR(I403="TN",I403="TDN",I403="TNO2-3",I403="NO2-3")),VLOOKUP(E403,QCUREA_N,2,),IF(H403="PER",VLOOKUP(I403,QCPER,MATCH(E403,QCACTUAL!$J$25:$AA$25,0),),IF(H403="SPK",VLOOKUP(I403,QCSPK,3,),IF(AND(H403="ATP",OR(I403="TP",I403="TDP")),VLOOKUP(E403,QCATP_P,2,),""))))))))</f>
        <v/>
      </c>
      <c r="W403" s="31" t="str">
        <f t="shared" si="44"/>
        <v>TRUE</v>
      </c>
      <c r="X403" s="31" t="str">
        <f t="shared" si="45"/>
        <v/>
      </c>
      <c r="Y403" s="10" t="s">
        <v>970</v>
      </c>
      <c r="Z403" s="10" t="s">
        <v>910</v>
      </c>
      <c r="AF403" s="12">
        <v>44930</v>
      </c>
      <c r="AH403" s="10">
        <f>-2.6941*2.8^2+86.956*2.8-40.231</f>
        <v>182.124056</v>
      </c>
      <c r="AI403" s="10">
        <f>-1.1451*2.8^2+77.605*2.8-34.739</f>
        <v>173.577416</v>
      </c>
      <c r="AK403" s="10">
        <f>-0.0423*2.8^2+66.444*2.8-22.986</f>
        <v>162.72556799999998</v>
      </c>
      <c r="AL403" s="10" t="str">
        <f t="shared" si="47"/>
        <v>FALSE</v>
      </c>
      <c r="AM403" s="10" t="str">
        <f t="shared" si="47"/>
        <v>y=-2.6941*2.8^2+86.956*2.8-40.231</v>
      </c>
      <c r="AN403" s="10" t="str">
        <f t="shared" si="47"/>
        <v>y=-1.1451*2.8^2+77.605*2.8-34.739</v>
      </c>
      <c r="AO403" s="10" t="str">
        <f t="shared" si="48"/>
        <v>FALSE</v>
      </c>
      <c r="AP403" s="10" t="str">
        <f t="shared" si="48"/>
        <v>y=-0.0423*2.8^2+66.444*2.8-22.986</v>
      </c>
      <c r="AQ403" s="10" t="b">
        <f>IF(AND(I403="TP",S403&lt;=150),VLOOKUP(AF403,TPCalibEq150!$AZ$2:$BB$55,3,),IF(AND(I403="TDP",S403&lt;=150),VLOOKUP(AF403,TPCalibEq150!$AZ$2:$BB$55,3,)))</f>
        <v>0</v>
      </c>
      <c r="AR403" s="10" t="str">
        <f>IF(AND(I403="TP",S403&lt;=300),VLOOKUP(AF403,TPCalibEq300!$AZ$2:$BB$55,3,),IF(AND(I403="TDP",S403&lt;=300),VLOOKUP(AF403,TPCalibEq300!$AZ$2:$BB$55,3,)))</f>
        <v>y=-2.6941x2+86.956x-40.231</v>
      </c>
      <c r="AS403" s="10" t="str">
        <f>IF(AND(I403="TP",S403&lt;=500),VLOOKUP(AF403,TPCalibEq500!$AZ$2:$BB$56,3,),IF(AND(I403="TDP",S403&lt;=500),VLOOKUP(AF403,TPCalibEq500!$AZ$2:$BB$56,3,)))</f>
        <v>y=-1.1451x2+77.605x-34.739</v>
      </c>
      <c r="AT403" s="10" t="b">
        <f>IF(AND(I403="TN",S403&lt;=2800),VLOOKUP(AF403,TNCalibEq2500!$AZ$2:$BB$56,3,),IF(AND(I403="TDN",S403&lt;=2800),VLOOKUP(AF403,TNCalibEq2500!$AZ$2:$BB$56,3,)))</f>
        <v>0</v>
      </c>
      <c r="AU403" s="10" t="str">
        <f>IF(I403="TP",VLOOKUP(AF403,TPCalibEqFull!$AZ$2:$BB$56,3),IF(I403="TDP",VLOOKUP(AF403,TPCalibEqFull!$AZ$2:$BB$56,3),IF(I403="TDN",VLOOKUP(AF403,TNCalibEqFull!$AZ$1:$BB$56,3),IF(I403="TN",VLOOKUP(AF403,TNCalibEqFull!$AZ$1:$BB$56,3),FALSE))))</f>
        <v>y=-0.0423x2+66.444x-22.986</v>
      </c>
      <c r="AV403" s="10" t="str">
        <f t="shared" si="46"/>
        <v>1219 05:22:00-EFK-0-FIL-1-SW-UKN</v>
      </c>
    </row>
    <row r="404" spans="1:48" s="10" customFormat="1" x14ac:dyDescent="0.55000000000000004">
      <c r="A404" s="32">
        <v>44914</v>
      </c>
      <c r="B404" s="33">
        <v>0.23124999999999998</v>
      </c>
      <c r="C404" s="10" t="s">
        <v>333</v>
      </c>
      <c r="D404" s="10">
        <v>0</v>
      </c>
      <c r="E404" s="10" t="s">
        <v>911</v>
      </c>
      <c r="F404" s="10">
        <v>1</v>
      </c>
      <c r="G404" s="10" t="s">
        <v>231</v>
      </c>
      <c r="H404" s="10" t="s">
        <v>322</v>
      </c>
      <c r="I404" s="10" t="s">
        <v>266</v>
      </c>
      <c r="J404" s="10">
        <v>32</v>
      </c>
      <c r="K404" s="12">
        <v>44930</v>
      </c>
      <c r="L404" s="33">
        <v>0.5863194444444445</v>
      </c>
      <c r="M404" s="10">
        <v>1</v>
      </c>
      <c r="N404" s="10" t="s">
        <v>84</v>
      </c>
      <c r="O404" s="10">
        <v>2.4900000000000002</v>
      </c>
      <c r="P404" s="10">
        <v>0.17499999999999999</v>
      </c>
      <c r="Q404" s="10">
        <v>143</v>
      </c>
      <c r="R404" s="10" t="s">
        <v>85</v>
      </c>
      <c r="S404" s="34">
        <f t="shared" si="42"/>
        <v>159.58575059000003</v>
      </c>
      <c r="T404" s="10" t="s">
        <v>983</v>
      </c>
      <c r="U404" s="34" t="str">
        <f t="shared" si="43"/>
        <v/>
      </c>
      <c r="V404" s="31" t="str">
        <f>IF(H404="CHK",VLOOKUP(I404,QCCHK,3,),IF(H404="GUP",VLOOKUP(E404,QCGUP,2,),IF(AND(H404="ATP",OR(I404="TN",I404="TDN",I404="TNO2-3",I404="NO2-3")),VLOOKUP(E404,QCREC_N,2,),IF(AND(H404="NIC",OR(I404="TN",I404="TDN",I404="TNO2-3",I404="NO2-3")),VLOOKUP(E404,QCNIC_N,2,),IF(AND(H404="UREA",OR(I404="TN",I404="TDN",I404="TNO2-3",I404="NO2-3")),VLOOKUP(E404,QCUREA_N,2,),IF(H404="PER",VLOOKUP(I404,QCPER,MATCH(E404,QCACTUAL!$J$25:$AA$25,0),),IF(H404="SPK",VLOOKUP(I404,QCSPK,3,),IF(AND(H404="ATP",OR(I404="TP",I404="TDP")),VLOOKUP(E404,QCATP_P,2,),""))))))))</f>
        <v/>
      </c>
      <c r="W404" s="31" t="str">
        <f t="shared" si="44"/>
        <v>TRUE</v>
      </c>
      <c r="X404" s="31" t="str">
        <f t="shared" si="45"/>
        <v/>
      </c>
      <c r="Y404" s="10" t="s">
        <v>970</v>
      </c>
      <c r="Z404" s="10" t="s">
        <v>910</v>
      </c>
      <c r="AF404" s="12">
        <v>44930</v>
      </c>
      <c r="AH404" s="10">
        <f>-2.6941*2.49^2+86.956*2.49-40.231</f>
        <v>159.58575059000003</v>
      </c>
      <c r="AI404" s="10">
        <f>-1.1451*2.49^2+77.605*2.49-34.739</f>
        <v>151.39771549000002</v>
      </c>
      <c r="AK404" s="10">
        <f>-0.0423*2.49^2+66.444*2.49-22.986</f>
        <v>142.19729577000004</v>
      </c>
      <c r="AL404" s="10" t="str">
        <f t="shared" si="47"/>
        <v>FALSE</v>
      </c>
      <c r="AM404" s="10" t="str">
        <f t="shared" si="47"/>
        <v>y=-2.6941*2.49^2+86.956*2.49-40.231</v>
      </c>
      <c r="AN404" s="10" t="str">
        <f t="shared" si="47"/>
        <v>y=-1.1451*2.49^2+77.605*2.49-34.739</v>
      </c>
      <c r="AO404" s="10" t="str">
        <f t="shared" si="48"/>
        <v>FALSE</v>
      </c>
      <c r="AP404" s="10" t="str">
        <f t="shared" si="48"/>
        <v>y=-0.0423*2.49^2+66.444*2.49-22.986</v>
      </c>
      <c r="AQ404" s="10" t="b">
        <f>IF(AND(I404="TP",S404&lt;=150),VLOOKUP(AF404,TPCalibEq150!$AZ$2:$BB$55,3,),IF(AND(I404="TDP",S404&lt;=150),VLOOKUP(AF404,TPCalibEq150!$AZ$2:$BB$55,3,)))</f>
        <v>0</v>
      </c>
      <c r="AR404" s="10" t="str">
        <f>IF(AND(I404="TP",S404&lt;=300),VLOOKUP(AF404,TPCalibEq300!$AZ$2:$BB$55,3,),IF(AND(I404="TDP",S404&lt;=300),VLOOKUP(AF404,TPCalibEq300!$AZ$2:$BB$55,3,)))</f>
        <v>y=-2.6941x2+86.956x-40.231</v>
      </c>
      <c r="AS404" s="10" t="str">
        <f>IF(AND(I404="TP",S404&lt;=500),VLOOKUP(AF404,TPCalibEq500!$AZ$2:$BB$56,3,),IF(AND(I404="TDP",S404&lt;=500),VLOOKUP(AF404,TPCalibEq500!$AZ$2:$BB$56,3,)))</f>
        <v>y=-1.1451x2+77.605x-34.739</v>
      </c>
      <c r="AT404" s="10" t="b">
        <f>IF(AND(I404="TN",S404&lt;=2800),VLOOKUP(AF404,TNCalibEq2500!$AZ$2:$BB$56,3,),IF(AND(I404="TDN",S404&lt;=2800),VLOOKUP(AF404,TNCalibEq2500!$AZ$2:$BB$56,3,)))</f>
        <v>0</v>
      </c>
      <c r="AU404" s="10" t="str">
        <f>IF(I404="TP",VLOOKUP(AF404,TPCalibEqFull!$AZ$2:$BB$56,3),IF(I404="TDP",VLOOKUP(AF404,TPCalibEqFull!$AZ$2:$BB$56,3),IF(I404="TDN",VLOOKUP(AF404,TNCalibEqFull!$AZ$1:$BB$56,3),IF(I404="TN",VLOOKUP(AF404,TNCalibEqFull!$AZ$1:$BB$56,3),FALSE))))</f>
        <v>y=-0.0423x2+66.444x-22.986</v>
      </c>
      <c r="AV404" s="10" t="str">
        <f t="shared" si="46"/>
        <v>1219 05:33:00-HST-0-FIL-1-SW-UKN</v>
      </c>
    </row>
    <row r="405" spans="1:48" s="10" customFormat="1" x14ac:dyDescent="0.55000000000000004">
      <c r="A405" s="32">
        <v>44915</v>
      </c>
      <c r="B405" s="33">
        <v>0.23263888888888887</v>
      </c>
      <c r="C405" s="10" t="s">
        <v>279</v>
      </c>
      <c r="D405" s="10">
        <v>0</v>
      </c>
      <c r="E405" s="10" t="s">
        <v>911</v>
      </c>
      <c r="F405" s="10">
        <v>1</v>
      </c>
      <c r="G405" s="10" t="s">
        <v>231</v>
      </c>
      <c r="H405" s="10" t="s">
        <v>322</v>
      </c>
      <c r="I405" s="10" t="s">
        <v>266</v>
      </c>
      <c r="J405" s="10">
        <v>33</v>
      </c>
      <c r="K405" s="12">
        <v>44930</v>
      </c>
      <c r="L405" s="33">
        <v>0.58701388888888884</v>
      </c>
      <c r="M405" s="10">
        <v>1</v>
      </c>
      <c r="N405" s="10" t="s">
        <v>84</v>
      </c>
      <c r="O405" s="10">
        <v>2.2999999999999998</v>
      </c>
      <c r="P405" s="10">
        <v>0.16</v>
      </c>
      <c r="Q405" s="10">
        <v>131</v>
      </c>
      <c r="R405" s="10" t="s">
        <v>85</v>
      </c>
      <c r="S405" s="34">
        <f t="shared" si="42"/>
        <v>145.51601099999999</v>
      </c>
      <c r="T405" s="10" t="s">
        <v>983</v>
      </c>
      <c r="U405" s="34" t="str">
        <f t="shared" si="43"/>
        <v/>
      </c>
      <c r="V405" s="31" t="str">
        <f>IF(H405="CHK",VLOOKUP(I405,QCCHK,3,),IF(H405="GUP",VLOOKUP(E405,QCGUP,2,),IF(AND(H405="ATP",OR(I405="TN",I405="TDN",I405="TNO2-3",I405="NO2-3")),VLOOKUP(E405,QCREC_N,2,),IF(AND(H405="NIC",OR(I405="TN",I405="TDN",I405="TNO2-3",I405="NO2-3")),VLOOKUP(E405,QCNIC_N,2,),IF(AND(H405="UREA",OR(I405="TN",I405="TDN",I405="TNO2-3",I405="NO2-3")),VLOOKUP(E405,QCUREA_N,2,),IF(H405="PER",VLOOKUP(I405,QCPER,MATCH(E405,QCACTUAL!$J$25:$AA$25,0),),IF(H405="SPK",VLOOKUP(I405,QCSPK,3,),IF(AND(H405="ATP",OR(I405="TP",I405="TDP")),VLOOKUP(E405,QCATP_P,2,),""))))))))</f>
        <v/>
      </c>
      <c r="W405" s="31" t="str">
        <f t="shared" si="44"/>
        <v>TRUE</v>
      </c>
      <c r="X405" s="31" t="str">
        <f t="shared" si="45"/>
        <v/>
      </c>
      <c r="Y405" s="10" t="s">
        <v>970</v>
      </c>
      <c r="Z405" s="10" t="s">
        <v>910</v>
      </c>
      <c r="AF405" s="12">
        <v>44930</v>
      </c>
      <c r="AG405" s="10">
        <f>-8.4348*2.3^2+102.96*2.3-48.013</f>
        <v>144.17490799999999</v>
      </c>
      <c r="AH405" s="10">
        <f>-2.6941*2.3^2+86.956*2.3-40.231</f>
        <v>145.51601099999999</v>
      </c>
      <c r="AI405" s="10">
        <f>-1.1451*2.3^2+77.605*2.3-34.739</f>
        <v>137.69492099999999</v>
      </c>
      <c r="AK405" s="10">
        <f>-0.0423*2.3^2+66.444*2.3-22.986</f>
        <v>129.61143300000001</v>
      </c>
      <c r="AL405" s="10" t="str">
        <f t="shared" si="47"/>
        <v>y=-8.4348*2.3^2+102.96*2.3-48.013</v>
      </c>
      <c r="AM405" s="10" t="str">
        <f t="shared" si="47"/>
        <v>y=-2.6941*2.3^2+86.956*2.3-40.231</v>
      </c>
      <c r="AN405" s="10" t="str">
        <f t="shared" si="47"/>
        <v>y=-1.1451*2.3^2+77.605*2.3-34.739</v>
      </c>
      <c r="AO405" s="10" t="str">
        <f t="shared" si="48"/>
        <v>FALSE</v>
      </c>
      <c r="AP405" s="10" t="str">
        <f t="shared" si="48"/>
        <v>y=-0.0423*2.3^2+66.444*2.3-22.986</v>
      </c>
      <c r="AQ405" s="10" t="str">
        <f>IF(AND(I405="TP",S405&lt;=150),VLOOKUP(AF405,TPCalibEq150!$AZ$2:$BB$55,3,),IF(AND(I405="TDP",S405&lt;=150),VLOOKUP(AF405,TPCalibEq150!$AZ$2:$BB$55,3,)))</f>
        <v>y=-8.4348x2+102.96x-48.013</v>
      </c>
      <c r="AR405" s="10" t="str">
        <f>IF(AND(I405="TP",S405&lt;=300),VLOOKUP(AF405,TPCalibEq300!$AZ$2:$BB$55,3,),IF(AND(I405="TDP",S405&lt;=300),VLOOKUP(AF405,TPCalibEq300!$AZ$2:$BB$55,3,)))</f>
        <v>y=-2.6941x2+86.956x-40.231</v>
      </c>
      <c r="AS405" s="10" t="str">
        <f>IF(AND(I405="TP",S405&lt;=500),VLOOKUP(AF405,TPCalibEq500!$AZ$2:$BB$56,3,),IF(AND(I405="TDP",S405&lt;=500),VLOOKUP(AF405,TPCalibEq500!$AZ$2:$BB$56,3,)))</f>
        <v>y=-1.1451x2+77.605x-34.739</v>
      </c>
      <c r="AT405" s="10" t="b">
        <f>IF(AND(I405="TN",S405&lt;=2800),VLOOKUP(AF405,TNCalibEq2500!$AZ$2:$BB$56,3,),IF(AND(I405="TDN",S405&lt;=2800),VLOOKUP(AF405,TNCalibEq2500!$AZ$2:$BB$56,3,)))</f>
        <v>0</v>
      </c>
      <c r="AU405" s="10" t="str">
        <f>IF(I405="TP",VLOOKUP(AF405,TPCalibEqFull!$AZ$2:$BB$56,3),IF(I405="TDP",VLOOKUP(AF405,TPCalibEqFull!$AZ$2:$BB$56,3),IF(I405="TDN",VLOOKUP(AF405,TNCalibEqFull!$AZ$1:$BB$56,3),IF(I405="TN",VLOOKUP(AF405,TNCalibEqFull!$AZ$1:$BB$56,3),FALSE))))</f>
        <v>y=-0.0423x2+66.444x-22.986</v>
      </c>
      <c r="AV405" s="10" t="str">
        <f t="shared" si="46"/>
        <v>1220 05:35:00-EFK-0-FIL-1-SW-UKN</v>
      </c>
    </row>
    <row r="406" spans="1:48" s="10" customFormat="1" x14ac:dyDescent="0.55000000000000004">
      <c r="A406" s="32">
        <v>44915</v>
      </c>
      <c r="B406" s="33">
        <v>0.24652777777777779</v>
      </c>
      <c r="C406" s="10" t="s">
        <v>333</v>
      </c>
      <c r="D406" s="10">
        <v>0</v>
      </c>
      <c r="E406" s="10" t="s">
        <v>911</v>
      </c>
      <c r="F406" s="10">
        <v>1</v>
      </c>
      <c r="G406" s="10" t="s">
        <v>231</v>
      </c>
      <c r="H406" s="10" t="s">
        <v>322</v>
      </c>
      <c r="I406" s="10" t="s">
        <v>266</v>
      </c>
      <c r="J406" s="10">
        <v>34</v>
      </c>
      <c r="K406" s="12">
        <v>44930</v>
      </c>
      <c r="L406" s="33">
        <v>0.58770833333333339</v>
      </c>
      <c r="M406" s="10">
        <v>1</v>
      </c>
      <c r="N406" s="10" t="s">
        <v>84</v>
      </c>
      <c r="O406" s="10">
        <v>2.0499999999999998</v>
      </c>
      <c r="P406" s="10">
        <v>0.14299999999999999</v>
      </c>
      <c r="Q406" s="10">
        <v>114</v>
      </c>
      <c r="R406" s="10" t="s">
        <v>85</v>
      </c>
      <c r="S406" s="34">
        <f t="shared" si="42"/>
        <v>127.60775299999995</v>
      </c>
      <c r="T406" s="10" t="s">
        <v>983</v>
      </c>
      <c r="U406" s="34" t="str">
        <f t="shared" si="43"/>
        <v/>
      </c>
      <c r="V406" s="31" t="str">
        <f>IF(H406="CHK",VLOOKUP(I406,QCCHK,3,),IF(H406="GUP",VLOOKUP(E406,QCGUP,2,),IF(AND(H406="ATP",OR(I406="TN",I406="TDN",I406="TNO2-3",I406="NO2-3")),VLOOKUP(E406,QCREC_N,2,),IF(AND(H406="NIC",OR(I406="TN",I406="TDN",I406="TNO2-3",I406="NO2-3")),VLOOKUP(E406,QCNIC_N,2,),IF(AND(H406="UREA",OR(I406="TN",I406="TDN",I406="TNO2-3",I406="NO2-3")),VLOOKUP(E406,QCUREA_N,2,),IF(H406="PER",VLOOKUP(I406,QCPER,MATCH(E406,QCACTUAL!$J$25:$AA$25,0),),IF(H406="SPK",VLOOKUP(I406,QCSPK,3,),IF(AND(H406="ATP",OR(I406="TP",I406="TDP")),VLOOKUP(E406,QCATP_P,2,),""))))))))</f>
        <v/>
      </c>
      <c r="W406" s="31" t="str">
        <f t="shared" si="44"/>
        <v>TRUE</v>
      </c>
      <c r="X406" s="31" t="str">
        <f t="shared" si="45"/>
        <v/>
      </c>
      <c r="Y406" s="10" t="s">
        <v>970</v>
      </c>
      <c r="Z406" s="10" t="s">
        <v>910</v>
      </c>
      <c r="AF406" s="12">
        <v>44930</v>
      </c>
      <c r="AG406" s="10">
        <f>-8.4348*2.05^2+102.96*2.05-48.013</f>
        <v>127.60775299999995</v>
      </c>
      <c r="AH406" s="10">
        <f>-2.6941*2.05^2+86.956*2.05-40.231</f>
        <v>126.70684474999999</v>
      </c>
      <c r="AI406" s="10">
        <f>-1.1451*2.05^2+77.605*2.05-34.739</f>
        <v>119.53896724999998</v>
      </c>
      <c r="AK406" s="10">
        <f>-0.0423*2.05^2+66.444*2.05-22.986</f>
        <v>113.04643424999999</v>
      </c>
      <c r="AL406" s="10" t="str">
        <f t="shared" si="47"/>
        <v>y=-8.4348*2.05^2+102.96*2.05-48.013</v>
      </c>
      <c r="AM406" s="10" t="str">
        <f t="shared" si="47"/>
        <v>y=-2.6941*2.05^2+86.956*2.05-40.231</v>
      </c>
      <c r="AN406" s="10" t="str">
        <f t="shared" si="47"/>
        <v>y=-1.1451*2.05^2+77.605*2.05-34.739</v>
      </c>
      <c r="AO406" s="10" t="str">
        <f t="shared" si="48"/>
        <v>FALSE</v>
      </c>
      <c r="AP406" s="10" t="str">
        <f t="shared" si="48"/>
        <v>y=-0.0423*2.05^2+66.444*2.05-22.986</v>
      </c>
      <c r="AQ406" s="10" t="str">
        <f>IF(AND(I406="TP",S406&lt;=150),VLOOKUP(AF406,TPCalibEq150!$AZ$2:$BB$55,3,),IF(AND(I406="TDP",S406&lt;=150),VLOOKUP(AF406,TPCalibEq150!$AZ$2:$BB$55,3,)))</f>
        <v>y=-8.4348x2+102.96x-48.013</v>
      </c>
      <c r="AR406" s="10" t="str">
        <f>IF(AND(I406="TP",S406&lt;=300),VLOOKUP(AF406,TPCalibEq300!$AZ$2:$BB$55,3,),IF(AND(I406="TDP",S406&lt;=300),VLOOKUP(AF406,TPCalibEq300!$AZ$2:$BB$55,3,)))</f>
        <v>y=-2.6941x2+86.956x-40.231</v>
      </c>
      <c r="AS406" s="10" t="str">
        <f>IF(AND(I406="TP",S406&lt;=500),VLOOKUP(AF406,TPCalibEq500!$AZ$2:$BB$56,3,),IF(AND(I406="TDP",S406&lt;=500),VLOOKUP(AF406,TPCalibEq500!$AZ$2:$BB$56,3,)))</f>
        <v>y=-1.1451x2+77.605x-34.739</v>
      </c>
      <c r="AT406" s="10" t="b">
        <f>IF(AND(I406="TN",S406&lt;=2800),VLOOKUP(AF406,TNCalibEq2500!$AZ$2:$BB$56,3,),IF(AND(I406="TDN",S406&lt;=2800),VLOOKUP(AF406,TNCalibEq2500!$AZ$2:$BB$56,3,)))</f>
        <v>0</v>
      </c>
      <c r="AU406" s="10" t="str">
        <f>IF(I406="TP",VLOOKUP(AF406,TPCalibEqFull!$AZ$2:$BB$56,3),IF(I406="TDP",VLOOKUP(AF406,TPCalibEqFull!$AZ$2:$BB$56,3),IF(I406="TDN",VLOOKUP(AF406,TNCalibEqFull!$AZ$1:$BB$56,3),IF(I406="TN",VLOOKUP(AF406,TNCalibEqFull!$AZ$1:$BB$56,3),FALSE))))</f>
        <v>y=-0.0423x2+66.444x-22.986</v>
      </c>
      <c r="AV406" s="10" t="str">
        <f t="shared" si="46"/>
        <v>1220 05:55:00-HST-0-FIL-1-SW-UKN</v>
      </c>
    </row>
    <row r="407" spans="1:48" s="10" customFormat="1" x14ac:dyDescent="0.55000000000000004">
      <c r="A407" s="32">
        <v>44915</v>
      </c>
      <c r="B407" s="33">
        <v>0.24652777777777779</v>
      </c>
      <c r="C407" s="10" t="s">
        <v>333</v>
      </c>
      <c r="D407" s="10">
        <v>0</v>
      </c>
      <c r="E407" s="10" t="s">
        <v>911</v>
      </c>
      <c r="F407" s="10">
        <v>1</v>
      </c>
      <c r="G407" s="10" t="s">
        <v>231</v>
      </c>
      <c r="H407" s="10" t="s">
        <v>233</v>
      </c>
      <c r="I407" s="10" t="s">
        <v>266</v>
      </c>
      <c r="J407" s="10">
        <v>34</v>
      </c>
      <c r="K407" s="12">
        <v>44930</v>
      </c>
      <c r="L407" s="33">
        <v>0.58841435185185187</v>
      </c>
      <c r="M407" s="10">
        <v>1</v>
      </c>
      <c r="N407" s="10" t="s">
        <v>84</v>
      </c>
      <c r="O407" s="10">
        <v>2.0299999999999998</v>
      </c>
      <c r="P407" s="10">
        <v>0.14199999999999999</v>
      </c>
      <c r="Q407" s="10">
        <v>113</v>
      </c>
      <c r="R407" s="10" t="s">
        <v>85</v>
      </c>
      <c r="S407" s="34">
        <f t="shared" si="42"/>
        <v>126.23683267999999</v>
      </c>
      <c r="T407" s="10" t="s">
        <v>983</v>
      </c>
      <c r="U407" s="34">
        <f t="shared" si="43"/>
        <v>1.0801257126107509</v>
      </c>
      <c r="V407" s="31" t="str">
        <f>IF(H407="CHK",VLOOKUP(I407,QCCHK,3,),IF(H407="GUP",VLOOKUP(E407,QCGUP,2,),IF(AND(H407="ATP",OR(I407="TN",I407="TDN",I407="TNO2-3",I407="NO2-3")),VLOOKUP(E407,QCREC_N,2,),IF(AND(H407="NIC",OR(I407="TN",I407="TDN",I407="TNO2-3",I407="NO2-3")),VLOOKUP(E407,QCNIC_N,2,),IF(AND(H407="UREA",OR(I407="TN",I407="TDN",I407="TNO2-3",I407="NO2-3")),VLOOKUP(E407,QCUREA_N,2,),IF(H407="PER",VLOOKUP(I407,QCPER,MATCH(E407,QCACTUAL!$J$25:$AA$25,0),),IF(H407="SPK",VLOOKUP(I407,QCSPK,3,),IF(AND(H407="ATP",OR(I407="TP",I407="TDP")),VLOOKUP(E407,QCATP_P,2,),""))))))))</f>
        <v/>
      </c>
      <c r="W407" s="31" t="str">
        <f t="shared" si="44"/>
        <v>TRUE</v>
      </c>
      <c r="X407" s="31" t="str">
        <f t="shared" si="45"/>
        <v>((ABS(rep1-rep2))/((rep1+rep2)/2)*100</v>
      </c>
      <c r="Y407" s="10" t="s">
        <v>970</v>
      </c>
      <c r="Z407" s="10" t="s">
        <v>910</v>
      </c>
      <c r="AF407" s="12">
        <v>44930</v>
      </c>
      <c r="AG407" s="10">
        <f>-8.4348*2.03^2+102.96*2.03-48.013</f>
        <v>126.23683267999999</v>
      </c>
      <c r="AH407" s="10">
        <f>-2.6941*2.03^2+86.956*2.03-40.231</f>
        <v>125.18756331</v>
      </c>
      <c r="AI407" s="10">
        <f>-1.1451*2.03^2+77.605*2.03-34.739</f>
        <v>118.08030740999999</v>
      </c>
      <c r="AK407" s="10">
        <f>-0.0423*2.03^2+66.444*2.03-22.986</f>
        <v>111.72100592999998</v>
      </c>
      <c r="AL407" s="10" t="str">
        <f t="shared" si="47"/>
        <v>y=-8.4348*2.03^2+102.96*2.03-48.013</v>
      </c>
      <c r="AM407" s="10" t="str">
        <f t="shared" si="47"/>
        <v>y=-2.6941*2.03^2+86.956*2.03-40.231</v>
      </c>
      <c r="AN407" s="10" t="str">
        <f t="shared" si="47"/>
        <v>y=-1.1451*2.03^2+77.605*2.03-34.739</v>
      </c>
      <c r="AO407" s="10" t="str">
        <f t="shared" si="48"/>
        <v>FALSE</v>
      </c>
      <c r="AP407" s="10" t="str">
        <f t="shared" si="48"/>
        <v>y=-0.0423*2.03^2+66.444*2.03-22.986</v>
      </c>
      <c r="AQ407" s="10" t="str">
        <f>IF(AND(I407="TP",S407&lt;=150),VLOOKUP(AF407,TPCalibEq150!$AZ$2:$BB$55,3,),IF(AND(I407="TDP",S407&lt;=150),VLOOKUP(AF407,TPCalibEq150!$AZ$2:$BB$55,3,)))</f>
        <v>y=-8.4348x2+102.96x-48.013</v>
      </c>
      <c r="AR407" s="10" t="str">
        <f>IF(AND(I407="TP",S407&lt;=300),VLOOKUP(AF407,TPCalibEq300!$AZ$2:$BB$55,3,),IF(AND(I407="TDP",S407&lt;=300),VLOOKUP(AF407,TPCalibEq300!$AZ$2:$BB$55,3,)))</f>
        <v>y=-2.6941x2+86.956x-40.231</v>
      </c>
      <c r="AS407" s="10" t="str">
        <f>IF(AND(I407="TP",S407&lt;=500),VLOOKUP(AF407,TPCalibEq500!$AZ$2:$BB$56,3,),IF(AND(I407="TDP",S407&lt;=500),VLOOKUP(AF407,TPCalibEq500!$AZ$2:$BB$56,3,)))</f>
        <v>y=-1.1451x2+77.605x-34.739</v>
      </c>
      <c r="AT407" s="10" t="b">
        <f>IF(AND(I407="TN",S407&lt;=2800),VLOOKUP(AF407,TNCalibEq2500!$AZ$2:$BB$56,3,),IF(AND(I407="TDN",S407&lt;=2800),VLOOKUP(AF407,TNCalibEq2500!$AZ$2:$BB$56,3,)))</f>
        <v>0</v>
      </c>
      <c r="AU407" s="10" t="str">
        <f>IF(I407="TP",VLOOKUP(AF407,TPCalibEqFull!$AZ$2:$BB$56,3),IF(I407="TDP",VLOOKUP(AF407,TPCalibEqFull!$AZ$2:$BB$56,3),IF(I407="TDN",VLOOKUP(AF407,TNCalibEqFull!$AZ$1:$BB$56,3),IF(I407="TN",VLOOKUP(AF407,TNCalibEqFull!$AZ$1:$BB$56,3),FALSE))))</f>
        <v>y=-0.0423x2+66.444x-22.986</v>
      </c>
      <c r="AV407" s="10" t="str">
        <f t="shared" si="46"/>
        <v>1220 05:55:00-HST-0-FIL-1-SW-DUP</v>
      </c>
    </row>
    <row r="408" spans="1:48" s="10" customFormat="1" x14ac:dyDescent="0.55000000000000004">
      <c r="A408" s="32">
        <v>44915</v>
      </c>
      <c r="B408" s="33">
        <v>0.24652777777777779</v>
      </c>
      <c r="C408" s="10" t="s">
        <v>912</v>
      </c>
      <c r="D408" s="10">
        <v>0</v>
      </c>
      <c r="E408" s="10" t="s">
        <v>911</v>
      </c>
      <c r="F408" s="10">
        <v>1</v>
      </c>
      <c r="G408" s="10" t="s">
        <v>231</v>
      </c>
      <c r="H408" s="10" t="s">
        <v>314</v>
      </c>
      <c r="I408" s="10" t="s">
        <v>266</v>
      </c>
      <c r="J408" s="10">
        <v>51</v>
      </c>
      <c r="K408" s="12">
        <v>44930</v>
      </c>
      <c r="L408" s="33">
        <v>0.58910879629629631</v>
      </c>
      <c r="M408" s="10">
        <v>1</v>
      </c>
      <c r="N408" s="10" t="s">
        <v>84</v>
      </c>
      <c r="O408" s="10">
        <v>17.899999999999999</v>
      </c>
      <c r="P408" s="10">
        <v>1.26</v>
      </c>
      <c r="Q408" s="10">
        <v>1160</v>
      </c>
      <c r="R408" s="10" t="s">
        <v>85</v>
      </c>
      <c r="S408" s="34">
        <f t="shared" si="42"/>
        <v>1160</v>
      </c>
      <c r="T408" s="10" t="s">
        <v>983</v>
      </c>
      <c r="U408" s="34">
        <f t="shared" si="43"/>
        <v>103.37631673200001</v>
      </c>
      <c r="V408" s="31">
        <f>IF(H408="CHK",VLOOKUP(I408,QCCHK,3,),IF(H408="GUP",VLOOKUP(E408,QCGUP,2,),IF(AND(H408="ATP",OR(I408="TN",I408="TDN",I408="TNO2-3",I408="NO2-3")),VLOOKUP(E408,QCREC_N,2,),IF(AND(H408="NIC",OR(I408="TN",I408="TDN",I408="TNO2-3",I408="NO2-3")),VLOOKUP(E408,QCNIC_N,2,),IF(AND(H408="UREA",OR(I408="TN",I408="TDN",I408="TNO2-3",I408="NO2-3")),VLOOKUP(E408,QCUREA_N,2,),IF(H408="PER",VLOOKUP(I408,QCPER,MATCH(E408,QCACTUAL!$J$25:$AA$25,0),),IF(H408="SPK",VLOOKUP(I408,QCSPK,3,),IF(AND(H408="ATP",OR(I408="TP",I408="TDP")),VLOOKUP(E408,QCATP_P,2,),""))))))))</f>
        <v>1000</v>
      </c>
      <c r="W408" s="31" t="str">
        <f t="shared" si="44"/>
        <v>TRUE</v>
      </c>
      <c r="X408" s="31" t="str">
        <f t="shared" si="45"/>
        <v>([spikedunkn]-[unkn])/[spike]*100</v>
      </c>
      <c r="Y408" s="10" t="s">
        <v>970</v>
      </c>
      <c r="Z408" s="10" t="s">
        <v>910</v>
      </c>
      <c r="AF408" s="12">
        <v>44930</v>
      </c>
      <c r="AK408" s="10">
        <f>-0.0423*17.9^2+66.444*17.9-22.986</f>
        <v>1152.8082569999999</v>
      </c>
      <c r="AL408" s="10" t="str">
        <f t="shared" si="47"/>
        <v>FALSE</v>
      </c>
      <c r="AM408" s="10" t="str">
        <f t="shared" si="47"/>
        <v>FALSE</v>
      </c>
      <c r="AN408" s="10" t="str">
        <f t="shared" si="47"/>
        <v>FALSE</v>
      </c>
      <c r="AO408" s="10" t="str">
        <f t="shared" si="48"/>
        <v>FALSE</v>
      </c>
      <c r="AP408" s="10" t="str">
        <f t="shared" si="48"/>
        <v>y=-0.0423*17.9^2+66.444*17.9-22.986</v>
      </c>
      <c r="AQ408" s="10" t="b">
        <f>IF(AND(I408="TP",S408&lt;=150),VLOOKUP(AF408,TPCalibEq150!$AZ$2:$BB$55,3,),IF(AND(I408="TDP",S408&lt;=150),VLOOKUP(AF408,TPCalibEq150!$AZ$2:$BB$55,3,)))</f>
        <v>0</v>
      </c>
      <c r="AR408" s="10" t="b">
        <f>IF(AND(I408="TP",S408&lt;=300),VLOOKUP(AF408,TPCalibEq300!$AZ$2:$BB$55,3,),IF(AND(I408="TDP",S408&lt;=300),VLOOKUP(AF408,TPCalibEq300!$AZ$2:$BB$55,3,)))</f>
        <v>0</v>
      </c>
      <c r="AS408" s="10" t="b">
        <f>IF(AND(I408="TP",S408&lt;=500),VLOOKUP(AF408,TPCalibEq500!$AZ$2:$BB$56,3,),IF(AND(I408="TDP",S408&lt;=500),VLOOKUP(AF408,TPCalibEq500!$AZ$2:$BB$56,3,)))</f>
        <v>0</v>
      </c>
      <c r="AT408" s="10" t="b">
        <f>IF(AND(I408="TN",S408&lt;=2800),VLOOKUP(AF408,TNCalibEq2500!$AZ$2:$BB$56,3,),IF(AND(I408="TDN",S408&lt;=2800),VLOOKUP(AF408,TNCalibEq2500!$AZ$2:$BB$56,3,)))</f>
        <v>0</v>
      </c>
      <c r="AU408" s="10" t="str">
        <f>IF(I408="TP",VLOOKUP(AF408,TPCalibEqFull!$AZ$2:$BB$56,3),IF(I408="TDP",VLOOKUP(AF408,TPCalibEqFull!$AZ$2:$BB$56,3),IF(I408="TDN",VLOOKUP(AF408,TNCalibEqFull!$AZ$1:$BB$56,3),IF(I408="TN",VLOOKUP(AF408,TNCalibEqFull!$AZ$1:$BB$56,3),FALSE))))</f>
        <v>y=-0.0423x2+66.444x-22.986</v>
      </c>
      <c r="AV408" s="10" t="str">
        <f t="shared" si="46"/>
        <v>1220 05:55:00-HST -0-FIL-1-SW-SPK</v>
      </c>
    </row>
    <row r="409" spans="1:48" s="10" customFormat="1" x14ac:dyDescent="0.55000000000000004">
      <c r="A409" s="32">
        <v>44930</v>
      </c>
      <c r="B409" s="33">
        <v>0.375</v>
      </c>
      <c r="C409" s="10" t="s">
        <v>70</v>
      </c>
      <c r="D409" s="10" t="s">
        <v>71</v>
      </c>
      <c r="E409" s="10" t="s">
        <v>901</v>
      </c>
      <c r="F409" s="10">
        <v>1</v>
      </c>
      <c r="G409" s="10" t="s">
        <v>73</v>
      </c>
      <c r="H409" s="10" t="s">
        <v>207</v>
      </c>
      <c r="I409" s="10" t="s">
        <v>83</v>
      </c>
      <c r="J409" s="10">
        <v>200</v>
      </c>
      <c r="K409" s="12">
        <v>44930</v>
      </c>
      <c r="L409" s="33">
        <v>0.58981481481481479</v>
      </c>
      <c r="M409" s="10">
        <v>1</v>
      </c>
      <c r="N409" s="10" t="s">
        <v>84</v>
      </c>
      <c r="O409" s="10">
        <v>8.42</v>
      </c>
      <c r="P409" s="10">
        <v>0.6</v>
      </c>
      <c r="Q409" s="10">
        <v>536</v>
      </c>
      <c r="R409" s="10" t="s">
        <v>85</v>
      </c>
      <c r="S409" s="34">
        <f t="shared" si="42"/>
        <v>536</v>
      </c>
      <c r="T409" s="10" t="s">
        <v>983</v>
      </c>
      <c r="U409" s="34">
        <f t="shared" si="43"/>
        <v>107.2</v>
      </c>
      <c r="V409" s="31">
        <f>IF(H409="CHK",VLOOKUP(I409,QCCHK,3,),IF(H409="GUP",VLOOKUP(E409,QCGUP,2,),IF(AND(H409="ATP",OR(I409="TN",I409="TDN",I409="TNO2-3",I409="NO2-3")),VLOOKUP(E409,QCREC_N,2,),IF(AND(H409="NIC",OR(I409="TN",I409="TDN",I409="TNO2-3",I409="NO2-3")),VLOOKUP(E409,QCNIC_N,2,),IF(AND(H409="UREA",OR(I409="TN",I409="TDN",I409="TNO2-3",I409="NO2-3")),VLOOKUP(E409,QCUREA_N,2,),IF(H409="PER",VLOOKUP(I409,QCPER,MATCH(E409,QCACTUAL!$J$25:$AA$25,0),),IF(H409="SPK",VLOOKUP(I409,QCSPK,3,),IF(AND(H409="ATP",OR(I409="TP",I409="TDP")),VLOOKUP(E409,QCATP_P,2,),""))))))))</f>
        <v>500</v>
      </c>
      <c r="W409" s="31" t="str">
        <f t="shared" si="44"/>
        <v>TRUE</v>
      </c>
      <c r="X409" s="31" t="str">
        <f t="shared" si="45"/>
        <v>[chk]/[actual]*100</v>
      </c>
      <c r="Y409" s="10" t="s">
        <v>970</v>
      </c>
      <c r="AF409" s="12">
        <v>44930</v>
      </c>
      <c r="AK409" s="10">
        <f>-0.0423*8.42^2+66.444*8.42-22.986</f>
        <v>533.47356228000001</v>
      </c>
      <c r="AL409" s="10" t="str">
        <f t="shared" si="47"/>
        <v>FALSE</v>
      </c>
      <c r="AM409" s="10" t="str">
        <f t="shared" si="47"/>
        <v>FALSE</v>
      </c>
      <c r="AN409" s="10" t="str">
        <f t="shared" si="47"/>
        <v>FALSE</v>
      </c>
      <c r="AO409" s="10" t="str">
        <f t="shared" si="48"/>
        <v>FALSE</v>
      </c>
      <c r="AP409" s="10" t="str">
        <f t="shared" si="48"/>
        <v>y=-0.0423*8.42^2+66.444*8.42-22.986</v>
      </c>
      <c r="AQ409" s="10" t="b">
        <f>IF(AND(I409="TP",S409&lt;=150),VLOOKUP(AF409,TPCalibEq150!$AZ$2:$BB$55,3,),IF(AND(I409="TDP",S409&lt;=150),VLOOKUP(AF409,TPCalibEq150!$AZ$2:$BB$55,3,)))</f>
        <v>0</v>
      </c>
      <c r="AR409" s="10" t="b">
        <f>IF(AND(I409="TP",S409&lt;=300),VLOOKUP(AF409,TPCalibEq300!$AZ$2:$BB$55,3,),IF(AND(I409="TDP",S409&lt;=300),VLOOKUP(AF409,TPCalibEq300!$AZ$2:$BB$55,3,)))</f>
        <v>0</v>
      </c>
      <c r="AS409" s="10" t="b">
        <f>IF(AND(I409="TP",S409&lt;=500),VLOOKUP(AF409,TPCalibEq500!$AZ$2:$BB$56,3,),IF(AND(I409="TDP",S409&lt;=500),VLOOKUP(AF409,TPCalibEq500!$AZ$2:$BB$56,3,)))</f>
        <v>0</v>
      </c>
      <c r="AT409" s="10" t="b">
        <f>IF(AND(I409="TN",S409&lt;=2800),VLOOKUP(AF409,TNCalibEq2500!$AZ$2:$BB$56,3,),IF(AND(I409="TDN",S409&lt;=2800),VLOOKUP(AF409,TNCalibEq2500!$AZ$2:$BB$56,3,)))</f>
        <v>0</v>
      </c>
      <c r="AU409" s="10" t="str">
        <f>IF(I409="TP",VLOOKUP(AF409,TPCalibEqFull!$AZ$2:$BB$56,3),IF(I409="TDP",VLOOKUP(AF409,TPCalibEqFull!$AZ$2:$BB$56,3),IF(I409="TDN",VLOOKUP(AF409,TNCalibEqFull!$AZ$1:$BB$56,3),IF(I409="TN",VLOOKUP(AF409,TNCalibEqFull!$AZ$1:$BB$56,3),FALSE))))</f>
        <v>y=-0.0423x2+66.444x-22.986</v>
      </c>
      <c r="AV409" s="10" t="str">
        <f t="shared" si="46"/>
        <v>0104 09:00:00-QAC-STD-D-1-DI-CHK</v>
      </c>
    </row>
    <row r="410" spans="1:48" s="10" customFormat="1" x14ac:dyDescent="0.55000000000000004">
      <c r="A410" s="32">
        <v>44916</v>
      </c>
      <c r="B410" s="33">
        <v>0.22916666666666666</v>
      </c>
      <c r="C410" s="10" t="s">
        <v>279</v>
      </c>
      <c r="D410" s="10">
        <v>0</v>
      </c>
      <c r="E410" s="10" t="s">
        <v>911</v>
      </c>
      <c r="F410" s="10">
        <v>1</v>
      </c>
      <c r="G410" s="10" t="s">
        <v>231</v>
      </c>
      <c r="H410" s="10" t="s">
        <v>322</v>
      </c>
      <c r="I410" s="10" t="s">
        <v>266</v>
      </c>
      <c r="J410" s="10">
        <v>35</v>
      </c>
      <c r="K410" s="12">
        <v>44930</v>
      </c>
      <c r="L410" s="33">
        <v>0.59050925925925923</v>
      </c>
      <c r="M410" s="10">
        <v>1</v>
      </c>
      <c r="N410" s="10" t="s">
        <v>84</v>
      </c>
      <c r="O410" s="10">
        <v>3.02</v>
      </c>
      <c r="P410" s="10">
        <v>0.215</v>
      </c>
      <c r="Q410" s="10">
        <v>179</v>
      </c>
      <c r="R410" s="10" t="s">
        <v>85</v>
      </c>
      <c r="S410" s="34">
        <f t="shared" si="42"/>
        <v>197.80485036000002</v>
      </c>
      <c r="T410" s="10" t="s">
        <v>983</v>
      </c>
      <c r="U410" s="34" t="str">
        <f t="shared" si="43"/>
        <v/>
      </c>
      <c r="V410" s="31" t="str">
        <f>IF(H410="CHK",VLOOKUP(I410,QCCHK,3,),IF(H410="GUP",VLOOKUP(E410,QCGUP,2,),IF(AND(H410="ATP",OR(I410="TN",I410="TDN",I410="TNO2-3",I410="NO2-3")),VLOOKUP(E410,QCREC_N,2,),IF(AND(H410="NIC",OR(I410="TN",I410="TDN",I410="TNO2-3",I410="NO2-3")),VLOOKUP(E410,QCNIC_N,2,),IF(AND(H410="UREA",OR(I410="TN",I410="TDN",I410="TNO2-3",I410="NO2-3")),VLOOKUP(E410,QCUREA_N,2,),IF(H410="PER",VLOOKUP(I410,QCPER,MATCH(E410,QCACTUAL!$J$25:$AA$25,0),),IF(H410="SPK",VLOOKUP(I410,QCSPK,3,),IF(AND(H410="ATP",OR(I410="TP",I410="TDP")),VLOOKUP(E410,QCATP_P,2,),""))))))))</f>
        <v/>
      </c>
      <c r="W410" s="31" t="str">
        <f t="shared" si="44"/>
        <v>TRUE</v>
      </c>
      <c r="X410" s="31" t="str">
        <f t="shared" si="45"/>
        <v/>
      </c>
      <c r="Y410" s="10" t="s">
        <v>970</v>
      </c>
      <c r="Z410" s="10" t="s">
        <v>910</v>
      </c>
      <c r="AF410" s="12">
        <v>44930</v>
      </c>
      <c r="AH410" s="10">
        <f>-2.6941*3.02^2+86.956*3.02-40.231</f>
        <v>197.80485036000002</v>
      </c>
      <c r="AI410" s="10">
        <f>-1.1451*3.02^2+77.605*3.02-34.739</f>
        <v>189.18432996000001</v>
      </c>
      <c r="AK410" s="10">
        <f>-0.0423*3.02^2+66.444*3.02-22.986</f>
        <v>177.28908708000003</v>
      </c>
      <c r="AL410" s="10" t="str">
        <f t="shared" si="47"/>
        <v>FALSE</v>
      </c>
      <c r="AM410" s="10" t="str">
        <f t="shared" si="47"/>
        <v>y=-2.6941*3.02^2+86.956*3.02-40.231</v>
      </c>
      <c r="AN410" s="10" t="str">
        <f t="shared" si="47"/>
        <v>y=-1.1451*3.02^2+77.605*3.02-34.739</v>
      </c>
      <c r="AO410" s="10" t="str">
        <f t="shared" si="48"/>
        <v>FALSE</v>
      </c>
      <c r="AP410" s="10" t="str">
        <f t="shared" si="48"/>
        <v>y=-0.0423*3.02^2+66.444*3.02-22.986</v>
      </c>
      <c r="AQ410" s="10" t="b">
        <f>IF(AND(I410="TP",S410&lt;=150),VLOOKUP(AF410,TPCalibEq150!$AZ$2:$BB$55,3,),IF(AND(I410="TDP",S410&lt;=150),VLOOKUP(AF410,TPCalibEq150!$AZ$2:$BB$55,3,)))</f>
        <v>0</v>
      </c>
      <c r="AR410" s="10" t="str">
        <f>IF(AND(I410="TP",S410&lt;=300),VLOOKUP(AF410,TPCalibEq300!$AZ$2:$BB$55,3,),IF(AND(I410="TDP",S410&lt;=300),VLOOKUP(AF410,TPCalibEq300!$AZ$2:$BB$55,3,)))</f>
        <v>y=-2.6941x2+86.956x-40.231</v>
      </c>
      <c r="AS410" s="10" t="str">
        <f>IF(AND(I410="TP",S410&lt;=500),VLOOKUP(AF410,TPCalibEq500!$AZ$2:$BB$56,3,),IF(AND(I410="TDP",S410&lt;=500),VLOOKUP(AF410,TPCalibEq500!$AZ$2:$BB$56,3,)))</f>
        <v>y=-1.1451x2+77.605x-34.739</v>
      </c>
      <c r="AT410" s="10" t="b">
        <f>IF(AND(I410="TN",S410&lt;=2800),VLOOKUP(AF410,TNCalibEq2500!$AZ$2:$BB$56,3,),IF(AND(I410="TDN",S410&lt;=2800),VLOOKUP(AF410,TNCalibEq2500!$AZ$2:$BB$56,3,)))</f>
        <v>0</v>
      </c>
      <c r="AU410" s="10" t="str">
        <f>IF(I410="TP",VLOOKUP(AF410,TPCalibEqFull!$AZ$2:$BB$56,3),IF(I410="TDP",VLOOKUP(AF410,TPCalibEqFull!$AZ$2:$BB$56,3),IF(I410="TDN",VLOOKUP(AF410,TNCalibEqFull!$AZ$1:$BB$56,3),IF(I410="TN",VLOOKUP(AF410,TNCalibEqFull!$AZ$1:$BB$56,3),FALSE))))</f>
        <v>y=-0.0423x2+66.444x-22.986</v>
      </c>
      <c r="AV410" s="10" t="str">
        <f t="shared" si="46"/>
        <v>1221 05:30:00-EFK-0-FIL-1-SW-UKN</v>
      </c>
    </row>
    <row r="411" spans="1:48" s="10" customFormat="1" x14ac:dyDescent="0.55000000000000004">
      <c r="A411" s="32">
        <v>44916</v>
      </c>
      <c r="B411" s="33">
        <v>0.23611111111111113</v>
      </c>
      <c r="C411" s="10" t="s">
        <v>333</v>
      </c>
      <c r="D411" s="10">
        <v>0</v>
      </c>
      <c r="E411" s="10" t="s">
        <v>911</v>
      </c>
      <c r="F411" s="10">
        <v>1</v>
      </c>
      <c r="G411" s="10" t="s">
        <v>231</v>
      </c>
      <c r="H411" s="10" t="s">
        <v>322</v>
      </c>
      <c r="I411" s="10" t="s">
        <v>266</v>
      </c>
      <c r="J411" s="10">
        <v>36</v>
      </c>
      <c r="K411" s="12">
        <v>44930</v>
      </c>
      <c r="L411" s="33">
        <v>0.59120370370370368</v>
      </c>
      <c r="M411" s="10">
        <v>1</v>
      </c>
      <c r="N411" s="10" t="s">
        <v>84</v>
      </c>
      <c r="O411" s="10">
        <v>2.63</v>
      </c>
      <c r="P411" s="10">
        <v>0.186</v>
      </c>
      <c r="Q411" s="10">
        <v>153</v>
      </c>
      <c r="R411" s="10" t="s">
        <v>85</v>
      </c>
      <c r="S411" s="34">
        <f t="shared" si="42"/>
        <v>169.82845971</v>
      </c>
      <c r="T411" s="10" t="s">
        <v>983</v>
      </c>
      <c r="U411" s="34" t="str">
        <f t="shared" si="43"/>
        <v/>
      </c>
      <c r="V411" s="31" t="str">
        <f>IF(H411="CHK",VLOOKUP(I411,QCCHK,3,),IF(H411="GUP",VLOOKUP(E411,QCGUP,2,),IF(AND(H411="ATP",OR(I411="TN",I411="TDN",I411="TNO2-3",I411="NO2-3")),VLOOKUP(E411,QCREC_N,2,),IF(AND(H411="NIC",OR(I411="TN",I411="TDN",I411="TNO2-3",I411="NO2-3")),VLOOKUP(E411,QCNIC_N,2,),IF(AND(H411="UREA",OR(I411="TN",I411="TDN",I411="TNO2-3",I411="NO2-3")),VLOOKUP(E411,QCUREA_N,2,),IF(H411="PER",VLOOKUP(I411,QCPER,MATCH(E411,QCACTUAL!$J$25:$AA$25,0),),IF(H411="SPK",VLOOKUP(I411,QCSPK,3,),IF(AND(H411="ATP",OR(I411="TP",I411="TDP")),VLOOKUP(E411,QCATP_P,2,),""))))))))</f>
        <v/>
      </c>
      <c r="W411" s="31" t="str">
        <f t="shared" si="44"/>
        <v>TRUE</v>
      </c>
      <c r="X411" s="31" t="str">
        <f t="shared" si="45"/>
        <v/>
      </c>
      <c r="Y411" s="10" t="s">
        <v>970</v>
      </c>
      <c r="Z411" s="10" t="s">
        <v>910</v>
      </c>
      <c r="AF411" s="12">
        <v>44930</v>
      </c>
      <c r="AH411" s="10">
        <f>-2.6941*2.63^2+86.956*2.63-40.231</f>
        <v>169.82845971</v>
      </c>
      <c r="AI411" s="10">
        <f>-1.1451*2.63^2+77.605*2.63-34.739</f>
        <v>161.44160780999999</v>
      </c>
      <c r="AK411" s="10">
        <f>-0.0423*2.63^2+66.444*2.63-22.986</f>
        <v>151.46913512999998</v>
      </c>
      <c r="AL411" s="10" t="str">
        <f t="shared" si="47"/>
        <v>FALSE</v>
      </c>
      <c r="AM411" s="10" t="str">
        <f t="shared" si="47"/>
        <v>y=-2.6941*2.63^2+86.956*2.63-40.231</v>
      </c>
      <c r="AN411" s="10" t="str">
        <f t="shared" si="47"/>
        <v>y=-1.1451*2.63^2+77.605*2.63-34.739</v>
      </c>
      <c r="AO411" s="10" t="str">
        <f t="shared" si="48"/>
        <v>FALSE</v>
      </c>
      <c r="AP411" s="10" t="str">
        <f t="shared" si="48"/>
        <v>y=-0.0423*2.63^2+66.444*2.63-22.986</v>
      </c>
      <c r="AQ411" s="10" t="b">
        <f>IF(AND(I411="TP",S411&lt;=150),VLOOKUP(AF411,TPCalibEq150!$AZ$2:$BB$55,3,),IF(AND(I411="TDP",S411&lt;=150),VLOOKUP(AF411,TPCalibEq150!$AZ$2:$BB$55,3,)))</f>
        <v>0</v>
      </c>
      <c r="AR411" s="10" t="str">
        <f>IF(AND(I411="TP",S411&lt;=300),VLOOKUP(AF411,TPCalibEq300!$AZ$2:$BB$55,3,),IF(AND(I411="TDP",S411&lt;=300),VLOOKUP(AF411,TPCalibEq300!$AZ$2:$BB$55,3,)))</f>
        <v>y=-2.6941x2+86.956x-40.231</v>
      </c>
      <c r="AS411" s="10" t="str">
        <f>IF(AND(I411="TP",S411&lt;=500),VLOOKUP(AF411,TPCalibEq500!$AZ$2:$BB$56,3,),IF(AND(I411="TDP",S411&lt;=500),VLOOKUP(AF411,TPCalibEq500!$AZ$2:$BB$56,3,)))</f>
        <v>y=-1.1451x2+77.605x-34.739</v>
      </c>
      <c r="AT411" s="10" t="b">
        <f>IF(AND(I411="TN",S411&lt;=2800),VLOOKUP(AF411,TNCalibEq2500!$AZ$2:$BB$56,3,),IF(AND(I411="TDN",S411&lt;=2800),VLOOKUP(AF411,TNCalibEq2500!$AZ$2:$BB$56,3,)))</f>
        <v>0</v>
      </c>
      <c r="AU411" s="10" t="str">
        <f>IF(I411="TP",VLOOKUP(AF411,TPCalibEqFull!$AZ$2:$BB$56,3),IF(I411="TDP",VLOOKUP(AF411,TPCalibEqFull!$AZ$2:$BB$56,3),IF(I411="TDN",VLOOKUP(AF411,TNCalibEqFull!$AZ$1:$BB$56,3),IF(I411="TN",VLOOKUP(AF411,TNCalibEqFull!$AZ$1:$BB$56,3),FALSE))))</f>
        <v>y=-0.0423x2+66.444x-22.986</v>
      </c>
      <c r="AV411" s="10" t="str">
        <f t="shared" si="46"/>
        <v>1221 05:40:00-HST-0-FIL-1-SW-UKN</v>
      </c>
    </row>
    <row r="412" spans="1:48" s="10" customFormat="1" x14ac:dyDescent="0.55000000000000004">
      <c r="A412" s="32">
        <v>44917</v>
      </c>
      <c r="B412" s="33">
        <v>0.24513888888888888</v>
      </c>
      <c r="C412" s="10" t="s">
        <v>279</v>
      </c>
      <c r="D412" s="10">
        <v>0</v>
      </c>
      <c r="E412" s="10" t="s">
        <v>911</v>
      </c>
      <c r="F412" s="10">
        <v>1</v>
      </c>
      <c r="G412" s="10" t="s">
        <v>231</v>
      </c>
      <c r="H412" s="10" t="s">
        <v>322</v>
      </c>
      <c r="I412" s="10" t="s">
        <v>266</v>
      </c>
      <c r="J412" s="10">
        <v>37</v>
      </c>
      <c r="K412" s="12">
        <v>44930</v>
      </c>
      <c r="L412" s="33">
        <v>0.59189814814814812</v>
      </c>
      <c r="M412" s="10">
        <v>1</v>
      </c>
      <c r="N412" s="10" t="s">
        <v>84</v>
      </c>
      <c r="O412" s="10">
        <v>2.56</v>
      </c>
      <c r="P412" s="10">
        <v>0.17899999999999999</v>
      </c>
      <c r="Q412" s="10">
        <v>148</v>
      </c>
      <c r="R412" s="10" t="s">
        <v>85</v>
      </c>
      <c r="S412" s="34">
        <f t="shared" si="42"/>
        <v>164.72030624000001</v>
      </c>
      <c r="T412" s="10" t="s">
        <v>983</v>
      </c>
      <c r="U412" s="34" t="str">
        <f t="shared" si="43"/>
        <v/>
      </c>
      <c r="V412" s="31" t="str">
        <f>IF(H412="CHK",VLOOKUP(I412,QCCHK,3,),IF(H412="GUP",VLOOKUP(E412,QCGUP,2,),IF(AND(H412="ATP",OR(I412="TN",I412="TDN",I412="TNO2-3",I412="NO2-3")),VLOOKUP(E412,QCREC_N,2,),IF(AND(H412="NIC",OR(I412="TN",I412="TDN",I412="TNO2-3",I412="NO2-3")),VLOOKUP(E412,QCNIC_N,2,),IF(AND(H412="UREA",OR(I412="TN",I412="TDN",I412="TNO2-3",I412="NO2-3")),VLOOKUP(E412,QCUREA_N,2,),IF(H412="PER",VLOOKUP(I412,QCPER,MATCH(E412,QCACTUAL!$J$25:$AA$25,0),),IF(H412="SPK",VLOOKUP(I412,QCSPK,3,),IF(AND(H412="ATP",OR(I412="TP",I412="TDP")),VLOOKUP(E412,QCATP_P,2,),""))))))))</f>
        <v/>
      </c>
      <c r="W412" s="31" t="str">
        <f t="shared" si="44"/>
        <v>TRUE</v>
      </c>
      <c r="X412" s="31" t="str">
        <f t="shared" si="45"/>
        <v/>
      </c>
      <c r="Y412" s="10" t="s">
        <v>970</v>
      </c>
      <c r="Z412" s="10" t="s">
        <v>910</v>
      </c>
      <c r="AF412" s="12">
        <v>44930</v>
      </c>
      <c r="AH412" s="10">
        <f>-2.6941*2.56^2+86.956*2.56-40.231</f>
        <v>164.72030624000001</v>
      </c>
      <c r="AI412" s="10">
        <f>-1.1451*2.56^2+77.605*2.56-34.739</f>
        <v>156.42527264</v>
      </c>
      <c r="AK412" s="10">
        <f>-0.0423*2.56^2+66.444*2.56-22.986</f>
        <v>146.83342272000002</v>
      </c>
      <c r="AL412" s="10" t="str">
        <f t="shared" si="47"/>
        <v>FALSE</v>
      </c>
      <c r="AM412" s="10" t="str">
        <f t="shared" si="47"/>
        <v>y=-2.6941*2.56^2+86.956*2.56-40.231</v>
      </c>
      <c r="AN412" s="10" t="str">
        <f t="shared" si="47"/>
        <v>y=-1.1451*2.56^2+77.605*2.56-34.739</v>
      </c>
      <c r="AO412" s="10" t="str">
        <f t="shared" si="48"/>
        <v>FALSE</v>
      </c>
      <c r="AP412" s="10" t="str">
        <f t="shared" si="48"/>
        <v>y=-0.0423*2.56^2+66.444*2.56-22.986</v>
      </c>
      <c r="AQ412" s="10" t="b">
        <f>IF(AND(I412="TP",S412&lt;=150),VLOOKUP(AF412,TPCalibEq150!$AZ$2:$BB$55,3,),IF(AND(I412="TDP",S412&lt;=150),VLOOKUP(AF412,TPCalibEq150!$AZ$2:$BB$55,3,)))</f>
        <v>0</v>
      </c>
      <c r="AR412" s="10" t="str">
        <f>IF(AND(I412="TP",S412&lt;=300),VLOOKUP(AF412,TPCalibEq300!$AZ$2:$BB$55,3,),IF(AND(I412="TDP",S412&lt;=300),VLOOKUP(AF412,TPCalibEq300!$AZ$2:$BB$55,3,)))</f>
        <v>y=-2.6941x2+86.956x-40.231</v>
      </c>
      <c r="AS412" s="10" t="str">
        <f>IF(AND(I412="TP",S412&lt;=500),VLOOKUP(AF412,TPCalibEq500!$AZ$2:$BB$56,3,),IF(AND(I412="TDP",S412&lt;=500),VLOOKUP(AF412,TPCalibEq500!$AZ$2:$BB$56,3,)))</f>
        <v>y=-1.1451x2+77.605x-34.739</v>
      </c>
      <c r="AT412" s="10" t="b">
        <f>IF(AND(I412="TN",S412&lt;=2800),VLOOKUP(AF412,TNCalibEq2500!$AZ$2:$BB$56,3,),IF(AND(I412="TDN",S412&lt;=2800),VLOOKUP(AF412,TNCalibEq2500!$AZ$2:$BB$56,3,)))</f>
        <v>0</v>
      </c>
      <c r="AU412" s="10" t="str">
        <f>IF(I412="TP",VLOOKUP(AF412,TPCalibEqFull!$AZ$2:$BB$56,3),IF(I412="TDP",VLOOKUP(AF412,TPCalibEqFull!$AZ$2:$BB$56,3),IF(I412="TDN",VLOOKUP(AF412,TNCalibEqFull!$AZ$1:$BB$56,3),IF(I412="TN",VLOOKUP(AF412,TNCalibEqFull!$AZ$1:$BB$56,3),FALSE))))</f>
        <v>y=-0.0423x2+66.444x-22.986</v>
      </c>
      <c r="AV412" s="10" t="str">
        <f t="shared" si="46"/>
        <v>1222 05:53:00-EFK-0-FIL-1-SW-UKN</v>
      </c>
    </row>
    <row r="413" spans="1:48" s="10" customFormat="1" x14ac:dyDescent="0.55000000000000004">
      <c r="A413" s="32">
        <v>44917</v>
      </c>
      <c r="B413" s="33">
        <v>0.24166666666666667</v>
      </c>
      <c r="C413" s="10" t="s">
        <v>333</v>
      </c>
      <c r="D413" s="10">
        <v>0</v>
      </c>
      <c r="E413" s="10" t="s">
        <v>911</v>
      </c>
      <c r="F413" s="10">
        <v>1</v>
      </c>
      <c r="G413" s="10" t="s">
        <v>231</v>
      </c>
      <c r="H413" s="10" t="s">
        <v>322</v>
      </c>
      <c r="I413" s="10" t="s">
        <v>266</v>
      </c>
      <c r="J413" s="10">
        <v>38</v>
      </c>
      <c r="K413" s="12">
        <v>44930</v>
      </c>
      <c r="L413" s="33">
        <v>0.59259259259259256</v>
      </c>
      <c r="M413" s="10">
        <v>1</v>
      </c>
      <c r="N413" s="10" t="s">
        <v>84</v>
      </c>
      <c r="O413" s="10">
        <v>3.06</v>
      </c>
      <c r="P413" s="10">
        <v>0.214</v>
      </c>
      <c r="Q413" s="10">
        <v>181</v>
      </c>
      <c r="R413" s="10" t="s">
        <v>85</v>
      </c>
      <c r="S413" s="34">
        <f t="shared" si="42"/>
        <v>200.62788524000004</v>
      </c>
      <c r="T413" s="10" t="s">
        <v>983</v>
      </c>
      <c r="U413" s="34" t="str">
        <f t="shared" si="43"/>
        <v/>
      </c>
      <c r="V413" s="31" t="str">
        <f>IF(H413="CHK",VLOOKUP(I413,QCCHK,3,),IF(H413="GUP",VLOOKUP(E413,QCGUP,2,),IF(AND(H413="ATP",OR(I413="TN",I413="TDN",I413="TNO2-3",I413="NO2-3")),VLOOKUP(E413,QCREC_N,2,),IF(AND(H413="NIC",OR(I413="TN",I413="TDN",I413="TNO2-3",I413="NO2-3")),VLOOKUP(E413,QCNIC_N,2,),IF(AND(H413="UREA",OR(I413="TN",I413="TDN",I413="TNO2-3",I413="NO2-3")),VLOOKUP(E413,QCUREA_N,2,),IF(H413="PER",VLOOKUP(I413,QCPER,MATCH(E413,QCACTUAL!$J$25:$AA$25,0),),IF(H413="SPK",VLOOKUP(I413,QCSPK,3,),IF(AND(H413="ATP",OR(I413="TP",I413="TDP")),VLOOKUP(E413,QCATP_P,2,),""))))))))</f>
        <v/>
      </c>
      <c r="W413" s="31" t="str">
        <f t="shared" si="44"/>
        <v>TRUE</v>
      </c>
      <c r="X413" s="31" t="str">
        <f t="shared" si="45"/>
        <v/>
      </c>
      <c r="Y413" s="10" t="s">
        <v>970</v>
      </c>
      <c r="Z413" s="10" t="s">
        <v>910</v>
      </c>
      <c r="AF413" s="12">
        <v>44930</v>
      </c>
      <c r="AH413" s="10">
        <f>-2.6941*3.06^2+86.956*3.06-40.231</f>
        <v>200.62788524000004</v>
      </c>
      <c r="AI413" s="10">
        <f>-1.1451*3.06^2+77.605*3.06-34.739</f>
        <v>192.01004164</v>
      </c>
      <c r="AK413" s="10">
        <f>-0.0423*3.06^2+66.444*3.06-22.986</f>
        <v>179.93655972000002</v>
      </c>
      <c r="AL413" s="10" t="str">
        <f t="shared" si="47"/>
        <v>FALSE</v>
      </c>
      <c r="AM413" s="10" t="str">
        <f t="shared" si="47"/>
        <v>y=-2.6941*3.06^2+86.956*3.06-40.231</v>
      </c>
      <c r="AN413" s="10" t="str">
        <f t="shared" si="47"/>
        <v>y=-1.1451*3.06^2+77.605*3.06-34.739</v>
      </c>
      <c r="AO413" s="10" t="str">
        <f t="shared" si="48"/>
        <v>FALSE</v>
      </c>
      <c r="AP413" s="10" t="str">
        <f t="shared" si="48"/>
        <v>y=-0.0423*3.06^2+66.444*3.06-22.986</v>
      </c>
      <c r="AQ413" s="10" t="b">
        <f>IF(AND(I413="TP",S413&lt;=150),VLOOKUP(AF413,TPCalibEq150!$AZ$2:$BB$55,3,),IF(AND(I413="TDP",S413&lt;=150),VLOOKUP(AF413,TPCalibEq150!$AZ$2:$BB$55,3,)))</f>
        <v>0</v>
      </c>
      <c r="AR413" s="10" t="str">
        <f>IF(AND(I413="TP",S413&lt;=300),VLOOKUP(AF413,TPCalibEq300!$AZ$2:$BB$55,3,),IF(AND(I413="TDP",S413&lt;=300),VLOOKUP(AF413,TPCalibEq300!$AZ$2:$BB$55,3,)))</f>
        <v>y=-2.6941x2+86.956x-40.231</v>
      </c>
      <c r="AS413" s="10" t="str">
        <f>IF(AND(I413="TP",S413&lt;=500),VLOOKUP(AF413,TPCalibEq500!$AZ$2:$BB$56,3,),IF(AND(I413="TDP",S413&lt;=500),VLOOKUP(AF413,TPCalibEq500!$AZ$2:$BB$56,3,)))</f>
        <v>y=-1.1451x2+77.605x-34.739</v>
      </c>
      <c r="AT413" s="10" t="b">
        <f>IF(AND(I413="TN",S413&lt;=2800),VLOOKUP(AF413,TNCalibEq2500!$AZ$2:$BB$56,3,),IF(AND(I413="TDN",S413&lt;=2800),VLOOKUP(AF413,TNCalibEq2500!$AZ$2:$BB$56,3,)))</f>
        <v>0</v>
      </c>
      <c r="AU413" s="10" t="str">
        <f>IF(I413="TP",VLOOKUP(AF413,TPCalibEqFull!$AZ$2:$BB$56,3),IF(I413="TDP",VLOOKUP(AF413,TPCalibEqFull!$AZ$2:$BB$56,3),IF(I413="TDN",VLOOKUP(AF413,TNCalibEqFull!$AZ$1:$BB$56,3),IF(I413="TN",VLOOKUP(AF413,TNCalibEqFull!$AZ$1:$BB$56,3),FALSE))))</f>
        <v>y=-0.0423x2+66.444x-22.986</v>
      </c>
      <c r="AV413" s="10" t="str">
        <f t="shared" si="46"/>
        <v>1222 05:48:00-HST-0-FIL-1-SW-UKN</v>
      </c>
    </row>
    <row r="414" spans="1:48" s="10" customFormat="1" x14ac:dyDescent="0.55000000000000004">
      <c r="A414" s="32">
        <v>44922</v>
      </c>
      <c r="B414" s="33">
        <v>0.24652777777777779</v>
      </c>
      <c r="C414" s="10" t="s">
        <v>279</v>
      </c>
      <c r="D414" s="10">
        <v>0</v>
      </c>
      <c r="E414" s="10" t="s">
        <v>911</v>
      </c>
      <c r="F414" s="10">
        <v>1</v>
      </c>
      <c r="G414" s="10" t="s">
        <v>231</v>
      </c>
      <c r="H414" s="10" t="s">
        <v>322</v>
      </c>
      <c r="I414" s="10" t="s">
        <v>266</v>
      </c>
      <c r="J414" s="10">
        <v>39</v>
      </c>
      <c r="K414" s="12">
        <v>44930</v>
      </c>
      <c r="L414" s="33">
        <v>0.593287037037037</v>
      </c>
      <c r="M414" s="10">
        <v>1</v>
      </c>
      <c r="N414" s="10" t="s">
        <v>84</v>
      </c>
      <c r="O414" s="10">
        <v>3.19</v>
      </c>
      <c r="P414" s="10">
        <v>0.22600000000000001</v>
      </c>
      <c r="Q414" s="10">
        <v>190</v>
      </c>
      <c r="R414" s="10" t="s">
        <v>85</v>
      </c>
      <c r="S414" s="34">
        <f t="shared" si="42"/>
        <v>209.74320899</v>
      </c>
      <c r="T414" s="10" t="s">
        <v>983</v>
      </c>
      <c r="U414" s="34" t="str">
        <f t="shared" si="43"/>
        <v/>
      </c>
      <c r="V414" s="31" t="str">
        <f>IF(H414="CHK",VLOOKUP(I414,QCCHK,3,),IF(H414="GUP",VLOOKUP(E414,QCGUP,2,),IF(AND(H414="ATP",OR(I414="TN",I414="TDN",I414="TNO2-3",I414="NO2-3")),VLOOKUP(E414,QCREC_N,2,),IF(AND(H414="NIC",OR(I414="TN",I414="TDN",I414="TNO2-3",I414="NO2-3")),VLOOKUP(E414,QCNIC_N,2,),IF(AND(H414="UREA",OR(I414="TN",I414="TDN",I414="TNO2-3",I414="NO2-3")),VLOOKUP(E414,QCUREA_N,2,),IF(H414="PER",VLOOKUP(I414,QCPER,MATCH(E414,QCACTUAL!$J$25:$AA$25,0),),IF(H414="SPK",VLOOKUP(I414,QCSPK,3,),IF(AND(H414="ATP",OR(I414="TP",I414="TDP")),VLOOKUP(E414,QCATP_P,2,),""))))))))</f>
        <v/>
      </c>
      <c r="W414" s="31" t="str">
        <f t="shared" si="44"/>
        <v>TRUE</v>
      </c>
      <c r="X414" s="31" t="str">
        <f t="shared" si="45"/>
        <v/>
      </c>
      <c r="Y414" s="10" t="s">
        <v>970</v>
      </c>
      <c r="Z414" s="10" t="s">
        <v>910</v>
      </c>
      <c r="AF414" s="12">
        <v>44930</v>
      </c>
      <c r="AH414" s="10">
        <f>-2.6941*3.19^2+86.956*3.19-40.231</f>
        <v>209.74320899</v>
      </c>
      <c r="AI414" s="10">
        <f>-1.1451*3.19^2+77.605*3.19-34.739</f>
        <v>201.16829789000002</v>
      </c>
      <c r="AK414" s="10">
        <f>-0.0423*3.19^2+66.444*3.19-22.986</f>
        <v>188.53991097000002</v>
      </c>
      <c r="AL414" s="10" t="str">
        <f t="shared" si="47"/>
        <v>FALSE</v>
      </c>
      <c r="AM414" s="10" t="str">
        <f t="shared" si="47"/>
        <v>y=-2.6941*3.19^2+86.956*3.19-40.231</v>
      </c>
      <c r="AN414" s="10" t="str">
        <f t="shared" si="47"/>
        <v>y=-1.1451*3.19^2+77.605*3.19-34.739</v>
      </c>
      <c r="AO414" s="10" t="str">
        <f t="shared" si="48"/>
        <v>FALSE</v>
      </c>
      <c r="AP414" s="10" t="str">
        <f t="shared" si="48"/>
        <v>y=-0.0423*3.19^2+66.444*3.19-22.986</v>
      </c>
      <c r="AQ414" s="10" t="b">
        <f>IF(AND(I414="TP",S414&lt;=150),VLOOKUP(AF414,TPCalibEq150!$AZ$2:$BB$55,3,),IF(AND(I414="TDP",S414&lt;=150),VLOOKUP(AF414,TPCalibEq150!$AZ$2:$BB$55,3,)))</f>
        <v>0</v>
      </c>
      <c r="AR414" s="10" t="str">
        <f>IF(AND(I414="TP",S414&lt;=300),VLOOKUP(AF414,TPCalibEq300!$AZ$2:$BB$55,3,),IF(AND(I414="TDP",S414&lt;=300),VLOOKUP(AF414,TPCalibEq300!$AZ$2:$BB$55,3,)))</f>
        <v>y=-2.6941x2+86.956x-40.231</v>
      </c>
      <c r="AS414" s="10" t="str">
        <f>IF(AND(I414="TP",S414&lt;=500),VLOOKUP(AF414,TPCalibEq500!$AZ$2:$BB$56,3,),IF(AND(I414="TDP",S414&lt;=500),VLOOKUP(AF414,TPCalibEq500!$AZ$2:$BB$56,3,)))</f>
        <v>y=-1.1451x2+77.605x-34.739</v>
      </c>
      <c r="AT414" s="10" t="b">
        <f>IF(AND(I414="TN",S414&lt;=2800),VLOOKUP(AF414,TNCalibEq2500!$AZ$2:$BB$56,3,),IF(AND(I414="TDN",S414&lt;=2800),VLOOKUP(AF414,TNCalibEq2500!$AZ$2:$BB$56,3,)))</f>
        <v>0</v>
      </c>
      <c r="AU414" s="10" t="str">
        <f>IF(I414="TP",VLOOKUP(AF414,TPCalibEqFull!$AZ$2:$BB$56,3),IF(I414="TDP",VLOOKUP(AF414,TPCalibEqFull!$AZ$2:$BB$56,3),IF(I414="TDN",VLOOKUP(AF414,TNCalibEqFull!$AZ$1:$BB$56,3),IF(I414="TN",VLOOKUP(AF414,TNCalibEqFull!$AZ$1:$BB$56,3),FALSE))))</f>
        <v>y=-0.0423x2+66.444x-22.986</v>
      </c>
      <c r="AV414" s="10" t="str">
        <f t="shared" si="46"/>
        <v>1227 05:55:00-EFK-0-FIL-1-SW-UKN</v>
      </c>
    </row>
    <row r="415" spans="1:48" s="10" customFormat="1" x14ac:dyDescent="0.55000000000000004">
      <c r="A415" s="32">
        <v>44922</v>
      </c>
      <c r="B415" s="33">
        <v>0.3576388888888889</v>
      </c>
      <c r="C415" s="10" t="s">
        <v>333</v>
      </c>
      <c r="D415" s="10">
        <v>0</v>
      </c>
      <c r="E415" s="10" t="s">
        <v>911</v>
      </c>
      <c r="F415" s="10">
        <v>1</v>
      </c>
      <c r="G415" s="10" t="s">
        <v>231</v>
      </c>
      <c r="H415" s="10" t="s">
        <v>322</v>
      </c>
      <c r="I415" s="10" t="s">
        <v>266</v>
      </c>
      <c r="J415" s="10">
        <v>40</v>
      </c>
      <c r="K415" s="12">
        <v>44930</v>
      </c>
      <c r="L415" s="33">
        <v>0.5939699074074074</v>
      </c>
      <c r="M415" s="10">
        <v>1</v>
      </c>
      <c r="N415" s="10" t="s">
        <v>84</v>
      </c>
      <c r="O415" s="10">
        <v>2.56</v>
      </c>
      <c r="P415" s="10">
        <v>0.17899999999999999</v>
      </c>
      <c r="Q415" s="10">
        <v>148</v>
      </c>
      <c r="R415" s="10" t="s">
        <v>85</v>
      </c>
      <c r="S415" s="34">
        <f t="shared" si="42"/>
        <v>164.72030624000001</v>
      </c>
      <c r="T415" s="10" t="s">
        <v>983</v>
      </c>
      <c r="U415" s="34" t="str">
        <f t="shared" si="43"/>
        <v/>
      </c>
      <c r="V415" s="31" t="str">
        <f>IF(H415="CHK",VLOOKUP(I415,QCCHK,3,),IF(H415="GUP",VLOOKUP(E415,QCGUP,2,),IF(AND(H415="ATP",OR(I415="TN",I415="TDN",I415="TNO2-3",I415="NO2-3")),VLOOKUP(E415,QCREC_N,2,),IF(AND(H415="NIC",OR(I415="TN",I415="TDN",I415="TNO2-3",I415="NO2-3")),VLOOKUP(E415,QCNIC_N,2,),IF(AND(H415="UREA",OR(I415="TN",I415="TDN",I415="TNO2-3",I415="NO2-3")),VLOOKUP(E415,QCUREA_N,2,),IF(H415="PER",VLOOKUP(I415,QCPER,MATCH(E415,QCACTUAL!$J$25:$AA$25,0),),IF(H415="SPK",VLOOKUP(I415,QCSPK,3,),IF(AND(H415="ATP",OR(I415="TP",I415="TDP")),VLOOKUP(E415,QCATP_P,2,),""))))))))</f>
        <v/>
      </c>
      <c r="W415" s="31" t="str">
        <f t="shared" si="44"/>
        <v>TRUE</v>
      </c>
      <c r="X415" s="31" t="str">
        <f t="shared" si="45"/>
        <v/>
      </c>
      <c r="Y415" s="10" t="s">
        <v>970</v>
      </c>
      <c r="Z415" s="10" t="s">
        <v>910</v>
      </c>
      <c r="AF415" s="12">
        <v>44930</v>
      </c>
      <c r="AH415" s="10">
        <f>-2.6941*2.56^2+86.956*2.56-40.231</f>
        <v>164.72030624000001</v>
      </c>
      <c r="AI415" s="10">
        <f>-1.1451*2.56^2+77.605*2.56-34.739</f>
        <v>156.42527264</v>
      </c>
      <c r="AK415" s="10">
        <f>-0.0423*2.56^2+66.444*2.56-22.986</f>
        <v>146.83342272000002</v>
      </c>
      <c r="AL415" s="10" t="str">
        <f t="shared" si="47"/>
        <v>FALSE</v>
      </c>
      <c r="AM415" s="10" t="str">
        <f t="shared" si="47"/>
        <v>y=-2.6941*2.56^2+86.956*2.56-40.231</v>
      </c>
      <c r="AN415" s="10" t="str">
        <f t="shared" si="47"/>
        <v>y=-1.1451*2.56^2+77.605*2.56-34.739</v>
      </c>
      <c r="AO415" s="10" t="str">
        <f t="shared" si="48"/>
        <v>FALSE</v>
      </c>
      <c r="AP415" s="10" t="str">
        <f t="shared" si="48"/>
        <v>y=-0.0423*2.56^2+66.444*2.56-22.986</v>
      </c>
      <c r="AQ415" s="10" t="b">
        <f>IF(AND(I415="TP",S415&lt;=150),VLOOKUP(AF415,TPCalibEq150!$AZ$2:$BB$55,3,),IF(AND(I415="TDP",S415&lt;=150),VLOOKUP(AF415,TPCalibEq150!$AZ$2:$BB$55,3,)))</f>
        <v>0</v>
      </c>
      <c r="AR415" s="10" t="str">
        <f>IF(AND(I415="TP",S415&lt;=300),VLOOKUP(AF415,TPCalibEq300!$AZ$2:$BB$55,3,),IF(AND(I415="TDP",S415&lt;=300),VLOOKUP(AF415,TPCalibEq300!$AZ$2:$BB$55,3,)))</f>
        <v>y=-2.6941x2+86.956x-40.231</v>
      </c>
      <c r="AS415" s="10" t="str">
        <f>IF(AND(I415="TP",S415&lt;=500),VLOOKUP(AF415,TPCalibEq500!$AZ$2:$BB$56,3,),IF(AND(I415="TDP",S415&lt;=500),VLOOKUP(AF415,TPCalibEq500!$AZ$2:$BB$56,3,)))</f>
        <v>y=-1.1451x2+77.605x-34.739</v>
      </c>
      <c r="AT415" s="10" t="b">
        <f>IF(AND(I415="TN",S415&lt;=2800),VLOOKUP(AF415,TNCalibEq2500!$AZ$2:$BB$56,3,),IF(AND(I415="TDN",S415&lt;=2800),VLOOKUP(AF415,TNCalibEq2500!$AZ$2:$BB$56,3,)))</f>
        <v>0</v>
      </c>
      <c r="AU415" s="10" t="str">
        <f>IF(I415="TP",VLOOKUP(AF415,TPCalibEqFull!$AZ$2:$BB$56,3),IF(I415="TDP",VLOOKUP(AF415,TPCalibEqFull!$AZ$2:$BB$56,3),IF(I415="TDN",VLOOKUP(AF415,TNCalibEqFull!$AZ$1:$BB$56,3),IF(I415="TN",VLOOKUP(AF415,TNCalibEqFull!$AZ$1:$BB$56,3),FALSE))))</f>
        <v>y=-0.0423x2+66.444x-22.986</v>
      </c>
      <c r="AV415" s="10" t="str">
        <f t="shared" si="46"/>
        <v>1227 08:35:00-HST-0-FIL-1-SW-UKN</v>
      </c>
    </row>
    <row r="416" spans="1:48" s="10" customFormat="1" x14ac:dyDescent="0.55000000000000004">
      <c r="A416" s="32">
        <v>44923</v>
      </c>
      <c r="B416" s="33">
        <v>0.23958333333333334</v>
      </c>
      <c r="C416" s="10" t="s">
        <v>279</v>
      </c>
      <c r="D416" s="10">
        <v>0</v>
      </c>
      <c r="E416" s="10" t="s">
        <v>911</v>
      </c>
      <c r="F416" s="10">
        <v>1</v>
      </c>
      <c r="G416" s="10" t="s">
        <v>231</v>
      </c>
      <c r="H416" s="10" t="s">
        <v>322</v>
      </c>
      <c r="I416" s="10" t="s">
        <v>266</v>
      </c>
      <c r="J416" s="10">
        <v>41</v>
      </c>
      <c r="K416" s="12">
        <v>44930</v>
      </c>
      <c r="L416" s="33">
        <v>0.59465277777777781</v>
      </c>
      <c r="M416" s="10">
        <v>1</v>
      </c>
      <c r="N416" s="10" t="s">
        <v>84</v>
      </c>
      <c r="O416" s="10">
        <v>4.29</v>
      </c>
      <c r="P416" s="10">
        <v>0.30399999999999999</v>
      </c>
      <c r="Q416" s="10">
        <v>263</v>
      </c>
      <c r="R416" s="10" t="s">
        <v>85</v>
      </c>
      <c r="S416" s="34">
        <f t="shared" si="42"/>
        <v>283.22775419000004</v>
      </c>
      <c r="T416" s="10" t="s">
        <v>983</v>
      </c>
      <c r="U416" s="34" t="str">
        <f t="shared" si="43"/>
        <v/>
      </c>
      <c r="V416" s="31" t="str">
        <f>IF(H416="CHK",VLOOKUP(I416,QCCHK,3,),IF(H416="GUP",VLOOKUP(E416,QCGUP,2,),IF(AND(H416="ATP",OR(I416="TN",I416="TDN",I416="TNO2-3",I416="NO2-3")),VLOOKUP(E416,QCREC_N,2,),IF(AND(H416="NIC",OR(I416="TN",I416="TDN",I416="TNO2-3",I416="NO2-3")),VLOOKUP(E416,QCNIC_N,2,),IF(AND(H416="UREA",OR(I416="TN",I416="TDN",I416="TNO2-3",I416="NO2-3")),VLOOKUP(E416,QCUREA_N,2,),IF(H416="PER",VLOOKUP(I416,QCPER,MATCH(E416,QCACTUAL!$J$25:$AA$25,0),),IF(H416="SPK",VLOOKUP(I416,QCSPK,3,),IF(AND(H416="ATP",OR(I416="TP",I416="TDP")),VLOOKUP(E416,QCATP_P,2,),""))))))))</f>
        <v/>
      </c>
      <c r="W416" s="31" t="str">
        <f t="shared" si="44"/>
        <v>TRUE</v>
      </c>
      <c r="X416" s="31" t="str">
        <f t="shared" si="45"/>
        <v/>
      </c>
      <c r="Y416" s="10" t="s">
        <v>970</v>
      </c>
      <c r="Z416" s="10" t="s">
        <v>910</v>
      </c>
      <c r="AF416" s="12">
        <v>44930</v>
      </c>
      <c r="AH416" s="10">
        <f>-2.6941*4.29^2+86.956*4.29-40.231</f>
        <v>283.22775419000004</v>
      </c>
      <c r="AI416" s="10">
        <f>-1.1451*4.29^2+77.605*4.29-34.739</f>
        <v>277.11191509000002</v>
      </c>
      <c r="AK416" s="10">
        <f>-0.0423*4.29^2+66.444*4.29-22.986</f>
        <v>261.28026656999998</v>
      </c>
      <c r="AL416" s="10" t="str">
        <f t="shared" si="47"/>
        <v>FALSE</v>
      </c>
      <c r="AM416" s="10" t="str">
        <f t="shared" si="47"/>
        <v>y=-2.6941*4.29^2+86.956*4.29-40.231</v>
      </c>
      <c r="AN416" s="10" t="str">
        <f t="shared" si="47"/>
        <v>y=-1.1451*4.29^2+77.605*4.29-34.739</v>
      </c>
      <c r="AO416" s="10" t="str">
        <f t="shared" si="48"/>
        <v>FALSE</v>
      </c>
      <c r="AP416" s="10" t="str">
        <f t="shared" si="48"/>
        <v>y=-0.0423*4.29^2+66.444*4.29-22.986</v>
      </c>
      <c r="AQ416" s="10" t="b">
        <f>IF(AND(I416="TP",S416&lt;=150),VLOOKUP(AF416,TPCalibEq150!$AZ$2:$BB$55,3,),IF(AND(I416="TDP",S416&lt;=150),VLOOKUP(AF416,TPCalibEq150!$AZ$2:$BB$55,3,)))</f>
        <v>0</v>
      </c>
      <c r="AR416" s="10" t="str">
        <f>IF(AND(I416="TP",S416&lt;=300),VLOOKUP(AF416,TPCalibEq300!$AZ$2:$BB$55,3,),IF(AND(I416="TDP",S416&lt;=300),VLOOKUP(AF416,TPCalibEq300!$AZ$2:$BB$55,3,)))</f>
        <v>y=-2.6941x2+86.956x-40.231</v>
      </c>
      <c r="AS416" s="10" t="str">
        <f>IF(AND(I416="TP",S416&lt;=500),VLOOKUP(AF416,TPCalibEq500!$AZ$2:$BB$56,3,),IF(AND(I416="TDP",S416&lt;=500),VLOOKUP(AF416,TPCalibEq500!$AZ$2:$BB$56,3,)))</f>
        <v>y=-1.1451x2+77.605x-34.739</v>
      </c>
      <c r="AT416" s="10" t="b">
        <f>IF(AND(I416="TN",S416&lt;=2800),VLOOKUP(AF416,TNCalibEq2500!$AZ$2:$BB$56,3,),IF(AND(I416="TDN",S416&lt;=2800),VLOOKUP(AF416,TNCalibEq2500!$AZ$2:$BB$56,3,)))</f>
        <v>0</v>
      </c>
      <c r="AU416" s="10" t="str">
        <f>IF(I416="TP",VLOOKUP(AF416,TPCalibEqFull!$AZ$2:$BB$56,3),IF(I416="TDP",VLOOKUP(AF416,TPCalibEqFull!$AZ$2:$BB$56,3),IF(I416="TDN",VLOOKUP(AF416,TNCalibEqFull!$AZ$1:$BB$56,3),IF(I416="TN",VLOOKUP(AF416,TNCalibEqFull!$AZ$1:$BB$56,3),FALSE))))</f>
        <v>y=-0.0423x2+66.444x-22.986</v>
      </c>
      <c r="AV416" s="10" t="str">
        <f t="shared" si="46"/>
        <v>1228 05:45:00-EFK-0-FIL-1-SW-UKN</v>
      </c>
    </row>
    <row r="417" spans="1:48" s="10" customFormat="1" x14ac:dyDescent="0.55000000000000004">
      <c r="A417" s="32">
        <v>44923</v>
      </c>
      <c r="B417" s="33">
        <v>0.36249999999999999</v>
      </c>
      <c r="C417" s="10" t="s">
        <v>333</v>
      </c>
      <c r="D417" s="10">
        <v>0</v>
      </c>
      <c r="E417" s="10" t="s">
        <v>911</v>
      </c>
      <c r="F417" s="10">
        <v>1</v>
      </c>
      <c r="G417" s="10" t="s">
        <v>231</v>
      </c>
      <c r="H417" s="10" t="s">
        <v>322</v>
      </c>
      <c r="I417" s="10" t="s">
        <v>266</v>
      </c>
      <c r="J417" s="10">
        <v>42</v>
      </c>
      <c r="K417" s="12">
        <v>44930</v>
      </c>
      <c r="L417" s="33">
        <v>0.59534722222222225</v>
      </c>
      <c r="M417" s="10">
        <v>1</v>
      </c>
      <c r="N417" s="10" t="s">
        <v>84</v>
      </c>
      <c r="O417" s="10">
        <v>1.28</v>
      </c>
      <c r="P417" s="10">
        <v>8.9300000000000004E-2</v>
      </c>
      <c r="Q417" s="10">
        <v>63.3</v>
      </c>
      <c r="R417" s="10" t="s">
        <v>85</v>
      </c>
      <c r="S417" s="34">
        <f t="shared" si="42"/>
        <v>69.956223679999994</v>
      </c>
      <c r="T417" s="10" t="s">
        <v>983</v>
      </c>
      <c r="U417" s="34" t="str">
        <f t="shared" si="43"/>
        <v/>
      </c>
      <c r="V417" s="31" t="str">
        <f>IF(H417="CHK",VLOOKUP(I417,QCCHK,3,),IF(H417="GUP",VLOOKUP(E417,QCGUP,2,),IF(AND(H417="ATP",OR(I417="TN",I417="TDN",I417="TNO2-3",I417="NO2-3")),VLOOKUP(E417,QCREC_N,2,),IF(AND(H417="NIC",OR(I417="TN",I417="TDN",I417="TNO2-3",I417="NO2-3")),VLOOKUP(E417,QCNIC_N,2,),IF(AND(H417="UREA",OR(I417="TN",I417="TDN",I417="TNO2-3",I417="NO2-3")),VLOOKUP(E417,QCUREA_N,2,),IF(H417="PER",VLOOKUP(I417,QCPER,MATCH(E417,QCACTUAL!$J$25:$AA$25,0),),IF(H417="SPK",VLOOKUP(I417,QCSPK,3,),IF(AND(H417="ATP",OR(I417="TP",I417="TDP")),VLOOKUP(E417,QCATP_P,2,),""))))))))</f>
        <v/>
      </c>
      <c r="W417" s="31" t="str">
        <f t="shared" si="44"/>
        <v>TRUE</v>
      </c>
      <c r="X417" s="31" t="str">
        <f t="shared" si="45"/>
        <v/>
      </c>
      <c r="Y417" s="10" t="s">
        <v>970</v>
      </c>
      <c r="Z417" s="10" t="s">
        <v>910</v>
      </c>
      <c r="AF417" s="12">
        <v>44930</v>
      </c>
      <c r="AG417" s="10">
        <f>-8.4348*1.28^2+102.96*1.28-48.013</f>
        <v>69.956223679999994</v>
      </c>
      <c r="AH417" s="10">
        <f>-2.6941*1.28^2+86.956*1.28-40.231</f>
        <v>66.65866656</v>
      </c>
      <c r="AI417" s="10">
        <f>-1.1451*1.28^2+77.605*1.28-34.739</f>
        <v>62.719268160000006</v>
      </c>
      <c r="AK417" s="10">
        <f>-0.0423*1.28^2+66.444*1.28-22.986</f>
        <v>61.993015679999999</v>
      </c>
      <c r="AL417" s="10" t="str">
        <f t="shared" si="47"/>
        <v>y=-8.4348*1.28^2+102.96*1.28-48.013</v>
      </c>
      <c r="AM417" s="10" t="str">
        <f t="shared" si="47"/>
        <v>y=-2.6941*1.28^2+86.956*1.28-40.231</v>
      </c>
      <c r="AN417" s="10" t="str">
        <f t="shared" si="47"/>
        <v>y=-1.1451*1.28^2+77.605*1.28-34.739</v>
      </c>
      <c r="AO417" s="10" t="str">
        <f t="shared" si="48"/>
        <v>FALSE</v>
      </c>
      <c r="AP417" s="10" t="str">
        <f t="shared" si="48"/>
        <v>y=-0.0423*1.28^2+66.444*1.28-22.986</v>
      </c>
      <c r="AQ417" s="10" t="str">
        <f>IF(AND(I417="TP",S417&lt;=150),VLOOKUP(AF417,TPCalibEq150!$AZ$2:$BB$55,3,),IF(AND(I417="TDP",S417&lt;=150),VLOOKUP(AF417,TPCalibEq150!$AZ$2:$BB$55,3,)))</f>
        <v>y=-8.4348x2+102.96x-48.013</v>
      </c>
      <c r="AR417" s="10" t="str">
        <f>IF(AND(I417="TP",S417&lt;=300),VLOOKUP(AF417,TPCalibEq300!$AZ$2:$BB$55,3,),IF(AND(I417="TDP",S417&lt;=300),VLOOKUP(AF417,TPCalibEq300!$AZ$2:$BB$55,3,)))</f>
        <v>y=-2.6941x2+86.956x-40.231</v>
      </c>
      <c r="AS417" s="10" t="str">
        <f>IF(AND(I417="TP",S417&lt;=500),VLOOKUP(AF417,TPCalibEq500!$AZ$2:$BB$56,3,),IF(AND(I417="TDP",S417&lt;=500),VLOOKUP(AF417,TPCalibEq500!$AZ$2:$BB$56,3,)))</f>
        <v>y=-1.1451x2+77.605x-34.739</v>
      </c>
      <c r="AT417" s="10" t="b">
        <f>IF(AND(I417="TN",S417&lt;=2800),VLOOKUP(AF417,TNCalibEq2500!$AZ$2:$BB$56,3,),IF(AND(I417="TDN",S417&lt;=2800),VLOOKUP(AF417,TNCalibEq2500!$AZ$2:$BB$56,3,)))</f>
        <v>0</v>
      </c>
      <c r="AU417" s="10" t="str">
        <f>IF(I417="TP",VLOOKUP(AF417,TPCalibEqFull!$AZ$2:$BB$56,3),IF(I417="TDP",VLOOKUP(AF417,TPCalibEqFull!$AZ$2:$BB$56,3),IF(I417="TDN",VLOOKUP(AF417,TNCalibEqFull!$AZ$1:$BB$56,3),IF(I417="TN",VLOOKUP(AF417,TNCalibEqFull!$AZ$1:$BB$56,3),FALSE))))</f>
        <v>y=-0.0423x2+66.444x-22.986</v>
      </c>
      <c r="AV417" s="10" t="str">
        <f t="shared" si="46"/>
        <v>1228 08:42:00-HST-0-FIL-1-SW-UKN</v>
      </c>
    </row>
    <row r="418" spans="1:48" s="10" customFormat="1" x14ac:dyDescent="0.55000000000000004">
      <c r="A418" s="32">
        <v>44924</v>
      </c>
      <c r="B418" s="33">
        <v>0.21180555555555555</v>
      </c>
      <c r="C418" s="10" t="s">
        <v>279</v>
      </c>
      <c r="D418" s="10">
        <v>0</v>
      </c>
      <c r="E418" s="10" t="s">
        <v>911</v>
      </c>
      <c r="F418" s="10">
        <v>1</v>
      </c>
      <c r="G418" s="10" t="s">
        <v>231</v>
      </c>
      <c r="H418" s="10" t="s">
        <v>322</v>
      </c>
      <c r="I418" s="10" t="s">
        <v>266</v>
      </c>
      <c r="J418" s="10">
        <v>43</v>
      </c>
      <c r="K418" s="12">
        <v>44930</v>
      </c>
      <c r="L418" s="33">
        <v>0.59604166666666669</v>
      </c>
      <c r="M418" s="10">
        <v>1</v>
      </c>
      <c r="N418" s="10" t="s">
        <v>84</v>
      </c>
      <c r="O418" s="10">
        <v>4.28</v>
      </c>
      <c r="P418" s="10">
        <v>0.30599999999999999</v>
      </c>
      <c r="Q418" s="10">
        <v>262</v>
      </c>
      <c r="R418" s="10" t="s">
        <v>85</v>
      </c>
      <c r="S418" s="34">
        <f t="shared" si="42"/>
        <v>282.58907856000002</v>
      </c>
      <c r="T418" s="10" t="s">
        <v>983</v>
      </c>
      <c r="U418" s="34" t="str">
        <f t="shared" si="43"/>
        <v/>
      </c>
      <c r="V418" s="31" t="str">
        <f>IF(H418="CHK",VLOOKUP(I418,QCCHK,3,),IF(H418="GUP",VLOOKUP(E418,QCGUP,2,),IF(AND(H418="ATP",OR(I418="TN",I418="TDN",I418="TNO2-3",I418="NO2-3")),VLOOKUP(E418,QCREC_N,2,),IF(AND(H418="NIC",OR(I418="TN",I418="TDN",I418="TNO2-3",I418="NO2-3")),VLOOKUP(E418,QCNIC_N,2,),IF(AND(H418="UREA",OR(I418="TN",I418="TDN",I418="TNO2-3",I418="NO2-3")),VLOOKUP(E418,QCUREA_N,2,),IF(H418="PER",VLOOKUP(I418,QCPER,MATCH(E418,QCACTUAL!$J$25:$AA$25,0),),IF(H418="SPK",VLOOKUP(I418,QCSPK,3,),IF(AND(H418="ATP",OR(I418="TP",I418="TDP")),VLOOKUP(E418,QCATP_P,2,),""))))))))</f>
        <v/>
      </c>
      <c r="W418" s="31" t="str">
        <f t="shared" si="44"/>
        <v>TRUE</v>
      </c>
      <c r="X418" s="31" t="str">
        <f t="shared" si="45"/>
        <v/>
      </c>
      <c r="Y418" s="10" t="s">
        <v>970</v>
      </c>
      <c r="Z418" s="10" t="s">
        <v>910</v>
      </c>
      <c r="AF418" s="12">
        <v>44930</v>
      </c>
      <c r="AH418" s="10">
        <f>-2.6941*4.28^2+86.956*4.28-40.231</f>
        <v>282.58907856000002</v>
      </c>
      <c r="AI418" s="10">
        <f>-1.1451*4.28^2+77.605*4.28-34.739</f>
        <v>276.43400016000004</v>
      </c>
      <c r="AK418" s="10">
        <f>-0.0423*4.28^2+66.444*4.28-22.986</f>
        <v>260.61945168000005</v>
      </c>
      <c r="AL418" s="10" t="str">
        <f t="shared" si="47"/>
        <v>FALSE</v>
      </c>
      <c r="AM418" s="10" t="str">
        <f t="shared" si="47"/>
        <v>y=-2.6941*4.28^2+86.956*4.28-40.231</v>
      </c>
      <c r="AN418" s="10" t="str">
        <f t="shared" si="47"/>
        <v>y=-1.1451*4.28^2+77.605*4.28-34.739</v>
      </c>
      <c r="AO418" s="10" t="str">
        <f t="shared" si="48"/>
        <v>FALSE</v>
      </c>
      <c r="AP418" s="10" t="str">
        <f t="shared" si="48"/>
        <v>y=-0.0423*4.28^2+66.444*4.28-22.986</v>
      </c>
      <c r="AQ418" s="10" t="b">
        <f>IF(AND(I418="TP",S418&lt;=150),VLOOKUP(AF418,TPCalibEq150!$AZ$2:$BB$55,3,),IF(AND(I418="TDP",S418&lt;=150),VLOOKUP(AF418,TPCalibEq150!$AZ$2:$BB$55,3,)))</f>
        <v>0</v>
      </c>
      <c r="AR418" s="10" t="str">
        <f>IF(AND(I418="TP",S418&lt;=300),VLOOKUP(AF418,TPCalibEq300!$AZ$2:$BB$55,3,),IF(AND(I418="TDP",S418&lt;=300),VLOOKUP(AF418,TPCalibEq300!$AZ$2:$BB$55,3,)))</f>
        <v>y=-2.6941x2+86.956x-40.231</v>
      </c>
      <c r="AS418" s="10" t="str">
        <f>IF(AND(I418="TP",S418&lt;=500),VLOOKUP(AF418,TPCalibEq500!$AZ$2:$BB$56,3,),IF(AND(I418="TDP",S418&lt;=500),VLOOKUP(AF418,TPCalibEq500!$AZ$2:$BB$56,3,)))</f>
        <v>y=-1.1451x2+77.605x-34.739</v>
      </c>
      <c r="AT418" s="10" t="b">
        <f>IF(AND(I418="TN",S418&lt;=2800),VLOOKUP(AF418,TNCalibEq2500!$AZ$2:$BB$56,3,),IF(AND(I418="TDN",S418&lt;=2800),VLOOKUP(AF418,TNCalibEq2500!$AZ$2:$BB$56,3,)))</f>
        <v>0</v>
      </c>
      <c r="AU418" s="10" t="str">
        <f>IF(I418="TP",VLOOKUP(AF418,TPCalibEqFull!$AZ$2:$BB$56,3),IF(I418="TDP",VLOOKUP(AF418,TPCalibEqFull!$AZ$2:$BB$56,3),IF(I418="TDN",VLOOKUP(AF418,TNCalibEqFull!$AZ$1:$BB$56,3),IF(I418="TN",VLOOKUP(AF418,TNCalibEqFull!$AZ$1:$BB$56,3),FALSE))))</f>
        <v>y=-0.0423x2+66.444x-22.986</v>
      </c>
      <c r="AV418" s="10" t="str">
        <f t="shared" si="46"/>
        <v>1229 05:05:00-EFK-0-FIL-1-SW-UKN</v>
      </c>
    </row>
    <row r="419" spans="1:48" s="10" customFormat="1" x14ac:dyDescent="0.55000000000000004">
      <c r="A419" s="32">
        <v>44924</v>
      </c>
      <c r="B419" s="33">
        <v>0.22013888888888888</v>
      </c>
      <c r="C419" s="10" t="s">
        <v>333</v>
      </c>
      <c r="D419" s="10">
        <v>0</v>
      </c>
      <c r="E419" s="10" t="s">
        <v>911</v>
      </c>
      <c r="F419" s="10">
        <v>1</v>
      </c>
      <c r="G419" s="10" t="s">
        <v>231</v>
      </c>
      <c r="H419" s="10" t="s">
        <v>322</v>
      </c>
      <c r="I419" s="10" t="s">
        <v>266</v>
      </c>
      <c r="J419" s="10">
        <v>44</v>
      </c>
      <c r="K419" s="12">
        <v>44930</v>
      </c>
      <c r="L419" s="33">
        <v>0.59671296296296295</v>
      </c>
      <c r="M419" s="10">
        <v>1</v>
      </c>
      <c r="N419" s="10" t="s">
        <v>84</v>
      </c>
      <c r="O419" s="10">
        <v>1.45</v>
      </c>
      <c r="P419" s="10">
        <v>9.9400000000000002E-2</v>
      </c>
      <c r="Q419" s="10">
        <v>74.099999999999994</v>
      </c>
      <c r="R419" s="10" t="s">
        <v>85</v>
      </c>
      <c r="S419" s="34">
        <f t="shared" si="42"/>
        <v>83.544832999999954</v>
      </c>
      <c r="T419" s="10" t="s">
        <v>983</v>
      </c>
      <c r="U419" s="34" t="str">
        <f t="shared" si="43"/>
        <v/>
      </c>
      <c r="V419" s="31" t="str">
        <f>IF(H419="CHK",VLOOKUP(I419,QCCHK,3,),IF(H419="GUP",VLOOKUP(E419,QCGUP,2,),IF(AND(H419="ATP",OR(I419="TN",I419="TDN",I419="TNO2-3",I419="NO2-3")),VLOOKUP(E419,QCREC_N,2,),IF(AND(H419="NIC",OR(I419="TN",I419="TDN",I419="TNO2-3",I419="NO2-3")),VLOOKUP(E419,QCNIC_N,2,),IF(AND(H419="UREA",OR(I419="TN",I419="TDN",I419="TNO2-3",I419="NO2-3")),VLOOKUP(E419,QCUREA_N,2,),IF(H419="PER",VLOOKUP(I419,QCPER,MATCH(E419,QCACTUAL!$J$25:$AA$25,0),),IF(H419="SPK",VLOOKUP(I419,QCSPK,3,),IF(AND(H419="ATP",OR(I419="TP",I419="TDP")),VLOOKUP(E419,QCATP_P,2,),""))))))))</f>
        <v/>
      </c>
      <c r="W419" s="31" t="str">
        <f t="shared" si="44"/>
        <v>TRUE</v>
      </c>
      <c r="X419" s="31" t="str">
        <f t="shared" si="45"/>
        <v/>
      </c>
      <c r="Y419" s="10" t="s">
        <v>970</v>
      </c>
      <c r="Z419" s="10" t="s">
        <v>910</v>
      </c>
      <c r="AF419" s="12">
        <v>44930</v>
      </c>
      <c r="AG419" s="10">
        <f>-8.4348*1.45^2+102.96*1.45-48.013</f>
        <v>83.544832999999954</v>
      </c>
      <c r="AH419" s="10">
        <f>-2.6941*1.45^2+86.956*1.45-40.231</f>
        <v>80.19085475</v>
      </c>
      <c r="AI419" s="10">
        <f>-1.1451*1.45^2+77.605*1.45-34.739</f>
        <v>75.380677250000019</v>
      </c>
      <c r="AK419" s="10">
        <f>-0.0423*1.45^2+66.444*1.45-22.986</f>
        <v>73.268864249999993</v>
      </c>
      <c r="AL419" s="10" t="str">
        <f t="shared" si="47"/>
        <v>y=-8.4348*1.45^2+102.96*1.45-48.013</v>
      </c>
      <c r="AM419" s="10" t="str">
        <f t="shared" si="47"/>
        <v>y=-2.6941*1.45^2+86.956*1.45-40.231</v>
      </c>
      <c r="AN419" s="10" t="str">
        <f t="shared" si="47"/>
        <v>y=-1.1451*1.45^2+77.605*1.45-34.739</v>
      </c>
      <c r="AO419" s="10" t="str">
        <f t="shared" si="48"/>
        <v>FALSE</v>
      </c>
      <c r="AP419" s="10" t="str">
        <f t="shared" si="48"/>
        <v>y=-0.0423*1.45^2+66.444*1.45-22.986</v>
      </c>
      <c r="AQ419" s="10" t="str">
        <f>IF(AND(I419="TP",S419&lt;=150),VLOOKUP(AF419,TPCalibEq150!$AZ$2:$BB$55,3,),IF(AND(I419="TDP",S419&lt;=150),VLOOKUP(AF419,TPCalibEq150!$AZ$2:$BB$55,3,)))</f>
        <v>y=-8.4348x2+102.96x-48.013</v>
      </c>
      <c r="AR419" s="10" t="str">
        <f>IF(AND(I419="TP",S419&lt;=300),VLOOKUP(AF419,TPCalibEq300!$AZ$2:$BB$55,3,),IF(AND(I419="TDP",S419&lt;=300),VLOOKUP(AF419,TPCalibEq300!$AZ$2:$BB$55,3,)))</f>
        <v>y=-2.6941x2+86.956x-40.231</v>
      </c>
      <c r="AS419" s="10" t="str">
        <f>IF(AND(I419="TP",S419&lt;=500),VLOOKUP(AF419,TPCalibEq500!$AZ$2:$BB$56,3,),IF(AND(I419="TDP",S419&lt;=500),VLOOKUP(AF419,TPCalibEq500!$AZ$2:$BB$56,3,)))</f>
        <v>y=-1.1451x2+77.605x-34.739</v>
      </c>
      <c r="AT419" s="10" t="b">
        <f>IF(AND(I419="TN",S419&lt;=2800),VLOOKUP(AF419,TNCalibEq2500!$AZ$2:$BB$56,3,),IF(AND(I419="TDN",S419&lt;=2800),VLOOKUP(AF419,TNCalibEq2500!$AZ$2:$BB$56,3,)))</f>
        <v>0</v>
      </c>
      <c r="AU419" s="10" t="str">
        <f>IF(I419="TP",VLOOKUP(AF419,TPCalibEqFull!$AZ$2:$BB$56,3),IF(I419="TDP",VLOOKUP(AF419,TPCalibEqFull!$AZ$2:$BB$56,3),IF(I419="TDN",VLOOKUP(AF419,TNCalibEqFull!$AZ$1:$BB$56,3),IF(I419="TN",VLOOKUP(AF419,TNCalibEqFull!$AZ$1:$BB$56,3),FALSE))))</f>
        <v>y=-0.0423x2+66.444x-22.986</v>
      </c>
      <c r="AV419" s="10" t="str">
        <f t="shared" si="46"/>
        <v>1229 05:17:00-HST-0-FIL-1-SW-UKN</v>
      </c>
    </row>
    <row r="420" spans="1:48" s="10" customFormat="1" x14ac:dyDescent="0.55000000000000004">
      <c r="A420" s="32">
        <v>44924</v>
      </c>
      <c r="B420" s="33">
        <v>0.22013888888888888</v>
      </c>
      <c r="C420" s="10" t="s">
        <v>333</v>
      </c>
      <c r="D420" s="10">
        <v>0</v>
      </c>
      <c r="E420" s="10" t="s">
        <v>911</v>
      </c>
      <c r="F420" s="10">
        <v>1</v>
      </c>
      <c r="G420" s="10" t="s">
        <v>231</v>
      </c>
      <c r="H420" s="10" t="s">
        <v>233</v>
      </c>
      <c r="I420" s="10" t="s">
        <v>266</v>
      </c>
      <c r="J420" s="10">
        <v>44</v>
      </c>
      <c r="K420" s="12">
        <v>44930</v>
      </c>
      <c r="L420" s="33">
        <v>0.59739583333333335</v>
      </c>
      <c r="M420" s="10">
        <v>1</v>
      </c>
      <c r="N420" s="10" t="s">
        <v>84</v>
      </c>
      <c r="O420" s="10">
        <v>1.44</v>
      </c>
      <c r="P420" s="10">
        <v>9.9199999999999997E-2</v>
      </c>
      <c r="Q420" s="10">
        <v>73.599999999999994</v>
      </c>
      <c r="R420" s="10" t="s">
        <v>85</v>
      </c>
      <c r="S420" s="34">
        <f t="shared" si="42"/>
        <v>82.758998719999994</v>
      </c>
      <c r="T420" s="10" t="s">
        <v>983</v>
      </c>
      <c r="U420" s="34">
        <f t="shared" si="43"/>
        <v>0.94505853758444092</v>
      </c>
      <c r="V420" s="31" t="str">
        <f>IF(H420="CHK",VLOOKUP(I420,QCCHK,3,),IF(H420="GUP",VLOOKUP(E420,QCGUP,2,),IF(AND(H420="ATP",OR(I420="TN",I420="TDN",I420="TNO2-3",I420="NO2-3")),VLOOKUP(E420,QCREC_N,2,),IF(AND(H420="NIC",OR(I420="TN",I420="TDN",I420="TNO2-3",I420="NO2-3")),VLOOKUP(E420,QCNIC_N,2,),IF(AND(H420="UREA",OR(I420="TN",I420="TDN",I420="TNO2-3",I420="NO2-3")),VLOOKUP(E420,QCUREA_N,2,),IF(H420="PER",VLOOKUP(I420,QCPER,MATCH(E420,QCACTUAL!$J$25:$AA$25,0),),IF(H420="SPK",VLOOKUP(I420,QCSPK,3,),IF(AND(H420="ATP",OR(I420="TP",I420="TDP")),VLOOKUP(E420,QCATP_P,2,),""))))))))</f>
        <v/>
      </c>
      <c r="W420" s="31" t="str">
        <f t="shared" si="44"/>
        <v>TRUE</v>
      </c>
      <c r="X420" s="31" t="str">
        <f t="shared" si="45"/>
        <v>((ABS(rep1-rep2))/((rep1+rep2)/2)*100</v>
      </c>
      <c r="Y420" s="10" t="s">
        <v>970</v>
      </c>
      <c r="Z420" s="10" t="s">
        <v>910</v>
      </c>
      <c r="AF420" s="12">
        <v>44930</v>
      </c>
      <c r="AG420" s="10">
        <f>-8.4348*1.44^2+102.96*1.44-48.013</f>
        <v>82.758998719999994</v>
      </c>
      <c r="AH420" s="10">
        <f>-2.6941*1.44^2+86.956*1.44-40.231</f>
        <v>79.399154240000001</v>
      </c>
      <c r="AI420" s="10">
        <f>-1.1451*1.44^2+77.605*1.44-34.739</f>
        <v>74.637720639999998</v>
      </c>
      <c r="AK420" s="10">
        <f>-0.0423*1.44^2+66.444*1.44-22.986</f>
        <v>72.605646719999996</v>
      </c>
      <c r="AL420" s="10" t="str">
        <f t="shared" si="47"/>
        <v>y=-8.4348*1.44^2+102.96*1.44-48.013</v>
      </c>
      <c r="AM420" s="10" t="str">
        <f t="shared" si="47"/>
        <v>y=-2.6941*1.44^2+86.956*1.44-40.231</v>
      </c>
      <c r="AN420" s="10" t="str">
        <f t="shared" si="47"/>
        <v>y=-1.1451*1.44^2+77.605*1.44-34.739</v>
      </c>
      <c r="AO420" s="10" t="str">
        <f t="shared" si="48"/>
        <v>FALSE</v>
      </c>
      <c r="AP420" s="10" t="str">
        <f t="shared" si="48"/>
        <v>y=-0.0423*1.44^2+66.444*1.44-22.986</v>
      </c>
      <c r="AQ420" s="10" t="str">
        <f>IF(AND(I420="TP",S420&lt;=150),VLOOKUP(AF420,TPCalibEq150!$AZ$2:$BB$55,3,),IF(AND(I420="TDP",S420&lt;=150),VLOOKUP(AF420,TPCalibEq150!$AZ$2:$BB$55,3,)))</f>
        <v>y=-8.4348x2+102.96x-48.013</v>
      </c>
      <c r="AR420" s="10" t="str">
        <f>IF(AND(I420="TP",S420&lt;=300),VLOOKUP(AF420,TPCalibEq300!$AZ$2:$BB$55,3,),IF(AND(I420="TDP",S420&lt;=300),VLOOKUP(AF420,TPCalibEq300!$AZ$2:$BB$55,3,)))</f>
        <v>y=-2.6941x2+86.956x-40.231</v>
      </c>
      <c r="AS420" s="10" t="str">
        <f>IF(AND(I420="TP",S420&lt;=500),VLOOKUP(AF420,TPCalibEq500!$AZ$2:$BB$56,3,),IF(AND(I420="TDP",S420&lt;=500),VLOOKUP(AF420,TPCalibEq500!$AZ$2:$BB$56,3,)))</f>
        <v>y=-1.1451x2+77.605x-34.739</v>
      </c>
      <c r="AT420" s="10" t="b">
        <f>IF(AND(I420="TN",S420&lt;=2800),VLOOKUP(AF420,TNCalibEq2500!$AZ$2:$BB$56,3,),IF(AND(I420="TDN",S420&lt;=2800),VLOOKUP(AF420,TNCalibEq2500!$AZ$2:$BB$56,3,)))</f>
        <v>0</v>
      </c>
      <c r="AU420" s="10" t="str">
        <f>IF(I420="TP",VLOOKUP(AF420,TPCalibEqFull!$AZ$2:$BB$56,3),IF(I420="TDP",VLOOKUP(AF420,TPCalibEqFull!$AZ$2:$BB$56,3),IF(I420="TDN",VLOOKUP(AF420,TNCalibEqFull!$AZ$1:$BB$56,3),IF(I420="TN",VLOOKUP(AF420,TNCalibEqFull!$AZ$1:$BB$56,3),FALSE))))</f>
        <v>y=-0.0423x2+66.444x-22.986</v>
      </c>
      <c r="AV420" s="10" t="str">
        <f t="shared" si="46"/>
        <v>1229 05:17:00-HST-0-FIL-1-SW-DUP</v>
      </c>
    </row>
    <row r="421" spans="1:48" s="10" customFormat="1" x14ac:dyDescent="0.55000000000000004">
      <c r="A421" s="32">
        <v>44924</v>
      </c>
      <c r="B421" s="33">
        <v>0.22013888888888888</v>
      </c>
      <c r="C421" s="10" t="s">
        <v>912</v>
      </c>
      <c r="D421" s="10">
        <v>0</v>
      </c>
      <c r="E421" s="10" t="s">
        <v>911</v>
      </c>
      <c r="F421" s="10">
        <v>1</v>
      </c>
      <c r="G421" s="10" t="s">
        <v>231</v>
      </c>
      <c r="H421" s="10" t="s">
        <v>314</v>
      </c>
      <c r="I421" s="10" t="s">
        <v>266</v>
      </c>
      <c r="J421" s="10">
        <v>52</v>
      </c>
      <c r="K421" s="12">
        <v>44930</v>
      </c>
      <c r="L421" s="33">
        <v>0.59807870370370375</v>
      </c>
      <c r="M421" s="10">
        <v>1</v>
      </c>
      <c r="N421" s="10" t="s">
        <v>84</v>
      </c>
      <c r="O421" s="10">
        <v>18.3</v>
      </c>
      <c r="P421" s="10">
        <v>1.28</v>
      </c>
      <c r="Q421" s="10">
        <v>1180</v>
      </c>
      <c r="R421" s="10" t="s">
        <v>85</v>
      </c>
      <c r="S421" s="34">
        <f t="shared" si="42"/>
        <v>1180</v>
      </c>
      <c r="T421" s="10" t="s">
        <v>983</v>
      </c>
      <c r="U421" s="34">
        <f t="shared" si="43"/>
        <v>109.724100128</v>
      </c>
      <c r="V421" s="31">
        <f>IF(H421="CHK",VLOOKUP(I421,QCCHK,3,),IF(H421="GUP",VLOOKUP(E421,QCGUP,2,),IF(AND(H421="ATP",OR(I421="TN",I421="TDN",I421="TNO2-3",I421="NO2-3")),VLOOKUP(E421,QCREC_N,2,),IF(AND(H421="NIC",OR(I421="TN",I421="TDN",I421="TNO2-3",I421="NO2-3")),VLOOKUP(E421,QCNIC_N,2,),IF(AND(H421="UREA",OR(I421="TN",I421="TDN",I421="TNO2-3",I421="NO2-3")),VLOOKUP(E421,QCUREA_N,2,),IF(H421="PER",VLOOKUP(I421,QCPER,MATCH(E421,QCACTUAL!$J$25:$AA$25,0),),IF(H421="SPK",VLOOKUP(I421,QCSPK,3,),IF(AND(H421="ATP",OR(I421="TP",I421="TDP")),VLOOKUP(E421,QCATP_P,2,),""))))))))</f>
        <v>1000</v>
      </c>
      <c r="W421" s="31" t="str">
        <f t="shared" si="44"/>
        <v>TRUE</v>
      </c>
      <c r="X421" s="31" t="str">
        <f t="shared" si="45"/>
        <v>([spikedunkn]-[unkn])/[spike]*100</v>
      </c>
      <c r="Y421" s="10" t="s">
        <v>970</v>
      </c>
      <c r="Z421" s="10" t="s">
        <v>910</v>
      </c>
      <c r="AF421" s="12">
        <v>44930</v>
      </c>
      <c r="AK421" s="10">
        <f>-0.0423*18.3^2+66.444*18.3-22.986</f>
        <v>1178.773353</v>
      </c>
      <c r="AL421" s="10" t="str">
        <f t="shared" si="47"/>
        <v>FALSE</v>
      </c>
      <c r="AM421" s="10" t="str">
        <f t="shared" si="47"/>
        <v>FALSE</v>
      </c>
      <c r="AN421" s="10" t="str">
        <f t="shared" si="47"/>
        <v>FALSE</v>
      </c>
      <c r="AO421" s="10" t="str">
        <f t="shared" si="48"/>
        <v>FALSE</v>
      </c>
      <c r="AP421" s="10" t="str">
        <f t="shared" si="48"/>
        <v>y=-0.0423*18.3^2+66.444*18.3-22.986</v>
      </c>
      <c r="AQ421" s="10" t="b">
        <f>IF(AND(I421="TP",S421&lt;=150),VLOOKUP(AF421,TPCalibEq150!$AZ$2:$BB$55,3,),IF(AND(I421="TDP",S421&lt;=150),VLOOKUP(AF421,TPCalibEq150!$AZ$2:$BB$55,3,)))</f>
        <v>0</v>
      </c>
      <c r="AR421" s="10" t="b">
        <f>IF(AND(I421="TP",S421&lt;=300),VLOOKUP(AF421,TPCalibEq300!$AZ$2:$BB$55,3,),IF(AND(I421="TDP",S421&lt;=300),VLOOKUP(AF421,TPCalibEq300!$AZ$2:$BB$55,3,)))</f>
        <v>0</v>
      </c>
      <c r="AS421" s="10" t="b">
        <f>IF(AND(I421="TP",S421&lt;=500),VLOOKUP(AF421,TPCalibEq500!$AZ$2:$BB$56,3,),IF(AND(I421="TDP",S421&lt;=500),VLOOKUP(AF421,TPCalibEq500!$AZ$2:$BB$56,3,)))</f>
        <v>0</v>
      </c>
      <c r="AT421" s="10" t="b">
        <f>IF(AND(I421="TN",S421&lt;=2800),VLOOKUP(AF421,TNCalibEq2500!$AZ$2:$BB$56,3,),IF(AND(I421="TDN",S421&lt;=2800),VLOOKUP(AF421,TNCalibEq2500!$AZ$2:$BB$56,3,)))</f>
        <v>0</v>
      </c>
      <c r="AU421" s="10" t="str">
        <f>IF(I421="TP",VLOOKUP(AF421,TPCalibEqFull!$AZ$2:$BB$56,3),IF(I421="TDP",VLOOKUP(AF421,TPCalibEqFull!$AZ$2:$BB$56,3),IF(I421="TDN",VLOOKUP(AF421,TNCalibEqFull!$AZ$1:$BB$56,3),IF(I421="TN",VLOOKUP(AF421,TNCalibEqFull!$AZ$1:$BB$56,3),FALSE))))</f>
        <v>y=-0.0423x2+66.444x-22.986</v>
      </c>
      <c r="AV421" s="10" t="str">
        <f t="shared" si="46"/>
        <v>1229 05:17:00-HST -0-FIL-1-SW-SPK</v>
      </c>
    </row>
    <row r="422" spans="1:48" s="10" customFormat="1" x14ac:dyDescent="0.55000000000000004">
      <c r="A422" s="32">
        <v>44930</v>
      </c>
      <c r="B422" s="33">
        <v>0.375</v>
      </c>
      <c r="C422" s="10" t="s">
        <v>70</v>
      </c>
      <c r="D422" s="10" t="s">
        <v>71</v>
      </c>
      <c r="E422" s="10" t="s">
        <v>901</v>
      </c>
      <c r="F422" s="10">
        <v>1</v>
      </c>
      <c r="G422" s="10" t="s">
        <v>73</v>
      </c>
      <c r="H422" s="10" t="s">
        <v>207</v>
      </c>
      <c r="I422" s="10" t="s">
        <v>83</v>
      </c>
      <c r="J422" s="10">
        <v>200</v>
      </c>
      <c r="K422" s="12">
        <v>44930</v>
      </c>
      <c r="L422" s="33">
        <v>0.59878472222222223</v>
      </c>
      <c r="M422" s="10">
        <v>1</v>
      </c>
      <c r="N422" s="10" t="s">
        <v>84</v>
      </c>
      <c r="O422" s="10">
        <v>8.35</v>
      </c>
      <c r="P422" s="10">
        <v>0.59799999999999998</v>
      </c>
      <c r="Q422" s="10">
        <v>531</v>
      </c>
      <c r="R422" s="10" t="s">
        <v>85</v>
      </c>
      <c r="S422" s="34">
        <f t="shared" si="42"/>
        <v>531</v>
      </c>
      <c r="T422" s="10" t="s">
        <v>983</v>
      </c>
      <c r="U422" s="34">
        <f t="shared" si="43"/>
        <v>106.2</v>
      </c>
      <c r="V422" s="31">
        <f>IF(H422="CHK",VLOOKUP(I422,QCCHK,3,),IF(H422="GUP",VLOOKUP(E422,QCGUP,2,),IF(AND(H422="ATP",OR(I422="TN",I422="TDN",I422="TNO2-3",I422="NO2-3")),VLOOKUP(E422,QCREC_N,2,),IF(AND(H422="NIC",OR(I422="TN",I422="TDN",I422="TNO2-3",I422="NO2-3")),VLOOKUP(E422,QCNIC_N,2,),IF(AND(H422="UREA",OR(I422="TN",I422="TDN",I422="TNO2-3",I422="NO2-3")),VLOOKUP(E422,QCUREA_N,2,),IF(H422="PER",VLOOKUP(I422,QCPER,MATCH(E422,QCACTUAL!$J$25:$AA$25,0),),IF(H422="SPK",VLOOKUP(I422,QCSPK,3,),IF(AND(H422="ATP",OR(I422="TP",I422="TDP")),VLOOKUP(E422,QCATP_P,2,),""))))))))</f>
        <v>500</v>
      </c>
      <c r="W422" s="31" t="str">
        <f t="shared" si="44"/>
        <v>TRUE</v>
      </c>
      <c r="X422" s="31" t="str">
        <f t="shared" si="45"/>
        <v>[chk]/[actual]*100</v>
      </c>
      <c r="Y422" s="10" t="s">
        <v>970</v>
      </c>
      <c r="AF422" s="12">
        <v>44930</v>
      </c>
      <c r="AK422" s="10">
        <f>-0.0423*8.35^2+66.444*8.35-22.986</f>
        <v>528.87213825000003</v>
      </c>
      <c r="AL422" s="10" t="str">
        <f t="shared" si="47"/>
        <v>FALSE</v>
      </c>
      <c r="AM422" s="10" t="str">
        <f t="shared" si="47"/>
        <v>FALSE</v>
      </c>
      <c r="AN422" s="10" t="str">
        <f t="shared" si="47"/>
        <v>FALSE</v>
      </c>
      <c r="AO422" s="10" t="str">
        <f t="shared" si="48"/>
        <v>FALSE</v>
      </c>
      <c r="AP422" s="10" t="str">
        <f t="shared" si="48"/>
        <v>y=-0.0423*8.35^2+66.444*8.35-22.986</v>
      </c>
      <c r="AQ422" s="10" t="b">
        <f>IF(AND(I422="TP",S422&lt;=150),VLOOKUP(AF422,TPCalibEq150!$AZ$2:$BB$55,3,),IF(AND(I422="TDP",S422&lt;=150),VLOOKUP(AF422,TPCalibEq150!$AZ$2:$BB$55,3,)))</f>
        <v>0</v>
      </c>
      <c r="AR422" s="10" t="b">
        <f>IF(AND(I422="TP",S422&lt;=300),VLOOKUP(AF422,TPCalibEq300!$AZ$2:$BB$55,3,),IF(AND(I422="TDP",S422&lt;=300),VLOOKUP(AF422,TPCalibEq300!$AZ$2:$BB$55,3,)))</f>
        <v>0</v>
      </c>
      <c r="AS422" s="10" t="b">
        <f>IF(AND(I422="TP",S422&lt;=500),VLOOKUP(AF422,TPCalibEq500!$AZ$2:$BB$56,3,),IF(AND(I422="TDP",S422&lt;=500),VLOOKUP(AF422,TPCalibEq500!$AZ$2:$BB$56,3,)))</f>
        <v>0</v>
      </c>
      <c r="AT422" s="10" t="b">
        <f>IF(AND(I422="TN",S422&lt;=2800),VLOOKUP(AF422,TNCalibEq2500!$AZ$2:$BB$56,3,),IF(AND(I422="TDN",S422&lt;=2800),VLOOKUP(AF422,TNCalibEq2500!$AZ$2:$BB$56,3,)))</f>
        <v>0</v>
      </c>
      <c r="AU422" s="10" t="str">
        <f>IF(I422="TP",VLOOKUP(AF422,TPCalibEqFull!$AZ$2:$BB$56,3),IF(I422="TDP",VLOOKUP(AF422,TPCalibEqFull!$AZ$2:$BB$56,3),IF(I422="TDN",VLOOKUP(AF422,TNCalibEqFull!$AZ$1:$BB$56,3),IF(I422="TN",VLOOKUP(AF422,TNCalibEqFull!$AZ$1:$BB$56,3),FALSE))))</f>
        <v>y=-0.0423x2+66.444x-22.986</v>
      </c>
      <c r="AV422" s="10" t="str">
        <f t="shared" si="46"/>
        <v>0104 09:00:00-QAC-STD-D-1-DI-CHK</v>
      </c>
    </row>
    <row r="423" spans="1:48" s="10" customFormat="1" x14ac:dyDescent="0.55000000000000004">
      <c r="A423" s="32">
        <v>44925</v>
      </c>
      <c r="B423" s="33">
        <v>0.55555555555555558</v>
      </c>
      <c r="C423" s="10" t="s">
        <v>279</v>
      </c>
      <c r="D423" s="10">
        <v>0</v>
      </c>
      <c r="E423" s="10" t="s">
        <v>911</v>
      </c>
      <c r="F423" s="10">
        <v>1</v>
      </c>
      <c r="G423" s="10" t="s">
        <v>231</v>
      </c>
      <c r="H423" s="10" t="s">
        <v>322</v>
      </c>
      <c r="I423" s="10" t="s">
        <v>266</v>
      </c>
      <c r="J423" s="10">
        <v>45</v>
      </c>
      <c r="K423" s="12">
        <v>44930</v>
      </c>
      <c r="L423" s="33">
        <v>0.59946759259259264</v>
      </c>
      <c r="M423" s="10">
        <v>1</v>
      </c>
      <c r="N423" s="10" t="s">
        <v>84</v>
      </c>
      <c r="O423" s="10">
        <v>2.73</v>
      </c>
      <c r="P423" s="10">
        <v>0.192</v>
      </c>
      <c r="Q423" s="10">
        <v>159</v>
      </c>
      <c r="R423" s="10" t="s">
        <v>85</v>
      </c>
      <c r="S423" s="34">
        <f t="shared" si="42"/>
        <v>177.08002211000002</v>
      </c>
      <c r="T423" s="10" t="s">
        <v>983</v>
      </c>
      <c r="U423" s="34" t="str">
        <f t="shared" si="43"/>
        <v/>
      </c>
      <c r="V423" s="31" t="str">
        <f>IF(H423="CHK",VLOOKUP(I423,QCCHK,3,),IF(H423="GUP",VLOOKUP(E423,QCGUP,2,),IF(AND(H423="ATP",OR(I423="TN",I423="TDN",I423="TNO2-3",I423="NO2-3")),VLOOKUP(E423,QCREC_N,2,),IF(AND(H423="NIC",OR(I423="TN",I423="TDN",I423="TNO2-3",I423="NO2-3")),VLOOKUP(E423,QCNIC_N,2,),IF(AND(H423="UREA",OR(I423="TN",I423="TDN",I423="TNO2-3",I423="NO2-3")),VLOOKUP(E423,QCUREA_N,2,),IF(H423="PER",VLOOKUP(I423,QCPER,MATCH(E423,QCACTUAL!$J$25:$AA$25,0),),IF(H423="SPK",VLOOKUP(I423,QCSPK,3,),IF(AND(H423="ATP",OR(I423="TP",I423="TDP")),VLOOKUP(E423,QCATP_P,2,),""))))))))</f>
        <v/>
      </c>
      <c r="W423" s="31" t="str">
        <f t="shared" si="44"/>
        <v>TRUE</v>
      </c>
      <c r="X423" s="31" t="str">
        <f t="shared" si="45"/>
        <v/>
      </c>
      <c r="Y423" s="10" t="s">
        <v>970</v>
      </c>
      <c r="Z423" s="10" t="s">
        <v>910</v>
      </c>
      <c r="AF423" s="12">
        <v>44930</v>
      </c>
      <c r="AH423" s="10">
        <f>-2.6941*2.73^2+86.956*2.73-40.231</f>
        <v>177.08002211000002</v>
      </c>
      <c r="AI423" s="10">
        <f>-1.1451*2.73^2+77.605*2.73-34.739</f>
        <v>168.58833421</v>
      </c>
      <c r="AK423" s="10">
        <f>-0.0423*2.73^2+66.444*2.73-22.986</f>
        <v>158.09086233000002</v>
      </c>
      <c r="AL423" s="10" t="str">
        <f t="shared" si="47"/>
        <v>FALSE</v>
      </c>
      <c r="AM423" s="10" t="str">
        <f t="shared" si="47"/>
        <v>y=-2.6941*2.73^2+86.956*2.73-40.231</v>
      </c>
      <c r="AN423" s="10" t="str">
        <f t="shared" si="47"/>
        <v>y=-1.1451*2.73^2+77.605*2.73-34.739</v>
      </c>
      <c r="AO423" s="10" t="str">
        <f t="shared" si="48"/>
        <v>FALSE</v>
      </c>
      <c r="AP423" s="10" t="str">
        <f t="shared" si="48"/>
        <v>y=-0.0423*2.73^2+66.444*2.73-22.986</v>
      </c>
      <c r="AQ423" s="10" t="b">
        <f>IF(AND(I423="TP",S423&lt;=150),VLOOKUP(AF423,TPCalibEq150!$AZ$2:$BB$55,3,),IF(AND(I423="TDP",S423&lt;=150),VLOOKUP(AF423,TPCalibEq150!$AZ$2:$BB$55,3,)))</f>
        <v>0</v>
      </c>
      <c r="AR423" s="10" t="str">
        <f>IF(AND(I423="TP",S423&lt;=300),VLOOKUP(AF423,TPCalibEq300!$AZ$2:$BB$55,3,),IF(AND(I423="TDP",S423&lt;=300),VLOOKUP(AF423,TPCalibEq300!$AZ$2:$BB$55,3,)))</f>
        <v>y=-2.6941x2+86.956x-40.231</v>
      </c>
      <c r="AS423" s="10" t="str">
        <f>IF(AND(I423="TP",S423&lt;=500),VLOOKUP(AF423,TPCalibEq500!$AZ$2:$BB$56,3,),IF(AND(I423="TDP",S423&lt;=500),VLOOKUP(AF423,TPCalibEq500!$AZ$2:$BB$56,3,)))</f>
        <v>y=-1.1451x2+77.605x-34.739</v>
      </c>
      <c r="AT423" s="10" t="b">
        <f>IF(AND(I423="TN",S423&lt;=2800),VLOOKUP(AF423,TNCalibEq2500!$AZ$2:$BB$56,3,),IF(AND(I423="TDN",S423&lt;=2800),VLOOKUP(AF423,TNCalibEq2500!$AZ$2:$BB$56,3,)))</f>
        <v>0</v>
      </c>
      <c r="AU423" s="10" t="str">
        <f>IF(I423="TP",VLOOKUP(AF423,TPCalibEqFull!$AZ$2:$BB$56,3),IF(I423="TDP",VLOOKUP(AF423,TPCalibEqFull!$AZ$2:$BB$56,3),IF(I423="TDN",VLOOKUP(AF423,TNCalibEqFull!$AZ$1:$BB$56,3),IF(I423="TN",VLOOKUP(AF423,TNCalibEqFull!$AZ$1:$BB$56,3),FALSE))))</f>
        <v>y=-0.0423x2+66.444x-22.986</v>
      </c>
      <c r="AV423" s="10" t="str">
        <f t="shared" si="46"/>
        <v>1230 13:20:00-EFK-0-FIL-1-SW-UKN</v>
      </c>
    </row>
    <row r="424" spans="1:48" s="10" customFormat="1" x14ac:dyDescent="0.55000000000000004">
      <c r="A424" s="32">
        <v>44925</v>
      </c>
      <c r="B424" s="33">
        <v>0.55902777777777779</v>
      </c>
      <c r="C424" s="10" t="s">
        <v>333</v>
      </c>
      <c r="D424" s="10">
        <v>0</v>
      </c>
      <c r="E424" s="10" t="s">
        <v>911</v>
      </c>
      <c r="F424" s="10">
        <v>1</v>
      </c>
      <c r="G424" s="10" t="s">
        <v>231</v>
      </c>
      <c r="H424" s="10" t="s">
        <v>322</v>
      </c>
      <c r="I424" s="10" t="s">
        <v>266</v>
      </c>
      <c r="J424" s="10">
        <v>46</v>
      </c>
      <c r="K424" s="12">
        <v>44930</v>
      </c>
      <c r="L424" s="33">
        <v>0.60016203703703697</v>
      </c>
      <c r="M424" s="10">
        <v>1</v>
      </c>
      <c r="N424" s="10" t="s">
        <v>84</v>
      </c>
      <c r="O424" s="10">
        <v>1.53</v>
      </c>
      <c r="P424" s="10">
        <v>0.104</v>
      </c>
      <c r="Q424" s="10">
        <v>79.8</v>
      </c>
      <c r="R424" s="10" t="s">
        <v>85</v>
      </c>
      <c r="S424" s="34">
        <f t="shared" si="42"/>
        <v>89.770776679999983</v>
      </c>
      <c r="T424" s="10" t="s">
        <v>983</v>
      </c>
      <c r="U424" s="34" t="str">
        <f t="shared" si="43"/>
        <v/>
      </c>
      <c r="V424" s="31" t="str">
        <f>IF(H424="CHK",VLOOKUP(I424,QCCHK,3,),IF(H424="GUP",VLOOKUP(E424,QCGUP,2,),IF(AND(H424="ATP",OR(I424="TN",I424="TDN",I424="TNO2-3",I424="NO2-3")),VLOOKUP(E424,QCREC_N,2,),IF(AND(H424="NIC",OR(I424="TN",I424="TDN",I424="TNO2-3",I424="NO2-3")),VLOOKUP(E424,QCNIC_N,2,),IF(AND(H424="UREA",OR(I424="TN",I424="TDN",I424="TNO2-3",I424="NO2-3")),VLOOKUP(E424,QCUREA_N,2,),IF(H424="PER",VLOOKUP(I424,QCPER,MATCH(E424,QCACTUAL!$J$25:$AA$25,0),),IF(H424="SPK",VLOOKUP(I424,QCSPK,3,),IF(AND(H424="ATP",OR(I424="TP",I424="TDP")),VLOOKUP(E424,QCATP_P,2,),""))))))))</f>
        <v/>
      </c>
      <c r="W424" s="31" t="str">
        <f t="shared" si="44"/>
        <v>TRUE</v>
      </c>
      <c r="X424" s="31" t="str">
        <f t="shared" si="45"/>
        <v/>
      </c>
      <c r="Y424" s="10" t="s">
        <v>970</v>
      </c>
      <c r="Z424" s="10" t="s">
        <v>910</v>
      </c>
      <c r="AF424" s="12">
        <v>44930</v>
      </c>
      <c r="AG424" s="10">
        <f>-8.4348*1.53^2+102.96*1.53-48.013</f>
        <v>89.770776679999983</v>
      </c>
      <c r="AH424" s="10">
        <f>-2.6941*1.53^2+86.956*1.53-40.231</f>
        <v>86.505061310000031</v>
      </c>
      <c r="AI424" s="10">
        <f>-1.1451*1.53^2+77.605*1.53-34.739</f>
        <v>81.316085409999999</v>
      </c>
      <c r="AK424" s="10">
        <f>-0.0423*1.53^2+66.444*1.53-22.986</f>
        <v>78.574299930000009</v>
      </c>
      <c r="AL424" s="10" t="str">
        <f t="shared" si="47"/>
        <v>y=-8.4348*1.53^2+102.96*1.53-48.013</v>
      </c>
      <c r="AM424" s="10" t="str">
        <f t="shared" si="47"/>
        <v>y=-2.6941*1.53^2+86.956*1.53-40.231</v>
      </c>
      <c r="AN424" s="10" t="str">
        <f t="shared" si="47"/>
        <v>y=-1.1451*1.53^2+77.605*1.53-34.739</v>
      </c>
      <c r="AO424" s="10" t="str">
        <f t="shared" si="48"/>
        <v>FALSE</v>
      </c>
      <c r="AP424" s="10" t="str">
        <f t="shared" si="48"/>
        <v>y=-0.0423*1.53^2+66.444*1.53-22.986</v>
      </c>
      <c r="AQ424" s="10" t="str">
        <f>IF(AND(I424="TP",S424&lt;=150),VLOOKUP(AF424,TPCalibEq150!$AZ$2:$BB$55,3,),IF(AND(I424="TDP",S424&lt;=150),VLOOKUP(AF424,TPCalibEq150!$AZ$2:$BB$55,3,)))</f>
        <v>y=-8.4348x2+102.96x-48.013</v>
      </c>
      <c r="AR424" s="10" t="str">
        <f>IF(AND(I424="TP",S424&lt;=300),VLOOKUP(AF424,TPCalibEq300!$AZ$2:$BB$55,3,),IF(AND(I424="TDP",S424&lt;=300),VLOOKUP(AF424,TPCalibEq300!$AZ$2:$BB$55,3,)))</f>
        <v>y=-2.6941x2+86.956x-40.231</v>
      </c>
      <c r="AS424" s="10" t="str">
        <f>IF(AND(I424="TP",S424&lt;=500),VLOOKUP(AF424,TPCalibEq500!$AZ$2:$BB$56,3,),IF(AND(I424="TDP",S424&lt;=500),VLOOKUP(AF424,TPCalibEq500!$AZ$2:$BB$56,3,)))</f>
        <v>y=-1.1451x2+77.605x-34.739</v>
      </c>
      <c r="AT424" s="10" t="b">
        <f>IF(AND(I424="TN",S424&lt;=2800),VLOOKUP(AF424,TNCalibEq2500!$AZ$2:$BB$56,3,),IF(AND(I424="TDN",S424&lt;=2800),VLOOKUP(AF424,TNCalibEq2500!$AZ$2:$BB$56,3,)))</f>
        <v>0</v>
      </c>
      <c r="AU424" s="10" t="str">
        <f>IF(I424="TP",VLOOKUP(AF424,TPCalibEqFull!$AZ$2:$BB$56,3),IF(I424="TDP",VLOOKUP(AF424,TPCalibEqFull!$AZ$2:$BB$56,3),IF(I424="TDN",VLOOKUP(AF424,TNCalibEqFull!$AZ$1:$BB$56,3),IF(I424="TN",VLOOKUP(AF424,TNCalibEqFull!$AZ$1:$BB$56,3),FALSE))))</f>
        <v>y=-0.0423x2+66.444x-22.986</v>
      </c>
      <c r="AV424" s="10" t="str">
        <f t="shared" si="46"/>
        <v>1230 13:25:00-HST-0-FIL-1-SW-UKN</v>
      </c>
    </row>
    <row r="425" spans="1:48" s="10" customFormat="1" x14ac:dyDescent="0.55000000000000004">
      <c r="A425" s="32">
        <v>44929</v>
      </c>
      <c r="B425" s="33">
        <v>0.22222222222222221</v>
      </c>
      <c r="C425" s="10" t="s">
        <v>279</v>
      </c>
      <c r="D425" s="10">
        <v>0</v>
      </c>
      <c r="E425" s="10" t="s">
        <v>911</v>
      </c>
      <c r="F425" s="10">
        <v>1</v>
      </c>
      <c r="G425" s="10" t="s">
        <v>231</v>
      </c>
      <c r="H425" s="10" t="s">
        <v>322</v>
      </c>
      <c r="I425" s="10" t="s">
        <v>266</v>
      </c>
      <c r="J425" s="10">
        <v>47</v>
      </c>
      <c r="K425" s="12">
        <v>44930</v>
      </c>
      <c r="L425" s="33">
        <v>0.60085648148148152</v>
      </c>
      <c r="M425" s="10">
        <v>1</v>
      </c>
      <c r="N425" s="10" t="s">
        <v>84</v>
      </c>
      <c r="O425" s="10">
        <v>1.87</v>
      </c>
      <c r="P425" s="10">
        <v>0.13</v>
      </c>
      <c r="Q425" s="10">
        <v>102</v>
      </c>
      <c r="R425" s="10" t="s">
        <v>85</v>
      </c>
      <c r="S425" s="34">
        <f t="shared" si="42"/>
        <v>115.02654787999998</v>
      </c>
      <c r="T425" s="10" t="s">
        <v>983</v>
      </c>
      <c r="U425" s="34" t="str">
        <f t="shared" si="43"/>
        <v/>
      </c>
      <c r="V425" s="31" t="str">
        <f>IF(H425="CHK",VLOOKUP(I425,QCCHK,3,),IF(H425="GUP",VLOOKUP(E425,QCGUP,2,),IF(AND(H425="ATP",OR(I425="TN",I425="TDN",I425="TNO2-3",I425="NO2-3")),VLOOKUP(E425,QCREC_N,2,),IF(AND(H425="NIC",OR(I425="TN",I425="TDN",I425="TNO2-3",I425="NO2-3")),VLOOKUP(E425,QCNIC_N,2,),IF(AND(H425="UREA",OR(I425="TN",I425="TDN",I425="TNO2-3",I425="NO2-3")),VLOOKUP(E425,QCUREA_N,2,),IF(H425="PER",VLOOKUP(I425,QCPER,MATCH(E425,QCACTUAL!$J$25:$AA$25,0),),IF(H425="SPK",VLOOKUP(I425,QCSPK,3,),IF(AND(H425="ATP",OR(I425="TP",I425="TDP")),VLOOKUP(E425,QCATP_P,2,),""))))))))</f>
        <v/>
      </c>
      <c r="W425" s="31" t="str">
        <f t="shared" si="44"/>
        <v>TRUE</v>
      </c>
      <c r="X425" s="31" t="str">
        <f t="shared" si="45"/>
        <v/>
      </c>
      <c r="Y425" s="10" t="s">
        <v>970</v>
      </c>
      <c r="AF425" s="12">
        <v>44930</v>
      </c>
      <c r="AG425" s="10">
        <f>-8.4348*1.87^2+102.96*1.87-48.013</f>
        <v>115.02654787999998</v>
      </c>
      <c r="AH425" s="10">
        <f>-2.6941*1.87^2+86.956*1.87-40.231</f>
        <v>112.95572171000003</v>
      </c>
      <c r="AI425" s="10">
        <f>-1.1451*1.87^2+77.605*1.87-34.739</f>
        <v>106.37804980999999</v>
      </c>
      <c r="AK425" s="10">
        <f>-0.0423*1.87^2+66.444*1.87-22.986</f>
        <v>101.11636113000002</v>
      </c>
      <c r="AL425" s="10" t="str">
        <f t="shared" si="47"/>
        <v>y=-8.4348*1.87^2+102.96*1.87-48.013</v>
      </c>
      <c r="AM425" s="10" t="str">
        <f t="shared" si="47"/>
        <v>y=-2.6941*1.87^2+86.956*1.87-40.231</v>
      </c>
      <c r="AN425" s="10" t="str">
        <f t="shared" si="47"/>
        <v>y=-1.1451*1.87^2+77.605*1.87-34.739</v>
      </c>
      <c r="AO425" s="10" t="str">
        <f t="shared" si="48"/>
        <v>FALSE</v>
      </c>
      <c r="AP425" s="10" t="str">
        <f t="shared" si="48"/>
        <v>y=-0.0423*1.87^2+66.444*1.87-22.986</v>
      </c>
      <c r="AQ425" s="10" t="str">
        <f>IF(AND(I425="TP",S425&lt;=150),VLOOKUP(AF425,TPCalibEq150!$AZ$2:$BB$55,3,),IF(AND(I425="TDP",S425&lt;=150),VLOOKUP(AF425,TPCalibEq150!$AZ$2:$BB$55,3,)))</f>
        <v>y=-8.4348x2+102.96x-48.013</v>
      </c>
      <c r="AR425" s="10" t="str">
        <f>IF(AND(I425="TP",S425&lt;=300),VLOOKUP(AF425,TPCalibEq300!$AZ$2:$BB$55,3,),IF(AND(I425="TDP",S425&lt;=300),VLOOKUP(AF425,TPCalibEq300!$AZ$2:$BB$55,3,)))</f>
        <v>y=-2.6941x2+86.956x-40.231</v>
      </c>
      <c r="AS425" s="10" t="str">
        <f>IF(AND(I425="TP",S425&lt;=500),VLOOKUP(AF425,TPCalibEq500!$AZ$2:$BB$56,3,),IF(AND(I425="TDP",S425&lt;=500),VLOOKUP(AF425,TPCalibEq500!$AZ$2:$BB$56,3,)))</f>
        <v>y=-1.1451x2+77.605x-34.739</v>
      </c>
      <c r="AT425" s="10" t="b">
        <f>IF(AND(I425="TN",S425&lt;=2800),VLOOKUP(AF425,TNCalibEq2500!$AZ$2:$BB$56,3,),IF(AND(I425="TDN",S425&lt;=2800),VLOOKUP(AF425,TNCalibEq2500!$AZ$2:$BB$56,3,)))</f>
        <v>0</v>
      </c>
      <c r="AU425" s="10" t="str">
        <f>IF(I425="TP",VLOOKUP(AF425,TPCalibEqFull!$AZ$2:$BB$56,3),IF(I425="TDP",VLOOKUP(AF425,TPCalibEqFull!$AZ$2:$BB$56,3),IF(I425="TDN",VLOOKUP(AF425,TNCalibEqFull!$AZ$1:$BB$56,3),IF(I425="TN",VLOOKUP(AF425,TNCalibEqFull!$AZ$1:$BB$56,3),FALSE))))</f>
        <v>y=-0.0423x2+66.444x-22.986</v>
      </c>
      <c r="AV425" s="10" t="str">
        <f t="shared" si="46"/>
        <v>0103 05:20:00-EFK-0-FIL-1-SW-UKN</v>
      </c>
    </row>
    <row r="426" spans="1:48" s="10" customFormat="1" x14ac:dyDescent="0.55000000000000004">
      <c r="A426" s="32">
        <v>44929</v>
      </c>
      <c r="B426" s="33">
        <v>0.22569444444444445</v>
      </c>
      <c r="C426" s="10" t="s">
        <v>333</v>
      </c>
      <c r="D426" s="10">
        <v>0</v>
      </c>
      <c r="E426" s="10" t="s">
        <v>911</v>
      </c>
      <c r="F426" s="10">
        <v>1</v>
      </c>
      <c r="G426" s="10" t="s">
        <v>231</v>
      </c>
      <c r="H426" s="10" t="s">
        <v>322</v>
      </c>
      <c r="I426" s="10" t="s">
        <v>266</v>
      </c>
      <c r="J426" s="10">
        <v>48</v>
      </c>
      <c r="K426" s="12">
        <v>44930</v>
      </c>
      <c r="L426" s="33">
        <v>0.60155092592592596</v>
      </c>
      <c r="M426" s="10">
        <v>1</v>
      </c>
      <c r="N426" s="10" t="s">
        <v>84</v>
      </c>
      <c r="O426" s="10">
        <v>2.4500000000000002</v>
      </c>
      <c r="P426" s="10">
        <v>0.17100000000000001</v>
      </c>
      <c r="Q426" s="10">
        <v>141</v>
      </c>
      <c r="R426" s="10" t="s">
        <v>85</v>
      </c>
      <c r="S426" s="34">
        <f t="shared" si="42"/>
        <v>156.63986475000004</v>
      </c>
      <c r="T426" s="10" t="s">
        <v>983</v>
      </c>
      <c r="U426" s="34" t="str">
        <f t="shared" si="43"/>
        <v/>
      </c>
      <c r="V426" s="31" t="str">
        <f>IF(H426="CHK",VLOOKUP(I426,QCCHK,3,),IF(H426="GUP",VLOOKUP(E426,QCGUP,2,),IF(AND(H426="ATP",OR(I426="TN",I426="TDN",I426="TNO2-3",I426="NO2-3")),VLOOKUP(E426,QCREC_N,2,),IF(AND(H426="NIC",OR(I426="TN",I426="TDN",I426="TNO2-3",I426="NO2-3")),VLOOKUP(E426,QCNIC_N,2,),IF(AND(H426="UREA",OR(I426="TN",I426="TDN",I426="TNO2-3",I426="NO2-3")),VLOOKUP(E426,QCUREA_N,2,),IF(H426="PER",VLOOKUP(I426,QCPER,MATCH(E426,QCACTUAL!$J$25:$AA$25,0),),IF(H426="SPK",VLOOKUP(I426,QCSPK,3,),IF(AND(H426="ATP",OR(I426="TP",I426="TDP")),VLOOKUP(E426,QCATP_P,2,),""))))))))</f>
        <v/>
      </c>
      <c r="W426" s="31" t="str">
        <f t="shared" si="44"/>
        <v>TRUE</v>
      </c>
      <c r="X426" s="31" t="str">
        <f t="shared" si="45"/>
        <v/>
      </c>
      <c r="Y426" s="10" t="s">
        <v>970</v>
      </c>
      <c r="AF426" s="12">
        <v>44930</v>
      </c>
      <c r="AH426" s="10">
        <f>-2.6941*2.45^2+86.956*2.45-40.231</f>
        <v>156.63986475000004</v>
      </c>
      <c r="AI426" s="10">
        <f>-1.1451*2.45^2+77.605*2.45-34.739</f>
        <v>148.51978725000001</v>
      </c>
      <c r="AK426" s="10">
        <f>-0.0423*2.45^2+66.444*2.45-22.986</f>
        <v>139.54789425000001</v>
      </c>
      <c r="AL426" s="10" t="str">
        <f t="shared" si="47"/>
        <v>FALSE</v>
      </c>
      <c r="AM426" s="10" t="str">
        <f t="shared" si="47"/>
        <v>y=-2.6941*2.45^2+86.956*2.45-40.231</v>
      </c>
      <c r="AN426" s="10" t="str">
        <f t="shared" si="47"/>
        <v>y=-1.1451*2.45^2+77.605*2.45-34.739</v>
      </c>
      <c r="AO426" s="10" t="str">
        <f t="shared" si="48"/>
        <v>FALSE</v>
      </c>
      <c r="AP426" s="10" t="str">
        <f t="shared" si="48"/>
        <v>y=-0.0423*2.45^2+66.444*2.45-22.986</v>
      </c>
      <c r="AQ426" s="10" t="b">
        <f>IF(AND(I426="TP",S426&lt;=150),VLOOKUP(AF426,TPCalibEq150!$AZ$2:$BB$55,3,),IF(AND(I426="TDP",S426&lt;=150),VLOOKUP(AF426,TPCalibEq150!$AZ$2:$BB$55,3,)))</f>
        <v>0</v>
      </c>
      <c r="AR426" s="10" t="str">
        <f>IF(AND(I426="TP",S426&lt;=300),VLOOKUP(AF426,TPCalibEq300!$AZ$2:$BB$55,3,),IF(AND(I426="TDP",S426&lt;=300),VLOOKUP(AF426,TPCalibEq300!$AZ$2:$BB$55,3,)))</f>
        <v>y=-2.6941x2+86.956x-40.231</v>
      </c>
      <c r="AS426" s="10" t="str">
        <f>IF(AND(I426="TP",S426&lt;=500),VLOOKUP(AF426,TPCalibEq500!$AZ$2:$BB$56,3,),IF(AND(I426="TDP",S426&lt;=500),VLOOKUP(AF426,TPCalibEq500!$AZ$2:$BB$56,3,)))</f>
        <v>y=-1.1451x2+77.605x-34.739</v>
      </c>
      <c r="AT426" s="10" t="b">
        <f>IF(AND(I426="TN",S426&lt;=2800),VLOOKUP(AF426,TNCalibEq2500!$AZ$2:$BB$56,3,),IF(AND(I426="TDN",S426&lt;=2800),VLOOKUP(AF426,TNCalibEq2500!$AZ$2:$BB$56,3,)))</f>
        <v>0</v>
      </c>
      <c r="AU426" s="10" t="str">
        <f>IF(I426="TP",VLOOKUP(AF426,TPCalibEqFull!$AZ$2:$BB$56,3),IF(I426="TDP",VLOOKUP(AF426,TPCalibEqFull!$AZ$2:$BB$56,3),IF(I426="TDN",VLOOKUP(AF426,TNCalibEqFull!$AZ$1:$BB$56,3),IF(I426="TN",VLOOKUP(AF426,TNCalibEqFull!$AZ$1:$BB$56,3),FALSE))))</f>
        <v>y=-0.0423x2+66.444x-22.986</v>
      </c>
      <c r="AV426" s="10" t="str">
        <f t="shared" si="46"/>
        <v>0103 05:25:00-HST-0-FIL-1-SW-UKN</v>
      </c>
    </row>
    <row r="427" spans="1:48" s="10" customFormat="1" x14ac:dyDescent="0.55000000000000004">
      <c r="A427" s="32">
        <v>44930</v>
      </c>
      <c r="B427" s="33">
        <v>0.375</v>
      </c>
      <c r="C427" s="10" t="s">
        <v>70</v>
      </c>
      <c r="D427" s="10" t="s">
        <v>71</v>
      </c>
      <c r="E427" s="10" t="s">
        <v>901</v>
      </c>
      <c r="F427" s="10">
        <v>1</v>
      </c>
      <c r="G427" s="10" t="s">
        <v>73</v>
      </c>
      <c r="H427" s="10" t="s">
        <v>207</v>
      </c>
      <c r="I427" s="10" t="s">
        <v>83</v>
      </c>
      <c r="J427" s="10">
        <v>199</v>
      </c>
      <c r="K427" s="12">
        <v>44930</v>
      </c>
      <c r="L427" s="33">
        <v>0.60225694444444444</v>
      </c>
      <c r="M427" s="10">
        <v>1</v>
      </c>
      <c r="N427" s="10" t="s">
        <v>84</v>
      </c>
      <c r="O427" s="10">
        <v>8.08</v>
      </c>
      <c r="P427" s="10">
        <v>0.57799999999999996</v>
      </c>
      <c r="Q427" s="10">
        <v>513</v>
      </c>
      <c r="R427" s="10" t="s">
        <v>85</v>
      </c>
      <c r="S427" s="34">
        <f t="shared" si="42"/>
        <v>513</v>
      </c>
      <c r="T427" s="10" t="s">
        <v>983</v>
      </c>
      <c r="U427" s="34">
        <f t="shared" si="43"/>
        <v>102.60000000000001</v>
      </c>
      <c r="V427" s="31">
        <f>IF(H427="CHK",VLOOKUP(I427,QCCHK,3,),IF(H427="GUP",VLOOKUP(E427,QCGUP,2,),IF(AND(H427="ATP",OR(I427="TN",I427="TDN",I427="TNO2-3",I427="NO2-3")),VLOOKUP(E427,QCREC_N,2,),IF(AND(H427="NIC",OR(I427="TN",I427="TDN",I427="TNO2-3",I427="NO2-3")),VLOOKUP(E427,QCNIC_N,2,),IF(AND(H427="UREA",OR(I427="TN",I427="TDN",I427="TNO2-3",I427="NO2-3")),VLOOKUP(E427,QCUREA_N,2,),IF(H427="PER",VLOOKUP(I427,QCPER,MATCH(E427,QCACTUAL!$J$25:$AA$25,0),),IF(H427="SPK",VLOOKUP(I427,QCSPK,3,),IF(AND(H427="ATP",OR(I427="TP",I427="TDP")),VLOOKUP(E427,QCATP_P,2,),""))))))))</f>
        <v>500</v>
      </c>
      <c r="W427" s="31" t="str">
        <f t="shared" si="44"/>
        <v>TRUE</v>
      </c>
      <c r="X427" s="31" t="str">
        <f t="shared" si="45"/>
        <v>[chk]/[actual]*100</v>
      </c>
      <c r="Y427" s="10" t="s">
        <v>970</v>
      </c>
      <c r="AF427" s="12">
        <v>44930</v>
      </c>
      <c r="AK427" s="10">
        <f>-0.0423*8.08^2+66.444*8.08-22.986</f>
        <v>511.11990528000001</v>
      </c>
      <c r="AL427" s="10" t="str">
        <f t="shared" si="47"/>
        <v>FALSE</v>
      </c>
      <c r="AM427" s="10" t="str">
        <f t="shared" si="47"/>
        <v>FALSE</v>
      </c>
      <c r="AN427" s="10" t="str">
        <f t="shared" si="47"/>
        <v>FALSE</v>
      </c>
      <c r="AO427" s="10" t="str">
        <f t="shared" si="48"/>
        <v>FALSE</v>
      </c>
      <c r="AP427" s="10" t="str">
        <f t="shared" si="48"/>
        <v>y=-0.0423*8.08^2+66.444*8.08-22.986</v>
      </c>
      <c r="AQ427" s="10" t="b">
        <f>IF(AND(I427="TP",S427&lt;=150),VLOOKUP(AF427,TPCalibEq150!$AZ$2:$BB$55,3,),IF(AND(I427="TDP",S427&lt;=150),VLOOKUP(AF427,TPCalibEq150!$AZ$2:$BB$55,3,)))</f>
        <v>0</v>
      </c>
      <c r="AR427" s="10" t="b">
        <f>IF(AND(I427="TP",S427&lt;=300),VLOOKUP(AF427,TPCalibEq300!$AZ$2:$BB$55,3,),IF(AND(I427="TDP",S427&lt;=300),VLOOKUP(AF427,TPCalibEq300!$AZ$2:$BB$55,3,)))</f>
        <v>0</v>
      </c>
      <c r="AS427" s="10" t="b">
        <f>IF(AND(I427="TP",S427&lt;=500),VLOOKUP(AF427,TPCalibEq500!$AZ$2:$BB$56,3,),IF(AND(I427="TDP",S427&lt;=500),VLOOKUP(AF427,TPCalibEq500!$AZ$2:$BB$56,3,)))</f>
        <v>0</v>
      </c>
      <c r="AT427" s="10" t="b">
        <f>IF(AND(I427="TN",S427&lt;=2800),VLOOKUP(AF427,TNCalibEq2500!$AZ$2:$BB$56,3,),IF(AND(I427="TDN",S427&lt;=2800),VLOOKUP(AF427,TNCalibEq2500!$AZ$2:$BB$56,3,)))</f>
        <v>0</v>
      </c>
      <c r="AU427" s="10" t="str">
        <f>IF(I427="TP",VLOOKUP(AF427,TPCalibEqFull!$AZ$2:$BB$56,3),IF(I427="TDP",VLOOKUP(AF427,TPCalibEqFull!$AZ$2:$BB$56,3),IF(I427="TDN",VLOOKUP(AF427,TNCalibEqFull!$AZ$1:$BB$56,3),IF(I427="TN",VLOOKUP(AF427,TNCalibEqFull!$AZ$1:$BB$56,3),FALSE))))</f>
        <v>y=-0.0423x2+66.444x-22.986</v>
      </c>
      <c r="AV427" s="10" t="str">
        <f t="shared" si="46"/>
        <v>0104 09:00:00-QAC-STD-D-1-DI-CHK</v>
      </c>
    </row>
    <row r="428" spans="1:48" s="10" customFormat="1" x14ac:dyDescent="0.55000000000000004">
      <c r="A428" s="32">
        <v>44937</v>
      </c>
      <c r="B428" s="33">
        <v>0.375</v>
      </c>
      <c r="C428" s="10" t="s">
        <v>70</v>
      </c>
      <c r="D428" s="10" t="s">
        <v>71</v>
      </c>
      <c r="E428" s="10" t="s">
        <v>72</v>
      </c>
      <c r="F428" s="10">
        <v>1</v>
      </c>
      <c r="G428" s="10" t="s">
        <v>73</v>
      </c>
      <c r="H428" s="10" t="s">
        <v>74</v>
      </c>
      <c r="I428" s="10" t="s">
        <v>75</v>
      </c>
      <c r="J428" s="10">
        <v>181</v>
      </c>
      <c r="K428" s="12">
        <v>44937</v>
      </c>
      <c r="L428" s="33">
        <v>0.46626157407407409</v>
      </c>
      <c r="M428" s="10">
        <v>1</v>
      </c>
      <c r="N428" s="10" t="s">
        <v>76</v>
      </c>
      <c r="O428" s="10">
        <v>2.87E-2</v>
      </c>
      <c r="P428" s="10">
        <v>1.6000000000000001E-3</v>
      </c>
      <c r="Q428" s="10">
        <v>0</v>
      </c>
      <c r="R428" s="10" t="s">
        <v>77</v>
      </c>
      <c r="S428" s="34">
        <f t="shared" si="42"/>
        <v>0</v>
      </c>
      <c r="T428" s="10" t="s">
        <v>991</v>
      </c>
      <c r="U428" s="34" t="str">
        <f t="shared" si="43"/>
        <v/>
      </c>
      <c r="V428" s="31" t="str">
        <f>IF(H428="CHK",VLOOKUP(I428,QCCHK,3,),IF(H428="GUP",VLOOKUP(E428,QCGUP,2,),IF(AND(H428="ATP",OR(I428="TN",I428="TDN",I428="TNO2-3",I428="NO2-3")),VLOOKUP(E428,QCREC_N,2,),IF(AND(H428="NIC",OR(I428="TN",I428="TDN",I428="TNO2-3",I428="NO2-3")),VLOOKUP(E428,QCNIC_N,2,),IF(AND(H428="UREA",OR(I428="TN",I428="TDN",I428="TNO2-3",I428="NO2-3")),VLOOKUP(E428,QCUREA_N,2,),IF(H428="PER",VLOOKUP(I428,QCPER,MATCH(E428,QCACTUAL!$J$25:$AA$25,0),),IF(H428="SPK",VLOOKUP(I428,QCSPK,3,),IF(AND(H428="ATP",OR(I428="TP",I428="TDP")),VLOOKUP(E428,QCATP_P,2,),""))))))))</f>
        <v/>
      </c>
      <c r="W428" s="31" t="str">
        <f t="shared" si="44"/>
        <v>TRUE</v>
      </c>
      <c r="X428" s="31" t="str">
        <f t="shared" si="45"/>
        <v/>
      </c>
      <c r="Y428" s="10" t="s">
        <v>992</v>
      </c>
      <c r="AL428" s="10" t="str">
        <f t="shared" si="47"/>
        <v>FALSE</v>
      </c>
      <c r="AM428" s="10" t="str">
        <f t="shared" si="47"/>
        <v>FALSE</v>
      </c>
      <c r="AN428" s="10" t="str">
        <f t="shared" si="47"/>
        <v>FALSE</v>
      </c>
      <c r="AO428" s="10" t="str">
        <f t="shared" si="48"/>
        <v>FALSE</v>
      </c>
      <c r="AP428" s="10" t="str">
        <f t="shared" si="48"/>
        <v>FALSE</v>
      </c>
      <c r="AQ428" s="10" t="b">
        <f>IF(AND(I428="TP",S428&lt;=150),VLOOKUP(AF428,TPCalibEq150!$AZ$2:$BB$55,3,),IF(AND(I428="TDP",S428&lt;=150),VLOOKUP(AF428,TPCalibEq150!$AZ$2:$BB$55,3,)))</f>
        <v>0</v>
      </c>
      <c r="AR428" s="10" t="b">
        <f>IF(AND(I428="TP",S428&lt;=300),VLOOKUP(AF428,TPCalibEq300!$AZ$2:$BB$55,3,),IF(AND(I428="TDP",S428&lt;=300),VLOOKUP(AF428,TPCalibEq300!$AZ$2:$BB$55,3,)))</f>
        <v>0</v>
      </c>
      <c r="AS428" s="10" t="b">
        <f>IF(AND(I428="TP",S428&lt;=500),VLOOKUP(AF428,TPCalibEq500!$AZ$2:$BB$56,3,),IF(AND(I428="TDP",S428&lt;=500),VLOOKUP(AF428,TPCalibEq500!$AZ$2:$BB$56,3,)))</f>
        <v>0</v>
      </c>
      <c r="AT428" s="10" t="b">
        <f>IF(AND(I428="TN",S428&lt;=2800),VLOOKUP(AF428,TNCalibEq2500!$AZ$2:$BB$56,3,),IF(AND(I428="TDN",S428&lt;=2800),VLOOKUP(AF428,TNCalibEq2500!$AZ$2:$BB$56,3,)))</f>
        <v>0</v>
      </c>
      <c r="AU428" s="10" t="b">
        <f>IF(I428="TP",VLOOKUP(AF428,TPCalibEqFull!$AZ$2:$BB$56,3),IF(I428="TDP",VLOOKUP(AF428,TPCalibEqFull!$AZ$2:$BB$56,3),IF(I428="TDN",VLOOKUP(AF428,TNCalibEqFull!$AZ$1:$BB$56,3),IF(I428="TN",VLOOKUP(AF428,TNCalibEqFull!$AZ$1:$BB$56,3),FALSE))))</f>
        <v>0</v>
      </c>
      <c r="AV428" s="10" t="str">
        <f t="shared" si="46"/>
        <v>0111 09:00:00-QAC-STD-H-1-DI-CAL</v>
      </c>
    </row>
    <row r="429" spans="1:48" s="10" customFormat="1" x14ac:dyDescent="0.55000000000000004">
      <c r="A429" s="32">
        <v>44937</v>
      </c>
      <c r="B429" s="33">
        <v>0.375</v>
      </c>
      <c r="C429" s="10" t="s">
        <v>70</v>
      </c>
      <c r="D429" s="10" t="s">
        <v>71</v>
      </c>
      <c r="E429" s="10" t="s">
        <v>908</v>
      </c>
      <c r="F429" s="10">
        <v>1</v>
      </c>
      <c r="G429" s="10" t="s">
        <v>73</v>
      </c>
      <c r="H429" s="10" t="s">
        <v>74</v>
      </c>
      <c r="I429" s="10" t="s">
        <v>75</v>
      </c>
      <c r="J429" s="10">
        <v>182</v>
      </c>
      <c r="K429" s="12">
        <v>44937</v>
      </c>
      <c r="L429" s="33">
        <v>0.46709490740740739</v>
      </c>
      <c r="M429" s="10">
        <v>1</v>
      </c>
      <c r="N429" s="10" t="s">
        <v>76</v>
      </c>
      <c r="O429" s="10">
        <v>0.35399999999999998</v>
      </c>
      <c r="P429" s="10">
        <v>2.7400000000000001E-2</v>
      </c>
      <c r="Q429" s="10">
        <v>20</v>
      </c>
      <c r="R429" s="10" t="s">
        <v>77</v>
      </c>
      <c r="S429" s="34">
        <f t="shared" si="42"/>
        <v>20</v>
      </c>
      <c r="T429" s="10" t="s">
        <v>991</v>
      </c>
      <c r="U429" s="34" t="str">
        <f t="shared" si="43"/>
        <v/>
      </c>
      <c r="V429" s="31" t="str">
        <f>IF(H429="CHK",VLOOKUP(I429,QCCHK,3,),IF(H429="GUP",VLOOKUP(E429,QCGUP,2,),IF(AND(H429="ATP",OR(I429="TN",I429="TDN",I429="TNO2-3",I429="NO2-3")),VLOOKUP(E429,QCREC_N,2,),IF(AND(H429="NIC",OR(I429="TN",I429="TDN",I429="TNO2-3",I429="NO2-3")),VLOOKUP(E429,QCNIC_N,2,),IF(AND(H429="UREA",OR(I429="TN",I429="TDN",I429="TNO2-3",I429="NO2-3")),VLOOKUP(E429,QCUREA_N,2,),IF(H429="PER",VLOOKUP(I429,QCPER,MATCH(E429,QCACTUAL!$J$25:$AA$25,0),),IF(H429="SPK",VLOOKUP(I429,QCSPK,3,),IF(AND(H429="ATP",OR(I429="TP",I429="TDP")),VLOOKUP(E429,QCATP_P,2,),""))))))))</f>
        <v/>
      </c>
      <c r="W429" s="31" t="str">
        <f t="shared" si="44"/>
        <v>TRUE</v>
      </c>
      <c r="X429" s="31" t="str">
        <f t="shared" si="45"/>
        <v/>
      </c>
      <c r="Y429" s="10" t="s">
        <v>992</v>
      </c>
      <c r="AL429" s="10" t="str">
        <f t="shared" si="47"/>
        <v>FALSE</v>
      </c>
      <c r="AM429" s="10" t="str">
        <f t="shared" si="47"/>
        <v>FALSE</v>
      </c>
      <c r="AN429" s="10" t="str">
        <f t="shared" si="47"/>
        <v>FALSE</v>
      </c>
      <c r="AO429" s="10" t="str">
        <f t="shared" si="48"/>
        <v>FALSE</v>
      </c>
      <c r="AP429" s="10" t="str">
        <f t="shared" si="48"/>
        <v>FALSE</v>
      </c>
      <c r="AQ429" s="10" t="b">
        <f>IF(AND(I429="TP",S429&lt;=150),VLOOKUP(AF429,TPCalibEq150!$AZ$2:$BB$55,3,),IF(AND(I429="TDP",S429&lt;=150),VLOOKUP(AF429,TPCalibEq150!$AZ$2:$BB$55,3,)))</f>
        <v>0</v>
      </c>
      <c r="AR429" s="10" t="b">
        <f>IF(AND(I429="TP",S429&lt;=300),VLOOKUP(AF429,TPCalibEq300!$AZ$2:$BB$55,3,),IF(AND(I429="TDP",S429&lt;=300),VLOOKUP(AF429,TPCalibEq300!$AZ$2:$BB$55,3,)))</f>
        <v>0</v>
      </c>
      <c r="AS429" s="10" t="b">
        <f>IF(AND(I429="TP",S429&lt;=500),VLOOKUP(AF429,TPCalibEq500!$AZ$2:$BB$56,3,),IF(AND(I429="TDP",S429&lt;=500),VLOOKUP(AF429,TPCalibEq500!$AZ$2:$BB$56,3,)))</f>
        <v>0</v>
      </c>
      <c r="AT429" s="10" t="b">
        <f>IF(AND(I429="TN",S429&lt;=2800),VLOOKUP(AF429,TNCalibEq2500!$AZ$2:$BB$56,3,),IF(AND(I429="TDN",S429&lt;=2800),VLOOKUP(AF429,TNCalibEq2500!$AZ$2:$BB$56,3,)))</f>
        <v>0</v>
      </c>
      <c r="AU429" s="10" t="b">
        <f>IF(I429="TP",VLOOKUP(AF429,TPCalibEqFull!$AZ$2:$BB$56,3),IF(I429="TDP",VLOOKUP(AF429,TPCalibEqFull!$AZ$2:$BB$56,3),IF(I429="TDN",VLOOKUP(AF429,TNCalibEqFull!$AZ$1:$BB$56,3),IF(I429="TN",VLOOKUP(AF429,TNCalibEqFull!$AZ$1:$BB$56,3),FALSE))))</f>
        <v>0</v>
      </c>
      <c r="AV429" s="10" t="str">
        <f t="shared" si="46"/>
        <v>0111 09:00:00-QAC-STD-G-1-DI-CAL</v>
      </c>
    </row>
    <row r="430" spans="1:48" s="10" customFormat="1" x14ac:dyDescent="0.55000000000000004">
      <c r="A430" s="32">
        <v>44937</v>
      </c>
      <c r="B430" s="33">
        <v>0.375</v>
      </c>
      <c r="C430" s="10" t="s">
        <v>70</v>
      </c>
      <c r="D430" s="10" t="s">
        <v>71</v>
      </c>
      <c r="E430" s="10" t="s">
        <v>550</v>
      </c>
      <c r="F430" s="10">
        <v>1</v>
      </c>
      <c r="G430" s="10" t="s">
        <v>73</v>
      </c>
      <c r="H430" s="10" t="s">
        <v>74</v>
      </c>
      <c r="I430" s="10" t="s">
        <v>75</v>
      </c>
      <c r="J430" s="10">
        <v>183</v>
      </c>
      <c r="K430" s="12">
        <v>44937</v>
      </c>
      <c r="L430" s="33">
        <v>0.4679166666666667</v>
      </c>
      <c r="M430" s="10">
        <v>1</v>
      </c>
      <c r="N430" s="10" t="s">
        <v>76</v>
      </c>
      <c r="O430" s="10">
        <v>1.01</v>
      </c>
      <c r="P430" s="10">
        <v>7.6499999999999999E-2</v>
      </c>
      <c r="Q430" s="10">
        <v>60</v>
      </c>
      <c r="R430" s="10" t="s">
        <v>77</v>
      </c>
      <c r="S430" s="34">
        <f t="shared" si="42"/>
        <v>60</v>
      </c>
      <c r="T430" s="10" t="s">
        <v>991</v>
      </c>
      <c r="U430" s="34" t="str">
        <f t="shared" si="43"/>
        <v/>
      </c>
      <c r="V430" s="31" t="str">
        <f>IF(H430="CHK",VLOOKUP(I430,QCCHK,3,),IF(H430="GUP",VLOOKUP(E430,QCGUP,2,),IF(AND(H430="ATP",OR(I430="TN",I430="TDN",I430="TNO2-3",I430="NO2-3")),VLOOKUP(E430,QCREC_N,2,),IF(AND(H430="NIC",OR(I430="TN",I430="TDN",I430="TNO2-3",I430="NO2-3")),VLOOKUP(E430,QCNIC_N,2,),IF(AND(H430="UREA",OR(I430="TN",I430="TDN",I430="TNO2-3",I430="NO2-3")),VLOOKUP(E430,QCUREA_N,2,),IF(H430="PER",VLOOKUP(I430,QCPER,MATCH(E430,QCACTUAL!$J$25:$AA$25,0),),IF(H430="SPK",VLOOKUP(I430,QCSPK,3,),IF(AND(H430="ATP",OR(I430="TP",I430="TDP")),VLOOKUP(E430,QCATP_P,2,),""))))))))</f>
        <v/>
      </c>
      <c r="W430" s="31" t="str">
        <f t="shared" si="44"/>
        <v>TRUE</v>
      </c>
      <c r="X430" s="31" t="str">
        <f t="shared" si="45"/>
        <v/>
      </c>
      <c r="Y430" s="10" t="s">
        <v>992</v>
      </c>
      <c r="AL430" s="10" t="str">
        <f t="shared" si="47"/>
        <v>FALSE</v>
      </c>
      <c r="AM430" s="10" t="str">
        <f t="shared" si="47"/>
        <v>FALSE</v>
      </c>
      <c r="AN430" s="10" t="str">
        <f t="shared" si="47"/>
        <v>FALSE</v>
      </c>
      <c r="AO430" s="10" t="str">
        <f t="shared" si="48"/>
        <v>FALSE</v>
      </c>
      <c r="AP430" s="10" t="str">
        <f t="shared" si="48"/>
        <v>FALSE</v>
      </c>
      <c r="AQ430" s="10" t="b">
        <f>IF(AND(I430="TP",S430&lt;=150),VLOOKUP(AF430,TPCalibEq150!$AZ$2:$BB$55,3,),IF(AND(I430="TDP",S430&lt;=150),VLOOKUP(AF430,TPCalibEq150!$AZ$2:$BB$55,3,)))</f>
        <v>0</v>
      </c>
      <c r="AR430" s="10" t="b">
        <f>IF(AND(I430="TP",S430&lt;=300),VLOOKUP(AF430,TPCalibEq300!$AZ$2:$BB$55,3,),IF(AND(I430="TDP",S430&lt;=300),VLOOKUP(AF430,TPCalibEq300!$AZ$2:$BB$55,3,)))</f>
        <v>0</v>
      </c>
      <c r="AS430" s="10" t="b">
        <f>IF(AND(I430="TP",S430&lt;=500),VLOOKUP(AF430,TPCalibEq500!$AZ$2:$BB$56,3,),IF(AND(I430="TDP",S430&lt;=500),VLOOKUP(AF430,TPCalibEq500!$AZ$2:$BB$56,3,)))</f>
        <v>0</v>
      </c>
      <c r="AT430" s="10" t="b">
        <f>IF(AND(I430="TN",S430&lt;=2800),VLOOKUP(AF430,TNCalibEq2500!$AZ$2:$BB$56,3,),IF(AND(I430="TDN",S430&lt;=2800),VLOOKUP(AF430,TNCalibEq2500!$AZ$2:$BB$56,3,)))</f>
        <v>0</v>
      </c>
      <c r="AU430" s="10" t="b">
        <f>IF(I430="TP",VLOOKUP(AF430,TPCalibEqFull!$AZ$2:$BB$56,3),IF(I430="TDP",VLOOKUP(AF430,TPCalibEqFull!$AZ$2:$BB$56,3),IF(I430="TDN",VLOOKUP(AF430,TNCalibEqFull!$AZ$1:$BB$56,3),IF(I430="TN",VLOOKUP(AF430,TNCalibEqFull!$AZ$1:$BB$56,3),FALSE))))</f>
        <v>0</v>
      </c>
      <c r="AV430" s="10" t="str">
        <f t="shared" si="46"/>
        <v>0111 09:00:00-QAC-STD-F-1-DI-CAL</v>
      </c>
    </row>
    <row r="431" spans="1:48" s="10" customFormat="1" x14ac:dyDescent="0.55000000000000004">
      <c r="A431" s="32">
        <v>44937</v>
      </c>
      <c r="B431" s="33">
        <v>0.375</v>
      </c>
      <c r="C431" s="10" t="s">
        <v>70</v>
      </c>
      <c r="D431" s="10" t="s">
        <v>71</v>
      </c>
      <c r="E431" s="10" t="s">
        <v>909</v>
      </c>
      <c r="F431" s="10">
        <v>1</v>
      </c>
      <c r="G431" s="10" t="s">
        <v>73</v>
      </c>
      <c r="H431" s="10" t="s">
        <v>74</v>
      </c>
      <c r="I431" s="10" t="s">
        <v>75</v>
      </c>
      <c r="J431" s="10">
        <v>184</v>
      </c>
      <c r="K431" s="12">
        <v>44937</v>
      </c>
      <c r="L431" s="33">
        <v>0.46873842592592596</v>
      </c>
      <c r="M431" s="10">
        <v>1</v>
      </c>
      <c r="N431" s="10" t="s">
        <v>76</v>
      </c>
      <c r="O431" s="10">
        <v>1.33</v>
      </c>
      <c r="P431" s="10">
        <v>0.10100000000000001</v>
      </c>
      <c r="Q431" s="10">
        <v>80</v>
      </c>
      <c r="R431" s="10" t="s">
        <v>77</v>
      </c>
      <c r="S431" s="34">
        <f t="shared" si="42"/>
        <v>80</v>
      </c>
      <c r="T431" s="10" t="s">
        <v>991</v>
      </c>
      <c r="U431" s="34" t="str">
        <f t="shared" si="43"/>
        <v/>
      </c>
      <c r="V431" s="31" t="str">
        <f>IF(H431="CHK",VLOOKUP(I431,QCCHK,3,),IF(H431="GUP",VLOOKUP(E431,QCGUP,2,),IF(AND(H431="ATP",OR(I431="TN",I431="TDN",I431="TNO2-3",I431="NO2-3")),VLOOKUP(E431,QCREC_N,2,),IF(AND(H431="NIC",OR(I431="TN",I431="TDN",I431="TNO2-3",I431="NO2-3")),VLOOKUP(E431,QCNIC_N,2,),IF(AND(H431="UREA",OR(I431="TN",I431="TDN",I431="TNO2-3",I431="NO2-3")),VLOOKUP(E431,QCUREA_N,2,),IF(H431="PER",VLOOKUP(I431,QCPER,MATCH(E431,QCACTUAL!$J$25:$AA$25,0),),IF(H431="SPK",VLOOKUP(I431,QCSPK,3,),IF(AND(H431="ATP",OR(I431="TP",I431="TDP")),VLOOKUP(E431,QCATP_P,2,),""))))))))</f>
        <v/>
      </c>
      <c r="W431" s="31" t="str">
        <f t="shared" si="44"/>
        <v>TRUE</v>
      </c>
      <c r="X431" s="31" t="str">
        <f t="shared" si="45"/>
        <v/>
      </c>
      <c r="Y431" s="10" t="s">
        <v>992</v>
      </c>
      <c r="AL431" s="10" t="str">
        <f t="shared" si="47"/>
        <v>FALSE</v>
      </c>
      <c r="AM431" s="10" t="str">
        <f t="shared" si="47"/>
        <v>FALSE</v>
      </c>
      <c r="AN431" s="10" t="str">
        <f t="shared" si="47"/>
        <v>FALSE</v>
      </c>
      <c r="AO431" s="10" t="str">
        <f t="shared" si="48"/>
        <v>FALSE</v>
      </c>
      <c r="AP431" s="10" t="str">
        <f t="shared" si="48"/>
        <v>FALSE</v>
      </c>
      <c r="AQ431" s="10" t="b">
        <f>IF(AND(I431="TP",S431&lt;=150),VLOOKUP(AF431,TPCalibEq150!$AZ$2:$BB$55,3,),IF(AND(I431="TDP",S431&lt;=150),VLOOKUP(AF431,TPCalibEq150!$AZ$2:$BB$55,3,)))</f>
        <v>0</v>
      </c>
      <c r="AR431" s="10" t="b">
        <f>IF(AND(I431="TP",S431&lt;=300),VLOOKUP(AF431,TPCalibEq300!$AZ$2:$BB$55,3,),IF(AND(I431="TDP",S431&lt;=300),VLOOKUP(AF431,TPCalibEq300!$AZ$2:$BB$55,3,)))</f>
        <v>0</v>
      </c>
      <c r="AS431" s="10" t="b">
        <f>IF(AND(I431="TP",S431&lt;=500),VLOOKUP(AF431,TPCalibEq500!$AZ$2:$BB$56,3,),IF(AND(I431="TDP",S431&lt;=500),VLOOKUP(AF431,TPCalibEq500!$AZ$2:$BB$56,3,)))</f>
        <v>0</v>
      </c>
      <c r="AT431" s="10" t="b">
        <f>IF(AND(I431="TN",S431&lt;=2800),VLOOKUP(AF431,TNCalibEq2500!$AZ$2:$BB$56,3,),IF(AND(I431="TDN",S431&lt;=2800),VLOOKUP(AF431,TNCalibEq2500!$AZ$2:$BB$56,3,)))</f>
        <v>0</v>
      </c>
      <c r="AU431" s="10" t="b">
        <f>IF(I431="TP",VLOOKUP(AF431,TPCalibEqFull!$AZ$2:$BB$56,3),IF(I431="TDP",VLOOKUP(AF431,TPCalibEqFull!$AZ$2:$BB$56,3),IF(I431="TDN",VLOOKUP(AF431,TNCalibEqFull!$AZ$1:$BB$56,3),IF(I431="TN",VLOOKUP(AF431,TNCalibEqFull!$AZ$1:$BB$56,3),FALSE))))</f>
        <v>0</v>
      </c>
      <c r="AV431" s="10" t="str">
        <f t="shared" si="46"/>
        <v>0111 09:00:00-QAC-STD-E-1-DI-CAL</v>
      </c>
    </row>
    <row r="432" spans="1:48" s="10" customFormat="1" x14ac:dyDescent="0.55000000000000004">
      <c r="A432" s="32">
        <v>44937</v>
      </c>
      <c r="B432" s="33">
        <v>0.375</v>
      </c>
      <c r="C432" s="10" t="s">
        <v>70</v>
      </c>
      <c r="D432" s="10" t="s">
        <v>71</v>
      </c>
      <c r="E432" s="10" t="s">
        <v>901</v>
      </c>
      <c r="F432" s="10">
        <v>1</v>
      </c>
      <c r="G432" s="10" t="s">
        <v>73</v>
      </c>
      <c r="H432" s="10" t="s">
        <v>74</v>
      </c>
      <c r="I432" s="10" t="s">
        <v>75</v>
      </c>
      <c r="J432" s="10">
        <v>185</v>
      </c>
      <c r="K432" s="12">
        <v>44937</v>
      </c>
      <c r="L432" s="33">
        <v>0.46956018518518516</v>
      </c>
      <c r="M432" s="10">
        <v>1</v>
      </c>
      <c r="N432" s="10" t="s">
        <v>76</v>
      </c>
      <c r="O432" s="10">
        <v>5.04</v>
      </c>
      <c r="P432" s="10">
        <v>0.39700000000000002</v>
      </c>
      <c r="Q432" s="10">
        <v>300</v>
      </c>
      <c r="R432" s="10" t="s">
        <v>77</v>
      </c>
      <c r="S432" s="34">
        <f t="shared" si="42"/>
        <v>300</v>
      </c>
      <c r="T432" s="10" t="s">
        <v>993</v>
      </c>
      <c r="U432" s="34" t="str">
        <f t="shared" si="43"/>
        <v/>
      </c>
      <c r="V432" s="31" t="str">
        <f>IF(H432="CHK",VLOOKUP(I432,QCCHK,3,),IF(H432="GUP",VLOOKUP(E432,QCGUP,2,),IF(AND(H432="ATP",OR(I432="TN",I432="TDN",I432="TNO2-3",I432="NO2-3")),VLOOKUP(E432,QCREC_N,2,),IF(AND(H432="NIC",OR(I432="TN",I432="TDN",I432="TNO2-3",I432="NO2-3")),VLOOKUP(E432,QCNIC_N,2,),IF(AND(H432="UREA",OR(I432="TN",I432="TDN",I432="TNO2-3",I432="NO2-3")),VLOOKUP(E432,QCUREA_N,2,),IF(H432="PER",VLOOKUP(I432,QCPER,MATCH(E432,QCACTUAL!$J$25:$AA$25,0),),IF(H432="SPK",VLOOKUP(I432,QCSPK,3,),IF(AND(H432="ATP",OR(I432="TP",I432="TDP")),VLOOKUP(E432,QCATP_P,2,),""))))))))</f>
        <v/>
      </c>
      <c r="W432" s="31" t="str">
        <f t="shared" si="44"/>
        <v>TRUE</v>
      </c>
      <c r="X432" s="31" t="str">
        <f t="shared" si="45"/>
        <v/>
      </c>
      <c r="Y432" s="10" t="s">
        <v>992</v>
      </c>
      <c r="AL432" s="10" t="str">
        <f t="shared" si="47"/>
        <v>FALSE</v>
      </c>
      <c r="AM432" s="10" t="str">
        <f t="shared" si="47"/>
        <v>FALSE</v>
      </c>
      <c r="AN432" s="10" t="str">
        <f t="shared" si="47"/>
        <v>FALSE</v>
      </c>
      <c r="AO432" s="10" t="str">
        <f t="shared" si="48"/>
        <v>FALSE</v>
      </c>
      <c r="AP432" s="10" t="str">
        <f t="shared" si="48"/>
        <v>FALSE</v>
      </c>
      <c r="AQ432" s="10" t="b">
        <f>IF(AND(I432="TP",S432&lt;=150),VLOOKUP(AF432,TPCalibEq150!$AZ$2:$BB$55,3,),IF(AND(I432="TDP",S432&lt;=150),VLOOKUP(AF432,TPCalibEq150!$AZ$2:$BB$55,3,)))</f>
        <v>0</v>
      </c>
      <c r="AR432" s="10" t="b">
        <f>IF(AND(I432="TP",S432&lt;=300),VLOOKUP(AF432,TPCalibEq300!$AZ$2:$BB$55,3,),IF(AND(I432="TDP",S432&lt;=300),VLOOKUP(AF432,TPCalibEq300!$AZ$2:$BB$55,3,)))</f>
        <v>0</v>
      </c>
      <c r="AS432" s="10" t="b">
        <f>IF(AND(I432="TP",S432&lt;=500),VLOOKUP(AF432,TPCalibEq500!$AZ$2:$BB$56,3,),IF(AND(I432="TDP",S432&lt;=500),VLOOKUP(AF432,TPCalibEq500!$AZ$2:$BB$56,3,)))</f>
        <v>0</v>
      </c>
      <c r="AT432" s="10" t="b">
        <f>IF(AND(I432="TN",S432&lt;=2800),VLOOKUP(AF432,TNCalibEq2500!$AZ$2:$BB$56,3,),IF(AND(I432="TDN",S432&lt;=2800),VLOOKUP(AF432,TNCalibEq2500!$AZ$2:$BB$56,3,)))</f>
        <v>0</v>
      </c>
      <c r="AU432" s="10" t="b">
        <f>IF(I432="TP",VLOOKUP(AF432,TPCalibEqFull!$AZ$2:$BB$56,3),IF(I432="TDP",VLOOKUP(AF432,TPCalibEqFull!$AZ$2:$BB$56,3),IF(I432="TDN",VLOOKUP(AF432,TNCalibEqFull!$AZ$1:$BB$56,3),IF(I432="TN",VLOOKUP(AF432,TNCalibEqFull!$AZ$1:$BB$56,3),FALSE))))</f>
        <v>0</v>
      </c>
      <c r="AV432" s="10" t="str">
        <f t="shared" si="46"/>
        <v>0111 09:00:00-QAC-STD-D-1-DI-CAL</v>
      </c>
    </row>
    <row r="433" spans="1:48" s="10" customFormat="1" x14ac:dyDescent="0.55000000000000004">
      <c r="A433" s="32">
        <v>44937</v>
      </c>
      <c r="B433" s="33">
        <v>0.375</v>
      </c>
      <c r="C433" s="10" t="s">
        <v>70</v>
      </c>
      <c r="D433" s="10" t="s">
        <v>71</v>
      </c>
      <c r="E433" s="10" t="s">
        <v>190</v>
      </c>
      <c r="F433" s="10">
        <v>1</v>
      </c>
      <c r="G433" s="10" t="s">
        <v>73</v>
      </c>
      <c r="H433" s="10" t="s">
        <v>74</v>
      </c>
      <c r="I433" s="10" t="s">
        <v>75</v>
      </c>
      <c r="J433" s="10">
        <v>186</v>
      </c>
      <c r="K433" s="12">
        <v>44937</v>
      </c>
      <c r="L433" s="33">
        <v>0.47039351851851857</v>
      </c>
      <c r="M433" s="10">
        <v>1</v>
      </c>
      <c r="N433" s="10" t="s">
        <v>76</v>
      </c>
      <c r="O433" s="10">
        <v>10.199999999999999</v>
      </c>
      <c r="P433" s="10">
        <v>0.81200000000000006</v>
      </c>
      <c r="Q433" s="10">
        <v>600</v>
      </c>
      <c r="R433" s="10" t="s">
        <v>77</v>
      </c>
      <c r="S433" s="34">
        <f t="shared" si="42"/>
        <v>600</v>
      </c>
      <c r="T433" s="10" t="s">
        <v>994</v>
      </c>
      <c r="U433" s="34" t="str">
        <f t="shared" si="43"/>
        <v/>
      </c>
      <c r="V433" s="31" t="str">
        <f>IF(H433="CHK",VLOOKUP(I433,QCCHK,3,),IF(H433="GUP",VLOOKUP(E433,QCGUP,2,),IF(AND(H433="ATP",OR(I433="TN",I433="TDN",I433="TNO2-3",I433="NO2-3")),VLOOKUP(E433,QCREC_N,2,),IF(AND(H433="NIC",OR(I433="TN",I433="TDN",I433="TNO2-3",I433="NO2-3")),VLOOKUP(E433,QCNIC_N,2,),IF(AND(H433="UREA",OR(I433="TN",I433="TDN",I433="TNO2-3",I433="NO2-3")),VLOOKUP(E433,QCUREA_N,2,),IF(H433="PER",VLOOKUP(I433,QCPER,MATCH(E433,QCACTUAL!$J$25:$AA$25,0),),IF(H433="SPK",VLOOKUP(I433,QCSPK,3,),IF(AND(H433="ATP",OR(I433="TP",I433="TDP")),VLOOKUP(E433,QCATP_P,2,),""))))))))</f>
        <v/>
      </c>
      <c r="W433" s="31" t="str">
        <f t="shared" si="44"/>
        <v>TRUE</v>
      </c>
      <c r="X433" s="31" t="str">
        <f t="shared" si="45"/>
        <v/>
      </c>
      <c r="Y433" s="10" t="s">
        <v>992</v>
      </c>
      <c r="AL433" s="10" t="str">
        <f t="shared" si="47"/>
        <v>FALSE</v>
      </c>
      <c r="AM433" s="10" t="str">
        <f t="shared" si="47"/>
        <v>FALSE</v>
      </c>
      <c r="AN433" s="10" t="str">
        <f t="shared" si="47"/>
        <v>FALSE</v>
      </c>
      <c r="AO433" s="10" t="str">
        <f t="shared" si="48"/>
        <v>FALSE</v>
      </c>
      <c r="AP433" s="10" t="str">
        <f t="shared" si="48"/>
        <v>FALSE</v>
      </c>
      <c r="AQ433" s="10" t="b">
        <f>IF(AND(I433="TP",S433&lt;=150),VLOOKUP(AF433,TPCalibEq150!$AZ$2:$BB$55,3,),IF(AND(I433="TDP",S433&lt;=150),VLOOKUP(AF433,TPCalibEq150!$AZ$2:$BB$55,3,)))</f>
        <v>0</v>
      </c>
      <c r="AR433" s="10" t="b">
        <f>IF(AND(I433="TP",S433&lt;=300),VLOOKUP(AF433,TPCalibEq300!$AZ$2:$BB$55,3,),IF(AND(I433="TDP",S433&lt;=300),VLOOKUP(AF433,TPCalibEq300!$AZ$2:$BB$55,3,)))</f>
        <v>0</v>
      </c>
      <c r="AS433" s="10" t="b">
        <f>IF(AND(I433="TP",S433&lt;=500),VLOOKUP(AF433,TPCalibEq500!$AZ$2:$BB$56,3,),IF(AND(I433="TDP",S433&lt;=500),VLOOKUP(AF433,TPCalibEq500!$AZ$2:$BB$56,3,)))</f>
        <v>0</v>
      </c>
      <c r="AT433" s="10" t="b">
        <f>IF(AND(I433="TN",S433&lt;=2800),VLOOKUP(AF433,TNCalibEq2500!$AZ$2:$BB$56,3,),IF(AND(I433="TDN",S433&lt;=2800),VLOOKUP(AF433,TNCalibEq2500!$AZ$2:$BB$56,3,)))</f>
        <v>0</v>
      </c>
      <c r="AU433" s="10" t="b">
        <f>IF(I433="TP",VLOOKUP(AF433,TPCalibEqFull!$AZ$2:$BB$56,3),IF(I433="TDP",VLOOKUP(AF433,TPCalibEqFull!$AZ$2:$BB$56,3),IF(I433="TDN",VLOOKUP(AF433,TNCalibEqFull!$AZ$1:$BB$56,3),IF(I433="TN",VLOOKUP(AF433,TNCalibEqFull!$AZ$1:$BB$56,3),FALSE))))</f>
        <v>0</v>
      </c>
      <c r="AV433" s="10" t="str">
        <f t="shared" si="46"/>
        <v>0111 09:00:00-QAC-STD-C-1-DI-CAL</v>
      </c>
    </row>
    <row r="434" spans="1:48" s="10" customFormat="1" x14ac:dyDescent="0.55000000000000004">
      <c r="A434" s="32">
        <v>44937</v>
      </c>
      <c r="B434" s="33">
        <v>0.375</v>
      </c>
      <c r="C434" s="10" t="s">
        <v>70</v>
      </c>
      <c r="D434" s="10" t="s">
        <v>71</v>
      </c>
      <c r="E434" s="10" t="s">
        <v>583</v>
      </c>
      <c r="F434" s="10">
        <v>1</v>
      </c>
      <c r="G434" s="10" t="s">
        <v>73</v>
      </c>
      <c r="H434" s="10" t="s">
        <v>74</v>
      </c>
      <c r="I434" s="10" t="s">
        <v>75</v>
      </c>
      <c r="J434" s="10">
        <v>187</v>
      </c>
      <c r="K434" s="12">
        <v>44937</v>
      </c>
      <c r="L434" s="33">
        <v>0.47121527777777777</v>
      </c>
      <c r="M434" s="10">
        <v>1</v>
      </c>
      <c r="N434" s="10" t="s">
        <v>76</v>
      </c>
      <c r="O434" s="10">
        <v>20.100000000000001</v>
      </c>
      <c r="P434" s="10">
        <v>1.61</v>
      </c>
      <c r="Q434" s="10">
        <v>1200</v>
      </c>
      <c r="R434" s="10" t="s">
        <v>77</v>
      </c>
      <c r="S434" s="34">
        <f t="shared" si="42"/>
        <v>1200</v>
      </c>
      <c r="T434" s="10" t="s">
        <v>995</v>
      </c>
      <c r="U434" s="34" t="str">
        <f t="shared" si="43"/>
        <v/>
      </c>
      <c r="V434" s="31" t="str">
        <f>IF(H434="CHK",VLOOKUP(I434,QCCHK,3,),IF(H434="GUP",VLOOKUP(E434,QCGUP,2,),IF(AND(H434="ATP",OR(I434="TN",I434="TDN",I434="TNO2-3",I434="NO2-3")),VLOOKUP(E434,QCREC_N,2,),IF(AND(H434="NIC",OR(I434="TN",I434="TDN",I434="TNO2-3",I434="NO2-3")),VLOOKUP(E434,QCNIC_N,2,),IF(AND(H434="UREA",OR(I434="TN",I434="TDN",I434="TNO2-3",I434="NO2-3")),VLOOKUP(E434,QCUREA_N,2,),IF(H434="PER",VLOOKUP(I434,QCPER,MATCH(E434,QCACTUAL!$J$25:$AA$25,0),),IF(H434="SPK",VLOOKUP(I434,QCSPK,3,),IF(AND(H434="ATP",OR(I434="TP",I434="TDP")),VLOOKUP(E434,QCATP_P,2,),""))))))))</f>
        <v/>
      </c>
      <c r="W434" s="31" t="str">
        <f t="shared" si="44"/>
        <v>TRUE</v>
      </c>
      <c r="X434" s="31" t="str">
        <f t="shared" si="45"/>
        <v/>
      </c>
      <c r="Y434" s="10" t="s">
        <v>992</v>
      </c>
      <c r="AL434" s="10" t="str">
        <f t="shared" si="47"/>
        <v>FALSE</v>
      </c>
      <c r="AM434" s="10" t="str">
        <f t="shared" si="47"/>
        <v>FALSE</v>
      </c>
      <c r="AN434" s="10" t="str">
        <f t="shared" si="47"/>
        <v>FALSE</v>
      </c>
      <c r="AO434" s="10" t="str">
        <f t="shared" si="48"/>
        <v>FALSE</v>
      </c>
      <c r="AP434" s="10" t="str">
        <f t="shared" si="48"/>
        <v>FALSE</v>
      </c>
      <c r="AQ434" s="10" t="b">
        <f>IF(AND(I434="TP",S434&lt;=150),VLOOKUP(AF434,TPCalibEq150!$AZ$2:$BB$55,3,),IF(AND(I434="TDP",S434&lt;=150),VLOOKUP(AF434,TPCalibEq150!$AZ$2:$BB$55,3,)))</f>
        <v>0</v>
      </c>
      <c r="AR434" s="10" t="b">
        <f>IF(AND(I434="TP",S434&lt;=300),VLOOKUP(AF434,TPCalibEq300!$AZ$2:$BB$55,3,),IF(AND(I434="TDP",S434&lt;=300),VLOOKUP(AF434,TPCalibEq300!$AZ$2:$BB$55,3,)))</f>
        <v>0</v>
      </c>
      <c r="AS434" s="10" t="b">
        <f>IF(AND(I434="TP",S434&lt;=500),VLOOKUP(AF434,TPCalibEq500!$AZ$2:$BB$56,3,),IF(AND(I434="TDP",S434&lt;=500),VLOOKUP(AF434,TPCalibEq500!$AZ$2:$BB$56,3,)))</f>
        <v>0</v>
      </c>
      <c r="AT434" s="10" t="b">
        <f>IF(AND(I434="TN",S434&lt;=2800),VLOOKUP(AF434,TNCalibEq2500!$AZ$2:$BB$56,3,),IF(AND(I434="TDN",S434&lt;=2800),VLOOKUP(AF434,TNCalibEq2500!$AZ$2:$BB$56,3,)))</f>
        <v>0</v>
      </c>
      <c r="AU434" s="10" t="b">
        <f>IF(I434="TP",VLOOKUP(AF434,TPCalibEqFull!$AZ$2:$BB$56,3),IF(I434="TDP",VLOOKUP(AF434,TPCalibEqFull!$AZ$2:$BB$56,3),IF(I434="TDN",VLOOKUP(AF434,TNCalibEqFull!$AZ$1:$BB$56,3),IF(I434="TN",VLOOKUP(AF434,TNCalibEqFull!$AZ$1:$BB$56,3),FALSE))))</f>
        <v>0</v>
      </c>
      <c r="AV434" s="10" t="str">
        <f t="shared" si="46"/>
        <v>0111 09:00:00-QAC-STD-B-1-DI-CAL</v>
      </c>
    </row>
    <row r="435" spans="1:48" s="10" customFormat="1" x14ac:dyDescent="0.55000000000000004">
      <c r="A435" s="32">
        <v>44937</v>
      </c>
      <c r="B435" s="33">
        <v>0.375</v>
      </c>
      <c r="C435" s="10" t="s">
        <v>70</v>
      </c>
      <c r="D435" s="10" t="s">
        <v>71</v>
      </c>
      <c r="E435" s="10" t="s">
        <v>866</v>
      </c>
      <c r="F435" s="10">
        <v>1</v>
      </c>
      <c r="G435" s="10" t="s">
        <v>73</v>
      </c>
      <c r="H435" s="10" t="s">
        <v>74</v>
      </c>
      <c r="I435" s="10" t="s">
        <v>75</v>
      </c>
      <c r="J435" s="10">
        <v>188</v>
      </c>
      <c r="K435" s="12">
        <v>44937</v>
      </c>
      <c r="L435" s="33">
        <v>0.47203703703703703</v>
      </c>
      <c r="M435" s="10">
        <v>1</v>
      </c>
      <c r="N435" s="10" t="s">
        <v>76</v>
      </c>
      <c r="O435" s="10">
        <v>32.4</v>
      </c>
      <c r="P435" s="10">
        <v>2.56</v>
      </c>
      <c r="Q435" s="10">
        <v>2000</v>
      </c>
      <c r="R435" s="10" t="s">
        <v>77</v>
      </c>
      <c r="S435" s="34">
        <f t="shared" si="42"/>
        <v>2000</v>
      </c>
      <c r="T435" s="10" t="s">
        <v>996</v>
      </c>
      <c r="U435" s="34" t="str">
        <f t="shared" si="43"/>
        <v/>
      </c>
      <c r="V435" s="31" t="str">
        <f>IF(H435="CHK",VLOOKUP(I435,QCCHK,3,),IF(H435="GUP",VLOOKUP(E435,QCGUP,2,),IF(AND(H435="ATP",OR(I435="TN",I435="TDN",I435="TNO2-3",I435="NO2-3")),VLOOKUP(E435,QCREC_N,2,),IF(AND(H435="NIC",OR(I435="TN",I435="TDN",I435="TNO2-3",I435="NO2-3")),VLOOKUP(E435,QCNIC_N,2,),IF(AND(H435="UREA",OR(I435="TN",I435="TDN",I435="TNO2-3",I435="NO2-3")),VLOOKUP(E435,QCUREA_N,2,),IF(H435="PER",VLOOKUP(I435,QCPER,MATCH(E435,QCACTUAL!$J$25:$AA$25,0),),IF(H435="SPK",VLOOKUP(I435,QCSPK,3,),IF(AND(H435="ATP",OR(I435="TP",I435="TDP")),VLOOKUP(E435,QCATP_P,2,),""))))))))</f>
        <v/>
      </c>
      <c r="W435" s="31" t="str">
        <f t="shared" si="44"/>
        <v>TRUE</v>
      </c>
      <c r="X435" s="31" t="str">
        <f t="shared" si="45"/>
        <v/>
      </c>
      <c r="Y435" s="10" t="s">
        <v>992</v>
      </c>
      <c r="AL435" s="10" t="str">
        <f t="shared" si="47"/>
        <v>FALSE</v>
      </c>
      <c r="AM435" s="10" t="str">
        <f t="shared" si="47"/>
        <v>FALSE</v>
      </c>
      <c r="AN435" s="10" t="str">
        <f t="shared" si="47"/>
        <v>FALSE</v>
      </c>
      <c r="AO435" s="10" t="str">
        <f t="shared" si="48"/>
        <v>FALSE</v>
      </c>
      <c r="AP435" s="10" t="str">
        <f t="shared" si="48"/>
        <v>FALSE</v>
      </c>
      <c r="AQ435" s="10" t="b">
        <f>IF(AND(I435="TP",S435&lt;=150),VLOOKUP(AF435,TPCalibEq150!$AZ$2:$BB$55,3,),IF(AND(I435="TDP",S435&lt;=150),VLOOKUP(AF435,TPCalibEq150!$AZ$2:$BB$55,3,)))</f>
        <v>0</v>
      </c>
      <c r="AR435" s="10" t="b">
        <f>IF(AND(I435="TP",S435&lt;=300),VLOOKUP(AF435,TPCalibEq300!$AZ$2:$BB$55,3,),IF(AND(I435="TDP",S435&lt;=300),VLOOKUP(AF435,TPCalibEq300!$AZ$2:$BB$55,3,)))</f>
        <v>0</v>
      </c>
      <c r="AS435" s="10" t="b">
        <f>IF(AND(I435="TP",S435&lt;=500),VLOOKUP(AF435,TPCalibEq500!$AZ$2:$BB$56,3,),IF(AND(I435="TDP",S435&lt;=500),VLOOKUP(AF435,TPCalibEq500!$AZ$2:$BB$56,3,)))</f>
        <v>0</v>
      </c>
      <c r="AT435" s="10" t="b">
        <f>IF(AND(I435="TN",S435&lt;=2800),VLOOKUP(AF435,TNCalibEq2500!$AZ$2:$BB$56,3,),IF(AND(I435="TDN",S435&lt;=2800),VLOOKUP(AF435,TNCalibEq2500!$AZ$2:$BB$56,3,)))</f>
        <v>0</v>
      </c>
      <c r="AU435" s="10" t="b">
        <f>IF(I435="TP",VLOOKUP(AF435,TPCalibEqFull!$AZ$2:$BB$56,3),IF(I435="TDP",VLOOKUP(AF435,TPCalibEqFull!$AZ$2:$BB$56,3),IF(I435="TDN",VLOOKUP(AF435,TNCalibEqFull!$AZ$1:$BB$56,3),IF(I435="TN",VLOOKUP(AF435,TNCalibEqFull!$AZ$1:$BB$56,3),FALSE))))</f>
        <v>0</v>
      </c>
      <c r="AV435" s="10" t="str">
        <f t="shared" si="46"/>
        <v>0111 09:00:00-QAC-STD-A-1-DI-CAL</v>
      </c>
    </row>
    <row r="436" spans="1:48" s="10" customFormat="1" x14ac:dyDescent="0.55000000000000004">
      <c r="A436" s="32">
        <v>44900</v>
      </c>
      <c r="B436" s="33">
        <v>0.375</v>
      </c>
      <c r="C436" s="10" t="s">
        <v>70</v>
      </c>
      <c r="D436" s="10" t="s">
        <v>71</v>
      </c>
      <c r="E436" s="10" t="s">
        <v>866</v>
      </c>
      <c r="F436" s="10">
        <v>1</v>
      </c>
      <c r="G436" s="10" t="s">
        <v>73</v>
      </c>
      <c r="H436" s="10" t="s">
        <v>74</v>
      </c>
      <c r="I436" s="10" t="s">
        <v>75</v>
      </c>
      <c r="J436" s="10">
        <v>190</v>
      </c>
      <c r="K436" s="12">
        <v>44937</v>
      </c>
      <c r="L436" s="33">
        <v>0.47285879629629629</v>
      </c>
      <c r="M436" s="10">
        <v>1</v>
      </c>
      <c r="N436" s="10" t="s">
        <v>76</v>
      </c>
      <c r="O436" s="10">
        <v>31.8</v>
      </c>
      <c r="P436" s="10">
        <v>2.5299999999999998</v>
      </c>
      <c r="Q436" s="10">
        <v>1960</v>
      </c>
      <c r="R436" s="10" t="s">
        <v>77</v>
      </c>
      <c r="S436" s="34">
        <f t="shared" si="42"/>
        <v>1960</v>
      </c>
      <c r="T436" s="10" t="s">
        <v>996</v>
      </c>
      <c r="U436" s="34" t="str">
        <f t="shared" si="43"/>
        <v/>
      </c>
      <c r="V436" s="31" t="str">
        <f>IF(H436="CHK",VLOOKUP(I436,QCCHK,3,),IF(H436="GUP",VLOOKUP(E436,QCGUP,2,),IF(AND(H436="ATP",OR(I436="TN",I436="TDN",I436="TNO2-3",I436="NO2-3")),VLOOKUP(E436,QCREC_N,2,),IF(AND(H436="NIC",OR(I436="TN",I436="TDN",I436="TNO2-3",I436="NO2-3")),VLOOKUP(E436,QCNIC_N,2,),IF(AND(H436="UREA",OR(I436="TN",I436="TDN",I436="TNO2-3",I436="NO2-3")),VLOOKUP(E436,QCUREA_N,2,),IF(H436="PER",VLOOKUP(I436,QCPER,MATCH(E436,QCACTUAL!$J$25:$AA$25,0),),IF(H436="SPK",VLOOKUP(I436,QCSPK,3,),IF(AND(H436="ATP",OR(I436="TP",I436="TDP")),VLOOKUP(E436,QCATP_P,2,),""))))))))</f>
        <v/>
      </c>
      <c r="W436" s="31" t="str">
        <f t="shared" si="44"/>
        <v>TRUE</v>
      </c>
      <c r="X436" s="31" t="str">
        <f t="shared" si="45"/>
        <v/>
      </c>
      <c r="Y436" s="10" t="s">
        <v>992</v>
      </c>
      <c r="AL436" s="10" t="str">
        <f t="shared" si="47"/>
        <v>FALSE</v>
      </c>
      <c r="AM436" s="10" t="str">
        <f t="shared" si="47"/>
        <v>FALSE</v>
      </c>
      <c r="AN436" s="10" t="str">
        <f t="shared" si="47"/>
        <v>FALSE</v>
      </c>
      <c r="AO436" s="10" t="str">
        <f t="shared" si="48"/>
        <v>FALSE</v>
      </c>
      <c r="AP436" s="10" t="str">
        <f t="shared" si="48"/>
        <v>FALSE</v>
      </c>
      <c r="AQ436" s="10" t="b">
        <f>IF(AND(I436="TP",S436&lt;=150),VLOOKUP(AF436,TPCalibEq150!$AZ$2:$BB$55,3,),IF(AND(I436="TDP",S436&lt;=150),VLOOKUP(AF436,TPCalibEq150!$AZ$2:$BB$55,3,)))</f>
        <v>0</v>
      </c>
      <c r="AR436" s="10" t="b">
        <f>IF(AND(I436="TP",S436&lt;=300),VLOOKUP(AF436,TPCalibEq300!$AZ$2:$BB$55,3,),IF(AND(I436="TDP",S436&lt;=300),VLOOKUP(AF436,TPCalibEq300!$AZ$2:$BB$55,3,)))</f>
        <v>0</v>
      </c>
      <c r="AS436" s="10" t="b">
        <f>IF(AND(I436="TP",S436&lt;=500),VLOOKUP(AF436,TPCalibEq500!$AZ$2:$BB$56,3,),IF(AND(I436="TDP",S436&lt;=500),VLOOKUP(AF436,TPCalibEq500!$AZ$2:$BB$56,3,)))</f>
        <v>0</v>
      </c>
      <c r="AT436" s="10" t="b">
        <f>IF(AND(I436="TN",S436&lt;=2800),VLOOKUP(AF436,TNCalibEq2500!$AZ$2:$BB$56,3,),IF(AND(I436="TDN",S436&lt;=2800),VLOOKUP(AF436,TNCalibEq2500!$AZ$2:$BB$56,3,)))</f>
        <v>0</v>
      </c>
      <c r="AU436" s="10" t="b">
        <f>IF(I436="TP",VLOOKUP(AF436,TPCalibEqFull!$AZ$2:$BB$56,3),IF(I436="TDP",VLOOKUP(AF436,TPCalibEqFull!$AZ$2:$BB$56,3),IF(I436="TDN",VLOOKUP(AF436,TNCalibEqFull!$AZ$1:$BB$56,3),IF(I436="TN",VLOOKUP(AF436,TNCalibEqFull!$AZ$1:$BB$56,3),FALSE))))</f>
        <v>0</v>
      </c>
      <c r="AV436" s="10" t="str">
        <f t="shared" si="46"/>
        <v>1205 09:00:00-QAC-STD-A-1-DI-CAL</v>
      </c>
    </row>
    <row r="437" spans="1:48" s="10" customFormat="1" x14ac:dyDescent="0.55000000000000004">
      <c r="A437" s="32">
        <v>44937</v>
      </c>
      <c r="B437" s="33">
        <v>0.375</v>
      </c>
      <c r="C437" s="10" t="s">
        <v>70</v>
      </c>
      <c r="D437" s="10" t="s">
        <v>241</v>
      </c>
      <c r="E437" s="10" t="s">
        <v>866</v>
      </c>
      <c r="F437" s="10">
        <v>1</v>
      </c>
      <c r="G437" s="10" t="s">
        <v>73</v>
      </c>
      <c r="H437" s="10" t="s">
        <v>283</v>
      </c>
      <c r="I437" s="10" t="s">
        <v>75</v>
      </c>
      <c r="J437" s="10">
        <v>198</v>
      </c>
      <c r="K437" s="12">
        <v>44937</v>
      </c>
      <c r="L437" s="33">
        <v>0.47694444444444445</v>
      </c>
      <c r="M437" s="10">
        <v>1</v>
      </c>
      <c r="N437" s="10" t="s">
        <v>76</v>
      </c>
      <c r="O437" s="10">
        <v>3.32E-2</v>
      </c>
      <c r="P437" s="10">
        <v>2.0100000000000001E-3</v>
      </c>
      <c r="Q437" s="10">
        <v>1.9</v>
      </c>
      <c r="R437" s="10" t="s">
        <v>77</v>
      </c>
      <c r="S437" s="34">
        <f t="shared" si="42"/>
        <v>1.9</v>
      </c>
      <c r="T437" s="10" t="s">
        <v>997</v>
      </c>
      <c r="U437" s="34">
        <f t="shared" si="43"/>
        <v>1.9</v>
      </c>
      <c r="V437" s="31" t="str">
        <f>IF(H437="CHK",VLOOKUP(I437,QCCHK,3,),IF(H437="GUP",VLOOKUP(E437,QCGUP,2,),IF(AND(H437="ATP",OR(I437="TN",I437="TDN",I437="TNO2-3",I437="NO2-3")),VLOOKUP(E437,QCREC_N,2,),IF(AND(H437="NIC",OR(I437="TN",I437="TDN",I437="TNO2-3",I437="NO2-3")),VLOOKUP(E437,QCNIC_N,2,),IF(AND(H437="UREA",OR(I437="TN",I437="TDN",I437="TNO2-3",I437="NO2-3")),VLOOKUP(E437,QCUREA_N,2,),IF(H437="PER",VLOOKUP(I437,QCPER,MATCH(E437,QCACTUAL!$J$25:$AA$25,0),),IF(H437="SPK",VLOOKUP(I437,QCSPK,3,),IF(AND(H437="ATP",OR(I437="TP",I437="TDP")),VLOOKUP(E437,QCATP_P,2,),""))))))))</f>
        <v/>
      </c>
      <c r="W437" s="31" t="str">
        <f t="shared" si="44"/>
        <v>TRUE</v>
      </c>
      <c r="X437" s="31" t="str">
        <f t="shared" si="45"/>
        <v>nominal concentration</v>
      </c>
      <c r="Y437" s="10" t="s">
        <v>992</v>
      </c>
      <c r="AL437" s="10" t="str">
        <f t="shared" si="47"/>
        <v>FALSE</v>
      </c>
      <c r="AM437" s="10" t="str">
        <f t="shared" si="47"/>
        <v>FALSE</v>
      </c>
      <c r="AN437" s="10" t="str">
        <f t="shared" si="47"/>
        <v>FALSE</v>
      </c>
      <c r="AO437" s="10" t="str">
        <f t="shared" si="48"/>
        <v>FALSE</v>
      </c>
      <c r="AP437" s="10" t="str">
        <f t="shared" si="48"/>
        <v>FALSE</v>
      </c>
      <c r="AQ437" s="10" t="b">
        <f>IF(AND(I437="TP",S437&lt;=150),VLOOKUP(AF437,TPCalibEq150!$AZ$2:$BB$55,3,),IF(AND(I437="TDP",S437&lt;=150),VLOOKUP(AF437,TPCalibEq150!$AZ$2:$BB$55,3,)))</f>
        <v>0</v>
      </c>
      <c r="AR437" s="10" t="b">
        <f>IF(AND(I437="TP",S437&lt;=300),VLOOKUP(AF437,TPCalibEq300!$AZ$2:$BB$55,3,),IF(AND(I437="TDP",S437&lt;=300),VLOOKUP(AF437,TPCalibEq300!$AZ$2:$BB$55,3,)))</f>
        <v>0</v>
      </c>
      <c r="AS437" s="10" t="b">
        <f>IF(AND(I437="TP",S437&lt;=500),VLOOKUP(AF437,TPCalibEq500!$AZ$2:$BB$56,3,),IF(AND(I437="TDP",S437&lt;=500),VLOOKUP(AF437,TPCalibEq500!$AZ$2:$BB$56,3,)))</f>
        <v>0</v>
      </c>
      <c r="AT437" s="10" t="b">
        <f>IF(AND(I437="TN",S437&lt;=2800),VLOOKUP(AF437,TNCalibEq2500!$AZ$2:$BB$56,3,),IF(AND(I437="TDN",S437&lt;=2800),VLOOKUP(AF437,TNCalibEq2500!$AZ$2:$BB$56,3,)))</f>
        <v>0</v>
      </c>
      <c r="AU437" s="10" t="b">
        <f>IF(I437="TP",VLOOKUP(AF437,TPCalibEqFull!$AZ$2:$BB$56,3),IF(I437="TDP",VLOOKUP(AF437,TPCalibEqFull!$AZ$2:$BB$56,3),IF(I437="TDN",VLOOKUP(AF437,TNCalibEqFull!$AZ$1:$BB$56,3),IF(I437="TN",VLOOKUP(AF437,TNCalibEqFull!$AZ$1:$BB$56,3),FALSE))))</f>
        <v>0</v>
      </c>
      <c r="AV437" s="10" t="str">
        <f t="shared" si="46"/>
        <v>0111 09:00:00-QAC-BLK-A-1-DI-LAB</v>
      </c>
    </row>
    <row r="438" spans="1:48" s="10" customFormat="1" x14ac:dyDescent="0.55000000000000004">
      <c r="A438" s="32">
        <v>44937</v>
      </c>
      <c r="B438" s="33">
        <v>0.375</v>
      </c>
      <c r="C438" s="10" t="s">
        <v>70</v>
      </c>
      <c r="D438" s="10" t="s">
        <v>241</v>
      </c>
      <c r="E438" s="10" t="s">
        <v>866</v>
      </c>
      <c r="F438" s="10">
        <v>1</v>
      </c>
      <c r="G438" s="10" t="s">
        <v>73</v>
      </c>
      <c r="H438" s="10" t="s">
        <v>314</v>
      </c>
      <c r="I438" s="10" t="s">
        <v>75</v>
      </c>
      <c r="J438" s="10">
        <v>225</v>
      </c>
      <c r="K438" s="12">
        <v>44937</v>
      </c>
      <c r="L438" s="33">
        <v>0.47859953703703706</v>
      </c>
      <c r="M438" s="10">
        <v>1</v>
      </c>
      <c r="N438" s="10" t="s">
        <v>76</v>
      </c>
      <c r="O438" s="10">
        <v>11.5</v>
      </c>
      <c r="P438" s="10">
        <v>0.90800000000000003</v>
      </c>
      <c r="Q438" s="10">
        <v>673</v>
      </c>
      <c r="R438" s="10" t="s">
        <v>77</v>
      </c>
      <c r="S438" s="34">
        <f t="shared" si="42"/>
        <v>673</v>
      </c>
      <c r="T438" s="10" t="s">
        <v>997</v>
      </c>
      <c r="U438" s="34">
        <f t="shared" si="43"/>
        <v>107.376</v>
      </c>
      <c r="V438" s="31">
        <f>IF(H438="CHK",VLOOKUP(I438,QCCHK,3,),IF(H438="GUP",VLOOKUP(E438,QCGUP,2,),IF(AND(H438="ATP",OR(I438="TN",I438="TDN",I438="TNO2-3",I438="NO2-3")),VLOOKUP(E438,QCREC_N,2,),IF(AND(H438="NIC",OR(I438="TN",I438="TDN",I438="TNO2-3",I438="NO2-3")),VLOOKUP(E438,QCNIC_N,2,),IF(AND(H438="UREA",OR(I438="TN",I438="TDN",I438="TNO2-3",I438="NO2-3")),VLOOKUP(E438,QCUREA_N,2,),IF(H438="PER",VLOOKUP(I438,QCPER,MATCH(E438,QCACTUAL!$J$25:$AA$25,0),),IF(H438="SPK",VLOOKUP(I438,QCSPK,3,),IF(AND(H438="ATP",OR(I438="TP",I438="TDP")),VLOOKUP(E438,QCATP_P,2,),""))))))))</f>
        <v>625</v>
      </c>
      <c r="W438" s="31" t="str">
        <f t="shared" si="44"/>
        <v>TRUE</v>
      </c>
      <c r="X438" s="31" t="str">
        <f t="shared" si="45"/>
        <v>([spikedunkn]-[unkn])/[spike]*100</v>
      </c>
      <c r="Y438" s="10" t="s">
        <v>992</v>
      </c>
      <c r="AL438" s="10" t="str">
        <f t="shared" si="47"/>
        <v>FALSE</v>
      </c>
      <c r="AM438" s="10" t="str">
        <f t="shared" si="47"/>
        <v>FALSE</v>
      </c>
      <c r="AN438" s="10" t="str">
        <f t="shared" si="47"/>
        <v>FALSE</v>
      </c>
      <c r="AO438" s="10" t="str">
        <f t="shared" si="48"/>
        <v>FALSE</v>
      </c>
      <c r="AP438" s="10" t="str">
        <f t="shared" si="48"/>
        <v>FALSE</v>
      </c>
      <c r="AQ438" s="10" t="b">
        <f>IF(AND(I438="TP",S438&lt;=150),VLOOKUP(AF438,TPCalibEq150!$AZ$2:$BB$55,3,),IF(AND(I438="TDP",S438&lt;=150),VLOOKUP(AF438,TPCalibEq150!$AZ$2:$BB$55,3,)))</f>
        <v>0</v>
      </c>
      <c r="AR438" s="10" t="b">
        <f>IF(AND(I438="TP",S438&lt;=300),VLOOKUP(AF438,TPCalibEq300!$AZ$2:$BB$55,3,),IF(AND(I438="TDP",S438&lt;=300),VLOOKUP(AF438,TPCalibEq300!$AZ$2:$BB$55,3,)))</f>
        <v>0</v>
      </c>
      <c r="AS438" s="10" t="b">
        <f>IF(AND(I438="TP",S438&lt;=500),VLOOKUP(AF438,TPCalibEq500!$AZ$2:$BB$56,3,),IF(AND(I438="TDP",S438&lt;=500),VLOOKUP(AF438,TPCalibEq500!$AZ$2:$BB$56,3,)))</f>
        <v>0</v>
      </c>
      <c r="AT438" s="10" t="b">
        <f>IF(AND(I438="TN",S438&lt;=2800),VLOOKUP(AF438,TNCalibEq2500!$AZ$2:$BB$56,3,),IF(AND(I438="TDN",S438&lt;=2800),VLOOKUP(AF438,TNCalibEq2500!$AZ$2:$BB$56,3,)))</f>
        <v>0</v>
      </c>
      <c r="AU438" s="10" t="b">
        <f>IF(I438="TP",VLOOKUP(AF438,TPCalibEqFull!$AZ$2:$BB$56,3),IF(I438="TDP",VLOOKUP(AF438,TPCalibEqFull!$AZ$2:$BB$56,3),IF(I438="TDN",VLOOKUP(AF438,TNCalibEqFull!$AZ$1:$BB$56,3),IF(I438="TN",VLOOKUP(AF438,TNCalibEqFull!$AZ$1:$BB$56,3),FALSE))))</f>
        <v>0</v>
      </c>
      <c r="AV438" s="10" t="str">
        <f t="shared" si="46"/>
        <v>0111 09:00:00-QAC-BLK-A-1-DI-SPK</v>
      </c>
    </row>
    <row r="439" spans="1:48" s="10" customFormat="1" x14ac:dyDescent="0.55000000000000004">
      <c r="A439" s="32">
        <v>44937</v>
      </c>
      <c r="B439" s="33">
        <v>0.375</v>
      </c>
      <c r="C439" s="10" t="s">
        <v>70</v>
      </c>
      <c r="D439" s="10" t="s">
        <v>71</v>
      </c>
      <c r="E439" s="10" t="s">
        <v>948</v>
      </c>
      <c r="F439" s="10">
        <v>1</v>
      </c>
      <c r="G439" s="10" t="s">
        <v>73</v>
      </c>
      <c r="H439" s="10" t="s">
        <v>299</v>
      </c>
      <c r="I439" s="10" t="s">
        <v>75</v>
      </c>
      <c r="J439" s="10">
        <v>197</v>
      </c>
      <c r="K439" s="12">
        <v>44937</v>
      </c>
      <c r="L439" s="33">
        <v>0.47942129629629626</v>
      </c>
      <c r="M439" s="10">
        <v>1</v>
      </c>
      <c r="N439" s="10" t="s">
        <v>76</v>
      </c>
      <c r="O439" s="10">
        <v>17.600000000000001</v>
      </c>
      <c r="P439" s="10">
        <v>1.4</v>
      </c>
      <c r="Q439" s="10">
        <v>1050</v>
      </c>
      <c r="R439" s="10" t="s">
        <v>77</v>
      </c>
      <c r="S439" s="34">
        <f t="shared" si="42"/>
        <v>1050</v>
      </c>
      <c r="T439" s="10" t="s">
        <v>997</v>
      </c>
      <c r="U439" s="34">
        <f t="shared" si="43"/>
        <v>100</v>
      </c>
      <c r="V439" s="31">
        <f>IF(H439="CHK",VLOOKUP(I439,QCCHK,3,),IF(H439="GUP",VLOOKUP(E439,QCGUP,2,),IF(AND(H439="ATP",OR(I439="TN",I439="TDN",I439="TNO2-3",I439="NO2-3")),VLOOKUP(E439,QCREC_N,2,),IF(AND(H439="NIC",OR(I439="TN",I439="TDN",I439="TNO2-3",I439="NO2-3")),VLOOKUP(E439,QCNIC_N,2,),IF(AND(H439="UREA",OR(I439="TN",I439="TDN",I439="TNO2-3",I439="NO2-3")),VLOOKUP(E439,QCUREA_N,2,),IF(H439="PER",VLOOKUP(I439,QCPER,MATCH(E439,QCACTUAL!$J$25:$AA$25,0),),IF(H439="SPK",VLOOKUP(I439,QCSPK,3,),IF(AND(H439="ATP",OR(I439="TP",I439="TDP")),VLOOKUP(E439,QCATP_P,2,),""))))))))</f>
        <v>1050</v>
      </c>
      <c r="W439" s="31" t="str">
        <f t="shared" si="44"/>
        <v>TRUE</v>
      </c>
      <c r="X439" s="31" t="str">
        <f t="shared" si="45"/>
        <v>[per]/[actual]*100</v>
      </c>
      <c r="Y439" s="10" t="s">
        <v>992</v>
      </c>
      <c r="AL439" s="10" t="str">
        <f t="shared" si="47"/>
        <v>FALSE</v>
      </c>
      <c r="AM439" s="10" t="str">
        <f t="shared" si="47"/>
        <v>FALSE</v>
      </c>
      <c r="AN439" s="10" t="str">
        <f t="shared" si="47"/>
        <v>FALSE</v>
      </c>
      <c r="AO439" s="10" t="str">
        <f t="shared" si="48"/>
        <v>FALSE</v>
      </c>
      <c r="AP439" s="10" t="str">
        <f t="shared" si="48"/>
        <v>FALSE</v>
      </c>
      <c r="AQ439" s="10" t="b">
        <f>IF(AND(I439="TP",S439&lt;=150),VLOOKUP(AF439,TPCalibEq150!$AZ$2:$BB$55,3,),IF(AND(I439="TDP",S439&lt;=150),VLOOKUP(AF439,TPCalibEq150!$AZ$2:$BB$55,3,)))</f>
        <v>0</v>
      </c>
      <c r="AR439" s="10" t="b">
        <f>IF(AND(I439="TP",S439&lt;=300),VLOOKUP(AF439,TPCalibEq300!$AZ$2:$BB$55,3,),IF(AND(I439="TDP",S439&lt;=300),VLOOKUP(AF439,TPCalibEq300!$AZ$2:$BB$55,3,)))</f>
        <v>0</v>
      </c>
      <c r="AS439" s="10" t="b">
        <f>IF(AND(I439="TP",S439&lt;=500),VLOOKUP(AF439,TPCalibEq500!$AZ$2:$BB$56,3,),IF(AND(I439="TDP",S439&lt;=500),VLOOKUP(AF439,TPCalibEq500!$AZ$2:$BB$56,3,)))</f>
        <v>0</v>
      </c>
      <c r="AT439" s="10" t="b">
        <f>IF(AND(I439="TN",S439&lt;=2800),VLOOKUP(AF439,TNCalibEq2500!$AZ$2:$BB$56,3,),IF(AND(I439="TDN",S439&lt;=2800),VLOOKUP(AF439,TNCalibEq2500!$AZ$2:$BB$56,3,)))</f>
        <v>0</v>
      </c>
      <c r="AU439" s="10" t="b">
        <f>IF(I439="TP",VLOOKUP(AF439,TPCalibEqFull!$AZ$2:$BB$56,3),IF(I439="TDP",VLOOKUP(AF439,TPCalibEqFull!$AZ$2:$BB$56,3),IF(I439="TDN",VLOOKUP(AF439,TNCalibEqFull!$AZ$1:$BB$56,3),IF(I439="TN",VLOOKUP(AF439,TNCalibEqFull!$AZ$1:$BB$56,3),FALSE))))</f>
        <v>0</v>
      </c>
      <c r="AV439" s="10" t="str">
        <f t="shared" si="46"/>
        <v>0111 09:00:00-QAC-STD-22A-1-DI-PER</v>
      </c>
    </row>
    <row r="440" spans="1:48" s="10" customFormat="1" x14ac:dyDescent="0.55000000000000004">
      <c r="A440" s="32">
        <v>44935</v>
      </c>
      <c r="B440" s="33">
        <v>0.25</v>
      </c>
      <c r="C440" s="10" t="s">
        <v>70</v>
      </c>
      <c r="D440" s="10" t="s">
        <v>241</v>
      </c>
      <c r="E440" s="10" t="s">
        <v>866</v>
      </c>
      <c r="F440" s="10">
        <v>1</v>
      </c>
      <c r="G440" s="10" t="s">
        <v>73</v>
      </c>
      <c r="H440" s="10" t="s">
        <v>264</v>
      </c>
      <c r="I440" s="10" t="s">
        <v>75</v>
      </c>
      <c r="J440" s="10">
        <v>33</v>
      </c>
      <c r="K440" s="12">
        <v>44937</v>
      </c>
      <c r="L440" s="33">
        <v>0.48798611111111106</v>
      </c>
      <c r="M440" s="10">
        <v>1</v>
      </c>
      <c r="N440" s="10" t="s">
        <v>76</v>
      </c>
      <c r="O440" s="10">
        <v>8.0699999999999994E-2</v>
      </c>
      <c r="P440" s="10">
        <v>6.3699999999999998E-3</v>
      </c>
      <c r="Q440" s="10">
        <v>4.6100000000000003</v>
      </c>
      <c r="R440" s="10" t="s">
        <v>77</v>
      </c>
      <c r="S440" s="34">
        <f t="shared" si="42"/>
        <v>4.6100000000000003</v>
      </c>
      <c r="T440" s="10" t="s">
        <v>997</v>
      </c>
      <c r="U440" s="34">
        <f t="shared" si="43"/>
        <v>4.6100000000000003</v>
      </c>
      <c r="V440" s="31" t="str">
        <f>IF(H440="CHK",VLOOKUP(I440,QCCHK,3,),IF(H440="GUP",VLOOKUP(E440,QCGUP,2,),IF(AND(H440="ATP",OR(I440="TN",I440="TDN",I440="TNO2-3",I440="NO2-3")),VLOOKUP(E440,QCREC_N,2,),IF(AND(H440="NIC",OR(I440="TN",I440="TDN",I440="TNO2-3",I440="NO2-3")),VLOOKUP(E440,QCNIC_N,2,),IF(AND(H440="UREA",OR(I440="TN",I440="TDN",I440="TNO2-3",I440="NO2-3")),VLOOKUP(E440,QCUREA_N,2,),IF(H440="PER",VLOOKUP(I440,QCPER,MATCH(E440,QCACTUAL!$J$25:$AA$25,0),),IF(H440="SPK",VLOOKUP(I440,QCSPK,3,),IF(AND(H440="ATP",OR(I440="TP",I440="TDP")),VLOOKUP(E440,QCATP_P,2,),""))))))))</f>
        <v/>
      </c>
      <c r="W440" s="31" t="str">
        <f t="shared" si="44"/>
        <v>TRUE</v>
      </c>
      <c r="X440" s="31" t="str">
        <f t="shared" si="45"/>
        <v>nominal concentration</v>
      </c>
      <c r="Y440" s="10" t="s">
        <v>992</v>
      </c>
      <c r="Z440" s="10" t="s">
        <v>910</v>
      </c>
      <c r="AL440" s="10" t="str">
        <f t="shared" si="47"/>
        <v>FALSE</v>
      </c>
      <c r="AM440" s="10" t="str">
        <f t="shared" si="47"/>
        <v>FALSE</v>
      </c>
      <c r="AN440" s="10" t="str">
        <f t="shared" si="47"/>
        <v>FALSE</v>
      </c>
      <c r="AO440" s="10" t="str">
        <f t="shared" si="48"/>
        <v>FALSE</v>
      </c>
      <c r="AP440" s="10" t="str">
        <f t="shared" si="48"/>
        <v>FALSE</v>
      </c>
      <c r="AQ440" s="10" t="b">
        <f>IF(AND(I440="TP",S440&lt;=150),VLOOKUP(AF440,TPCalibEq150!$AZ$2:$BB$55,3,),IF(AND(I440="TDP",S440&lt;=150),VLOOKUP(AF440,TPCalibEq150!$AZ$2:$BB$55,3,)))</f>
        <v>0</v>
      </c>
      <c r="AR440" s="10" t="b">
        <f>IF(AND(I440="TP",S440&lt;=300),VLOOKUP(AF440,TPCalibEq300!$AZ$2:$BB$55,3,),IF(AND(I440="TDP",S440&lt;=300),VLOOKUP(AF440,TPCalibEq300!$AZ$2:$BB$55,3,)))</f>
        <v>0</v>
      </c>
      <c r="AS440" s="10" t="b">
        <f>IF(AND(I440="TP",S440&lt;=500),VLOOKUP(AF440,TPCalibEq500!$AZ$2:$BB$56,3,),IF(AND(I440="TDP",S440&lt;=500),VLOOKUP(AF440,TPCalibEq500!$AZ$2:$BB$56,3,)))</f>
        <v>0</v>
      </c>
      <c r="AT440" s="10" t="b">
        <f>IF(AND(I440="TN",S440&lt;=2800),VLOOKUP(AF440,TNCalibEq2500!$AZ$2:$BB$56,3,),IF(AND(I440="TDN",S440&lt;=2800),VLOOKUP(AF440,TNCalibEq2500!$AZ$2:$BB$56,3,)))</f>
        <v>0</v>
      </c>
      <c r="AU440" s="10" t="b">
        <f>IF(I440="TP",VLOOKUP(AF440,TPCalibEqFull!$AZ$2:$BB$56,3),IF(I440="TDP",VLOOKUP(AF440,TPCalibEqFull!$AZ$2:$BB$56,3),IF(I440="TDN",VLOOKUP(AF440,TNCalibEqFull!$AZ$1:$BB$56,3),IF(I440="TN",VLOOKUP(AF440,TNCalibEqFull!$AZ$1:$BB$56,3),FALSE))))</f>
        <v>0</v>
      </c>
      <c r="AV440" s="10" t="str">
        <f t="shared" si="46"/>
        <v>0109 06:00:00-QAC-BLK-A-1-DI-FLD</v>
      </c>
    </row>
    <row r="441" spans="1:48" s="10" customFormat="1" x14ac:dyDescent="0.55000000000000004">
      <c r="A441" s="32">
        <v>44936</v>
      </c>
      <c r="B441" s="33">
        <v>0.36458333333333331</v>
      </c>
      <c r="C441" s="10" t="s">
        <v>70</v>
      </c>
      <c r="D441" s="10" t="s">
        <v>241</v>
      </c>
      <c r="E441" s="10" t="s">
        <v>866</v>
      </c>
      <c r="F441" s="10">
        <v>1</v>
      </c>
      <c r="G441" s="10" t="s">
        <v>73</v>
      </c>
      <c r="H441" s="10" t="s">
        <v>245</v>
      </c>
      <c r="I441" s="10" t="s">
        <v>75</v>
      </c>
      <c r="J441" s="10">
        <v>34</v>
      </c>
      <c r="K441" s="12">
        <v>44937</v>
      </c>
      <c r="L441" s="33">
        <v>0.48880787037037038</v>
      </c>
      <c r="M441" s="10">
        <v>1</v>
      </c>
      <c r="N441" s="10" t="s">
        <v>76</v>
      </c>
      <c r="O441" s="10">
        <v>1.04E-2</v>
      </c>
      <c r="P441" s="10">
        <v>1.08E-3</v>
      </c>
      <c r="Q441" s="10">
        <v>0.59199999999999997</v>
      </c>
      <c r="R441" s="10" t="s">
        <v>77</v>
      </c>
      <c r="S441" s="34">
        <f t="shared" si="42"/>
        <v>0.59199999999999997</v>
      </c>
      <c r="T441" s="10" t="s">
        <v>997</v>
      </c>
      <c r="U441" s="34">
        <f t="shared" si="43"/>
        <v>0.59199999999999997</v>
      </c>
      <c r="V441" s="31" t="str">
        <f>IF(H441="CHK",VLOOKUP(I441,QCCHK,3,),IF(H441="GUP",VLOOKUP(E441,QCGUP,2,),IF(AND(H441="ATP",OR(I441="TN",I441="TDN",I441="TNO2-3",I441="NO2-3")),VLOOKUP(E441,QCREC_N,2,),IF(AND(H441="NIC",OR(I441="TN",I441="TDN",I441="TNO2-3",I441="NO2-3")),VLOOKUP(E441,QCNIC_N,2,),IF(AND(H441="UREA",OR(I441="TN",I441="TDN",I441="TNO2-3",I441="NO2-3")),VLOOKUP(E441,QCUREA_N,2,),IF(H441="PER",VLOOKUP(I441,QCPER,MATCH(E441,QCACTUAL!$J$25:$AA$25,0),),IF(H441="SPK",VLOOKUP(I441,QCSPK,3,),IF(AND(H441="ATP",OR(I441="TP",I441="TDP")),VLOOKUP(E441,QCATP_P,2,),""))))))))</f>
        <v/>
      </c>
      <c r="W441" s="31" t="str">
        <f t="shared" si="44"/>
        <v>TRUE</v>
      </c>
      <c r="X441" s="31" t="str">
        <f t="shared" si="45"/>
        <v>nominal concentration</v>
      </c>
      <c r="Y441" s="10" t="s">
        <v>992</v>
      </c>
      <c r="AL441" s="10" t="str">
        <f t="shared" si="47"/>
        <v>FALSE</v>
      </c>
      <c r="AM441" s="10" t="str">
        <f t="shared" si="47"/>
        <v>FALSE</v>
      </c>
      <c r="AN441" s="10" t="str">
        <f t="shared" si="47"/>
        <v>FALSE</v>
      </c>
      <c r="AO441" s="10" t="str">
        <f t="shared" si="48"/>
        <v>FALSE</v>
      </c>
      <c r="AP441" s="10" t="str">
        <f t="shared" si="48"/>
        <v>FALSE</v>
      </c>
      <c r="AQ441" s="10" t="b">
        <f>IF(AND(I441="TP",S441&lt;=150),VLOOKUP(AF441,TPCalibEq150!$AZ$2:$BB$55,3,),IF(AND(I441="TDP",S441&lt;=150),VLOOKUP(AF441,TPCalibEq150!$AZ$2:$BB$55,3,)))</f>
        <v>0</v>
      </c>
      <c r="AR441" s="10" t="b">
        <f>IF(AND(I441="TP",S441&lt;=300),VLOOKUP(AF441,TPCalibEq300!$AZ$2:$BB$55,3,),IF(AND(I441="TDP",S441&lt;=300),VLOOKUP(AF441,TPCalibEq300!$AZ$2:$BB$55,3,)))</f>
        <v>0</v>
      </c>
      <c r="AS441" s="10" t="b">
        <f>IF(AND(I441="TP",S441&lt;=500),VLOOKUP(AF441,TPCalibEq500!$AZ$2:$BB$56,3,),IF(AND(I441="TDP",S441&lt;=500),VLOOKUP(AF441,TPCalibEq500!$AZ$2:$BB$56,3,)))</f>
        <v>0</v>
      </c>
      <c r="AT441" s="10" t="b">
        <f>IF(AND(I441="TN",S441&lt;=2800),VLOOKUP(AF441,TNCalibEq2500!$AZ$2:$BB$56,3,),IF(AND(I441="TDN",S441&lt;=2800),VLOOKUP(AF441,TNCalibEq2500!$AZ$2:$BB$56,3,)))</f>
        <v>0</v>
      </c>
      <c r="AU441" s="10" t="b">
        <f>IF(I441="TP",VLOOKUP(AF441,TPCalibEqFull!$AZ$2:$BB$56,3),IF(I441="TDP",VLOOKUP(AF441,TPCalibEqFull!$AZ$2:$BB$56,3),IF(I441="TDN",VLOOKUP(AF441,TNCalibEqFull!$AZ$1:$BB$56,3),IF(I441="TN",VLOOKUP(AF441,TNCalibEqFull!$AZ$1:$BB$56,3),FALSE))))</f>
        <v>0</v>
      </c>
      <c r="AV441" s="10" t="str">
        <f t="shared" si="46"/>
        <v>0110 08:45:00-QAC-BLK-A-1-DI-ESF</v>
      </c>
    </row>
    <row r="442" spans="1:48" s="10" customFormat="1" x14ac:dyDescent="0.55000000000000004">
      <c r="A442" s="32">
        <v>44935</v>
      </c>
      <c r="B442" s="33">
        <v>0.25</v>
      </c>
      <c r="C442" s="10" t="s">
        <v>70</v>
      </c>
      <c r="D442" s="10" t="s">
        <v>241</v>
      </c>
      <c r="E442" s="10" t="s">
        <v>911</v>
      </c>
      <c r="F442" s="10">
        <v>1</v>
      </c>
      <c r="G442" s="10" t="s">
        <v>73</v>
      </c>
      <c r="H442" s="10" t="s">
        <v>264</v>
      </c>
      <c r="I442" s="10" t="s">
        <v>183</v>
      </c>
      <c r="J442" s="10">
        <v>35</v>
      </c>
      <c r="K442" s="12">
        <v>44937</v>
      </c>
      <c r="L442" s="33">
        <v>0.48962962962962964</v>
      </c>
      <c r="M442" s="10">
        <v>1</v>
      </c>
      <c r="N442" s="10" t="s">
        <v>76</v>
      </c>
      <c r="O442" s="10">
        <v>0.10299999999999999</v>
      </c>
      <c r="P442" s="10">
        <v>7.9000000000000008E-3</v>
      </c>
      <c r="Q442" s="10">
        <v>5.91</v>
      </c>
      <c r="R442" s="10" t="s">
        <v>77</v>
      </c>
      <c r="S442" s="34">
        <f t="shared" si="42"/>
        <v>5.91</v>
      </c>
      <c r="T442" s="10" t="s">
        <v>997</v>
      </c>
      <c r="U442" s="34">
        <f t="shared" si="43"/>
        <v>5.91</v>
      </c>
      <c r="V442" s="31" t="str">
        <f>IF(H442="CHK",VLOOKUP(I442,QCCHK,3,),IF(H442="GUP",VLOOKUP(E442,QCGUP,2,),IF(AND(H442="ATP",OR(I442="TN",I442="TDN",I442="TNO2-3",I442="NO2-3")),VLOOKUP(E442,QCREC_N,2,),IF(AND(H442="NIC",OR(I442="TN",I442="TDN",I442="TNO2-3",I442="NO2-3")),VLOOKUP(E442,QCNIC_N,2,),IF(AND(H442="UREA",OR(I442="TN",I442="TDN",I442="TNO2-3",I442="NO2-3")),VLOOKUP(E442,QCUREA_N,2,),IF(H442="PER",VLOOKUP(I442,QCPER,MATCH(E442,QCACTUAL!$J$25:$AA$25,0),),IF(H442="SPK",VLOOKUP(I442,QCSPK,3,),IF(AND(H442="ATP",OR(I442="TP",I442="TDP")),VLOOKUP(E442,QCATP_P,2,),""))))))))</f>
        <v/>
      </c>
      <c r="W442" s="31" t="str">
        <f t="shared" si="44"/>
        <v>TRUE</v>
      </c>
      <c r="X442" s="31" t="str">
        <f t="shared" si="45"/>
        <v>nominal concentration</v>
      </c>
      <c r="Y442" s="10" t="s">
        <v>992</v>
      </c>
      <c r="Z442" s="10" t="s">
        <v>910</v>
      </c>
      <c r="AL442" s="10" t="str">
        <f t="shared" si="47"/>
        <v>FALSE</v>
      </c>
      <c r="AM442" s="10" t="str">
        <f t="shared" si="47"/>
        <v>FALSE</v>
      </c>
      <c r="AN442" s="10" t="str">
        <f t="shared" si="47"/>
        <v>FALSE</v>
      </c>
      <c r="AO442" s="10" t="str">
        <f t="shared" si="48"/>
        <v>FALSE</v>
      </c>
      <c r="AP442" s="10" t="str">
        <f t="shared" si="48"/>
        <v>FALSE</v>
      </c>
      <c r="AQ442" s="10" t="b">
        <f>IF(AND(I442="TP",S442&lt;=150),VLOOKUP(AF442,TPCalibEq150!$AZ$2:$BB$55,3,),IF(AND(I442="TDP",S442&lt;=150),VLOOKUP(AF442,TPCalibEq150!$AZ$2:$BB$55,3,)))</f>
        <v>0</v>
      </c>
      <c r="AR442" s="10" t="b">
        <f>IF(AND(I442="TP",S442&lt;=300),VLOOKUP(AF442,TPCalibEq300!$AZ$2:$BB$55,3,),IF(AND(I442="TDP",S442&lt;=300),VLOOKUP(AF442,TPCalibEq300!$AZ$2:$BB$55,3,)))</f>
        <v>0</v>
      </c>
      <c r="AS442" s="10" t="b">
        <f>IF(AND(I442="TP",S442&lt;=500),VLOOKUP(AF442,TPCalibEq500!$AZ$2:$BB$56,3,),IF(AND(I442="TDP",S442&lt;=500),VLOOKUP(AF442,TPCalibEq500!$AZ$2:$BB$56,3,)))</f>
        <v>0</v>
      </c>
      <c r="AT442" s="10" t="b">
        <f>IF(AND(I442="TN",S442&lt;=2800),VLOOKUP(AF442,TNCalibEq2500!$AZ$2:$BB$56,3,),IF(AND(I442="TDN",S442&lt;=2800),VLOOKUP(AF442,TNCalibEq2500!$AZ$2:$BB$56,3,)))</f>
        <v>0</v>
      </c>
      <c r="AU442" s="10" t="b">
        <f>IF(I442="TP",VLOOKUP(AF442,TPCalibEqFull!$AZ$2:$BB$56,3),IF(I442="TDP",VLOOKUP(AF442,TPCalibEqFull!$AZ$2:$BB$56,3),IF(I442="TDN",VLOOKUP(AF442,TNCalibEqFull!$AZ$1:$BB$56,3),IF(I442="TN",VLOOKUP(AF442,TNCalibEqFull!$AZ$1:$BB$56,3),FALSE))))</f>
        <v>0</v>
      </c>
      <c r="AV442" s="10" t="str">
        <f t="shared" si="46"/>
        <v>0109 06:00:00-QAC-BLK-FIL-1-DI-FLD</v>
      </c>
    </row>
    <row r="443" spans="1:48" s="10" customFormat="1" x14ac:dyDescent="0.55000000000000004">
      <c r="A443" s="32">
        <v>44936</v>
      </c>
      <c r="B443" s="33">
        <v>0.36458333333333331</v>
      </c>
      <c r="C443" s="10" t="s">
        <v>70</v>
      </c>
      <c r="D443" s="10" t="s">
        <v>241</v>
      </c>
      <c r="E443" s="10" t="s">
        <v>911</v>
      </c>
      <c r="F443" s="10">
        <v>1</v>
      </c>
      <c r="G443" s="10" t="s">
        <v>73</v>
      </c>
      <c r="H443" s="10" t="s">
        <v>245</v>
      </c>
      <c r="I443" s="10" t="s">
        <v>183</v>
      </c>
      <c r="J443" s="10">
        <v>36</v>
      </c>
      <c r="K443" s="12">
        <v>44937</v>
      </c>
      <c r="L443" s="33">
        <v>0.48716435185185186</v>
      </c>
      <c r="M443" s="10">
        <v>1</v>
      </c>
      <c r="N443" s="10" t="s">
        <v>76</v>
      </c>
      <c r="O443" s="10">
        <v>6.5600000000000006E-2</v>
      </c>
      <c r="P443" s="10">
        <v>4.5799999999999999E-3</v>
      </c>
      <c r="Q443" s="10">
        <v>3.75</v>
      </c>
      <c r="R443" s="10" t="s">
        <v>77</v>
      </c>
      <c r="S443" s="34">
        <f t="shared" si="42"/>
        <v>3.75</v>
      </c>
      <c r="T443" s="10" t="s">
        <v>997</v>
      </c>
      <c r="U443" s="34">
        <f t="shared" si="43"/>
        <v>3.75</v>
      </c>
      <c r="V443" s="31" t="str">
        <f>IF(H443="CHK",VLOOKUP(I443,QCCHK,3,),IF(H443="GUP",VLOOKUP(E443,QCGUP,2,),IF(AND(H443="ATP",OR(I443="TN",I443="TDN",I443="TNO2-3",I443="NO2-3")),VLOOKUP(E443,QCREC_N,2,),IF(AND(H443="NIC",OR(I443="TN",I443="TDN",I443="TNO2-3",I443="NO2-3")),VLOOKUP(E443,QCNIC_N,2,),IF(AND(H443="UREA",OR(I443="TN",I443="TDN",I443="TNO2-3",I443="NO2-3")),VLOOKUP(E443,QCUREA_N,2,),IF(H443="PER",VLOOKUP(I443,QCPER,MATCH(E443,QCACTUAL!$J$25:$AA$25,0),),IF(H443="SPK",VLOOKUP(I443,QCSPK,3,),IF(AND(H443="ATP",OR(I443="TP",I443="TDP")),VLOOKUP(E443,QCATP_P,2,),""))))))))</f>
        <v/>
      </c>
      <c r="W443" s="31" t="str">
        <f t="shared" si="44"/>
        <v>TRUE</v>
      </c>
      <c r="X443" s="31" t="str">
        <f t="shared" si="45"/>
        <v>nominal concentration</v>
      </c>
      <c r="Y443" s="10" t="s">
        <v>992</v>
      </c>
      <c r="AL443" s="10" t="str">
        <f t="shared" si="47"/>
        <v>FALSE</v>
      </c>
      <c r="AM443" s="10" t="str">
        <f t="shared" si="47"/>
        <v>FALSE</v>
      </c>
      <c r="AN443" s="10" t="str">
        <f t="shared" si="47"/>
        <v>FALSE</v>
      </c>
      <c r="AO443" s="10" t="str">
        <f t="shared" si="48"/>
        <v>FALSE</v>
      </c>
      <c r="AP443" s="10" t="str">
        <f t="shared" si="48"/>
        <v>FALSE</v>
      </c>
      <c r="AQ443" s="10" t="b">
        <f>IF(AND(I443="TP",S443&lt;=150),VLOOKUP(AF443,TPCalibEq150!$AZ$2:$BB$55,3,),IF(AND(I443="TDP",S443&lt;=150),VLOOKUP(AF443,TPCalibEq150!$AZ$2:$BB$55,3,)))</f>
        <v>0</v>
      </c>
      <c r="AR443" s="10" t="b">
        <f>IF(AND(I443="TP",S443&lt;=300),VLOOKUP(AF443,TPCalibEq300!$AZ$2:$BB$55,3,),IF(AND(I443="TDP",S443&lt;=300),VLOOKUP(AF443,TPCalibEq300!$AZ$2:$BB$55,3,)))</f>
        <v>0</v>
      </c>
      <c r="AS443" s="10" t="b">
        <f>IF(AND(I443="TP",S443&lt;=500),VLOOKUP(AF443,TPCalibEq500!$AZ$2:$BB$56,3,),IF(AND(I443="TDP",S443&lt;=500),VLOOKUP(AF443,TPCalibEq500!$AZ$2:$BB$56,3,)))</f>
        <v>0</v>
      </c>
      <c r="AT443" s="10" t="b">
        <f>IF(AND(I443="TN",S443&lt;=2800),VLOOKUP(AF443,TNCalibEq2500!$AZ$2:$BB$56,3,),IF(AND(I443="TDN",S443&lt;=2800),VLOOKUP(AF443,TNCalibEq2500!$AZ$2:$BB$56,3,)))</f>
        <v>0</v>
      </c>
      <c r="AU443" s="10" t="b">
        <f>IF(I443="TP",VLOOKUP(AF443,TPCalibEqFull!$AZ$2:$BB$56,3),IF(I443="TDP",VLOOKUP(AF443,TPCalibEqFull!$AZ$2:$BB$56,3),IF(I443="TDN",VLOOKUP(AF443,TNCalibEqFull!$AZ$1:$BB$56,3),IF(I443="TN",VLOOKUP(AF443,TNCalibEqFull!$AZ$1:$BB$56,3),FALSE))))</f>
        <v>0</v>
      </c>
      <c r="AV443" s="10" t="str">
        <f t="shared" si="46"/>
        <v>0110 08:45:00-QAC-BLK-FIL-1-DI-ESF</v>
      </c>
    </row>
    <row r="444" spans="1:48" s="10" customFormat="1" x14ac:dyDescent="0.55000000000000004">
      <c r="A444" s="32">
        <v>44930</v>
      </c>
      <c r="B444" s="33">
        <v>0.22569444444444445</v>
      </c>
      <c r="C444" s="10" t="s">
        <v>279</v>
      </c>
      <c r="D444" s="10">
        <v>0</v>
      </c>
      <c r="E444" s="10" t="s">
        <v>160</v>
      </c>
      <c r="F444" s="10">
        <v>1</v>
      </c>
      <c r="G444" s="10" t="s">
        <v>231</v>
      </c>
      <c r="H444" s="10" t="s">
        <v>322</v>
      </c>
      <c r="I444" s="10" t="s">
        <v>75</v>
      </c>
      <c r="J444" s="10">
        <v>1</v>
      </c>
      <c r="K444" s="12">
        <v>44937</v>
      </c>
      <c r="L444" s="33">
        <v>0.4904513888888889</v>
      </c>
      <c r="M444" s="10">
        <v>1</v>
      </c>
      <c r="N444" s="10" t="s">
        <v>76</v>
      </c>
      <c r="O444" s="10">
        <v>0.88300000000000001</v>
      </c>
      <c r="P444" s="10">
        <v>6.8199999999999997E-2</v>
      </c>
      <c r="Q444" s="10">
        <v>50.6</v>
      </c>
      <c r="R444" s="10" t="s">
        <v>77</v>
      </c>
      <c r="S444" s="34">
        <f t="shared" si="42"/>
        <v>50.6</v>
      </c>
      <c r="T444" s="10" t="s">
        <v>997</v>
      </c>
      <c r="U444" s="34" t="str">
        <f t="shared" si="43"/>
        <v/>
      </c>
      <c r="V444" s="31" t="str">
        <f>IF(H444="CHK",VLOOKUP(I444,QCCHK,3,),IF(H444="GUP",VLOOKUP(E444,QCGUP,2,),IF(AND(H444="ATP",OR(I444="TN",I444="TDN",I444="TNO2-3",I444="NO2-3")),VLOOKUP(E444,QCREC_N,2,),IF(AND(H444="NIC",OR(I444="TN",I444="TDN",I444="TNO2-3",I444="NO2-3")),VLOOKUP(E444,QCNIC_N,2,),IF(AND(H444="UREA",OR(I444="TN",I444="TDN",I444="TNO2-3",I444="NO2-3")),VLOOKUP(E444,QCUREA_N,2,),IF(H444="PER",VLOOKUP(I444,QCPER,MATCH(E444,QCACTUAL!$J$25:$AA$25,0),),IF(H444="SPK",VLOOKUP(I444,QCSPK,3,),IF(AND(H444="ATP",OR(I444="TP",I444="TDP")),VLOOKUP(E444,QCATP_P,2,),""))))))))</f>
        <v/>
      </c>
      <c r="W444" s="31" t="str">
        <f t="shared" si="44"/>
        <v>TRUE</v>
      </c>
      <c r="X444" s="31" t="str">
        <f t="shared" si="45"/>
        <v/>
      </c>
      <c r="Y444" s="10" t="s">
        <v>992</v>
      </c>
      <c r="Z444" s="10" t="s">
        <v>910</v>
      </c>
      <c r="AL444" s="10" t="str">
        <f t="shared" si="47"/>
        <v>FALSE</v>
      </c>
      <c r="AM444" s="10" t="str">
        <f t="shared" si="47"/>
        <v>FALSE</v>
      </c>
      <c r="AN444" s="10" t="str">
        <f t="shared" si="47"/>
        <v>FALSE</v>
      </c>
      <c r="AO444" s="10" t="str">
        <f t="shared" si="48"/>
        <v>FALSE</v>
      </c>
      <c r="AP444" s="10" t="str">
        <f t="shared" si="48"/>
        <v>FALSE</v>
      </c>
      <c r="AQ444" s="10" t="b">
        <f>IF(AND(I444="TP",S444&lt;=150),VLOOKUP(AF444,TPCalibEq150!$AZ$2:$BB$55,3,),IF(AND(I444="TDP",S444&lt;=150),VLOOKUP(AF444,TPCalibEq150!$AZ$2:$BB$55,3,)))</f>
        <v>0</v>
      </c>
      <c r="AR444" s="10" t="b">
        <f>IF(AND(I444="TP",S444&lt;=300),VLOOKUP(AF444,TPCalibEq300!$AZ$2:$BB$55,3,),IF(AND(I444="TDP",S444&lt;=300),VLOOKUP(AF444,TPCalibEq300!$AZ$2:$BB$55,3,)))</f>
        <v>0</v>
      </c>
      <c r="AS444" s="10" t="b">
        <f>IF(AND(I444="TP",S444&lt;=500),VLOOKUP(AF444,TPCalibEq500!$AZ$2:$BB$56,3,),IF(AND(I444="TDP",S444&lt;=500),VLOOKUP(AF444,TPCalibEq500!$AZ$2:$BB$56,3,)))</f>
        <v>0</v>
      </c>
      <c r="AT444" s="10" t="b">
        <f>IF(AND(I444="TN",S444&lt;=2800),VLOOKUP(AF444,TNCalibEq2500!$AZ$2:$BB$56,3,),IF(AND(I444="TDN",S444&lt;=2800),VLOOKUP(AF444,TNCalibEq2500!$AZ$2:$BB$56,3,)))</f>
        <v>0</v>
      </c>
      <c r="AU444" s="10" t="b">
        <f>IF(I444="TP",VLOOKUP(AF444,TPCalibEqFull!$AZ$2:$BB$56,3),IF(I444="TDP",VLOOKUP(AF444,TPCalibEqFull!$AZ$2:$BB$56,3),IF(I444="TDN",VLOOKUP(AF444,TNCalibEqFull!$AZ$1:$BB$56,3),IF(I444="TN",VLOOKUP(AF444,TNCalibEqFull!$AZ$1:$BB$56,3),FALSE))))</f>
        <v>0</v>
      </c>
      <c r="AV444" s="10" t="str">
        <f t="shared" si="46"/>
        <v>0104 05:25:00-EFK-0-L-1-SW-UKN</v>
      </c>
    </row>
    <row r="445" spans="1:48" s="10" customFormat="1" x14ac:dyDescent="0.55000000000000004">
      <c r="A445" s="32">
        <v>44930</v>
      </c>
      <c r="B445" s="33">
        <v>0.22916666666666666</v>
      </c>
      <c r="C445" s="10" t="s">
        <v>333</v>
      </c>
      <c r="D445" s="10">
        <v>0</v>
      </c>
      <c r="E445" s="10" t="s">
        <v>190</v>
      </c>
      <c r="F445" s="10">
        <v>1</v>
      </c>
      <c r="G445" s="10" t="s">
        <v>231</v>
      </c>
      <c r="H445" s="10" t="s">
        <v>322</v>
      </c>
      <c r="I445" s="10" t="s">
        <v>75</v>
      </c>
      <c r="J445" s="10">
        <v>2</v>
      </c>
      <c r="K445" s="12">
        <v>44937</v>
      </c>
      <c r="L445" s="33">
        <v>0.4912731481481481</v>
      </c>
      <c r="M445" s="10">
        <v>1</v>
      </c>
      <c r="N445" s="10" t="s">
        <v>76</v>
      </c>
      <c r="O445" s="10">
        <v>0.223</v>
      </c>
      <c r="P445" s="10">
        <v>1.54E-2</v>
      </c>
      <c r="Q445" s="10">
        <v>12.8</v>
      </c>
      <c r="R445" s="10" t="s">
        <v>77</v>
      </c>
      <c r="S445" s="34">
        <f t="shared" si="42"/>
        <v>12.8</v>
      </c>
      <c r="T445" s="10" t="s">
        <v>997</v>
      </c>
      <c r="U445" s="34" t="str">
        <f t="shared" si="43"/>
        <v/>
      </c>
      <c r="V445" s="31" t="str">
        <f>IF(H445="CHK",VLOOKUP(I445,QCCHK,3,),IF(H445="GUP",VLOOKUP(E445,QCGUP,2,),IF(AND(H445="ATP",OR(I445="TN",I445="TDN",I445="TNO2-3",I445="NO2-3")),VLOOKUP(E445,QCREC_N,2,),IF(AND(H445="NIC",OR(I445="TN",I445="TDN",I445="TNO2-3",I445="NO2-3")),VLOOKUP(E445,QCNIC_N,2,),IF(AND(H445="UREA",OR(I445="TN",I445="TDN",I445="TNO2-3",I445="NO2-3")),VLOOKUP(E445,QCUREA_N,2,),IF(H445="PER",VLOOKUP(I445,QCPER,MATCH(E445,QCACTUAL!$J$25:$AA$25,0),),IF(H445="SPK",VLOOKUP(I445,QCSPK,3,),IF(AND(H445="ATP",OR(I445="TP",I445="TDP")),VLOOKUP(E445,QCATP_P,2,),""))))))))</f>
        <v/>
      </c>
      <c r="W445" s="31" t="str">
        <f t="shared" si="44"/>
        <v>TRUE</v>
      </c>
      <c r="X445" s="31" t="str">
        <f t="shared" si="45"/>
        <v/>
      </c>
      <c r="Y445" s="10" t="s">
        <v>992</v>
      </c>
      <c r="Z445" s="10" t="s">
        <v>910</v>
      </c>
      <c r="AL445" s="10" t="str">
        <f t="shared" si="47"/>
        <v>FALSE</v>
      </c>
      <c r="AM445" s="10" t="str">
        <f t="shared" si="47"/>
        <v>FALSE</v>
      </c>
      <c r="AN445" s="10" t="str">
        <f t="shared" si="47"/>
        <v>FALSE</v>
      </c>
      <c r="AO445" s="10" t="str">
        <f t="shared" si="48"/>
        <v>FALSE</v>
      </c>
      <c r="AP445" s="10" t="str">
        <f t="shared" si="48"/>
        <v>FALSE</v>
      </c>
      <c r="AQ445" s="10" t="b">
        <f>IF(AND(I445="TP",S445&lt;=150),VLOOKUP(AF445,TPCalibEq150!$AZ$2:$BB$55,3,),IF(AND(I445="TDP",S445&lt;=150),VLOOKUP(AF445,TPCalibEq150!$AZ$2:$BB$55,3,)))</f>
        <v>0</v>
      </c>
      <c r="AR445" s="10" t="b">
        <f>IF(AND(I445="TP",S445&lt;=300),VLOOKUP(AF445,TPCalibEq300!$AZ$2:$BB$55,3,),IF(AND(I445="TDP",S445&lt;=300),VLOOKUP(AF445,TPCalibEq300!$AZ$2:$BB$55,3,)))</f>
        <v>0</v>
      </c>
      <c r="AS445" s="10" t="b">
        <f>IF(AND(I445="TP",S445&lt;=500),VLOOKUP(AF445,TPCalibEq500!$AZ$2:$BB$56,3,),IF(AND(I445="TDP",S445&lt;=500),VLOOKUP(AF445,TPCalibEq500!$AZ$2:$BB$56,3,)))</f>
        <v>0</v>
      </c>
      <c r="AT445" s="10" t="b">
        <f>IF(AND(I445="TN",S445&lt;=2800),VLOOKUP(AF445,TNCalibEq2500!$AZ$2:$BB$56,3,),IF(AND(I445="TDN",S445&lt;=2800),VLOOKUP(AF445,TNCalibEq2500!$AZ$2:$BB$56,3,)))</f>
        <v>0</v>
      </c>
      <c r="AU445" s="10" t="b">
        <f>IF(I445="TP",VLOOKUP(AF445,TPCalibEqFull!$AZ$2:$BB$56,3),IF(I445="TDP",VLOOKUP(AF445,TPCalibEqFull!$AZ$2:$BB$56,3),IF(I445="TDN",VLOOKUP(AF445,TNCalibEqFull!$AZ$1:$BB$56,3),IF(I445="TN",VLOOKUP(AF445,TNCalibEqFull!$AZ$1:$BB$56,3),FALSE))))</f>
        <v>0</v>
      </c>
      <c r="AV445" s="10" t="str">
        <f t="shared" si="46"/>
        <v>0104 05:30:00-HST-0-C-1-SW-UKN</v>
      </c>
    </row>
    <row r="446" spans="1:48" s="10" customFormat="1" x14ac:dyDescent="0.55000000000000004">
      <c r="A446" s="32">
        <v>44931</v>
      </c>
      <c r="B446" s="33">
        <v>0.44513888888888892</v>
      </c>
      <c r="C446" s="10" t="s">
        <v>279</v>
      </c>
      <c r="D446" s="10">
        <v>0</v>
      </c>
      <c r="E446" s="10" t="s">
        <v>160</v>
      </c>
      <c r="F446" s="10">
        <v>1</v>
      </c>
      <c r="G446" s="10" t="s">
        <v>231</v>
      </c>
      <c r="H446" s="10" t="s">
        <v>322</v>
      </c>
      <c r="I446" s="10" t="s">
        <v>75</v>
      </c>
      <c r="J446" s="10">
        <v>3</v>
      </c>
      <c r="K446" s="12">
        <v>44937</v>
      </c>
      <c r="L446" s="33">
        <v>0.49210648148148151</v>
      </c>
      <c r="M446" s="10">
        <v>1</v>
      </c>
      <c r="N446" s="10" t="s">
        <v>76</v>
      </c>
      <c r="O446" s="10">
        <v>0.30099999999999999</v>
      </c>
      <c r="P446" s="10">
        <v>2.0400000000000001E-2</v>
      </c>
      <c r="Q446" s="10">
        <v>17.2</v>
      </c>
      <c r="R446" s="10" t="s">
        <v>77</v>
      </c>
      <c r="S446" s="34">
        <f t="shared" si="42"/>
        <v>17.2</v>
      </c>
      <c r="T446" s="10" t="s">
        <v>997</v>
      </c>
      <c r="U446" s="34" t="str">
        <f t="shared" si="43"/>
        <v/>
      </c>
      <c r="V446" s="31" t="str">
        <f>IF(H446="CHK",VLOOKUP(I446,QCCHK,3,),IF(H446="GUP",VLOOKUP(E446,QCGUP,2,),IF(AND(H446="ATP",OR(I446="TN",I446="TDN",I446="TNO2-3",I446="NO2-3")),VLOOKUP(E446,QCREC_N,2,),IF(AND(H446="NIC",OR(I446="TN",I446="TDN",I446="TNO2-3",I446="NO2-3")),VLOOKUP(E446,QCNIC_N,2,),IF(AND(H446="UREA",OR(I446="TN",I446="TDN",I446="TNO2-3",I446="NO2-3")),VLOOKUP(E446,QCUREA_N,2,),IF(H446="PER",VLOOKUP(I446,QCPER,MATCH(E446,QCACTUAL!$J$25:$AA$25,0),),IF(H446="SPK",VLOOKUP(I446,QCSPK,3,),IF(AND(H446="ATP",OR(I446="TP",I446="TDP")),VLOOKUP(E446,QCATP_P,2,),""))))))))</f>
        <v/>
      </c>
      <c r="W446" s="31" t="str">
        <f t="shared" si="44"/>
        <v>TRUE</v>
      </c>
      <c r="X446" s="31" t="str">
        <f t="shared" si="45"/>
        <v/>
      </c>
      <c r="Y446" s="10" t="s">
        <v>992</v>
      </c>
      <c r="Z446" s="10" t="s">
        <v>910</v>
      </c>
      <c r="AL446" s="10" t="str">
        <f t="shared" si="47"/>
        <v>FALSE</v>
      </c>
      <c r="AM446" s="10" t="str">
        <f t="shared" si="47"/>
        <v>FALSE</v>
      </c>
      <c r="AN446" s="10" t="str">
        <f t="shared" si="47"/>
        <v>FALSE</v>
      </c>
      <c r="AO446" s="10" t="str">
        <f t="shared" si="48"/>
        <v>FALSE</v>
      </c>
      <c r="AP446" s="10" t="str">
        <f t="shared" si="48"/>
        <v>FALSE</v>
      </c>
      <c r="AQ446" s="10" t="b">
        <f>IF(AND(I446="TP",S446&lt;=150),VLOOKUP(AF446,TPCalibEq150!$AZ$2:$BB$55,3,),IF(AND(I446="TDP",S446&lt;=150),VLOOKUP(AF446,TPCalibEq150!$AZ$2:$BB$55,3,)))</f>
        <v>0</v>
      </c>
      <c r="AR446" s="10" t="b">
        <f>IF(AND(I446="TP",S446&lt;=300),VLOOKUP(AF446,TPCalibEq300!$AZ$2:$BB$55,3,),IF(AND(I446="TDP",S446&lt;=300),VLOOKUP(AF446,TPCalibEq300!$AZ$2:$BB$55,3,)))</f>
        <v>0</v>
      </c>
      <c r="AS446" s="10" t="b">
        <f>IF(AND(I446="TP",S446&lt;=500),VLOOKUP(AF446,TPCalibEq500!$AZ$2:$BB$56,3,),IF(AND(I446="TDP",S446&lt;=500),VLOOKUP(AF446,TPCalibEq500!$AZ$2:$BB$56,3,)))</f>
        <v>0</v>
      </c>
      <c r="AT446" s="10" t="b">
        <f>IF(AND(I446="TN",S446&lt;=2800),VLOOKUP(AF446,TNCalibEq2500!$AZ$2:$BB$56,3,),IF(AND(I446="TDN",S446&lt;=2800),VLOOKUP(AF446,TNCalibEq2500!$AZ$2:$BB$56,3,)))</f>
        <v>0</v>
      </c>
      <c r="AU446" s="10" t="b">
        <f>IF(I446="TP",VLOOKUP(AF446,TPCalibEqFull!$AZ$2:$BB$56,3),IF(I446="TDP",VLOOKUP(AF446,TPCalibEqFull!$AZ$2:$BB$56,3),IF(I446="TDN",VLOOKUP(AF446,TNCalibEqFull!$AZ$1:$BB$56,3),IF(I446="TN",VLOOKUP(AF446,TNCalibEqFull!$AZ$1:$BB$56,3),FALSE))))</f>
        <v>0</v>
      </c>
      <c r="AV446" s="10" t="str">
        <f t="shared" si="46"/>
        <v>0105 10:41:00-EFK-0-L-1-SW-UKN</v>
      </c>
    </row>
    <row r="447" spans="1:48" s="10" customFormat="1" x14ac:dyDescent="0.55000000000000004">
      <c r="A447" s="32">
        <v>44931</v>
      </c>
      <c r="B447" s="33">
        <v>0.45069444444444445</v>
      </c>
      <c r="C447" s="10" t="s">
        <v>333</v>
      </c>
      <c r="D447" s="10">
        <v>0</v>
      </c>
      <c r="E447" s="10" t="s">
        <v>190</v>
      </c>
      <c r="F447" s="10">
        <v>1</v>
      </c>
      <c r="G447" s="10" t="s">
        <v>231</v>
      </c>
      <c r="H447" s="10" t="s">
        <v>322</v>
      </c>
      <c r="I447" s="10" t="s">
        <v>75</v>
      </c>
      <c r="J447" s="10">
        <v>4</v>
      </c>
      <c r="K447" s="12">
        <v>44937</v>
      </c>
      <c r="L447" s="33">
        <v>0.49291666666666667</v>
      </c>
      <c r="M447" s="10">
        <v>1</v>
      </c>
      <c r="N447" s="10" t="s">
        <v>76</v>
      </c>
      <c r="O447" s="10">
        <v>0.114</v>
      </c>
      <c r="P447" s="10">
        <v>7.7299999999999999E-3</v>
      </c>
      <c r="Q447" s="10">
        <v>6.54</v>
      </c>
      <c r="R447" s="10" t="s">
        <v>77</v>
      </c>
      <c r="S447" s="34">
        <f t="shared" si="42"/>
        <v>6.54</v>
      </c>
      <c r="T447" s="10" t="s">
        <v>997</v>
      </c>
      <c r="U447" s="34" t="str">
        <f t="shared" si="43"/>
        <v/>
      </c>
      <c r="V447" s="31" t="str">
        <f>IF(H447="CHK",VLOOKUP(I447,QCCHK,3,),IF(H447="GUP",VLOOKUP(E447,QCGUP,2,),IF(AND(H447="ATP",OR(I447="TN",I447="TDN",I447="TNO2-3",I447="NO2-3")),VLOOKUP(E447,QCREC_N,2,),IF(AND(H447="NIC",OR(I447="TN",I447="TDN",I447="TNO2-3",I447="NO2-3")),VLOOKUP(E447,QCNIC_N,2,),IF(AND(H447="UREA",OR(I447="TN",I447="TDN",I447="TNO2-3",I447="NO2-3")),VLOOKUP(E447,QCUREA_N,2,),IF(H447="PER",VLOOKUP(I447,QCPER,MATCH(E447,QCACTUAL!$J$25:$AA$25,0),),IF(H447="SPK",VLOOKUP(I447,QCSPK,3,),IF(AND(H447="ATP",OR(I447="TP",I447="TDP")),VLOOKUP(E447,QCATP_P,2,),""))))))))</f>
        <v/>
      </c>
      <c r="W447" s="31" t="str">
        <f t="shared" si="44"/>
        <v>TRUE</v>
      </c>
      <c r="X447" s="31" t="str">
        <f t="shared" si="45"/>
        <v/>
      </c>
      <c r="Y447" s="10" t="s">
        <v>992</v>
      </c>
      <c r="Z447" s="10" t="s">
        <v>910</v>
      </c>
      <c r="AL447" s="10" t="str">
        <f t="shared" si="47"/>
        <v>FALSE</v>
      </c>
      <c r="AM447" s="10" t="str">
        <f t="shared" si="47"/>
        <v>FALSE</v>
      </c>
      <c r="AN447" s="10" t="str">
        <f t="shared" si="47"/>
        <v>FALSE</v>
      </c>
      <c r="AO447" s="10" t="str">
        <f t="shared" si="48"/>
        <v>FALSE</v>
      </c>
      <c r="AP447" s="10" t="str">
        <f t="shared" si="48"/>
        <v>FALSE</v>
      </c>
      <c r="AQ447" s="10" t="b">
        <f>IF(AND(I447="TP",S447&lt;=150),VLOOKUP(AF447,TPCalibEq150!$AZ$2:$BB$55,3,),IF(AND(I447="TDP",S447&lt;=150),VLOOKUP(AF447,TPCalibEq150!$AZ$2:$BB$55,3,)))</f>
        <v>0</v>
      </c>
      <c r="AR447" s="10" t="b">
        <f>IF(AND(I447="TP",S447&lt;=300),VLOOKUP(AF447,TPCalibEq300!$AZ$2:$BB$55,3,),IF(AND(I447="TDP",S447&lt;=300),VLOOKUP(AF447,TPCalibEq300!$AZ$2:$BB$55,3,)))</f>
        <v>0</v>
      </c>
      <c r="AS447" s="10" t="b">
        <f>IF(AND(I447="TP",S447&lt;=500),VLOOKUP(AF447,TPCalibEq500!$AZ$2:$BB$56,3,),IF(AND(I447="TDP",S447&lt;=500),VLOOKUP(AF447,TPCalibEq500!$AZ$2:$BB$56,3,)))</f>
        <v>0</v>
      </c>
      <c r="AT447" s="10" t="b">
        <f>IF(AND(I447="TN",S447&lt;=2800),VLOOKUP(AF447,TNCalibEq2500!$AZ$2:$BB$56,3,),IF(AND(I447="TDN",S447&lt;=2800),VLOOKUP(AF447,TNCalibEq2500!$AZ$2:$BB$56,3,)))</f>
        <v>0</v>
      </c>
      <c r="AU447" s="10" t="b">
        <f>IF(I447="TP",VLOOKUP(AF447,TPCalibEqFull!$AZ$2:$BB$56,3),IF(I447="TDP",VLOOKUP(AF447,TPCalibEqFull!$AZ$2:$BB$56,3),IF(I447="TDN",VLOOKUP(AF447,TNCalibEqFull!$AZ$1:$BB$56,3),IF(I447="TN",VLOOKUP(AF447,TNCalibEqFull!$AZ$1:$BB$56,3),FALSE))))</f>
        <v>0</v>
      </c>
      <c r="AV447" s="10" t="str">
        <f t="shared" si="46"/>
        <v>0105 10:49:00-HST-0-C-1-SW-UKN</v>
      </c>
    </row>
    <row r="448" spans="1:48" s="10" customFormat="1" x14ac:dyDescent="0.55000000000000004">
      <c r="A448" s="32">
        <v>44932</v>
      </c>
      <c r="B448" s="33">
        <v>0.53333333333333333</v>
      </c>
      <c r="C448" s="10" t="s">
        <v>279</v>
      </c>
      <c r="D448" s="10">
        <v>0</v>
      </c>
      <c r="E448" s="10" t="s">
        <v>160</v>
      </c>
      <c r="F448" s="10">
        <v>1</v>
      </c>
      <c r="G448" s="10" t="s">
        <v>231</v>
      </c>
      <c r="H448" s="10" t="s">
        <v>322</v>
      </c>
      <c r="I448" s="10" t="s">
        <v>75</v>
      </c>
      <c r="J448" s="10">
        <v>5</v>
      </c>
      <c r="K448" s="12">
        <v>44937</v>
      </c>
      <c r="L448" s="33">
        <v>0.49373842592592593</v>
      </c>
      <c r="M448" s="10">
        <v>1</v>
      </c>
      <c r="N448" s="10" t="s">
        <v>76</v>
      </c>
      <c r="O448" s="10">
        <v>0.34200000000000003</v>
      </c>
      <c r="P448" s="10">
        <v>2.4500000000000001E-2</v>
      </c>
      <c r="Q448" s="10">
        <v>19.600000000000001</v>
      </c>
      <c r="R448" s="10" t="s">
        <v>77</v>
      </c>
      <c r="S448" s="34">
        <f t="shared" si="42"/>
        <v>19.600000000000001</v>
      </c>
      <c r="T448" s="10" t="s">
        <v>997</v>
      </c>
      <c r="U448" s="34" t="str">
        <f t="shared" si="43"/>
        <v/>
      </c>
      <c r="V448" s="31" t="str">
        <f>IF(H448="CHK",VLOOKUP(I448,QCCHK,3,),IF(H448="GUP",VLOOKUP(E448,QCGUP,2,),IF(AND(H448="ATP",OR(I448="TN",I448="TDN",I448="TNO2-3",I448="NO2-3")),VLOOKUP(E448,QCREC_N,2,),IF(AND(H448="NIC",OR(I448="TN",I448="TDN",I448="TNO2-3",I448="NO2-3")),VLOOKUP(E448,QCNIC_N,2,),IF(AND(H448="UREA",OR(I448="TN",I448="TDN",I448="TNO2-3",I448="NO2-3")),VLOOKUP(E448,QCUREA_N,2,),IF(H448="PER",VLOOKUP(I448,QCPER,MATCH(E448,QCACTUAL!$J$25:$AA$25,0),),IF(H448="SPK",VLOOKUP(I448,QCSPK,3,),IF(AND(H448="ATP",OR(I448="TP",I448="TDP")),VLOOKUP(E448,QCATP_P,2,),""))))))))</f>
        <v/>
      </c>
      <c r="W448" s="31" t="str">
        <f t="shared" si="44"/>
        <v>TRUE</v>
      </c>
      <c r="X448" s="31" t="str">
        <f t="shared" si="45"/>
        <v/>
      </c>
      <c r="Y448" s="10" t="s">
        <v>992</v>
      </c>
      <c r="Z448" s="10" t="s">
        <v>910</v>
      </c>
      <c r="AL448" s="10" t="str">
        <f t="shared" si="47"/>
        <v>FALSE</v>
      </c>
      <c r="AM448" s="10" t="str">
        <f t="shared" si="47"/>
        <v>FALSE</v>
      </c>
      <c r="AN448" s="10" t="str">
        <f t="shared" si="47"/>
        <v>FALSE</v>
      </c>
      <c r="AO448" s="10" t="str">
        <f t="shared" si="48"/>
        <v>FALSE</v>
      </c>
      <c r="AP448" s="10" t="str">
        <f t="shared" si="48"/>
        <v>FALSE</v>
      </c>
      <c r="AQ448" s="10" t="b">
        <f>IF(AND(I448="TP",S448&lt;=150),VLOOKUP(AF448,TPCalibEq150!$AZ$2:$BB$55,3,),IF(AND(I448="TDP",S448&lt;=150),VLOOKUP(AF448,TPCalibEq150!$AZ$2:$BB$55,3,)))</f>
        <v>0</v>
      </c>
      <c r="AR448" s="10" t="b">
        <f>IF(AND(I448="TP",S448&lt;=300),VLOOKUP(AF448,TPCalibEq300!$AZ$2:$BB$55,3,),IF(AND(I448="TDP",S448&lt;=300),VLOOKUP(AF448,TPCalibEq300!$AZ$2:$BB$55,3,)))</f>
        <v>0</v>
      </c>
      <c r="AS448" s="10" t="b">
        <f>IF(AND(I448="TP",S448&lt;=500),VLOOKUP(AF448,TPCalibEq500!$AZ$2:$BB$56,3,),IF(AND(I448="TDP",S448&lt;=500),VLOOKUP(AF448,TPCalibEq500!$AZ$2:$BB$56,3,)))</f>
        <v>0</v>
      </c>
      <c r="AT448" s="10" t="b">
        <f>IF(AND(I448="TN",S448&lt;=2800),VLOOKUP(AF448,TNCalibEq2500!$AZ$2:$BB$56,3,),IF(AND(I448="TDN",S448&lt;=2800),VLOOKUP(AF448,TNCalibEq2500!$AZ$2:$BB$56,3,)))</f>
        <v>0</v>
      </c>
      <c r="AU448" s="10" t="b">
        <f>IF(I448="TP",VLOOKUP(AF448,TPCalibEqFull!$AZ$2:$BB$56,3),IF(I448="TDP",VLOOKUP(AF448,TPCalibEqFull!$AZ$2:$BB$56,3),IF(I448="TDN",VLOOKUP(AF448,TNCalibEqFull!$AZ$1:$BB$56,3),IF(I448="TN",VLOOKUP(AF448,TNCalibEqFull!$AZ$1:$BB$56,3),FALSE))))</f>
        <v>0</v>
      </c>
      <c r="AV448" s="10" t="str">
        <f t="shared" si="46"/>
        <v>0106 12:48:00-EFK-0-L-1-SW-UKN</v>
      </c>
    </row>
    <row r="449" spans="1:48" s="10" customFormat="1" x14ac:dyDescent="0.55000000000000004">
      <c r="A449" s="32">
        <v>44932</v>
      </c>
      <c r="B449" s="33">
        <v>0.52430555555555558</v>
      </c>
      <c r="C449" s="10" t="s">
        <v>333</v>
      </c>
      <c r="D449" s="10">
        <v>0</v>
      </c>
      <c r="E449" s="10" t="s">
        <v>190</v>
      </c>
      <c r="F449" s="10">
        <v>1</v>
      </c>
      <c r="G449" s="10" t="s">
        <v>231</v>
      </c>
      <c r="H449" s="10" t="s">
        <v>322</v>
      </c>
      <c r="I449" s="10" t="s">
        <v>75</v>
      </c>
      <c r="J449" s="10">
        <v>6</v>
      </c>
      <c r="K449" s="12">
        <v>44937</v>
      </c>
      <c r="L449" s="33">
        <v>0.49456018518518513</v>
      </c>
      <c r="M449" s="10">
        <v>1</v>
      </c>
      <c r="N449" s="10" t="s">
        <v>76</v>
      </c>
      <c r="O449" s="10">
        <v>0.31</v>
      </c>
      <c r="P449" s="10">
        <v>2.3699999999999999E-2</v>
      </c>
      <c r="Q449" s="10">
        <v>17.7</v>
      </c>
      <c r="R449" s="10" t="s">
        <v>77</v>
      </c>
      <c r="S449" s="34">
        <f t="shared" si="42"/>
        <v>17.7</v>
      </c>
      <c r="T449" s="10" t="s">
        <v>997</v>
      </c>
      <c r="U449" s="34" t="str">
        <f t="shared" si="43"/>
        <v/>
      </c>
      <c r="V449" s="31" t="str">
        <f>IF(H449="CHK",VLOOKUP(I449,QCCHK,3,),IF(H449="GUP",VLOOKUP(E449,QCGUP,2,),IF(AND(H449="ATP",OR(I449="TN",I449="TDN",I449="TNO2-3",I449="NO2-3")),VLOOKUP(E449,QCREC_N,2,),IF(AND(H449="NIC",OR(I449="TN",I449="TDN",I449="TNO2-3",I449="NO2-3")),VLOOKUP(E449,QCNIC_N,2,),IF(AND(H449="UREA",OR(I449="TN",I449="TDN",I449="TNO2-3",I449="NO2-3")),VLOOKUP(E449,QCUREA_N,2,),IF(H449="PER",VLOOKUP(I449,QCPER,MATCH(E449,QCACTUAL!$J$25:$AA$25,0),),IF(H449="SPK",VLOOKUP(I449,QCSPK,3,),IF(AND(H449="ATP",OR(I449="TP",I449="TDP")),VLOOKUP(E449,QCATP_P,2,),""))))))))</f>
        <v/>
      </c>
      <c r="W449" s="31" t="str">
        <f t="shared" si="44"/>
        <v>TRUE</v>
      </c>
      <c r="X449" s="31" t="str">
        <f t="shared" si="45"/>
        <v/>
      </c>
      <c r="Y449" s="10" t="s">
        <v>992</v>
      </c>
      <c r="Z449" s="10" t="s">
        <v>910</v>
      </c>
      <c r="AL449" s="10" t="str">
        <f t="shared" si="47"/>
        <v>FALSE</v>
      </c>
      <c r="AM449" s="10" t="str">
        <f t="shared" si="47"/>
        <v>FALSE</v>
      </c>
      <c r="AN449" s="10" t="str">
        <f t="shared" si="47"/>
        <v>FALSE</v>
      </c>
      <c r="AO449" s="10" t="str">
        <f t="shared" si="48"/>
        <v>FALSE</v>
      </c>
      <c r="AP449" s="10" t="str">
        <f t="shared" si="48"/>
        <v>FALSE</v>
      </c>
      <c r="AQ449" s="10" t="b">
        <f>IF(AND(I449="TP",S449&lt;=150),VLOOKUP(AF449,TPCalibEq150!$AZ$2:$BB$55,3,),IF(AND(I449="TDP",S449&lt;=150),VLOOKUP(AF449,TPCalibEq150!$AZ$2:$BB$55,3,)))</f>
        <v>0</v>
      </c>
      <c r="AR449" s="10" t="b">
        <f>IF(AND(I449="TP",S449&lt;=300),VLOOKUP(AF449,TPCalibEq300!$AZ$2:$BB$55,3,),IF(AND(I449="TDP",S449&lt;=300),VLOOKUP(AF449,TPCalibEq300!$AZ$2:$BB$55,3,)))</f>
        <v>0</v>
      </c>
      <c r="AS449" s="10" t="b">
        <f>IF(AND(I449="TP",S449&lt;=500),VLOOKUP(AF449,TPCalibEq500!$AZ$2:$BB$56,3,),IF(AND(I449="TDP",S449&lt;=500),VLOOKUP(AF449,TPCalibEq500!$AZ$2:$BB$56,3,)))</f>
        <v>0</v>
      </c>
      <c r="AT449" s="10" t="b">
        <f>IF(AND(I449="TN",S449&lt;=2800),VLOOKUP(AF449,TNCalibEq2500!$AZ$2:$BB$56,3,),IF(AND(I449="TDN",S449&lt;=2800),VLOOKUP(AF449,TNCalibEq2500!$AZ$2:$BB$56,3,)))</f>
        <v>0</v>
      </c>
      <c r="AU449" s="10" t="b">
        <f>IF(I449="TP",VLOOKUP(AF449,TPCalibEqFull!$AZ$2:$BB$56,3),IF(I449="TDP",VLOOKUP(AF449,TPCalibEqFull!$AZ$2:$BB$56,3),IF(I449="TDN",VLOOKUP(AF449,TNCalibEqFull!$AZ$1:$BB$56,3),IF(I449="TN",VLOOKUP(AF449,TNCalibEqFull!$AZ$1:$BB$56,3),FALSE))))</f>
        <v>0</v>
      </c>
      <c r="AV449" s="10" t="str">
        <f t="shared" si="46"/>
        <v>0106 12:35:00-HST-0-C-1-SW-UKN</v>
      </c>
    </row>
    <row r="450" spans="1:48" s="10" customFormat="1" x14ac:dyDescent="0.55000000000000004">
      <c r="A450" s="32">
        <v>44935</v>
      </c>
      <c r="B450" s="33">
        <v>0.39166666666666666</v>
      </c>
      <c r="C450" s="10" t="s">
        <v>279</v>
      </c>
      <c r="D450" s="10">
        <v>0</v>
      </c>
      <c r="E450" s="10" t="s">
        <v>160</v>
      </c>
      <c r="F450" s="10">
        <v>1</v>
      </c>
      <c r="G450" s="10" t="s">
        <v>231</v>
      </c>
      <c r="H450" s="10" t="s">
        <v>322</v>
      </c>
      <c r="I450" s="10" t="s">
        <v>75</v>
      </c>
      <c r="J450" s="10">
        <v>7</v>
      </c>
      <c r="K450" s="12">
        <v>44937</v>
      </c>
      <c r="L450" s="33">
        <v>0.49537037037037041</v>
      </c>
      <c r="M450" s="10">
        <v>1</v>
      </c>
      <c r="N450" s="10" t="s">
        <v>76</v>
      </c>
      <c r="O450" s="10">
        <v>0.35499999999999998</v>
      </c>
      <c r="P450" s="10">
        <v>2.4400000000000002E-2</v>
      </c>
      <c r="Q450" s="10">
        <v>20.3</v>
      </c>
      <c r="R450" s="10" t="s">
        <v>77</v>
      </c>
      <c r="S450" s="34">
        <f t="shared" ref="S450:S513" si="49">IF(OR(AND(I450&lt;&gt;"TP", I450&lt;&gt;"TDP",I450&lt;&gt;"TN", I450&lt;&gt;"TDN"),H450="CAL"), Q450*M450, IF(OR(AND(I450="TN", Q450&gt;2500), AND(I450="TDN", Q450&gt;2500)),MAX(Q450, AK450)*M450, IF(OR(AND(I450="TN", Q450&lt;=2500), AND(I450="TDN", Q450&lt;=2500)),MAX(Q450, AJ450,AK450)*M450, IF(OR(AND(I450="TP",Q450&gt;500), AND(I450="TDP", Q450&gt;500)),MAX(Q450,AK450)*M450,IF(OR(AND(I450="TP",Q450&lt;=150), AND(I450="TDP", Q450&lt;=150)),MAX(Q450,AG450:AI450,AK450)*M450,IF(OR(AND(I450="TP",Q450&lt;=300), AND(I450="TDP", Q450&lt;=300)),MAX(Q450,AH450,AI450,AK450)*M450,IF(OR(AND(I450="TP",Q450&lt;=500), AND(I450="TDP", Q450&lt;=500)),MAX(Q450,AI450,AK450)*M450,"")))))))</f>
        <v>20.3</v>
      </c>
      <c r="T450" s="10" t="s">
        <v>997</v>
      </c>
      <c r="U450" s="34" t="str">
        <f t="shared" ref="U450:U513" si="50">IF(OR(H450="CHK",H450="ATP",H450="GUP",H450="PER", H450="NIC", H450="UREA"),(S450/V450*100),IF(H450="DUP",((ABS(S450-S449))/((S449+S450)/2))*100,IF(H450="SPK",((S450-S449)/V450*100),IF(OR(H450="LAB",H450="FLD",H450="ESF"),S450,""))))</f>
        <v/>
      </c>
      <c r="V450" s="31" t="str">
        <f>IF(H450="CHK",VLOOKUP(I450,QCCHK,3,),IF(H450="GUP",VLOOKUP(E450,QCGUP,2,),IF(AND(H450="ATP",OR(I450="TN",I450="TDN",I450="TNO2-3",I450="NO2-3")),VLOOKUP(E450,QCREC_N,2,),IF(AND(H450="NIC",OR(I450="TN",I450="TDN",I450="TNO2-3",I450="NO2-3")),VLOOKUP(E450,QCNIC_N,2,),IF(AND(H450="UREA",OR(I450="TN",I450="TDN",I450="TNO2-3",I450="NO2-3")),VLOOKUP(E450,QCUREA_N,2,),IF(H450="PER",VLOOKUP(I450,QCPER,MATCH(E450,QCACTUAL!$J$25:$AA$25,0),),IF(H450="SPK",VLOOKUP(I450,QCSPK,3,),IF(AND(H450="ATP",OR(I450="TP",I450="TDP")),VLOOKUP(E450,QCATP_P,2,),""))))))))</f>
        <v/>
      </c>
      <c r="W450" s="31" t="str">
        <f t="shared" ref="W450:W513" si="51">IF(AND(OR(H450="PER",H450="ATP",H450="GUP",H450="CHK",H450="SPK", H450="NIC"),OR(U450&gt;125,U450&lt;75)),"FALSE",IF(AND(H450="DUP",OR(U450&gt;25, U450&lt;-25)),"FALSE",IF(AND(OR(H450="LAB",H450="FLD",H450="ESF"),U450&gt;15),"FALSE","TRUE")))</f>
        <v>TRUE</v>
      </c>
      <c r="X450" s="31" t="str">
        <f t="shared" ref="X450:X513" si="52">IF(ISNA(VLOOKUP(H450,QCEQUATIONS,2,)),"",(VLOOKUP(H450,QCEQUATIONS,2,)))</f>
        <v/>
      </c>
      <c r="Y450" s="10" t="s">
        <v>992</v>
      </c>
      <c r="Z450" s="10" t="s">
        <v>910</v>
      </c>
      <c r="AL450" s="10" t="str">
        <f t="shared" si="47"/>
        <v>FALSE</v>
      </c>
      <c r="AM450" s="10" t="str">
        <f t="shared" si="47"/>
        <v>FALSE</v>
      </c>
      <c r="AN450" s="10" t="str">
        <f t="shared" si="47"/>
        <v>FALSE</v>
      </c>
      <c r="AO450" s="10" t="str">
        <f t="shared" si="48"/>
        <v>FALSE</v>
      </c>
      <c r="AP450" s="10" t="str">
        <f t="shared" si="48"/>
        <v>FALSE</v>
      </c>
      <c r="AQ450" s="10" t="b">
        <f>IF(AND(I450="TP",S450&lt;=150),VLOOKUP(AF450,TPCalibEq150!$AZ$2:$BB$55,3,),IF(AND(I450="TDP",S450&lt;=150),VLOOKUP(AF450,TPCalibEq150!$AZ$2:$BB$55,3,)))</f>
        <v>0</v>
      </c>
      <c r="AR450" s="10" t="b">
        <f>IF(AND(I450="TP",S450&lt;=300),VLOOKUP(AF450,TPCalibEq300!$AZ$2:$BB$55,3,),IF(AND(I450="TDP",S450&lt;=300),VLOOKUP(AF450,TPCalibEq300!$AZ$2:$BB$55,3,)))</f>
        <v>0</v>
      </c>
      <c r="AS450" s="10" t="b">
        <f>IF(AND(I450="TP",S450&lt;=500),VLOOKUP(AF450,TPCalibEq500!$AZ$2:$BB$56,3,),IF(AND(I450="TDP",S450&lt;=500),VLOOKUP(AF450,TPCalibEq500!$AZ$2:$BB$56,3,)))</f>
        <v>0</v>
      </c>
      <c r="AT450" s="10" t="b">
        <f>IF(AND(I450="TN",S450&lt;=2800),VLOOKUP(AF450,TNCalibEq2500!$AZ$2:$BB$56,3,),IF(AND(I450="TDN",S450&lt;=2800),VLOOKUP(AF450,TNCalibEq2500!$AZ$2:$BB$56,3,)))</f>
        <v>0</v>
      </c>
      <c r="AU450" s="10" t="b">
        <f>IF(I450="TP",VLOOKUP(AF450,TPCalibEqFull!$AZ$2:$BB$56,3),IF(I450="TDP",VLOOKUP(AF450,TPCalibEqFull!$AZ$2:$BB$56,3),IF(I450="TDN",VLOOKUP(AF450,TNCalibEqFull!$AZ$1:$BB$56,3),IF(I450="TN",VLOOKUP(AF450,TNCalibEqFull!$AZ$1:$BB$56,3),FALSE))))</f>
        <v>0</v>
      </c>
      <c r="AV450" s="10" t="str">
        <f t="shared" ref="AV450:AV513" si="53">TEXT(A450, "MMDD")&amp;" "&amp;TEXT(B450, "HH:MM:SS")&amp;"-"&amp;C450&amp;"-"&amp;D450&amp;"-"&amp;E450&amp;"-"&amp;F450&amp;"-"&amp;G450&amp;"-"&amp;H450</f>
        <v>0109 09:24:00-EFK-0-L-1-SW-UKN</v>
      </c>
    </row>
    <row r="451" spans="1:48" s="10" customFormat="1" x14ac:dyDescent="0.55000000000000004">
      <c r="A451" s="32">
        <v>44935</v>
      </c>
      <c r="B451" s="33">
        <v>0.30208333333333331</v>
      </c>
      <c r="C451" s="10" t="s">
        <v>333</v>
      </c>
      <c r="D451" s="10">
        <v>0</v>
      </c>
      <c r="E451" s="10" t="s">
        <v>190</v>
      </c>
      <c r="F451" s="10">
        <v>1</v>
      </c>
      <c r="G451" s="10" t="s">
        <v>231</v>
      </c>
      <c r="H451" s="10" t="s">
        <v>322</v>
      </c>
      <c r="I451" s="10" t="s">
        <v>75</v>
      </c>
      <c r="J451" s="10">
        <v>8</v>
      </c>
      <c r="K451" s="12">
        <v>44937</v>
      </c>
      <c r="L451" s="33">
        <v>0.49619212962962966</v>
      </c>
      <c r="M451" s="10">
        <v>1</v>
      </c>
      <c r="N451" s="10" t="s">
        <v>76</v>
      </c>
      <c r="O451" s="10">
        <v>7.0999999999999994E-2</v>
      </c>
      <c r="P451" s="10">
        <v>4.9899999999999996E-3</v>
      </c>
      <c r="Q451" s="10">
        <v>4.0599999999999996</v>
      </c>
      <c r="R451" s="10" t="s">
        <v>77</v>
      </c>
      <c r="S451" s="34">
        <f t="shared" si="49"/>
        <v>4.0599999999999996</v>
      </c>
      <c r="T451" s="10" t="s">
        <v>997</v>
      </c>
      <c r="U451" s="34" t="str">
        <f t="shared" si="50"/>
        <v/>
      </c>
      <c r="V451" s="31" t="str">
        <f>IF(H451="CHK",VLOOKUP(I451,QCCHK,3,),IF(H451="GUP",VLOOKUP(E451,QCGUP,2,),IF(AND(H451="ATP",OR(I451="TN",I451="TDN",I451="TNO2-3",I451="NO2-3")),VLOOKUP(E451,QCREC_N,2,),IF(AND(H451="NIC",OR(I451="TN",I451="TDN",I451="TNO2-3",I451="NO2-3")),VLOOKUP(E451,QCNIC_N,2,),IF(AND(H451="UREA",OR(I451="TN",I451="TDN",I451="TNO2-3",I451="NO2-3")),VLOOKUP(E451,QCUREA_N,2,),IF(H451="PER",VLOOKUP(I451,QCPER,MATCH(E451,QCACTUAL!$J$25:$AA$25,0),),IF(H451="SPK",VLOOKUP(I451,QCSPK,3,),IF(AND(H451="ATP",OR(I451="TP",I451="TDP")),VLOOKUP(E451,QCATP_P,2,),""))))))))</f>
        <v/>
      </c>
      <c r="W451" s="31" t="str">
        <f t="shared" si="51"/>
        <v>TRUE</v>
      </c>
      <c r="X451" s="31" t="str">
        <f t="shared" si="52"/>
        <v/>
      </c>
      <c r="Y451" s="10" t="s">
        <v>992</v>
      </c>
      <c r="Z451" s="10" t="s">
        <v>910</v>
      </c>
      <c r="AL451" s="10" t="str">
        <f t="shared" ref="AL451:AN514" si="54">IF($O451="", "", IF(AQ451&lt;&gt;"", SUBSTITUTE(SUBSTITUTE(AQ451, "x", "*"&amp;$O451&amp;"^", 1), "x", "*"&amp;$O451, 1), ""))</f>
        <v>FALSE</v>
      </c>
      <c r="AM451" s="10" t="str">
        <f t="shared" si="54"/>
        <v>FALSE</v>
      </c>
      <c r="AN451" s="10" t="str">
        <f t="shared" si="54"/>
        <v>FALSE</v>
      </c>
      <c r="AO451" s="10" t="str">
        <f t="shared" ref="AO451:AP514" si="55">IF($O451="", "FALSE", IF(AT451&lt;&gt;"FALSE", SUBSTITUTE(SUBSTITUTE(AT451, "x", "*"&amp;$O451&amp;"^", 1), "x", "*"&amp;$O451, 1), ""))</f>
        <v>FALSE</v>
      </c>
      <c r="AP451" s="10" t="str">
        <f t="shared" si="55"/>
        <v>FALSE</v>
      </c>
      <c r="AQ451" s="10" t="b">
        <f>IF(AND(I451="TP",S451&lt;=150),VLOOKUP(AF451,TPCalibEq150!$AZ$2:$BB$55,3,),IF(AND(I451="TDP",S451&lt;=150),VLOOKUP(AF451,TPCalibEq150!$AZ$2:$BB$55,3,)))</f>
        <v>0</v>
      </c>
      <c r="AR451" s="10" t="b">
        <f>IF(AND(I451="TP",S451&lt;=300),VLOOKUP(AF451,TPCalibEq300!$AZ$2:$BB$55,3,),IF(AND(I451="TDP",S451&lt;=300),VLOOKUP(AF451,TPCalibEq300!$AZ$2:$BB$55,3,)))</f>
        <v>0</v>
      </c>
      <c r="AS451" s="10" t="b">
        <f>IF(AND(I451="TP",S451&lt;=500),VLOOKUP(AF451,TPCalibEq500!$AZ$2:$BB$56,3,),IF(AND(I451="TDP",S451&lt;=500),VLOOKUP(AF451,TPCalibEq500!$AZ$2:$BB$56,3,)))</f>
        <v>0</v>
      </c>
      <c r="AT451" s="10" t="b">
        <f>IF(AND(I451="TN",S451&lt;=2800),VLOOKUP(AF451,TNCalibEq2500!$AZ$2:$BB$56,3,),IF(AND(I451="TDN",S451&lt;=2800),VLOOKUP(AF451,TNCalibEq2500!$AZ$2:$BB$56,3,)))</f>
        <v>0</v>
      </c>
      <c r="AU451" s="10" t="b">
        <f>IF(I451="TP",VLOOKUP(AF451,TPCalibEqFull!$AZ$2:$BB$56,3),IF(I451="TDP",VLOOKUP(AF451,TPCalibEqFull!$AZ$2:$BB$56,3),IF(I451="TDN",VLOOKUP(AF451,TNCalibEqFull!$AZ$1:$BB$56,3),IF(I451="TN",VLOOKUP(AF451,TNCalibEqFull!$AZ$1:$BB$56,3),FALSE))))</f>
        <v>0</v>
      </c>
      <c r="AV451" s="10" t="str">
        <f t="shared" si="53"/>
        <v>0109 07:15:00-HST-0-C-1-SW-UKN</v>
      </c>
    </row>
    <row r="452" spans="1:48" s="10" customFormat="1" x14ac:dyDescent="0.55000000000000004">
      <c r="A452" s="32">
        <v>44936</v>
      </c>
      <c r="B452" s="33">
        <v>0.39166666666666666</v>
      </c>
      <c r="C452" s="10" t="s">
        <v>279</v>
      </c>
      <c r="D452" s="10">
        <v>0</v>
      </c>
      <c r="E452" s="10" t="s">
        <v>160</v>
      </c>
      <c r="F452" s="10">
        <v>1</v>
      </c>
      <c r="G452" s="10" t="s">
        <v>231</v>
      </c>
      <c r="H452" s="10" t="s">
        <v>322</v>
      </c>
      <c r="I452" s="10" t="s">
        <v>75</v>
      </c>
      <c r="J452" s="10">
        <v>9</v>
      </c>
      <c r="K452" s="12">
        <v>44937</v>
      </c>
      <c r="L452" s="33">
        <v>0.49700231481481483</v>
      </c>
      <c r="M452" s="10">
        <v>1</v>
      </c>
      <c r="N452" s="10" t="s">
        <v>76</v>
      </c>
      <c r="O452" s="10">
        <v>0.33</v>
      </c>
      <c r="P452" s="10">
        <v>2.3E-2</v>
      </c>
      <c r="Q452" s="10">
        <v>18.899999999999999</v>
      </c>
      <c r="R452" s="10" t="s">
        <v>77</v>
      </c>
      <c r="S452" s="34">
        <f t="shared" si="49"/>
        <v>18.899999999999999</v>
      </c>
      <c r="T452" s="10" t="s">
        <v>997</v>
      </c>
      <c r="U452" s="34" t="str">
        <f t="shared" si="50"/>
        <v/>
      </c>
      <c r="V452" s="31" t="str">
        <f>IF(H452="CHK",VLOOKUP(I452,QCCHK,3,),IF(H452="GUP",VLOOKUP(E452,QCGUP,2,),IF(AND(H452="ATP",OR(I452="TN",I452="TDN",I452="TNO2-3",I452="NO2-3")),VLOOKUP(E452,QCREC_N,2,),IF(AND(H452="NIC",OR(I452="TN",I452="TDN",I452="TNO2-3",I452="NO2-3")),VLOOKUP(E452,QCNIC_N,2,),IF(AND(H452="UREA",OR(I452="TN",I452="TDN",I452="TNO2-3",I452="NO2-3")),VLOOKUP(E452,QCUREA_N,2,),IF(H452="PER",VLOOKUP(I452,QCPER,MATCH(E452,QCACTUAL!$J$25:$AA$25,0),),IF(H452="SPK",VLOOKUP(I452,QCSPK,3,),IF(AND(H452="ATP",OR(I452="TP",I452="TDP")),VLOOKUP(E452,QCATP_P,2,),""))))))))</f>
        <v/>
      </c>
      <c r="W452" s="31" t="str">
        <f t="shared" si="51"/>
        <v>TRUE</v>
      </c>
      <c r="X452" s="31" t="str">
        <f t="shared" si="52"/>
        <v/>
      </c>
      <c r="Y452" s="10" t="s">
        <v>992</v>
      </c>
      <c r="AL452" s="10" t="str">
        <f t="shared" si="54"/>
        <v>FALSE</v>
      </c>
      <c r="AM452" s="10" t="str">
        <f t="shared" si="54"/>
        <v>FALSE</v>
      </c>
      <c r="AN452" s="10" t="str">
        <f t="shared" si="54"/>
        <v>FALSE</v>
      </c>
      <c r="AO452" s="10" t="str">
        <f t="shared" si="55"/>
        <v>FALSE</v>
      </c>
      <c r="AP452" s="10" t="str">
        <f t="shared" si="55"/>
        <v>FALSE</v>
      </c>
      <c r="AQ452" s="10" t="b">
        <f>IF(AND(I452="TP",S452&lt;=150),VLOOKUP(AF452,TPCalibEq150!$AZ$2:$BB$55,3,),IF(AND(I452="TDP",S452&lt;=150),VLOOKUP(AF452,TPCalibEq150!$AZ$2:$BB$55,3,)))</f>
        <v>0</v>
      </c>
      <c r="AR452" s="10" t="b">
        <f>IF(AND(I452="TP",S452&lt;=300),VLOOKUP(AF452,TPCalibEq300!$AZ$2:$BB$55,3,),IF(AND(I452="TDP",S452&lt;=300),VLOOKUP(AF452,TPCalibEq300!$AZ$2:$BB$55,3,)))</f>
        <v>0</v>
      </c>
      <c r="AS452" s="10" t="b">
        <f>IF(AND(I452="TP",S452&lt;=500),VLOOKUP(AF452,TPCalibEq500!$AZ$2:$BB$56,3,),IF(AND(I452="TDP",S452&lt;=500),VLOOKUP(AF452,TPCalibEq500!$AZ$2:$BB$56,3,)))</f>
        <v>0</v>
      </c>
      <c r="AT452" s="10" t="b">
        <f>IF(AND(I452="TN",S452&lt;=2800),VLOOKUP(AF452,TNCalibEq2500!$AZ$2:$BB$56,3,),IF(AND(I452="TDN",S452&lt;=2800),VLOOKUP(AF452,TNCalibEq2500!$AZ$2:$BB$56,3,)))</f>
        <v>0</v>
      </c>
      <c r="AU452" s="10" t="b">
        <f>IF(I452="TP",VLOOKUP(AF452,TPCalibEqFull!$AZ$2:$BB$56,3),IF(I452="TDP",VLOOKUP(AF452,TPCalibEqFull!$AZ$2:$BB$56,3),IF(I452="TDN",VLOOKUP(AF452,TNCalibEqFull!$AZ$1:$BB$56,3),IF(I452="TN",VLOOKUP(AF452,TNCalibEqFull!$AZ$1:$BB$56,3),FALSE))))</f>
        <v>0</v>
      </c>
      <c r="AV452" s="10" t="str">
        <f t="shared" si="53"/>
        <v>0110 09:24:00-EFK-0-L-1-SW-UKN</v>
      </c>
    </row>
    <row r="453" spans="1:48" s="10" customFormat="1" x14ac:dyDescent="0.55000000000000004">
      <c r="A453" s="32">
        <v>44936</v>
      </c>
      <c r="B453" s="33">
        <v>0.39583333333333331</v>
      </c>
      <c r="C453" s="10" t="s">
        <v>333</v>
      </c>
      <c r="D453" s="10">
        <v>0</v>
      </c>
      <c r="E453" s="10" t="s">
        <v>190</v>
      </c>
      <c r="F453" s="10">
        <v>1</v>
      </c>
      <c r="G453" s="10" t="s">
        <v>231</v>
      </c>
      <c r="H453" s="10" t="s">
        <v>322</v>
      </c>
      <c r="I453" s="10" t="s">
        <v>75</v>
      </c>
      <c r="J453" s="10">
        <v>10</v>
      </c>
      <c r="K453" s="12">
        <v>44937</v>
      </c>
      <c r="L453" s="33">
        <v>0.49781249999999999</v>
      </c>
      <c r="M453" s="10">
        <v>1</v>
      </c>
      <c r="N453" s="10" t="s">
        <v>76</v>
      </c>
      <c r="O453" s="10">
        <v>6.5799999999999997E-2</v>
      </c>
      <c r="P453" s="10">
        <v>4.28E-3</v>
      </c>
      <c r="Q453" s="10">
        <v>3.76</v>
      </c>
      <c r="R453" s="10" t="s">
        <v>77</v>
      </c>
      <c r="S453" s="34">
        <f t="shared" si="49"/>
        <v>3.76</v>
      </c>
      <c r="T453" s="10" t="s">
        <v>997</v>
      </c>
      <c r="U453" s="34" t="str">
        <f t="shared" si="50"/>
        <v/>
      </c>
      <c r="V453" s="31" t="str">
        <f>IF(H453="CHK",VLOOKUP(I453,QCCHK,3,),IF(H453="GUP",VLOOKUP(E453,QCGUP,2,),IF(AND(H453="ATP",OR(I453="TN",I453="TDN",I453="TNO2-3",I453="NO2-3")),VLOOKUP(E453,QCREC_N,2,),IF(AND(H453="NIC",OR(I453="TN",I453="TDN",I453="TNO2-3",I453="NO2-3")),VLOOKUP(E453,QCNIC_N,2,),IF(AND(H453="UREA",OR(I453="TN",I453="TDN",I453="TNO2-3",I453="NO2-3")),VLOOKUP(E453,QCUREA_N,2,),IF(H453="PER",VLOOKUP(I453,QCPER,MATCH(E453,QCACTUAL!$J$25:$AA$25,0),),IF(H453="SPK",VLOOKUP(I453,QCSPK,3,),IF(AND(H453="ATP",OR(I453="TP",I453="TDP")),VLOOKUP(E453,QCATP_P,2,),""))))))))</f>
        <v/>
      </c>
      <c r="W453" s="31" t="str">
        <f t="shared" si="51"/>
        <v>TRUE</v>
      </c>
      <c r="X453" s="31" t="str">
        <f t="shared" si="52"/>
        <v/>
      </c>
      <c r="Y453" s="10" t="s">
        <v>992</v>
      </c>
      <c r="AL453" s="10" t="str">
        <f t="shared" si="54"/>
        <v>FALSE</v>
      </c>
      <c r="AM453" s="10" t="str">
        <f t="shared" si="54"/>
        <v>FALSE</v>
      </c>
      <c r="AN453" s="10" t="str">
        <f t="shared" si="54"/>
        <v>FALSE</v>
      </c>
      <c r="AO453" s="10" t="str">
        <f t="shared" si="55"/>
        <v>FALSE</v>
      </c>
      <c r="AP453" s="10" t="str">
        <f t="shared" si="55"/>
        <v>FALSE</v>
      </c>
      <c r="AQ453" s="10" t="b">
        <f>IF(AND(I453="TP",S453&lt;=150),VLOOKUP(AF453,TPCalibEq150!$AZ$2:$BB$55,3,),IF(AND(I453="TDP",S453&lt;=150),VLOOKUP(AF453,TPCalibEq150!$AZ$2:$BB$55,3,)))</f>
        <v>0</v>
      </c>
      <c r="AR453" s="10" t="b">
        <f>IF(AND(I453="TP",S453&lt;=300),VLOOKUP(AF453,TPCalibEq300!$AZ$2:$BB$55,3,),IF(AND(I453="TDP",S453&lt;=300),VLOOKUP(AF453,TPCalibEq300!$AZ$2:$BB$55,3,)))</f>
        <v>0</v>
      </c>
      <c r="AS453" s="10" t="b">
        <f>IF(AND(I453="TP",S453&lt;=500),VLOOKUP(AF453,TPCalibEq500!$AZ$2:$BB$56,3,),IF(AND(I453="TDP",S453&lt;=500),VLOOKUP(AF453,TPCalibEq500!$AZ$2:$BB$56,3,)))</f>
        <v>0</v>
      </c>
      <c r="AT453" s="10" t="b">
        <f>IF(AND(I453="TN",S453&lt;=2800),VLOOKUP(AF453,TNCalibEq2500!$AZ$2:$BB$56,3,),IF(AND(I453="TDN",S453&lt;=2800),VLOOKUP(AF453,TNCalibEq2500!$AZ$2:$BB$56,3,)))</f>
        <v>0</v>
      </c>
      <c r="AU453" s="10" t="b">
        <f>IF(I453="TP",VLOOKUP(AF453,TPCalibEqFull!$AZ$2:$BB$56,3),IF(I453="TDP",VLOOKUP(AF453,TPCalibEqFull!$AZ$2:$BB$56,3),IF(I453="TDN",VLOOKUP(AF453,TNCalibEqFull!$AZ$1:$BB$56,3),IF(I453="TN",VLOOKUP(AF453,TNCalibEqFull!$AZ$1:$BB$56,3),FALSE))))</f>
        <v>0</v>
      </c>
      <c r="AV453" s="10" t="str">
        <f t="shared" si="53"/>
        <v>0110 09:30:00-HST-0-C-1-SW-UKN</v>
      </c>
    </row>
    <row r="454" spans="1:48" s="10" customFormat="1" x14ac:dyDescent="0.55000000000000004">
      <c r="A454" s="32">
        <v>44936</v>
      </c>
      <c r="B454" s="33">
        <v>0.39583333333333331</v>
      </c>
      <c r="C454" s="10" t="s">
        <v>333</v>
      </c>
      <c r="D454" s="10">
        <v>0</v>
      </c>
      <c r="E454" s="10" t="s">
        <v>190</v>
      </c>
      <c r="F454" s="10">
        <v>1</v>
      </c>
      <c r="G454" s="10" t="s">
        <v>231</v>
      </c>
      <c r="H454" s="10" t="s">
        <v>233</v>
      </c>
      <c r="I454" s="10" t="s">
        <v>75</v>
      </c>
      <c r="J454" s="10">
        <v>10</v>
      </c>
      <c r="K454" s="12">
        <v>44937</v>
      </c>
      <c r="L454" s="33">
        <v>0.49863425925925925</v>
      </c>
      <c r="M454" s="10">
        <v>1</v>
      </c>
      <c r="N454" s="10" t="s">
        <v>76</v>
      </c>
      <c r="O454" s="10">
        <v>6.3899999999999998E-2</v>
      </c>
      <c r="P454" s="10">
        <v>4.4799999999999996E-3</v>
      </c>
      <c r="Q454" s="10">
        <v>3.66</v>
      </c>
      <c r="R454" s="10" t="s">
        <v>77</v>
      </c>
      <c r="S454" s="34">
        <f t="shared" si="49"/>
        <v>3.66</v>
      </c>
      <c r="T454" s="10" t="s">
        <v>997</v>
      </c>
      <c r="U454" s="34">
        <f t="shared" si="50"/>
        <v>2.695417789757403</v>
      </c>
      <c r="V454" s="31" t="str">
        <f>IF(H454="CHK",VLOOKUP(I454,QCCHK,3,),IF(H454="GUP",VLOOKUP(E454,QCGUP,2,),IF(AND(H454="ATP",OR(I454="TN",I454="TDN",I454="TNO2-3",I454="NO2-3")),VLOOKUP(E454,QCREC_N,2,),IF(AND(H454="NIC",OR(I454="TN",I454="TDN",I454="TNO2-3",I454="NO2-3")),VLOOKUP(E454,QCNIC_N,2,),IF(AND(H454="UREA",OR(I454="TN",I454="TDN",I454="TNO2-3",I454="NO2-3")),VLOOKUP(E454,QCUREA_N,2,),IF(H454="PER",VLOOKUP(I454,QCPER,MATCH(E454,QCACTUAL!$J$25:$AA$25,0),),IF(H454="SPK",VLOOKUP(I454,QCSPK,3,),IF(AND(H454="ATP",OR(I454="TP",I454="TDP")),VLOOKUP(E454,QCATP_P,2,),""))))))))</f>
        <v/>
      </c>
      <c r="W454" s="31" t="str">
        <f t="shared" si="51"/>
        <v>TRUE</v>
      </c>
      <c r="X454" s="31" t="str">
        <f t="shared" si="52"/>
        <v>((ABS(rep1-rep2))/((rep1+rep2)/2)*100</v>
      </c>
      <c r="Y454" s="10" t="s">
        <v>992</v>
      </c>
      <c r="AL454" s="10" t="str">
        <f t="shared" si="54"/>
        <v>FALSE</v>
      </c>
      <c r="AM454" s="10" t="str">
        <f t="shared" si="54"/>
        <v>FALSE</v>
      </c>
      <c r="AN454" s="10" t="str">
        <f t="shared" si="54"/>
        <v>FALSE</v>
      </c>
      <c r="AO454" s="10" t="str">
        <f t="shared" si="55"/>
        <v>FALSE</v>
      </c>
      <c r="AP454" s="10" t="str">
        <f t="shared" si="55"/>
        <v>FALSE</v>
      </c>
      <c r="AQ454" s="10" t="b">
        <f>IF(AND(I454="TP",S454&lt;=150),VLOOKUP(AF454,TPCalibEq150!$AZ$2:$BB$55,3,),IF(AND(I454="TDP",S454&lt;=150),VLOOKUP(AF454,TPCalibEq150!$AZ$2:$BB$55,3,)))</f>
        <v>0</v>
      </c>
      <c r="AR454" s="10" t="b">
        <f>IF(AND(I454="TP",S454&lt;=300),VLOOKUP(AF454,TPCalibEq300!$AZ$2:$BB$55,3,),IF(AND(I454="TDP",S454&lt;=300),VLOOKUP(AF454,TPCalibEq300!$AZ$2:$BB$55,3,)))</f>
        <v>0</v>
      </c>
      <c r="AS454" s="10" t="b">
        <f>IF(AND(I454="TP",S454&lt;=500),VLOOKUP(AF454,TPCalibEq500!$AZ$2:$BB$56,3,),IF(AND(I454="TDP",S454&lt;=500),VLOOKUP(AF454,TPCalibEq500!$AZ$2:$BB$56,3,)))</f>
        <v>0</v>
      </c>
      <c r="AT454" s="10" t="b">
        <f>IF(AND(I454="TN",S454&lt;=2800),VLOOKUP(AF454,TNCalibEq2500!$AZ$2:$BB$56,3,),IF(AND(I454="TDN",S454&lt;=2800),VLOOKUP(AF454,TNCalibEq2500!$AZ$2:$BB$56,3,)))</f>
        <v>0</v>
      </c>
      <c r="AU454" s="10" t="b">
        <f>IF(I454="TP",VLOOKUP(AF454,TPCalibEqFull!$AZ$2:$BB$56,3),IF(I454="TDP",VLOOKUP(AF454,TPCalibEqFull!$AZ$2:$BB$56,3),IF(I454="TDN",VLOOKUP(AF454,TNCalibEqFull!$AZ$1:$BB$56,3),IF(I454="TN",VLOOKUP(AF454,TNCalibEqFull!$AZ$1:$BB$56,3),FALSE))))</f>
        <v>0</v>
      </c>
      <c r="AV454" s="10" t="str">
        <f t="shared" si="53"/>
        <v>0110 09:30:00-HST-0-C-1-SW-DUP</v>
      </c>
    </row>
    <row r="455" spans="1:48" s="10" customFormat="1" x14ac:dyDescent="0.55000000000000004">
      <c r="A455" s="32">
        <v>44936</v>
      </c>
      <c r="B455" s="33">
        <v>0.39583333333333331</v>
      </c>
      <c r="C455" s="10" t="s">
        <v>912</v>
      </c>
      <c r="D455" s="10">
        <v>0</v>
      </c>
      <c r="E455" s="10" t="s">
        <v>190</v>
      </c>
      <c r="F455" s="10">
        <v>1</v>
      </c>
      <c r="G455" s="10" t="s">
        <v>231</v>
      </c>
      <c r="H455" s="10" t="s">
        <v>314</v>
      </c>
      <c r="I455" s="10" t="s">
        <v>75</v>
      </c>
      <c r="J455" s="10">
        <v>29</v>
      </c>
      <c r="K455" s="12">
        <v>44937</v>
      </c>
      <c r="L455" s="33">
        <v>0.49943287037037037</v>
      </c>
      <c r="M455" s="10">
        <v>1</v>
      </c>
      <c r="N455" s="10" t="s">
        <v>76</v>
      </c>
      <c r="O455" s="10">
        <v>10.8</v>
      </c>
      <c r="P455" s="10">
        <v>0.871</v>
      </c>
      <c r="Q455" s="10">
        <v>634</v>
      </c>
      <c r="R455" s="10" t="s">
        <v>77</v>
      </c>
      <c r="S455" s="34">
        <f t="shared" si="49"/>
        <v>634</v>
      </c>
      <c r="T455" s="10" t="s">
        <v>997</v>
      </c>
      <c r="U455" s="34">
        <f t="shared" si="50"/>
        <v>100.85440000000001</v>
      </c>
      <c r="V455" s="31">
        <f>IF(H455="CHK",VLOOKUP(I455,QCCHK,3,),IF(H455="GUP",VLOOKUP(E455,QCGUP,2,),IF(AND(H455="ATP",OR(I455="TN",I455="TDN",I455="TNO2-3",I455="NO2-3")),VLOOKUP(E455,QCREC_N,2,),IF(AND(H455="NIC",OR(I455="TN",I455="TDN",I455="TNO2-3",I455="NO2-3")),VLOOKUP(E455,QCNIC_N,2,),IF(AND(H455="UREA",OR(I455="TN",I455="TDN",I455="TNO2-3",I455="NO2-3")),VLOOKUP(E455,QCUREA_N,2,),IF(H455="PER",VLOOKUP(I455,QCPER,MATCH(E455,QCACTUAL!$J$25:$AA$25,0),),IF(H455="SPK",VLOOKUP(I455,QCSPK,3,),IF(AND(H455="ATP",OR(I455="TP",I455="TDP")),VLOOKUP(E455,QCATP_P,2,),""))))))))</f>
        <v>625</v>
      </c>
      <c r="W455" s="31" t="str">
        <f t="shared" si="51"/>
        <v>TRUE</v>
      </c>
      <c r="X455" s="31" t="str">
        <f t="shared" si="52"/>
        <v>([spikedunkn]-[unkn])/[spike]*100</v>
      </c>
      <c r="Y455" s="10" t="s">
        <v>992</v>
      </c>
      <c r="AL455" s="10" t="str">
        <f t="shared" si="54"/>
        <v>FALSE</v>
      </c>
      <c r="AM455" s="10" t="str">
        <f t="shared" si="54"/>
        <v>FALSE</v>
      </c>
      <c r="AN455" s="10" t="str">
        <f t="shared" si="54"/>
        <v>FALSE</v>
      </c>
      <c r="AO455" s="10" t="str">
        <f t="shared" si="55"/>
        <v>FALSE</v>
      </c>
      <c r="AP455" s="10" t="str">
        <f t="shared" si="55"/>
        <v>FALSE</v>
      </c>
      <c r="AQ455" s="10" t="b">
        <f>IF(AND(I455="TP",S455&lt;=150),VLOOKUP(AF455,TPCalibEq150!$AZ$2:$BB$55,3,),IF(AND(I455="TDP",S455&lt;=150),VLOOKUP(AF455,TPCalibEq150!$AZ$2:$BB$55,3,)))</f>
        <v>0</v>
      </c>
      <c r="AR455" s="10" t="b">
        <f>IF(AND(I455="TP",S455&lt;=300),VLOOKUP(AF455,TPCalibEq300!$AZ$2:$BB$55,3,),IF(AND(I455="TDP",S455&lt;=300),VLOOKUP(AF455,TPCalibEq300!$AZ$2:$BB$55,3,)))</f>
        <v>0</v>
      </c>
      <c r="AS455" s="10" t="b">
        <f>IF(AND(I455="TP",S455&lt;=500),VLOOKUP(AF455,TPCalibEq500!$AZ$2:$BB$56,3,),IF(AND(I455="TDP",S455&lt;=500),VLOOKUP(AF455,TPCalibEq500!$AZ$2:$BB$56,3,)))</f>
        <v>0</v>
      </c>
      <c r="AT455" s="10" t="b">
        <f>IF(AND(I455="TN",S455&lt;=2800),VLOOKUP(AF455,TNCalibEq2500!$AZ$2:$BB$56,3,),IF(AND(I455="TDN",S455&lt;=2800),VLOOKUP(AF455,TNCalibEq2500!$AZ$2:$BB$56,3,)))</f>
        <v>0</v>
      </c>
      <c r="AU455" s="10" t="b">
        <f>IF(I455="TP",VLOOKUP(AF455,TPCalibEqFull!$AZ$2:$BB$56,3),IF(I455="TDP",VLOOKUP(AF455,TPCalibEqFull!$AZ$2:$BB$56,3),IF(I455="TDN",VLOOKUP(AF455,TNCalibEqFull!$AZ$1:$BB$56,3),IF(I455="TN",VLOOKUP(AF455,TNCalibEqFull!$AZ$1:$BB$56,3),FALSE))))</f>
        <v>0</v>
      </c>
      <c r="AV455" s="10" t="str">
        <f t="shared" si="53"/>
        <v>0110 09:30:00-HST -0-C-1-SW-SPK</v>
      </c>
    </row>
    <row r="456" spans="1:48" s="10" customFormat="1" x14ac:dyDescent="0.55000000000000004">
      <c r="A456" s="32">
        <v>44937</v>
      </c>
      <c r="B456" s="33">
        <v>0.375</v>
      </c>
      <c r="C456" s="10" t="s">
        <v>70</v>
      </c>
      <c r="D456" s="10" t="s">
        <v>71</v>
      </c>
      <c r="E456" s="10" t="s">
        <v>901</v>
      </c>
      <c r="F456" s="10">
        <v>1</v>
      </c>
      <c r="G456" s="10" t="s">
        <v>73</v>
      </c>
      <c r="H456" s="10" t="s">
        <v>207</v>
      </c>
      <c r="I456" s="10" t="s">
        <v>75</v>
      </c>
      <c r="J456" s="10">
        <v>199</v>
      </c>
      <c r="K456" s="12">
        <v>44937</v>
      </c>
      <c r="L456" s="33">
        <v>0.50025462962962963</v>
      </c>
      <c r="M456" s="10">
        <v>1</v>
      </c>
      <c r="N456" s="10" t="s">
        <v>76</v>
      </c>
      <c r="O456" s="10">
        <v>5.17</v>
      </c>
      <c r="P456" s="10">
        <v>0.42</v>
      </c>
      <c r="Q456" s="10">
        <v>299</v>
      </c>
      <c r="R456" s="10" t="s">
        <v>77</v>
      </c>
      <c r="S456" s="34">
        <f t="shared" si="49"/>
        <v>299</v>
      </c>
      <c r="T456" s="10" t="s">
        <v>997</v>
      </c>
      <c r="U456" s="34">
        <f t="shared" si="50"/>
        <v>99.666666666666671</v>
      </c>
      <c r="V456" s="31">
        <f>IF(H456="CHK",VLOOKUP(I456,QCCHK,3,),IF(H456="GUP",VLOOKUP(E456,QCGUP,2,),IF(AND(H456="ATP",OR(I456="TN",I456="TDN",I456="TNO2-3",I456="NO2-3")),VLOOKUP(E456,QCREC_N,2,),IF(AND(H456="NIC",OR(I456="TN",I456="TDN",I456="TNO2-3",I456="NO2-3")),VLOOKUP(E456,QCNIC_N,2,),IF(AND(H456="UREA",OR(I456="TN",I456="TDN",I456="TNO2-3",I456="NO2-3")),VLOOKUP(E456,QCUREA_N,2,),IF(H456="PER",VLOOKUP(I456,QCPER,MATCH(E456,QCACTUAL!$J$25:$AA$25,0),),IF(H456="SPK",VLOOKUP(I456,QCSPK,3,),IF(AND(H456="ATP",OR(I456="TP",I456="TDP")),VLOOKUP(E456,QCATP_P,2,),""))))))))</f>
        <v>300</v>
      </c>
      <c r="W456" s="31" t="str">
        <f t="shared" si="51"/>
        <v>TRUE</v>
      </c>
      <c r="X456" s="31" t="str">
        <f t="shared" si="52"/>
        <v>[chk]/[actual]*100</v>
      </c>
      <c r="Y456" s="10" t="s">
        <v>992</v>
      </c>
      <c r="AL456" s="10" t="str">
        <f t="shared" si="54"/>
        <v>FALSE</v>
      </c>
      <c r="AM456" s="10" t="str">
        <f t="shared" si="54"/>
        <v>FALSE</v>
      </c>
      <c r="AN456" s="10" t="str">
        <f t="shared" si="54"/>
        <v>FALSE</v>
      </c>
      <c r="AO456" s="10" t="str">
        <f t="shared" si="55"/>
        <v>FALSE</v>
      </c>
      <c r="AP456" s="10" t="str">
        <f t="shared" si="55"/>
        <v>FALSE</v>
      </c>
      <c r="AQ456" s="10" t="b">
        <f>IF(AND(I456="TP",S456&lt;=150),VLOOKUP(AF456,TPCalibEq150!$AZ$2:$BB$55,3,),IF(AND(I456="TDP",S456&lt;=150),VLOOKUP(AF456,TPCalibEq150!$AZ$2:$BB$55,3,)))</f>
        <v>0</v>
      </c>
      <c r="AR456" s="10" t="b">
        <f>IF(AND(I456="TP",S456&lt;=300),VLOOKUP(AF456,TPCalibEq300!$AZ$2:$BB$55,3,),IF(AND(I456="TDP",S456&lt;=300),VLOOKUP(AF456,TPCalibEq300!$AZ$2:$BB$55,3,)))</f>
        <v>0</v>
      </c>
      <c r="AS456" s="10" t="b">
        <f>IF(AND(I456="TP",S456&lt;=500),VLOOKUP(AF456,TPCalibEq500!$AZ$2:$BB$56,3,),IF(AND(I456="TDP",S456&lt;=500),VLOOKUP(AF456,TPCalibEq500!$AZ$2:$BB$56,3,)))</f>
        <v>0</v>
      </c>
      <c r="AT456" s="10" t="b">
        <f>IF(AND(I456="TN",S456&lt;=2800),VLOOKUP(AF456,TNCalibEq2500!$AZ$2:$BB$56,3,),IF(AND(I456="TDN",S456&lt;=2800),VLOOKUP(AF456,TNCalibEq2500!$AZ$2:$BB$56,3,)))</f>
        <v>0</v>
      </c>
      <c r="AU456" s="10" t="b">
        <f>IF(I456="TP",VLOOKUP(AF456,TPCalibEqFull!$AZ$2:$BB$56,3),IF(I456="TDP",VLOOKUP(AF456,TPCalibEqFull!$AZ$2:$BB$56,3),IF(I456="TDN",VLOOKUP(AF456,TNCalibEqFull!$AZ$1:$BB$56,3),IF(I456="TN",VLOOKUP(AF456,TNCalibEqFull!$AZ$1:$BB$56,3),FALSE))))</f>
        <v>0</v>
      </c>
      <c r="AV456" s="10" t="str">
        <f t="shared" si="53"/>
        <v>0111 09:00:00-QAC-STD-D-1-DI-CHK</v>
      </c>
    </row>
    <row r="457" spans="1:48" s="10" customFormat="1" x14ac:dyDescent="0.55000000000000004">
      <c r="A457" s="32">
        <v>44935</v>
      </c>
      <c r="B457" s="33">
        <v>0.35972222222222222</v>
      </c>
      <c r="C457" s="10" t="s">
        <v>998</v>
      </c>
      <c r="D457" s="10">
        <v>0</v>
      </c>
      <c r="E457" s="10" t="s">
        <v>190</v>
      </c>
      <c r="F457" s="10">
        <v>1</v>
      </c>
      <c r="G457" s="10" t="s">
        <v>231</v>
      </c>
      <c r="H457" s="10" t="s">
        <v>322</v>
      </c>
      <c r="I457" s="10" t="s">
        <v>75</v>
      </c>
      <c r="J457" s="10">
        <v>11</v>
      </c>
      <c r="K457" s="12">
        <v>44937</v>
      </c>
      <c r="L457" s="33">
        <v>0.5010648148148148</v>
      </c>
      <c r="M457" s="10">
        <v>1</v>
      </c>
      <c r="N457" s="10" t="s">
        <v>76</v>
      </c>
      <c r="O457" s="10">
        <v>0.40400000000000003</v>
      </c>
      <c r="P457" s="10">
        <v>2.87E-2</v>
      </c>
      <c r="Q457" s="10">
        <v>23.1</v>
      </c>
      <c r="R457" s="10" t="s">
        <v>77</v>
      </c>
      <c r="S457" s="34">
        <f t="shared" si="49"/>
        <v>23.1</v>
      </c>
      <c r="T457" s="10" t="s">
        <v>997</v>
      </c>
      <c r="U457" s="34" t="str">
        <f t="shared" si="50"/>
        <v/>
      </c>
      <c r="V457" s="31" t="str">
        <f>IF(H457="CHK",VLOOKUP(I457,QCCHK,3,),IF(H457="GUP",VLOOKUP(E457,QCGUP,2,),IF(AND(H457="ATP",OR(I457="TN",I457="TDN",I457="TNO2-3",I457="NO2-3")),VLOOKUP(E457,QCREC_N,2,),IF(AND(H457="NIC",OR(I457="TN",I457="TDN",I457="TNO2-3",I457="NO2-3")),VLOOKUP(E457,QCNIC_N,2,),IF(AND(H457="UREA",OR(I457="TN",I457="TDN",I457="TNO2-3",I457="NO2-3")),VLOOKUP(E457,QCUREA_N,2,),IF(H457="PER",VLOOKUP(I457,QCPER,MATCH(E457,QCACTUAL!$J$25:$AA$25,0),),IF(H457="SPK",VLOOKUP(I457,QCSPK,3,),IF(AND(H457="ATP",OR(I457="TP",I457="TDP")),VLOOKUP(E457,QCATP_P,2,),""))))))))</f>
        <v/>
      </c>
      <c r="W457" s="31" t="str">
        <f t="shared" si="51"/>
        <v>TRUE</v>
      </c>
      <c r="X457" s="31" t="str">
        <f t="shared" si="52"/>
        <v/>
      </c>
      <c r="Y457" s="10" t="s">
        <v>992</v>
      </c>
      <c r="Z457" s="10" t="s">
        <v>910</v>
      </c>
      <c r="AL457" s="10" t="str">
        <f t="shared" si="54"/>
        <v>FALSE</v>
      </c>
      <c r="AM457" s="10" t="str">
        <f t="shared" si="54"/>
        <v>FALSE</v>
      </c>
      <c r="AN457" s="10" t="str">
        <f t="shared" si="54"/>
        <v>FALSE</v>
      </c>
      <c r="AO457" s="10" t="str">
        <f t="shared" si="55"/>
        <v>FALSE</v>
      </c>
      <c r="AP457" s="10" t="str">
        <f t="shared" si="55"/>
        <v>FALSE</v>
      </c>
      <c r="AQ457" s="10" t="b">
        <f>IF(AND(I457="TP",S457&lt;=150),VLOOKUP(AF457,TPCalibEq150!$AZ$2:$BB$55,3,),IF(AND(I457="TDP",S457&lt;=150),VLOOKUP(AF457,TPCalibEq150!$AZ$2:$BB$55,3,)))</f>
        <v>0</v>
      </c>
      <c r="AR457" s="10" t="b">
        <f>IF(AND(I457="TP",S457&lt;=300),VLOOKUP(AF457,TPCalibEq300!$AZ$2:$BB$55,3,),IF(AND(I457="TDP",S457&lt;=300),VLOOKUP(AF457,TPCalibEq300!$AZ$2:$BB$55,3,)))</f>
        <v>0</v>
      </c>
      <c r="AS457" s="10" t="b">
        <f>IF(AND(I457="TP",S457&lt;=500),VLOOKUP(AF457,TPCalibEq500!$AZ$2:$BB$56,3,),IF(AND(I457="TDP",S457&lt;=500),VLOOKUP(AF457,TPCalibEq500!$AZ$2:$BB$56,3,)))</f>
        <v>0</v>
      </c>
      <c r="AT457" s="10" t="b">
        <f>IF(AND(I457="TN",S457&lt;=2800),VLOOKUP(AF457,TNCalibEq2500!$AZ$2:$BB$56,3,),IF(AND(I457="TDN",S457&lt;=2800),VLOOKUP(AF457,TNCalibEq2500!$AZ$2:$BB$56,3,)))</f>
        <v>0</v>
      </c>
      <c r="AU457" s="10" t="b">
        <f>IF(I457="TP",VLOOKUP(AF457,TPCalibEqFull!$AZ$2:$BB$56,3),IF(I457="TDP",VLOOKUP(AF457,TPCalibEqFull!$AZ$2:$BB$56,3),IF(I457="TDN",VLOOKUP(AF457,TNCalibEqFull!$AZ$1:$BB$56,3),IF(I457="TN",VLOOKUP(AF457,TNCalibEqFull!$AZ$1:$BB$56,3),FALSE))))</f>
        <v>0</v>
      </c>
      <c r="AV457" s="10" t="str">
        <f t="shared" si="53"/>
        <v>0109 08:38:00-ELW-0-C-1-SW-UKN</v>
      </c>
    </row>
    <row r="458" spans="1:48" s="10" customFormat="1" x14ac:dyDescent="0.55000000000000004">
      <c r="A458" s="32">
        <v>44935</v>
      </c>
      <c r="B458" s="33">
        <v>0.44722222222222219</v>
      </c>
      <c r="C458" s="10" t="s">
        <v>310</v>
      </c>
      <c r="D458" s="10">
        <v>0</v>
      </c>
      <c r="E458" s="10" t="s">
        <v>190</v>
      </c>
      <c r="F458" s="10">
        <v>1</v>
      </c>
      <c r="G458" s="10" t="s">
        <v>231</v>
      </c>
      <c r="H458" s="10" t="s">
        <v>322</v>
      </c>
      <c r="I458" s="10" t="s">
        <v>75</v>
      </c>
      <c r="J458" s="10">
        <v>12</v>
      </c>
      <c r="K458" s="12">
        <v>44937</v>
      </c>
      <c r="L458" s="33">
        <v>0.50188657407407411</v>
      </c>
      <c r="M458" s="10">
        <v>1</v>
      </c>
      <c r="N458" s="10" t="s">
        <v>76</v>
      </c>
      <c r="O458" s="10">
        <v>0.91600000000000004</v>
      </c>
      <c r="P458" s="10">
        <v>7.0800000000000002E-2</v>
      </c>
      <c r="Q458" s="10">
        <v>52.5</v>
      </c>
      <c r="R458" s="10" t="s">
        <v>77</v>
      </c>
      <c r="S458" s="34">
        <f t="shared" si="49"/>
        <v>52.5</v>
      </c>
      <c r="T458" s="10" t="s">
        <v>997</v>
      </c>
      <c r="U458" s="34" t="str">
        <f t="shared" si="50"/>
        <v/>
      </c>
      <c r="V458" s="31" t="str">
        <f>IF(H458="CHK",VLOOKUP(I458,QCCHK,3,),IF(H458="GUP",VLOOKUP(E458,QCGUP,2,),IF(AND(H458="ATP",OR(I458="TN",I458="TDN",I458="TNO2-3",I458="NO2-3")),VLOOKUP(E458,QCREC_N,2,),IF(AND(H458="NIC",OR(I458="TN",I458="TDN",I458="TNO2-3",I458="NO2-3")),VLOOKUP(E458,QCNIC_N,2,),IF(AND(H458="UREA",OR(I458="TN",I458="TDN",I458="TNO2-3",I458="NO2-3")),VLOOKUP(E458,QCUREA_N,2,),IF(H458="PER",VLOOKUP(I458,QCPER,MATCH(E458,QCACTUAL!$J$25:$AA$25,0),),IF(H458="SPK",VLOOKUP(I458,QCSPK,3,),IF(AND(H458="ATP",OR(I458="TP",I458="TDP")),VLOOKUP(E458,QCATP_P,2,),""))))))))</f>
        <v/>
      </c>
      <c r="W458" s="31" t="str">
        <f t="shared" si="51"/>
        <v>TRUE</v>
      </c>
      <c r="X458" s="31" t="str">
        <f t="shared" si="52"/>
        <v/>
      </c>
      <c r="Y458" s="10" t="s">
        <v>992</v>
      </c>
      <c r="Z458" s="10" t="s">
        <v>910</v>
      </c>
      <c r="AL458" s="10" t="str">
        <f t="shared" si="54"/>
        <v>FALSE</v>
      </c>
      <c r="AM458" s="10" t="str">
        <f t="shared" si="54"/>
        <v>FALSE</v>
      </c>
      <c r="AN458" s="10" t="str">
        <f t="shared" si="54"/>
        <v>FALSE</v>
      </c>
      <c r="AO458" s="10" t="str">
        <f t="shared" si="55"/>
        <v>FALSE</v>
      </c>
      <c r="AP458" s="10" t="str">
        <f t="shared" si="55"/>
        <v>FALSE</v>
      </c>
      <c r="AQ458" s="10" t="b">
        <f>IF(AND(I458="TP",S458&lt;=150),VLOOKUP(AF458,TPCalibEq150!$AZ$2:$BB$55,3,),IF(AND(I458="TDP",S458&lt;=150),VLOOKUP(AF458,TPCalibEq150!$AZ$2:$BB$55,3,)))</f>
        <v>0</v>
      </c>
      <c r="AR458" s="10" t="b">
        <f>IF(AND(I458="TP",S458&lt;=300),VLOOKUP(AF458,TPCalibEq300!$AZ$2:$BB$55,3,),IF(AND(I458="TDP",S458&lt;=300),VLOOKUP(AF458,TPCalibEq300!$AZ$2:$BB$55,3,)))</f>
        <v>0</v>
      </c>
      <c r="AS458" s="10" t="b">
        <f>IF(AND(I458="TP",S458&lt;=500),VLOOKUP(AF458,TPCalibEq500!$AZ$2:$BB$56,3,),IF(AND(I458="TDP",S458&lt;=500),VLOOKUP(AF458,TPCalibEq500!$AZ$2:$BB$56,3,)))</f>
        <v>0</v>
      </c>
      <c r="AT458" s="10" t="b">
        <f>IF(AND(I458="TN",S458&lt;=2800),VLOOKUP(AF458,TNCalibEq2500!$AZ$2:$BB$56,3,),IF(AND(I458="TDN",S458&lt;=2800),VLOOKUP(AF458,TNCalibEq2500!$AZ$2:$BB$56,3,)))</f>
        <v>0</v>
      </c>
      <c r="AU458" s="10" t="b">
        <f>IF(I458="TP",VLOOKUP(AF458,TPCalibEqFull!$AZ$2:$BB$56,3),IF(I458="TDP",VLOOKUP(AF458,TPCalibEqFull!$AZ$2:$BB$56,3),IF(I458="TDN",VLOOKUP(AF458,TNCalibEqFull!$AZ$1:$BB$56,3),IF(I458="TN",VLOOKUP(AF458,TNCalibEqFull!$AZ$1:$BB$56,3),FALSE))))</f>
        <v>0</v>
      </c>
      <c r="AV458" s="10" t="str">
        <f t="shared" si="53"/>
        <v>0109 10:44:00-ELI-0-C-1-SW-UKN</v>
      </c>
    </row>
    <row r="459" spans="1:48" s="10" customFormat="1" x14ac:dyDescent="0.55000000000000004">
      <c r="A459" s="32">
        <v>44935</v>
      </c>
      <c r="B459" s="33">
        <v>0.4145833333333333</v>
      </c>
      <c r="C459" s="10" t="s">
        <v>999</v>
      </c>
      <c r="D459" s="10">
        <v>0</v>
      </c>
      <c r="E459" s="10" t="s">
        <v>190</v>
      </c>
      <c r="F459" s="10">
        <v>1</v>
      </c>
      <c r="G459" s="10" t="s">
        <v>231</v>
      </c>
      <c r="H459" s="10" t="s">
        <v>322</v>
      </c>
      <c r="I459" s="10" t="s">
        <v>75</v>
      </c>
      <c r="J459" s="10">
        <v>13</v>
      </c>
      <c r="K459" s="12">
        <v>44937</v>
      </c>
      <c r="L459" s="33">
        <v>0.50269675925925927</v>
      </c>
      <c r="M459" s="10">
        <v>1</v>
      </c>
      <c r="N459" s="10" t="s">
        <v>76</v>
      </c>
      <c r="O459" s="10">
        <v>0.47</v>
      </c>
      <c r="P459" s="10">
        <v>3.4599999999999999E-2</v>
      </c>
      <c r="Q459" s="10">
        <v>26.9</v>
      </c>
      <c r="R459" s="10" t="s">
        <v>77</v>
      </c>
      <c r="S459" s="34">
        <f t="shared" si="49"/>
        <v>26.9</v>
      </c>
      <c r="T459" s="10" t="s">
        <v>997</v>
      </c>
      <c r="U459" s="34" t="str">
        <f t="shared" si="50"/>
        <v/>
      </c>
      <c r="V459" s="31" t="str">
        <f>IF(H459="CHK",VLOOKUP(I459,QCCHK,3,),IF(H459="GUP",VLOOKUP(E459,QCGUP,2,),IF(AND(H459="ATP",OR(I459="TN",I459="TDN",I459="TNO2-3",I459="NO2-3")),VLOOKUP(E459,QCREC_N,2,),IF(AND(H459="NIC",OR(I459="TN",I459="TDN",I459="TNO2-3",I459="NO2-3")),VLOOKUP(E459,QCNIC_N,2,),IF(AND(H459="UREA",OR(I459="TN",I459="TDN",I459="TNO2-3",I459="NO2-3")),VLOOKUP(E459,QCUREA_N,2,),IF(H459="PER",VLOOKUP(I459,QCPER,MATCH(E459,QCACTUAL!$J$25:$AA$25,0),),IF(H459="SPK",VLOOKUP(I459,QCSPK,3,),IF(AND(H459="ATP",OR(I459="TP",I459="TDP")),VLOOKUP(E459,QCATP_P,2,),""))))))))</f>
        <v/>
      </c>
      <c r="W459" s="31" t="str">
        <f t="shared" si="51"/>
        <v>TRUE</v>
      </c>
      <c r="X459" s="31" t="str">
        <f t="shared" si="52"/>
        <v/>
      </c>
      <c r="Y459" s="10" t="s">
        <v>992</v>
      </c>
      <c r="Z459" s="10" t="s">
        <v>910</v>
      </c>
      <c r="AL459" s="10" t="str">
        <f t="shared" si="54"/>
        <v>FALSE</v>
      </c>
      <c r="AM459" s="10" t="str">
        <f t="shared" si="54"/>
        <v>FALSE</v>
      </c>
      <c r="AN459" s="10" t="str">
        <f t="shared" si="54"/>
        <v>FALSE</v>
      </c>
      <c r="AO459" s="10" t="str">
        <f t="shared" si="55"/>
        <v>FALSE</v>
      </c>
      <c r="AP459" s="10" t="str">
        <f t="shared" si="55"/>
        <v>FALSE</v>
      </c>
      <c r="AQ459" s="10" t="b">
        <f>IF(AND(I459="TP",S459&lt;=150),VLOOKUP(AF459,TPCalibEq150!$AZ$2:$BB$55,3,),IF(AND(I459="TDP",S459&lt;=150),VLOOKUP(AF459,TPCalibEq150!$AZ$2:$BB$55,3,)))</f>
        <v>0</v>
      </c>
      <c r="AR459" s="10" t="b">
        <f>IF(AND(I459="TP",S459&lt;=300),VLOOKUP(AF459,TPCalibEq300!$AZ$2:$BB$55,3,),IF(AND(I459="TDP",S459&lt;=300),VLOOKUP(AF459,TPCalibEq300!$AZ$2:$BB$55,3,)))</f>
        <v>0</v>
      </c>
      <c r="AS459" s="10" t="b">
        <f>IF(AND(I459="TP",S459&lt;=500),VLOOKUP(AF459,TPCalibEq500!$AZ$2:$BB$56,3,),IF(AND(I459="TDP",S459&lt;=500),VLOOKUP(AF459,TPCalibEq500!$AZ$2:$BB$56,3,)))</f>
        <v>0</v>
      </c>
      <c r="AT459" s="10" t="b">
        <f>IF(AND(I459="TN",S459&lt;=2800),VLOOKUP(AF459,TNCalibEq2500!$AZ$2:$BB$56,3,),IF(AND(I459="TDN",S459&lt;=2800),VLOOKUP(AF459,TNCalibEq2500!$AZ$2:$BB$56,3,)))</f>
        <v>0</v>
      </c>
      <c r="AU459" s="10" t="b">
        <f>IF(I459="TP",VLOOKUP(AF459,TPCalibEqFull!$AZ$2:$BB$56,3),IF(I459="TDP",VLOOKUP(AF459,TPCalibEqFull!$AZ$2:$BB$56,3),IF(I459="TDN",VLOOKUP(AF459,TNCalibEqFull!$AZ$1:$BB$56,3),IF(I459="TN",VLOOKUP(AF459,TNCalibEqFull!$AZ$1:$BB$56,3),FALSE))))</f>
        <v>0</v>
      </c>
      <c r="AV459" s="10" t="str">
        <f t="shared" si="53"/>
        <v>0109 09:57:00-EAW-0-C-1-SW-UKN</v>
      </c>
    </row>
    <row r="460" spans="1:48" s="10" customFormat="1" x14ac:dyDescent="0.55000000000000004">
      <c r="A460" s="32">
        <v>44935</v>
      </c>
      <c r="B460" s="33">
        <v>0.4145833333333333</v>
      </c>
      <c r="C460" s="10" t="s">
        <v>999</v>
      </c>
      <c r="D460" s="10">
        <v>0</v>
      </c>
      <c r="E460" s="10" t="s">
        <v>190</v>
      </c>
      <c r="F460" s="10">
        <v>2</v>
      </c>
      <c r="G460" s="10" t="s">
        <v>231</v>
      </c>
      <c r="H460" s="10" t="s">
        <v>322</v>
      </c>
      <c r="I460" s="10" t="s">
        <v>75</v>
      </c>
      <c r="J460" s="10">
        <v>14</v>
      </c>
      <c r="K460" s="12">
        <v>44937</v>
      </c>
      <c r="L460" s="33">
        <v>0.5034953703703704</v>
      </c>
      <c r="M460" s="10">
        <v>1</v>
      </c>
      <c r="N460" s="10" t="s">
        <v>76</v>
      </c>
      <c r="O460" s="10">
        <v>0.44600000000000001</v>
      </c>
      <c r="P460" s="10">
        <v>3.3300000000000003E-2</v>
      </c>
      <c r="Q460" s="10">
        <v>25.5</v>
      </c>
      <c r="R460" s="10" t="s">
        <v>77</v>
      </c>
      <c r="S460" s="34">
        <f t="shared" si="49"/>
        <v>25.5</v>
      </c>
      <c r="T460" s="10" t="s">
        <v>997</v>
      </c>
      <c r="U460" s="34" t="str">
        <f t="shared" si="50"/>
        <v/>
      </c>
      <c r="V460" s="31" t="str">
        <f>IF(H460="CHK",VLOOKUP(I460,QCCHK,3,),IF(H460="GUP",VLOOKUP(E460,QCGUP,2,),IF(AND(H460="ATP",OR(I460="TN",I460="TDN",I460="TNO2-3",I460="NO2-3")),VLOOKUP(E460,QCREC_N,2,),IF(AND(H460="NIC",OR(I460="TN",I460="TDN",I460="TNO2-3",I460="NO2-3")),VLOOKUP(E460,QCNIC_N,2,),IF(AND(H460="UREA",OR(I460="TN",I460="TDN",I460="TNO2-3",I460="NO2-3")),VLOOKUP(E460,QCUREA_N,2,),IF(H460="PER",VLOOKUP(I460,QCPER,MATCH(E460,QCACTUAL!$J$25:$AA$25,0),),IF(H460="SPK",VLOOKUP(I460,QCSPK,3,),IF(AND(H460="ATP",OR(I460="TP",I460="TDP")),VLOOKUP(E460,QCATP_P,2,),""))))))))</f>
        <v/>
      </c>
      <c r="W460" s="31" t="str">
        <f t="shared" si="51"/>
        <v>TRUE</v>
      </c>
      <c r="X460" s="31" t="str">
        <f t="shared" si="52"/>
        <v/>
      </c>
      <c r="Y460" s="10" t="s">
        <v>992</v>
      </c>
      <c r="Z460" s="10" t="s">
        <v>910</v>
      </c>
      <c r="AL460" s="10" t="str">
        <f t="shared" si="54"/>
        <v>FALSE</v>
      </c>
      <c r="AM460" s="10" t="str">
        <f t="shared" si="54"/>
        <v>FALSE</v>
      </c>
      <c r="AN460" s="10" t="str">
        <f t="shared" si="54"/>
        <v>FALSE</v>
      </c>
      <c r="AO460" s="10" t="str">
        <f t="shared" si="55"/>
        <v>FALSE</v>
      </c>
      <c r="AP460" s="10" t="str">
        <f t="shared" si="55"/>
        <v>FALSE</v>
      </c>
      <c r="AQ460" s="10" t="b">
        <f>IF(AND(I460="TP",S460&lt;=150),VLOOKUP(AF460,TPCalibEq150!$AZ$2:$BB$55,3,),IF(AND(I460="TDP",S460&lt;=150),VLOOKUP(AF460,TPCalibEq150!$AZ$2:$BB$55,3,)))</f>
        <v>0</v>
      </c>
      <c r="AR460" s="10" t="b">
        <f>IF(AND(I460="TP",S460&lt;=300),VLOOKUP(AF460,TPCalibEq300!$AZ$2:$BB$55,3,),IF(AND(I460="TDP",S460&lt;=300),VLOOKUP(AF460,TPCalibEq300!$AZ$2:$BB$55,3,)))</f>
        <v>0</v>
      </c>
      <c r="AS460" s="10" t="b">
        <f>IF(AND(I460="TP",S460&lt;=500),VLOOKUP(AF460,TPCalibEq500!$AZ$2:$BB$56,3,),IF(AND(I460="TDP",S460&lt;=500),VLOOKUP(AF460,TPCalibEq500!$AZ$2:$BB$56,3,)))</f>
        <v>0</v>
      </c>
      <c r="AT460" s="10" t="b">
        <f>IF(AND(I460="TN",S460&lt;=2800),VLOOKUP(AF460,TNCalibEq2500!$AZ$2:$BB$56,3,),IF(AND(I460="TDN",S460&lt;=2800),VLOOKUP(AF460,TNCalibEq2500!$AZ$2:$BB$56,3,)))</f>
        <v>0</v>
      </c>
      <c r="AU460" s="10" t="b">
        <f>IF(I460="TP",VLOOKUP(AF460,TPCalibEqFull!$AZ$2:$BB$56,3),IF(I460="TDP",VLOOKUP(AF460,TPCalibEqFull!$AZ$2:$BB$56,3),IF(I460="TDN",VLOOKUP(AF460,TNCalibEqFull!$AZ$1:$BB$56,3),IF(I460="TN",VLOOKUP(AF460,TNCalibEqFull!$AZ$1:$BB$56,3),FALSE))))</f>
        <v>0</v>
      </c>
      <c r="AV460" s="10" t="str">
        <f t="shared" si="53"/>
        <v>0109 09:57:00-EAW-0-C-2-SW-UKN</v>
      </c>
    </row>
    <row r="461" spans="1:48" s="10" customFormat="1" x14ac:dyDescent="0.55000000000000004">
      <c r="A461" s="32">
        <v>44935</v>
      </c>
      <c r="B461" s="33">
        <v>0.4145833333333333</v>
      </c>
      <c r="C461" s="10" t="s">
        <v>999</v>
      </c>
      <c r="D461" s="10">
        <v>0</v>
      </c>
      <c r="E461" s="10" t="s">
        <v>190</v>
      </c>
      <c r="F461" s="10">
        <v>2</v>
      </c>
      <c r="G461" s="10" t="s">
        <v>231</v>
      </c>
      <c r="H461" s="10" t="s">
        <v>233</v>
      </c>
      <c r="I461" s="10" t="s">
        <v>75</v>
      </c>
      <c r="J461" s="10">
        <v>14</v>
      </c>
      <c r="K461" s="12">
        <v>44937</v>
      </c>
      <c r="L461" s="33">
        <v>0.50430555555555556</v>
      </c>
      <c r="M461" s="10">
        <v>1</v>
      </c>
      <c r="N461" s="10" t="s">
        <v>76</v>
      </c>
      <c r="O461" s="10">
        <v>0.439</v>
      </c>
      <c r="P461" s="10">
        <v>3.2099999999999997E-2</v>
      </c>
      <c r="Q461" s="10">
        <v>25.1</v>
      </c>
      <c r="R461" s="10" t="s">
        <v>77</v>
      </c>
      <c r="S461" s="34">
        <f t="shared" si="49"/>
        <v>25.1</v>
      </c>
      <c r="T461" s="10" t="s">
        <v>997</v>
      </c>
      <c r="U461" s="34">
        <f t="shared" si="50"/>
        <v>1.5810276679841841</v>
      </c>
      <c r="V461" s="31" t="str">
        <f>IF(H461="CHK",VLOOKUP(I461,QCCHK,3,),IF(H461="GUP",VLOOKUP(E461,QCGUP,2,),IF(AND(H461="ATP",OR(I461="TN",I461="TDN",I461="TNO2-3",I461="NO2-3")),VLOOKUP(E461,QCREC_N,2,),IF(AND(H461="NIC",OR(I461="TN",I461="TDN",I461="TNO2-3",I461="NO2-3")),VLOOKUP(E461,QCNIC_N,2,),IF(AND(H461="UREA",OR(I461="TN",I461="TDN",I461="TNO2-3",I461="NO2-3")),VLOOKUP(E461,QCUREA_N,2,),IF(H461="PER",VLOOKUP(I461,QCPER,MATCH(E461,QCACTUAL!$J$25:$AA$25,0),),IF(H461="SPK",VLOOKUP(I461,QCSPK,3,),IF(AND(H461="ATP",OR(I461="TP",I461="TDP")),VLOOKUP(E461,QCATP_P,2,),""))))))))</f>
        <v/>
      </c>
      <c r="W461" s="31" t="str">
        <f t="shared" si="51"/>
        <v>TRUE</v>
      </c>
      <c r="X461" s="31" t="str">
        <f t="shared" si="52"/>
        <v>((ABS(rep1-rep2))/((rep1+rep2)/2)*100</v>
      </c>
      <c r="Y461" s="10" t="s">
        <v>992</v>
      </c>
      <c r="Z461" s="10" t="s">
        <v>910</v>
      </c>
      <c r="AL461" s="10" t="str">
        <f t="shared" si="54"/>
        <v>FALSE</v>
      </c>
      <c r="AM461" s="10" t="str">
        <f t="shared" si="54"/>
        <v>FALSE</v>
      </c>
      <c r="AN461" s="10" t="str">
        <f t="shared" si="54"/>
        <v>FALSE</v>
      </c>
      <c r="AO461" s="10" t="str">
        <f t="shared" si="55"/>
        <v>FALSE</v>
      </c>
      <c r="AP461" s="10" t="str">
        <f t="shared" si="55"/>
        <v>FALSE</v>
      </c>
      <c r="AQ461" s="10" t="b">
        <f>IF(AND(I461="TP",S461&lt;=150),VLOOKUP(AF461,TPCalibEq150!$AZ$2:$BB$55,3,),IF(AND(I461="TDP",S461&lt;=150),VLOOKUP(AF461,TPCalibEq150!$AZ$2:$BB$55,3,)))</f>
        <v>0</v>
      </c>
      <c r="AR461" s="10" t="b">
        <f>IF(AND(I461="TP",S461&lt;=300),VLOOKUP(AF461,TPCalibEq300!$AZ$2:$BB$55,3,),IF(AND(I461="TDP",S461&lt;=300),VLOOKUP(AF461,TPCalibEq300!$AZ$2:$BB$55,3,)))</f>
        <v>0</v>
      </c>
      <c r="AS461" s="10" t="b">
        <f>IF(AND(I461="TP",S461&lt;=500),VLOOKUP(AF461,TPCalibEq500!$AZ$2:$BB$56,3,),IF(AND(I461="TDP",S461&lt;=500),VLOOKUP(AF461,TPCalibEq500!$AZ$2:$BB$56,3,)))</f>
        <v>0</v>
      </c>
      <c r="AT461" s="10" t="b">
        <f>IF(AND(I461="TN",S461&lt;=2800),VLOOKUP(AF461,TNCalibEq2500!$AZ$2:$BB$56,3,),IF(AND(I461="TDN",S461&lt;=2800),VLOOKUP(AF461,TNCalibEq2500!$AZ$2:$BB$56,3,)))</f>
        <v>0</v>
      </c>
      <c r="AU461" s="10" t="b">
        <f>IF(I461="TP",VLOOKUP(AF461,TPCalibEqFull!$AZ$2:$BB$56,3),IF(I461="TDP",VLOOKUP(AF461,TPCalibEqFull!$AZ$2:$BB$56,3),IF(I461="TDN",VLOOKUP(AF461,TNCalibEqFull!$AZ$1:$BB$56,3),IF(I461="TN",VLOOKUP(AF461,TNCalibEqFull!$AZ$1:$BB$56,3),FALSE))))</f>
        <v>0</v>
      </c>
      <c r="AV461" s="10" t="str">
        <f t="shared" si="53"/>
        <v>0109 09:57:00-EAW-0-C-2-SW-DUP</v>
      </c>
    </row>
    <row r="462" spans="1:48" s="10" customFormat="1" x14ac:dyDescent="0.55000000000000004">
      <c r="A462" s="32">
        <v>44935</v>
      </c>
      <c r="B462" s="33">
        <v>0.4145833333333333</v>
      </c>
      <c r="C462" s="10" t="s">
        <v>999</v>
      </c>
      <c r="D462" s="10">
        <v>0</v>
      </c>
      <c r="E462" s="10" t="s">
        <v>190</v>
      </c>
      <c r="F462" s="10">
        <v>2</v>
      </c>
      <c r="G462" s="10" t="s">
        <v>231</v>
      </c>
      <c r="H462" s="10" t="s">
        <v>314</v>
      </c>
      <c r="I462" s="10" t="s">
        <v>75</v>
      </c>
      <c r="J462" s="10">
        <v>30</v>
      </c>
      <c r="K462" s="12">
        <v>44937</v>
      </c>
      <c r="L462" s="33">
        <v>0.50510416666666669</v>
      </c>
      <c r="M462" s="10">
        <v>1</v>
      </c>
      <c r="N462" s="10" t="s">
        <v>76</v>
      </c>
      <c r="O462" s="10">
        <v>11.4</v>
      </c>
      <c r="P462" s="10">
        <v>0.92400000000000004</v>
      </c>
      <c r="Q462" s="10">
        <v>672</v>
      </c>
      <c r="R462" s="10" t="s">
        <v>77</v>
      </c>
      <c r="S462" s="34">
        <f t="shared" si="49"/>
        <v>672</v>
      </c>
      <c r="T462" s="10" t="s">
        <v>997</v>
      </c>
      <c r="U462" s="34">
        <f t="shared" si="50"/>
        <v>103.50399999999999</v>
      </c>
      <c r="V462" s="31">
        <f>IF(H462="CHK",VLOOKUP(I462,QCCHK,3,),IF(H462="GUP",VLOOKUP(E462,QCGUP,2,),IF(AND(H462="ATP",OR(I462="TN",I462="TDN",I462="TNO2-3",I462="NO2-3")),VLOOKUP(E462,QCREC_N,2,),IF(AND(H462="NIC",OR(I462="TN",I462="TDN",I462="TNO2-3",I462="NO2-3")),VLOOKUP(E462,QCNIC_N,2,),IF(AND(H462="UREA",OR(I462="TN",I462="TDN",I462="TNO2-3",I462="NO2-3")),VLOOKUP(E462,QCUREA_N,2,),IF(H462="PER",VLOOKUP(I462,QCPER,MATCH(E462,QCACTUAL!$J$25:$AA$25,0),),IF(H462="SPK",VLOOKUP(I462,QCSPK,3,),IF(AND(H462="ATP",OR(I462="TP",I462="TDP")),VLOOKUP(E462,QCATP_P,2,),""))))))))</f>
        <v>625</v>
      </c>
      <c r="W462" s="31" t="str">
        <f t="shared" si="51"/>
        <v>TRUE</v>
      </c>
      <c r="X462" s="31" t="str">
        <f t="shared" si="52"/>
        <v>([spikedunkn]-[unkn])/[spike]*100</v>
      </c>
      <c r="Y462" s="10" t="s">
        <v>992</v>
      </c>
      <c r="Z462" s="10" t="s">
        <v>910</v>
      </c>
      <c r="AL462" s="10" t="str">
        <f t="shared" si="54"/>
        <v>FALSE</v>
      </c>
      <c r="AM462" s="10" t="str">
        <f t="shared" si="54"/>
        <v>FALSE</v>
      </c>
      <c r="AN462" s="10" t="str">
        <f t="shared" si="54"/>
        <v>FALSE</v>
      </c>
      <c r="AO462" s="10" t="str">
        <f t="shared" si="55"/>
        <v>FALSE</v>
      </c>
      <c r="AP462" s="10" t="str">
        <f t="shared" si="55"/>
        <v>FALSE</v>
      </c>
      <c r="AQ462" s="10" t="b">
        <f>IF(AND(I462="TP",S462&lt;=150),VLOOKUP(AF462,TPCalibEq150!$AZ$2:$BB$55,3,),IF(AND(I462="TDP",S462&lt;=150),VLOOKUP(AF462,TPCalibEq150!$AZ$2:$BB$55,3,)))</f>
        <v>0</v>
      </c>
      <c r="AR462" s="10" t="b">
        <f>IF(AND(I462="TP",S462&lt;=300),VLOOKUP(AF462,TPCalibEq300!$AZ$2:$BB$55,3,),IF(AND(I462="TDP",S462&lt;=300),VLOOKUP(AF462,TPCalibEq300!$AZ$2:$BB$55,3,)))</f>
        <v>0</v>
      </c>
      <c r="AS462" s="10" t="b">
        <f>IF(AND(I462="TP",S462&lt;=500),VLOOKUP(AF462,TPCalibEq500!$AZ$2:$BB$56,3,),IF(AND(I462="TDP",S462&lt;=500),VLOOKUP(AF462,TPCalibEq500!$AZ$2:$BB$56,3,)))</f>
        <v>0</v>
      </c>
      <c r="AT462" s="10" t="b">
        <f>IF(AND(I462="TN",S462&lt;=2800),VLOOKUP(AF462,TNCalibEq2500!$AZ$2:$BB$56,3,),IF(AND(I462="TDN",S462&lt;=2800),VLOOKUP(AF462,TNCalibEq2500!$AZ$2:$BB$56,3,)))</f>
        <v>0</v>
      </c>
      <c r="AU462" s="10" t="b">
        <f>IF(I462="TP",VLOOKUP(AF462,TPCalibEqFull!$AZ$2:$BB$56,3),IF(I462="TDP",VLOOKUP(AF462,TPCalibEqFull!$AZ$2:$BB$56,3),IF(I462="TDN",VLOOKUP(AF462,TNCalibEqFull!$AZ$1:$BB$56,3),IF(I462="TN",VLOOKUP(AF462,TNCalibEqFull!$AZ$1:$BB$56,3),FALSE))))</f>
        <v>0</v>
      </c>
      <c r="AV462" s="10" t="str">
        <f t="shared" si="53"/>
        <v>0109 09:57:00-EAW-0-C-2-SW-SPK</v>
      </c>
    </row>
    <row r="463" spans="1:48" s="10" customFormat="1" x14ac:dyDescent="0.55000000000000004">
      <c r="A463" s="32">
        <v>44937</v>
      </c>
      <c r="B463" s="33">
        <v>0.375</v>
      </c>
      <c r="C463" s="10" t="s">
        <v>70</v>
      </c>
      <c r="D463" s="10" t="s">
        <v>71</v>
      </c>
      <c r="E463" s="10" t="s">
        <v>901</v>
      </c>
      <c r="F463" s="10">
        <v>1</v>
      </c>
      <c r="G463" s="10" t="s">
        <v>73</v>
      </c>
      <c r="H463" s="10" t="s">
        <v>207</v>
      </c>
      <c r="I463" s="10" t="s">
        <v>75</v>
      </c>
      <c r="J463" s="10">
        <v>199</v>
      </c>
      <c r="K463" s="12">
        <v>44937</v>
      </c>
      <c r="L463" s="33">
        <v>0.50593750000000004</v>
      </c>
      <c r="M463" s="10">
        <v>1</v>
      </c>
      <c r="N463" s="10" t="s">
        <v>76</v>
      </c>
      <c r="O463" s="10">
        <v>5.21</v>
      </c>
      <c r="P463" s="10">
        <v>0.42399999999999999</v>
      </c>
      <c r="Q463" s="10">
        <v>301</v>
      </c>
      <c r="R463" s="10" t="s">
        <v>77</v>
      </c>
      <c r="S463" s="34">
        <f t="shared" si="49"/>
        <v>301</v>
      </c>
      <c r="T463" s="10" t="s">
        <v>997</v>
      </c>
      <c r="U463" s="34">
        <f t="shared" si="50"/>
        <v>100.33333333333334</v>
      </c>
      <c r="V463" s="31">
        <f>IF(H463="CHK",VLOOKUP(I463,QCCHK,3,),IF(H463="GUP",VLOOKUP(E463,QCGUP,2,),IF(AND(H463="ATP",OR(I463="TN",I463="TDN",I463="TNO2-3",I463="NO2-3")),VLOOKUP(E463,QCREC_N,2,),IF(AND(H463="NIC",OR(I463="TN",I463="TDN",I463="TNO2-3",I463="NO2-3")),VLOOKUP(E463,QCNIC_N,2,),IF(AND(H463="UREA",OR(I463="TN",I463="TDN",I463="TNO2-3",I463="NO2-3")),VLOOKUP(E463,QCUREA_N,2,),IF(H463="PER",VLOOKUP(I463,QCPER,MATCH(E463,QCACTUAL!$J$25:$AA$25,0),),IF(H463="SPK",VLOOKUP(I463,QCSPK,3,),IF(AND(H463="ATP",OR(I463="TP",I463="TDP")),VLOOKUP(E463,QCATP_P,2,),""))))))))</f>
        <v>300</v>
      </c>
      <c r="W463" s="31" t="str">
        <f t="shared" si="51"/>
        <v>TRUE</v>
      </c>
      <c r="X463" s="31" t="str">
        <f t="shared" si="52"/>
        <v>[chk]/[actual]*100</v>
      </c>
      <c r="Y463" s="10" t="s">
        <v>992</v>
      </c>
      <c r="AL463" s="10" t="str">
        <f t="shared" si="54"/>
        <v>FALSE</v>
      </c>
      <c r="AM463" s="10" t="str">
        <f t="shared" si="54"/>
        <v>FALSE</v>
      </c>
      <c r="AN463" s="10" t="str">
        <f t="shared" si="54"/>
        <v>FALSE</v>
      </c>
      <c r="AO463" s="10" t="str">
        <f t="shared" si="55"/>
        <v>FALSE</v>
      </c>
      <c r="AP463" s="10" t="str">
        <f t="shared" si="55"/>
        <v>FALSE</v>
      </c>
      <c r="AQ463" s="10" t="b">
        <f>IF(AND(I463="TP",S463&lt;=150),VLOOKUP(AF463,TPCalibEq150!$AZ$2:$BB$55,3,),IF(AND(I463="TDP",S463&lt;=150),VLOOKUP(AF463,TPCalibEq150!$AZ$2:$BB$55,3,)))</f>
        <v>0</v>
      </c>
      <c r="AR463" s="10" t="b">
        <f>IF(AND(I463="TP",S463&lt;=300),VLOOKUP(AF463,TPCalibEq300!$AZ$2:$BB$55,3,),IF(AND(I463="TDP",S463&lt;=300),VLOOKUP(AF463,TPCalibEq300!$AZ$2:$BB$55,3,)))</f>
        <v>0</v>
      </c>
      <c r="AS463" s="10" t="b">
        <f>IF(AND(I463="TP",S463&lt;=500),VLOOKUP(AF463,TPCalibEq500!$AZ$2:$BB$56,3,),IF(AND(I463="TDP",S463&lt;=500),VLOOKUP(AF463,TPCalibEq500!$AZ$2:$BB$56,3,)))</f>
        <v>0</v>
      </c>
      <c r="AT463" s="10" t="b">
        <f>IF(AND(I463="TN",S463&lt;=2800),VLOOKUP(AF463,TNCalibEq2500!$AZ$2:$BB$56,3,),IF(AND(I463="TDN",S463&lt;=2800),VLOOKUP(AF463,TNCalibEq2500!$AZ$2:$BB$56,3,)))</f>
        <v>0</v>
      </c>
      <c r="AU463" s="10" t="b">
        <f>IF(I463="TP",VLOOKUP(AF463,TPCalibEqFull!$AZ$2:$BB$56,3),IF(I463="TDP",VLOOKUP(AF463,TPCalibEqFull!$AZ$2:$BB$56,3),IF(I463="TDN",VLOOKUP(AF463,TNCalibEqFull!$AZ$1:$BB$56,3),IF(I463="TN",VLOOKUP(AF463,TNCalibEqFull!$AZ$1:$BB$56,3),FALSE))))</f>
        <v>0</v>
      </c>
      <c r="AV463" s="10" t="str">
        <f t="shared" si="53"/>
        <v>0111 09:00:00-QAC-STD-D-1-DI-CHK</v>
      </c>
    </row>
    <row r="464" spans="1:48" s="10" customFormat="1" x14ac:dyDescent="0.55000000000000004">
      <c r="A464" s="32">
        <v>44930</v>
      </c>
      <c r="B464" s="33">
        <v>0.22569444444444445</v>
      </c>
      <c r="C464" s="10" t="s">
        <v>279</v>
      </c>
      <c r="D464" s="10">
        <v>0</v>
      </c>
      <c r="E464" s="10" t="s">
        <v>911</v>
      </c>
      <c r="F464" s="10">
        <v>1</v>
      </c>
      <c r="G464" s="10" t="s">
        <v>231</v>
      </c>
      <c r="H464" s="10" t="s">
        <v>322</v>
      </c>
      <c r="I464" s="10" t="s">
        <v>183</v>
      </c>
      <c r="J464" s="10">
        <v>15</v>
      </c>
      <c r="K464" s="12">
        <v>44937</v>
      </c>
      <c r="L464" s="33">
        <v>0.50673611111111116</v>
      </c>
      <c r="M464" s="10">
        <v>1</v>
      </c>
      <c r="N464" s="10" t="s">
        <v>76</v>
      </c>
      <c r="O464" s="10">
        <v>0.70299999999999996</v>
      </c>
      <c r="P464" s="10">
        <v>5.5899999999999998E-2</v>
      </c>
      <c r="Q464" s="10">
        <v>40.200000000000003</v>
      </c>
      <c r="R464" s="10" t="s">
        <v>77</v>
      </c>
      <c r="S464" s="34">
        <f t="shared" si="49"/>
        <v>40.200000000000003</v>
      </c>
      <c r="T464" s="10" t="s">
        <v>997</v>
      </c>
      <c r="U464" s="34" t="str">
        <f t="shared" si="50"/>
        <v/>
      </c>
      <c r="V464" s="31" t="str">
        <f>IF(H464="CHK",VLOOKUP(I464,QCCHK,3,),IF(H464="GUP",VLOOKUP(E464,QCGUP,2,),IF(AND(H464="ATP",OR(I464="TN",I464="TDN",I464="TNO2-3",I464="NO2-3")),VLOOKUP(E464,QCREC_N,2,),IF(AND(H464="NIC",OR(I464="TN",I464="TDN",I464="TNO2-3",I464="NO2-3")),VLOOKUP(E464,QCNIC_N,2,),IF(AND(H464="UREA",OR(I464="TN",I464="TDN",I464="TNO2-3",I464="NO2-3")),VLOOKUP(E464,QCUREA_N,2,),IF(H464="PER",VLOOKUP(I464,QCPER,MATCH(E464,QCACTUAL!$J$25:$AA$25,0),),IF(H464="SPK",VLOOKUP(I464,QCSPK,3,),IF(AND(H464="ATP",OR(I464="TP",I464="TDP")),VLOOKUP(E464,QCATP_P,2,),""))))))))</f>
        <v/>
      </c>
      <c r="W464" s="31" t="str">
        <f t="shared" si="51"/>
        <v>TRUE</v>
      </c>
      <c r="X464" s="31" t="str">
        <f t="shared" si="52"/>
        <v/>
      </c>
      <c r="Y464" s="10" t="s">
        <v>992</v>
      </c>
      <c r="Z464" s="10" t="s">
        <v>910</v>
      </c>
      <c r="AL464" s="10" t="str">
        <f t="shared" si="54"/>
        <v>FALSE</v>
      </c>
      <c r="AM464" s="10" t="str">
        <f t="shared" si="54"/>
        <v>FALSE</v>
      </c>
      <c r="AN464" s="10" t="str">
        <f t="shared" si="54"/>
        <v>FALSE</v>
      </c>
      <c r="AO464" s="10" t="str">
        <f t="shared" si="55"/>
        <v>FALSE</v>
      </c>
      <c r="AP464" s="10" t="str">
        <f t="shared" si="55"/>
        <v>FALSE</v>
      </c>
      <c r="AQ464" s="10" t="b">
        <f>IF(AND(I464="TP",S464&lt;=150),VLOOKUP(AF464,TPCalibEq150!$AZ$2:$BB$55,3,),IF(AND(I464="TDP",S464&lt;=150),VLOOKUP(AF464,TPCalibEq150!$AZ$2:$BB$55,3,)))</f>
        <v>0</v>
      </c>
      <c r="AR464" s="10" t="b">
        <f>IF(AND(I464="TP",S464&lt;=300),VLOOKUP(AF464,TPCalibEq300!$AZ$2:$BB$55,3,),IF(AND(I464="TDP",S464&lt;=300),VLOOKUP(AF464,TPCalibEq300!$AZ$2:$BB$55,3,)))</f>
        <v>0</v>
      </c>
      <c r="AS464" s="10" t="b">
        <f>IF(AND(I464="TP",S464&lt;=500),VLOOKUP(AF464,TPCalibEq500!$AZ$2:$BB$56,3,),IF(AND(I464="TDP",S464&lt;=500),VLOOKUP(AF464,TPCalibEq500!$AZ$2:$BB$56,3,)))</f>
        <v>0</v>
      </c>
      <c r="AT464" s="10" t="b">
        <f>IF(AND(I464="TN",S464&lt;=2800),VLOOKUP(AF464,TNCalibEq2500!$AZ$2:$BB$56,3,),IF(AND(I464="TDN",S464&lt;=2800),VLOOKUP(AF464,TNCalibEq2500!$AZ$2:$BB$56,3,)))</f>
        <v>0</v>
      </c>
      <c r="AU464" s="10" t="b">
        <f>IF(I464="TP",VLOOKUP(AF464,TPCalibEqFull!$AZ$2:$BB$56,3),IF(I464="TDP",VLOOKUP(AF464,TPCalibEqFull!$AZ$2:$BB$56,3),IF(I464="TDN",VLOOKUP(AF464,TNCalibEqFull!$AZ$1:$BB$56,3),IF(I464="TN",VLOOKUP(AF464,TNCalibEqFull!$AZ$1:$BB$56,3),FALSE))))</f>
        <v>0</v>
      </c>
      <c r="AV464" s="10" t="str">
        <f t="shared" si="53"/>
        <v>0104 05:25:00-EFK-0-FIL-1-SW-UKN</v>
      </c>
    </row>
    <row r="465" spans="1:48" s="10" customFormat="1" x14ac:dyDescent="0.55000000000000004">
      <c r="A465" s="32">
        <v>44930</v>
      </c>
      <c r="B465" s="33">
        <v>0.22916666666666666</v>
      </c>
      <c r="C465" s="10" t="s">
        <v>333</v>
      </c>
      <c r="D465" s="10">
        <v>0</v>
      </c>
      <c r="E465" s="10" t="s">
        <v>911</v>
      </c>
      <c r="F465" s="10">
        <v>1</v>
      </c>
      <c r="G465" s="10" t="s">
        <v>231</v>
      </c>
      <c r="H465" s="10" t="s">
        <v>322</v>
      </c>
      <c r="I465" s="10" t="s">
        <v>183</v>
      </c>
      <c r="J465" s="10">
        <v>16</v>
      </c>
      <c r="K465" s="12">
        <v>44937</v>
      </c>
      <c r="L465" s="33">
        <v>0.50755787037037037</v>
      </c>
      <c r="M465" s="10">
        <v>1</v>
      </c>
      <c r="N465" s="10" t="s">
        <v>76</v>
      </c>
      <c r="O465" s="10">
        <v>0.24399999999999999</v>
      </c>
      <c r="P465" s="10">
        <v>1.9400000000000001E-2</v>
      </c>
      <c r="Q465" s="10">
        <v>14</v>
      </c>
      <c r="R465" s="10" t="s">
        <v>77</v>
      </c>
      <c r="S465" s="34">
        <f t="shared" si="49"/>
        <v>14</v>
      </c>
      <c r="T465" s="10" t="s">
        <v>997</v>
      </c>
      <c r="U465" s="34" t="str">
        <f t="shared" si="50"/>
        <v/>
      </c>
      <c r="V465" s="31" t="str">
        <f>IF(H465="CHK",VLOOKUP(I465,QCCHK,3,),IF(H465="GUP",VLOOKUP(E465,QCGUP,2,),IF(AND(H465="ATP",OR(I465="TN",I465="TDN",I465="TNO2-3",I465="NO2-3")),VLOOKUP(E465,QCREC_N,2,),IF(AND(H465="NIC",OR(I465="TN",I465="TDN",I465="TNO2-3",I465="NO2-3")),VLOOKUP(E465,QCNIC_N,2,),IF(AND(H465="UREA",OR(I465="TN",I465="TDN",I465="TNO2-3",I465="NO2-3")),VLOOKUP(E465,QCUREA_N,2,),IF(H465="PER",VLOOKUP(I465,QCPER,MATCH(E465,QCACTUAL!$J$25:$AA$25,0),),IF(H465="SPK",VLOOKUP(I465,QCSPK,3,),IF(AND(H465="ATP",OR(I465="TP",I465="TDP")),VLOOKUP(E465,QCATP_P,2,),""))))))))</f>
        <v/>
      </c>
      <c r="W465" s="31" t="str">
        <f t="shared" si="51"/>
        <v>TRUE</v>
      </c>
      <c r="X465" s="31" t="str">
        <f t="shared" si="52"/>
        <v/>
      </c>
      <c r="Y465" s="10" t="s">
        <v>992</v>
      </c>
      <c r="Z465" s="10" t="s">
        <v>910</v>
      </c>
      <c r="AL465" s="10" t="str">
        <f t="shared" si="54"/>
        <v>FALSE</v>
      </c>
      <c r="AM465" s="10" t="str">
        <f t="shared" si="54"/>
        <v>FALSE</v>
      </c>
      <c r="AN465" s="10" t="str">
        <f t="shared" si="54"/>
        <v>FALSE</v>
      </c>
      <c r="AO465" s="10" t="str">
        <f t="shared" si="55"/>
        <v>FALSE</v>
      </c>
      <c r="AP465" s="10" t="str">
        <f t="shared" si="55"/>
        <v>FALSE</v>
      </c>
      <c r="AQ465" s="10" t="b">
        <f>IF(AND(I465="TP",S465&lt;=150),VLOOKUP(AF465,TPCalibEq150!$AZ$2:$BB$55,3,),IF(AND(I465="TDP",S465&lt;=150),VLOOKUP(AF465,TPCalibEq150!$AZ$2:$BB$55,3,)))</f>
        <v>0</v>
      </c>
      <c r="AR465" s="10" t="b">
        <f>IF(AND(I465="TP",S465&lt;=300),VLOOKUP(AF465,TPCalibEq300!$AZ$2:$BB$55,3,),IF(AND(I465="TDP",S465&lt;=300),VLOOKUP(AF465,TPCalibEq300!$AZ$2:$BB$55,3,)))</f>
        <v>0</v>
      </c>
      <c r="AS465" s="10" t="b">
        <f>IF(AND(I465="TP",S465&lt;=500),VLOOKUP(AF465,TPCalibEq500!$AZ$2:$BB$56,3,),IF(AND(I465="TDP",S465&lt;=500),VLOOKUP(AF465,TPCalibEq500!$AZ$2:$BB$56,3,)))</f>
        <v>0</v>
      </c>
      <c r="AT465" s="10" t="b">
        <f>IF(AND(I465="TN",S465&lt;=2800),VLOOKUP(AF465,TNCalibEq2500!$AZ$2:$BB$56,3,),IF(AND(I465="TDN",S465&lt;=2800),VLOOKUP(AF465,TNCalibEq2500!$AZ$2:$BB$56,3,)))</f>
        <v>0</v>
      </c>
      <c r="AU465" s="10" t="b">
        <f>IF(I465="TP",VLOOKUP(AF465,TPCalibEqFull!$AZ$2:$BB$56,3),IF(I465="TDP",VLOOKUP(AF465,TPCalibEqFull!$AZ$2:$BB$56,3),IF(I465="TDN",VLOOKUP(AF465,TNCalibEqFull!$AZ$1:$BB$56,3),IF(I465="TN",VLOOKUP(AF465,TNCalibEqFull!$AZ$1:$BB$56,3),FALSE))))</f>
        <v>0</v>
      </c>
      <c r="AV465" s="10" t="str">
        <f t="shared" si="53"/>
        <v>0104 05:30:00-HST-0-FIL-1-SW-UKN</v>
      </c>
    </row>
    <row r="466" spans="1:48" s="10" customFormat="1" x14ac:dyDescent="0.55000000000000004">
      <c r="A466" s="32">
        <v>44931</v>
      </c>
      <c r="B466" s="33">
        <v>0.44513888888888892</v>
      </c>
      <c r="C466" s="10" t="s">
        <v>279</v>
      </c>
      <c r="D466" s="10">
        <v>0</v>
      </c>
      <c r="E466" s="10" t="s">
        <v>911</v>
      </c>
      <c r="F466" s="10">
        <v>1</v>
      </c>
      <c r="G466" s="10" t="s">
        <v>231</v>
      </c>
      <c r="H466" s="10" t="s">
        <v>322</v>
      </c>
      <c r="I466" s="10" t="s">
        <v>183</v>
      </c>
      <c r="J466" s="10">
        <v>17</v>
      </c>
      <c r="K466" s="12">
        <v>44937</v>
      </c>
      <c r="L466" s="33">
        <v>0.50839120370370372</v>
      </c>
      <c r="M466" s="10">
        <v>1</v>
      </c>
      <c r="N466" s="10" t="s">
        <v>76</v>
      </c>
      <c r="O466" s="10">
        <v>0.313</v>
      </c>
      <c r="P466" s="10">
        <v>2.5499999999999998E-2</v>
      </c>
      <c r="Q466" s="10">
        <v>17.899999999999999</v>
      </c>
      <c r="R466" s="10" t="s">
        <v>77</v>
      </c>
      <c r="S466" s="34">
        <f t="shared" si="49"/>
        <v>17.899999999999999</v>
      </c>
      <c r="T466" s="10" t="s">
        <v>997</v>
      </c>
      <c r="U466" s="34" t="str">
        <f t="shared" si="50"/>
        <v/>
      </c>
      <c r="V466" s="31" t="str">
        <f>IF(H466="CHK",VLOOKUP(I466,QCCHK,3,),IF(H466="GUP",VLOOKUP(E466,QCGUP,2,),IF(AND(H466="ATP",OR(I466="TN",I466="TDN",I466="TNO2-3",I466="NO2-3")),VLOOKUP(E466,QCREC_N,2,),IF(AND(H466="NIC",OR(I466="TN",I466="TDN",I466="TNO2-3",I466="NO2-3")),VLOOKUP(E466,QCNIC_N,2,),IF(AND(H466="UREA",OR(I466="TN",I466="TDN",I466="TNO2-3",I466="NO2-3")),VLOOKUP(E466,QCUREA_N,2,),IF(H466="PER",VLOOKUP(I466,QCPER,MATCH(E466,QCACTUAL!$J$25:$AA$25,0),),IF(H466="SPK",VLOOKUP(I466,QCSPK,3,),IF(AND(H466="ATP",OR(I466="TP",I466="TDP")),VLOOKUP(E466,QCATP_P,2,),""))))))))</f>
        <v/>
      </c>
      <c r="W466" s="31" t="str">
        <f t="shared" si="51"/>
        <v>TRUE</v>
      </c>
      <c r="X466" s="31" t="str">
        <f t="shared" si="52"/>
        <v/>
      </c>
      <c r="Y466" s="10" t="s">
        <v>992</v>
      </c>
      <c r="Z466" s="10" t="s">
        <v>910</v>
      </c>
      <c r="AL466" s="10" t="str">
        <f t="shared" si="54"/>
        <v>FALSE</v>
      </c>
      <c r="AM466" s="10" t="str">
        <f t="shared" si="54"/>
        <v>FALSE</v>
      </c>
      <c r="AN466" s="10" t="str">
        <f t="shared" si="54"/>
        <v>FALSE</v>
      </c>
      <c r="AO466" s="10" t="str">
        <f t="shared" si="55"/>
        <v>FALSE</v>
      </c>
      <c r="AP466" s="10" t="str">
        <f t="shared" si="55"/>
        <v>FALSE</v>
      </c>
      <c r="AQ466" s="10" t="b">
        <f>IF(AND(I466="TP",S466&lt;=150),VLOOKUP(AF466,TPCalibEq150!$AZ$2:$BB$55,3,),IF(AND(I466="TDP",S466&lt;=150),VLOOKUP(AF466,TPCalibEq150!$AZ$2:$BB$55,3,)))</f>
        <v>0</v>
      </c>
      <c r="AR466" s="10" t="b">
        <f>IF(AND(I466="TP",S466&lt;=300),VLOOKUP(AF466,TPCalibEq300!$AZ$2:$BB$55,3,),IF(AND(I466="TDP",S466&lt;=300),VLOOKUP(AF466,TPCalibEq300!$AZ$2:$BB$55,3,)))</f>
        <v>0</v>
      </c>
      <c r="AS466" s="10" t="b">
        <f>IF(AND(I466="TP",S466&lt;=500),VLOOKUP(AF466,TPCalibEq500!$AZ$2:$BB$56,3,),IF(AND(I466="TDP",S466&lt;=500),VLOOKUP(AF466,TPCalibEq500!$AZ$2:$BB$56,3,)))</f>
        <v>0</v>
      </c>
      <c r="AT466" s="10" t="b">
        <f>IF(AND(I466="TN",S466&lt;=2800),VLOOKUP(AF466,TNCalibEq2500!$AZ$2:$BB$56,3,),IF(AND(I466="TDN",S466&lt;=2800),VLOOKUP(AF466,TNCalibEq2500!$AZ$2:$BB$56,3,)))</f>
        <v>0</v>
      </c>
      <c r="AU466" s="10" t="b">
        <f>IF(I466="TP",VLOOKUP(AF466,TPCalibEqFull!$AZ$2:$BB$56,3),IF(I466="TDP",VLOOKUP(AF466,TPCalibEqFull!$AZ$2:$BB$56,3),IF(I466="TDN",VLOOKUP(AF466,TNCalibEqFull!$AZ$1:$BB$56,3),IF(I466="TN",VLOOKUP(AF466,TNCalibEqFull!$AZ$1:$BB$56,3),FALSE))))</f>
        <v>0</v>
      </c>
      <c r="AV466" s="10" t="str">
        <f t="shared" si="53"/>
        <v>0105 10:41:00-EFK-0-FIL-1-SW-UKN</v>
      </c>
    </row>
    <row r="467" spans="1:48" s="10" customFormat="1" x14ac:dyDescent="0.55000000000000004">
      <c r="A467" s="32">
        <v>44931</v>
      </c>
      <c r="B467" s="33">
        <v>0.45069444444444445</v>
      </c>
      <c r="C467" s="10" t="s">
        <v>333</v>
      </c>
      <c r="D467" s="10">
        <v>0</v>
      </c>
      <c r="E467" s="10" t="s">
        <v>911</v>
      </c>
      <c r="F467" s="10">
        <v>1</v>
      </c>
      <c r="G467" s="10" t="s">
        <v>231</v>
      </c>
      <c r="H467" s="10" t="s">
        <v>322</v>
      </c>
      <c r="I467" s="10" t="s">
        <v>183</v>
      </c>
      <c r="J467" s="10">
        <v>18</v>
      </c>
      <c r="K467" s="12">
        <v>44937</v>
      </c>
      <c r="L467" s="33">
        <v>0.50921296296296303</v>
      </c>
      <c r="M467" s="10">
        <v>1</v>
      </c>
      <c r="N467" s="10" t="s">
        <v>76</v>
      </c>
      <c r="O467" s="10">
        <v>11.7</v>
      </c>
      <c r="P467" s="10">
        <v>6.15</v>
      </c>
      <c r="Q467" s="10">
        <v>690</v>
      </c>
      <c r="R467" s="10" t="s">
        <v>77</v>
      </c>
      <c r="S467" s="34">
        <f t="shared" si="49"/>
        <v>690</v>
      </c>
      <c r="T467" s="10" t="s">
        <v>997</v>
      </c>
      <c r="U467" s="34" t="str">
        <f t="shared" si="50"/>
        <v/>
      </c>
      <c r="V467" s="31" t="str">
        <f>IF(H467="CHK",VLOOKUP(I467,QCCHK,3,),IF(H467="GUP",VLOOKUP(E467,QCGUP,2,),IF(AND(H467="ATP",OR(I467="TN",I467="TDN",I467="TNO2-3",I467="NO2-3")),VLOOKUP(E467,QCREC_N,2,),IF(AND(H467="NIC",OR(I467="TN",I467="TDN",I467="TNO2-3",I467="NO2-3")),VLOOKUP(E467,QCNIC_N,2,),IF(AND(H467="UREA",OR(I467="TN",I467="TDN",I467="TNO2-3",I467="NO2-3")),VLOOKUP(E467,QCUREA_N,2,),IF(H467="PER",VLOOKUP(I467,QCPER,MATCH(E467,QCACTUAL!$J$25:$AA$25,0),),IF(H467="SPK",VLOOKUP(I467,QCSPK,3,),IF(AND(H467="ATP",OR(I467="TP",I467="TDP")),VLOOKUP(E467,QCATP_P,2,),""))))))))</f>
        <v/>
      </c>
      <c r="W467" s="31" t="str">
        <f t="shared" si="51"/>
        <v>TRUE</v>
      </c>
      <c r="X467" s="31" t="str">
        <f t="shared" si="52"/>
        <v/>
      </c>
      <c r="Y467" s="10" t="s">
        <v>992</v>
      </c>
      <c r="Z467" s="10" t="s">
        <v>910</v>
      </c>
      <c r="AL467" s="10" t="str">
        <f t="shared" si="54"/>
        <v>FALSE</v>
      </c>
      <c r="AM467" s="10" t="str">
        <f t="shared" si="54"/>
        <v>FALSE</v>
      </c>
      <c r="AN467" s="10" t="str">
        <f t="shared" si="54"/>
        <v>FALSE</v>
      </c>
      <c r="AO467" s="10" t="str">
        <f t="shared" si="55"/>
        <v>FALSE</v>
      </c>
      <c r="AP467" s="10" t="str">
        <f t="shared" si="55"/>
        <v>FALSE</v>
      </c>
      <c r="AQ467" s="10" t="b">
        <f>IF(AND(I467="TP",S467&lt;=150),VLOOKUP(AF467,TPCalibEq150!$AZ$2:$BB$55,3,),IF(AND(I467="TDP",S467&lt;=150),VLOOKUP(AF467,TPCalibEq150!$AZ$2:$BB$55,3,)))</f>
        <v>0</v>
      </c>
      <c r="AR467" s="10" t="b">
        <f>IF(AND(I467="TP",S467&lt;=300),VLOOKUP(AF467,TPCalibEq300!$AZ$2:$BB$55,3,),IF(AND(I467="TDP",S467&lt;=300),VLOOKUP(AF467,TPCalibEq300!$AZ$2:$BB$55,3,)))</f>
        <v>0</v>
      </c>
      <c r="AS467" s="10" t="b">
        <f>IF(AND(I467="TP",S467&lt;=500),VLOOKUP(AF467,TPCalibEq500!$AZ$2:$BB$56,3,),IF(AND(I467="TDP",S467&lt;=500),VLOOKUP(AF467,TPCalibEq500!$AZ$2:$BB$56,3,)))</f>
        <v>0</v>
      </c>
      <c r="AT467" s="10" t="b">
        <f>IF(AND(I467="TN",S467&lt;=2800),VLOOKUP(AF467,TNCalibEq2500!$AZ$2:$BB$56,3,),IF(AND(I467="TDN",S467&lt;=2800),VLOOKUP(AF467,TNCalibEq2500!$AZ$2:$BB$56,3,)))</f>
        <v>0</v>
      </c>
      <c r="AU467" s="10" t="b">
        <f>IF(I467="TP",VLOOKUP(AF467,TPCalibEqFull!$AZ$2:$BB$56,3),IF(I467="TDP",VLOOKUP(AF467,TPCalibEqFull!$AZ$2:$BB$56,3),IF(I467="TDN",VLOOKUP(AF467,TNCalibEqFull!$AZ$1:$BB$56,3),IF(I467="TN",VLOOKUP(AF467,TNCalibEqFull!$AZ$1:$BB$56,3),FALSE))))</f>
        <v>0</v>
      </c>
      <c r="AV467" s="10" t="str">
        <f t="shared" si="53"/>
        <v>0105 10:49:00-HST-0-FIL-1-SW-UKN</v>
      </c>
    </row>
    <row r="468" spans="1:48" s="10" customFormat="1" x14ac:dyDescent="0.55000000000000004">
      <c r="A468" s="32">
        <v>44932</v>
      </c>
      <c r="B468" s="33">
        <v>0.53333333333333333</v>
      </c>
      <c r="C468" s="10" t="s">
        <v>279</v>
      </c>
      <c r="D468" s="10">
        <v>0</v>
      </c>
      <c r="E468" s="10" t="s">
        <v>911</v>
      </c>
      <c r="F468" s="10">
        <v>1</v>
      </c>
      <c r="G468" s="10" t="s">
        <v>231</v>
      </c>
      <c r="H468" s="10" t="s">
        <v>322</v>
      </c>
      <c r="I468" s="10" t="s">
        <v>183</v>
      </c>
      <c r="J468" s="10">
        <v>19</v>
      </c>
      <c r="K468" s="12">
        <v>44937</v>
      </c>
      <c r="L468" s="33">
        <v>0.5100231481481482</v>
      </c>
      <c r="M468" s="10">
        <v>1</v>
      </c>
      <c r="N468" s="10" t="s">
        <v>76</v>
      </c>
      <c r="O468" s="10">
        <v>0.317</v>
      </c>
      <c r="P468" s="10">
        <v>2.52E-2</v>
      </c>
      <c r="Q468" s="10">
        <v>18.100000000000001</v>
      </c>
      <c r="R468" s="10" t="s">
        <v>77</v>
      </c>
      <c r="S468" s="34">
        <f t="shared" si="49"/>
        <v>18.100000000000001</v>
      </c>
      <c r="T468" s="10" t="s">
        <v>997</v>
      </c>
      <c r="U468" s="34" t="str">
        <f t="shared" si="50"/>
        <v/>
      </c>
      <c r="V468" s="31" t="str">
        <f>IF(H468="CHK",VLOOKUP(I468,QCCHK,3,),IF(H468="GUP",VLOOKUP(E468,QCGUP,2,),IF(AND(H468="ATP",OR(I468="TN",I468="TDN",I468="TNO2-3",I468="NO2-3")),VLOOKUP(E468,QCREC_N,2,),IF(AND(H468="NIC",OR(I468="TN",I468="TDN",I468="TNO2-3",I468="NO2-3")),VLOOKUP(E468,QCNIC_N,2,),IF(AND(H468="UREA",OR(I468="TN",I468="TDN",I468="TNO2-3",I468="NO2-3")),VLOOKUP(E468,QCUREA_N,2,),IF(H468="PER",VLOOKUP(I468,QCPER,MATCH(E468,QCACTUAL!$J$25:$AA$25,0),),IF(H468="SPK",VLOOKUP(I468,QCSPK,3,),IF(AND(H468="ATP",OR(I468="TP",I468="TDP")),VLOOKUP(E468,QCATP_P,2,),""))))))))</f>
        <v/>
      </c>
      <c r="W468" s="31" t="str">
        <f t="shared" si="51"/>
        <v>TRUE</v>
      </c>
      <c r="X468" s="31" t="str">
        <f t="shared" si="52"/>
        <v/>
      </c>
      <c r="Y468" s="10" t="s">
        <v>992</v>
      </c>
      <c r="Z468" s="10" t="s">
        <v>910</v>
      </c>
      <c r="AL468" s="10" t="str">
        <f t="shared" si="54"/>
        <v>FALSE</v>
      </c>
      <c r="AM468" s="10" t="str">
        <f t="shared" si="54"/>
        <v>FALSE</v>
      </c>
      <c r="AN468" s="10" t="str">
        <f t="shared" si="54"/>
        <v>FALSE</v>
      </c>
      <c r="AO468" s="10" t="str">
        <f t="shared" si="55"/>
        <v>FALSE</v>
      </c>
      <c r="AP468" s="10" t="str">
        <f t="shared" si="55"/>
        <v>FALSE</v>
      </c>
      <c r="AQ468" s="10" t="b">
        <f>IF(AND(I468="TP",S468&lt;=150),VLOOKUP(AF468,TPCalibEq150!$AZ$2:$BB$55,3,),IF(AND(I468="TDP",S468&lt;=150),VLOOKUP(AF468,TPCalibEq150!$AZ$2:$BB$55,3,)))</f>
        <v>0</v>
      </c>
      <c r="AR468" s="10" t="b">
        <f>IF(AND(I468="TP",S468&lt;=300),VLOOKUP(AF468,TPCalibEq300!$AZ$2:$BB$55,3,),IF(AND(I468="TDP",S468&lt;=300),VLOOKUP(AF468,TPCalibEq300!$AZ$2:$BB$55,3,)))</f>
        <v>0</v>
      </c>
      <c r="AS468" s="10" t="b">
        <f>IF(AND(I468="TP",S468&lt;=500),VLOOKUP(AF468,TPCalibEq500!$AZ$2:$BB$56,3,),IF(AND(I468="TDP",S468&lt;=500),VLOOKUP(AF468,TPCalibEq500!$AZ$2:$BB$56,3,)))</f>
        <v>0</v>
      </c>
      <c r="AT468" s="10" t="b">
        <f>IF(AND(I468="TN",S468&lt;=2800),VLOOKUP(AF468,TNCalibEq2500!$AZ$2:$BB$56,3,),IF(AND(I468="TDN",S468&lt;=2800),VLOOKUP(AF468,TNCalibEq2500!$AZ$2:$BB$56,3,)))</f>
        <v>0</v>
      </c>
      <c r="AU468" s="10" t="b">
        <f>IF(I468="TP",VLOOKUP(AF468,TPCalibEqFull!$AZ$2:$BB$56,3),IF(I468="TDP",VLOOKUP(AF468,TPCalibEqFull!$AZ$2:$BB$56,3),IF(I468="TDN",VLOOKUP(AF468,TNCalibEqFull!$AZ$1:$BB$56,3),IF(I468="TN",VLOOKUP(AF468,TNCalibEqFull!$AZ$1:$BB$56,3),FALSE))))</f>
        <v>0</v>
      </c>
      <c r="AV468" s="10" t="str">
        <f t="shared" si="53"/>
        <v>0106 12:48:00-EFK-0-FIL-1-SW-UKN</v>
      </c>
    </row>
    <row r="469" spans="1:48" s="10" customFormat="1" x14ac:dyDescent="0.55000000000000004">
      <c r="A469" s="32">
        <v>44932</v>
      </c>
      <c r="B469" s="33">
        <v>0.52430555555555558</v>
      </c>
      <c r="C469" s="10" t="s">
        <v>333</v>
      </c>
      <c r="D469" s="10">
        <v>0</v>
      </c>
      <c r="E469" s="10" t="s">
        <v>911</v>
      </c>
      <c r="F469" s="10">
        <v>1</v>
      </c>
      <c r="G469" s="10" t="s">
        <v>231</v>
      </c>
      <c r="H469" s="10" t="s">
        <v>322</v>
      </c>
      <c r="I469" s="10" t="s">
        <v>183</v>
      </c>
      <c r="J469" s="10">
        <v>20</v>
      </c>
      <c r="K469" s="12">
        <v>44937</v>
      </c>
      <c r="L469" s="33">
        <v>0.51085648148148144</v>
      </c>
      <c r="M469" s="10">
        <v>1</v>
      </c>
      <c r="N469" s="10" t="s">
        <v>76</v>
      </c>
      <c r="O469" s="10">
        <v>0.33200000000000002</v>
      </c>
      <c r="P469" s="10">
        <v>2.6800000000000001E-2</v>
      </c>
      <c r="Q469" s="10">
        <v>19</v>
      </c>
      <c r="R469" s="10" t="s">
        <v>77</v>
      </c>
      <c r="S469" s="34">
        <f t="shared" si="49"/>
        <v>19</v>
      </c>
      <c r="T469" s="10" t="s">
        <v>997</v>
      </c>
      <c r="U469" s="34" t="str">
        <f t="shared" si="50"/>
        <v/>
      </c>
      <c r="V469" s="31" t="str">
        <f>IF(H469="CHK",VLOOKUP(I469,QCCHK,3,),IF(H469="GUP",VLOOKUP(E469,QCGUP,2,),IF(AND(H469="ATP",OR(I469="TN",I469="TDN",I469="TNO2-3",I469="NO2-3")),VLOOKUP(E469,QCREC_N,2,),IF(AND(H469="NIC",OR(I469="TN",I469="TDN",I469="TNO2-3",I469="NO2-3")),VLOOKUP(E469,QCNIC_N,2,),IF(AND(H469="UREA",OR(I469="TN",I469="TDN",I469="TNO2-3",I469="NO2-3")),VLOOKUP(E469,QCUREA_N,2,),IF(H469="PER",VLOOKUP(I469,QCPER,MATCH(E469,QCACTUAL!$J$25:$AA$25,0),),IF(H469="SPK",VLOOKUP(I469,QCSPK,3,),IF(AND(H469="ATP",OR(I469="TP",I469="TDP")),VLOOKUP(E469,QCATP_P,2,),""))))))))</f>
        <v/>
      </c>
      <c r="W469" s="31" t="str">
        <f t="shared" si="51"/>
        <v>TRUE</v>
      </c>
      <c r="X469" s="31" t="str">
        <f t="shared" si="52"/>
        <v/>
      </c>
      <c r="Y469" s="10" t="s">
        <v>992</v>
      </c>
      <c r="Z469" s="10" t="s">
        <v>910</v>
      </c>
      <c r="AL469" s="10" t="str">
        <f t="shared" si="54"/>
        <v>FALSE</v>
      </c>
      <c r="AM469" s="10" t="str">
        <f t="shared" si="54"/>
        <v>FALSE</v>
      </c>
      <c r="AN469" s="10" t="str">
        <f t="shared" si="54"/>
        <v>FALSE</v>
      </c>
      <c r="AO469" s="10" t="str">
        <f t="shared" si="55"/>
        <v>FALSE</v>
      </c>
      <c r="AP469" s="10" t="str">
        <f t="shared" si="55"/>
        <v>FALSE</v>
      </c>
      <c r="AQ469" s="10" t="b">
        <f>IF(AND(I469="TP",S469&lt;=150),VLOOKUP(AF469,TPCalibEq150!$AZ$2:$BB$55,3,),IF(AND(I469="TDP",S469&lt;=150),VLOOKUP(AF469,TPCalibEq150!$AZ$2:$BB$55,3,)))</f>
        <v>0</v>
      </c>
      <c r="AR469" s="10" t="b">
        <f>IF(AND(I469="TP",S469&lt;=300),VLOOKUP(AF469,TPCalibEq300!$AZ$2:$BB$55,3,),IF(AND(I469="TDP",S469&lt;=300),VLOOKUP(AF469,TPCalibEq300!$AZ$2:$BB$55,3,)))</f>
        <v>0</v>
      </c>
      <c r="AS469" s="10" t="b">
        <f>IF(AND(I469="TP",S469&lt;=500),VLOOKUP(AF469,TPCalibEq500!$AZ$2:$BB$56,3,),IF(AND(I469="TDP",S469&lt;=500),VLOOKUP(AF469,TPCalibEq500!$AZ$2:$BB$56,3,)))</f>
        <v>0</v>
      </c>
      <c r="AT469" s="10" t="b">
        <f>IF(AND(I469="TN",S469&lt;=2800),VLOOKUP(AF469,TNCalibEq2500!$AZ$2:$BB$56,3,),IF(AND(I469="TDN",S469&lt;=2800),VLOOKUP(AF469,TNCalibEq2500!$AZ$2:$BB$56,3,)))</f>
        <v>0</v>
      </c>
      <c r="AU469" s="10" t="b">
        <f>IF(I469="TP",VLOOKUP(AF469,TPCalibEqFull!$AZ$2:$BB$56,3),IF(I469="TDP",VLOOKUP(AF469,TPCalibEqFull!$AZ$2:$BB$56,3),IF(I469="TDN",VLOOKUP(AF469,TNCalibEqFull!$AZ$1:$BB$56,3),IF(I469="TN",VLOOKUP(AF469,TNCalibEqFull!$AZ$1:$BB$56,3),FALSE))))</f>
        <v>0</v>
      </c>
      <c r="AV469" s="10" t="str">
        <f t="shared" si="53"/>
        <v>0106 12:35:00-HST-0-FIL-1-SW-UKN</v>
      </c>
    </row>
    <row r="470" spans="1:48" s="10" customFormat="1" x14ac:dyDescent="0.55000000000000004">
      <c r="A470" s="32">
        <v>44935</v>
      </c>
      <c r="B470" s="33">
        <v>0.39166666666666666</v>
      </c>
      <c r="C470" s="10" t="s">
        <v>279</v>
      </c>
      <c r="D470" s="10">
        <v>0</v>
      </c>
      <c r="E470" s="10" t="s">
        <v>911</v>
      </c>
      <c r="F470" s="10">
        <v>1</v>
      </c>
      <c r="G470" s="10" t="s">
        <v>231</v>
      </c>
      <c r="H470" s="10" t="s">
        <v>322</v>
      </c>
      <c r="I470" s="10" t="s">
        <v>183</v>
      </c>
      <c r="J470" s="10">
        <v>21</v>
      </c>
      <c r="K470" s="12">
        <v>44937</v>
      </c>
      <c r="L470" s="33">
        <v>0.5116666666666666</v>
      </c>
      <c r="M470" s="10">
        <v>1</v>
      </c>
      <c r="N470" s="10" t="s">
        <v>76</v>
      </c>
      <c r="O470" s="10">
        <v>3.1399999999999997E-2</v>
      </c>
      <c r="P470" s="10">
        <v>2.0799999999999998E-3</v>
      </c>
      <c r="Q470" s="10">
        <v>1.79</v>
      </c>
      <c r="R470" s="10" t="s">
        <v>77</v>
      </c>
      <c r="S470" s="34">
        <f t="shared" si="49"/>
        <v>1.79</v>
      </c>
      <c r="T470" s="10" t="s">
        <v>997</v>
      </c>
      <c r="U470" s="34" t="str">
        <f t="shared" si="50"/>
        <v/>
      </c>
      <c r="V470" s="31" t="str">
        <f>IF(H470="CHK",VLOOKUP(I470,QCCHK,3,),IF(H470="GUP",VLOOKUP(E470,QCGUP,2,),IF(AND(H470="ATP",OR(I470="TN",I470="TDN",I470="TNO2-3",I470="NO2-3")),VLOOKUP(E470,QCREC_N,2,),IF(AND(H470="NIC",OR(I470="TN",I470="TDN",I470="TNO2-3",I470="NO2-3")),VLOOKUP(E470,QCNIC_N,2,),IF(AND(H470="UREA",OR(I470="TN",I470="TDN",I470="TNO2-3",I470="NO2-3")),VLOOKUP(E470,QCUREA_N,2,),IF(H470="PER",VLOOKUP(I470,QCPER,MATCH(E470,QCACTUAL!$J$25:$AA$25,0),),IF(H470="SPK",VLOOKUP(I470,QCSPK,3,),IF(AND(H470="ATP",OR(I470="TP",I470="TDP")),VLOOKUP(E470,QCATP_P,2,),""))))))))</f>
        <v/>
      </c>
      <c r="W470" s="31" t="str">
        <f t="shared" si="51"/>
        <v>TRUE</v>
      </c>
      <c r="X470" s="31" t="str">
        <f t="shared" si="52"/>
        <v/>
      </c>
      <c r="Y470" s="10" t="s">
        <v>992</v>
      </c>
      <c r="Z470" s="10" t="s">
        <v>910</v>
      </c>
      <c r="AL470" s="10" t="str">
        <f t="shared" si="54"/>
        <v>FALSE</v>
      </c>
      <c r="AM470" s="10" t="str">
        <f t="shared" si="54"/>
        <v>FALSE</v>
      </c>
      <c r="AN470" s="10" t="str">
        <f t="shared" si="54"/>
        <v>FALSE</v>
      </c>
      <c r="AO470" s="10" t="str">
        <f t="shared" si="55"/>
        <v>FALSE</v>
      </c>
      <c r="AP470" s="10" t="str">
        <f t="shared" si="55"/>
        <v>FALSE</v>
      </c>
      <c r="AQ470" s="10" t="b">
        <f>IF(AND(I470="TP",S470&lt;=150),VLOOKUP(AF470,TPCalibEq150!$AZ$2:$BB$55,3,),IF(AND(I470="TDP",S470&lt;=150),VLOOKUP(AF470,TPCalibEq150!$AZ$2:$BB$55,3,)))</f>
        <v>0</v>
      </c>
      <c r="AR470" s="10" t="b">
        <f>IF(AND(I470="TP",S470&lt;=300),VLOOKUP(AF470,TPCalibEq300!$AZ$2:$BB$55,3,),IF(AND(I470="TDP",S470&lt;=300),VLOOKUP(AF470,TPCalibEq300!$AZ$2:$BB$55,3,)))</f>
        <v>0</v>
      </c>
      <c r="AS470" s="10" t="b">
        <f>IF(AND(I470="TP",S470&lt;=500),VLOOKUP(AF470,TPCalibEq500!$AZ$2:$BB$56,3,),IF(AND(I470="TDP",S470&lt;=500),VLOOKUP(AF470,TPCalibEq500!$AZ$2:$BB$56,3,)))</f>
        <v>0</v>
      </c>
      <c r="AT470" s="10" t="b">
        <f>IF(AND(I470="TN",S470&lt;=2800),VLOOKUP(AF470,TNCalibEq2500!$AZ$2:$BB$56,3,),IF(AND(I470="TDN",S470&lt;=2800),VLOOKUP(AF470,TNCalibEq2500!$AZ$2:$BB$56,3,)))</f>
        <v>0</v>
      </c>
      <c r="AU470" s="10" t="b">
        <f>IF(I470="TP",VLOOKUP(AF470,TPCalibEqFull!$AZ$2:$BB$56,3),IF(I470="TDP",VLOOKUP(AF470,TPCalibEqFull!$AZ$2:$BB$56,3),IF(I470="TDN",VLOOKUP(AF470,TNCalibEqFull!$AZ$1:$BB$56,3),IF(I470="TN",VLOOKUP(AF470,TNCalibEqFull!$AZ$1:$BB$56,3),FALSE))))</f>
        <v>0</v>
      </c>
      <c r="AV470" s="10" t="str">
        <f t="shared" si="53"/>
        <v>0109 09:24:00-EFK-0-FIL-1-SW-UKN</v>
      </c>
    </row>
    <row r="471" spans="1:48" s="10" customFormat="1" x14ac:dyDescent="0.55000000000000004">
      <c r="A471" s="32">
        <v>44935</v>
      </c>
      <c r="B471" s="33">
        <v>0.30208333333333331</v>
      </c>
      <c r="C471" s="10" t="s">
        <v>333</v>
      </c>
      <c r="D471" s="10">
        <v>0</v>
      </c>
      <c r="E471" s="10" t="s">
        <v>911</v>
      </c>
      <c r="F471" s="10">
        <v>1</v>
      </c>
      <c r="G471" s="10" t="s">
        <v>231</v>
      </c>
      <c r="H471" s="10" t="s">
        <v>322</v>
      </c>
      <c r="I471" s="10" t="s">
        <v>183</v>
      </c>
      <c r="J471" s="10">
        <v>22</v>
      </c>
      <c r="K471" s="12">
        <v>44937</v>
      </c>
      <c r="L471" s="33">
        <v>0.51248842592592592</v>
      </c>
      <c r="M471" s="10">
        <v>1</v>
      </c>
      <c r="N471" s="10" t="s">
        <v>76</v>
      </c>
      <c r="O471" s="10">
        <v>2.0899999999999998E-2</v>
      </c>
      <c r="P471" s="10">
        <v>1.5900000000000001E-3</v>
      </c>
      <c r="Q471" s="10">
        <v>1.2</v>
      </c>
      <c r="R471" s="10" t="s">
        <v>77</v>
      </c>
      <c r="S471" s="34">
        <f t="shared" si="49"/>
        <v>1.2</v>
      </c>
      <c r="T471" s="10" t="s">
        <v>997</v>
      </c>
      <c r="U471" s="34" t="str">
        <f t="shared" si="50"/>
        <v/>
      </c>
      <c r="V471" s="31" t="str">
        <f>IF(H471="CHK",VLOOKUP(I471,QCCHK,3,),IF(H471="GUP",VLOOKUP(E471,QCGUP,2,),IF(AND(H471="ATP",OR(I471="TN",I471="TDN",I471="TNO2-3",I471="NO2-3")),VLOOKUP(E471,QCREC_N,2,),IF(AND(H471="NIC",OR(I471="TN",I471="TDN",I471="TNO2-3",I471="NO2-3")),VLOOKUP(E471,QCNIC_N,2,),IF(AND(H471="UREA",OR(I471="TN",I471="TDN",I471="TNO2-3",I471="NO2-3")),VLOOKUP(E471,QCUREA_N,2,),IF(H471="PER",VLOOKUP(I471,QCPER,MATCH(E471,QCACTUAL!$J$25:$AA$25,0),),IF(H471="SPK",VLOOKUP(I471,QCSPK,3,),IF(AND(H471="ATP",OR(I471="TP",I471="TDP")),VLOOKUP(E471,QCATP_P,2,),""))))))))</f>
        <v/>
      </c>
      <c r="W471" s="31" t="str">
        <f t="shared" si="51"/>
        <v>TRUE</v>
      </c>
      <c r="X471" s="31" t="str">
        <f t="shared" si="52"/>
        <v/>
      </c>
      <c r="Y471" s="10" t="s">
        <v>992</v>
      </c>
      <c r="Z471" s="10" t="s">
        <v>910</v>
      </c>
      <c r="AL471" s="10" t="str">
        <f t="shared" si="54"/>
        <v>FALSE</v>
      </c>
      <c r="AM471" s="10" t="str">
        <f t="shared" si="54"/>
        <v>FALSE</v>
      </c>
      <c r="AN471" s="10" t="str">
        <f t="shared" si="54"/>
        <v>FALSE</v>
      </c>
      <c r="AO471" s="10" t="str">
        <f t="shared" si="55"/>
        <v>FALSE</v>
      </c>
      <c r="AP471" s="10" t="str">
        <f t="shared" si="55"/>
        <v>FALSE</v>
      </c>
      <c r="AQ471" s="10" t="b">
        <f>IF(AND(I471="TP",S471&lt;=150),VLOOKUP(AF471,TPCalibEq150!$AZ$2:$BB$55,3,),IF(AND(I471="TDP",S471&lt;=150),VLOOKUP(AF471,TPCalibEq150!$AZ$2:$BB$55,3,)))</f>
        <v>0</v>
      </c>
      <c r="AR471" s="10" t="b">
        <f>IF(AND(I471="TP",S471&lt;=300),VLOOKUP(AF471,TPCalibEq300!$AZ$2:$BB$55,3,),IF(AND(I471="TDP",S471&lt;=300),VLOOKUP(AF471,TPCalibEq300!$AZ$2:$BB$55,3,)))</f>
        <v>0</v>
      </c>
      <c r="AS471" s="10" t="b">
        <f>IF(AND(I471="TP",S471&lt;=500),VLOOKUP(AF471,TPCalibEq500!$AZ$2:$BB$56,3,),IF(AND(I471="TDP",S471&lt;=500),VLOOKUP(AF471,TPCalibEq500!$AZ$2:$BB$56,3,)))</f>
        <v>0</v>
      </c>
      <c r="AT471" s="10" t="b">
        <f>IF(AND(I471="TN",S471&lt;=2800),VLOOKUP(AF471,TNCalibEq2500!$AZ$2:$BB$56,3,),IF(AND(I471="TDN",S471&lt;=2800),VLOOKUP(AF471,TNCalibEq2500!$AZ$2:$BB$56,3,)))</f>
        <v>0</v>
      </c>
      <c r="AU471" s="10" t="b">
        <f>IF(I471="TP",VLOOKUP(AF471,TPCalibEqFull!$AZ$2:$BB$56,3),IF(I471="TDP",VLOOKUP(AF471,TPCalibEqFull!$AZ$2:$BB$56,3),IF(I471="TDN",VLOOKUP(AF471,TNCalibEqFull!$AZ$1:$BB$56,3),IF(I471="TN",VLOOKUP(AF471,TNCalibEqFull!$AZ$1:$BB$56,3),FALSE))))</f>
        <v>0</v>
      </c>
      <c r="AV471" s="10" t="str">
        <f t="shared" si="53"/>
        <v>0109 07:15:00-HST-0-FIL-1-SW-UKN</v>
      </c>
    </row>
    <row r="472" spans="1:48" s="10" customFormat="1" x14ac:dyDescent="0.55000000000000004">
      <c r="A472" s="32">
        <v>44936</v>
      </c>
      <c r="B472" s="33">
        <v>0.39166666666666666</v>
      </c>
      <c r="C472" s="10" t="s">
        <v>279</v>
      </c>
      <c r="D472" s="10">
        <v>0</v>
      </c>
      <c r="E472" s="10" t="s">
        <v>911</v>
      </c>
      <c r="F472" s="10">
        <v>1</v>
      </c>
      <c r="G472" s="10" t="s">
        <v>231</v>
      </c>
      <c r="H472" s="10" t="s">
        <v>322</v>
      </c>
      <c r="I472" s="10" t="s">
        <v>183</v>
      </c>
      <c r="J472" s="10">
        <v>23</v>
      </c>
      <c r="K472" s="12">
        <v>44937</v>
      </c>
      <c r="L472" s="33">
        <v>0.51329861111111108</v>
      </c>
      <c r="M472" s="10">
        <v>1</v>
      </c>
      <c r="N472" s="10" t="s">
        <v>76</v>
      </c>
      <c r="O472" s="10">
        <v>0.317</v>
      </c>
      <c r="P472" s="10">
        <v>2.3699999999999999E-2</v>
      </c>
      <c r="Q472" s="10">
        <v>18.100000000000001</v>
      </c>
      <c r="R472" s="10" t="s">
        <v>77</v>
      </c>
      <c r="S472" s="34">
        <f t="shared" si="49"/>
        <v>18.100000000000001</v>
      </c>
      <c r="T472" s="10" t="s">
        <v>997</v>
      </c>
      <c r="U472" s="34" t="str">
        <f t="shared" si="50"/>
        <v/>
      </c>
      <c r="V472" s="31" t="str">
        <f>IF(H472="CHK",VLOOKUP(I472,QCCHK,3,),IF(H472="GUP",VLOOKUP(E472,QCGUP,2,),IF(AND(H472="ATP",OR(I472="TN",I472="TDN",I472="TNO2-3",I472="NO2-3")),VLOOKUP(E472,QCREC_N,2,),IF(AND(H472="NIC",OR(I472="TN",I472="TDN",I472="TNO2-3",I472="NO2-3")),VLOOKUP(E472,QCNIC_N,2,),IF(AND(H472="UREA",OR(I472="TN",I472="TDN",I472="TNO2-3",I472="NO2-3")),VLOOKUP(E472,QCUREA_N,2,),IF(H472="PER",VLOOKUP(I472,QCPER,MATCH(E472,QCACTUAL!$J$25:$AA$25,0),),IF(H472="SPK",VLOOKUP(I472,QCSPK,3,),IF(AND(H472="ATP",OR(I472="TP",I472="TDP")),VLOOKUP(E472,QCATP_P,2,),""))))))))</f>
        <v/>
      </c>
      <c r="W472" s="31" t="str">
        <f t="shared" si="51"/>
        <v>TRUE</v>
      </c>
      <c r="X472" s="31" t="str">
        <f t="shared" si="52"/>
        <v/>
      </c>
      <c r="Y472" s="10" t="s">
        <v>992</v>
      </c>
      <c r="AL472" s="10" t="str">
        <f t="shared" si="54"/>
        <v>FALSE</v>
      </c>
      <c r="AM472" s="10" t="str">
        <f t="shared" si="54"/>
        <v>FALSE</v>
      </c>
      <c r="AN472" s="10" t="str">
        <f t="shared" si="54"/>
        <v>FALSE</v>
      </c>
      <c r="AO472" s="10" t="str">
        <f t="shared" si="55"/>
        <v>FALSE</v>
      </c>
      <c r="AP472" s="10" t="str">
        <f t="shared" si="55"/>
        <v>FALSE</v>
      </c>
      <c r="AQ472" s="10" t="b">
        <f>IF(AND(I472="TP",S472&lt;=150),VLOOKUP(AF472,TPCalibEq150!$AZ$2:$BB$55,3,),IF(AND(I472="TDP",S472&lt;=150),VLOOKUP(AF472,TPCalibEq150!$AZ$2:$BB$55,3,)))</f>
        <v>0</v>
      </c>
      <c r="AR472" s="10" t="b">
        <f>IF(AND(I472="TP",S472&lt;=300),VLOOKUP(AF472,TPCalibEq300!$AZ$2:$BB$55,3,),IF(AND(I472="TDP",S472&lt;=300),VLOOKUP(AF472,TPCalibEq300!$AZ$2:$BB$55,3,)))</f>
        <v>0</v>
      </c>
      <c r="AS472" s="10" t="b">
        <f>IF(AND(I472="TP",S472&lt;=500),VLOOKUP(AF472,TPCalibEq500!$AZ$2:$BB$56,3,),IF(AND(I472="TDP",S472&lt;=500),VLOOKUP(AF472,TPCalibEq500!$AZ$2:$BB$56,3,)))</f>
        <v>0</v>
      </c>
      <c r="AT472" s="10" t="b">
        <f>IF(AND(I472="TN",S472&lt;=2800),VLOOKUP(AF472,TNCalibEq2500!$AZ$2:$BB$56,3,),IF(AND(I472="TDN",S472&lt;=2800),VLOOKUP(AF472,TNCalibEq2500!$AZ$2:$BB$56,3,)))</f>
        <v>0</v>
      </c>
      <c r="AU472" s="10" t="b">
        <f>IF(I472="TP",VLOOKUP(AF472,TPCalibEqFull!$AZ$2:$BB$56,3),IF(I472="TDP",VLOOKUP(AF472,TPCalibEqFull!$AZ$2:$BB$56,3),IF(I472="TDN",VLOOKUP(AF472,TNCalibEqFull!$AZ$1:$BB$56,3),IF(I472="TN",VLOOKUP(AF472,TNCalibEqFull!$AZ$1:$BB$56,3),FALSE))))</f>
        <v>0</v>
      </c>
      <c r="AV472" s="10" t="str">
        <f t="shared" si="53"/>
        <v>0110 09:24:00-EFK-0-FIL-1-SW-UKN</v>
      </c>
    </row>
    <row r="473" spans="1:48" s="10" customFormat="1" x14ac:dyDescent="0.55000000000000004">
      <c r="A473" s="32">
        <v>44936</v>
      </c>
      <c r="B473" s="33">
        <v>0.39583333333333331</v>
      </c>
      <c r="C473" s="10" t="s">
        <v>333</v>
      </c>
      <c r="D473" s="10">
        <v>0</v>
      </c>
      <c r="E473" s="10" t="s">
        <v>911</v>
      </c>
      <c r="F473" s="10">
        <v>1</v>
      </c>
      <c r="G473" s="10" t="s">
        <v>231</v>
      </c>
      <c r="H473" s="10" t="s">
        <v>322</v>
      </c>
      <c r="I473" s="10" t="s">
        <v>183</v>
      </c>
      <c r="J473" s="10">
        <v>24</v>
      </c>
      <c r="K473" s="12">
        <v>44937</v>
      </c>
      <c r="L473" s="33">
        <v>0.51414351851851847</v>
      </c>
      <c r="M473" s="10">
        <v>1</v>
      </c>
      <c r="N473" s="10" t="s">
        <v>76</v>
      </c>
      <c r="O473" s="10">
        <v>3.3700000000000001E-2</v>
      </c>
      <c r="P473" s="10">
        <v>2.5999999999999999E-3</v>
      </c>
      <c r="Q473" s="10">
        <v>1.93</v>
      </c>
      <c r="R473" s="10" t="s">
        <v>77</v>
      </c>
      <c r="S473" s="34">
        <f t="shared" si="49"/>
        <v>1.93</v>
      </c>
      <c r="T473" s="10" t="s">
        <v>997</v>
      </c>
      <c r="U473" s="34" t="str">
        <f t="shared" si="50"/>
        <v/>
      </c>
      <c r="V473" s="31" t="str">
        <f>IF(H473="CHK",VLOOKUP(I473,QCCHK,3,),IF(H473="GUP",VLOOKUP(E473,QCGUP,2,),IF(AND(H473="ATP",OR(I473="TN",I473="TDN",I473="TNO2-3",I473="NO2-3")),VLOOKUP(E473,QCREC_N,2,),IF(AND(H473="NIC",OR(I473="TN",I473="TDN",I473="TNO2-3",I473="NO2-3")),VLOOKUP(E473,QCNIC_N,2,),IF(AND(H473="UREA",OR(I473="TN",I473="TDN",I473="TNO2-3",I473="NO2-3")),VLOOKUP(E473,QCUREA_N,2,),IF(H473="PER",VLOOKUP(I473,QCPER,MATCH(E473,QCACTUAL!$J$25:$AA$25,0),),IF(H473="SPK",VLOOKUP(I473,QCSPK,3,),IF(AND(H473="ATP",OR(I473="TP",I473="TDP")),VLOOKUP(E473,QCATP_P,2,),""))))))))</f>
        <v/>
      </c>
      <c r="W473" s="31" t="str">
        <f t="shared" si="51"/>
        <v>TRUE</v>
      </c>
      <c r="X473" s="31" t="str">
        <f t="shared" si="52"/>
        <v/>
      </c>
      <c r="Y473" s="10" t="s">
        <v>992</v>
      </c>
      <c r="AL473" s="10" t="str">
        <f t="shared" si="54"/>
        <v>FALSE</v>
      </c>
      <c r="AM473" s="10" t="str">
        <f t="shared" si="54"/>
        <v>FALSE</v>
      </c>
      <c r="AN473" s="10" t="str">
        <f t="shared" si="54"/>
        <v>FALSE</v>
      </c>
      <c r="AO473" s="10" t="str">
        <f t="shared" si="55"/>
        <v>FALSE</v>
      </c>
      <c r="AP473" s="10" t="str">
        <f t="shared" si="55"/>
        <v>FALSE</v>
      </c>
      <c r="AQ473" s="10" t="b">
        <f>IF(AND(I473="TP",S473&lt;=150),VLOOKUP(AF473,TPCalibEq150!$AZ$2:$BB$55,3,),IF(AND(I473="TDP",S473&lt;=150),VLOOKUP(AF473,TPCalibEq150!$AZ$2:$BB$55,3,)))</f>
        <v>0</v>
      </c>
      <c r="AR473" s="10" t="b">
        <f>IF(AND(I473="TP",S473&lt;=300),VLOOKUP(AF473,TPCalibEq300!$AZ$2:$BB$55,3,),IF(AND(I473="TDP",S473&lt;=300),VLOOKUP(AF473,TPCalibEq300!$AZ$2:$BB$55,3,)))</f>
        <v>0</v>
      </c>
      <c r="AS473" s="10" t="b">
        <f>IF(AND(I473="TP",S473&lt;=500),VLOOKUP(AF473,TPCalibEq500!$AZ$2:$BB$56,3,),IF(AND(I473="TDP",S473&lt;=500),VLOOKUP(AF473,TPCalibEq500!$AZ$2:$BB$56,3,)))</f>
        <v>0</v>
      </c>
      <c r="AT473" s="10" t="b">
        <f>IF(AND(I473="TN",S473&lt;=2800),VLOOKUP(AF473,TNCalibEq2500!$AZ$2:$BB$56,3,),IF(AND(I473="TDN",S473&lt;=2800),VLOOKUP(AF473,TNCalibEq2500!$AZ$2:$BB$56,3,)))</f>
        <v>0</v>
      </c>
      <c r="AU473" s="10" t="b">
        <f>IF(I473="TP",VLOOKUP(AF473,TPCalibEqFull!$AZ$2:$BB$56,3),IF(I473="TDP",VLOOKUP(AF473,TPCalibEqFull!$AZ$2:$BB$56,3),IF(I473="TDN",VLOOKUP(AF473,TNCalibEqFull!$AZ$1:$BB$56,3),IF(I473="TN",VLOOKUP(AF473,TNCalibEqFull!$AZ$1:$BB$56,3),FALSE))))</f>
        <v>0</v>
      </c>
      <c r="AV473" s="10" t="str">
        <f t="shared" si="53"/>
        <v>0110 09:30:00-HST-0-FIL-1-SW-UKN</v>
      </c>
    </row>
    <row r="474" spans="1:48" s="10" customFormat="1" x14ac:dyDescent="0.55000000000000004">
      <c r="A474" s="32">
        <v>44936</v>
      </c>
      <c r="B474" s="33">
        <v>0.39583333333333331</v>
      </c>
      <c r="C474" s="10" t="s">
        <v>333</v>
      </c>
      <c r="D474" s="10">
        <v>0</v>
      </c>
      <c r="E474" s="10" t="s">
        <v>911</v>
      </c>
      <c r="F474" s="10">
        <v>1</v>
      </c>
      <c r="G474" s="10" t="s">
        <v>231</v>
      </c>
      <c r="H474" s="10" t="s">
        <v>233</v>
      </c>
      <c r="I474" s="10" t="s">
        <v>183</v>
      </c>
      <c r="J474" s="10">
        <v>24</v>
      </c>
      <c r="K474" s="12">
        <v>44937</v>
      </c>
      <c r="L474" s="33">
        <v>0.51493055555555556</v>
      </c>
      <c r="M474" s="10">
        <v>1</v>
      </c>
      <c r="N474" s="10" t="s">
        <v>76</v>
      </c>
      <c r="O474" s="10">
        <v>3.3799999999999997E-2</v>
      </c>
      <c r="P474" s="10">
        <v>2.6099999999999999E-3</v>
      </c>
      <c r="Q474" s="10">
        <v>1.93</v>
      </c>
      <c r="R474" s="10" t="s">
        <v>77</v>
      </c>
      <c r="S474" s="34">
        <f t="shared" si="49"/>
        <v>1.93</v>
      </c>
      <c r="T474" s="10" t="s">
        <v>997</v>
      </c>
      <c r="U474" s="34">
        <f t="shared" si="50"/>
        <v>0</v>
      </c>
      <c r="V474" s="31" t="str">
        <f>IF(H474="CHK",VLOOKUP(I474,QCCHK,3,),IF(H474="GUP",VLOOKUP(E474,QCGUP,2,),IF(AND(H474="ATP",OR(I474="TN",I474="TDN",I474="TNO2-3",I474="NO2-3")),VLOOKUP(E474,QCREC_N,2,),IF(AND(H474="NIC",OR(I474="TN",I474="TDN",I474="TNO2-3",I474="NO2-3")),VLOOKUP(E474,QCNIC_N,2,),IF(AND(H474="UREA",OR(I474="TN",I474="TDN",I474="TNO2-3",I474="NO2-3")),VLOOKUP(E474,QCUREA_N,2,),IF(H474="PER",VLOOKUP(I474,QCPER,MATCH(E474,QCACTUAL!$J$25:$AA$25,0),),IF(H474="SPK",VLOOKUP(I474,QCSPK,3,),IF(AND(H474="ATP",OR(I474="TP",I474="TDP")),VLOOKUP(E474,QCATP_P,2,),""))))))))</f>
        <v/>
      </c>
      <c r="W474" s="31" t="str">
        <f t="shared" si="51"/>
        <v>TRUE</v>
      </c>
      <c r="X474" s="31" t="str">
        <f t="shared" si="52"/>
        <v>((ABS(rep1-rep2))/((rep1+rep2)/2)*100</v>
      </c>
      <c r="Y474" s="10" t="s">
        <v>992</v>
      </c>
      <c r="AL474" s="10" t="str">
        <f t="shared" si="54"/>
        <v>FALSE</v>
      </c>
      <c r="AM474" s="10" t="str">
        <f t="shared" si="54"/>
        <v>FALSE</v>
      </c>
      <c r="AN474" s="10" t="str">
        <f t="shared" si="54"/>
        <v>FALSE</v>
      </c>
      <c r="AO474" s="10" t="str">
        <f t="shared" si="55"/>
        <v>FALSE</v>
      </c>
      <c r="AP474" s="10" t="str">
        <f t="shared" si="55"/>
        <v>FALSE</v>
      </c>
      <c r="AQ474" s="10" t="b">
        <f>IF(AND(I474="TP",S474&lt;=150),VLOOKUP(AF474,TPCalibEq150!$AZ$2:$BB$55,3,),IF(AND(I474="TDP",S474&lt;=150),VLOOKUP(AF474,TPCalibEq150!$AZ$2:$BB$55,3,)))</f>
        <v>0</v>
      </c>
      <c r="AR474" s="10" t="b">
        <f>IF(AND(I474="TP",S474&lt;=300),VLOOKUP(AF474,TPCalibEq300!$AZ$2:$BB$55,3,),IF(AND(I474="TDP",S474&lt;=300),VLOOKUP(AF474,TPCalibEq300!$AZ$2:$BB$55,3,)))</f>
        <v>0</v>
      </c>
      <c r="AS474" s="10" t="b">
        <f>IF(AND(I474="TP",S474&lt;=500),VLOOKUP(AF474,TPCalibEq500!$AZ$2:$BB$56,3,),IF(AND(I474="TDP",S474&lt;=500),VLOOKUP(AF474,TPCalibEq500!$AZ$2:$BB$56,3,)))</f>
        <v>0</v>
      </c>
      <c r="AT474" s="10" t="b">
        <f>IF(AND(I474="TN",S474&lt;=2800),VLOOKUP(AF474,TNCalibEq2500!$AZ$2:$BB$56,3,),IF(AND(I474="TDN",S474&lt;=2800),VLOOKUP(AF474,TNCalibEq2500!$AZ$2:$BB$56,3,)))</f>
        <v>0</v>
      </c>
      <c r="AU474" s="10" t="b">
        <f>IF(I474="TP",VLOOKUP(AF474,TPCalibEqFull!$AZ$2:$BB$56,3),IF(I474="TDP",VLOOKUP(AF474,TPCalibEqFull!$AZ$2:$BB$56,3),IF(I474="TDN",VLOOKUP(AF474,TNCalibEqFull!$AZ$1:$BB$56,3),IF(I474="TN",VLOOKUP(AF474,TNCalibEqFull!$AZ$1:$BB$56,3),FALSE))))</f>
        <v>0</v>
      </c>
      <c r="AV474" s="10" t="str">
        <f t="shared" si="53"/>
        <v>0110 09:30:00-HST-0-FIL-1-SW-DUP</v>
      </c>
    </row>
    <row r="475" spans="1:48" s="10" customFormat="1" x14ac:dyDescent="0.55000000000000004">
      <c r="A475" s="32">
        <v>44936</v>
      </c>
      <c r="B475" s="33">
        <v>0.39583333333333331</v>
      </c>
      <c r="C475" s="10" t="s">
        <v>912</v>
      </c>
      <c r="D475" s="10">
        <v>0</v>
      </c>
      <c r="E475" s="10" t="s">
        <v>911</v>
      </c>
      <c r="F475" s="10">
        <v>1</v>
      </c>
      <c r="G475" s="10" t="s">
        <v>231</v>
      </c>
      <c r="H475" s="10" t="s">
        <v>314</v>
      </c>
      <c r="I475" s="10" t="s">
        <v>183</v>
      </c>
      <c r="J475" s="10">
        <v>31</v>
      </c>
      <c r="K475" s="12">
        <v>44937</v>
      </c>
      <c r="L475" s="33">
        <v>0.51575231481481476</v>
      </c>
      <c r="M475" s="10">
        <v>1</v>
      </c>
      <c r="N475" s="10" t="s">
        <v>76</v>
      </c>
      <c r="O475" s="10">
        <v>10.8</v>
      </c>
      <c r="P475" s="10">
        <v>0.92100000000000004</v>
      </c>
      <c r="Q475" s="10">
        <v>633</v>
      </c>
      <c r="R475" s="10" t="s">
        <v>77</v>
      </c>
      <c r="S475" s="34">
        <f t="shared" si="49"/>
        <v>633</v>
      </c>
      <c r="T475" s="10" t="s">
        <v>997</v>
      </c>
      <c r="U475" s="34">
        <f t="shared" si="50"/>
        <v>100.97120000000001</v>
      </c>
      <c r="V475" s="31">
        <f>IF(H475="CHK",VLOOKUP(I475,QCCHK,3,),IF(H475="GUP",VLOOKUP(E475,QCGUP,2,),IF(AND(H475="ATP",OR(I475="TN",I475="TDN",I475="TNO2-3",I475="NO2-3")),VLOOKUP(E475,QCREC_N,2,),IF(AND(H475="NIC",OR(I475="TN",I475="TDN",I475="TNO2-3",I475="NO2-3")),VLOOKUP(E475,QCNIC_N,2,),IF(AND(H475="UREA",OR(I475="TN",I475="TDN",I475="TNO2-3",I475="NO2-3")),VLOOKUP(E475,QCUREA_N,2,),IF(H475="PER",VLOOKUP(I475,QCPER,MATCH(E475,QCACTUAL!$J$25:$AA$25,0),),IF(H475="SPK",VLOOKUP(I475,QCSPK,3,),IF(AND(H475="ATP",OR(I475="TP",I475="TDP")),VLOOKUP(E475,QCATP_P,2,),""))))))))</f>
        <v>625</v>
      </c>
      <c r="W475" s="31" t="str">
        <f t="shared" si="51"/>
        <v>TRUE</v>
      </c>
      <c r="X475" s="31" t="str">
        <f t="shared" si="52"/>
        <v>([spikedunkn]-[unkn])/[spike]*100</v>
      </c>
      <c r="Y475" s="10" t="s">
        <v>992</v>
      </c>
      <c r="AL475" s="10" t="str">
        <f t="shared" si="54"/>
        <v>FALSE</v>
      </c>
      <c r="AM475" s="10" t="str">
        <f t="shared" si="54"/>
        <v>FALSE</v>
      </c>
      <c r="AN475" s="10" t="str">
        <f t="shared" si="54"/>
        <v>FALSE</v>
      </c>
      <c r="AO475" s="10" t="str">
        <f t="shared" si="55"/>
        <v>FALSE</v>
      </c>
      <c r="AP475" s="10" t="str">
        <f t="shared" si="55"/>
        <v>FALSE</v>
      </c>
      <c r="AQ475" s="10" t="b">
        <f>IF(AND(I475="TP",S475&lt;=150),VLOOKUP(AF475,TPCalibEq150!$AZ$2:$BB$55,3,),IF(AND(I475="TDP",S475&lt;=150),VLOOKUP(AF475,TPCalibEq150!$AZ$2:$BB$55,3,)))</f>
        <v>0</v>
      </c>
      <c r="AR475" s="10" t="b">
        <f>IF(AND(I475="TP",S475&lt;=300),VLOOKUP(AF475,TPCalibEq300!$AZ$2:$BB$55,3,),IF(AND(I475="TDP",S475&lt;=300),VLOOKUP(AF475,TPCalibEq300!$AZ$2:$BB$55,3,)))</f>
        <v>0</v>
      </c>
      <c r="AS475" s="10" t="b">
        <f>IF(AND(I475="TP",S475&lt;=500),VLOOKUP(AF475,TPCalibEq500!$AZ$2:$BB$56,3,),IF(AND(I475="TDP",S475&lt;=500),VLOOKUP(AF475,TPCalibEq500!$AZ$2:$BB$56,3,)))</f>
        <v>0</v>
      </c>
      <c r="AT475" s="10" t="b">
        <f>IF(AND(I475="TN",S475&lt;=2800),VLOOKUP(AF475,TNCalibEq2500!$AZ$2:$BB$56,3,),IF(AND(I475="TDN",S475&lt;=2800),VLOOKUP(AF475,TNCalibEq2500!$AZ$2:$BB$56,3,)))</f>
        <v>0</v>
      </c>
      <c r="AU475" s="10" t="b">
        <f>IF(I475="TP",VLOOKUP(AF475,TPCalibEqFull!$AZ$2:$BB$56,3),IF(I475="TDP",VLOOKUP(AF475,TPCalibEqFull!$AZ$2:$BB$56,3),IF(I475="TDN",VLOOKUP(AF475,TNCalibEqFull!$AZ$1:$BB$56,3),IF(I475="TN",VLOOKUP(AF475,TNCalibEqFull!$AZ$1:$BB$56,3),FALSE))))</f>
        <v>0</v>
      </c>
      <c r="AV475" s="10" t="str">
        <f t="shared" si="53"/>
        <v>0110 09:30:00-HST -0-FIL-1-SW-SPK</v>
      </c>
    </row>
    <row r="476" spans="1:48" s="10" customFormat="1" x14ac:dyDescent="0.55000000000000004">
      <c r="A476" s="32">
        <v>44937</v>
      </c>
      <c r="B476" s="33">
        <v>0.375</v>
      </c>
      <c r="C476" s="10" t="s">
        <v>70</v>
      </c>
      <c r="D476" s="10" t="s">
        <v>71</v>
      </c>
      <c r="E476" s="10" t="s">
        <v>901</v>
      </c>
      <c r="F476" s="10">
        <v>1</v>
      </c>
      <c r="G476" s="10" t="s">
        <v>73</v>
      </c>
      <c r="H476" s="10" t="s">
        <v>207</v>
      </c>
      <c r="I476" s="10" t="s">
        <v>75</v>
      </c>
      <c r="J476" s="10">
        <v>200</v>
      </c>
      <c r="K476" s="12">
        <v>44937</v>
      </c>
      <c r="L476" s="33">
        <v>0.51657407407407407</v>
      </c>
      <c r="M476" s="10">
        <v>1</v>
      </c>
      <c r="N476" s="10" t="s">
        <v>76</v>
      </c>
      <c r="O476" s="10">
        <v>5.21</v>
      </c>
      <c r="P476" s="10">
        <v>0.42499999999999999</v>
      </c>
      <c r="Q476" s="10">
        <v>302</v>
      </c>
      <c r="R476" s="10" t="s">
        <v>77</v>
      </c>
      <c r="S476" s="34">
        <f t="shared" si="49"/>
        <v>302</v>
      </c>
      <c r="T476" s="10" t="s">
        <v>997</v>
      </c>
      <c r="U476" s="34">
        <f t="shared" si="50"/>
        <v>100.66666666666666</v>
      </c>
      <c r="V476" s="31">
        <f>IF(H476="CHK",VLOOKUP(I476,QCCHK,3,),IF(H476="GUP",VLOOKUP(E476,QCGUP,2,),IF(AND(H476="ATP",OR(I476="TN",I476="TDN",I476="TNO2-3",I476="NO2-3")),VLOOKUP(E476,QCREC_N,2,),IF(AND(H476="NIC",OR(I476="TN",I476="TDN",I476="TNO2-3",I476="NO2-3")),VLOOKUP(E476,QCNIC_N,2,),IF(AND(H476="UREA",OR(I476="TN",I476="TDN",I476="TNO2-3",I476="NO2-3")),VLOOKUP(E476,QCUREA_N,2,),IF(H476="PER",VLOOKUP(I476,QCPER,MATCH(E476,QCACTUAL!$J$25:$AA$25,0),),IF(H476="SPK",VLOOKUP(I476,QCSPK,3,),IF(AND(H476="ATP",OR(I476="TP",I476="TDP")),VLOOKUP(E476,QCATP_P,2,),""))))))))</f>
        <v>300</v>
      </c>
      <c r="W476" s="31" t="str">
        <f t="shared" si="51"/>
        <v>TRUE</v>
      </c>
      <c r="X476" s="31" t="str">
        <f t="shared" si="52"/>
        <v>[chk]/[actual]*100</v>
      </c>
      <c r="Y476" s="10" t="s">
        <v>992</v>
      </c>
      <c r="AL476" s="10" t="str">
        <f t="shared" si="54"/>
        <v>FALSE</v>
      </c>
      <c r="AM476" s="10" t="str">
        <f t="shared" si="54"/>
        <v>FALSE</v>
      </c>
      <c r="AN476" s="10" t="str">
        <f t="shared" si="54"/>
        <v>FALSE</v>
      </c>
      <c r="AO476" s="10" t="str">
        <f t="shared" si="55"/>
        <v>FALSE</v>
      </c>
      <c r="AP476" s="10" t="str">
        <f t="shared" si="55"/>
        <v>FALSE</v>
      </c>
      <c r="AQ476" s="10" t="b">
        <f>IF(AND(I476="TP",S476&lt;=150),VLOOKUP(AF476,TPCalibEq150!$AZ$2:$BB$55,3,),IF(AND(I476="TDP",S476&lt;=150),VLOOKUP(AF476,TPCalibEq150!$AZ$2:$BB$55,3,)))</f>
        <v>0</v>
      </c>
      <c r="AR476" s="10" t="b">
        <f>IF(AND(I476="TP",S476&lt;=300),VLOOKUP(AF476,TPCalibEq300!$AZ$2:$BB$55,3,),IF(AND(I476="TDP",S476&lt;=300),VLOOKUP(AF476,TPCalibEq300!$AZ$2:$BB$55,3,)))</f>
        <v>0</v>
      </c>
      <c r="AS476" s="10" t="b">
        <f>IF(AND(I476="TP",S476&lt;=500),VLOOKUP(AF476,TPCalibEq500!$AZ$2:$BB$56,3,),IF(AND(I476="TDP",S476&lt;=500),VLOOKUP(AF476,TPCalibEq500!$AZ$2:$BB$56,3,)))</f>
        <v>0</v>
      </c>
      <c r="AT476" s="10" t="b">
        <f>IF(AND(I476="TN",S476&lt;=2800),VLOOKUP(AF476,TNCalibEq2500!$AZ$2:$BB$56,3,),IF(AND(I476="TDN",S476&lt;=2800),VLOOKUP(AF476,TNCalibEq2500!$AZ$2:$BB$56,3,)))</f>
        <v>0</v>
      </c>
      <c r="AU476" s="10" t="b">
        <f>IF(I476="TP",VLOOKUP(AF476,TPCalibEqFull!$AZ$2:$BB$56,3),IF(I476="TDP",VLOOKUP(AF476,TPCalibEqFull!$AZ$2:$BB$56,3),IF(I476="TDN",VLOOKUP(AF476,TNCalibEqFull!$AZ$1:$BB$56,3),IF(I476="TN",VLOOKUP(AF476,TNCalibEqFull!$AZ$1:$BB$56,3),FALSE))))</f>
        <v>0</v>
      </c>
      <c r="AV476" s="10" t="str">
        <f t="shared" si="53"/>
        <v>0111 09:00:00-QAC-STD-D-1-DI-CHK</v>
      </c>
    </row>
    <row r="477" spans="1:48" s="10" customFormat="1" x14ac:dyDescent="0.55000000000000004">
      <c r="A477" s="32">
        <v>44935</v>
      </c>
      <c r="B477" s="33">
        <v>0.35972222222222222</v>
      </c>
      <c r="C477" s="10" t="s">
        <v>998</v>
      </c>
      <c r="D477" s="10">
        <v>0</v>
      </c>
      <c r="E477" s="10" t="s">
        <v>911</v>
      </c>
      <c r="F477" s="10">
        <v>1</v>
      </c>
      <c r="G477" s="10" t="s">
        <v>231</v>
      </c>
      <c r="H477" s="10" t="s">
        <v>322</v>
      </c>
      <c r="I477" s="10" t="s">
        <v>183</v>
      </c>
      <c r="J477" s="10">
        <v>25</v>
      </c>
      <c r="K477" s="12">
        <v>44937</v>
      </c>
      <c r="L477" s="33">
        <v>0.51738425925925924</v>
      </c>
      <c r="M477" s="10">
        <v>1</v>
      </c>
      <c r="N477" s="10" t="s">
        <v>76</v>
      </c>
      <c r="O477" s="10">
        <v>0.44900000000000001</v>
      </c>
      <c r="P477" s="10">
        <v>3.56E-2</v>
      </c>
      <c r="Q477" s="10">
        <v>25.7</v>
      </c>
      <c r="R477" s="10" t="s">
        <v>77</v>
      </c>
      <c r="S477" s="34">
        <f t="shared" si="49"/>
        <v>25.7</v>
      </c>
      <c r="T477" s="10" t="s">
        <v>997</v>
      </c>
      <c r="U477" s="34" t="str">
        <f t="shared" si="50"/>
        <v/>
      </c>
      <c r="V477" s="31" t="str">
        <f>IF(H477="CHK",VLOOKUP(I477,QCCHK,3,),IF(H477="GUP",VLOOKUP(E477,QCGUP,2,),IF(AND(H477="ATP",OR(I477="TN",I477="TDN",I477="TNO2-3",I477="NO2-3")),VLOOKUP(E477,QCREC_N,2,),IF(AND(H477="NIC",OR(I477="TN",I477="TDN",I477="TNO2-3",I477="NO2-3")),VLOOKUP(E477,QCNIC_N,2,),IF(AND(H477="UREA",OR(I477="TN",I477="TDN",I477="TNO2-3",I477="NO2-3")),VLOOKUP(E477,QCUREA_N,2,),IF(H477="PER",VLOOKUP(I477,QCPER,MATCH(E477,QCACTUAL!$J$25:$AA$25,0),),IF(H477="SPK",VLOOKUP(I477,QCSPK,3,),IF(AND(H477="ATP",OR(I477="TP",I477="TDP")),VLOOKUP(E477,QCATP_P,2,),""))))))))</f>
        <v/>
      </c>
      <c r="W477" s="31" t="str">
        <f t="shared" si="51"/>
        <v>TRUE</v>
      </c>
      <c r="X477" s="31" t="str">
        <f t="shared" si="52"/>
        <v/>
      </c>
      <c r="Y477" s="10" t="s">
        <v>992</v>
      </c>
      <c r="Z477" s="10" t="s">
        <v>910</v>
      </c>
      <c r="AL477" s="10" t="str">
        <f t="shared" si="54"/>
        <v>FALSE</v>
      </c>
      <c r="AM477" s="10" t="str">
        <f t="shared" si="54"/>
        <v>FALSE</v>
      </c>
      <c r="AN477" s="10" t="str">
        <f t="shared" si="54"/>
        <v>FALSE</v>
      </c>
      <c r="AO477" s="10" t="str">
        <f t="shared" si="55"/>
        <v>FALSE</v>
      </c>
      <c r="AP477" s="10" t="str">
        <f t="shared" si="55"/>
        <v>FALSE</v>
      </c>
      <c r="AQ477" s="10" t="b">
        <f>IF(AND(I477="TP",S477&lt;=150),VLOOKUP(AF477,TPCalibEq150!$AZ$2:$BB$55,3,),IF(AND(I477="TDP",S477&lt;=150),VLOOKUP(AF477,TPCalibEq150!$AZ$2:$BB$55,3,)))</f>
        <v>0</v>
      </c>
      <c r="AR477" s="10" t="b">
        <f>IF(AND(I477="TP",S477&lt;=300),VLOOKUP(AF477,TPCalibEq300!$AZ$2:$BB$55,3,),IF(AND(I477="TDP",S477&lt;=300),VLOOKUP(AF477,TPCalibEq300!$AZ$2:$BB$55,3,)))</f>
        <v>0</v>
      </c>
      <c r="AS477" s="10" t="b">
        <f>IF(AND(I477="TP",S477&lt;=500),VLOOKUP(AF477,TPCalibEq500!$AZ$2:$BB$56,3,),IF(AND(I477="TDP",S477&lt;=500),VLOOKUP(AF477,TPCalibEq500!$AZ$2:$BB$56,3,)))</f>
        <v>0</v>
      </c>
      <c r="AT477" s="10" t="b">
        <f>IF(AND(I477="TN",S477&lt;=2800),VLOOKUP(AF477,TNCalibEq2500!$AZ$2:$BB$56,3,),IF(AND(I477="TDN",S477&lt;=2800),VLOOKUP(AF477,TNCalibEq2500!$AZ$2:$BB$56,3,)))</f>
        <v>0</v>
      </c>
      <c r="AU477" s="10" t="b">
        <f>IF(I477="TP",VLOOKUP(AF477,TPCalibEqFull!$AZ$2:$BB$56,3),IF(I477="TDP",VLOOKUP(AF477,TPCalibEqFull!$AZ$2:$BB$56,3),IF(I477="TDN",VLOOKUP(AF477,TNCalibEqFull!$AZ$1:$BB$56,3),IF(I477="TN",VLOOKUP(AF477,TNCalibEqFull!$AZ$1:$BB$56,3),FALSE))))</f>
        <v>0</v>
      </c>
      <c r="AV477" s="10" t="str">
        <f t="shared" si="53"/>
        <v>0109 08:38:00-ELW-0-FIL-1-SW-UKN</v>
      </c>
    </row>
    <row r="478" spans="1:48" s="10" customFormat="1" x14ac:dyDescent="0.55000000000000004">
      <c r="A478" s="32">
        <v>44935</v>
      </c>
      <c r="B478" s="33">
        <v>0.44722222222222219</v>
      </c>
      <c r="C478" s="10" t="s">
        <v>310</v>
      </c>
      <c r="D478" s="10">
        <v>0</v>
      </c>
      <c r="E478" s="10" t="s">
        <v>911</v>
      </c>
      <c r="F478" s="10">
        <v>1</v>
      </c>
      <c r="G478" s="10" t="s">
        <v>231</v>
      </c>
      <c r="H478" s="10" t="s">
        <v>322</v>
      </c>
      <c r="I478" s="10" t="s">
        <v>183</v>
      </c>
      <c r="J478" s="10">
        <v>26</v>
      </c>
      <c r="K478" s="12">
        <v>44937</v>
      </c>
      <c r="L478" s="33">
        <v>0.51819444444444451</v>
      </c>
      <c r="M478" s="10">
        <v>1</v>
      </c>
      <c r="N478" s="10" t="s">
        <v>76</v>
      </c>
      <c r="O478" s="10">
        <v>0.44</v>
      </c>
      <c r="P478" s="10">
        <v>3.49E-2</v>
      </c>
      <c r="Q478" s="10">
        <v>25.2</v>
      </c>
      <c r="R478" s="10" t="s">
        <v>77</v>
      </c>
      <c r="S478" s="34">
        <f t="shared" si="49"/>
        <v>25.2</v>
      </c>
      <c r="T478" s="10" t="s">
        <v>997</v>
      </c>
      <c r="U478" s="34" t="str">
        <f t="shared" si="50"/>
        <v/>
      </c>
      <c r="V478" s="31" t="str">
        <f>IF(H478="CHK",VLOOKUP(I478,QCCHK,3,),IF(H478="GUP",VLOOKUP(E478,QCGUP,2,),IF(AND(H478="ATP",OR(I478="TN",I478="TDN",I478="TNO2-3",I478="NO2-3")),VLOOKUP(E478,QCREC_N,2,),IF(AND(H478="NIC",OR(I478="TN",I478="TDN",I478="TNO2-3",I478="NO2-3")),VLOOKUP(E478,QCNIC_N,2,),IF(AND(H478="UREA",OR(I478="TN",I478="TDN",I478="TNO2-3",I478="NO2-3")),VLOOKUP(E478,QCUREA_N,2,),IF(H478="PER",VLOOKUP(I478,QCPER,MATCH(E478,QCACTUAL!$J$25:$AA$25,0),),IF(H478="SPK",VLOOKUP(I478,QCSPK,3,),IF(AND(H478="ATP",OR(I478="TP",I478="TDP")),VLOOKUP(E478,QCATP_P,2,),""))))))))</f>
        <v/>
      </c>
      <c r="W478" s="31" t="str">
        <f t="shared" si="51"/>
        <v>TRUE</v>
      </c>
      <c r="X478" s="31" t="str">
        <f t="shared" si="52"/>
        <v/>
      </c>
      <c r="Y478" s="10" t="s">
        <v>992</v>
      </c>
      <c r="Z478" s="10" t="s">
        <v>910</v>
      </c>
      <c r="AL478" s="10" t="str">
        <f t="shared" si="54"/>
        <v>FALSE</v>
      </c>
      <c r="AM478" s="10" t="str">
        <f t="shared" si="54"/>
        <v>FALSE</v>
      </c>
      <c r="AN478" s="10" t="str">
        <f t="shared" si="54"/>
        <v>FALSE</v>
      </c>
      <c r="AO478" s="10" t="str">
        <f t="shared" si="55"/>
        <v>FALSE</v>
      </c>
      <c r="AP478" s="10" t="str">
        <f t="shared" si="55"/>
        <v>FALSE</v>
      </c>
      <c r="AQ478" s="10" t="b">
        <f>IF(AND(I478="TP",S478&lt;=150),VLOOKUP(AF478,TPCalibEq150!$AZ$2:$BB$55,3,),IF(AND(I478="TDP",S478&lt;=150),VLOOKUP(AF478,TPCalibEq150!$AZ$2:$BB$55,3,)))</f>
        <v>0</v>
      </c>
      <c r="AR478" s="10" t="b">
        <f>IF(AND(I478="TP",S478&lt;=300),VLOOKUP(AF478,TPCalibEq300!$AZ$2:$BB$55,3,),IF(AND(I478="TDP",S478&lt;=300),VLOOKUP(AF478,TPCalibEq300!$AZ$2:$BB$55,3,)))</f>
        <v>0</v>
      </c>
      <c r="AS478" s="10" t="b">
        <f>IF(AND(I478="TP",S478&lt;=500),VLOOKUP(AF478,TPCalibEq500!$AZ$2:$BB$56,3,),IF(AND(I478="TDP",S478&lt;=500),VLOOKUP(AF478,TPCalibEq500!$AZ$2:$BB$56,3,)))</f>
        <v>0</v>
      </c>
      <c r="AT478" s="10" t="b">
        <f>IF(AND(I478="TN",S478&lt;=2800),VLOOKUP(AF478,TNCalibEq2500!$AZ$2:$BB$56,3,),IF(AND(I478="TDN",S478&lt;=2800),VLOOKUP(AF478,TNCalibEq2500!$AZ$2:$BB$56,3,)))</f>
        <v>0</v>
      </c>
      <c r="AU478" s="10" t="b">
        <f>IF(I478="TP",VLOOKUP(AF478,TPCalibEqFull!$AZ$2:$BB$56,3),IF(I478="TDP",VLOOKUP(AF478,TPCalibEqFull!$AZ$2:$BB$56,3),IF(I478="TDN",VLOOKUP(AF478,TNCalibEqFull!$AZ$1:$BB$56,3),IF(I478="TN",VLOOKUP(AF478,TNCalibEqFull!$AZ$1:$BB$56,3),FALSE))))</f>
        <v>0</v>
      </c>
      <c r="AV478" s="10" t="str">
        <f t="shared" si="53"/>
        <v>0109 10:44:00-ELI-0-FIL-1-SW-UKN</v>
      </c>
    </row>
    <row r="479" spans="1:48" s="10" customFormat="1" x14ac:dyDescent="0.55000000000000004">
      <c r="A479" s="32">
        <v>44935</v>
      </c>
      <c r="B479" s="33">
        <v>0.4145833333333333</v>
      </c>
      <c r="C479" s="10" t="s">
        <v>999</v>
      </c>
      <c r="D479" s="10">
        <v>0</v>
      </c>
      <c r="E479" s="10" t="s">
        <v>911</v>
      </c>
      <c r="F479" s="10">
        <v>1</v>
      </c>
      <c r="G479" s="10" t="s">
        <v>231</v>
      </c>
      <c r="H479" s="10" t="s">
        <v>322</v>
      </c>
      <c r="I479" s="10" t="s">
        <v>183</v>
      </c>
      <c r="J479" s="10">
        <v>27</v>
      </c>
      <c r="K479" s="12">
        <v>44937</v>
      </c>
      <c r="L479" s="33">
        <v>0.51900462962962968</v>
      </c>
      <c r="M479" s="10">
        <v>1</v>
      </c>
      <c r="N479" s="10" t="s">
        <v>76</v>
      </c>
      <c r="O479" s="10">
        <v>0.50600000000000001</v>
      </c>
      <c r="P479" s="10">
        <v>4.1099999999999998E-2</v>
      </c>
      <c r="Q479" s="10">
        <v>29</v>
      </c>
      <c r="R479" s="10" t="s">
        <v>77</v>
      </c>
      <c r="S479" s="34">
        <f t="shared" si="49"/>
        <v>29</v>
      </c>
      <c r="T479" s="10" t="s">
        <v>997</v>
      </c>
      <c r="U479" s="34" t="str">
        <f t="shared" si="50"/>
        <v/>
      </c>
      <c r="V479" s="31" t="str">
        <f>IF(H479="CHK",VLOOKUP(I479,QCCHK,3,),IF(H479="GUP",VLOOKUP(E479,QCGUP,2,),IF(AND(H479="ATP",OR(I479="TN",I479="TDN",I479="TNO2-3",I479="NO2-3")),VLOOKUP(E479,QCREC_N,2,),IF(AND(H479="NIC",OR(I479="TN",I479="TDN",I479="TNO2-3",I479="NO2-3")),VLOOKUP(E479,QCNIC_N,2,),IF(AND(H479="UREA",OR(I479="TN",I479="TDN",I479="TNO2-3",I479="NO2-3")),VLOOKUP(E479,QCUREA_N,2,),IF(H479="PER",VLOOKUP(I479,QCPER,MATCH(E479,QCACTUAL!$J$25:$AA$25,0),),IF(H479="SPK",VLOOKUP(I479,QCSPK,3,),IF(AND(H479="ATP",OR(I479="TP",I479="TDP")),VLOOKUP(E479,QCATP_P,2,),""))))))))</f>
        <v/>
      </c>
      <c r="W479" s="31" t="str">
        <f t="shared" si="51"/>
        <v>TRUE</v>
      </c>
      <c r="X479" s="31" t="str">
        <f t="shared" si="52"/>
        <v/>
      </c>
      <c r="Y479" s="10" t="s">
        <v>992</v>
      </c>
      <c r="Z479" s="10" t="s">
        <v>910</v>
      </c>
      <c r="AL479" s="10" t="str">
        <f t="shared" si="54"/>
        <v>FALSE</v>
      </c>
      <c r="AM479" s="10" t="str">
        <f t="shared" si="54"/>
        <v>FALSE</v>
      </c>
      <c r="AN479" s="10" t="str">
        <f t="shared" si="54"/>
        <v>FALSE</v>
      </c>
      <c r="AO479" s="10" t="str">
        <f t="shared" si="55"/>
        <v>FALSE</v>
      </c>
      <c r="AP479" s="10" t="str">
        <f t="shared" si="55"/>
        <v>FALSE</v>
      </c>
      <c r="AQ479" s="10" t="b">
        <f>IF(AND(I479="TP",S479&lt;=150),VLOOKUP(AF479,TPCalibEq150!$AZ$2:$BB$55,3,),IF(AND(I479="TDP",S479&lt;=150),VLOOKUP(AF479,TPCalibEq150!$AZ$2:$BB$55,3,)))</f>
        <v>0</v>
      </c>
      <c r="AR479" s="10" t="b">
        <f>IF(AND(I479="TP",S479&lt;=300),VLOOKUP(AF479,TPCalibEq300!$AZ$2:$BB$55,3,),IF(AND(I479="TDP",S479&lt;=300),VLOOKUP(AF479,TPCalibEq300!$AZ$2:$BB$55,3,)))</f>
        <v>0</v>
      </c>
      <c r="AS479" s="10" t="b">
        <f>IF(AND(I479="TP",S479&lt;=500),VLOOKUP(AF479,TPCalibEq500!$AZ$2:$BB$56,3,),IF(AND(I479="TDP",S479&lt;=500),VLOOKUP(AF479,TPCalibEq500!$AZ$2:$BB$56,3,)))</f>
        <v>0</v>
      </c>
      <c r="AT479" s="10" t="b">
        <f>IF(AND(I479="TN",S479&lt;=2800),VLOOKUP(AF479,TNCalibEq2500!$AZ$2:$BB$56,3,),IF(AND(I479="TDN",S479&lt;=2800),VLOOKUP(AF479,TNCalibEq2500!$AZ$2:$BB$56,3,)))</f>
        <v>0</v>
      </c>
      <c r="AU479" s="10" t="b">
        <f>IF(I479="TP",VLOOKUP(AF479,TPCalibEqFull!$AZ$2:$BB$56,3),IF(I479="TDP",VLOOKUP(AF479,TPCalibEqFull!$AZ$2:$BB$56,3),IF(I479="TDN",VLOOKUP(AF479,TNCalibEqFull!$AZ$1:$BB$56,3),IF(I479="TN",VLOOKUP(AF479,TNCalibEqFull!$AZ$1:$BB$56,3),FALSE))))</f>
        <v>0</v>
      </c>
      <c r="AV479" s="10" t="str">
        <f t="shared" si="53"/>
        <v>0109 09:57:00-EAW-0-FIL-1-SW-UKN</v>
      </c>
    </row>
    <row r="480" spans="1:48" s="10" customFormat="1" x14ac:dyDescent="0.55000000000000004">
      <c r="A480" s="32">
        <v>44935</v>
      </c>
      <c r="B480" s="33">
        <v>0.4145833333333333</v>
      </c>
      <c r="C480" s="10" t="s">
        <v>999</v>
      </c>
      <c r="D480" s="10">
        <v>0</v>
      </c>
      <c r="E480" s="10" t="s">
        <v>911</v>
      </c>
      <c r="F480" s="10">
        <v>2</v>
      </c>
      <c r="G480" s="10" t="s">
        <v>231</v>
      </c>
      <c r="H480" s="10" t="s">
        <v>322</v>
      </c>
      <c r="I480" s="10" t="s">
        <v>183</v>
      </c>
      <c r="J480" s="10">
        <v>28</v>
      </c>
      <c r="K480" s="12">
        <v>44937</v>
      </c>
      <c r="L480" s="33">
        <v>0.51981481481481484</v>
      </c>
      <c r="M480" s="10">
        <v>1</v>
      </c>
      <c r="N480" s="10" t="s">
        <v>76</v>
      </c>
      <c r="O480" s="10">
        <v>0.41099999999999998</v>
      </c>
      <c r="P480" s="10">
        <v>3.2000000000000001E-2</v>
      </c>
      <c r="Q480" s="10">
        <v>23.5</v>
      </c>
      <c r="R480" s="10" t="s">
        <v>77</v>
      </c>
      <c r="S480" s="34">
        <f t="shared" si="49"/>
        <v>23.5</v>
      </c>
      <c r="T480" s="10" t="s">
        <v>997</v>
      </c>
      <c r="U480" s="34" t="str">
        <f t="shared" si="50"/>
        <v/>
      </c>
      <c r="V480" s="31" t="str">
        <f>IF(H480="CHK",VLOOKUP(I480,QCCHK,3,),IF(H480="GUP",VLOOKUP(E480,QCGUP,2,),IF(AND(H480="ATP",OR(I480="TN",I480="TDN",I480="TNO2-3",I480="NO2-3")),VLOOKUP(E480,QCREC_N,2,),IF(AND(H480="NIC",OR(I480="TN",I480="TDN",I480="TNO2-3",I480="NO2-3")),VLOOKUP(E480,QCNIC_N,2,),IF(AND(H480="UREA",OR(I480="TN",I480="TDN",I480="TNO2-3",I480="NO2-3")),VLOOKUP(E480,QCUREA_N,2,),IF(H480="PER",VLOOKUP(I480,QCPER,MATCH(E480,QCACTUAL!$J$25:$AA$25,0),),IF(H480="SPK",VLOOKUP(I480,QCSPK,3,),IF(AND(H480="ATP",OR(I480="TP",I480="TDP")),VLOOKUP(E480,QCATP_P,2,),""))))))))</f>
        <v/>
      </c>
      <c r="W480" s="31" t="str">
        <f t="shared" si="51"/>
        <v>TRUE</v>
      </c>
      <c r="X480" s="31" t="str">
        <f t="shared" si="52"/>
        <v/>
      </c>
      <c r="Y480" s="10" t="s">
        <v>992</v>
      </c>
      <c r="Z480" s="10" t="s">
        <v>910</v>
      </c>
      <c r="AL480" s="10" t="str">
        <f t="shared" si="54"/>
        <v>FALSE</v>
      </c>
      <c r="AM480" s="10" t="str">
        <f t="shared" si="54"/>
        <v>FALSE</v>
      </c>
      <c r="AN480" s="10" t="str">
        <f t="shared" si="54"/>
        <v>FALSE</v>
      </c>
      <c r="AO480" s="10" t="str">
        <f t="shared" si="55"/>
        <v>FALSE</v>
      </c>
      <c r="AP480" s="10" t="str">
        <f t="shared" si="55"/>
        <v>FALSE</v>
      </c>
      <c r="AQ480" s="10" t="b">
        <f>IF(AND(I480="TP",S480&lt;=150),VLOOKUP(AF480,TPCalibEq150!$AZ$2:$BB$55,3,),IF(AND(I480="TDP",S480&lt;=150),VLOOKUP(AF480,TPCalibEq150!$AZ$2:$BB$55,3,)))</f>
        <v>0</v>
      </c>
      <c r="AR480" s="10" t="b">
        <f>IF(AND(I480="TP",S480&lt;=300),VLOOKUP(AF480,TPCalibEq300!$AZ$2:$BB$55,3,),IF(AND(I480="TDP",S480&lt;=300),VLOOKUP(AF480,TPCalibEq300!$AZ$2:$BB$55,3,)))</f>
        <v>0</v>
      </c>
      <c r="AS480" s="10" t="b">
        <f>IF(AND(I480="TP",S480&lt;=500),VLOOKUP(AF480,TPCalibEq500!$AZ$2:$BB$56,3,),IF(AND(I480="TDP",S480&lt;=500),VLOOKUP(AF480,TPCalibEq500!$AZ$2:$BB$56,3,)))</f>
        <v>0</v>
      </c>
      <c r="AT480" s="10" t="b">
        <f>IF(AND(I480="TN",S480&lt;=2800),VLOOKUP(AF480,TNCalibEq2500!$AZ$2:$BB$56,3,),IF(AND(I480="TDN",S480&lt;=2800),VLOOKUP(AF480,TNCalibEq2500!$AZ$2:$BB$56,3,)))</f>
        <v>0</v>
      </c>
      <c r="AU480" s="10" t="b">
        <f>IF(I480="TP",VLOOKUP(AF480,TPCalibEqFull!$AZ$2:$BB$56,3),IF(I480="TDP",VLOOKUP(AF480,TPCalibEqFull!$AZ$2:$BB$56,3),IF(I480="TDN",VLOOKUP(AF480,TNCalibEqFull!$AZ$1:$BB$56,3),IF(I480="TN",VLOOKUP(AF480,TNCalibEqFull!$AZ$1:$BB$56,3),FALSE))))</f>
        <v>0</v>
      </c>
      <c r="AV480" s="10" t="str">
        <f t="shared" si="53"/>
        <v>0109 09:57:00-EAW-0-FIL-2-SW-UKN</v>
      </c>
    </row>
    <row r="481" spans="1:48" s="10" customFormat="1" x14ac:dyDescent="0.55000000000000004">
      <c r="A481" s="32">
        <v>44935</v>
      </c>
      <c r="B481" s="33">
        <v>0.4145833333333333</v>
      </c>
      <c r="C481" s="10" t="s">
        <v>999</v>
      </c>
      <c r="D481" s="10">
        <v>0</v>
      </c>
      <c r="E481" s="10" t="s">
        <v>911</v>
      </c>
      <c r="F481" s="10">
        <v>2</v>
      </c>
      <c r="G481" s="10" t="s">
        <v>231</v>
      </c>
      <c r="H481" s="10" t="s">
        <v>233</v>
      </c>
      <c r="I481" s="10" t="s">
        <v>183</v>
      </c>
      <c r="J481" s="10">
        <v>28</v>
      </c>
      <c r="K481" s="12">
        <v>44937</v>
      </c>
      <c r="L481" s="33">
        <v>0.520625</v>
      </c>
      <c r="M481" s="10">
        <v>1</v>
      </c>
      <c r="N481" s="10" t="s">
        <v>76</v>
      </c>
      <c r="O481" s="10">
        <v>0.41199999999999998</v>
      </c>
      <c r="P481" s="10">
        <v>3.3099999999999997E-2</v>
      </c>
      <c r="Q481" s="10">
        <v>23.6</v>
      </c>
      <c r="R481" s="10" t="s">
        <v>77</v>
      </c>
      <c r="S481" s="34">
        <f t="shared" si="49"/>
        <v>23.6</v>
      </c>
      <c r="T481" s="10" t="s">
        <v>997</v>
      </c>
      <c r="U481" s="34">
        <f t="shared" si="50"/>
        <v>0.42462845010616318</v>
      </c>
      <c r="V481" s="31" t="str">
        <f>IF(H481="CHK",VLOOKUP(I481,QCCHK,3,),IF(H481="GUP",VLOOKUP(E481,QCGUP,2,),IF(AND(H481="ATP",OR(I481="TN",I481="TDN",I481="TNO2-3",I481="NO2-3")),VLOOKUP(E481,QCREC_N,2,),IF(AND(H481="NIC",OR(I481="TN",I481="TDN",I481="TNO2-3",I481="NO2-3")),VLOOKUP(E481,QCNIC_N,2,),IF(AND(H481="UREA",OR(I481="TN",I481="TDN",I481="TNO2-3",I481="NO2-3")),VLOOKUP(E481,QCUREA_N,2,),IF(H481="PER",VLOOKUP(I481,QCPER,MATCH(E481,QCACTUAL!$J$25:$AA$25,0),),IF(H481="SPK",VLOOKUP(I481,QCSPK,3,),IF(AND(H481="ATP",OR(I481="TP",I481="TDP")),VLOOKUP(E481,QCATP_P,2,),""))))))))</f>
        <v/>
      </c>
      <c r="W481" s="31" t="str">
        <f t="shared" si="51"/>
        <v>TRUE</v>
      </c>
      <c r="X481" s="31" t="str">
        <f t="shared" si="52"/>
        <v>((ABS(rep1-rep2))/((rep1+rep2)/2)*100</v>
      </c>
      <c r="Y481" s="10" t="s">
        <v>992</v>
      </c>
      <c r="Z481" s="10" t="s">
        <v>910</v>
      </c>
      <c r="AL481" s="10" t="str">
        <f t="shared" si="54"/>
        <v>FALSE</v>
      </c>
      <c r="AM481" s="10" t="str">
        <f t="shared" si="54"/>
        <v>FALSE</v>
      </c>
      <c r="AN481" s="10" t="str">
        <f t="shared" si="54"/>
        <v>FALSE</v>
      </c>
      <c r="AO481" s="10" t="str">
        <f t="shared" si="55"/>
        <v>FALSE</v>
      </c>
      <c r="AP481" s="10" t="str">
        <f t="shared" si="55"/>
        <v>FALSE</v>
      </c>
      <c r="AQ481" s="10" t="b">
        <f>IF(AND(I481="TP",S481&lt;=150),VLOOKUP(AF481,TPCalibEq150!$AZ$2:$BB$55,3,),IF(AND(I481="TDP",S481&lt;=150),VLOOKUP(AF481,TPCalibEq150!$AZ$2:$BB$55,3,)))</f>
        <v>0</v>
      </c>
      <c r="AR481" s="10" t="b">
        <f>IF(AND(I481="TP",S481&lt;=300),VLOOKUP(AF481,TPCalibEq300!$AZ$2:$BB$55,3,),IF(AND(I481="TDP",S481&lt;=300),VLOOKUP(AF481,TPCalibEq300!$AZ$2:$BB$55,3,)))</f>
        <v>0</v>
      </c>
      <c r="AS481" s="10" t="b">
        <f>IF(AND(I481="TP",S481&lt;=500),VLOOKUP(AF481,TPCalibEq500!$AZ$2:$BB$56,3,),IF(AND(I481="TDP",S481&lt;=500),VLOOKUP(AF481,TPCalibEq500!$AZ$2:$BB$56,3,)))</f>
        <v>0</v>
      </c>
      <c r="AT481" s="10" t="b">
        <f>IF(AND(I481="TN",S481&lt;=2800),VLOOKUP(AF481,TNCalibEq2500!$AZ$2:$BB$56,3,),IF(AND(I481="TDN",S481&lt;=2800),VLOOKUP(AF481,TNCalibEq2500!$AZ$2:$BB$56,3,)))</f>
        <v>0</v>
      </c>
      <c r="AU481" s="10" t="b">
        <f>IF(I481="TP",VLOOKUP(AF481,TPCalibEqFull!$AZ$2:$BB$56,3),IF(I481="TDP",VLOOKUP(AF481,TPCalibEqFull!$AZ$2:$BB$56,3),IF(I481="TDN",VLOOKUP(AF481,TNCalibEqFull!$AZ$1:$BB$56,3),IF(I481="TN",VLOOKUP(AF481,TNCalibEqFull!$AZ$1:$BB$56,3),FALSE))))</f>
        <v>0</v>
      </c>
      <c r="AV481" s="10" t="str">
        <f t="shared" si="53"/>
        <v>0109 09:57:00-EAW-0-FIL-2-SW-DUP</v>
      </c>
    </row>
    <row r="482" spans="1:48" s="10" customFormat="1" x14ac:dyDescent="0.55000000000000004">
      <c r="A482" s="32">
        <v>44935</v>
      </c>
      <c r="B482" s="33">
        <v>0.4145833333333333</v>
      </c>
      <c r="C482" s="10" t="s">
        <v>999</v>
      </c>
      <c r="D482" s="10">
        <v>0</v>
      </c>
      <c r="E482" s="10" t="s">
        <v>911</v>
      </c>
      <c r="F482" s="10">
        <v>2</v>
      </c>
      <c r="G482" s="10" t="s">
        <v>231</v>
      </c>
      <c r="H482" s="10" t="s">
        <v>314</v>
      </c>
      <c r="I482" s="10" t="s">
        <v>183</v>
      </c>
      <c r="J482" s="10">
        <v>32</v>
      </c>
      <c r="K482" s="12">
        <v>44937</v>
      </c>
      <c r="L482" s="33">
        <v>0.52145833333333336</v>
      </c>
      <c r="M482" s="10">
        <v>1</v>
      </c>
      <c r="N482" s="10" t="s">
        <v>76</v>
      </c>
      <c r="O482" s="10">
        <v>11.3</v>
      </c>
      <c r="P482" s="10">
        <v>0.91700000000000004</v>
      </c>
      <c r="Q482" s="10">
        <v>662</v>
      </c>
      <c r="R482" s="10" t="s">
        <v>77</v>
      </c>
      <c r="S482" s="34">
        <f t="shared" si="49"/>
        <v>662</v>
      </c>
      <c r="T482" s="10" t="s">
        <v>997</v>
      </c>
      <c r="U482" s="34">
        <f t="shared" si="50"/>
        <v>102.14399999999999</v>
      </c>
      <c r="V482" s="31">
        <f>IF(H482="CHK",VLOOKUP(I482,QCCHK,3,),IF(H482="GUP",VLOOKUP(E482,QCGUP,2,),IF(AND(H482="ATP",OR(I482="TN",I482="TDN",I482="TNO2-3",I482="NO2-3")),VLOOKUP(E482,QCREC_N,2,),IF(AND(H482="NIC",OR(I482="TN",I482="TDN",I482="TNO2-3",I482="NO2-3")),VLOOKUP(E482,QCNIC_N,2,),IF(AND(H482="UREA",OR(I482="TN",I482="TDN",I482="TNO2-3",I482="NO2-3")),VLOOKUP(E482,QCUREA_N,2,),IF(H482="PER",VLOOKUP(I482,QCPER,MATCH(E482,QCACTUAL!$J$25:$AA$25,0),),IF(H482="SPK",VLOOKUP(I482,QCSPK,3,),IF(AND(H482="ATP",OR(I482="TP",I482="TDP")),VLOOKUP(E482,QCATP_P,2,),""))))))))</f>
        <v>625</v>
      </c>
      <c r="W482" s="31" t="str">
        <f t="shared" si="51"/>
        <v>TRUE</v>
      </c>
      <c r="X482" s="31" t="str">
        <f t="shared" si="52"/>
        <v>([spikedunkn]-[unkn])/[spike]*100</v>
      </c>
      <c r="Y482" s="10" t="s">
        <v>992</v>
      </c>
      <c r="Z482" s="10" t="s">
        <v>910</v>
      </c>
      <c r="AL482" s="10" t="str">
        <f t="shared" si="54"/>
        <v>FALSE</v>
      </c>
      <c r="AM482" s="10" t="str">
        <f t="shared" si="54"/>
        <v>FALSE</v>
      </c>
      <c r="AN482" s="10" t="str">
        <f t="shared" si="54"/>
        <v>FALSE</v>
      </c>
      <c r="AO482" s="10" t="str">
        <f t="shared" si="55"/>
        <v>FALSE</v>
      </c>
      <c r="AP482" s="10" t="str">
        <f t="shared" si="55"/>
        <v>FALSE</v>
      </c>
      <c r="AQ482" s="10" t="b">
        <f>IF(AND(I482="TP",S482&lt;=150),VLOOKUP(AF482,TPCalibEq150!$AZ$2:$BB$55,3,),IF(AND(I482="TDP",S482&lt;=150),VLOOKUP(AF482,TPCalibEq150!$AZ$2:$BB$55,3,)))</f>
        <v>0</v>
      </c>
      <c r="AR482" s="10" t="b">
        <f>IF(AND(I482="TP",S482&lt;=300),VLOOKUP(AF482,TPCalibEq300!$AZ$2:$BB$55,3,),IF(AND(I482="TDP",S482&lt;=300),VLOOKUP(AF482,TPCalibEq300!$AZ$2:$BB$55,3,)))</f>
        <v>0</v>
      </c>
      <c r="AS482" s="10" t="b">
        <f>IF(AND(I482="TP",S482&lt;=500),VLOOKUP(AF482,TPCalibEq500!$AZ$2:$BB$56,3,),IF(AND(I482="TDP",S482&lt;=500),VLOOKUP(AF482,TPCalibEq500!$AZ$2:$BB$56,3,)))</f>
        <v>0</v>
      </c>
      <c r="AT482" s="10" t="b">
        <f>IF(AND(I482="TN",S482&lt;=2800),VLOOKUP(AF482,TNCalibEq2500!$AZ$2:$BB$56,3,),IF(AND(I482="TDN",S482&lt;=2800),VLOOKUP(AF482,TNCalibEq2500!$AZ$2:$BB$56,3,)))</f>
        <v>0</v>
      </c>
      <c r="AU482" s="10" t="b">
        <f>IF(I482="TP",VLOOKUP(AF482,TPCalibEqFull!$AZ$2:$BB$56,3),IF(I482="TDP",VLOOKUP(AF482,TPCalibEqFull!$AZ$2:$BB$56,3),IF(I482="TDN",VLOOKUP(AF482,TNCalibEqFull!$AZ$1:$BB$56,3),IF(I482="TN",VLOOKUP(AF482,TNCalibEqFull!$AZ$1:$BB$56,3),FALSE))))</f>
        <v>0</v>
      </c>
      <c r="AV482" s="10" t="str">
        <f t="shared" si="53"/>
        <v>0109 09:57:00-EAW-0-FIL-2-SW-SPK</v>
      </c>
    </row>
    <row r="483" spans="1:48" s="10" customFormat="1" x14ac:dyDescent="0.55000000000000004">
      <c r="A483" s="32">
        <v>44937</v>
      </c>
      <c r="B483" s="33">
        <v>0.375</v>
      </c>
      <c r="C483" s="10" t="s">
        <v>70</v>
      </c>
      <c r="D483" s="10" t="s">
        <v>71</v>
      </c>
      <c r="E483" s="10" t="s">
        <v>901</v>
      </c>
      <c r="F483" s="10">
        <v>1</v>
      </c>
      <c r="G483" s="10" t="s">
        <v>73</v>
      </c>
      <c r="H483" s="10" t="s">
        <v>207</v>
      </c>
      <c r="I483" s="10" t="s">
        <v>75</v>
      </c>
      <c r="J483" s="10">
        <v>200</v>
      </c>
      <c r="K483" s="12">
        <v>44937</v>
      </c>
      <c r="L483" s="33">
        <v>0.52228009259259256</v>
      </c>
      <c r="M483" s="10">
        <v>1</v>
      </c>
      <c r="N483" s="10" t="s">
        <v>76</v>
      </c>
      <c r="O483" s="10">
        <v>5.23</v>
      </c>
      <c r="P483" s="10">
        <v>0.42</v>
      </c>
      <c r="Q483" s="10">
        <v>303</v>
      </c>
      <c r="R483" s="10" t="s">
        <v>77</v>
      </c>
      <c r="S483" s="34">
        <f t="shared" si="49"/>
        <v>303</v>
      </c>
      <c r="T483" s="10" t="s">
        <v>997</v>
      </c>
      <c r="U483" s="34">
        <f t="shared" si="50"/>
        <v>101</v>
      </c>
      <c r="V483" s="31">
        <f>IF(H483="CHK",VLOOKUP(I483,QCCHK,3,),IF(H483="GUP",VLOOKUP(E483,QCGUP,2,),IF(AND(H483="ATP",OR(I483="TN",I483="TDN",I483="TNO2-3",I483="NO2-3")),VLOOKUP(E483,QCREC_N,2,),IF(AND(H483="NIC",OR(I483="TN",I483="TDN",I483="TNO2-3",I483="NO2-3")),VLOOKUP(E483,QCNIC_N,2,),IF(AND(H483="UREA",OR(I483="TN",I483="TDN",I483="TNO2-3",I483="NO2-3")),VLOOKUP(E483,QCUREA_N,2,),IF(H483="PER",VLOOKUP(I483,QCPER,MATCH(E483,QCACTUAL!$J$25:$AA$25,0),),IF(H483="SPK",VLOOKUP(I483,QCSPK,3,),IF(AND(H483="ATP",OR(I483="TP",I483="TDP")),VLOOKUP(E483,QCATP_P,2,),""))))))))</f>
        <v>300</v>
      </c>
      <c r="W483" s="31" t="str">
        <f t="shared" si="51"/>
        <v>TRUE</v>
      </c>
      <c r="X483" s="31" t="str">
        <f t="shared" si="52"/>
        <v>[chk]/[actual]*100</v>
      </c>
      <c r="Y483" s="10" t="s">
        <v>992</v>
      </c>
      <c r="AL483" s="10" t="str">
        <f t="shared" si="54"/>
        <v>FALSE</v>
      </c>
      <c r="AM483" s="10" t="str">
        <f t="shared" si="54"/>
        <v>FALSE</v>
      </c>
      <c r="AN483" s="10" t="str">
        <f t="shared" si="54"/>
        <v>FALSE</v>
      </c>
      <c r="AO483" s="10" t="str">
        <f t="shared" si="55"/>
        <v>FALSE</v>
      </c>
      <c r="AP483" s="10" t="str">
        <f t="shared" si="55"/>
        <v>FALSE</v>
      </c>
      <c r="AQ483" s="10" t="b">
        <f>IF(AND(I483="TP",S483&lt;=150),VLOOKUP(AF483,TPCalibEq150!$AZ$2:$BB$55,3,),IF(AND(I483="TDP",S483&lt;=150),VLOOKUP(AF483,TPCalibEq150!$AZ$2:$BB$55,3,)))</f>
        <v>0</v>
      </c>
      <c r="AR483" s="10" t="b">
        <f>IF(AND(I483="TP",S483&lt;=300),VLOOKUP(AF483,TPCalibEq300!$AZ$2:$BB$55,3,),IF(AND(I483="TDP",S483&lt;=300),VLOOKUP(AF483,TPCalibEq300!$AZ$2:$BB$55,3,)))</f>
        <v>0</v>
      </c>
      <c r="AS483" s="10" t="b">
        <f>IF(AND(I483="TP",S483&lt;=500),VLOOKUP(AF483,TPCalibEq500!$AZ$2:$BB$56,3,),IF(AND(I483="TDP",S483&lt;=500),VLOOKUP(AF483,TPCalibEq500!$AZ$2:$BB$56,3,)))</f>
        <v>0</v>
      </c>
      <c r="AT483" s="10" t="b">
        <f>IF(AND(I483="TN",S483&lt;=2800),VLOOKUP(AF483,TNCalibEq2500!$AZ$2:$BB$56,3,),IF(AND(I483="TDN",S483&lt;=2800),VLOOKUP(AF483,TNCalibEq2500!$AZ$2:$BB$56,3,)))</f>
        <v>0</v>
      </c>
      <c r="AU483" s="10" t="b">
        <f>IF(I483="TP",VLOOKUP(AF483,TPCalibEqFull!$AZ$2:$BB$56,3),IF(I483="TDP",VLOOKUP(AF483,TPCalibEqFull!$AZ$2:$BB$56,3),IF(I483="TDN",VLOOKUP(AF483,TNCalibEqFull!$AZ$1:$BB$56,3),IF(I483="TN",VLOOKUP(AF483,TNCalibEqFull!$AZ$1:$BB$56,3),FALSE))))</f>
        <v>0</v>
      </c>
      <c r="AV483" s="10" t="str">
        <f t="shared" si="53"/>
        <v>0111 09:00:00-QAC-STD-D-1-DI-CHK</v>
      </c>
    </row>
    <row r="484" spans="1:48" s="10" customFormat="1" x14ac:dyDescent="0.55000000000000004">
      <c r="A484" s="32">
        <v>44937</v>
      </c>
      <c r="B484" s="33">
        <v>0.375</v>
      </c>
      <c r="C484" s="10" t="s">
        <v>70</v>
      </c>
      <c r="D484" s="10" t="s">
        <v>71</v>
      </c>
      <c r="E484" s="10" t="s">
        <v>72</v>
      </c>
      <c r="F484" s="10">
        <v>1</v>
      </c>
      <c r="G484" s="10" t="s">
        <v>73</v>
      </c>
      <c r="H484" s="10" t="s">
        <v>74</v>
      </c>
      <c r="I484" s="10" t="s">
        <v>285</v>
      </c>
      <c r="J484" s="10">
        <v>181</v>
      </c>
      <c r="K484" s="12">
        <v>44937</v>
      </c>
      <c r="L484" s="33">
        <v>0.46626157407407409</v>
      </c>
      <c r="M484" s="10">
        <v>1</v>
      </c>
      <c r="N484" s="10" t="s">
        <v>211</v>
      </c>
      <c r="O484" s="10">
        <v>1.3899999999999999E-2</v>
      </c>
      <c r="P484" s="10">
        <v>8.4400000000000002E-4</v>
      </c>
      <c r="Q484" s="10">
        <v>0</v>
      </c>
      <c r="R484" s="10" t="s">
        <v>913</v>
      </c>
      <c r="S484" s="34">
        <f t="shared" si="49"/>
        <v>0</v>
      </c>
      <c r="T484" s="10" t="s">
        <v>1000</v>
      </c>
      <c r="U484" s="34" t="str">
        <f t="shared" si="50"/>
        <v/>
      </c>
      <c r="V484" s="31" t="str">
        <f>IF(H484="CHK",VLOOKUP(I484,QCCHK,3,),IF(H484="GUP",VLOOKUP(E484,QCGUP,2,),IF(AND(H484="ATP",OR(I484="TN",I484="TDN",I484="TNO2-3",I484="NO2-3")),VLOOKUP(E484,QCREC_N,2,),IF(AND(H484="NIC",OR(I484="TN",I484="TDN",I484="TNO2-3",I484="NO2-3")),VLOOKUP(E484,QCNIC_N,2,),IF(AND(H484="UREA",OR(I484="TN",I484="TDN",I484="TNO2-3",I484="NO2-3")),VLOOKUP(E484,QCUREA_N,2,),IF(H484="PER",VLOOKUP(I484,QCPER,MATCH(E484,QCACTUAL!$J$25:$AA$25,0),),IF(H484="SPK",VLOOKUP(I484,QCSPK,3,),IF(AND(H484="ATP",OR(I484="TP",I484="TDP")),VLOOKUP(E484,QCATP_P,2,),""))))))))</f>
        <v/>
      </c>
      <c r="W484" s="31" t="str">
        <f t="shared" si="51"/>
        <v>TRUE</v>
      </c>
      <c r="X484" s="31" t="str">
        <f t="shared" si="52"/>
        <v/>
      </c>
      <c r="Y484" s="10" t="s">
        <v>992</v>
      </c>
      <c r="AL484" s="10" t="str">
        <f t="shared" si="54"/>
        <v>FALSE</v>
      </c>
      <c r="AM484" s="10" t="str">
        <f t="shared" si="54"/>
        <v>FALSE</v>
      </c>
      <c r="AN484" s="10" t="str">
        <f t="shared" si="54"/>
        <v>FALSE</v>
      </c>
      <c r="AO484" s="10" t="str">
        <f t="shared" si="55"/>
        <v>FALSE</v>
      </c>
      <c r="AP484" s="10" t="str">
        <f t="shared" si="55"/>
        <v>FALSE</v>
      </c>
      <c r="AQ484" s="10" t="b">
        <f>IF(AND(I484="TP",S484&lt;=150),VLOOKUP(AF484,TPCalibEq150!$AZ$2:$BB$55,3,),IF(AND(I484="TDP",S484&lt;=150),VLOOKUP(AF484,TPCalibEq150!$AZ$2:$BB$55,3,)))</f>
        <v>0</v>
      </c>
      <c r="AR484" s="10" t="b">
        <f>IF(AND(I484="TP",S484&lt;=300),VLOOKUP(AF484,TPCalibEq300!$AZ$2:$BB$55,3,),IF(AND(I484="TDP",S484&lt;=300),VLOOKUP(AF484,TPCalibEq300!$AZ$2:$BB$55,3,)))</f>
        <v>0</v>
      </c>
      <c r="AS484" s="10" t="b">
        <f>IF(AND(I484="TP",S484&lt;=500),VLOOKUP(AF484,TPCalibEq500!$AZ$2:$BB$56,3,),IF(AND(I484="TDP",S484&lt;=500),VLOOKUP(AF484,TPCalibEq500!$AZ$2:$BB$56,3,)))</f>
        <v>0</v>
      </c>
      <c r="AT484" s="10" t="b">
        <f>IF(AND(I484="TN",S484&lt;=2800),VLOOKUP(AF484,TNCalibEq2500!$AZ$2:$BB$56,3,),IF(AND(I484="TDN",S484&lt;=2800),VLOOKUP(AF484,TNCalibEq2500!$AZ$2:$BB$56,3,)))</f>
        <v>0</v>
      </c>
      <c r="AU484" s="10" t="b">
        <f>IF(I484="TP",VLOOKUP(AF484,TPCalibEqFull!$AZ$2:$BB$56,3),IF(I484="TDP",VLOOKUP(AF484,TPCalibEqFull!$AZ$2:$BB$56,3),IF(I484="TDN",VLOOKUP(AF484,TNCalibEqFull!$AZ$1:$BB$56,3),IF(I484="TN",VLOOKUP(AF484,TNCalibEqFull!$AZ$1:$BB$56,3),FALSE))))</f>
        <v>0</v>
      </c>
      <c r="AV484" s="10" t="str">
        <f t="shared" si="53"/>
        <v>0111 09:00:00-QAC-STD-H-1-DI-CAL</v>
      </c>
    </row>
    <row r="485" spans="1:48" s="10" customFormat="1" x14ac:dyDescent="0.55000000000000004">
      <c r="A485" s="32">
        <v>44937</v>
      </c>
      <c r="B485" s="33">
        <v>0.375</v>
      </c>
      <c r="C485" s="10" t="s">
        <v>70</v>
      </c>
      <c r="D485" s="10" t="s">
        <v>71</v>
      </c>
      <c r="E485" s="10" t="s">
        <v>908</v>
      </c>
      <c r="F485" s="10">
        <v>1</v>
      </c>
      <c r="G485" s="10" t="s">
        <v>73</v>
      </c>
      <c r="H485" s="10" t="s">
        <v>74</v>
      </c>
      <c r="I485" s="10" t="s">
        <v>285</v>
      </c>
      <c r="J485" s="10">
        <v>182</v>
      </c>
      <c r="K485" s="12">
        <v>44937</v>
      </c>
      <c r="L485" s="33">
        <v>0.46709490740740739</v>
      </c>
      <c r="M485" s="10">
        <v>1</v>
      </c>
      <c r="N485" s="10" t="s">
        <v>211</v>
      </c>
      <c r="O485" s="10">
        <v>3.3399999999999999E-2</v>
      </c>
      <c r="P485" s="10">
        <v>3.0300000000000001E-3</v>
      </c>
      <c r="Q485" s="10">
        <v>5</v>
      </c>
      <c r="R485" s="10" t="s">
        <v>913</v>
      </c>
      <c r="S485" s="34">
        <f t="shared" si="49"/>
        <v>5</v>
      </c>
      <c r="T485" s="10" t="s">
        <v>1000</v>
      </c>
      <c r="U485" s="34" t="str">
        <f t="shared" si="50"/>
        <v/>
      </c>
      <c r="V485" s="31" t="str">
        <f>IF(H485="CHK",VLOOKUP(I485,QCCHK,3,),IF(H485="GUP",VLOOKUP(E485,QCGUP,2,),IF(AND(H485="ATP",OR(I485="TN",I485="TDN",I485="TNO2-3",I485="NO2-3")),VLOOKUP(E485,QCREC_N,2,),IF(AND(H485="NIC",OR(I485="TN",I485="TDN",I485="TNO2-3",I485="NO2-3")),VLOOKUP(E485,QCNIC_N,2,),IF(AND(H485="UREA",OR(I485="TN",I485="TDN",I485="TNO2-3",I485="NO2-3")),VLOOKUP(E485,QCUREA_N,2,),IF(H485="PER",VLOOKUP(I485,QCPER,MATCH(E485,QCACTUAL!$J$25:$AA$25,0),),IF(H485="SPK",VLOOKUP(I485,QCSPK,3,),IF(AND(H485="ATP",OR(I485="TP",I485="TDP")),VLOOKUP(E485,QCATP_P,2,),""))))))))</f>
        <v/>
      </c>
      <c r="W485" s="31" t="str">
        <f t="shared" si="51"/>
        <v>TRUE</v>
      </c>
      <c r="X485" s="31" t="str">
        <f t="shared" si="52"/>
        <v/>
      </c>
      <c r="Y485" s="10" t="s">
        <v>992</v>
      </c>
      <c r="AL485" s="10" t="str">
        <f t="shared" si="54"/>
        <v>FALSE</v>
      </c>
      <c r="AM485" s="10" t="str">
        <f t="shared" si="54"/>
        <v>FALSE</v>
      </c>
      <c r="AN485" s="10" t="str">
        <f t="shared" si="54"/>
        <v>FALSE</v>
      </c>
      <c r="AO485" s="10" t="str">
        <f t="shared" si="55"/>
        <v>FALSE</v>
      </c>
      <c r="AP485" s="10" t="str">
        <f t="shared" si="55"/>
        <v>FALSE</v>
      </c>
      <c r="AQ485" s="10" t="b">
        <f>IF(AND(I485="TP",S485&lt;=150),VLOOKUP(AF485,TPCalibEq150!$AZ$2:$BB$55,3,),IF(AND(I485="TDP",S485&lt;=150),VLOOKUP(AF485,TPCalibEq150!$AZ$2:$BB$55,3,)))</f>
        <v>0</v>
      </c>
      <c r="AR485" s="10" t="b">
        <f>IF(AND(I485="TP",S485&lt;=300),VLOOKUP(AF485,TPCalibEq300!$AZ$2:$BB$55,3,),IF(AND(I485="TDP",S485&lt;=300),VLOOKUP(AF485,TPCalibEq300!$AZ$2:$BB$55,3,)))</f>
        <v>0</v>
      </c>
      <c r="AS485" s="10" t="b">
        <f>IF(AND(I485="TP",S485&lt;=500),VLOOKUP(AF485,TPCalibEq500!$AZ$2:$BB$56,3,),IF(AND(I485="TDP",S485&lt;=500),VLOOKUP(AF485,TPCalibEq500!$AZ$2:$BB$56,3,)))</f>
        <v>0</v>
      </c>
      <c r="AT485" s="10" t="b">
        <f>IF(AND(I485="TN",S485&lt;=2800),VLOOKUP(AF485,TNCalibEq2500!$AZ$2:$BB$56,3,),IF(AND(I485="TDN",S485&lt;=2800),VLOOKUP(AF485,TNCalibEq2500!$AZ$2:$BB$56,3,)))</f>
        <v>0</v>
      </c>
      <c r="AU485" s="10" t="b">
        <f>IF(I485="TP",VLOOKUP(AF485,TPCalibEqFull!$AZ$2:$BB$56,3),IF(I485="TDP",VLOOKUP(AF485,TPCalibEqFull!$AZ$2:$BB$56,3),IF(I485="TDN",VLOOKUP(AF485,TNCalibEqFull!$AZ$1:$BB$56,3),IF(I485="TN",VLOOKUP(AF485,TNCalibEqFull!$AZ$1:$BB$56,3),FALSE))))</f>
        <v>0</v>
      </c>
      <c r="AV485" s="10" t="str">
        <f t="shared" si="53"/>
        <v>0111 09:00:00-QAC-STD-G-1-DI-CAL</v>
      </c>
    </row>
    <row r="486" spans="1:48" s="10" customFormat="1" x14ac:dyDescent="0.55000000000000004">
      <c r="A486" s="32">
        <v>44937</v>
      </c>
      <c r="B486" s="33">
        <v>0.375</v>
      </c>
      <c r="C486" s="10" t="s">
        <v>70</v>
      </c>
      <c r="D486" s="10" t="s">
        <v>71</v>
      </c>
      <c r="E486" s="10" t="s">
        <v>550</v>
      </c>
      <c r="F486" s="10">
        <v>1</v>
      </c>
      <c r="G486" s="10" t="s">
        <v>73</v>
      </c>
      <c r="H486" s="10" t="s">
        <v>74</v>
      </c>
      <c r="I486" s="10" t="s">
        <v>285</v>
      </c>
      <c r="J486" s="10">
        <v>183</v>
      </c>
      <c r="K486" s="12">
        <v>44937</v>
      </c>
      <c r="L486" s="33">
        <v>0.4679166666666667</v>
      </c>
      <c r="M486" s="10">
        <v>1</v>
      </c>
      <c r="N486" s="10" t="s">
        <v>211</v>
      </c>
      <c r="O486" s="10">
        <v>9.3299999999999994E-2</v>
      </c>
      <c r="P486" s="10">
        <v>8.6499999999999997E-3</v>
      </c>
      <c r="Q486" s="10">
        <v>15</v>
      </c>
      <c r="R486" s="10" t="s">
        <v>913</v>
      </c>
      <c r="S486" s="34">
        <f t="shared" si="49"/>
        <v>15</v>
      </c>
      <c r="T486" s="10" t="s">
        <v>1000</v>
      </c>
      <c r="U486" s="34" t="str">
        <f t="shared" si="50"/>
        <v/>
      </c>
      <c r="V486" s="31" t="str">
        <f>IF(H486="CHK",VLOOKUP(I486,QCCHK,3,),IF(H486="GUP",VLOOKUP(E486,QCGUP,2,),IF(AND(H486="ATP",OR(I486="TN",I486="TDN",I486="TNO2-3",I486="NO2-3")),VLOOKUP(E486,QCREC_N,2,),IF(AND(H486="NIC",OR(I486="TN",I486="TDN",I486="TNO2-3",I486="NO2-3")),VLOOKUP(E486,QCNIC_N,2,),IF(AND(H486="UREA",OR(I486="TN",I486="TDN",I486="TNO2-3",I486="NO2-3")),VLOOKUP(E486,QCUREA_N,2,),IF(H486="PER",VLOOKUP(I486,QCPER,MATCH(E486,QCACTUAL!$J$25:$AA$25,0),),IF(H486="SPK",VLOOKUP(I486,QCSPK,3,),IF(AND(H486="ATP",OR(I486="TP",I486="TDP")),VLOOKUP(E486,QCATP_P,2,),""))))))))</f>
        <v/>
      </c>
      <c r="W486" s="31" t="str">
        <f t="shared" si="51"/>
        <v>TRUE</v>
      </c>
      <c r="X486" s="31" t="str">
        <f t="shared" si="52"/>
        <v/>
      </c>
      <c r="Y486" s="10" t="s">
        <v>992</v>
      </c>
      <c r="AL486" s="10" t="str">
        <f t="shared" si="54"/>
        <v>FALSE</v>
      </c>
      <c r="AM486" s="10" t="str">
        <f t="shared" si="54"/>
        <v>FALSE</v>
      </c>
      <c r="AN486" s="10" t="str">
        <f t="shared" si="54"/>
        <v>FALSE</v>
      </c>
      <c r="AO486" s="10" t="str">
        <f t="shared" si="55"/>
        <v>FALSE</v>
      </c>
      <c r="AP486" s="10" t="str">
        <f t="shared" si="55"/>
        <v>FALSE</v>
      </c>
      <c r="AQ486" s="10" t="b">
        <f>IF(AND(I486="TP",S486&lt;=150),VLOOKUP(AF486,TPCalibEq150!$AZ$2:$BB$55,3,),IF(AND(I486="TDP",S486&lt;=150),VLOOKUP(AF486,TPCalibEq150!$AZ$2:$BB$55,3,)))</f>
        <v>0</v>
      </c>
      <c r="AR486" s="10" t="b">
        <f>IF(AND(I486="TP",S486&lt;=300),VLOOKUP(AF486,TPCalibEq300!$AZ$2:$BB$55,3,),IF(AND(I486="TDP",S486&lt;=300),VLOOKUP(AF486,TPCalibEq300!$AZ$2:$BB$55,3,)))</f>
        <v>0</v>
      </c>
      <c r="AS486" s="10" t="b">
        <f>IF(AND(I486="TP",S486&lt;=500),VLOOKUP(AF486,TPCalibEq500!$AZ$2:$BB$56,3,),IF(AND(I486="TDP",S486&lt;=500),VLOOKUP(AF486,TPCalibEq500!$AZ$2:$BB$56,3,)))</f>
        <v>0</v>
      </c>
      <c r="AT486" s="10" t="b">
        <f>IF(AND(I486="TN",S486&lt;=2800),VLOOKUP(AF486,TNCalibEq2500!$AZ$2:$BB$56,3,),IF(AND(I486="TDN",S486&lt;=2800),VLOOKUP(AF486,TNCalibEq2500!$AZ$2:$BB$56,3,)))</f>
        <v>0</v>
      </c>
      <c r="AU486" s="10" t="b">
        <f>IF(I486="TP",VLOOKUP(AF486,TPCalibEqFull!$AZ$2:$BB$56,3),IF(I486="TDP",VLOOKUP(AF486,TPCalibEqFull!$AZ$2:$BB$56,3),IF(I486="TDN",VLOOKUP(AF486,TNCalibEqFull!$AZ$1:$BB$56,3),IF(I486="TN",VLOOKUP(AF486,TNCalibEqFull!$AZ$1:$BB$56,3),FALSE))))</f>
        <v>0</v>
      </c>
      <c r="AV486" s="10" t="str">
        <f t="shared" si="53"/>
        <v>0111 09:00:00-QAC-STD-F-1-DI-CAL</v>
      </c>
    </row>
    <row r="487" spans="1:48" s="10" customFormat="1" x14ac:dyDescent="0.55000000000000004">
      <c r="A487" s="32">
        <v>44937</v>
      </c>
      <c r="B487" s="33">
        <v>0.375</v>
      </c>
      <c r="C487" s="10" t="s">
        <v>70</v>
      </c>
      <c r="D487" s="10" t="s">
        <v>71</v>
      </c>
      <c r="E487" s="10" t="s">
        <v>909</v>
      </c>
      <c r="F487" s="10">
        <v>1</v>
      </c>
      <c r="G487" s="10" t="s">
        <v>73</v>
      </c>
      <c r="H487" s="10" t="s">
        <v>74</v>
      </c>
      <c r="I487" s="10" t="s">
        <v>285</v>
      </c>
      <c r="J487" s="10">
        <v>184</v>
      </c>
      <c r="K487" s="12">
        <v>44937</v>
      </c>
      <c r="L487" s="33">
        <v>0.46873842592592596</v>
      </c>
      <c r="M487" s="10">
        <v>1</v>
      </c>
      <c r="N487" s="10" t="s">
        <v>211</v>
      </c>
      <c r="O487" s="10">
        <v>0.11799999999999999</v>
      </c>
      <c r="P487" s="10">
        <v>1.14E-2</v>
      </c>
      <c r="Q487" s="10">
        <v>20</v>
      </c>
      <c r="R487" s="10" t="s">
        <v>913</v>
      </c>
      <c r="S487" s="34">
        <f t="shared" si="49"/>
        <v>20</v>
      </c>
      <c r="T487" s="10" t="s">
        <v>1000</v>
      </c>
      <c r="U487" s="34" t="str">
        <f t="shared" si="50"/>
        <v/>
      </c>
      <c r="V487" s="31" t="str">
        <f>IF(H487="CHK",VLOOKUP(I487,QCCHK,3,),IF(H487="GUP",VLOOKUP(E487,QCGUP,2,),IF(AND(H487="ATP",OR(I487="TN",I487="TDN",I487="TNO2-3",I487="NO2-3")),VLOOKUP(E487,QCREC_N,2,),IF(AND(H487="NIC",OR(I487="TN",I487="TDN",I487="TNO2-3",I487="NO2-3")),VLOOKUP(E487,QCNIC_N,2,),IF(AND(H487="UREA",OR(I487="TN",I487="TDN",I487="TNO2-3",I487="NO2-3")),VLOOKUP(E487,QCUREA_N,2,),IF(H487="PER",VLOOKUP(I487,QCPER,MATCH(E487,QCACTUAL!$J$25:$AA$25,0),),IF(H487="SPK",VLOOKUP(I487,QCSPK,3,),IF(AND(H487="ATP",OR(I487="TP",I487="TDP")),VLOOKUP(E487,QCATP_P,2,),""))))))))</f>
        <v/>
      </c>
      <c r="W487" s="31" t="str">
        <f t="shared" si="51"/>
        <v>TRUE</v>
      </c>
      <c r="X487" s="31" t="str">
        <f t="shared" si="52"/>
        <v/>
      </c>
      <c r="Y487" s="10" t="s">
        <v>992</v>
      </c>
      <c r="AL487" s="10" t="str">
        <f t="shared" si="54"/>
        <v>FALSE</v>
      </c>
      <c r="AM487" s="10" t="str">
        <f t="shared" si="54"/>
        <v>FALSE</v>
      </c>
      <c r="AN487" s="10" t="str">
        <f t="shared" si="54"/>
        <v>FALSE</v>
      </c>
      <c r="AO487" s="10" t="str">
        <f t="shared" si="55"/>
        <v>FALSE</v>
      </c>
      <c r="AP487" s="10" t="str">
        <f t="shared" si="55"/>
        <v>FALSE</v>
      </c>
      <c r="AQ487" s="10" t="b">
        <f>IF(AND(I487="TP",S487&lt;=150),VLOOKUP(AF487,TPCalibEq150!$AZ$2:$BB$55,3,),IF(AND(I487="TDP",S487&lt;=150),VLOOKUP(AF487,TPCalibEq150!$AZ$2:$BB$55,3,)))</f>
        <v>0</v>
      </c>
      <c r="AR487" s="10" t="b">
        <f>IF(AND(I487="TP",S487&lt;=300),VLOOKUP(AF487,TPCalibEq300!$AZ$2:$BB$55,3,),IF(AND(I487="TDP",S487&lt;=300),VLOOKUP(AF487,TPCalibEq300!$AZ$2:$BB$55,3,)))</f>
        <v>0</v>
      </c>
      <c r="AS487" s="10" t="b">
        <f>IF(AND(I487="TP",S487&lt;=500),VLOOKUP(AF487,TPCalibEq500!$AZ$2:$BB$56,3,),IF(AND(I487="TDP",S487&lt;=500),VLOOKUP(AF487,TPCalibEq500!$AZ$2:$BB$56,3,)))</f>
        <v>0</v>
      </c>
      <c r="AT487" s="10" t="b">
        <f>IF(AND(I487="TN",S487&lt;=2800),VLOOKUP(AF487,TNCalibEq2500!$AZ$2:$BB$56,3,),IF(AND(I487="TDN",S487&lt;=2800),VLOOKUP(AF487,TNCalibEq2500!$AZ$2:$BB$56,3,)))</f>
        <v>0</v>
      </c>
      <c r="AU487" s="10" t="b">
        <f>IF(I487="TP",VLOOKUP(AF487,TPCalibEqFull!$AZ$2:$BB$56,3),IF(I487="TDP",VLOOKUP(AF487,TPCalibEqFull!$AZ$2:$BB$56,3),IF(I487="TDN",VLOOKUP(AF487,TNCalibEqFull!$AZ$1:$BB$56,3),IF(I487="TN",VLOOKUP(AF487,TNCalibEqFull!$AZ$1:$BB$56,3),FALSE))))</f>
        <v>0</v>
      </c>
      <c r="AV487" s="10" t="str">
        <f t="shared" si="53"/>
        <v>0111 09:00:00-QAC-STD-E-1-DI-CAL</v>
      </c>
    </row>
    <row r="488" spans="1:48" s="10" customFormat="1" x14ac:dyDescent="0.55000000000000004">
      <c r="A488" s="32">
        <v>44937</v>
      </c>
      <c r="B488" s="33">
        <v>0.375</v>
      </c>
      <c r="C488" s="10" t="s">
        <v>70</v>
      </c>
      <c r="D488" s="10" t="s">
        <v>71</v>
      </c>
      <c r="E488" s="10" t="s">
        <v>901</v>
      </c>
      <c r="F488" s="10">
        <v>1</v>
      </c>
      <c r="G488" s="10" t="s">
        <v>73</v>
      </c>
      <c r="H488" s="10" t="s">
        <v>74</v>
      </c>
      <c r="I488" s="10" t="s">
        <v>285</v>
      </c>
      <c r="J488" s="10">
        <v>185</v>
      </c>
      <c r="K488" s="12">
        <v>44937</v>
      </c>
      <c r="L488" s="33">
        <v>0.46956018518518516</v>
      </c>
      <c r="M488" s="10">
        <v>1</v>
      </c>
      <c r="N488" s="10" t="s">
        <v>211</v>
      </c>
      <c r="O488" s="10">
        <v>0.42699999999999999</v>
      </c>
      <c r="P488" s="10">
        <v>4.2200000000000001E-2</v>
      </c>
      <c r="Q488" s="10">
        <v>75</v>
      </c>
      <c r="R488" s="10" t="s">
        <v>913</v>
      </c>
      <c r="S488" s="34">
        <f t="shared" si="49"/>
        <v>75</v>
      </c>
      <c r="T488" s="10" t="s">
        <v>1001</v>
      </c>
      <c r="U488" s="34" t="str">
        <f t="shared" si="50"/>
        <v/>
      </c>
      <c r="V488" s="31" t="str">
        <f>IF(H488="CHK",VLOOKUP(I488,QCCHK,3,),IF(H488="GUP",VLOOKUP(E488,QCGUP,2,),IF(AND(H488="ATP",OR(I488="TN",I488="TDN",I488="TNO2-3",I488="NO2-3")),VLOOKUP(E488,QCREC_N,2,),IF(AND(H488="NIC",OR(I488="TN",I488="TDN",I488="TNO2-3",I488="NO2-3")),VLOOKUP(E488,QCNIC_N,2,),IF(AND(H488="UREA",OR(I488="TN",I488="TDN",I488="TNO2-3",I488="NO2-3")),VLOOKUP(E488,QCUREA_N,2,),IF(H488="PER",VLOOKUP(I488,QCPER,MATCH(E488,QCACTUAL!$J$25:$AA$25,0),),IF(H488="SPK",VLOOKUP(I488,QCSPK,3,),IF(AND(H488="ATP",OR(I488="TP",I488="TDP")),VLOOKUP(E488,QCATP_P,2,),""))))))))</f>
        <v/>
      </c>
      <c r="W488" s="31" t="str">
        <f t="shared" si="51"/>
        <v>TRUE</v>
      </c>
      <c r="X488" s="31" t="str">
        <f t="shared" si="52"/>
        <v/>
      </c>
      <c r="Y488" s="10" t="s">
        <v>992</v>
      </c>
      <c r="AL488" s="10" t="str">
        <f t="shared" si="54"/>
        <v>FALSE</v>
      </c>
      <c r="AM488" s="10" t="str">
        <f t="shared" si="54"/>
        <v>FALSE</v>
      </c>
      <c r="AN488" s="10" t="str">
        <f t="shared" si="54"/>
        <v>FALSE</v>
      </c>
      <c r="AO488" s="10" t="str">
        <f t="shared" si="55"/>
        <v>FALSE</v>
      </c>
      <c r="AP488" s="10" t="str">
        <f t="shared" si="55"/>
        <v>FALSE</v>
      </c>
      <c r="AQ488" s="10" t="b">
        <f>IF(AND(I488="TP",S488&lt;=150),VLOOKUP(AF488,TPCalibEq150!$AZ$2:$BB$55,3,),IF(AND(I488="TDP",S488&lt;=150),VLOOKUP(AF488,TPCalibEq150!$AZ$2:$BB$55,3,)))</f>
        <v>0</v>
      </c>
      <c r="AR488" s="10" t="b">
        <f>IF(AND(I488="TP",S488&lt;=300),VLOOKUP(AF488,TPCalibEq300!$AZ$2:$BB$55,3,),IF(AND(I488="TDP",S488&lt;=300),VLOOKUP(AF488,TPCalibEq300!$AZ$2:$BB$55,3,)))</f>
        <v>0</v>
      </c>
      <c r="AS488" s="10" t="b">
        <f>IF(AND(I488="TP",S488&lt;=500),VLOOKUP(AF488,TPCalibEq500!$AZ$2:$BB$56,3,),IF(AND(I488="TDP",S488&lt;=500),VLOOKUP(AF488,TPCalibEq500!$AZ$2:$BB$56,3,)))</f>
        <v>0</v>
      </c>
      <c r="AT488" s="10" t="b">
        <f>IF(AND(I488="TN",S488&lt;=2800),VLOOKUP(AF488,TNCalibEq2500!$AZ$2:$BB$56,3,),IF(AND(I488="TDN",S488&lt;=2800),VLOOKUP(AF488,TNCalibEq2500!$AZ$2:$BB$56,3,)))</f>
        <v>0</v>
      </c>
      <c r="AU488" s="10" t="b">
        <f>IF(I488="TP",VLOOKUP(AF488,TPCalibEqFull!$AZ$2:$BB$56,3),IF(I488="TDP",VLOOKUP(AF488,TPCalibEqFull!$AZ$2:$BB$56,3),IF(I488="TDN",VLOOKUP(AF488,TNCalibEqFull!$AZ$1:$BB$56,3),IF(I488="TN",VLOOKUP(AF488,TNCalibEqFull!$AZ$1:$BB$56,3),FALSE))))</f>
        <v>0</v>
      </c>
      <c r="AV488" s="10" t="str">
        <f t="shared" si="53"/>
        <v>0111 09:00:00-QAC-STD-D-1-DI-CAL</v>
      </c>
    </row>
    <row r="489" spans="1:48" s="10" customFormat="1" x14ac:dyDescent="0.55000000000000004">
      <c r="A489" s="32">
        <v>44937</v>
      </c>
      <c r="B489" s="33">
        <v>0.375</v>
      </c>
      <c r="C489" s="10" t="s">
        <v>70</v>
      </c>
      <c r="D489" s="10" t="s">
        <v>71</v>
      </c>
      <c r="E489" s="10" t="s">
        <v>190</v>
      </c>
      <c r="F489" s="10">
        <v>1</v>
      </c>
      <c r="G489" s="10" t="s">
        <v>73</v>
      </c>
      <c r="H489" s="10" t="s">
        <v>74</v>
      </c>
      <c r="I489" s="10" t="s">
        <v>285</v>
      </c>
      <c r="J489" s="10">
        <v>186</v>
      </c>
      <c r="K489" s="12">
        <v>44937</v>
      </c>
      <c r="L489" s="33">
        <v>0.47039351851851857</v>
      </c>
      <c r="M489" s="10">
        <v>1</v>
      </c>
      <c r="N489" s="10" t="s">
        <v>211</v>
      </c>
      <c r="O489" s="10">
        <v>0.86099999999999999</v>
      </c>
      <c r="P489" s="10">
        <v>8.6099999999999996E-2</v>
      </c>
      <c r="Q489" s="10">
        <v>150</v>
      </c>
      <c r="R489" s="10" t="s">
        <v>913</v>
      </c>
      <c r="S489" s="34">
        <f t="shared" si="49"/>
        <v>150</v>
      </c>
      <c r="T489" s="10" t="s">
        <v>1001</v>
      </c>
      <c r="U489" s="34" t="str">
        <f t="shared" si="50"/>
        <v/>
      </c>
      <c r="V489" s="31" t="str">
        <f>IF(H489="CHK",VLOOKUP(I489,QCCHK,3,),IF(H489="GUP",VLOOKUP(E489,QCGUP,2,),IF(AND(H489="ATP",OR(I489="TN",I489="TDN",I489="TNO2-3",I489="NO2-3")),VLOOKUP(E489,QCREC_N,2,),IF(AND(H489="NIC",OR(I489="TN",I489="TDN",I489="TNO2-3",I489="NO2-3")),VLOOKUP(E489,QCNIC_N,2,),IF(AND(H489="UREA",OR(I489="TN",I489="TDN",I489="TNO2-3",I489="NO2-3")),VLOOKUP(E489,QCUREA_N,2,),IF(H489="PER",VLOOKUP(I489,QCPER,MATCH(E489,QCACTUAL!$J$25:$AA$25,0),),IF(H489="SPK",VLOOKUP(I489,QCSPK,3,),IF(AND(H489="ATP",OR(I489="TP",I489="TDP")),VLOOKUP(E489,QCATP_P,2,),""))))))))</f>
        <v/>
      </c>
      <c r="W489" s="31" t="str">
        <f t="shared" si="51"/>
        <v>TRUE</v>
      </c>
      <c r="X489" s="31" t="str">
        <f t="shared" si="52"/>
        <v/>
      </c>
      <c r="Y489" s="10" t="s">
        <v>992</v>
      </c>
      <c r="AL489" s="10" t="str">
        <f t="shared" si="54"/>
        <v>FALSE</v>
      </c>
      <c r="AM489" s="10" t="str">
        <f t="shared" si="54"/>
        <v>FALSE</v>
      </c>
      <c r="AN489" s="10" t="str">
        <f t="shared" si="54"/>
        <v>FALSE</v>
      </c>
      <c r="AO489" s="10" t="str">
        <f t="shared" si="55"/>
        <v>FALSE</v>
      </c>
      <c r="AP489" s="10" t="str">
        <f t="shared" si="55"/>
        <v>FALSE</v>
      </c>
      <c r="AQ489" s="10" t="b">
        <f>IF(AND(I489="TP",S489&lt;=150),VLOOKUP(AF489,TPCalibEq150!$AZ$2:$BB$55,3,),IF(AND(I489="TDP",S489&lt;=150),VLOOKUP(AF489,TPCalibEq150!$AZ$2:$BB$55,3,)))</f>
        <v>0</v>
      </c>
      <c r="AR489" s="10" t="b">
        <f>IF(AND(I489="TP",S489&lt;=300),VLOOKUP(AF489,TPCalibEq300!$AZ$2:$BB$55,3,),IF(AND(I489="TDP",S489&lt;=300),VLOOKUP(AF489,TPCalibEq300!$AZ$2:$BB$55,3,)))</f>
        <v>0</v>
      </c>
      <c r="AS489" s="10" t="b">
        <f>IF(AND(I489="TP",S489&lt;=500),VLOOKUP(AF489,TPCalibEq500!$AZ$2:$BB$56,3,),IF(AND(I489="TDP",S489&lt;=500),VLOOKUP(AF489,TPCalibEq500!$AZ$2:$BB$56,3,)))</f>
        <v>0</v>
      </c>
      <c r="AT489" s="10" t="b">
        <f>IF(AND(I489="TN",S489&lt;=2800),VLOOKUP(AF489,TNCalibEq2500!$AZ$2:$BB$56,3,),IF(AND(I489="TDN",S489&lt;=2800),VLOOKUP(AF489,TNCalibEq2500!$AZ$2:$BB$56,3,)))</f>
        <v>0</v>
      </c>
      <c r="AU489" s="10" t="b">
        <f>IF(I489="TP",VLOOKUP(AF489,TPCalibEqFull!$AZ$2:$BB$56,3),IF(I489="TDP",VLOOKUP(AF489,TPCalibEqFull!$AZ$2:$BB$56,3),IF(I489="TDN",VLOOKUP(AF489,TNCalibEqFull!$AZ$1:$BB$56,3),IF(I489="TN",VLOOKUP(AF489,TNCalibEqFull!$AZ$1:$BB$56,3),FALSE))))</f>
        <v>0</v>
      </c>
      <c r="AV489" s="10" t="str">
        <f t="shared" si="53"/>
        <v>0111 09:00:00-QAC-STD-C-1-DI-CAL</v>
      </c>
    </row>
    <row r="490" spans="1:48" s="10" customFormat="1" x14ac:dyDescent="0.55000000000000004">
      <c r="A490" s="32">
        <v>44937</v>
      </c>
      <c r="B490" s="33">
        <v>0.375</v>
      </c>
      <c r="C490" s="10" t="s">
        <v>70</v>
      </c>
      <c r="D490" s="10" t="s">
        <v>71</v>
      </c>
      <c r="E490" s="10" t="s">
        <v>583</v>
      </c>
      <c r="F490" s="10">
        <v>1</v>
      </c>
      <c r="G490" s="10" t="s">
        <v>73</v>
      </c>
      <c r="H490" s="10" t="s">
        <v>74</v>
      </c>
      <c r="I490" s="10" t="s">
        <v>285</v>
      </c>
      <c r="J490" s="10">
        <v>187</v>
      </c>
      <c r="K490" s="12">
        <v>44937</v>
      </c>
      <c r="L490" s="33">
        <v>0.47121527777777777</v>
      </c>
      <c r="M490" s="10">
        <v>1</v>
      </c>
      <c r="N490" s="10" t="s">
        <v>211</v>
      </c>
      <c r="O490" s="10">
        <v>1.72</v>
      </c>
      <c r="P490" s="10">
        <v>0.17399999999999999</v>
      </c>
      <c r="Q490" s="10">
        <v>300</v>
      </c>
      <c r="R490" s="10" t="s">
        <v>913</v>
      </c>
      <c r="S490" s="34">
        <f t="shared" si="49"/>
        <v>300</v>
      </c>
      <c r="T490" s="10" t="s">
        <v>1001</v>
      </c>
      <c r="U490" s="34" t="str">
        <f t="shared" si="50"/>
        <v/>
      </c>
      <c r="V490" s="31" t="str">
        <f>IF(H490="CHK",VLOOKUP(I490,QCCHK,3,),IF(H490="GUP",VLOOKUP(E490,QCGUP,2,),IF(AND(H490="ATP",OR(I490="TN",I490="TDN",I490="TNO2-3",I490="NO2-3")),VLOOKUP(E490,QCREC_N,2,),IF(AND(H490="NIC",OR(I490="TN",I490="TDN",I490="TNO2-3",I490="NO2-3")),VLOOKUP(E490,QCNIC_N,2,),IF(AND(H490="UREA",OR(I490="TN",I490="TDN",I490="TNO2-3",I490="NO2-3")),VLOOKUP(E490,QCUREA_N,2,),IF(H490="PER",VLOOKUP(I490,QCPER,MATCH(E490,QCACTUAL!$J$25:$AA$25,0),),IF(H490="SPK",VLOOKUP(I490,QCSPK,3,),IF(AND(H490="ATP",OR(I490="TP",I490="TDP")),VLOOKUP(E490,QCATP_P,2,),""))))))))</f>
        <v/>
      </c>
      <c r="W490" s="31" t="str">
        <f t="shared" si="51"/>
        <v>TRUE</v>
      </c>
      <c r="X490" s="31" t="str">
        <f t="shared" si="52"/>
        <v/>
      </c>
      <c r="Y490" s="10" t="s">
        <v>992</v>
      </c>
      <c r="AL490" s="10" t="str">
        <f t="shared" si="54"/>
        <v>FALSE</v>
      </c>
      <c r="AM490" s="10" t="str">
        <f t="shared" si="54"/>
        <v>FALSE</v>
      </c>
      <c r="AN490" s="10" t="str">
        <f t="shared" si="54"/>
        <v>FALSE</v>
      </c>
      <c r="AO490" s="10" t="str">
        <f t="shared" si="55"/>
        <v>FALSE</v>
      </c>
      <c r="AP490" s="10" t="str">
        <f t="shared" si="55"/>
        <v>FALSE</v>
      </c>
      <c r="AQ490" s="10" t="b">
        <f>IF(AND(I490="TP",S490&lt;=150),VLOOKUP(AF490,TPCalibEq150!$AZ$2:$BB$55,3,),IF(AND(I490="TDP",S490&lt;=150),VLOOKUP(AF490,TPCalibEq150!$AZ$2:$BB$55,3,)))</f>
        <v>0</v>
      </c>
      <c r="AR490" s="10" t="b">
        <f>IF(AND(I490="TP",S490&lt;=300),VLOOKUP(AF490,TPCalibEq300!$AZ$2:$BB$55,3,),IF(AND(I490="TDP",S490&lt;=300),VLOOKUP(AF490,TPCalibEq300!$AZ$2:$BB$55,3,)))</f>
        <v>0</v>
      </c>
      <c r="AS490" s="10" t="b">
        <f>IF(AND(I490="TP",S490&lt;=500),VLOOKUP(AF490,TPCalibEq500!$AZ$2:$BB$56,3,),IF(AND(I490="TDP",S490&lt;=500),VLOOKUP(AF490,TPCalibEq500!$AZ$2:$BB$56,3,)))</f>
        <v>0</v>
      </c>
      <c r="AT490" s="10" t="b">
        <f>IF(AND(I490="TN",S490&lt;=2800),VLOOKUP(AF490,TNCalibEq2500!$AZ$2:$BB$56,3,),IF(AND(I490="TDN",S490&lt;=2800),VLOOKUP(AF490,TNCalibEq2500!$AZ$2:$BB$56,3,)))</f>
        <v>0</v>
      </c>
      <c r="AU490" s="10" t="b">
        <f>IF(I490="TP",VLOOKUP(AF490,TPCalibEqFull!$AZ$2:$BB$56,3),IF(I490="TDP",VLOOKUP(AF490,TPCalibEqFull!$AZ$2:$BB$56,3),IF(I490="TDN",VLOOKUP(AF490,TNCalibEqFull!$AZ$1:$BB$56,3),IF(I490="TN",VLOOKUP(AF490,TNCalibEqFull!$AZ$1:$BB$56,3),FALSE))))</f>
        <v>0</v>
      </c>
      <c r="AV490" s="10" t="str">
        <f t="shared" si="53"/>
        <v>0111 09:00:00-QAC-STD-B-1-DI-CAL</v>
      </c>
    </row>
    <row r="491" spans="1:48" s="10" customFormat="1" x14ac:dyDescent="0.55000000000000004">
      <c r="A491" s="32">
        <v>44937</v>
      </c>
      <c r="B491" s="33">
        <v>0.375</v>
      </c>
      <c r="C491" s="10" t="s">
        <v>70</v>
      </c>
      <c r="D491" s="10" t="s">
        <v>71</v>
      </c>
      <c r="E491" s="10" t="s">
        <v>866</v>
      </c>
      <c r="F491" s="10">
        <v>1</v>
      </c>
      <c r="G491" s="10" t="s">
        <v>73</v>
      </c>
      <c r="H491" s="10" t="s">
        <v>74</v>
      </c>
      <c r="I491" s="10" t="s">
        <v>285</v>
      </c>
      <c r="J491" s="10">
        <v>188</v>
      </c>
      <c r="K491" s="12">
        <v>44937</v>
      </c>
      <c r="L491" s="33">
        <v>0.47203703703703703</v>
      </c>
      <c r="M491" s="10">
        <v>1</v>
      </c>
      <c r="N491" s="10" t="s">
        <v>211</v>
      </c>
      <c r="O491" s="10">
        <v>2.87</v>
      </c>
      <c r="P491" s="10">
        <v>0.29099999999999998</v>
      </c>
      <c r="Q491" s="10">
        <v>500</v>
      </c>
      <c r="R491" s="10" t="s">
        <v>913</v>
      </c>
      <c r="S491" s="34">
        <f t="shared" si="49"/>
        <v>500</v>
      </c>
      <c r="T491" s="10" t="s">
        <v>1000</v>
      </c>
      <c r="U491" s="34" t="str">
        <f t="shared" si="50"/>
        <v/>
      </c>
      <c r="V491" s="31" t="str">
        <f>IF(H491="CHK",VLOOKUP(I491,QCCHK,3,),IF(H491="GUP",VLOOKUP(E491,QCGUP,2,),IF(AND(H491="ATP",OR(I491="TN",I491="TDN",I491="TNO2-3",I491="NO2-3")),VLOOKUP(E491,QCREC_N,2,),IF(AND(H491="NIC",OR(I491="TN",I491="TDN",I491="TNO2-3",I491="NO2-3")),VLOOKUP(E491,QCNIC_N,2,),IF(AND(H491="UREA",OR(I491="TN",I491="TDN",I491="TNO2-3",I491="NO2-3")),VLOOKUP(E491,QCUREA_N,2,),IF(H491="PER",VLOOKUP(I491,QCPER,MATCH(E491,QCACTUAL!$J$25:$AA$25,0),),IF(H491="SPK",VLOOKUP(I491,QCSPK,3,),IF(AND(H491="ATP",OR(I491="TP",I491="TDP")),VLOOKUP(E491,QCATP_P,2,),""))))))))</f>
        <v/>
      </c>
      <c r="W491" s="31" t="str">
        <f t="shared" si="51"/>
        <v>TRUE</v>
      </c>
      <c r="X491" s="31" t="str">
        <f t="shared" si="52"/>
        <v/>
      </c>
      <c r="Y491" s="10" t="s">
        <v>992</v>
      </c>
      <c r="AL491" s="10" t="str">
        <f t="shared" si="54"/>
        <v>FALSE</v>
      </c>
      <c r="AM491" s="10" t="str">
        <f t="shared" si="54"/>
        <v>FALSE</v>
      </c>
      <c r="AN491" s="10" t="str">
        <f t="shared" si="54"/>
        <v>FALSE</v>
      </c>
      <c r="AO491" s="10" t="str">
        <f t="shared" si="55"/>
        <v>FALSE</v>
      </c>
      <c r="AP491" s="10" t="str">
        <f t="shared" si="55"/>
        <v>FALSE</v>
      </c>
      <c r="AQ491" s="10" t="b">
        <f>IF(AND(I491="TP",S491&lt;=150),VLOOKUP(AF491,TPCalibEq150!$AZ$2:$BB$55,3,),IF(AND(I491="TDP",S491&lt;=150),VLOOKUP(AF491,TPCalibEq150!$AZ$2:$BB$55,3,)))</f>
        <v>0</v>
      </c>
      <c r="AR491" s="10" t="b">
        <f>IF(AND(I491="TP",S491&lt;=300),VLOOKUP(AF491,TPCalibEq300!$AZ$2:$BB$55,3,),IF(AND(I491="TDP",S491&lt;=300),VLOOKUP(AF491,TPCalibEq300!$AZ$2:$BB$55,3,)))</f>
        <v>0</v>
      </c>
      <c r="AS491" s="10" t="b">
        <f>IF(AND(I491="TP",S491&lt;=500),VLOOKUP(AF491,TPCalibEq500!$AZ$2:$BB$56,3,),IF(AND(I491="TDP",S491&lt;=500),VLOOKUP(AF491,TPCalibEq500!$AZ$2:$BB$56,3,)))</f>
        <v>0</v>
      </c>
      <c r="AT491" s="10" t="b">
        <f>IF(AND(I491="TN",S491&lt;=2800),VLOOKUP(AF491,TNCalibEq2500!$AZ$2:$BB$56,3,),IF(AND(I491="TDN",S491&lt;=2800),VLOOKUP(AF491,TNCalibEq2500!$AZ$2:$BB$56,3,)))</f>
        <v>0</v>
      </c>
      <c r="AU491" s="10" t="b">
        <f>IF(I491="TP",VLOOKUP(AF491,TPCalibEqFull!$AZ$2:$BB$56,3),IF(I491="TDP",VLOOKUP(AF491,TPCalibEqFull!$AZ$2:$BB$56,3),IF(I491="TDN",VLOOKUP(AF491,TNCalibEqFull!$AZ$1:$BB$56,3),IF(I491="TN",VLOOKUP(AF491,TNCalibEqFull!$AZ$1:$BB$56,3),FALSE))))</f>
        <v>0</v>
      </c>
      <c r="AV491" s="10" t="str">
        <f t="shared" si="53"/>
        <v>0111 09:00:00-QAC-STD-A-1-DI-CAL</v>
      </c>
    </row>
    <row r="492" spans="1:48" s="10" customFormat="1" x14ac:dyDescent="0.55000000000000004">
      <c r="A492" s="32">
        <v>44900</v>
      </c>
      <c r="B492" s="33">
        <v>0.375</v>
      </c>
      <c r="C492" s="10" t="s">
        <v>70</v>
      </c>
      <c r="D492" s="10" t="s">
        <v>71</v>
      </c>
      <c r="E492" s="10" t="s">
        <v>866</v>
      </c>
      <c r="F492" s="10">
        <v>1</v>
      </c>
      <c r="G492" s="10" t="s">
        <v>73</v>
      </c>
      <c r="H492" s="10" t="s">
        <v>74</v>
      </c>
      <c r="I492" s="10" t="s">
        <v>285</v>
      </c>
      <c r="J492" s="10">
        <v>190</v>
      </c>
      <c r="K492" s="12">
        <v>44937</v>
      </c>
      <c r="L492" s="33">
        <v>0.47285879629629629</v>
      </c>
      <c r="M492" s="10">
        <v>1</v>
      </c>
      <c r="N492" s="10" t="s">
        <v>211</v>
      </c>
      <c r="O492" s="10">
        <v>3.88</v>
      </c>
      <c r="P492" s="10">
        <v>0.39600000000000002</v>
      </c>
      <c r="Q492" s="10">
        <v>676</v>
      </c>
      <c r="R492" s="10" t="s">
        <v>913</v>
      </c>
      <c r="S492" s="34">
        <f t="shared" si="49"/>
        <v>676</v>
      </c>
      <c r="T492" s="10" t="s">
        <v>1000</v>
      </c>
      <c r="U492" s="34" t="str">
        <f t="shared" si="50"/>
        <v/>
      </c>
      <c r="V492" s="31" t="str">
        <f>IF(H492="CHK",VLOOKUP(I492,QCCHK,3,),IF(H492="GUP",VLOOKUP(E492,QCGUP,2,),IF(AND(H492="ATP",OR(I492="TN",I492="TDN",I492="TNO2-3",I492="NO2-3")),VLOOKUP(E492,QCREC_N,2,),IF(AND(H492="NIC",OR(I492="TN",I492="TDN",I492="TNO2-3",I492="NO2-3")),VLOOKUP(E492,QCNIC_N,2,),IF(AND(H492="UREA",OR(I492="TN",I492="TDN",I492="TNO2-3",I492="NO2-3")),VLOOKUP(E492,QCUREA_N,2,),IF(H492="PER",VLOOKUP(I492,QCPER,MATCH(E492,QCACTUAL!$J$25:$AA$25,0),),IF(H492="SPK",VLOOKUP(I492,QCSPK,3,),IF(AND(H492="ATP",OR(I492="TP",I492="TDP")),VLOOKUP(E492,QCATP_P,2,),""))))))))</f>
        <v/>
      </c>
      <c r="W492" s="31" t="str">
        <f t="shared" si="51"/>
        <v>TRUE</v>
      </c>
      <c r="X492" s="31" t="str">
        <f t="shared" si="52"/>
        <v/>
      </c>
      <c r="Y492" s="10" t="s">
        <v>992</v>
      </c>
      <c r="AL492" s="10" t="str">
        <f t="shared" si="54"/>
        <v>FALSE</v>
      </c>
      <c r="AM492" s="10" t="str">
        <f t="shared" si="54"/>
        <v>FALSE</v>
      </c>
      <c r="AN492" s="10" t="str">
        <f t="shared" si="54"/>
        <v>FALSE</v>
      </c>
      <c r="AO492" s="10" t="str">
        <f t="shared" si="55"/>
        <v>FALSE</v>
      </c>
      <c r="AP492" s="10" t="str">
        <f t="shared" si="55"/>
        <v>FALSE</v>
      </c>
      <c r="AQ492" s="10" t="b">
        <f>IF(AND(I492="TP",S492&lt;=150),VLOOKUP(AF492,TPCalibEq150!$AZ$2:$BB$55,3,),IF(AND(I492="TDP",S492&lt;=150),VLOOKUP(AF492,TPCalibEq150!$AZ$2:$BB$55,3,)))</f>
        <v>0</v>
      </c>
      <c r="AR492" s="10" t="b">
        <f>IF(AND(I492="TP",S492&lt;=300),VLOOKUP(AF492,TPCalibEq300!$AZ$2:$BB$55,3,),IF(AND(I492="TDP",S492&lt;=300),VLOOKUP(AF492,TPCalibEq300!$AZ$2:$BB$55,3,)))</f>
        <v>0</v>
      </c>
      <c r="AS492" s="10" t="b">
        <f>IF(AND(I492="TP",S492&lt;=500),VLOOKUP(AF492,TPCalibEq500!$AZ$2:$BB$56,3,),IF(AND(I492="TDP",S492&lt;=500),VLOOKUP(AF492,TPCalibEq500!$AZ$2:$BB$56,3,)))</f>
        <v>0</v>
      </c>
      <c r="AT492" s="10" t="b">
        <f>IF(AND(I492="TN",S492&lt;=2800),VLOOKUP(AF492,TNCalibEq2500!$AZ$2:$BB$56,3,),IF(AND(I492="TDN",S492&lt;=2800),VLOOKUP(AF492,TNCalibEq2500!$AZ$2:$BB$56,3,)))</f>
        <v>0</v>
      </c>
      <c r="AU492" s="10" t="b">
        <f>IF(I492="TP",VLOOKUP(AF492,TPCalibEqFull!$AZ$2:$BB$56,3),IF(I492="TDP",VLOOKUP(AF492,TPCalibEqFull!$AZ$2:$BB$56,3),IF(I492="TDN",VLOOKUP(AF492,TNCalibEqFull!$AZ$1:$BB$56,3),IF(I492="TN",VLOOKUP(AF492,TNCalibEqFull!$AZ$1:$BB$56,3),FALSE))))</f>
        <v>0</v>
      </c>
      <c r="AV492" s="10" t="str">
        <f t="shared" si="53"/>
        <v>1205 09:00:00-QAC-STD-A-1-DI-CAL</v>
      </c>
    </row>
    <row r="493" spans="1:48" s="10" customFormat="1" x14ac:dyDescent="0.55000000000000004">
      <c r="A493" s="32">
        <v>44937</v>
      </c>
      <c r="B493" s="33">
        <v>0.375</v>
      </c>
      <c r="C493" s="10" t="s">
        <v>70</v>
      </c>
      <c r="D493" s="10" t="s">
        <v>241</v>
      </c>
      <c r="E493" s="10" t="s">
        <v>866</v>
      </c>
      <c r="F493" s="10">
        <v>1</v>
      </c>
      <c r="G493" s="10" t="s">
        <v>73</v>
      </c>
      <c r="H493" s="10" t="s">
        <v>283</v>
      </c>
      <c r="I493" s="10" t="s">
        <v>285</v>
      </c>
      <c r="J493" s="10">
        <v>198</v>
      </c>
      <c r="K493" s="12">
        <v>44937</v>
      </c>
      <c r="L493" s="33">
        <v>0.47694444444444445</v>
      </c>
      <c r="M493" s="10">
        <v>1</v>
      </c>
      <c r="N493" s="10" t="s">
        <v>211</v>
      </c>
      <c r="O493" s="10">
        <v>9.4199999999999996E-3</v>
      </c>
      <c r="P493" s="10">
        <v>6.3000000000000003E-4</v>
      </c>
      <c r="Q493" s="10">
        <v>1.64</v>
      </c>
      <c r="R493" s="10" t="s">
        <v>913</v>
      </c>
      <c r="S493" s="34">
        <f t="shared" si="49"/>
        <v>1.64</v>
      </c>
      <c r="T493" s="10" t="s">
        <v>1000</v>
      </c>
      <c r="U493" s="34">
        <f t="shared" si="50"/>
        <v>1.64</v>
      </c>
      <c r="V493" s="31" t="str">
        <f>IF(H493="CHK",VLOOKUP(I493,QCCHK,3,),IF(H493="GUP",VLOOKUP(E493,QCGUP,2,),IF(AND(H493="ATP",OR(I493="TN",I493="TDN",I493="TNO2-3",I493="NO2-3")),VLOOKUP(E493,QCREC_N,2,),IF(AND(H493="NIC",OR(I493="TN",I493="TDN",I493="TNO2-3",I493="NO2-3")),VLOOKUP(E493,QCNIC_N,2,),IF(AND(H493="UREA",OR(I493="TN",I493="TDN",I493="TNO2-3",I493="NO2-3")),VLOOKUP(E493,QCUREA_N,2,),IF(H493="PER",VLOOKUP(I493,QCPER,MATCH(E493,QCACTUAL!$J$25:$AA$25,0),),IF(H493="SPK",VLOOKUP(I493,QCSPK,3,),IF(AND(H493="ATP",OR(I493="TP",I493="TDP")),VLOOKUP(E493,QCATP_P,2,),""))))))))</f>
        <v/>
      </c>
      <c r="W493" s="31" t="str">
        <f t="shared" si="51"/>
        <v>TRUE</v>
      </c>
      <c r="X493" s="31" t="str">
        <f t="shared" si="52"/>
        <v>nominal concentration</v>
      </c>
      <c r="Y493" s="10" t="s">
        <v>992</v>
      </c>
      <c r="AL493" s="10" t="str">
        <f t="shared" si="54"/>
        <v>FALSE</v>
      </c>
      <c r="AM493" s="10" t="str">
        <f t="shared" si="54"/>
        <v>FALSE</v>
      </c>
      <c r="AN493" s="10" t="str">
        <f t="shared" si="54"/>
        <v>FALSE</v>
      </c>
      <c r="AO493" s="10" t="str">
        <f t="shared" si="55"/>
        <v>FALSE</v>
      </c>
      <c r="AP493" s="10" t="str">
        <f t="shared" si="55"/>
        <v>FALSE</v>
      </c>
      <c r="AQ493" s="10" t="b">
        <f>IF(AND(I493="TP",S493&lt;=150),VLOOKUP(AF493,TPCalibEq150!$AZ$2:$BB$55,3,),IF(AND(I493="TDP",S493&lt;=150),VLOOKUP(AF493,TPCalibEq150!$AZ$2:$BB$55,3,)))</f>
        <v>0</v>
      </c>
      <c r="AR493" s="10" t="b">
        <f>IF(AND(I493="TP",S493&lt;=300),VLOOKUP(AF493,TPCalibEq300!$AZ$2:$BB$55,3,),IF(AND(I493="TDP",S493&lt;=300),VLOOKUP(AF493,TPCalibEq300!$AZ$2:$BB$55,3,)))</f>
        <v>0</v>
      </c>
      <c r="AS493" s="10" t="b">
        <f>IF(AND(I493="TP",S493&lt;=500),VLOOKUP(AF493,TPCalibEq500!$AZ$2:$BB$56,3,),IF(AND(I493="TDP",S493&lt;=500),VLOOKUP(AF493,TPCalibEq500!$AZ$2:$BB$56,3,)))</f>
        <v>0</v>
      </c>
      <c r="AT493" s="10" t="b">
        <f>IF(AND(I493="TN",S493&lt;=2800),VLOOKUP(AF493,TNCalibEq2500!$AZ$2:$BB$56,3,),IF(AND(I493="TDN",S493&lt;=2800),VLOOKUP(AF493,TNCalibEq2500!$AZ$2:$BB$56,3,)))</f>
        <v>0</v>
      </c>
      <c r="AU493" s="10" t="b">
        <f>IF(I493="TP",VLOOKUP(AF493,TPCalibEqFull!$AZ$2:$BB$56,3),IF(I493="TDP",VLOOKUP(AF493,TPCalibEqFull!$AZ$2:$BB$56,3),IF(I493="TDN",VLOOKUP(AF493,TNCalibEqFull!$AZ$1:$BB$56,3),IF(I493="TN",VLOOKUP(AF493,TNCalibEqFull!$AZ$1:$BB$56,3),FALSE))))</f>
        <v>0</v>
      </c>
      <c r="AV493" s="10" t="str">
        <f t="shared" si="53"/>
        <v>0111 09:00:00-QAC-BLK-A-1-DI-LAB</v>
      </c>
    </row>
    <row r="494" spans="1:48" s="10" customFormat="1" x14ac:dyDescent="0.55000000000000004">
      <c r="A494" s="32">
        <v>44937</v>
      </c>
      <c r="B494" s="33">
        <v>0.375</v>
      </c>
      <c r="C494" s="10" t="s">
        <v>70</v>
      </c>
      <c r="D494" s="10" t="s">
        <v>241</v>
      </c>
      <c r="E494" s="10" t="s">
        <v>866</v>
      </c>
      <c r="F494" s="10">
        <v>1</v>
      </c>
      <c r="G494" s="10" t="s">
        <v>73</v>
      </c>
      <c r="H494" s="10" t="s">
        <v>314</v>
      </c>
      <c r="I494" s="10" t="s">
        <v>285</v>
      </c>
      <c r="J494" s="10">
        <v>225</v>
      </c>
      <c r="K494" s="12">
        <v>44937</v>
      </c>
      <c r="L494" s="33">
        <v>0.47859953703703706</v>
      </c>
      <c r="M494" s="10">
        <v>1</v>
      </c>
      <c r="N494" s="10" t="s">
        <v>211</v>
      </c>
      <c r="O494" s="10">
        <v>1</v>
      </c>
      <c r="P494" s="10">
        <v>9.98E-2</v>
      </c>
      <c r="Q494" s="10">
        <v>174</v>
      </c>
      <c r="R494" s="10" t="s">
        <v>913</v>
      </c>
      <c r="S494" s="34">
        <f t="shared" si="49"/>
        <v>174</v>
      </c>
      <c r="T494" s="10" t="s">
        <v>1000</v>
      </c>
      <c r="U494" s="34">
        <f t="shared" si="50"/>
        <v>110.31040000000002</v>
      </c>
      <c r="V494" s="31">
        <f>IF(H494="CHK",VLOOKUP(I494,QCCHK,3,),IF(H494="GUP",VLOOKUP(E494,QCGUP,2,),IF(AND(H494="ATP",OR(I494="TN",I494="TDN",I494="TNO2-3",I494="NO2-3")),VLOOKUP(E494,QCREC_N,2,),IF(AND(H494="NIC",OR(I494="TN",I494="TDN",I494="TNO2-3",I494="NO2-3")),VLOOKUP(E494,QCNIC_N,2,),IF(AND(H494="UREA",OR(I494="TN",I494="TDN",I494="TNO2-3",I494="NO2-3")),VLOOKUP(E494,QCUREA_N,2,),IF(H494="PER",VLOOKUP(I494,QCPER,MATCH(E494,QCACTUAL!$J$25:$AA$25,0),),IF(H494="SPK",VLOOKUP(I494,QCSPK,3,),IF(AND(H494="ATP",OR(I494="TP",I494="TDP")),VLOOKUP(E494,QCATP_P,2,),""))))))))</f>
        <v>156.25</v>
      </c>
      <c r="W494" s="31" t="str">
        <f t="shared" si="51"/>
        <v>TRUE</v>
      </c>
      <c r="X494" s="31" t="str">
        <f t="shared" si="52"/>
        <v>([spikedunkn]-[unkn])/[spike]*100</v>
      </c>
      <c r="Y494" s="10" t="s">
        <v>992</v>
      </c>
      <c r="AL494" s="10" t="str">
        <f t="shared" si="54"/>
        <v>FALSE</v>
      </c>
      <c r="AM494" s="10" t="str">
        <f t="shared" si="54"/>
        <v>FALSE</v>
      </c>
      <c r="AN494" s="10" t="str">
        <f t="shared" si="54"/>
        <v>FALSE</v>
      </c>
      <c r="AO494" s="10" t="str">
        <f t="shared" si="55"/>
        <v>FALSE</v>
      </c>
      <c r="AP494" s="10" t="str">
        <f t="shared" si="55"/>
        <v>FALSE</v>
      </c>
      <c r="AQ494" s="10" t="b">
        <f>IF(AND(I494="TP",S494&lt;=150),VLOOKUP(AF494,TPCalibEq150!$AZ$2:$BB$55,3,),IF(AND(I494="TDP",S494&lt;=150),VLOOKUP(AF494,TPCalibEq150!$AZ$2:$BB$55,3,)))</f>
        <v>0</v>
      </c>
      <c r="AR494" s="10" t="b">
        <f>IF(AND(I494="TP",S494&lt;=300),VLOOKUP(AF494,TPCalibEq300!$AZ$2:$BB$55,3,),IF(AND(I494="TDP",S494&lt;=300),VLOOKUP(AF494,TPCalibEq300!$AZ$2:$BB$55,3,)))</f>
        <v>0</v>
      </c>
      <c r="AS494" s="10" t="b">
        <f>IF(AND(I494="TP",S494&lt;=500),VLOOKUP(AF494,TPCalibEq500!$AZ$2:$BB$56,3,),IF(AND(I494="TDP",S494&lt;=500),VLOOKUP(AF494,TPCalibEq500!$AZ$2:$BB$56,3,)))</f>
        <v>0</v>
      </c>
      <c r="AT494" s="10" t="b">
        <f>IF(AND(I494="TN",S494&lt;=2800),VLOOKUP(AF494,TNCalibEq2500!$AZ$2:$BB$56,3,),IF(AND(I494="TDN",S494&lt;=2800),VLOOKUP(AF494,TNCalibEq2500!$AZ$2:$BB$56,3,)))</f>
        <v>0</v>
      </c>
      <c r="AU494" s="10" t="b">
        <f>IF(I494="TP",VLOOKUP(AF494,TPCalibEqFull!$AZ$2:$BB$56,3),IF(I494="TDP",VLOOKUP(AF494,TPCalibEqFull!$AZ$2:$BB$56,3),IF(I494="TDN",VLOOKUP(AF494,TNCalibEqFull!$AZ$1:$BB$56,3),IF(I494="TN",VLOOKUP(AF494,TNCalibEqFull!$AZ$1:$BB$56,3),FALSE))))</f>
        <v>0</v>
      </c>
      <c r="AV494" s="10" t="str">
        <f t="shared" si="53"/>
        <v>0111 09:00:00-QAC-BLK-A-1-DI-SPK</v>
      </c>
    </row>
    <row r="495" spans="1:48" s="10" customFormat="1" x14ac:dyDescent="0.55000000000000004">
      <c r="A495" s="32">
        <v>44937</v>
      </c>
      <c r="B495" s="33">
        <v>0.375</v>
      </c>
      <c r="C495" s="10" t="s">
        <v>70</v>
      </c>
      <c r="D495" s="10" t="s">
        <v>71</v>
      </c>
      <c r="E495" s="10" t="s">
        <v>948</v>
      </c>
      <c r="F495" s="10">
        <v>1</v>
      </c>
      <c r="G495" s="10" t="s">
        <v>73</v>
      </c>
      <c r="H495" s="10" t="s">
        <v>299</v>
      </c>
      <c r="I495" s="10" t="s">
        <v>285</v>
      </c>
      <c r="J495" s="10">
        <v>197</v>
      </c>
      <c r="K495" s="12">
        <v>44937</v>
      </c>
      <c r="L495" s="33">
        <v>0.47942129629629626</v>
      </c>
      <c r="M495" s="10">
        <v>1</v>
      </c>
      <c r="N495" s="10" t="s">
        <v>211</v>
      </c>
      <c r="O495" s="10">
        <v>1.98</v>
      </c>
      <c r="P495" s="10">
        <v>0.19600000000000001</v>
      </c>
      <c r="Q495" s="10">
        <v>346</v>
      </c>
      <c r="R495" s="10" t="s">
        <v>913</v>
      </c>
      <c r="S495" s="34">
        <f t="shared" si="49"/>
        <v>346</v>
      </c>
      <c r="T495" s="10" t="s">
        <v>1000</v>
      </c>
      <c r="U495" s="34">
        <f t="shared" si="50"/>
        <v>97.740112994350284</v>
      </c>
      <c r="V495" s="31">
        <f>IF(H495="CHK",VLOOKUP(I495,QCCHK,3,),IF(H495="GUP",VLOOKUP(E495,QCGUP,2,),IF(AND(H495="ATP",OR(I495="TN",I495="TDN",I495="TNO2-3",I495="NO2-3")),VLOOKUP(E495,QCREC_N,2,),IF(AND(H495="NIC",OR(I495="TN",I495="TDN",I495="TNO2-3",I495="NO2-3")),VLOOKUP(E495,QCNIC_N,2,),IF(AND(H495="UREA",OR(I495="TN",I495="TDN",I495="TNO2-3",I495="NO2-3")),VLOOKUP(E495,QCUREA_N,2,),IF(H495="PER",VLOOKUP(I495,QCPER,MATCH(E495,QCACTUAL!$J$25:$AA$25,0),),IF(H495="SPK",VLOOKUP(I495,QCSPK,3,),IF(AND(H495="ATP",OR(I495="TP",I495="TDP")),VLOOKUP(E495,QCATP_P,2,),""))))))))</f>
        <v>354</v>
      </c>
      <c r="W495" s="31" t="str">
        <f t="shared" si="51"/>
        <v>TRUE</v>
      </c>
      <c r="X495" s="31" t="str">
        <f t="shared" si="52"/>
        <v>[per]/[actual]*100</v>
      </c>
      <c r="Y495" s="10" t="s">
        <v>992</v>
      </c>
      <c r="AL495" s="10" t="str">
        <f t="shared" si="54"/>
        <v>FALSE</v>
      </c>
      <c r="AM495" s="10" t="str">
        <f t="shared" si="54"/>
        <v>FALSE</v>
      </c>
      <c r="AN495" s="10" t="str">
        <f t="shared" si="54"/>
        <v>FALSE</v>
      </c>
      <c r="AO495" s="10" t="str">
        <f t="shared" si="55"/>
        <v>FALSE</v>
      </c>
      <c r="AP495" s="10" t="str">
        <f t="shared" si="55"/>
        <v>FALSE</v>
      </c>
      <c r="AQ495" s="10" t="b">
        <f>IF(AND(I495="TP",S495&lt;=150),VLOOKUP(AF495,TPCalibEq150!$AZ$2:$BB$55,3,),IF(AND(I495="TDP",S495&lt;=150),VLOOKUP(AF495,TPCalibEq150!$AZ$2:$BB$55,3,)))</f>
        <v>0</v>
      </c>
      <c r="AR495" s="10" t="b">
        <f>IF(AND(I495="TP",S495&lt;=300),VLOOKUP(AF495,TPCalibEq300!$AZ$2:$BB$55,3,),IF(AND(I495="TDP",S495&lt;=300),VLOOKUP(AF495,TPCalibEq300!$AZ$2:$BB$55,3,)))</f>
        <v>0</v>
      </c>
      <c r="AS495" s="10" t="b">
        <f>IF(AND(I495="TP",S495&lt;=500),VLOOKUP(AF495,TPCalibEq500!$AZ$2:$BB$56,3,),IF(AND(I495="TDP",S495&lt;=500),VLOOKUP(AF495,TPCalibEq500!$AZ$2:$BB$56,3,)))</f>
        <v>0</v>
      </c>
      <c r="AT495" s="10" t="b">
        <f>IF(AND(I495="TN",S495&lt;=2800),VLOOKUP(AF495,TNCalibEq2500!$AZ$2:$BB$56,3,),IF(AND(I495="TDN",S495&lt;=2800),VLOOKUP(AF495,TNCalibEq2500!$AZ$2:$BB$56,3,)))</f>
        <v>0</v>
      </c>
      <c r="AU495" s="10" t="b">
        <f>IF(I495="TP",VLOOKUP(AF495,TPCalibEqFull!$AZ$2:$BB$56,3),IF(I495="TDP",VLOOKUP(AF495,TPCalibEqFull!$AZ$2:$BB$56,3),IF(I495="TDN",VLOOKUP(AF495,TNCalibEqFull!$AZ$1:$BB$56,3),IF(I495="TN",VLOOKUP(AF495,TNCalibEqFull!$AZ$1:$BB$56,3),FALSE))))</f>
        <v>0</v>
      </c>
      <c r="AV495" s="10" t="str">
        <f t="shared" si="53"/>
        <v>0111 09:00:00-QAC-STD-22A-1-DI-PER</v>
      </c>
    </row>
    <row r="496" spans="1:48" s="10" customFormat="1" x14ac:dyDescent="0.55000000000000004">
      <c r="A496" s="32">
        <v>44935</v>
      </c>
      <c r="B496" s="33">
        <v>0.25</v>
      </c>
      <c r="C496" s="10" t="s">
        <v>70</v>
      </c>
      <c r="D496" s="10" t="s">
        <v>241</v>
      </c>
      <c r="E496" s="10" t="s">
        <v>866</v>
      </c>
      <c r="F496" s="10">
        <v>1</v>
      </c>
      <c r="G496" s="10" t="s">
        <v>73</v>
      </c>
      <c r="H496" s="10" t="s">
        <v>264</v>
      </c>
      <c r="I496" s="10" t="s">
        <v>285</v>
      </c>
      <c r="J496" s="10">
        <v>33</v>
      </c>
      <c r="K496" s="12">
        <v>44937</v>
      </c>
      <c r="L496" s="33">
        <v>0.48798611111111106</v>
      </c>
      <c r="M496" s="10">
        <v>1</v>
      </c>
      <c r="N496" s="10" t="s">
        <v>211</v>
      </c>
      <c r="O496" s="10">
        <v>5.7499999999999999E-3</v>
      </c>
      <c r="P496" s="10">
        <v>5.9299999999999999E-4</v>
      </c>
      <c r="Q496" s="10">
        <v>1</v>
      </c>
      <c r="R496" s="10" t="s">
        <v>913</v>
      </c>
      <c r="S496" s="34">
        <f t="shared" si="49"/>
        <v>1</v>
      </c>
      <c r="T496" s="10" t="s">
        <v>1000</v>
      </c>
      <c r="U496" s="34">
        <f t="shared" si="50"/>
        <v>1</v>
      </c>
      <c r="V496" s="31" t="str">
        <f>IF(H496="CHK",VLOOKUP(I496,QCCHK,3,),IF(H496="GUP",VLOOKUP(E496,QCGUP,2,),IF(AND(H496="ATP",OR(I496="TN",I496="TDN",I496="TNO2-3",I496="NO2-3")),VLOOKUP(E496,QCREC_N,2,),IF(AND(H496="NIC",OR(I496="TN",I496="TDN",I496="TNO2-3",I496="NO2-3")),VLOOKUP(E496,QCNIC_N,2,),IF(AND(H496="UREA",OR(I496="TN",I496="TDN",I496="TNO2-3",I496="NO2-3")),VLOOKUP(E496,QCUREA_N,2,),IF(H496="PER",VLOOKUP(I496,QCPER,MATCH(E496,QCACTUAL!$J$25:$AA$25,0),),IF(H496="SPK",VLOOKUP(I496,QCSPK,3,),IF(AND(H496="ATP",OR(I496="TP",I496="TDP")),VLOOKUP(E496,QCATP_P,2,),""))))))))</f>
        <v/>
      </c>
      <c r="W496" s="31" t="str">
        <f t="shared" si="51"/>
        <v>TRUE</v>
      </c>
      <c r="X496" s="31" t="str">
        <f t="shared" si="52"/>
        <v>nominal concentration</v>
      </c>
      <c r="Y496" s="10" t="s">
        <v>992</v>
      </c>
      <c r="Z496" s="10" t="s">
        <v>910</v>
      </c>
      <c r="AL496" s="10" t="str">
        <f t="shared" si="54"/>
        <v>FALSE</v>
      </c>
      <c r="AM496" s="10" t="str">
        <f t="shared" si="54"/>
        <v>FALSE</v>
      </c>
      <c r="AN496" s="10" t="str">
        <f t="shared" si="54"/>
        <v>FALSE</v>
      </c>
      <c r="AO496" s="10" t="str">
        <f t="shared" si="55"/>
        <v>FALSE</v>
      </c>
      <c r="AP496" s="10" t="str">
        <f t="shared" si="55"/>
        <v>FALSE</v>
      </c>
      <c r="AQ496" s="10" t="b">
        <f>IF(AND(I496="TP",S496&lt;=150),VLOOKUP(AF496,TPCalibEq150!$AZ$2:$BB$55,3,),IF(AND(I496="TDP",S496&lt;=150),VLOOKUP(AF496,TPCalibEq150!$AZ$2:$BB$55,3,)))</f>
        <v>0</v>
      </c>
      <c r="AR496" s="10" t="b">
        <f>IF(AND(I496="TP",S496&lt;=300),VLOOKUP(AF496,TPCalibEq300!$AZ$2:$BB$55,3,),IF(AND(I496="TDP",S496&lt;=300),VLOOKUP(AF496,TPCalibEq300!$AZ$2:$BB$55,3,)))</f>
        <v>0</v>
      </c>
      <c r="AS496" s="10" t="b">
        <f>IF(AND(I496="TP",S496&lt;=500),VLOOKUP(AF496,TPCalibEq500!$AZ$2:$BB$56,3,),IF(AND(I496="TDP",S496&lt;=500),VLOOKUP(AF496,TPCalibEq500!$AZ$2:$BB$56,3,)))</f>
        <v>0</v>
      </c>
      <c r="AT496" s="10" t="b">
        <f>IF(AND(I496="TN",S496&lt;=2800),VLOOKUP(AF496,TNCalibEq2500!$AZ$2:$BB$56,3,),IF(AND(I496="TDN",S496&lt;=2800),VLOOKUP(AF496,TNCalibEq2500!$AZ$2:$BB$56,3,)))</f>
        <v>0</v>
      </c>
      <c r="AU496" s="10" t="b">
        <f>IF(I496="TP",VLOOKUP(AF496,TPCalibEqFull!$AZ$2:$BB$56,3),IF(I496="TDP",VLOOKUP(AF496,TPCalibEqFull!$AZ$2:$BB$56,3),IF(I496="TDN",VLOOKUP(AF496,TNCalibEqFull!$AZ$1:$BB$56,3),IF(I496="TN",VLOOKUP(AF496,TNCalibEqFull!$AZ$1:$BB$56,3),FALSE))))</f>
        <v>0</v>
      </c>
      <c r="AV496" s="10" t="str">
        <f t="shared" si="53"/>
        <v>0109 06:00:00-QAC-BLK-A-1-DI-FLD</v>
      </c>
    </row>
    <row r="497" spans="1:48" s="10" customFormat="1" x14ac:dyDescent="0.55000000000000004">
      <c r="A497" s="32">
        <v>44936</v>
      </c>
      <c r="B497" s="33">
        <v>0.36458333333333331</v>
      </c>
      <c r="C497" s="10" t="s">
        <v>70</v>
      </c>
      <c r="D497" s="10" t="s">
        <v>241</v>
      </c>
      <c r="E497" s="10" t="s">
        <v>866</v>
      </c>
      <c r="F497" s="10">
        <v>1</v>
      </c>
      <c r="G497" s="10" t="s">
        <v>73</v>
      </c>
      <c r="H497" s="10" t="s">
        <v>245</v>
      </c>
      <c r="I497" s="10" t="s">
        <v>285</v>
      </c>
      <c r="J497" s="10">
        <v>34</v>
      </c>
      <c r="K497" s="12">
        <v>44937</v>
      </c>
      <c r="L497" s="33">
        <v>0.48880787037037038</v>
      </c>
      <c r="M497" s="10">
        <v>1</v>
      </c>
      <c r="N497" s="10" t="s">
        <v>211</v>
      </c>
      <c r="O497" s="10">
        <v>5.3600000000000002E-3</v>
      </c>
      <c r="P497" s="10">
        <v>4.1100000000000002E-4</v>
      </c>
      <c r="Q497" s="10">
        <v>0.93400000000000005</v>
      </c>
      <c r="R497" s="10" t="s">
        <v>913</v>
      </c>
      <c r="S497" s="34">
        <f t="shared" si="49"/>
        <v>0.93400000000000005</v>
      </c>
      <c r="T497" s="10" t="s">
        <v>1000</v>
      </c>
      <c r="U497" s="34">
        <f t="shared" si="50"/>
        <v>0.93400000000000005</v>
      </c>
      <c r="V497" s="31" t="str">
        <f>IF(H497="CHK",VLOOKUP(I497,QCCHK,3,),IF(H497="GUP",VLOOKUP(E497,QCGUP,2,),IF(AND(H497="ATP",OR(I497="TN",I497="TDN",I497="TNO2-3",I497="NO2-3")),VLOOKUP(E497,QCREC_N,2,),IF(AND(H497="NIC",OR(I497="TN",I497="TDN",I497="TNO2-3",I497="NO2-3")),VLOOKUP(E497,QCNIC_N,2,),IF(AND(H497="UREA",OR(I497="TN",I497="TDN",I497="TNO2-3",I497="NO2-3")),VLOOKUP(E497,QCUREA_N,2,),IF(H497="PER",VLOOKUP(I497,QCPER,MATCH(E497,QCACTUAL!$J$25:$AA$25,0),),IF(H497="SPK",VLOOKUP(I497,QCSPK,3,),IF(AND(H497="ATP",OR(I497="TP",I497="TDP")),VLOOKUP(E497,QCATP_P,2,),""))))))))</f>
        <v/>
      </c>
      <c r="W497" s="31" t="str">
        <f t="shared" si="51"/>
        <v>TRUE</v>
      </c>
      <c r="X497" s="31" t="str">
        <f t="shared" si="52"/>
        <v>nominal concentration</v>
      </c>
      <c r="Y497" s="10" t="s">
        <v>992</v>
      </c>
      <c r="AL497" s="10" t="str">
        <f t="shared" si="54"/>
        <v>FALSE</v>
      </c>
      <c r="AM497" s="10" t="str">
        <f t="shared" si="54"/>
        <v>FALSE</v>
      </c>
      <c r="AN497" s="10" t="str">
        <f t="shared" si="54"/>
        <v>FALSE</v>
      </c>
      <c r="AO497" s="10" t="str">
        <f t="shared" si="55"/>
        <v>FALSE</v>
      </c>
      <c r="AP497" s="10" t="str">
        <f t="shared" si="55"/>
        <v>FALSE</v>
      </c>
      <c r="AQ497" s="10" t="b">
        <f>IF(AND(I497="TP",S497&lt;=150),VLOOKUP(AF497,TPCalibEq150!$AZ$2:$BB$55,3,),IF(AND(I497="TDP",S497&lt;=150),VLOOKUP(AF497,TPCalibEq150!$AZ$2:$BB$55,3,)))</f>
        <v>0</v>
      </c>
      <c r="AR497" s="10" t="b">
        <f>IF(AND(I497="TP",S497&lt;=300),VLOOKUP(AF497,TPCalibEq300!$AZ$2:$BB$55,3,),IF(AND(I497="TDP",S497&lt;=300),VLOOKUP(AF497,TPCalibEq300!$AZ$2:$BB$55,3,)))</f>
        <v>0</v>
      </c>
      <c r="AS497" s="10" t="b">
        <f>IF(AND(I497="TP",S497&lt;=500),VLOOKUP(AF497,TPCalibEq500!$AZ$2:$BB$56,3,),IF(AND(I497="TDP",S497&lt;=500),VLOOKUP(AF497,TPCalibEq500!$AZ$2:$BB$56,3,)))</f>
        <v>0</v>
      </c>
      <c r="AT497" s="10" t="b">
        <f>IF(AND(I497="TN",S497&lt;=2800),VLOOKUP(AF497,TNCalibEq2500!$AZ$2:$BB$56,3,),IF(AND(I497="TDN",S497&lt;=2800),VLOOKUP(AF497,TNCalibEq2500!$AZ$2:$BB$56,3,)))</f>
        <v>0</v>
      </c>
      <c r="AU497" s="10" t="b">
        <f>IF(I497="TP",VLOOKUP(AF497,TPCalibEqFull!$AZ$2:$BB$56,3),IF(I497="TDP",VLOOKUP(AF497,TPCalibEqFull!$AZ$2:$BB$56,3),IF(I497="TDN",VLOOKUP(AF497,TNCalibEqFull!$AZ$1:$BB$56,3),IF(I497="TN",VLOOKUP(AF497,TNCalibEqFull!$AZ$1:$BB$56,3),FALSE))))</f>
        <v>0</v>
      </c>
      <c r="AV497" s="10" t="str">
        <f t="shared" si="53"/>
        <v>0110 08:45:00-QAC-BLK-A-1-DI-ESF</v>
      </c>
    </row>
    <row r="498" spans="1:48" s="10" customFormat="1" x14ac:dyDescent="0.55000000000000004">
      <c r="A498" s="32">
        <v>44935</v>
      </c>
      <c r="B498" s="33">
        <v>0.25</v>
      </c>
      <c r="C498" s="10" t="s">
        <v>70</v>
      </c>
      <c r="D498" s="10" t="s">
        <v>241</v>
      </c>
      <c r="E498" s="10" t="s">
        <v>911</v>
      </c>
      <c r="F498" s="10">
        <v>1</v>
      </c>
      <c r="G498" s="10" t="s">
        <v>73</v>
      </c>
      <c r="H498" s="10" t="s">
        <v>264</v>
      </c>
      <c r="I498" s="10" t="s">
        <v>167</v>
      </c>
      <c r="J498" s="10">
        <v>35</v>
      </c>
      <c r="K498" s="12">
        <v>44937</v>
      </c>
      <c r="L498" s="33">
        <v>0.48962962962962964</v>
      </c>
      <c r="M498" s="10">
        <v>1</v>
      </c>
      <c r="N498" s="10" t="s">
        <v>211</v>
      </c>
      <c r="O498" s="10">
        <v>1.47E-2</v>
      </c>
      <c r="P498" s="10">
        <v>9.8999999999999999E-4</v>
      </c>
      <c r="Q498" s="10">
        <v>2.57</v>
      </c>
      <c r="R498" s="10" t="s">
        <v>913</v>
      </c>
      <c r="S498" s="34">
        <f t="shared" si="49"/>
        <v>2.57</v>
      </c>
      <c r="T498" s="10" t="s">
        <v>1000</v>
      </c>
      <c r="U498" s="34">
        <f t="shared" si="50"/>
        <v>2.57</v>
      </c>
      <c r="V498" s="31" t="str">
        <f>IF(H498="CHK",VLOOKUP(I498,QCCHK,3,),IF(H498="GUP",VLOOKUP(E498,QCGUP,2,),IF(AND(H498="ATP",OR(I498="TN",I498="TDN",I498="TNO2-3",I498="NO2-3")),VLOOKUP(E498,QCREC_N,2,),IF(AND(H498="NIC",OR(I498="TN",I498="TDN",I498="TNO2-3",I498="NO2-3")),VLOOKUP(E498,QCNIC_N,2,),IF(AND(H498="UREA",OR(I498="TN",I498="TDN",I498="TNO2-3",I498="NO2-3")),VLOOKUP(E498,QCUREA_N,2,),IF(H498="PER",VLOOKUP(I498,QCPER,MATCH(E498,QCACTUAL!$J$25:$AA$25,0),),IF(H498="SPK",VLOOKUP(I498,QCSPK,3,),IF(AND(H498="ATP",OR(I498="TP",I498="TDP")),VLOOKUP(E498,QCATP_P,2,),""))))))))</f>
        <v/>
      </c>
      <c r="W498" s="31" t="str">
        <f t="shared" si="51"/>
        <v>TRUE</v>
      </c>
      <c r="X498" s="31" t="str">
        <f t="shared" si="52"/>
        <v>nominal concentration</v>
      </c>
      <c r="Y498" s="10" t="s">
        <v>992</v>
      </c>
      <c r="Z498" s="10" t="s">
        <v>910</v>
      </c>
      <c r="AL498" s="10" t="str">
        <f t="shared" si="54"/>
        <v>FALSE</v>
      </c>
      <c r="AM498" s="10" t="str">
        <f t="shared" si="54"/>
        <v>FALSE</v>
      </c>
      <c r="AN498" s="10" t="str">
        <f t="shared" si="54"/>
        <v>FALSE</v>
      </c>
      <c r="AO498" s="10" t="str">
        <f t="shared" si="55"/>
        <v>FALSE</v>
      </c>
      <c r="AP498" s="10" t="str">
        <f t="shared" si="55"/>
        <v>FALSE</v>
      </c>
      <c r="AQ498" s="10" t="b">
        <f>IF(AND(I498="TP",S498&lt;=150),VLOOKUP(AF498,TPCalibEq150!$AZ$2:$BB$55,3,),IF(AND(I498="TDP",S498&lt;=150),VLOOKUP(AF498,TPCalibEq150!$AZ$2:$BB$55,3,)))</f>
        <v>0</v>
      </c>
      <c r="AR498" s="10" t="b">
        <f>IF(AND(I498="TP",S498&lt;=300),VLOOKUP(AF498,TPCalibEq300!$AZ$2:$BB$55,3,),IF(AND(I498="TDP",S498&lt;=300),VLOOKUP(AF498,TPCalibEq300!$AZ$2:$BB$55,3,)))</f>
        <v>0</v>
      </c>
      <c r="AS498" s="10" t="b">
        <f>IF(AND(I498="TP",S498&lt;=500),VLOOKUP(AF498,TPCalibEq500!$AZ$2:$BB$56,3,),IF(AND(I498="TDP",S498&lt;=500),VLOOKUP(AF498,TPCalibEq500!$AZ$2:$BB$56,3,)))</f>
        <v>0</v>
      </c>
      <c r="AT498" s="10" t="b">
        <f>IF(AND(I498="TN",S498&lt;=2800),VLOOKUP(AF498,TNCalibEq2500!$AZ$2:$BB$56,3,),IF(AND(I498="TDN",S498&lt;=2800),VLOOKUP(AF498,TNCalibEq2500!$AZ$2:$BB$56,3,)))</f>
        <v>0</v>
      </c>
      <c r="AU498" s="10" t="b">
        <f>IF(I498="TP",VLOOKUP(AF498,TPCalibEqFull!$AZ$2:$BB$56,3),IF(I498="TDP",VLOOKUP(AF498,TPCalibEqFull!$AZ$2:$BB$56,3),IF(I498="TDN",VLOOKUP(AF498,TNCalibEqFull!$AZ$1:$BB$56,3),IF(I498="TN",VLOOKUP(AF498,TNCalibEqFull!$AZ$1:$BB$56,3),FALSE))))</f>
        <v>0</v>
      </c>
      <c r="AV498" s="10" t="str">
        <f t="shared" si="53"/>
        <v>0109 06:00:00-QAC-BLK-FIL-1-DI-FLD</v>
      </c>
    </row>
    <row r="499" spans="1:48" s="10" customFormat="1" x14ac:dyDescent="0.55000000000000004">
      <c r="A499" s="32">
        <v>44936</v>
      </c>
      <c r="B499" s="33">
        <v>0.36458333333333331</v>
      </c>
      <c r="C499" s="10" t="s">
        <v>70</v>
      </c>
      <c r="D499" s="10" t="s">
        <v>241</v>
      </c>
      <c r="E499" s="10" t="s">
        <v>911</v>
      </c>
      <c r="F499" s="10">
        <v>1</v>
      </c>
      <c r="G499" s="10" t="s">
        <v>73</v>
      </c>
      <c r="H499" s="10" t="s">
        <v>245</v>
      </c>
      <c r="I499" s="10" t="s">
        <v>167</v>
      </c>
      <c r="J499" s="10">
        <v>36</v>
      </c>
      <c r="K499" s="12">
        <v>44937</v>
      </c>
      <c r="L499" s="33">
        <v>0.48716435185185186</v>
      </c>
      <c r="M499" s="10">
        <v>1</v>
      </c>
      <c r="N499" s="10" t="s">
        <v>211</v>
      </c>
      <c r="O499" s="10">
        <v>1.4200000000000001E-2</v>
      </c>
      <c r="P499" s="10">
        <v>1.1999999999999999E-3</v>
      </c>
      <c r="Q499" s="10">
        <v>2.4700000000000002</v>
      </c>
      <c r="R499" s="10" t="s">
        <v>913</v>
      </c>
      <c r="S499" s="34">
        <f t="shared" si="49"/>
        <v>2.4700000000000002</v>
      </c>
      <c r="T499" s="10" t="s">
        <v>1000</v>
      </c>
      <c r="U499" s="34">
        <f t="shared" si="50"/>
        <v>2.4700000000000002</v>
      </c>
      <c r="V499" s="31" t="str">
        <f>IF(H499="CHK",VLOOKUP(I499,QCCHK,3,),IF(H499="GUP",VLOOKUP(E499,QCGUP,2,),IF(AND(H499="ATP",OR(I499="TN",I499="TDN",I499="TNO2-3",I499="NO2-3")),VLOOKUP(E499,QCREC_N,2,),IF(AND(H499="NIC",OR(I499="TN",I499="TDN",I499="TNO2-3",I499="NO2-3")),VLOOKUP(E499,QCNIC_N,2,),IF(AND(H499="UREA",OR(I499="TN",I499="TDN",I499="TNO2-3",I499="NO2-3")),VLOOKUP(E499,QCUREA_N,2,),IF(H499="PER",VLOOKUP(I499,QCPER,MATCH(E499,QCACTUAL!$J$25:$AA$25,0),),IF(H499="SPK",VLOOKUP(I499,QCSPK,3,),IF(AND(H499="ATP",OR(I499="TP",I499="TDP")),VLOOKUP(E499,QCATP_P,2,),""))))))))</f>
        <v/>
      </c>
      <c r="W499" s="31" t="str">
        <f t="shared" si="51"/>
        <v>TRUE</v>
      </c>
      <c r="X499" s="31" t="str">
        <f t="shared" si="52"/>
        <v>nominal concentration</v>
      </c>
      <c r="Y499" s="10" t="s">
        <v>992</v>
      </c>
      <c r="AL499" s="10" t="str">
        <f t="shared" si="54"/>
        <v>FALSE</v>
      </c>
      <c r="AM499" s="10" t="str">
        <f t="shared" si="54"/>
        <v>FALSE</v>
      </c>
      <c r="AN499" s="10" t="str">
        <f t="shared" si="54"/>
        <v>FALSE</v>
      </c>
      <c r="AO499" s="10" t="str">
        <f t="shared" si="55"/>
        <v>FALSE</v>
      </c>
      <c r="AP499" s="10" t="str">
        <f t="shared" si="55"/>
        <v>FALSE</v>
      </c>
      <c r="AQ499" s="10" t="b">
        <f>IF(AND(I499="TP",S499&lt;=150),VLOOKUP(AF499,TPCalibEq150!$AZ$2:$BB$55,3,),IF(AND(I499="TDP",S499&lt;=150),VLOOKUP(AF499,TPCalibEq150!$AZ$2:$BB$55,3,)))</f>
        <v>0</v>
      </c>
      <c r="AR499" s="10" t="b">
        <f>IF(AND(I499="TP",S499&lt;=300),VLOOKUP(AF499,TPCalibEq300!$AZ$2:$BB$55,3,),IF(AND(I499="TDP",S499&lt;=300),VLOOKUP(AF499,TPCalibEq300!$AZ$2:$BB$55,3,)))</f>
        <v>0</v>
      </c>
      <c r="AS499" s="10" t="b">
        <f>IF(AND(I499="TP",S499&lt;=500),VLOOKUP(AF499,TPCalibEq500!$AZ$2:$BB$56,3,),IF(AND(I499="TDP",S499&lt;=500),VLOOKUP(AF499,TPCalibEq500!$AZ$2:$BB$56,3,)))</f>
        <v>0</v>
      </c>
      <c r="AT499" s="10" t="b">
        <f>IF(AND(I499="TN",S499&lt;=2800),VLOOKUP(AF499,TNCalibEq2500!$AZ$2:$BB$56,3,),IF(AND(I499="TDN",S499&lt;=2800),VLOOKUP(AF499,TNCalibEq2500!$AZ$2:$BB$56,3,)))</f>
        <v>0</v>
      </c>
      <c r="AU499" s="10" t="b">
        <f>IF(I499="TP",VLOOKUP(AF499,TPCalibEqFull!$AZ$2:$BB$56,3),IF(I499="TDP",VLOOKUP(AF499,TPCalibEqFull!$AZ$2:$BB$56,3),IF(I499="TDN",VLOOKUP(AF499,TNCalibEqFull!$AZ$1:$BB$56,3),IF(I499="TN",VLOOKUP(AF499,TNCalibEqFull!$AZ$1:$BB$56,3),FALSE))))</f>
        <v>0</v>
      </c>
      <c r="AV499" s="10" t="str">
        <f t="shared" si="53"/>
        <v>0110 08:45:00-QAC-BLK-FIL-1-DI-ESF</v>
      </c>
    </row>
    <row r="500" spans="1:48" s="10" customFormat="1" x14ac:dyDescent="0.55000000000000004">
      <c r="A500" s="32">
        <v>44930</v>
      </c>
      <c r="B500" s="33">
        <v>0.22569444444444445</v>
      </c>
      <c r="C500" s="10" t="s">
        <v>279</v>
      </c>
      <c r="D500" s="10">
        <v>0</v>
      </c>
      <c r="E500" s="10" t="s">
        <v>160</v>
      </c>
      <c r="F500" s="10">
        <v>1</v>
      </c>
      <c r="G500" s="10" t="s">
        <v>231</v>
      </c>
      <c r="H500" s="10" t="s">
        <v>322</v>
      </c>
      <c r="I500" s="10" t="s">
        <v>285</v>
      </c>
      <c r="J500" s="10">
        <v>1</v>
      </c>
      <c r="K500" s="12">
        <v>44937</v>
      </c>
      <c r="L500" s="33">
        <v>0.4904513888888889</v>
      </c>
      <c r="M500" s="10">
        <v>1</v>
      </c>
      <c r="N500" s="10" t="s">
        <v>211</v>
      </c>
      <c r="O500" s="10">
        <v>1.03</v>
      </c>
      <c r="P500" s="10">
        <v>0.10199999999999999</v>
      </c>
      <c r="Q500" s="10">
        <v>180</v>
      </c>
      <c r="R500" s="10" t="s">
        <v>913</v>
      </c>
      <c r="S500" s="34">
        <f t="shared" si="49"/>
        <v>180</v>
      </c>
      <c r="T500" s="10" t="s">
        <v>1000</v>
      </c>
      <c r="U500" s="34" t="str">
        <f t="shared" si="50"/>
        <v/>
      </c>
      <c r="V500" s="31" t="str">
        <f>IF(H500="CHK",VLOOKUP(I500,QCCHK,3,),IF(H500="GUP",VLOOKUP(E500,QCGUP,2,),IF(AND(H500="ATP",OR(I500="TN",I500="TDN",I500="TNO2-3",I500="NO2-3")),VLOOKUP(E500,QCREC_N,2,),IF(AND(H500="NIC",OR(I500="TN",I500="TDN",I500="TNO2-3",I500="NO2-3")),VLOOKUP(E500,QCNIC_N,2,),IF(AND(H500="UREA",OR(I500="TN",I500="TDN",I500="TNO2-3",I500="NO2-3")),VLOOKUP(E500,QCUREA_N,2,),IF(H500="PER",VLOOKUP(I500,QCPER,MATCH(E500,QCACTUAL!$J$25:$AA$25,0),),IF(H500="SPK",VLOOKUP(I500,QCSPK,3,),IF(AND(H500="ATP",OR(I500="TP",I500="TDP")),VLOOKUP(E500,QCATP_P,2,),""))))))))</f>
        <v/>
      </c>
      <c r="W500" s="31" t="str">
        <f t="shared" si="51"/>
        <v>TRUE</v>
      </c>
      <c r="X500" s="31" t="str">
        <f t="shared" si="52"/>
        <v/>
      </c>
      <c r="Y500" s="10" t="s">
        <v>992</v>
      </c>
      <c r="Z500" s="10" t="s">
        <v>910</v>
      </c>
      <c r="AL500" s="10" t="str">
        <f t="shared" si="54"/>
        <v>FALSE</v>
      </c>
      <c r="AM500" s="10" t="str">
        <f t="shared" si="54"/>
        <v>FALSE</v>
      </c>
      <c r="AN500" s="10" t="str">
        <f t="shared" si="54"/>
        <v>FALSE</v>
      </c>
      <c r="AO500" s="10" t="str">
        <f t="shared" si="55"/>
        <v>FALSE</v>
      </c>
      <c r="AP500" s="10" t="str">
        <f t="shared" si="55"/>
        <v>FALSE</v>
      </c>
      <c r="AQ500" s="10" t="b">
        <f>IF(AND(I500="TP",S500&lt;=150),VLOOKUP(AF500,TPCalibEq150!$AZ$2:$BB$55,3,),IF(AND(I500="TDP",S500&lt;=150),VLOOKUP(AF500,TPCalibEq150!$AZ$2:$BB$55,3,)))</f>
        <v>0</v>
      </c>
      <c r="AR500" s="10" t="b">
        <f>IF(AND(I500="TP",S500&lt;=300),VLOOKUP(AF500,TPCalibEq300!$AZ$2:$BB$55,3,),IF(AND(I500="TDP",S500&lt;=300),VLOOKUP(AF500,TPCalibEq300!$AZ$2:$BB$55,3,)))</f>
        <v>0</v>
      </c>
      <c r="AS500" s="10" t="b">
        <f>IF(AND(I500="TP",S500&lt;=500),VLOOKUP(AF500,TPCalibEq500!$AZ$2:$BB$56,3,),IF(AND(I500="TDP",S500&lt;=500),VLOOKUP(AF500,TPCalibEq500!$AZ$2:$BB$56,3,)))</f>
        <v>0</v>
      </c>
      <c r="AT500" s="10" t="b">
        <f>IF(AND(I500="TN",S500&lt;=2800),VLOOKUP(AF500,TNCalibEq2500!$AZ$2:$BB$56,3,),IF(AND(I500="TDN",S500&lt;=2800),VLOOKUP(AF500,TNCalibEq2500!$AZ$2:$BB$56,3,)))</f>
        <v>0</v>
      </c>
      <c r="AU500" s="10" t="b">
        <f>IF(I500="TP",VLOOKUP(AF500,TPCalibEqFull!$AZ$2:$BB$56,3),IF(I500="TDP",VLOOKUP(AF500,TPCalibEqFull!$AZ$2:$BB$56,3),IF(I500="TDN",VLOOKUP(AF500,TNCalibEqFull!$AZ$1:$BB$56,3),IF(I500="TN",VLOOKUP(AF500,TNCalibEqFull!$AZ$1:$BB$56,3),FALSE))))</f>
        <v>0</v>
      </c>
      <c r="AV500" s="10" t="str">
        <f t="shared" si="53"/>
        <v>0104 05:25:00-EFK-0-L-1-SW-UKN</v>
      </c>
    </row>
    <row r="501" spans="1:48" s="10" customFormat="1" x14ac:dyDescent="0.55000000000000004">
      <c r="A501" s="32">
        <v>44930</v>
      </c>
      <c r="B501" s="33">
        <v>0.22916666666666666</v>
      </c>
      <c r="C501" s="10" t="s">
        <v>333</v>
      </c>
      <c r="D501" s="10">
        <v>0</v>
      </c>
      <c r="E501" s="10" t="s">
        <v>190</v>
      </c>
      <c r="F501" s="10">
        <v>1</v>
      </c>
      <c r="G501" s="10" t="s">
        <v>231</v>
      </c>
      <c r="H501" s="10" t="s">
        <v>322</v>
      </c>
      <c r="I501" s="10" t="s">
        <v>285</v>
      </c>
      <c r="J501" s="10">
        <v>2</v>
      </c>
      <c r="K501" s="12">
        <v>44937</v>
      </c>
      <c r="L501" s="33">
        <v>0.4912731481481481</v>
      </c>
      <c r="M501" s="10">
        <v>1</v>
      </c>
      <c r="N501" s="10" t="s">
        <v>211</v>
      </c>
      <c r="O501" s="10">
        <v>0.46400000000000002</v>
      </c>
      <c r="P501" s="10">
        <v>4.5499999999999999E-2</v>
      </c>
      <c r="Q501" s="10">
        <v>81</v>
      </c>
      <c r="R501" s="10" t="s">
        <v>913</v>
      </c>
      <c r="S501" s="34">
        <f t="shared" si="49"/>
        <v>81</v>
      </c>
      <c r="T501" s="10" t="s">
        <v>1000</v>
      </c>
      <c r="U501" s="34" t="str">
        <f t="shared" si="50"/>
        <v/>
      </c>
      <c r="V501" s="31" t="str">
        <f>IF(H501="CHK",VLOOKUP(I501,QCCHK,3,),IF(H501="GUP",VLOOKUP(E501,QCGUP,2,),IF(AND(H501="ATP",OR(I501="TN",I501="TDN",I501="TNO2-3",I501="NO2-3")),VLOOKUP(E501,QCREC_N,2,),IF(AND(H501="NIC",OR(I501="TN",I501="TDN",I501="TNO2-3",I501="NO2-3")),VLOOKUP(E501,QCNIC_N,2,),IF(AND(H501="UREA",OR(I501="TN",I501="TDN",I501="TNO2-3",I501="NO2-3")),VLOOKUP(E501,QCUREA_N,2,),IF(H501="PER",VLOOKUP(I501,QCPER,MATCH(E501,QCACTUAL!$J$25:$AA$25,0),),IF(H501="SPK",VLOOKUP(I501,QCSPK,3,),IF(AND(H501="ATP",OR(I501="TP",I501="TDP")),VLOOKUP(E501,QCATP_P,2,),""))))))))</f>
        <v/>
      </c>
      <c r="W501" s="31" t="str">
        <f t="shared" si="51"/>
        <v>TRUE</v>
      </c>
      <c r="X501" s="31" t="str">
        <f t="shared" si="52"/>
        <v/>
      </c>
      <c r="Y501" s="10" t="s">
        <v>992</v>
      </c>
      <c r="Z501" s="10" t="s">
        <v>910</v>
      </c>
      <c r="AL501" s="10" t="str">
        <f t="shared" si="54"/>
        <v>FALSE</v>
      </c>
      <c r="AM501" s="10" t="str">
        <f t="shared" si="54"/>
        <v>FALSE</v>
      </c>
      <c r="AN501" s="10" t="str">
        <f t="shared" si="54"/>
        <v>FALSE</v>
      </c>
      <c r="AO501" s="10" t="str">
        <f t="shared" si="55"/>
        <v>FALSE</v>
      </c>
      <c r="AP501" s="10" t="str">
        <f t="shared" si="55"/>
        <v>FALSE</v>
      </c>
      <c r="AQ501" s="10" t="b">
        <f>IF(AND(I501="TP",S501&lt;=150),VLOOKUP(AF501,TPCalibEq150!$AZ$2:$BB$55,3,),IF(AND(I501="TDP",S501&lt;=150),VLOOKUP(AF501,TPCalibEq150!$AZ$2:$BB$55,3,)))</f>
        <v>0</v>
      </c>
      <c r="AR501" s="10" t="b">
        <f>IF(AND(I501="TP",S501&lt;=300),VLOOKUP(AF501,TPCalibEq300!$AZ$2:$BB$55,3,),IF(AND(I501="TDP",S501&lt;=300),VLOOKUP(AF501,TPCalibEq300!$AZ$2:$BB$55,3,)))</f>
        <v>0</v>
      </c>
      <c r="AS501" s="10" t="b">
        <f>IF(AND(I501="TP",S501&lt;=500),VLOOKUP(AF501,TPCalibEq500!$AZ$2:$BB$56,3,),IF(AND(I501="TDP",S501&lt;=500),VLOOKUP(AF501,TPCalibEq500!$AZ$2:$BB$56,3,)))</f>
        <v>0</v>
      </c>
      <c r="AT501" s="10" t="b">
        <f>IF(AND(I501="TN",S501&lt;=2800),VLOOKUP(AF501,TNCalibEq2500!$AZ$2:$BB$56,3,),IF(AND(I501="TDN",S501&lt;=2800),VLOOKUP(AF501,TNCalibEq2500!$AZ$2:$BB$56,3,)))</f>
        <v>0</v>
      </c>
      <c r="AU501" s="10" t="b">
        <f>IF(I501="TP",VLOOKUP(AF501,TPCalibEqFull!$AZ$2:$BB$56,3),IF(I501="TDP",VLOOKUP(AF501,TPCalibEqFull!$AZ$2:$BB$56,3),IF(I501="TDN",VLOOKUP(AF501,TNCalibEqFull!$AZ$1:$BB$56,3),IF(I501="TN",VLOOKUP(AF501,TNCalibEqFull!$AZ$1:$BB$56,3),FALSE))))</f>
        <v>0</v>
      </c>
      <c r="AV501" s="10" t="str">
        <f t="shared" si="53"/>
        <v>0104 05:30:00-HST-0-C-1-SW-UKN</v>
      </c>
    </row>
    <row r="502" spans="1:48" s="10" customFormat="1" x14ac:dyDescent="0.55000000000000004">
      <c r="A502" s="32">
        <v>44931</v>
      </c>
      <c r="B502" s="33">
        <v>0.44513888888888892</v>
      </c>
      <c r="C502" s="10" t="s">
        <v>279</v>
      </c>
      <c r="D502" s="10">
        <v>0</v>
      </c>
      <c r="E502" s="10" t="s">
        <v>160</v>
      </c>
      <c r="F502" s="10">
        <v>1</v>
      </c>
      <c r="G502" s="10" t="s">
        <v>231</v>
      </c>
      <c r="H502" s="10" t="s">
        <v>322</v>
      </c>
      <c r="I502" s="10" t="s">
        <v>285</v>
      </c>
      <c r="J502" s="10">
        <v>3</v>
      </c>
      <c r="K502" s="12">
        <v>44937</v>
      </c>
      <c r="L502" s="33">
        <v>0.49210648148148151</v>
      </c>
      <c r="M502" s="10">
        <v>1</v>
      </c>
      <c r="N502" s="10" t="s">
        <v>211</v>
      </c>
      <c r="O502" s="10">
        <v>0.38700000000000001</v>
      </c>
      <c r="P502" s="10">
        <v>3.8600000000000002E-2</v>
      </c>
      <c r="Q502" s="10">
        <v>67.400000000000006</v>
      </c>
      <c r="R502" s="10" t="s">
        <v>913</v>
      </c>
      <c r="S502" s="34">
        <f t="shared" si="49"/>
        <v>67.400000000000006</v>
      </c>
      <c r="T502" s="10" t="s">
        <v>1000</v>
      </c>
      <c r="U502" s="34" t="str">
        <f t="shared" si="50"/>
        <v/>
      </c>
      <c r="V502" s="31" t="str">
        <f>IF(H502="CHK",VLOOKUP(I502,QCCHK,3,),IF(H502="GUP",VLOOKUP(E502,QCGUP,2,),IF(AND(H502="ATP",OR(I502="TN",I502="TDN",I502="TNO2-3",I502="NO2-3")),VLOOKUP(E502,QCREC_N,2,),IF(AND(H502="NIC",OR(I502="TN",I502="TDN",I502="TNO2-3",I502="NO2-3")),VLOOKUP(E502,QCNIC_N,2,),IF(AND(H502="UREA",OR(I502="TN",I502="TDN",I502="TNO2-3",I502="NO2-3")),VLOOKUP(E502,QCUREA_N,2,),IF(H502="PER",VLOOKUP(I502,QCPER,MATCH(E502,QCACTUAL!$J$25:$AA$25,0),),IF(H502="SPK",VLOOKUP(I502,QCSPK,3,),IF(AND(H502="ATP",OR(I502="TP",I502="TDP")),VLOOKUP(E502,QCATP_P,2,),""))))))))</f>
        <v/>
      </c>
      <c r="W502" s="31" t="str">
        <f t="shared" si="51"/>
        <v>TRUE</v>
      </c>
      <c r="X502" s="31" t="str">
        <f t="shared" si="52"/>
        <v/>
      </c>
      <c r="Y502" s="10" t="s">
        <v>992</v>
      </c>
      <c r="Z502" s="10" t="s">
        <v>910</v>
      </c>
      <c r="AL502" s="10" t="str">
        <f t="shared" si="54"/>
        <v>FALSE</v>
      </c>
      <c r="AM502" s="10" t="str">
        <f t="shared" si="54"/>
        <v>FALSE</v>
      </c>
      <c r="AN502" s="10" t="str">
        <f t="shared" si="54"/>
        <v>FALSE</v>
      </c>
      <c r="AO502" s="10" t="str">
        <f t="shared" si="55"/>
        <v>FALSE</v>
      </c>
      <c r="AP502" s="10" t="str">
        <f t="shared" si="55"/>
        <v>FALSE</v>
      </c>
      <c r="AQ502" s="10" t="b">
        <f>IF(AND(I502="TP",S502&lt;=150),VLOOKUP(AF502,TPCalibEq150!$AZ$2:$BB$55,3,),IF(AND(I502="TDP",S502&lt;=150),VLOOKUP(AF502,TPCalibEq150!$AZ$2:$BB$55,3,)))</f>
        <v>0</v>
      </c>
      <c r="AR502" s="10" t="b">
        <f>IF(AND(I502="TP",S502&lt;=300),VLOOKUP(AF502,TPCalibEq300!$AZ$2:$BB$55,3,),IF(AND(I502="TDP",S502&lt;=300),VLOOKUP(AF502,TPCalibEq300!$AZ$2:$BB$55,3,)))</f>
        <v>0</v>
      </c>
      <c r="AS502" s="10" t="b">
        <f>IF(AND(I502="TP",S502&lt;=500),VLOOKUP(AF502,TPCalibEq500!$AZ$2:$BB$56,3,),IF(AND(I502="TDP",S502&lt;=500),VLOOKUP(AF502,TPCalibEq500!$AZ$2:$BB$56,3,)))</f>
        <v>0</v>
      </c>
      <c r="AT502" s="10" t="b">
        <f>IF(AND(I502="TN",S502&lt;=2800),VLOOKUP(AF502,TNCalibEq2500!$AZ$2:$BB$56,3,),IF(AND(I502="TDN",S502&lt;=2800),VLOOKUP(AF502,TNCalibEq2500!$AZ$2:$BB$56,3,)))</f>
        <v>0</v>
      </c>
      <c r="AU502" s="10" t="b">
        <f>IF(I502="TP",VLOOKUP(AF502,TPCalibEqFull!$AZ$2:$BB$56,3),IF(I502="TDP",VLOOKUP(AF502,TPCalibEqFull!$AZ$2:$BB$56,3),IF(I502="TDN",VLOOKUP(AF502,TNCalibEqFull!$AZ$1:$BB$56,3),IF(I502="TN",VLOOKUP(AF502,TNCalibEqFull!$AZ$1:$BB$56,3),FALSE))))</f>
        <v>0</v>
      </c>
      <c r="AV502" s="10" t="str">
        <f t="shared" si="53"/>
        <v>0105 10:41:00-EFK-0-L-1-SW-UKN</v>
      </c>
    </row>
    <row r="503" spans="1:48" s="10" customFormat="1" x14ac:dyDescent="0.55000000000000004">
      <c r="A503" s="32">
        <v>44931</v>
      </c>
      <c r="B503" s="33">
        <v>0.45069444444444445</v>
      </c>
      <c r="C503" s="10" t="s">
        <v>333</v>
      </c>
      <c r="D503" s="10">
        <v>0</v>
      </c>
      <c r="E503" s="10" t="s">
        <v>190</v>
      </c>
      <c r="F503" s="10">
        <v>1</v>
      </c>
      <c r="G503" s="10" t="s">
        <v>231</v>
      </c>
      <c r="H503" s="10" t="s">
        <v>322</v>
      </c>
      <c r="I503" s="10" t="s">
        <v>285</v>
      </c>
      <c r="J503" s="10">
        <v>4</v>
      </c>
      <c r="K503" s="12">
        <v>44937</v>
      </c>
      <c r="L503" s="33">
        <v>0.49291666666666667</v>
      </c>
      <c r="M503" s="10">
        <v>1</v>
      </c>
      <c r="N503" s="10" t="s">
        <v>211</v>
      </c>
      <c r="O503" s="10">
        <v>0.33400000000000002</v>
      </c>
      <c r="P503" s="10">
        <v>3.2000000000000001E-2</v>
      </c>
      <c r="Q503" s="10">
        <v>58.2</v>
      </c>
      <c r="R503" s="10" t="s">
        <v>913</v>
      </c>
      <c r="S503" s="34">
        <f t="shared" si="49"/>
        <v>58.2</v>
      </c>
      <c r="T503" s="10" t="s">
        <v>1000</v>
      </c>
      <c r="U503" s="34" t="str">
        <f t="shared" si="50"/>
        <v/>
      </c>
      <c r="V503" s="31" t="str">
        <f>IF(H503="CHK",VLOOKUP(I503,QCCHK,3,),IF(H503="GUP",VLOOKUP(E503,QCGUP,2,),IF(AND(H503="ATP",OR(I503="TN",I503="TDN",I503="TNO2-3",I503="NO2-3")),VLOOKUP(E503,QCREC_N,2,),IF(AND(H503="NIC",OR(I503="TN",I503="TDN",I503="TNO2-3",I503="NO2-3")),VLOOKUP(E503,QCNIC_N,2,),IF(AND(H503="UREA",OR(I503="TN",I503="TDN",I503="TNO2-3",I503="NO2-3")),VLOOKUP(E503,QCUREA_N,2,),IF(H503="PER",VLOOKUP(I503,QCPER,MATCH(E503,QCACTUAL!$J$25:$AA$25,0),),IF(H503="SPK",VLOOKUP(I503,QCSPK,3,),IF(AND(H503="ATP",OR(I503="TP",I503="TDP")),VLOOKUP(E503,QCATP_P,2,),""))))))))</f>
        <v/>
      </c>
      <c r="W503" s="31" t="str">
        <f t="shared" si="51"/>
        <v>TRUE</v>
      </c>
      <c r="X503" s="31" t="str">
        <f t="shared" si="52"/>
        <v/>
      </c>
      <c r="Y503" s="10" t="s">
        <v>992</v>
      </c>
      <c r="Z503" s="10" t="s">
        <v>910</v>
      </c>
      <c r="AL503" s="10" t="str">
        <f t="shared" si="54"/>
        <v>FALSE</v>
      </c>
      <c r="AM503" s="10" t="str">
        <f t="shared" si="54"/>
        <v>FALSE</v>
      </c>
      <c r="AN503" s="10" t="str">
        <f t="shared" si="54"/>
        <v>FALSE</v>
      </c>
      <c r="AO503" s="10" t="str">
        <f t="shared" si="55"/>
        <v>FALSE</v>
      </c>
      <c r="AP503" s="10" t="str">
        <f t="shared" si="55"/>
        <v>FALSE</v>
      </c>
      <c r="AQ503" s="10" t="b">
        <f>IF(AND(I503="TP",S503&lt;=150),VLOOKUP(AF503,TPCalibEq150!$AZ$2:$BB$55,3,),IF(AND(I503="TDP",S503&lt;=150),VLOOKUP(AF503,TPCalibEq150!$AZ$2:$BB$55,3,)))</f>
        <v>0</v>
      </c>
      <c r="AR503" s="10" t="b">
        <f>IF(AND(I503="TP",S503&lt;=300),VLOOKUP(AF503,TPCalibEq300!$AZ$2:$BB$55,3,),IF(AND(I503="TDP",S503&lt;=300),VLOOKUP(AF503,TPCalibEq300!$AZ$2:$BB$55,3,)))</f>
        <v>0</v>
      </c>
      <c r="AS503" s="10" t="b">
        <f>IF(AND(I503="TP",S503&lt;=500),VLOOKUP(AF503,TPCalibEq500!$AZ$2:$BB$56,3,),IF(AND(I503="TDP",S503&lt;=500),VLOOKUP(AF503,TPCalibEq500!$AZ$2:$BB$56,3,)))</f>
        <v>0</v>
      </c>
      <c r="AT503" s="10" t="b">
        <f>IF(AND(I503="TN",S503&lt;=2800),VLOOKUP(AF503,TNCalibEq2500!$AZ$2:$BB$56,3,),IF(AND(I503="TDN",S503&lt;=2800),VLOOKUP(AF503,TNCalibEq2500!$AZ$2:$BB$56,3,)))</f>
        <v>0</v>
      </c>
      <c r="AU503" s="10" t="b">
        <f>IF(I503="TP",VLOOKUP(AF503,TPCalibEqFull!$AZ$2:$BB$56,3),IF(I503="TDP",VLOOKUP(AF503,TPCalibEqFull!$AZ$2:$BB$56,3),IF(I503="TDN",VLOOKUP(AF503,TNCalibEqFull!$AZ$1:$BB$56,3),IF(I503="TN",VLOOKUP(AF503,TNCalibEqFull!$AZ$1:$BB$56,3),FALSE))))</f>
        <v>0</v>
      </c>
      <c r="AV503" s="10" t="str">
        <f t="shared" si="53"/>
        <v>0105 10:49:00-HST-0-C-1-SW-UKN</v>
      </c>
    </row>
    <row r="504" spans="1:48" s="10" customFormat="1" x14ac:dyDescent="0.55000000000000004">
      <c r="A504" s="32">
        <v>44932</v>
      </c>
      <c r="B504" s="33">
        <v>0.53333333333333333</v>
      </c>
      <c r="C504" s="10" t="s">
        <v>279</v>
      </c>
      <c r="D504" s="10">
        <v>0</v>
      </c>
      <c r="E504" s="10" t="s">
        <v>160</v>
      </c>
      <c r="F504" s="10">
        <v>1</v>
      </c>
      <c r="G504" s="10" t="s">
        <v>231</v>
      </c>
      <c r="H504" s="10" t="s">
        <v>322</v>
      </c>
      <c r="I504" s="10" t="s">
        <v>285</v>
      </c>
      <c r="J504" s="10">
        <v>5</v>
      </c>
      <c r="K504" s="12">
        <v>44937</v>
      </c>
      <c r="L504" s="33">
        <v>0.49373842592592593</v>
      </c>
      <c r="M504" s="10">
        <v>1</v>
      </c>
      <c r="N504" s="10" t="s">
        <v>211</v>
      </c>
      <c r="O504" s="10">
        <v>0.38500000000000001</v>
      </c>
      <c r="P504" s="10">
        <v>3.8199999999999998E-2</v>
      </c>
      <c r="Q504" s="10">
        <v>67.099999999999994</v>
      </c>
      <c r="R504" s="10" t="s">
        <v>913</v>
      </c>
      <c r="S504" s="34">
        <f t="shared" si="49"/>
        <v>67.099999999999994</v>
      </c>
      <c r="T504" s="10" t="s">
        <v>1000</v>
      </c>
      <c r="U504" s="34" t="str">
        <f t="shared" si="50"/>
        <v/>
      </c>
      <c r="V504" s="31" t="str">
        <f>IF(H504="CHK",VLOOKUP(I504,QCCHK,3,),IF(H504="GUP",VLOOKUP(E504,QCGUP,2,),IF(AND(H504="ATP",OR(I504="TN",I504="TDN",I504="TNO2-3",I504="NO2-3")),VLOOKUP(E504,QCREC_N,2,),IF(AND(H504="NIC",OR(I504="TN",I504="TDN",I504="TNO2-3",I504="NO2-3")),VLOOKUP(E504,QCNIC_N,2,),IF(AND(H504="UREA",OR(I504="TN",I504="TDN",I504="TNO2-3",I504="NO2-3")),VLOOKUP(E504,QCUREA_N,2,),IF(H504="PER",VLOOKUP(I504,QCPER,MATCH(E504,QCACTUAL!$J$25:$AA$25,0),),IF(H504="SPK",VLOOKUP(I504,QCSPK,3,),IF(AND(H504="ATP",OR(I504="TP",I504="TDP")),VLOOKUP(E504,QCATP_P,2,),""))))))))</f>
        <v/>
      </c>
      <c r="W504" s="31" t="str">
        <f t="shared" si="51"/>
        <v>TRUE</v>
      </c>
      <c r="X504" s="31" t="str">
        <f t="shared" si="52"/>
        <v/>
      </c>
      <c r="Y504" s="10" t="s">
        <v>992</v>
      </c>
      <c r="Z504" s="10" t="s">
        <v>910</v>
      </c>
      <c r="AL504" s="10" t="str">
        <f t="shared" si="54"/>
        <v>FALSE</v>
      </c>
      <c r="AM504" s="10" t="str">
        <f t="shared" si="54"/>
        <v>FALSE</v>
      </c>
      <c r="AN504" s="10" t="str">
        <f t="shared" si="54"/>
        <v>FALSE</v>
      </c>
      <c r="AO504" s="10" t="str">
        <f t="shared" si="55"/>
        <v>FALSE</v>
      </c>
      <c r="AP504" s="10" t="str">
        <f t="shared" si="55"/>
        <v>FALSE</v>
      </c>
      <c r="AQ504" s="10" t="b">
        <f>IF(AND(I504="TP",S504&lt;=150),VLOOKUP(AF504,TPCalibEq150!$AZ$2:$BB$55,3,),IF(AND(I504="TDP",S504&lt;=150),VLOOKUP(AF504,TPCalibEq150!$AZ$2:$BB$55,3,)))</f>
        <v>0</v>
      </c>
      <c r="AR504" s="10" t="b">
        <f>IF(AND(I504="TP",S504&lt;=300),VLOOKUP(AF504,TPCalibEq300!$AZ$2:$BB$55,3,),IF(AND(I504="TDP",S504&lt;=300),VLOOKUP(AF504,TPCalibEq300!$AZ$2:$BB$55,3,)))</f>
        <v>0</v>
      </c>
      <c r="AS504" s="10" t="b">
        <f>IF(AND(I504="TP",S504&lt;=500),VLOOKUP(AF504,TPCalibEq500!$AZ$2:$BB$56,3,),IF(AND(I504="TDP",S504&lt;=500),VLOOKUP(AF504,TPCalibEq500!$AZ$2:$BB$56,3,)))</f>
        <v>0</v>
      </c>
      <c r="AT504" s="10" t="b">
        <f>IF(AND(I504="TN",S504&lt;=2800),VLOOKUP(AF504,TNCalibEq2500!$AZ$2:$BB$56,3,),IF(AND(I504="TDN",S504&lt;=2800),VLOOKUP(AF504,TNCalibEq2500!$AZ$2:$BB$56,3,)))</f>
        <v>0</v>
      </c>
      <c r="AU504" s="10" t="b">
        <f>IF(I504="TP",VLOOKUP(AF504,TPCalibEqFull!$AZ$2:$BB$56,3),IF(I504="TDP",VLOOKUP(AF504,TPCalibEqFull!$AZ$2:$BB$56,3),IF(I504="TDN",VLOOKUP(AF504,TNCalibEqFull!$AZ$1:$BB$56,3),IF(I504="TN",VLOOKUP(AF504,TNCalibEqFull!$AZ$1:$BB$56,3),FALSE))))</f>
        <v>0</v>
      </c>
      <c r="AV504" s="10" t="str">
        <f t="shared" si="53"/>
        <v>0106 12:48:00-EFK-0-L-1-SW-UKN</v>
      </c>
    </row>
    <row r="505" spans="1:48" s="10" customFormat="1" x14ac:dyDescent="0.55000000000000004">
      <c r="A505" s="32">
        <v>44932</v>
      </c>
      <c r="B505" s="33">
        <v>0.52430555555555558</v>
      </c>
      <c r="C505" s="10" t="s">
        <v>333</v>
      </c>
      <c r="D505" s="10">
        <v>0</v>
      </c>
      <c r="E505" s="10" t="s">
        <v>190</v>
      </c>
      <c r="F505" s="10">
        <v>1</v>
      </c>
      <c r="G505" s="10" t="s">
        <v>231</v>
      </c>
      <c r="H505" s="10" t="s">
        <v>322</v>
      </c>
      <c r="I505" s="10" t="s">
        <v>285</v>
      </c>
      <c r="J505" s="10">
        <v>6</v>
      </c>
      <c r="K505" s="12">
        <v>44937</v>
      </c>
      <c r="L505" s="33">
        <v>0.49456018518518513</v>
      </c>
      <c r="M505" s="10">
        <v>1</v>
      </c>
      <c r="N505" s="10" t="s">
        <v>211</v>
      </c>
      <c r="O505" s="10">
        <v>0.63600000000000001</v>
      </c>
      <c r="P505" s="10">
        <v>6.2E-2</v>
      </c>
      <c r="Q505" s="10">
        <v>111</v>
      </c>
      <c r="R505" s="10" t="s">
        <v>913</v>
      </c>
      <c r="S505" s="34">
        <f t="shared" si="49"/>
        <v>111</v>
      </c>
      <c r="T505" s="10" t="s">
        <v>1000</v>
      </c>
      <c r="U505" s="34" t="str">
        <f t="shared" si="50"/>
        <v/>
      </c>
      <c r="V505" s="31" t="str">
        <f>IF(H505="CHK",VLOOKUP(I505,QCCHK,3,),IF(H505="GUP",VLOOKUP(E505,QCGUP,2,),IF(AND(H505="ATP",OR(I505="TN",I505="TDN",I505="TNO2-3",I505="NO2-3")),VLOOKUP(E505,QCREC_N,2,),IF(AND(H505="NIC",OR(I505="TN",I505="TDN",I505="TNO2-3",I505="NO2-3")),VLOOKUP(E505,QCNIC_N,2,),IF(AND(H505="UREA",OR(I505="TN",I505="TDN",I505="TNO2-3",I505="NO2-3")),VLOOKUP(E505,QCUREA_N,2,),IF(H505="PER",VLOOKUP(I505,QCPER,MATCH(E505,QCACTUAL!$J$25:$AA$25,0),),IF(H505="SPK",VLOOKUP(I505,QCSPK,3,),IF(AND(H505="ATP",OR(I505="TP",I505="TDP")),VLOOKUP(E505,QCATP_P,2,),""))))))))</f>
        <v/>
      </c>
      <c r="W505" s="31" t="str">
        <f t="shared" si="51"/>
        <v>TRUE</v>
      </c>
      <c r="X505" s="31" t="str">
        <f t="shared" si="52"/>
        <v/>
      </c>
      <c r="Y505" s="10" t="s">
        <v>992</v>
      </c>
      <c r="Z505" s="10" t="s">
        <v>910</v>
      </c>
      <c r="AL505" s="10" t="str">
        <f t="shared" si="54"/>
        <v>FALSE</v>
      </c>
      <c r="AM505" s="10" t="str">
        <f t="shared" si="54"/>
        <v>FALSE</v>
      </c>
      <c r="AN505" s="10" t="str">
        <f t="shared" si="54"/>
        <v>FALSE</v>
      </c>
      <c r="AO505" s="10" t="str">
        <f t="shared" si="55"/>
        <v>FALSE</v>
      </c>
      <c r="AP505" s="10" t="str">
        <f t="shared" si="55"/>
        <v>FALSE</v>
      </c>
      <c r="AQ505" s="10" t="b">
        <f>IF(AND(I505="TP",S505&lt;=150),VLOOKUP(AF505,TPCalibEq150!$AZ$2:$BB$55,3,),IF(AND(I505="TDP",S505&lt;=150),VLOOKUP(AF505,TPCalibEq150!$AZ$2:$BB$55,3,)))</f>
        <v>0</v>
      </c>
      <c r="AR505" s="10" t="b">
        <f>IF(AND(I505="TP",S505&lt;=300),VLOOKUP(AF505,TPCalibEq300!$AZ$2:$BB$55,3,),IF(AND(I505="TDP",S505&lt;=300),VLOOKUP(AF505,TPCalibEq300!$AZ$2:$BB$55,3,)))</f>
        <v>0</v>
      </c>
      <c r="AS505" s="10" t="b">
        <f>IF(AND(I505="TP",S505&lt;=500),VLOOKUP(AF505,TPCalibEq500!$AZ$2:$BB$56,3,),IF(AND(I505="TDP",S505&lt;=500),VLOOKUP(AF505,TPCalibEq500!$AZ$2:$BB$56,3,)))</f>
        <v>0</v>
      </c>
      <c r="AT505" s="10" t="b">
        <f>IF(AND(I505="TN",S505&lt;=2800),VLOOKUP(AF505,TNCalibEq2500!$AZ$2:$BB$56,3,),IF(AND(I505="TDN",S505&lt;=2800),VLOOKUP(AF505,TNCalibEq2500!$AZ$2:$BB$56,3,)))</f>
        <v>0</v>
      </c>
      <c r="AU505" s="10" t="b">
        <f>IF(I505="TP",VLOOKUP(AF505,TPCalibEqFull!$AZ$2:$BB$56,3),IF(I505="TDP",VLOOKUP(AF505,TPCalibEqFull!$AZ$2:$BB$56,3),IF(I505="TDN",VLOOKUP(AF505,TNCalibEqFull!$AZ$1:$BB$56,3),IF(I505="TN",VLOOKUP(AF505,TNCalibEqFull!$AZ$1:$BB$56,3),FALSE))))</f>
        <v>0</v>
      </c>
      <c r="AV505" s="10" t="str">
        <f t="shared" si="53"/>
        <v>0106 12:35:00-HST-0-C-1-SW-UKN</v>
      </c>
    </row>
    <row r="506" spans="1:48" s="10" customFormat="1" x14ac:dyDescent="0.55000000000000004">
      <c r="A506" s="32">
        <v>44935</v>
      </c>
      <c r="B506" s="33">
        <v>0.39166666666666666</v>
      </c>
      <c r="C506" s="10" t="s">
        <v>279</v>
      </c>
      <c r="D506" s="10">
        <v>0</v>
      </c>
      <c r="E506" s="10" t="s">
        <v>160</v>
      </c>
      <c r="F506" s="10">
        <v>1</v>
      </c>
      <c r="G506" s="10" t="s">
        <v>231</v>
      </c>
      <c r="H506" s="10" t="s">
        <v>322</v>
      </c>
      <c r="I506" s="10" t="s">
        <v>285</v>
      </c>
      <c r="J506" s="10">
        <v>7</v>
      </c>
      <c r="K506" s="12">
        <v>44937</v>
      </c>
      <c r="L506" s="33">
        <v>0.49537037037037041</v>
      </c>
      <c r="M506" s="10">
        <v>1</v>
      </c>
      <c r="N506" s="10" t="s">
        <v>211</v>
      </c>
      <c r="O506" s="10">
        <v>0.42499999999999999</v>
      </c>
      <c r="P506" s="10">
        <v>4.1799999999999997E-2</v>
      </c>
      <c r="Q506" s="10">
        <v>74.099999999999994</v>
      </c>
      <c r="R506" s="10" t="s">
        <v>913</v>
      </c>
      <c r="S506" s="34">
        <f t="shared" si="49"/>
        <v>74.099999999999994</v>
      </c>
      <c r="T506" s="10" t="s">
        <v>1000</v>
      </c>
      <c r="U506" s="34" t="str">
        <f t="shared" si="50"/>
        <v/>
      </c>
      <c r="V506" s="31" t="str">
        <f>IF(H506="CHK",VLOOKUP(I506,QCCHK,3,),IF(H506="GUP",VLOOKUP(E506,QCGUP,2,),IF(AND(H506="ATP",OR(I506="TN",I506="TDN",I506="TNO2-3",I506="NO2-3")),VLOOKUP(E506,QCREC_N,2,),IF(AND(H506="NIC",OR(I506="TN",I506="TDN",I506="TNO2-3",I506="NO2-3")),VLOOKUP(E506,QCNIC_N,2,),IF(AND(H506="UREA",OR(I506="TN",I506="TDN",I506="TNO2-3",I506="NO2-3")),VLOOKUP(E506,QCUREA_N,2,),IF(H506="PER",VLOOKUP(I506,QCPER,MATCH(E506,QCACTUAL!$J$25:$AA$25,0),),IF(H506="SPK",VLOOKUP(I506,QCSPK,3,),IF(AND(H506="ATP",OR(I506="TP",I506="TDP")),VLOOKUP(E506,QCATP_P,2,),""))))))))</f>
        <v/>
      </c>
      <c r="W506" s="31" t="str">
        <f t="shared" si="51"/>
        <v>TRUE</v>
      </c>
      <c r="X506" s="31" t="str">
        <f t="shared" si="52"/>
        <v/>
      </c>
      <c r="Y506" s="10" t="s">
        <v>992</v>
      </c>
      <c r="Z506" s="10" t="s">
        <v>910</v>
      </c>
      <c r="AL506" s="10" t="str">
        <f t="shared" si="54"/>
        <v>FALSE</v>
      </c>
      <c r="AM506" s="10" t="str">
        <f t="shared" si="54"/>
        <v>FALSE</v>
      </c>
      <c r="AN506" s="10" t="str">
        <f t="shared" si="54"/>
        <v>FALSE</v>
      </c>
      <c r="AO506" s="10" t="str">
        <f t="shared" si="55"/>
        <v>FALSE</v>
      </c>
      <c r="AP506" s="10" t="str">
        <f t="shared" si="55"/>
        <v>FALSE</v>
      </c>
      <c r="AQ506" s="10" t="b">
        <f>IF(AND(I506="TP",S506&lt;=150),VLOOKUP(AF506,TPCalibEq150!$AZ$2:$BB$55,3,),IF(AND(I506="TDP",S506&lt;=150),VLOOKUP(AF506,TPCalibEq150!$AZ$2:$BB$55,3,)))</f>
        <v>0</v>
      </c>
      <c r="AR506" s="10" t="b">
        <f>IF(AND(I506="TP",S506&lt;=300),VLOOKUP(AF506,TPCalibEq300!$AZ$2:$BB$55,3,),IF(AND(I506="TDP",S506&lt;=300),VLOOKUP(AF506,TPCalibEq300!$AZ$2:$BB$55,3,)))</f>
        <v>0</v>
      </c>
      <c r="AS506" s="10" t="b">
        <f>IF(AND(I506="TP",S506&lt;=500),VLOOKUP(AF506,TPCalibEq500!$AZ$2:$BB$56,3,),IF(AND(I506="TDP",S506&lt;=500),VLOOKUP(AF506,TPCalibEq500!$AZ$2:$BB$56,3,)))</f>
        <v>0</v>
      </c>
      <c r="AT506" s="10" t="b">
        <f>IF(AND(I506="TN",S506&lt;=2800),VLOOKUP(AF506,TNCalibEq2500!$AZ$2:$BB$56,3,),IF(AND(I506="TDN",S506&lt;=2800),VLOOKUP(AF506,TNCalibEq2500!$AZ$2:$BB$56,3,)))</f>
        <v>0</v>
      </c>
      <c r="AU506" s="10" t="b">
        <f>IF(I506="TP",VLOOKUP(AF506,TPCalibEqFull!$AZ$2:$BB$56,3),IF(I506="TDP",VLOOKUP(AF506,TPCalibEqFull!$AZ$2:$BB$56,3),IF(I506="TDN",VLOOKUP(AF506,TNCalibEqFull!$AZ$1:$BB$56,3),IF(I506="TN",VLOOKUP(AF506,TNCalibEqFull!$AZ$1:$BB$56,3),FALSE))))</f>
        <v>0</v>
      </c>
      <c r="AV506" s="10" t="str">
        <f t="shared" si="53"/>
        <v>0109 09:24:00-EFK-0-L-1-SW-UKN</v>
      </c>
    </row>
    <row r="507" spans="1:48" s="10" customFormat="1" x14ac:dyDescent="0.55000000000000004">
      <c r="A507" s="32">
        <v>44935</v>
      </c>
      <c r="B507" s="33">
        <v>0.30208333333333331</v>
      </c>
      <c r="C507" s="10" t="s">
        <v>333</v>
      </c>
      <c r="D507" s="10">
        <v>0</v>
      </c>
      <c r="E507" s="10" t="s">
        <v>190</v>
      </c>
      <c r="F507" s="10">
        <v>1</v>
      </c>
      <c r="G507" s="10" t="s">
        <v>231</v>
      </c>
      <c r="H507" s="10" t="s">
        <v>322</v>
      </c>
      <c r="I507" s="10" t="s">
        <v>285</v>
      </c>
      <c r="J507" s="10">
        <v>8</v>
      </c>
      <c r="K507" s="12">
        <v>44937</v>
      </c>
      <c r="L507" s="33">
        <v>0.49619212962962966</v>
      </c>
      <c r="M507" s="10">
        <v>1</v>
      </c>
      <c r="N507" s="10" t="s">
        <v>211</v>
      </c>
      <c r="O507" s="10">
        <v>0.28999999999999998</v>
      </c>
      <c r="P507" s="10">
        <v>2.81E-2</v>
      </c>
      <c r="Q507" s="10">
        <v>50.6</v>
      </c>
      <c r="R507" s="10" t="s">
        <v>913</v>
      </c>
      <c r="S507" s="34">
        <f t="shared" si="49"/>
        <v>50.6</v>
      </c>
      <c r="T507" s="10" t="s">
        <v>1000</v>
      </c>
      <c r="U507" s="34" t="str">
        <f t="shared" si="50"/>
        <v/>
      </c>
      <c r="V507" s="31" t="str">
        <f>IF(H507="CHK",VLOOKUP(I507,QCCHK,3,),IF(H507="GUP",VLOOKUP(E507,QCGUP,2,),IF(AND(H507="ATP",OR(I507="TN",I507="TDN",I507="TNO2-3",I507="NO2-3")),VLOOKUP(E507,QCREC_N,2,),IF(AND(H507="NIC",OR(I507="TN",I507="TDN",I507="TNO2-3",I507="NO2-3")),VLOOKUP(E507,QCNIC_N,2,),IF(AND(H507="UREA",OR(I507="TN",I507="TDN",I507="TNO2-3",I507="NO2-3")),VLOOKUP(E507,QCUREA_N,2,),IF(H507="PER",VLOOKUP(I507,QCPER,MATCH(E507,QCACTUAL!$J$25:$AA$25,0),),IF(H507="SPK",VLOOKUP(I507,QCSPK,3,),IF(AND(H507="ATP",OR(I507="TP",I507="TDP")),VLOOKUP(E507,QCATP_P,2,),""))))))))</f>
        <v/>
      </c>
      <c r="W507" s="31" t="str">
        <f t="shared" si="51"/>
        <v>TRUE</v>
      </c>
      <c r="X507" s="31" t="str">
        <f t="shared" si="52"/>
        <v/>
      </c>
      <c r="Y507" s="10" t="s">
        <v>992</v>
      </c>
      <c r="Z507" s="10" t="s">
        <v>910</v>
      </c>
      <c r="AL507" s="10" t="str">
        <f t="shared" si="54"/>
        <v>FALSE</v>
      </c>
      <c r="AM507" s="10" t="str">
        <f t="shared" si="54"/>
        <v>FALSE</v>
      </c>
      <c r="AN507" s="10" t="str">
        <f t="shared" si="54"/>
        <v>FALSE</v>
      </c>
      <c r="AO507" s="10" t="str">
        <f t="shared" si="55"/>
        <v>FALSE</v>
      </c>
      <c r="AP507" s="10" t="str">
        <f t="shared" si="55"/>
        <v>FALSE</v>
      </c>
      <c r="AQ507" s="10" t="b">
        <f>IF(AND(I507="TP",S507&lt;=150),VLOOKUP(AF507,TPCalibEq150!$AZ$2:$BB$55,3,),IF(AND(I507="TDP",S507&lt;=150),VLOOKUP(AF507,TPCalibEq150!$AZ$2:$BB$55,3,)))</f>
        <v>0</v>
      </c>
      <c r="AR507" s="10" t="b">
        <f>IF(AND(I507="TP",S507&lt;=300),VLOOKUP(AF507,TPCalibEq300!$AZ$2:$BB$55,3,),IF(AND(I507="TDP",S507&lt;=300),VLOOKUP(AF507,TPCalibEq300!$AZ$2:$BB$55,3,)))</f>
        <v>0</v>
      </c>
      <c r="AS507" s="10" t="b">
        <f>IF(AND(I507="TP",S507&lt;=500),VLOOKUP(AF507,TPCalibEq500!$AZ$2:$BB$56,3,),IF(AND(I507="TDP",S507&lt;=500),VLOOKUP(AF507,TPCalibEq500!$AZ$2:$BB$56,3,)))</f>
        <v>0</v>
      </c>
      <c r="AT507" s="10" t="b">
        <f>IF(AND(I507="TN",S507&lt;=2800),VLOOKUP(AF507,TNCalibEq2500!$AZ$2:$BB$56,3,),IF(AND(I507="TDN",S507&lt;=2800),VLOOKUP(AF507,TNCalibEq2500!$AZ$2:$BB$56,3,)))</f>
        <v>0</v>
      </c>
      <c r="AU507" s="10" t="b">
        <f>IF(I507="TP",VLOOKUP(AF507,TPCalibEqFull!$AZ$2:$BB$56,3),IF(I507="TDP",VLOOKUP(AF507,TPCalibEqFull!$AZ$2:$BB$56,3),IF(I507="TDN",VLOOKUP(AF507,TNCalibEqFull!$AZ$1:$BB$56,3),IF(I507="TN",VLOOKUP(AF507,TNCalibEqFull!$AZ$1:$BB$56,3),FALSE))))</f>
        <v>0</v>
      </c>
      <c r="AV507" s="10" t="str">
        <f t="shared" si="53"/>
        <v>0109 07:15:00-HST-0-C-1-SW-UKN</v>
      </c>
    </row>
    <row r="508" spans="1:48" s="10" customFormat="1" x14ac:dyDescent="0.55000000000000004">
      <c r="A508" s="32">
        <v>44936</v>
      </c>
      <c r="B508" s="33">
        <v>0.39166666666666666</v>
      </c>
      <c r="C508" s="10" t="s">
        <v>279</v>
      </c>
      <c r="D508" s="10">
        <v>0</v>
      </c>
      <c r="E508" s="10" t="s">
        <v>160</v>
      </c>
      <c r="F508" s="10">
        <v>1</v>
      </c>
      <c r="G508" s="10" t="s">
        <v>231</v>
      </c>
      <c r="H508" s="10" t="s">
        <v>322</v>
      </c>
      <c r="I508" s="10" t="s">
        <v>285</v>
      </c>
      <c r="J508" s="10">
        <v>9</v>
      </c>
      <c r="K508" s="12">
        <v>44937</v>
      </c>
      <c r="L508" s="33">
        <v>0.49700231481481483</v>
      </c>
      <c r="M508" s="10">
        <v>1</v>
      </c>
      <c r="N508" s="10" t="s">
        <v>211</v>
      </c>
      <c r="O508" s="10">
        <v>0.50900000000000001</v>
      </c>
      <c r="P508" s="10">
        <v>4.9000000000000002E-2</v>
      </c>
      <c r="Q508" s="10">
        <v>88.8</v>
      </c>
      <c r="R508" s="10" t="s">
        <v>913</v>
      </c>
      <c r="S508" s="34">
        <f t="shared" si="49"/>
        <v>88.8</v>
      </c>
      <c r="T508" s="10" t="s">
        <v>1000</v>
      </c>
      <c r="U508" s="34" t="str">
        <f t="shared" si="50"/>
        <v/>
      </c>
      <c r="V508" s="31" t="str">
        <f>IF(H508="CHK",VLOOKUP(I508,QCCHK,3,),IF(H508="GUP",VLOOKUP(E508,QCGUP,2,),IF(AND(H508="ATP",OR(I508="TN",I508="TDN",I508="TNO2-3",I508="NO2-3")),VLOOKUP(E508,QCREC_N,2,),IF(AND(H508="NIC",OR(I508="TN",I508="TDN",I508="TNO2-3",I508="NO2-3")),VLOOKUP(E508,QCNIC_N,2,),IF(AND(H508="UREA",OR(I508="TN",I508="TDN",I508="TNO2-3",I508="NO2-3")),VLOOKUP(E508,QCUREA_N,2,),IF(H508="PER",VLOOKUP(I508,QCPER,MATCH(E508,QCACTUAL!$J$25:$AA$25,0),),IF(H508="SPK",VLOOKUP(I508,QCSPK,3,),IF(AND(H508="ATP",OR(I508="TP",I508="TDP")),VLOOKUP(E508,QCATP_P,2,),""))))))))</f>
        <v/>
      </c>
      <c r="W508" s="31" t="str">
        <f t="shared" si="51"/>
        <v>TRUE</v>
      </c>
      <c r="X508" s="31" t="str">
        <f t="shared" si="52"/>
        <v/>
      </c>
      <c r="Y508" s="10" t="s">
        <v>992</v>
      </c>
      <c r="AL508" s="10" t="str">
        <f t="shared" si="54"/>
        <v>FALSE</v>
      </c>
      <c r="AM508" s="10" t="str">
        <f t="shared" si="54"/>
        <v>FALSE</v>
      </c>
      <c r="AN508" s="10" t="str">
        <f t="shared" si="54"/>
        <v>FALSE</v>
      </c>
      <c r="AO508" s="10" t="str">
        <f t="shared" si="55"/>
        <v>FALSE</v>
      </c>
      <c r="AP508" s="10" t="str">
        <f t="shared" si="55"/>
        <v>FALSE</v>
      </c>
      <c r="AQ508" s="10" t="b">
        <f>IF(AND(I508="TP",S508&lt;=150),VLOOKUP(AF508,TPCalibEq150!$AZ$2:$BB$55,3,),IF(AND(I508="TDP",S508&lt;=150),VLOOKUP(AF508,TPCalibEq150!$AZ$2:$BB$55,3,)))</f>
        <v>0</v>
      </c>
      <c r="AR508" s="10" t="b">
        <f>IF(AND(I508="TP",S508&lt;=300),VLOOKUP(AF508,TPCalibEq300!$AZ$2:$BB$55,3,),IF(AND(I508="TDP",S508&lt;=300),VLOOKUP(AF508,TPCalibEq300!$AZ$2:$BB$55,3,)))</f>
        <v>0</v>
      </c>
      <c r="AS508" s="10" t="b">
        <f>IF(AND(I508="TP",S508&lt;=500),VLOOKUP(AF508,TPCalibEq500!$AZ$2:$BB$56,3,),IF(AND(I508="TDP",S508&lt;=500),VLOOKUP(AF508,TPCalibEq500!$AZ$2:$BB$56,3,)))</f>
        <v>0</v>
      </c>
      <c r="AT508" s="10" t="b">
        <f>IF(AND(I508="TN",S508&lt;=2800),VLOOKUP(AF508,TNCalibEq2500!$AZ$2:$BB$56,3,),IF(AND(I508="TDN",S508&lt;=2800),VLOOKUP(AF508,TNCalibEq2500!$AZ$2:$BB$56,3,)))</f>
        <v>0</v>
      </c>
      <c r="AU508" s="10" t="b">
        <f>IF(I508="TP",VLOOKUP(AF508,TPCalibEqFull!$AZ$2:$BB$56,3),IF(I508="TDP",VLOOKUP(AF508,TPCalibEqFull!$AZ$2:$BB$56,3),IF(I508="TDN",VLOOKUP(AF508,TNCalibEqFull!$AZ$1:$BB$56,3),IF(I508="TN",VLOOKUP(AF508,TNCalibEqFull!$AZ$1:$BB$56,3),FALSE))))</f>
        <v>0</v>
      </c>
      <c r="AV508" s="10" t="str">
        <f t="shared" si="53"/>
        <v>0110 09:24:00-EFK-0-L-1-SW-UKN</v>
      </c>
    </row>
    <row r="509" spans="1:48" s="10" customFormat="1" x14ac:dyDescent="0.55000000000000004">
      <c r="A509" s="32">
        <v>44936</v>
      </c>
      <c r="B509" s="33">
        <v>0.39583333333333331</v>
      </c>
      <c r="C509" s="10" t="s">
        <v>333</v>
      </c>
      <c r="D509" s="10">
        <v>0</v>
      </c>
      <c r="E509" s="10" t="s">
        <v>190</v>
      </c>
      <c r="F509" s="10">
        <v>1</v>
      </c>
      <c r="G509" s="10" t="s">
        <v>231</v>
      </c>
      <c r="H509" s="10" t="s">
        <v>322</v>
      </c>
      <c r="I509" s="10" t="s">
        <v>285</v>
      </c>
      <c r="J509" s="10">
        <v>10</v>
      </c>
      <c r="K509" s="12">
        <v>44937</v>
      </c>
      <c r="L509" s="33">
        <v>0.49781249999999999</v>
      </c>
      <c r="M509" s="10">
        <v>1</v>
      </c>
      <c r="N509" s="10" t="s">
        <v>211</v>
      </c>
      <c r="O509" s="10">
        <v>0.41299999999999998</v>
      </c>
      <c r="P509" s="10">
        <v>3.9300000000000002E-2</v>
      </c>
      <c r="Q509" s="10">
        <v>71.900000000000006</v>
      </c>
      <c r="R509" s="10" t="s">
        <v>913</v>
      </c>
      <c r="S509" s="34">
        <f t="shared" si="49"/>
        <v>71.900000000000006</v>
      </c>
      <c r="T509" s="10" t="s">
        <v>1000</v>
      </c>
      <c r="U509" s="34" t="str">
        <f t="shared" si="50"/>
        <v/>
      </c>
      <c r="V509" s="31" t="str">
        <f>IF(H509="CHK",VLOOKUP(I509,QCCHK,3,),IF(H509="GUP",VLOOKUP(E509,QCGUP,2,),IF(AND(H509="ATP",OR(I509="TN",I509="TDN",I509="TNO2-3",I509="NO2-3")),VLOOKUP(E509,QCREC_N,2,),IF(AND(H509="NIC",OR(I509="TN",I509="TDN",I509="TNO2-3",I509="NO2-3")),VLOOKUP(E509,QCNIC_N,2,),IF(AND(H509="UREA",OR(I509="TN",I509="TDN",I509="TNO2-3",I509="NO2-3")),VLOOKUP(E509,QCUREA_N,2,),IF(H509="PER",VLOOKUP(I509,QCPER,MATCH(E509,QCACTUAL!$J$25:$AA$25,0),),IF(H509="SPK",VLOOKUP(I509,QCSPK,3,),IF(AND(H509="ATP",OR(I509="TP",I509="TDP")),VLOOKUP(E509,QCATP_P,2,),""))))))))</f>
        <v/>
      </c>
      <c r="W509" s="31" t="str">
        <f t="shared" si="51"/>
        <v>TRUE</v>
      </c>
      <c r="X509" s="31" t="str">
        <f t="shared" si="52"/>
        <v/>
      </c>
      <c r="Y509" s="10" t="s">
        <v>992</v>
      </c>
      <c r="AL509" s="10" t="str">
        <f t="shared" si="54"/>
        <v>FALSE</v>
      </c>
      <c r="AM509" s="10" t="str">
        <f t="shared" si="54"/>
        <v>FALSE</v>
      </c>
      <c r="AN509" s="10" t="str">
        <f t="shared" si="54"/>
        <v>FALSE</v>
      </c>
      <c r="AO509" s="10" t="str">
        <f t="shared" si="55"/>
        <v>FALSE</v>
      </c>
      <c r="AP509" s="10" t="str">
        <f t="shared" si="55"/>
        <v>FALSE</v>
      </c>
      <c r="AQ509" s="10" t="b">
        <f>IF(AND(I509="TP",S509&lt;=150),VLOOKUP(AF509,TPCalibEq150!$AZ$2:$BB$55,3,),IF(AND(I509="TDP",S509&lt;=150),VLOOKUP(AF509,TPCalibEq150!$AZ$2:$BB$55,3,)))</f>
        <v>0</v>
      </c>
      <c r="AR509" s="10" t="b">
        <f>IF(AND(I509="TP",S509&lt;=300),VLOOKUP(AF509,TPCalibEq300!$AZ$2:$BB$55,3,),IF(AND(I509="TDP",S509&lt;=300),VLOOKUP(AF509,TPCalibEq300!$AZ$2:$BB$55,3,)))</f>
        <v>0</v>
      </c>
      <c r="AS509" s="10" t="b">
        <f>IF(AND(I509="TP",S509&lt;=500),VLOOKUP(AF509,TPCalibEq500!$AZ$2:$BB$56,3,),IF(AND(I509="TDP",S509&lt;=500),VLOOKUP(AF509,TPCalibEq500!$AZ$2:$BB$56,3,)))</f>
        <v>0</v>
      </c>
      <c r="AT509" s="10" t="b">
        <f>IF(AND(I509="TN",S509&lt;=2800),VLOOKUP(AF509,TNCalibEq2500!$AZ$2:$BB$56,3,),IF(AND(I509="TDN",S509&lt;=2800),VLOOKUP(AF509,TNCalibEq2500!$AZ$2:$BB$56,3,)))</f>
        <v>0</v>
      </c>
      <c r="AU509" s="10" t="b">
        <f>IF(I509="TP",VLOOKUP(AF509,TPCalibEqFull!$AZ$2:$BB$56,3),IF(I509="TDP",VLOOKUP(AF509,TPCalibEqFull!$AZ$2:$BB$56,3),IF(I509="TDN",VLOOKUP(AF509,TNCalibEqFull!$AZ$1:$BB$56,3),IF(I509="TN",VLOOKUP(AF509,TNCalibEqFull!$AZ$1:$BB$56,3),FALSE))))</f>
        <v>0</v>
      </c>
      <c r="AV509" s="10" t="str">
        <f t="shared" si="53"/>
        <v>0110 09:30:00-HST-0-C-1-SW-UKN</v>
      </c>
    </row>
    <row r="510" spans="1:48" s="10" customFormat="1" x14ac:dyDescent="0.55000000000000004">
      <c r="A510" s="32">
        <v>44936</v>
      </c>
      <c r="B510" s="33">
        <v>0.39583333333333331</v>
      </c>
      <c r="C510" s="10" t="s">
        <v>333</v>
      </c>
      <c r="D510" s="10">
        <v>0</v>
      </c>
      <c r="E510" s="10" t="s">
        <v>190</v>
      </c>
      <c r="F510" s="10">
        <v>1</v>
      </c>
      <c r="G510" s="10" t="s">
        <v>231</v>
      </c>
      <c r="H510" s="10" t="s">
        <v>233</v>
      </c>
      <c r="I510" s="10" t="s">
        <v>285</v>
      </c>
      <c r="J510" s="10">
        <v>10</v>
      </c>
      <c r="K510" s="12">
        <v>44937</v>
      </c>
      <c r="L510" s="33">
        <v>0.49863425925925925</v>
      </c>
      <c r="M510" s="10">
        <v>1</v>
      </c>
      <c r="N510" s="10" t="s">
        <v>211</v>
      </c>
      <c r="O510" s="10">
        <v>0.40400000000000003</v>
      </c>
      <c r="P510" s="10">
        <v>3.8899999999999997E-2</v>
      </c>
      <c r="Q510" s="10">
        <v>70.3</v>
      </c>
      <c r="R510" s="10" t="s">
        <v>913</v>
      </c>
      <c r="S510" s="34">
        <f t="shared" si="49"/>
        <v>70.3</v>
      </c>
      <c r="T510" s="10" t="s">
        <v>1000</v>
      </c>
      <c r="U510" s="34">
        <f t="shared" si="50"/>
        <v>2.2503516174402374</v>
      </c>
      <c r="V510" s="31" t="str">
        <f>IF(H510="CHK",VLOOKUP(I510,QCCHK,3,),IF(H510="GUP",VLOOKUP(E510,QCGUP,2,),IF(AND(H510="ATP",OR(I510="TN",I510="TDN",I510="TNO2-3",I510="NO2-3")),VLOOKUP(E510,QCREC_N,2,),IF(AND(H510="NIC",OR(I510="TN",I510="TDN",I510="TNO2-3",I510="NO2-3")),VLOOKUP(E510,QCNIC_N,2,),IF(AND(H510="UREA",OR(I510="TN",I510="TDN",I510="TNO2-3",I510="NO2-3")),VLOOKUP(E510,QCUREA_N,2,),IF(H510="PER",VLOOKUP(I510,QCPER,MATCH(E510,QCACTUAL!$J$25:$AA$25,0),),IF(H510="SPK",VLOOKUP(I510,QCSPK,3,),IF(AND(H510="ATP",OR(I510="TP",I510="TDP")),VLOOKUP(E510,QCATP_P,2,),""))))))))</f>
        <v/>
      </c>
      <c r="W510" s="31" t="str">
        <f t="shared" si="51"/>
        <v>TRUE</v>
      </c>
      <c r="X510" s="31" t="str">
        <f t="shared" si="52"/>
        <v>((ABS(rep1-rep2))/((rep1+rep2)/2)*100</v>
      </c>
      <c r="Y510" s="10" t="s">
        <v>992</v>
      </c>
      <c r="AL510" s="10" t="str">
        <f t="shared" si="54"/>
        <v>FALSE</v>
      </c>
      <c r="AM510" s="10" t="str">
        <f t="shared" si="54"/>
        <v>FALSE</v>
      </c>
      <c r="AN510" s="10" t="str">
        <f t="shared" si="54"/>
        <v>FALSE</v>
      </c>
      <c r="AO510" s="10" t="str">
        <f t="shared" si="55"/>
        <v>FALSE</v>
      </c>
      <c r="AP510" s="10" t="str">
        <f t="shared" si="55"/>
        <v>FALSE</v>
      </c>
      <c r="AQ510" s="10" t="b">
        <f>IF(AND(I510="TP",S510&lt;=150),VLOOKUP(AF510,TPCalibEq150!$AZ$2:$BB$55,3,),IF(AND(I510="TDP",S510&lt;=150),VLOOKUP(AF510,TPCalibEq150!$AZ$2:$BB$55,3,)))</f>
        <v>0</v>
      </c>
      <c r="AR510" s="10" t="b">
        <f>IF(AND(I510="TP",S510&lt;=300),VLOOKUP(AF510,TPCalibEq300!$AZ$2:$BB$55,3,),IF(AND(I510="TDP",S510&lt;=300),VLOOKUP(AF510,TPCalibEq300!$AZ$2:$BB$55,3,)))</f>
        <v>0</v>
      </c>
      <c r="AS510" s="10" t="b">
        <f>IF(AND(I510="TP",S510&lt;=500),VLOOKUP(AF510,TPCalibEq500!$AZ$2:$BB$56,3,),IF(AND(I510="TDP",S510&lt;=500),VLOOKUP(AF510,TPCalibEq500!$AZ$2:$BB$56,3,)))</f>
        <v>0</v>
      </c>
      <c r="AT510" s="10" t="b">
        <f>IF(AND(I510="TN",S510&lt;=2800),VLOOKUP(AF510,TNCalibEq2500!$AZ$2:$BB$56,3,),IF(AND(I510="TDN",S510&lt;=2800),VLOOKUP(AF510,TNCalibEq2500!$AZ$2:$BB$56,3,)))</f>
        <v>0</v>
      </c>
      <c r="AU510" s="10" t="b">
        <f>IF(I510="TP",VLOOKUP(AF510,TPCalibEqFull!$AZ$2:$BB$56,3),IF(I510="TDP",VLOOKUP(AF510,TPCalibEqFull!$AZ$2:$BB$56,3),IF(I510="TDN",VLOOKUP(AF510,TNCalibEqFull!$AZ$1:$BB$56,3),IF(I510="TN",VLOOKUP(AF510,TNCalibEqFull!$AZ$1:$BB$56,3),FALSE))))</f>
        <v>0</v>
      </c>
      <c r="AV510" s="10" t="str">
        <f t="shared" si="53"/>
        <v>0110 09:30:00-HST-0-C-1-SW-DUP</v>
      </c>
    </row>
    <row r="511" spans="1:48" s="10" customFormat="1" x14ac:dyDescent="0.55000000000000004">
      <c r="A511" s="32">
        <v>44936</v>
      </c>
      <c r="B511" s="33">
        <v>0.39583333333333331</v>
      </c>
      <c r="C511" s="10" t="s">
        <v>912</v>
      </c>
      <c r="D511" s="10">
        <v>0</v>
      </c>
      <c r="E511" s="10" t="s">
        <v>190</v>
      </c>
      <c r="F511" s="10">
        <v>1</v>
      </c>
      <c r="G511" s="10" t="s">
        <v>231</v>
      </c>
      <c r="H511" s="10" t="s">
        <v>314</v>
      </c>
      <c r="I511" s="10" t="s">
        <v>285</v>
      </c>
      <c r="J511" s="10">
        <v>29</v>
      </c>
      <c r="K511" s="12">
        <v>44937</v>
      </c>
      <c r="L511" s="33">
        <v>0.49943287037037037</v>
      </c>
      <c r="M511" s="10">
        <v>1</v>
      </c>
      <c r="N511" s="10" t="s">
        <v>211</v>
      </c>
      <c r="O511" s="10">
        <v>1.32</v>
      </c>
      <c r="P511" s="10">
        <v>0.13100000000000001</v>
      </c>
      <c r="Q511" s="10">
        <v>231</v>
      </c>
      <c r="R511" s="10" t="s">
        <v>913</v>
      </c>
      <c r="S511" s="34">
        <f t="shared" si="49"/>
        <v>231</v>
      </c>
      <c r="T511" s="10" t="s">
        <v>1000</v>
      </c>
      <c r="U511" s="34">
        <f t="shared" si="50"/>
        <v>102.84799999999998</v>
      </c>
      <c r="V511" s="31">
        <f>IF(H511="CHK",VLOOKUP(I511,QCCHK,3,),IF(H511="GUP",VLOOKUP(E511,QCGUP,2,),IF(AND(H511="ATP",OR(I511="TN",I511="TDN",I511="TNO2-3",I511="NO2-3")),VLOOKUP(E511,QCREC_N,2,),IF(AND(H511="NIC",OR(I511="TN",I511="TDN",I511="TNO2-3",I511="NO2-3")),VLOOKUP(E511,QCNIC_N,2,),IF(AND(H511="UREA",OR(I511="TN",I511="TDN",I511="TNO2-3",I511="NO2-3")),VLOOKUP(E511,QCUREA_N,2,),IF(H511="PER",VLOOKUP(I511,QCPER,MATCH(E511,QCACTUAL!$J$25:$AA$25,0),),IF(H511="SPK",VLOOKUP(I511,QCSPK,3,),IF(AND(H511="ATP",OR(I511="TP",I511="TDP")),VLOOKUP(E511,QCATP_P,2,),""))))))))</f>
        <v>156.25</v>
      </c>
      <c r="W511" s="31" t="str">
        <f t="shared" si="51"/>
        <v>TRUE</v>
      </c>
      <c r="X511" s="31" t="str">
        <f t="shared" si="52"/>
        <v>([spikedunkn]-[unkn])/[spike]*100</v>
      </c>
      <c r="Y511" s="10" t="s">
        <v>992</v>
      </c>
      <c r="AL511" s="10" t="str">
        <f t="shared" si="54"/>
        <v>FALSE</v>
      </c>
      <c r="AM511" s="10" t="str">
        <f t="shared" si="54"/>
        <v>FALSE</v>
      </c>
      <c r="AN511" s="10" t="str">
        <f t="shared" si="54"/>
        <v>FALSE</v>
      </c>
      <c r="AO511" s="10" t="str">
        <f t="shared" si="55"/>
        <v>FALSE</v>
      </c>
      <c r="AP511" s="10" t="str">
        <f t="shared" si="55"/>
        <v>FALSE</v>
      </c>
      <c r="AQ511" s="10" t="b">
        <f>IF(AND(I511="TP",S511&lt;=150),VLOOKUP(AF511,TPCalibEq150!$AZ$2:$BB$55,3,),IF(AND(I511="TDP",S511&lt;=150),VLOOKUP(AF511,TPCalibEq150!$AZ$2:$BB$55,3,)))</f>
        <v>0</v>
      </c>
      <c r="AR511" s="10" t="b">
        <f>IF(AND(I511="TP",S511&lt;=300),VLOOKUP(AF511,TPCalibEq300!$AZ$2:$BB$55,3,),IF(AND(I511="TDP",S511&lt;=300),VLOOKUP(AF511,TPCalibEq300!$AZ$2:$BB$55,3,)))</f>
        <v>0</v>
      </c>
      <c r="AS511" s="10" t="b">
        <f>IF(AND(I511="TP",S511&lt;=500),VLOOKUP(AF511,TPCalibEq500!$AZ$2:$BB$56,3,),IF(AND(I511="TDP",S511&lt;=500),VLOOKUP(AF511,TPCalibEq500!$AZ$2:$BB$56,3,)))</f>
        <v>0</v>
      </c>
      <c r="AT511" s="10" t="b">
        <f>IF(AND(I511="TN",S511&lt;=2800),VLOOKUP(AF511,TNCalibEq2500!$AZ$2:$BB$56,3,),IF(AND(I511="TDN",S511&lt;=2800),VLOOKUP(AF511,TNCalibEq2500!$AZ$2:$BB$56,3,)))</f>
        <v>0</v>
      </c>
      <c r="AU511" s="10" t="b">
        <f>IF(I511="TP",VLOOKUP(AF511,TPCalibEqFull!$AZ$2:$BB$56,3),IF(I511="TDP",VLOOKUP(AF511,TPCalibEqFull!$AZ$2:$BB$56,3),IF(I511="TDN",VLOOKUP(AF511,TNCalibEqFull!$AZ$1:$BB$56,3),IF(I511="TN",VLOOKUP(AF511,TNCalibEqFull!$AZ$1:$BB$56,3),FALSE))))</f>
        <v>0</v>
      </c>
      <c r="AV511" s="10" t="str">
        <f t="shared" si="53"/>
        <v>0110 09:30:00-HST -0-C-1-SW-SPK</v>
      </c>
    </row>
    <row r="512" spans="1:48" s="10" customFormat="1" x14ac:dyDescent="0.55000000000000004">
      <c r="A512" s="32">
        <v>44937</v>
      </c>
      <c r="B512" s="33">
        <v>0.375</v>
      </c>
      <c r="C512" s="10" t="s">
        <v>70</v>
      </c>
      <c r="D512" s="10" t="s">
        <v>71</v>
      </c>
      <c r="E512" s="10" t="s">
        <v>901</v>
      </c>
      <c r="F512" s="10">
        <v>1</v>
      </c>
      <c r="G512" s="10" t="s">
        <v>73</v>
      </c>
      <c r="H512" s="10" t="s">
        <v>207</v>
      </c>
      <c r="I512" s="10" t="s">
        <v>285</v>
      </c>
      <c r="J512" s="10">
        <v>199</v>
      </c>
      <c r="K512" s="12">
        <v>44937</v>
      </c>
      <c r="L512" s="33">
        <v>0.50025462962962963</v>
      </c>
      <c r="M512" s="10">
        <v>1</v>
      </c>
      <c r="N512" s="10" t="s">
        <v>211</v>
      </c>
      <c r="O512" s="10">
        <v>0.437</v>
      </c>
      <c r="P512" s="10">
        <v>4.2799999999999998E-2</v>
      </c>
      <c r="Q512" s="10">
        <v>76.099999999999994</v>
      </c>
      <c r="R512" s="10" t="s">
        <v>913</v>
      </c>
      <c r="S512" s="34">
        <f t="shared" si="49"/>
        <v>76.099999999999994</v>
      </c>
      <c r="T512" s="10" t="s">
        <v>1000</v>
      </c>
      <c r="U512" s="34">
        <f t="shared" si="50"/>
        <v>101.46666666666665</v>
      </c>
      <c r="V512" s="31">
        <f>IF(H512="CHK",VLOOKUP(I512,QCCHK,3,),IF(H512="GUP",VLOOKUP(E512,QCGUP,2,),IF(AND(H512="ATP",OR(I512="TN",I512="TDN",I512="TNO2-3",I512="NO2-3")),VLOOKUP(E512,QCREC_N,2,),IF(AND(H512="NIC",OR(I512="TN",I512="TDN",I512="TNO2-3",I512="NO2-3")),VLOOKUP(E512,QCNIC_N,2,),IF(AND(H512="UREA",OR(I512="TN",I512="TDN",I512="TNO2-3",I512="NO2-3")),VLOOKUP(E512,QCUREA_N,2,),IF(H512="PER",VLOOKUP(I512,QCPER,MATCH(E512,QCACTUAL!$J$25:$AA$25,0),),IF(H512="SPK",VLOOKUP(I512,QCSPK,3,),IF(AND(H512="ATP",OR(I512="TP",I512="TDP")),VLOOKUP(E512,QCATP_P,2,),""))))))))</f>
        <v>75</v>
      </c>
      <c r="W512" s="31" t="str">
        <f t="shared" si="51"/>
        <v>TRUE</v>
      </c>
      <c r="X512" s="31" t="str">
        <f t="shared" si="52"/>
        <v>[chk]/[actual]*100</v>
      </c>
      <c r="Y512" s="10" t="s">
        <v>992</v>
      </c>
      <c r="AL512" s="10" t="str">
        <f t="shared" si="54"/>
        <v>FALSE</v>
      </c>
      <c r="AM512" s="10" t="str">
        <f t="shared" si="54"/>
        <v>FALSE</v>
      </c>
      <c r="AN512" s="10" t="str">
        <f t="shared" si="54"/>
        <v>FALSE</v>
      </c>
      <c r="AO512" s="10" t="str">
        <f t="shared" si="55"/>
        <v>FALSE</v>
      </c>
      <c r="AP512" s="10" t="str">
        <f t="shared" si="55"/>
        <v>FALSE</v>
      </c>
      <c r="AQ512" s="10" t="b">
        <f>IF(AND(I512="TP",S512&lt;=150),VLOOKUP(AF512,TPCalibEq150!$AZ$2:$BB$55,3,),IF(AND(I512="TDP",S512&lt;=150),VLOOKUP(AF512,TPCalibEq150!$AZ$2:$BB$55,3,)))</f>
        <v>0</v>
      </c>
      <c r="AR512" s="10" t="b">
        <f>IF(AND(I512="TP",S512&lt;=300),VLOOKUP(AF512,TPCalibEq300!$AZ$2:$BB$55,3,),IF(AND(I512="TDP",S512&lt;=300),VLOOKUP(AF512,TPCalibEq300!$AZ$2:$BB$55,3,)))</f>
        <v>0</v>
      </c>
      <c r="AS512" s="10" t="b">
        <f>IF(AND(I512="TP",S512&lt;=500),VLOOKUP(AF512,TPCalibEq500!$AZ$2:$BB$56,3,),IF(AND(I512="TDP",S512&lt;=500),VLOOKUP(AF512,TPCalibEq500!$AZ$2:$BB$56,3,)))</f>
        <v>0</v>
      </c>
      <c r="AT512" s="10" t="b">
        <f>IF(AND(I512="TN",S512&lt;=2800),VLOOKUP(AF512,TNCalibEq2500!$AZ$2:$BB$56,3,),IF(AND(I512="TDN",S512&lt;=2800),VLOOKUP(AF512,TNCalibEq2500!$AZ$2:$BB$56,3,)))</f>
        <v>0</v>
      </c>
      <c r="AU512" s="10" t="b">
        <f>IF(I512="TP",VLOOKUP(AF512,TPCalibEqFull!$AZ$2:$BB$56,3),IF(I512="TDP",VLOOKUP(AF512,TPCalibEqFull!$AZ$2:$BB$56,3),IF(I512="TDN",VLOOKUP(AF512,TNCalibEqFull!$AZ$1:$BB$56,3),IF(I512="TN",VLOOKUP(AF512,TNCalibEqFull!$AZ$1:$BB$56,3),FALSE))))</f>
        <v>0</v>
      </c>
      <c r="AV512" s="10" t="str">
        <f t="shared" si="53"/>
        <v>0111 09:00:00-QAC-STD-D-1-DI-CHK</v>
      </c>
    </row>
    <row r="513" spans="1:48" s="10" customFormat="1" x14ac:dyDescent="0.55000000000000004">
      <c r="A513" s="32">
        <v>44935</v>
      </c>
      <c r="B513" s="33">
        <v>0.35972222222222222</v>
      </c>
      <c r="C513" s="10" t="s">
        <v>998</v>
      </c>
      <c r="D513" s="10">
        <v>0</v>
      </c>
      <c r="E513" s="10" t="s">
        <v>190</v>
      </c>
      <c r="F513" s="10">
        <v>1</v>
      </c>
      <c r="G513" s="10" t="s">
        <v>231</v>
      </c>
      <c r="H513" s="10" t="s">
        <v>322</v>
      </c>
      <c r="I513" s="10" t="s">
        <v>285</v>
      </c>
      <c r="J513" s="10">
        <v>11</v>
      </c>
      <c r="K513" s="12">
        <v>44937</v>
      </c>
      <c r="L513" s="33">
        <v>0.5010648148148148</v>
      </c>
      <c r="M513" s="10">
        <v>1</v>
      </c>
      <c r="N513" s="10" t="s">
        <v>211</v>
      </c>
      <c r="O513" s="10">
        <v>0.48799999999999999</v>
      </c>
      <c r="P513" s="10">
        <v>4.7800000000000002E-2</v>
      </c>
      <c r="Q513" s="10">
        <v>85.1</v>
      </c>
      <c r="R513" s="10" t="s">
        <v>913</v>
      </c>
      <c r="S513" s="34">
        <f t="shared" si="49"/>
        <v>85.1</v>
      </c>
      <c r="T513" s="10" t="s">
        <v>1000</v>
      </c>
      <c r="U513" s="34" t="str">
        <f t="shared" si="50"/>
        <v/>
      </c>
      <c r="V513" s="31" t="str">
        <f>IF(H513="CHK",VLOOKUP(I513,QCCHK,3,),IF(H513="GUP",VLOOKUP(E513,QCGUP,2,),IF(AND(H513="ATP",OR(I513="TN",I513="TDN",I513="TNO2-3",I513="NO2-3")),VLOOKUP(E513,QCREC_N,2,),IF(AND(H513="NIC",OR(I513="TN",I513="TDN",I513="TNO2-3",I513="NO2-3")),VLOOKUP(E513,QCNIC_N,2,),IF(AND(H513="UREA",OR(I513="TN",I513="TDN",I513="TNO2-3",I513="NO2-3")),VLOOKUP(E513,QCUREA_N,2,),IF(H513="PER",VLOOKUP(I513,QCPER,MATCH(E513,QCACTUAL!$J$25:$AA$25,0),),IF(H513="SPK",VLOOKUP(I513,QCSPK,3,),IF(AND(H513="ATP",OR(I513="TP",I513="TDP")),VLOOKUP(E513,QCATP_P,2,),""))))))))</f>
        <v/>
      </c>
      <c r="W513" s="31" t="str">
        <f t="shared" si="51"/>
        <v>TRUE</v>
      </c>
      <c r="X513" s="31" t="str">
        <f t="shared" si="52"/>
        <v/>
      </c>
      <c r="Y513" s="10" t="s">
        <v>992</v>
      </c>
      <c r="Z513" s="10" t="s">
        <v>910</v>
      </c>
      <c r="AL513" s="10" t="str">
        <f t="shared" si="54"/>
        <v>FALSE</v>
      </c>
      <c r="AM513" s="10" t="str">
        <f t="shared" si="54"/>
        <v>FALSE</v>
      </c>
      <c r="AN513" s="10" t="str">
        <f t="shared" si="54"/>
        <v>FALSE</v>
      </c>
      <c r="AO513" s="10" t="str">
        <f t="shared" si="55"/>
        <v>FALSE</v>
      </c>
      <c r="AP513" s="10" t="str">
        <f t="shared" si="55"/>
        <v>FALSE</v>
      </c>
      <c r="AQ513" s="10" t="b">
        <f>IF(AND(I513="TP",S513&lt;=150),VLOOKUP(AF513,TPCalibEq150!$AZ$2:$BB$55,3,),IF(AND(I513="TDP",S513&lt;=150),VLOOKUP(AF513,TPCalibEq150!$AZ$2:$BB$55,3,)))</f>
        <v>0</v>
      </c>
      <c r="AR513" s="10" t="b">
        <f>IF(AND(I513="TP",S513&lt;=300),VLOOKUP(AF513,TPCalibEq300!$AZ$2:$BB$55,3,),IF(AND(I513="TDP",S513&lt;=300),VLOOKUP(AF513,TPCalibEq300!$AZ$2:$BB$55,3,)))</f>
        <v>0</v>
      </c>
      <c r="AS513" s="10" t="b">
        <f>IF(AND(I513="TP",S513&lt;=500),VLOOKUP(AF513,TPCalibEq500!$AZ$2:$BB$56,3,),IF(AND(I513="TDP",S513&lt;=500),VLOOKUP(AF513,TPCalibEq500!$AZ$2:$BB$56,3,)))</f>
        <v>0</v>
      </c>
      <c r="AT513" s="10" t="b">
        <f>IF(AND(I513="TN",S513&lt;=2800),VLOOKUP(AF513,TNCalibEq2500!$AZ$2:$BB$56,3,),IF(AND(I513="TDN",S513&lt;=2800),VLOOKUP(AF513,TNCalibEq2500!$AZ$2:$BB$56,3,)))</f>
        <v>0</v>
      </c>
      <c r="AU513" s="10" t="b">
        <f>IF(I513="TP",VLOOKUP(AF513,TPCalibEqFull!$AZ$2:$BB$56,3),IF(I513="TDP",VLOOKUP(AF513,TPCalibEqFull!$AZ$2:$BB$56,3),IF(I513="TDN",VLOOKUP(AF513,TNCalibEqFull!$AZ$1:$BB$56,3),IF(I513="TN",VLOOKUP(AF513,TNCalibEqFull!$AZ$1:$BB$56,3),FALSE))))</f>
        <v>0</v>
      </c>
      <c r="AV513" s="10" t="str">
        <f t="shared" si="53"/>
        <v>0109 08:38:00-ELW-0-C-1-SW-UKN</v>
      </c>
    </row>
    <row r="514" spans="1:48" s="10" customFormat="1" x14ac:dyDescent="0.55000000000000004">
      <c r="A514" s="32">
        <v>44935</v>
      </c>
      <c r="B514" s="33">
        <v>0.44722222222222219</v>
      </c>
      <c r="C514" s="10" t="s">
        <v>310</v>
      </c>
      <c r="D514" s="10">
        <v>0</v>
      </c>
      <c r="E514" s="10" t="s">
        <v>190</v>
      </c>
      <c r="F514" s="10">
        <v>1</v>
      </c>
      <c r="G514" s="10" t="s">
        <v>231</v>
      </c>
      <c r="H514" s="10" t="s">
        <v>322</v>
      </c>
      <c r="I514" s="10" t="s">
        <v>285</v>
      </c>
      <c r="J514" s="10">
        <v>12</v>
      </c>
      <c r="K514" s="12">
        <v>44937</v>
      </c>
      <c r="L514" s="33">
        <v>0.50188657407407411</v>
      </c>
      <c r="M514" s="10">
        <v>1</v>
      </c>
      <c r="N514" s="10" t="s">
        <v>211</v>
      </c>
      <c r="O514" s="10">
        <v>0.61399999999999999</v>
      </c>
      <c r="P514" s="10">
        <v>5.9299999999999999E-2</v>
      </c>
      <c r="Q514" s="10">
        <v>107</v>
      </c>
      <c r="R514" s="10" t="s">
        <v>913</v>
      </c>
      <c r="S514" s="34">
        <f t="shared" ref="S514:S577" si="56">IF(OR(AND(I514&lt;&gt;"TP", I514&lt;&gt;"TDP",I514&lt;&gt;"TN", I514&lt;&gt;"TDN"),H514="CAL"), Q514*M514, IF(OR(AND(I514="TN", Q514&gt;2500), AND(I514="TDN", Q514&gt;2500)),MAX(Q514, AK514)*M514, IF(OR(AND(I514="TN", Q514&lt;=2500), AND(I514="TDN", Q514&lt;=2500)),MAX(Q514, AJ514,AK514)*M514, IF(OR(AND(I514="TP",Q514&gt;500), AND(I514="TDP", Q514&gt;500)),MAX(Q514,AK514)*M514,IF(OR(AND(I514="TP",Q514&lt;=150), AND(I514="TDP", Q514&lt;=150)),MAX(Q514,AG514:AI514,AK514)*M514,IF(OR(AND(I514="TP",Q514&lt;=300), AND(I514="TDP", Q514&lt;=300)),MAX(Q514,AH514,AI514,AK514)*M514,IF(OR(AND(I514="TP",Q514&lt;=500), AND(I514="TDP", Q514&lt;=500)),MAX(Q514,AI514,AK514)*M514,"")))))))</f>
        <v>107</v>
      </c>
      <c r="T514" s="10" t="s">
        <v>1000</v>
      </c>
      <c r="U514" s="34" t="str">
        <f t="shared" ref="U514:U577" si="57">IF(OR(H514="CHK",H514="ATP",H514="GUP",H514="PER", H514="NIC", H514="UREA"),(S514/V514*100),IF(H514="DUP",((ABS(S514-S513))/((S513+S514)/2))*100,IF(H514="SPK",((S514-S513)/V514*100),IF(OR(H514="LAB",H514="FLD",H514="ESF"),S514,""))))</f>
        <v/>
      </c>
      <c r="V514" s="31" t="str">
        <f>IF(H514="CHK",VLOOKUP(I514,QCCHK,3,),IF(H514="GUP",VLOOKUP(E514,QCGUP,2,),IF(AND(H514="ATP",OR(I514="TN",I514="TDN",I514="TNO2-3",I514="NO2-3")),VLOOKUP(E514,QCREC_N,2,),IF(AND(H514="NIC",OR(I514="TN",I514="TDN",I514="TNO2-3",I514="NO2-3")),VLOOKUP(E514,QCNIC_N,2,),IF(AND(H514="UREA",OR(I514="TN",I514="TDN",I514="TNO2-3",I514="NO2-3")),VLOOKUP(E514,QCUREA_N,2,),IF(H514="PER",VLOOKUP(I514,QCPER,MATCH(E514,QCACTUAL!$J$25:$AA$25,0),),IF(H514="SPK",VLOOKUP(I514,QCSPK,3,),IF(AND(H514="ATP",OR(I514="TP",I514="TDP")),VLOOKUP(E514,QCATP_P,2,),""))))))))</f>
        <v/>
      </c>
      <c r="W514" s="31" t="str">
        <f t="shared" ref="W514:W577" si="58">IF(AND(OR(H514="PER",H514="ATP",H514="GUP",H514="CHK",H514="SPK", H514="NIC"),OR(U514&gt;125,U514&lt;75)),"FALSE",IF(AND(H514="DUP",OR(U514&gt;25, U514&lt;-25)),"FALSE",IF(AND(OR(H514="LAB",H514="FLD",H514="ESF"),U514&gt;15),"FALSE","TRUE")))</f>
        <v>TRUE</v>
      </c>
      <c r="X514" s="31" t="str">
        <f t="shared" ref="X514:X577" si="59">IF(ISNA(VLOOKUP(H514,QCEQUATIONS,2,)),"",(VLOOKUP(H514,QCEQUATIONS,2,)))</f>
        <v/>
      </c>
      <c r="Y514" s="10" t="s">
        <v>992</v>
      </c>
      <c r="Z514" s="10" t="s">
        <v>910</v>
      </c>
      <c r="AL514" s="10" t="str">
        <f t="shared" si="54"/>
        <v>FALSE</v>
      </c>
      <c r="AM514" s="10" t="str">
        <f t="shared" si="54"/>
        <v>FALSE</v>
      </c>
      <c r="AN514" s="10" t="str">
        <f t="shared" si="54"/>
        <v>FALSE</v>
      </c>
      <c r="AO514" s="10" t="str">
        <f t="shared" si="55"/>
        <v>FALSE</v>
      </c>
      <c r="AP514" s="10" t="str">
        <f t="shared" si="55"/>
        <v>FALSE</v>
      </c>
      <c r="AQ514" s="10" t="b">
        <f>IF(AND(I514="TP",S514&lt;=150),VLOOKUP(AF514,TPCalibEq150!$AZ$2:$BB$55,3,),IF(AND(I514="TDP",S514&lt;=150),VLOOKUP(AF514,TPCalibEq150!$AZ$2:$BB$55,3,)))</f>
        <v>0</v>
      </c>
      <c r="AR514" s="10" t="b">
        <f>IF(AND(I514="TP",S514&lt;=300),VLOOKUP(AF514,TPCalibEq300!$AZ$2:$BB$55,3,),IF(AND(I514="TDP",S514&lt;=300),VLOOKUP(AF514,TPCalibEq300!$AZ$2:$BB$55,3,)))</f>
        <v>0</v>
      </c>
      <c r="AS514" s="10" t="b">
        <f>IF(AND(I514="TP",S514&lt;=500),VLOOKUP(AF514,TPCalibEq500!$AZ$2:$BB$56,3,),IF(AND(I514="TDP",S514&lt;=500),VLOOKUP(AF514,TPCalibEq500!$AZ$2:$BB$56,3,)))</f>
        <v>0</v>
      </c>
      <c r="AT514" s="10" t="b">
        <f>IF(AND(I514="TN",S514&lt;=2800),VLOOKUP(AF514,TNCalibEq2500!$AZ$2:$BB$56,3,),IF(AND(I514="TDN",S514&lt;=2800),VLOOKUP(AF514,TNCalibEq2500!$AZ$2:$BB$56,3,)))</f>
        <v>0</v>
      </c>
      <c r="AU514" s="10" t="b">
        <f>IF(I514="TP",VLOOKUP(AF514,TPCalibEqFull!$AZ$2:$BB$56,3),IF(I514="TDP",VLOOKUP(AF514,TPCalibEqFull!$AZ$2:$BB$56,3),IF(I514="TDN",VLOOKUP(AF514,TNCalibEqFull!$AZ$1:$BB$56,3),IF(I514="TN",VLOOKUP(AF514,TNCalibEqFull!$AZ$1:$BB$56,3),FALSE))))</f>
        <v>0</v>
      </c>
      <c r="AV514" s="10" t="str">
        <f t="shared" ref="AV514:AV577" si="60">TEXT(A514, "MMDD")&amp;" "&amp;TEXT(B514, "HH:MM:SS")&amp;"-"&amp;C514&amp;"-"&amp;D514&amp;"-"&amp;E514&amp;"-"&amp;F514&amp;"-"&amp;G514&amp;"-"&amp;H514</f>
        <v>0109 10:44:00-ELI-0-C-1-SW-UKN</v>
      </c>
    </row>
    <row r="515" spans="1:48" s="10" customFormat="1" x14ac:dyDescent="0.55000000000000004">
      <c r="A515" s="32">
        <v>44935</v>
      </c>
      <c r="B515" s="33">
        <v>0.4145833333333333</v>
      </c>
      <c r="C515" s="10" t="s">
        <v>999</v>
      </c>
      <c r="D515" s="10">
        <v>0</v>
      </c>
      <c r="E515" s="10" t="s">
        <v>190</v>
      </c>
      <c r="F515" s="10">
        <v>1</v>
      </c>
      <c r="G515" s="10" t="s">
        <v>231</v>
      </c>
      <c r="H515" s="10" t="s">
        <v>322</v>
      </c>
      <c r="I515" s="10" t="s">
        <v>285</v>
      </c>
      <c r="J515" s="10">
        <v>13</v>
      </c>
      <c r="K515" s="12">
        <v>44937</v>
      </c>
      <c r="L515" s="33">
        <v>0.50269675925925927</v>
      </c>
      <c r="M515" s="10">
        <v>1</v>
      </c>
      <c r="N515" s="10" t="s">
        <v>211</v>
      </c>
      <c r="O515" s="10">
        <v>0.57999999999999996</v>
      </c>
      <c r="P515" s="10">
        <v>5.6500000000000002E-2</v>
      </c>
      <c r="Q515" s="10">
        <v>101</v>
      </c>
      <c r="R515" s="10" t="s">
        <v>913</v>
      </c>
      <c r="S515" s="34">
        <f t="shared" si="56"/>
        <v>101</v>
      </c>
      <c r="T515" s="10" t="s">
        <v>1000</v>
      </c>
      <c r="U515" s="34" t="str">
        <f t="shared" si="57"/>
        <v/>
      </c>
      <c r="V515" s="31" t="str">
        <f>IF(H515="CHK",VLOOKUP(I515,QCCHK,3,),IF(H515="GUP",VLOOKUP(E515,QCGUP,2,),IF(AND(H515="ATP",OR(I515="TN",I515="TDN",I515="TNO2-3",I515="NO2-3")),VLOOKUP(E515,QCREC_N,2,),IF(AND(H515="NIC",OR(I515="TN",I515="TDN",I515="TNO2-3",I515="NO2-3")),VLOOKUP(E515,QCNIC_N,2,),IF(AND(H515="UREA",OR(I515="TN",I515="TDN",I515="TNO2-3",I515="NO2-3")),VLOOKUP(E515,QCUREA_N,2,),IF(H515="PER",VLOOKUP(I515,QCPER,MATCH(E515,QCACTUAL!$J$25:$AA$25,0),),IF(H515="SPK",VLOOKUP(I515,QCSPK,3,),IF(AND(H515="ATP",OR(I515="TP",I515="TDP")),VLOOKUP(E515,QCATP_P,2,),""))))))))</f>
        <v/>
      </c>
      <c r="W515" s="31" t="str">
        <f t="shared" si="58"/>
        <v>TRUE</v>
      </c>
      <c r="X515" s="31" t="str">
        <f t="shared" si="59"/>
        <v/>
      </c>
      <c r="Y515" s="10" t="s">
        <v>992</v>
      </c>
      <c r="Z515" s="10" t="s">
        <v>910</v>
      </c>
      <c r="AL515" s="10" t="str">
        <f t="shared" ref="AL515:AN578" si="61">IF($O515="", "", IF(AQ515&lt;&gt;"", SUBSTITUTE(SUBSTITUTE(AQ515, "x", "*"&amp;$O515&amp;"^", 1), "x", "*"&amp;$O515, 1), ""))</f>
        <v>FALSE</v>
      </c>
      <c r="AM515" s="10" t="str">
        <f t="shared" si="61"/>
        <v>FALSE</v>
      </c>
      <c r="AN515" s="10" t="str">
        <f t="shared" si="61"/>
        <v>FALSE</v>
      </c>
      <c r="AO515" s="10" t="str">
        <f t="shared" ref="AO515:AP578" si="62">IF($O515="", "FALSE", IF(AT515&lt;&gt;"FALSE", SUBSTITUTE(SUBSTITUTE(AT515, "x", "*"&amp;$O515&amp;"^", 1), "x", "*"&amp;$O515, 1), ""))</f>
        <v>FALSE</v>
      </c>
      <c r="AP515" s="10" t="str">
        <f t="shared" si="62"/>
        <v>FALSE</v>
      </c>
      <c r="AQ515" s="10" t="b">
        <f>IF(AND(I515="TP",S515&lt;=150),VLOOKUP(AF515,TPCalibEq150!$AZ$2:$BB$55,3,),IF(AND(I515="TDP",S515&lt;=150),VLOOKUP(AF515,TPCalibEq150!$AZ$2:$BB$55,3,)))</f>
        <v>0</v>
      </c>
      <c r="AR515" s="10" t="b">
        <f>IF(AND(I515="TP",S515&lt;=300),VLOOKUP(AF515,TPCalibEq300!$AZ$2:$BB$55,3,),IF(AND(I515="TDP",S515&lt;=300),VLOOKUP(AF515,TPCalibEq300!$AZ$2:$BB$55,3,)))</f>
        <v>0</v>
      </c>
      <c r="AS515" s="10" t="b">
        <f>IF(AND(I515="TP",S515&lt;=500),VLOOKUP(AF515,TPCalibEq500!$AZ$2:$BB$56,3,),IF(AND(I515="TDP",S515&lt;=500),VLOOKUP(AF515,TPCalibEq500!$AZ$2:$BB$56,3,)))</f>
        <v>0</v>
      </c>
      <c r="AT515" s="10" t="b">
        <f>IF(AND(I515="TN",S515&lt;=2800),VLOOKUP(AF515,TNCalibEq2500!$AZ$2:$BB$56,3,),IF(AND(I515="TDN",S515&lt;=2800),VLOOKUP(AF515,TNCalibEq2500!$AZ$2:$BB$56,3,)))</f>
        <v>0</v>
      </c>
      <c r="AU515" s="10" t="b">
        <f>IF(I515="TP",VLOOKUP(AF515,TPCalibEqFull!$AZ$2:$BB$56,3),IF(I515="TDP",VLOOKUP(AF515,TPCalibEqFull!$AZ$2:$BB$56,3),IF(I515="TDN",VLOOKUP(AF515,TNCalibEqFull!$AZ$1:$BB$56,3),IF(I515="TN",VLOOKUP(AF515,TNCalibEqFull!$AZ$1:$BB$56,3),FALSE))))</f>
        <v>0</v>
      </c>
      <c r="AV515" s="10" t="str">
        <f t="shared" si="60"/>
        <v>0109 09:57:00-EAW-0-C-1-SW-UKN</v>
      </c>
    </row>
    <row r="516" spans="1:48" s="10" customFormat="1" x14ac:dyDescent="0.55000000000000004">
      <c r="A516" s="32">
        <v>44935</v>
      </c>
      <c r="B516" s="33">
        <v>0.4145833333333333</v>
      </c>
      <c r="C516" s="10" t="s">
        <v>999</v>
      </c>
      <c r="D516" s="10">
        <v>0</v>
      </c>
      <c r="E516" s="10" t="s">
        <v>190</v>
      </c>
      <c r="F516" s="10">
        <v>2</v>
      </c>
      <c r="G516" s="10" t="s">
        <v>231</v>
      </c>
      <c r="H516" s="10" t="s">
        <v>322</v>
      </c>
      <c r="I516" s="10" t="s">
        <v>285</v>
      </c>
      <c r="J516" s="10">
        <v>14</v>
      </c>
      <c r="K516" s="12">
        <v>44937</v>
      </c>
      <c r="L516" s="33">
        <v>0.5034953703703704</v>
      </c>
      <c r="M516" s="10">
        <v>1</v>
      </c>
      <c r="N516" s="10" t="s">
        <v>211</v>
      </c>
      <c r="O516" s="10">
        <v>0.60099999999999998</v>
      </c>
      <c r="P516" s="10">
        <v>5.8400000000000001E-2</v>
      </c>
      <c r="Q516" s="10">
        <v>105</v>
      </c>
      <c r="R516" s="10" t="s">
        <v>913</v>
      </c>
      <c r="S516" s="34">
        <f t="shared" si="56"/>
        <v>105</v>
      </c>
      <c r="T516" s="10" t="s">
        <v>1000</v>
      </c>
      <c r="U516" s="34" t="str">
        <f t="shared" si="57"/>
        <v/>
      </c>
      <c r="V516" s="31" t="str">
        <f>IF(H516="CHK",VLOOKUP(I516,QCCHK,3,),IF(H516="GUP",VLOOKUP(E516,QCGUP,2,),IF(AND(H516="ATP",OR(I516="TN",I516="TDN",I516="TNO2-3",I516="NO2-3")),VLOOKUP(E516,QCREC_N,2,),IF(AND(H516="NIC",OR(I516="TN",I516="TDN",I516="TNO2-3",I516="NO2-3")),VLOOKUP(E516,QCNIC_N,2,),IF(AND(H516="UREA",OR(I516="TN",I516="TDN",I516="TNO2-3",I516="NO2-3")),VLOOKUP(E516,QCUREA_N,2,),IF(H516="PER",VLOOKUP(I516,QCPER,MATCH(E516,QCACTUAL!$J$25:$AA$25,0),),IF(H516="SPK",VLOOKUP(I516,QCSPK,3,),IF(AND(H516="ATP",OR(I516="TP",I516="TDP")),VLOOKUP(E516,QCATP_P,2,),""))))))))</f>
        <v/>
      </c>
      <c r="W516" s="31" t="str">
        <f t="shared" si="58"/>
        <v>TRUE</v>
      </c>
      <c r="X516" s="31" t="str">
        <f t="shared" si="59"/>
        <v/>
      </c>
      <c r="Y516" s="10" t="s">
        <v>992</v>
      </c>
      <c r="Z516" s="10" t="s">
        <v>910</v>
      </c>
      <c r="AL516" s="10" t="str">
        <f t="shared" si="61"/>
        <v>FALSE</v>
      </c>
      <c r="AM516" s="10" t="str">
        <f t="shared" si="61"/>
        <v>FALSE</v>
      </c>
      <c r="AN516" s="10" t="str">
        <f t="shared" si="61"/>
        <v>FALSE</v>
      </c>
      <c r="AO516" s="10" t="str">
        <f t="shared" si="62"/>
        <v>FALSE</v>
      </c>
      <c r="AP516" s="10" t="str">
        <f t="shared" si="62"/>
        <v>FALSE</v>
      </c>
      <c r="AQ516" s="10" t="b">
        <f>IF(AND(I516="TP",S516&lt;=150),VLOOKUP(AF516,TPCalibEq150!$AZ$2:$BB$55,3,),IF(AND(I516="TDP",S516&lt;=150),VLOOKUP(AF516,TPCalibEq150!$AZ$2:$BB$55,3,)))</f>
        <v>0</v>
      </c>
      <c r="AR516" s="10" t="b">
        <f>IF(AND(I516="TP",S516&lt;=300),VLOOKUP(AF516,TPCalibEq300!$AZ$2:$BB$55,3,),IF(AND(I516="TDP",S516&lt;=300),VLOOKUP(AF516,TPCalibEq300!$AZ$2:$BB$55,3,)))</f>
        <v>0</v>
      </c>
      <c r="AS516" s="10" t="b">
        <f>IF(AND(I516="TP",S516&lt;=500),VLOOKUP(AF516,TPCalibEq500!$AZ$2:$BB$56,3,),IF(AND(I516="TDP",S516&lt;=500),VLOOKUP(AF516,TPCalibEq500!$AZ$2:$BB$56,3,)))</f>
        <v>0</v>
      </c>
      <c r="AT516" s="10" t="b">
        <f>IF(AND(I516="TN",S516&lt;=2800),VLOOKUP(AF516,TNCalibEq2500!$AZ$2:$BB$56,3,),IF(AND(I516="TDN",S516&lt;=2800),VLOOKUP(AF516,TNCalibEq2500!$AZ$2:$BB$56,3,)))</f>
        <v>0</v>
      </c>
      <c r="AU516" s="10" t="b">
        <f>IF(I516="TP",VLOOKUP(AF516,TPCalibEqFull!$AZ$2:$BB$56,3),IF(I516="TDP",VLOOKUP(AF516,TPCalibEqFull!$AZ$2:$BB$56,3),IF(I516="TDN",VLOOKUP(AF516,TNCalibEqFull!$AZ$1:$BB$56,3),IF(I516="TN",VLOOKUP(AF516,TNCalibEqFull!$AZ$1:$BB$56,3),FALSE))))</f>
        <v>0</v>
      </c>
      <c r="AV516" s="10" t="str">
        <f t="shared" si="60"/>
        <v>0109 09:57:00-EAW-0-C-2-SW-UKN</v>
      </c>
    </row>
    <row r="517" spans="1:48" s="10" customFormat="1" x14ac:dyDescent="0.55000000000000004">
      <c r="A517" s="32">
        <v>44935</v>
      </c>
      <c r="B517" s="33">
        <v>0.4145833333333333</v>
      </c>
      <c r="C517" s="10" t="s">
        <v>999</v>
      </c>
      <c r="D517" s="10">
        <v>0</v>
      </c>
      <c r="E517" s="10" t="s">
        <v>190</v>
      </c>
      <c r="F517" s="10">
        <v>2</v>
      </c>
      <c r="G517" s="10" t="s">
        <v>231</v>
      </c>
      <c r="H517" s="10" t="s">
        <v>233</v>
      </c>
      <c r="I517" s="10" t="s">
        <v>285</v>
      </c>
      <c r="J517" s="10">
        <v>14</v>
      </c>
      <c r="K517" s="12">
        <v>44937</v>
      </c>
      <c r="L517" s="33">
        <v>0.50430555555555556</v>
      </c>
      <c r="M517" s="10">
        <v>1</v>
      </c>
      <c r="N517" s="10" t="s">
        <v>211</v>
      </c>
      <c r="O517" s="10">
        <v>0.57199999999999995</v>
      </c>
      <c r="P517" s="10">
        <v>5.5399999999999998E-2</v>
      </c>
      <c r="Q517" s="10">
        <v>99.7</v>
      </c>
      <c r="R517" s="10" t="s">
        <v>913</v>
      </c>
      <c r="S517" s="34">
        <f t="shared" si="56"/>
        <v>99.7</v>
      </c>
      <c r="T517" s="10" t="s">
        <v>1000</v>
      </c>
      <c r="U517" s="34">
        <f t="shared" si="57"/>
        <v>5.1783097215437204</v>
      </c>
      <c r="V517" s="31" t="str">
        <f>IF(H517="CHK",VLOOKUP(I517,QCCHK,3,),IF(H517="GUP",VLOOKUP(E517,QCGUP,2,),IF(AND(H517="ATP",OR(I517="TN",I517="TDN",I517="TNO2-3",I517="NO2-3")),VLOOKUP(E517,QCREC_N,2,),IF(AND(H517="NIC",OR(I517="TN",I517="TDN",I517="TNO2-3",I517="NO2-3")),VLOOKUP(E517,QCNIC_N,2,),IF(AND(H517="UREA",OR(I517="TN",I517="TDN",I517="TNO2-3",I517="NO2-3")),VLOOKUP(E517,QCUREA_N,2,),IF(H517="PER",VLOOKUP(I517,QCPER,MATCH(E517,QCACTUAL!$J$25:$AA$25,0),),IF(H517="SPK",VLOOKUP(I517,QCSPK,3,),IF(AND(H517="ATP",OR(I517="TP",I517="TDP")),VLOOKUP(E517,QCATP_P,2,),""))))))))</f>
        <v/>
      </c>
      <c r="W517" s="31" t="str">
        <f t="shared" si="58"/>
        <v>TRUE</v>
      </c>
      <c r="X517" s="31" t="str">
        <f t="shared" si="59"/>
        <v>((ABS(rep1-rep2))/((rep1+rep2)/2)*100</v>
      </c>
      <c r="Y517" s="10" t="s">
        <v>992</v>
      </c>
      <c r="Z517" s="10" t="s">
        <v>910</v>
      </c>
      <c r="AL517" s="10" t="str">
        <f t="shared" si="61"/>
        <v>FALSE</v>
      </c>
      <c r="AM517" s="10" t="str">
        <f t="shared" si="61"/>
        <v>FALSE</v>
      </c>
      <c r="AN517" s="10" t="str">
        <f t="shared" si="61"/>
        <v>FALSE</v>
      </c>
      <c r="AO517" s="10" t="str">
        <f t="shared" si="62"/>
        <v>FALSE</v>
      </c>
      <c r="AP517" s="10" t="str">
        <f t="shared" si="62"/>
        <v>FALSE</v>
      </c>
      <c r="AQ517" s="10" t="b">
        <f>IF(AND(I517="TP",S517&lt;=150),VLOOKUP(AF517,TPCalibEq150!$AZ$2:$BB$55,3,),IF(AND(I517="TDP",S517&lt;=150),VLOOKUP(AF517,TPCalibEq150!$AZ$2:$BB$55,3,)))</f>
        <v>0</v>
      </c>
      <c r="AR517" s="10" t="b">
        <f>IF(AND(I517="TP",S517&lt;=300),VLOOKUP(AF517,TPCalibEq300!$AZ$2:$BB$55,3,),IF(AND(I517="TDP",S517&lt;=300),VLOOKUP(AF517,TPCalibEq300!$AZ$2:$BB$55,3,)))</f>
        <v>0</v>
      </c>
      <c r="AS517" s="10" t="b">
        <f>IF(AND(I517="TP",S517&lt;=500),VLOOKUP(AF517,TPCalibEq500!$AZ$2:$BB$56,3,),IF(AND(I517="TDP",S517&lt;=500),VLOOKUP(AF517,TPCalibEq500!$AZ$2:$BB$56,3,)))</f>
        <v>0</v>
      </c>
      <c r="AT517" s="10" t="b">
        <f>IF(AND(I517="TN",S517&lt;=2800),VLOOKUP(AF517,TNCalibEq2500!$AZ$2:$BB$56,3,),IF(AND(I517="TDN",S517&lt;=2800),VLOOKUP(AF517,TNCalibEq2500!$AZ$2:$BB$56,3,)))</f>
        <v>0</v>
      </c>
      <c r="AU517" s="10" t="b">
        <f>IF(I517="TP",VLOOKUP(AF517,TPCalibEqFull!$AZ$2:$BB$56,3),IF(I517="TDP",VLOOKUP(AF517,TPCalibEqFull!$AZ$2:$BB$56,3),IF(I517="TDN",VLOOKUP(AF517,TNCalibEqFull!$AZ$1:$BB$56,3),IF(I517="TN",VLOOKUP(AF517,TNCalibEqFull!$AZ$1:$BB$56,3),FALSE))))</f>
        <v>0</v>
      </c>
      <c r="AV517" s="10" t="str">
        <f t="shared" si="60"/>
        <v>0109 09:57:00-EAW-0-C-2-SW-DUP</v>
      </c>
    </row>
    <row r="518" spans="1:48" s="10" customFormat="1" x14ac:dyDescent="0.55000000000000004">
      <c r="A518" s="32">
        <v>44935</v>
      </c>
      <c r="B518" s="33">
        <v>0.4145833333333333</v>
      </c>
      <c r="C518" s="10" t="s">
        <v>999</v>
      </c>
      <c r="D518" s="10">
        <v>0</v>
      </c>
      <c r="E518" s="10" t="s">
        <v>190</v>
      </c>
      <c r="F518" s="10">
        <v>2</v>
      </c>
      <c r="G518" s="10" t="s">
        <v>231</v>
      </c>
      <c r="H518" s="10" t="s">
        <v>314</v>
      </c>
      <c r="I518" s="10" t="s">
        <v>285</v>
      </c>
      <c r="J518" s="10">
        <v>30</v>
      </c>
      <c r="K518" s="12">
        <v>44937</v>
      </c>
      <c r="L518" s="33">
        <v>0.50510416666666669</v>
      </c>
      <c r="M518" s="10">
        <v>1</v>
      </c>
      <c r="N518" s="10" t="s">
        <v>211</v>
      </c>
      <c r="O518" s="10">
        <v>1.52</v>
      </c>
      <c r="P518" s="10">
        <v>0.15</v>
      </c>
      <c r="Q518" s="10">
        <v>265</v>
      </c>
      <c r="R518" s="10" t="s">
        <v>913</v>
      </c>
      <c r="S518" s="34">
        <f t="shared" si="56"/>
        <v>265</v>
      </c>
      <c r="T518" s="10" t="s">
        <v>1000</v>
      </c>
      <c r="U518" s="34">
        <f t="shared" si="57"/>
        <v>105.792</v>
      </c>
      <c r="V518" s="31">
        <f>IF(H518="CHK",VLOOKUP(I518,QCCHK,3,),IF(H518="GUP",VLOOKUP(E518,QCGUP,2,),IF(AND(H518="ATP",OR(I518="TN",I518="TDN",I518="TNO2-3",I518="NO2-3")),VLOOKUP(E518,QCREC_N,2,),IF(AND(H518="NIC",OR(I518="TN",I518="TDN",I518="TNO2-3",I518="NO2-3")),VLOOKUP(E518,QCNIC_N,2,),IF(AND(H518="UREA",OR(I518="TN",I518="TDN",I518="TNO2-3",I518="NO2-3")),VLOOKUP(E518,QCUREA_N,2,),IF(H518="PER",VLOOKUP(I518,QCPER,MATCH(E518,QCACTUAL!$J$25:$AA$25,0),),IF(H518="SPK",VLOOKUP(I518,QCSPK,3,),IF(AND(H518="ATP",OR(I518="TP",I518="TDP")),VLOOKUP(E518,QCATP_P,2,),""))))))))</f>
        <v>156.25</v>
      </c>
      <c r="W518" s="31" t="str">
        <f t="shared" si="58"/>
        <v>TRUE</v>
      </c>
      <c r="X518" s="31" t="str">
        <f t="shared" si="59"/>
        <v>([spikedunkn]-[unkn])/[spike]*100</v>
      </c>
      <c r="Y518" s="10" t="s">
        <v>992</v>
      </c>
      <c r="Z518" s="10" t="s">
        <v>910</v>
      </c>
      <c r="AL518" s="10" t="str">
        <f t="shared" si="61"/>
        <v>FALSE</v>
      </c>
      <c r="AM518" s="10" t="str">
        <f t="shared" si="61"/>
        <v>FALSE</v>
      </c>
      <c r="AN518" s="10" t="str">
        <f t="shared" si="61"/>
        <v>FALSE</v>
      </c>
      <c r="AO518" s="10" t="str">
        <f t="shared" si="62"/>
        <v>FALSE</v>
      </c>
      <c r="AP518" s="10" t="str">
        <f t="shared" si="62"/>
        <v>FALSE</v>
      </c>
      <c r="AQ518" s="10" t="b">
        <f>IF(AND(I518="TP",S518&lt;=150),VLOOKUP(AF518,TPCalibEq150!$AZ$2:$BB$55,3,),IF(AND(I518="TDP",S518&lt;=150),VLOOKUP(AF518,TPCalibEq150!$AZ$2:$BB$55,3,)))</f>
        <v>0</v>
      </c>
      <c r="AR518" s="10" t="b">
        <f>IF(AND(I518="TP",S518&lt;=300),VLOOKUP(AF518,TPCalibEq300!$AZ$2:$BB$55,3,),IF(AND(I518="TDP",S518&lt;=300),VLOOKUP(AF518,TPCalibEq300!$AZ$2:$BB$55,3,)))</f>
        <v>0</v>
      </c>
      <c r="AS518" s="10" t="b">
        <f>IF(AND(I518="TP",S518&lt;=500),VLOOKUP(AF518,TPCalibEq500!$AZ$2:$BB$56,3,),IF(AND(I518="TDP",S518&lt;=500),VLOOKUP(AF518,TPCalibEq500!$AZ$2:$BB$56,3,)))</f>
        <v>0</v>
      </c>
      <c r="AT518" s="10" t="b">
        <f>IF(AND(I518="TN",S518&lt;=2800),VLOOKUP(AF518,TNCalibEq2500!$AZ$2:$BB$56,3,),IF(AND(I518="TDN",S518&lt;=2800),VLOOKUP(AF518,TNCalibEq2500!$AZ$2:$BB$56,3,)))</f>
        <v>0</v>
      </c>
      <c r="AU518" s="10" t="b">
        <f>IF(I518="TP",VLOOKUP(AF518,TPCalibEqFull!$AZ$2:$BB$56,3),IF(I518="TDP",VLOOKUP(AF518,TPCalibEqFull!$AZ$2:$BB$56,3),IF(I518="TDN",VLOOKUP(AF518,TNCalibEqFull!$AZ$1:$BB$56,3),IF(I518="TN",VLOOKUP(AF518,TNCalibEqFull!$AZ$1:$BB$56,3),FALSE))))</f>
        <v>0</v>
      </c>
      <c r="AV518" s="10" t="str">
        <f t="shared" si="60"/>
        <v>0109 09:57:00-EAW-0-C-2-SW-SPK</v>
      </c>
    </row>
    <row r="519" spans="1:48" s="10" customFormat="1" x14ac:dyDescent="0.55000000000000004">
      <c r="A519" s="32">
        <v>44937</v>
      </c>
      <c r="B519" s="33">
        <v>0.375</v>
      </c>
      <c r="C519" s="10" t="s">
        <v>70</v>
      </c>
      <c r="D519" s="10" t="s">
        <v>71</v>
      </c>
      <c r="E519" s="10" t="s">
        <v>901</v>
      </c>
      <c r="F519" s="10">
        <v>1</v>
      </c>
      <c r="G519" s="10" t="s">
        <v>73</v>
      </c>
      <c r="H519" s="10" t="s">
        <v>207</v>
      </c>
      <c r="I519" s="10" t="s">
        <v>285</v>
      </c>
      <c r="J519" s="10">
        <v>199</v>
      </c>
      <c r="K519" s="12">
        <v>44937</v>
      </c>
      <c r="L519" s="33">
        <v>0.50593750000000004</v>
      </c>
      <c r="M519" s="10">
        <v>1</v>
      </c>
      <c r="N519" s="10" t="s">
        <v>211</v>
      </c>
      <c r="O519" s="10">
        <v>0.442</v>
      </c>
      <c r="P519" s="10">
        <v>4.2799999999999998E-2</v>
      </c>
      <c r="Q519" s="10">
        <v>77.099999999999994</v>
      </c>
      <c r="R519" s="10" t="s">
        <v>913</v>
      </c>
      <c r="S519" s="34">
        <f t="shared" si="56"/>
        <v>77.099999999999994</v>
      </c>
      <c r="T519" s="10" t="s">
        <v>1000</v>
      </c>
      <c r="U519" s="34">
        <f t="shared" si="57"/>
        <v>102.8</v>
      </c>
      <c r="V519" s="31">
        <f>IF(H519="CHK",VLOOKUP(I519,QCCHK,3,),IF(H519="GUP",VLOOKUP(E519,QCGUP,2,),IF(AND(H519="ATP",OR(I519="TN",I519="TDN",I519="TNO2-3",I519="NO2-3")),VLOOKUP(E519,QCREC_N,2,),IF(AND(H519="NIC",OR(I519="TN",I519="TDN",I519="TNO2-3",I519="NO2-3")),VLOOKUP(E519,QCNIC_N,2,),IF(AND(H519="UREA",OR(I519="TN",I519="TDN",I519="TNO2-3",I519="NO2-3")),VLOOKUP(E519,QCUREA_N,2,),IF(H519="PER",VLOOKUP(I519,QCPER,MATCH(E519,QCACTUAL!$J$25:$AA$25,0),),IF(H519="SPK",VLOOKUP(I519,QCSPK,3,),IF(AND(H519="ATP",OR(I519="TP",I519="TDP")),VLOOKUP(E519,QCATP_P,2,),""))))))))</f>
        <v>75</v>
      </c>
      <c r="W519" s="31" t="str">
        <f t="shared" si="58"/>
        <v>TRUE</v>
      </c>
      <c r="X519" s="31" t="str">
        <f t="shared" si="59"/>
        <v>[chk]/[actual]*100</v>
      </c>
      <c r="Y519" s="10" t="s">
        <v>992</v>
      </c>
      <c r="AL519" s="10" t="str">
        <f t="shared" si="61"/>
        <v>FALSE</v>
      </c>
      <c r="AM519" s="10" t="str">
        <f t="shared" si="61"/>
        <v>FALSE</v>
      </c>
      <c r="AN519" s="10" t="str">
        <f t="shared" si="61"/>
        <v>FALSE</v>
      </c>
      <c r="AO519" s="10" t="str">
        <f t="shared" si="62"/>
        <v>FALSE</v>
      </c>
      <c r="AP519" s="10" t="str">
        <f t="shared" si="62"/>
        <v>FALSE</v>
      </c>
      <c r="AQ519" s="10" t="b">
        <f>IF(AND(I519="TP",S519&lt;=150),VLOOKUP(AF519,TPCalibEq150!$AZ$2:$BB$55,3,),IF(AND(I519="TDP",S519&lt;=150),VLOOKUP(AF519,TPCalibEq150!$AZ$2:$BB$55,3,)))</f>
        <v>0</v>
      </c>
      <c r="AR519" s="10" t="b">
        <f>IF(AND(I519="TP",S519&lt;=300),VLOOKUP(AF519,TPCalibEq300!$AZ$2:$BB$55,3,),IF(AND(I519="TDP",S519&lt;=300),VLOOKUP(AF519,TPCalibEq300!$AZ$2:$BB$55,3,)))</f>
        <v>0</v>
      </c>
      <c r="AS519" s="10" t="b">
        <f>IF(AND(I519="TP",S519&lt;=500),VLOOKUP(AF519,TPCalibEq500!$AZ$2:$BB$56,3,),IF(AND(I519="TDP",S519&lt;=500),VLOOKUP(AF519,TPCalibEq500!$AZ$2:$BB$56,3,)))</f>
        <v>0</v>
      </c>
      <c r="AT519" s="10" t="b">
        <f>IF(AND(I519="TN",S519&lt;=2800),VLOOKUP(AF519,TNCalibEq2500!$AZ$2:$BB$56,3,),IF(AND(I519="TDN",S519&lt;=2800),VLOOKUP(AF519,TNCalibEq2500!$AZ$2:$BB$56,3,)))</f>
        <v>0</v>
      </c>
      <c r="AU519" s="10" t="b">
        <f>IF(I519="TP",VLOOKUP(AF519,TPCalibEqFull!$AZ$2:$BB$56,3),IF(I519="TDP",VLOOKUP(AF519,TPCalibEqFull!$AZ$2:$BB$56,3),IF(I519="TDN",VLOOKUP(AF519,TNCalibEqFull!$AZ$1:$BB$56,3),IF(I519="TN",VLOOKUP(AF519,TNCalibEqFull!$AZ$1:$BB$56,3),FALSE))))</f>
        <v>0</v>
      </c>
      <c r="AV519" s="10" t="str">
        <f t="shared" si="60"/>
        <v>0111 09:00:00-QAC-STD-D-1-DI-CHK</v>
      </c>
    </row>
    <row r="520" spans="1:48" s="10" customFormat="1" x14ac:dyDescent="0.55000000000000004">
      <c r="A520" s="32">
        <v>44930</v>
      </c>
      <c r="B520" s="33">
        <v>0.22569444444444445</v>
      </c>
      <c r="C520" s="10" t="s">
        <v>279</v>
      </c>
      <c r="D520" s="10">
        <v>0</v>
      </c>
      <c r="E520" s="10" t="s">
        <v>911</v>
      </c>
      <c r="F520" s="10">
        <v>1</v>
      </c>
      <c r="G520" s="10" t="s">
        <v>231</v>
      </c>
      <c r="H520" s="10" t="s">
        <v>322</v>
      </c>
      <c r="I520" s="10" t="s">
        <v>167</v>
      </c>
      <c r="J520" s="10">
        <v>15</v>
      </c>
      <c r="K520" s="12">
        <v>44937</v>
      </c>
      <c r="L520" s="33">
        <v>0.50673611111111116</v>
      </c>
      <c r="M520" s="10">
        <v>1</v>
      </c>
      <c r="N520" s="10" t="s">
        <v>211</v>
      </c>
      <c r="O520" s="10">
        <v>0.999</v>
      </c>
      <c r="P520" s="10">
        <v>9.7299999999999998E-2</v>
      </c>
      <c r="Q520" s="10">
        <v>174</v>
      </c>
      <c r="R520" s="10" t="s">
        <v>913</v>
      </c>
      <c r="S520" s="34">
        <f t="shared" si="56"/>
        <v>174</v>
      </c>
      <c r="T520" s="10" t="s">
        <v>1000</v>
      </c>
      <c r="U520" s="34" t="str">
        <f t="shared" si="57"/>
        <v/>
      </c>
      <c r="V520" s="31" t="str">
        <f>IF(H520="CHK",VLOOKUP(I520,QCCHK,3,),IF(H520="GUP",VLOOKUP(E520,QCGUP,2,),IF(AND(H520="ATP",OR(I520="TN",I520="TDN",I520="TNO2-3",I520="NO2-3")),VLOOKUP(E520,QCREC_N,2,),IF(AND(H520="NIC",OR(I520="TN",I520="TDN",I520="TNO2-3",I520="NO2-3")),VLOOKUP(E520,QCNIC_N,2,),IF(AND(H520="UREA",OR(I520="TN",I520="TDN",I520="TNO2-3",I520="NO2-3")),VLOOKUP(E520,QCUREA_N,2,),IF(H520="PER",VLOOKUP(I520,QCPER,MATCH(E520,QCACTUAL!$J$25:$AA$25,0),),IF(H520="SPK",VLOOKUP(I520,QCSPK,3,),IF(AND(H520="ATP",OR(I520="TP",I520="TDP")),VLOOKUP(E520,QCATP_P,2,),""))))))))</f>
        <v/>
      </c>
      <c r="W520" s="31" t="str">
        <f t="shared" si="58"/>
        <v>TRUE</v>
      </c>
      <c r="X520" s="31" t="str">
        <f t="shared" si="59"/>
        <v/>
      </c>
      <c r="Y520" s="10" t="s">
        <v>992</v>
      </c>
      <c r="Z520" s="10" t="s">
        <v>910</v>
      </c>
      <c r="AL520" s="10" t="str">
        <f t="shared" si="61"/>
        <v>FALSE</v>
      </c>
      <c r="AM520" s="10" t="str">
        <f t="shared" si="61"/>
        <v>FALSE</v>
      </c>
      <c r="AN520" s="10" t="str">
        <f t="shared" si="61"/>
        <v>FALSE</v>
      </c>
      <c r="AO520" s="10" t="str">
        <f t="shared" si="62"/>
        <v>FALSE</v>
      </c>
      <c r="AP520" s="10" t="str">
        <f t="shared" si="62"/>
        <v>FALSE</v>
      </c>
      <c r="AQ520" s="10" t="b">
        <f>IF(AND(I520="TP",S520&lt;=150),VLOOKUP(AF520,TPCalibEq150!$AZ$2:$BB$55,3,),IF(AND(I520="TDP",S520&lt;=150),VLOOKUP(AF520,TPCalibEq150!$AZ$2:$BB$55,3,)))</f>
        <v>0</v>
      </c>
      <c r="AR520" s="10" t="b">
        <f>IF(AND(I520="TP",S520&lt;=300),VLOOKUP(AF520,TPCalibEq300!$AZ$2:$BB$55,3,),IF(AND(I520="TDP",S520&lt;=300),VLOOKUP(AF520,TPCalibEq300!$AZ$2:$BB$55,3,)))</f>
        <v>0</v>
      </c>
      <c r="AS520" s="10" t="b">
        <f>IF(AND(I520="TP",S520&lt;=500),VLOOKUP(AF520,TPCalibEq500!$AZ$2:$BB$56,3,),IF(AND(I520="TDP",S520&lt;=500),VLOOKUP(AF520,TPCalibEq500!$AZ$2:$BB$56,3,)))</f>
        <v>0</v>
      </c>
      <c r="AT520" s="10" t="b">
        <f>IF(AND(I520="TN",S520&lt;=2800),VLOOKUP(AF520,TNCalibEq2500!$AZ$2:$BB$56,3,),IF(AND(I520="TDN",S520&lt;=2800),VLOOKUP(AF520,TNCalibEq2500!$AZ$2:$BB$56,3,)))</f>
        <v>0</v>
      </c>
      <c r="AU520" s="10" t="b">
        <f>IF(I520="TP",VLOOKUP(AF520,TPCalibEqFull!$AZ$2:$BB$56,3),IF(I520="TDP",VLOOKUP(AF520,TPCalibEqFull!$AZ$2:$BB$56,3),IF(I520="TDN",VLOOKUP(AF520,TNCalibEqFull!$AZ$1:$BB$56,3),IF(I520="TN",VLOOKUP(AF520,TNCalibEqFull!$AZ$1:$BB$56,3),FALSE))))</f>
        <v>0</v>
      </c>
      <c r="AV520" s="10" t="str">
        <f t="shared" si="60"/>
        <v>0104 05:25:00-EFK-0-FIL-1-SW-UKN</v>
      </c>
    </row>
    <row r="521" spans="1:48" s="10" customFormat="1" x14ac:dyDescent="0.55000000000000004">
      <c r="A521" s="32">
        <v>44930</v>
      </c>
      <c r="B521" s="33">
        <v>0.22916666666666666</v>
      </c>
      <c r="C521" s="10" t="s">
        <v>333</v>
      </c>
      <c r="D521" s="10">
        <v>0</v>
      </c>
      <c r="E521" s="10" t="s">
        <v>911</v>
      </c>
      <c r="F521" s="10">
        <v>1</v>
      </c>
      <c r="G521" s="10" t="s">
        <v>231</v>
      </c>
      <c r="H521" s="10" t="s">
        <v>322</v>
      </c>
      <c r="I521" s="10" t="s">
        <v>167</v>
      </c>
      <c r="J521" s="10">
        <v>16</v>
      </c>
      <c r="K521" s="12">
        <v>44937</v>
      </c>
      <c r="L521" s="33">
        <v>0.50755787037037037</v>
      </c>
      <c r="M521" s="10">
        <v>1</v>
      </c>
      <c r="N521" s="10" t="s">
        <v>211</v>
      </c>
      <c r="O521" s="10">
        <v>0.47599999999999998</v>
      </c>
      <c r="P521" s="10">
        <v>4.5699999999999998E-2</v>
      </c>
      <c r="Q521" s="10">
        <v>83</v>
      </c>
      <c r="R521" s="10" t="s">
        <v>913</v>
      </c>
      <c r="S521" s="34">
        <f t="shared" si="56"/>
        <v>83</v>
      </c>
      <c r="T521" s="10" t="s">
        <v>1000</v>
      </c>
      <c r="U521" s="34" t="str">
        <f t="shared" si="57"/>
        <v/>
      </c>
      <c r="V521" s="31" t="str">
        <f>IF(H521="CHK",VLOOKUP(I521,QCCHK,3,),IF(H521="GUP",VLOOKUP(E521,QCGUP,2,),IF(AND(H521="ATP",OR(I521="TN",I521="TDN",I521="TNO2-3",I521="NO2-3")),VLOOKUP(E521,QCREC_N,2,),IF(AND(H521="NIC",OR(I521="TN",I521="TDN",I521="TNO2-3",I521="NO2-3")),VLOOKUP(E521,QCNIC_N,2,),IF(AND(H521="UREA",OR(I521="TN",I521="TDN",I521="TNO2-3",I521="NO2-3")),VLOOKUP(E521,QCUREA_N,2,),IF(H521="PER",VLOOKUP(I521,QCPER,MATCH(E521,QCACTUAL!$J$25:$AA$25,0),),IF(H521="SPK",VLOOKUP(I521,QCSPK,3,),IF(AND(H521="ATP",OR(I521="TP",I521="TDP")),VLOOKUP(E521,QCATP_P,2,),""))))))))</f>
        <v/>
      </c>
      <c r="W521" s="31" t="str">
        <f t="shared" si="58"/>
        <v>TRUE</v>
      </c>
      <c r="X521" s="31" t="str">
        <f t="shared" si="59"/>
        <v/>
      </c>
      <c r="Y521" s="10" t="s">
        <v>992</v>
      </c>
      <c r="Z521" s="10" t="s">
        <v>910</v>
      </c>
      <c r="AL521" s="10" t="str">
        <f t="shared" si="61"/>
        <v>FALSE</v>
      </c>
      <c r="AM521" s="10" t="str">
        <f t="shared" si="61"/>
        <v>FALSE</v>
      </c>
      <c r="AN521" s="10" t="str">
        <f t="shared" si="61"/>
        <v>FALSE</v>
      </c>
      <c r="AO521" s="10" t="str">
        <f t="shared" si="62"/>
        <v>FALSE</v>
      </c>
      <c r="AP521" s="10" t="str">
        <f t="shared" si="62"/>
        <v>FALSE</v>
      </c>
      <c r="AQ521" s="10" t="b">
        <f>IF(AND(I521="TP",S521&lt;=150),VLOOKUP(AF521,TPCalibEq150!$AZ$2:$BB$55,3,),IF(AND(I521="TDP",S521&lt;=150),VLOOKUP(AF521,TPCalibEq150!$AZ$2:$BB$55,3,)))</f>
        <v>0</v>
      </c>
      <c r="AR521" s="10" t="b">
        <f>IF(AND(I521="TP",S521&lt;=300),VLOOKUP(AF521,TPCalibEq300!$AZ$2:$BB$55,3,),IF(AND(I521="TDP",S521&lt;=300),VLOOKUP(AF521,TPCalibEq300!$AZ$2:$BB$55,3,)))</f>
        <v>0</v>
      </c>
      <c r="AS521" s="10" t="b">
        <f>IF(AND(I521="TP",S521&lt;=500),VLOOKUP(AF521,TPCalibEq500!$AZ$2:$BB$56,3,),IF(AND(I521="TDP",S521&lt;=500),VLOOKUP(AF521,TPCalibEq500!$AZ$2:$BB$56,3,)))</f>
        <v>0</v>
      </c>
      <c r="AT521" s="10" t="b">
        <f>IF(AND(I521="TN",S521&lt;=2800),VLOOKUP(AF521,TNCalibEq2500!$AZ$2:$BB$56,3,),IF(AND(I521="TDN",S521&lt;=2800),VLOOKUP(AF521,TNCalibEq2500!$AZ$2:$BB$56,3,)))</f>
        <v>0</v>
      </c>
      <c r="AU521" s="10" t="b">
        <f>IF(I521="TP",VLOOKUP(AF521,TPCalibEqFull!$AZ$2:$BB$56,3),IF(I521="TDP",VLOOKUP(AF521,TPCalibEqFull!$AZ$2:$BB$56,3),IF(I521="TDN",VLOOKUP(AF521,TNCalibEqFull!$AZ$1:$BB$56,3),IF(I521="TN",VLOOKUP(AF521,TNCalibEqFull!$AZ$1:$BB$56,3),FALSE))))</f>
        <v>0</v>
      </c>
      <c r="AV521" s="10" t="str">
        <f t="shared" si="60"/>
        <v>0104 05:30:00-HST-0-FIL-1-SW-UKN</v>
      </c>
    </row>
    <row r="522" spans="1:48" s="10" customFormat="1" x14ac:dyDescent="0.55000000000000004">
      <c r="A522" s="32">
        <v>44931</v>
      </c>
      <c r="B522" s="33">
        <v>0.44513888888888892</v>
      </c>
      <c r="C522" s="10" t="s">
        <v>279</v>
      </c>
      <c r="D522" s="10">
        <v>0</v>
      </c>
      <c r="E522" s="10" t="s">
        <v>911</v>
      </c>
      <c r="F522" s="10">
        <v>1</v>
      </c>
      <c r="G522" s="10" t="s">
        <v>231</v>
      </c>
      <c r="H522" s="10" t="s">
        <v>322</v>
      </c>
      <c r="I522" s="10" t="s">
        <v>167</v>
      </c>
      <c r="J522" s="10">
        <v>17</v>
      </c>
      <c r="K522" s="12">
        <v>44937</v>
      </c>
      <c r="L522" s="33">
        <v>0.50839120370370372</v>
      </c>
      <c r="M522" s="10">
        <v>1</v>
      </c>
      <c r="N522" s="10" t="s">
        <v>211</v>
      </c>
      <c r="O522" s="10">
        <v>0.35</v>
      </c>
      <c r="P522" s="10">
        <v>3.3500000000000002E-2</v>
      </c>
      <c r="Q522" s="10">
        <v>61</v>
      </c>
      <c r="R522" s="10" t="s">
        <v>913</v>
      </c>
      <c r="S522" s="34">
        <f t="shared" si="56"/>
        <v>61</v>
      </c>
      <c r="T522" s="10" t="s">
        <v>1000</v>
      </c>
      <c r="U522" s="34" t="str">
        <f t="shared" si="57"/>
        <v/>
      </c>
      <c r="V522" s="31" t="str">
        <f>IF(H522="CHK",VLOOKUP(I522,QCCHK,3,),IF(H522="GUP",VLOOKUP(E522,QCGUP,2,),IF(AND(H522="ATP",OR(I522="TN",I522="TDN",I522="TNO2-3",I522="NO2-3")),VLOOKUP(E522,QCREC_N,2,),IF(AND(H522="NIC",OR(I522="TN",I522="TDN",I522="TNO2-3",I522="NO2-3")),VLOOKUP(E522,QCNIC_N,2,),IF(AND(H522="UREA",OR(I522="TN",I522="TDN",I522="TNO2-3",I522="NO2-3")),VLOOKUP(E522,QCUREA_N,2,),IF(H522="PER",VLOOKUP(I522,QCPER,MATCH(E522,QCACTUAL!$J$25:$AA$25,0),),IF(H522="SPK",VLOOKUP(I522,QCSPK,3,),IF(AND(H522="ATP",OR(I522="TP",I522="TDP")),VLOOKUP(E522,QCATP_P,2,),""))))))))</f>
        <v/>
      </c>
      <c r="W522" s="31" t="str">
        <f t="shared" si="58"/>
        <v>TRUE</v>
      </c>
      <c r="X522" s="31" t="str">
        <f t="shared" si="59"/>
        <v/>
      </c>
      <c r="Y522" s="10" t="s">
        <v>992</v>
      </c>
      <c r="Z522" s="10" t="s">
        <v>910</v>
      </c>
      <c r="AL522" s="10" t="str">
        <f t="shared" si="61"/>
        <v>FALSE</v>
      </c>
      <c r="AM522" s="10" t="str">
        <f t="shared" si="61"/>
        <v>FALSE</v>
      </c>
      <c r="AN522" s="10" t="str">
        <f t="shared" si="61"/>
        <v>FALSE</v>
      </c>
      <c r="AO522" s="10" t="str">
        <f t="shared" si="62"/>
        <v>FALSE</v>
      </c>
      <c r="AP522" s="10" t="str">
        <f t="shared" si="62"/>
        <v>FALSE</v>
      </c>
      <c r="AQ522" s="10" t="b">
        <f>IF(AND(I522="TP",S522&lt;=150),VLOOKUP(AF522,TPCalibEq150!$AZ$2:$BB$55,3,),IF(AND(I522="TDP",S522&lt;=150),VLOOKUP(AF522,TPCalibEq150!$AZ$2:$BB$55,3,)))</f>
        <v>0</v>
      </c>
      <c r="AR522" s="10" t="b">
        <f>IF(AND(I522="TP",S522&lt;=300),VLOOKUP(AF522,TPCalibEq300!$AZ$2:$BB$55,3,),IF(AND(I522="TDP",S522&lt;=300),VLOOKUP(AF522,TPCalibEq300!$AZ$2:$BB$55,3,)))</f>
        <v>0</v>
      </c>
      <c r="AS522" s="10" t="b">
        <f>IF(AND(I522="TP",S522&lt;=500),VLOOKUP(AF522,TPCalibEq500!$AZ$2:$BB$56,3,),IF(AND(I522="TDP",S522&lt;=500),VLOOKUP(AF522,TPCalibEq500!$AZ$2:$BB$56,3,)))</f>
        <v>0</v>
      </c>
      <c r="AT522" s="10" t="b">
        <f>IF(AND(I522="TN",S522&lt;=2800),VLOOKUP(AF522,TNCalibEq2500!$AZ$2:$BB$56,3,),IF(AND(I522="TDN",S522&lt;=2800),VLOOKUP(AF522,TNCalibEq2500!$AZ$2:$BB$56,3,)))</f>
        <v>0</v>
      </c>
      <c r="AU522" s="10" t="b">
        <f>IF(I522="TP",VLOOKUP(AF522,TPCalibEqFull!$AZ$2:$BB$56,3),IF(I522="TDP",VLOOKUP(AF522,TPCalibEqFull!$AZ$2:$BB$56,3),IF(I522="TDN",VLOOKUP(AF522,TNCalibEqFull!$AZ$1:$BB$56,3),IF(I522="TN",VLOOKUP(AF522,TNCalibEqFull!$AZ$1:$BB$56,3),FALSE))))</f>
        <v>0</v>
      </c>
      <c r="AV522" s="10" t="str">
        <f t="shared" si="60"/>
        <v>0105 10:41:00-EFK-0-FIL-1-SW-UKN</v>
      </c>
    </row>
    <row r="523" spans="1:48" s="10" customFormat="1" x14ac:dyDescent="0.55000000000000004">
      <c r="A523" s="32">
        <v>44931</v>
      </c>
      <c r="B523" s="33">
        <v>0.45069444444444445</v>
      </c>
      <c r="C523" s="10" t="s">
        <v>333</v>
      </c>
      <c r="D523" s="10">
        <v>0</v>
      </c>
      <c r="E523" s="10" t="s">
        <v>911</v>
      </c>
      <c r="F523" s="10">
        <v>1</v>
      </c>
      <c r="G523" s="10" t="s">
        <v>231</v>
      </c>
      <c r="H523" s="10" t="s">
        <v>322</v>
      </c>
      <c r="I523" s="10" t="s">
        <v>167</v>
      </c>
      <c r="J523" s="10">
        <v>18</v>
      </c>
      <c r="K523" s="12">
        <v>44937</v>
      </c>
      <c r="L523" s="33">
        <v>0.50921296296296303</v>
      </c>
      <c r="M523" s="10">
        <v>1</v>
      </c>
      <c r="N523" s="10" t="s">
        <v>211</v>
      </c>
      <c r="O523" s="10">
        <v>0.35099999999999998</v>
      </c>
      <c r="P523" s="10">
        <v>3.3300000000000003E-2</v>
      </c>
      <c r="Q523" s="10">
        <v>61.2</v>
      </c>
      <c r="R523" s="10" t="s">
        <v>913</v>
      </c>
      <c r="S523" s="34">
        <f t="shared" si="56"/>
        <v>61.2</v>
      </c>
      <c r="T523" s="10" t="s">
        <v>1000</v>
      </c>
      <c r="U523" s="34" t="str">
        <f t="shared" si="57"/>
        <v/>
      </c>
      <c r="V523" s="31" t="str">
        <f>IF(H523="CHK",VLOOKUP(I523,QCCHK,3,),IF(H523="GUP",VLOOKUP(E523,QCGUP,2,),IF(AND(H523="ATP",OR(I523="TN",I523="TDN",I523="TNO2-3",I523="NO2-3")),VLOOKUP(E523,QCREC_N,2,),IF(AND(H523="NIC",OR(I523="TN",I523="TDN",I523="TNO2-3",I523="NO2-3")),VLOOKUP(E523,QCNIC_N,2,),IF(AND(H523="UREA",OR(I523="TN",I523="TDN",I523="TNO2-3",I523="NO2-3")),VLOOKUP(E523,QCUREA_N,2,),IF(H523="PER",VLOOKUP(I523,QCPER,MATCH(E523,QCACTUAL!$J$25:$AA$25,0),),IF(H523="SPK",VLOOKUP(I523,QCSPK,3,),IF(AND(H523="ATP",OR(I523="TP",I523="TDP")),VLOOKUP(E523,QCATP_P,2,),""))))))))</f>
        <v/>
      </c>
      <c r="W523" s="31" t="str">
        <f t="shared" si="58"/>
        <v>TRUE</v>
      </c>
      <c r="X523" s="31" t="str">
        <f t="shared" si="59"/>
        <v/>
      </c>
      <c r="Y523" s="10" t="s">
        <v>992</v>
      </c>
      <c r="Z523" s="10" t="s">
        <v>910</v>
      </c>
      <c r="AL523" s="10" t="str">
        <f t="shared" si="61"/>
        <v>FALSE</v>
      </c>
      <c r="AM523" s="10" t="str">
        <f t="shared" si="61"/>
        <v>FALSE</v>
      </c>
      <c r="AN523" s="10" t="str">
        <f t="shared" si="61"/>
        <v>FALSE</v>
      </c>
      <c r="AO523" s="10" t="str">
        <f t="shared" si="62"/>
        <v>FALSE</v>
      </c>
      <c r="AP523" s="10" t="str">
        <f t="shared" si="62"/>
        <v>FALSE</v>
      </c>
      <c r="AQ523" s="10" t="b">
        <f>IF(AND(I523="TP",S523&lt;=150),VLOOKUP(AF523,TPCalibEq150!$AZ$2:$BB$55,3,),IF(AND(I523="TDP",S523&lt;=150),VLOOKUP(AF523,TPCalibEq150!$AZ$2:$BB$55,3,)))</f>
        <v>0</v>
      </c>
      <c r="AR523" s="10" t="b">
        <f>IF(AND(I523="TP",S523&lt;=300),VLOOKUP(AF523,TPCalibEq300!$AZ$2:$BB$55,3,),IF(AND(I523="TDP",S523&lt;=300),VLOOKUP(AF523,TPCalibEq300!$AZ$2:$BB$55,3,)))</f>
        <v>0</v>
      </c>
      <c r="AS523" s="10" t="b">
        <f>IF(AND(I523="TP",S523&lt;=500),VLOOKUP(AF523,TPCalibEq500!$AZ$2:$BB$56,3,),IF(AND(I523="TDP",S523&lt;=500),VLOOKUP(AF523,TPCalibEq500!$AZ$2:$BB$56,3,)))</f>
        <v>0</v>
      </c>
      <c r="AT523" s="10" t="b">
        <f>IF(AND(I523="TN",S523&lt;=2800),VLOOKUP(AF523,TNCalibEq2500!$AZ$2:$BB$56,3,),IF(AND(I523="TDN",S523&lt;=2800),VLOOKUP(AF523,TNCalibEq2500!$AZ$2:$BB$56,3,)))</f>
        <v>0</v>
      </c>
      <c r="AU523" s="10" t="b">
        <f>IF(I523="TP",VLOOKUP(AF523,TPCalibEqFull!$AZ$2:$BB$56,3),IF(I523="TDP",VLOOKUP(AF523,TPCalibEqFull!$AZ$2:$BB$56,3),IF(I523="TDN",VLOOKUP(AF523,TNCalibEqFull!$AZ$1:$BB$56,3),IF(I523="TN",VLOOKUP(AF523,TNCalibEqFull!$AZ$1:$BB$56,3),FALSE))))</f>
        <v>0</v>
      </c>
      <c r="AV523" s="10" t="str">
        <f t="shared" si="60"/>
        <v>0105 10:49:00-HST-0-FIL-1-SW-UKN</v>
      </c>
    </row>
    <row r="524" spans="1:48" s="10" customFormat="1" x14ac:dyDescent="0.55000000000000004">
      <c r="A524" s="32">
        <v>44932</v>
      </c>
      <c r="B524" s="33">
        <v>0.53333333333333333</v>
      </c>
      <c r="C524" s="10" t="s">
        <v>279</v>
      </c>
      <c r="D524" s="10">
        <v>0</v>
      </c>
      <c r="E524" s="10" t="s">
        <v>911</v>
      </c>
      <c r="F524" s="10">
        <v>1</v>
      </c>
      <c r="G524" s="10" t="s">
        <v>231</v>
      </c>
      <c r="H524" s="10" t="s">
        <v>322</v>
      </c>
      <c r="I524" s="10" t="s">
        <v>167</v>
      </c>
      <c r="J524" s="10">
        <v>19</v>
      </c>
      <c r="K524" s="12">
        <v>44937</v>
      </c>
      <c r="L524" s="33">
        <v>0.5100231481481482</v>
      </c>
      <c r="M524" s="10">
        <v>1</v>
      </c>
      <c r="N524" s="10" t="s">
        <v>211</v>
      </c>
      <c r="O524" s="10">
        <v>0.32300000000000001</v>
      </c>
      <c r="P524" s="10">
        <v>3.0499999999999999E-2</v>
      </c>
      <c r="Q524" s="10">
        <v>56.3</v>
      </c>
      <c r="R524" s="10" t="s">
        <v>913</v>
      </c>
      <c r="S524" s="34">
        <f t="shared" si="56"/>
        <v>56.3</v>
      </c>
      <c r="T524" s="10" t="s">
        <v>1000</v>
      </c>
      <c r="U524" s="34" t="str">
        <f t="shared" si="57"/>
        <v/>
      </c>
      <c r="V524" s="31" t="str">
        <f>IF(H524="CHK",VLOOKUP(I524,QCCHK,3,),IF(H524="GUP",VLOOKUP(E524,QCGUP,2,),IF(AND(H524="ATP",OR(I524="TN",I524="TDN",I524="TNO2-3",I524="NO2-3")),VLOOKUP(E524,QCREC_N,2,),IF(AND(H524="NIC",OR(I524="TN",I524="TDN",I524="TNO2-3",I524="NO2-3")),VLOOKUP(E524,QCNIC_N,2,),IF(AND(H524="UREA",OR(I524="TN",I524="TDN",I524="TNO2-3",I524="NO2-3")),VLOOKUP(E524,QCUREA_N,2,),IF(H524="PER",VLOOKUP(I524,QCPER,MATCH(E524,QCACTUAL!$J$25:$AA$25,0),),IF(H524="SPK",VLOOKUP(I524,QCSPK,3,),IF(AND(H524="ATP",OR(I524="TP",I524="TDP")),VLOOKUP(E524,QCATP_P,2,),""))))))))</f>
        <v/>
      </c>
      <c r="W524" s="31" t="str">
        <f t="shared" si="58"/>
        <v>TRUE</v>
      </c>
      <c r="X524" s="31" t="str">
        <f t="shared" si="59"/>
        <v/>
      </c>
      <c r="Y524" s="10" t="s">
        <v>992</v>
      </c>
      <c r="Z524" s="10" t="s">
        <v>910</v>
      </c>
      <c r="AL524" s="10" t="str">
        <f t="shared" si="61"/>
        <v>FALSE</v>
      </c>
      <c r="AM524" s="10" t="str">
        <f t="shared" si="61"/>
        <v>FALSE</v>
      </c>
      <c r="AN524" s="10" t="str">
        <f t="shared" si="61"/>
        <v>FALSE</v>
      </c>
      <c r="AO524" s="10" t="str">
        <f t="shared" si="62"/>
        <v>FALSE</v>
      </c>
      <c r="AP524" s="10" t="str">
        <f t="shared" si="62"/>
        <v>FALSE</v>
      </c>
      <c r="AQ524" s="10" t="b">
        <f>IF(AND(I524="TP",S524&lt;=150),VLOOKUP(AF524,TPCalibEq150!$AZ$2:$BB$55,3,),IF(AND(I524="TDP",S524&lt;=150),VLOOKUP(AF524,TPCalibEq150!$AZ$2:$BB$55,3,)))</f>
        <v>0</v>
      </c>
      <c r="AR524" s="10" t="b">
        <f>IF(AND(I524="TP",S524&lt;=300),VLOOKUP(AF524,TPCalibEq300!$AZ$2:$BB$55,3,),IF(AND(I524="TDP",S524&lt;=300),VLOOKUP(AF524,TPCalibEq300!$AZ$2:$BB$55,3,)))</f>
        <v>0</v>
      </c>
      <c r="AS524" s="10" t="b">
        <f>IF(AND(I524="TP",S524&lt;=500),VLOOKUP(AF524,TPCalibEq500!$AZ$2:$BB$56,3,),IF(AND(I524="TDP",S524&lt;=500),VLOOKUP(AF524,TPCalibEq500!$AZ$2:$BB$56,3,)))</f>
        <v>0</v>
      </c>
      <c r="AT524" s="10" t="b">
        <f>IF(AND(I524="TN",S524&lt;=2800),VLOOKUP(AF524,TNCalibEq2500!$AZ$2:$BB$56,3,),IF(AND(I524="TDN",S524&lt;=2800),VLOOKUP(AF524,TNCalibEq2500!$AZ$2:$BB$56,3,)))</f>
        <v>0</v>
      </c>
      <c r="AU524" s="10" t="b">
        <f>IF(I524="TP",VLOOKUP(AF524,TPCalibEqFull!$AZ$2:$BB$56,3),IF(I524="TDP",VLOOKUP(AF524,TPCalibEqFull!$AZ$2:$BB$56,3),IF(I524="TDN",VLOOKUP(AF524,TNCalibEqFull!$AZ$1:$BB$56,3),IF(I524="TN",VLOOKUP(AF524,TNCalibEqFull!$AZ$1:$BB$56,3),FALSE))))</f>
        <v>0</v>
      </c>
      <c r="AV524" s="10" t="str">
        <f t="shared" si="60"/>
        <v>0106 12:48:00-EFK-0-FIL-1-SW-UKN</v>
      </c>
    </row>
    <row r="525" spans="1:48" s="10" customFormat="1" x14ac:dyDescent="0.55000000000000004">
      <c r="A525" s="32">
        <v>44932</v>
      </c>
      <c r="B525" s="33">
        <v>0.52430555555555558</v>
      </c>
      <c r="C525" s="10" t="s">
        <v>333</v>
      </c>
      <c r="D525" s="10">
        <v>0</v>
      </c>
      <c r="E525" s="10" t="s">
        <v>911</v>
      </c>
      <c r="F525" s="10">
        <v>1</v>
      </c>
      <c r="G525" s="10" t="s">
        <v>231</v>
      </c>
      <c r="H525" s="10" t="s">
        <v>322</v>
      </c>
      <c r="I525" s="10" t="s">
        <v>167</v>
      </c>
      <c r="J525" s="10">
        <v>20</v>
      </c>
      <c r="K525" s="12">
        <v>44937</v>
      </c>
      <c r="L525" s="33">
        <v>0.51085648148148144</v>
      </c>
      <c r="M525" s="10">
        <v>1</v>
      </c>
      <c r="N525" s="10" t="s">
        <v>211</v>
      </c>
      <c r="O525" s="10">
        <v>0.65200000000000002</v>
      </c>
      <c r="P525" s="10">
        <v>6.2600000000000003E-2</v>
      </c>
      <c r="Q525" s="10">
        <v>114</v>
      </c>
      <c r="R525" s="10" t="s">
        <v>913</v>
      </c>
      <c r="S525" s="34">
        <f t="shared" si="56"/>
        <v>114</v>
      </c>
      <c r="T525" s="10" t="s">
        <v>1000</v>
      </c>
      <c r="U525" s="34" t="str">
        <f t="shared" si="57"/>
        <v/>
      </c>
      <c r="V525" s="31" t="str">
        <f>IF(H525="CHK",VLOOKUP(I525,QCCHK,3,),IF(H525="GUP",VLOOKUP(E525,QCGUP,2,),IF(AND(H525="ATP",OR(I525="TN",I525="TDN",I525="TNO2-3",I525="NO2-3")),VLOOKUP(E525,QCREC_N,2,),IF(AND(H525="NIC",OR(I525="TN",I525="TDN",I525="TNO2-3",I525="NO2-3")),VLOOKUP(E525,QCNIC_N,2,),IF(AND(H525="UREA",OR(I525="TN",I525="TDN",I525="TNO2-3",I525="NO2-3")),VLOOKUP(E525,QCUREA_N,2,),IF(H525="PER",VLOOKUP(I525,QCPER,MATCH(E525,QCACTUAL!$J$25:$AA$25,0),),IF(H525="SPK",VLOOKUP(I525,QCSPK,3,),IF(AND(H525="ATP",OR(I525="TP",I525="TDP")),VLOOKUP(E525,QCATP_P,2,),""))))))))</f>
        <v/>
      </c>
      <c r="W525" s="31" t="str">
        <f t="shared" si="58"/>
        <v>TRUE</v>
      </c>
      <c r="X525" s="31" t="str">
        <f t="shared" si="59"/>
        <v/>
      </c>
      <c r="Y525" s="10" t="s">
        <v>992</v>
      </c>
      <c r="Z525" s="10" t="s">
        <v>910</v>
      </c>
      <c r="AL525" s="10" t="str">
        <f t="shared" si="61"/>
        <v>FALSE</v>
      </c>
      <c r="AM525" s="10" t="str">
        <f t="shared" si="61"/>
        <v>FALSE</v>
      </c>
      <c r="AN525" s="10" t="str">
        <f t="shared" si="61"/>
        <v>FALSE</v>
      </c>
      <c r="AO525" s="10" t="str">
        <f t="shared" si="62"/>
        <v>FALSE</v>
      </c>
      <c r="AP525" s="10" t="str">
        <f t="shared" si="62"/>
        <v>FALSE</v>
      </c>
      <c r="AQ525" s="10" t="b">
        <f>IF(AND(I525="TP",S525&lt;=150),VLOOKUP(AF525,TPCalibEq150!$AZ$2:$BB$55,3,),IF(AND(I525="TDP",S525&lt;=150),VLOOKUP(AF525,TPCalibEq150!$AZ$2:$BB$55,3,)))</f>
        <v>0</v>
      </c>
      <c r="AR525" s="10" t="b">
        <f>IF(AND(I525="TP",S525&lt;=300),VLOOKUP(AF525,TPCalibEq300!$AZ$2:$BB$55,3,),IF(AND(I525="TDP",S525&lt;=300),VLOOKUP(AF525,TPCalibEq300!$AZ$2:$BB$55,3,)))</f>
        <v>0</v>
      </c>
      <c r="AS525" s="10" t="b">
        <f>IF(AND(I525="TP",S525&lt;=500),VLOOKUP(AF525,TPCalibEq500!$AZ$2:$BB$56,3,),IF(AND(I525="TDP",S525&lt;=500),VLOOKUP(AF525,TPCalibEq500!$AZ$2:$BB$56,3,)))</f>
        <v>0</v>
      </c>
      <c r="AT525" s="10" t="b">
        <f>IF(AND(I525="TN",S525&lt;=2800),VLOOKUP(AF525,TNCalibEq2500!$AZ$2:$BB$56,3,),IF(AND(I525="TDN",S525&lt;=2800),VLOOKUP(AF525,TNCalibEq2500!$AZ$2:$BB$56,3,)))</f>
        <v>0</v>
      </c>
      <c r="AU525" s="10" t="b">
        <f>IF(I525="TP",VLOOKUP(AF525,TPCalibEqFull!$AZ$2:$BB$56,3),IF(I525="TDP",VLOOKUP(AF525,TPCalibEqFull!$AZ$2:$BB$56,3),IF(I525="TDN",VLOOKUP(AF525,TNCalibEqFull!$AZ$1:$BB$56,3),IF(I525="TN",VLOOKUP(AF525,TNCalibEqFull!$AZ$1:$BB$56,3),FALSE))))</f>
        <v>0</v>
      </c>
      <c r="AV525" s="10" t="str">
        <f t="shared" si="60"/>
        <v>0106 12:35:00-HST-0-FIL-1-SW-UKN</v>
      </c>
    </row>
    <row r="526" spans="1:48" s="10" customFormat="1" x14ac:dyDescent="0.55000000000000004">
      <c r="A526" s="32">
        <v>44935</v>
      </c>
      <c r="B526" s="33">
        <v>0.39166666666666666</v>
      </c>
      <c r="C526" s="10" t="s">
        <v>279</v>
      </c>
      <c r="D526" s="10">
        <v>0</v>
      </c>
      <c r="E526" s="10" t="s">
        <v>911</v>
      </c>
      <c r="F526" s="10">
        <v>1</v>
      </c>
      <c r="G526" s="10" t="s">
        <v>231</v>
      </c>
      <c r="H526" s="10" t="s">
        <v>322</v>
      </c>
      <c r="I526" s="10" t="s">
        <v>167</v>
      </c>
      <c r="J526" s="10">
        <v>21</v>
      </c>
      <c r="K526" s="12">
        <v>44937</v>
      </c>
      <c r="L526" s="33">
        <v>0.5116666666666666</v>
      </c>
      <c r="M526" s="10">
        <v>1</v>
      </c>
      <c r="N526" s="10" t="s">
        <v>211</v>
      </c>
      <c r="O526" s="10">
        <v>0.2</v>
      </c>
      <c r="P526" s="10">
        <v>1.8800000000000001E-2</v>
      </c>
      <c r="Q526" s="10">
        <v>34.799999999999997</v>
      </c>
      <c r="R526" s="10" t="s">
        <v>913</v>
      </c>
      <c r="S526" s="34">
        <f t="shared" si="56"/>
        <v>34.799999999999997</v>
      </c>
      <c r="T526" s="10" t="s">
        <v>1000</v>
      </c>
      <c r="U526" s="34" t="str">
        <f t="shared" si="57"/>
        <v/>
      </c>
      <c r="V526" s="31" t="str">
        <f>IF(H526="CHK",VLOOKUP(I526,QCCHK,3,),IF(H526="GUP",VLOOKUP(E526,QCGUP,2,),IF(AND(H526="ATP",OR(I526="TN",I526="TDN",I526="TNO2-3",I526="NO2-3")),VLOOKUP(E526,QCREC_N,2,),IF(AND(H526="NIC",OR(I526="TN",I526="TDN",I526="TNO2-3",I526="NO2-3")),VLOOKUP(E526,QCNIC_N,2,),IF(AND(H526="UREA",OR(I526="TN",I526="TDN",I526="TNO2-3",I526="NO2-3")),VLOOKUP(E526,QCUREA_N,2,),IF(H526="PER",VLOOKUP(I526,QCPER,MATCH(E526,QCACTUAL!$J$25:$AA$25,0),),IF(H526="SPK",VLOOKUP(I526,QCSPK,3,),IF(AND(H526="ATP",OR(I526="TP",I526="TDP")),VLOOKUP(E526,QCATP_P,2,),""))))))))</f>
        <v/>
      </c>
      <c r="W526" s="31" t="str">
        <f t="shared" si="58"/>
        <v>TRUE</v>
      </c>
      <c r="X526" s="31" t="str">
        <f t="shared" si="59"/>
        <v/>
      </c>
      <c r="Y526" s="10" t="s">
        <v>992</v>
      </c>
      <c r="Z526" s="10" t="s">
        <v>910</v>
      </c>
      <c r="AL526" s="10" t="str">
        <f t="shared" si="61"/>
        <v>FALSE</v>
      </c>
      <c r="AM526" s="10" t="str">
        <f t="shared" si="61"/>
        <v>FALSE</v>
      </c>
      <c r="AN526" s="10" t="str">
        <f t="shared" si="61"/>
        <v>FALSE</v>
      </c>
      <c r="AO526" s="10" t="str">
        <f t="shared" si="62"/>
        <v>FALSE</v>
      </c>
      <c r="AP526" s="10" t="str">
        <f t="shared" si="62"/>
        <v>FALSE</v>
      </c>
      <c r="AQ526" s="10" t="b">
        <f>IF(AND(I526="TP",S526&lt;=150),VLOOKUP(AF526,TPCalibEq150!$AZ$2:$BB$55,3,),IF(AND(I526="TDP",S526&lt;=150),VLOOKUP(AF526,TPCalibEq150!$AZ$2:$BB$55,3,)))</f>
        <v>0</v>
      </c>
      <c r="AR526" s="10" t="b">
        <f>IF(AND(I526="TP",S526&lt;=300),VLOOKUP(AF526,TPCalibEq300!$AZ$2:$BB$55,3,),IF(AND(I526="TDP",S526&lt;=300),VLOOKUP(AF526,TPCalibEq300!$AZ$2:$BB$55,3,)))</f>
        <v>0</v>
      </c>
      <c r="AS526" s="10" t="b">
        <f>IF(AND(I526="TP",S526&lt;=500),VLOOKUP(AF526,TPCalibEq500!$AZ$2:$BB$56,3,),IF(AND(I526="TDP",S526&lt;=500),VLOOKUP(AF526,TPCalibEq500!$AZ$2:$BB$56,3,)))</f>
        <v>0</v>
      </c>
      <c r="AT526" s="10" t="b">
        <f>IF(AND(I526="TN",S526&lt;=2800),VLOOKUP(AF526,TNCalibEq2500!$AZ$2:$BB$56,3,),IF(AND(I526="TDN",S526&lt;=2800),VLOOKUP(AF526,TNCalibEq2500!$AZ$2:$BB$56,3,)))</f>
        <v>0</v>
      </c>
      <c r="AU526" s="10" t="b">
        <f>IF(I526="TP",VLOOKUP(AF526,TPCalibEqFull!$AZ$2:$BB$56,3),IF(I526="TDP",VLOOKUP(AF526,TPCalibEqFull!$AZ$2:$BB$56,3),IF(I526="TDN",VLOOKUP(AF526,TNCalibEqFull!$AZ$1:$BB$56,3),IF(I526="TN",VLOOKUP(AF526,TNCalibEqFull!$AZ$1:$BB$56,3),FALSE))))</f>
        <v>0</v>
      </c>
      <c r="AV526" s="10" t="str">
        <f t="shared" si="60"/>
        <v>0109 09:24:00-EFK-0-FIL-1-SW-UKN</v>
      </c>
    </row>
    <row r="527" spans="1:48" s="10" customFormat="1" x14ac:dyDescent="0.55000000000000004">
      <c r="A527" s="32">
        <v>44935</v>
      </c>
      <c r="B527" s="33">
        <v>0.30208333333333331</v>
      </c>
      <c r="C527" s="10" t="s">
        <v>333</v>
      </c>
      <c r="D527" s="10">
        <v>0</v>
      </c>
      <c r="E527" s="10" t="s">
        <v>911</v>
      </c>
      <c r="F527" s="10">
        <v>1</v>
      </c>
      <c r="G527" s="10" t="s">
        <v>231</v>
      </c>
      <c r="H527" s="10" t="s">
        <v>322</v>
      </c>
      <c r="I527" s="10" t="s">
        <v>167</v>
      </c>
      <c r="J527" s="10">
        <v>22</v>
      </c>
      <c r="K527" s="12">
        <v>44937</v>
      </c>
      <c r="L527" s="33">
        <v>0.51248842592592592</v>
      </c>
      <c r="M527" s="10">
        <v>1</v>
      </c>
      <c r="N527" s="10" t="s">
        <v>211</v>
      </c>
      <c r="O527" s="10">
        <v>0.20399999999999999</v>
      </c>
      <c r="P527" s="10">
        <v>1.8800000000000001E-2</v>
      </c>
      <c r="Q527" s="10">
        <v>35.5</v>
      </c>
      <c r="R527" s="10" t="s">
        <v>913</v>
      </c>
      <c r="S527" s="34">
        <f t="shared" si="56"/>
        <v>35.5</v>
      </c>
      <c r="T527" s="10" t="s">
        <v>1000</v>
      </c>
      <c r="U527" s="34" t="str">
        <f t="shared" si="57"/>
        <v/>
      </c>
      <c r="V527" s="31" t="str">
        <f>IF(H527="CHK",VLOOKUP(I527,QCCHK,3,),IF(H527="GUP",VLOOKUP(E527,QCGUP,2,),IF(AND(H527="ATP",OR(I527="TN",I527="TDN",I527="TNO2-3",I527="NO2-3")),VLOOKUP(E527,QCREC_N,2,),IF(AND(H527="NIC",OR(I527="TN",I527="TDN",I527="TNO2-3",I527="NO2-3")),VLOOKUP(E527,QCNIC_N,2,),IF(AND(H527="UREA",OR(I527="TN",I527="TDN",I527="TNO2-3",I527="NO2-3")),VLOOKUP(E527,QCUREA_N,2,),IF(H527="PER",VLOOKUP(I527,QCPER,MATCH(E527,QCACTUAL!$J$25:$AA$25,0),),IF(H527="SPK",VLOOKUP(I527,QCSPK,3,),IF(AND(H527="ATP",OR(I527="TP",I527="TDP")),VLOOKUP(E527,QCATP_P,2,),""))))))))</f>
        <v/>
      </c>
      <c r="W527" s="31" t="str">
        <f t="shared" si="58"/>
        <v>TRUE</v>
      </c>
      <c r="X527" s="31" t="str">
        <f t="shared" si="59"/>
        <v/>
      </c>
      <c r="Y527" s="10" t="s">
        <v>992</v>
      </c>
      <c r="Z527" s="10" t="s">
        <v>910</v>
      </c>
      <c r="AL527" s="10" t="str">
        <f t="shared" si="61"/>
        <v>FALSE</v>
      </c>
      <c r="AM527" s="10" t="str">
        <f t="shared" si="61"/>
        <v>FALSE</v>
      </c>
      <c r="AN527" s="10" t="str">
        <f t="shared" si="61"/>
        <v>FALSE</v>
      </c>
      <c r="AO527" s="10" t="str">
        <f t="shared" si="62"/>
        <v>FALSE</v>
      </c>
      <c r="AP527" s="10" t="str">
        <f t="shared" si="62"/>
        <v>FALSE</v>
      </c>
      <c r="AQ527" s="10" t="b">
        <f>IF(AND(I527="TP",S527&lt;=150),VLOOKUP(AF527,TPCalibEq150!$AZ$2:$BB$55,3,),IF(AND(I527="TDP",S527&lt;=150),VLOOKUP(AF527,TPCalibEq150!$AZ$2:$BB$55,3,)))</f>
        <v>0</v>
      </c>
      <c r="AR527" s="10" t="b">
        <f>IF(AND(I527="TP",S527&lt;=300),VLOOKUP(AF527,TPCalibEq300!$AZ$2:$BB$55,3,),IF(AND(I527="TDP",S527&lt;=300),VLOOKUP(AF527,TPCalibEq300!$AZ$2:$BB$55,3,)))</f>
        <v>0</v>
      </c>
      <c r="AS527" s="10" t="b">
        <f>IF(AND(I527="TP",S527&lt;=500),VLOOKUP(AF527,TPCalibEq500!$AZ$2:$BB$56,3,),IF(AND(I527="TDP",S527&lt;=500),VLOOKUP(AF527,TPCalibEq500!$AZ$2:$BB$56,3,)))</f>
        <v>0</v>
      </c>
      <c r="AT527" s="10" t="b">
        <f>IF(AND(I527="TN",S527&lt;=2800),VLOOKUP(AF527,TNCalibEq2500!$AZ$2:$BB$56,3,),IF(AND(I527="TDN",S527&lt;=2800),VLOOKUP(AF527,TNCalibEq2500!$AZ$2:$BB$56,3,)))</f>
        <v>0</v>
      </c>
      <c r="AU527" s="10" t="b">
        <f>IF(I527="TP",VLOOKUP(AF527,TPCalibEqFull!$AZ$2:$BB$56,3),IF(I527="TDP",VLOOKUP(AF527,TPCalibEqFull!$AZ$2:$BB$56,3),IF(I527="TDN",VLOOKUP(AF527,TNCalibEqFull!$AZ$1:$BB$56,3),IF(I527="TN",VLOOKUP(AF527,TNCalibEqFull!$AZ$1:$BB$56,3),FALSE))))</f>
        <v>0</v>
      </c>
      <c r="AV527" s="10" t="str">
        <f t="shared" si="60"/>
        <v>0109 07:15:00-HST-0-FIL-1-SW-UKN</v>
      </c>
    </row>
    <row r="528" spans="1:48" s="10" customFormat="1" x14ac:dyDescent="0.55000000000000004">
      <c r="A528" s="32">
        <v>44936</v>
      </c>
      <c r="B528" s="33">
        <v>0.39166666666666666</v>
      </c>
      <c r="C528" s="10" t="s">
        <v>279</v>
      </c>
      <c r="D528" s="10">
        <v>0</v>
      </c>
      <c r="E528" s="10" t="s">
        <v>911</v>
      </c>
      <c r="F528" s="10">
        <v>1</v>
      </c>
      <c r="G528" s="10" t="s">
        <v>231</v>
      </c>
      <c r="H528" s="10" t="s">
        <v>322</v>
      </c>
      <c r="I528" s="10" t="s">
        <v>167</v>
      </c>
      <c r="J528" s="10">
        <v>23</v>
      </c>
      <c r="K528" s="12">
        <v>44937</v>
      </c>
      <c r="L528" s="33">
        <v>0.51329861111111108</v>
      </c>
      <c r="M528" s="10">
        <v>1</v>
      </c>
      <c r="N528" s="10" t="s">
        <v>211</v>
      </c>
      <c r="O528" s="10">
        <v>0.39300000000000002</v>
      </c>
      <c r="P528" s="10">
        <v>3.73E-2</v>
      </c>
      <c r="Q528" s="10">
        <v>68.400000000000006</v>
      </c>
      <c r="R528" s="10" t="s">
        <v>913</v>
      </c>
      <c r="S528" s="34">
        <f t="shared" si="56"/>
        <v>68.400000000000006</v>
      </c>
      <c r="T528" s="10" t="s">
        <v>1000</v>
      </c>
      <c r="U528" s="34" t="str">
        <f t="shared" si="57"/>
        <v/>
      </c>
      <c r="V528" s="31" t="str">
        <f>IF(H528="CHK",VLOOKUP(I528,QCCHK,3,),IF(H528="GUP",VLOOKUP(E528,QCGUP,2,),IF(AND(H528="ATP",OR(I528="TN",I528="TDN",I528="TNO2-3",I528="NO2-3")),VLOOKUP(E528,QCREC_N,2,),IF(AND(H528="NIC",OR(I528="TN",I528="TDN",I528="TNO2-3",I528="NO2-3")),VLOOKUP(E528,QCNIC_N,2,),IF(AND(H528="UREA",OR(I528="TN",I528="TDN",I528="TNO2-3",I528="NO2-3")),VLOOKUP(E528,QCUREA_N,2,),IF(H528="PER",VLOOKUP(I528,QCPER,MATCH(E528,QCACTUAL!$J$25:$AA$25,0),),IF(H528="SPK",VLOOKUP(I528,QCSPK,3,),IF(AND(H528="ATP",OR(I528="TP",I528="TDP")),VLOOKUP(E528,QCATP_P,2,),""))))))))</f>
        <v/>
      </c>
      <c r="W528" s="31" t="str">
        <f t="shared" si="58"/>
        <v>TRUE</v>
      </c>
      <c r="X528" s="31" t="str">
        <f t="shared" si="59"/>
        <v/>
      </c>
      <c r="Y528" s="10" t="s">
        <v>992</v>
      </c>
      <c r="AL528" s="10" t="str">
        <f t="shared" si="61"/>
        <v>FALSE</v>
      </c>
      <c r="AM528" s="10" t="str">
        <f t="shared" si="61"/>
        <v>FALSE</v>
      </c>
      <c r="AN528" s="10" t="str">
        <f t="shared" si="61"/>
        <v>FALSE</v>
      </c>
      <c r="AO528" s="10" t="str">
        <f t="shared" si="62"/>
        <v>FALSE</v>
      </c>
      <c r="AP528" s="10" t="str">
        <f t="shared" si="62"/>
        <v>FALSE</v>
      </c>
      <c r="AQ528" s="10" t="b">
        <f>IF(AND(I528="TP",S528&lt;=150),VLOOKUP(AF528,TPCalibEq150!$AZ$2:$BB$55,3,),IF(AND(I528="TDP",S528&lt;=150),VLOOKUP(AF528,TPCalibEq150!$AZ$2:$BB$55,3,)))</f>
        <v>0</v>
      </c>
      <c r="AR528" s="10" t="b">
        <f>IF(AND(I528="TP",S528&lt;=300),VLOOKUP(AF528,TPCalibEq300!$AZ$2:$BB$55,3,),IF(AND(I528="TDP",S528&lt;=300),VLOOKUP(AF528,TPCalibEq300!$AZ$2:$BB$55,3,)))</f>
        <v>0</v>
      </c>
      <c r="AS528" s="10" t="b">
        <f>IF(AND(I528="TP",S528&lt;=500),VLOOKUP(AF528,TPCalibEq500!$AZ$2:$BB$56,3,),IF(AND(I528="TDP",S528&lt;=500),VLOOKUP(AF528,TPCalibEq500!$AZ$2:$BB$56,3,)))</f>
        <v>0</v>
      </c>
      <c r="AT528" s="10" t="b">
        <f>IF(AND(I528="TN",S528&lt;=2800),VLOOKUP(AF528,TNCalibEq2500!$AZ$2:$BB$56,3,),IF(AND(I528="TDN",S528&lt;=2800),VLOOKUP(AF528,TNCalibEq2500!$AZ$2:$BB$56,3,)))</f>
        <v>0</v>
      </c>
      <c r="AU528" s="10" t="b">
        <f>IF(I528="TP",VLOOKUP(AF528,TPCalibEqFull!$AZ$2:$BB$56,3),IF(I528="TDP",VLOOKUP(AF528,TPCalibEqFull!$AZ$2:$BB$56,3),IF(I528="TDN",VLOOKUP(AF528,TNCalibEqFull!$AZ$1:$BB$56,3),IF(I528="TN",VLOOKUP(AF528,TNCalibEqFull!$AZ$1:$BB$56,3),FALSE))))</f>
        <v>0</v>
      </c>
      <c r="AV528" s="10" t="str">
        <f t="shared" si="60"/>
        <v>0110 09:24:00-EFK-0-FIL-1-SW-UKN</v>
      </c>
    </row>
    <row r="529" spans="1:48" s="10" customFormat="1" x14ac:dyDescent="0.55000000000000004">
      <c r="A529" s="32">
        <v>44936</v>
      </c>
      <c r="B529" s="33">
        <v>0.39583333333333331</v>
      </c>
      <c r="C529" s="10" t="s">
        <v>333</v>
      </c>
      <c r="D529" s="10">
        <v>0</v>
      </c>
      <c r="E529" s="10" t="s">
        <v>911</v>
      </c>
      <c r="F529" s="10">
        <v>1</v>
      </c>
      <c r="G529" s="10" t="s">
        <v>231</v>
      </c>
      <c r="H529" s="10" t="s">
        <v>322</v>
      </c>
      <c r="I529" s="10" t="s">
        <v>167</v>
      </c>
      <c r="J529" s="10">
        <v>24</v>
      </c>
      <c r="K529" s="12">
        <v>44937</v>
      </c>
      <c r="L529" s="33">
        <v>0.51414351851851847</v>
      </c>
      <c r="M529" s="10">
        <v>1</v>
      </c>
      <c r="N529" s="10" t="s">
        <v>211</v>
      </c>
      <c r="O529" s="10">
        <v>0.36899999999999999</v>
      </c>
      <c r="P529" s="10">
        <v>3.5000000000000003E-2</v>
      </c>
      <c r="Q529" s="10">
        <v>64.3</v>
      </c>
      <c r="R529" s="10" t="s">
        <v>913</v>
      </c>
      <c r="S529" s="34">
        <f t="shared" si="56"/>
        <v>64.3</v>
      </c>
      <c r="T529" s="10" t="s">
        <v>1000</v>
      </c>
      <c r="U529" s="34" t="str">
        <f t="shared" si="57"/>
        <v/>
      </c>
      <c r="V529" s="31" t="str">
        <f>IF(H529="CHK",VLOOKUP(I529,QCCHK,3,),IF(H529="GUP",VLOOKUP(E529,QCGUP,2,),IF(AND(H529="ATP",OR(I529="TN",I529="TDN",I529="TNO2-3",I529="NO2-3")),VLOOKUP(E529,QCREC_N,2,),IF(AND(H529="NIC",OR(I529="TN",I529="TDN",I529="TNO2-3",I529="NO2-3")),VLOOKUP(E529,QCNIC_N,2,),IF(AND(H529="UREA",OR(I529="TN",I529="TDN",I529="TNO2-3",I529="NO2-3")),VLOOKUP(E529,QCUREA_N,2,),IF(H529="PER",VLOOKUP(I529,QCPER,MATCH(E529,QCACTUAL!$J$25:$AA$25,0),),IF(H529="SPK",VLOOKUP(I529,QCSPK,3,),IF(AND(H529="ATP",OR(I529="TP",I529="TDP")),VLOOKUP(E529,QCATP_P,2,),""))))))))</f>
        <v/>
      </c>
      <c r="W529" s="31" t="str">
        <f t="shared" si="58"/>
        <v>TRUE</v>
      </c>
      <c r="X529" s="31" t="str">
        <f t="shared" si="59"/>
        <v/>
      </c>
      <c r="Y529" s="10" t="s">
        <v>992</v>
      </c>
      <c r="AL529" s="10" t="str">
        <f t="shared" si="61"/>
        <v>FALSE</v>
      </c>
      <c r="AM529" s="10" t="str">
        <f t="shared" si="61"/>
        <v>FALSE</v>
      </c>
      <c r="AN529" s="10" t="str">
        <f t="shared" si="61"/>
        <v>FALSE</v>
      </c>
      <c r="AO529" s="10" t="str">
        <f t="shared" si="62"/>
        <v>FALSE</v>
      </c>
      <c r="AP529" s="10" t="str">
        <f t="shared" si="62"/>
        <v>FALSE</v>
      </c>
      <c r="AQ529" s="10" t="b">
        <f>IF(AND(I529="TP",S529&lt;=150),VLOOKUP(AF529,TPCalibEq150!$AZ$2:$BB$55,3,),IF(AND(I529="TDP",S529&lt;=150),VLOOKUP(AF529,TPCalibEq150!$AZ$2:$BB$55,3,)))</f>
        <v>0</v>
      </c>
      <c r="AR529" s="10" t="b">
        <f>IF(AND(I529="TP",S529&lt;=300),VLOOKUP(AF529,TPCalibEq300!$AZ$2:$BB$55,3,),IF(AND(I529="TDP",S529&lt;=300),VLOOKUP(AF529,TPCalibEq300!$AZ$2:$BB$55,3,)))</f>
        <v>0</v>
      </c>
      <c r="AS529" s="10" t="b">
        <f>IF(AND(I529="TP",S529&lt;=500),VLOOKUP(AF529,TPCalibEq500!$AZ$2:$BB$56,3,),IF(AND(I529="TDP",S529&lt;=500),VLOOKUP(AF529,TPCalibEq500!$AZ$2:$BB$56,3,)))</f>
        <v>0</v>
      </c>
      <c r="AT529" s="10" t="b">
        <f>IF(AND(I529="TN",S529&lt;=2800),VLOOKUP(AF529,TNCalibEq2500!$AZ$2:$BB$56,3,),IF(AND(I529="TDN",S529&lt;=2800),VLOOKUP(AF529,TNCalibEq2500!$AZ$2:$BB$56,3,)))</f>
        <v>0</v>
      </c>
      <c r="AU529" s="10" t="b">
        <f>IF(I529="TP",VLOOKUP(AF529,TPCalibEqFull!$AZ$2:$BB$56,3),IF(I529="TDP",VLOOKUP(AF529,TPCalibEqFull!$AZ$2:$BB$56,3),IF(I529="TDN",VLOOKUP(AF529,TNCalibEqFull!$AZ$1:$BB$56,3),IF(I529="TN",VLOOKUP(AF529,TNCalibEqFull!$AZ$1:$BB$56,3),FALSE))))</f>
        <v>0</v>
      </c>
      <c r="AV529" s="10" t="str">
        <f t="shared" si="60"/>
        <v>0110 09:30:00-HST-0-FIL-1-SW-UKN</v>
      </c>
    </row>
    <row r="530" spans="1:48" s="10" customFormat="1" x14ac:dyDescent="0.55000000000000004">
      <c r="A530" s="32">
        <v>44936</v>
      </c>
      <c r="B530" s="33">
        <v>0.39583333333333331</v>
      </c>
      <c r="C530" s="10" t="s">
        <v>333</v>
      </c>
      <c r="D530" s="10">
        <v>0</v>
      </c>
      <c r="E530" s="10" t="s">
        <v>911</v>
      </c>
      <c r="F530" s="10">
        <v>1</v>
      </c>
      <c r="G530" s="10" t="s">
        <v>231</v>
      </c>
      <c r="H530" s="10" t="s">
        <v>233</v>
      </c>
      <c r="I530" s="10" t="s">
        <v>167</v>
      </c>
      <c r="J530" s="10">
        <v>24</v>
      </c>
      <c r="K530" s="12">
        <v>44937</v>
      </c>
      <c r="L530" s="33">
        <v>0.51493055555555556</v>
      </c>
      <c r="M530" s="10">
        <v>1</v>
      </c>
      <c r="N530" s="10" t="s">
        <v>211</v>
      </c>
      <c r="O530" s="10">
        <v>0.371</v>
      </c>
      <c r="P530" s="10">
        <v>3.4700000000000002E-2</v>
      </c>
      <c r="Q530" s="10">
        <v>64.599999999999994</v>
      </c>
      <c r="R530" s="10" t="s">
        <v>913</v>
      </c>
      <c r="S530" s="34">
        <f t="shared" si="56"/>
        <v>64.599999999999994</v>
      </c>
      <c r="T530" s="10" t="s">
        <v>1000</v>
      </c>
      <c r="U530" s="34">
        <f t="shared" si="57"/>
        <v>0.46547711404188857</v>
      </c>
      <c r="V530" s="31" t="str">
        <f>IF(H530="CHK",VLOOKUP(I530,QCCHK,3,),IF(H530="GUP",VLOOKUP(E530,QCGUP,2,),IF(AND(H530="ATP",OR(I530="TN",I530="TDN",I530="TNO2-3",I530="NO2-3")),VLOOKUP(E530,QCREC_N,2,),IF(AND(H530="NIC",OR(I530="TN",I530="TDN",I530="TNO2-3",I530="NO2-3")),VLOOKUP(E530,QCNIC_N,2,),IF(AND(H530="UREA",OR(I530="TN",I530="TDN",I530="TNO2-3",I530="NO2-3")),VLOOKUP(E530,QCUREA_N,2,),IF(H530="PER",VLOOKUP(I530,QCPER,MATCH(E530,QCACTUAL!$J$25:$AA$25,0),),IF(H530="SPK",VLOOKUP(I530,QCSPK,3,),IF(AND(H530="ATP",OR(I530="TP",I530="TDP")),VLOOKUP(E530,QCATP_P,2,),""))))))))</f>
        <v/>
      </c>
      <c r="W530" s="31" t="str">
        <f t="shared" si="58"/>
        <v>TRUE</v>
      </c>
      <c r="X530" s="31" t="str">
        <f t="shared" si="59"/>
        <v>((ABS(rep1-rep2))/((rep1+rep2)/2)*100</v>
      </c>
      <c r="Y530" s="10" t="s">
        <v>992</v>
      </c>
      <c r="AL530" s="10" t="str">
        <f t="shared" si="61"/>
        <v>FALSE</v>
      </c>
      <c r="AM530" s="10" t="str">
        <f t="shared" si="61"/>
        <v>FALSE</v>
      </c>
      <c r="AN530" s="10" t="str">
        <f t="shared" si="61"/>
        <v>FALSE</v>
      </c>
      <c r="AO530" s="10" t="str">
        <f t="shared" si="62"/>
        <v>FALSE</v>
      </c>
      <c r="AP530" s="10" t="str">
        <f t="shared" si="62"/>
        <v>FALSE</v>
      </c>
      <c r="AQ530" s="10" t="b">
        <f>IF(AND(I530="TP",S530&lt;=150),VLOOKUP(AF530,TPCalibEq150!$AZ$2:$BB$55,3,),IF(AND(I530="TDP",S530&lt;=150),VLOOKUP(AF530,TPCalibEq150!$AZ$2:$BB$55,3,)))</f>
        <v>0</v>
      </c>
      <c r="AR530" s="10" t="b">
        <f>IF(AND(I530="TP",S530&lt;=300),VLOOKUP(AF530,TPCalibEq300!$AZ$2:$BB$55,3,),IF(AND(I530="TDP",S530&lt;=300),VLOOKUP(AF530,TPCalibEq300!$AZ$2:$BB$55,3,)))</f>
        <v>0</v>
      </c>
      <c r="AS530" s="10" t="b">
        <f>IF(AND(I530="TP",S530&lt;=500),VLOOKUP(AF530,TPCalibEq500!$AZ$2:$BB$56,3,),IF(AND(I530="TDP",S530&lt;=500),VLOOKUP(AF530,TPCalibEq500!$AZ$2:$BB$56,3,)))</f>
        <v>0</v>
      </c>
      <c r="AT530" s="10" t="b">
        <f>IF(AND(I530="TN",S530&lt;=2800),VLOOKUP(AF530,TNCalibEq2500!$AZ$2:$BB$56,3,),IF(AND(I530="TDN",S530&lt;=2800),VLOOKUP(AF530,TNCalibEq2500!$AZ$2:$BB$56,3,)))</f>
        <v>0</v>
      </c>
      <c r="AU530" s="10" t="b">
        <f>IF(I530="TP",VLOOKUP(AF530,TPCalibEqFull!$AZ$2:$BB$56,3),IF(I530="TDP",VLOOKUP(AF530,TPCalibEqFull!$AZ$2:$BB$56,3),IF(I530="TDN",VLOOKUP(AF530,TNCalibEqFull!$AZ$1:$BB$56,3),IF(I530="TN",VLOOKUP(AF530,TNCalibEqFull!$AZ$1:$BB$56,3),FALSE))))</f>
        <v>0</v>
      </c>
      <c r="AV530" s="10" t="str">
        <f t="shared" si="60"/>
        <v>0110 09:30:00-HST-0-FIL-1-SW-DUP</v>
      </c>
    </row>
    <row r="531" spans="1:48" s="10" customFormat="1" x14ac:dyDescent="0.55000000000000004">
      <c r="A531" s="32">
        <v>44936</v>
      </c>
      <c r="B531" s="33">
        <v>0.39583333333333331</v>
      </c>
      <c r="C531" s="10" t="s">
        <v>912</v>
      </c>
      <c r="D531" s="10">
        <v>0</v>
      </c>
      <c r="E531" s="10" t="s">
        <v>911</v>
      </c>
      <c r="F531" s="10">
        <v>1</v>
      </c>
      <c r="G531" s="10" t="s">
        <v>231</v>
      </c>
      <c r="H531" s="10" t="s">
        <v>314</v>
      </c>
      <c r="I531" s="10" t="s">
        <v>167</v>
      </c>
      <c r="J531" s="10">
        <v>31</v>
      </c>
      <c r="K531" s="12">
        <v>44937</v>
      </c>
      <c r="L531" s="33">
        <v>0.51575231481481476</v>
      </c>
      <c r="M531" s="10">
        <v>1</v>
      </c>
      <c r="N531" s="10" t="s">
        <v>211</v>
      </c>
      <c r="O531" s="10">
        <v>1.27</v>
      </c>
      <c r="P531" s="10">
        <v>0.123</v>
      </c>
      <c r="Q531" s="10">
        <v>221</v>
      </c>
      <c r="R531" s="10" t="s">
        <v>913</v>
      </c>
      <c r="S531" s="34">
        <f t="shared" si="56"/>
        <v>221</v>
      </c>
      <c r="T531" s="10" t="s">
        <v>1000</v>
      </c>
      <c r="U531" s="34">
        <f t="shared" si="57"/>
        <v>100.096</v>
      </c>
      <c r="V531" s="31">
        <f>IF(H531="CHK",VLOOKUP(I531,QCCHK,3,),IF(H531="GUP",VLOOKUP(E531,QCGUP,2,),IF(AND(H531="ATP",OR(I531="TN",I531="TDN",I531="TNO2-3",I531="NO2-3")),VLOOKUP(E531,QCREC_N,2,),IF(AND(H531="NIC",OR(I531="TN",I531="TDN",I531="TNO2-3",I531="NO2-3")),VLOOKUP(E531,QCNIC_N,2,),IF(AND(H531="UREA",OR(I531="TN",I531="TDN",I531="TNO2-3",I531="NO2-3")),VLOOKUP(E531,QCUREA_N,2,),IF(H531="PER",VLOOKUP(I531,QCPER,MATCH(E531,QCACTUAL!$J$25:$AA$25,0),),IF(H531="SPK",VLOOKUP(I531,QCSPK,3,),IF(AND(H531="ATP",OR(I531="TP",I531="TDP")),VLOOKUP(E531,QCATP_P,2,),""))))))))</f>
        <v>156.25</v>
      </c>
      <c r="W531" s="31" t="str">
        <f t="shared" si="58"/>
        <v>TRUE</v>
      </c>
      <c r="X531" s="31" t="str">
        <f t="shared" si="59"/>
        <v>([spikedunkn]-[unkn])/[spike]*100</v>
      </c>
      <c r="Y531" s="10" t="s">
        <v>992</v>
      </c>
      <c r="AL531" s="10" t="str">
        <f t="shared" si="61"/>
        <v>FALSE</v>
      </c>
      <c r="AM531" s="10" t="str">
        <f t="shared" si="61"/>
        <v>FALSE</v>
      </c>
      <c r="AN531" s="10" t="str">
        <f t="shared" si="61"/>
        <v>FALSE</v>
      </c>
      <c r="AO531" s="10" t="str">
        <f t="shared" si="62"/>
        <v>FALSE</v>
      </c>
      <c r="AP531" s="10" t="str">
        <f t="shared" si="62"/>
        <v>FALSE</v>
      </c>
      <c r="AQ531" s="10" t="b">
        <f>IF(AND(I531="TP",S531&lt;=150),VLOOKUP(AF531,TPCalibEq150!$AZ$2:$BB$55,3,),IF(AND(I531="TDP",S531&lt;=150),VLOOKUP(AF531,TPCalibEq150!$AZ$2:$BB$55,3,)))</f>
        <v>0</v>
      </c>
      <c r="AR531" s="10" t="b">
        <f>IF(AND(I531="TP",S531&lt;=300),VLOOKUP(AF531,TPCalibEq300!$AZ$2:$BB$55,3,),IF(AND(I531="TDP",S531&lt;=300),VLOOKUP(AF531,TPCalibEq300!$AZ$2:$BB$55,3,)))</f>
        <v>0</v>
      </c>
      <c r="AS531" s="10" t="b">
        <f>IF(AND(I531="TP",S531&lt;=500),VLOOKUP(AF531,TPCalibEq500!$AZ$2:$BB$56,3,),IF(AND(I531="TDP",S531&lt;=500),VLOOKUP(AF531,TPCalibEq500!$AZ$2:$BB$56,3,)))</f>
        <v>0</v>
      </c>
      <c r="AT531" s="10" t="b">
        <f>IF(AND(I531="TN",S531&lt;=2800),VLOOKUP(AF531,TNCalibEq2500!$AZ$2:$BB$56,3,),IF(AND(I531="TDN",S531&lt;=2800),VLOOKUP(AF531,TNCalibEq2500!$AZ$2:$BB$56,3,)))</f>
        <v>0</v>
      </c>
      <c r="AU531" s="10" t="b">
        <f>IF(I531="TP",VLOOKUP(AF531,TPCalibEqFull!$AZ$2:$BB$56,3),IF(I531="TDP",VLOOKUP(AF531,TPCalibEqFull!$AZ$2:$BB$56,3),IF(I531="TDN",VLOOKUP(AF531,TNCalibEqFull!$AZ$1:$BB$56,3),IF(I531="TN",VLOOKUP(AF531,TNCalibEqFull!$AZ$1:$BB$56,3),FALSE))))</f>
        <v>0</v>
      </c>
      <c r="AV531" s="10" t="str">
        <f t="shared" si="60"/>
        <v>0110 09:30:00-HST -0-FIL-1-SW-SPK</v>
      </c>
    </row>
    <row r="532" spans="1:48" s="10" customFormat="1" x14ac:dyDescent="0.55000000000000004">
      <c r="A532" s="32">
        <v>44937</v>
      </c>
      <c r="B532" s="33">
        <v>0.375</v>
      </c>
      <c r="C532" s="10" t="s">
        <v>70</v>
      </c>
      <c r="D532" s="10" t="s">
        <v>71</v>
      </c>
      <c r="E532" s="10" t="s">
        <v>901</v>
      </c>
      <c r="F532" s="10">
        <v>1</v>
      </c>
      <c r="G532" s="10" t="s">
        <v>73</v>
      </c>
      <c r="H532" s="10" t="s">
        <v>207</v>
      </c>
      <c r="I532" s="10" t="s">
        <v>285</v>
      </c>
      <c r="J532" s="10">
        <v>200</v>
      </c>
      <c r="K532" s="12">
        <v>44937</v>
      </c>
      <c r="L532" s="33">
        <v>0.51657407407407407</v>
      </c>
      <c r="M532" s="10">
        <v>1</v>
      </c>
      <c r="N532" s="10" t="s">
        <v>211</v>
      </c>
      <c r="O532" s="10">
        <v>0.442</v>
      </c>
      <c r="P532" s="10">
        <v>4.24E-2</v>
      </c>
      <c r="Q532" s="10">
        <v>77</v>
      </c>
      <c r="R532" s="10" t="s">
        <v>913</v>
      </c>
      <c r="S532" s="34">
        <f t="shared" si="56"/>
        <v>77</v>
      </c>
      <c r="T532" s="10" t="s">
        <v>1000</v>
      </c>
      <c r="U532" s="34">
        <f t="shared" si="57"/>
        <v>102.66666666666666</v>
      </c>
      <c r="V532" s="31">
        <f>IF(H532="CHK",VLOOKUP(I532,QCCHK,3,),IF(H532="GUP",VLOOKUP(E532,QCGUP,2,),IF(AND(H532="ATP",OR(I532="TN",I532="TDN",I532="TNO2-3",I532="NO2-3")),VLOOKUP(E532,QCREC_N,2,),IF(AND(H532="NIC",OR(I532="TN",I532="TDN",I532="TNO2-3",I532="NO2-3")),VLOOKUP(E532,QCNIC_N,2,),IF(AND(H532="UREA",OR(I532="TN",I532="TDN",I532="TNO2-3",I532="NO2-3")),VLOOKUP(E532,QCUREA_N,2,),IF(H532="PER",VLOOKUP(I532,QCPER,MATCH(E532,QCACTUAL!$J$25:$AA$25,0),),IF(H532="SPK",VLOOKUP(I532,QCSPK,3,),IF(AND(H532="ATP",OR(I532="TP",I532="TDP")),VLOOKUP(E532,QCATP_P,2,),""))))))))</f>
        <v>75</v>
      </c>
      <c r="W532" s="31" t="str">
        <f t="shared" si="58"/>
        <v>TRUE</v>
      </c>
      <c r="X532" s="31" t="str">
        <f t="shared" si="59"/>
        <v>[chk]/[actual]*100</v>
      </c>
      <c r="Y532" s="10" t="s">
        <v>992</v>
      </c>
      <c r="AL532" s="10" t="str">
        <f t="shared" si="61"/>
        <v>FALSE</v>
      </c>
      <c r="AM532" s="10" t="str">
        <f t="shared" si="61"/>
        <v>FALSE</v>
      </c>
      <c r="AN532" s="10" t="str">
        <f t="shared" si="61"/>
        <v>FALSE</v>
      </c>
      <c r="AO532" s="10" t="str">
        <f t="shared" si="62"/>
        <v>FALSE</v>
      </c>
      <c r="AP532" s="10" t="str">
        <f t="shared" si="62"/>
        <v>FALSE</v>
      </c>
      <c r="AQ532" s="10" t="b">
        <f>IF(AND(I532="TP",S532&lt;=150),VLOOKUP(AF532,TPCalibEq150!$AZ$2:$BB$55,3,),IF(AND(I532="TDP",S532&lt;=150),VLOOKUP(AF532,TPCalibEq150!$AZ$2:$BB$55,3,)))</f>
        <v>0</v>
      </c>
      <c r="AR532" s="10" t="b">
        <f>IF(AND(I532="TP",S532&lt;=300),VLOOKUP(AF532,TPCalibEq300!$AZ$2:$BB$55,3,),IF(AND(I532="TDP",S532&lt;=300),VLOOKUP(AF532,TPCalibEq300!$AZ$2:$BB$55,3,)))</f>
        <v>0</v>
      </c>
      <c r="AS532" s="10" t="b">
        <f>IF(AND(I532="TP",S532&lt;=500),VLOOKUP(AF532,TPCalibEq500!$AZ$2:$BB$56,3,),IF(AND(I532="TDP",S532&lt;=500),VLOOKUP(AF532,TPCalibEq500!$AZ$2:$BB$56,3,)))</f>
        <v>0</v>
      </c>
      <c r="AT532" s="10" t="b">
        <f>IF(AND(I532="TN",S532&lt;=2800),VLOOKUP(AF532,TNCalibEq2500!$AZ$2:$BB$56,3,),IF(AND(I532="TDN",S532&lt;=2800),VLOOKUP(AF532,TNCalibEq2500!$AZ$2:$BB$56,3,)))</f>
        <v>0</v>
      </c>
      <c r="AU532" s="10" t="b">
        <f>IF(I532="TP",VLOOKUP(AF532,TPCalibEqFull!$AZ$2:$BB$56,3),IF(I532="TDP",VLOOKUP(AF532,TPCalibEqFull!$AZ$2:$BB$56,3),IF(I532="TDN",VLOOKUP(AF532,TNCalibEqFull!$AZ$1:$BB$56,3),IF(I532="TN",VLOOKUP(AF532,TNCalibEqFull!$AZ$1:$BB$56,3),FALSE))))</f>
        <v>0</v>
      </c>
      <c r="AV532" s="10" t="str">
        <f t="shared" si="60"/>
        <v>0111 09:00:00-QAC-STD-D-1-DI-CHK</v>
      </c>
    </row>
    <row r="533" spans="1:48" s="10" customFormat="1" x14ac:dyDescent="0.55000000000000004">
      <c r="A533" s="32">
        <v>44935</v>
      </c>
      <c r="B533" s="33">
        <v>0.35972222222222222</v>
      </c>
      <c r="C533" s="10" t="s">
        <v>998</v>
      </c>
      <c r="D533" s="10">
        <v>0</v>
      </c>
      <c r="E533" s="10" t="s">
        <v>911</v>
      </c>
      <c r="F533" s="10">
        <v>1</v>
      </c>
      <c r="G533" s="10" t="s">
        <v>231</v>
      </c>
      <c r="H533" s="10" t="s">
        <v>322</v>
      </c>
      <c r="I533" s="10" t="s">
        <v>167</v>
      </c>
      <c r="J533" s="10">
        <v>25</v>
      </c>
      <c r="K533" s="12">
        <v>44937</v>
      </c>
      <c r="L533" s="33">
        <v>0.51738425925925924</v>
      </c>
      <c r="M533" s="10">
        <v>1</v>
      </c>
      <c r="N533" s="10" t="s">
        <v>211</v>
      </c>
      <c r="O533" s="10">
        <v>0.41399999999999998</v>
      </c>
      <c r="P533" s="10">
        <v>3.9800000000000002E-2</v>
      </c>
      <c r="Q533" s="10">
        <v>72.2</v>
      </c>
      <c r="R533" s="10" t="s">
        <v>913</v>
      </c>
      <c r="S533" s="34">
        <f t="shared" si="56"/>
        <v>72.2</v>
      </c>
      <c r="T533" s="10" t="s">
        <v>1000</v>
      </c>
      <c r="U533" s="34" t="str">
        <f t="shared" si="57"/>
        <v/>
      </c>
      <c r="V533" s="31" t="str">
        <f>IF(H533="CHK",VLOOKUP(I533,QCCHK,3,),IF(H533="GUP",VLOOKUP(E533,QCGUP,2,),IF(AND(H533="ATP",OR(I533="TN",I533="TDN",I533="TNO2-3",I533="NO2-3")),VLOOKUP(E533,QCREC_N,2,),IF(AND(H533="NIC",OR(I533="TN",I533="TDN",I533="TNO2-3",I533="NO2-3")),VLOOKUP(E533,QCNIC_N,2,),IF(AND(H533="UREA",OR(I533="TN",I533="TDN",I533="TNO2-3",I533="NO2-3")),VLOOKUP(E533,QCUREA_N,2,),IF(H533="PER",VLOOKUP(I533,QCPER,MATCH(E533,QCACTUAL!$J$25:$AA$25,0),),IF(H533="SPK",VLOOKUP(I533,QCSPK,3,),IF(AND(H533="ATP",OR(I533="TP",I533="TDP")),VLOOKUP(E533,QCATP_P,2,),""))))))))</f>
        <v/>
      </c>
      <c r="W533" s="31" t="str">
        <f t="shared" si="58"/>
        <v>TRUE</v>
      </c>
      <c r="X533" s="31" t="str">
        <f t="shared" si="59"/>
        <v/>
      </c>
      <c r="Y533" s="10" t="s">
        <v>992</v>
      </c>
      <c r="Z533" s="10" t="s">
        <v>910</v>
      </c>
      <c r="AL533" s="10" t="str">
        <f t="shared" si="61"/>
        <v>FALSE</v>
      </c>
      <c r="AM533" s="10" t="str">
        <f t="shared" si="61"/>
        <v>FALSE</v>
      </c>
      <c r="AN533" s="10" t="str">
        <f t="shared" si="61"/>
        <v>FALSE</v>
      </c>
      <c r="AO533" s="10" t="str">
        <f t="shared" si="62"/>
        <v>FALSE</v>
      </c>
      <c r="AP533" s="10" t="str">
        <f t="shared" si="62"/>
        <v>FALSE</v>
      </c>
      <c r="AQ533" s="10" t="b">
        <f>IF(AND(I533="TP",S533&lt;=150),VLOOKUP(AF533,TPCalibEq150!$AZ$2:$BB$55,3,),IF(AND(I533="TDP",S533&lt;=150),VLOOKUP(AF533,TPCalibEq150!$AZ$2:$BB$55,3,)))</f>
        <v>0</v>
      </c>
      <c r="AR533" s="10" t="b">
        <f>IF(AND(I533="TP",S533&lt;=300),VLOOKUP(AF533,TPCalibEq300!$AZ$2:$BB$55,3,),IF(AND(I533="TDP",S533&lt;=300),VLOOKUP(AF533,TPCalibEq300!$AZ$2:$BB$55,3,)))</f>
        <v>0</v>
      </c>
      <c r="AS533" s="10" t="b">
        <f>IF(AND(I533="TP",S533&lt;=500),VLOOKUP(AF533,TPCalibEq500!$AZ$2:$BB$56,3,),IF(AND(I533="TDP",S533&lt;=500),VLOOKUP(AF533,TPCalibEq500!$AZ$2:$BB$56,3,)))</f>
        <v>0</v>
      </c>
      <c r="AT533" s="10" t="b">
        <f>IF(AND(I533="TN",S533&lt;=2800),VLOOKUP(AF533,TNCalibEq2500!$AZ$2:$BB$56,3,),IF(AND(I533="TDN",S533&lt;=2800),VLOOKUP(AF533,TNCalibEq2500!$AZ$2:$BB$56,3,)))</f>
        <v>0</v>
      </c>
      <c r="AU533" s="10" t="b">
        <f>IF(I533="TP",VLOOKUP(AF533,TPCalibEqFull!$AZ$2:$BB$56,3),IF(I533="TDP",VLOOKUP(AF533,TPCalibEqFull!$AZ$2:$BB$56,3),IF(I533="TDN",VLOOKUP(AF533,TNCalibEqFull!$AZ$1:$BB$56,3),IF(I533="TN",VLOOKUP(AF533,TNCalibEqFull!$AZ$1:$BB$56,3),FALSE))))</f>
        <v>0</v>
      </c>
      <c r="AV533" s="10" t="str">
        <f t="shared" si="60"/>
        <v>0109 08:38:00-ELW-0-FIL-1-SW-UKN</v>
      </c>
    </row>
    <row r="534" spans="1:48" s="10" customFormat="1" x14ac:dyDescent="0.55000000000000004">
      <c r="A534" s="32">
        <v>44935</v>
      </c>
      <c r="B534" s="33">
        <v>0.44722222222222219</v>
      </c>
      <c r="C534" s="10" t="s">
        <v>310</v>
      </c>
      <c r="D534" s="10">
        <v>0</v>
      </c>
      <c r="E534" s="10" t="s">
        <v>911</v>
      </c>
      <c r="F534" s="10">
        <v>1</v>
      </c>
      <c r="G534" s="10" t="s">
        <v>231</v>
      </c>
      <c r="H534" s="10" t="s">
        <v>322</v>
      </c>
      <c r="I534" s="10" t="s">
        <v>167</v>
      </c>
      <c r="J534" s="10">
        <v>26</v>
      </c>
      <c r="K534" s="12">
        <v>44937</v>
      </c>
      <c r="L534" s="33">
        <v>0.51819444444444451</v>
      </c>
      <c r="M534" s="10">
        <v>1</v>
      </c>
      <c r="N534" s="10" t="s">
        <v>211</v>
      </c>
      <c r="O534" s="10">
        <v>0.53300000000000003</v>
      </c>
      <c r="P534" s="10">
        <v>5.11E-2</v>
      </c>
      <c r="Q534" s="10">
        <v>92.9</v>
      </c>
      <c r="R534" s="10" t="s">
        <v>913</v>
      </c>
      <c r="S534" s="34">
        <f t="shared" si="56"/>
        <v>92.9</v>
      </c>
      <c r="T534" s="10" t="s">
        <v>1000</v>
      </c>
      <c r="U534" s="34" t="str">
        <f t="shared" si="57"/>
        <v/>
      </c>
      <c r="V534" s="31" t="str">
        <f>IF(H534="CHK",VLOOKUP(I534,QCCHK,3,),IF(H534="GUP",VLOOKUP(E534,QCGUP,2,),IF(AND(H534="ATP",OR(I534="TN",I534="TDN",I534="TNO2-3",I534="NO2-3")),VLOOKUP(E534,QCREC_N,2,),IF(AND(H534="NIC",OR(I534="TN",I534="TDN",I534="TNO2-3",I534="NO2-3")),VLOOKUP(E534,QCNIC_N,2,),IF(AND(H534="UREA",OR(I534="TN",I534="TDN",I534="TNO2-3",I534="NO2-3")),VLOOKUP(E534,QCUREA_N,2,),IF(H534="PER",VLOOKUP(I534,QCPER,MATCH(E534,QCACTUAL!$J$25:$AA$25,0),),IF(H534="SPK",VLOOKUP(I534,QCSPK,3,),IF(AND(H534="ATP",OR(I534="TP",I534="TDP")),VLOOKUP(E534,QCATP_P,2,),""))))))))</f>
        <v/>
      </c>
      <c r="W534" s="31" t="str">
        <f t="shared" si="58"/>
        <v>TRUE</v>
      </c>
      <c r="X534" s="31" t="str">
        <f t="shared" si="59"/>
        <v/>
      </c>
      <c r="Y534" s="10" t="s">
        <v>992</v>
      </c>
      <c r="Z534" s="10" t="s">
        <v>910</v>
      </c>
      <c r="AL534" s="10" t="str">
        <f t="shared" si="61"/>
        <v>FALSE</v>
      </c>
      <c r="AM534" s="10" t="str">
        <f t="shared" si="61"/>
        <v>FALSE</v>
      </c>
      <c r="AN534" s="10" t="str">
        <f t="shared" si="61"/>
        <v>FALSE</v>
      </c>
      <c r="AO534" s="10" t="str">
        <f t="shared" si="62"/>
        <v>FALSE</v>
      </c>
      <c r="AP534" s="10" t="str">
        <f t="shared" si="62"/>
        <v>FALSE</v>
      </c>
      <c r="AQ534" s="10" t="b">
        <f>IF(AND(I534="TP",S534&lt;=150),VLOOKUP(AF534,TPCalibEq150!$AZ$2:$BB$55,3,),IF(AND(I534="TDP",S534&lt;=150),VLOOKUP(AF534,TPCalibEq150!$AZ$2:$BB$55,3,)))</f>
        <v>0</v>
      </c>
      <c r="AR534" s="10" t="b">
        <f>IF(AND(I534="TP",S534&lt;=300),VLOOKUP(AF534,TPCalibEq300!$AZ$2:$BB$55,3,),IF(AND(I534="TDP",S534&lt;=300),VLOOKUP(AF534,TPCalibEq300!$AZ$2:$BB$55,3,)))</f>
        <v>0</v>
      </c>
      <c r="AS534" s="10" t="b">
        <f>IF(AND(I534="TP",S534&lt;=500),VLOOKUP(AF534,TPCalibEq500!$AZ$2:$BB$56,3,),IF(AND(I534="TDP",S534&lt;=500),VLOOKUP(AF534,TPCalibEq500!$AZ$2:$BB$56,3,)))</f>
        <v>0</v>
      </c>
      <c r="AT534" s="10" t="b">
        <f>IF(AND(I534="TN",S534&lt;=2800),VLOOKUP(AF534,TNCalibEq2500!$AZ$2:$BB$56,3,),IF(AND(I534="TDN",S534&lt;=2800),VLOOKUP(AF534,TNCalibEq2500!$AZ$2:$BB$56,3,)))</f>
        <v>0</v>
      </c>
      <c r="AU534" s="10" t="b">
        <f>IF(I534="TP",VLOOKUP(AF534,TPCalibEqFull!$AZ$2:$BB$56,3),IF(I534="TDP",VLOOKUP(AF534,TPCalibEqFull!$AZ$2:$BB$56,3),IF(I534="TDN",VLOOKUP(AF534,TNCalibEqFull!$AZ$1:$BB$56,3),IF(I534="TN",VLOOKUP(AF534,TNCalibEqFull!$AZ$1:$BB$56,3),FALSE))))</f>
        <v>0</v>
      </c>
      <c r="AV534" s="10" t="str">
        <f t="shared" si="60"/>
        <v>0109 10:44:00-ELI-0-FIL-1-SW-UKN</v>
      </c>
    </row>
    <row r="535" spans="1:48" s="10" customFormat="1" x14ac:dyDescent="0.55000000000000004">
      <c r="A535" s="32">
        <v>44935</v>
      </c>
      <c r="B535" s="33">
        <v>0.4145833333333333</v>
      </c>
      <c r="C535" s="10" t="s">
        <v>999</v>
      </c>
      <c r="D535" s="10">
        <v>0</v>
      </c>
      <c r="E535" s="10" t="s">
        <v>911</v>
      </c>
      <c r="F535" s="10">
        <v>1</v>
      </c>
      <c r="G535" s="10" t="s">
        <v>231</v>
      </c>
      <c r="H535" s="10" t="s">
        <v>322</v>
      </c>
      <c r="I535" s="10" t="s">
        <v>167</v>
      </c>
      <c r="J535" s="10">
        <v>27</v>
      </c>
      <c r="K535" s="12">
        <v>44937</v>
      </c>
      <c r="L535" s="33">
        <v>0.51900462962962968</v>
      </c>
      <c r="M535" s="10">
        <v>1</v>
      </c>
      <c r="N535" s="10" t="s">
        <v>211</v>
      </c>
      <c r="O535" s="10">
        <v>0.52100000000000002</v>
      </c>
      <c r="P535" s="10">
        <v>4.9599999999999998E-2</v>
      </c>
      <c r="Q535" s="10">
        <v>90.7</v>
      </c>
      <c r="R535" s="10" t="s">
        <v>913</v>
      </c>
      <c r="S535" s="34">
        <f t="shared" si="56"/>
        <v>90.7</v>
      </c>
      <c r="T535" s="10" t="s">
        <v>1000</v>
      </c>
      <c r="U535" s="34" t="str">
        <f t="shared" si="57"/>
        <v/>
      </c>
      <c r="V535" s="31" t="str">
        <f>IF(H535="CHK",VLOOKUP(I535,QCCHK,3,),IF(H535="GUP",VLOOKUP(E535,QCGUP,2,),IF(AND(H535="ATP",OR(I535="TN",I535="TDN",I535="TNO2-3",I535="NO2-3")),VLOOKUP(E535,QCREC_N,2,),IF(AND(H535="NIC",OR(I535="TN",I535="TDN",I535="TNO2-3",I535="NO2-3")),VLOOKUP(E535,QCNIC_N,2,),IF(AND(H535="UREA",OR(I535="TN",I535="TDN",I535="TNO2-3",I535="NO2-3")),VLOOKUP(E535,QCUREA_N,2,),IF(H535="PER",VLOOKUP(I535,QCPER,MATCH(E535,QCACTUAL!$J$25:$AA$25,0),),IF(H535="SPK",VLOOKUP(I535,QCSPK,3,),IF(AND(H535="ATP",OR(I535="TP",I535="TDP")),VLOOKUP(E535,QCATP_P,2,),""))))))))</f>
        <v/>
      </c>
      <c r="W535" s="31" t="str">
        <f t="shared" si="58"/>
        <v>TRUE</v>
      </c>
      <c r="X535" s="31" t="str">
        <f t="shared" si="59"/>
        <v/>
      </c>
      <c r="Y535" s="10" t="s">
        <v>992</v>
      </c>
      <c r="Z535" s="10" t="s">
        <v>910</v>
      </c>
      <c r="AL535" s="10" t="str">
        <f t="shared" si="61"/>
        <v>FALSE</v>
      </c>
      <c r="AM535" s="10" t="str">
        <f t="shared" si="61"/>
        <v>FALSE</v>
      </c>
      <c r="AN535" s="10" t="str">
        <f t="shared" si="61"/>
        <v>FALSE</v>
      </c>
      <c r="AO535" s="10" t="str">
        <f t="shared" si="62"/>
        <v>FALSE</v>
      </c>
      <c r="AP535" s="10" t="str">
        <f t="shared" si="62"/>
        <v>FALSE</v>
      </c>
      <c r="AQ535" s="10" t="b">
        <f>IF(AND(I535="TP",S535&lt;=150),VLOOKUP(AF535,TPCalibEq150!$AZ$2:$BB$55,3,),IF(AND(I535="TDP",S535&lt;=150),VLOOKUP(AF535,TPCalibEq150!$AZ$2:$BB$55,3,)))</f>
        <v>0</v>
      </c>
      <c r="AR535" s="10" t="b">
        <f>IF(AND(I535="TP",S535&lt;=300),VLOOKUP(AF535,TPCalibEq300!$AZ$2:$BB$55,3,),IF(AND(I535="TDP",S535&lt;=300),VLOOKUP(AF535,TPCalibEq300!$AZ$2:$BB$55,3,)))</f>
        <v>0</v>
      </c>
      <c r="AS535" s="10" t="b">
        <f>IF(AND(I535="TP",S535&lt;=500),VLOOKUP(AF535,TPCalibEq500!$AZ$2:$BB$56,3,),IF(AND(I535="TDP",S535&lt;=500),VLOOKUP(AF535,TPCalibEq500!$AZ$2:$BB$56,3,)))</f>
        <v>0</v>
      </c>
      <c r="AT535" s="10" t="b">
        <f>IF(AND(I535="TN",S535&lt;=2800),VLOOKUP(AF535,TNCalibEq2500!$AZ$2:$BB$56,3,),IF(AND(I535="TDN",S535&lt;=2800),VLOOKUP(AF535,TNCalibEq2500!$AZ$2:$BB$56,3,)))</f>
        <v>0</v>
      </c>
      <c r="AU535" s="10" t="b">
        <f>IF(I535="TP",VLOOKUP(AF535,TPCalibEqFull!$AZ$2:$BB$56,3),IF(I535="TDP",VLOOKUP(AF535,TPCalibEqFull!$AZ$2:$BB$56,3),IF(I535="TDN",VLOOKUP(AF535,TNCalibEqFull!$AZ$1:$BB$56,3),IF(I535="TN",VLOOKUP(AF535,TNCalibEqFull!$AZ$1:$BB$56,3),FALSE))))</f>
        <v>0</v>
      </c>
      <c r="AV535" s="10" t="str">
        <f t="shared" si="60"/>
        <v>0109 09:57:00-EAW-0-FIL-1-SW-UKN</v>
      </c>
    </row>
    <row r="536" spans="1:48" s="10" customFormat="1" x14ac:dyDescent="0.55000000000000004">
      <c r="A536" s="32">
        <v>44935</v>
      </c>
      <c r="B536" s="33">
        <v>0.4145833333333333</v>
      </c>
      <c r="C536" s="10" t="s">
        <v>999</v>
      </c>
      <c r="D536" s="10">
        <v>0</v>
      </c>
      <c r="E536" s="10" t="s">
        <v>911</v>
      </c>
      <c r="F536" s="10">
        <v>2</v>
      </c>
      <c r="G536" s="10" t="s">
        <v>231</v>
      </c>
      <c r="H536" s="10" t="s">
        <v>322</v>
      </c>
      <c r="I536" s="10" t="s">
        <v>167</v>
      </c>
      <c r="J536" s="10">
        <v>28</v>
      </c>
      <c r="K536" s="12">
        <v>44937</v>
      </c>
      <c r="L536" s="33">
        <v>0.51981481481481484</v>
      </c>
      <c r="M536" s="10">
        <v>1</v>
      </c>
      <c r="N536" s="10" t="s">
        <v>211</v>
      </c>
      <c r="O536" s="10">
        <v>0.53800000000000003</v>
      </c>
      <c r="P536" s="10">
        <v>5.1299999999999998E-2</v>
      </c>
      <c r="Q536" s="10">
        <v>93.8</v>
      </c>
      <c r="R536" s="10" t="s">
        <v>913</v>
      </c>
      <c r="S536" s="34">
        <f t="shared" si="56"/>
        <v>93.8</v>
      </c>
      <c r="T536" s="10" t="s">
        <v>1000</v>
      </c>
      <c r="U536" s="34" t="str">
        <f t="shared" si="57"/>
        <v/>
      </c>
      <c r="V536" s="31" t="str">
        <f>IF(H536="CHK",VLOOKUP(I536,QCCHK,3,),IF(H536="GUP",VLOOKUP(E536,QCGUP,2,),IF(AND(H536="ATP",OR(I536="TN",I536="TDN",I536="TNO2-3",I536="NO2-3")),VLOOKUP(E536,QCREC_N,2,),IF(AND(H536="NIC",OR(I536="TN",I536="TDN",I536="TNO2-3",I536="NO2-3")),VLOOKUP(E536,QCNIC_N,2,),IF(AND(H536="UREA",OR(I536="TN",I536="TDN",I536="TNO2-3",I536="NO2-3")),VLOOKUP(E536,QCUREA_N,2,),IF(H536="PER",VLOOKUP(I536,QCPER,MATCH(E536,QCACTUAL!$J$25:$AA$25,0),),IF(H536="SPK",VLOOKUP(I536,QCSPK,3,),IF(AND(H536="ATP",OR(I536="TP",I536="TDP")),VLOOKUP(E536,QCATP_P,2,),""))))))))</f>
        <v/>
      </c>
      <c r="W536" s="31" t="str">
        <f t="shared" si="58"/>
        <v>TRUE</v>
      </c>
      <c r="X536" s="31" t="str">
        <f t="shared" si="59"/>
        <v/>
      </c>
      <c r="Y536" s="10" t="s">
        <v>992</v>
      </c>
      <c r="Z536" s="10" t="s">
        <v>910</v>
      </c>
      <c r="AL536" s="10" t="str">
        <f t="shared" si="61"/>
        <v>FALSE</v>
      </c>
      <c r="AM536" s="10" t="str">
        <f t="shared" si="61"/>
        <v>FALSE</v>
      </c>
      <c r="AN536" s="10" t="str">
        <f t="shared" si="61"/>
        <v>FALSE</v>
      </c>
      <c r="AO536" s="10" t="str">
        <f t="shared" si="62"/>
        <v>FALSE</v>
      </c>
      <c r="AP536" s="10" t="str">
        <f t="shared" si="62"/>
        <v>FALSE</v>
      </c>
      <c r="AQ536" s="10" t="b">
        <f>IF(AND(I536="TP",S536&lt;=150),VLOOKUP(AF536,TPCalibEq150!$AZ$2:$BB$55,3,),IF(AND(I536="TDP",S536&lt;=150),VLOOKUP(AF536,TPCalibEq150!$AZ$2:$BB$55,3,)))</f>
        <v>0</v>
      </c>
      <c r="AR536" s="10" t="b">
        <f>IF(AND(I536="TP",S536&lt;=300),VLOOKUP(AF536,TPCalibEq300!$AZ$2:$BB$55,3,),IF(AND(I536="TDP",S536&lt;=300),VLOOKUP(AF536,TPCalibEq300!$AZ$2:$BB$55,3,)))</f>
        <v>0</v>
      </c>
      <c r="AS536" s="10" t="b">
        <f>IF(AND(I536="TP",S536&lt;=500),VLOOKUP(AF536,TPCalibEq500!$AZ$2:$BB$56,3,),IF(AND(I536="TDP",S536&lt;=500),VLOOKUP(AF536,TPCalibEq500!$AZ$2:$BB$56,3,)))</f>
        <v>0</v>
      </c>
      <c r="AT536" s="10" t="b">
        <f>IF(AND(I536="TN",S536&lt;=2800),VLOOKUP(AF536,TNCalibEq2500!$AZ$2:$BB$56,3,),IF(AND(I536="TDN",S536&lt;=2800),VLOOKUP(AF536,TNCalibEq2500!$AZ$2:$BB$56,3,)))</f>
        <v>0</v>
      </c>
      <c r="AU536" s="10" t="b">
        <f>IF(I536="TP",VLOOKUP(AF536,TPCalibEqFull!$AZ$2:$BB$56,3),IF(I536="TDP",VLOOKUP(AF536,TPCalibEqFull!$AZ$2:$BB$56,3),IF(I536="TDN",VLOOKUP(AF536,TNCalibEqFull!$AZ$1:$BB$56,3),IF(I536="TN",VLOOKUP(AF536,TNCalibEqFull!$AZ$1:$BB$56,3),FALSE))))</f>
        <v>0</v>
      </c>
      <c r="AV536" s="10" t="str">
        <f t="shared" si="60"/>
        <v>0109 09:57:00-EAW-0-FIL-2-SW-UKN</v>
      </c>
    </row>
    <row r="537" spans="1:48" s="10" customFormat="1" x14ac:dyDescent="0.55000000000000004">
      <c r="A537" s="32">
        <v>44935</v>
      </c>
      <c r="B537" s="33">
        <v>0.4145833333333333</v>
      </c>
      <c r="C537" s="10" t="s">
        <v>999</v>
      </c>
      <c r="D537" s="10">
        <v>0</v>
      </c>
      <c r="E537" s="10" t="s">
        <v>911</v>
      </c>
      <c r="F537" s="10">
        <v>2</v>
      </c>
      <c r="G537" s="10" t="s">
        <v>231</v>
      </c>
      <c r="H537" s="10" t="s">
        <v>233</v>
      </c>
      <c r="I537" s="10" t="s">
        <v>167</v>
      </c>
      <c r="J537" s="10">
        <v>28</v>
      </c>
      <c r="K537" s="12">
        <v>44937</v>
      </c>
      <c r="L537" s="33">
        <v>0.520625</v>
      </c>
      <c r="M537" s="10">
        <v>1</v>
      </c>
      <c r="N537" s="10" t="s">
        <v>211</v>
      </c>
      <c r="O537" s="10">
        <v>0.53400000000000003</v>
      </c>
      <c r="P537" s="10">
        <v>5.0799999999999998E-2</v>
      </c>
      <c r="Q537" s="10">
        <v>93.1</v>
      </c>
      <c r="R537" s="10" t="s">
        <v>913</v>
      </c>
      <c r="S537" s="34">
        <f t="shared" si="56"/>
        <v>93.1</v>
      </c>
      <c r="T537" s="10" t="s">
        <v>1000</v>
      </c>
      <c r="U537" s="34">
        <f t="shared" si="57"/>
        <v>0.74906367041198818</v>
      </c>
      <c r="V537" s="31" t="str">
        <f>IF(H537="CHK",VLOOKUP(I537,QCCHK,3,),IF(H537="GUP",VLOOKUP(E537,QCGUP,2,),IF(AND(H537="ATP",OR(I537="TN",I537="TDN",I537="TNO2-3",I537="NO2-3")),VLOOKUP(E537,QCREC_N,2,),IF(AND(H537="NIC",OR(I537="TN",I537="TDN",I537="TNO2-3",I537="NO2-3")),VLOOKUP(E537,QCNIC_N,2,),IF(AND(H537="UREA",OR(I537="TN",I537="TDN",I537="TNO2-3",I537="NO2-3")),VLOOKUP(E537,QCUREA_N,2,),IF(H537="PER",VLOOKUP(I537,QCPER,MATCH(E537,QCACTUAL!$J$25:$AA$25,0),),IF(H537="SPK",VLOOKUP(I537,QCSPK,3,),IF(AND(H537="ATP",OR(I537="TP",I537="TDP")),VLOOKUP(E537,QCATP_P,2,),""))))))))</f>
        <v/>
      </c>
      <c r="W537" s="31" t="str">
        <f t="shared" si="58"/>
        <v>TRUE</v>
      </c>
      <c r="X537" s="31" t="str">
        <f t="shared" si="59"/>
        <v>((ABS(rep1-rep2))/((rep1+rep2)/2)*100</v>
      </c>
      <c r="Y537" s="10" t="s">
        <v>992</v>
      </c>
      <c r="Z537" s="10" t="s">
        <v>910</v>
      </c>
      <c r="AL537" s="10" t="str">
        <f t="shared" si="61"/>
        <v>FALSE</v>
      </c>
      <c r="AM537" s="10" t="str">
        <f t="shared" si="61"/>
        <v>FALSE</v>
      </c>
      <c r="AN537" s="10" t="str">
        <f t="shared" si="61"/>
        <v>FALSE</v>
      </c>
      <c r="AO537" s="10" t="str">
        <f t="shared" si="62"/>
        <v>FALSE</v>
      </c>
      <c r="AP537" s="10" t="str">
        <f t="shared" si="62"/>
        <v>FALSE</v>
      </c>
      <c r="AQ537" s="10" t="b">
        <f>IF(AND(I537="TP",S537&lt;=150),VLOOKUP(AF537,TPCalibEq150!$AZ$2:$BB$55,3,),IF(AND(I537="TDP",S537&lt;=150),VLOOKUP(AF537,TPCalibEq150!$AZ$2:$BB$55,3,)))</f>
        <v>0</v>
      </c>
      <c r="AR537" s="10" t="b">
        <f>IF(AND(I537="TP",S537&lt;=300),VLOOKUP(AF537,TPCalibEq300!$AZ$2:$BB$55,3,),IF(AND(I537="TDP",S537&lt;=300),VLOOKUP(AF537,TPCalibEq300!$AZ$2:$BB$55,3,)))</f>
        <v>0</v>
      </c>
      <c r="AS537" s="10" t="b">
        <f>IF(AND(I537="TP",S537&lt;=500),VLOOKUP(AF537,TPCalibEq500!$AZ$2:$BB$56,3,),IF(AND(I537="TDP",S537&lt;=500),VLOOKUP(AF537,TPCalibEq500!$AZ$2:$BB$56,3,)))</f>
        <v>0</v>
      </c>
      <c r="AT537" s="10" t="b">
        <f>IF(AND(I537="TN",S537&lt;=2800),VLOOKUP(AF537,TNCalibEq2500!$AZ$2:$BB$56,3,),IF(AND(I537="TDN",S537&lt;=2800),VLOOKUP(AF537,TNCalibEq2500!$AZ$2:$BB$56,3,)))</f>
        <v>0</v>
      </c>
      <c r="AU537" s="10" t="b">
        <f>IF(I537="TP",VLOOKUP(AF537,TPCalibEqFull!$AZ$2:$BB$56,3),IF(I537="TDP",VLOOKUP(AF537,TPCalibEqFull!$AZ$2:$BB$56,3),IF(I537="TDN",VLOOKUP(AF537,TNCalibEqFull!$AZ$1:$BB$56,3),IF(I537="TN",VLOOKUP(AF537,TNCalibEqFull!$AZ$1:$BB$56,3),FALSE))))</f>
        <v>0</v>
      </c>
      <c r="AV537" s="10" t="str">
        <f t="shared" si="60"/>
        <v>0109 09:57:00-EAW-0-FIL-2-SW-DUP</v>
      </c>
    </row>
    <row r="538" spans="1:48" s="10" customFormat="1" x14ac:dyDescent="0.55000000000000004">
      <c r="A538" s="32">
        <v>44935</v>
      </c>
      <c r="B538" s="33">
        <v>0.4145833333333333</v>
      </c>
      <c r="C538" s="10" t="s">
        <v>999</v>
      </c>
      <c r="D538" s="10">
        <v>0</v>
      </c>
      <c r="E538" s="10" t="s">
        <v>911</v>
      </c>
      <c r="F538" s="10">
        <v>2</v>
      </c>
      <c r="G538" s="10" t="s">
        <v>231</v>
      </c>
      <c r="H538" s="10" t="s">
        <v>314</v>
      </c>
      <c r="I538" s="10" t="s">
        <v>167</v>
      </c>
      <c r="J538" s="10">
        <v>32</v>
      </c>
      <c r="K538" s="12">
        <v>44937</v>
      </c>
      <c r="L538" s="33">
        <v>0.52145833333333336</v>
      </c>
      <c r="M538" s="10">
        <v>1</v>
      </c>
      <c r="N538" s="10" t="s">
        <v>211</v>
      </c>
      <c r="O538" s="10">
        <v>1.44</v>
      </c>
      <c r="P538" s="10">
        <v>0.14000000000000001</v>
      </c>
      <c r="Q538" s="10">
        <v>251</v>
      </c>
      <c r="R538" s="10" t="s">
        <v>913</v>
      </c>
      <c r="S538" s="34">
        <f t="shared" si="56"/>
        <v>251</v>
      </c>
      <c r="T538" s="10" t="s">
        <v>1000</v>
      </c>
      <c r="U538" s="34">
        <f t="shared" si="57"/>
        <v>101.05600000000001</v>
      </c>
      <c r="V538" s="31">
        <f>IF(H538="CHK",VLOOKUP(I538,QCCHK,3,),IF(H538="GUP",VLOOKUP(E538,QCGUP,2,),IF(AND(H538="ATP",OR(I538="TN",I538="TDN",I538="TNO2-3",I538="NO2-3")),VLOOKUP(E538,QCREC_N,2,),IF(AND(H538="NIC",OR(I538="TN",I538="TDN",I538="TNO2-3",I538="NO2-3")),VLOOKUP(E538,QCNIC_N,2,),IF(AND(H538="UREA",OR(I538="TN",I538="TDN",I538="TNO2-3",I538="NO2-3")),VLOOKUP(E538,QCUREA_N,2,),IF(H538="PER",VLOOKUP(I538,QCPER,MATCH(E538,QCACTUAL!$J$25:$AA$25,0),),IF(H538="SPK",VLOOKUP(I538,QCSPK,3,),IF(AND(H538="ATP",OR(I538="TP",I538="TDP")),VLOOKUP(E538,QCATP_P,2,),""))))))))</f>
        <v>156.25</v>
      </c>
      <c r="W538" s="31" t="str">
        <f t="shared" si="58"/>
        <v>TRUE</v>
      </c>
      <c r="X538" s="31" t="str">
        <f t="shared" si="59"/>
        <v>([spikedunkn]-[unkn])/[spike]*100</v>
      </c>
      <c r="Y538" s="10" t="s">
        <v>992</v>
      </c>
      <c r="Z538" s="10" t="s">
        <v>910</v>
      </c>
      <c r="AL538" s="10" t="str">
        <f t="shared" si="61"/>
        <v>FALSE</v>
      </c>
      <c r="AM538" s="10" t="str">
        <f t="shared" si="61"/>
        <v>FALSE</v>
      </c>
      <c r="AN538" s="10" t="str">
        <f t="shared" si="61"/>
        <v>FALSE</v>
      </c>
      <c r="AO538" s="10" t="str">
        <f t="shared" si="62"/>
        <v>FALSE</v>
      </c>
      <c r="AP538" s="10" t="str">
        <f t="shared" si="62"/>
        <v>FALSE</v>
      </c>
      <c r="AQ538" s="10" t="b">
        <f>IF(AND(I538="TP",S538&lt;=150),VLOOKUP(AF538,TPCalibEq150!$AZ$2:$BB$55,3,),IF(AND(I538="TDP",S538&lt;=150),VLOOKUP(AF538,TPCalibEq150!$AZ$2:$BB$55,3,)))</f>
        <v>0</v>
      </c>
      <c r="AR538" s="10" t="b">
        <f>IF(AND(I538="TP",S538&lt;=300),VLOOKUP(AF538,TPCalibEq300!$AZ$2:$BB$55,3,),IF(AND(I538="TDP",S538&lt;=300),VLOOKUP(AF538,TPCalibEq300!$AZ$2:$BB$55,3,)))</f>
        <v>0</v>
      </c>
      <c r="AS538" s="10" t="b">
        <f>IF(AND(I538="TP",S538&lt;=500),VLOOKUP(AF538,TPCalibEq500!$AZ$2:$BB$56,3,),IF(AND(I538="TDP",S538&lt;=500),VLOOKUP(AF538,TPCalibEq500!$AZ$2:$BB$56,3,)))</f>
        <v>0</v>
      </c>
      <c r="AT538" s="10" t="b">
        <f>IF(AND(I538="TN",S538&lt;=2800),VLOOKUP(AF538,TNCalibEq2500!$AZ$2:$BB$56,3,),IF(AND(I538="TDN",S538&lt;=2800),VLOOKUP(AF538,TNCalibEq2500!$AZ$2:$BB$56,3,)))</f>
        <v>0</v>
      </c>
      <c r="AU538" s="10" t="b">
        <f>IF(I538="TP",VLOOKUP(AF538,TPCalibEqFull!$AZ$2:$BB$56,3),IF(I538="TDP",VLOOKUP(AF538,TPCalibEqFull!$AZ$2:$BB$56,3),IF(I538="TDN",VLOOKUP(AF538,TNCalibEqFull!$AZ$1:$BB$56,3),IF(I538="TN",VLOOKUP(AF538,TNCalibEqFull!$AZ$1:$BB$56,3),FALSE))))</f>
        <v>0</v>
      </c>
      <c r="AV538" s="10" t="str">
        <f t="shared" si="60"/>
        <v>0109 09:57:00-EAW-0-FIL-2-SW-SPK</v>
      </c>
    </row>
    <row r="539" spans="1:48" s="10" customFormat="1" x14ac:dyDescent="0.55000000000000004">
      <c r="A539" s="32">
        <v>44937</v>
      </c>
      <c r="B539" s="33">
        <v>0.375</v>
      </c>
      <c r="C539" s="10" t="s">
        <v>70</v>
      </c>
      <c r="D539" s="10" t="s">
        <v>71</v>
      </c>
      <c r="E539" s="10" t="s">
        <v>901</v>
      </c>
      <c r="F539" s="10">
        <v>1</v>
      </c>
      <c r="G539" s="10" t="s">
        <v>73</v>
      </c>
      <c r="H539" s="10" t="s">
        <v>207</v>
      </c>
      <c r="I539" s="10" t="s">
        <v>285</v>
      </c>
      <c r="J539" s="10">
        <v>200</v>
      </c>
      <c r="K539" s="12">
        <v>44937</v>
      </c>
      <c r="L539" s="33">
        <v>0.52228009259259256</v>
      </c>
      <c r="M539" s="10">
        <v>1</v>
      </c>
      <c r="N539" s="10" t="s">
        <v>211</v>
      </c>
      <c r="O539" s="10">
        <v>0.44600000000000001</v>
      </c>
      <c r="P539" s="10">
        <v>4.24E-2</v>
      </c>
      <c r="Q539" s="10">
        <v>77.7</v>
      </c>
      <c r="R539" s="10" t="s">
        <v>913</v>
      </c>
      <c r="S539" s="34">
        <f t="shared" si="56"/>
        <v>77.7</v>
      </c>
      <c r="T539" s="10" t="s">
        <v>1000</v>
      </c>
      <c r="U539" s="34">
        <f t="shared" si="57"/>
        <v>103.60000000000001</v>
      </c>
      <c r="V539" s="31">
        <f>IF(H539="CHK",VLOOKUP(I539,QCCHK,3,),IF(H539="GUP",VLOOKUP(E539,QCGUP,2,),IF(AND(H539="ATP",OR(I539="TN",I539="TDN",I539="TNO2-3",I539="NO2-3")),VLOOKUP(E539,QCREC_N,2,),IF(AND(H539="NIC",OR(I539="TN",I539="TDN",I539="TNO2-3",I539="NO2-3")),VLOOKUP(E539,QCNIC_N,2,),IF(AND(H539="UREA",OR(I539="TN",I539="TDN",I539="TNO2-3",I539="NO2-3")),VLOOKUP(E539,QCUREA_N,2,),IF(H539="PER",VLOOKUP(I539,QCPER,MATCH(E539,QCACTUAL!$J$25:$AA$25,0),),IF(H539="SPK",VLOOKUP(I539,QCSPK,3,),IF(AND(H539="ATP",OR(I539="TP",I539="TDP")),VLOOKUP(E539,QCATP_P,2,),""))))))))</f>
        <v>75</v>
      </c>
      <c r="W539" s="31" t="str">
        <f t="shared" si="58"/>
        <v>TRUE</v>
      </c>
      <c r="X539" s="31" t="str">
        <f t="shared" si="59"/>
        <v>[chk]/[actual]*100</v>
      </c>
      <c r="Y539" s="10" t="s">
        <v>992</v>
      </c>
      <c r="AL539" s="10" t="str">
        <f t="shared" si="61"/>
        <v>FALSE</v>
      </c>
      <c r="AM539" s="10" t="str">
        <f t="shared" si="61"/>
        <v>FALSE</v>
      </c>
      <c r="AN539" s="10" t="str">
        <f t="shared" si="61"/>
        <v>FALSE</v>
      </c>
      <c r="AO539" s="10" t="str">
        <f t="shared" si="62"/>
        <v>FALSE</v>
      </c>
      <c r="AP539" s="10" t="str">
        <f t="shared" si="62"/>
        <v>FALSE</v>
      </c>
      <c r="AQ539" s="10" t="b">
        <f>IF(AND(I539="TP",S539&lt;=150),VLOOKUP(AF539,TPCalibEq150!$AZ$2:$BB$55,3,),IF(AND(I539="TDP",S539&lt;=150),VLOOKUP(AF539,TPCalibEq150!$AZ$2:$BB$55,3,)))</f>
        <v>0</v>
      </c>
      <c r="AR539" s="10" t="b">
        <f>IF(AND(I539="TP",S539&lt;=300),VLOOKUP(AF539,TPCalibEq300!$AZ$2:$BB$55,3,),IF(AND(I539="TDP",S539&lt;=300),VLOOKUP(AF539,TPCalibEq300!$AZ$2:$BB$55,3,)))</f>
        <v>0</v>
      </c>
      <c r="AS539" s="10" t="b">
        <f>IF(AND(I539="TP",S539&lt;=500),VLOOKUP(AF539,TPCalibEq500!$AZ$2:$BB$56,3,),IF(AND(I539="TDP",S539&lt;=500),VLOOKUP(AF539,TPCalibEq500!$AZ$2:$BB$56,3,)))</f>
        <v>0</v>
      </c>
      <c r="AT539" s="10" t="b">
        <f>IF(AND(I539="TN",S539&lt;=2800),VLOOKUP(AF539,TNCalibEq2500!$AZ$2:$BB$56,3,),IF(AND(I539="TDN",S539&lt;=2800),VLOOKUP(AF539,TNCalibEq2500!$AZ$2:$BB$56,3,)))</f>
        <v>0</v>
      </c>
      <c r="AU539" s="10" t="b">
        <f>IF(I539="TP",VLOOKUP(AF539,TPCalibEqFull!$AZ$2:$BB$56,3),IF(I539="TDP",VLOOKUP(AF539,TPCalibEqFull!$AZ$2:$BB$56,3),IF(I539="TDN",VLOOKUP(AF539,TNCalibEqFull!$AZ$1:$BB$56,3),IF(I539="TN",VLOOKUP(AF539,TNCalibEqFull!$AZ$1:$BB$56,3),FALSE))))</f>
        <v>0</v>
      </c>
      <c r="AV539" s="10" t="str">
        <f t="shared" si="60"/>
        <v>0111 09:00:00-QAC-STD-D-1-DI-CHK</v>
      </c>
    </row>
    <row r="540" spans="1:48" s="10" customFormat="1" x14ac:dyDescent="0.55000000000000004">
      <c r="A540" s="32">
        <v>44937</v>
      </c>
      <c r="B540" s="33">
        <v>0.375</v>
      </c>
      <c r="C540" s="10" t="s">
        <v>70</v>
      </c>
      <c r="D540" s="10" t="s">
        <v>71</v>
      </c>
      <c r="E540" s="10" t="s">
        <v>72</v>
      </c>
      <c r="F540" s="10">
        <v>1</v>
      </c>
      <c r="G540" s="10" t="s">
        <v>73</v>
      </c>
      <c r="H540" s="10" t="s">
        <v>74</v>
      </c>
      <c r="I540" s="10" t="s">
        <v>256</v>
      </c>
      <c r="J540" s="10">
        <v>181</v>
      </c>
      <c r="K540" s="12">
        <v>44937</v>
      </c>
      <c r="L540" s="33">
        <v>0.4777777777777778</v>
      </c>
      <c r="M540" s="10">
        <v>1</v>
      </c>
      <c r="N540" s="10" t="s">
        <v>169</v>
      </c>
      <c r="O540" s="10">
        <v>3.2199999999999999E-2</v>
      </c>
      <c r="P540" s="10">
        <v>1.2600000000000001E-3</v>
      </c>
      <c r="Q540" s="10">
        <v>0</v>
      </c>
      <c r="R540" s="10" t="s">
        <v>77</v>
      </c>
      <c r="S540" s="34">
        <f t="shared" si="56"/>
        <v>0</v>
      </c>
      <c r="T540" s="10" t="s">
        <v>1002</v>
      </c>
      <c r="U540" s="34" t="str">
        <f t="shared" si="57"/>
        <v/>
      </c>
      <c r="V540" s="31" t="str">
        <f>IF(H540="CHK",VLOOKUP(I540,QCCHK,3,),IF(H540="GUP",VLOOKUP(E540,QCGUP,2,),IF(AND(H540="ATP",OR(I540="TN",I540="TDN",I540="TNO2-3",I540="NO2-3")),VLOOKUP(E540,QCREC_N,2,),IF(AND(H540="NIC",OR(I540="TN",I540="TDN",I540="TNO2-3",I540="NO2-3")),VLOOKUP(E540,QCNIC_N,2,),IF(AND(H540="UREA",OR(I540="TN",I540="TDN",I540="TNO2-3",I540="NO2-3")),VLOOKUP(E540,QCUREA_N,2,),IF(H540="PER",VLOOKUP(I540,QCPER,MATCH(E540,QCACTUAL!$J$25:$AA$25,0),),IF(H540="SPK",VLOOKUP(I540,QCSPK,3,),IF(AND(H540="ATP",OR(I540="TP",I540="TDP")),VLOOKUP(E540,QCATP_P,2,),""))))))))</f>
        <v/>
      </c>
      <c r="W540" s="31" t="str">
        <f t="shared" si="58"/>
        <v>TRUE</v>
      </c>
      <c r="X540" s="31" t="str">
        <f t="shared" si="59"/>
        <v/>
      </c>
      <c r="Y540" s="10" t="s">
        <v>992</v>
      </c>
      <c r="AL540" s="10" t="str">
        <f t="shared" si="61"/>
        <v>FALSE</v>
      </c>
      <c r="AM540" s="10" t="str">
        <f t="shared" si="61"/>
        <v>FALSE</v>
      </c>
      <c r="AN540" s="10" t="str">
        <f t="shared" si="61"/>
        <v>FALSE</v>
      </c>
      <c r="AO540" s="10" t="str">
        <f t="shared" si="62"/>
        <v>FALSE</v>
      </c>
      <c r="AP540" s="10" t="str">
        <f t="shared" si="62"/>
        <v>FALSE</v>
      </c>
      <c r="AQ540" s="10" t="b">
        <f>IF(AND(I540="TP",S540&lt;=150),VLOOKUP(AF540,TPCalibEq150!$AZ$2:$BB$55,3,),IF(AND(I540="TDP",S540&lt;=150),VLOOKUP(AF540,TPCalibEq150!$AZ$2:$BB$55,3,)))</f>
        <v>0</v>
      </c>
      <c r="AR540" s="10" t="b">
        <f>IF(AND(I540="TP",S540&lt;=300),VLOOKUP(AF540,TPCalibEq300!$AZ$2:$BB$55,3,),IF(AND(I540="TDP",S540&lt;=300),VLOOKUP(AF540,TPCalibEq300!$AZ$2:$BB$55,3,)))</f>
        <v>0</v>
      </c>
      <c r="AS540" s="10" t="b">
        <f>IF(AND(I540="TP",S540&lt;=500),VLOOKUP(AF540,TPCalibEq500!$AZ$2:$BB$56,3,),IF(AND(I540="TDP",S540&lt;=500),VLOOKUP(AF540,TPCalibEq500!$AZ$2:$BB$56,3,)))</f>
        <v>0</v>
      </c>
      <c r="AT540" s="10" t="b">
        <f>IF(AND(I540="TN",S540&lt;=2800),VLOOKUP(AF540,TNCalibEq2500!$AZ$2:$BB$56,3,),IF(AND(I540="TDN",S540&lt;=2800),VLOOKUP(AF540,TNCalibEq2500!$AZ$2:$BB$56,3,)))</f>
        <v>0</v>
      </c>
      <c r="AU540" s="10" t="b">
        <f>IF(I540="TP",VLOOKUP(AF540,TPCalibEqFull!$AZ$2:$BB$56,3),IF(I540="TDP",VLOOKUP(AF540,TPCalibEqFull!$AZ$2:$BB$56,3),IF(I540="TDN",VLOOKUP(AF540,TNCalibEqFull!$AZ$1:$BB$56,3),IF(I540="TN",VLOOKUP(AF540,TNCalibEqFull!$AZ$1:$BB$56,3),FALSE))))</f>
        <v>0</v>
      </c>
      <c r="AV540" s="10" t="str">
        <f t="shared" si="60"/>
        <v>0111 09:00:00-QAC-STD-H-1-DI-CAL</v>
      </c>
    </row>
    <row r="541" spans="1:48" s="10" customFormat="1" x14ac:dyDescent="0.55000000000000004">
      <c r="A541" s="32">
        <v>44937</v>
      </c>
      <c r="B541" s="33">
        <v>0.375</v>
      </c>
      <c r="C541" s="10" t="s">
        <v>70</v>
      </c>
      <c r="D541" s="10" t="s">
        <v>71</v>
      </c>
      <c r="E541" s="10" t="s">
        <v>908</v>
      </c>
      <c r="F541" s="10">
        <v>1</v>
      </c>
      <c r="G541" s="10" t="s">
        <v>73</v>
      </c>
      <c r="H541" s="10" t="s">
        <v>74</v>
      </c>
      <c r="I541" s="10" t="s">
        <v>256</v>
      </c>
      <c r="J541" s="10">
        <v>182</v>
      </c>
      <c r="K541" s="12">
        <v>44937</v>
      </c>
      <c r="L541" s="33">
        <v>0.46709490740740739</v>
      </c>
      <c r="M541" s="10">
        <v>1</v>
      </c>
      <c r="N541" s="10" t="s">
        <v>169</v>
      </c>
      <c r="O541" s="10">
        <v>0.21</v>
      </c>
      <c r="P541" s="10">
        <v>1.01E-2</v>
      </c>
      <c r="Q541" s="10">
        <v>20</v>
      </c>
      <c r="R541" s="10" t="s">
        <v>77</v>
      </c>
      <c r="S541" s="34">
        <f t="shared" si="56"/>
        <v>20</v>
      </c>
      <c r="T541" s="10" t="s">
        <v>1003</v>
      </c>
      <c r="U541" s="34" t="str">
        <f t="shared" si="57"/>
        <v/>
      </c>
      <c r="V541" s="31" t="str">
        <f>IF(H541="CHK",VLOOKUP(I541,QCCHK,3,),IF(H541="GUP",VLOOKUP(E541,QCGUP,2,),IF(AND(H541="ATP",OR(I541="TN",I541="TDN",I541="TNO2-3",I541="NO2-3")),VLOOKUP(E541,QCREC_N,2,),IF(AND(H541="NIC",OR(I541="TN",I541="TDN",I541="TNO2-3",I541="NO2-3")),VLOOKUP(E541,QCNIC_N,2,),IF(AND(H541="UREA",OR(I541="TN",I541="TDN",I541="TNO2-3",I541="NO2-3")),VLOOKUP(E541,QCUREA_N,2,),IF(H541="PER",VLOOKUP(I541,QCPER,MATCH(E541,QCACTUAL!$J$25:$AA$25,0),),IF(H541="SPK",VLOOKUP(I541,QCSPK,3,),IF(AND(H541="ATP",OR(I541="TP",I541="TDP")),VLOOKUP(E541,QCATP_P,2,),""))))))))</f>
        <v/>
      </c>
      <c r="W541" s="31" t="str">
        <f t="shared" si="58"/>
        <v>TRUE</v>
      </c>
      <c r="X541" s="31" t="str">
        <f t="shared" si="59"/>
        <v/>
      </c>
      <c r="Y541" s="10" t="s">
        <v>992</v>
      </c>
      <c r="AL541" s="10" t="str">
        <f t="shared" si="61"/>
        <v>FALSE</v>
      </c>
      <c r="AM541" s="10" t="str">
        <f t="shared" si="61"/>
        <v>FALSE</v>
      </c>
      <c r="AN541" s="10" t="str">
        <f t="shared" si="61"/>
        <v>FALSE</v>
      </c>
      <c r="AO541" s="10" t="str">
        <f t="shared" si="62"/>
        <v>FALSE</v>
      </c>
      <c r="AP541" s="10" t="str">
        <f t="shared" si="62"/>
        <v>FALSE</v>
      </c>
      <c r="AQ541" s="10" t="b">
        <f>IF(AND(I541="TP",S541&lt;=150),VLOOKUP(AF541,TPCalibEq150!$AZ$2:$BB$55,3,),IF(AND(I541="TDP",S541&lt;=150),VLOOKUP(AF541,TPCalibEq150!$AZ$2:$BB$55,3,)))</f>
        <v>0</v>
      </c>
      <c r="AR541" s="10" t="b">
        <f>IF(AND(I541="TP",S541&lt;=300),VLOOKUP(AF541,TPCalibEq300!$AZ$2:$BB$55,3,),IF(AND(I541="TDP",S541&lt;=300),VLOOKUP(AF541,TPCalibEq300!$AZ$2:$BB$55,3,)))</f>
        <v>0</v>
      </c>
      <c r="AS541" s="10" t="b">
        <f>IF(AND(I541="TP",S541&lt;=500),VLOOKUP(AF541,TPCalibEq500!$AZ$2:$BB$56,3,),IF(AND(I541="TDP",S541&lt;=500),VLOOKUP(AF541,TPCalibEq500!$AZ$2:$BB$56,3,)))</f>
        <v>0</v>
      </c>
      <c r="AT541" s="10" t="b">
        <f>IF(AND(I541="TN",S541&lt;=2800),VLOOKUP(AF541,TNCalibEq2500!$AZ$2:$BB$56,3,),IF(AND(I541="TDN",S541&lt;=2800),VLOOKUP(AF541,TNCalibEq2500!$AZ$2:$BB$56,3,)))</f>
        <v>0</v>
      </c>
      <c r="AU541" s="10" t="b">
        <f>IF(I541="TP",VLOOKUP(AF541,TPCalibEqFull!$AZ$2:$BB$56,3),IF(I541="TDP",VLOOKUP(AF541,TPCalibEqFull!$AZ$2:$BB$56,3),IF(I541="TDN",VLOOKUP(AF541,TNCalibEqFull!$AZ$1:$BB$56,3),IF(I541="TN",VLOOKUP(AF541,TNCalibEqFull!$AZ$1:$BB$56,3),FALSE))))</f>
        <v>0</v>
      </c>
      <c r="AV541" s="10" t="str">
        <f t="shared" si="60"/>
        <v>0111 09:00:00-QAC-STD-G-1-DI-CAL</v>
      </c>
    </row>
    <row r="542" spans="1:48" s="10" customFormat="1" x14ac:dyDescent="0.55000000000000004">
      <c r="A542" s="32">
        <v>44937</v>
      </c>
      <c r="B542" s="33">
        <v>0.375</v>
      </c>
      <c r="C542" s="10" t="s">
        <v>70</v>
      </c>
      <c r="D542" s="10" t="s">
        <v>71</v>
      </c>
      <c r="E542" s="10" t="s">
        <v>550</v>
      </c>
      <c r="F542" s="10">
        <v>1</v>
      </c>
      <c r="G542" s="10" t="s">
        <v>73</v>
      </c>
      <c r="H542" s="10" t="s">
        <v>74</v>
      </c>
      <c r="I542" s="10" t="s">
        <v>256</v>
      </c>
      <c r="J542" s="10">
        <v>183</v>
      </c>
      <c r="K542" s="12">
        <v>44937</v>
      </c>
      <c r="L542" s="33">
        <v>0.47457175925925926</v>
      </c>
      <c r="M542" s="10">
        <v>1</v>
      </c>
      <c r="N542" s="10" t="s">
        <v>169</v>
      </c>
      <c r="O542" s="10">
        <v>0.47699999999999998</v>
      </c>
      <c r="P542" s="10">
        <v>2.3300000000000001E-2</v>
      </c>
      <c r="Q542" s="10">
        <v>60</v>
      </c>
      <c r="R542" s="10" t="s">
        <v>77</v>
      </c>
      <c r="S542" s="34">
        <f t="shared" si="56"/>
        <v>60</v>
      </c>
      <c r="T542" s="10" t="s">
        <v>1002</v>
      </c>
      <c r="U542" s="34" t="str">
        <f t="shared" si="57"/>
        <v/>
      </c>
      <c r="V542" s="31" t="str">
        <f>IF(H542="CHK",VLOOKUP(I542,QCCHK,3,),IF(H542="GUP",VLOOKUP(E542,QCGUP,2,),IF(AND(H542="ATP",OR(I542="TN",I542="TDN",I542="TNO2-3",I542="NO2-3")),VLOOKUP(E542,QCREC_N,2,),IF(AND(H542="NIC",OR(I542="TN",I542="TDN",I542="TNO2-3",I542="NO2-3")),VLOOKUP(E542,QCNIC_N,2,),IF(AND(H542="UREA",OR(I542="TN",I542="TDN",I542="TNO2-3",I542="NO2-3")),VLOOKUP(E542,QCUREA_N,2,),IF(H542="PER",VLOOKUP(I542,QCPER,MATCH(E542,QCACTUAL!$J$25:$AA$25,0),),IF(H542="SPK",VLOOKUP(I542,QCSPK,3,),IF(AND(H542="ATP",OR(I542="TP",I542="TDP")),VLOOKUP(E542,QCATP_P,2,),""))))))))</f>
        <v/>
      </c>
      <c r="W542" s="31" t="str">
        <f t="shared" si="58"/>
        <v>TRUE</v>
      </c>
      <c r="X542" s="31" t="str">
        <f t="shared" si="59"/>
        <v/>
      </c>
      <c r="Y542" s="10" t="s">
        <v>992</v>
      </c>
      <c r="AL542" s="10" t="str">
        <f t="shared" si="61"/>
        <v>FALSE</v>
      </c>
      <c r="AM542" s="10" t="str">
        <f t="shared" si="61"/>
        <v>FALSE</v>
      </c>
      <c r="AN542" s="10" t="str">
        <f t="shared" si="61"/>
        <v>FALSE</v>
      </c>
      <c r="AO542" s="10" t="str">
        <f t="shared" si="62"/>
        <v>FALSE</v>
      </c>
      <c r="AP542" s="10" t="str">
        <f t="shared" si="62"/>
        <v>FALSE</v>
      </c>
      <c r="AQ542" s="10" t="b">
        <f>IF(AND(I542="TP",S542&lt;=150),VLOOKUP(AF542,TPCalibEq150!$AZ$2:$BB$55,3,),IF(AND(I542="TDP",S542&lt;=150),VLOOKUP(AF542,TPCalibEq150!$AZ$2:$BB$55,3,)))</f>
        <v>0</v>
      </c>
      <c r="AR542" s="10" t="b">
        <f>IF(AND(I542="TP",S542&lt;=300),VLOOKUP(AF542,TPCalibEq300!$AZ$2:$BB$55,3,),IF(AND(I542="TDP",S542&lt;=300),VLOOKUP(AF542,TPCalibEq300!$AZ$2:$BB$55,3,)))</f>
        <v>0</v>
      </c>
      <c r="AS542" s="10" t="b">
        <f>IF(AND(I542="TP",S542&lt;=500),VLOOKUP(AF542,TPCalibEq500!$AZ$2:$BB$56,3,),IF(AND(I542="TDP",S542&lt;=500),VLOOKUP(AF542,TPCalibEq500!$AZ$2:$BB$56,3,)))</f>
        <v>0</v>
      </c>
      <c r="AT542" s="10" t="b">
        <f>IF(AND(I542="TN",S542&lt;=2800),VLOOKUP(AF542,TNCalibEq2500!$AZ$2:$BB$56,3,),IF(AND(I542="TDN",S542&lt;=2800),VLOOKUP(AF542,TNCalibEq2500!$AZ$2:$BB$56,3,)))</f>
        <v>0</v>
      </c>
      <c r="AU542" s="10" t="b">
        <f>IF(I542="TP",VLOOKUP(AF542,TPCalibEqFull!$AZ$2:$BB$56,3),IF(I542="TDP",VLOOKUP(AF542,TPCalibEqFull!$AZ$2:$BB$56,3),IF(I542="TDN",VLOOKUP(AF542,TNCalibEqFull!$AZ$1:$BB$56,3),IF(I542="TN",VLOOKUP(AF542,TNCalibEqFull!$AZ$1:$BB$56,3),FALSE))))</f>
        <v>0</v>
      </c>
      <c r="AV542" s="10" t="str">
        <f t="shared" si="60"/>
        <v>0111 09:00:00-QAC-STD-F-1-DI-CAL</v>
      </c>
    </row>
    <row r="543" spans="1:48" s="10" customFormat="1" x14ac:dyDescent="0.55000000000000004">
      <c r="A543" s="32">
        <v>44937</v>
      </c>
      <c r="B543" s="33">
        <v>0.375</v>
      </c>
      <c r="C543" s="10" t="s">
        <v>70</v>
      </c>
      <c r="D543" s="10" t="s">
        <v>71</v>
      </c>
      <c r="E543" s="10" t="s">
        <v>909</v>
      </c>
      <c r="F543" s="10">
        <v>1</v>
      </c>
      <c r="G543" s="10" t="s">
        <v>73</v>
      </c>
      <c r="H543" s="10" t="s">
        <v>74</v>
      </c>
      <c r="I543" s="10" t="s">
        <v>256</v>
      </c>
      <c r="J543" s="10">
        <v>184</v>
      </c>
      <c r="K543" s="12">
        <v>44937</v>
      </c>
      <c r="L543" s="33">
        <v>0.47531250000000003</v>
      </c>
      <c r="M543" s="10">
        <v>1</v>
      </c>
      <c r="N543" s="10" t="s">
        <v>169</v>
      </c>
      <c r="O543" s="10">
        <v>0.622</v>
      </c>
      <c r="P543" s="10">
        <v>3.09E-2</v>
      </c>
      <c r="Q543" s="10">
        <v>80</v>
      </c>
      <c r="R543" s="10" t="s">
        <v>77</v>
      </c>
      <c r="S543" s="34">
        <f t="shared" si="56"/>
        <v>80</v>
      </c>
      <c r="T543" s="10" t="s">
        <v>1002</v>
      </c>
      <c r="U543" s="34" t="str">
        <f t="shared" si="57"/>
        <v/>
      </c>
      <c r="V543" s="31" t="str">
        <f>IF(H543="CHK",VLOOKUP(I543,QCCHK,3,),IF(H543="GUP",VLOOKUP(E543,QCGUP,2,),IF(AND(H543="ATP",OR(I543="TN",I543="TDN",I543="TNO2-3",I543="NO2-3")),VLOOKUP(E543,QCREC_N,2,),IF(AND(H543="NIC",OR(I543="TN",I543="TDN",I543="TNO2-3",I543="NO2-3")),VLOOKUP(E543,QCNIC_N,2,),IF(AND(H543="UREA",OR(I543="TN",I543="TDN",I543="TNO2-3",I543="NO2-3")),VLOOKUP(E543,QCUREA_N,2,),IF(H543="PER",VLOOKUP(I543,QCPER,MATCH(E543,QCACTUAL!$J$25:$AA$25,0),),IF(H543="SPK",VLOOKUP(I543,QCSPK,3,),IF(AND(H543="ATP",OR(I543="TP",I543="TDP")),VLOOKUP(E543,QCATP_P,2,),""))))))))</f>
        <v/>
      </c>
      <c r="W543" s="31" t="str">
        <f t="shared" si="58"/>
        <v>TRUE</v>
      </c>
      <c r="X543" s="31" t="str">
        <f t="shared" si="59"/>
        <v/>
      </c>
      <c r="Y543" s="10" t="s">
        <v>992</v>
      </c>
      <c r="AL543" s="10" t="str">
        <f t="shared" si="61"/>
        <v>FALSE</v>
      </c>
      <c r="AM543" s="10" t="str">
        <f t="shared" si="61"/>
        <v>FALSE</v>
      </c>
      <c r="AN543" s="10" t="str">
        <f t="shared" si="61"/>
        <v>FALSE</v>
      </c>
      <c r="AO543" s="10" t="str">
        <f t="shared" si="62"/>
        <v>FALSE</v>
      </c>
      <c r="AP543" s="10" t="str">
        <f t="shared" si="62"/>
        <v>FALSE</v>
      </c>
      <c r="AQ543" s="10" t="b">
        <f>IF(AND(I543="TP",S543&lt;=150),VLOOKUP(AF543,TPCalibEq150!$AZ$2:$BB$55,3,),IF(AND(I543="TDP",S543&lt;=150),VLOOKUP(AF543,TPCalibEq150!$AZ$2:$BB$55,3,)))</f>
        <v>0</v>
      </c>
      <c r="AR543" s="10" t="b">
        <f>IF(AND(I543="TP",S543&lt;=300),VLOOKUP(AF543,TPCalibEq300!$AZ$2:$BB$55,3,),IF(AND(I543="TDP",S543&lt;=300),VLOOKUP(AF543,TPCalibEq300!$AZ$2:$BB$55,3,)))</f>
        <v>0</v>
      </c>
      <c r="AS543" s="10" t="b">
        <f>IF(AND(I543="TP",S543&lt;=500),VLOOKUP(AF543,TPCalibEq500!$AZ$2:$BB$56,3,),IF(AND(I543="TDP",S543&lt;=500),VLOOKUP(AF543,TPCalibEq500!$AZ$2:$BB$56,3,)))</f>
        <v>0</v>
      </c>
      <c r="AT543" s="10" t="b">
        <f>IF(AND(I543="TN",S543&lt;=2800),VLOOKUP(AF543,TNCalibEq2500!$AZ$2:$BB$56,3,),IF(AND(I543="TDN",S543&lt;=2800),VLOOKUP(AF543,TNCalibEq2500!$AZ$2:$BB$56,3,)))</f>
        <v>0</v>
      </c>
      <c r="AU543" s="10" t="b">
        <f>IF(I543="TP",VLOOKUP(AF543,TPCalibEqFull!$AZ$2:$BB$56,3),IF(I543="TDP",VLOOKUP(AF543,TPCalibEqFull!$AZ$2:$BB$56,3),IF(I543="TDN",VLOOKUP(AF543,TNCalibEqFull!$AZ$1:$BB$56,3),IF(I543="TN",VLOOKUP(AF543,TNCalibEqFull!$AZ$1:$BB$56,3),FALSE))))</f>
        <v>0</v>
      </c>
      <c r="AV543" s="10" t="str">
        <f t="shared" si="60"/>
        <v>0111 09:00:00-QAC-STD-E-1-DI-CAL</v>
      </c>
    </row>
    <row r="544" spans="1:48" s="10" customFormat="1" x14ac:dyDescent="0.55000000000000004">
      <c r="A544" s="32">
        <v>44937</v>
      </c>
      <c r="B544" s="33">
        <v>0.375</v>
      </c>
      <c r="C544" s="10" t="s">
        <v>70</v>
      </c>
      <c r="D544" s="10" t="s">
        <v>71</v>
      </c>
      <c r="E544" s="10" t="s">
        <v>901</v>
      </c>
      <c r="F544" s="10">
        <v>1</v>
      </c>
      <c r="G544" s="10" t="s">
        <v>73</v>
      </c>
      <c r="H544" s="10" t="s">
        <v>74</v>
      </c>
      <c r="I544" s="10" t="s">
        <v>256</v>
      </c>
      <c r="J544" s="10">
        <v>185</v>
      </c>
      <c r="K544" s="12">
        <v>44937</v>
      </c>
      <c r="L544" s="33">
        <v>0.46956018518518516</v>
      </c>
      <c r="M544" s="10">
        <v>1</v>
      </c>
      <c r="N544" s="10" t="s">
        <v>169</v>
      </c>
      <c r="O544" s="10">
        <v>2.31</v>
      </c>
      <c r="P544" s="10">
        <v>0.112</v>
      </c>
      <c r="Q544" s="10">
        <v>300</v>
      </c>
      <c r="R544" s="10" t="s">
        <v>77</v>
      </c>
      <c r="S544" s="34">
        <f t="shared" si="56"/>
        <v>300</v>
      </c>
      <c r="T544" s="10" t="s">
        <v>939</v>
      </c>
      <c r="U544" s="34" t="str">
        <f t="shared" si="57"/>
        <v/>
      </c>
      <c r="V544" s="31" t="str">
        <f>IF(H544="CHK",VLOOKUP(I544,QCCHK,3,),IF(H544="GUP",VLOOKUP(E544,QCGUP,2,),IF(AND(H544="ATP",OR(I544="TN",I544="TDN",I544="TNO2-3",I544="NO2-3")),VLOOKUP(E544,QCREC_N,2,),IF(AND(H544="NIC",OR(I544="TN",I544="TDN",I544="TNO2-3",I544="NO2-3")),VLOOKUP(E544,QCNIC_N,2,),IF(AND(H544="UREA",OR(I544="TN",I544="TDN",I544="TNO2-3",I544="NO2-3")),VLOOKUP(E544,QCUREA_N,2,),IF(H544="PER",VLOOKUP(I544,QCPER,MATCH(E544,QCACTUAL!$J$25:$AA$25,0),),IF(H544="SPK",VLOOKUP(I544,QCSPK,3,),IF(AND(H544="ATP",OR(I544="TP",I544="TDP")),VLOOKUP(E544,QCATP_P,2,),""))))))))</f>
        <v/>
      </c>
      <c r="W544" s="31" t="str">
        <f t="shared" si="58"/>
        <v>TRUE</v>
      </c>
      <c r="X544" s="31" t="str">
        <f t="shared" si="59"/>
        <v/>
      </c>
      <c r="Y544" s="10" t="s">
        <v>992</v>
      </c>
      <c r="AL544" s="10" t="str">
        <f t="shared" si="61"/>
        <v>FALSE</v>
      </c>
      <c r="AM544" s="10" t="str">
        <f t="shared" si="61"/>
        <v>FALSE</v>
      </c>
      <c r="AN544" s="10" t="str">
        <f t="shared" si="61"/>
        <v>FALSE</v>
      </c>
      <c r="AO544" s="10" t="str">
        <f t="shared" si="62"/>
        <v>FALSE</v>
      </c>
      <c r="AP544" s="10" t="str">
        <f t="shared" si="62"/>
        <v>FALSE</v>
      </c>
      <c r="AQ544" s="10" t="b">
        <f>IF(AND(I544="TP",S544&lt;=150),VLOOKUP(AF544,TPCalibEq150!$AZ$2:$BB$55,3,),IF(AND(I544="TDP",S544&lt;=150),VLOOKUP(AF544,TPCalibEq150!$AZ$2:$BB$55,3,)))</f>
        <v>0</v>
      </c>
      <c r="AR544" s="10" t="b">
        <f>IF(AND(I544="TP",S544&lt;=300),VLOOKUP(AF544,TPCalibEq300!$AZ$2:$BB$55,3,),IF(AND(I544="TDP",S544&lt;=300),VLOOKUP(AF544,TPCalibEq300!$AZ$2:$BB$55,3,)))</f>
        <v>0</v>
      </c>
      <c r="AS544" s="10" t="b">
        <f>IF(AND(I544="TP",S544&lt;=500),VLOOKUP(AF544,TPCalibEq500!$AZ$2:$BB$56,3,),IF(AND(I544="TDP",S544&lt;=500),VLOOKUP(AF544,TPCalibEq500!$AZ$2:$BB$56,3,)))</f>
        <v>0</v>
      </c>
      <c r="AT544" s="10" t="b">
        <f>IF(AND(I544="TN",S544&lt;=2800),VLOOKUP(AF544,TNCalibEq2500!$AZ$2:$BB$56,3,),IF(AND(I544="TDN",S544&lt;=2800),VLOOKUP(AF544,TNCalibEq2500!$AZ$2:$BB$56,3,)))</f>
        <v>0</v>
      </c>
      <c r="AU544" s="10" t="b">
        <f>IF(I544="TP",VLOOKUP(AF544,TPCalibEqFull!$AZ$2:$BB$56,3),IF(I544="TDP",VLOOKUP(AF544,TPCalibEqFull!$AZ$2:$BB$56,3),IF(I544="TDN",VLOOKUP(AF544,TNCalibEqFull!$AZ$1:$BB$56,3),IF(I544="TN",VLOOKUP(AF544,TNCalibEqFull!$AZ$1:$BB$56,3),FALSE))))</f>
        <v>0</v>
      </c>
      <c r="AV544" s="10" t="str">
        <f t="shared" si="60"/>
        <v>0111 09:00:00-QAC-STD-D-1-DI-CAL</v>
      </c>
    </row>
    <row r="545" spans="1:48" s="10" customFormat="1" x14ac:dyDescent="0.55000000000000004">
      <c r="A545" s="32">
        <v>44937</v>
      </c>
      <c r="B545" s="33">
        <v>0.375</v>
      </c>
      <c r="C545" s="10" t="s">
        <v>70</v>
      </c>
      <c r="D545" s="10" t="s">
        <v>71</v>
      </c>
      <c r="E545" s="10" t="s">
        <v>190</v>
      </c>
      <c r="F545" s="10">
        <v>1</v>
      </c>
      <c r="G545" s="10" t="s">
        <v>73</v>
      </c>
      <c r="H545" s="10" t="s">
        <v>74</v>
      </c>
      <c r="I545" s="10" t="s">
        <v>256</v>
      </c>
      <c r="J545" s="10">
        <v>186</v>
      </c>
      <c r="K545" s="12">
        <v>44937</v>
      </c>
      <c r="L545" s="33">
        <v>0.47039351851851857</v>
      </c>
      <c r="M545" s="10">
        <v>1</v>
      </c>
      <c r="N545" s="10" t="s">
        <v>169</v>
      </c>
      <c r="O545" s="10">
        <v>4.5999999999999996</v>
      </c>
      <c r="P545" s="10">
        <v>0.22500000000000001</v>
      </c>
      <c r="Q545" s="10">
        <v>600</v>
      </c>
      <c r="R545" s="10" t="s">
        <v>77</v>
      </c>
      <c r="S545" s="34">
        <f t="shared" si="56"/>
        <v>600</v>
      </c>
      <c r="T545" s="10" t="s">
        <v>915</v>
      </c>
      <c r="U545" s="34" t="str">
        <f t="shared" si="57"/>
        <v/>
      </c>
      <c r="V545" s="31" t="str">
        <f>IF(H545="CHK",VLOOKUP(I545,QCCHK,3,),IF(H545="GUP",VLOOKUP(E545,QCGUP,2,),IF(AND(H545="ATP",OR(I545="TN",I545="TDN",I545="TNO2-3",I545="NO2-3")),VLOOKUP(E545,QCREC_N,2,),IF(AND(H545="NIC",OR(I545="TN",I545="TDN",I545="TNO2-3",I545="NO2-3")),VLOOKUP(E545,QCNIC_N,2,),IF(AND(H545="UREA",OR(I545="TN",I545="TDN",I545="TNO2-3",I545="NO2-3")),VLOOKUP(E545,QCUREA_N,2,),IF(H545="PER",VLOOKUP(I545,QCPER,MATCH(E545,QCACTUAL!$J$25:$AA$25,0),),IF(H545="SPK",VLOOKUP(I545,QCSPK,3,),IF(AND(H545="ATP",OR(I545="TP",I545="TDP")),VLOOKUP(E545,QCATP_P,2,),""))))))))</f>
        <v/>
      </c>
      <c r="W545" s="31" t="str">
        <f t="shared" si="58"/>
        <v>TRUE</v>
      </c>
      <c r="X545" s="31" t="str">
        <f t="shared" si="59"/>
        <v/>
      </c>
      <c r="Y545" s="10" t="s">
        <v>992</v>
      </c>
      <c r="AL545" s="10" t="str">
        <f t="shared" si="61"/>
        <v>FALSE</v>
      </c>
      <c r="AM545" s="10" t="str">
        <f t="shared" si="61"/>
        <v>FALSE</v>
      </c>
      <c r="AN545" s="10" t="str">
        <f t="shared" si="61"/>
        <v>FALSE</v>
      </c>
      <c r="AO545" s="10" t="str">
        <f t="shared" si="62"/>
        <v>FALSE</v>
      </c>
      <c r="AP545" s="10" t="str">
        <f t="shared" si="62"/>
        <v>FALSE</v>
      </c>
      <c r="AQ545" s="10" t="b">
        <f>IF(AND(I545="TP",S545&lt;=150),VLOOKUP(AF545,TPCalibEq150!$AZ$2:$BB$55,3,),IF(AND(I545="TDP",S545&lt;=150),VLOOKUP(AF545,TPCalibEq150!$AZ$2:$BB$55,3,)))</f>
        <v>0</v>
      </c>
      <c r="AR545" s="10" t="b">
        <f>IF(AND(I545="TP",S545&lt;=300),VLOOKUP(AF545,TPCalibEq300!$AZ$2:$BB$55,3,),IF(AND(I545="TDP",S545&lt;=300),VLOOKUP(AF545,TPCalibEq300!$AZ$2:$BB$55,3,)))</f>
        <v>0</v>
      </c>
      <c r="AS545" s="10" t="b">
        <f>IF(AND(I545="TP",S545&lt;=500),VLOOKUP(AF545,TPCalibEq500!$AZ$2:$BB$56,3,),IF(AND(I545="TDP",S545&lt;=500),VLOOKUP(AF545,TPCalibEq500!$AZ$2:$BB$56,3,)))</f>
        <v>0</v>
      </c>
      <c r="AT545" s="10" t="b">
        <f>IF(AND(I545="TN",S545&lt;=2800),VLOOKUP(AF545,TNCalibEq2500!$AZ$2:$BB$56,3,),IF(AND(I545="TDN",S545&lt;=2800),VLOOKUP(AF545,TNCalibEq2500!$AZ$2:$BB$56,3,)))</f>
        <v>0</v>
      </c>
      <c r="AU545" s="10" t="b">
        <f>IF(I545="TP",VLOOKUP(AF545,TPCalibEqFull!$AZ$2:$BB$56,3),IF(I545="TDP",VLOOKUP(AF545,TPCalibEqFull!$AZ$2:$BB$56,3),IF(I545="TDN",VLOOKUP(AF545,TNCalibEqFull!$AZ$1:$BB$56,3),IF(I545="TN",VLOOKUP(AF545,TNCalibEqFull!$AZ$1:$BB$56,3),FALSE))))</f>
        <v>0</v>
      </c>
      <c r="AV545" s="10" t="str">
        <f t="shared" si="60"/>
        <v>0111 09:00:00-QAC-STD-C-1-DI-CAL</v>
      </c>
    </row>
    <row r="546" spans="1:48" s="10" customFormat="1" x14ac:dyDescent="0.55000000000000004">
      <c r="A546" s="32">
        <v>44937</v>
      </c>
      <c r="B546" s="33">
        <v>0.375</v>
      </c>
      <c r="C546" s="10" t="s">
        <v>70</v>
      </c>
      <c r="D546" s="10" t="s">
        <v>71</v>
      </c>
      <c r="E546" s="10" t="s">
        <v>583</v>
      </c>
      <c r="F546" s="10">
        <v>1</v>
      </c>
      <c r="G546" s="10" t="s">
        <v>73</v>
      </c>
      <c r="H546" s="10" t="s">
        <v>74</v>
      </c>
      <c r="I546" s="10" t="s">
        <v>256</v>
      </c>
      <c r="J546" s="10">
        <v>187</v>
      </c>
      <c r="K546" s="12">
        <v>44937</v>
      </c>
      <c r="L546" s="33">
        <v>0.47121527777777777</v>
      </c>
      <c r="M546" s="10">
        <v>1</v>
      </c>
      <c r="N546" s="10" t="s">
        <v>169</v>
      </c>
      <c r="O546" s="10">
        <v>9.15</v>
      </c>
      <c r="P546" s="10">
        <v>0.44900000000000001</v>
      </c>
      <c r="Q546" s="10">
        <v>1200</v>
      </c>
      <c r="R546" s="10" t="s">
        <v>77</v>
      </c>
      <c r="S546" s="34">
        <f t="shared" si="56"/>
        <v>1200</v>
      </c>
      <c r="T546" s="10" t="s">
        <v>915</v>
      </c>
      <c r="U546" s="34" t="str">
        <f t="shared" si="57"/>
        <v/>
      </c>
      <c r="V546" s="31" t="str">
        <f>IF(H546="CHK",VLOOKUP(I546,QCCHK,3,),IF(H546="GUP",VLOOKUP(E546,QCGUP,2,),IF(AND(H546="ATP",OR(I546="TN",I546="TDN",I546="TNO2-3",I546="NO2-3")),VLOOKUP(E546,QCREC_N,2,),IF(AND(H546="NIC",OR(I546="TN",I546="TDN",I546="TNO2-3",I546="NO2-3")),VLOOKUP(E546,QCNIC_N,2,),IF(AND(H546="UREA",OR(I546="TN",I546="TDN",I546="TNO2-3",I546="NO2-3")),VLOOKUP(E546,QCUREA_N,2,),IF(H546="PER",VLOOKUP(I546,QCPER,MATCH(E546,QCACTUAL!$J$25:$AA$25,0),),IF(H546="SPK",VLOOKUP(I546,QCSPK,3,),IF(AND(H546="ATP",OR(I546="TP",I546="TDP")),VLOOKUP(E546,QCATP_P,2,),""))))))))</f>
        <v/>
      </c>
      <c r="W546" s="31" t="str">
        <f t="shared" si="58"/>
        <v>TRUE</v>
      </c>
      <c r="X546" s="31" t="str">
        <f t="shared" si="59"/>
        <v/>
      </c>
      <c r="Y546" s="10" t="s">
        <v>992</v>
      </c>
      <c r="AL546" s="10" t="str">
        <f t="shared" si="61"/>
        <v>FALSE</v>
      </c>
      <c r="AM546" s="10" t="str">
        <f t="shared" si="61"/>
        <v>FALSE</v>
      </c>
      <c r="AN546" s="10" t="str">
        <f t="shared" si="61"/>
        <v>FALSE</v>
      </c>
      <c r="AO546" s="10" t="str">
        <f t="shared" si="62"/>
        <v>FALSE</v>
      </c>
      <c r="AP546" s="10" t="str">
        <f t="shared" si="62"/>
        <v>FALSE</v>
      </c>
      <c r="AQ546" s="10" t="b">
        <f>IF(AND(I546="TP",S546&lt;=150),VLOOKUP(AF546,TPCalibEq150!$AZ$2:$BB$55,3,),IF(AND(I546="TDP",S546&lt;=150),VLOOKUP(AF546,TPCalibEq150!$AZ$2:$BB$55,3,)))</f>
        <v>0</v>
      </c>
      <c r="AR546" s="10" t="b">
        <f>IF(AND(I546="TP",S546&lt;=300),VLOOKUP(AF546,TPCalibEq300!$AZ$2:$BB$55,3,),IF(AND(I546="TDP",S546&lt;=300),VLOOKUP(AF546,TPCalibEq300!$AZ$2:$BB$55,3,)))</f>
        <v>0</v>
      </c>
      <c r="AS546" s="10" t="b">
        <f>IF(AND(I546="TP",S546&lt;=500),VLOOKUP(AF546,TPCalibEq500!$AZ$2:$BB$56,3,),IF(AND(I546="TDP",S546&lt;=500),VLOOKUP(AF546,TPCalibEq500!$AZ$2:$BB$56,3,)))</f>
        <v>0</v>
      </c>
      <c r="AT546" s="10" t="b">
        <f>IF(AND(I546="TN",S546&lt;=2800),VLOOKUP(AF546,TNCalibEq2500!$AZ$2:$BB$56,3,),IF(AND(I546="TDN",S546&lt;=2800),VLOOKUP(AF546,TNCalibEq2500!$AZ$2:$BB$56,3,)))</f>
        <v>0</v>
      </c>
      <c r="AU546" s="10" t="b">
        <f>IF(I546="TP",VLOOKUP(AF546,TPCalibEqFull!$AZ$2:$BB$56,3),IF(I546="TDP",VLOOKUP(AF546,TPCalibEqFull!$AZ$2:$BB$56,3),IF(I546="TDN",VLOOKUP(AF546,TNCalibEqFull!$AZ$1:$BB$56,3),IF(I546="TN",VLOOKUP(AF546,TNCalibEqFull!$AZ$1:$BB$56,3),FALSE))))</f>
        <v>0</v>
      </c>
      <c r="AV546" s="10" t="str">
        <f t="shared" si="60"/>
        <v>0111 09:00:00-QAC-STD-B-1-DI-CAL</v>
      </c>
    </row>
    <row r="547" spans="1:48" s="10" customFormat="1" x14ac:dyDescent="0.55000000000000004">
      <c r="A547" s="32">
        <v>44937</v>
      </c>
      <c r="B547" s="33">
        <v>0.375</v>
      </c>
      <c r="C547" s="10" t="s">
        <v>70</v>
      </c>
      <c r="D547" s="10" t="s">
        <v>71</v>
      </c>
      <c r="E547" s="10" t="s">
        <v>866</v>
      </c>
      <c r="F547" s="10">
        <v>1</v>
      </c>
      <c r="G547" s="10" t="s">
        <v>73</v>
      </c>
      <c r="H547" s="10" t="s">
        <v>74</v>
      </c>
      <c r="I547" s="10" t="s">
        <v>256</v>
      </c>
      <c r="J547" s="10">
        <v>188</v>
      </c>
      <c r="K547" s="12">
        <v>44937</v>
      </c>
      <c r="L547" s="33">
        <v>0.47203703703703703</v>
      </c>
      <c r="M547" s="10">
        <v>1</v>
      </c>
      <c r="N547" s="10" t="s">
        <v>169</v>
      </c>
      <c r="O547" s="10">
        <v>15.1</v>
      </c>
      <c r="P547" s="10">
        <v>0.73899999999999999</v>
      </c>
      <c r="Q547" s="10">
        <v>2000</v>
      </c>
      <c r="R547" s="10" t="s">
        <v>77</v>
      </c>
      <c r="S547" s="34">
        <f t="shared" si="56"/>
        <v>2000</v>
      </c>
      <c r="T547" s="10" t="s">
        <v>1002</v>
      </c>
      <c r="U547" s="34" t="str">
        <f t="shared" si="57"/>
        <v/>
      </c>
      <c r="V547" s="31" t="str">
        <f>IF(H547="CHK",VLOOKUP(I547,QCCHK,3,),IF(H547="GUP",VLOOKUP(E547,QCGUP,2,),IF(AND(H547="ATP",OR(I547="TN",I547="TDN",I547="TNO2-3",I547="NO2-3")),VLOOKUP(E547,QCREC_N,2,),IF(AND(H547="NIC",OR(I547="TN",I547="TDN",I547="TNO2-3",I547="NO2-3")),VLOOKUP(E547,QCNIC_N,2,),IF(AND(H547="UREA",OR(I547="TN",I547="TDN",I547="TNO2-3",I547="NO2-3")),VLOOKUP(E547,QCUREA_N,2,),IF(H547="PER",VLOOKUP(I547,QCPER,MATCH(E547,QCACTUAL!$J$25:$AA$25,0),),IF(H547="SPK",VLOOKUP(I547,QCSPK,3,),IF(AND(H547="ATP",OR(I547="TP",I547="TDP")),VLOOKUP(E547,QCATP_P,2,),""))))))))</f>
        <v/>
      </c>
      <c r="W547" s="31" t="str">
        <f t="shared" si="58"/>
        <v>TRUE</v>
      </c>
      <c r="X547" s="31" t="str">
        <f t="shared" si="59"/>
        <v/>
      </c>
      <c r="Y547" s="10" t="s">
        <v>992</v>
      </c>
      <c r="AL547" s="10" t="str">
        <f t="shared" si="61"/>
        <v>FALSE</v>
      </c>
      <c r="AM547" s="10" t="str">
        <f t="shared" si="61"/>
        <v>FALSE</v>
      </c>
      <c r="AN547" s="10" t="str">
        <f t="shared" si="61"/>
        <v>FALSE</v>
      </c>
      <c r="AO547" s="10" t="str">
        <f t="shared" si="62"/>
        <v>FALSE</v>
      </c>
      <c r="AP547" s="10" t="str">
        <f t="shared" si="62"/>
        <v>FALSE</v>
      </c>
      <c r="AQ547" s="10" t="b">
        <f>IF(AND(I547="TP",S547&lt;=150),VLOOKUP(AF547,TPCalibEq150!$AZ$2:$BB$55,3,),IF(AND(I547="TDP",S547&lt;=150),VLOOKUP(AF547,TPCalibEq150!$AZ$2:$BB$55,3,)))</f>
        <v>0</v>
      </c>
      <c r="AR547" s="10" t="b">
        <f>IF(AND(I547="TP",S547&lt;=300),VLOOKUP(AF547,TPCalibEq300!$AZ$2:$BB$55,3,),IF(AND(I547="TDP",S547&lt;=300),VLOOKUP(AF547,TPCalibEq300!$AZ$2:$BB$55,3,)))</f>
        <v>0</v>
      </c>
      <c r="AS547" s="10" t="b">
        <f>IF(AND(I547="TP",S547&lt;=500),VLOOKUP(AF547,TPCalibEq500!$AZ$2:$BB$56,3,),IF(AND(I547="TDP",S547&lt;=500),VLOOKUP(AF547,TPCalibEq500!$AZ$2:$BB$56,3,)))</f>
        <v>0</v>
      </c>
      <c r="AT547" s="10" t="b">
        <f>IF(AND(I547="TN",S547&lt;=2800),VLOOKUP(AF547,TNCalibEq2500!$AZ$2:$BB$56,3,),IF(AND(I547="TDN",S547&lt;=2800),VLOOKUP(AF547,TNCalibEq2500!$AZ$2:$BB$56,3,)))</f>
        <v>0</v>
      </c>
      <c r="AU547" s="10" t="b">
        <f>IF(I547="TP",VLOOKUP(AF547,TPCalibEqFull!$AZ$2:$BB$56,3),IF(I547="TDP",VLOOKUP(AF547,TPCalibEqFull!$AZ$2:$BB$56,3),IF(I547="TDN",VLOOKUP(AF547,TNCalibEqFull!$AZ$1:$BB$56,3),IF(I547="TN",VLOOKUP(AF547,TNCalibEqFull!$AZ$1:$BB$56,3),FALSE))))</f>
        <v>0</v>
      </c>
      <c r="AV547" s="10" t="str">
        <f t="shared" si="60"/>
        <v>0111 09:00:00-QAC-STD-A-1-DI-CAL</v>
      </c>
    </row>
    <row r="548" spans="1:48" s="10" customFormat="1" x14ac:dyDescent="0.55000000000000004">
      <c r="A548" s="32">
        <v>44900</v>
      </c>
      <c r="B548" s="33">
        <v>0.375</v>
      </c>
      <c r="C548" s="10" t="s">
        <v>70</v>
      </c>
      <c r="D548" s="10" t="s">
        <v>71</v>
      </c>
      <c r="E548" s="10" t="s">
        <v>866</v>
      </c>
      <c r="F548" s="10">
        <v>1</v>
      </c>
      <c r="G548" s="10" t="s">
        <v>73</v>
      </c>
      <c r="H548" s="10" t="s">
        <v>74</v>
      </c>
      <c r="I548" s="10" t="s">
        <v>256</v>
      </c>
      <c r="J548" s="10">
        <v>190</v>
      </c>
      <c r="K548" s="12">
        <v>44937</v>
      </c>
      <c r="L548" s="33">
        <v>0.47285879629629629</v>
      </c>
      <c r="M548" s="10">
        <v>1</v>
      </c>
      <c r="N548" s="10" t="s">
        <v>169</v>
      </c>
      <c r="O548" s="10">
        <v>14.7</v>
      </c>
      <c r="P548" s="10">
        <v>0.72299999999999998</v>
      </c>
      <c r="Q548" s="10">
        <v>1940</v>
      </c>
      <c r="R548" s="10" t="s">
        <v>77</v>
      </c>
      <c r="S548" s="34">
        <f t="shared" si="56"/>
        <v>1940</v>
      </c>
      <c r="T548" s="10" t="s">
        <v>1002</v>
      </c>
      <c r="U548" s="34" t="str">
        <f t="shared" si="57"/>
        <v/>
      </c>
      <c r="V548" s="31" t="str">
        <f>IF(H548="CHK",VLOOKUP(I548,QCCHK,3,),IF(H548="GUP",VLOOKUP(E548,QCGUP,2,),IF(AND(H548="ATP",OR(I548="TN",I548="TDN",I548="TNO2-3",I548="NO2-3")),VLOOKUP(E548,QCREC_N,2,),IF(AND(H548="NIC",OR(I548="TN",I548="TDN",I548="TNO2-3",I548="NO2-3")),VLOOKUP(E548,QCNIC_N,2,),IF(AND(H548="UREA",OR(I548="TN",I548="TDN",I548="TNO2-3",I548="NO2-3")),VLOOKUP(E548,QCUREA_N,2,),IF(H548="PER",VLOOKUP(I548,QCPER,MATCH(E548,QCACTUAL!$J$25:$AA$25,0),),IF(H548="SPK",VLOOKUP(I548,QCSPK,3,),IF(AND(H548="ATP",OR(I548="TP",I548="TDP")),VLOOKUP(E548,QCATP_P,2,),""))))))))</f>
        <v/>
      </c>
      <c r="W548" s="31" t="str">
        <f t="shared" si="58"/>
        <v>TRUE</v>
      </c>
      <c r="X548" s="31" t="str">
        <f t="shared" si="59"/>
        <v/>
      </c>
      <c r="Y548" s="10" t="s">
        <v>992</v>
      </c>
      <c r="AL548" s="10" t="str">
        <f t="shared" si="61"/>
        <v>FALSE</v>
      </c>
      <c r="AM548" s="10" t="str">
        <f t="shared" si="61"/>
        <v>FALSE</v>
      </c>
      <c r="AN548" s="10" t="str">
        <f t="shared" si="61"/>
        <v>FALSE</v>
      </c>
      <c r="AO548" s="10" t="str">
        <f t="shared" si="62"/>
        <v>FALSE</v>
      </c>
      <c r="AP548" s="10" t="str">
        <f t="shared" si="62"/>
        <v>FALSE</v>
      </c>
      <c r="AQ548" s="10" t="b">
        <f>IF(AND(I548="TP",S548&lt;=150),VLOOKUP(AF548,TPCalibEq150!$AZ$2:$BB$55,3,),IF(AND(I548="TDP",S548&lt;=150),VLOOKUP(AF548,TPCalibEq150!$AZ$2:$BB$55,3,)))</f>
        <v>0</v>
      </c>
      <c r="AR548" s="10" t="b">
        <f>IF(AND(I548="TP",S548&lt;=300),VLOOKUP(AF548,TPCalibEq300!$AZ$2:$BB$55,3,),IF(AND(I548="TDP",S548&lt;=300),VLOOKUP(AF548,TPCalibEq300!$AZ$2:$BB$55,3,)))</f>
        <v>0</v>
      </c>
      <c r="AS548" s="10" t="b">
        <f>IF(AND(I548="TP",S548&lt;=500),VLOOKUP(AF548,TPCalibEq500!$AZ$2:$BB$56,3,),IF(AND(I548="TDP",S548&lt;=500),VLOOKUP(AF548,TPCalibEq500!$AZ$2:$BB$56,3,)))</f>
        <v>0</v>
      </c>
      <c r="AT548" s="10" t="b">
        <f>IF(AND(I548="TN",S548&lt;=2800),VLOOKUP(AF548,TNCalibEq2500!$AZ$2:$BB$56,3,),IF(AND(I548="TDN",S548&lt;=2800),VLOOKUP(AF548,TNCalibEq2500!$AZ$2:$BB$56,3,)))</f>
        <v>0</v>
      </c>
      <c r="AU548" s="10" t="b">
        <f>IF(I548="TP",VLOOKUP(AF548,TPCalibEqFull!$AZ$2:$BB$56,3),IF(I548="TDP",VLOOKUP(AF548,TPCalibEqFull!$AZ$2:$BB$56,3),IF(I548="TDN",VLOOKUP(AF548,TNCalibEqFull!$AZ$1:$BB$56,3),IF(I548="TN",VLOOKUP(AF548,TNCalibEqFull!$AZ$1:$BB$56,3),FALSE))))</f>
        <v>0</v>
      </c>
      <c r="AV548" s="10" t="str">
        <f t="shared" si="60"/>
        <v>1205 09:00:00-QAC-STD-A-1-DI-CAL</v>
      </c>
    </row>
    <row r="549" spans="1:48" s="10" customFormat="1" x14ac:dyDescent="0.55000000000000004">
      <c r="A549" s="32">
        <v>44937</v>
      </c>
      <c r="B549" s="33">
        <v>0.375</v>
      </c>
      <c r="C549" s="10" t="s">
        <v>70</v>
      </c>
      <c r="D549" s="10" t="s">
        <v>241</v>
      </c>
      <c r="E549" s="10" t="s">
        <v>866</v>
      </c>
      <c r="F549" s="10">
        <v>1</v>
      </c>
      <c r="G549" s="10" t="s">
        <v>73</v>
      </c>
      <c r="H549" s="10" t="s">
        <v>283</v>
      </c>
      <c r="I549" s="10" t="s">
        <v>256</v>
      </c>
      <c r="J549" s="10">
        <v>198</v>
      </c>
      <c r="K549" s="12">
        <v>44937</v>
      </c>
      <c r="L549" s="33">
        <v>0.47694444444444445</v>
      </c>
      <c r="M549" s="10">
        <v>1</v>
      </c>
      <c r="N549" s="10" t="s">
        <v>169</v>
      </c>
      <c r="O549" s="10">
        <v>8.4399999999999996E-3</v>
      </c>
      <c r="P549" s="10">
        <v>1.0300000000000001E-3</v>
      </c>
      <c r="Q549" s="10">
        <v>1.1100000000000001</v>
      </c>
      <c r="R549" s="10" t="s">
        <v>77</v>
      </c>
      <c r="S549" s="34">
        <f t="shared" si="56"/>
        <v>1.1100000000000001</v>
      </c>
      <c r="T549" s="10" t="s">
        <v>1002</v>
      </c>
      <c r="U549" s="34">
        <f t="shared" si="57"/>
        <v>1.1100000000000001</v>
      </c>
      <c r="V549" s="31" t="str">
        <f>IF(H549="CHK",VLOOKUP(I549,QCCHK,3,),IF(H549="GUP",VLOOKUP(E549,QCGUP,2,),IF(AND(H549="ATP",OR(I549="TN",I549="TDN",I549="TNO2-3",I549="NO2-3")),VLOOKUP(E549,QCREC_N,2,),IF(AND(H549="NIC",OR(I549="TN",I549="TDN",I549="TNO2-3",I549="NO2-3")),VLOOKUP(E549,QCNIC_N,2,),IF(AND(H549="UREA",OR(I549="TN",I549="TDN",I549="TNO2-3",I549="NO2-3")),VLOOKUP(E549,QCUREA_N,2,),IF(H549="PER",VLOOKUP(I549,QCPER,MATCH(E549,QCACTUAL!$J$25:$AA$25,0),),IF(H549="SPK",VLOOKUP(I549,QCSPK,3,),IF(AND(H549="ATP",OR(I549="TP",I549="TDP")),VLOOKUP(E549,QCATP_P,2,),""))))))))</f>
        <v/>
      </c>
      <c r="W549" s="31" t="str">
        <f t="shared" si="58"/>
        <v>TRUE</v>
      </c>
      <c r="X549" s="31" t="str">
        <f t="shared" si="59"/>
        <v>nominal concentration</v>
      </c>
      <c r="Y549" s="10" t="s">
        <v>992</v>
      </c>
      <c r="AL549" s="10" t="str">
        <f t="shared" si="61"/>
        <v>FALSE</v>
      </c>
      <c r="AM549" s="10" t="str">
        <f t="shared" si="61"/>
        <v>FALSE</v>
      </c>
      <c r="AN549" s="10" t="str">
        <f t="shared" si="61"/>
        <v>FALSE</v>
      </c>
      <c r="AO549" s="10" t="str">
        <f t="shared" si="62"/>
        <v>FALSE</v>
      </c>
      <c r="AP549" s="10" t="str">
        <f t="shared" si="62"/>
        <v>FALSE</v>
      </c>
      <c r="AQ549" s="10" t="b">
        <f>IF(AND(I549="TP",S549&lt;=150),VLOOKUP(AF549,TPCalibEq150!$AZ$2:$BB$55,3,),IF(AND(I549="TDP",S549&lt;=150),VLOOKUP(AF549,TPCalibEq150!$AZ$2:$BB$55,3,)))</f>
        <v>0</v>
      </c>
      <c r="AR549" s="10" t="b">
        <f>IF(AND(I549="TP",S549&lt;=300),VLOOKUP(AF549,TPCalibEq300!$AZ$2:$BB$55,3,),IF(AND(I549="TDP",S549&lt;=300),VLOOKUP(AF549,TPCalibEq300!$AZ$2:$BB$55,3,)))</f>
        <v>0</v>
      </c>
      <c r="AS549" s="10" t="b">
        <f>IF(AND(I549="TP",S549&lt;=500),VLOOKUP(AF549,TPCalibEq500!$AZ$2:$BB$56,3,),IF(AND(I549="TDP",S549&lt;=500),VLOOKUP(AF549,TPCalibEq500!$AZ$2:$BB$56,3,)))</f>
        <v>0</v>
      </c>
      <c r="AT549" s="10" t="b">
        <f>IF(AND(I549="TN",S549&lt;=2800),VLOOKUP(AF549,TNCalibEq2500!$AZ$2:$BB$56,3,),IF(AND(I549="TDN",S549&lt;=2800),VLOOKUP(AF549,TNCalibEq2500!$AZ$2:$BB$56,3,)))</f>
        <v>0</v>
      </c>
      <c r="AU549" s="10" t="b">
        <f>IF(I549="TP",VLOOKUP(AF549,TPCalibEqFull!$AZ$2:$BB$56,3),IF(I549="TDP",VLOOKUP(AF549,TPCalibEqFull!$AZ$2:$BB$56,3),IF(I549="TDN",VLOOKUP(AF549,TNCalibEqFull!$AZ$1:$BB$56,3),IF(I549="TN",VLOOKUP(AF549,TNCalibEqFull!$AZ$1:$BB$56,3),FALSE))))</f>
        <v>0</v>
      </c>
      <c r="AV549" s="10" t="str">
        <f t="shared" si="60"/>
        <v>0111 09:00:00-QAC-BLK-A-1-DI-LAB</v>
      </c>
    </row>
    <row r="550" spans="1:48" s="10" customFormat="1" x14ac:dyDescent="0.55000000000000004">
      <c r="A550" s="32">
        <v>44937</v>
      </c>
      <c r="B550" s="33">
        <v>0.375</v>
      </c>
      <c r="C550" s="10" t="s">
        <v>70</v>
      </c>
      <c r="D550" s="10" t="s">
        <v>241</v>
      </c>
      <c r="E550" s="10" t="s">
        <v>866</v>
      </c>
      <c r="F550" s="10">
        <v>1</v>
      </c>
      <c r="G550" s="10" t="s">
        <v>73</v>
      </c>
      <c r="H550" s="10" t="s">
        <v>314</v>
      </c>
      <c r="I550" s="10" t="s">
        <v>256</v>
      </c>
      <c r="J550" s="10">
        <v>225</v>
      </c>
      <c r="K550" s="12">
        <v>44937</v>
      </c>
      <c r="L550" s="33">
        <v>0.47859953703703706</v>
      </c>
      <c r="M550" s="10">
        <v>1</v>
      </c>
      <c r="N550" s="10" t="s">
        <v>169</v>
      </c>
      <c r="O550" s="10">
        <v>5.35</v>
      </c>
      <c r="P550" s="10">
        <v>0.26100000000000001</v>
      </c>
      <c r="Q550" s="10">
        <v>706</v>
      </c>
      <c r="R550" s="10" t="s">
        <v>77</v>
      </c>
      <c r="S550" s="34">
        <f t="shared" si="56"/>
        <v>706</v>
      </c>
      <c r="T550" s="10" t="s">
        <v>1002</v>
      </c>
      <c r="U550" s="34">
        <f t="shared" si="57"/>
        <v>112.7824</v>
      </c>
      <c r="V550" s="31">
        <f>IF(H550="CHK",VLOOKUP(I550,QCCHK,3,),IF(H550="GUP",VLOOKUP(E550,QCGUP,2,),IF(AND(H550="ATP",OR(I550="TN",I550="TDN",I550="TNO2-3",I550="NO2-3")),VLOOKUP(E550,QCREC_N,2,),IF(AND(H550="NIC",OR(I550="TN",I550="TDN",I550="TNO2-3",I550="NO2-3")),VLOOKUP(E550,QCNIC_N,2,),IF(AND(H550="UREA",OR(I550="TN",I550="TDN",I550="TNO2-3",I550="NO2-3")),VLOOKUP(E550,QCUREA_N,2,),IF(H550="PER",VLOOKUP(I550,QCPER,MATCH(E550,QCACTUAL!$J$25:$AA$25,0),),IF(H550="SPK",VLOOKUP(I550,QCSPK,3,),IF(AND(H550="ATP",OR(I550="TP",I550="TDP")),VLOOKUP(E550,QCATP_P,2,),""))))))))</f>
        <v>625</v>
      </c>
      <c r="W550" s="31" t="str">
        <f t="shared" si="58"/>
        <v>TRUE</v>
      </c>
      <c r="X550" s="31" t="str">
        <f t="shared" si="59"/>
        <v>([spikedunkn]-[unkn])/[spike]*100</v>
      </c>
      <c r="Y550" s="10" t="s">
        <v>992</v>
      </c>
      <c r="AL550" s="10" t="str">
        <f t="shared" si="61"/>
        <v>FALSE</v>
      </c>
      <c r="AM550" s="10" t="str">
        <f t="shared" si="61"/>
        <v>FALSE</v>
      </c>
      <c r="AN550" s="10" t="str">
        <f t="shared" si="61"/>
        <v>FALSE</v>
      </c>
      <c r="AO550" s="10" t="str">
        <f t="shared" si="62"/>
        <v>FALSE</v>
      </c>
      <c r="AP550" s="10" t="str">
        <f t="shared" si="62"/>
        <v>FALSE</v>
      </c>
      <c r="AQ550" s="10" t="b">
        <f>IF(AND(I550="TP",S550&lt;=150),VLOOKUP(AF550,TPCalibEq150!$AZ$2:$BB$55,3,),IF(AND(I550="TDP",S550&lt;=150),VLOOKUP(AF550,TPCalibEq150!$AZ$2:$BB$55,3,)))</f>
        <v>0</v>
      </c>
      <c r="AR550" s="10" t="b">
        <f>IF(AND(I550="TP",S550&lt;=300),VLOOKUP(AF550,TPCalibEq300!$AZ$2:$BB$55,3,),IF(AND(I550="TDP",S550&lt;=300),VLOOKUP(AF550,TPCalibEq300!$AZ$2:$BB$55,3,)))</f>
        <v>0</v>
      </c>
      <c r="AS550" s="10" t="b">
        <f>IF(AND(I550="TP",S550&lt;=500),VLOOKUP(AF550,TPCalibEq500!$AZ$2:$BB$56,3,),IF(AND(I550="TDP",S550&lt;=500),VLOOKUP(AF550,TPCalibEq500!$AZ$2:$BB$56,3,)))</f>
        <v>0</v>
      </c>
      <c r="AT550" s="10" t="b">
        <f>IF(AND(I550="TN",S550&lt;=2800),VLOOKUP(AF550,TNCalibEq2500!$AZ$2:$BB$56,3,),IF(AND(I550="TDN",S550&lt;=2800),VLOOKUP(AF550,TNCalibEq2500!$AZ$2:$BB$56,3,)))</f>
        <v>0</v>
      </c>
      <c r="AU550" s="10" t="b">
        <f>IF(I550="TP",VLOOKUP(AF550,TPCalibEqFull!$AZ$2:$BB$56,3),IF(I550="TDP",VLOOKUP(AF550,TPCalibEqFull!$AZ$2:$BB$56,3),IF(I550="TDN",VLOOKUP(AF550,TNCalibEqFull!$AZ$1:$BB$56,3),IF(I550="TN",VLOOKUP(AF550,TNCalibEqFull!$AZ$1:$BB$56,3),FALSE))))</f>
        <v>0</v>
      </c>
      <c r="AV550" s="10" t="str">
        <f t="shared" si="60"/>
        <v>0111 09:00:00-QAC-BLK-A-1-DI-SPK</v>
      </c>
    </row>
    <row r="551" spans="1:48" s="10" customFormat="1" x14ac:dyDescent="0.55000000000000004">
      <c r="A551" s="32">
        <v>44937</v>
      </c>
      <c r="B551" s="33">
        <v>0.375</v>
      </c>
      <c r="C551" s="10" t="s">
        <v>70</v>
      </c>
      <c r="D551" s="10" t="s">
        <v>71</v>
      </c>
      <c r="E551" s="10" t="s">
        <v>316</v>
      </c>
      <c r="F551" s="10">
        <v>1</v>
      </c>
      <c r="G551" s="10" t="s">
        <v>73</v>
      </c>
      <c r="H551" s="10" t="s">
        <v>74</v>
      </c>
      <c r="I551" s="10" t="s">
        <v>256</v>
      </c>
      <c r="J551" s="10">
        <v>189</v>
      </c>
      <c r="K551" s="12">
        <v>44937</v>
      </c>
      <c r="L551" s="33">
        <v>0.48107638888888887</v>
      </c>
      <c r="M551" s="10">
        <v>1</v>
      </c>
      <c r="N551" s="10" t="s">
        <v>169</v>
      </c>
      <c r="O551" s="10">
        <v>9.67</v>
      </c>
      <c r="P551" s="10">
        <v>0.46500000000000002</v>
      </c>
      <c r="Q551" s="10">
        <v>1280</v>
      </c>
      <c r="R551" s="10" t="s">
        <v>77</v>
      </c>
      <c r="S551" s="34">
        <f t="shared" si="56"/>
        <v>1280</v>
      </c>
      <c r="T551" s="10" t="s">
        <v>1002</v>
      </c>
      <c r="U551" s="34" t="str">
        <f t="shared" si="57"/>
        <v/>
      </c>
      <c r="V551" s="31" t="str">
        <f>IF(H551="CHK",VLOOKUP(I551,QCCHK,3,),IF(H551="GUP",VLOOKUP(E551,QCGUP,2,),IF(AND(H551="ATP",OR(I551="TN",I551="TDN",I551="TNO2-3",I551="NO2-3")),VLOOKUP(E551,QCREC_N,2,),IF(AND(H551="NIC",OR(I551="TN",I551="TDN",I551="TNO2-3",I551="NO2-3")),VLOOKUP(E551,QCNIC_N,2,),IF(AND(H551="UREA",OR(I551="TN",I551="TDN",I551="TNO2-3",I551="NO2-3")),VLOOKUP(E551,QCUREA_N,2,),IF(H551="PER",VLOOKUP(I551,QCPER,MATCH(E551,QCACTUAL!$J$25:$AA$25,0),),IF(H551="SPK",VLOOKUP(I551,QCSPK,3,),IF(AND(H551="ATP",OR(I551="TP",I551="TDP")),VLOOKUP(E551,QCATP_P,2,),""))))))))</f>
        <v/>
      </c>
      <c r="W551" s="31" t="str">
        <f t="shared" si="58"/>
        <v>TRUE</v>
      </c>
      <c r="X551" s="31" t="str">
        <f t="shared" si="59"/>
        <v/>
      </c>
      <c r="Y551" s="10" t="s">
        <v>992</v>
      </c>
      <c r="AL551" s="10" t="str">
        <f t="shared" si="61"/>
        <v>FALSE</v>
      </c>
      <c r="AM551" s="10" t="str">
        <f t="shared" si="61"/>
        <v>FALSE</v>
      </c>
      <c r="AN551" s="10" t="str">
        <f t="shared" si="61"/>
        <v>FALSE</v>
      </c>
      <c r="AO551" s="10" t="str">
        <f t="shared" si="62"/>
        <v>FALSE</v>
      </c>
      <c r="AP551" s="10" t="str">
        <f t="shared" si="62"/>
        <v>FALSE</v>
      </c>
      <c r="AQ551" s="10" t="b">
        <f>IF(AND(I551="TP",S551&lt;=150),VLOOKUP(AF551,TPCalibEq150!$AZ$2:$BB$55,3,),IF(AND(I551="TDP",S551&lt;=150),VLOOKUP(AF551,TPCalibEq150!$AZ$2:$BB$55,3,)))</f>
        <v>0</v>
      </c>
      <c r="AR551" s="10" t="b">
        <f>IF(AND(I551="TP",S551&lt;=300),VLOOKUP(AF551,TPCalibEq300!$AZ$2:$BB$55,3,),IF(AND(I551="TDP",S551&lt;=300),VLOOKUP(AF551,TPCalibEq300!$AZ$2:$BB$55,3,)))</f>
        <v>0</v>
      </c>
      <c r="AS551" s="10" t="b">
        <f>IF(AND(I551="TP",S551&lt;=500),VLOOKUP(AF551,TPCalibEq500!$AZ$2:$BB$56,3,),IF(AND(I551="TDP",S551&lt;=500),VLOOKUP(AF551,TPCalibEq500!$AZ$2:$BB$56,3,)))</f>
        <v>0</v>
      </c>
      <c r="AT551" s="10" t="b">
        <f>IF(AND(I551="TN",S551&lt;=2800),VLOOKUP(AF551,TNCalibEq2500!$AZ$2:$BB$56,3,),IF(AND(I551="TDN",S551&lt;=2800),VLOOKUP(AF551,TNCalibEq2500!$AZ$2:$BB$56,3,)))</f>
        <v>0</v>
      </c>
      <c r="AU551" s="10" t="b">
        <f>IF(I551="TP",VLOOKUP(AF551,TPCalibEqFull!$AZ$2:$BB$56,3),IF(I551="TDP",VLOOKUP(AF551,TPCalibEqFull!$AZ$2:$BB$56,3),IF(I551="TDN",VLOOKUP(AF551,TNCalibEqFull!$AZ$1:$BB$56,3),IF(I551="TN",VLOOKUP(AF551,TNCalibEqFull!$AZ$1:$BB$56,3),FALSE))))</f>
        <v>0</v>
      </c>
      <c r="AV551" s="10" t="str">
        <f t="shared" si="60"/>
        <v>0111 09:00:00-QAC-STD-NO2-1-DI-CAL</v>
      </c>
    </row>
    <row r="552" spans="1:48" s="10" customFormat="1" x14ac:dyDescent="0.55000000000000004">
      <c r="A552" s="32">
        <v>44935</v>
      </c>
      <c r="B552" s="33">
        <v>0.25</v>
      </c>
      <c r="C552" s="10" t="s">
        <v>70</v>
      </c>
      <c r="D552" s="10" t="s">
        <v>241</v>
      </c>
      <c r="E552" s="10" t="s">
        <v>866</v>
      </c>
      <c r="F552" s="10">
        <v>1</v>
      </c>
      <c r="G552" s="10" t="s">
        <v>73</v>
      </c>
      <c r="H552" s="10" t="s">
        <v>264</v>
      </c>
      <c r="I552" s="10" t="s">
        <v>256</v>
      </c>
      <c r="J552" s="10">
        <v>33</v>
      </c>
      <c r="K552" s="12">
        <v>44937</v>
      </c>
      <c r="L552" s="33">
        <v>0.48798611111111106</v>
      </c>
      <c r="M552" s="10">
        <v>1</v>
      </c>
      <c r="N552" s="10" t="s">
        <v>169</v>
      </c>
      <c r="O552" s="10">
        <v>1.6400000000000001E-2</v>
      </c>
      <c r="P552" s="10">
        <v>1.06E-3</v>
      </c>
      <c r="Q552" s="10">
        <v>2.17</v>
      </c>
      <c r="R552" s="10" t="s">
        <v>77</v>
      </c>
      <c r="S552" s="34">
        <f t="shared" si="56"/>
        <v>2.17</v>
      </c>
      <c r="T552" s="10" t="s">
        <v>1002</v>
      </c>
      <c r="U552" s="34">
        <f t="shared" si="57"/>
        <v>2.17</v>
      </c>
      <c r="V552" s="31" t="str">
        <f>IF(H552="CHK",VLOOKUP(I552,QCCHK,3,),IF(H552="GUP",VLOOKUP(E552,QCGUP,2,),IF(AND(H552="ATP",OR(I552="TN",I552="TDN",I552="TNO2-3",I552="NO2-3")),VLOOKUP(E552,QCREC_N,2,),IF(AND(H552="NIC",OR(I552="TN",I552="TDN",I552="TNO2-3",I552="NO2-3")),VLOOKUP(E552,QCNIC_N,2,),IF(AND(H552="UREA",OR(I552="TN",I552="TDN",I552="TNO2-3",I552="NO2-3")),VLOOKUP(E552,QCUREA_N,2,),IF(H552="PER",VLOOKUP(I552,QCPER,MATCH(E552,QCACTUAL!$J$25:$AA$25,0),),IF(H552="SPK",VLOOKUP(I552,QCSPK,3,),IF(AND(H552="ATP",OR(I552="TP",I552="TDP")),VLOOKUP(E552,QCATP_P,2,),""))))))))</f>
        <v/>
      </c>
      <c r="W552" s="31" t="str">
        <f t="shared" si="58"/>
        <v>TRUE</v>
      </c>
      <c r="X552" s="31" t="str">
        <f t="shared" si="59"/>
        <v>nominal concentration</v>
      </c>
      <c r="Y552" s="10" t="s">
        <v>992</v>
      </c>
      <c r="Z552" s="10" t="s">
        <v>910</v>
      </c>
      <c r="AL552" s="10" t="str">
        <f t="shared" si="61"/>
        <v>FALSE</v>
      </c>
      <c r="AM552" s="10" t="str">
        <f t="shared" si="61"/>
        <v>FALSE</v>
      </c>
      <c r="AN552" s="10" t="str">
        <f t="shared" si="61"/>
        <v>FALSE</v>
      </c>
      <c r="AO552" s="10" t="str">
        <f t="shared" si="62"/>
        <v>FALSE</v>
      </c>
      <c r="AP552" s="10" t="str">
        <f t="shared" si="62"/>
        <v>FALSE</v>
      </c>
      <c r="AQ552" s="10" t="b">
        <f>IF(AND(I552="TP",S552&lt;=150),VLOOKUP(AF552,TPCalibEq150!$AZ$2:$BB$55,3,),IF(AND(I552="TDP",S552&lt;=150),VLOOKUP(AF552,TPCalibEq150!$AZ$2:$BB$55,3,)))</f>
        <v>0</v>
      </c>
      <c r="AR552" s="10" t="b">
        <f>IF(AND(I552="TP",S552&lt;=300),VLOOKUP(AF552,TPCalibEq300!$AZ$2:$BB$55,3,),IF(AND(I552="TDP",S552&lt;=300),VLOOKUP(AF552,TPCalibEq300!$AZ$2:$BB$55,3,)))</f>
        <v>0</v>
      </c>
      <c r="AS552" s="10" t="b">
        <f>IF(AND(I552="TP",S552&lt;=500),VLOOKUP(AF552,TPCalibEq500!$AZ$2:$BB$56,3,),IF(AND(I552="TDP",S552&lt;=500),VLOOKUP(AF552,TPCalibEq500!$AZ$2:$BB$56,3,)))</f>
        <v>0</v>
      </c>
      <c r="AT552" s="10" t="b">
        <f>IF(AND(I552="TN",S552&lt;=2800),VLOOKUP(AF552,TNCalibEq2500!$AZ$2:$BB$56,3,),IF(AND(I552="TDN",S552&lt;=2800),VLOOKUP(AF552,TNCalibEq2500!$AZ$2:$BB$56,3,)))</f>
        <v>0</v>
      </c>
      <c r="AU552" s="10" t="b">
        <f>IF(I552="TP",VLOOKUP(AF552,TPCalibEqFull!$AZ$2:$BB$56,3),IF(I552="TDP",VLOOKUP(AF552,TPCalibEqFull!$AZ$2:$BB$56,3),IF(I552="TDN",VLOOKUP(AF552,TNCalibEqFull!$AZ$1:$BB$56,3),IF(I552="TN",VLOOKUP(AF552,TNCalibEqFull!$AZ$1:$BB$56,3),FALSE))))</f>
        <v>0</v>
      </c>
      <c r="AV552" s="10" t="str">
        <f t="shared" si="60"/>
        <v>0109 06:00:00-QAC-BLK-A-1-DI-FLD</v>
      </c>
    </row>
    <row r="553" spans="1:48" s="10" customFormat="1" x14ac:dyDescent="0.55000000000000004">
      <c r="A553" s="32">
        <v>44936</v>
      </c>
      <c r="B553" s="33">
        <v>0.36458333333333331</v>
      </c>
      <c r="C553" s="10" t="s">
        <v>70</v>
      </c>
      <c r="D553" s="10" t="s">
        <v>241</v>
      </c>
      <c r="E553" s="10" t="s">
        <v>866</v>
      </c>
      <c r="F553" s="10">
        <v>1</v>
      </c>
      <c r="G553" s="10" t="s">
        <v>73</v>
      </c>
      <c r="H553" s="10" t="s">
        <v>245</v>
      </c>
      <c r="I553" s="10" t="s">
        <v>256</v>
      </c>
      <c r="J553" s="10">
        <v>34</v>
      </c>
      <c r="K553" s="12">
        <v>44937</v>
      </c>
      <c r="L553" s="33">
        <v>0.48880787037037038</v>
      </c>
      <c r="M553" s="10">
        <v>1</v>
      </c>
      <c r="N553" s="10" t="s">
        <v>169</v>
      </c>
      <c r="O553" s="10">
        <v>1.6500000000000001E-2</v>
      </c>
      <c r="P553" s="10">
        <v>1.06E-3</v>
      </c>
      <c r="Q553" s="10">
        <v>2.1800000000000002</v>
      </c>
      <c r="R553" s="10" t="s">
        <v>77</v>
      </c>
      <c r="S553" s="34">
        <f t="shared" si="56"/>
        <v>2.1800000000000002</v>
      </c>
      <c r="T553" s="10" t="s">
        <v>1002</v>
      </c>
      <c r="U553" s="34">
        <f t="shared" si="57"/>
        <v>2.1800000000000002</v>
      </c>
      <c r="V553" s="31" t="str">
        <f>IF(H553="CHK",VLOOKUP(I553,QCCHK,3,),IF(H553="GUP",VLOOKUP(E553,QCGUP,2,),IF(AND(H553="ATP",OR(I553="TN",I553="TDN",I553="TNO2-3",I553="NO2-3")),VLOOKUP(E553,QCREC_N,2,),IF(AND(H553="NIC",OR(I553="TN",I553="TDN",I553="TNO2-3",I553="NO2-3")),VLOOKUP(E553,QCNIC_N,2,),IF(AND(H553="UREA",OR(I553="TN",I553="TDN",I553="TNO2-3",I553="NO2-3")),VLOOKUP(E553,QCUREA_N,2,),IF(H553="PER",VLOOKUP(I553,QCPER,MATCH(E553,QCACTUAL!$J$25:$AA$25,0),),IF(H553="SPK",VLOOKUP(I553,QCSPK,3,),IF(AND(H553="ATP",OR(I553="TP",I553="TDP")),VLOOKUP(E553,QCATP_P,2,),""))))))))</f>
        <v/>
      </c>
      <c r="W553" s="31" t="str">
        <f t="shared" si="58"/>
        <v>TRUE</v>
      </c>
      <c r="X553" s="31" t="str">
        <f t="shared" si="59"/>
        <v>nominal concentration</v>
      </c>
      <c r="Y553" s="10" t="s">
        <v>992</v>
      </c>
      <c r="AL553" s="10" t="str">
        <f t="shared" si="61"/>
        <v>FALSE</v>
      </c>
      <c r="AM553" s="10" t="str">
        <f t="shared" si="61"/>
        <v>FALSE</v>
      </c>
      <c r="AN553" s="10" t="str">
        <f t="shared" si="61"/>
        <v>FALSE</v>
      </c>
      <c r="AO553" s="10" t="str">
        <f t="shared" si="62"/>
        <v>FALSE</v>
      </c>
      <c r="AP553" s="10" t="str">
        <f t="shared" si="62"/>
        <v>FALSE</v>
      </c>
      <c r="AQ553" s="10" t="b">
        <f>IF(AND(I553="TP",S553&lt;=150),VLOOKUP(AF553,TPCalibEq150!$AZ$2:$BB$55,3,),IF(AND(I553="TDP",S553&lt;=150),VLOOKUP(AF553,TPCalibEq150!$AZ$2:$BB$55,3,)))</f>
        <v>0</v>
      </c>
      <c r="AR553" s="10" t="b">
        <f>IF(AND(I553="TP",S553&lt;=300),VLOOKUP(AF553,TPCalibEq300!$AZ$2:$BB$55,3,),IF(AND(I553="TDP",S553&lt;=300),VLOOKUP(AF553,TPCalibEq300!$AZ$2:$BB$55,3,)))</f>
        <v>0</v>
      </c>
      <c r="AS553" s="10" t="b">
        <f>IF(AND(I553="TP",S553&lt;=500),VLOOKUP(AF553,TPCalibEq500!$AZ$2:$BB$56,3,),IF(AND(I553="TDP",S553&lt;=500),VLOOKUP(AF553,TPCalibEq500!$AZ$2:$BB$56,3,)))</f>
        <v>0</v>
      </c>
      <c r="AT553" s="10" t="b">
        <f>IF(AND(I553="TN",S553&lt;=2800),VLOOKUP(AF553,TNCalibEq2500!$AZ$2:$BB$56,3,),IF(AND(I553="TDN",S553&lt;=2800),VLOOKUP(AF553,TNCalibEq2500!$AZ$2:$BB$56,3,)))</f>
        <v>0</v>
      </c>
      <c r="AU553" s="10" t="b">
        <f>IF(I553="TP",VLOOKUP(AF553,TPCalibEqFull!$AZ$2:$BB$56,3),IF(I553="TDP",VLOOKUP(AF553,TPCalibEqFull!$AZ$2:$BB$56,3),IF(I553="TDN",VLOOKUP(AF553,TNCalibEqFull!$AZ$1:$BB$56,3),IF(I553="TN",VLOOKUP(AF553,TNCalibEqFull!$AZ$1:$BB$56,3),FALSE))))</f>
        <v>0</v>
      </c>
      <c r="AV553" s="10" t="str">
        <f t="shared" si="60"/>
        <v>0110 08:45:00-QAC-BLK-A-1-DI-ESF</v>
      </c>
    </row>
    <row r="554" spans="1:48" s="10" customFormat="1" x14ac:dyDescent="0.55000000000000004">
      <c r="A554" s="32">
        <v>44935</v>
      </c>
      <c r="B554" s="33">
        <v>0.25</v>
      </c>
      <c r="C554" s="10" t="s">
        <v>70</v>
      </c>
      <c r="D554" s="10" t="s">
        <v>241</v>
      </c>
      <c r="E554" s="10" t="s">
        <v>911</v>
      </c>
      <c r="F554" s="10">
        <v>1</v>
      </c>
      <c r="G554" s="10" t="s">
        <v>73</v>
      </c>
      <c r="H554" s="10" t="s">
        <v>264</v>
      </c>
      <c r="I554" s="10" t="s">
        <v>209</v>
      </c>
      <c r="J554" s="10">
        <v>35</v>
      </c>
      <c r="K554" s="12">
        <v>44937</v>
      </c>
      <c r="L554" s="33">
        <v>0.48962962962962964</v>
      </c>
      <c r="M554" s="10">
        <v>1</v>
      </c>
      <c r="N554" s="10" t="s">
        <v>169</v>
      </c>
      <c r="O554" s="10">
        <v>2.3699999999999999E-2</v>
      </c>
      <c r="P554" s="10">
        <v>1.1800000000000001E-3</v>
      </c>
      <c r="Q554" s="10">
        <v>3.12</v>
      </c>
      <c r="R554" s="10" t="s">
        <v>77</v>
      </c>
      <c r="S554" s="34">
        <f t="shared" si="56"/>
        <v>3.12</v>
      </c>
      <c r="T554" s="10" t="s">
        <v>1002</v>
      </c>
      <c r="U554" s="34">
        <f t="shared" si="57"/>
        <v>3.12</v>
      </c>
      <c r="V554" s="31" t="str">
        <f>IF(H554="CHK",VLOOKUP(I554,QCCHK,3,),IF(H554="GUP",VLOOKUP(E554,QCGUP,2,),IF(AND(H554="ATP",OR(I554="TN",I554="TDN",I554="TNO2-3",I554="NO2-3")),VLOOKUP(E554,QCREC_N,2,),IF(AND(H554="NIC",OR(I554="TN",I554="TDN",I554="TNO2-3",I554="NO2-3")),VLOOKUP(E554,QCNIC_N,2,),IF(AND(H554="UREA",OR(I554="TN",I554="TDN",I554="TNO2-3",I554="NO2-3")),VLOOKUP(E554,QCUREA_N,2,),IF(H554="PER",VLOOKUP(I554,QCPER,MATCH(E554,QCACTUAL!$J$25:$AA$25,0),),IF(H554="SPK",VLOOKUP(I554,QCSPK,3,),IF(AND(H554="ATP",OR(I554="TP",I554="TDP")),VLOOKUP(E554,QCATP_P,2,),""))))))))</f>
        <v/>
      </c>
      <c r="W554" s="31" t="str">
        <f t="shared" si="58"/>
        <v>TRUE</v>
      </c>
      <c r="X554" s="31" t="str">
        <f t="shared" si="59"/>
        <v>nominal concentration</v>
      </c>
      <c r="Y554" s="10" t="s">
        <v>992</v>
      </c>
      <c r="Z554" s="10" t="s">
        <v>910</v>
      </c>
      <c r="AL554" s="10" t="str">
        <f t="shared" si="61"/>
        <v>FALSE</v>
      </c>
      <c r="AM554" s="10" t="str">
        <f t="shared" si="61"/>
        <v>FALSE</v>
      </c>
      <c r="AN554" s="10" t="str">
        <f t="shared" si="61"/>
        <v>FALSE</v>
      </c>
      <c r="AO554" s="10" t="str">
        <f t="shared" si="62"/>
        <v>FALSE</v>
      </c>
      <c r="AP554" s="10" t="str">
        <f t="shared" si="62"/>
        <v>FALSE</v>
      </c>
      <c r="AQ554" s="10" t="b">
        <f>IF(AND(I554="TP",S554&lt;=150),VLOOKUP(AF554,TPCalibEq150!$AZ$2:$BB$55,3,),IF(AND(I554="TDP",S554&lt;=150),VLOOKUP(AF554,TPCalibEq150!$AZ$2:$BB$55,3,)))</f>
        <v>0</v>
      </c>
      <c r="AR554" s="10" t="b">
        <f>IF(AND(I554="TP",S554&lt;=300),VLOOKUP(AF554,TPCalibEq300!$AZ$2:$BB$55,3,),IF(AND(I554="TDP",S554&lt;=300),VLOOKUP(AF554,TPCalibEq300!$AZ$2:$BB$55,3,)))</f>
        <v>0</v>
      </c>
      <c r="AS554" s="10" t="b">
        <f>IF(AND(I554="TP",S554&lt;=500),VLOOKUP(AF554,TPCalibEq500!$AZ$2:$BB$56,3,),IF(AND(I554="TDP",S554&lt;=500),VLOOKUP(AF554,TPCalibEq500!$AZ$2:$BB$56,3,)))</f>
        <v>0</v>
      </c>
      <c r="AT554" s="10" t="b">
        <f>IF(AND(I554="TN",S554&lt;=2800),VLOOKUP(AF554,TNCalibEq2500!$AZ$2:$BB$56,3,),IF(AND(I554="TDN",S554&lt;=2800),VLOOKUP(AF554,TNCalibEq2500!$AZ$2:$BB$56,3,)))</f>
        <v>0</v>
      </c>
      <c r="AU554" s="10" t="b">
        <f>IF(I554="TP",VLOOKUP(AF554,TPCalibEqFull!$AZ$2:$BB$56,3),IF(I554="TDP",VLOOKUP(AF554,TPCalibEqFull!$AZ$2:$BB$56,3),IF(I554="TDN",VLOOKUP(AF554,TNCalibEqFull!$AZ$1:$BB$56,3),IF(I554="TN",VLOOKUP(AF554,TNCalibEqFull!$AZ$1:$BB$56,3),FALSE))))</f>
        <v>0</v>
      </c>
      <c r="AV554" s="10" t="str">
        <f t="shared" si="60"/>
        <v>0109 06:00:00-QAC-BLK-FIL-1-DI-FLD</v>
      </c>
    </row>
    <row r="555" spans="1:48" s="10" customFormat="1" x14ac:dyDescent="0.55000000000000004">
      <c r="A555" s="32">
        <v>44936</v>
      </c>
      <c r="B555" s="33">
        <v>0.36458333333333331</v>
      </c>
      <c r="C555" s="10" t="s">
        <v>70</v>
      </c>
      <c r="D555" s="10" t="s">
        <v>241</v>
      </c>
      <c r="E555" s="10" t="s">
        <v>911</v>
      </c>
      <c r="F555" s="10">
        <v>1</v>
      </c>
      <c r="G555" s="10" t="s">
        <v>73</v>
      </c>
      <c r="H555" s="10" t="s">
        <v>245</v>
      </c>
      <c r="I555" s="10" t="s">
        <v>209</v>
      </c>
      <c r="J555" s="10">
        <v>36</v>
      </c>
      <c r="K555" s="12">
        <v>44937</v>
      </c>
      <c r="L555" s="33">
        <v>0.48716435185185186</v>
      </c>
      <c r="M555" s="10">
        <v>1</v>
      </c>
      <c r="N555" s="10" t="s">
        <v>169</v>
      </c>
      <c r="O555" s="10">
        <v>8.43E-3</v>
      </c>
      <c r="P555" s="10">
        <v>6.9999999999999999E-4</v>
      </c>
      <c r="Q555" s="10">
        <v>1.1100000000000001</v>
      </c>
      <c r="R555" s="10" t="s">
        <v>77</v>
      </c>
      <c r="S555" s="34">
        <f t="shared" si="56"/>
        <v>1.1100000000000001</v>
      </c>
      <c r="T555" s="10" t="s">
        <v>1002</v>
      </c>
      <c r="U555" s="34">
        <f t="shared" si="57"/>
        <v>1.1100000000000001</v>
      </c>
      <c r="V555" s="31" t="str">
        <f>IF(H555="CHK",VLOOKUP(I555,QCCHK,3,),IF(H555="GUP",VLOOKUP(E555,QCGUP,2,),IF(AND(H555="ATP",OR(I555="TN",I555="TDN",I555="TNO2-3",I555="NO2-3")),VLOOKUP(E555,QCREC_N,2,),IF(AND(H555="NIC",OR(I555="TN",I555="TDN",I555="TNO2-3",I555="NO2-3")),VLOOKUP(E555,QCNIC_N,2,),IF(AND(H555="UREA",OR(I555="TN",I555="TDN",I555="TNO2-3",I555="NO2-3")),VLOOKUP(E555,QCUREA_N,2,),IF(H555="PER",VLOOKUP(I555,QCPER,MATCH(E555,QCACTUAL!$J$25:$AA$25,0),),IF(H555="SPK",VLOOKUP(I555,QCSPK,3,),IF(AND(H555="ATP",OR(I555="TP",I555="TDP")),VLOOKUP(E555,QCATP_P,2,),""))))))))</f>
        <v/>
      </c>
      <c r="W555" s="31" t="str">
        <f t="shared" si="58"/>
        <v>TRUE</v>
      </c>
      <c r="X555" s="31" t="str">
        <f t="shared" si="59"/>
        <v>nominal concentration</v>
      </c>
      <c r="Y555" s="10" t="s">
        <v>992</v>
      </c>
      <c r="AL555" s="10" t="str">
        <f t="shared" si="61"/>
        <v>FALSE</v>
      </c>
      <c r="AM555" s="10" t="str">
        <f t="shared" si="61"/>
        <v>FALSE</v>
      </c>
      <c r="AN555" s="10" t="str">
        <f t="shared" si="61"/>
        <v>FALSE</v>
      </c>
      <c r="AO555" s="10" t="str">
        <f t="shared" si="62"/>
        <v>FALSE</v>
      </c>
      <c r="AP555" s="10" t="str">
        <f t="shared" si="62"/>
        <v>FALSE</v>
      </c>
      <c r="AQ555" s="10" t="b">
        <f>IF(AND(I555="TP",S555&lt;=150),VLOOKUP(AF555,TPCalibEq150!$AZ$2:$BB$55,3,),IF(AND(I555="TDP",S555&lt;=150),VLOOKUP(AF555,TPCalibEq150!$AZ$2:$BB$55,3,)))</f>
        <v>0</v>
      </c>
      <c r="AR555" s="10" t="b">
        <f>IF(AND(I555="TP",S555&lt;=300),VLOOKUP(AF555,TPCalibEq300!$AZ$2:$BB$55,3,),IF(AND(I555="TDP",S555&lt;=300),VLOOKUP(AF555,TPCalibEq300!$AZ$2:$BB$55,3,)))</f>
        <v>0</v>
      </c>
      <c r="AS555" s="10" t="b">
        <f>IF(AND(I555="TP",S555&lt;=500),VLOOKUP(AF555,TPCalibEq500!$AZ$2:$BB$56,3,),IF(AND(I555="TDP",S555&lt;=500),VLOOKUP(AF555,TPCalibEq500!$AZ$2:$BB$56,3,)))</f>
        <v>0</v>
      </c>
      <c r="AT555" s="10" t="b">
        <f>IF(AND(I555="TN",S555&lt;=2800),VLOOKUP(AF555,TNCalibEq2500!$AZ$2:$BB$56,3,),IF(AND(I555="TDN",S555&lt;=2800),VLOOKUP(AF555,TNCalibEq2500!$AZ$2:$BB$56,3,)))</f>
        <v>0</v>
      </c>
      <c r="AU555" s="10" t="b">
        <f>IF(I555="TP",VLOOKUP(AF555,TPCalibEqFull!$AZ$2:$BB$56,3),IF(I555="TDP",VLOOKUP(AF555,TPCalibEqFull!$AZ$2:$BB$56,3),IF(I555="TDN",VLOOKUP(AF555,TNCalibEqFull!$AZ$1:$BB$56,3),IF(I555="TN",VLOOKUP(AF555,TNCalibEqFull!$AZ$1:$BB$56,3),FALSE))))</f>
        <v>0</v>
      </c>
      <c r="AV555" s="10" t="str">
        <f t="shared" si="60"/>
        <v>0110 08:45:00-QAC-BLK-FIL-1-DI-ESF</v>
      </c>
    </row>
    <row r="556" spans="1:48" s="10" customFormat="1" x14ac:dyDescent="0.55000000000000004">
      <c r="A556" s="32">
        <v>44930</v>
      </c>
      <c r="B556" s="33">
        <v>0.22569444444444445</v>
      </c>
      <c r="C556" s="10" t="s">
        <v>279</v>
      </c>
      <c r="D556" s="10">
        <v>0</v>
      </c>
      <c r="E556" s="10" t="s">
        <v>160</v>
      </c>
      <c r="F556" s="10">
        <v>1</v>
      </c>
      <c r="G556" s="10" t="s">
        <v>231</v>
      </c>
      <c r="H556" s="10" t="s">
        <v>322</v>
      </c>
      <c r="I556" s="10" t="s">
        <v>256</v>
      </c>
      <c r="J556" s="10">
        <v>1</v>
      </c>
      <c r="K556" s="12">
        <v>44937</v>
      </c>
      <c r="L556" s="33">
        <v>0.4904513888888889</v>
      </c>
      <c r="M556" s="10">
        <v>1</v>
      </c>
      <c r="N556" s="10" t="s">
        <v>169</v>
      </c>
      <c r="O556" s="10">
        <v>3.34</v>
      </c>
      <c r="P556" s="10">
        <v>0.159</v>
      </c>
      <c r="Q556" s="10">
        <v>440</v>
      </c>
      <c r="R556" s="10" t="s">
        <v>77</v>
      </c>
      <c r="S556" s="34">
        <f t="shared" si="56"/>
        <v>440</v>
      </c>
      <c r="T556" s="10" t="s">
        <v>1002</v>
      </c>
      <c r="U556" s="34" t="str">
        <f t="shared" si="57"/>
        <v/>
      </c>
      <c r="V556" s="31" t="str">
        <f>IF(H556="CHK",VLOOKUP(I556,QCCHK,3,),IF(H556="GUP",VLOOKUP(E556,QCGUP,2,),IF(AND(H556="ATP",OR(I556="TN",I556="TDN",I556="TNO2-3",I556="NO2-3")),VLOOKUP(E556,QCREC_N,2,),IF(AND(H556="NIC",OR(I556="TN",I556="TDN",I556="TNO2-3",I556="NO2-3")),VLOOKUP(E556,QCNIC_N,2,),IF(AND(H556="UREA",OR(I556="TN",I556="TDN",I556="TNO2-3",I556="NO2-3")),VLOOKUP(E556,QCUREA_N,2,),IF(H556="PER",VLOOKUP(I556,QCPER,MATCH(E556,QCACTUAL!$J$25:$AA$25,0),),IF(H556="SPK",VLOOKUP(I556,QCSPK,3,),IF(AND(H556="ATP",OR(I556="TP",I556="TDP")),VLOOKUP(E556,QCATP_P,2,),""))))))))</f>
        <v/>
      </c>
      <c r="W556" s="31" t="str">
        <f t="shared" si="58"/>
        <v>TRUE</v>
      </c>
      <c r="X556" s="31" t="str">
        <f t="shared" si="59"/>
        <v/>
      </c>
      <c r="Y556" s="10" t="s">
        <v>992</v>
      </c>
      <c r="Z556" s="10" t="s">
        <v>910</v>
      </c>
      <c r="AL556" s="10" t="str">
        <f t="shared" si="61"/>
        <v>FALSE</v>
      </c>
      <c r="AM556" s="10" t="str">
        <f t="shared" si="61"/>
        <v>FALSE</v>
      </c>
      <c r="AN556" s="10" t="str">
        <f t="shared" si="61"/>
        <v>FALSE</v>
      </c>
      <c r="AO556" s="10" t="str">
        <f t="shared" si="62"/>
        <v>FALSE</v>
      </c>
      <c r="AP556" s="10" t="str">
        <f t="shared" si="62"/>
        <v>FALSE</v>
      </c>
      <c r="AQ556" s="10" t="b">
        <f>IF(AND(I556="TP",S556&lt;=150),VLOOKUP(AF556,TPCalibEq150!$AZ$2:$BB$55,3,),IF(AND(I556="TDP",S556&lt;=150),VLOOKUP(AF556,TPCalibEq150!$AZ$2:$BB$55,3,)))</f>
        <v>0</v>
      </c>
      <c r="AR556" s="10" t="b">
        <f>IF(AND(I556="TP",S556&lt;=300),VLOOKUP(AF556,TPCalibEq300!$AZ$2:$BB$55,3,),IF(AND(I556="TDP",S556&lt;=300),VLOOKUP(AF556,TPCalibEq300!$AZ$2:$BB$55,3,)))</f>
        <v>0</v>
      </c>
      <c r="AS556" s="10" t="b">
        <f>IF(AND(I556="TP",S556&lt;=500),VLOOKUP(AF556,TPCalibEq500!$AZ$2:$BB$56,3,),IF(AND(I556="TDP",S556&lt;=500),VLOOKUP(AF556,TPCalibEq500!$AZ$2:$BB$56,3,)))</f>
        <v>0</v>
      </c>
      <c r="AT556" s="10" t="b">
        <f>IF(AND(I556="TN",S556&lt;=2800),VLOOKUP(AF556,TNCalibEq2500!$AZ$2:$BB$56,3,),IF(AND(I556="TDN",S556&lt;=2800),VLOOKUP(AF556,TNCalibEq2500!$AZ$2:$BB$56,3,)))</f>
        <v>0</v>
      </c>
      <c r="AU556" s="10" t="b">
        <f>IF(I556="TP",VLOOKUP(AF556,TPCalibEqFull!$AZ$2:$BB$56,3),IF(I556="TDP",VLOOKUP(AF556,TPCalibEqFull!$AZ$2:$BB$56,3),IF(I556="TDN",VLOOKUP(AF556,TNCalibEqFull!$AZ$1:$BB$56,3),IF(I556="TN",VLOOKUP(AF556,TNCalibEqFull!$AZ$1:$BB$56,3),FALSE))))</f>
        <v>0</v>
      </c>
      <c r="AV556" s="10" t="str">
        <f t="shared" si="60"/>
        <v>0104 05:25:00-EFK-0-L-1-SW-UKN</v>
      </c>
    </row>
    <row r="557" spans="1:48" s="10" customFormat="1" x14ac:dyDescent="0.55000000000000004">
      <c r="A557" s="32">
        <v>44930</v>
      </c>
      <c r="B557" s="33">
        <v>0.22916666666666666</v>
      </c>
      <c r="C557" s="10" t="s">
        <v>333</v>
      </c>
      <c r="D557" s="10">
        <v>0</v>
      </c>
      <c r="E557" s="10" t="s">
        <v>190</v>
      </c>
      <c r="F557" s="10">
        <v>1</v>
      </c>
      <c r="G557" s="10" t="s">
        <v>231</v>
      </c>
      <c r="H557" s="10" t="s">
        <v>322</v>
      </c>
      <c r="I557" s="10" t="s">
        <v>256</v>
      </c>
      <c r="J557" s="10">
        <v>2</v>
      </c>
      <c r="K557" s="12">
        <v>44937</v>
      </c>
      <c r="L557" s="33">
        <v>0.4912731481481481</v>
      </c>
      <c r="M557" s="10">
        <v>1</v>
      </c>
      <c r="N557" s="10" t="s">
        <v>169</v>
      </c>
      <c r="O557" s="10">
        <v>7.79</v>
      </c>
      <c r="P557" s="10">
        <v>0.37</v>
      </c>
      <c r="Q557" s="10">
        <v>1030</v>
      </c>
      <c r="R557" s="10" t="s">
        <v>77</v>
      </c>
      <c r="S557" s="34">
        <f t="shared" si="56"/>
        <v>1030</v>
      </c>
      <c r="T557" s="10" t="s">
        <v>1002</v>
      </c>
      <c r="U557" s="34" t="str">
        <f t="shared" si="57"/>
        <v/>
      </c>
      <c r="V557" s="31" t="str">
        <f>IF(H557="CHK",VLOOKUP(I557,QCCHK,3,),IF(H557="GUP",VLOOKUP(E557,QCGUP,2,),IF(AND(H557="ATP",OR(I557="TN",I557="TDN",I557="TNO2-3",I557="NO2-3")),VLOOKUP(E557,QCREC_N,2,),IF(AND(H557="NIC",OR(I557="TN",I557="TDN",I557="TNO2-3",I557="NO2-3")),VLOOKUP(E557,QCNIC_N,2,),IF(AND(H557="UREA",OR(I557="TN",I557="TDN",I557="TNO2-3",I557="NO2-3")),VLOOKUP(E557,QCUREA_N,2,),IF(H557="PER",VLOOKUP(I557,QCPER,MATCH(E557,QCACTUAL!$J$25:$AA$25,0),),IF(H557="SPK",VLOOKUP(I557,QCSPK,3,),IF(AND(H557="ATP",OR(I557="TP",I557="TDP")),VLOOKUP(E557,QCATP_P,2,),""))))))))</f>
        <v/>
      </c>
      <c r="W557" s="31" t="str">
        <f t="shared" si="58"/>
        <v>TRUE</v>
      </c>
      <c r="X557" s="31" t="str">
        <f t="shared" si="59"/>
        <v/>
      </c>
      <c r="Y557" s="10" t="s">
        <v>992</v>
      </c>
      <c r="Z557" s="10" t="s">
        <v>910</v>
      </c>
      <c r="AL557" s="10" t="str">
        <f t="shared" si="61"/>
        <v>FALSE</v>
      </c>
      <c r="AM557" s="10" t="str">
        <f t="shared" si="61"/>
        <v>FALSE</v>
      </c>
      <c r="AN557" s="10" t="str">
        <f t="shared" si="61"/>
        <v>FALSE</v>
      </c>
      <c r="AO557" s="10" t="str">
        <f t="shared" si="62"/>
        <v>FALSE</v>
      </c>
      <c r="AP557" s="10" t="str">
        <f t="shared" si="62"/>
        <v>FALSE</v>
      </c>
      <c r="AQ557" s="10" t="b">
        <f>IF(AND(I557="TP",S557&lt;=150),VLOOKUP(AF557,TPCalibEq150!$AZ$2:$BB$55,3,),IF(AND(I557="TDP",S557&lt;=150),VLOOKUP(AF557,TPCalibEq150!$AZ$2:$BB$55,3,)))</f>
        <v>0</v>
      </c>
      <c r="AR557" s="10" t="b">
        <f>IF(AND(I557="TP",S557&lt;=300),VLOOKUP(AF557,TPCalibEq300!$AZ$2:$BB$55,3,),IF(AND(I557="TDP",S557&lt;=300),VLOOKUP(AF557,TPCalibEq300!$AZ$2:$BB$55,3,)))</f>
        <v>0</v>
      </c>
      <c r="AS557" s="10" t="b">
        <f>IF(AND(I557="TP",S557&lt;=500),VLOOKUP(AF557,TPCalibEq500!$AZ$2:$BB$56,3,),IF(AND(I557="TDP",S557&lt;=500),VLOOKUP(AF557,TPCalibEq500!$AZ$2:$BB$56,3,)))</f>
        <v>0</v>
      </c>
      <c r="AT557" s="10" t="b">
        <f>IF(AND(I557="TN",S557&lt;=2800),VLOOKUP(AF557,TNCalibEq2500!$AZ$2:$BB$56,3,),IF(AND(I557="TDN",S557&lt;=2800),VLOOKUP(AF557,TNCalibEq2500!$AZ$2:$BB$56,3,)))</f>
        <v>0</v>
      </c>
      <c r="AU557" s="10" t="b">
        <f>IF(I557="TP",VLOOKUP(AF557,TPCalibEqFull!$AZ$2:$BB$56,3),IF(I557="TDP",VLOOKUP(AF557,TPCalibEqFull!$AZ$2:$BB$56,3),IF(I557="TDN",VLOOKUP(AF557,TNCalibEqFull!$AZ$1:$BB$56,3),IF(I557="TN",VLOOKUP(AF557,TNCalibEqFull!$AZ$1:$BB$56,3),FALSE))))</f>
        <v>0</v>
      </c>
      <c r="AV557" s="10" t="str">
        <f t="shared" si="60"/>
        <v>0104 05:30:00-HST-0-C-1-SW-UKN</v>
      </c>
    </row>
    <row r="558" spans="1:48" s="10" customFormat="1" x14ac:dyDescent="0.55000000000000004">
      <c r="A558" s="32">
        <v>44931</v>
      </c>
      <c r="B558" s="33">
        <v>0.44513888888888892</v>
      </c>
      <c r="C558" s="10" t="s">
        <v>279</v>
      </c>
      <c r="D558" s="10">
        <v>0</v>
      </c>
      <c r="E558" s="10" t="s">
        <v>160</v>
      </c>
      <c r="F558" s="10">
        <v>1</v>
      </c>
      <c r="G558" s="10" t="s">
        <v>231</v>
      </c>
      <c r="H558" s="10" t="s">
        <v>322</v>
      </c>
      <c r="I558" s="10" t="s">
        <v>256</v>
      </c>
      <c r="J558" s="10">
        <v>3</v>
      </c>
      <c r="K558" s="12">
        <v>44937</v>
      </c>
      <c r="L558" s="33">
        <v>0.49210648148148151</v>
      </c>
      <c r="M558" s="10">
        <v>1</v>
      </c>
      <c r="N558" s="10" t="s">
        <v>169</v>
      </c>
      <c r="O558" s="10">
        <v>5.37</v>
      </c>
      <c r="P558" s="10">
        <v>0.25700000000000001</v>
      </c>
      <c r="Q558" s="10">
        <v>709</v>
      </c>
      <c r="R558" s="10" t="s">
        <v>77</v>
      </c>
      <c r="S558" s="34">
        <f t="shared" si="56"/>
        <v>709</v>
      </c>
      <c r="T558" s="10" t="s">
        <v>1002</v>
      </c>
      <c r="U558" s="34" t="str">
        <f t="shared" si="57"/>
        <v/>
      </c>
      <c r="V558" s="31" t="str">
        <f>IF(H558="CHK",VLOOKUP(I558,QCCHK,3,),IF(H558="GUP",VLOOKUP(E558,QCGUP,2,),IF(AND(H558="ATP",OR(I558="TN",I558="TDN",I558="TNO2-3",I558="NO2-3")),VLOOKUP(E558,QCREC_N,2,),IF(AND(H558="NIC",OR(I558="TN",I558="TDN",I558="TNO2-3",I558="NO2-3")),VLOOKUP(E558,QCNIC_N,2,),IF(AND(H558="UREA",OR(I558="TN",I558="TDN",I558="TNO2-3",I558="NO2-3")),VLOOKUP(E558,QCUREA_N,2,),IF(H558="PER",VLOOKUP(I558,QCPER,MATCH(E558,QCACTUAL!$J$25:$AA$25,0),),IF(H558="SPK",VLOOKUP(I558,QCSPK,3,),IF(AND(H558="ATP",OR(I558="TP",I558="TDP")),VLOOKUP(E558,QCATP_P,2,),""))))))))</f>
        <v/>
      </c>
      <c r="W558" s="31" t="str">
        <f t="shared" si="58"/>
        <v>TRUE</v>
      </c>
      <c r="X558" s="31" t="str">
        <f t="shared" si="59"/>
        <v/>
      </c>
      <c r="Y558" s="10" t="s">
        <v>992</v>
      </c>
      <c r="Z558" s="10" t="s">
        <v>910</v>
      </c>
      <c r="AL558" s="10" t="str">
        <f t="shared" si="61"/>
        <v>FALSE</v>
      </c>
      <c r="AM558" s="10" t="str">
        <f t="shared" si="61"/>
        <v>FALSE</v>
      </c>
      <c r="AN558" s="10" t="str">
        <f t="shared" si="61"/>
        <v>FALSE</v>
      </c>
      <c r="AO558" s="10" t="str">
        <f t="shared" si="62"/>
        <v>FALSE</v>
      </c>
      <c r="AP558" s="10" t="str">
        <f t="shared" si="62"/>
        <v>FALSE</v>
      </c>
      <c r="AQ558" s="10" t="b">
        <f>IF(AND(I558="TP",S558&lt;=150),VLOOKUP(AF558,TPCalibEq150!$AZ$2:$BB$55,3,),IF(AND(I558="TDP",S558&lt;=150),VLOOKUP(AF558,TPCalibEq150!$AZ$2:$BB$55,3,)))</f>
        <v>0</v>
      </c>
      <c r="AR558" s="10" t="b">
        <f>IF(AND(I558="TP",S558&lt;=300),VLOOKUP(AF558,TPCalibEq300!$AZ$2:$BB$55,3,),IF(AND(I558="TDP",S558&lt;=300),VLOOKUP(AF558,TPCalibEq300!$AZ$2:$BB$55,3,)))</f>
        <v>0</v>
      </c>
      <c r="AS558" s="10" t="b">
        <f>IF(AND(I558="TP",S558&lt;=500),VLOOKUP(AF558,TPCalibEq500!$AZ$2:$BB$56,3,),IF(AND(I558="TDP",S558&lt;=500),VLOOKUP(AF558,TPCalibEq500!$AZ$2:$BB$56,3,)))</f>
        <v>0</v>
      </c>
      <c r="AT558" s="10" t="b">
        <f>IF(AND(I558="TN",S558&lt;=2800),VLOOKUP(AF558,TNCalibEq2500!$AZ$2:$BB$56,3,),IF(AND(I558="TDN",S558&lt;=2800),VLOOKUP(AF558,TNCalibEq2500!$AZ$2:$BB$56,3,)))</f>
        <v>0</v>
      </c>
      <c r="AU558" s="10" t="b">
        <f>IF(I558="TP",VLOOKUP(AF558,TPCalibEqFull!$AZ$2:$BB$56,3),IF(I558="TDP",VLOOKUP(AF558,TPCalibEqFull!$AZ$2:$BB$56,3),IF(I558="TDN",VLOOKUP(AF558,TNCalibEqFull!$AZ$1:$BB$56,3),IF(I558="TN",VLOOKUP(AF558,TNCalibEqFull!$AZ$1:$BB$56,3),FALSE))))</f>
        <v>0</v>
      </c>
      <c r="AV558" s="10" t="str">
        <f t="shared" si="60"/>
        <v>0105 10:41:00-EFK-0-L-1-SW-UKN</v>
      </c>
    </row>
    <row r="559" spans="1:48" s="10" customFormat="1" x14ac:dyDescent="0.55000000000000004">
      <c r="A559" s="32">
        <v>44931</v>
      </c>
      <c r="B559" s="33">
        <v>0.45069444444444445</v>
      </c>
      <c r="C559" s="10" t="s">
        <v>333</v>
      </c>
      <c r="D559" s="10">
        <v>0</v>
      </c>
      <c r="E559" s="10" t="s">
        <v>190</v>
      </c>
      <c r="F559" s="10">
        <v>1</v>
      </c>
      <c r="G559" s="10" t="s">
        <v>231</v>
      </c>
      <c r="H559" s="10" t="s">
        <v>322</v>
      </c>
      <c r="I559" s="10" t="s">
        <v>256</v>
      </c>
      <c r="J559" s="10">
        <v>4</v>
      </c>
      <c r="K559" s="12">
        <v>44937</v>
      </c>
      <c r="L559" s="33">
        <v>0.49291666666666667</v>
      </c>
      <c r="M559" s="10">
        <v>1</v>
      </c>
      <c r="N559" s="10" t="s">
        <v>169</v>
      </c>
      <c r="O559" s="10">
        <v>6.96</v>
      </c>
      <c r="P559" s="10">
        <v>0.33</v>
      </c>
      <c r="Q559" s="10">
        <v>918</v>
      </c>
      <c r="R559" s="10" t="s">
        <v>77</v>
      </c>
      <c r="S559" s="34">
        <f t="shared" si="56"/>
        <v>918</v>
      </c>
      <c r="T559" s="10" t="s">
        <v>1002</v>
      </c>
      <c r="U559" s="34" t="str">
        <f t="shared" si="57"/>
        <v/>
      </c>
      <c r="V559" s="31" t="str">
        <f>IF(H559="CHK",VLOOKUP(I559,QCCHK,3,),IF(H559="GUP",VLOOKUP(E559,QCGUP,2,),IF(AND(H559="ATP",OR(I559="TN",I559="TDN",I559="TNO2-3",I559="NO2-3")),VLOOKUP(E559,QCREC_N,2,),IF(AND(H559="NIC",OR(I559="TN",I559="TDN",I559="TNO2-3",I559="NO2-3")),VLOOKUP(E559,QCNIC_N,2,),IF(AND(H559="UREA",OR(I559="TN",I559="TDN",I559="TNO2-3",I559="NO2-3")),VLOOKUP(E559,QCUREA_N,2,),IF(H559="PER",VLOOKUP(I559,QCPER,MATCH(E559,QCACTUAL!$J$25:$AA$25,0),),IF(H559="SPK",VLOOKUP(I559,QCSPK,3,),IF(AND(H559="ATP",OR(I559="TP",I559="TDP")),VLOOKUP(E559,QCATP_P,2,),""))))))))</f>
        <v/>
      </c>
      <c r="W559" s="31" t="str">
        <f t="shared" si="58"/>
        <v>TRUE</v>
      </c>
      <c r="X559" s="31" t="str">
        <f t="shared" si="59"/>
        <v/>
      </c>
      <c r="Y559" s="10" t="s">
        <v>992</v>
      </c>
      <c r="Z559" s="10" t="s">
        <v>910</v>
      </c>
      <c r="AL559" s="10" t="str">
        <f t="shared" si="61"/>
        <v>FALSE</v>
      </c>
      <c r="AM559" s="10" t="str">
        <f t="shared" si="61"/>
        <v>FALSE</v>
      </c>
      <c r="AN559" s="10" t="str">
        <f t="shared" si="61"/>
        <v>FALSE</v>
      </c>
      <c r="AO559" s="10" t="str">
        <f t="shared" si="62"/>
        <v>FALSE</v>
      </c>
      <c r="AP559" s="10" t="str">
        <f t="shared" si="62"/>
        <v>FALSE</v>
      </c>
      <c r="AQ559" s="10" t="b">
        <f>IF(AND(I559="TP",S559&lt;=150),VLOOKUP(AF559,TPCalibEq150!$AZ$2:$BB$55,3,),IF(AND(I559="TDP",S559&lt;=150),VLOOKUP(AF559,TPCalibEq150!$AZ$2:$BB$55,3,)))</f>
        <v>0</v>
      </c>
      <c r="AR559" s="10" t="b">
        <f>IF(AND(I559="TP",S559&lt;=300),VLOOKUP(AF559,TPCalibEq300!$AZ$2:$BB$55,3,),IF(AND(I559="TDP",S559&lt;=300),VLOOKUP(AF559,TPCalibEq300!$AZ$2:$BB$55,3,)))</f>
        <v>0</v>
      </c>
      <c r="AS559" s="10" t="b">
        <f>IF(AND(I559="TP",S559&lt;=500),VLOOKUP(AF559,TPCalibEq500!$AZ$2:$BB$56,3,),IF(AND(I559="TDP",S559&lt;=500),VLOOKUP(AF559,TPCalibEq500!$AZ$2:$BB$56,3,)))</f>
        <v>0</v>
      </c>
      <c r="AT559" s="10" t="b">
        <f>IF(AND(I559="TN",S559&lt;=2800),VLOOKUP(AF559,TNCalibEq2500!$AZ$2:$BB$56,3,),IF(AND(I559="TDN",S559&lt;=2800),VLOOKUP(AF559,TNCalibEq2500!$AZ$2:$BB$56,3,)))</f>
        <v>0</v>
      </c>
      <c r="AU559" s="10" t="b">
        <f>IF(I559="TP",VLOOKUP(AF559,TPCalibEqFull!$AZ$2:$BB$56,3),IF(I559="TDP",VLOOKUP(AF559,TPCalibEqFull!$AZ$2:$BB$56,3),IF(I559="TDN",VLOOKUP(AF559,TNCalibEqFull!$AZ$1:$BB$56,3),IF(I559="TN",VLOOKUP(AF559,TNCalibEqFull!$AZ$1:$BB$56,3),FALSE))))</f>
        <v>0</v>
      </c>
      <c r="AV559" s="10" t="str">
        <f t="shared" si="60"/>
        <v>0105 10:49:00-HST-0-C-1-SW-UKN</v>
      </c>
    </row>
    <row r="560" spans="1:48" s="10" customFormat="1" x14ac:dyDescent="0.55000000000000004">
      <c r="A560" s="32">
        <v>44932</v>
      </c>
      <c r="B560" s="33">
        <v>0.53333333333333333</v>
      </c>
      <c r="C560" s="10" t="s">
        <v>279</v>
      </c>
      <c r="D560" s="10">
        <v>0</v>
      </c>
      <c r="E560" s="10" t="s">
        <v>160</v>
      </c>
      <c r="F560" s="10">
        <v>1</v>
      </c>
      <c r="G560" s="10" t="s">
        <v>231</v>
      </c>
      <c r="H560" s="10" t="s">
        <v>322</v>
      </c>
      <c r="I560" s="10" t="s">
        <v>256</v>
      </c>
      <c r="J560" s="10">
        <v>5</v>
      </c>
      <c r="K560" s="12">
        <v>44937</v>
      </c>
      <c r="L560" s="33">
        <v>0.49373842592592593</v>
      </c>
      <c r="M560" s="10">
        <v>1</v>
      </c>
      <c r="N560" s="10" t="s">
        <v>169</v>
      </c>
      <c r="O560" s="10">
        <v>5.48</v>
      </c>
      <c r="P560" s="10">
        <v>0.26100000000000001</v>
      </c>
      <c r="Q560" s="10">
        <v>723</v>
      </c>
      <c r="R560" s="10" t="s">
        <v>77</v>
      </c>
      <c r="S560" s="34">
        <f t="shared" si="56"/>
        <v>723</v>
      </c>
      <c r="T560" s="10" t="s">
        <v>1002</v>
      </c>
      <c r="U560" s="34" t="str">
        <f t="shared" si="57"/>
        <v/>
      </c>
      <c r="V560" s="31" t="str">
        <f>IF(H560="CHK",VLOOKUP(I560,QCCHK,3,),IF(H560="GUP",VLOOKUP(E560,QCGUP,2,),IF(AND(H560="ATP",OR(I560="TN",I560="TDN",I560="TNO2-3",I560="NO2-3")),VLOOKUP(E560,QCREC_N,2,),IF(AND(H560="NIC",OR(I560="TN",I560="TDN",I560="TNO2-3",I560="NO2-3")),VLOOKUP(E560,QCNIC_N,2,),IF(AND(H560="UREA",OR(I560="TN",I560="TDN",I560="TNO2-3",I560="NO2-3")),VLOOKUP(E560,QCUREA_N,2,),IF(H560="PER",VLOOKUP(I560,QCPER,MATCH(E560,QCACTUAL!$J$25:$AA$25,0),),IF(H560="SPK",VLOOKUP(I560,QCSPK,3,),IF(AND(H560="ATP",OR(I560="TP",I560="TDP")),VLOOKUP(E560,QCATP_P,2,),""))))))))</f>
        <v/>
      </c>
      <c r="W560" s="31" t="str">
        <f t="shared" si="58"/>
        <v>TRUE</v>
      </c>
      <c r="X560" s="31" t="str">
        <f t="shared" si="59"/>
        <v/>
      </c>
      <c r="Y560" s="10" t="s">
        <v>992</v>
      </c>
      <c r="Z560" s="10" t="s">
        <v>910</v>
      </c>
      <c r="AL560" s="10" t="str">
        <f t="shared" si="61"/>
        <v>FALSE</v>
      </c>
      <c r="AM560" s="10" t="str">
        <f t="shared" si="61"/>
        <v>FALSE</v>
      </c>
      <c r="AN560" s="10" t="str">
        <f t="shared" si="61"/>
        <v>FALSE</v>
      </c>
      <c r="AO560" s="10" t="str">
        <f t="shared" si="62"/>
        <v>FALSE</v>
      </c>
      <c r="AP560" s="10" t="str">
        <f t="shared" si="62"/>
        <v>FALSE</v>
      </c>
      <c r="AQ560" s="10" t="b">
        <f>IF(AND(I560="TP",S560&lt;=150),VLOOKUP(AF560,TPCalibEq150!$AZ$2:$BB$55,3,),IF(AND(I560="TDP",S560&lt;=150),VLOOKUP(AF560,TPCalibEq150!$AZ$2:$BB$55,3,)))</f>
        <v>0</v>
      </c>
      <c r="AR560" s="10" t="b">
        <f>IF(AND(I560="TP",S560&lt;=300),VLOOKUP(AF560,TPCalibEq300!$AZ$2:$BB$55,3,),IF(AND(I560="TDP",S560&lt;=300),VLOOKUP(AF560,TPCalibEq300!$AZ$2:$BB$55,3,)))</f>
        <v>0</v>
      </c>
      <c r="AS560" s="10" t="b">
        <f>IF(AND(I560="TP",S560&lt;=500),VLOOKUP(AF560,TPCalibEq500!$AZ$2:$BB$56,3,),IF(AND(I560="TDP",S560&lt;=500),VLOOKUP(AF560,TPCalibEq500!$AZ$2:$BB$56,3,)))</f>
        <v>0</v>
      </c>
      <c r="AT560" s="10" t="b">
        <f>IF(AND(I560="TN",S560&lt;=2800),VLOOKUP(AF560,TNCalibEq2500!$AZ$2:$BB$56,3,),IF(AND(I560="TDN",S560&lt;=2800),VLOOKUP(AF560,TNCalibEq2500!$AZ$2:$BB$56,3,)))</f>
        <v>0</v>
      </c>
      <c r="AU560" s="10" t="b">
        <f>IF(I560="TP",VLOOKUP(AF560,TPCalibEqFull!$AZ$2:$BB$56,3),IF(I560="TDP",VLOOKUP(AF560,TPCalibEqFull!$AZ$2:$BB$56,3),IF(I560="TDN",VLOOKUP(AF560,TNCalibEqFull!$AZ$1:$BB$56,3),IF(I560="TN",VLOOKUP(AF560,TNCalibEqFull!$AZ$1:$BB$56,3),FALSE))))</f>
        <v>0</v>
      </c>
      <c r="AV560" s="10" t="str">
        <f t="shared" si="60"/>
        <v>0106 12:48:00-EFK-0-L-1-SW-UKN</v>
      </c>
    </row>
    <row r="561" spans="1:48" s="10" customFormat="1" x14ac:dyDescent="0.55000000000000004">
      <c r="A561" s="32">
        <v>44932</v>
      </c>
      <c r="B561" s="33">
        <v>0.52430555555555558</v>
      </c>
      <c r="C561" s="10" t="s">
        <v>333</v>
      </c>
      <c r="D561" s="10">
        <v>0</v>
      </c>
      <c r="E561" s="10" t="s">
        <v>190</v>
      </c>
      <c r="F561" s="10">
        <v>1</v>
      </c>
      <c r="G561" s="10" t="s">
        <v>231</v>
      </c>
      <c r="H561" s="10" t="s">
        <v>322</v>
      </c>
      <c r="I561" s="10" t="s">
        <v>256</v>
      </c>
      <c r="J561" s="10">
        <v>6</v>
      </c>
      <c r="K561" s="12">
        <v>44937</v>
      </c>
      <c r="L561" s="33">
        <v>0.49456018518518513</v>
      </c>
      <c r="M561" s="10">
        <v>1</v>
      </c>
      <c r="N561" s="10" t="s">
        <v>169</v>
      </c>
      <c r="O561" s="10">
        <v>6.26</v>
      </c>
      <c r="P561" s="10">
        <v>0.29699999999999999</v>
      </c>
      <c r="Q561" s="10">
        <v>825</v>
      </c>
      <c r="R561" s="10" t="s">
        <v>77</v>
      </c>
      <c r="S561" s="34">
        <f t="shared" si="56"/>
        <v>825</v>
      </c>
      <c r="T561" s="10" t="s">
        <v>1002</v>
      </c>
      <c r="U561" s="34" t="str">
        <f t="shared" si="57"/>
        <v/>
      </c>
      <c r="V561" s="31" t="str">
        <f>IF(H561="CHK",VLOOKUP(I561,QCCHK,3,),IF(H561="GUP",VLOOKUP(E561,QCGUP,2,),IF(AND(H561="ATP",OR(I561="TN",I561="TDN",I561="TNO2-3",I561="NO2-3")),VLOOKUP(E561,QCREC_N,2,),IF(AND(H561="NIC",OR(I561="TN",I561="TDN",I561="TNO2-3",I561="NO2-3")),VLOOKUP(E561,QCNIC_N,2,),IF(AND(H561="UREA",OR(I561="TN",I561="TDN",I561="TNO2-3",I561="NO2-3")),VLOOKUP(E561,QCUREA_N,2,),IF(H561="PER",VLOOKUP(I561,QCPER,MATCH(E561,QCACTUAL!$J$25:$AA$25,0),),IF(H561="SPK",VLOOKUP(I561,QCSPK,3,),IF(AND(H561="ATP",OR(I561="TP",I561="TDP")),VLOOKUP(E561,QCATP_P,2,),""))))))))</f>
        <v/>
      </c>
      <c r="W561" s="31" t="str">
        <f t="shared" si="58"/>
        <v>TRUE</v>
      </c>
      <c r="X561" s="31" t="str">
        <f t="shared" si="59"/>
        <v/>
      </c>
      <c r="Y561" s="10" t="s">
        <v>992</v>
      </c>
      <c r="Z561" s="10" t="s">
        <v>910</v>
      </c>
      <c r="AL561" s="10" t="str">
        <f t="shared" si="61"/>
        <v>FALSE</v>
      </c>
      <c r="AM561" s="10" t="str">
        <f t="shared" si="61"/>
        <v>FALSE</v>
      </c>
      <c r="AN561" s="10" t="str">
        <f t="shared" si="61"/>
        <v>FALSE</v>
      </c>
      <c r="AO561" s="10" t="str">
        <f t="shared" si="62"/>
        <v>FALSE</v>
      </c>
      <c r="AP561" s="10" t="str">
        <f t="shared" si="62"/>
        <v>FALSE</v>
      </c>
      <c r="AQ561" s="10" t="b">
        <f>IF(AND(I561="TP",S561&lt;=150),VLOOKUP(AF561,TPCalibEq150!$AZ$2:$BB$55,3,),IF(AND(I561="TDP",S561&lt;=150),VLOOKUP(AF561,TPCalibEq150!$AZ$2:$BB$55,3,)))</f>
        <v>0</v>
      </c>
      <c r="AR561" s="10" t="b">
        <f>IF(AND(I561="TP",S561&lt;=300),VLOOKUP(AF561,TPCalibEq300!$AZ$2:$BB$55,3,),IF(AND(I561="TDP",S561&lt;=300),VLOOKUP(AF561,TPCalibEq300!$AZ$2:$BB$55,3,)))</f>
        <v>0</v>
      </c>
      <c r="AS561" s="10" t="b">
        <f>IF(AND(I561="TP",S561&lt;=500),VLOOKUP(AF561,TPCalibEq500!$AZ$2:$BB$56,3,),IF(AND(I561="TDP",S561&lt;=500),VLOOKUP(AF561,TPCalibEq500!$AZ$2:$BB$56,3,)))</f>
        <v>0</v>
      </c>
      <c r="AT561" s="10" t="b">
        <f>IF(AND(I561="TN",S561&lt;=2800),VLOOKUP(AF561,TNCalibEq2500!$AZ$2:$BB$56,3,),IF(AND(I561="TDN",S561&lt;=2800),VLOOKUP(AF561,TNCalibEq2500!$AZ$2:$BB$56,3,)))</f>
        <v>0</v>
      </c>
      <c r="AU561" s="10" t="b">
        <f>IF(I561="TP",VLOOKUP(AF561,TPCalibEqFull!$AZ$2:$BB$56,3),IF(I561="TDP",VLOOKUP(AF561,TPCalibEqFull!$AZ$2:$BB$56,3),IF(I561="TDN",VLOOKUP(AF561,TNCalibEqFull!$AZ$1:$BB$56,3),IF(I561="TN",VLOOKUP(AF561,TNCalibEqFull!$AZ$1:$BB$56,3),FALSE))))</f>
        <v>0</v>
      </c>
      <c r="AV561" s="10" t="str">
        <f t="shared" si="60"/>
        <v>0106 12:35:00-HST-0-C-1-SW-UKN</v>
      </c>
    </row>
    <row r="562" spans="1:48" s="10" customFormat="1" x14ac:dyDescent="0.55000000000000004">
      <c r="A562" s="32">
        <v>44935</v>
      </c>
      <c r="B562" s="33">
        <v>0.39166666666666666</v>
      </c>
      <c r="C562" s="10" t="s">
        <v>279</v>
      </c>
      <c r="D562" s="10">
        <v>0</v>
      </c>
      <c r="E562" s="10" t="s">
        <v>160</v>
      </c>
      <c r="F562" s="10">
        <v>1</v>
      </c>
      <c r="G562" s="10" t="s">
        <v>231</v>
      </c>
      <c r="H562" s="10" t="s">
        <v>322</v>
      </c>
      <c r="I562" s="10" t="s">
        <v>256</v>
      </c>
      <c r="J562" s="10">
        <v>7</v>
      </c>
      <c r="K562" s="12">
        <v>44937</v>
      </c>
      <c r="L562" s="33">
        <v>0.49537037037037041</v>
      </c>
      <c r="M562" s="10">
        <v>1</v>
      </c>
      <c r="N562" s="10" t="s">
        <v>169</v>
      </c>
      <c r="O562" s="10">
        <v>5.53</v>
      </c>
      <c r="P562" s="10">
        <v>0.26300000000000001</v>
      </c>
      <c r="Q562" s="10">
        <v>729</v>
      </c>
      <c r="R562" s="10" t="s">
        <v>77</v>
      </c>
      <c r="S562" s="34">
        <f t="shared" si="56"/>
        <v>729</v>
      </c>
      <c r="T562" s="10" t="s">
        <v>1002</v>
      </c>
      <c r="U562" s="34" t="str">
        <f t="shared" si="57"/>
        <v/>
      </c>
      <c r="V562" s="31" t="str">
        <f>IF(H562="CHK",VLOOKUP(I562,QCCHK,3,),IF(H562="GUP",VLOOKUP(E562,QCGUP,2,),IF(AND(H562="ATP",OR(I562="TN",I562="TDN",I562="TNO2-3",I562="NO2-3")),VLOOKUP(E562,QCREC_N,2,),IF(AND(H562="NIC",OR(I562="TN",I562="TDN",I562="TNO2-3",I562="NO2-3")),VLOOKUP(E562,QCNIC_N,2,),IF(AND(H562="UREA",OR(I562="TN",I562="TDN",I562="TNO2-3",I562="NO2-3")),VLOOKUP(E562,QCUREA_N,2,),IF(H562="PER",VLOOKUP(I562,QCPER,MATCH(E562,QCACTUAL!$J$25:$AA$25,0),),IF(H562="SPK",VLOOKUP(I562,QCSPK,3,),IF(AND(H562="ATP",OR(I562="TP",I562="TDP")),VLOOKUP(E562,QCATP_P,2,),""))))))))</f>
        <v/>
      </c>
      <c r="W562" s="31" t="str">
        <f t="shared" si="58"/>
        <v>TRUE</v>
      </c>
      <c r="X562" s="31" t="str">
        <f t="shared" si="59"/>
        <v/>
      </c>
      <c r="Y562" s="10" t="s">
        <v>992</v>
      </c>
      <c r="Z562" s="10" t="s">
        <v>910</v>
      </c>
      <c r="AL562" s="10" t="str">
        <f t="shared" si="61"/>
        <v>FALSE</v>
      </c>
      <c r="AM562" s="10" t="str">
        <f t="shared" si="61"/>
        <v>FALSE</v>
      </c>
      <c r="AN562" s="10" t="str">
        <f t="shared" si="61"/>
        <v>FALSE</v>
      </c>
      <c r="AO562" s="10" t="str">
        <f t="shared" si="62"/>
        <v>FALSE</v>
      </c>
      <c r="AP562" s="10" t="str">
        <f t="shared" si="62"/>
        <v>FALSE</v>
      </c>
      <c r="AQ562" s="10" t="b">
        <f>IF(AND(I562="TP",S562&lt;=150),VLOOKUP(AF562,TPCalibEq150!$AZ$2:$BB$55,3,),IF(AND(I562="TDP",S562&lt;=150),VLOOKUP(AF562,TPCalibEq150!$AZ$2:$BB$55,3,)))</f>
        <v>0</v>
      </c>
      <c r="AR562" s="10" t="b">
        <f>IF(AND(I562="TP",S562&lt;=300),VLOOKUP(AF562,TPCalibEq300!$AZ$2:$BB$55,3,),IF(AND(I562="TDP",S562&lt;=300),VLOOKUP(AF562,TPCalibEq300!$AZ$2:$BB$55,3,)))</f>
        <v>0</v>
      </c>
      <c r="AS562" s="10" t="b">
        <f>IF(AND(I562="TP",S562&lt;=500),VLOOKUP(AF562,TPCalibEq500!$AZ$2:$BB$56,3,),IF(AND(I562="TDP",S562&lt;=500),VLOOKUP(AF562,TPCalibEq500!$AZ$2:$BB$56,3,)))</f>
        <v>0</v>
      </c>
      <c r="AT562" s="10" t="b">
        <f>IF(AND(I562="TN",S562&lt;=2800),VLOOKUP(AF562,TNCalibEq2500!$AZ$2:$BB$56,3,),IF(AND(I562="TDN",S562&lt;=2800),VLOOKUP(AF562,TNCalibEq2500!$AZ$2:$BB$56,3,)))</f>
        <v>0</v>
      </c>
      <c r="AU562" s="10" t="b">
        <f>IF(I562="TP",VLOOKUP(AF562,TPCalibEqFull!$AZ$2:$BB$56,3),IF(I562="TDP",VLOOKUP(AF562,TPCalibEqFull!$AZ$2:$BB$56,3),IF(I562="TDN",VLOOKUP(AF562,TNCalibEqFull!$AZ$1:$BB$56,3),IF(I562="TN",VLOOKUP(AF562,TNCalibEqFull!$AZ$1:$BB$56,3),FALSE))))</f>
        <v>0</v>
      </c>
      <c r="AV562" s="10" t="str">
        <f t="shared" si="60"/>
        <v>0109 09:24:00-EFK-0-L-1-SW-UKN</v>
      </c>
    </row>
    <row r="563" spans="1:48" s="10" customFormat="1" x14ac:dyDescent="0.55000000000000004">
      <c r="A563" s="32">
        <v>44935</v>
      </c>
      <c r="B563" s="33">
        <v>0.30208333333333331</v>
      </c>
      <c r="C563" s="10" t="s">
        <v>333</v>
      </c>
      <c r="D563" s="10">
        <v>0</v>
      </c>
      <c r="E563" s="10" t="s">
        <v>190</v>
      </c>
      <c r="F563" s="10">
        <v>1</v>
      </c>
      <c r="G563" s="10" t="s">
        <v>231</v>
      </c>
      <c r="H563" s="10" t="s">
        <v>322</v>
      </c>
      <c r="I563" s="10" t="s">
        <v>256</v>
      </c>
      <c r="J563" s="10">
        <v>8</v>
      </c>
      <c r="K563" s="12">
        <v>44937</v>
      </c>
      <c r="L563" s="33">
        <v>0.49619212962962966</v>
      </c>
      <c r="M563" s="10">
        <v>1</v>
      </c>
      <c r="N563" s="10" t="s">
        <v>169</v>
      </c>
      <c r="O563" s="10">
        <v>7</v>
      </c>
      <c r="P563" s="10">
        <v>0.33200000000000002</v>
      </c>
      <c r="Q563" s="10">
        <v>923</v>
      </c>
      <c r="R563" s="10" t="s">
        <v>77</v>
      </c>
      <c r="S563" s="34">
        <f t="shared" si="56"/>
        <v>923</v>
      </c>
      <c r="T563" s="10" t="s">
        <v>1002</v>
      </c>
      <c r="U563" s="34" t="str">
        <f t="shared" si="57"/>
        <v/>
      </c>
      <c r="V563" s="31" t="str">
        <f>IF(H563="CHK",VLOOKUP(I563,QCCHK,3,),IF(H563="GUP",VLOOKUP(E563,QCGUP,2,),IF(AND(H563="ATP",OR(I563="TN",I563="TDN",I563="TNO2-3",I563="NO2-3")),VLOOKUP(E563,QCREC_N,2,),IF(AND(H563="NIC",OR(I563="TN",I563="TDN",I563="TNO2-3",I563="NO2-3")),VLOOKUP(E563,QCNIC_N,2,),IF(AND(H563="UREA",OR(I563="TN",I563="TDN",I563="TNO2-3",I563="NO2-3")),VLOOKUP(E563,QCUREA_N,2,),IF(H563="PER",VLOOKUP(I563,QCPER,MATCH(E563,QCACTUAL!$J$25:$AA$25,0),),IF(H563="SPK",VLOOKUP(I563,QCSPK,3,),IF(AND(H563="ATP",OR(I563="TP",I563="TDP")),VLOOKUP(E563,QCATP_P,2,),""))))))))</f>
        <v/>
      </c>
      <c r="W563" s="31" t="str">
        <f t="shared" si="58"/>
        <v>TRUE</v>
      </c>
      <c r="X563" s="31" t="str">
        <f t="shared" si="59"/>
        <v/>
      </c>
      <c r="Y563" s="10" t="s">
        <v>992</v>
      </c>
      <c r="Z563" s="10" t="s">
        <v>910</v>
      </c>
      <c r="AL563" s="10" t="str">
        <f t="shared" si="61"/>
        <v>FALSE</v>
      </c>
      <c r="AM563" s="10" t="str">
        <f t="shared" si="61"/>
        <v>FALSE</v>
      </c>
      <c r="AN563" s="10" t="str">
        <f t="shared" si="61"/>
        <v>FALSE</v>
      </c>
      <c r="AO563" s="10" t="str">
        <f t="shared" si="62"/>
        <v>FALSE</v>
      </c>
      <c r="AP563" s="10" t="str">
        <f t="shared" si="62"/>
        <v>FALSE</v>
      </c>
      <c r="AQ563" s="10" t="b">
        <f>IF(AND(I563="TP",S563&lt;=150),VLOOKUP(AF563,TPCalibEq150!$AZ$2:$BB$55,3,),IF(AND(I563="TDP",S563&lt;=150),VLOOKUP(AF563,TPCalibEq150!$AZ$2:$BB$55,3,)))</f>
        <v>0</v>
      </c>
      <c r="AR563" s="10" t="b">
        <f>IF(AND(I563="TP",S563&lt;=300),VLOOKUP(AF563,TPCalibEq300!$AZ$2:$BB$55,3,),IF(AND(I563="TDP",S563&lt;=300),VLOOKUP(AF563,TPCalibEq300!$AZ$2:$BB$55,3,)))</f>
        <v>0</v>
      </c>
      <c r="AS563" s="10" t="b">
        <f>IF(AND(I563="TP",S563&lt;=500),VLOOKUP(AF563,TPCalibEq500!$AZ$2:$BB$56,3,),IF(AND(I563="TDP",S563&lt;=500),VLOOKUP(AF563,TPCalibEq500!$AZ$2:$BB$56,3,)))</f>
        <v>0</v>
      </c>
      <c r="AT563" s="10" t="b">
        <f>IF(AND(I563="TN",S563&lt;=2800),VLOOKUP(AF563,TNCalibEq2500!$AZ$2:$BB$56,3,),IF(AND(I563="TDN",S563&lt;=2800),VLOOKUP(AF563,TNCalibEq2500!$AZ$2:$BB$56,3,)))</f>
        <v>0</v>
      </c>
      <c r="AU563" s="10" t="b">
        <f>IF(I563="TP",VLOOKUP(AF563,TPCalibEqFull!$AZ$2:$BB$56,3),IF(I563="TDP",VLOOKUP(AF563,TPCalibEqFull!$AZ$2:$BB$56,3),IF(I563="TDN",VLOOKUP(AF563,TNCalibEqFull!$AZ$1:$BB$56,3),IF(I563="TN",VLOOKUP(AF563,TNCalibEqFull!$AZ$1:$BB$56,3),FALSE))))</f>
        <v>0</v>
      </c>
      <c r="AV563" s="10" t="str">
        <f t="shared" si="60"/>
        <v>0109 07:15:00-HST-0-C-1-SW-UKN</v>
      </c>
    </row>
    <row r="564" spans="1:48" s="10" customFormat="1" x14ac:dyDescent="0.55000000000000004">
      <c r="A564" s="32">
        <v>44936</v>
      </c>
      <c r="B564" s="33">
        <v>0.39166666666666666</v>
      </c>
      <c r="C564" s="10" t="s">
        <v>279</v>
      </c>
      <c r="D564" s="10">
        <v>0</v>
      </c>
      <c r="E564" s="10" t="s">
        <v>160</v>
      </c>
      <c r="F564" s="10">
        <v>1</v>
      </c>
      <c r="G564" s="10" t="s">
        <v>231</v>
      </c>
      <c r="H564" s="10" t="s">
        <v>322</v>
      </c>
      <c r="I564" s="10" t="s">
        <v>256</v>
      </c>
      <c r="J564" s="10">
        <v>9</v>
      </c>
      <c r="K564" s="12">
        <v>44937</v>
      </c>
      <c r="L564" s="33">
        <v>0.49700231481481483</v>
      </c>
      <c r="M564" s="10">
        <v>1</v>
      </c>
      <c r="N564" s="10" t="s">
        <v>169</v>
      </c>
      <c r="O564" s="10">
        <v>6.17</v>
      </c>
      <c r="P564" s="10">
        <v>0.29399999999999998</v>
      </c>
      <c r="Q564" s="10">
        <v>813</v>
      </c>
      <c r="R564" s="10" t="s">
        <v>77</v>
      </c>
      <c r="S564" s="34">
        <f t="shared" si="56"/>
        <v>813</v>
      </c>
      <c r="T564" s="10" t="s">
        <v>1002</v>
      </c>
      <c r="U564" s="34" t="str">
        <f t="shared" si="57"/>
        <v/>
      </c>
      <c r="V564" s="31" t="str">
        <f>IF(H564="CHK",VLOOKUP(I564,QCCHK,3,),IF(H564="GUP",VLOOKUP(E564,QCGUP,2,),IF(AND(H564="ATP",OR(I564="TN",I564="TDN",I564="TNO2-3",I564="NO2-3")),VLOOKUP(E564,QCREC_N,2,),IF(AND(H564="NIC",OR(I564="TN",I564="TDN",I564="TNO2-3",I564="NO2-3")),VLOOKUP(E564,QCNIC_N,2,),IF(AND(H564="UREA",OR(I564="TN",I564="TDN",I564="TNO2-3",I564="NO2-3")),VLOOKUP(E564,QCUREA_N,2,),IF(H564="PER",VLOOKUP(I564,QCPER,MATCH(E564,QCACTUAL!$J$25:$AA$25,0),),IF(H564="SPK",VLOOKUP(I564,QCSPK,3,),IF(AND(H564="ATP",OR(I564="TP",I564="TDP")),VLOOKUP(E564,QCATP_P,2,),""))))))))</f>
        <v/>
      </c>
      <c r="W564" s="31" t="str">
        <f t="shared" si="58"/>
        <v>TRUE</v>
      </c>
      <c r="X564" s="31" t="str">
        <f t="shared" si="59"/>
        <v/>
      </c>
      <c r="Y564" s="10" t="s">
        <v>992</v>
      </c>
      <c r="AL564" s="10" t="str">
        <f t="shared" si="61"/>
        <v>FALSE</v>
      </c>
      <c r="AM564" s="10" t="str">
        <f t="shared" si="61"/>
        <v>FALSE</v>
      </c>
      <c r="AN564" s="10" t="str">
        <f t="shared" si="61"/>
        <v>FALSE</v>
      </c>
      <c r="AO564" s="10" t="str">
        <f t="shared" si="62"/>
        <v>FALSE</v>
      </c>
      <c r="AP564" s="10" t="str">
        <f t="shared" si="62"/>
        <v>FALSE</v>
      </c>
      <c r="AQ564" s="10" t="b">
        <f>IF(AND(I564="TP",S564&lt;=150),VLOOKUP(AF564,TPCalibEq150!$AZ$2:$BB$55,3,),IF(AND(I564="TDP",S564&lt;=150),VLOOKUP(AF564,TPCalibEq150!$AZ$2:$BB$55,3,)))</f>
        <v>0</v>
      </c>
      <c r="AR564" s="10" t="b">
        <f>IF(AND(I564="TP",S564&lt;=300),VLOOKUP(AF564,TPCalibEq300!$AZ$2:$BB$55,3,),IF(AND(I564="TDP",S564&lt;=300),VLOOKUP(AF564,TPCalibEq300!$AZ$2:$BB$55,3,)))</f>
        <v>0</v>
      </c>
      <c r="AS564" s="10" t="b">
        <f>IF(AND(I564="TP",S564&lt;=500),VLOOKUP(AF564,TPCalibEq500!$AZ$2:$BB$56,3,),IF(AND(I564="TDP",S564&lt;=500),VLOOKUP(AF564,TPCalibEq500!$AZ$2:$BB$56,3,)))</f>
        <v>0</v>
      </c>
      <c r="AT564" s="10" t="b">
        <f>IF(AND(I564="TN",S564&lt;=2800),VLOOKUP(AF564,TNCalibEq2500!$AZ$2:$BB$56,3,),IF(AND(I564="TDN",S564&lt;=2800),VLOOKUP(AF564,TNCalibEq2500!$AZ$2:$BB$56,3,)))</f>
        <v>0</v>
      </c>
      <c r="AU564" s="10" t="b">
        <f>IF(I564="TP",VLOOKUP(AF564,TPCalibEqFull!$AZ$2:$BB$56,3),IF(I564="TDP",VLOOKUP(AF564,TPCalibEqFull!$AZ$2:$BB$56,3),IF(I564="TDN",VLOOKUP(AF564,TNCalibEqFull!$AZ$1:$BB$56,3),IF(I564="TN",VLOOKUP(AF564,TNCalibEqFull!$AZ$1:$BB$56,3),FALSE))))</f>
        <v>0</v>
      </c>
      <c r="AV564" s="10" t="str">
        <f t="shared" si="60"/>
        <v>0110 09:24:00-EFK-0-L-1-SW-UKN</v>
      </c>
    </row>
    <row r="565" spans="1:48" s="10" customFormat="1" x14ac:dyDescent="0.55000000000000004">
      <c r="A565" s="32">
        <v>44936</v>
      </c>
      <c r="B565" s="33">
        <v>0.39583333333333331</v>
      </c>
      <c r="C565" s="10" t="s">
        <v>333</v>
      </c>
      <c r="D565" s="10">
        <v>0</v>
      </c>
      <c r="E565" s="10" t="s">
        <v>190</v>
      </c>
      <c r="F565" s="10">
        <v>1</v>
      </c>
      <c r="G565" s="10" t="s">
        <v>231</v>
      </c>
      <c r="H565" s="10" t="s">
        <v>322</v>
      </c>
      <c r="I565" s="10" t="s">
        <v>256</v>
      </c>
      <c r="J565" s="10">
        <v>10</v>
      </c>
      <c r="K565" s="12">
        <v>44937</v>
      </c>
      <c r="L565" s="33">
        <v>0.49781249999999999</v>
      </c>
      <c r="M565" s="10">
        <v>1</v>
      </c>
      <c r="N565" s="10" t="s">
        <v>169</v>
      </c>
      <c r="O565" s="10">
        <v>6.49</v>
      </c>
      <c r="P565" s="10">
        <v>0.307</v>
      </c>
      <c r="Q565" s="10">
        <v>856</v>
      </c>
      <c r="R565" s="10" t="s">
        <v>77</v>
      </c>
      <c r="S565" s="34">
        <f t="shared" si="56"/>
        <v>856</v>
      </c>
      <c r="T565" s="10" t="s">
        <v>1002</v>
      </c>
      <c r="U565" s="34" t="str">
        <f t="shared" si="57"/>
        <v/>
      </c>
      <c r="V565" s="31" t="str">
        <f>IF(H565="CHK",VLOOKUP(I565,QCCHK,3,),IF(H565="GUP",VLOOKUP(E565,QCGUP,2,),IF(AND(H565="ATP",OR(I565="TN",I565="TDN",I565="TNO2-3",I565="NO2-3")),VLOOKUP(E565,QCREC_N,2,),IF(AND(H565="NIC",OR(I565="TN",I565="TDN",I565="TNO2-3",I565="NO2-3")),VLOOKUP(E565,QCNIC_N,2,),IF(AND(H565="UREA",OR(I565="TN",I565="TDN",I565="TNO2-3",I565="NO2-3")),VLOOKUP(E565,QCUREA_N,2,),IF(H565="PER",VLOOKUP(I565,QCPER,MATCH(E565,QCACTUAL!$J$25:$AA$25,0),),IF(H565="SPK",VLOOKUP(I565,QCSPK,3,),IF(AND(H565="ATP",OR(I565="TP",I565="TDP")),VLOOKUP(E565,QCATP_P,2,),""))))))))</f>
        <v/>
      </c>
      <c r="W565" s="31" t="str">
        <f t="shared" si="58"/>
        <v>TRUE</v>
      </c>
      <c r="X565" s="31" t="str">
        <f t="shared" si="59"/>
        <v/>
      </c>
      <c r="Y565" s="10" t="s">
        <v>992</v>
      </c>
      <c r="AL565" s="10" t="str">
        <f t="shared" si="61"/>
        <v>FALSE</v>
      </c>
      <c r="AM565" s="10" t="str">
        <f t="shared" si="61"/>
        <v>FALSE</v>
      </c>
      <c r="AN565" s="10" t="str">
        <f t="shared" si="61"/>
        <v>FALSE</v>
      </c>
      <c r="AO565" s="10" t="str">
        <f t="shared" si="62"/>
        <v>FALSE</v>
      </c>
      <c r="AP565" s="10" t="str">
        <f t="shared" si="62"/>
        <v>FALSE</v>
      </c>
      <c r="AQ565" s="10" t="b">
        <f>IF(AND(I565="TP",S565&lt;=150),VLOOKUP(AF565,TPCalibEq150!$AZ$2:$BB$55,3,),IF(AND(I565="TDP",S565&lt;=150),VLOOKUP(AF565,TPCalibEq150!$AZ$2:$BB$55,3,)))</f>
        <v>0</v>
      </c>
      <c r="AR565" s="10" t="b">
        <f>IF(AND(I565="TP",S565&lt;=300),VLOOKUP(AF565,TPCalibEq300!$AZ$2:$BB$55,3,),IF(AND(I565="TDP",S565&lt;=300),VLOOKUP(AF565,TPCalibEq300!$AZ$2:$BB$55,3,)))</f>
        <v>0</v>
      </c>
      <c r="AS565" s="10" t="b">
        <f>IF(AND(I565="TP",S565&lt;=500),VLOOKUP(AF565,TPCalibEq500!$AZ$2:$BB$56,3,),IF(AND(I565="TDP",S565&lt;=500),VLOOKUP(AF565,TPCalibEq500!$AZ$2:$BB$56,3,)))</f>
        <v>0</v>
      </c>
      <c r="AT565" s="10" t="b">
        <f>IF(AND(I565="TN",S565&lt;=2800),VLOOKUP(AF565,TNCalibEq2500!$AZ$2:$BB$56,3,),IF(AND(I565="TDN",S565&lt;=2800),VLOOKUP(AF565,TNCalibEq2500!$AZ$2:$BB$56,3,)))</f>
        <v>0</v>
      </c>
      <c r="AU565" s="10" t="b">
        <f>IF(I565="TP",VLOOKUP(AF565,TPCalibEqFull!$AZ$2:$BB$56,3),IF(I565="TDP",VLOOKUP(AF565,TPCalibEqFull!$AZ$2:$BB$56,3),IF(I565="TDN",VLOOKUP(AF565,TNCalibEqFull!$AZ$1:$BB$56,3),IF(I565="TN",VLOOKUP(AF565,TNCalibEqFull!$AZ$1:$BB$56,3),FALSE))))</f>
        <v>0</v>
      </c>
      <c r="AV565" s="10" t="str">
        <f t="shared" si="60"/>
        <v>0110 09:30:00-HST-0-C-1-SW-UKN</v>
      </c>
    </row>
    <row r="566" spans="1:48" s="10" customFormat="1" x14ac:dyDescent="0.55000000000000004">
      <c r="A566" s="32">
        <v>44936</v>
      </c>
      <c r="B566" s="33">
        <v>0.39583333333333331</v>
      </c>
      <c r="C566" s="10" t="s">
        <v>333</v>
      </c>
      <c r="D566" s="10">
        <v>0</v>
      </c>
      <c r="E566" s="10" t="s">
        <v>190</v>
      </c>
      <c r="F566" s="10">
        <v>1</v>
      </c>
      <c r="G566" s="10" t="s">
        <v>231</v>
      </c>
      <c r="H566" s="10" t="s">
        <v>233</v>
      </c>
      <c r="I566" s="10" t="s">
        <v>256</v>
      </c>
      <c r="J566" s="10">
        <v>10</v>
      </c>
      <c r="K566" s="12">
        <v>44937</v>
      </c>
      <c r="L566" s="33">
        <v>0.49863425925925925</v>
      </c>
      <c r="M566" s="10">
        <v>1</v>
      </c>
      <c r="N566" s="10" t="s">
        <v>169</v>
      </c>
      <c r="O566" s="10">
        <v>6.45</v>
      </c>
      <c r="P566" s="10">
        <v>0.30599999999999999</v>
      </c>
      <c r="Q566" s="10">
        <v>851</v>
      </c>
      <c r="R566" s="10" t="s">
        <v>77</v>
      </c>
      <c r="S566" s="34">
        <f t="shared" si="56"/>
        <v>851</v>
      </c>
      <c r="T566" s="10" t="s">
        <v>1002</v>
      </c>
      <c r="U566" s="34">
        <f t="shared" si="57"/>
        <v>0.58582308142940831</v>
      </c>
      <c r="V566" s="31" t="str">
        <f>IF(H566="CHK",VLOOKUP(I566,QCCHK,3,),IF(H566="GUP",VLOOKUP(E566,QCGUP,2,),IF(AND(H566="ATP",OR(I566="TN",I566="TDN",I566="TNO2-3",I566="NO2-3")),VLOOKUP(E566,QCREC_N,2,),IF(AND(H566="NIC",OR(I566="TN",I566="TDN",I566="TNO2-3",I566="NO2-3")),VLOOKUP(E566,QCNIC_N,2,),IF(AND(H566="UREA",OR(I566="TN",I566="TDN",I566="TNO2-3",I566="NO2-3")),VLOOKUP(E566,QCUREA_N,2,),IF(H566="PER",VLOOKUP(I566,QCPER,MATCH(E566,QCACTUAL!$J$25:$AA$25,0),),IF(H566="SPK",VLOOKUP(I566,QCSPK,3,),IF(AND(H566="ATP",OR(I566="TP",I566="TDP")),VLOOKUP(E566,QCATP_P,2,),""))))))))</f>
        <v/>
      </c>
      <c r="W566" s="31" t="str">
        <f t="shared" si="58"/>
        <v>TRUE</v>
      </c>
      <c r="X566" s="31" t="str">
        <f t="shared" si="59"/>
        <v>((ABS(rep1-rep2))/((rep1+rep2)/2)*100</v>
      </c>
      <c r="Y566" s="10" t="s">
        <v>992</v>
      </c>
      <c r="AL566" s="10" t="str">
        <f t="shared" si="61"/>
        <v>FALSE</v>
      </c>
      <c r="AM566" s="10" t="str">
        <f t="shared" si="61"/>
        <v>FALSE</v>
      </c>
      <c r="AN566" s="10" t="str">
        <f t="shared" si="61"/>
        <v>FALSE</v>
      </c>
      <c r="AO566" s="10" t="str">
        <f t="shared" si="62"/>
        <v>FALSE</v>
      </c>
      <c r="AP566" s="10" t="str">
        <f t="shared" si="62"/>
        <v>FALSE</v>
      </c>
      <c r="AQ566" s="10" t="b">
        <f>IF(AND(I566="TP",S566&lt;=150),VLOOKUP(AF566,TPCalibEq150!$AZ$2:$BB$55,3,),IF(AND(I566="TDP",S566&lt;=150),VLOOKUP(AF566,TPCalibEq150!$AZ$2:$BB$55,3,)))</f>
        <v>0</v>
      </c>
      <c r="AR566" s="10" t="b">
        <f>IF(AND(I566="TP",S566&lt;=300),VLOOKUP(AF566,TPCalibEq300!$AZ$2:$BB$55,3,),IF(AND(I566="TDP",S566&lt;=300),VLOOKUP(AF566,TPCalibEq300!$AZ$2:$BB$55,3,)))</f>
        <v>0</v>
      </c>
      <c r="AS566" s="10" t="b">
        <f>IF(AND(I566="TP",S566&lt;=500),VLOOKUP(AF566,TPCalibEq500!$AZ$2:$BB$56,3,),IF(AND(I566="TDP",S566&lt;=500),VLOOKUP(AF566,TPCalibEq500!$AZ$2:$BB$56,3,)))</f>
        <v>0</v>
      </c>
      <c r="AT566" s="10" t="b">
        <f>IF(AND(I566="TN",S566&lt;=2800),VLOOKUP(AF566,TNCalibEq2500!$AZ$2:$BB$56,3,),IF(AND(I566="TDN",S566&lt;=2800),VLOOKUP(AF566,TNCalibEq2500!$AZ$2:$BB$56,3,)))</f>
        <v>0</v>
      </c>
      <c r="AU566" s="10" t="b">
        <f>IF(I566="TP",VLOOKUP(AF566,TPCalibEqFull!$AZ$2:$BB$56,3),IF(I566="TDP",VLOOKUP(AF566,TPCalibEqFull!$AZ$2:$BB$56,3),IF(I566="TDN",VLOOKUP(AF566,TNCalibEqFull!$AZ$1:$BB$56,3),IF(I566="TN",VLOOKUP(AF566,TNCalibEqFull!$AZ$1:$BB$56,3),FALSE))))</f>
        <v>0</v>
      </c>
      <c r="AV566" s="10" t="str">
        <f t="shared" si="60"/>
        <v>0110 09:30:00-HST-0-C-1-SW-DUP</v>
      </c>
    </row>
    <row r="567" spans="1:48" s="10" customFormat="1" x14ac:dyDescent="0.55000000000000004">
      <c r="A567" s="32">
        <v>44936</v>
      </c>
      <c r="B567" s="33">
        <v>0.39583333333333331</v>
      </c>
      <c r="C567" s="10" t="s">
        <v>912</v>
      </c>
      <c r="D567" s="10">
        <v>0</v>
      </c>
      <c r="E567" s="10" t="s">
        <v>190</v>
      </c>
      <c r="F567" s="10">
        <v>1</v>
      </c>
      <c r="G567" s="10" t="s">
        <v>231</v>
      </c>
      <c r="H567" s="10" t="s">
        <v>314</v>
      </c>
      <c r="I567" s="10" t="s">
        <v>256</v>
      </c>
      <c r="J567" s="10">
        <v>29</v>
      </c>
      <c r="K567" s="12">
        <v>44937</v>
      </c>
      <c r="L567" s="33">
        <v>0.49943287037037037</v>
      </c>
      <c r="M567" s="10">
        <v>1</v>
      </c>
      <c r="N567" s="10" t="s">
        <v>169</v>
      </c>
      <c r="O567" s="10">
        <v>11.5</v>
      </c>
      <c r="P567" s="10">
        <v>0.54500000000000004</v>
      </c>
      <c r="Q567" s="10">
        <v>1510</v>
      </c>
      <c r="R567" s="10" t="s">
        <v>77</v>
      </c>
      <c r="S567" s="34">
        <f t="shared" si="56"/>
        <v>1510</v>
      </c>
      <c r="T567" s="10" t="s">
        <v>1002</v>
      </c>
      <c r="U567" s="34">
        <f t="shared" si="57"/>
        <v>105.44</v>
      </c>
      <c r="V567" s="31">
        <f>IF(H567="CHK",VLOOKUP(I567,QCCHK,3,),IF(H567="GUP",VLOOKUP(E567,QCGUP,2,),IF(AND(H567="ATP",OR(I567="TN",I567="TDN",I567="TNO2-3",I567="NO2-3")),VLOOKUP(E567,QCREC_N,2,),IF(AND(H567="NIC",OR(I567="TN",I567="TDN",I567="TNO2-3",I567="NO2-3")),VLOOKUP(E567,QCNIC_N,2,),IF(AND(H567="UREA",OR(I567="TN",I567="TDN",I567="TNO2-3",I567="NO2-3")),VLOOKUP(E567,QCUREA_N,2,),IF(H567="PER",VLOOKUP(I567,QCPER,MATCH(E567,QCACTUAL!$J$25:$AA$25,0),),IF(H567="SPK",VLOOKUP(I567,QCSPK,3,),IF(AND(H567="ATP",OR(I567="TP",I567="TDP")),VLOOKUP(E567,QCATP_P,2,),""))))))))</f>
        <v>625</v>
      </c>
      <c r="W567" s="31" t="str">
        <f t="shared" si="58"/>
        <v>TRUE</v>
      </c>
      <c r="X567" s="31" t="str">
        <f t="shared" si="59"/>
        <v>([spikedunkn]-[unkn])/[spike]*100</v>
      </c>
      <c r="Y567" s="10" t="s">
        <v>992</v>
      </c>
      <c r="AL567" s="10" t="str">
        <f t="shared" si="61"/>
        <v>FALSE</v>
      </c>
      <c r="AM567" s="10" t="str">
        <f t="shared" si="61"/>
        <v>FALSE</v>
      </c>
      <c r="AN567" s="10" t="str">
        <f t="shared" si="61"/>
        <v>FALSE</v>
      </c>
      <c r="AO567" s="10" t="str">
        <f t="shared" si="62"/>
        <v>FALSE</v>
      </c>
      <c r="AP567" s="10" t="str">
        <f t="shared" si="62"/>
        <v>FALSE</v>
      </c>
      <c r="AQ567" s="10" t="b">
        <f>IF(AND(I567="TP",S567&lt;=150),VLOOKUP(AF567,TPCalibEq150!$AZ$2:$BB$55,3,),IF(AND(I567="TDP",S567&lt;=150),VLOOKUP(AF567,TPCalibEq150!$AZ$2:$BB$55,3,)))</f>
        <v>0</v>
      </c>
      <c r="AR567" s="10" t="b">
        <f>IF(AND(I567="TP",S567&lt;=300),VLOOKUP(AF567,TPCalibEq300!$AZ$2:$BB$55,3,),IF(AND(I567="TDP",S567&lt;=300),VLOOKUP(AF567,TPCalibEq300!$AZ$2:$BB$55,3,)))</f>
        <v>0</v>
      </c>
      <c r="AS567" s="10" t="b">
        <f>IF(AND(I567="TP",S567&lt;=500),VLOOKUP(AF567,TPCalibEq500!$AZ$2:$BB$56,3,),IF(AND(I567="TDP",S567&lt;=500),VLOOKUP(AF567,TPCalibEq500!$AZ$2:$BB$56,3,)))</f>
        <v>0</v>
      </c>
      <c r="AT567" s="10" t="b">
        <f>IF(AND(I567="TN",S567&lt;=2800),VLOOKUP(AF567,TNCalibEq2500!$AZ$2:$BB$56,3,),IF(AND(I567="TDN",S567&lt;=2800),VLOOKUP(AF567,TNCalibEq2500!$AZ$2:$BB$56,3,)))</f>
        <v>0</v>
      </c>
      <c r="AU567" s="10" t="b">
        <f>IF(I567="TP",VLOOKUP(AF567,TPCalibEqFull!$AZ$2:$BB$56,3),IF(I567="TDP",VLOOKUP(AF567,TPCalibEqFull!$AZ$2:$BB$56,3),IF(I567="TDN",VLOOKUP(AF567,TNCalibEqFull!$AZ$1:$BB$56,3),IF(I567="TN",VLOOKUP(AF567,TNCalibEqFull!$AZ$1:$BB$56,3),FALSE))))</f>
        <v>0</v>
      </c>
      <c r="AV567" s="10" t="str">
        <f t="shared" si="60"/>
        <v>0110 09:30:00-HST -0-C-1-SW-SPK</v>
      </c>
    </row>
    <row r="568" spans="1:48" s="10" customFormat="1" x14ac:dyDescent="0.55000000000000004">
      <c r="A568" s="32">
        <v>44937</v>
      </c>
      <c r="B568" s="33">
        <v>0.375</v>
      </c>
      <c r="C568" s="10" t="s">
        <v>70</v>
      </c>
      <c r="D568" s="10" t="s">
        <v>71</v>
      </c>
      <c r="E568" s="10" t="s">
        <v>901</v>
      </c>
      <c r="F568" s="10">
        <v>1</v>
      </c>
      <c r="G568" s="10" t="s">
        <v>73</v>
      </c>
      <c r="H568" s="10" t="s">
        <v>207</v>
      </c>
      <c r="I568" s="10" t="s">
        <v>256</v>
      </c>
      <c r="J568" s="10">
        <v>199</v>
      </c>
      <c r="K568" s="12">
        <v>44937</v>
      </c>
      <c r="L568" s="33">
        <v>0.50025462962962963</v>
      </c>
      <c r="M568" s="10">
        <v>1</v>
      </c>
      <c r="N568" s="10" t="s">
        <v>169</v>
      </c>
      <c r="O568" s="10">
        <v>2.2999999999999998</v>
      </c>
      <c r="P568" s="10">
        <v>0.113</v>
      </c>
      <c r="Q568" s="10">
        <v>304</v>
      </c>
      <c r="R568" s="10" t="s">
        <v>77</v>
      </c>
      <c r="S568" s="34">
        <f t="shared" si="56"/>
        <v>304</v>
      </c>
      <c r="T568" s="10" t="s">
        <v>1002</v>
      </c>
      <c r="U568" s="34">
        <f t="shared" si="57"/>
        <v>101.33333333333334</v>
      </c>
      <c r="V568" s="31">
        <f>IF(H568="CHK",VLOOKUP(I568,QCCHK,3,),IF(H568="GUP",VLOOKUP(E568,QCGUP,2,),IF(AND(H568="ATP",OR(I568="TN",I568="TDN",I568="TNO2-3",I568="NO2-3")),VLOOKUP(E568,QCREC_N,2,),IF(AND(H568="NIC",OR(I568="TN",I568="TDN",I568="TNO2-3",I568="NO2-3")),VLOOKUP(E568,QCNIC_N,2,),IF(AND(H568="UREA",OR(I568="TN",I568="TDN",I568="TNO2-3",I568="NO2-3")),VLOOKUP(E568,QCUREA_N,2,),IF(H568="PER",VLOOKUP(I568,QCPER,MATCH(E568,QCACTUAL!$J$25:$AA$25,0),),IF(H568="SPK",VLOOKUP(I568,QCSPK,3,),IF(AND(H568="ATP",OR(I568="TP",I568="TDP")),VLOOKUP(E568,QCATP_P,2,),""))))))))</f>
        <v>300</v>
      </c>
      <c r="W568" s="31" t="str">
        <f t="shared" si="58"/>
        <v>TRUE</v>
      </c>
      <c r="X568" s="31" t="str">
        <f t="shared" si="59"/>
        <v>[chk]/[actual]*100</v>
      </c>
      <c r="Y568" s="10" t="s">
        <v>992</v>
      </c>
      <c r="AL568" s="10" t="str">
        <f t="shared" si="61"/>
        <v>FALSE</v>
      </c>
      <c r="AM568" s="10" t="str">
        <f t="shared" si="61"/>
        <v>FALSE</v>
      </c>
      <c r="AN568" s="10" t="str">
        <f t="shared" si="61"/>
        <v>FALSE</v>
      </c>
      <c r="AO568" s="10" t="str">
        <f t="shared" si="62"/>
        <v>FALSE</v>
      </c>
      <c r="AP568" s="10" t="str">
        <f t="shared" si="62"/>
        <v>FALSE</v>
      </c>
      <c r="AQ568" s="10" t="b">
        <f>IF(AND(I568="TP",S568&lt;=150),VLOOKUP(AF568,TPCalibEq150!$AZ$2:$BB$55,3,),IF(AND(I568="TDP",S568&lt;=150),VLOOKUP(AF568,TPCalibEq150!$AZ$2:$BB$55,3,)))</f>
        <v>0</v>
      </c>
      <c r="AR568" s="10" t="b">
        <f>IF(AND(I568="TP",S568&lt;=300),VLOOKUP(AF568,TPCalibEq300!$AZ$2:$BB$55,3,),IF(AND(I568="TDP",S568&lt;=300),VLOOKUP(AF568,TPCalibEq300!$AZ$2:$BB$55,3,)))</f>
        <v>0</v>
      </c>
      <c r="AS568" s="10" t="b">
        <f>IF(AND(I568="TP",S568&lt;=500),VLOOKUP(AF568,TPCalibEq500!$AZ$2:$BB$56,3,),IF(AND(I568="TDP",S568&lt;=500),VLOOKUP(AF568,TPCalibEq500!$AZ$2:$BB$56,3,)))</f>
        <v>0</v>
      </c>
      <c r="AT568" s="10" t="b">
        <f>IF(AND(I568="TN",S568&lt;=2800),VLOOKUP(AF568,TNCalibEq2500!$AZ$2:$BB$56,3,),IF(AND(I568="TDN",S568&lt;=2800),VLOOKUP(AF568,TNCalibEq2500!$AZ$2:$BB$56,3,)))</f>
        <v>0</v>
      </c>
      <c r="AU568" s="10" t="b">
        <f>IF(I568="TP",VLOOKUP(AF568,TPCalibEqFull!$AZ$2:$BB$56,3),IF(I568="TDP",VLOOKUP(AF568,TPCalibEqFull!$AZ$2:$BB$56,3),IF(I568="TDN",VLOOKUP(AF568,TNCalibEqFull!$AZ$1:$BB$56,3),IF(I568="TN",VLOOKUP(AF568,TNCalibEqFull!$AZ$1:$BB$56,3),FALSE))))</f>
        <v>0</v>
      </c>
      <c r="AV568" s="10" t="str">
        <f t="shared" si="60"/>
        <v>0111 09:00:00-QAC-STD-D-1-DI-CHK</v>
      </c>
    </row>
    <row r="569" spans="1:48" s="10" customFormat="1" x14ac:dyDescent="0.55000000000000004">
      <c r="A569" s="32">
        <v>44935</v>
      </c>
      <c r="B569" s="33">
        <v>0.35972222222222222</v>
      </c>
      <c r="C569" s="10" t="s">
        <v>998</v>
      </c>
      <c r="D569" s="10">
        <v>0</v>
      </c>
      <c r="E569" s="10" t="s">
        <v>190</v>
      </c>
      <c r="F569" s="10">
        <v>1</v>
      </c>
      <c r="G569" s="10" t="s">
        <v>231</v>
      </c>
      <c r="H569" s="10" t="s">
        <v>322</v>
      </c>
      <c r="I569" s="10" t="s">
        <v>256</v>
      </c>
      <c r="J569" s="10">
        <v>11</v>
      </c>
      <c r="K569" s="12">
        <v>44937</v>
      </c>
      <c r="L569" s="33">
        <v>0.5010648148148148</v>
      </c>
      <c r="M569" s="10">
        <v>1</v>
      </c>
      <c r="N569" s="10" t="s">
        <v>169</v>
      </c>
      <c r="O569" s="10">
        <v>5.8</v>
      </c>
      <c r="P569" s="10">
        <v>0.27600000000000002</v>
      </c>
      <c r="Q569" s="10">
        <v>766</v>
      </c>
      <c r="R569" s="10" t="s">
        <v>77</v>
      </c>
      <c r="S569" s="34">
        <f t="shared" si="56"/>
        <v>766</v>
      </c>
      <c r="T569" s="10" t="s">
        <v>1002</v>
      </c>
      <c r="U569" s="34" t="str">
        <f t="shared" si="57"/>
        <v/>
      </c>
      <c r="V569" s="31" t="str">
        <f>IF(H569="CHK",VLOOKUP(I569,QCCHK,3,),IF(H569="GUP",VLOOKUP(E569,QCGUP,2,),IF(AND(H569="ATP",OR(I569="TN",I569="TDN",I569="TNO2-3",I569="NO2-3")),VLOOKUP(E569,QCREC_N,2,),IF(AND(H569="NIC",OR(I569="TN",I569="TDN",I569="TNO2-3",I569="NO2-3")),VLOOKUP(E569,QCNIC_N,2,),IF(AND(H569="UREA",OR(I569="TN",I569="TDN",I569="TNO2-3",I569="NO2-3")),VLOOKUP(E569,QCUREA_N,2,),IF(H569="PER",VLOOKUP(I569,QCPER,MATCH(E569,QCACTUAL!$J$25:$AA$25,0),),IF(H569="SPK",VLOOKUP(I569,QCSPK,3,),IF(AND(H569="ATP",OR(I569="TP",I569="TDP")),VLOOKUP(E569,QCATP_P,2,),""))))))))</f>
        <v/>
      </c>
      <c r="W569" s="31" t="str">
        <f t="shared" si="58"/>
        <v>TRUE</v>
      </c>
      <c r="X569" s="31" t="str">
        <f t="shared" si="59"/>
        <v/>
      </c>
      <c r="Y569" s="10" t="s">
        <v>992</v>
      </c>
      <c r="Z569" s="10" t="s">
        <v>910</v>
      </c>
      <c r="AL569" s="10" t="str">
        <f t="shared" si="61"/>
        <v>FALSE</v>
      </c>
      <c r="AM569" s="10" t="str">
        <f t="shared" si="61"/>
        <v>FALSE</v>
      </c>
      <c r="AN569" s="10" t="str">
        <f t="shared" si="61"/>
        <v>FALSE</v>
      </c>
      <c r="AO569" s="10" t="str">
        <f t="shared" si="62"/>
        <v>FALSE</v>
      </c>
      <c r="AP569" s="10" t="str">
        <f t="shared" si="62"/>
        <v>FALSE</v>
      </c>
      <c r="AQ569" s="10" t="b">
        <f>IF(AND(I569="TP",S569&lt;=150),VLOOKUP(AF569,TPCalibEq150!$AZ$2:$BB$55,3,),IF(AND(I569="TDP",S569&lt;=150),VLOOKUP(AF569,TPCalibEq150!$AZ$2:$BB$55,3,)))</f>
        <v>0</v>
      </c>
      <c r="AR569" s="10" t="b">
        <f>IF(AND(I569="TP",S569&lt;=300),VLOOKUP(AF569,TPCalibEq300!$AZ$2:$BB$55,3,),IF(AND(I569="TDP",S569&lt;=300),VLOOKUP(AF569,TPCalibEq300!$AZ$2:$BB$55,3,)))</f>
        <v>0</v>
      </c>
      <c r="AS569" s="10" t="b">
        <f>IF(AND(I569="TP",S569&lt;=500),VLOOKUP(AF569,TPCalibEq500!$AZ$2:$BB$56,3,),IF(AND(I569="TDP",S569&lt;=500),VLOOKUP(AF569,TPCalibEq500!$AZ$2:$BB$56,3,)))</f>
        <v>0</v>
      </c>
      <c r="AT569" s="10" t="b">
        <f>IF(AND(I569="TN",S569&lt;=2800),VLOOKUP(AF569,TNCalibEq2500!$AZ$2:$BB$56,3,),IF(AND(I569="TDN",S569&lt;=2800),VLOOKUP(AF569,TNCalibEq2500!$AZ$2:$BB$56,3,)))</f>
        <v>0</v>
      </c>
      <c r="AU569" s="10" t="b">
        <f>IF(I569="TP",VLOOKUP(AF569,TPCalibEqFull!$AZ$2:$BB$56,3),IF(I569="TDP",VLOOKUP(AF569,TPCalibEqFull!$AZ$2:$BB$56,3),IF(I569="TDN",VLOOKUP(AF569,TNCalibEqFull!$AZ$1:$BB$56,3),IF(I569="TN",VLOOKUP(AF569,TNCalibEqFull!$AZ$1:$BB$56,3),FALSE))))</f>
        <v>0</v>
      </c>
      <c r="AV569" s="10" t="str">
        <f t="shared" si="60"/>
        <v>0109 08:38:00-ELW-0-C-1-SW-UKN</v>
      </c>
    </row>
    <row r="570" spans="1:48" s="10" customFormat="1" x14ac:dyDescent="0.55000000000000004">
      <c r="A570" s="32">
        <v>44935</v>
      </c>
      <c r="B570" s="33">
        <v>0.44722222222222219</v>
      </c>
      <c r="C570" s="10" t="s">
        <v>310</v>
      </c>
      <c r="D570" s="10">
        <v>0</v>
      </c>
      <c r="E570" s="10" t="s">
        <v>190</v>
      </c>
      <c r="F570" s="10">
        <v>1</v>
      </c>
      <c r="G570" s="10" t="s">
        <v>231</v>
      </c>
      <c r="H570" s="10" t="s">
        <v>322</v>
      </c>
      <c r="I570" s="10" t="s">
        <v>256</v>
      </c>
      <c r="J570" s="10">
        <v>12</v>
      </c>
      <c r="K570" s="12">
        <v>44937</v>
      </c>
      <c r="L570" s="33">
        <v>0.50188657407407411</v>
      </c>
      <c r="M570" s="10">
        <v>1</v>
      </c>
      <c r="N570" s="10" t="s">
        <v>169</v>
      </c>
      <c r="O570" s="10">
        <v>8.1300000000000008</v>
      </c>
      <c r="P570" s="10">
        <v>0.38700000000000001</v>
      </c>
      <c r="Q570" s="10">
        <v>1070</v>
      </c>
      <c r="R570" s="10" t="s">
        <v>77</v>
      </c>
      <c r="S570" s="34">
        <f t="shared" si="56"/>
        <v>1070</v>
      </c>
      <c r="T570" s="10" t="s">
        <v>1002</v>
      </c>
      <c r="U570" s="34" t="str">
        <f t="shared" si="57"/>
        <v/>
      </c>
      <c r="V570" s="31" t="str">
        <f>IF(H570="CHK",VLOOKUP(I570,QCCHK,3,),IF(H570="GUP",VLOOKUP(E570,QCGUP,2,),IF(AND(H570="ATP",OR(I570="TN",I570="TDN",I570="TNO2-3",I570="NO2-3")),VLOOKUP(E570,QCREC_N,2,),IF(AND(H570="NIC",OR(I570="TN",I570="TDN",I570="TNO2-3",I570="NO2-3")),VLOOKUP(E570,QCNIC_N,2,),IF(AND(H570="UREA",OR(I570="TN",I570="TDN",I570="TNO2-3",I570="NO2-3")),VLOOKUP(E570,QCUREA_N,2,),IF(H570="PER",VLOOKUP(I570,QCPER,MATCH(E570,QCACTUAL!$J$25:$AA$25,0),),IF(H570="SPK",VLOOKUP(I570,QCSPK,3,),IF(AND(H570="ATP",OR(I570="TP",I570="TDP")),VLOOKUP(E570,QCATP_P,2,),""))))))))</f>
        <v/>
      </c>
      <c r="W570" s="31" t="str">
        <f t="shared" si="58"/>
        <v>TRUE</v>
      </c>
      <c r="X570" s="31" t="str">
        <f t="shared" si="59"/>
        <v/>
      </c>
      <c r="Y570" s="10" t="s">
        <v>992</v>
      </c>
      <c r="Z570" s="10" t="s">
        <v>910</v>
      </c>
      <c r="AL570" s="10" t="str">
        <f t="shared" si="61"/>
        <v>FALSE</v>
      </c>
      <c r="AM570" s="10" t="str">
        <f t="shared" si="61"/>
        <v>FALSE</v>
      </c>
      <c r="AN570" s="10" t="str">
        <f t="shared" si="61"/>
        <v>FALSE</v>
      </c>
      <c r="AO570" s="10" t="str">
        <f t="shared" si="62"/>
        <v>FALSE</v>
      </c>
      <c r="AP570" s="10" t="str">
        <f t="shared" si="62"/>
        <v>FALSE</v>
      </c>
      <c r="AQ570" s="10" t="b">
        <f>IF(AND(I570="TP",S570&lt;=150),VLOOKUP(AF570,TPCalibEq150!$AZ$2:$BB$55,3,),IF(AND(I570="TDP",S570&lt;=150),VLOOKUP(AF570,TPCalibEq150!$AZ$2:$BB$55,3,)))</f>
        <v>0</v>
      </c>
      <c r="AR570" s="10" t="b">
        <f>IF(AND(I570="TP",S570&lt;=300),VLOOKUP(AF570,TPCalibEq300!$AZ$2:$BB$55,3,),IF(AND(I570="TDP",S570&lt;=300),VLOOKUP(AF570,TPCalibEq300!$AZ$2:$BB$55,3,)))</f>
        <v>0</v>
      </c>
      <c r="AS570" s="10" t="b">
        <f>IF(AND(I570="TP",S570&lt;=500),VLOOKUP(AF570,TPCalibEq500!$AZ$2:$BB$56,3,),IF(AND(I570="TDP",S570&lt;=500),VLOOKUP(AF570,TPCalibEq500!$AZ$2:$BB$56,3,)))</f>
        <v>0</v>
      </c>
      <c r="AT570" s="10" t="b">
        <f>IF(AND(I570="TN",S570&lt;=2800),VLOOKUP(AF570,TNCalibEq2500!$AZ$2:$BB$56,3,),IF(AND(I570="TDN",S570&lt;=2800),VLOOKUP(AF570,TNCalibEq2500!$AZ$2:$BB$56,3,)))</f>
        <v>0</v>
      </c>
      <c r="AU570" s="10" t="b">
        <f>IF(I570="TP",VLOOKUP(AF570,TPCalibEqFull!$AZ$2:$BB$56,3),IF(I570="TDP",VLOOKUP(AF570,TPCalibEqFull!$AZ$2:$BB$56,3),IF(I570="TDN",VLOOKUP(AF570,TNCalibEqFull!$AZ$1:$BB$56,3),IF(I570="TN",VLOOKUP(AF570,TNCalibEqFull!$AZ$1:$BB$56,3),FALSE))))</f>
        <v>0</v>
      </c>
      <c r="AV570" s="10" t="str">
        <f t="shared" si="60"/>
        <v>0109 10:44:00-ELI-0-C-1-SW-UKN</v>
      </c>
    </row>
    <row r="571" spans="1:48" s="10" customFormat="1" x14ac:dyDescent="0.55000000000000004">
      <c r="A571" s="32">
        <v>44935</v>
      </c>
      <c r="B571" s="33">
        <v>0.4145833333333333</v>
      </c>
      <c r="C571" s="10" t="s">
        <v>999</v>
      </c>
      <c r="D571" s="10">
        <v>0</v>
      </c>
      <c r="E571" s="10" t="s">
        <v>190</v>
      </c>
      <c r="F571" s="10">
        <v>1</v>
      </c>
      <c r="G571" s="10" t="s">
        <v>231</v>
      </c>
      <c r="H571" s="10" t="s">
        <v>322</v>
      </c>
      <c r="I571" s="10" t="s">
        <v>256</v>
      </c>
      <c r="J571" s="10">
        <v>13</v>
      </c>
      <c r="K571" s="12">
        <v>44937</v>
      </c>
      <c r="L571" s="33">
        <v>0.50269675925925927</v>
      </c>
      <c r="M571" s="10">
        <v>1</v>
      </c>
      <c r="N571" s="10" t="s">
        <v>169</v>
      </c>
      <c r="O571" s="10">
        <v>8.39</v>
      </c>
      <c r="P571" s="10">
        <v>0.39900000000000002</v>
      </c>
      <c r="Q571" s="10">
        <v>1110</v>
      </c>
      <c r="R571" s="10" t="s">
        <v>77</v>
      </c>
      <c r="S571" s="34">
        <f t="shared" si="56"/>
        <v>1110</v>
      </c>
      <c r="T571" s="10" t="s">
        <v>1002</v>
      </c>
      <c r="U571" s="34" t="str">
        <f t="shared" si="57"/>
        <v/>
      </c>
      <c r="V571" s="31" t="str">
        <f>IF(H571="CHK",VLOOKUP(I571,QCCHK,3,),IF(H571="GUP",VLOOKUP(E571,QCGUP,2,),IF(AND(H571="ATP",OR(I571="TN",I571="TDN",I571="TNO2-3",I571="NO2-3")),VLOOKUP(E571,QCREC_N,2,),IF(AND(H571="NIC",OR(I571="TN",I571="TDN",I571="TNO2-3",I571="NO2-3")),VLOOKUP(E571,QCNIC_N,2,),IF(AND(H571="UREA",OR(I571="TN",I571="TDN",I571="TNO2-3",I571="NO2-3")),VLOOKUP(E571,QCUREA_N,2,),IF(H571="PER",VLOOKUP(I571,QCPER,MATCH(E571,QCACTUAL!$J$25:$AA$25,0),),IF(H571="SPK",VLOOKUP(I571,QCSPK,3,),IF(AND(H571="ATP",OR(I571="TP",I571="TDP")),VLOOKUP(E571,QCATP_P,2,),""))))))))</f>
        <v/>
      </c>
      <c r="W571" s="31" t="str">
        <f t="shared" si="58"/>
        <v>TRUE</v>
      </c>
      <c r="X571" s="31" t="str">
        <f t="shared" si="59"/>
        <v/>
      </c>
      <c r="Y571" s="10" t="s">
        <v>992</v>
      </c>
      <c r="Z571" s="10" t="s">
        <v>910</v>
      </c>
      <c r="AL571" s="10" t="str">
        <f t="shared" si="61"/>
        <v>FALSE</v>
      </c>
      <c r="AM571" s="10" t="str">
        <f t="shared" si="61"/>
        <v>FALSE</v>
      </c>
      <c r="AN571" s="10" t="str">
        <f t="shared" si="61"/>
        <v>FALSE</v>
      </c>
      <c r="AO571" s="10" t="str">
        <f t="shared" si="62"/>
        <v>FALSE</v>
      </c>
      <c r="AP571" s="10" t="str">
        <f t="shared" si="62"/>
        <v>FALSE</v>
      </c>
      <c r="AQ571" s="10" t="b">
        <f>IF(AND(I571="TP",S571&lt;=150),VLOOKUP(AF571,TPCalibEq150!$AZ$2:$BB$55,3,),IF(AND(I571="TDP",S571&lt;=150),VLOOKUP(AF571,TPCalibEq150!$AZ$2:$BB$55,3,)))</f>
        <v>0</v>
      </c>
      <c r="AR571" s="10" t="b">
        <f>IF(AND(I571="TP",S571&lt;=300),VLOOKUP(AF571,TPCalibEq300!$AZ$2:$BB$55,3,),IF(AND(I571="TDP",S571&lt;=300),VLOOKUP(AF571,TPCalibEq300!$AZ$2:$BB$55,3,)))</f>
        <v>0</v>
      </c>
      <c r="AS571" s="10" t="b">
        <f>IF(AND(I571="TP",S571&lt;=500),VLOOKUP(AF571,TPCalibEq500!$AZ$2:$BB$56,3,),IF(AND(I571="TDP",S571&lt;=500),VLOOKUP(AF571,TPCalibEq500!$AZ$2:$BB$56,3,)))</f>
        <v>0</v>
      </c>
      <c r="AT571" s="10" t="b">
        <f>IF(AND(I571="TN",S571&lt;=2800),VLOOKUP(AF571,TNCalibEq2500!$AZ$2:$BB$56,3,),IF(AND(I571="TDN",S571&lt;=2800),VLOOKUP(AF571,TNCalibEq2500!$AZ$2:$BB$56,3,)))</f>
        <v>0</v>
      </c>
      <c r="AU571" s="10" t="b">
        <f>IF(I571="TP",VLOOKUP(AF571,TPCalibEqFull!$AZ$2:$BB$56,3),IF(I571="TDP",VLOOKUP(AF571,TPCalibEqFull!$AZ$2:$BB$56,3),IF(I571="TDN",VLOOKUP(AF571,TNCalibEqFull!$AZ$1:$BB$56,3),IF(I571="TN",VLOOKUP(AF571,TNCalibEqFull!$AZ$1:$BB$56,3),FALSE))))</f>
        <v>0</v>
      </c>
      <c r="AV571" s="10" t="str">
        <f t="shared" si="60"/>
        <v>0109 09:57:00-EAW-0-C-1-SW-UKN</v>
      </c>
    </row>
    <row r="572" spans="1:48" s="10" customFormat="1" x14ac:dyDescent="0.55000000000000004">
      <c r="A572" s="32">
        <v>44935</v>
      </c>
      <c r="B572" s="33">
        <v>0.4145833333333333</v>
      </c>
      <c r="C572" s="10" t="s">
        <v>999</v>
      </c>
      <c r="D572" s="10">
        <v>0</v>
      </c>
      <c r="E572" s="10" t="s">
        <v>190</v>
      </c>
      <c r="F572" s="10">
        <v>2</v>
      </c>
      <c r="G572" s="10" t="s">
        <v>231</v>
      </c>
      <c r="H572" s="10" t="s">
        <v>322</v>
      </c>
      <c r="I572" s="10" t="s">
        <v>256</v>
      </c>
      <c r="J572" s="10">
        <v>14</v>
      </c>
      <c r="K572" s="12">
        <v>44937</v>
      </c>
      <c r="L572" s="33">
        <v>0.5034953703703704</v>
      </c>
      <c r="M572" s="10">
        <v>1</v>
      </c>
      <c r="N572" s="10" t="s">
        <v>169</v>
      </c>
      <c r="O572" s="10">
        <v>8.5</v>
      </c>
      <c r="P572" s="10">
        <v>0.40400000000000003</v>
      </c>
      <c r="Q572" s="10">
        <v>1120</v>
      </c>
      <c r="R572" s="10" t="s">
        <v>77</v>
      </c>
      <c r="S572" s="34">
        <f t="shared" si="56"/>
        <v>1120</v>
      </c>
      <c r="T572" s="10" t="s">
        <v>1002</v>
      </c>
      <c r="U572" s="34" t="str">
        <f t="shared" si="57"/>
        <v/>
      </c>
      <c r="V572" s="31" t="str">
        <f>IF(H572="CHK",VLOOKUP(I572,QCCHK,3,),IF(H572="GUP",VLOOKUP(E572,QCGUP,2,),IF(AND(H572="ATP",OR(I572="TN",I572="TDN",I572="TNO2-3",I572="NO2-3")),VLOOKUP(E572,QCREC_N,2,),IF(AND(H572="NIC",OR(I572="TN",I572="TDN",I572="TNO2-3",I572="NO2-3")),VLOOKUP(E572,QCNIC_N,2,),IF(AND(H572="UREA",OR(I572="TN",I572="TDN",I572="TNO2-3",I572="NO2-3")),VLOOKUP(E572,QCUREA_N,2,),IF(H572="PER",VLOOKUP(I572,QCPER,MATCH(E572,QCACTUAL!$J$25:$AA$25,0),),IF(H572="SPK",VLOOKUP(I572,QCSPK,3,),IF(AND(H572="ATP",OR(I572="TP",I572="TDP")),VLOOKUP(E572,QCATP_P,2,),""))))))))</f>
        <v/>
      </c>
      <c r="W572" s="31" t="str">
        <f t="shared" si="58"/>
        <v>TRUE</v>
      </c>
      <c r="X572" s="31" t="str">
        <f t="shared" si="59"/>
        <v/>
      </c>
      <c r="Y572" s="10" t="s">
        <v>992</v>
      </c>
      <c r="Z572" s="10" t="s">
        <v>910</v>
      </c>
      <c r="AL572" s="10" t="str">
        <f t="shared" si="61"/>
        <v>FALSE</v>
      </c>
      <c r="AM572" s="10" t="str">
        <f t="shared" si="61"/>
        <v>FALSE</v>
      </c>
      <c r="AN572" s="10" t="str">
        <f t="shared" si="61"/>
        <v>FALSE</v>
      </c>
      <c r="AO572" s="10" t="str">
        <f t="shared" si="62"/>
        <v>FALSE</v>
      </c>
      <c r="AP572" s="10" t="str">
        <f t="shared" si="62"/>
        <v>FALSE</v>
      </c>
      <c r="AQ572" s="10" t="b">
        <f>IF(AND(I572="TP",S572&lt;=150),VLOOKUP(AF572,TPCalibEq150!$AZ$2:$BB$55,3,),IF(AND(I572="TDP",S572&lt;=150),VLOOKUP(AF572,TPCalibEq150!$AZ$2:$BB$55,3,)))</f>
        <v>0</v>
      </c>
      <c r="AR572" s="10" t="b">
        <f>IF(AND(I572="TP",S572&lt;=300),VLOOKUP(AF572,TPCalibEq300!$AZ$2:$BB$55,3,),IF(AND(I572="TDP",S572&lt;=300),VLOOKUP(AF572,TPCalibEq300!$AZ$2:$BB$55,3,)))</f>
        <v>0</v>
      </c>
      <c r="AS572" s="10" t="b">
        <f>IF(AND(I572="TP",S572&lt;=500),VLOOKUP(AF572,TPCalibEq500!$AZ$2:$BB$56,3,),IF(AND(I572="TDP",S572&lt;=500),VLOOKUP(AF572,TPCalibEq500!$AZ$2:$BB$56,3,)))</f>
        <v>0</v>
      </c>
      <c r="AT572" s="10" t="b">
        <f>IF(AND(I572="TN",S572&lt;=2800),VLOOKUP(AF572,TNCalibEq2500!$AZ$2:$BB$56,3,),IF(AND(I572="TDN",S572&lt;=2800),VLOOKUP(AF572,TNCalibEq2500!$AZ$2:$BB$56,3,)))</f>
        <v>0</v>
      </c>
      <c r="AU572" s="10" t="b">
        <f>IF(I572="TP",VLOOKUP(AF572,TPCalibEqFull!$AZ$2:$BB$56,3),IF(I572="TDP",VLOOKUP(AF572,TPCalibEqFull!$AZ$2:$BB$56,3),IF(I572="TDN",VLOOKUP(AF572,TNCalibEqFull!$AZ$1:$BB$56,3),IF(I572="TN",VLOOKUP(AF572,TNCalibEqFull!$AZ$1:$BB$56,3),FALSE))))</f>
        <v>0</v>
      </c>
      <c r="AV572" s="10" t="str">
        <f t="shared" si="60"/>
        <v>0109 09:57:00-EAW-0-C-2-SW-UKN</v>
      </c>
    </row>
    <row r="573" spans="1:48" s="10" customFormat="1" x14ac:dyDescent="0.55000000000000004">
      <c r="A573" s="32">
        <v>44935</v>
      </c>
      <c r="B573" s="33">
        <v>0.4145833333333333</v>
      </c>
      <c r="C573" s="10" t="s">
        <v>999</v>
      </c>
      <c r="D573" s="10">
        <v>0</v>
      </c>
      <c r="E573" s="10" t="s">
        <v>190</v>
      </c>
      <c r="F573" s="10">
        <v>2</v>
      </c>
      <c r="G573" s="10" t="s">
        <v>231</v>
      </c>
      <c r="H573" s="10" t="s">
        <v>233</v>
      </c>
      <c r="I573" s="10" t="s">
        <v>256</v>
      </c>
      <c r="J573" s="10">
        <v>14</v>
      </c>
      <c r="K573" s="12">
        <v>44937</v>
      </c>
      <c r="L573" s="33">
        <v>0.50430555555555556</v>
      </c>
      <c r="M573" s="10">
        <v>1</v>
      </c>
      <c r="N573" s="10" t="s">
        <v>169</v>
      </c>
      <c r="O573" s="10">
        <v>8.16</v>
      </c>
      <c r="P573" s="10">
        <v>0.38800000000000001</v>
      </c>
      <c r="Q573" s="10">
        <v>1080</v>
      </c>
      <c r="R573" s="10" t="s">
        <v>77</v>
      </c>
      <c r="S573" s="34">
        <f t="shared" si="56"/>
        <v>1080</v>
      </c>
      <c r="T573" s="10" t="s">
        <v>1002</v>
      </c>
      <c r="U573" s="34">
        <f t="shared" si="57"/>
        <v>3.6363636363636362</v>
      </c>
      <c r="V573" s="31" t="str">
        <f>IF(H573="CHK",VLOOKUP(I573,QCCHK,3,),IF(H573="GUP",VLOOKUP(E573,QCGUP,2,),IF(AND(H573="ATP",OR(I573="TN",I573="TDN",I573="TNO2-3",I573="NO2-3")),VLOOKUP(E573,QCREC_N,2,),IF(AND(H573="NIC",OR(I573="TN",I573="TDN",I573="TNO2-3",I573="NO2-3")),VLOOKUP(E573,QCNIC_N,2,),IF(AND(H573="UREA",OR(I573="TN",I573="TDN",I573="TNO2-3",I573="NO2-3")),VLOOKUP(E573,QCUREA_N,2,),IF(H573="PER",VLOOKUP(I573,QCPER,MATCH(E573,QCACTUAL!$J$25:$AA$25,0),),IF(H573="SPK",VLOOKUP(I573,QCSPK,3,),IF(AND(H573="ATP",OR(I573="TP",I573="TDP")),VLOOKUP(E573,QCATP_P,2,),""))))))))</f>
        <v/>
      </c>
      <c r="W573" s="31" t="str">
        <f t="shared" si="58"/>
        <v>TRUE</v>
      </c>
      <c r="X573" s="31" t="str">
        <f t="shared" si="59"/>
        <v>((ABS(rep1-rep2))/((rep1+rep2)/2)*100</v>
      </c>
      <c r="Y573" s="10" t="s">
        <v>992</v>
      </c>
      <c r="Z573" s="10" t="s">
        <v>910</v>
      </c>
      <c r="AL573" s="10" t="str">
        <f t="shared" si="61"/>
        <v>FALSE</v>
      </c>
      <c r="AM573" s="10" t="str">
        <f t="shared" si="61"/>
        <v>FALSE</v>
      </c>
      <c r="AN573" s="10" t="str">
        <f t="shared" si="61"/>
        <v>FALSE</v>
      </c>
      <c r="AO573" s="10" t="str">
        <f t="shared" si="62"/>
        <v>FALSE</v>
      </c>
      <c r="AP573" s="10" t="str">
        <f t="shared" si="62"/>
        <v>FALSE</v>
      </c>
      <c r="AQ573" s="10" t="b">
        <f>IF(AND(I573="TP",S573&lt;=150),VLOOKUP(AF573,TPCalibEq150!$AZ$2:$BB$55,3,),IF(AND(I573="TDP",S573&lt;=150),VLOOKUP(AF573,TPCalibEq150!$AZ$2:$BB$55,3,)))</f>
        <v>0</v>
      </c>
      <c r="AR573" s="10" t="b">
        <f>IF(AND(I573="TP",S573&lt;=300),VLOOKUP(AF573,TPCalibEq300!$AZ$2:$BB$55,3,),IF(AND(I573="TDP",S573&lt;=300),VLOOKUP(AF573,TPCalibEq300!$AZ$2:$BB$55,3,)))</f>
        <v>0</v>
      </c>
      <c r="AS573" s="10" t="b">
        <f>IF(AND(I573="TP",S573&lt;=500),VLOOKUP(AF573,TPCalibEq500!$AZ$2:$BB$56,3,),IF(AND(I573="TDP",S573&lt;=500),VLOOKUP(AF573,TPCalibEq500!$AZ$2:$BB$56,3,)))</f>
        <v>0</v>
      </c>
      <c r="AT573" s="10" t="b">
        <f>IF(AND(I573="TN",S573&lt;=2800),VLOOKUP(AF573,TNCalibEq2500!$AZ$2:$BB$56,3,),IF(AND(I573="TDN",S573&lt;=2800),VLOOKUP(AF573,TNCalibEq2500!$AZ$2:$BB$56,3,)))</f>
        <v>0</v>
      </c>
      <c r="AU573" s="10" t="b">
        <f>IF(I573="TP",VLOOKUP(AF573,TPCalibEqFull!$AZ$2:$BB$56,3),IF(I573="TDP",VLOOKUP(AF573,TPCalibEqFull!$AZ$2:$BB$56,3),IF(I573="TDN",VLOOKUP(AF573,TNCalibEqFull!$AZ$1:$BB$56,3),IF(I573="TN",VLOOKUP(AF573,TNCalibEqFull!$AZ$1:$BB$56,3),FALSE))))</f>
        <v>0</v>
      </c>
      <c r="AV573" s="10" t="str">
        <f t="shared" si="60"/>
        <v>0109 09:57:00-EAW-0-C-2-SW-DUP</v>
      </c>
    </row>
    <row r="574" spans="1:48" s="10" customFormat="1" x14ac:dyDescent="0.55000000000000004">
      <c r="A574" s="32">
        <v>44935</v>
      </c>
      <c r="B574" s="33">
        <v>0.4145833333333333</v>
      </c>
      <c r="C574" s="10" t="s">
        <v>999</v>
      </c>
      <c r="D574" s="10">
        <v>0</v>
      </c>
      <c r="E574" s="10" t="s">
        <v>190</v>
      </c>
      <c r="F574" s="10">
        <v>2</v>
      </c>
      <c r="G574" s="10" t="s">
        <v>231</v>
      </c>
      <c r="H574" s="10" t="s">
        <v>314</v>
      </c>
      <c r="I574" s="10" t="s">
        <v>256</v>
      </c>
      <c r="J574" s="10">
        <v>30</v>
      </c>
      <c r="K574" s="12">
        <v>44937</v>
      </c>
      <c r="L574" s="33">
        <v>0.50510416666666669</v>
      </c>
      <c r="M574" s="10">
        <v>1</v>
      </c>
      <c r="N574" s="10" t="s">
        <v>169</v>
      </c>
      <c r="O574" s="10">
        <v>13.2</v>
      </c>
      <c r="P574" s="10">
        <v>0.627</v>
      </c>
      <c r="Q574" s="10">
        <v>1740</v>
      </c>
      <c r="R574" s="10" t="s">
        <v>77</v>
      </c>
      <c r="S574" s="34">
        <f t="shared" si="56"/>
        <v>1740</v>
      </c>
      <c r="T574" s="10" t="s">
        <v>1002</v>
      </c>
      <c r="U574" s="34">
        <f t="shared" si="57"/>
        <v>105.60000000000001</v>
      </c>
      <c r="V574" s="31">
        <f>IF(H574="CHK",VLOOKUP(I574,QCCHK,3,),IF(H574="GUP",VLOOKUP(E574,QCGUP,2,),IF(AND(H574="ATP",OR(I574="TN",I574="TDN",I574="TNO2-3",I574="NO2-3")),VLOOKUP(E574,QCREC_N,2,),IF(AND(H574="NIC",OR(I574="TN",I574="TDN",I574="TNO2-3",I574="NO2-3")),VLOOKUP(E574,QCNIC_N,2,),IF(AND(H574="UREA",OR(I574="TN",I574="TDN",I574="TNO2-3",I574="NO2-3")),VLOOKUP(E574,QCUREA_N,2,),IF(H574="PER",VLOOKUP(I574,QCPER,MATCH(E574,QCACTUAL!$J$25:$AA$25,0),),IF(H574="SPK",VLOOKUP(I574,QCSPK,3,),IF(AND(H574="ATP",OR(I574="TP",I574="TDP")),VLOOKUP(E574,QCATP_P,2,),""))))))))</f>
        <v>625</v>
      </c>
      <c r="W574" s="31" t="str">
        <f t="shared" si="58"/>
        <v>TRUE</v>
      </c>
      <c r="X574" s="31" t="str">
        <f t="shared" si="59"/>
        <v>([spikedunkn]-[unkn])/[spike]*100</v>
      </c>
      <c r="Y574" s="10" t="s">
        <v>992</v>
      </c>
      <c r="Z574" s="10" t="s">
        <v>910</v>
      </c>
      <c r="AL574" s="10" t="str">
        <f t="shared" si="61"/>
        <v>FALSE</v>
      </c>
      <c r="AM574" s="10" t="str">
        <f t="shared" si="61"/>
        <v>FALSE</v>
      </c>
      <c r="AN574" s="10" t="str">
        <f t="shared" si="61"/>
        <v>FALSE</v>
      </c>
      <c r="AO574" s="10" t="str">
        <f t="shared" si="62"/>
        <v>FALSE</v>
      </c>
      <c r="AP574" s="10" t="str">
        <f t="shared" si="62"/>
        <v>FALSE</v>
      </c>
      <c r="AQ574" s="10" t="b">
        <f>IF(AND(I574="TP",S574&lt;=150),VLOOKUP(AF574,TPCalibEq150!$AZ$2:$BB$55,3,),IF(AND(I574="TDP",S574&lt;=150),VLOOKUP(AF574,TPCalibEq150!$AZ$2:$BB$55,3,)))</f>
        <v>0</v>
      </c>
      <c r="AR574" s="10" t="b">
        <f>IF(AND(I574="TP",S574&lt;=300),VLOOKUP(AF574,TPCalibEq300!$AZ$2:$BB$55,3,),IF(AND(I574="TDP",S574&lt;=300),VLOOKUP(AF574,TPCalibEq300!$AZ$2:$BB$55,3,)))</f>
        <v>0</v>
      </c>
      <c r="AS574" s="10" t="b">
        <f>IF(AND(I574="TP",S574&lt;=500),VLOOKUP(AF574,TPCalibEq500!$AZ$2:$BB$56,3,),IF(AND(I574="TDP",S574&lt;=500),VLOOKUP(AF574,TPCalibEq500!$AZ$2:$BB$56,3,)))</f>
        <v>0</v>
      </c>
      <c r="AT574" s="10" t="b">
        <f>IF(AND(I574="TN",S574&lt;=2800),VLOOKUP(AF574,TNCalibEq2500!$AZ$2:$BB$56,3,),IF(AND(I574="TDN",S574&lt;=2800),VLOOKUP(AF574,TNCalibEq2500!$AZ$2:$BB$56,3,)))</f>
        <v>0</v>
      </c>
      <c r="AU574" s="10" t="b">
        <f>IF(I574="TP",VLOOKUP(AF574,TPCalibEqFull!$AZ$2:$BB$56,3),IF(I574="TDP",VLOOKUP(AF574,TPCalibEqFull!$AZ$2:$BB$56,3),IF(I574="TDN",VLOOKUP(AF574,TNCalibEqFull!$AZ$1:$BB$56,3),IF(I574="TN",VLOOKUP(AF574,TNCalibEqFull!$AZ$1:$BB$56,3),FALSE))))</f>
        <v>0</v>
      </c>
      <c r="AV574" s="10" t="str">
        <f t="shared" si="60"/>
        <v>0109 09:57:00-EAW-0-C-2-SW-SPK</v>
      </c>
    </row>
    <row r="575" spans="1:48" s="10" customFormat="1" x14ac:dyDescent="0.55000000000000004">
      <c r="A575" s="32">
        <v>44937</v>
      </c>
      <c r="B575" s="33">
        <v>0.375</v>
      </c>
      <c r="C575" s="10" t="s">
        <v>70</v>
      </c>
      <c r="D575" s="10" t="s">
        <v>71</v>
      </c>
      <c r="E575" s="10" t="s">
        <v>901</v>
      </c>
      <c r="F575" s="10">
        <v>1</v>
      </c>
      <c r="G575" s="10" t="s">
        <v>73</v>
      </c>
      <c r="H575" s="10" t="s">
        <v>207</v>
      </c>
      <c r="I575" s="10" t="s">
        <v>256</v>
      </c>
      <c r="J575" s="10">
        <v>199</v>
      </c>
      <c r="K575" s="12">
        <v>44937</v>
      </c>
      <c r="L575" s="33">
        <v>0.50593750000000004</v>
      </c>
      <c r="M575" s="10">
        <v>1</v>
      </c>
      <c r="N575" s="10" t="s">
        <v>169</v>
      </c>
      <c r="O575" s="10">
        <v>2.29</v>
      </c>
      <c r="P575" s="10">
        <v>0.112</v>
      </c>
      <c r="Q575" s="10">
        <v>303</v>
      </c>
      <c r="R575" s="10" t="s">
        <v>77</v>
      </c>
      <c r="S575" s="34">
        <f t="shared" si="56"/>
        <v>303</v>
      </c>
      <c r="T575" s="10" t="s">
        <v>1002</v>
      </c>
      <c r="U575" s="34">
        <f t="shared" si="57"/>
        <v>101</v>
      </c>
      <c r="V575" s="31">
        <f>IF(H575="CHK",VLOOKUP(I575,QCCHK,3,),IF(H575="GUP",VLOOKUP(E575,QCGUP,2,),IF(AND(H575="ATP",OR(I575="TN",I575="TDN",I575="TNO2-3",I575="NO2-3")),VLOOKUP(E575,QCREC_N,2,),IF(AND(H575="NIC",OR(I575="TN",I575="TDN",I575="TNO2-3",I575="NO2-3")),VLOOKUP(E575,QCNIC_N,2,),IF(AND(H575="UREA",OR(I575="TN",I575="TDN",I575="TNO2-3",I575="NO2-3")),VLOOKUP(E575,QCUREA_N,2,),IF(H575="PER",VLOOKUP(I575,QCPER,MATCH(E575,QCACTUAL!$J$25:$AA$25,0),),IF(H575="SPK",VLOOKUP(I575,QCSPK,3,),IF(AND(H575="ATP",OR(I575="TP",I575="TDP")),VLOOKUP(E575,QCATP_P,2,),""))))))))</f>
        <v>300</v>
      </c>
      <c r="W575" s="31" t="str">
        <f t="shared" si="58"/>
        <v>TRUE</v>
      </c>
      <c r="X575" s="31" t="str">
        <f t="shared" si="59"/>
        <v>[chk]/[actual]*100</v>
      </c>
      <c r="Y575" s="10" t="s">
        <v>992</v>
      </c>
      <c r="AL575" s="10" t="str">
        <f t="shared" si="61"/>
        <v>FALSE</v>
      </c>
      <c r="AM575" s="10" t="str">
        <f t="shared" si="61"/>
        <v>FALSE</v>
      </c>
      <c r="AN575" s="10" t="str">
        <f t="shared" si="61"/>
        <v>FALSE</v>
      </c>
      <c r="AO575" s="10" t="str">
        <f t="shared" si="62"/>
        <v>FALSE</v>
      </c>
      <c r="AP575" s="10" t="str">
        <f t="shared" si="62"/>
        <v>FALSE</v>
      </c>
      <c r="AQ575" s="10" t="b">
        <f>IF(AND(I575="TP",S575&lt;=150),VLOOKUP(AF575,TPCalibEq150!$AZ$2:$BB$55,3,),IF(AND(I575="TDP",S575&lt;=150),VLOOKUP(AF575,TPCalibEq150!$AZ$2:$BB$55,3,)))</f>
        <v>0</v>
      </c>
      <c r="AR575" s="10" t="b">
        <f>IF(AND(I575="TP",S575&lt;=300),VLOOKUP(AF575,TPCalibEq300!$AZ$2:$BB$55,3,),IF(AND(I575="TDP",S575&lt;=300),VLOOKUP(AF575,TPCalibEq300!$AZ$2:$BB$55,3,)))</f>
        <v>0</v>
      </c>
      <c r="AS575" s="10" t="b">
        <f>IF(AND(I575="TP",S575&lt;=500),VLOOKUP(AF575,TPCalibEq500!$AZ$2:$BB$56,3,),IF(AND(I575="TDP",S575&lt;=500),VLOOKUP(AF575,TPCalibEq500!$AZ$2:$BB$56,3,)))</f>
        <v>0</v>
      </c>
      <c r="AT575" s="10" t="b">
        <f>IF(AND(I575="TN",S575&lt;=2800),VLOOKUP(AF575,TNCalibEq2500!$AZ$2:$BB$56,3,),IF(AND(I575="TDN",S575&lt;=2800),VLOOKUP(AF575,TNCalibEq2500!$AZ$2:$BB$56,3,)))</f>
        <v>0</v>
      </c>
      <c r="AU575" s="10" t="b">
        <f>IF(I575="TP",VLOOKUP(AF575,TPCalibEqFull!$AZ$2:$BB$56,3),IF(I575="TDP",VLOOKUP(AF575,TPCalibEqFull!$AZ$2:$BB$56,3),IF(I575="TDN",VLOOKUP(AF575,TNCalibEqFull!$AZ$1:$BB$56,3),IF(I575="TN",VLOOKUP(AF575,TNCalibEqFull!$AZ$1:$BB$56,3),FALSE))))</f>
        <v>0</v>
      </c>
      <c r="AV575" s="10" t="str">
        <f t="shared" si="60"/>
        <v>0111 09:00:00-QAC-STD-D-1-DI-CHK</v>
      </c>
    </row>
    <row r="576" spans="1:48" s="10" customFormat="1" x14ac:dyDescent="0.55000000000000004">
      <c r="A576" s="32">
        <v>44930</v>
      </c>
      <c r="B576" s="33">
        <v>0.22569444444444445</v>
      </c>
      <c r="C576" s="10" t="s">
        <v>279</v>
      </c>
      <c r="D576" s="10">
        <v>0</v>
      </c>
      <c r="E576" s="10" t="s">
        <v>911</v>
      </c>
      <c r="F576" s="10">
        <v>1</v>
      </c>
      <c r="G576" s="10" t="s">
        <v>231</v>
      </c>
      <c r="H576" s="10" t="s">
        <v>322</v>
      </c>
      <c r="I576" s="10" t="s">
        <v>209</v>
      </c>
      <c r="J576" s="10">
        <v>15</v>
      </c>
      <c r="K576" s="12">
        <v>44937</v>
      </c>
      <c r="L576" s="33">
        <v>0.50673611111111116</v>
      </c>
      <c r="M576" s="10">
        <v>1</v>
      </c>
      <c r="N576" s="10" t="s">
        <v>169</v>
      </c>
      <c r="O576" s="10">
        <v>3.47</v>
      </c>
      <c r="P576" s="10">
        <v>0.16500000000000001</v>
      </c>
      <c r="Q576" s="10">
        <v>458</v>
      </c>
      <c r="R576" s="10" t="s">
        <v>77</v>
      </c>
      <c r="S576" s="34">
        <f t="shared" si="56"/>
        <v>458</v>
      </c>
      <c r="T576" s="10" t="s">
        <v>1002</v>
      </c>
      <c r="U576" s="34" t="str">
        <f t="shared" si="57"/>
        <v/>
      </c>
      <c r="V576" s="31" t="str">
        <f>IF(H576="CHK",VLOOKUP(I576,QCCHK,3,),IF(H576="GUP",VLOOKUP(E576,QCGUP,2,),IF(AND(H576="ATP",OR(I576="TN",I576="TDN",I576="TNO2-3",I576="NO2-3")),VLOOKUP(E576,QCREC_N,2,),IF(AND(H576="NIC",OR(I576="TN",I576="TDN",I576="TNO2-3",I576="NO2-3")),VLOOKUP(E576,QCNIC_N,2,),IF(AND(H576="UREA",OR(I576="TN",I576="TDN",I576="TNO2-3",I576="NO2-3")),VLOOKUP(E576,QCUREA_N,2,),IF(H576="PER",VLOOKUP(I576,QCPER,MATCH(E576,QCACTUAL!$J$25:$AA$25,0),),IF(H576="SPK",VLOOKUP(I576,QCSPK,3,),IF(AND(H576="ATP",OR(I576="TP",I576="TDP")),VLOOKUP(E576,QCATP_P,2,),""))))))))</f>
        <v/>
      </c>
      <c r="W576" s="31" t="str">
        <f t="shared" si="58"/>
        <v>TRUE</v>
      </c>
      <c r="X576" s="31" t="str">
        <f t="shared" si="59"/>
        <v/>
      </c>
      <c r="Y576" s="10" t="s">
        <v>992</v>
      </c>
      <c r="Z576" s="10" t="s">
        <v>910</v>
      </c>
      <c r="AL576" s="10" t="str">
        <f t="shared" si="61"/>
        <v>FALSE</v>
      </c>
      <c r="AM576" s="10" t="str">
        <f t="shared" si="61"/>
        <v>FALSE</v>
      </c>
      <c r="AN576" s="10" t="str">
        <f t="shared" si="61"/>
        <v>FALSE</v>
      </c>
      <c r="AO576" s="10" t="str">
        <f t="shared" si="62"/>
        <v>FALSE</v>
      </c>
      <c r="AP576" s="10" t="str">
        <f t="shared" si="62"/>
        <v>FALSE</v>
      </c>
      <c r="AQ576" s="10" t="b">
        <f>IF(AND(I576="TP",S576&lt;=150),VLOOKUP(AF576,TPCalibEq150!$AZ$2:$BB$55,3,),IF(AND(I576="TDP",S576&lt;=150),VLOOKUP(AF576,TPCalibEq150!$AZ$2:$BB$55,3,)))</f>
        <v>0</v>
      </c>
      <c r="AR576" s="10" t="b">
        <f>IF(AND(I576="TP",S576&lt;=300),VLOOKUP(AF576,TPCalibEq300!$AZ$2:$BB$55,3,),IF(AND(I576="TDP",S576&lt;=300),VLOOKUP(AF576,TPCalibEq300!$AZ$2:$BB$55,3,)))</f>
        <v>0</v>
      </c>
      <c r="AS576" s="10" t="b">
        <f>IF(AND(I576="TP",S576&lt;=500),VLOOKUP(AF576,TPCalibEq500!$AZ$2:$BB$56,3,),IF(AND(I576="TDP",S576&lt;=500),VLOOKUP(AF576,TPCalibEq500!$AZ$2:$BB$56,3,)))</f>
        <v>0</v>
      </c>
      <c r="AT576" s="10" t="b">
        <f>IF(AND(I576="TN",S576&lt;=2800),VLOOKUP(AF576,TNCalibEq2500!$AZ$2:$BB$56,3,),IF(AND(I576="TDN",S576&lt;=2800),VLOOKUP(AF576,TNCalibEq2500!$AZ$2:$BB$56,3,)))</f>
        <v>0</v>
      </c>
      <c r="AU576" s="10" t="b">
        <f>IF(I576="TP",VLOOKUP(AF576,TPCalibEqFull!$AZ$2:$BB$56,3),IF(I576="TDP",VLOOKUP(AF576,TPCalibEqFull!$AZ$2:$BB$56,3),IF(I576="TDN",VLOOKUP(AF576,TNCalibEqFull!$AZ$1:$BB$56,3),IF(I576="TN",VLOOKUP(AF576,TNCalibEqFull!$AZ$1:$BB$56,3),FALSE))))</f>
        <v>0</v>
      </c>
      <c r="AV576" s="10" t="str">
        <f t="shared" si="60"/>
        <v>0104 05:25:00-EFK-0-FIL-1-SW-UKN</v>
      </c>
    </row>
    <row r="577" spans="1:48" s="10" customFormat="1" x14ac:dyDescent="0.55000000000000004">
      <c r="A577" s="32">
        <v>44930</v>
      </c>
      <c r="B577" s="33">
        <v>0.22916666666666666</v>
      </c>
      <c r="C577" s="10" t="s">
        <v>333</v>
      </c>
      <c r="D577" s="10">
        <v>0</v>
      </c>
      <c r="E577" s="10" t="s">
        <v>911</v>
      </c>
      <c r="F577" s="10">
        <v>1</v>
      </c>
      <c r="G577" s="10" t="s">
        <v>231</v>
      </c>
      <c r="H577" s="10" t="s">
        <v>322</v>
      </c>
      <c r="I577" s="10" t="s">
        <v>209</v>
      </c>
      <c r="J577" s="10">
        <v>16</v>
      </c>
      <c r="K577" s="12">
        <v>44937</v>
      </c>
      <c r="L577" s="33">
        <v>0.50755787037037037</v>
      </c>
      <c r="M577" s="10">
        <v>1</v>
      </c>
      <c r="N577" s="10" t="s">
        <v>169</v>
      </c>
      <c r="O577" s="10">
        <v>7.74</v>
      </c>
      <c r="P577" s="10">
        <v>0.36599999999999999</v>
      </c>
      <c r="Q577" s="10">
        <v>1020</v>
      </c>
      <c r="R577" s="10" t="s">
        <v>77</v>
      </c>
      <c r="S577" s="34">
        <f t="shared" si="56"/>
        <v>1020</v>
      </c>
      <c r="T577" s="10" t="s">
        <v>1002</v>
      </c>
      <c r="U577" s="34" t="str">
        <f t="shared" si="57"/>
        <v/>
      </c>
      <c r="V577" s="31" t="str">
        <f>IF(H577="CHK",VLOOKUP(I577,QCCHK,3,),IF(H577="GUP",VLOOKUP(E577,QCGUP,2,),IF(AND(H577="ATP",OR(I577="TN",I577="TDN",I577="TNO2-3",I577="NO2-3")),VLOOKUP(E577,QCREC_N,2,),IF(AND(H577="NIC",OR(I577="TN",I577="TDN",I577="TNO2-3",I577="NO2-3")),VLOOKUP(E577,QCNIC_N,2,),IF(AND(H577="UREA",OR(I577="TN",I577="TDN",I577="TNO2-3",I577="NO2-3")),VLOOKUP(E577,QCUREA_N,2,),IF(H577="PER",VLOOKUP(I577,QCPER,MATCH(E577,QCACTUAL!$J$25:$AA$25,0),),IF(H577="SPK",VLOOKUP(I577,QCSPK,3,),IF(AND(H577="ATP",OR(I577="TP",I577="TDP")),VLOOKUP(E577,QCATP_P,2,),""))))))))</f>
        <v/>
      </c>
      <c r="W577" s="31" t="str">
        <f t="shared" si="58"/>
        <v>TRUE</v>
      </c>
      <c r="X577" s="31" t="str">
        <f t="shared" si="59"/>
        <v/>
      </c>
      <c r="Y577" s="10" t="s">
        <v>992</v>
      </c>
      <c r="Z577" s="10" t="s">
        <v>910</v>
      </c>
      <c r="AL577" s="10" t="str">
        <f t="shared" si="61"/>
        <v>FALSE</v>
      </c>
      <c r="AM577" s="10" t="str">
        <f t="shared" si="61"/>
        <v>FALSE</v>
      </c>
      <c r="AN577" s="10" t="str">
        <f t="shared" si="61"/>
        <v>FALSE</v>
      </c>
      <c r="AO577" s="10" t="str">
        <f t="shared" si="62"/>
        <v>FALSE</v>
      </c>
      <c r="AP577" s="10" t="str">
        <f t="shared" si="62"/>
        <v>FALSE</v>
      </c>
      <c r="AQ577" s="10" t="b">
        <f>IF(AND(I577="TP",S577&lt;=150),VLOOKUP(AF577,TPCalibEq150!$AZ$2:$BB$55,3,),IF(AND(I577="TDP",S577&lt;=150),VLOOKUP(AF577,TPCalibEq150!$AZ$2:$BB$55,3,)))</f>
        <v>0</v>
      </c>
      <c r="AR577" s="10" t="b">
        <f>IF(AND(I577="TP",S577&lt;=300),VLOOKUP(AF577,TPCalibEq300!$AZ$2:$BB$55,3,),IF(AND(I577="TDP",S577&lt;=300),VLOOKUP(AF577,TPCalibEq300!$AZ$2:$BB$55,3,)))</f>
        <v>0</v>
      </c>
      <c r="AS577" s="10" t="b">
        <f>IF(AND(I577="TP",S577&lt;=500),VLOOKUP(AF577,TPCalibEq500!$AZ$2:$BB$56,3,),IF(AND(I577="TDP",S577&lt;=500),VLOOKUP(AF577,TPCalibEq500!$AZ$2:$BB$56,3,)))</f>
        <v>0</v>
      </c>
      <c r="AT577" s="10" t="b">
        <f>IF(AND(I577="TN",S577&lt;=2800),VLOOKUP(AF577,TNCalibEq2500!$AZ$2:$BB$56,3,),IF(AND(I577="TDN",S577&lt;=2800),VLOOKUP(AF577,TNCalibEq2500!$AZ$2:$BB$56,3,)))</f>
        <v>0</v>
      </c>
      <c r="AU577" s="10" t="b">
        <f>IF(I577="TP",VLOOKUP(AF577,TPCalibEqFull!$AZ$2:$BB$56,3),IF(I577="TDP",VLOOKUP(AF577,TPCalibEqFull!$AZ$2:$BB$56,3),IF(I577="TDN",VLOOKUP(AF577,TNCalibEqFull!$AZ$1:$BB$56,3),IF(I577="TN",VLOOKUP(AF577,TNCalibEqFull!$AZ$1:$BB$56,3),FALSE))))</f>
        <v>0</v>
      </c>
      <c r="AV577" s="10" t="str">
        <f t="shared" si="60"/>
        <v>0104 05:30:00-HST-0-FIL-1-SW-UKN</v>
      </c>
    </row>
    <row r="578" spans="1:48" s="10" customFormat="1" x14ac:dyDescent="0.55000000000000004">
      <c r="A578" s="32">
        <v>44931</v>
      </c>
      <c r="B578" s="33">
        <v>0.44513888888888892</v>
      </c>
      <c r="C578" s="10" t="s">
        <v>279</v>
      </c>
      <c r="D578" s="10">
        <v>0</v>
      </c>
      <c r="E578" s="10" t="s">
        <v>911</v>
      </c>
      <c r="F578" s="10">
        <v>1</v>
      </c>
      <c r="G578" s="10" t="s">
        <v>231</v>
      </c>
      <c r="H578" s="10" t="s">
        <v>322</v>
      </c>
      <c r="I578" s="10" t="s">
        <v>209</v>
      </c>
      <c r="J578" s="10">
        <v>17</v>
      </c>
      <c r="K578" s="12">
        <v>44937</v>
      </c>
      <c r="L578" s="33">
        <v>0.50839120370370372</v>
      </c>
      <c r="M578" s="10">
        <v>1</v>
      </c>
      <c r="N578" s="10" t="s">
        <v>169</v>
      </c>
      <c r="O578" s="10">
        <v>5.32</v>
      </c>
      <c r="P578" s="10">
        <v>0.253</v>
      </c>
      <c r="Q578" s="10">
        <v>702</v>
      </c>
      <c r="R578" s="10" t="s">
        <v>77</v>
      </c>
      <c r="S578" s="34">
        <f t="shared" ref="S578:S641" si="63">IF(OR(AND(I578&lt;&gt;"TP", I578&lt;&gt;"TDP",I578&lt;&gt;"TN", I578&lt;&gt;"TDN"),H578="CAL"), Q578*M578, IF(OR(AND(I578="TN", Q578&gt;2500), AND(I578="TDN", Q578&gt;2500)),MAX(Q578, AK578)*M578, IF(OR(AND(I578="TN", Q578&lt;=2500), AND(I578="TDN", Q578&lt;=2500)),MAX(Q578, AJ578,AK578)*M578, IF(OR(AND(I578="TP",Q578&gt;500), AND(I578="TDP", Q578&gt;500)),MAX(Q578,AK578)*M578,IF(OR(AND(I578="TP",Q578&lt;=150), AND(I578="TDP", Q578&lt;=150)),MAX(Q578,AG578:AI578,AK578)*M578,IF(OR(AND(I578="TP",Q578&lt;=300), AND(I578="TDP", Q578&lt;=300)),MAX(Q578,AH578,AI578,AK578)*M578,IF(OR(AND(I578="TP",Q578&lt;=500), AND(I578="TDP", Q578&lt;=500)),MAX(Q578,AI578,AK578)*M578,"")))))))</f>
        <v>702</v>
      </c>
      <c r="T578" s="10" t="s">
        <v>1002</v>
      </c>
      <c r="U578" s="34" t="str">
        <f t="shared" ref="U578:U641" si="64">IF(OR(H578="CHK",H578="ATP",H578="GUP",H578="PER", H578="NIC", H578="UREA"),(S578/V578*100),IF(H578="DUP",((ABS(S578-S577))/((S577+S578)/2))*100,IF(H578="SPK",((S578-S577)/V578*100),IF(OR(H578="LAB",H578="FLD",H578="ESF"),S578,""))))</f>
        <v/>
      </c>
      <c r="V578" s="31" t="str">
        <f>IF(H578="CHK",VLOOKUP(I578,QCCHK,3,),IF(H578="GUP",VLOOKUP(E578,QCGUP,2,),IF(AND(H578="ATP",OR(I578="TN",I578="TDN",I578="TNO2-3",I578="NO2-3")),VLOOKUP(E578,QCREC_N,2,),IF(AND(H578="NIC",OR(I578="TN",I578="TDN",I578="TNO2-3",I578="NO2-3")),VLOOKUP(E578,QCNIC_N,2,),IF(AND(H578="UREA",OR(I578="TN",I578="TDN",I578="TNO2-3",I578="NO2-3")),VLOOKUP(E578,QCUREA_N,2,),IF(H578="PER",VLOOKUP(I578,QCPER,MATCH(E578,QCACTUAL!$J$25:$AA$25,0),),IF(H578="SPK",VLOOKUP(I578,QCSPK,3,),IF(AND(H578="ATP",OR(I578="TP",I578="TDP")),VLOOKUP(E578,QCATP_P,2,),""))))))))</f>
        <v/>
      </c>
      <c r="W578" s="31" t="str">
        <f t="shared" ref="W578:W641" si="65">IF(AND(OR(H578="PER",H578="ATP",H578="GUP",H578="CHK",H578="SPK", H578="NIC"),OR(U578&gt;125,U578&lt;75)),"FALSE",IF(AND(H578="DUP",OR(U578&gt;25, U578&lt;-25)),"FALSE",IF(AND(OR(H578="LAB",H578="FLD",H578="ESF"),U578&gt;15),"FALSE","TRUE")))</f>
        <v>TRUE</v>
      </c>
      <c r="X578" s="31" t="str">
        <f t="shared" ref="X578:X641" si="66">IF(ISNA(VLOOKUP(H578,QCEQUATIONS,2,)),"",(VLOOKUP(H578,QCEQUATIONS,2,)))</f>
        <v/>
      </c>
      <c r="Y578" s="10" t="s">
        <v>992</v>
      </c>
      <c r="Z578" s="10" t="s">
        <v>910</v>
      </c>
      <c r="AL578" s="10" t="str">
        <f t="shared" si="61"/>
        <v>FALSE</v>
      </c>
      <c r="AM578" s="10" t="str">
        <f t="shared" si="61"/>
        <v>FALSE</v>
      </c>
      <c r="AN578" s="10" t="str">
        <f t="shared" si="61"/>
        <v>FALSE</v>
      </c>
      <c r="AO578" s="10" t="str">
        <f t="shared" si="62"/>
        <v>FALSE</v>
      </c>
      <c r="AP578" s="10" t="str">
        <f t="shared" si="62"/>
        <v>FALSE</v>
      </c>
      <c r="AQ578" s="10" t="b">
        <f>IF(AND(I578="TP",S578&lt;=150),VLOOKUP(AF578,TPCalibEq150!$AZ$2:$BB$55,3,),IF(AND(I578="TDP",S578&lt;=150),VLOOKUP(AF578,TPCalibEq150!$AZ$2:$BB$55,3,)))</f>
        <v>0</v>
      </c>
      <c r="AR578" s="10" t="b">
        <f>IF(AND(I578="TP",S578&lt;=300),VLOOKUP(AF578,TPCalibEq300!$AZ$2:$BB$55,3,),IF(AND(I578="TDP",S578&lt;=300),VLOOKUP(AF578,TPCalibEq300!$AZ$2:$BB$55,3,)))</f>
        <v>0</v>
      </c>
      <c r="AS578" s="10" t="b">
        <f>IF(AND(I578="TP",S578&lt;=500),VLOOKUP(AF578,TPCalibEq500!$AZ$2:$BB$56,3,),IF(AND(I578="TDP",S578&lt;=500),VLOOKUP(AF578,TPCalibEq500!$AZ$2:$BB$56,3,)))</f>
        <v>0</v>
      </c>
      <c r="AT578" s="10" t="b">
        <f>IF(AND(I578="TN",S578&lt;=2800),VLOOKUP(AF578,TNCalibEq2500!$AZ$2:$BB$56,3,),IF(AND(I578="TDN",S578&lt;=2800),VLOOKUP(AF578,TNCalibEq2500!$AZ$2:$BB$56,3,)))</f>
        <v>0</v>
      </c>
      <c r="AU578" s="10" t="b">
        <f>IF(I578="TP",VLOOKUP(AF578,TPCalibEqFull!$AZ$2:$BB$56,3),IF(I578="TDP",VLOOKUP(AF578,TPCalibEqFull!$AZ$2:$BB$56,3),IF(I578="TDN",VLOOKUP(AF578,TNCalibEqFull!$AZ$1:$BB$56,3),IF(I578="TN",VLOOKUP(AF578,TNCalibEqFull!$AZ$1:$BB$56,3),FALSE))))</f>
        <v>0</v>
      </c>
      <c r="AV578" s="10" t="str">
        <f t="shared" ref="AV578:AV641" si="67">TEXT(A578, "MMDD")&amp;" "&amp;TEXT(B578, "HH:MM:SS")&amp;"-"&amp;C578&amp;"-"&amp;D578&amp;"-"&amp;E578&amp;"-"&amp;F578&amp;"-"&amp;G578&amp;"-"&amp;H578</f>
        <v>0105 10:41:00-EFK-0-FIL-1-SW-UKN</v>
      </c>
    </row>
    <row r="579" spans="1:48" s="10" customFormat="1" x14ac:dyDescent="0.55000000000000004">
      <c r="A579" s="32">
        <v>44931</v>
      </c>
      <c r="B579" s="33">
        <v>0.45069444444444445</v>
      </c>
      <c r="C579" s="10" t="s">
        <v>333</v>
      </c>
      <c r="D579" s="10">
        <v>0</v>
      </c>
      <c r="E579" s="10" t="s">
        <v>911</v>
      </c>
      <c r="F579" s="10">
        <v>1</v>
      </c>
      <c r="G579" s="10" t="s">
        <v>231</v>
      </c>
      <c r="H579" s="10" t="s">
        <v>322</v>
      </c>
      <c r="I579" s="10" t="s">
        <v>209</v>
      </c>
      <c r="J579" s="10">
        <v>18</v>
      </c>
      <c r="K579" s="12">
        <v>44937</v>
      </c>
      <c r="L579" s="33">
        <v>0.50921296296296303</v>
      </c>
      <c r="M579" s="10">
        <v>1</v>
      </c>
      <c r="N579" s="10" t="s">
        <v>169</v>
      </c>
      <c r="O579" s="10">
        <v>6.59</v>
      </c>
      <c r="P579" s="10">
        <v>0.313</v>
      </c>
      <c r="Q579" s="10">
        <v>869</v>
      </c>
      <c r="R579" s="10" t="s">
        <v>77</v>
      </c>
      <c r="S579" s="34">
        <f t="shared" si="63"/>
        <v>869</v>
      </c>
      <c r="T579" s="10" t="s">
        <v>1002</v>
      </c>
      <c r="U579" s="34" t="str">
        <f t="shared" si="64"/>
        <v/>
      </c>
      <c r="V579" s="31" t="str">
        <f>IF(H579="CHK",VLOOKUP(I579,QCCHK,3,),IF(H579="GUP",VLOOKUP(E579,QCGUP,2,),IF(AND(H579="ATP",OR(I579="TN",I579="TDN",I579="TNO2-3",I579="NO2-3")),VLOOKUP(E579,QCREC_N,2,),IF(AND(H579="NIC",OR(I579="TN",I579="TDN",I579="TNO2-3",I579="NO2-3")),VLOOKUP(E579,QCNIC_N,2,),IF(AND(H579="UREA",OR(I579="TN",I579="TDN",I579="TNO2-3",I579="NO2-3")),VLOOKUP(E579,QCUREA_N,2,),IF(H579="PER",VLOOKUP(I579,QCPER,MATCH(E579,QCACTUAL!$J$25:$AA$25,0),),IF(H579="SPK",VLOOKUP(I579,QCSPK,3,),IF(AND(H579="ATP",OR(I579="TP",I579="TDP")),VLOOKUP(E579,QCATP_P,2,),""))))))))</f>
        <v/>
      </c>
      <c r="W579" s="31" t="str">
        <f t="shared" si="65"/>
        <v>TRUE</v>
      </c>
      <c r="X579" s="31" t="str">
        <f t="shared" si="66"/>
        <v/>
      </c>
      <c r="Y579" s="10" t="s">
        <v>992</v>
      </c>
      <c r="Z579" s="10" t="s">
        <v>910</v>
      </c>
      <c r="AL579" s="10" t="str">
        <f t="shared" ref="AL579:AN642" si="68">IF($O579="", "", IF(AQ579&lt;&gt;"", SUBSTITUTE(SUBSTITUTE(AQ579, "x", "*"&amp;$O579&amp;"^", 1), "x", "*"&amp;$O579, 1), ""))</f>
        <v>FALSE</v>
      </c>
      <c r="AM579" s="10" t="str">
        <f t="shared" si="68"/>
        <v>FALSE</v>
      </c>
      <c r="AN579" s="10" t="str">
        <f t="shared" si="68"/>
        <v>FALSE</v>
      </c>
      <c r="AO579" s="10" t="str">
        <f t="shared" ref="AO579:AP642" si="69">IF($O579="", "FALSE", IF(AT579&lt;&gt;"FALSE", SUBSTITUTE(SUBSTITUTE(AT579, "x", "*"&amp;$O579&amp;"^", 1), "x", "*"&amp;$O579, 1), ""))</f>
        <v>FALSE</v>
      </c>
      <c r="AP579" s="10" t="str">
        <f t="shared" si="69"/>
        <v>FALSE</v>
      </c>
      <c r="AQ579" s="10" t="b">
        <f>IF(AND(I579="TP",S579&lt;=150),VLOOKUP(AF579,TPCalibEq150!$AZ$2:$BB$55,3,),IF(AND(I579="TDP",S579&lt;=150),VLOOKUP(AF579,TPCalibEq150!$AZ$2:$BB$55,3,)))</f>
        <v>0</v>
      </c>
      <c r="AR579" s="10" t="b">
        <f>IF(AND(I579="TP",S579&lt;=300),VLOOKUP(AF579,TPCalibEq300!$AZ$2:$BB$55,3,),IF(AND(I579="TDP",S579&lt;=300),VLOOKUP(AF579,TPCalibEq300!$AZ$2:$BB$55,3,)))</f>
        <v>0</v>
      </c>
      <c r="AS579" s="10" t="b">
        <f>IF(AND(I579="TP",S579&lt;=500),VLOOKUP(AF579,TPCalibEq500!$AZ$2:$BB$56,3,),IF(AND(I579="TDP",S579&lt;=500),VLOOKUP(AF579,TPCalibEq500!$AZ$2:$BB$56,3,)))</f>
        <v>0</v>
      </c>
      <c r="AT579" s="10" t="b">
        <f>IF(AND(I579="TN",S579&lt;=2800),VLOOKUP(AF579,TNCalibEq2500!$AZ$2:$BB$56,3,),IF(AND(I579="TDN",S579&lt;=2800),VLOOKUP(AF579,TNCalibEq2500!$AZ$2:$BB$56,3,)))</f>
        <v>0</v>
      </c>
      <c r="AU579" s="10" t="b">
        <f>IF(I579="TP",VLOOKUP(AF579,TPCalibEqFull!$AZ$2:$BB$56,3),IF(I579="TDP",VLOOKUP(AF579,TPCalibEqFull!$AZ$2:$BB$56,3),IF(I579="TDN",VLOOKUP(AF579,TNCalibEqFull!$AZ$1:$BB$56,3),IF(I579="TN",VLOOKUP(AF579,TNCalibEqFull!$AZ$1:$BB$56,3),FALSE))))</f>
        <v>0</v>
      </c>
      <c r="AV579" s="10" t="str">
        <f t="shared" si="67"/>
        <v>0105 10:49:00-HST-0-FIL-1-SW-UKN</v>
      </c>
    </row>
    <row r="580" spans="1:48" s="10" customFormat="1" x14ac:dyDescent="0.55000000000000004">
      <c r="A580" s="32">
        <v>44932</v>
      </c>
      <c r="B580" s="33">
        <v>0.53333333333333333</v>
      </c>
      <c r="C580" s="10" t="s">
        <v>279</v>
      </c>
      <c r="D580" s="10">
        <v>0</v>
      </c>
      <c r="E580" s="10" t="s">
        <v>911</v>
      </c>
      <c r="F580" s="10">
        <v>1</v>
      </c>
      <c r="G580" s="10" t="s">
        <v>231</v>
      </c>
      <c r="H580" s="10" t="s">
        <v>322</v>
      </c>
      <c r="I580" s="10" t="s">
        <v>209</v>
      </c>
      <c r="J580" s="10">
        <v>19</v>
      </c>
      <c r="K580" s="12">
        <v>44937</v>
      </c>
      <c r="L580" s="33">
        <v>0.5100231481481482</v>
      </c>
      <c r="M580" s="10">
        <v>1</v>
      </c>
      <c r="N580" s="10" t="s">
        <v>169</v>
      </c>
      <c r="O580" s="10">
        <v>5.39</v>
      </c>
      <c r="P580" s="10">
        <v>0.25700000000000001</v>
      </c>
      <c r="Q580" s="10">
        <v>711</v>
      </c>
      <c r="R580" s="10" t="s">
        <v>77</v>
      </c>
      <c r="S580" s="34">
        <f t="shared" si="63"/>
        <v>711</v>
      </c>
      <c r="T580" s="10" t="s">
        <v>1002</v>
      </c>
      <c r="U580" s="34" t="str">
        <f t="shared" si="64"/>
        <v/>
      </c>
      <c r="V580" s="31" t="str">
        <f>IF(H580="CHK",VLOOKUP(I580,QCCHK,3,),IF(H580="GUP",VLOOKUP(E580,QCGUP,2,),IF(AND(H580="ATP",OR(I580="TN",I580="TDN",I580="TNO2-3",I580="NO2-3")),VLOOKUP(E580,QCREC_N,2,),IF(AND(H580="NIC",OR(I580="TN",I580="TDN",I580="TNO2-3",I580="NO2-3")),VLOOKUP(E580,QCNIC_N,2,),IF(AND(H580="UREA",OR(I580="TN",I580="TDN",I580="TNO2-3",I580="NO2-3")),VLOOKUP(E580,QCUREA_N,2,),IF(H580="PER",VLOOKUP(I580,QCPER,MATCH(E580,QCACTUAL!$J$25:$AA$25,0),),IF(H580="SPK",VLOOKUP(I580,QCSPK,3,),IF(AND(H580="ATP",OR(I580="TP",I580="TDP")),VLOOKUP(E580,QCATP_P,2,),""))))))))</f>
        <v/>
      </c>
      <c r="W580" s="31" t="str">
        <f t="shared" si="65"/>
        <v>TRUE</v>
      </c>
      <c r="X580" s="31" t="str">
        <f t="shared" si="66"/>
        <v/>
      </c>
      <c r="Y580" s="10" t="s">
        <v>992</v>
      </c>
      <c r="Z580" s="10" t="s">
        <v>910</v>
      </c>
      <c r="AL580" s="10" t="str">
        <f t="shared" si="68"/>
        <v>FALSE</v>
      </c>
      <c r="AM580" s="10" t="str">
        <f t="shared" si="68"/>
        <v>FALSE</v>
      </c>
      <c r="AN580" s="10" t="str">
        <f t="shared" si="68"/>
        <v>FALSE</v>
      </c>
      <c r="AO580" s="10" t="str">
        <f t="shared" si="69"/>
        <v>FALSE</v>
      </c>
      <c r="AP580" s="10" t="str">
        <f t="shared" si="69"/>
        <v>FALSE</v>
      </c>
      <c r="AQ580" s="10" t="b">
        <f>IF(AND(I580="TP",S580&lt;=150),VLOOKUP(AF580,TPCalibEq150!$AZ$2:$BB$55,3,),IF(AND(I580="TDP",S580&lt;=150),VLOOKUP(AF580,TPCalibEq150!$AZ$2:$BB$55,3,)))</f>
        <v>0</v>
      </c>
      <c r="AR580" s="10" t="b">
        <f>IF(AND(I580="TP",S580&lt;=300),VLOOKUP(AF580,TPCalibEq300!$AZ$2:$BB$55,3,),IF(AND(I580="TDP",S580&lt;=300),VLOOKUP(AF580,TPCalibEq300!$AZ$2:$BB$55,3,)))</f>
        <v>0</v>
      </c>
      <c r="AS580" s="10" t="b">
        <f>IF(AND(I580="TP",S580&lt;=500),VLOOKUP(AF580,TPCalibEq500!$AZ$2:$BB$56,3,),IF(AND(I580="TDP",S580&lt;=500),VLOOKUP(AF580,TPCalibEq500!$AZ$2:$BB$56,3,)))</f>
        <v>0</v>
      </c>
      <c r="AT580" s="10" t="b">
        <f>IF(AND(I580="TN",S580&lt;=2800),VLOOKUP(AF580,TNCalibEq2500!$AZ$2:$BB$56,3,),IF(AND(I580="TDN",S580&lt;=2800),VLOOKUP(AF580,TNCalibEq2500!$AZ$2:$BB$56,3,)))</f>
        <v>0</v>
      </c>
      <c r="AU580" s="10" t="b">
        <f>IF(I580="TP",VLOOKUP(AF580,TPCalibEqFull!$AZ$2:$BB$56,3),IF(I580="TDP",VLOOKUP(AF580,TPCalibEqFull!$AZ$2:$BB$56,3),IF(I580="TDN",VLOOKUP(AF580,TNCalibEqFull!$AZ$1:$BB$56,3),IF(I580="TN",VLOOKUP(AF580,TNCalibEqFull!$AZ$1:$BB$56,3),FALSE))))</f>
        <v>0</v>
      </c>
      <c r="AV580" s="10" t="str">
        <f t="shared" si="67"/>
        <v>0106 12:48:00-EFK-0-FIL-1-SW-UKN</v>
      </c>
    </row>
    <row r="581" spans="1:48" s="10" customFormat="1" x14ac:dyDescent="0.55000000000000004">
      <c r="A581" s="32">
        <v>44932</v>
      </c>
      <c r="B581" s="33">
        <v>0.52430555555555558</v>
      </c>
      <c r="C581" s="10" t="s">
        <v>333</v>
      </c>
      <c r="D581" s="10">
        <v>0</v>
      </c>
      <c r="E581" s="10" t="s">
        <v>911</v>
      </c>
      <c r="F581" s="10">
        <v>1</v>
      </c>
      <c r="G581" s="10" t="s">
        <v>231</v>
      </c>
      <c r="H581" s="10" t="s">
        <v>322</v>
      </c>
      <c r="I581" s="10" t="s">
        <v>209</v>
      </c>
      <c r="J581" s="10">
        <v>20</v>
      </c>
      <c r="K581" s="12">
        <v>44937</v>
      </c>
      <c r="L581" s="33">
        <v>0.51085648148148144</v>
      </c>
      <c r="M581" s="10">
        <v>1</v>
      </c>
      <c r="N581" s="10" t="s">
        <v>169</v>
      </c>
      <c r="O581" s="10">
        <v>6.19</v>
      </c>
      <c r="P581" s="10">
        <v>0.29399999999999998</v>
      </c>
      <c r="Q581" s="10">
        <v>817</v>
      </c>
      <c r="R581" s="10" t="s">
        <v>77</v>
      </c>
      <c r="S581" s="34">
        <f t="shared" si="63"/>
        <v>817</v>
      </c>
      <c r="T581" s="10" t="s">
        <v>1002</v>
      </c>
      <c r="U581" s="34" t="str">
        <f t="shared" si="64"/>
        <v/>
      </c>
      <c r="V581" s="31" t="str">
        <f>IF(H581="CHK",VLOOKUP(I581,QCCHK,3,),IF(H581="GUP",VLOOKUP(E581,QCGUP,2,),IF(AND(H581="ATP",OR(I581="TN",I581="TDN",I581="TNO2-3",I581="NO2-3")),VLOOKUP(E581,QCREC_N,2,),IF(AND(H581="NIC",OR(I581="TN",I581="TDN",I581="TNO2-3",I581="NO2-3")),VLOOKUP(E581,QCNIC_N,2,),IF(AND(H581="UREA",OR(I581="TN",I581="TDN",I581="TNO2-3",I581="NO2-3")),VLOOKUP(E581,QCUREA_N,2,),IF(H581="PER",VLOOKUP(I581,QCPER,MATCH(E581,QCACTUAL!$J$25:$AA$25,0),),IF(H581="SPK",VLOOKUP(I581,QCSPK,3,),IF(AND(H581="ATP",OR(I581="TP",I581="TDP")),VLOOKUP(E581,QCATP_P,2,),""))))))))</f>
        <v/>
      </c>
      <c r="W581" s="31" t="str">
        <f t="shared" si="65"/>
        <v>TRUE</v>
      </c>
      <c r="X581" s="31" t="str">
        <f t="shared" si="66"/>
        <v/>
      </c>
      <c r="Y581" s="10" t="s">
        <v>992</v>
      </c>
      <c r="Z581" s="10" t="s">
        <v>910</v>
      </c>
      <c r="AL581" s="10" t="str">
        <f t="shared" si="68"/>
        <v>FALSE</v>
      </c>
      <c r="AM581" s="10" t="str">
        <f t="shared" si="68"/>
        <v>FALSE</v>
      </c>
      <c r="AN581" s="10" t="str">
        <f t="shared" si="68"/>
        <v>FALSE</v>
      </c>
      <c r="AO581" s="10" t="str">
        <f t="shared" si="69"/>
        <v>FALSE</v>
      </c>
      <c r="AP581" s="10" t="str">
        <f t="shared" si="69"/>
        <v>FALSE</v>
      </c>
      <c r="AQ581" s="10" t="b">
        <f>IF(AND(I581="TP",S581&lt;=150),VLOOKUP(AF581,TPCalibEq150!$AZ$2:$BB$55,3,),IF(AND(I581="TDP",S581&lt;=150),VLOOKUP(AF581,TPCalibEq150!$AZ$2:$BB$55,3,)))</f>
        <v>0</v>
      </c>
      <c r="AR581" s="10" t="b">
        <f>IF(AND(I581="TP",S581&lt;=300),VLOOKUP(AF581,TPCalibEq300!$AZ$2:$BB$55,3,),IF(AND(I581="TDP",S581&lt;=300),VLOOKUP(AF581,TPCalibEq300!$AZ$2:$BB$55,3,)))</f>
        <v>0</v>
      </c>
      <c r="AS581" s="10" t="b">
        <f>IF(AND(I581="TP",S581&lt;=500),VLOOKUP(AF581,TPCalibEq500!$AZ$2:$BB$56,3,),IF(AND(I581="TDP",S581&lt;=500),VLOOKUP(AF581,TPCalibEq500!$AZ$2:$BB$56,3,)))</f>
        <v>0</v>
      </c>
      <c r="AT581" s="10" t="b">
        <f>IF(AND(I581="TN",S581&lt;=2800),VLOOKUP(AF581,TNCalibEq2500!$AZ$2:$BB$56,3,),IF(AND(I581="TDN",S581&lt;=2800),VLOOKUP(AF581,TNCalibEq2500!$AZ$2:$BB$56,3,)))</f>
        <v>0</v>
      </c>
      <c r="AU581" s="10" t="b">
        <f>IF(I581="TP",VLOOKUP(AF581,TPCalibEqFull!$AZ$2:$BB$56,3),IF(I581="TDP",VLOOKUP(AF581,TPCalibEqFull!$AZ$2:$BB$56,3),IF(I581="TDN",VLOOKUP(AF581,TNCalibEqFull!$AZ$1:$BB$56,3),IF(I581="TN",VLOOKUP(AF581,TNCalibEqFull!$AZ$1:$BB$56,3),FALSE))))</f>
        <v>0</v>
      </c>
      <c r="AV581" s="10" t="str">
        <f t="shared" si="67"/>
        <v>0106 12:35:00-HST-0-FIL-1-SW-UKN</v>
      </c>
    </row>
    <row r="582" spans="1:48" s="10" customFormat="1" x14ac:dyDescent="0.55000000000000004">
      <c r="A582" s="32">
        <v>44935</v>
      </c>
      <c r="B582" s="33">
        <v>0.39166666666666666</v>
      </c>
      <c r="C582" s="10" t="s">
        <v>279</v>
      </c>
      <c r="D582" s="10">
        <v>0</v>
      </c>
      <c r="E582" s="10" t="s">
        <v>911</v>
      </c>
      <c r="F582" s="10">
        <v>1</v>
      </c>
      <c r="G582" s="10" t="s">
        <v>231</v>
      </c>
      <c r="H582" s="10" t="s">
        <v>322</v>
      </c>
      <c r="I582" s="10" t="s">
        <v>209</v>
      </c>
      <c r="J582" s="10">
        <v>21</v>
      </c>
      <c r="K582" s="12">
        <v>44937</v>
      </c>
      <c r="L582" s="33">
        <v>0.5116666666666666</v>
      </c>
      <c r="M582" s="10">
        <v>1</v>
      </c>
      <c r="N582" s="10" t="s">
        <v>169</v>
      </c>
      <c r="O582" s="10">
        <v>5.33</v>
      </c>
      <c r="P582" s="10">
        <v>0.254</v>
      </c>
      <c r="Q582" s="10">
        <v>704</v>
      </c>
      <c r="R582" s="10" t="s">
        <v>77</v>
      </c>
      <c r="S582" s="34">
        <f t="shared" si="63"/>
        <v>704</v>
      </c>
      <c r="T582" s="10" t="s">
        <v>1002</v>
      </c>
      <c r="U582" s="34" t="str">
        <f t="shared" si="64"/>
        <v/>
      </c>
      <c r="V582" s="31" t="str">
        <f>IF(H582="CHK",VLOOKUP(I582,QCCHK,3,),IF(H582="GUP",VLOOKUP(E582,QCGUP,2,),IF(AND(H582="ATP",OR(I582="TN",I582="TDN",I582="TNO2-3",I582="NO2-3")),VLOOKUP(E582,QCREC_N,2,),IF(AND(H582="NIC",OR(I582="TN",I582="TDN",I582="TNO2-3",I582="NO2-3")),VLOOKUP(E582,QCNIC_N,2,),IF(AND(H582="UREA",OR(I582="TN",I582="TDN",I582="TNO2-3",I582="NO2-3")),VLOOKUP(E582,QCUREA_N,2,),IF(H582="PER",VLOOKUP(I582,QCPER,MATCH(E582,QCACTUAL!$J$25:$AA$25,0),),IF(H582="SPK",VLOOKUP(I582,QCSPK,3,),IF(AND(H582="ATP",OR(I582="TP",I582="TDP")),VLOOKUP(E582,QCATP_P,2,),""))))))))</f>
        <v/>
      </c>
      <c r="W582" s="31" t="str">
        <f t="shared" si="65"/>
        <v>TRUE</v>
      </c>
      <c r="X582" s="31" t="str">
        <f t="shared" si="66"/>
        <v/>
      </c>
      <c r="Y582" s="10" t="s">
        <v>992</v>
      </c>
      <c r="Z582" s="10" t="s">
        <v>910</v>
      </c>
      <c r="AL582" s="10" t="str">
        <f t="shared" si="68"/>
        <v>FALSE</v>
      </c>
      <c r="AM582" s="10" t="str">
        <f t="shared" si="68"/>
        <v>FALSE</v>
      </c>
      <c r="AN582" s="10" t="str">
        <f t="shared" si="68"/>
        <v>FALSE</v>
      </c>
      <c r="AO582" s="10" t="str">
        <f t="shared" si="69"/>
        <v>FALSE</v>
      </c>
      <c r="AP582" s="10" t="str">
        <f t="shared" si="69"/>
        <v>FALSE</v>
      </c>
      <c r="AQ582" s="10" t="b">
        <f>IF(AND(I582="TP",S582&lt;=150),VLOOKUP(AF582,TPCalibEq150!$AZ$2:$BB$55,3,),IF(AND(I582="TDP",S582&lt;=150),VLOOKUP(AF582,TPCalibEq150!$AZ$2:$BB$55,3,)))</f>
        <v>0</v>
      </c>
      <c r="AR582" s="10" t="b">
        <f>IF(AND(I582="TP",S582&lt;=300),VLOOKUP(AF582,TPCalibEq300!$AZ$2:$BB$55,3,),IF(AND(I582="TDP",S582&lt;=300),VLOOKUP(AF582,TPCalibEq300!$AZ$2:$BB$55,3,)))</f>
        <v>0</v>
      </c>
      <c r="AS582" s="10" t="b">
        <f>IF(AND(I582="TP",S582&lt;=500),VLOOKUP(AF582,TPCalibEq500!$AZ$2:$BB$56,3,),IF(AND(I582="TDP",S582&lt;=500),VLOOKUP(AF582,TPCalibEq500!$AZ$2:$BB$56,3,)))</f>
        <v>0</v>
      </c>
      <c r="AT582" s="10" t="b">
        <f>IF(AND(I582="TN",S582&lt;=2800),VLOOKUP(AF582,TNCalibEq2500!$AZ$2:$BB$56,3,),IF(AND(I582="TDN",S582&lt;=2800),VLOOKUP(AF582,TNCalibEq2500!$AZ$2:$BB$56,3,)))</f>
        <v>0</v>
      </c>
      <c r="AU582" s="10" t="b">
        <f>IF(I582="TP",VLOOKUP(AF582,TPCalibEqFull!$AZ$2:$BB$56,3),IF(I582="TDP",VLOOKUP(AF582,TPCalibEqFull!$AZ$2:$BB$56,3),IF(I582="TDN",VLOOKUP(AF582,TNCalibEqFull!$AZ$1:$BB$56,3),IF(I582="TN",VLOOKUP(AF582,TNCalibEqFull!$AZ$1:$BB$56,3),FALSE))))</f>
        <v>0</v>
      </c>
      <c r="AV582" s="10" t="str">
        <f t="shared" si="67"/>
        <v>0109 09:24:00-EFK-0-FIL-1-SW-UKN</v>
      </c>
    </row>
    <row r="583" spans="1:48" s="10" customFormat="1" x14ac:dyDescent="0.55000000000000004">
      <c r="A583" s="32">
        <v>44935</v>
      </c>
      <c r="B583" s="33">
        <v>0.30208333333333331</v>
      </c>
      <c r="C583" s="10" t="s">
        <v>333</v>
      </c>
      <c r="D583" s="10">
        <v>0</v>
      </c>
      <c r="E583" s="10" t="s">
        <v>911</v>
      </c>
      <c r="F583" s="10">
        <v>1</v>
      </c>
      <c r="G583" s="10" t="s">
        <v>231</v>
      </c>
      <c r="H583" s="10" t="s">
        <v>322</v>
      </c>
      <c r="I583" s="10" t="s">
        <v>209</v>
      </c>
      <c r="J583" s="10">
        <v>22</v>
      </c>
      <c r="K583" s="12">
        <v>44937</v>
      </c>
      <c r="L583" s="33">
        <v>0.51248842592592592</v>
      </c>
      <c r="M583" s="10">
        <v>1</v>
      </c>
      <c r="N583" s="10" t="s">
        <v>169</v>
      </c>
      <c r="O583" s="10">
        <v>6.58</v>
      </c>
      <c r="P583" s="10">
        <v>0.312</v>
      </c>
      <c r="Q583" s="10">
        <v>868</v>
      </c>
      <c r="R583" s="10" t="s">
        <v>77</v>
      </c>
      <c r="S583" s="34">
        <f t="shared" si="63"/>
        <v>868</v>
      </c>
      <c r="T583" s="10" t="s">
        <v>1002</v>
      </c>
      <c r="U583" s="34" t="str">
        <f t="shared" si="64"/>
        <v/>
      </c>
      <c r="V583" s="31" t="str">
        <f>IF(H583="CHK",VLOOKUP(I583,QCCHK,3,),IF(H583="GUP",VLOOKUP(E583,QCGUP,2,),IF(AND(H583="ATP",OR(I583="TN",I583="TDN",I583="TNO2-3",I583="NO2-3")),VLOOKUP(E583,QCREC_N,2,),IF(AND(H583="NIC",OR(I583="TN",I583="TDN",I583="TNO2-3",I583="NO2-3")),VLOOKUP(E583,QCNIC_N,2,),IF(AND(H583="UREA",OR(I583="TN",I583="TDN",I583="TNO2-3",I583="NO2-3")),VLOOKUP(E583,QCUREA_N,2,),IF(H583="PER",VLOOKUP(I583,QCPER,MATCH(E583,QCACTUAL!$J$25:$AA$25,0),),IF(H583="SPK",VLOOKUP(I583,QCSPK,3,),IF(AND(H583="ATP",OR(I583="TP",I583="TDP")),VLOOKUP(E583,QCATP_P,2,),""))))))))</f>
        <v/>
      </c>
      <c r="W583" s="31" t="str">
        <f t="shared" si="65"/>
        <v>TRUE</v>
      </c>
      <c r="X583" s="31" t="str">
        <f t="shared" si="66"/>
        <v/>
      </c>
      <c r="Y583" s="10" t="s">
        <v>992</v>
      </c>
      <c r="Z583" s="10" t="s">
        <v>910</v>
      </c>
      <c r="AL583" s="10" t="str">
        <f t="shared" si="68"/>
        <v>FALSE</v>
      </c>
      <c r="AM583" s="10" t="str">
        <f t="shared" si="68"/>
        <v>FALSE</v>
      </c>
      <c r="AN583" s="10" t="str">
        <f t="shared" si="68"/>
        <v>FALSE</v>
      </c>
      <c r="AO583" s="10" t="str">
        <f t="shared" si="69"/>
        <v>FALSE</v>
      </c>
      <c r="AP583" s="10" t="str">
        <f t="shared" si="69"/>
        <v>FALSE</v>
      </c>
      <c r="AQ583" s="10" t="b">
        <f>IF(AND(I583="TP",S583&lt;=150),VLOOKUP(AF583,TPCalibEq150!$AZ$2:$BB$55,3,),IF(AND(I583="TDP",S583&lt;=150),VLOOKUP(AF583,TPCalibEq150!$AZ$2:$BB$55,3,)))</f>
        <v>0</v>
      </c>
      <c r="AR583" s="10" t="b">
        <f>IF(AND(I583="TP",S583&lt;=300),VLOOKUP(AF583,TPCalibEq300!$AZ$2:$BB$55,3,),IF(AND(I583="TDP",S583&lt;=300),VLOOKUP(AF583,TPCalibEq300!$AZ$2:$BB$55,3,)))</f>
        <v>0</v>
      </c>
      <c r="AS583" s="10" t="b">
        <f>IF(AND(I583="TP",S583&lt;=500),VLOOKUP(AF583,TPCalibEq500!$AZ$2:$BB$56,3,),IF(AND(I583="TDP",S583&lt;=500),VLOOKUP(AF583,TPCalibEq500!$AZ$2:$BB$56,3,)))</f>
        <v>0</v>
      </c>
      <c r="AT583" s="10" t="b">
        <f>IF(AND(I583="TN",S583&lt;=2800),VLOOKUP(AF583,TNCalibEq2500!$AZ$2:$BB$56,3,),IF(AND(I583="TDN",S583&lt;=2800),VLOOKUP(AF583,TNCalibEq2500!$AZ$2:$BB$56,3,)))</f>
        <v>0</v>
      </c>
      <c r="AU583" s="10" t="b">
        <f>IF(I583="TP",VLOOKUP(AF583,TPCalibEqFull!$AZ$2:$BB$56,3),IF(I583="TDP",VLOOKUP(AF583,TPCalibEqFull!$AZ$2:$BB$56,3),IF(I583="TDN",VLOOKUP(AF583,TNCalibEqFull!$AZ$1:$BB$56,3),IF(I583="TN",VLOOKUP(AF583,TNCalibEqFull!$AZ$1:$BB$56,3),FALSE))))</f>
        <v>0</v>
      </c>
      <c r="AV583" s="10" t="str">
        <f t="shared" si="67"/>
        <v>0109 07:15:00-HST-0-FIL-1-SW-UKN</v>
      </c>
    </row>
    <row r="584" spans="1:48" s="10" customFormat="1" x14ac:dyDescent="0.55000000000000004">
      <c r="A584" s="32">
        <v>44936</v>
      </c>
      <c r="B584" s="33">
        <v>0.39166666666666666</v>
      </c>
      <c r="C584" s="10" t="s">
        <v>279</v>
      </c>
      <c r="D584" s="10">
        <v>0</v>
      </c>
      <c r="E584" s="10" t="s">
        <v>911</v>
      </c>
      <c r="F584" s="10">
        <v>1</v>
      </c>
      <c r="G584" s="10" t="s">
        <v>231</v>
      </c>
      <c r="H584" s="10" t="s">
        <v>322</v>
      </c>
      <c r="I584" s="10" t="s">
        <v>209</v>
      </c>
      <c r="J584" s="10">
        <v>23</v>
      </c>
      <c r="K584" s="12">
        <v>44937</v>
      </c>
      <c r="L584" s="33">
        <v>0.51329861111111108</v>
      </c>
      <c r="M584" s="10">
        <v>1</v>
      </c>
      <c r="N584" s="10" t="s">
        <v>169</v>
      </c>
      <c r="O584" s="10">
        <v>6.1</v>
      </c>
      <c r="P584" s="10">
        <v>0.29099999999999998</v>
      </c>
      <c r="Q584" s="10">
        <v>805</v>
      </c>
      <c r="R584" s="10" t="s">
        <v>77</v>
      </c>
      <c r="S584" s="34">
        <f t="shared" si="63"/>
        <v>805</v>
      </c>
      <c r="T584" s="10" t="s">
        <v>1002</v>
      </c>
      <c r="U584" s="34" t="str">
        <f t="shared" si="64"/>
        <v/>
      </c>
      <c r="V584" s="31" t="str">
        <f>IF(H584="CHK",VLOOKUP(I584,QCCHK,3,),IF(H584="GUP",VLOOKUP(E584,QCGUP,2,),IF(AND(H584="ATP",OR(I584="TN",I584="TDN",I584="TNO2-3",I584="NO2-3")),VLOOKUP(E584,QCREC_N,2,),IF(AND(H584="NIC",OR(I584="TN",I584="TDN",I584="TNO2-3",I584="NO2-3")),VLOOKUP(E584,QCNIC_N,2,),IF(AND(H584="UREA",OR(I584="TN",I584="TDN",I584="TNO2-3",I584="NO2-3")),VLOOKUP(E584,QCUREA_N,2,),IF(H584="PER",VLOOKUP(I584,QCPER,MATCH(E584,QCACTUAL!$J$25:$AA$25,0),),IF(H584="SPK",VLOOKUP(I584,QCSPK,3,),IF(AND(H584="ATP",OR(I584="TP",I584="TDP")),VLOOKUP(E584,QCATP_P,2,),""))))))))</f>
        <v/>
      </c>
      <c r="W584" s="31" t="str">
        <f t="shared" si="65"/>
        <v>TRUE</v>
      </c>
      <c r="X584" s="31" t="str">
        <f t="shared" si="66"/>
        <v/>
      </c>
      <c r="Y584" s="10" t="s">
        <v>992</v>
      </c>
      <c r="AL584" s="10" t="str">
        <f t="shared" si="68"/>
        <v>FALSE</v>
      </c>
      <c r="AM584" s="10" t="str">
        <f t="shared" si="68"/>
        <v>FALSE</v>
      </c>
      <c r="AN584" s="10" t="str">
        <f t="shared" si="68"/>
        <v>FALSE</v>
      </c>
      <c r="AO584" s="10" t="str">
        <f t="shared" si="69"/>
        <v>FALSE</v>
      </c>
      <c r="AP584" s="10" t="str">
        <f t="shared" si="69"/>
        <v>FALSE</v>
      </c>
      <c r="AQ584" s="10" t="b">
        <f>IF(AND(I584="TP",S584&lt;=150),VLOOKUP(AF584,TPCalibEq150!$AZ$2:$BB$55,3,),IF(AND(I584="TDP",S584&lt;=150),VLOOKUP(AF584,TPCalibEq150!$AZ$2:$BB$55,3,)))</f>
        <v>0</v>
      </c>
      <c r="AR584" s="10" t="b">
        <f>IF(AND(I584="TP",S584&lt;=300),VLOOKUP(AF584,TPCalibEq300!$AZ$2:$BB$55,3,),IF(AND(I584="TDP",S584&lt;=300),VLOOKUP(AF584,TPCalibEq300!$AZ$2:$BB$55,3,)))</f>
        <v>0</v>
      </c>
      <c r="AS584" s="10" t="b">
        <f>IF(AND(I584="TP",S584&lt;=500),VLOOKUP(AF584,TPCalibEq500!$AZ$2:$BB$56,3,),IF(AND(I584="TDP",S584&lt;=500),VLOOKUP(AF584,TPCalibEq500!$AZ$2:$BB$56,3,)))</f>
        <v>0</v>
      </c>
      <c r="AT584" s="10" t="b">
        <f>IF(AND(I584="TN",S584&lt;=2800),VLOOKUP(AF584,TNCalibEq2500!$AZ$2:$BB$56,3,),IF(AND(I584="TDN",S584&lt;=2800),VLOOKUP(AF584,TNCalibEq2500!$AZ$2:$BB$56,3,)))</f>
        <v>0</v>
      </c>
      <c r="AU584" s="10" t="b">
        <f>IF(I584="TP",VLOOKUP(AF584,TPCalibEqFull!$AZ$2:$BB$56,3),IF(I584="TDP",VLOOKUP(AF584,TPCalibEqFull!$AZ$2:$BB$56,3),IF(I584="TDN",VLOOKUP(AF584,TNCalibEqFull!$AZ$1:$BB$56,3),IF(I584="TN",VLOOKUP(AF584,TNCalibEqFull!$AZ$1:$BB$56,3),FALSE))))</f>
        <v>0</v>
      </c>
      <c r="AV584" s="10" t="str">
        <f t="shared" si="67"/>
        <v>0110 09:24:00-EFK-0-FIL-1-SW-UKN</v>
      </c>
    </row>
    <row r="585" spans="1:48" s="10" customFormat="1" x14ac:dyDescent="0.55000000000000004">
      <c r="A585" s="32">
        <v>44936</v>
      </c>
      <c r="B585" s="33">
        <v>0.39583333333333331</v>
      </c>
      <c r="C585" s="10" t="s">
        <v>333</v>
      </c>
      <c r="D585" s="10">
        <v>0</v>
      </c>
      <c r="E585" s="10" t="s">
        <v>911</v>
      </c>
      <c r="F585" s="10">
        <v>1</v>
      </c>
      <c r="G585" s="10" t="s">
        <v>231</v>
      </c>
      <c r="H585" s="10" t="s">
        <v>322</v>
      </c>
      <c r="I585" s="10" t="s">
        <v>209</v>
      </c>
      <c r="J585" s="10">
        <v>24</v>
      </c>
      <c r="K585" s="12">
        <v>44937</v>
      </c>
      <c r="L585" s="33">
        <v>0.51414351851851847</v>
      </c>
      <c r="M585" s="10">
        <v>1</v>
      </c>
      <c r="N585" s="10" t="s">
        <v>169</v>
      </c>
      <c r="O585" s="10">
        <v>6.12</v>
      </c>
      <c r="P585" s="10">
        <v>0.28999999999999998</v>
      </c>
      <c r="Q585" s="10">
        <v>807</v>
      </c>
      <c r="R585" s="10" t="s">
        <v>77</v>
      </c>
      <c r="S585" s="34">
        <f t="shared" si="63"/>
        <v>807</v>
      </c>
      <c r="T585" s="10" t="s">
        <v>1002</v>
      </c>
      <c r="U585" s="34" t="str">
        <f t="shared" si="64"/>
        <v/>
      </c>
      <c r="V585" s="31" t="str">
        <f>IF(H585="CHK",VLOOKUP(I585,QCCHK,3,),IF(H585="GUP",VLOOKUP(E585,QCGUP,2,),IF(AND(H585="ATP",OR(I585="TN",I585="TDN",I585="TNO2-3",I585="NO2-3")),VLOOKUP(E585,QCREC_N,2,),IF(AND(H585="NIC",OR(I585="TN",I585="TDN",I585="TNO2-3",I585="NO2-3")),VLOOKUP(E585,QCNIC_N,2,),IF(AND(H585="UREA",OR(I585="TN",I585="TDN",I585="TNO2-3",I585="NO2-3")),VLOOKUP(E585,QCUREA_N,2,),IF(H585="PER",VLOOKUP(I585,QCPER,MATCH(E585,QCACTUAL!$J$25:$AA$25,0),),IF(H585="SPK",VLOOKUP(I585,QCSPK,3,),IF(AND(H585="ATP",OR(I585="TP",I585="TDP")),VLOOKUP(E585,QCATP_P,2,),""))))))))</f>
        <v/>
      </c>
      <c r="W585" s="31" t="str">
        <f t="shared" si="65"/>
        <v>TRUE</v>
      </c>
      <c r="X585" s="31" t="str">
        <f t="shared" si="66"/>
        <v/>
      </c>
      <c r="Y585" s="10" t="s">
        <v>992</v>
      </c>
      <c r="AL585" s="10" t="str">
        <f t="shared" si="68"/>
        <v>FALSE</v>
      </c>
      <c r="AM585" s="10" t="str">
        <f t="shared" si="68"/>
        <v>FALSE</v>
      </c>
      <c r="AN585" s="10" t="str">
        <f t="shared" si="68"/>
        <v>FALSE</v>
      </c>
      <c r="AO585" s="10" t="str">
        <f t="shared" si="69"/>
        <v>FALSE</v>
      </c>
      <c r="AP585" s="10" t="str">
        <f t="shared" si="69"/>
        <v>FALSE</v>
      </c>
      <c r="AQ585" s="10" t="b">
        <f>IF(AND(I585="TP",S585&lt;=150),VLOOKUP(AF585,TPCalibEq150!$AZ$2:$BB$55,3,),IF(AND(I585="TDP",S585&lt;=150),VLOOKUP(AF585,TPCalibEq150!$AZ$2:$BB$55,3,)))</f>
        <v>0</v>
      </c>
      <c r="AR585" s="10" t="b">
        <f>IF(AND(I585="TP",S585&lt;=300),VLOOKUP(AF585,TPCalibEq300!$AZ$2:$BB$55,3,),IF(AND(I585="TDP",S585&lt;=300),VLOOKUP(AF585,TPCalibEq300!$AZ$2:$BB$55,3,)))</f>
        <v>0</v>
      </c>
      <c r="AS585" s="10" t="b">
        <f>IF(AND(I585="TP",S585&lt;=500),VLOOKUP(AF585,TPCalibEq500!$AZ$2:$BB$56,3,),IF(AND(I585="TDP",S585&lt;=500),VLOOKUP(AF585,TPCalibEq500!$AZ$2:$BB$56,3,)))</f>
        <v>0</v>
      </c>
      <c r="AT585" s="10" t="b">
        <f>IF(AND(I585="TN",S585&lt;=2800),VLOOKUP(AF585,TNCalibEq2500!$AZ$2:$BB$56,3,),IF(AND(I585="TDN",S585&lt;=2800),VLOOKUP(AF585,TNCalibEq2500!$AZ$2:$BB$56,3,)))</f>
        <v>0</v>
      </c>
      <c r="AU585" s="10" t="b">
        <f>IF(I585="TP",VLOOKUP(AF585,TPCalibEqFull!$AZ$2:$BB$56,3),IF(I585="TDP",VLOOKUP(AF585,TPCalibEqFull!$AZ$2:$BB$56,3),IF(I585="TDN",VLOOKUP(AF585,TNCalibEqFull!$AZ$1:$BB$56,3),IF(I585="TN",VLOOKUP(AF585,TNCalibEqFull!$AZ$1:$BB$56,3),FALSE))))</f>
        <v>0</v>
      </c>
      <c r="AV585" s="10" t="str">
        <f t="shared" si="67"/>
        <v>0110 09:30:00-HST-0-FIL-1-SW-UKN</v>
      </c>
    </row>
    <row r="586" spans="1:48" s="10" customFormat="1" x14ac:dyDescent="0.55000000000000004">
      <c r="A586" s="32">
        <v>44936</v>
      </c>
      <c r="B586" s="33">
        <v>0.39583333333333331</v>
      </c>
      <c r="C586" s="10" t="s">
        <v>333</v>
      </c>
      <c r="D586" s="10">
        <v>0</v>
      </c>
      <c r="E586" s="10" t="s">
        <v>911</v>
      </c>
      <c r="F586" s="10">
        <v>1</v>
      </c>
      <c r="G586" s="10" t="s">
        <v>231</v>
      </c>
      <c r="H586" s="10" t="s">
        <v>233</v>
      </c>
      <c r="I586" s="10" t="s">
        <v>209</v>
      </c>
      <c r="J586" s="10">
        <v>24</v>
      </c>
      <c r="K586" s="12">
        <v>44937</v>
      </c>
      <c r="L586" s="33">
        <v>0.51493055555555556</v>
      </c>
      <c r="M586" s="10">
        <v>1</v>
      </c>
      <c r="N586" s="10" t="s">
        <v>169</v>
      </c>
      <c r="O586" s="10">
        <v>6.08</v>
      </c>
      <c r="P586" s="10">
        <v>0.28799999999999998</v>
      </c>
      <c r="Q586" s="10">
        <v>802</v>
      </c>
      <c r="R586" s="10" t="s">
        <v>77</v>
      </c>
      <c r="S586" s="34">
        <f t="shared" si="63"/>
        <v>802</v>
      </c>
      <c r="T586" s="10" t="s">
        <v>1002</v>
      </c>
      <c r="U586" s="34">
        <f t="shared" si="64"/>
        <v>0.62150403977625857</v>
      </c>
      <c r="V586" s="31" t="str">
        <f>IF(H586="CHK",VLOOKUP(I586,QCCHK,3,),IF(H586="GUP",VLOOKUP(E586,QCGUP,2,),IF(AND(H586="ATP",OR(I586="TN",I586="TDN",I586="TNO2-3",I586="NO2-3")),VLOOKUP(E586,QCREC_N,2,),IF(AND(H586="NIC",OR(I586="TN",I586="TDN",I586="TNO2-3",I586="NO2-3")),VLOOKUP(E586,QCNIC_N,2,),IF(AND(H586="UREA",OR(I586="TN",I586="TDN",I586="TNO2-3",I586="NO2-3")),VLOOKUP(E586,QCUREA_N,2,),IF(H586="PER",VLOOKUP(I586,QCPER,MATCH(E586,QCACTUAL!$J$25:$AA$25,0),),IF(H586="SPK",VLOOKUP(I586,QCSPK,3,),IF(AND(H586="ATP",OR(I586="TP",I586="TDP")),VLOOKUP(E586,QCATP_P,2,),""))))))))</f>
        <v/>
      </c>
      <c r="W586" s="31" t="str">
        <f t="shared" si="65"/>
        <v>TRUE</v>
      </c>
      <c r="X586" s="31" t="str">
        <f t="shared" si="66"/>
        <v>((ABS(rep1-rep2))/((rep1+rep2)/2)*100</v>
      </c>
      <c r="Y586" s="10" t="s">
        <v>992</v>
      </c>
      <c r="AL586" s="10" t="str">
        <f t="shared" si="68"/>
        <v>FALSE</v>
      </c>
      <c r="AM586" s="10" t="str">
        <f t="shared" si="68"/>
        <v>FALSE</v>
      </c>
      <c r="AN586" s="10" t="str">
        <f t="shared" si="68"/>
        <v>FALSE</v>
      </c>
      <c r="AO586" s="10" t="str">
        <f t="shared" si="69"/>
        <v>FALSE</v>
      </c>
      <c r="AP586" s="10" t="str">
        <f t="shared" si="69"/>
        <v>FALSE</v>
      </c>
      <c r="AQ586" s="10" t="b">
        <f>IF(AND(I586="TP",S586&lt;=150),VLOOKUP(AF586,TPCalibEq150!$AZ$2:$BB$55,3,),IF(AND(I586="TDP",S586&lt;=150),VLOOKUP(AF586,TPCalibEq150!$AZ$2:$BB$55,3,)))</f>
        <v>0</v>
      </c>
      <c r="AR586" s="10" t="b">
        <f>IF(AND(I586="TP",S586&lt;=300),VLOOKUP(AF586,TPCalibEq300!$AZ$2:$BB$55,3,),IF(AND(I586="TDP",S586&lt;=300),VLOOKUP(AF586,TPCalibEq300!$AZ$2:$BB$55,3,)))</f>
        <v>0</v>
      </c>
      <c r="AS586" s="10" t="b">
        <f>IF(AND(I586="TP",S586&lt;=500),VLOOKUP(AF586,TPCalibEq500!$AZ$2:$BB$56,3,),IF(AND(I586="TDP",S586&lt;=500),VLOOKUP(AF586,TPCalibEq500!$AZ$2:$BB$56,3,)))</f>
        <v>0</v>
      </c>
      <c r="AT586" s="10" t="b">
        <f>IF(AND(I586="TN",S586&lt;=2800),VLOOKUP(AF586,TNCalibEq2500!$AZ$2:$BB$56,3,),IF(AND(I586="TDN",S586&lt;=2800),VLOOKUP(AF586,TNCalibEq2500!$AZ$2:$BB$56,3,)))</f>
        <v>0</v>
      </c>
      <c r="AU586" s="10" t="b">
        <f>IF(I586="TP",VLOOKUP(AF586,TPCalibEqFull!$AZ$2:$BB$56,3),IF(I586="TDP",VLOOKUP(AF586,TPCalibEqFull!$AZ$2:$BB$56,3),IF(I586="TDN",VLOOKUP(AF586,TNCalibEqFull!$AZ$1:$BB$56,3),IF(I586="TN",VLOOKUP(AF586,TNCalibEqFull!$AZ$1:$BB$56,3),FALSE))))</f>
        <v>0</v>
      </c>
      <c r="AV586" s="10" t="str">
        <f t="shared" si="67"/>
        <v>0110 09:30:00-HST-0-FIL-1-SW-DUP</v>
      </c>
    </row>
    <row r="587" spans="1:48" s="10" customFormat="1" x14ac:dyDescent="0.55000000000000004">
      <c r="A587" s="32">
        <v>44936</v>
      </c>
      <c r="B587" s="33">
        <v>0.39583333333333331</v>
      </c>
      <c r="C587" s="10" t="s">
        <v>912</v>
      </c>
      <c r="D587" s="10">
        <v>0</v>
      </c>
      <c r="E587" s="10" t="s">
        <v>911</v>
      </c>
      <c r="F587" s="10">
        <v>1</v>
      </c>
      <c r="G587" s="10" t="s">
        <v>231</v>
      </c>
      <c r="H587" s="10" t="s">
        <v>314</v>
      </c>
      <c r="I587" s="10" t="s">
        <v>209</v>
      </c>
      <c r="J587" s="10">
        <v>31</v>
      </c>
      <c r="K587" s="12">
        <v>44937</v>
      </c>
      <c r="L587" s="33">
        <v>0.51575231481481476</v>
      </c>
      <c r="M587" s="10">
        <v>1</v>
      </c>
      <c r="N587" s="10" t="s">
        <v>169</v>
      </c>
      <c r="O587" s="10">
        <v>11</v>
      </c>
      <c r="P587" s="10">
        <v>0.52300000000000002</v>
      </c>
      <c r="Q587" s="10">
        <v>1450</v>
      </c>
      <c r="R587" s="10" t="s">
        <v>77</v>
      </c>
      <c r="S587" s="34">
        <f t="shared" si="63"/>
        <v>1450</v>
      </c>
      <c r="T587" s="10" t="s">
        <v>1002</v>
      </c>
      <c r="U587" s="34">
        <f t="shared" si="64"/>
        <v>103.67999999999999</v>
      </c>
      <c r="V587" s="31">
        <f>IF(H587="CHK",VLOOKUP(I587,QCCHK,3,),IF(H587="GUP",VLOOKUP(E587,QCGUP,2,),IF(AND(H587="ATP",OR(I587="TN",I587="TDN",I587="TNO2-3",I587="NO2-3")),VLOOKUP(E587,QCREC_N,2,),IF(AND(H587="NIC",OR(I587="TN",I587="TDN",I587="TNO2-3",I587="NO2-3")),VLOOKUP(E587,QCNIC_N,2,),IF(AND(H587="UREA",OR(I587="TN",I587="TDN",I587="TNO2-3",I587="NO2-3")),VLOOKUP(E587,QCUREA_N,2,),IF(H587="PER",VLOOKUP(I587,QCPER,MATCH(E587,QCACTUAL!$J$25:$AA$25,0),),IF(H587="SPK",VLOOKUP(I587,QCSPK,3,),IF(AND(H587="ATP",OR(I587="TP",I587="TDP")),VLOOKUP(E587,QCATP_P,2,),""))))))))</f>
        <v>625</v>
      </c>
      <c r="W587" s="31" t="str">
        <f t="shared" si="65"/>
        <v>TRUE</v>
      </c>
      <c r="X587" s="31" t="str">
        <f t="shared" si="66"/>
        <v>([spikedunkn]-[unkn])/[spike]*100</v>
      </c>
      <c r="Y587" s="10" t="s">
        <v>992</v>
      </c>
      <c r="AL587" s="10" t="str">
        <f t="shared" si="68"/>
        <v>FALSE</v>
      </c>
      <c r="AM587" s="10" t="str">
        <f t="shared" si="68"/>
        <v>FALSE</v>
      </c>
      <c r="AN587" s="10" t="str">
        <f t="shared" si="68"/>
        <v>FALSE</v>
      </c>
      <c r="AO587" s="10" t="str">
        <f t="shared" si="69"/>
        <v>FALSE</v>
      </c>
      <c r="AP587" s="10" t="str">
        <f t="shared" si="69"/>
        <v>FALSE</v>
      </c>
      <c r="AQ587" s="10" t="b">
        <f>IF(AND(I587="TP",S587&lt;=150),VLOOKUP(AF587,TPCalibEq150!$AZ$2:$BB$55,3,),IF(AND(I587="TDP",S587&lt;=150),VLOOKUP(AF587,TPCalibEq150!$AZ$2:$BB$55,3,)))</f>
        <v>0</v>
      </c>
      <c r="AR587" s="10" t="b">
        <f>IF(AND(I587="TP",S587&lt;=300),VLOOKUP(AF587,TPCalibEq300!$AZ$2:$BB$55,3,),IF(AND(I587="TDP",S587&lt;=300),VLOOKUP(AF587,TPCalibEq300!$AZ$2:$BB$55,3,)))</f>
        <v>0</v>
      </c>
      <c r="AS587" s="10" t="b">
        <f>IF(AND(I587="TP",S587&lt;=500),VLOOKUP(AF587,TPCalibEq500!$AZ$2:$BB$56,3,),IF(AND(I587="TDP",S587&lt;=500),VLOOKUP(AF587,TPCalibEq500!$AZ$2:$BB$56,3,)))</f>
        <v>0</v>
      </c>
      <c r="AT587" s="10" t="b">
        <f>IF(AND(I587="TN",S587&lt;=2800),VLOOKUP(AF587,TNCalibEq2500!$AZ$2:$BB$56,3,),IF(AND(I587="TDN",S587&lt;=2800),VLOOKUP(AF587,TNCalibEq2500!$AZ$2:$BB$56,3,)))</f>
        <v>0</v>
      </c>
      <c r="AU587" s="10" t="b">
        <f>IF(I587="TP",VLOOKUP(AF587,TPCalibEqFull!$AZ$2:$BB$56,3),IF(I587="TDP",VLOOKUP(AF587,TPCalibEqFull!$AZ$2:$BB$56,3),IF(I587="TDN",VLOOKUP(AF587,TNCalibEqFull!$AZ$1:$BB$56,3),IF(I587="TN",VLOOKUP(AF587,TNCalibEqFull!$AZ$1:$BB$56,3),FALSE))))</f>
        <v>0</v>
      </c>
      <c r="AV587" s="10" t="str">
        <f t="shared" si="67"/>
        <v>0110 09:30:00-HST -0-FIL-1-SW-SPK</v>
      </c>
    </row>
    <row r="588" spans="1:48" s="10" customFormat="1" x14ac:dyDescent="0.55000000000000004">
      <c r="A588" s="32">
        <v>44937</v>
      </c>
      <c r="B588" s="33">
        <v>0.375</v>
      </c>
      <c r="C588" s="10" t="s">
        <v>70</v>
      </c>
      <c r="D588" s="10" t="s">
        <v>71</v>
      </c>
      <c r="E588" s="10" t="s">
        <v>901</v>
      </c>
      <c r="F588" s="10">
        <v>1</v>
      </c>
      <c r="G588" s="10" t="s">
        <v>73</v>
      </c>
      <c r="H588" s="10" t="s">
        <v>207</v>
      </c>
      <c r="I588" s="10" t="s">
        <v>256</v>
      </c>
      <c r="J588" s="10">
        <v>200</v>
      </c>
      <c r="K588" s="12">
        <v>44937</v>
      </c>
      <c r="L588" s="33">
        <v>0.51657407407407407</v>
      </c>
      <c r="M588" s="10">
        <v>1</v>
      </c>
      <c r="N588" s="10" t="s">
        <v>169</v>
      </c>
      <c r="O588" s="10">
        <v>2.2999999999999998</v>
      </c>
      <c r="P588" s="10">
        <v>0.113</v>
      </c>
      <c r="Q588" s="10">
        <v>304</v>
      </c>
      <c r="R588" s="10" t="s">
        <v>77</v>
      </c>
      <c r="S588" s="34">
        <f t="shared" si="63"/>
        <v>304</v>
      </c>
      <c r="T588" s="10" t="s">
        <v>1002</v>
      </c>
      <c r="U588" s="34">
        <f t="shared" si="64"/>
        <v>101.33333333333334</v>
      </c>
      <c r="V588" s="31">
        <f>IF(H588="CHK",VLOOKUP(I588,QCCHK,3,),IF(H588="GUP",VLOOKUP(E588,QCGUP,2,),IF(AND(H588="ATP",OR(I588="TN",I588="TDN",I588="TNO2-3",I588="NO2-3")),VLOOKUP(E588,QCREC_N,2,),IF(AND(H588="NIC",OR(I588="TN",I588="TDN",I588="TNO2-3",I588="NO2-3")),VLOOKUP(E588,QCNIC_N,2,),IF(AND(H588="UREA",OR(I588="TN",I588="TDN",I588="TNO2-3",I588="NO2-3")),VLOOKUP(E588,QCUREA_N,2,),IF(H588="PER",VLOOKUP(I588,QCPER,MATCH(E588,QCACTUAL!$J$25:$AA$25,0),),IF(H588="SPK",VLOOKUP(I588,QCSPK,3,),IF(AND(H588="ATP",OR(I588="TP",I588="TDP")),VLOOKUP(E588,QCATP_P,2,),""))))))))</f>
        <v>300</v>
      </c>
      <c r="W588" s="31" t="str">
        <f t="shared" si="65"/>
        <v>TRUE</v>
      </c>
      <c r="X588" s="31" t="str">
        <f t="shared" si="66"/>
        <v>[chk]/[actual]*100</v>
      </c>
      <c r="Y588" s="10" t="s">
        <v>992</v>
      </c>
      <c r="AL588" s="10" t="str">
        <f t="shared" si="68"/>
        <v>FALSE</v>
      </c>
      <c r="AM588" s="10" t="str">
        <f t="shared" si="68"/>
        <v>FALSE</v>
      </c>
      <c r="AN588" s="10" t="str">
        <f t="shared" si="68"/>
        <v>FALSE</v>
      </c>
      <c r="AO588" s="10" t="str">
        <f t="shared" si="69"/>
        <v>FALSE</v>
      </c>
      <c r="AP588" s="10" t="str">
        <f t="shared" si="69"/>
        <v>FALSE</v>
      </c>
      <c r="AQ588" s="10" t="b">
        <f>IF(AND(I588="TP",S588&lt;=150),VLOOKUP(AF588,TPCalibEq150!$AZ$2:$BB$55,3,),IF(AND(I588="TDP",S588&lt;=150),VLOOKUP(AF588,TPCalibEq150!$AZ$2:$BB$55,3,)))</f>
        <v>0</v>
      </c>
      <c r="AR588" s="10" t="b">
        <f>IF(AND(I588="TP",S588&lt;=300),VLOOKUP(AF588,TPCalibEq300!$AZ$2:$BB$55,3,),IF(AND(I588="TDP",S588&lt;=300),VLOOKUP(AF588,TPCalibEq300!$AZ$2:$BB$55,3,)))</f>
        <v>0</v>
      </c>
      <c r="AS588" s="10" t="b">
        <f>IF(AND(I588="TP",S588&lt;=500),VLOOKUP(AF588,TPCalibEq500!$AZ$2:$BB$56,3,),IF(AND(I588="TDP",S588&lt;=500),VLOOKUP(AF588,TPCalibEq500!$AZ$2:$BB$56,3,)))</f>
        <v>0</v>
      </c>
      <c r="AT588" s="10" t="b">
        <f>IF(AND(I588="TN",S588&lt;=2800),VLOOKUP(AF588,TNCalibEq2500!$AZ$2:$BB$56,3,),IF(AND(I588="TDN",S588&lt;=2800),VLOOKUP(AF588,TNCalibEq2500!$AZ$2:$BB$56,3,)))</f>
        <v>0</v>
      </c>
      <c r="AU588" s="10" t="b">
        <f>IF(I588="TP",VLOOKUP(AF588,TPCalibEqFull!$AZ$2:$BB$56,3),IF(I588="TDP",VLOOKUP(AF588,TPCalibEqFull!$AZ$2:$BB$56,3),IF(I588="TDN",VLOOKUP(AF588,TNCalibEqFull!$AZ$1:$BB$56,3),IF(I588="TN",VLOOKUP(AF588,TNCalibEqFull!$AZ$1:$BB$56,3),FALSE))))</f>
        <v>0</v>
      </c>
      <c r="AV588" s="10" t="str">
        <f t="shared" si="67"/>
        <v>0111 09:00:00-QAC-STD-D-1-DI-CHK</v>
      </c>
    </row>
    <row r="589" spans="1:48" s="10" customFormat="1" x14ac:dyDescent="0.55000000000000004">
      <c r="A589" s="32">
        <v>44935</v>
      </c>
      <c r="B589" s="33">
        <v>0.35972222222222222</v>
      </c>
      <c r="C589" s="10" t="s">
        <v>998</v>
      </c>
      <c r="D589" s="10">
        <v>0</v>
      </c>
      <c r="E589" s="10" t="s">
        <v>911</v>
      </c>
      <c r="F589" s="10">
        <v>1</v>
      </c>
      <c r="G589" s="10" t="s">
        <v>231</v>
      </c>
      <c r="H589" s="10" t="s">
        <v>322</v>
      </c>
      <c r="I589" s="10" t="s">
        <v>209</v>
      </c>
      <c r="J589" s="10">
        <v>25</v>
      </c>
      <c r="K589" s="12">
        <v>44937</v>
      </c>
      <c r="L589" s="33">
        <v>0.51738425925925924</v>
      </c>
      <c r="M589" s="10">
        <v>1</v>
      </c>
      <c r="N589" s="10" t="s">
        <v>169</v>
      </c>
      <c r="O589" s="10">
        <v>5.73</v>
      </c>
      <c r="P589" s="10">
        <v>0.27300000000000002</v>
      </c>
      <c r="Q589" s="10">
        <v>756</v>
      </c>
      <c r="R589" s="10" t="s">
        <v>77</v>
      </c>
      <c r="S589" s="34">
        <f t="shared" si="63"/>
        <v>756</v>
      </c>
      <c r="T589" s="10" t="s">
        <v>1002</v>
      </c>
      <c r="U589" s="34" t="str">
        <f t="shared" si="64"/>
        <v/>
      </c>
      <c r="V589" s="31" t="str">
        <f>IF(H589="CHK",VLOOKUP(I589,QCCHK,3,),IF(H589="GUP",VLOOKUP(E589,QCGUP,2,),IF(AND(H589="ATP",OR(I589="TN",I589="TDN",I589="TNO2-3",I589="NO2-3")),VLOOKUP(E589,QCREC_N,2,),IF(AND(H589="NIC",OR(I589="TN",I589="TDN",I589="TNO2-3",I589="NO2-3")),VLOOKUP(E589,QCNIC_N,2,),IF(AND(H589="UREA",OR(I589="TN",I589="TDN",I589="TNO2-3",I589="NO2-3")),VLOOKUP(E589,QCUREA_N,2,),IF(H589="PER",VLOOKUP(I589,QCPER,MATCH(E589,QCACTUAL!$J$25:$AA$25,0),),IF(H589="SPK",VLOOKUP(I589,QCSPK,3,),IF(AND(H589="ATP",OR(I589="TP",I589="TDP")),VLOOKUP(E589,QCATP_P,2,),""))))))))</f>
        <v/>
      </c>
      <c r="W589" s="31" t="str">
        <f t="shared" si="65"/>
        <v>TRUE</v>
      </c>
      <c r="X589" s="31" t="str">
        <f t="shared" si="66"/>
        <v/>
      </c>
      <c r="Y589" s="10" t="s">
        <v>992</v>
      </c>
      <c r="Z589" s="10" t="s">
        <v>910</v>
      </c>
      <c r="AL589" s="10" t="str">
        <f t="shared" si="68"/>
        <v>FALSE</v>
      </c>
      <c r="AM589" s="10" t="str">
        <f t="shared" si="68"/>
        <v>FALSE</v>
      </c>
      <c r="AN589" s="10" t="str">
        <f t="shared" si="68"/>
        <v>FALSE</v>
      </c>
      <c r="AO589" s="10" t="str">
        <f t="shared" si="69"/>
        <v>FALSE</v>
      </c>
      <c r="AP589" s="10" t="str">
        <f t="shared" si="69"/>
        <v>FALSE</v>
      </c>
      <c r="AQ589" s="10" t="b">
        <f>IF(AND(I589="TP",S589&lt;=150),VLOOKUP(AF589,TPCalibEq150!$AZ$2:$BB$55,3,),IF(AND(I589="TDP",S589&lt;=150),VLOOKUP(AF589,TPCalibEq150!$AZ$2:$BB$55,3,)))</f>
        <v>0</v>
      </c>
      <c r="AR589" s="10" t="b">
        <f>IF(AND(I589="TP",S589&lt;=300),VLOOKUP(AF589,TPCalibEq300!$AZ$2:$BB$55,3,),IF(AND(I589="TDP",S589&lt;=300),VLOOKUP(AF589,TPCalibEq300!$AZ$2:$BB$55,3,)))</f>
        <v>0</v>
      </c>
      <c r="AS589" s="10" t="b">
        <f>IF(AND(I589="TP",S589&lt;=500),VLOOKUP(AF589,TPCalibEq500!$AZ$2:$BB$56,3,),IF(AND(I589="TDP",S589&lt;=500),VLOOKUP(AF589,TPCalibEq500!$AZ$2:$BB$56,3,)))</f>
        <v>0</v>
      </c>
      <c r="AT589" s="10" t="b">
        <f>IF(AND(I589="TN",S589&lt;=2800),VLOOKUP(AF589,TNCalibEq2500!$AZ$2:$BB$56,3,),IF(AND(I589="TDN",S589&lt;=2800),VLOOKUP(AF589,TNCalibEq2500!$AZ$2:$BB$56,3,)))</f>
        <v>0</v>
      </c>
      <c r="AU589" s="10" t="b">
        <f>IF(I589="TP",VLOOKUP(AF589,TPCalibEqFull!$AZ$2:$BB$56,3),IF(I589="TDP",VLOOKUP(AF589,TPCalibEqFull!$AZ$2:$BB$56,3),IF(I589="TDN",VLOOKUP(AF589,TNCalibEqFull!$AZ$1:$BB$56,3),IF(I589="TN",VLOOKUP(AF589,TNCalibEqFull!$AZ$1:$BB$56,3),FALSE))))</f>
        <v>0</v>
      </c>
      <c r="AV589" s="10" t="str">
        <f t="shared" si="67"/>
        <v>0109 08:38:00-ELW-0-FIL-1-SW-UKN</v>
      </c>
    </row>
    <row r="590" spans="1:48" s="10" customFormat="1" x14ac:dyDescent="0.55000000000000004">
      <c r="A590" s="32">
        <v>44935</v>
      </c>
      <c r="B590" s="33">
        <v>0.44722222222222219</v>
      </c>
      <c r="C590" s="10" t="s">
        <v>310</v>
      </c>
      <c r="D590" s="10">
        <v>0</v>
      </c>
      <c r="E590" s="10" t="s">
        <v>911</v>
      </c>
      <c r="F590" s="10">
        <v>1</v>
      </c>
      <c r="G590" s="10" t="s">
        <v>231</v>
      </c>
      <c r="H590" s="10" t="s">
        <v>322</v>
      </c>
      <c r="I590" s="10" t="s">
        <v>209</v>
      </c>
      <c r="J590" s="10">
        <v>26</v>
      </c>
      <c r="K590" s="12">
        <v>44937</v>
      </c>
      <c r="L590" s="33">
        <v>0.51819444444444451</v>
      </c>
      <c r="M590" s="10">
        <v>1</v>
      </c>
      <c r="N590" s="10" t="s">
        <v>169</v>
      </c>
      <c r="O590" s="10">
        <v>8.58</v>
      </c>
      <c r="P590" s="10">
        <v>0.40699999999999997</v>
      </c>
      <c r="Q590" s="10">
        <v>1130</v>
      </c>
      <c r="R590" s="10" t="s">
        <v>77</v>
      </c>
      <c r="S590" s="34">
        <f t="shared" si="63"/>
        <v>1130</v>
      </c>
      <c r="T590" s="10" t="s">
        <v>1002</v>
      </c>
      <c r="U590" s="34" t="str">
        <f t="shared" si="64"/>
        <v/>
      </c>
      <c r="V590" s="31" t="str">
        <f>IF(H590="CHK",VLOOKUP(I590,QCCHK,3,),IF(H590="GUP",VLOOKUP(E590,QCGUP,2,),IF(AND(H590="ATP",OR(I590="TN",I590="TDN",I590="TNO2-3",I590="NO2-3")),VLOOKUP(E590,QCREC_N,2,),IF(AND(H590="NIC",OR(I590="TN",I590="TDN",I590="TNO2-3",I590="NO2-3")),VLOOKUP(E590,QCNIC_N,2,),IF(AND(H590="UREA",OR(I590="TN",I590="TDN",I590="TNO2-3",I590="NO2-3")),VLOOKUP(E590,QCUREA_N,2,),IF(H590="PER",VLOOKUP(I590,QCPER,MATCH(E590,QCACTUAL!$J$25:$AA$25,0),),IF(H590="SPK",VLOOKUP(I590,QCSPK,3,),IF(AND(H590="ATP",OR(I590="TP",I590="TDP")),VLOOKUP(E590,QCATP_P,2,),""))))))))</f>
        <v/>
      </c>
      <c r="W590" s="31" t="str">
        <f t="shared" si="65"/>
        <v>TRUE</v>
      </c>
      <c r="X590" s="31" t="str">
        <f t="shared" si="66"/>
        <v/>
      </c>
      <c r="Y590" s="10" t="s">
        <v>992</v>
      </c>
      <c r="Z590" s="10" t="s">
        <v>910</v>
      </c>
      <c r="AL590" s="10" t="str">
        <f t="shared" si="68"/>
        <v>FALSE</v>
      </c>
      <c r="AM590" s="10" t="str">
        <f t="shared" si="68"/>
        <v>FALSE</v>
      </c>
      <c r="AN590" s="10" t="str">
        <f t="shared" si="68"/>
        <v>FALSE</v>
      </c>
      <c r="AO590" s="10" t="str">
        <f t="shared" si="69"/>
        <v>FALSE</v>
      </c>
      <c r="AP590" s="10" t="str">
        <f t="shared" si="69"/>
        <v>FALSE</v>
      </c>
      <c r="AQ590" s="10" t="b">
        <f>IF(AND(I590="TP",S590&lt;=150),VLOOKUP(AF590,TPCalibEq150!$AZ$2:$BB$55,3,),IF(AND(I590="TDP",S590&lt;=150),VLOOKUP(AF590,TPCalibEq150!$AZ$2:$BB$55,3,)))</f>
        <v>0</v>
      </c>
      <c r="AR590" s="10" t="b">
        <f>IF(AND(I590="TP",S590&lt;=300),VLOOKUP(AF590,TPCalibEq300!$AZ$2:$BB$55,3,),IF(AND(I590="TDP",S590&lt;=300),VLOOKUP(AF590,TPCalibEq300!$AZ$2:$BB$55,3,)))</f>
        <v>0</v>
      </c>
      <c r="AS590" s="10" t="b">
        <f>IF(AND(I590="TP",S590&lt;=500),VLOOKUP(AF590,TPCalibEq500!$AZ$2:$BB$56,3,),IF(AND(I590="TDP",S590&lt;=500),VLOOKUP(AF590,TPCalibEq500!$AZ$2:$BB$56,3,)))</f>
        <v>0</v>
      </c>
      <c r="AT590" s="10" t="b">
        <f>IF(AND(I590="TN",S590&lt;=2800),VLOOKUP(AF590,TNCalibEq2500!$AZ$2:$BB$56,3,),IF(AND(I590="TDN",S590&lt;=2800),VLOOKUP(AF590,TNCalibEq2500!$AZ$2:$BB$56,3,)))</f>
        <v>0</v>
      </c>
      <c r="AU590" s="10" t="b">
        <f>IF(I590="TP",VLOOKUP(AF590,TPCalibEqFull!$AZ$2:$BB$56,3),IF(I590="TDP",VLOOKUP(AF590,TPCalibEqFull!$AZ$2:$BB$56,3),IF(I590="TDN",VLOOKUP(AF590,TNCalibEqFull!$AZ$1:$BB$56,3),IF(I590="TN",VLOOKUP(AF590,TNCalibEqFull!$AZ$1:$BB$56,3),FALSE))))</f>
        <v>0</v>
      </c>
      <c r="AV590" s="10" t="str">
        <f t="shared" si="67"/>
        <v>0109 10:44:00-ELI-0-FIL-1-SW-UKN</v>
      </c>
    </row>
    <row r="591" spans="1:48" s="10" customFormat="1" x14ac:dyDescent="0.55000000000000004">
      <c r="A591" s="32">
        <v>44935</v>
      </c>
      <c r="B591" s="33">
        <v>0.4145833333333333</v>
      </c>
      <c r="C591" s="10" t="s">
        <v>999</v>
      </c>
      <c r="D591" s="10">
        <v>0</v>
      </c>
      <c r="E591" s="10" t="s">
        <v>911</v>
      </c>
      <c r="F591" s="10">
        <v>1</v>
      </c>
      <c r="G591" s="10" t="s">
        <v>231</v>
      </c>
      <c r="H591" s="10" t="s">
        <v>322</v>
      </c>
      <c r="I591" s="10" t="s">
        <v>209</v>
      </c>
      <c r="J591" s="10">
        <v>27</v>
      </c>
      <c r="K591" s="12">
        <v>44937</v>
      </c>
      <c r="L591" s="33">
        <v>0.51900462962962968</v>
      </c>
      <c r="M591" s="10">
        <v>1</v>
      </c>
      <c r="N591" s="10" t="s">
        <v>169</v>
      </c>
      <c r="O591" s="10">
        <v>8.31</v>
      </c>
      <c r="P591" s="10">
        <v>0.39500000000000002</v>
      </c>
      <c r="Q591" s="10">
        <v>1100</v>
      </c>
      <c r="R591" s="10" t="s">
        <v>77</v>
      </c>
      <c r="S591" s="34">
        <f t="shared" si="63"/>
        <v>1100</v>
      </c>
      <c r="T591" s="10" t="s">
        <v>1002</v>
      </c>
      <c r="U591" s="34" t="str">
        <f t="shared" si="64"/>
        <v/>
      </c>
      <c r="V591" s="31" t="str">
        <f>IF(H591="CHK",VLOOKUP(I591,QCCHK,3,),IF(H591="GUP",VLOOKUP(E591,QCGUP,2,),IF(AND(H591="ATP",OR(I591="TN",I591="TDN",I591="TNO2-3",I591="NO2-3")),VLOOKUP(E591,QCREC_N,2,),IF(AND(H591="NIC",OR(I591="TN",I591="TDN",I591="TNO2-3",I591="NO2-3")),VLOOKUP(E591,QCNIC_N,2,),IF(AND(H591="UREA",OR(I591="TN",I591="TDN",I591="TNO2-3",I591="NO2-3")),VLOOKUP(E591,QCUREA_N,2,),IF(H591="PER",VLOOKUP(I591,QCPER,MATCH(E591,QCACTUAL!$J$25:$AA$25,0),),IF(H591="SPK",VLOOKUP(I591,QCSPK,3,),IF(AND(H591="ATP",OR(I591="TP",I591="TDP")),VLOOKUP(E591,QCATP_P,2,),""))))))))</f>
        <v/>
      </c>
      <c r="W591" s="31" t="str">
        <f t="shared" si="65"/>
        <v>TRUE</v>
      </c>
      <c r="X591" s="31" t="str">
        <f t="shared" si="66"/>
        <v/>
      </c>
      <c r="Y591" s="10" t="s">
        <v>992</v>
      </c>
      <c r="Z591" s="10" t="s">
        <v>910</v>
      </c>
      <c r="AL591" s="10" t="str">
        <f t="shared" si="68"/>
        <v>FALSE</v>
      </c>
      <c r="AM591" s="10" t="str">
        <f t="shared" si="68"/>
        <v>FALSE</v>
      </c>
      <c r="AN591" s="10" t="str">
        <f t="shared" si="68"/>
        <v>FALSE</v>
      </c>
      <c r="AO591" s="10" t="str">
        <f t="shared" si="69"/>
        <v>FALSE</v>
      </c>
      <c r="AP591" s="10" t="str">
        <f t="shared" si="69"/>
        <v>FALSE</v>
      </c>
      <c r="AQ591" s="10" t="b">
        <f>IF(AND(I591="TP",S591&lt;=150),VLOOKUP(AF591,TPCalibEq150!$AZ$2:$BB$55,3,),IF(AND(I591="TDP",S591&lt;=150),VLOOKUP(AF591,TPCalibEq150!$AZ$2:$BB$55,3,)))</f>
        <v>0</v>
      </c>
      <c r="AR591" s="10" t="b">
        <f>IF(AND(I591="TP",S591&lt;=300),VLOOKUP(AF591,TPCalibEq300!$AZ$2:$BB$55,3,),IF(AND(I591="TDP",S591&lt;=300),VLOOKUP(AF591,TPCalibEq300!$AZ$2:$BB$55,3,)))</f>
        <v>0</v>
      </c>
      <c r="AS591" s="10" t="b">
        <f>IF(AND(I591="TP",S591&lt;=500),VLOOKUP(AF591,TPCalibEq500!$AZ$2:$BB$56,3,),IF(AND(I591="TDP",S591&lt;=500),VLOOKUP(AF591,TPCalibEq500!$AZ$2:$BB$56,3,)))</f>
        <v>0</v>
      </c>
      <c r="AT591" s="10" t="b">
        <f>IF(AND(I591="TN",S591&lt;=2800),VLOOKUP(AF591,TNCalibEq2500!$AZ$2:$BB$56,3,),IF(AND(I591="TDN",S591&lt;=2800),VLOOKUP(AF591,TNCalibEq2500!$AZ$2:$BB$56,3,)))</f>
        <v>0</v>
      </c>
      <c r="AU591" s="10" t="b">
        <f>IF(I591="TP",VLOOKUP(AF591,TPCalibEqFull!$AZ$2:$BB$56,3),IF(I591="TDP",VLOOKUP(AF591,TPCalibEqFull!$AZ$2:$BB$56,3),IF(I591="TDN",VLOOKUP(AF591,TNCalibEqFull!$AZ$1:$BB$56,3),IF(I591="TN",VLOOKUP(AF591,TNCalibEqFull!$AZ$1:$BB$56,3),FALSE))))</f>
        <v>0</v>
      </c>
      <c r="AV591" s="10" t="str">
        <f t="shared" si="67"/>
        <v>0109 09:57:00-EAW-0-FIL-1-SW-UKN</v>
      </c>
    </row>
    <row r="592" spans="1:48" s="10" customFormat="1" x14ac:dyDescent="0.55000000000000004">
      <c r="A592" s="32">
        <v>44935</v>
      </c>
      <c r="B592" s="33">
        <v>0.4145833333333333</v>
      </c>
      <c r="C592" s="10" t="s">
        <v>999</v>
      </c>
      <c r="D592" s="10">
        <v>0</v>
      </c>
      <c r="E592" s="10" t="s">
        <v>911</v>
      </c>
      <c r="F592" s="10">
        <v>2</v>
      </c>
      <c r="G592" s="10" t="s">
        <v>231</v>
      </c>
      <c r="H592" s="10" t="s">
        <v>322</v>
      </c>
      <c r="I592" s="10" t="s">
        <v>209</v>
      </c>
      <c r="J592" s="10">
        <v>28</v>
      </c>
      <c r="K592" s="12">
        <v>44937</v>
      </c>
      <c r="L592" s="33">
        <v>0.51981481481481484</v>
      </c>
      <c r="M592" s="10">
        <v>1</v>
      </c>
      <c r="N592" s="10" t="s">
        <v>169</v>
      </c>
      <c r="O592" s="10">
        <v>8.2799999999999994</v>
      </c>
      <c r="P592" s="10">
        <v>0.39400000000000002</v>
      </c>
      <c r="Q592" s="10">
        <v>1090</v>
      </c>
      <c r="R592" s="10" t="s">
        <v>77</v>
      </c>
      <c r="S592" s="34">
        <f t="shared" si="63"/>
        <v>1090</v>
      </c>
      <c r="T592" s="10" t="s">
        <v>1002</v>
      </c>
      <c r="U592" s="34" t="str">
        <f t="shared" si="64"/>
        <v/>
      </c>
      <c r="V592" s="31" t="str">
        <f>IF(H592="CHK",VLOOKUP(I592,QCCHK,3,),IF(H592="GUP",VLOOKUP(E592,QCGUP,2,),IF(AND(H592="ATP",OR(I592="TN",I592="TDN",I592="TNO2-3",I592="NO2-3")),VLOOKUP(E592,QCREC_N,2,),IF(AND(H592="NIC",OR(I592="TN",I592="TDN",I592="TNO2-3",I592="NO2-3")),VLOOKUP(E592,QCNIC_N,2,),IF(AND(H592="UREA",OR(I592="TN",I592="TDN",I592="TNO2-3",I592="NO2-3")),VLOOKUP(E592,QCUREA_N,2,),IF(H592="PER",VLOOKUP(I592,QCPER,MATCH(E592,QCACTUAL!$J$25:$AA$25,0),),IF(H592="SPK",VLOOKUP(I592,QCSPK,3,),IF(AND(H592="ATP",OR(I592="TP",I592="TDP")),VLOOKUP(E592,QCATP_P,2,),""))))))))</f>
        <v/>
      </c>
      <c r="W592" s="31" t="str">
        <f t="shared" si="65"/>
        <v>TRUE</v>
      </c>
      <c r="X592" s="31" t="str">
        <f t="shared" si="66"/>
        <v/>
      </c>
      <c r="Y592" s="10" t="s">
        <v>992</v>
      </c>
      <c r="Z592" s="10" t="s">
        <v>910</v>
      </c>
      <c r="AL592" s="10" t="str">
        <f t="shared" si="68"/>
        <v>FALSE</v>
      </c>
      <c r="AM592" s="10" t="str">
        <f t="shared" si="68"/>
        <v>FALSE</v>
      </c>
      <c r="AN592" s="10" t="str">
        <f t="shared" si="68"/>
        <v>FALSE</v>
      </c>
      <c r="AO592" s="10" t="str">
        <f t="shared" si="69"/>
        <v>FALSE</v>
      </c>
      <c r="AP592" s="10" t="str">
        <f t="shared" si="69"/>
        <v>FALSE</v>
      </c>
      <c r="AQ592" s="10" t="b">
        <f>IF(AND(I592="TP",S592&lt;=150),VLOOKUP(AF592,TPCalibEq150!$AZ$2:$BB$55,3,),IF(AND(I592="TDP",S592&lt;=150),VLOOKUP(AF592,TPCalibEq150!$AZ$2:$BB$55,3,)))</f>
        <v>0</v>
      </c>
      <c r="AR592" s="10" t="b">
        <f>IF(AND(I592="TP",S592&lt;=300),VLOOKUP(AF592,TPCalibEq300!$AZ$2:$BB$55,3,),IF(AND(I592="TDP",S592&lt;=300),VLOOKUP(AF592,TPCalibEq300!$AZ$2:$BB$55,3,)))</f>
        <v>0</v>
      </c>
      <c r="AS592" s="10" t="b">
        <f>IF(AND(I592="TP",S592&lt;=500),VLOOKUP(AF592,TPCalibEq500!$AZ$2:$BB$56,3,),IF(AND(I592="TDP",S592&lt;=500),VLOOKUP(AF592,TPCalibEq500!$AZ$2:$BB$56,3,)))</f>
        <v>0</v>
      </c>
      <c r="AT592" s="10" t="b">
        <f>IF(AND(I592="TN",S592&lt;=2800),VLOOKUP(AF592,TNCalibEq2500!$AZ$2:$BB$56,3,),IF(AND(I592="TDN",S592&lt;=2800),VLOOKUP(AF592,TNCalibEq2500!$AZ$2:$BB$56,3,)))</f>
        <v>0</v>
      </c>
      <c r="AU592" s="10" t="b">
        <f>IF(I592="TP",VLOOKUP(AF592,TPCalibEqFull!$AZ$2:$BB$56,3),IF(I592="TDP",VLOOKUP(AF592,TPCalibEqFull!$AZ$2:$BB$56,3),IF(I592="TDN",VLOOKUP(AF592,TNCalibEqFull!$AZ$1:$BB$56,3),IF(I592="TN",VLOOKUP(AF592,TNCalibEqFull!$AZ$1:$BB$56,3),FALSE))))</f>
        <v>0</v>
      </c>
      <c r="AV592" s="10" t="str">
        <f t="shared" si="67"/>
        <v>0109 09:57:00-EAW-0-FIL-2-SW-UKN</v>
      </c>
    </row>
    <row r="593" spans="1:48" s="10" customFormat="1" x14ac:dyDescent="0.55000000000000004">
      <c r="A593" s="32">
        <v>44935</v>
      </c>
      <c r="B593" s="33">
        <v>0.4145833333333333</v>
      </c>
      <c r="C593" s="10" t="s">
        <v>999</v>
      </c>
      <c r="D593" s="10">
        <v>0</v>
      </c>
      <c r="E593" s="10" t="s">
        <v>911</v>
      </c>
      <c r="F593" s="10">
        <v>2</v>
      </c>
      <c r="G593" s="10" t="s">
        <v>231</v>
      </c>
      <c r="H593" s="10" t="s">
        <v>233</v>
      </c>
      <c r="I593" s="10" t="s">
        <v>209</v>
      </c>
      <c r="J593" s="10">
        <v>28</v>
      </c>
      <c r="K593" s="12">
        <v>44937</v>
      </c>
      <c r="L593" s="33">
        <v>0.520625</v>
      </c>
      <c r="M593" s="10">
        <v>1</v>
      </c>
      <c r="N593" s="10" t="s">
        <v>169</v>
      </c>
      <c r="O593" s="10">
        <v>8.18</v>
      </c>
      <c r="P593" s="10">
        <v>0.38900000000000001</v>
      </c>
      <c r="Q593" s="10">
        <v>1080</v>
      </c>
      <c r="R593" s="10" t="s">
        <v>77</v>
      </c>
      <c r="S593" s="34">
        <f t="shared" si="63"/>
        <v>1080</v>
      </c>
      <c r="T593" s="10" t="s">
        <v>1002</v>
      </c>
      <c r="U593" s="34">
        <f t="shared" si="64"/>
        <v>0.92165898617511521</v>
      </c>
      <c r="V593" s="31" t="str">
        <f>IF(H593="CHK",VLOOKUP(I593,QCCHK,3,),IF(H593="GUP",VLOOKUP(E593,QCGUP,2,),IF(AND(H593="ATP",OR(I593="TN",I593="TDN",I593="TNO2-3",I593="NO2-3")),VLOOKUP(E593,QCREC_N,2,),IF(AND(H593="NIC",OR(I593="TN",I593="TDN",I593="TNO2-3",I593="NO2-3")),VLOOKUP(E593,QCNIC_N,2,),IF(AND(H593="UREA",OR(I593="TN",I593="TDN",I593="TNO2-3",I593="NO2-3")),VLOOKUP(E593,QCUREA_N,2,),IF(H593="PER",VLOOKUP(I593,QCPER,MATCH(E593,QCACTUAL!$J$25:$AA$25,0),),IF(H593="SPK",VLOOKUP(I593,QCSPK,3,),IF(AND(H593="ATP",OR(I593="TP",I593="TDP")),VLOOKUP(E593,QCATP_P,2,),""))))))))</f>
        <v/>
      </c>
      <c r="W593" s="31" t="str">
        <f t="shared" si="65"/>
        <v>TRUE</v>
      </c>
      <c r="X593" s="31" t="str">
        <f t="shared" si="66"/>
        <v>((ABS(rep1-rep2))/((rep1+rep2)/2)*100</v>
      </c>
      <c r="Y593" s="10" t="s">
        <v>992</v>
      </c>
      <c r="Z593" s="10" t="s">
        <v>910</v>
      </c>
      <c r="AL593" s="10" t="str">
        <f t="shared" si="68"/>
        <v>FALSE</v>
      </c>
      <c r="AM593" s="10" t="str">
        <f t="shared" si="68"/>
        <v>FALSE</v>
      </c>
      <c r="AN593" s="10" t="str">
        <f t="shared" si="68"/>
        <v>FALSE</v>
      </c>
      <c r="AO593" s="10" t="str">
        <f t="shared" si="69"/>
        <v>FALSE</v>
      </c>
      <c r="AP593" s="10" t="str">
        <f t="shared" si="69"/>
        <v>FALSE</v>
      </c>
      <c r="AQ593" s="10" t="b">
        <f>IF(AND(I593="TP",S593&lt;=150),VLOOKUP(AF593,TPCalibEq150!$AZ$2:$BB$55,3,),IF(AND(I593="TDP",S593&lt;=150),VLOOKUP(AF593,TPCalibEq150!$AZ$2:$BB$55,3,)))</f>
        <v>0</v>
      </c>
      <c r="AR593" s="10" t="b">
        <f>IF(AND(I593="TP",S593&lt;=300),VLOOKUP(AF593,TPCalibEq300!$AZ$2:$BB$55,3,),IF(AND(I593="TDP",S593&lt;=300),VLOOKUP(AF593,TPCalibEq300!$AZ$2:$BB$55,3,)))</f>
        <v>0</v>
      </c>
      <c r="AS593" s="10" t="b">
        <f>IF(AND(I593="TP",S593&lt;=500),VLOOKUP(AF593,TPCalibEq500!$AZ$2:$BB$56,3,),IF(AND(I593="TDP",S593&lt;=500),VLOOKUP(AF593,TPCalibEq500!$AZ$2:$BB$56,3,)))</f>
        <v>0</v>
      </c>
      <c r="AT593" s="10" t="b">
        <f>IF(AND(I593="TN",S593&lt;=2800),VLOOKUP(AF593,TNCalibEq2500!$AZ$2:$BB$56,3,),IF(AND(I593="TDN",S593&lt;=2800),VLOOKUP(AF593,TNCalibEq2500!$AZ$2:$BB$56,3,)))</f>
        <v>0</v>
      </c>
      <c r="AU593" s="10" t="b">
        <f>IF(I593="TP",VLOOKUP(AF593,TPCalibEqFull!$AZ$2:$BB$56,3),IF(I593="TDP",VLOOKUP(AF593,TPCalibEqFull!$AZ$2:$BB$56,3),IF(I593="TDN",VLOOKUP(AF593,TNCalibEqFull!$AZ$1:$BB$56,3),IF(I593="TN",VLOOKUP(AF593,TNCalibEqFull!$AZ$1:$BB$56,3),FALSE))))</f>
        <v>0</v>
      </c>
      <c r="AV593" s="10" t="str">
        <f t="shared" si="67"/>
        <v>0109 09:57:00-EAW-0-FIL-2-SW-DUP</v>
      </c>
    </row>
    <row r="594" spans="1:48" s="10" customFormat="1" x14ac:dyDescent="0.55000000000000004">
      <c r="A594" s="32">
        <v>44935</v>
      </c>
      <c r="B594" s="33">
        <v>0.4145833333333333</v>
      </c>
      <c r="C594" s="10" t="s">
        <v>999</v>
      </c>
      <c r="D594" s="10">
        <v>0</v>
      </c>
      <c r="E594" s="10" t="s">
        <v>911</v>
      </c>
      <c r="F594" s="10">
        <v>2</v>
      </c>
      <c r="G594" s="10" t="s">
        <v>231</v>
      </c>
      <c r="H594" s="10" t="s">
        <v>314</v>
      </c>
      <c r="I594" s="10" t="s">
        <v>209</v>
      </c>
      <c r="J594" s="10">
        <v>32</v>
      </c>
      <c r="K594" s="12">
        <v>44937</v>
      </c>
      <c r="L594" s="33">
        <v>0.52145833333333336</v>
      </c>
      <c r="M594" s="10">
        <v>1</v>
      </c>
      <c r="N594" s="10" t="s">
        <v>169</v>
      </c>
      <c r="O594" s="10">
        <v>13.1</v>
      </c>
      <c r="P594" s="10">
        <v>0.621</v>
      </c>
      <c r="Q594" s="10">
        <v>1720</v>
      </c>
      <c r="R594" s="10" t="s">
        <v>77</v>
      </c>
      <c r="S594" s="34">
        <f t="shared" si="63"/>
        <v>1720</v>
      </c>
      <c r="T594" s="10" t="s">
        <v>1002</v>
      </c>
      <c r="U594" s="34">
        <f t="shared" si="64"/>
        <v>102.4</v>
      </c>
      <c r="V594" s="31">
        <f>IF(H594="CHK",VLOOKUP(I594,QCCHK,3,),IF(H594="GUP",VLOOKUP(E594,QCGUP,2,),IF(AND(H594="ATP",OR(I594="TN",I594="TDN",I594="TNO2-3",I594="NO2-3")),VLOOKUP(E594,QCREC_N,2,),IF(AND(H594="NIC",OR(I594="TN",I594="TDN",I594="TNO2-3",I594="NO2-3")),VLOOKUP(E594,QCNIC_N,2,),IF(AND(H594="UREA",OR(I594="TN",I594="TDN",I594="TNO2-3",I594="NO2-3")),VLOOKUP(E594,QCUREA_N,2,),IF(H594="PER",VLOOKUP(I594,QCPER,MATCH(E594,QCACTUAL!$J$25:$AA$25,0),),IF(H594="SPK",VLOOKUP(I594,QCSPK,3,),IF(AND(H594="ATP",OR(I594="TP",I594="TDP")),VLOOKUP(E594,QCATP_P,2,),""))))))))</f>
        <v>625</v>
      </c>
      <c r="W594" s="31" t="str">
        <f t="shared" si="65"/>
        <v>TRUE</v>
      </c>
      <c r="X594" s="31" t="str">
        <f t="shared" si="66"/>
        <v>([spikedunkn]-[unkn])/[spike]*100</v>
      </c>
      <c r="Y594" s="10" t="s">
        <v>992</v>
      </c>
      <c r="Z594" s="10" t="s">
        <v>910</v>
      </c>
      <c r="AL594" s="10" t="str">
        <f t="shared" si="68"/>
        <v>FALSE</v>
      </c>
      <c r="AM594" s="10" t="str">
        <f t="shared" si="68"/>
        <v>FALSE</v>
      </c>
      <c r="AN594" s="10" t="str">
        <f t="shared" si="68"/>
        <v>FALSE</v>
      </c>
      <c r="AO594" s="10" t="str">
        <f t="shared" si="69"/>
        <v>FALSE</v>
      </c>
      <c r="AP594" s="10" t="str">
        <f t="shared" si="69"/>
        <v>FALSE</v>
      </c>
      <c r="AQ594" s="10" t="b">
        <f>IF(AND(I594="TP",S594&lt;=150),VLOOKUP(AF594,TPCalibEq150!$AZ$2:$BB$55,3,),IF(AND(I594="TDP",S594&lt;=150),VLOOKUP(AF594,TPCalibEq150!$AZ$2:$BB$55,3,)))</f>
        <v>0</v>
      </c>
      <c r="AR594" s="10" t="b">
        <f>IF(AND(I594="TP",S594&lt;=300),VLOOKUP(AF594,TPCalibEq300!$AZ$2:$BB$55,3,),IF(AND(I594="TDP",S594&lt;=300),VLOOKUP(AF594,TPCalibEq300!$AZ$2:$BB$55,3,)))</f>
        <v>0</v>
      </c>
      <c r="AS594" s="10" t="b">
        <f>IF(AND(I594="TP",S594&lt;=500),VLOOKUP(AF594,TPCalibEq500!$AZ$2:$BB$56,3,),IF(AND(I594="TDP",S594&lt;=500),VLOOKUP(AF594,TPCalibEq500!$AZ$2:$BB$56,3,)))</f>
        <v>0</v>
      </c>
      <c r="AT594" s="10" t="b">
        <f>IF(AND(I594="TN",S594&lt;=2800),VLOOKUP(AF594,TNCalibEq2500!$AZ$2:$BB$56,3,),IF(AND(I594="TDN",S594&lt;=2800),VLOOKUP(AF594,TNCalibEq2500!$AZ$2:$BB$56,3,)))</f>
        <v>0</v>
      </c>
      <c r="AU594" s="10" t="b">
        <f>IF(I594="TP",VLOOKUP(AF594,TPCalibEqFull!$AZ$2:$BB$56,3),IF(I594="TDP",VLOOKUP(AF594,TPCalibEqFull!$AZ$2:$BB$56,3),IF(I594="TDN",VLOOKUP(AF594,TNCalibEqFull!$AZ$1:$BB$56,3),IF(I594="TN",VLOOKUP(AF594,TNCalibEqFull!$AZ$1:$BB$56,3),FALSE))))</f>
        <v>0</v>
      </c>
      <c r="AV594" s="10" t="str">
        <f t="shared" si="67"/>
        <v>0109 09:57:00-EAW-0-FIL-2-SW-SPK</v>
      </c>
    </row>
    <row r="595" spans="1:48" s="10" customFormat="1" x14ac:dyDescent="0.55000000000000004">
      <c r="A595" s="32">
        <v>44937</v>
      </c>
      <c r="B595" s="33">
        <v>0.375</v>
      </c>
      <c r="C595" s="10" t="s">
        <v>70</v>
      </c>
      <c r="D595" s="10" t="s">
        <v>71</v>
      </c>
      <c r="E595" s="10" t="s">
        <v>901</v>
      </c>
      <c r="F595" s="10">
        <v>1</v>
      </c>
      <c r="G595" s="10" t="s">
        <v>73</v>
      </c>
      <c r="H595" s="10" t="s">
        <v>207</v>
      </c>
      <c r="I595" s="10" t="s">
        <v>256</v>
      </c>
      <c r="J595" s="10">
        <v>200</v>
      </c>
      <c r="K595" s="12">
        <v>44937</v>
      </c>
      <c r="L595" s="33">
        <v>0.52228009259259256</v>
      </c>
      <c r="M595" s="10">
        <v>1</v>
      </c>
      <c r="N595" s="10" t="s">
        <v>169</v>
      </c>
      <c r="O595" s="10">
        <v>2.3199999999999998</v>
      </c>
      <c r="P595" s="10">
        <v>0.113</v>
      </c>
      <c r="Q595" s="10">
        <v>306</v>
      </c>
      <c r="R595" s="10" t="s">
        <v>77</v>
      </c>
      <c r="S595" s="34">
        <f t="shared" si="63"/>
        <v>306</v>
      </c>
      <c r="T595" s="10" t="s">
        <v>1002</v>
      </c>
      <c r="U595" s="34">
        <f t="shared" si="64"/>
        <v>102</v>
      </c>
      <c r="V595" s="31">
        <f>IF(H595="CHK",VLOOKUP(I595,QCCHK,3,),IF(H595="GUP",VLOOKUP(E595,QCGUP,2,),IF(AND(H595="ATP",OR(I595="TN",I595="TDN",I595="TNO2-3",I595="NO2-3")),VLOOKUP(E595,QCREC_N,2,),IF(AND(H595="NIC",OR(I595="TN",I595="TDN",I595="TNO2-3",I595="NO2-3")),VLOOKUP(E595,QCNIC_N,2,),IF(AND(H595="UREA",OR(I595="TN",I595="TDN",I595="TNO2-3",I595="NO2-3")),VLOOKUP(E595,QCUREA_N,2,),IF(H595="PER",VLOOKUP(I595,QCPER,MATCH(E595,QCACTUAL!$J$25:$AA$25,0),),IF(H595="SPK",VLOOKUP(I595,QCSPK,3,),IF(AND(H595="ATP",OR(I595="TP",I595="TDP")),VLOOKUP(E595,QCATP_P,2,),""))))))))</f>
        <v>300</v>
      </c>
      <c r="W595" s="31" t="str">
        <f t="shared" si="65"/>
        <v>TRUE</v>
      </c>
      <c r="X595" s="31" t="str">
        <f t="shared" si="66"/>
        <v>[chk]/[actual]*100</v>
      </c>
      <c r="Y595" s="10" t="s">
        <v>992</v>
      </c>
      <c r="AL595" s="10" t="str">
        <f t="shared" si="68"/>
        <v>FALSE</v>
      </c>
      <c r="AM595" s="10" t="str">
        <f t="shared" si="68"/>
        <v>FALSE</v>
      </c>
      <c r="AN595" s="10" t="str">
        <f t="shared" si="68"/>
        <v>FALSE</v>
      </c>
      <c r="AO595" s="10" t="str">
        <f t="shared" si="69"/>
        <v>FALSE</v>
      </c>
      <c r="AP595" s="10" t="str">
        <f t="shared" si="69"/>
        <v>FALSE</v>
      </c>
      <c r="AQ595" s="10" t="b">
        <f>IF(AND(I595="TP",S595&lt;=150),VLOOKUP(AF595,TPCalibEq150!$AZ$2:$BB$55,3,),IF(AND(I595="TDP",S595&lt;=150),VLOOKUP(AF595,TPCalibEq150!$AZ$2:$BB$55,3,)))</f>
        <v>0</v>
      </c>
      <c r="AR595" s="10" t="b">
        <f>IF(AND(I595="TP",S595&lt;=300),VLOOKUP(AF595,TPCalibEq300!$AZ$2:$BB$55,3,),IF(AND(I595="TDP",S595&lt;=300),VLOOKUP(AF595,TPCalibEq300!$AZ$2:$BB$55,3,)))</f>
        <v>0</v>
      </c>
      <c r="AS595" s="10" t="b">
        <f>IF(AND(I595="TP",S595&lt;=500),VLOOKUP(AF595,TPCalibEq500!$AZ$2:$BB$56,3,),IF(AND(I595="TDP",S595&lt;=500),VLOOKUP(AF595,TPCalibEq500!$AZ$2:$BB$56,3,)))</f>
        <v>0</v>
      </c>
      <c r="AT595" s="10" t="b">
        <f>IF(AND(I595="TN",S595&lt;=2800),VLOOKUP(AF595,TNCalibEq2500!$AZ$2:$BB$56,3,),IF(AND(I595="TDN",S595&lt;=2800),VLOOKUP(AF595,TNCalibEq2500!$AZ$2:$BB$56,3,)))</f>
        <v>0</v>
      </c>
      <c r="AU595" s="10" t="b">
        <f>IF(I595="TP",VLOOKUP(AF595,TPCalibEqFull!$AZ$2:$BB$56,3),IF(I595="TDP",VLOOKUP(AF595,TPCalibEqFull!$AZ$2:$BB$56,3),IF(I595="TDN",VLOOKUP(AF595,TNCalibEqFull!$AZ$1:$BB$56,3),IF(I595="TN",VLOOKUP(AF595,TNCalibEqFull!$AZ$1:$BB$56,3),FALSE))))</f>
        <v>0</v>
      </c>
      <c r="AV595" s="10" t="str">
        <f t="shared" si="67"/>
        <v>0111 09:00:00-QAC-STD-D-1-DI-CHK</v>
      </c>
    </row>
    <row r="596" spans="1:48" s="10" customFormat="1" x14ac:dyDescent="0.55000000000000004">
      <c r="A596" s="32">
        <v>44937</v>
      </c>
      <c r="B596" s="33">
        <v>0.375</v>
      </c>
      <c r="C596" s="10" t="s">
        <v>70</v>
      </c>
      <c r="D596" s="10" t="s">
        <v>71</v>
      </c>
      <c r="E596" s="10" t="s">
        <v>917</v>
      </c>
      <c r="F596" s="10">
        <v>1</v>
      </c>
      <c r="G596" s="10" t="s">
        <v>73</v>
      </c>
      <c r="H596" s="10" t="s">
        <v>74</v>
      </c>
      <c r="I596" s="10" t="s">
        <v>235</v>
      </c>
      <c r="J596" s="10">
        <v>181</v>
      </c>
      <c r="K596" s="12">
        <v>44937</v>
      </c>
      <c r="L596" s="33">
        <v>0.57119212962962962</v>
      </c>
      <c r="M596" s="10">
        <v>1</v>
      </c>
      <c r="N596" s="10" t="s">
        <v>196</v>
      </c>
      <c r="O596" s="10">
        <v>0.36399999999999999</v>
      </c>
      <c r="P596" s="10">
        <v>2.1299999999999999E-2</v>
      </c>
      <c r="Q596" s="10">
        <v>0</v>
      </c>
      <c r="R596" s="10" t="s">
        <v>170</v>
      </c>
      <c r="S596" s="34">
        <f t="shared" si="63"/>
        <v>0</v>
      </c>
      <c r="T596" s="10" t="s">
        <v>914</v>
      </c>
      <c r="U596" s="34" t="str">
        <f t="shared" si="64"/>
        <v/>
      </c>
      <c r="V596" s="31" t="str">
        <f>IF(H596="CHK",VLOOKUP(I596,QCCHK,3,),IF(H596="GUP",VLOOKUP(E596,QCGUP,2,),IF(AND(H596="ATP",OR(I596="TN",I596="TDN",I596="TNO2-3",I596="NO2-3")),VLOOKUP(E596,QCREC_N,2,),IF(AND(H596="NIC",OR(I596="TN",I596="TDN",I596="TNO2-3",I596="NO2-3")),VLOOKUP(E596,QCNIC_N,2,),IF(AND(H596="UREA",OR(I596="TN",I596="TDN",I596="TNO2-3",I596="NO2-3")),VLOOKUP(E596,QCUREA_N,2,),IF(H596="PER",VLOOKUP(I596,QCPER,MATCH(E596,QCACTUAL!$J$25:$AA$25,0),),IF(H596="SPK",VLOOKUP(I596,QCSPK,3,),IF(AND(H596="ATP",OR(I596="TP",I596="TDP")),VLOOKUP(E596,QCATP_P,2,),""))))))))</f>
        <v/>
      </c>
      <c r="W596" s="31" t="str">
        <f t="shared" si="65"/>
        <v>TRUE</v>
      </c>
      <c r="X596" s="31" t="str">
        <f t="shared" si="66"/>
        <v/>
      </c>
      <c r="Y596" s="10" t="s">
        <v>1004</v>
      </c>
      <c r="AF596" s="12">
        <v>44937</v>
      </c>
      <c r="AJ596" s="10">
        <f>2.4015*0.364^2+187.16*0.364-68.555</f>
        <v>-0.1105708560000096</v>
      </c>
      <c r="AK596" s="10">
        <f>0.155*0.364^2+210.99*0.364-92.045</f>
        <v>-15.224103120000009</v>
      </c>
      <c r="AL596" s="10" t="str">
        <f t="shared" si="68"/>
        <v>FALSE</v>
      </c>
      <c r="AM596" s="10" t="str">
        <f t="shared" si="68"/>
        <v>FALSE</v>
      </c>
      <c r="AN596" s="10" t="str">
        <f t="shared" si="68"/>
        <v>FALSE</v>
      </c>
      <c r="AO596" s="10" t="str">
        <f t="shared" si="69"/>
        <v>y=2.4015*0.364^2+187.16*0.364-68.555</v>
      </c>
      <c r="AP596" s="10" t="str">
        <f t="shared" si="69"/>
        <v>y=0.155*0.364^2+210.99*0.364-92.045</v>
      </c>
      <c r="AQ596" s="10" t="b">
        <f>IF(AND(I596="TP",S596&lt;=150),VLOOKUP(AF596,TPCalibEq150!$AZ$2:$BB$55,3,),IF(AND(I596="TDP",S596&lt;=150),VLOOKUP(AF596,TPCalibEq150!$AZ$2:$BB$55,3,)))</f>
        <v>0</v>
      </c>
      <c r="AR596" s="10" t="b">
        <f>IF(AND(I596="TP",S596&lt;=300),VLOOKUP(AF596,TPCalibEq300!$AZ$2:$BB$55,3,),IF(AND(I596="TDP",S596&lt;=300),VLOOKUP(AF596,TPCalibEq300!$AZ$2:$BB$55,3,)))</f>
        <v>0</v>
      </c>
      <c r="AS596" s="10" t="b">
        <f>IF(AND(I596="TP",S596&lt;=500),VLOOKUP(AF596,TPCalibEq500!$AZ$2:$BB$56,3,),IF(AND(I596="TDP",S596&lt;=500),VLOOKUP(AF596,TPCalibEq500!$AZ$2:$BB$56,3,)))</f>
        <v>0</v>
      </c>
      <c r="AT596" s="10" t="str">
        <f>IF(AND(I596="TN",S596&lt;=2800),VLOOKUP(AF596,TNCalibEq2500!$AZ$2:$BB$56,3,),IF(AND(I596="TDN",S596&lt;=2800),VLOOKUP(AF596,TNCalibEq2500!$AZ$2:$BB$56,3,)))</f>
        <v>y=2.4015x2+187.16x-68.555</v>
      </c>
      <c r="AU596" s="10" t="str">
        <f>IF(I596="TP",VLOOKUP(AF596,TPCalibEqFull!$AZ$2:$BB$56,3),IF(I596="TDP",VLOOKUP(AF596,TPCalibEqFull!$AZ$2:$BB$56,3),IF(I596="TDN",VLOOKUP(AF596,TNCalibEqFull!$AZ$1:$BB$56,3),IF(I596="TN",VLOOKUP(AF596,TNCalibEqFull!$AZ$1:$BB$56,3),FALSE))))</f>
        <v>y=0.155x2+210.99x-92.045</v>
      </c>
      <c r="AV596" s="10" t="str">
        <f t="shared" si="67"/>
        <v>0111 09:00:00-QAC-STD-D.H-1-DI-CAL</v>
      </c>
    </row>
    <row r="597" spans="1:48" s="10" customFormat="1" x14ac:dyDescent="0.55000000000000004">
      <c r="A597" s="32">
        <v>44937</v>
      </c>
      <c r="B597" s="33">
        <v>0.375</v>
      </c>
      <c r="C597" s="10" t="s">
        <v>70</v>
      </c>
      <c r="D597" s="10" t="s">
        <v>71</v>
      </c>
      <c r="E597" s="10" t="s">
        <v>918</v>
      </c>
      <c r="F597" s="10">
        <v>1</v>
      </c>
      <c r="G597" s="10" t="s">
        <v>73</v>
      </c>
      <c r="H597" s="10" t="s">
        <v>74</v>
      </c>
      <c r="I597" s="10" t="s">
        <v>235</v>
      </c>
      <c r="J597" s="10">
        <v>182</v>
      </c>
      <c r="K597" s="12">
        <v>44937</v>
      </c>
      <c r="L597" s="33">
        <v>0.57187500000000002</v>
      </c>
      <c r="M597" s="10">
        <v>1</v>
      </c>
      <c r="N597" s="10" t="s">
        <v>196</v>
      </c>
      <c r="O597" s="10">
        <v>0.54</v>
      </c>
      <c r="P597" s="10">
        <v>3.2199999999999999E-2</v>
      </c>
      <c r="Q597" s="10">
        <v>30</v>
      </c>
      <c r="R597" s="10" t="s">
        <v>170</v>
      </c>
      <c r="S597" s="34">
        <f t="shared" si="63"/>
        <v>30</v>
      </c>
      <c r="T597" s="10" t="s">
        <v>1005</v>
      </c>
      <c r="U597" s="34" t="str">
        <f t="shared" si="64"/>
        <v/>
      </c>
      <c r="V597" s="31" t="str">
        <f>IF(H597="CHK",VLOOKUP(I597,QCCHK,3,),IF(H597="GUP",VLOOKUP(E597,QCGUP,2,),IF(AND(H597="ATP",OR(I597="TN",I597="TDN",I597="TNO2-3",I597="NO2-3")),VLOOKUP(E597,QCREC_N,2,),IF(AND(H597="NIC",OR(I597="TN",I597="TDN",I597="TNO2-3",I597="NO2-3")),VLOOKUP(E597,QCNIC_N,2,),IF(AND(H597="UREA",OR(I597="TN",I597="TDN",I597="TNO2-3",I597="NO2-3")),VLOOKUP(E597,QCUREA_N,2,),IF(H597="PER",VLOOKUP(I597,QCPER,MATCH(E597,QCACTUAL!$J$25:$AA$25,0),),IF(H597="SPK",VLOOKUP(I597,QCSPK,3,),IF(AND(H597="ATP",OR(I597="TP",I597="TDP")),VLOOKUP(E597,QCATP_P,2,),""))))))))</f>
        <v/>
      </c>
      <c r="W597" s="31" t="str">
        <f t="shared" si="65"/>
        <v>TRUE</v>
      </c>
      <c r="X597" s="31" t="str">
        <f t="shared" si="66"/>
        <v/>
      </c>
      <c r="Y597" s="10" t="s">
        <v>1004</v>
      </c>
      <c r="AF597" s="12">
        <v>44937</v>
      </c>
      <c r="AJ597" s="10">
        <f>2.4015*0.54^2+187.16*0.54-68.555</f>
        <v>33.211677399999999</v>
      </c>
      <c r="AK597" s="10">
        <f>0.155*0.54^2+210.99*0.54-92.045</f>
        <v>21.934798000000015</v>
      </c>
      <c r="AL597" s="10" t="str">
        <f t="shared" si="68"/>
        <v>FALSE</v>
      </c>
      <c r="AM597" s="10" t="str">
        <f t="shared" si="68"/>
        <v>FALSE</v>
      </c>
      <c r="AN597" s="10" t="str">
        <f t="shared" si="68"/>
        <v>FALSE</v>
      </c>
      <c r="AO597" s="10" t="str">
        <f t="shared" si="69"/>
        <v>y=2.4015*0.54^2+187.16*0.54-68.555</v>
      </c>
      <c r="AP597" s="10" t="str">
        <f t="shared" si="69"/>
        <v>y=0.155*0.54^2+210.99*0.54-92.045</v>
      </c>
      <c r="AQ597" s="10" t="b">
        <f>IF(AND(I597="TP",S597&lt;=150),VLOOKUP(AF597,TPCalibEq150!$AZ$2:$BB$55,3,),IF(AND(I597="TDP",S597&lt;=150),VLOOKUP(AF597,TPCalibEq150!$AZ$2:$BB$55,3,)))</f>
        <v>0</v>
      </c>
      <c r="AR597" s="10" t="b">
        <f>IF(AND(I597="TP",S597&lt;=300),VLOOKUP(AF597,TPCalibEq300!$AZ$2:$BB$55,3,),IF(AND(I597="TDP",S597&lt;=300),VLOOKUP(AF597,TPCalibEq300!$AZ$2:$BB$55,3,)))</f>
        <v>0</v>
      </c>
      <c r="AS597" s="10" t="b">
        <f>IF(AND(I597="TP",S597&lt;=500),VLOOKUP(AF597,TPCalibEq500!$AZ$2:$BB$56,3,),IF(AND(I597="TDP",S597&lt;=500),VLOOKUP(AF597,TPCalibEq500!$AZ$2:$BB$56,3,)))</f>
        <v>0</v>
      </c>
      <c r="AT597" s="10" t="str">
        <f>IF(AND(I597="TN",S597&lt;=2800),VLOOKUP(AF597,TNCalibEq2500!$AZ$2:$BB$56,3,),IF(AND(I597="TDN",S597&lt;=2800),VLOOKUP(AF597,TNCalibEq2500!$AZ$2:$BB$56,3,)))</f>
        <v>y=2.4015x2+187.16x-68.555</v>
      </c>
      <c r="AU597" s="10" t="str">
        <f>IF(I597="TP",VLOOKUP(AF597,TPCalibEqFull!$AZ$2:$BB$56,3),IF(I597="TDP",VLOOKUP(AF597,TPCalibEqFull!$AZ$2:$BB$56,3),IF(I597="TDN",VLOOKUP(AF597,TNCalibEqFull!$AZ$1:$BB$56,3),IF(I597="TN",VLOOKUP(AF597,TNCalibEqFull!$AZ$1:$BB$56,3),FALSE))))</f>
        <v>y=0.155x2+210.99x-92.045</v>
      </c>
      <c r="AV597" s="10" t="str">
        <f t="shared" si="67"/>
        <v>0111 09:00:00-QAC-STD-D.G-1-DI-CAL</v>
      </c>
    </row>
    <row r="598" spans="1:48" s="10" customFormat="1" x14ac:dyDescent="0.55000000000000004">
      <c r="A598" s="32">
        <v>44937</v>
      </c>
      <c r="B598" s="33">
        <v>0.375</v>
      </c>
      <c r="C598" s="10" t="s">
        <v>70</v>
      </c>
      <c r="D598" s="10" t="s">
        <v>71</v>
      </c>
      <c r="E598" s="10" t="s">
        <v>919</v>
      </c>
      <c r="F598" s="10">
        <v>1</v>
      </c>
      <c r="G598" s="10" t="s">
        <v>73</v>
      </c>
      <c r="H598" s="10" t="s">
        <v>74</v>
      </c>
      <c r="I598" s="10" t="s">
        <v>235</v>
      </c>
      <c r="J598" s="10">
        <v>183</v>
      </c>
      <c r="K598" s="12">
        <v>44937</v>
      </c>
      <c r="L598" s="33">
        <v>0.57254629629629628</v>
      </c>
      <c r="M598" s="10">
        <v>1</v>
      </c>
      <c r="N598" s="10" t="s">
        <v>196</v>
      </c>
      <c r="O598" s="10">
        <v>1.03</v>
      </c>
      <c r="P598" s="10">
        <v>6.1199999999999997E-2</v>
      </c>
      <c r="Q598" s="10">
        <v>125</v>
      </c>
      <c r="R598" s="10" t="s">
        <v>170</v>
      </c>
      <c r="S598" s="34">
        <f t="shared" si="63"/>
        <v>125</v>
      </c>
      <c r="T598" s="10" t="s">
        <v>1006</v>
      </c>
      <c r="U598" s="34" t="str">
        <f t="shared" si="64"/>
        <v/>
      </c>
      <c r="V598" s="31" t="str">
        <f>IF(H598="CHK",VLOOKUP(I598,QCCHK,3,),IF(H598="GUP",VLOOKUP(E598,QCGUP,2,),IF(AND(H598="ATP",OR(I598="TN",I598="TDN",I598="TNO2-3",I598="NO2-3")),VLOOKUP(E598,QCREC_N,2,),IF(AND(H598="NIC",OR(I598="TN",I598="TDN",I598="TNO2-3",I598="NO2-3")),VLOOKUP(E598,QCNIC_N,2,),IF(AND(H598="UREA",OR(I598="TN",I598="TDN",I598="TNO2-3",I598="NO2-3")),VLOOKUP(E598,QCUREA_N,2,),IF(H598="PER",VLOOKUP(I598,QCPER,MATCH(E598,QCACTUAL!$J$25:$AA$25,0),),IF(H598="SPK",VLOOKUP(I598,QCSPK,3,),IF(AND(H598="ATP",OR(I598="TP",I598="TDP")),VLOOKUP(E598,QCATP_P,2,),""))))))))</f>
        <v/>
      </c>
      <c r="W598" s="31" t="str">
        <f t="shared" si="65"/>
        <v>TRUE</v>
      </c>
      <c r="X598" s="31" t="str">
        <f t="shared" si="66"/>
        <v/>
      </c>
      <c r="Y598" s="10" t="s">
        <v>1004</v>
      </c>
      <c r="AF598" s="12">
        <v>44937</v>
      </c>
      <c r="AJ598" s="10">
        <f>2.4015*1.03^2+187.16*1.03-68.555</f>
        <v>126.76755134999999</v>
      </c>
      <c r="AK598" s="10">
        <f>0.155*1.03^2+210.99*1.03-92.045</f>
        <v>125.4391395</v>
      </c>
      <c r="AL598" s="10" t="str">
        <f t="shared" si="68"/>
        <v>FALSE</v>
      </c>
      <c r="AM598" s="10" t="str">
        <f t="shared" si="68"/>
        <v>FALSE</v>
      </c>
      <c r="AN598" s="10" t="str">
        <f t="shared" si="68"/>
        <v>FALSE</v>
      </c>
      <c r="AO598" s="10" t="str">
        <f t="shared" si="69"/>
        <v>y=2.4015*1.03^2+187.16*1.03-68.555</v>
      </c>
      <c r="AP598" s="10" t="str">
        <f t="shared" si="69"/>
        <v>y=0.155*1.03^2+210.99*1.03-92.045</v>
      </c>
      <c r="AQ598" s="10" t="b">
        <f>IF(AND(I598="TP",S598&lt;=150),VLOOKUP(AF598,TPCalibEq150!$AZ$2:$BB$55,3,),IF(AND(I598="TDP",S598&lt;=150),VLOOKUP(AF598,TPCalibEq150!$AZ$2:$BB$55,3,)))</f>
        <v>0</v>
      </c>
      <c r="AR598" s="10" t="b">
        <f>IF(AND(I598="TP",S598&lt;=300),VLOOKUP(AF598,TPCalibEq300!$AZ$2:$BB$55,3,),IF(AND(I598="TDP",S598&lt;=300),VLOOKUP(AF598,TPCalibEq300!$AZ$2:$BB$55,3,)))</f>
        <v>0</v>
      </c>
      <c r="AS598" s="10" t="b">
        <f>IF(AND(I598="TP",S598&lt;=500),VLOOKUP(AF598,TPCalibEq500!$AZ$2:$BB$56,3,),IF(AND(I598="TDP",S598&lt;=500),VLOOKUP(AF598,TPCalibEq500!$AZ$2:$BB$56,3,)))</f>
        <v>0</v>
      </c>
      <c r="AT598" s="10" t="str">
        <f>IF(AND(I598="TN",S598&lt;=2800),VLOOKUP(AF598,TNCalibEq2500!$AZ$2:$BB$56,3,),IF(AND(I598="TDN",S598&lt;=2800),VLOOKUP(AF598,TNCalibEq2500!$AZ$2:$BB$56,3,)))</f>
        <v>y=2.4015x2+187.16x-68.555</v>
      </c>
      <c r="AU598" s="10" t="str">
        <f>IF(I598="TP",VLOOKUP(AF598,TPCalibEqFull!$AZ$2:$BB$56,3),IF(I598="TDP",VLOOKUP(AF598,TPCalibEqFull!$AZ$2:$BB$56,3),IF(I598="TDN",VLOOKUP(AF598,TNCalibEqFull!$AZ$1:$BB$56,3),IF(I598="TN",VLOOKUP(AF598,TNCalibEqFull!$AZ$1:$BB$56,3),FALSE))))</f>
        <v>y=0.155x2+210.99x-92.045</v>
      </c>
      <c r="AV598" s="10" t="str">
        <f t="shared" si="67"/>
        <v>0111 09:00:00-QAC-STD-D.F-1-DI-CAL</v>
      </c>
    </row>
    <row r="599" spans="1:48" s="10" customFormat="1" x14ac:dyDescent="0.55000000000000004">
      <c r="A599" s="32">
        <v>44937</v>
      </c>
      <c r="B599" s="33">
        <v>0.375</v>
      </c>
      <c r="C599" s="10" t="s">
        <v>70</v>
      </c>
      <c r="D599" s="10" t="s">
        <v>71</v>
      </c>
      <c r="E599" s="10" t="s">
        <v>920</v>
      </c>
      <c r="F599" s="10">
        <v>1</v>
      </c>
      <c r="G599" s="10" t="s">
        <v>73</v>
      </c>
      <c r="H599" s="10" t="s">
        <v>74</v>
      </c>
      <c r="I599" s="10" t="s">
        <v>235</v>
      </c>
      <c r="J599" s="10">
        <v>184</v>
      </c>
      <c r="K599" s="12">
        <v>44937</v>
      </c>
      <c r="L599" s="33">
        <v>0.57321759259259253</v>
      </c>
      <c r="M599" s="10">
        <v>1</v>
      </c>
      <c r="N599" s="10" t="s">
        <v>196</v>
      </c>
      <c r="O599" s="10">
        <v>2.88</v>
      </c>
      <c r="P599" s="10">
        <v>0.17199999999999999</v>
      </c>
      <c r="Q599" s="10">
        <v>500</v>
      </c>
      <c r="R599" s="10" t="s">
        <v>170</v>
      </c>
      <c r="S599" s="34">
        <f t="shared" si="63"/>
        <v>500</v>
      </c>
      <c r="T599" s="10" t="s">
        <v>1007</v>
      </c>
      <c r="U599" s="34" t="str">
        <f t="shared" si="64"/>
        <v/>
      </c>
      <c r="V599" s="31" t="str">
        <f>IF(H599="CHK",VLOOKUP(I599,QCCHK,3,),IF(H599="GUP",VLOOKUP(E599,QCGUP,2,),IF(AND(H599="ATP",OR(I599="TN",I599="TDN",I599="TNO2-3",I599="NO2-3")),VLOOKUP(E599,QCREC_N,2,),IF(AND(H599="NIC",OR(I599="TN",I599="TDN",I599="TNO2-3",I599="NO2-3")),VLOOKUP(E599,QCNIC_N,2,),IF(AND(H599="UREA",OR(I599="TN",I599="TDN",I599="TNO2-3",I599="NO2-3")),VLOOKUP(E599,QCUREA_N,2,),IF(H599="PER",VLOOKUP(I599,QCPER,MATCH(E599,QCACTUAL!$J$25:$AA$25,0),),IF(H599="SPK",VLOOKUP(I599,QCSPK,3,),IF(AND(H599="ATP",OR(I599="TP",I599="TDP")),VLOOKUP(E599,QCATP_P,2,),""))))))))</f>
        <v/>
      </c>
      <c r="W599" s="31" t="str">
        <f t="shared" si="65"/>
        <v>TRUE</v>
      </c>
      <c r="X599" s="31" t="str">
        <f t="shared" si="66"/>
        <v/>
      </c>
      <c r="Y599" s="10" t="s">
        <v>1004</v>
      </c>
      <c r="AF599" s="12">
        <v>44937</v>
      </c>
      <c r="AJ599" s="10">
        <f>2.4015*2.88^2+187.16*2.88-68.555</f>
        <v>490.3848016</v>
      </c>
      <c r="AK599" s="10">
        <f>0.155*2.88^2+210.99*2.88-92.045</f>
        <v>516.89183200000002</v>
      </c>
      <c r="AL599" s="10" t="str">
        <f t="shared" si="68"/>
        <v>FALSE</v>
      </c>
      <c r="AM599" s="10" t="str">
        <f t="shared" si="68"/>
        <v>FALSE</v>
      </c>
      <c r="AN599" s="10" t="str">
        <f t="shared" si="68"/>
        <v>FALSE</v>
      </c>
      <c r="AO599" s="10" t="str">
        <f t="shared" si="69"/>
        <v>y=2.4015*2.88^2+187.16*2.88-68.555</v>
      </c>
      <c r="AP599" s="10" t="str">
        <f t="shared" si="69"/>
        <v>y=0.155*2.88^2+210.99*2.88-92.045</v>
      </c>
      <c r="AQ599" s="10" t="b">
        <f>IF(AND(I599="TP",S599&lt;=150),VLOOKUP(AF599,TPCalibEq150!$AZ$2:$BB$55,3,),IF(AND(I599="TDP",S599&lt;=150),VLOOKUP(AF599,TPCalibEq150!$AZ$2:$BB$55,3,)))</f>
        <v>0</v>
      </c>
      <c r="AR599" s="10" t="b">
        <f>IF(AND(I599="TP",S599&lt;=300),VLOOKUP(AF599,TPCalibEq300!$AZ$2:$BB$55,3,),IF(AND(I599="TDP",S599&lt;=300),VLOOKUP(AF599,TPCalibEq300!$AZ$2:$BB$55,3,)))</f>
        <v>0</v>
      </c>
      <c r="AS599" s="10" t="b">
        <f>IF(AND(I599="TP",S599&lt;=500),VLOOKUP(AF599,TPCalibEq500!$AZ$2:$BB$56,3,),IF(AND(I599="TDP",S599&lt;=500),VLOOKUP(AF599,TPCalibEq500!$AZ$2:$BB$56,3,)))</f>
        <v>0</v>
      </c>
      <c r="AT599" s="10" t="str">
        <f>IF(AND(I599="TN",S599&lt;=2800),VLOOKUP(AF599,TNCalibEq2500!$AZ$2:$BB$56,3,),IF(AND(I599="TDN",S599&lt;=2800),VLOOKUP(AF599,TNCalibEq2500!$AZ$2:$BB$56,3,)))</f>
        <v>y=2.4015x2+187.16x-68.555</v>
      </c>
      <c r="AU599" s="10" t="str">
        <f>IF(I599="TP",VLOOKUP(AF599,TPCalibEqFull!$AZ$2:$BB$56,3),IF(I599="TDP",VLOOKUP(AF599,TPCalibEqFull!$AZ$2:$BB$56,3),IF(I599="TDN",VLOOKUP(AF599,TNCalibEqFull!$AZ$1:$BB$56,3),IF(I599="TN",VLOOKUP(AF599,TNCalibEqFull!$AZ$1:$BB$56,3),FALSE))))</f>
        <v>y=0.155x2+210.99x-92.045</v>
      </c>
      <c r="AV599" s="10" t="str">
        <f t="shared" si="67"/>
        <v>0111 09:00:00-QAC-STD-D.E-1-DI-CAL</v>
      </c>
    </row>
    <row r="600" spans="1:48" s="10" customFormat="1" x14ac:dyDescent="0.55000000000000004">
      <c r="A600" s="32">
        <v>44937</v>
      </c>
      <c r="B600" s="33">
        <v>0.375</v>
      </c>
      <c r="C600" s="10" t="s">
        <v>70</v>
      </c>
      <c r="D600" s="10" t="s">
        <v>71</v>
      </c>
      <c r="E600" s="10" t="s">
        <v>921</v>
      </c>
      <c r="F600" s="10">
        <v>1</v>
      </c>
      <c r="G600" s="10" t="s">
        <v>73</v>
      </c>
      <c r="H600" s="10" t="s">
        <v>74</v>
      </c>
      <c r="I600" s="10" t="s">
        <v>235</v>
      </c>
      <c r="J600" s="10">
        <v>185</v>
      </c>
      <c r="K600" s="12">
        <v>44937</v>
      </c>
      <c r="L600" s="33">
        <v>0.57390046296296293</v>
      </c>
      <c r="M600" s="10">
        <v>1</v>
      </c>
      <c r="N600" s="10" t="s">
        <v>196</v>
      </c>
      <c r="O600" s="10">
        <v>6.53</v>
      </c>
      <c r="P600" s="10">
        <v>0.39200000000000002</v>
      </c>
      <c r="Q600" s="10">
        <v>1250</v>
      </c>
      <c r="R600" s="10" t="s">
        <v>170</v>
      </c>
      <c r="S600" s="34">
        <f t="shared" si="63"/>
        <v>1250</v>
      </c>
      <c r="T600" s="10" t="s">
        <v>1008</v>
      </c>
      <c r="U600" s="34" t="str">
        <f t="shared" si="64"/>
        <v/>
      </c>
      <c r="V600" s="31" t="str">
        <f>IF(H600="CHK",VLOOKUP(I600,QCCHK,3,),IF(H600="GUP",VLOOKUP(E600,QCGUP,2,),IF(AND(H600="ATP",OR(I600="TN",I600="TDN",I600="TNO2-3",I600="NO2-3")),VLOOKUP(E600,QCREC_N,2,),IF(AND(H600="NIC",OR(I600="TN",I600="TDN",I600="TNO2-3",I600="NO2-3")),VLOOKUP(E600,QCNIC_N,2,),IF(AND(H600="UREA",OR(I600="TN",I600="TDN",I600="TNO2-3",I600="NO2-3")),VLOOKUP(E600,QCUREA_N,2,),IF(H600="PER",VLOOKUP(I600,QCPER,MATCH(E600,QCACTUAL!$J$25:$AA$25,0),),IF(H600="SPK",VLOOKUP(I600,QCSPK,3,),IF(AND(H600="ATP",OR(I600="TP",I600="TDP")),VLOOKUP(E600,QCATP_P,2,),""))))))))</f>
        <v/>
      </c>
      <c r="W600" s="31" t="str">
        <f t="shared" si="65"/>
        <v>TRUE</v>
      </c>
      <c r="X600" s="31" t="str">
        <f t="shared" si="66"/>
        <v/>
      </c>
      <c r="Y600" s="10" t="s">
        <v>1004</v>
      </c>
      <c r="AF600" s="12">
        <v>44937</v>
      </c>
      <c r="AJ600" s="10">
        <f>2.4015*6.53^2+187.16*6.53-68.555</f>
        <v>1256.00192135</v>
      </c>
      <c r="AK600" s="10">
        <f>0.155*6.53^2+210.99*6.53-92.045</f>
        <v>1292.3290395000001</v>
      </c>
      <c r="AL600" s="10" t="str">
        <f t="shared" si="68"/>
        <v>FALSE</v>
      </c>
      <c r="AM600" s="10" t="str">
        <f t="shared" si="68"/>
        <v>FALSE</v>
      </c>
      <c r="AN600" s="10" t="str">
        <f t="shared" si="68"/>
        <v>FALSE</v>
      </c>
      <c r="AO600" s="10" t="str">
        <f t="shared" si="69"/>
        <v>y=2.4015*6.53^2+187.16*6.53-68.555</v>
      </c>
      <c r="AP600" s="10" t="str">
        <f t="shared" si="69"/>
        <v>y=0.155*6.53^2+210.99*6.53-92.045</v>
      </c>
      <c r="AQ600" s="10" t="b">
        <f>IF(AND(I600="TP",S600&lt;=150),VLOOKUP(AF600,TPCalibEq150!$AZ$2:$BB$55,3,),IF(AND(I600="TDP",S600&lt;=150),VLOOKUP(AF600,TPCalibEq150!$AZ$2:$BB$55,3,)))</f>
        <v>0</v>
      </c>
      <c r="AR600" s="10" t="b">
        <f>IF(AND(I600="TP",S600&lt;=300),VLOOKUP(AF600,TPCalibEq300!$AZ$2:$BB$55,3,),IF(AND(I600="TDP",S600&lt;=300),VLOOKUP(AF600,TPCalibEq300!$AZ$2:$BB$55,3,)))</f>
        <v>0</v>
      </c>
      <c r="AS600" s="10" t="b">
        <f>IF(AND(I600="TP",S600&lt;=500),VLOOKUP(AF600,TPCalibEq500!$AZ$2:$BB$56,3,),IF(AND(I600="TDP",S600&lt;=500),VLOOKUP(AF600,TPCalibEq500!$AZ$2:$BB$56,3,)))</f>
        <v>0</v>
      </c>
      <c r="AT600" s="10" t="str">
        <f>IF(AND(I600="TN",S600&lt;=2800),VLOOKUP(AF600,TNCalibEq2500!$AZ$2:$BB$56,3,),IF(AND(I600="TDN",S600&lt;=2800),VLOOKUP(AF600,TNCalibEq2500!$AZ$2:$BB$56,3,)))</f>
        <v>y=2.4015x2+187.16x-68.555</v>
      </c>
      <c r="AU600" s="10" t="str">
        <f>IF(I600="TP",VLOOKUP(AF600,TPCalibEqFull!$AZ$2:$BB$56,3),IF(I600="TDP",VLOOKUP(AF600,TPCalibEqFull!$AZ$2:$BB$56,3),IF(I600="TDN",VLOOKUP(AF600,TNCalibEqFull!$AZ$1:$BB$56,3),IF(I600="TN",VLOOKUP(AF600,TNCalibEqFull!$AZ$1:$BB$56,3),FALSE))))</f>
        <v>y=0.155x2+210.99x-92.045</v>
      </c>
      <c r="AV600" s="10" t="str">
        <f t="shared" si="67"/>
        <v>0111 09:00:00-QAC-STD-D.D-1-DI-CAL</v>
      </c>
    </row>
    <row r="601" spans="1:48" s="10" customFormat="1" x14ac:dyDescent="0.55000000000000004">
      <c r="A601" s="32">
        <v>44937</v>
      </c>
      <c r="B601" s="33">
        <v>0.375</v>
      </c>
      <c r="C601" s="10" t="s">
        <v>70</v>
      </c>
      <c r="D601" s="10" t="s">
        <v>71</v>
      </c>
      <c r="E601" s="10" t="s">
        <v>922</v>
      </c>
      <c r="F601" s="10">
        <v>1</v>
      </c>
      <c r="G601" s="10" t="s">
        <v>73</v>
      </c>
      <c r="H601" s="10" t="s">
        <v>74</v>
      </c>
      <c r="I601" s="10" t="s">
        <v>235</v>
      </c>
      <c r="J601" s="10">
        <v>186</v>
      </c>
      <c r="K601" s="12">
        <v>44937</v>
      </c>
      <c r="L601" s="33">
        <v>0.5745717592592593</v>
      </c>
      <c r="M601" s="10">
        <v>1</v>
      </c>
      <c r="N601" s="10" t="s">
        <v>196</v>
      </c>
      <c r="O601" s="10">
        <v>11.9</v>
      </c>
      <c r="P601" s="10">
        <v>0.71799999999999997</v>
      </c>
      <c r="Q601" s="10">
        <v>2500</v>
      </c>
      <c r="R601" s="10" t="s">
        <v>170</v>
      </c>
      <c r="S601" s="34">
        <f t="shared" si="63"/>
        <v>2500</v>
      </c>
      <c r="T601" s="10" t="s">
        <v>1009</v>
      </c>
      <c r="U601" s="34" t="str">
        <f t="shared" si="64"/>
        <v/>
      </c>
      <c r="V601" s="31" t="str">
        <f>IF(H601="CHK",VLOOKUP(I601,QCCHK,3,),IF(H601="GUP",VLOOKUP(E601,QCGUP,2,),IF(AND(H601="ATP",OR(I601="TN",I601="TDN",I601="TNO2-3",I601="NO2-3")),VLOOKUP(E601,QCREC_N,2,),IF(AND(H601="NIC",OR(I601="TN",I601="TDN",I601="TNO2-3",I601="NO2-3")),VLOOKUP(E601,QCNIC_N,2,),IF(AND(H601="UREA",OR(I601="TN",I601="TDN",I601="TNO2-3",I601="NO2-3")),VLOOKUP(E601,QCUREA_N,2,),IF(H601="PER",VLOOKUP(I601,QCPER,MATCH(E601,QCACTUAL!$J$25:$AA$25,0),),IF(H601="SPK",VLOOKUP(I601,QCSPK,3,),IF(AND(H601="ATP",OR(I601="TP",I601="TDP")),VLOOKUP(E601,QCATP_P,2,),""))))))))</f>
        <v/>
      </c>
      <c r="W601" s="31" t="str">
        <f t="shared" si="65"/>
        <v>TRUE</v>
      </c>
      <c r="X601" s="31" t="str">
        <f t="shared" si="66"/>
        <v/>
      </c>
      <c r="Y601" s="10" t="s">
        <v>1004</v>
      </c>
      <c r="AF601" s="12">
        <v>44937</v>
      </c>
      <c r="AJ601" s="10">
        <f>2.4015*11.9^2+187.16*11.9-68.555</f>
        <v>2498.7254150000003</v>
      </c>
      <c r="AK601" s="10">
        <f>0.155*11.9^2+210.99*11.9-92.045</f>
        <v>2440.6855500000001</v>
      </c>
      <c r="AL601" s="10" t="str">
        <f t="shared" si="68"/>
        <v>FALSE</v>
      </c>
      <c r="AM601" s="10" t="str">
        <f t="shared" si="68"/>
        <v>FALSE</v>
      </c>
      <c r="AN601" s="10" t="str">
        <f t="shared" si="68"/>
        <v>FALSE</v>
      </c>
      <c r="AO601" s="10" t="str">
        <f t="shared" si="69"/>
        <v>y=2.4015*11.9^2+187.16*11.9-68.555</v>
      </c>
      <c r="AP601" s="10" t="str">
        <f t="shared" si="69"/>
        <v>y=0.155*11.9^2+210.99*11.9-92.045</v>
      </c>
      <c r="AQ601" s="10" t="b">
        <f>IF(AND(I601="TP",S601&lt;=150),VLOOKUP(AF601,TPCalibEq150!$AZ$2:$BB$55,3,),IF(AND(I601="TDP",S601&lt;=150),VLOOKUP(AF601,TPCalibEq150!$AZ$2:$BB$55,3,)))</f>
        <v>0</v>
      </c>
      <c r="AR601" s="10" t="b">
        <f>IF(AND(I601="TP",S601&lt;=300),VLOOKUP(AF601,TPCalibEq300!$AZ$2:$BB$55,3,),IF(AND(I601="TDP",S601&lt;=300),VLOOKUP(AF601,TPCalibEq300!$AZ$2:$BB$55,3,)))</f>
        <v>0</v>
      </c>
      <c r="AS601" s="10" t="b">
        <f>IF(AND(I601="TP",S601&lt;=500),VLOOKUP(AF601,TPCalibEq500!$AZ$2:$BB$56,3,),IF(AND(I601="TDP",S601&lt;=500),VLOOKUP(AF601,TPCalibEq500!$AZ$2:$BB$56,3,)))</f>
        <v>0</v>
      </c>
      <c r="AT601" s="10" t="str">
        <f>IF(AND(I601="TN",S601&lt;=2800),VLOOKUP(AF601,TNCalibEq2500!$AZ$2:$BB$56,3,),IF(AND(I601="TDN",S601&lt;=2800),VLOOKUP(AF601,TNCalibEq2500!$AZ$2:$BB$56,3,)))</f>
        <v>y=2.4015x2+187.16x-68.555</v>
      </c>
      <c r="AU601" s="10" t="str">
        <f>IF(I601="TP",VLOOKUP(AF601,TPCalibEqFull!$AZ$2:$BB$56,3),IF(I601="TDP",VLOOKUP(AF601,TPCalibEqFull!$AZ$2:$BB$56,3),IF(I601="TDN",VLOOKUP(AF601,TNCalibEqFull!$AZ$1:$BB$56,3),IF(I601="TN",VLOOKUP(AF601,TNCalibEqFull!$AZ$1:$BB$56,3),FALSE))))</f>
        <v>y=0.155x2+210.99x-92.045</v>
      </c>
      <c r="AV601" s="10" t="str">
        <f t="shared" si="67"/>
        <v>0111 09:00:00-QAC-STD-D.C-1-DI-CAL</v>
      </c>
    </row>
    <row r="602" spans="1:48" s="10" customFormat="1" x14ac:dyDescent="0.55000000000000004">
      <c r="A602" s="32">
        <v>44937</v>
      </c>
      <c r="B602" s="33">
        <v>0.375</v>
      </c>
      <c r="C602" s="10" t="s">
        <v>70</v>
      </c>
      <c r="D602" s="10" t="s">
        <v>71</v>
      </c>
      <c r="E602" s="10" t="s">
        <v>923</v>
      </c>
      <c r="F602" s="10">
        <v>1</v>
      </c>
      <c r="G602" s="10" t="s">
        <v>73</v>
      </c>
      <c r="H602" s="10" t="s">
        <v>74</v>
      </c>
      <c r="I602" s="10" t="s">
        <v>235</v>
      </c>
      <c r="J602" s="10">
        <v>187</v>
      </c>
      <c r="K602" s="12">
        <v>44937</v>
      </c>
      <c r="L602" s="33">
        <v>0.57524305555555555</v>
      </c>
      <c r="M602" s="10">
        <v>1</v>
      </c>
      <c r="N602" s="10" t="s">
        <v>196</v>
      </c>
      <c r="O602" s="10">
        <v>18.100000000000001</v>
      </c>
      <c r="P602" s="10">
        <v>1.08</v>
      </c>
      <c r="Q602" s="10">
        <v>3750</v>
      </c>
      <c r="R602" s="10" t="s">
        <v>170</v>
      </c>
      <c r="S602" s="34">
        <f t="shared" si="63"/>
        <v>3750</v>
      </c>
      <c r="T602" s="10" t="s">
        <v>1010</v>
      </c>
      <c r="U602" s="34" t="str">
        <f t="shared" si="64"/>
        <v/>
      </c>
      <c r="V602" s="31" t="str">
        <f>IF(H602="CHK",VLOOKUP(I602,QCCHK,3,),IF(H602="GUP",VLOOKUP(E602,QCGUP,2,),IF(AND(H602="ATP",OR(I602="TN",I602="TDN",I602="TNO2-3",I602="NO2-3")),VLOOKUP(E602,QCREC_N,2,),IF(AND(H602="NIC",OR(I602="TN",I602="TDN",I602="TNO2-3",I602="NO2-3")),VLOOKUP(E602,QCNIC_N,2,),IF(AND(H602="UREA",OR(I602="TN",I602="TDN",I602="TNO2-3",I602="NO2-3")),VLOOKUP(E602,QCUREA_N,2,),IF(H602="PER",VLOOKUP(I602,QCPER,MATCH(E602,QCACTUAL!$J$25:$AA$25,0),),IF(H602="SPK",VLOOKUP(I602,QCSPK,3,),IF(AND(H602="ATP",OR(I602="TP",I602="TDP")),VLOOKUP(E602,QCATP_P,2,),""))))))))</f>
        <v/>
      </c>
      <c r="W602" s="31" t="str">
        <f t="shared" si="65"/>
        <v>TRUE</v>
      </c>
      <c r="X602" s="31" t="str">
        <f t="shared" si="66"/>
        <v/>
      </c>
      <c r="Y602" s="10" t="s">
        <v>1004</v>
      </c>
      <c r="AF602" s="12">
        <v>44937</v>
      </c>
      <c r="AK602" s="10">
        <f>0.155*18.1^2+210.99*18.1-92.045</f>
        <v>3777.6535500000005</v>
      </c>
      <c r="AL602" s="10" t="str">
        <f t="shared" si="68"/>
        <v>FALSE</v>
      </c>
      <c r="AM602" s="10" t="str">
        <f t="shared" si="68"/>
        <v>FALSE</v>
      </c>
      <c r="AN602" s="10" t="str">
        <f t="shared" si="68"/>
        <v>FALSE</v>
      </c>
      <c r="AO602" s="10" t="str">
        <f t="shared" si="69"/>
        <v>FALSE</v>
      </c>
      <c r="AP602" s="10" t="str">
        <f t="shared" si="69"/>
        <v>y=0.155*18.1^2+210.99*18.1-92.045</v>
      </c>
      <c r="AQ602" s="10" t="b">
        <f>IF(AND(I602="TP",S602&lt;=150),VLOOKUP(AF602,TPCalibEq150!$AZ$2:$BB$55,3,),IF(AND(I602="TDP",S602&lt;=150),VLOOKUP(AF602,TPCalibEq150!$AZ$2:$BB$55,3,)))</f>
        <v>0</v>
      </c>
      <c r="AR602" s="10" t="b">
        <f>IF(AND(I602="TP",S602&lt;=300),VLOOKUP(AF602,TPCalibEq300!$AZ$2:$BB$55,3,),IF(AND(I602="TDP",S602&lt;=300),VLOOKUP(AF602,TPCalibEq300!$AZ$2:$BB$55,3,)))</f>
        <v>0</v>
      </c>
      <c r="AS602" s="10" t="b">
        <f>IF(AND(I602="TP",S602&lt;=500),VLOOKUP(AF602,TPCalibEq500!$AZ$2:$BB$56,3,),IF(AND(I602="TDP",S602&lt;=500),VLOOKUP(AF602,TPCalibEq500!$AZ$2:$BB$56,3,)))</f>
        <v>0</v>
      </c>
      <c r="AT602" s="10" t="b">
        <f>IF(AND(I602="TN",S602&lt;=2800),VLOOKUP(AF602,TNCalibEq2500!$AZ$2:$BB$56,3,),IF(AND(I602="TDN",S602&lt;=2800),VLOOKUP(AF602,TNCalibEq2500!$AZ$2:$BB$56,3,)))</f>
        <v>0</v>
      </c>
      <c r="AU602" s="10" t="str">
        <f>IF(I602="TP",VLOOKUP(AF602,TPCalibEqFull!$AZ$2:$BB$56,3),IF(I602="TDP",VLOOKUP(AF602,TPCalibEqFull!$AZ$2:$BB$56,3),IF(I602="TDN",VLOOKUP(AF602,TNCalibEqFull!$AZ$1:$BB$56,3),IF(I602="TN",VLOOKUP(AF602,TNCalibEqFull!$AZ$1:$BB$56,3),FALSE))))</f>
        <v>y=0.155x2+210.99x-92.045</v>
      </c>
      <c r="AV602" s="10" t="str">
        <f t="shared" si="67"/>
        <v>0111 09:00:00-QAC-STD-D.B-1-DI-CAL</v>
      </c>
    </row>
    <row r="603" spans="1:48" s="10" customFormat="1" x14ac:dyDescent="0.55000000000000004">
      <c r="A603" s="32">
        <v>44937</v>
      </c>
      <c r="B603" s="33">
        <v>0.375</v>
      </c>
      <c r="C603" s="10" t="s">
        <v>70</v>
      </c>
      <c r="D603" s="10" t="s">
        <v>71</v>
      </c>
      <c r="E603" s="10" t="s">
        <v>924</v>
      </c>
      <c r="F603" s="10">
        <v>1</v>
      </c>
      <c r="G603" s="10" t="s">
        <v>73</v>
      </c>
      <c r="H603" s="10" t="s">
        <v>74</v>
      </c>
      <c r="I603" s="10" t="s">
        <v>235</v>
      </c>
      <c r="J603" s="10">
        <v>188</v>
      </c>
      <c r="K603" s="12">
        <v>44937</v>
      </c>
      <c r="L603" s="33">
        <v>0.57592592592592595</v>
      </c>
      <c r="M603" s="10">
        <v>1</v>
      </c>
      <c r="N603" s="10" t="s">
        <v>196</v>
      </c>
      <c r="O603" s="10">
        <v>23.7</v>
      </c>
      <c r="P603" s="10">
        <v>1.41</v>
      </c>
      <c r="Q603" s="10">
        <v>5000</v>
      </c>
      <c r="R603" s="10" t="s">
        <v>170</v>
      </c>
      <c r="S603" s="34">
        <f t="shared" si="63"/>
        <v>5000</v>
      </c>
      <c r="T603" s="10" t="s">
        <v>1011</v>
      </c>
      <c r="U603" s="34" t="str">
        <f t="shared" si="64"/>
        <v/>
      </c>
      <c r="V603" s="31" t="str">
        <f>IF(H603="CHK",VLOOKUP(I603,QCCHK,3,),IF(H603="GUP",VLOOKUP(E603,QCGUP,2,),IF(AND(H603="ATP",OR(I603="TN",I603="TDN",I603="TNO2-3",I603="NO2-3")),VLOOKUP(E603,QCREC_N,2,),IF(AND(H603="NIC",OR(I603="TN",I603="TDN",I603="TNO2-3",I603="NO2-3")),VLOOKUP(E603,QCNIC_N,2,),IF(AND(H603="UREA",OR(I603="TN",I603="TDN",I603="TNO2-3",I603="NO2-3")),VLOOKUP(E603,QCUREA_N,2,),IF(H603="PER",VLOOKUP(I603,QCPER,MATCH(E603,QCACTUAL!$J$25:$AA$25,0),),IF(H603="SPK",VLOOKUP(I603,QCSPK,3,),IF(AND(H603="ATP",OR(I603="TP",I603="TDP")),VLOOKUP(E603,QCATP_P,2,),""))))))))</f>
        <v/>
      </c>
      <c r="W603" s="31" t="str">
        <f t="shared" si="65"/>
        <v>TRUE</v>
      </c>
      <c r="X603" s="31" t="str">
        <f t="shared" si="66"/>
        <v/>
      </c>
      <c r="Y603" s="10" t="s">
        <v>1004</v>
      </c>
      <c r="AF603" s="12">
        <v>44937</v>
      </c>
      <c r="AK603" s="10">
        <f>0.155*23.7^2+210.99*23.7-92.045</f>
        <v>4995.4799499999999</v>
      </c>
      <c r="AL603" s="10" t="str">
        <f t="shared" si="68"/>
        <v>FALSE</v>
      </c>
      <c r="AM603" s="10" t="str">
        <f t="shared" si="68"/>
        <v>FALSE</v>
      </c>
      <c r="AN603" s="10" t="str">
        <f t="shared" si="68"/>
        <v>FALSE</v>
      </c>
      <c r="AO603" s="10" t="str">
        <f t="shared" si="69"/>
        <v>FALSE</v>
      </c>
      <c r="AP603" s="10" t="str">
        <f t="shared" si="69"/>
        <v>y=0.155*23.7^2+210.99*23.7-92.045</v>
      </c>
      <c r="AQ603" s="10" t="b">
        <f>IF(AND(I603="TP",S603&lt;=150),VLOOKUP(AF603,TPCalibEq150!$AZ$2:$BB$55,3,),IF(AND(I603="TDP",S603&lt;=150),VLOOKUP(AF603,TPCalibEq150!$AZ$2:$BB$55,3,)))</f>
        <v>0</v>
      </c>
      <c r="AR603" s="10" t="b">
        <f>IF(AND(I603="TP",S603&lt;=300),VLOOKUP(AF603,TPCalibEq300!$AZ$2:$BB$55,3,),IF(AND(I603="TDP",S603&lt;=300),VLOOKUP(AF603,TPCalibEq300!$AZ$2:$BB$55,3,)))</f>
        <v>0</v>
      </c>
      <c r="AS603" s="10" t="b">
        <f>IF(AND(I603="TP",S603&lt;=500),VLOOKUP(AF603,TPCalibEq500!$AZ$2:$BB$56,3,),IF(AND(I603="TDP",S603&lt;=500),VLOOKUP(AF603,TPCalibEq500!$AZ$2:$BB$56,3,)))</f>
        <v>0</v>
      </c>
      <c r="AT603" s="10" t="b">
        <f>IF(AND(I603="TN",S603&lt;=2800),VLOOKUP(AF603,TNCalibEq2500!$AZ$2:$BB$56,3,),IF(AND(I603="TDN",S603&lt;=2800),VLOOKUP(AF603,TNCalibEq2500!$AZ$2:$BB$56,3,)))</f>
        <v>0</v>
      </c>
      <c r="AU603" s="10" t="str">
        <f>IF(I603="TP",VLOOKUP(AF603,TPCalibEqFull!$AZ$2:$BB$56,3),IF(I603="TDP",VLOOKUP(AF603,TPCalibEqFull!$AZ$2:$BB$56,3),IF(I603="TDN",VLOOKUP(AF603,TNCalibEqFull!$AZ$1:$BB$56,3),IF(I603="TN",VLOOKUP(AF603,TNCalibEqFull!$AZ$1:$BB$56,3),FALSE))))</f>
        <v>y=0.155x2+210.99x-92.045</v>
      </c>
      <c r="AV603" s="10" t="str">
        <f t="shared" si="67"/>
        <v>0111 09:00:00-QAC-STD-D.A-1-DI-CAL</v>
      </c>
    </row>
    <row r="604" spans="1:48" s="10" customFormat="1" x14ac:dyDescent="0.55000000000000004">
      <c r="A604" s="32">
        <v>44937</v>
      </c>
      <c r="B604" s="33">
        <v>0.375</v>
      </c>
      <c r="C604" s="10" t="s">
        <v>70</v>
      </c>
      <c r="D604" s="10" t="s">
        <v>241</v>
      </c>
      <c r="E604" s="10" t="s">
        <v>866</v>
      </c>
      <c r="F604" s="10">
        <v>1</v>
      </c>
      <c r="G604" s="10" t="s">
        <v>73</v>
      </c>
      <c r="H604" s="10" t="s">
        <v>283</v>
      </c>
      <c r="I604" s="10" t="s">
        <v>235</v>
      </c>
      <c r="J604" s="10">
        <v>198</v>
      </c>
      <c r="K604" s="12">
        <v>44937</v>
      </c>
      <c r="L604" s="33">
        <v>0.57724537037037038</v>
      </c>
      <c r="M604" s="10">
        <v>1</v>
      </c>
      <c r="N604" s="10" t="s">
        <v>196</v>
      </c>
      <c r="O604" s="10">
        <v>0.35699999999999998</v>
      </c>
      <c r="P604" s="10">
        <v>2.1299999999999999E-2</v>
      </c>
      <c r="Q604" s="10">
        <v>-22.1</v>
      </c>
      <c r="R604" s="10" t="s">
        <v>170</v>
      </c>
      <c r="S604" s="34">
        <f t="shared" si="63"/>
        <v>-1.4328112265000073</v>
      </c>
      <c r="T604" s="10" t="s">
        <v>1011</v>
      </c>
      <c r="U604" s="34">
        <f t="shared" si="64"/>
        <v>-1.4328112265000073</v>
      </c>
      <c r="V604" s="31" t="str">
        <f>IF(H604="CHK",VLOOKUP(I604,QCCHK,3,),IF(H604="GUP",VLOOKUP(E604,QCGUP,2,),IF(AND(H604="ATP",OR(I604="TN",I604="TDN",I604="TNO2-3",I604="NO2-3")),VLOOKUP(E604,QCREC_N,2,),IF(AND(H604="NIC",OR(I604="TN",I604="TDN",I604="TNO2-3",I604="NO2-3")),VLOOKUP(E604,QCNIC_N,2,),IF(AND(H604="UREA",OR(I604="TN",I604="TDN",I604="TNO2-3",I604="NO2-3")),VLOOKUP(E604,QCUREA_N,2,),IF(H604="PER",VLOOKUP(I604,QCPER,MATCH(E604,QCACTUAL!$J$25:$AA$25,0),),IF(H604="SPK",VLOOKUP(I604,QCSPK,3,),IF(AND(H604="ATP",OR(I604="TP",I604="TDP")),VLOOKUP(E604,QCATP_P,2,),""))))))))</f>
        <v/>
      </c>
      <c r="W604" s="31" t="str">
        <f t="shared" si="65"/>
        <v>TRUE</v>
      </c>
      <c r="X604" s="31" t="str">
        <f t="shared" si="66"/>
        <v>nominal concentration</v>
      </c>
      <c r="Y604" s="10" t="s">
        <v>1004</v>
      </c>
      <c r="AF604" s="12">
        <v>44937</v>
      </c>
      <c r="AJ604" s="10">
        <f>2.4015*0.357^2+187.16*0.357-68.555</f>
        <v>-1.4328112265000073</v>
      </c>
      <c r="AK604" s="10">
        <f>0.155*0.357^2+210.99*0.357-92.045</f>
        <v>-16.701815405000005</v>
      </c>
      <c r="AL604" s="10" t="str">
        <f t="shared" si="68"/>
        <v>FALSE</v>
      </c>
      <c r="AM604" s="10" t="str">
        <f t="shared" si="68"/>
        <v>FALSE</v>
      </c>
      <c r="AN604" s="10" t="str">
        <f t="shared" si="68"/>
        <v>FALSE</v>
      </c>
      <c r="AO604" s="10" t="str">
        <f t="shared" si="69"/>
        <v>y=2.4015*0.357^2+187.16*0.357-68.555</v>
      </c>
      <c r="AP604" s="10" t="str">
        <f t="shared" si="69"/>
        <v>y=0.155*0.357^2+210.99*0.357-92.045</v>
      </c>
      <c r="AQ604" s="10" t="b">
        <f>IF(AND(I604="TP",S604&lt;=150),VLOOKUP(AF604,TPCalibEq150!$AZ$2:$BB$55,3,),IF(AND(I604="TDP",S604&lt;=150),VLOOKUP(AF604,TPCalibEq150!$AZ$2:$BB$55,3,)))</f>
        <v>0</v>
      </c>
      <c r="AR604" s="10" t="b">
        <f>IF(AND(I604="TP",S604&lt;=300),VLOOKUP(AF604,TPCalibEq300!$AZ$2:$BB$55,3,),IF(AND(I604="TDP",S604&lt;=300),VLOOKUP(AF604,TPCalibEq300!$AZ$2:$BB$55,3,)))</f>
        <v>0</v>
      </c>
      <c r="AS604" s="10" t="b">
        <f>IF(AND(I604="TP",S604&lt;=500),VLOOKUP(AF604,TPCalibEq500!$AZ$2:$BB$56,3,),IF(AND(I604="TDP",S604&lt;=500),VLOOKUP(AF604,TPCalibEq500!$AZ$2:$BB$56,3,)))</f>
        <v>0</v>
      </c>
      <c r="AT604" s="10" t="str">
        <f>IF(AND(I604="TN",S604&lt;=2800),VLOOKUP(AF604,TNCalibEq2500!$AZ$2:$BB$56,3,),IF(AND(I604="TDN",S604&lt;=2800),VLOOKUP(AF604,TNCalibEq2500!$AZ$2:$BB$56,3,)))</f>
        <v>y=2.4015x2+187.16x-68.555</v>
      </c>
      <c r="AU604" s="10" t="str">
        <f>IF(I604="TP",VLOOKUP(AF604,TPCalibEqFull!$AZ$2:$BB$56,3),IF(I604="TDP",VLOOKUP(AF604,TPCalibEqFull!$AZ$2:$BB$56,3),IF(I604="TDN",VLOOKUP(AF604,TNCalibEqFull!$AZ$1:$BB$56,3),IF(I604="TN",VLOOKUP(AF604,TNCalibEqFull!$AZ$1:$BB$56,3),FALSE))))</f>
        <v>y=0.155x2+210.99x-92.045</v>
      </c>
      <c r="AV604" s="10" t="str">
        <f t="shared" si="67"/>
        <v>0111 09:00:00-QAC-BLK-A-1-DI-LAB</v>
      </c>
    </row>
    <row r="605" spans="1:48" s="10" customFormat="1" x14ac:dyDescent="0.55000000000000004">
      <c r="A605" s="32">
        <v>44937</v>
      </c>
      <c r="B605" s="33">
        <v>0.375</v>
      </c>
      <c r="C605" s="10" t="s">
        <v>70</v>
      </c>
      <c r="D605" s="10" t="s">
        <v>241</v>
      </c>
      <c r="E605" s="10" t="s">
        <v>866</v>
      </c>
      <c r="F605" s="10">
        <v>1</v>
      </c>
      <c r="G605" s="10" t="s">
        <v>73</v>
      </c>
      <c r="H605" s="10" t="s">
        <v>314</v>
      </c>
      <c r="I605" s="10" t="s">
        <v>235</v>
      </c>
      <c r="J605" s="10">
        <v>225</v>
      </c>
      <c r="K605" s="12">
        <v>44937</v>
      </c>
      <c r="L605" s="33">
        <v>0.57791666666666663</v>
      </c>
      <c r="M605" s="10">
        <v>1</v>
      </c>
      <c r="N605" s="10" t="s">
        <v>196</v>
      </c>
      <c r="O605" s="10">
        <v>12.3</v>
      </c>
      <c r="P605" s="10">
        <v>0.73299999999999998</v>
      </c>
      <c r="Q605" s="10">
        <v>2530</v>
      </c>
      <c r="R605" s="10" t="s">
        <v>170</v>
      </c>
      <c r="S605" s="34">
        <f t="shared" si="63"/>
        <v>2530</v>
      </c>
      <c r="T605" s="10" t="s">
        <v>1011</v>
      </c>
      <c r="U605" s="34">
        <f t="shared" si="64"/>
        <v>101.25731244906</v>
      </c>
      <c r="V605" s="31">
        <f>IF(H605="CHK",VLOOKUP(I605,QCCHK,3,),IF(H605="GUP",VLOOKUP(E605,QCGUP,2,),IF(AND(H605="ATP",OR(I605="TN",I605="TDN",I605="TNO2-3",I605="NO2-3")),VLOOKUP(E605,QCREC_N,2,),IF(AND(H605="NIC",OR(I605="TN",I605="TDN",I605="TNO2-3",I605="NO2-3")),VLOOKUP(E605,QCNIC_N,2,),IF(AND(H605="UREA",OR(I605="TN",I605="TDN",I605="TNO2-3",I605="NO2-3")),VLOOKUP(E605,QCUREA_N,2,),IF(H605="PER",VLOOKUP(I605,QCPER,MATCH(E605,QCACTUAL!$J$25:$AA$25,0),),IF(H605="SPK",VLOOKUP(I605,QCSPK,3,),IF(AND(H605="ATP",OR(I605="TP",I605="TDP")),VLOOKUP(E605,QCATP_P,2,),""))))))))</f>
        <v>2500</v>
      </c>
      <c r="W605" s="31" t="str">
        <f t="shared" si="65"/>
        <v>TRUE</v>
      </c>
      <c r="X605" s="31" t="str">
        <f t="shared" si="66"/>
        <v>([spikedunkn]-[unkn])/[spike]*100</v>
      </c>
      <c r="Y605" s="10" t="s">
        <v>1004</v>
      </c>
      <c r="AF605" s="12">
        <v>44937</v>
      </c>
      <c r="AJ605" s="10">
        <f>2.4015*12.3^2+187.16*12.3-68.555</f>
        <v>2596.8359350000005</v>
      </c>
      <c r="AK605" s="10">
        <f>0.155*12.3^2+210.99*12.3-92.045</f>
        <v>2526.5819500000002</v>
      </c>
      <c r="AL605" s="10" t="str">
        <f t="shared" si="68"/>
        <v>FALSE</v>
      </c>
      <c r="AM605" s="10" t="str">
        <f t="shared" si="68"/>
        <v>FALSE</v>
      </c>
      <c r="AN605" s="10" t="str">
        <f t="shared" si="68"/>
        <v>FALSE</v>
      </c>
      <c r="AO605" s="10" t="str">
        <f t="shared" si="69"/>
        <v>y=2.4015*12.3^2+187.16*12.3-68.555</v>
      </c>
      <c r="AP605" s="10" t="str">
        <f t="shared" si="69"/>
        <v>y=0.155*12.3^2+210.99*12.3-92.045</v>
      </c>
      <c r="AQ605" s="10" t="b">
        <f>IF(AND(I605="TP",S605&lt;=150),VLOOKUP(AF605,TPCalibEq150!$AZ$2:$BB$55,3,),IF(AND(I605="TDP",S605&lt;=150),VLOOKUP(AF605,TPCalibEq150!$AZ$2:$BB$55,3,)))</f>
        <v>0</v>
      </c>
      <c r="AR605" s="10" t="b">
        <f>IF(AND(I605="TP",S605&lt;=300),VLOOKUP(AF605,TPCalibEq300!$AZ$2:$BB$55,3,),IF(AND(I605="TDP",S605&lt;=300),VLOOKUP(AF605,TPCalibEq300!$AZ$2:$BB$55,3,)))</f>
        <v>0</v>
      </c>
      <c r="AS605" s="10" t="b">
        <f>IF(AND(I605="TP",S605&lt;=500),VLOOKUP(AF605,TPCalibEq500!$AZ$2:$BB$56,3,),IF(AND(I605="TDP",S605&lt;=500),VLOOKUP(AF605,TPCalibEq500!$AZ$2:$BB$56,3,)))</f>
        <v>0</v>
      </c>
      <c r="AT605" s="10" t="str">
        <f>IF(AND(I605="TN",S605&lt;=2800),VLOOKUP(AF605,TNCalibEq2500!$AZ$2:$BB$56,3,),IF(AND(I605="TDN",S605&lt;=2800),VLOOKUP(AF605,TNCalibEq2500!$AZ$2:$BB$56,3,)))</f>
        <v>y=2.4015x2+187.16x-68.555</v>
      </c>
      <c r="AU605" s="10" t="str">
        <f>IF(I605="TP",VLOOKUP(AF605,TPCalibEqFull!$AZ$2:$BB$56,3),IF(I605="TDP",VLOOKUP(AF605,TPCalibEqFull!$AZ$2:$BB$56,3),IF(I605="TDN",VLOOKUP(AF605,TNCalibEqFull!$AZ$1:$BB$56,3),IF(I605="TN",VLOOKUP(AF605,TNCalibEqFull!$AZ$1:$BB$56,3),FALSE))))</f>
        <v>y=0.155x2+210.99x-92.045</v>
      </c>
      <c r="AV605" s="10" t="str">
        <f t="shared" si="67"/>
        <v>0111 09:00:00-QAC-BLK-A-1-DI-SPK</v>
      </c>
    </row>
    <row r="606" spans="1:48" s="10" customFormat="1" x14ac:dyDescent="0.55000000000000004">
      <c r="A606" s="32">
        <v>44937</v>
      </c>
      <c r="B606" s="33">
        <v>0.375</v>
      </c>
      <c r="C606" s="10" t="s">
        <v>70</v>
      </c>
      <c r="D606" s="10" t="s">
        <v>71</v>
      </c>
      <c r="E606" s="10" t="s">
        <v>948</v>
      </c>
      <c r="F606" s="10">
        <v>1</v>
      </c>
      <c r="G606" s="10" t="s">
        <v>73</v>
      </c>
      <c r="H606" s="10" t="s">
        <v>299</v>
      </c>
      <c r="I606" s="10" t="s">
        <v>235</v>
      </c>
      <c r="J606" s="10">
        <v>197</v>
      </c>
      <c r="K606" s="12">
        <v>44937</v>
      </c>
      <c r="L606" s="33">
        <v>0.57859953703703704</v>
      </c>
      <c r="M606" s="10">
        <v>1</v>
      </c>
      <c r="N606" s="10" t="s">
        <v>196</v>
      </c>
      <c r="O606" s="10">
        <v>9.36</v>
      </c>
      <c r="P606" s="10">
        <v>0.56399999999999995</v>
      </c>
      <c r="Q606" s="10">
        <v>1910</v>
      </c>
      <c r="R606" s="10" t="s">
        <v>170</v>
      </c>
      <c r="S606" s="34">
        <f t="shared" si="63"/>
        <v>1910</v>
      </c>
      <c r="T606" s="10" t="s">
        <v>1011</v>
      </c>
      <c r="U606" s="34">
        <f t="shared" si="64"/>
        <v>102.1390374331551</v>
      </c>
      <c r="V606" s="31">
        <f>IF(H606="CHK",VLOOKUP(I606,QCCHK,3,),IF(H606="GUP",VLOOKUP(E606,QCGUP,2,),IF(AND(H606="ATP",OR(I606="TN",I606="TDN",I606="TNO2-3",I606="NO2-3")),VLOOKUP(E606,QCREC_N,2,),IF(AND(H606="NIC",OR(I606="TN",I606="TDN",I606="TNO2-3",I606="NO2-3")),VLOOKUP(E606,QCNIC_N,2,),IF(AND(H606="UREA",OR(I606="TN",I606="TDN",I606="TNO2-3",I606="NO2-3")),VLOOKUP(E606,QCUREA_N,2,),IF(H606="PER",VLOOKUP(I606,QCPER,MATCH(E606,QCACTUAL!$J$25:$AA$25,0),),IF(H606="SPK",VLOOKUP(I606,QCSPK,3,),IF(AND(H606="ATP",OR(I606="TP",I606="TDP")),VLOOKUP(E606,QCATP_P,2,),""))))))))</f>
        <v>1870</v>
      </c>
      <c r="W606" s="31" t="str">
        <f t="shared" si="65"/>
        <v>TRUE</v>
      </c>
      <c r="X606" s="31" t="str">
        <f t="shared" si="66"/>
        <v>[per]/[actual]*100</v>
      </c>
      <c r="Y606" s="10" t="s">
        <v>1004</v>
      </c>
      <c r="AF606" s="12">
        <v>44937</v>
      </c>
      <c r="AJ606" s="10">
        <f>2.4015*9.36^2+187.16*9.36-68.555</f>
        <v>1893.6570543999999</v>
      </c>
      <c r="AK606" s="10">
        <f>0.155*9.36^2+210.99*9.36-92.045</f>
        <v>1896.4008879999999</v>
      </c>
      <c r="AL606" s="10" t="str">
        <f t="shared" si="68"/>
        <v>FALSE</v>
      </c>
      <c r="AM606" s="10" t="str">
        <f t="shared" si="68"/>
        <v>FALSE</v>
      </c>
      <c r="AN606" s="10" t="str">
        <f t="shared" si="68"/>
        <v>FALSE</v>
      </c>
      <c r="AO606" s="10" t="str">
        <f t="shared" si="69"/>
        <v>y=2.4015*9.36^2+187.16*9.36-68.555</v>
      </c>
      <c r="AP606" s="10" t="str">
        <f t="shared" si="69"/>
        <v>y=0.155*9.36^2+210.99*9.36-92.045</v>
      </c>
      <c r="AQ606" s="10" t="b">
        <f>IF(AND(I606="TP",S606&lt;=150),VLOOKUP(AF606,TPCalibEq150!$AZ$2:$BB$55,3,),IF(AND(I606="TDP",S606&lt;=150),VLOOKUP(AF606,TPCalibEq150!$AZ$2:$BB$55,3,)))</f>
        <v>0</v>
      </c>
      <c r="AR606" s="10" t="b">
        <f>IF(AND(I606="TP",S606&lt;=300),VLOOKUP(AF606,TPCalibEq300!$AZ$2:$BB$55,3,),IF(AND(I606="TDP",S606&lt;=300),VLOOKUP(AF606,TPCalibEq300!$AZ$2:$BB$55,3,)))</f>
        <v>0</v>
      </c>
      <c r="AS606" s="10" t="b">
        <f>IF(AND(I606="TP",S606&lt;=500),VLOOKUP(AF606,TPCalibEq500!$AZ$2:$BB$56,3,),IF(AND(I606="TDP",S606&lt;=500),VLOOKUP(AF606,TPCalibEq500!$AZ$2:$BB$56,3,)))</f>
        <v>0</v>
      </c>
      <c r="AT606" s="10" t="str">
        <f>IF(AND(I606="TN",S606&lt;=2800),VLOOKUP(AF606,TNCalibEq2500!$AZ$2:$BB$56,3,),IF(AND(I606="TDN",S606&lt;=2800),VLOOKUP(AF606,TNCalibEq2500!$AZ$2:$BB$56,3,)))</f>
        <v>y=2.4015x2+187.16x-68.555</v>
      </c>
      <c r="AU606" s="10" t="str">
        <f>IF(I606="TP",VLOOKUP(AF606,TPCalibEqFull!$AZ$2:$BB$56,3),IF(I606="TDP",VLOOKUP(AF606,TPCalibEqFull!$AZ$2:$BB$56,3),IF(I606="TDN",VLOOKUP(AF606,TNCalibEqFull!$AZ$1:$BB$56,3),IF(I606="TN",VLOOKUP(AF606,TNCalibEqFull!$AZ$1:$BB$56,3),FALSE))))</f>
        <v>y=0.155x2+210.99x-92.045</v>
      </c>
      <c r="AV606" s="10" t="str">
        <f t="shared" si="67"/>
        <v>0111 09:00:00-QAC-STD-22A-1-DI-PER</v>
      </c>
    </row>
    <row r="607" spans="1:48" s="10" customFormat="1" x14ac:dyDescent="0.55000000000000004">
      <c r="A607" s="32">
        <v>44937</v>
      </c>
      <c r="B607" s="33">
        <v>0.375</v>
      </c>
      <c r="C607" s="10" t="s">
        <v>70</v>
      </c>
      <c r="D607" s="10" t="s">
        <v>305</v>
      </c>
      <c r="E607" s="10" t="s">
        <v>866</v>
      </c>
      <c r="F607" s="10">
        <v>1</v>
      </c>
      <c r="G607" s="10" t="s">
        <v>73</v>
      </c>
      <c r="H607" s="10" t="s">
        <v>274</v>
      </c>
      <c r="I607" s="10" t="s">
        <v>235</v>
      </c>
      <c r="J607" s="10">
        <v>204</v>
      </c>
      <c r="K607" s="12">
        <v>44937</v>
      </c>
      <c r="L607" s="33">
        <v>0.57925925925925925</v>
      </c>
      <c r="M607" s="10">
        <v>1</v>
      </c>
      <c r="N607" s="10" t="s">
        <v>196</v>
      </c>
      <c r="O607" s="10">
        <v>4.83</v>
      </c>
      <c r="P607" s="10">
        <v>0.29099999999999998</v>
      </c>
      <c r="Q607" s="10">
        <v>937</v>
      </c>
      <c r="R607" s="10" t="s">
        <v>170</v>
      </c>
      <c r="S607" s="34">
        <f t="shared" si="63"/>
        <v>937</v>
      </c>
      <c r="T607" s="10" t="s">
        <v>1011</v>
      </c>
      <c r="U607" s="34">
        <f t="shared" si="64"/>
        <v>93.7</v>
      </c>
      <c r="V607" s="31">
        <f>IF(H607="CHK",VLOOKUP(I607,QCCHK,3,),IF(H607="GUP",VLOOKUP(E607,QCGUP,2,),IF(AND(H607="ATP",OR(I607="TN",I607="TDN",I607="TNO2-3",I607="NO2-3")),VLOOKUP(E607,QCREC_N,2,),IF(AND(H607="NIC",OR(I607="TN",I607="TDN",I607="TNO2-3",I607="NO2-3")),VLOOKUP(E607,QCNIC_N,2,),IF(AND(H607="UREA",OR(I607="TN",I607="TDN",I607="TNO2-3",I607="NO2-3")),VLOOKUP(E607,QCUREA_N,2,),IF(H607="PER",VLOOKUP(I607,QCPER,MATCH(E607,QCACTUAL!$J$25:$AA$25,0),),IF(H607="SPK",VLOOKUP(I607,QCSPK,3,),IF(AND(H607="ATP",OR(I607="TP",I607="TDP")),VLOOKUP(E607,QCATP_P,2,),""))))))))</f>
        <v>1000</v>
      </c>
      <c r="W607" s="31" t="str">
        <f t="shared" si="65"/>
        <v>TRUE</v>
      </c>
      <c r="X607" s="31" t="str">
        <f t="shared" si="66"/>
        <v>[rec]/[actual]*100</v>
      </c>
      <c r="Y607" s="10" t="s">
        <v>1004</v>
      </c>
      <c r="AF607" s="12">
        <v>44937</v>
      </c>
      <c r="AJ607" s="10">
        <f>2.4015*4.83^2+187.16*4.83-68.555</f>
        <v>891.45215334999989</v>
      </c>
      <c r="AK607" s="10">
        <f>0.155*4.83^2+210.99*4.83-92.045</f>
        <v>930.65267950000009</v>
      </c>
      <c r="AL607" s="10" t="str">
        <f t="shared" si="68"/>
        <v>FALSE</v>
      </c>
      <c r="AM607" s="10" t="str">
        <f t="shared" si="68"/>
        <v>FALSE</v>
      </c>
      <c r="AN607" s="10" t="str">
        <f t="shared" si="68"/>
        <v>FALSE</v>
      </c>
      <c r="AO607" s="10" t="str">
        <f t="shared" si="69"/>
        <v>y=2.4015*4.83^2+187.16*4.83-68.555</v>
      </c>
      <c r="AP607" s="10" t="str">
        <f t="shared" si="69"/>
        <v>y=0.155*4.83^2+210.99*4.83-92.045</v>
      </c>
      <c r="AQ607" s="10" t="b">
        <f>IF(AND(I607="TP",S607&lt;=150),VLOOKUP(AF607,TPCalibEq150!$AZ$2:$BB$55,3,),IF(AND(I607="TDP",S607&lt;=150),VLOOKUP(AF607,TPCalibEq150!$AZ$2:$BB$55,3,)))</f>
        <v>0</v>
      </c>
      <c r="AR607" s="10" t="b">
        <f>IF(AND(I607="TP",S607&lt;=300),VLOOKUP(AF607,TPCalibEq300!$AZ$2:$BB$55,3,),IF(AND(I607="TDP",S607&lt;=300),VLOOKUP(AF607,TPCalibEq300!$AZ$2:$BB$55,3,)))</f>
        <v>0</v>
      </c>
      <c r="AS607" s="10" t="b">
        <f>IF(AND(I607="TP",S607&lt;=500),VLOOKUP(AF607,TPCalibEq500!$AZ$2:$BB$56,3,),IF(AND(I607="TDP",S607&lt;=500),VLOOKUP(AF607,TPCalibEq500!$AZ$2:$BB$56,3,)))</f>
        <v>0</v>
      </c>
      <c r="AT607" s="10" t="str">
        <f>IF(AND(I607="TN",S607&lt;=2800),VLOOKUP(AF607,TNCalibEq2500!$AZ$2:$BB$56,3,),IF(AND(I607="TDN",S607&lt;=2800),VLOOKUP(AF607,TNCalibEq2500!$AZ$2:$BB$56,3,)))</f>
        <v>y=2.4015x2+187.16x-68.555</v>
      </c>
      <c r="AU607" s="10" t="str">
        <f>IF(I607="TP",VLOOKUP(AF607,TPCalibEqFull!$AZ$2:$BB$56,3),IF(I607="TDP",VLOOKUP(AF607,TPCalibEqFull!$AZ$2:$BB$56,3),IF(I607="TDN",VLOOKUP(AF607,TNCalibEqFull!$AZ$1:$BB$56,3),IF(I607="TN",VLOOKUP(AF607,TNCalibEqFull!$AZ$1:$BB$56,3),FALSE))))</f>
        <v>y=0.155x2+210.99x-92.045</v>
      </c>
      <c r="AV607" s="10" t="str">
        <f t="shared" si="67"/>
        <v>0111 09:00:00-QAC-REC-A-1-DI-GUP</v>
      </c>
    </row>
    <row r="608" spans="1:48" s="10" customFormat="1" x14ac:dyDescent="0.55000000000000004">
      <c r="A608" s="32">
        <v>44937</v>
      </c>
      <c r="B608" s="33">
        <v>0.375</v>
      </c>
      <c r="C608" s="10" t="s">
        <v>70</v>
      </c>
      <c r="D608" s="10" t="s">
        <v>305</v>
      </c>
      <c r="E608" s="10" t="s">
        <v>583</v>
      </c>
      <c r="F608" s="10">
        <v>1</v>
      </c>
      <c r="G608" s="10" t="s">
        <v>73</v>
      </c>
      <c r="H608" s="10" t="s">
        <v>274</v>
      </c>
      <c r="I608" s="10" t="s">
        <v>235</v>
      </c>
      <c r="J608" s="10">
        <v>205</v>
      </c>
      <c r="K608" s="12">
        <v>44937</v>
      </c>
      <c r="L608" s="33">
        <v>0.57994212962962965</v>
      </c>
      <c r="M608" s="10">
        <v>1</v>
      </c>
      <c r="N608" s="10" t="s">
        <v>196</v>
      </c>
      <c r="O608" s="10">
        <v>1.24</v>
      </c>
      <c r="P608" s="10">
        <v>7.5200000000000003E-2</v>
      </c>
      <c r="Q608" s="10">
        <v>167</v>
      </c>
      <c r="R608" s="10" t="s">
        <v>170</v>
      </c>
      <c r="S608" s="34">
        <f t="shared" si="63"/>
        <v>169.82092800000004</v>
      </c>
      <c r="T608" s="10" t="s">
        <v>1011</v>
      </c>
      <c r="U608" s="34">
        <f t="shared" si="64"/>
        <v>84.910464000000019</v>
      </c>
      <c r="V608" s="31">
        <f>IF(H608="CHK",VLOOKUP(I608,QCCHK,3,),IF(H608="GUP",VLOOKUP(E608,QCGUP,2,),IF(AND(H608="ATP",OR(I608="TN",I608="TDN",I608="TNO2-3",I608="NO2-3")),VLOOKUP(E608,QCREC_N,2,),IF(AND(H608="NIC",OR(I608="TN",I608="TDN",I608="TNO2-3",I608="NO2-3")),VLOOKUP(E608,QCNIC_N,2,),IF(AND(H608="UREA",OR(I608="TN",I608="TDN",I608="TNO2-3",I608="NO2-3")),VLOOKUP(E608,QCUREA_N,2,),IF(H608="PER",VLOOKUP(I608,QCPER,MATCH(E608,QCACTUAL!$J$25:$AA$25,0),),IF(H608="SPK",VLOOKUP(I608,QCSPK,3,),IF(AND(H608="ATP",OR(I608="TP",I608="TDP")),VLOOKUP(E608,QCATP_P,2,),""))))))))</f>
        <v>200</v>
      </c>
      <c r="W608" s="31" t="str">
        <f t="shared" si="65"/>
        <v>TRUE</v>
      </c>
      <c r="X608" s="31" t="str">
        <f t="shared" si="66"/>
        <v>[rec]/[actual]*100</v>
      </c>
      <c r="Y608" s="10" t="s">
        <v>1004</v>
      </c>
      <c r="AF608" s="12">
        <v>44937</v>
      </c>
      <c r="AJ608" s="10">
        <f>2.4015*1.24^2+187.16*1.24-68.555</f>
        <v>167.21594639999998</v>
      </c>
      <c r="AK608" s="10">
        <f>0.155*1.24^2+210.99*1.24-92.045</f>
        <v>169.82092800000004</v>
      </c>
      <c r="AL608" s="10" t="str">
        <f t="shared" si="68"/>
        <v>FALSE</v>
      </c>
      <c r="AM608" s="10" t="str">
        <f t="shared" si="68"/>
        <v>FALSE</v>
      </c>
      <c r="AN608" s="10" t="str">
        <f t="shared" si="68"/>
        <v>FALSE</v>
      </c>
      <c r="AO608" s="10" t="str">
        <f t="shared" si="69"/>
        <v>y=2.4015*1.24^2+187.16*1.24-68.555</v>
      </c>
      <c r="AP608" s="10" t="str">
        <f t="shared" si="69"/>
        <v>y=0.155*1.24^2+210.99*1.24-92.045</v>
      </c>
      <c r="AQ608" s="10" t="b">
        <f>IF(AND(I608="TP",S608&lt;=150),VLOOKUP(AF608,TPCalibEq150!$AZ$2:$BB$55,3,),IF(AND(I608="TDP",S608&lt;=150),VLOOKUP(AF608,TPCalibEq150!$AZ$2:$BB$55,3,)))</f>
        <v>0</v>
      </c>
      <c r="AR608" s="10" t="b">
        <f>IF(AND(I608="TP",S608&lt;=300),VLOOKUP(AF608,TPCalibEq300!$AZ$2:$BB$55,3,),IF(AND(I608="TDP",S608&lt;=300),VLOOKUP(AF608,TPCalibEq300!$AZ$2:$BB$55,3,)))</f>
        <v>0</v>
      </c>
      <c r="AS608" s="10" t="b">
        <f>IF(AND(I608="TP",S608&lt;=500),VLOOKUP(AF608,TPCalibEq500!$AZ$2:$BB$56,3,),IF(AND(I608="TDP",S608&lt;=500),VLOOKUP(AF608,TPCalibEq500!$AZ$2:$BB$56,3,)))</f>
        <v>0</v>
      </c>
      <c r="AT608" s="10" t="str">
        <f>IF(AND(I608="TN",S608&lt;=2800),VLOOKUP(AF608,TNCalibEq2500!$AZ$2:$BB$56,3,),IF(AND(I608="TDN",S608&lt;=2800),VLOOKUP(AF608,TNCalibEq2500!$AZ$2:$BB$56,3,)))</f>
        <v>y=2.4015x2+187.16x-68.555</v>
      </c>
      <c r="AU608" s="10" t="str">
        <f>IF(I608="TP",VLOOKUP(AF608,TPCalibEqFull!$AZ$2:$BB$56,3),IF(I608="TDP",VLOOKUP(AF608,TPCalibEqFull!$AZ$2:$BB$56,3),IF(I608="TDN",VLOOKUP(AF608,TNCalibEqFull!$AZ$1:$BB$56,3),IF(I608="TN",VLOOKUP(AF608,TNCalibEqFull!$AZ$1:$BB$56,3),FALSE))))</f>
        <v>y=0.155x2+210.99x-92.045</v>
      </c>
      <c r="AV608" s="10" t="str">
        <f t="shared" si="67"/>
        <v>0111 09:00:00-QAC-REC-B-1-DI-GUP</v>
      </c>
    </row>
    <row r="609" spans="1:48" s="10" customFormat="1" x14ac:dyDescent="0.55000000000000004">
      <c r="A609" s="32">
        <v>44937</v>
      </c>
      <c r="B609" s="33">
        <v>0.375</v>
      </c>
      <c r="C609" s="10" t="s">
        <v>70</v>
      </c>
      <c r="D609" s="10" t="s">
        <v>305</v>
      </c>
      <c r="E609" s="10" t="s">
        <v>190</v>
      </c>
      <c r="F609" s="10">
        <v>1</v>
      </c>
      <c r="G609" s="10" t="s">
        <v>73</v>
      </c>
      <c r="H609" s="10" t="s">
        <v>274</v>
      </c>
      <c r="I609" s="10" t="s">
        <v>235</v>
      </c>
      <c r="J609" s="10">
        <v>206</v>
      </c>
      <c r="K609" s="12">
        <v>44937</v>
      </c>
      <c r="L609" s="33">
        <v>0.58062500000000006</v>
      </c>
      <c r="M609" s="10">
        <v>1</v>
      </c>
      <c r="N609" s="10" t="s">
        <v>196</v>
      </c>
      <c r="O609" s="10">
        <v>0.83099999999999996</v>
      </c>
      <c r="P609" s="10">
        <v>4.99E-2</v>
      </c>
      <c r="Q609" s="10">
        <v>79.5</v>
      </c>
      <c r="R609" s="10" t="s">
        <v>170</v>
      </c>
      <c r="S609" s="34">
        <f t="shared" si="63"/>
        <v>88.633342241499975</v>
      </c>
      <c r="T609" s="10" t="s">
        <v>1011</v>
      </c>
      <c r="U609" s="34">
        <f t="shared" si="64"/>
        <v>88.633342241499975</v>
      </c>
      <c r="V609" s="31">
        <f>IF(H609="CHK",VLOOKUP(I609,QCCHK,3,),IF(H609="GUP",VLOOKUP(E609,QCGUP,2,),IF(AND(H609="ATP",OR(I609="TN",I609="TDN",I609="TNO2-3",I609="NO2-3")),VLOOKUP(E609,QCREC_N,2,),IF(AND(H609="NIC",OR(I609="TN",I609="TDN",I609="TNO2-3",I609="NO2-3")),VLOOKUP(E609,QCNIC_N,2,),IF(AND(H609="UREA",OR(I609="TN",I609="TDN",I609="TNO2-3",I609="NO2-3")),VLOOKUP(E609,QCUREA_N,2,),IF(H609="PER",VLOOKUP(I609,QCPER,MATCH(E609,QCACTUAL!$J$25:$AA$25,0),),IF(H609="SPK",VLOOKUP(I609,QCSPK,3,),IF(AND(H609="ATP",OR(I609="TP",I609="TDP")),VLOOKUP(E609,QCATP_P,2,),""))))))))</f>
        <v>100</v>
      </c>
      <c r="W609" s="31" t="str">
        <f t="shared" si="65"/>
        <v>TRUE</v>
      </c>
      <c r="X609" s="31" t="str">
        <f t="shared" si="66"/>
        <v>[rec]/[actual]*100</v>
      </c>
      <c r="Y609" s="10" t="s">
        <v>1004</v>
      </c>
      <c r="AF609" s="12">
        <v>44937</v>
      </c>
      <c r="AJ609" s="10">
        <f>2.4015*0.831^2+187.16*0.831-68.555</f>
        <v>88.633342241499975</v>
      </c>
      <c r="AK609" s="10">
        <f>0.155*0.831^2+210.99*0.831-92.045</f>
        <v>83.394726954999996</v>
      </c>
      <c r="AL609" s="10" t="str">
        <f t="shared" si="68"/>
        <v>FALSE</v>
      </c>
      <c r="AM609" s="10" t="str">
        <f t="shared" si="68"/>
        <v>FALSE</v>
      </c>
      <c r="AN609" s="10" t="str">
        <f t="shared" si="68"/>
        <v>FALSE</v>
      </c>
      <c r="AO609" s="10" t="str">
        <f t="shared" si="69"/>
        <v>y=2.4015*0.831^2+187.16*0.831-68.555</v>
      </c>
      <c r="AP609" s="10" t="str">
        <f t="shared" si="69"/>
        <v>y=0.155*0.831^2+210.99*0.831-92.045</v>
      </c>
      <c r="AQ609" s="10" t="b">
        <f>IF(AND(I609="TP",S609&lt;=150),VLOOKUP(AF609,TPCalibEq150!$AZ$2:$BB$55,3,),IF(AND(I609="TDP",S609&lt;=150),VLOOKUP(AF609,TPCalibEq150!$AZ$2:$BB$55,3,)))</f>
        <v>0</v>
      </c>
      <c r="AR609" s="10" t="b">
        <f>IF(AND(I609="TP",S609&lt;=300),VLOOKUP(AF609,TPCalibEq300!$AZ$2:$BB$55,3,),IF(AND(I609="TDP",S609&lt;=300),VLOOKUP(AF609,TPCalibEq300!$AZ$2:$BB$55,3,)))</f>
        <v>0</v>
      </c>
      <c r="AS609" s="10" t="b">
        <f>IF(AND(I609="TP",S609&lt;=500),VLOOKUP(AF609,TPCalibEq500!$AZ$2:$BB$56,3,),IF(AND(I609="TDP",S609&lt;=500),VLOOKUP(AF609,TPCalibEq500!$AZ$2:$BB$56,3,)))</f>
        <v>0</v>
      </c>
      <c r="AT609" s="10" t="str">
        <f>IF(AND(I609="TN",S609&lt;=2800),VLOOKUP(AF609,TNCalibEq2500!$AZ$2:$BB$56,3,),IF(AND(I609="TDN",S609&lt;=2800),VLOOKUP(AF609,TNCalibEq2500!$AZ$2:$BB$56,3,)))</f>
        <v>y=2.4015x2+187.16x-68.555</v>
      </c>
      <c r="AU609" s="10" t="str">
        <f>IF(I609="TP",VLOOKUP(AF609,TPCalibEqFull!$AZ$2:$BB$56,3),IF(I609="TDP",VLOOKUP(AF609,TPCalibEqFull!$AZ$2:$BB$56,3),IF(I609="TDN",VLOOKUP(AF609,TNCalibEqFull!$AZ$1:$BB$56,3),IF(I609="TN",VLOOKUP(AF609,TNCalibEqFull!$AZ$1:$BB$56,3),FALSE))))</f>
        <v>y=0.155x2+210.99x-92.045</v>
      </c>
      <c r="AV609" s="10" t="str">
        <f t="shared" si="67"/>
        <v>0111 09:00:00-QAC-REC-C-1-DI-GUP</v>
      </c>
    </row>
    <row r="610" spans="1:48" s="10" customFormat="1" x14ac:dyDescent="0.55000000000000004">
      <c r="A610" s="32">
        <v>44937</v>
      </c>
      <c r="B610" s="33">
        <v>0.375</v>
      </c>
      <c r="C610" s="10" t="s">
        <v>70</v>
      </c>
      <c r="D610" s="10" t="s">
        <v>305</v>
      </c>
      <c r="E610" s="10" t="s">
        <v>866</v>
      </c>
      <c r="F610" s="10">
        <v>1</v>
      </c>
      <c r="G610" s="10" t="s">
        <v>73</v>
      </c>
      <c r="H610" s="10" t="s">
        <v>181</v>
      </c>
      <c r="I610" s="10" t="s">
        <v>235</v>
      </c>
      <c r="J610" s="10">
        <v>207</v>
      </c>
      <c r="K610" s="12">
        <v>44937</v>
      </c>
      <c r="L610" s="33">
        <v>0.58129629629629631</v>
      </c>
      <c r="M610" s="10">
        <v>1</v>
      </c>
      <c r="N610" s="10" t="s">
        <v>196</v>
      </c>
      <c r="O610" s="10">
        <v>4.05</v>
      </c>
      <c r="P610" s="10">
        <v>0.24199999999999999</v>
      </c>
      <c r="Q610" s="10">
        <v>771</v>
      </c>
      <c r="R610" s="10" t="s">
        <v>170</v>
      </c>
      <c r="S610" s="34">
        <f t="shared" si="63"/>
        <v>771</v>
      </c>
      <c r="T610" s="10" t="s">
        <v>1011</v>
      </c>
      <c r="U610" s="34">
        <f t="shared" si="64"/>
        <v>77.100000000000009</v>
      </c>
      <c r="V610" s="31">
        <f>IF(H610="CHK",VLOOKUP(I610,QCCHK,3,),IF(H610="GUP",VLOOKUP(E610,QCGUP,2,),IF(AND(H610="ATP",OR(I610="TN",I610="TDN",I610="TNO2-3",I610="NO2-3")),VLOOKUP(E610,QCREC_N,2,),IF(AND(H610="NIC",OR(I610="TN",I610="TDN",I610="TNO2-3",I610="NO2-3")),VLOOKUP(E610,QCNIC_N,2,),IF(AND(H610="UREA",OR(I610="TN",I610="TDN",I610="TNO2-3",I610="NO2-3")),VLOOKUP(E610,QCUREA_N,2,),IF(H610="PER",VLOOKUP(I610,QCPER,MATCH(E610,QCACTUAL!$J$25:$AA$25,0),),IF(H610="SPK",VLOOKUP(I610,QCSPK,3,),IF(AND(H610="ATP",OR(I610="TP",I610="TDP")),VLOOKUP(E610,QCATP_P,2,),""))))))))</f>
        <v>1000</v>
      </c>
      <c r="W610" s="31" t="str">
        <f t="shared" si="65"/>
        <v>TRUE</v>
      </c>
      <c r="X610" s="31" t="str">
        <f t="shared" si="66"/>
        <v>[rec]/[actual]*100</v>
      </c>
      <c r="Y610" s="10" t="s">
        <v>1004</v>
      </c>
      <c r="AF610" s="12">
        <v>44937</v>
      </c>
      <c r="AJ610" s="10">
        <f>2.4015*4.05^2+187.16*4.05-68.555</f>
        <v>728.83360374999984</v>
      </c>
      <c r="AK610" s="10">
        <f>0.155*4.05^2+210.99*4.05-92.045</f>
        <v>765.00688750000006</v>
      </c>
      <c r="AL610" s="10" t="str">
        <f t="shared" si="68"/>
        <v>FALSE</v>
      </c>
      <c r="AM610" s="10" t="str">
        <f t="shared" si="68"/>
        <v>FALSE</v>
      </c>
      <c r="AN610" s="10" t="str">
        <f t="shared" si="68"/>
        <v>FALSE</v>
      </c>
      <c r="AO610" s="10" t="str">
        <f t="shared" si="69"/>
        <v>y=2.4015*4.05^2+187.16*4.05-68.555</v>
      </c>
      <c r="AP610" s="10" t="str">
        <f t="shared" si="69"/>
        <v>y=0.155*4.05^2+210.99*4.05-92.045</v>
      </c>
      <c r="AQ610" s="10" t="b">
        <f>IF(AND(I610="TP",S610&lt;=150),VLOOKUP(AF610,TPCalibEq150!$AZ$2:$BB$55,3,),IF(AND(I610="TDP",S610&lt;=150),VLOOKUP(AF610,TPCalibEq150!$AZ$2:$BB$55,3,)))</f>
        <v>0</v>
      </c>
      <c r="AR610" s="10" t="b">
        <f>IF(AND(I610="TP",S610&lt;=300),VLOOKUP(AF610,TPCalibEq300!$AZ$2:$BB$55,3,),IF(AND(I610="TDP",S610&lt;=300),VLOOKUP(AF610,TPCalibEq300!$AZ$2:$BB$55,3,)))</f>
        <v>0</v>
      </c>
      <c r="AS610" s="10" t="b">
        <f>IF(AND(I610="TP",S610&lt;=500),VLOOKUP(AF610,TPCalibEq500!$AZ$2:$BB$56,3,),IF(AND(I610="TDP",S610&lt;=500),VLOOKUP(AF610,TPCalibEq500!$AZ$2:$BB$56,3,)))</f>
        <v>0</v>
      </c>
      <c r="AT610" s="10" t="str">
        <f>IF(AND(I610="TN",S610&lt;=2800),VLOOKUP(AF610,TNCalibEq2500!$AZ$2:$BB$56,3,),IF(AND(I610="TDN",S610&lt;=2800),VLOOKUP(AF610,TNCalibEq2500!$AZ$2:$BB$56,3,)))</f>
        <v>y=2.4015x2+187.16x-68.555</v>
      </c>
      <c r="AU610" s="10" t="str">
        <f>IF(I610="TP",VLOOKUP(AF610,TPCalibEqFull!$AZ$2:$BB$56,3),IF(I610="TDP",VLOOKUP(AF610,TPCalibEqFull!$AZ$2:$BB$56,3),IF(I610="TDN",VLOOKUP(AF610,TNCalibEqFull!$AZ$1:$BB$56,3),IF(I610="TN",VLOOKUP(AF610,TNCalibEqFull!$AZ$1:$BB$56,3),FALSE))))</f>
        <v>y=0.155x2+210.99x-92.045</v>
      </c>
      <c r="AV610" s="10" t="str">
        <f t="shared" si="67"/>
        <v>0111 09:00:00-QAC-REC-A-1-DI-ATP</v>
      </c>
    </row>
    <row r="611" spans="1:48" s="10" customFormat="1" x14ac:dyDescent="0.55000000000000004">
      <c r="A611" s="32">
        <v>44937</v>
      </c>
      <c r="B611" s="33">
        <v>0.375</v>
      </c>
      <c r="C611" s="10" t="s">
        <v>70</v>
      </c>
      <c r="D611" s="10" t="s">
        <v>305</v>
      </c>
      <c r="E611" s="10" t="s">
        <v>583</v>
      </c>
      <c r="F611" s="10">
        <v>1</v>
      </c>
      <c r="G611" s="10" t="s">
        <v>73</v>
      </c>
      <c r="H611" s="10" t="s">
        <v>181</v>
      </c>
      <c r="I611" s="10" t="s">
        <v>235</v>
      </c>
      <c r="J611" s="10">
        <v>208</v>
      </c>
      <c r="K611" s="12">
        <v>44937</v>
      </c>
      <c r="L611" s="33">
        <v>0.58196759259259256</v>
      </c>
      <c r="M611" s="10">
        <v>1</v>
      </c>
      <c r="N611" s="10" t="s">
        <v>196</v>
      </c>
      <c r="O611" s="10">
        <v>1.07</v>
      </c>
      <c r="P611" s="10">
        <v>6.5000000000000002E-2</v>
      </c>
      <c r="Q611" s="10">
        <v>132</v>
      </c>
      <c r="R611" s="10" t="s">
        <v>170</v>
      </c>
      <c r="S611" s="34">
        <f t="shared" si="63"/>
        <v>134.45567735</v>
      </c>
      <c r="T611" s="10" t="s">
        <v>1011</v>
      </c>
      <c r="U611" s="34">
        <f t="shared" si="64"/>
        <v>67.227838675000001</v>
      </c>
      <c r="V611" s="31">
        <f>IF(H611="CHK",VLOOKUP(I611,QCCHK,3,),IF(H611="GUP",VLOOKUP(E611,QCGUP,2,),IF(AND(H611="ATP",OR(I611="TN",I611="TDN",I611="TNO2-3",I611="NO2-3")),VLOOKUP(E611,QCREC_N,2,),IF(AND(H611="NIC",OR(I611="TN",I611="TDN",I611="TNO2-3",I611="NO2-3")),VLOOKUP(E611,QCNIC_N,2,),IF(AND(H611="UREA",OR(I611="TN",I611="TDN",I611="TNO2-3",I611="NO2-3")),VLOOKUP(E611,QCUREA_N,2,),IF(H611="PER",VLOOKUP(I611,QCPER,MATCH(E611,QCACTUAL!$J$25:$AA$25,0),),IF(H611="SPK",VLOOKUP(I611,QCSPK,3,),IF(AND(H611="ATP",OR(I611="TP",I611="TDP")),VLOOKUP(E611,QCATP_P,2,),""))))))))</f>
        <v>200</v>
      </c>
      <c r="W611" s="31" t="str">
        <f t="shared" si="65"/>
        <v>FALSE</v>
      </c>
      <c r="X611" s="31" t="str">
        <f t="shared" si="66"/>
        <v>[rec]/[actual]*100</v>
      </c>
      <c r="Y611" s="10" t="s">
        <v>1004</v>
      </c>
      <c r="AF611" s="12">
        <v>44937</v>
      </c>
      <c r="AJ611" s="10">
        <f>2.4015*1.07^2+187.16*1.07-68.555</f>
        <v>134.45567735</v>
      </c>
      <c r="AK611" s="10">
        <f>0.155*1.07^2+210.99*1.07-92.045</f>
        <v>133.89175950000003</v>
      </c>
      <c r="AL611" s="10" t="str">
        <f t="shared" si="68"/>
        <v>FALSE</v>
      </c>
      <c r="AM611" s="10" t="str">
        <f t="shared" si="68"/>
        <v>FALSE</v>
      </c>
      <c r="AN611" s="10" t="str">
        <f t="shared" si="68"/>
        <v>FALSE</v>
      </c>
      <c r="AO611" s="10" t="str">
        <f t="shared" si="69"/>
        <v>y=2.4015*1.07^2+187.16*1.07-68.555</v>
      </c>
      <c r="AP611" s="10" t="str">
        <f t="shared" si="69"/>
        <v>y=0.155*1.07^2+210.99*1.07-92.045</v>
      </c>
      <c r="AQ611" s="10" t="b">
        <f>IF(AND(I611="TP",S611&lt;=150),VLOOKUP(AF611,TPCalibEq150!$AZ$2:$BB$55,3,),IF(AND(I611="TDP",S611&lt;=150),VLOOKUP(AF611,TPCalibEq150!$AZ$2:$BB$55,3,)))</f>
        <v>0</v>
      </c>
      <c r="AR611" s="10" t="b">
        <f>IF(AND(I611="TP",S611&lt;=300),VLOOKUP(AF611,TPCalibEq300!$AZ$2:$BB$55,3,),IF(AND(I611="TDP",S611&lt;=300),VLOOKUP(AF611,TPCalibEq300!$AZ$2:$BB$55,3,)))</f>
        <v>0</v>
      </c>
      <c r="AS611" s="10" t="b">
        <f>IF(AND(I611="TP",S611&lt;=500),VLOOKUP(AF611,TPCalibEq500!$AZ$2:$BB$56,3,),IF(AND(I611="TDP",S611&lt;=500),VLOOKUP(AF611,TPCalibEq500!$AZ$2:$BB$56,3,)))</f>
        <v>0</v>
      </c>
      <c r="AT611" s="10" t="str">
        <f>IF(AND(I611="TN",S611&lt;=2800),VLOOKUP(AF611,TNCalibEq2500!$AZ$2:$BB$56,3,),IF(AND(I611="TDN",S611&lt;=2800),VLOOKUP(AF611,TNCalibEq2500!$AZ$2:$BB$56,3,)))</f>
        <v>y=2.4015x2+187.16x-68.555</v>
      </c>
      <c r="AU611" s="10" t="str">
        <f>IF(I611="TP",VLOOKUP(AF611,TPCalibEqFull!$AZ$2:$BB$56,3),IF(I611="TDP",VLOOKUP(AF611,TPCalibEqFull!$AZ$2:$BB$56,3),IF(I611="TDN",VLOOKUP(AF611,TNCalibEqFull!$AZ$1:$BB$56,3),IF(I611="TN",VLOOKUP(AF611,TNCalibEqFull!$AZ$1:$BB$56,3),FALSE))))</f>
        <v>y=0.155x2+210.99x-92.045</v>
      </c>
      <c r="AV611" s="10" t="str">
        <f t="shared" si="67"/>
        <v>0111 09:00:00-QAC-REC-B-1-DI-ATP</v>
      </c>
    </row>
    <row r="612" spans="1:48" s="10" customFormat="1" x14ac:dyDescent="0.55000000000000004">
      <c r="A612" s="32">
        <v>44937</v>
      </c>
      <c r="B612" s="33">
        <v>0.375</v>
      </c>
      <c r="C612" s="10" t="s">
        <v>70</v>
      </c>
      <c r="D612" s="10" t="s">
        <v>305</v>
      </c>
      <c r="E612" s="10" t="s">
        <v>190</v>
      </c>
      <c r="F612" s="10">
        <v>1</v>
      </c>
      <c r="G612" s="10" t="s">
        <v>73</v>
      </c>
      <c r="H612" s="10" t="s">
        <v>181</v>
      </c>
      <c r="I612" s="10" t="s">
        <v>235</v>
      </c>
      <c r="J612" s="10">
        <v>209</v>
      </c>
      <c r="K612" s="12">
        <v>44937</v>
      </c>
      <c r="L612" s="33">
        <v>0.58265046296296297</v>
      </c>
      <c r="M612" s="10">
        <v>1</v>
      </c>
      <c r="N612" s="10" t="s">
        <v>196</v>
      </c>
      <c r="O612" s="10">
        <v>0.78800000000000003</v>
      </c>
      <c r="P612" s="10">
        <v>4.7500000000000001E-2</v>
      </c>
      <c r="Q612" s="10">
        <v>70.400000000000006</v>
      </c>
      <c r="R612" s="10" t="s">
        <v>170</v>
      </c>
      <c r="S612" s="34">
        <f t="shared" si="63"/>
        <v>80.41827701599999</v>
      </c>
      <c r="T612" s="10" t="s">
        <v>1011</v>
      </c>
      <c r="U612" s="34">
        <f t="shared" si="64"/>
        <v>80.41827701599999</v>
      </c>
      <c r="V612" s="31">
        <f>IF(H612="CHK",VLOOKUP(I612,QCCHK,3,),IF(H612="GUP",VLOOKUP(E612,QCGUP,2,),IF(AND(H612="ATP",OR(I612="TN",I612="TDN",I612="TNO2-3",I612="NO2-3")),VLOOKUP(E612,QCREC_N,2,),IF(AND(H612="NIC",OR(I612="TN",I612="TDN",I612="TNO2-3",I612="NO2-3")),VLOOKUP(E612,QCNIC_N,2,),IF(AND(H612="UREA",OR(I612="TN",I612="TDN",I612="TNO2-3",I612="NO2-3")),VLOOKUP(E612,QCUREA_N,2,),IF(H612="PER",VLOOKUP(I612,QCPER,MATCH(E612,QCACTUAL!$J$25:$AA$25,0),),IF(H612="SPK",VLOOKUP(I612,QCSPK,3,),IF(AND(H612="ATP",OR(I612="TP",I612="TDP")),VLOOKUP(E612,QCATP_P,2,),""))))))))</f>
        <v>100</v>
      </c>
      <c r="W612" s="31" t="str">
        <f t="shared" si="65"/>
        <v>TRUE</v>
      </c>
      <c r="X612" s="31" t="str">
        <f t="shared" si="66"/>
        <v>[rec]/[actual]*100</v>
      </c>
      <c r="Y612" s="10" t="s">
        <v>1004</v>
      </c>
      <c r="AF612" s="12">
        <v>44937</v>
      </c>
      <c r="AJ612" s="10">
        <f>2.4015*0.788^2+187.16*0.788-68.555</f>
        <v>80.41827701599999</v>
      </c>
      <c r="AK612" s="10">
        <f>0.155*0.788^2+210.99*0.788-92.045</f>
        <v>74.311366320000005</v>
      </c>
      <c r="AL612" s="10" t="str">
        <f t="shared" si="68"/>
        <v>FALSE</v>
      </c>
      <c r="AM612" s="10" t="str">
        <f t="shared" si="68"/>
        <v>FALSE</v>
      </c>
      <c r="AN612" s="10" t="str">
        <f t="shared" si="68"/>
        <v>FALSE</v>
      </c>
      <c r="AO612" s="10" t="str">
        <f t="shared" si="69"/>
        <v>y=2.4015*0.788^2+187.16*0.788-68.555</v>
      </c>
      <c r="AP612" s="10" t="str">
        <f t="shared" si="69"/>
        <v>y=0.155*0.788^2+210.99*0.788-92.045</v>
      </c>
      <c r="AQ612" s="10" t="b">
        <f>IF(AND(I612="TP",S612&lt;=150),VLOOKUP(AF612,TPCalibEq150!$AZ$2:$BB$55,3,),IF(AND(I612="TDP",S612&lt;=150),VLOOKUP(AF612,TPCalibEq150!$AZ$2:$BB$55,3,)))</f>
        <v>0</v>
      </c>
      <c r="AR612" s="10" t="b">
        <f>IF(AND(I612="TP",S612&lt;=300),VLOOKUP(AF612,TPCalibEq300!$AZ$2:$BB$55,3,),IF(AND(I612="TDP",S612&lt;=300),VLOOKUP(AF612,TPCalibEq300!$AZ$2:$BB$55,3,)))</f>
        <v>0</v>
      </c>
      <c r="AS612" s="10" t="b">
        <f>IF(AND(I612="TP",S612&lt;=500),VLOOKUP(AF612,TPCalibEq500!$AZ$2:$BB$56,3,),IF(AND(I612="TDP",S612&lt;=500),VLOOKUP(AF612,TPCalibEq500!$AZ$2:$BB$56,3,)))</f>
        <v>0</v>
      </c>
      <c r="AT612" s="10" t="str">
        <f>IF(AND(I612="TN",S612&lt;=2800),VLOOKUP(AF612,TNCalibEq2500!$AZ$2:$BB$56,3,),IF(AND(I612="TDN",S612&lt;=2800),VLOOKUP(AF612,TNCalibEq2500!$AZ$2:$BB$56,3,)))</f>
        <v>y=2.4015x2+187.16x-68.555</v>
      </c>
      <c r="AU612" s="10" t="str">
        <f>IF(I612="TP",VLOOKUP(AF612,TPCalibEqFull!$AZ$2:$BB$56,3),IF(I612="TDP",VLOOKUP(AF612,TPCalibEqFull!$AZ$2:$BB$56,3),IF(I612="TDN",VLOOKUP(AF612,TNCalibEqFull!$AZ$1:$BB$56,3),IF(I612="TN",VLOOKUP(AF612,TNCalibEqFull!$AZ$1:$BB$56,3),FALSE))))</f>
        <v>y=0.155x2+210.99x-92.045</v>
      </c>
      <c r="AV612" s="10" t="str">
        <f t="shared" si="67"/>
        <v>0111 09:00:00-QAC-REC-C-1-DI-ATP</v>
      </c>
    </row>
    <row r="613" spans="1:48" s="10" customFormat="1" x14ac:dyDescent="0.55000000000000004">
      <c r="A613" s="32">
        <v>44937</v>
      </c>
      <c r="B613" s="33">
        <v>0.375</v>
      </c>
      <c r="C613" s="10" t="s">
        <v>70</v>
      </c>
      <c r="D613" s="10" t="s">
        <v>305</v>
      </c>
      <c r="E613" s="10" t="s">
        <v>190</v>
      </c>
      <c r="F613" s="10">
        <v>1</v>
      </c>
      <c r="G613" s="10" t="s">
        <v>73</v>
      </c>
      <c r="H613" s="10" t="s">
        <v>856</v>
      </c>
      <c r="I613" s="10" t="s">
        <v>235</v>
      </c>
      <c r="J613" s="10">
        <v>210</v>
      </c>
      <c r="K613" s="12">
        <v>44937</v>
      </c>
      <c r="L613" s="33">
        <v>0.58331018518518518</v>
      </c>
      <c r="M613" s="10">
        <v>1</v>
      </c>
      <c r="N613" s="10" t="s">
        <v>196</v>
      </c>
      <c r="O613" s="10">
        <v>0.80600000000000005</v>
      </c>
      <c r="P613" s="10">
        <v>4.8300000000000003E-2</v>
      </c>
      <c r="Q613" s="10">
        <v>74</v>
      </c>
      <c r="R613" s="10" t="s">
        <v>170</v>
      </c>
      <c r="S613" s="34">
        <f t="shared" si="63"/>
        <v>83.85606085400002</v>
      </c>
      <c r="T613" s="10" t="s">
        <v>1011</v>
      </c>
      <c r="U613" s="34">
        <f t="shared" si="64"/>
        <v>83.85606085400002</v>
      </c>
      <c r="V613" s="31">
        <f>IF(H613="CHK",VLOOKUP(I613,QCCHK,3,),IF(H613="GUP",VLOOKUP(E613,QCGUP,2,),IF(AND(H613="ATP",OR(I613="TN",I613="TDN",I613="TNO2-3",I613="NO2-3")),VLOOKUP(E613,QCREC_N,2,),IF(AND(H613="NIC",OR(I613="TN",I613="TDN",I613="TNO2-3",I613="NO2-3")),VLOOKUP(E613,QCNIC_N,2,),IF(AND(H613="UREA",OR(I613="TN",I613="TDN",I613="TNO2-3",I613="NO2-3")),VLOOKUP(E613,QCUREA_N,2,),IF(H613="PER",VLOOKUP(I613,QCPER,MATCH(E613,QCACTUAL!$J$25:$AA$25,0),),IF(H613="SPK",VLOOKUP(I613,QCSPK,3,),IF(AND(H613="ATP",OR(I613="TP",I613="TDP")),VLOOKUP(E613,QCATP_P,2,),""))))))))</f>
        <v>100</v>
      </c>
      <c r="W613" s="31" t="str">
        <f t="shared" si="65"/>
        <v>TRUE</v>
      </c>
      <c r="X613" s="31" t="str">
        <f t="shared" si="66"/>
        <v>[rec]/[actual]*100</v>
      </c>
      <c r="Y613" s="10" t="s">
        <v>1004</v>
      </c>
      <c r="AF613" s="12">
        <v>44937</v>
      </c>
      <c r="AJ613" s="10">
        <f>2.4015*0.806^2+187.16*0.806-68.555</f>
        <v>83.85606085400002</v>
      </c>
      <c r="AK613" s="10">
        <f>0.155*0.806^2+210.99*0.806-92.045</f>
        <v>78.113633580000041</v>
      </c>
      <c r="AL613" s="10" t="str">
        <f t="shared" si="68"/>
        <v>FALSE</v>
      </c>
      <c r="AM613" s="10" t="str">
        <f t="shared" si="68"/>
        <v>FALSE</v>
      </c>
      <c r="AN613" s="10" t="str">
        <f t="shared" si="68"/>
        <v>FALSE</v>
      </c>
      <c r="AO613" s="10" t="str">
        <f t="shared" si="69"/>
        <v>y=2.4015*0.806^2+187.16*0.806-68.555</v>
      </c>
      <c r="AP613" s="10" t="str">
        <f t="shared" si="69"/>
        <v>y=0.155*0.806^2+210.99*0.806-92.045</v>
      </c>
      <c r="AQ613" s="10" t="b">
        <f>IF(AND(I613="TP",S613&lt;=150),VLOOKUP(AF613,TPCalibEq150!$AZ$2:$BB$55,3,),IF(AND(I613="TDP",S613&lt;=150),VLOOKUP(AF613,TPCalibEq150!$AZ$2:$BB$55,3,)))</f>
        <v>0</v>
      </c>
      <c r="AR613" s="10" t="b">
        <f>IF(AND(I613="TP",S613&lt;=300),VLOOKUP(AF613,TPCalibEq300!$AZ$2:$BB$55,3,),IF(AND(I613="TDP",S613&lt;=300),VLOOKUP(AF613,TPCalibEq300!$AZ$2:$BB$55,3,)))</f>
        <v>0</v>
      </c>
      <c r="AS613" s="10" t="b">
        <f>IF(AND(I613="TP",S613&lt;=500),VLOOKUP(AF613,TPCalibEq500!$AZ$2:$BB$56,3,),IF(AND(I613="TDP",S613&lt;=500),VLOOKUP(AF613,TPCalibEq500!$AZ$2:$BB$56,3,)))</f>
        <v>0</v>
      </c>
      <c r="AT613" s="10" t="str">
        <f>IF(AND(I613="TN",S613&lt;=2800),VLOOKUP(AF613,TNCalibEq2500!$AZ$2:$BB$56,3,),IF(AND(I613="TDN",S613&lt;=2800),VLOOKUP(AF613,TNCalibEq2500!$AZ$2:$BB$56,3,)))</f>
        <v>y=2.4015x2+187.16x-68.555</v>
      </c>
      <c r="AU613" s="10" t="str">
        <f>IF(I613="TP",VLOOKUP(AF613,TPCalibEqFull!$AZ$2:$BB$56,3),IF(I613="TDP",VLOOKUP(AF613,TPCalibEqFull!$AZ$2:$BB$56,3),IF(I613="TDN",VLOOKUP(AF613,TNCalibEqFull!$AZ$1:$BB$56,3),IF(I613="TN",VLOOKUP(AF613,TNCalibEqFull!$AZ$1:$BB$56,3),FALSE))))</f>
        <v>y=0.155x2+210.99x-92.045</v>
      </c>
      <c r="AV613" s="10" t="str">
        <f t="shared" si="67"/>
        <v>0111 09:00:00-QAC-REC-C-1-DI-NIC</v>
      </c>
    </row>
    <row r="614" spans="1:48" s="10" customFormat="1" x14ac:dyDescent="0.55000000000000004">
      <c r="A614" s="32">
        <v>44859</v>
      </c>
      <c r="B614" s="33">
        <v>0.375</v>
      </c>
      <c r="C614" s="10" t="s">
        <v>70</v>
      </c>
      <c r="D614" s="10" t="s">
        <v>305</v>
      </c>
      <c r="E614" s="10" t="s">
        <v>190</v>
      </c>
      <c r="F614" s="10">
        <v>1</v>
      </c>
      <c r="G614" s="10" t="s">
        <v>73</v>
      </c>
      <c r="H614" s="10" t="s">
        <v>856</v>
      </c>
      <c r="I614" s="10" t="s">
        <v>235</v>
      </c>
      <c r="J614" s="10">
        <v>214</v>
      </c>
      <c r="K614" s="12">
        <v>44937</v>
      </c>
      <c r="L614" s="33">
        <v>0.58398148148148155</v>
      </c>
      <c r="M614" s="10">
        <v>1</v>
      </c>
      <c r="N614" s="10" t="s">
        <v>196</v>
      </c>
      <c r="O614" s="10">
        <v>0.93300000000000005</v>
      </c>
      <c r="P614" s="10">
        <v>5.5500000000000001E-2</v>
      </c>
      <c r="Q614" s="10">
        <v>101</v>
      </c>
      <c r="R614" s="10" t="s">
        <v>170</v>
      </c>
      <c r="S614" s="34">
        <f t="shared" si="63"/>
        <v>108.15575933350001</v>
      </c>
      <c r="T614" s="10" t="s">
        <v>1011</v>
      </c>
      <c r="U614" s="34">
        <f t="shared" si="64"/>
        <v>108.15575933350001</v>
      </c>
      <c r="V614" s="31">
        <f>IF(H614="CHK",VLOOKUP(I614,QCCHK,3,),IF(H614="GUP",VLOOKUP(E614,QCGUP,2,),IF(AND(H614="ATP",OR(I614="TN",I614="TDN",I614="TNO2-3",I614="NO2-3")),VLOOKUP(E614,QCREC_N,2,),IF(AND(H614="NIC",OR(I614="TN",I614="TDN",I614="TNO2-3",I614="NO2-3")),VLOOKUP(E614,QCNIC_N,2,),IF(AND(H614="UREA",OR(I614="TN",I614="TDN",I614="TNO2-3",I614="NO2-3")),VLOOKUP(E614,QCUREA_N,2,),IF(H614="PER",VLOOKUP(I614,QCPER,MATCH(E614,QCACTUAL!$J$25:$AA$25,0),),IF(H614="SPK",VLOOKUP(I614,QCSPK,3,),IF(AND(H614="ATP",OR(I614="TP",I614="TDP")),VLOOKUP(E614,QCATP_P,2,),""))))))))</f>
        <v>100</v>
      </c>
      <c r="W614" s="31" t="str">
        <f t="shared" si="65"/>
        <v>TRUE</v>
      </c>
      <c r="X614" s="31" t="str">
        <f t="shared" si="66"/>
        <v>[rec]/[actual]*100</v>
      </c>
      <c r="Y614" s="10" t="s">
        <v>1004</v>
      </c>
      <c r="AF614" s="12">
        <v>44937</v>
      </c>
      <c r="AJ614" s="10">
        <f>2.4015*0.933^2+187.16*0.933-68.555</f>
        <v>108.15575933350001</v>
      </c>
      <c r="AK614" s="10">
        <f>0.155*0.933^2+210.99*0.933-92.045</f>
        <v>104.94359579500001</v>
      </c>
      <c r="AL614" s="10" t="str">
        <f t="shared" si="68"/>
        <v>FALSE</v>
      </c>
      <c r="AM614" s="10" t="str">
        <f t="shared" si="68"/>
        <v>FALSE</v>
      </c>
      <c r="AN614" s="10" t="str">
        <f t="shared" si="68"/>
        <v>FALSE</v>
      </c>
      <c r="AO614" s="10" t="str">
        <f t="shared" si="69"/>
        <v>y=2.4015*0.933^2+187.16*0.933-68.555</v>
      </c>
      <c r="AP614" s="10" t="str">
        <f t="shared" si="69"/>
        <v>y=0.155*0.933^2+210.99*0.933-92.045</v>
      </c>
      <c r="AQ614" s="10" t="b">
        <f>IF(AND(I614="TP",S614&lt;=150),VLOOKUP(AF614,TPCalibEq150!$AZ$2:$BB$55,3,),IF(AND(I614="TDP",S614&lt;=150),VLOOKUP(AF614,TPCalibEq150!$AZ$2:$BB$55,3,)))</f>
        <v>0</v>
      </c>
      <c r="AR614" s="10" t="b">
        <f>IF(AND(I614="TP",S614&lt;=300),VLOOKUP(AF614,TPCalibEq300!$AZ$2:$BB$55,3,),IF(AND(I614="TDP",S614&lt;=300),VLOOKUP(AF614,TPCalibEq300!$AZ$2:$BB$55,3,)))</f>
        <v>0</v>
      </c>
      <c r="AS614" s="10" t="b">
        <f>IF(AND(I614="TP",S614&lt;=500),VLOOKUP(AF614,TPCalibEq500!$AZ$2:$BB$56,3,),IF(AND(I614="TDP",S614&lt;=500),VLOOKUP(AF614,TPCalibEq500!$AZ$2:$BB$56,3,)))</f>
        <v>0</v>
      </c>
      <c r="AT614" s="10" t="str">
        <f>IF(AND(I614="TN",S614&lt;=2800),VLOOKUP(AF614,TNCalibEq2500!$AZ$2:$BB$56,3,),IF(AND(I614="TDN",S614&lt;=2800),VLOOKUP(AF614,TNCalibEq2500!$AZ$2:$BB$56,3,)))</f>
        <v>y=2.4015x2+187.16x-68.555</v>
      </c>
      <c r="AU614" s="10" t="str">
        <f>IF(I614="TP",VLOOKUP(AF614,TPCalibEqFull!$AZ$2:$BB$56,3),IF(I614="TDP",VLOOKUP(AF614,TPCalibEqFull!$AZ$2:$BB$56,3),IF(I614="TDN",VLOOKUP(AF614,TNCalibEqFull!$AZ$1:$BB$56,3),IF(I614="TN",VLOOKUP(AF614,TNCalibEqFull!$AZ$1:$BB$56,3),FALSE))))</f>
        <v>y=0.155x2+210.99x-92.045</v>
      </c>
      <c r="AV614" s="10" t="str">
        <f t="shared" si="67"/>
        <v>1025 09:00:00-QAC-REC-C-1-DI-NIC</v>
      </c>
    </row>
    <row r="615" spans="1:48" s="10" customFormat="1" x14ac:dyDescent="0.55000000000000004">
      <c r="A615" s="32">
        <v>44937</v>
      </c>
      <c r="B615" s="33">
        <v>0.375</v>
      </c>
      <c r="C615" s="10" t="s">
        <v>70</v>
      </c>
      <c r="D615" s="10" t="s">
        <v>305</v>
      </c>
      <c r="E615" s="10" t="s">
        <v>583</v>
      </c>
      <c r="F615" s="10">
        <v>1</v>
      </c>
      <c r="G615" s="10" t="s">
        <v>73</v>
      </c>
      <c r="H615" s="10" t="s">
        <v>856</v>
      </c>
      <c r="I615" s="10" t="s">
        <v>235</v>
      </c>
      <c r="J615" s="10">
        <v>211</v>
      </c>
      <c r="K615" s="12">
        <v>44937</v>
      </c>
      <c r="L615" s="33">
        <v>0.5846527777777778</v>
      </c>
      <c r="M615" s="10">
        <v>1</v>
      </c>
      <c r="N615" s="10" t="s">
        <v>196</v>
      </c>
      <c r="O615" s="10">
        <v>1.28</v>
      </c>
      <c r="P615" s="10">
        <v>7.6700000000000004E-2</v>
      </c>
      <c r="Q615" s="10">
        <v>175</v>
      </c>
      <c r="R615" s="10" t="s">
        <v>170</v>
      </c>
      <c r="S615" s="34">
        <f t="shared" si="63"/>
        <v>178.27615200000002</v>
      </c>
      <c r="T615" s="10" t="s">
        <v>1011</v>
      </c>
      <c r="U615" s="34">
        <f t="shared" si="64"/>
        <v>89.138076000000012</v>
      </c>
      <c r="V615" s="31">
        <f>IF(H615="CHK",VLOOKUP(I615,QCCHK,3,),IF(H615="GUP",VLOOKUP(E615,QCGUP,2,),IF(AND(H615="ATP",OR(I615="TN",I615="TDN",I615="TNO2-3",I615="NO2-3")),VLOOKUP(E615,QCREC_N,2,),IF(AND(H615="NIC",OR(I615="TN",I615="TDN",I615="TNO2-3",I615="NO2-3")),VLOOKUP(E615,QCNIC_N,2,),IF(AND(H615="UREA",OR(I615="TN",I615="TDN",I615="TNO2-3",I615="NO2-3")),VLOOKUP(E615,QCUREA_N,2,),IF(H615="PER",VLOOKUP(I615,QCPER,MATCH(E615,QCACTUAL!$J$25:$AA$25,0),),IF(H615="SPK",VLOOKUP(I615,QCSPK,3,),IF(AND(H615="ATP",OR(I615="TP",I615="TDP")),VLOOKUP(E615,QCATP_P,2,),""))))))))</f>
        <v>200</v>
      </c>
      <c r="W615" s="31" t="str">
        <f t="shared" si="65"/>
        <v>TRUE</v>
      </c>
      <c r="X615" s="31" t="str">
        <f t="shared" si="66"/>
        <v>[rec]/[actual]*100</v>
      </c>
      <c r="Y615" s="10" t="s">
        <v>1004</v>
      </c>
      <c r="AF615" s="12">
        <v>44937</v>
      </c>
      <c r="AJ615" s="10">
        <f>2.4015*1.28^2+187.16*1.28-68.555</f>
        <v>174.94441759999998</v>
      </c>
      <c r="AK615" s="10">
        <f>0.155*1.28^2+210.99*1.28-92.045</f>
        <v>178.27615200000002</v>
      </c>
      <c r="AL615" s="10" t="str">
        <f t="shared" si="68"/>
        <v>FALSE</v>
      </c>
      <c r="AM615" s="10" t="str">
        <f t="shared" si="68"/>
        <v>FALSE</v>
      </c>
      <c r="AN615" s="10" t="str">
        <f t="shared" si="68"/>
        <v>FALSE</v>
      </c>
      <c r="AO615" s="10" t="str">
        <f t="shared" si="69"/>
        <v>y=2.4015*1.28^2+187.16*1.28-68.555</v>
      </c>
      <c r="AP615" s="10" t="str">
        <f t="shared" si="69"/>
        <v>y=0.155*1.28^2+210.99*1.28-92.045</v>
      </c>
      <c r="AQ615" s="10" t="b">
        <f>IF(AND(I615="TP",S615&lt;=150),VLOOKUP(AF615,TPCalibEq150!$AZ$2:$BB$55,3,),IF(AND(I615="TDP",S615&lt;=150),VLOOKUP(AF615,TPCalibEq150!$AZ$2:$BB$55,3,)))</f>
        <v>0</v>
      </c>
      <c r="AR615" s="10" t="b">
        <f>IF(AND(I615="TP",S615&lt;=300),VLOOKUP(AF615,TPCalibEq300!$AZ$2:$BB$55,3,),IF(AND(I615="TDP",S615&lt;=300),VLOOKUP(AF615,TPCalibEq300!$AZ$2:$BB$55,3,)))</f>
        <v>0</v>
      </c>
      <c r="AS615" s="10" t="b">
        <f>IF(AND(I615="TP",S615&lt;=500),VLOOKUP(AF615,TPCalibEq500!$AZ$2:$BB$56,3,),IF(AND(I615="TDP",S615&lt;=500),VLOOKUP(AF615,TPCalibEq500!$AZ$2:$BB$56,3,)))</f>
        <v>0</v>
      </c>
      <c r="AT615" s="10" t="str">
        <f>IF(AND(I615="TN",S615&lt;=2800),VLOOKUP(AF615,TNCalibEq2500!$AZ$2:$BB$56,3,),IF(AND(I615="TDN",S615&lt;=2800),VLOOKUP(AF615,TNCalibEq2500!$AZ$2:$BB$56,3,)))</f>
        <v>y=2.4015x2+187.16x-68.555</v>
      </c>
      <c r="AU615" s="10" t="str">
        <f>IF(I615="TP",VLOOKUP(AF615,TPCalibEqFull!$AZ$2:$BB$56,3),IF(I615="TDP",VLOOKUP(AF615,TPCalibEqFull!$AZ$2:$BB$56,3),IF(I615="TDN",VLOOKUP(AF615,TNCalibEqFull!$AZ$1:$BB$56,3),IF(I615="TN",VLOOKUP(AF615,TNCalibEqFull!$AZ$1:$BB$56,3),FALSE))))</f>
        <v>y=0.155x2+210.99x-92.045</v>
      </c>
      <c r="AV615" s="10" t="str">
        <f t="shared" si="67"/>
        <v>0111 09:00:00-QAC-REC-B-1-DI-NIC</v>
      </c>
    </row>
    <row r="616" spans="1:48" s="10" customFormat="1" x14ac:dyDescent="0.55000000000000004">
      <c r="A616" s="32">
        <v>44859</v>
      </c>
      <c r="B616" s="33">
        <v>0.375</v>
      </c>
      <c r="C616" s="10" t="s">
        <v>70</v>
      </c>
      <c r="D616" s="10" t="s">
        <v>305</v>
      </c>
      <c r="E616" s="10" t="s">
        <v>583</v>
      </c>
      <c r="F616" s="10">
        <v>1</v>
      </c>
      <c r="G616" s="10" t="s">
        <v>73</v>
      </c>
      <c r="H616" s="10" t="s">
        <v>856</v>
      </c>
      <c r="I616" s="10" t="s">
        <v>235</v>
      </c>
      <c r="J616" s="10">
        <v>215</v>
      </c>
      <c r="K616" s="12">
        <v>44937</v>
      </c>
      <c r="L616" s="33">
        <v>0.58533564814814809</v>
      </c>
      <c r="M616" s="10">
        <v>1</v>
      </c>
      <c r="N616" s="10" t="s">
        <v>196</v>
      </c>
      <c r="O616" s="10">
        <v>1.23</v>
      </c>
      <c r="P616" s="10">
        <v>7.4399999999999994E-2</v>
      </c>
      <c r="Q616" s="10">
        <v>166</v>
      </c>
      <c r="R616" s="10" t="s">
        <v>170</v>
      </c>
      <c r="S616" s="34">
        <f t="shared" si="63"/>
        <v>167.7071995</v>
      </c>
      <c r="T616" s="10" t="s">
        <v>1011</v>
      </c>
      <c r="U616" s="34">
        <f t="shared" si="64"/>
        <v>83.853599750000001</v>
      </c>
      <c r="V616" s="31">
        <f>IF(H616="CHK",VLOOKUP(I616,QCCHK,3,),IF(H616="GUP",VLOOKUP(E616,QCGUP,2,),IF(AND(H616="ATP",OR(I616="TN",I616="TDN",I616="TNO2-3",I616="NO2-3")),VLOOKUP(E616,QCREC_N,2,),IF(AND(H616="NIC",OR(I616="TN",I616="TDN",I616="TNO2-3",I616="NO2-3")),VLOOKUP(E616,QCNIC_N,2,),IF(AND(H616="UREA",OR(I616="TN",I616="TDN",I616="TNO2-3",I616="NO2-3")),VLOOKUP(E616,QCUREA_N,2,),IF(H616="PER",VLOOKUP(I616,QCPER,MATCH(E616,QCACTUAL!$J$25:$AA$25,0),),IF(H616="SPK",VLOOKUP(I616,QCSPK,3,),IF(AND(H616="ATP",OR(I616="TP",I616="TDP")),VLOOKUP(E616,QCATP_P,2,),""))))))))</f>
        <v>200</v>
      </c>
      <c r="W616" s="31" t="str">
        <f t="shared" si="65"/>
        <v>TRUE</v>
      </c>
      <c r="X616" s="31" t="str">
        <f t="shared" si="66"/>
        <v>[rec]/[actual]*100</v>
      </c>
      <c r="Y616" s="10" t="s">
        <v>1004</v>
      </c>
      <c r="AF616" s="12">
        <v>44937</v>
      </c>
      <c r="AJ616" s="10">
        <f>2.4015*1.23^2+187.16*1.23-68.555</f>
        <v>165.28502934999997</v>
      </c>
      <c r="AK616" s="10">
        <f>0.155*1.23^2+210.99*1.23-92.045</f>
        <v>167.7071995</v>
      </c>
      <c r="AL616" s="10" t="str">
        <f t="shared" si="68"/>
        <v>FALSE</v>
      </c>
      <c r="AM616" s="10" t="str">
        <f t="shared" si="68"/>
        <v>FALSE</v>
      </c>
      <c r="AN616" s="10" t="str">
        <f t="shared" si="68"/>
        <v>FALSE</v>
      </c>
      <c r="AO616" s="10" t="str">
        <f t="shared" si="69"/>
        <v>y=2.4015*1.23^2+187.16*1.23-68.555</v>
      </c>
      <c r="AP616" s="10" t="str">
        <f t="shared" si="69"/>
        <v>y=0.155*1.23^2+210.99*1.23-92.045</v>
      </c>
      <c r="AQ616" s="10" t="b">
        <f>IF(AND(I616="TP",S616&lt;=150),VLOOKUP(AF616,TPCalibEq150!$AZ$2:$BB$55,3,),IF(AND(I616="TDP",S616&lt;=150),VLOOKUP(AF616,TPCalibEq150!$AZ$2:$BB$55,3,)))</f>
        <v>0</v>
      </c>
      <c r="AR616" s="10" t="b">
        <f>IF(AND(I616="TP",S616&lt;=300),VLOOKUP(AF616,TPCalibEq300!$AZ$2:$BB$55,3,),IF(AND(I616="TDP",S616&lt;=300),VLOOKUP(AF616,TPCalibEq300!$AZ$2:$BB$55,3,)))</f>
        <v>0</v>
      </c>
      <c r="AS616" s="10" t="b">
        <f>IF(AND(I616="TP",S616&lt;=500),VLOOKUP(AF616,TPCalibEq500!$AZ$2:$BB$56,3,),IF(AND(I616="TDP",S616&lt;=500),VLOOKUP(AF616,TPCalibEq500!$AZ$2:$BB$56,3,)))</f>
        <v>0</v>
      </c>
      <c r="AT616" s="10" t="str">
        <f>IF(AND(I616="TN",S616&lt;=2800),VLOOKUP(AF616,TNCalibEq2500!$AZ$2:$BB$56,3,),IF(AND(I616="TDN",S616&lt;=2800),VLOOKUP(AF616,TNCalibEq2500!$AZ$2:$BB$56,3,)))</f>
        <v>y=2.4015x2+187.16x-68.555</v>
      </c>
      <c r="AU616" s="10" t="str">
        <f>IF(I616="TP",VLOOKUP(AF616,TPCalibEqFull!$AZ$2:$BB$56,3),IF(I616="TDP",VLOOKUP(AF616,TPCalibEqFull!$AZ$2:$BB$56,3),IF(I616="TDN",VLOOKUP(AF616,TNCalibEqFull!$AZ$1:$BB$56,3),IF(I616="TN",VLOOKUP(AF616,TNCalibEqFull!$AZ$1:$BB$56,3),FALSE))))</f>
        <v>y=0.155x2+210.99x-92.045</v>
      </c>
      <c r="AV616" s="10" t="str">
        <f t="shared" si="67"/>
        <v>1025 09:00:00-QAC-REC-B-1-DI-NIC</v>
      </c>
    </row>
    <row r="617" spans="1:48" s="10" customFormat="1" x14ac:dyDescent="0.55000000000000004">
      <c r="A617" s="32">
        <v>44937</v>
      </c>
      <c r="B617" s="33">
        <v>0.375</v>
      </c>
      <c r="C617" s="10" t="s">
        <v>70</v>
      </c>
      <c r="D617" s="10" t="s">
        <v>305</v>
      </c>
      <c r="E617" s="10" t="s">
        <v>866</v>
      </c>
      <c r="F617" s="10">
        <v>1</v>
      </c>
      <c r="G617" s="10" t="s">
        <v>73</v>
      </c>
      <c r="H617" s="10" t="s">
        <v>856</v>
      </c>
      <c r="I617" s="10" t="s">
        <v>235</v>
      </c>
      <c r="J617" s="10">
        <v>212</v>
      </c>
      <c r="K617" s="12">
        <v>44937</v>
      </c>
      <c r="L617" s="33">
        <v>0.58600694444444446</v>
      </c>
      <c r="M617" s="10">
        <v>1</v>
      </c>
      <c r="N617" s="10" t="s">
        <v>196</v>
      </c>
      <c r="O617" s="10">
        <v>5.22</v>
      </c>
      <c r="P617" s="10">
        <v>0.312</v>
      </c>
      <c r="Q617" s="10">
        <v>1020</v>
      </c>
      <c r="R617" s="10" t="s">
        <v>170</v>
      </c>
      <c r="S617" s="34">
        <f t="shared" si="63"/>
        <v>1020</v>
      </c>
      <c r="T617" s="10" t="s">
        <v>1011</v>
      </c>
      <c r="U617" s="34">
        <f t="shared" si="64"/>
        <v>102</v>
      </c>
      <c r="V617" s="31">
        <f>IF(H617="CHK",VLOOKUP(I617,QCCHK,3,),IF(H617="GUP",VLOOKUP(E617,QCGUP,2,),IF(AND(H617="ATP",OR(I617="TN",I617="TDN",I617="TNO2-3",I617="NO2-3")),VLOOKUP(E617,QCREC_N,2,),IF(AND(H617="NIC",OR(I617="TN",I617="TDN",I617="TNO2-3",I617="NO2-3")),VLOOKUP(E617,QCNIC_N,2,),IF(AND(H617="UREA",OR(I617="TN",I617="TDN",I617="TNO2-3",I617="NO2-3")),VLOOKUP(E617,QCUREA_N,2,),IF(H617="PER",VLOOKUP(I617,QCPER,MATCH(E617,QCACTUAL!$J$25:$AA$25,0),),IF(H617="SPK",VLOOKUP(I617,QCSPK,3,),IF(AND(H617="ATP",OR(I617="TP",I617="TDP")),VLOOKUP(E617,QCATP_P,2,),""))))))))</f>
        <v>1000</v>
      </c>
      <c r="W617" s="31" t="str">
        <f t="shared" si="65"/>
        <v>TRUE</v>
      </c>
      <c r="X617" s="31" t="str">
        <f t="shared" si="66"/>
        <v>[rec]/[actual]*100</v>
      </c>
      <c r="Y617" s="10" t="s">
        <v>1004</v>
      </c>
      <c r="AF617" s="12">
        <v>44937</v>
      </c>
      <c r="AJ617" s="10">
        <f>2.4015*5.22^2+187.16*5.22-68.555</f>
        <v>973.85723259999986</v>
      </c>
      <c r="AK617" s="10">
        <f>0.155*5.22^2+210.99*5.22-92.045</f>
        <v>1013.5463020000001</v>
      </c>
      <c r="AL617" s="10" t="str">
        <f t="shared" si="68"/>
        <v>FALSE</v>
      </c>
      <c r="AM617" s="10" t="str">
        <f t="shared" si="68"/>
        <v>FALSE</v>
      </c>
      <c r="AN617" s="10" t="str">
        <f t="shared" si="68"/>
        <v>FALSE</v>
      </c>
      <c r="AO617" s="10" t="str">
        <f t="shared" si="69"/>
        <v>y=2.4015*5.22^2+187.16*5.22-68.555</v>
      </c>
      <c r="AP617" s="10" t="str">
        <f t="shared" si="69"/>
        <v>y=0.155*5.22^2+210.99*5.22-92.045</v>
      </c>
      <c r="AQ617" s="10" t="b">
        <f>IF(AND(I617="TP",S617&lt;=150),VLOOKUP(AF617,TPCalibEq150!$AZ$2:$BB$55,3,),IF(AND(I617="TDP",S617&lt;=150),VLOOKUP(AF617,TPCalibEq150!$AZ$2:$BB$55,3,)))</f>
        <v>0</v>
      </c>
      <c r="AR617" s="10" t="b">
        <f>IF(AND(I617="TP",S617&lt;=300),VLOOKUP(AF617,TPCalibEq300!$AZ$2:$BB$55,3,),IF(AND(I617="TDP",S617&lt;=300),VLOOKUP(AF617,TPCalibEq300!$AZ$2:$BB$55,3,)))</f>
        <v>0</v>
      </c>
      <c r="AS617" s="10" t="b">
        <f>IF(AND(I617="TP",S617&lt;=500),VLOOKUP(AF617,TPCalibEq500!$AZ$2:$BB$56,3,),IF(AND(I617="TDP",S617&lt;=500),VLOOKUP(AF617,TPCalibEq500!$AZ$2:$BB$56,3,)))</f>
        <v>0</v>
      </c>
      <c r="AT617" s="10" t="str">
        <f>IF(AND(I617="TN",S617&lt;=2800),VLOOKUP(AF617,TNCalibEq2500!$AZ$2:$BB$56,3,),IF(AND(I617="TDN",S617&lt;=2800),VLOOKUP(AF617,TNCalibEq2500!$AZ$2:$BB$56,3,)))</f>
        <v>y=2.4015x2+187.16x-68.555</v>
      </c>
      <c r="AU617" s="10" t="str">
        <f>IF(I617="TP",VLOOKUP(AF617,TPCalibEqFull!$AZ$2:$BB$56,3),IF(I617="TDP",VLOOKUP(AF617,TPCalibEqFull!$AZ$2:$BB$56,3),IF(I617="TDN",VLOOKUP(AF617,TNCalibEqFull!$AZ$1:$BB$56,3),IF(I617="TN",VLOOKUP(AF617,TNCalibEqFull!$AZ$1:$BB$56,3),FALSE))))</f>
        <v>y=0.155x2+210.99x-92.045</v>
      </c>
      <c r="AV617" s="10" t="str">
        <f t="shared" si="67"/>
        <v>0111 09:00:00-QAC-REC-A-1-DI-NIC</v>
      </c>
    </row>
    <row r="618" spans="1:48" s="10" customFormat="1" x14ac:dyDescent="0.55000000000000004">
      <c r="A618" s="32">
        <v>44859</v>
      </c>
      <c r="B618" s="33">
        <v>0.375</v>
      </c>
      <c r="C618" s="10" t="s">
        <v>70</v>
      </c>
      <c r="D618" s="10" t="s">
        <v>305</v>
      </c>
      <c r="E618" s="10" t="s">
        <v>866</v>
      </c>
      <c r="F618" s="10">
        <v>1</v>
      </c>
      <c r="G618" s="10" t="s">
        <v>73</v>
      </c>
      <c r="H618" s="10" t="s">
        <v>856</v>
      </c>
      <c r="I618" s="10" t="s">
        <v>235</v>
      </c>
      <c r="J618" s="10">
        <v>216</v>
      </c>
      <c r="K618" s="12">
        <v>44937</v>
      </c>
      <c r="L618" s="33">
        <v>0.58668981481481486</v>
      </c>
      <c r="M618" s="10">
        <v>1</v>
      </c>
      <c r="N618" s="10" t="s">
        <v>196</v>
      </c>
      <c r="O618" s="10">
        <v>4.93</v>
      </c>
      <c r="P618" s="10">
        <v>0.29899999999999999</v>
      </c>
      <c r="Q618" s="10">
        <v>959</v>
      </c>
      <c r="R618" s="10" t="s">
        <v>170</v>
      </c>
      <c r="S618" s="34">
        <f t="shared" si="63"/>
        <v>959</v>
      </c>
      <c r="T618" s="10" t="s">
        <v>1011</v>
      </c>
      <c r="U618" s="34">
        <f t="shared" si="64"/>
        <v>95.899999999999991</v>
      </c>
      <c r="V618" s="31">
        <f>IF(H618="CHK",VLOOKUP(I618,QCCHK,3,),IF(H618="GUP",VLOOKUP(E618,QCGUP,2,),IF(AND(H618="ATP",OR(I618="TN",I618="TDN",I618="TNO2-3",I618="NO2-3")),VLOOKUP(E618,QCREC_N,2,),IF(AND(H618="NIC",OR(I618="TN",I618="TDN",I618="TNO2-3",I618="NO2-3")),VLOOKUP(E618,QCNIC_N,2,),IF(AND(H618="UREA",OR(I618="TN",I618="TDN",I618="TNO2-3",I618="NO2-3")),VLOOKUP(E618,QCUREA_N,2,),IF(H618="PER",VLOOKUP(I618,QCPER,MATCH(E618,QCACTUAL!$J$25:$AA$25,0),),IF(H618="SPK",VLOOKUP(I618,QCSPK,3,),IF(AND(H618="ATP",OR(I618="TP",I618="TDP")),VLOOKUP(E618,QCATP_P,2,),""))))))))</f>
        <v>1000</v>
      </c>
      <c r="W618" s="31" t="str">
        <f t="shared" si="65"/>
        <v>TRUE</v>
      </c>
      <c r="X618" s="31" t="str">
        <f t="shared" si="66"/>
        <v>[rec]/[actual]*100</v>
      </c>
      <c r="Y618" s="10" t="s">
        <v>1004</v>
      </c>
      <c r="AF618" s="12">
        <v>44937</v>
      </c>
      <c r="AJ618" s="10">
        <f>2.4015*4.93^2+187.16*4.93-68.555</f>
        <v>912.51201734999995</v>
      </c>
      <c r="AK618" s="10">
        <f>0.155*4.93^2+210.99*4.93-92.045</f>
        <v>951.90295949999984</v>
      </c>
      <c r="AL618" s="10" t="str">
        <f t="shared" si="68"/>
        <v>FALSE</v>
      </c>
      <c r="AM618" s="10" t="str">
        <f t="shared" si="68"/>
        <v>FALSE</v>
      </c>
      <c r="AN618" s="10" t="str">
        <f t="shared" si="68"/>
        <v>FALSE</v>
      </c>
      <c r="AO618" s="10" t="str">
        <f t="shared" si="69"/>
        <v>y=2.4015*4.93^2+187.16*4.93-68.555</v>
      </c>
      <c r="AP618" s="10" t="str">
        <f t="shared" si="69"/>
        <v>y=0.155*4.93^2+210.99*4.93-92.045</v>
      </c>
      <c r="AQ618" s="10" t="b">
        <f>IF(AND(I618="TP",S618&lt;=150),VLOOKUP(AF618,TPCalibEq150!$AZ$2:$BB$55,3,),IF(AND(I618="TDP",S618&lt;=150),VLOOKUP(AF618,TPCalibEq150!$AZ$2:$BB$55,3,)))</f>
        <v>0</v>
      </c>
      <c r="AR618" s="10" t="b">
        <f>IF(AND(I618="TP",S618&lt;=300),VLOOKUP(AF618,TPCalibEq300!$AZ$2:$BB$55,3,),IF(AND(I618="TDP",S618&lt;=300),VLOOKUP(AF618,TPCalibEq300!$AZ$2:$BB$55,3,)))</f>
        <v>0</v>
      </c>
      <c r="AS618" s="10" t="b">
        <f>IF(AND(I618="TP",S618&lt;=500),VLOOKUP(AF618,TPCalibEq500!$AZ$2:$BB$56,3,),IF(AND(I618="TDP",S618&lt;=500),VLOOKUP(AF618,TPCalibEq500!$AZ$2:$BB$56,3,)))</f>
        <v>0</v>
      </c>
      <c r="AT618" s="10" t="str">
        <f>IF(AND(I618="TN",S618&lt;=2800),VLOOKUP(AF618,TNCalibEq2500!$AZ$2:$BB$56,3,),IF(AND(I618="TDN",S618&lt;=2800),VLOOKUP(AF618,TNCalibEq2500!$AZ$2:$BB$56,3,)))</f>
        <v>y=2.4015x2+187.16x-68.555</v>
      </c>
      <c r="AU618" s="10" t="str">
        <f>IF(I618="TP",VLOOKUP(AF618,TPCalibEqFull!$AZ$2:$BB$56,3),IF(I618="TDP",VLOOKUP(AF618,TPCalibEqFull!$AZ$2:$BB$56,3),IF(I618="TDN",VLOOKUP(AF618,TNCalibEqFull!$AZ$1:$BB$56,3),IF(I618="TN",VLOOKUP(AF618,TNCalibEqFull!$AZ$1:$BB$56,3),FALSE))))</f>
        <v>y=0.155x2+210.99x-92.045</v>
      </c>
      <c r="AV618" s="10" t="str">
        <f t="shared" si="67"/>
        <v>1025 09:00:00-QAC-REC-A-1-DI-NIC</v>
      </c>
    </row>
    <row r="619" spans="1:48" s="10" customFormat="1" x14ac:dyDescent="0.55000000000000004">
      <c r="A619" s="32">
        <v>44937</v>
      </c>
      <c r="B619" s="33">
        <v>0.375</v>
      </c>
      <c r="C619" s="10" t="s">
        <v>70</v>
      </c>
      <c r="D619" s="10" t="s">
        <v>305</v>
      </c>
      <c r="E619" s="10" t="s">
        <v>901</v>
      </c>
      <c r="F619" s="10">
        <v>1</v>
      </c>
      <c r="G619" s="10" t="s">
        <v>73</v>
      </c>
      <c r="H619" s="10" t="s">
        <v>856</v>
      </c>
      <c r="I619" s="10" t="s">
        <v>235</v>
      </c>
      <c r="J619" s="10">
        <v>213</v>
      </c>
      <c r="K619" s="12">
        <v>44937</v>
      </c>
      <c r="L619" s="33">
        <v>0.58734953703703707</v>
      </c>
      <c r="M619" s="10">
        <v>1</v>
      </c>
      <c r="N619" s="10" t="s">
        <v>196</v>
      </c>
      <c r="O619" s="10">
        <v>24</v>
      </c>
      <c r="P619" s="10">
        <v>1.43</v>
      </c>
      <c r="Q619" s="10">
        <v>5050</v>
      </c>
      <c r="R619" s="10" t="s">
        <v>170</v>
      </c>
      <c r="S619" s="34">
        <f t="shared" si="63"/>
        <v>5060.9949999999999</v>
      </c>
      <c r="T619" s="10" t="s">
        <v>1011</v>
      </c>
      <c r="U619" s="34">
        <f t="shared" si="64"/>
        <v>101.21990000000001</v>
      </c>
      <c r="V619" s="31">
        <f>IF(H619="CHK",VLOOKUP(I619,QCCHK,3,),IF(H619="GUP",VLOOKUP(E619,QCGUP,2,),IF(AND(H619="ATP",OR(I619="TN",I619="TDN",I619="TNO2-3",I619="NO2-3")),VLOOKUP(E619,QCREC_N,2,),IF(AND(H619="NIC",OR(I619="TN",I619="TDN",I619="TNO2-3",I619="NO2-3")),VLOOKUP(E619,QCNIC_N,2,),IF(AND(H619="UREA",OR(I619="TN",I619="TDN",I619="TNO2-3",I619="NO2-3")),VLOOKUP(E619,QCUREA_N,2,),IF(H619="PER",VLOOKUP(I619,QCPER,MATCH(E619,QCACTUAL!$J$25:$AA$25,0),),IF(H619="SPK",VLOOKUP(I619,QCSPK,3,),IF(AND(H619="ATP",OR(I619="TP",I619="TDP")),VLOOKUP(E619,QCATP_P,2,),""))))))))</f>
        <v>5000</v>
      </c>
      <c r="W619" s="31" t="str">
        <f t="shared" si="65"/>
        <v>TRUE</v>
      </c>
      <c r="X619" s="31" t="str">
        <f t="shared" si="66"/>
        <v>[rec]/[actual]*100</v>
      </c>
      <c r="Y619" s="10" t="s">
        <v>1004</v>
      </c>
      <c r="AF619" s="12">
        <v>44937</v>
      </c>
      <c r="AK619" s="10">
        <f>0.155*24^2+210.99*24-92.045</f>
        <v>5060.9949999999999</v>
      </c>
      <c r="AL619" s="10" t="str">
        <f t="shared" si="68"/>
        <v>FALSE</v>
      </c>
      <c r="AM619" s="10" t="str">
        <f t="shared" si="68"/>
        <v>FALSE</v>
      </c>
      <c r="AN619" s="10" t="str">
        <f t="shared" si="68"/>
        <v>FALSE</v>
      </c>
      <c r="AO619" s="10" t="str">
        <f t="shared" si="69"/>
        <v>FALSE</v>
      </c>
      <c r="AP619" s="10" t="str">
        <f t="shared" si="69"/>
        <v>y=0.155*24^2+210.99*24-92.045</v>
      </c>
      <c r="AQ619" s="10" t="b">
        <f>IF(AND(I619="TP",S619&lt;=150),VLOOKUP(AF619,TPCalibEq150!$AZ$2:$BB$55,3,),IF(AND(I619="TDP",S619&lt;=150),VLOOKUP(AF619,TPCalibEq150!$AZ$2:$BB$55,3,)))</f>
        <v>0</v>
      </c>
      <c r="AR619" s="10" t="b">
        <f>IF(AND(I619="TP",S619&lt;=300),VLOOKUP(AF619,TPCalibEq300!$AZ$2:$BB$55,3,),IF(AND(I619="TDP",S619&lt;=300),VLOOKUP(AF619,TPCalibEq300!$AZ$2:$BB$55,3,)))</f>
        <v>0</v>
      </c>
      <c r="AS619" s="10" t="b">
        <f>IF(AND(I619="TP",S619&lt;=500),VLOOKUP(AF619,TPCalibEq500!$AZ$2:$BB$56,3,),IF(AND(I619="TDP",S619&lt;=500),VLOOKUP(AF619,TPCalibEq500!$AZ$2:$BB$56,3,)))</f>
        <v>0</v>
      </c>
      <c r="AT619" s="10" t="b">
        <f>IF(AND(I619="TN",S619&lt;=2800),VLOOKUP(AF619,TNCalibEq2500!$AZ$2:$BB$56,3,),IF(AND(I619="TDN",S619&lt;=2800),VLOOKUP(AF619,TNCalibEq2500!$AZ$2:$BB$56,3,)))</f>
        <v>0</v>
      </c>
      <c r="AU619" s="10" t="str">
        <f>IF(I619="TP",VLOOKUP(AF619,TPCalibEqFull!$AZ$2:$BB$56,3),IF(I619="TDP",VLOOKUP(AF619,TPCalibEqFull!$AZ$2:$BB$56,3),IF(I619="TDN",VLOOKUP(AF619,TNCalibEqFull!$AZ$1:$BB$56,3),IF(I619="TN",VLOOKUP(AF619,TNCalibEqFull!$AZ$1:$BB$56,3),FALSE))))</f>
        <v>y=0.155x2+210.99x-92.045</v>
      </c>
      <c r="AV619" s="10" t="str">
        <f t="shared" si="67"/>
        <v>0111 09:00:00-QAC-REC-D-1-DI-NIC</v>
      </c>
    </row>
    <row r="620" spans="1:48" s="10" customFormat="1" x14ac:dyDescent="0.55000000000000004">
      <c r="A620" s="32">
        <v>44859</v>
      </c>
      <c r="B620" s="33">
        <v>0.375</v>
      </c>
      <c r="C620" s="10" t="s">
        <v>70</v>
      </c>
      <c r="D620" s="10" t="s">
        <v>305</v>
      </c>
      <c r="E620" s="10" t="s">
        <v>901</v>
      </c>
      <c r="F620" s="10">
        <v>1</v>
      </c>
      <c r="G620" s="10" t="s">
        <v>73</v>
      </c>
      <c r="H620" s="10" t="s">
        <v>856</v>
      </c>
      <c r="I620" s="10" t="s">
        <v>235</v>
      </c>
      <c r="J620" s="10">
        <v>217</v>
      </c>
      <c r="K620" s="12">
        <v>44937</v>
      </c>
      <c r="L620" s="33">
        <v>0.58803240740740736</v>
      </c>
      <c r="M620" s="10">
        <v>1</v>
      </c>
      <c r="N620" s="10" t="s">
        <v>196</v>
      </c>
      <c r="O620" s="10">
        <v>21.8</v>
      </c>
      <c r="P620" s="10">
        <v>1.31</v>
      </c>
      <c r="Q620" s="10">
        <v>4580</v>
      </c>
      <c r="R620" s="10" t="s">
        <v>170</v>
      </c>
      <c r="S620" s="34">
        <f t="shared" si="63"/>
        <v>4581.1992</v>
      </c>
      <c r="T620" s="10" t="s">
        <v>1011</v>
      </c>
      <c r="U620" s="34">
        <f t="shared" si="64"/>
        <v>91.623984000000007</v>
      </c>
      <c r="V620" s="31">
        <f>IF(H620="CHK",VLOOKUP(I620,QCCHK,3,),IF(H620="GUP",VLOOKUP(E620,QCGUP,2,),IF(AND(H620="ATP",OR(I620="TN",I620="TDN",I620="TNO2-3",I620="NO2-3")),VLOOKUP(E620,QCREC_N,2,),IF(AND(H620="NIC",OR(I620="TN",I620="TDN",I620="TNO2-3",I620="NO2-3")),VLOOKUP(E620,QCNIC_N,2,),IF(AND(H620="UREA",OR(I620="TN",I620="TDN",I620="TNO2-3",I620="NO2-3")),VLOOKUP(E620,QCUREA_N,2,),IF(H620="PER",VLOOKUP(I620,QCPER,MATCH(E620,QCACTUAL!$J$25:$AA$25,0),),IF(H620="SPK",VLOOKUP(I620,QCSPK,3,),IF(AND(H620="ATP",OR(I620="TP",I620="TDP")),VLOOKUP(E620,QCATP_P,2,),""))))))))</f>
        <v>5000</v>
      </c>
      <c r="W620" s="31" t="str">
        <f t="shared" si="65"/>
        <v>TRUE</v>
      </c>
      <c r="X620" s="31" t="str">
        <f t="shared" si="66"/>
        <v>[rec]/[actual]*100</v>
      </c>
      <c r="Y620" s="10" t="s">
        <v>1004</v>
      </c>
      <c r="AF620" s="12">
        <v>44937</v>
      </c>
      <c r="AK620" s="10">
        <f>0.155*21.8^2+210.99*21.8-92.045</f>
        <v>4581.1992</v>
      </c>
      <c r="AL620" s="10" t="str">
        <f t="shared" si="68"/>
        <v>FALSE</v>
      </c>
      <c r="AM620" s="10" t="str">
        <f t="shared" si="68"/>
        <v>FALSE</v>
      </c>
      <c r="AN620" s="10" t="str">
        <f t="shared" si="68"/>
        <v>FALSE</v>
      </c>
      <c r="AO620" s="10" t="str">
        <f t="shared" si="69"/>
        <v>FALSE</v>
      </c>
      <c r="AP620" s="10" t="str">
        <f t="shared" si="69"/>
        <v>y=0.155*21.8^2+210.99*21.8-92.045</v>
      </c>
      <c r="AQ620" s="10" t="b">
        <f>IF(AND(I620="TP",S620&lt;=150),VLOOKUP(AF620,TPCalibEq150!$AZ$2:$BB$55,3,),IF(AND(I620="TDP",S620&lt;=150),VLOOKUP(AF620,TPCalibEq150!$AZ$2:$BB$55,3,)))</f>
        <v>0</v>
      </c>
      <c r="AR620" s="10" t="b">
        <f>IF(AND(I620="TP",S620&lt;=300),VLOOKUP(AF620,TPCalibEq300!$AZ$2:$BB$55,3,),IF(AND(I620="TDP",S620&lt;=300),VLOOKUP(AF620,TPCalibEq300!$AZ$2:$BB$55,3,)))</f>
        <v>0</v>
      </c>
      <c r="AS620" s="10" t="b">
        <f>IF(AND(I620="TP",S620&lt;=500),VLOOKUP(AF620,TPCalibEq500!$AZ$2:$BB$56,3,),IF(AND(I620="TDP",S620&lt;=500),VLOOKUP(AF620,TPCalibEq500!$AZ$2:$BB$56,3,)))</f>
        <v>0</v>
      </c>
      <c r="AT620" s="10" t="b">
        <f>IF(AND(I620="TN",S620&lt;=2800),VLOOKUP(AF620,TNCalibEq2500!$AZ$2:$BB$56,3,),IF(AND(I620="TDN",S620&lt;=2800),VLOOKUP(AF620,TNCalibEq2500!$AZ$2:$BB$56,3,)))</f>
        <v>0</v>
      </c>
      <c r="AU620" s="10" t="str">
        <f>IF(I620="TP",VLOOKUP(AF620,TPCalibEqFull!$AZ$2:$BB$56,3),IF(I620="TDP",VLOOKUP(AF620,TPCalibEqFull!$AZ$2:$BB$56,3),IF(I620="TDN",VLOOKUP(AF620,TNCalibEqFull!$AZ$1:$BB$56,3),IF(I620="TN",VLOOKUP(AF620,TNCalibEqFull!$AZ$1:$BB$56,3),FALSE))))</f>
        <v>y=0.155x2+210.99x-92.045</v>
      </c>
      <c r="AV620" s="10" t="str">
        <f t="shared" si="67"/>
        <v>1025 09:00:00-QAC-REC-D-1-DI-NIC</v>
      </c>
    </row>
    <row r="621" spans="1:48" s="10" customFormat="1" x14ac:dyDescent="0.55000000000000004">
      <c r="A621" s="32">
        <v>44935</v>
      </c>
      <c r="B621" s="33">
        <v>0.25</v>
      </c>
      <c r="C621" s="10" t="s">
        <v>70</v>
      </c>
      <c r="D621" s="10" t="s">
        <v>241</v>
      </c>
      <c r="E621" s="10" t="s">
        <v>866</v>
      </c>
      <c r="F621" s="10">
        <v>1</v>
      </c>
      <c r="G621" s="10" t="s">
        <v>73</v>
      </c>
      <c r="H621" s="10" t="s">
        <v>264</v>
      </c>
      <c r="I621" s="10" t="s">
        <v>235</v>
      </c>
      <c r="J621" s="10">
        <v>33</v>
      </c>
      <c r="K621" s="12">
        <v>44937</v>
      </c>
      <c r="L621" s="33">
        <v>0.58936342592592594</v>
      </c>
      <c r="M621" s="10">
        <v>1</v>
      </c>
      <c r="N621" s="10" t="s">
        <v>196</v>
      </c>
      <c r="O621" s="10">
        <v>7.42</v>
      </c>
      <c r="P621" s="10">
        <v>0.44600000000000001</v>
      </c>
      <c r="Q621" s="10">
        <v>1490</v>
      </c>
      <c r="R621" s="10" t="s">
        <v>170</v>
      </c>
      <c r="S621" s="34">
        <f t="shared" si="63"/>
        <v>1490</v>
      </c>
      <c r="T621" s="10" t="s">
        <v>1011</v>
      </c>
      <c r="U621" s="34">
        <f t="shared" si="64"/>
        <v>1490</v>
      </c>
      <c r="V621" s="31" t="str">
        <f>IF(H621="CHK",VLOOKUP(I621,QCCHK,3,),IF(H621="GUP",VLOOKUP(E621,QCGUP,2,),IF(AND(H621="ATP",OR(I621="TN",I621="TDN",I621="TNO2-3",I621="NO2-3")),VLOOKUP(E621,QCREC_N,2,),IF(AND(H621="NIC",OR(I621="TN",I621="TDN",I621="TNO2-3",I621="NO2-3")),VLOOKUP(E621,QCNIC_N,2,),IF(AND(H621="UREA",OR(I621="TN",I621="TDN",I621="TNO2-3",I621="NO2-3")),VLOOKUP(E621,QCUREA_N,2,),IF(H621="PER",VLOOKUP(I621,QCPER,MATCH(E621,QCACTUAL!$J$25:$AA$25,0),),IF(H621="SPK",VLOOKUP(I621,QCSPK,3,),IF(AND(H621="ATP",OR(I621="TP",I621="TDP")),VLOOKUP(E621,QCATP_P,2,),""))))))))</f>
        <v/>
      </c>
      <c r="W621" s="31" t="str">
        <f t="shared" si="65"/>
        <v>FALSE</v>
      </c>
      <c r="X621" s="31" t="str">
        <f t="shared" si="66"/>
        <v>nominal concentration</v>
      </c>
      <c r="Y621" s="10" t="s">
        <v>1004</v>
      </c>
      <c r="Z621" s="10" t="s">
        <v>910</v>
      </c>
      <c r="AF621" s="12">
        <v>44937</v>
      </c>
      <c r="AJ621" s="10">
        <f>2.4015*7.42^2+187.16*7.42-68.555</f>
        <v>1452.3901446</v>
      </c>
      <c r="AK621" s="10">
        <f>0.155*7.42^2+210.99*7.42-92.045</f>
        <v>1482.0345420000001</v>
      </c>
      <c r="AL621" s="10" t="str">
        <f t="shared" si="68"/>
        <v>FALSE</v>
      </c>
      <c r="AM621" s="10" t="str">
        <f t="shared" si="68"/>
        <v>FALSE</v>
      </c>
      <c r="AN621" s="10" t="str">
        <f t="shared" si="68"/>
        <v>FALSE</v>
      </c>
      <c r="AO621" s="10" t="str">
        <f t="shared" si="69"/>
        <v>y=2.4015*7.42^2+187.16*7.42-68.555</v>
      </c>
      <c r="AP621" s="10" t="str">
        <f t="shared" si="69"/>
        <v>y=0.155*7.42^2+210.99*7.42-92.045</v>
      </c>
      <c r="AQ621" s="10" t="b">
        <f>IF(AND(I621="TP",S621&lt;=150),VLOOKUP(AF621,TPCalibEq150!$AZ$2:$BB$55,3,),IF(AND(I621="TDP",S621&lt;=150),VLOOKUP(AF621,TPCalibEq150!$AZ$2:$BB$55,3,)))</f>
        <v>0</v>
      </c>
      <c r="AR621" s="10" t="b">
        <f>IF(AND(I621="TP",S621&lt;=300),VLOOKUP(AF621,TPCalibEq300!$AZ$2:$BB$55,3,),IF(AND(I621="TDP",S621&lt;=300),VLOOKUP(AF621,TPCalibEq300!$AZ$2:$BB$55,3,)))</f>
        <v>0</v>
      </c>
      <c r="AS621" s="10" t="b">
        <f>IF(AND(I621="TP",S621&lt;=500),VLOOKUP(AF621,TPCalibEq500!$AZ$2:$BB$56,3,),IF(AND(I621="TDP",S621&lt;=500),VLOOKUP(AF621,TPCalibEq500!$AZ$2:$BB$56,3,)))</f>
        <v>0</v>
      </c>
      <c r="AT621" s="10" t="str">
        <f>IF(AND(I621="TN",S621&lt;=2800),VLOOKUP(AF621,TNCalibEq2500!$AZ$2:$BB$56,3,),IF(AND(I621="TDN",S621&lt;=2800),VLOOKUP(AF621,TNCalibEq2500!$AZ$2:$BB$56,3,)))</f>
        <v>y=2.4015x2+187.16x-68.555</v>
      </c>
      <c r="AU621" s="10" t="str">
        <f>IF(I621="TP",VLOOKUP(AF621,TPCalibEqFull!$AZ$2:$BB$56,3),IF(I621="TDP",VLOOKUP(AF621,TPCalibEqFull!$AZ$2:$BB$56,3),IF(I621="TDN",VLOOKUP(AF621,TNCalibEqFull!$AZ$1:$BB$56,3),IF(I621="TN",VLOOKUP(AF621,TNCalibEqFull!$AZ$1:$BB$56,3),FALSE))))</f>
        <v>y=0.155x2+210.99x-92.045</v>
      </c>
      <c r="AV621" s="10" t="str">
        <f t="shared" si="67"/>
        <v>0109 06:00:00-QAC-BLK-A-1-DI-FLD</v>
      </c>
    </row>
    <row r="622" spans="1:48" s="10" customFormat="1" x14ac:dyDescent="0.55000000000000004">
      <c r="A622" s="32">
        <v>44936</v>
      </c>
      <c r="B622" s="33">
        <v>0.36458333333333331</v>
      </c>
      <c r="C622" s="10" t="s">
        <v>70</v>
      </c>
      <c r="D622" s="10" t="s">
        <v>241</v>
      </c>
      <c r="E622" s="10" t="s">
        <v>866</v>
      </c>
      <c r="F622" s="10">
        <v>1</v>
      </c>
      <c r="G622" s="10" t="s">
        <v>73</v>
      </c>
      <c r="H622" s="10" t="s">
        <v>245</v>
      </c>
      <c r="I622" s="10" t="s">
        <v>235</v>
      </c>
      <c r="J622" s="10">
        <v>34</v>
      </c>
      <c r="K622" s="12">
        <v>44937</v>
      </c>
      <c r="L622" s="33">
        <v>0.5900347222222222</v>
      </c>
      <c r="M622" s="10">
        <v>1</v>
      </c>
      <c r="N622" s="10" t="s">
        <v>196</v>
      </c>
      <c r="O622" s="10">
        <v>7.59</v>
      </c>
      <c r="P622" s="10">
        <v>0.45700000000000002</v>
      </c>
      <c r="Q622" s="10">
        <v>1530</v>
      </c>
      <c r="R622" s="10" t="s">
        <v>170</v>
      </c>
      <c r="S622" s="34">
        <f t="shared" si="63"/>
        <v>1530</v>
      </c>
      <c r="T622" s="10" t="s">
        <v>1011</v>
      </c>
      <c r="U622" s="34">
        <f t="shared" si="64"/>
        <v>1530</v>
      </c>
      <c r="V622" s="31" t="str">
        <f>IF(H622="CHK",VLOOKUP(I622,QCCHK,3,),IF(H622="GUP",VLOOKUP(E622,QCGUP,2,),IF(AND(H622="ATP",OR(I622="TN",I622="TDN",I622="TNO2-3",I622="NO2-3")),VLOOKUP(E622,QCREC_N,2,),IF(AND(H622="NIC",OR(I622="TN",I622="TDN",I622="TNO2-3",I622="NO2-3")),VLOOKUP(E622,QCNIC_N,2,),IF(AND(H622="UREA",OR(I622="TN",I622="TDN",I622="TNO2-3",I622="NO2-3")),VLOOKUP(E622,QCUREA_N,2,),IF(H622="PER",VLOOKUP(I622,QCPER,MATCH(E622,QCACTUAL!$J$25:$AA$25,0),),IF(H622="SPK",VLOOKUP(I622,QCSPK,3,),IF(AND(H622="ATP",OR(I622="TP",I622="TDP")),VLOOKUP(E622,QCATP_P,2,),""))))))))</f>
        <v/>
      </c>
      <c r="W622" s="31" t="str">
        <f t="shared" si="65"/>
        <v>FALSE</v>
      </c>
      <c r="X622" s="31" t="str">
        <f t="shared" si="66"/>
        <v>nominal concentration</v>
      </c>
      <c r="Y622" s="10" t="s">
        <v>1004</v>
      </c>
      <c r="AF622" s="12">
        <v>44937</v>
      </c>
      <c r="AJ622" s="10">
        <f>2.4015*7.59^2+187.16*7.59-68.555</f>
        <v>1490.3352521499999</v>
      </c>
      <c r="AK622" s="10">
        <f>0.155*7.59^2+210.99*7.59-92.045</f>
        <v>1518.2983554999998</v>
      </c>
      <c r="AL622" s="10" t="str">
        <f t="shared" si="68"/>
        <v>FALSE</v>
      </c>
      <c r="AM622" s="10" t="str">
        <f t="shared" si="68"/>
        <v>FALSE</v>
      </c>
      <c r="AN622" s="10" t="str">
        <f t="shared" si="68"/>
        <v>FALSE</v>
      </c>
      <c r="AO622" s="10" t="str">
        <f t="shared" si="69"/>
        <v>y=2.4015*7.59^2+187.16*7.59-68.555</v>
      </c>
      <c r="AP622" s="10" t="str">
        <f t="shared" si="69"/>
        <v>y=0.155*7.59^2+210.99*7.59-92.045</v>
      </c>
      <c r="AQ622" s="10" t="b">
        <f>IF(AND(I622="TP",S622&lt;=150),VLOOKUP(AF622,TPCalibEq150!$AZ$2:$BB$55,3,),IF(AND(I622="TDP",S622&lt;=150),VLOOKUP(AF622,TPCalibEq150!$AZ$2:$BB$55,3,)))</f>
        <v>0</v>
      </c>
      <c r="AR622" s="10" t="b">
        <f>IF(AND(I622="TP",S622&lt;=300),VLOOKUP(AF622,TPCalibEq300!$AZ$2:$BB$55,3,),IF(AND(I622="TDP",S622&lt;=300),VLOOKUP(AF622,TPCalibEq300!$AZ$2:$BB$55,3,)))</f>
        <v>0</v>
      </c>
      <c r="AS622" s="10" t="b">
        <f>IF(AND(I622="TP",S622&lt;=500),VLOOKUP(AF622,TPCalibEq500!$AZ$2:$BB$56,3,),IF(AND(I622="TDP",S622&lt;=500),VLOOKUP(AF622,TPCalibEq500!$AZ$2:$BB$56,3,)))</f>
        <v>0</v>
      </c>
      <c r="AT622" s="10" t="str">
        <f>IF(AND(I622="TN",S622&lt;=2800),VLOOKUP(AF622,TNCalibEq2500!$AZ$2:$BB$56,3,),IF(AND(I622="TDN",S622&lt;=2800),VLOOKUP(AF622,TNCalibEq2500!$AZ$2:$BB$56,3,)))</f>
        <v>y=2.4015x2+187.16x-68.555</v>
      </c>
      <c r="AU622" s="10" t="str">
        <f>IF(I622="TP",VLOOKUP(AF622,TPCalibEqFull!$AZ$2:$BB$56,3),IF(I622="TDP",VLOOKUP(AF622,TPCalibEqFull!$AZ$2:$BB$56,3),IF(I622="TDN",VLOOKUP(AF622,TNCalibEqFull!$AZ$1:$BB$56,3),IF(I622="TN",VLOOKUP(AF622,TNCalibEqFull!$AZ$1:$BB$56,3),FALSE))))</f>
        <v>y=0.155x2+210.99x-92.045</v>
      </c>
      <c r="AV622" s="10" t="str">
        <f t="shared" si="67"/>
        <v>0110 08:45:00-QAC-BLK-A-1-DI-ESF</v>
      </c>
    </row>
    <row r="623" spans="1:48" s="10" customFormat="1" x14ac:dyDescent="0.55000000000000004">
      <c r="A623" s="32">
        <v>44935</v>
      </c>
      <c r="B623" s="33">
        <v>0.25</v>
      </c>
      <c r="C623" s="10" t="s">
        <v>70</v>
      </c>
      <c r="D623" s="10" t="s">
        <v>241</v>
      </c>
      <c r="E623" s="10" t="s">
        <v>911</v>
      </c>
      <c r="F623" s="10">
        <v>1</v>
      </c>
      <c r="G623" s="10" t="s">
        <v>73</v>
      </c>
      <c r="H623" s="10" t="s">
        <v>264</v>
      </c>
      <c r="I623" s="10" t="s">
        <v>224</v>
      </c>
      <c r="J623" s="10">
        <v>35</v>
      </c>
      <c r="K623" s="12">
        <v>44937</v>
      </c>
      <c r="L623" s="33">
        <v>0.59070601851851856</v>
      </c>
      <c r="M623" s="10">
        <v>1</v>
      </c>
      <c r="N623" s="10" t="s">
        <v>196</v>
      </c>
      <c r="O623" s="10">
        <v>7.67</v>
      </c>
      <c r="P623" s="10">
        <v>0.46200000000000002</v>
      </c>
      <c r="Q623" s="10">
        <v>1550</v>
      </c>
      <c r="R623" s="10" t="s">
        <v>170</v>
      </c>
      <c r="S623" s="34">
        <f t="shared" si="63"/>
        <v>1550</v>
      </c>
      <c r="T623" s="10" t="s">
        <v>1011</v>
      </c>
      <c r="U623" s="34">
        <f t="shared" si="64"/>
        <v>1550</v>
      </c>
      <c r="V623" s="31" t="str">
        <f>IF(H623="CHK",VLOOKUP(I623,QCCHK,3,),IF(H623="GUP",VLOOKUP(E623,QCGUP,2,),IF(AND(H623="ATP",OR(I623="TN",I623="TDN",I623="TNO2-3",I623="NO2-3")),VLOOKUP(E623,QCREC_N,2,),IF(AND(H623="NIC",OR(I623="TN",I623="TDN",I623="TNO2-3",I623="NO2-3")),VLOOKUP(E623,QCNIC_N,2,),IF(AND(H623="UREA",OR(I623="TN",I623="TDN",I623="TNO2-3",I623="NO2-3")),VLOOKUP(E623,QCUREA_N,2,),IF(H623="PER",VLOOKUP(I623,QCPER,MATCH(E623,QCACTUAL!$J$25:$AA$25,0),),IF(H623="SPK",VLOOKUP(I623,QCSPK,3,),IF(AND(H623="ATP",OR(I623="TP",I623="TDP")),VLOOKUP(E623,QCATP_P,2,),""))))))))</f>
        <v/>
      </c>
      <c r="W623" s="31" t="str">
        <f t="shared" si="65"/>
        <v>FALSE</v>
      </c>
      <c r="X623" s="31" t="str">
        <f t="shared" si="66"/>
        <v>nominal concentration</v>
      </c>
      <c r="Y623" s="10" t="s">
        <v>1004</v>
      </c>
      <c r="Z623" s="10" t="s">
        <v>910</v>
      </c>
      <c r="AF623" s="12">
        <v>44937</v>
      </c>
      <c r="AJ623" s="10">
        <f>2.4015*7.67^2+187.16*7.67-68.555</f>
        <v>1508.2398033499999</v>
      </c>
      <c r="AK623" s="10">
        <f>0.155*7.67^2+210.99*7.67-92.045</f>
        <v>1535.3667794999999</v>
      </c>
      <c r="AL623" s="10" t="str">
        <f t="shared" si="68"/>
        <v>FALSE</v>
      </c>
      <c r="AM623" s="10" t="str">
        <f t="shared" si="68"/>
        <v>FALSE</v>
      </c>
      <c r="AN623" s="10" t="str">
        <f t="shared" si="68"/>
        <v>FALSE</v>
      </c>
      <c r="AO623" s="10" t="str">
        <f t="shared" si="69"/>
        <v>y=2.4015*7.67^2+187.16*7.67-68.555</v>
      </c>
      <c r="AP623" s="10" t="str">
        <f t="shared" si="69"/>
        <v>y=0.155*7.67^2+210.99*7.67-92.045</v>
      </c>
      <c r="AQ623" s="10" t="b">
        <f>IF(AND(I623="TP",S623&lt;=150),VLOOKUP(AF623,TPCalibEq150!$AZ$2:$BB$55,3,),IF(AND(I623="TDP",S623&lt;=150),VLOOKUP(AF623,TPCalibEq150!$AZ$2:$BB$55,3,)))</f>
        <v>0</v>
      </c>
      <c r="AR623" s="10" t="b">
        <f>IF(AND(I623="TP",S623&lt;=300),VLOOKUP(AF623,TPCalibEq300!$AZ$2:$BB$55,3,),IF(AND(I623="TDP",S623&lt;=300),VLOOKUP(AF623,TPCalibEq300!$AZ$2:$BB$55,3,)))</f>
        <v>0</v>
      </c>
      <c r="AS623" s="10" t="b">
        <f>IF(AND(I623="TP",S623&lt;=500),VLOOKUP(AF623,TPCalibEq500!$AZ$2:$BB$56,3,),IF(AND(I623="TDP",S623&lt;=500),VLOOKUP(AF623,TPCalibEq500!$AZ$2:$BB$56,3,)))</f>
        <v>0</v>
      </c>
      <c r="AT623" s="10" t="str">
        <f>IF(AND(I623="TN",S623&lt;=2800),VLOOKUP(AF623,TNCalibEq2500!$AZ$2:$BB$56,3,),IF(AND(I623="TDN",S623&lt;=2800),VLOOKUP(AF623,TNCalibEq2500!$AZ$2:$BB$56,3,)))</f>
        <v>y=2.4015x2+187.16x-68.555</v>
      </c>
      <c r="AU623" s="10" t="str">
        <f>IF(I623="TP",VLOOKUP(AF623,TPCalibEqFull!$AZ$2:$BB$56,3),IF(I623="TDP",VLOOKUP(AF623,TPCalibEqFull!$AZ$2:$BB$56,3),IF(I623="TDN",VLOOKUP(AF623,TNCalibEqFull!$AZ$1:$BB$56,3),IF(I623="TN",VLOOKUP(AF623,TNCalibEqFull!$AZ$1:$BB$56,3),FALSE))))</f>
        <v>y=0.155x2+210.99x-92.045</v>
      </c>
      <c r="AV623" s="10" t="str">
        <f t="shared" si="67"/>
        <v>0109 06:00:00-QAC-BLK-FIL-1-DI-FLD</v>
      </c>
    </row>
    <row r="624" spans="1:48" s="10" customFormat="1" x14ac:dyDescent="0.55000000000000004">
      <c r="A624" s="32">
        <v>44936</v>
      </c>
      <c r="B624" s="33">
        <v>0.36458333333333331</v>
      </c>
      <c r="C624" s="10" t="s">
        <v>70</v>
      </c>
      <c r="D624" s="10" t="s">
        <v>241</v>
      </c>
      <c r="E624" s="10" t="s">
        <v>911</v>
      </c>
      <c r="F624" s="10">
        <v>1</v>
      </c>
      <c r="G624" s="10" t="s">
        <v>73</v>
      </c>
      <c r="H624" s="10" t="s">
        <v>245</v>
      </c>
      <c r="I624" s="10" t="s">
        <v>224</v>
      </c>
      <c r="J624" s="10">
        <v>36</v>
      </c>
      <c r="K624" s="12">
        <v>44937</v>
      </c>
      <c r="L624" s="33">
        <v>0.59136574074074078</v>
      </c>
      <c r="M624" s="10">
        <v>1</v>
      </c>
      <c r="N624" s="10" t="s">
        <v>196</v>
      </c>
      <c r="O624" s="10">
        <v>6.04</v>
      </c>
      <c r="P624" s="10">
        <v>0.36399999999999999</v>
      </c>
      <c r="Q624" s="10">
        <v>1200</v>
      </c>
      <c r="R624" s="10" t="s">
        <v>170</v>
      </c>
      <c r="S624" s="34">
        <f t="shared" si="63"/>
        <v>1200</v>
      </c>
      <c r="T624" s="10" t="s">
        <v>1011</v>
      </c>
      <c r="U624" s="34">
        <f t="shared" si="64"/>
        <v>1200</v>
      </c>
      <c r="V624" s="31" t="str">
        <f>IF(H624="CHK",VLOOKUP(I624,QCCHK,3,),IF(H624="GUP",VLOOKUP(E624,QCGUP,2,),IF(AND(H624="ATP",OR(I624="TN",I624="TDN",I624="TNO2-3",I624="NO2-3")),VLOOKUP(E624,QCREC_N,2,),IF(AND(H624="NIC",OR(I624="TN",I624="TDN",I624="TNO2-3",I624="NO2-3")),VLOOKUP(E624,QCNIC_N,2,),IF(AND(H624="UREA",OR(I624="TN",I624="TDN",I624="TNO2-3",I624="NO2-3")),VLOOKUP(E624,QCUREA_N,2,),IF(H624="PER",VLOOKUP(I624,QCPER,MATCH(E624,QCACTUAL!$J$25:$AA$25,0),),IF(H624="SPK",VLOOKUP(I624,QCSPK,3,),IF(AND(H624="ATP",OR(I624="TP",I624="TDP")),VLOOKUP(E624,QCATP_P,2,),""))))))))</f>
        <v/>
      </c>
      <c r="W624" s="31" t="str">
        <f t="shared" si="65"/>
        <v>FALSE</v>
      </c>
      <c r="X624" s="31" t="str">
        <f t="shared" si="66"/>
        <v>nominal concentration</v>
      </c>
      <c r="Y624" s="10" t="s">
        <v>1004</v>
      </c>
      <c r="AF624" s="12">
        <v>44937</v>
      </c>
      <c r="AJ624" s="10">
        <f>2.4015*6.04^2+187.16*6.04-68.555</f>
        <v>1149.5019623999999</v>
      </c>
      <c r="AK624" s="10">
        <f>0.155*6.04^2+210.99*6.04-92.045</f>
        <v>1187.9892479999999</v>
      </c>
      <c r="AL624" s="10" t="str">
        <f t="shared" si="68"/>
        <v>FALSE</v>
      </c>
      <c r="AM624" s="10" t="str">
        <f t="shared" si="68"/>
        <v>FALSE</v>
      </c>
      <c r="AN624" s="10" t="str">
        <f t="shared" si="68"/>
        <v>FALSE</v>
      </c>
      <c r="AO624" s="10" t="str">
        <f t="shared" si="69"/>
        <v>y=2.4015*6.04^2+187.16*6.04-68.555</v>
      </c>
      <c r="AP624" s="10" t="str">
        <f t="shared" si="69"/>
        <v>y=0.155*6.04^2+210.99*6.04-92.045</v>
      </c>
      <c r="AQ624" s="10" t="b">
        <f>IF(AND(I624="TP",S624&lt;=150),VLOOKUP(AF624,TPCalibEq150!$AZ$2:$BB$55,3,),IF(AND(I624="TDP",S624&lt;=150),VLOOKUP(AF624,TPCalibEq150!$AZ$2:$BB$55,3,)))</f>
        <v>0</v>
      </c>
      <c r="AR624" s="10" t="b">
        <f>IF(AND(I624="TP",S624&lt;=300),VLOOKUP(AF624,TPCalibEq300!$AZ$2:$BB$55,3,),IF(AND(I624="TDP",S624&lt;=300),VLOOKUP(AF624,TPCalibEq300!$AZ$2:$BB$55,3,)))</f>
        <v>0</v>
      </c>
      <c r="AS624" s="10" t="b">
        <f>IF(AND(I624="TP",S624&lt;=500),VLOOKUP(AF624,TPCalibEq500!$AZ$2:$BB$56,3,),IF(AND(I624="TDP",S624&lt;=500),VLOOKUP(AF624,TPCalibEq500!$AZ$2:$BB$56,3,)))</f>
        <v>0</v>
      </c>
      <c r="AT624" s="10" t="str">
        <f>IF(AND(I624="TN",S624&lt;=2800),VLOOKUP(AF624,TNCalibEq2500!$AZ$2:$BB$56,3,),IF(AND(I624="TDN",S624&lt;=2800),VLOOKUP(AF624,TNCalibEq2500!$AZ$2:$BB$56,3,)))</f>
        <v>y=2.4015x2+187.16x-68.555</v>
      </c>
      <c r="AU624" s="10" t="str">
        <f>IF(I624="TP",VLOOKUP(AF624,TPCalibEqFull!$AZ$2:$BB$56,3),IF(I624="TDP",VLOOKUP(AF624,TPCalibEqFull!$AZ$2:$BB$56,3),IF(I624="TDN",VLOOKUP(AF624,TNCalibEqFull!$AZ$1:$BB$56,3),IF(I624="TN",VLOOKUP(AF624,TNCalibEqFull!$AZ$1:$BB$56,3),FALSE))))</f>
        <v>y=0.155x2+210.99x-92.045</v>
      </c>
      <c r="AV624" s="10" t="str">
        <f t="shared" si="67"/>
        <v>0110 08:45:00-QAC-BLK-FIL-1-DI-ESF</v>
      </c>
    </row>
    <row r="625" spans="1:48" s="10" customFormat="1" x14ac:dyDescent="0.55000000000000004">
      <c r="A625" s="32">
        <v>44930</v>
      </c>
      <c r="B625" s="33">
        <v>0.22569444444444445</v>
      </c>
      <c r="C625" s="10" t="s">
        <v>279</v>
      </c>
      <c r="D625" s="10">
        <v>0</v>
      </c>
      <c r="E625" s="10" t="s">
        <v>160</v>
      </c>
      <c r="F625" s="10">
        <v>1</v>
      </c>
      <c r="G625" s="10" t="s">
        <v>231</v>
      </c>
      <c r="H625" s="10" t="s">
        <v>322</v>
      </c>
      <c r="I625" s="10" t="s">
        <v>235</v>
      </c>
      <c r="J625" s="10">
        <v>1</v>
      </c>
      <c r="K625" s="12">
        <v>44937</v>
      </c>
      <c r="L625" s="33">
        <v>0.59203703703703703</v>
      </c>
      <c r="M625" s="10">
        <v>1</v>
      </c>
      <c r="N625" s="10" t="s">
        <v>196</v>
      </c>
      <c r="O625" s="10">
        <v>7.97</v>
      </c>
      <c r="P625" s="10">
        <v>0.48099999999999998</v>
      </c>
      <c r="Q625" s="10">
        <v>1610</v>
      </c>
      <c r="R625" s="10" t="s">
        <v>170</v>
      </c>
      <c r="S625" s="34">
        <f t="shared" si="63"/>
        <v>1610</v>
      </c>
      <c r="T625" s="10" t="s">
        <v>1011</v>
      </c>
      <c r="U625" s="34" t="str">
        <f t="shared" si="64"/>
        <v/>
      </c>
      <c r="V625" s="31" t="str">
        <f>IF(H625="CHK",VLOOKUP(I625,QCCHK,3,),IF(H625="GUP",VLOOKUP(E625,QCGUP,2,),IF(AND(H625="ATP",OR(I625="TN",I625="TDN",I625="TNO2-3",I625="NO2-3")),VLOOKUP(E625,QCREC_N,2,),IF(AND(H625="NIC",OR(I625="TN",I625="TDN",I625="TNO2-3",I625="NO2-3")),VLOOKUP(E625,QCNIC_N,2,),IF(AND(H625="UREA",OR(I625="TN",I625="TDN",I625="TNO2-3",I625="NO2-3")),VLOOKUP(E625,QCUREA_N,2,),IF(H625="PER",VLOOKUP(I625,QCPER,MATCH(E625,QCACTUAL!$J$25:$AA$25,0),),IF(H625="SPK",VLOOKUP(I625,QCSPK,3,),IF(AND(H625="ATP",OR(I625="TP",I625="TDP")),VLOOKUP(E625,QCATP_P,2,),""))))))))</f>
        <v/>
      </c>
      <c r="W625" s="31" t="str">
        <f t="shared" si="65"/>
        <v>TRUE</v>
      </c>
      <c r="X625" s="31" t="str">
        <f t="shared" si="66"/>
        <v/>
      </c>
      <c r="Y625" s="10" t="s">
        <v>1004</v>
      </c>
      <c r="Z625" s="10" t="s">
        <v>910</v>
      </c>
      <c r="AF625" s="12">
        <v>44937</v>
      </c>
      <c r="AJ625" s="10">
        <f>2.4015*7.97^2+187.16*7.97-68.555</f>
        <v>1575.6556413499998</v>
      </c>
      <c r="AK625" s="10">
        <f>0.155*7.97^2+210.99*7.97-92.045</f>
        <v>1599.3910395</v>
      </c>
      <c r="AL625" s="10" t="str">
        <f t="shared" si="68"/>
        <v>FALSE</v>
      </c>
      <c r="AM625" s="10" t="str">
        <f t="shared" si="68"/>
        <v>FALSE</v>
      </c>
      <c r="AN625" s="10" t="str">
        <f t="shared" si="68"/>
        <v>FALSE</v>
      </c>
      <c r="AO625" s="10" t="str">
        <f t="shared" si="69"/>
        <v>y=2.4015*7.97^2+187.16*7.97-68.555</v>
      </c>
      <c r="AP625" s="10" t="str">
        <f t="shared" si="69"/>
        <v>y=0.155*7.97^2+210.99*7.97-92.045</v>
      </c>
      <c r="AQ625" s="10" t="b">
        <f>IF(AND(I625="TP",S625&lt;=150),VLOOKUP(AF625,TPCalibEq150!$AZ$2:$BB$55,3,),IF(AND(I625="TDP",S625&lt;=150),VLOOKUP(AF625,TPCalibEq150!$AZ$2:$BB$55,3,)))</f>
        <v>0</v>
      </c>
      <c r="AR625" s="10" t="b">
        <f>IF(AND(I625="TP",S625&lt;=300),VLOOKUP(AF625,TPCalibEq300!$AZ$2:$BB$55,3,),IF(AND(I625="TDP",S625&lt;=300),VLOOKUP(AF625,TPCalibEq300!$AZ$2:$BB$55,3,)))</f>
        <v>0</v>
      </c>
      <c r="AS625" s="10" t="b">
        <f>IF(AND(I625="TP",S625&lt;=500),VLOOKUP(AF625,TPCalibEq500!$AZ$2:$BB$56,3,),IF(AND(I625="TDP",S625&lt;=500),VLOOKUP(AF625,TPCalibEq500!$AZ$2:$BB$56,3,)))</f>
        <v>0</v>
      </c>
      <c r="AT625" s="10" t="str">
        <f>IF(AND(I625="TN",S625&lt;=2800),VLOOKUP(AF625,TNCalibEq2500!$AZ$2:$BB$56,3,),IF(AND(I625="TDN",S625&lt;=2800),VLOOKUP(AF625,TNCalibEq2500!$AZ$2:$BB$56,3,)))</f>
        <v>y=2.4015x2+187.16x-68.555</v>
      </c>
      <c r="AU625" s="10" t="str">
        <f>IF(I625="TP",VLOOKUP(AF625,TPCalibEqFull!$AZ$2:$BB$56,3),IF(I625="TDP",VLOOKUP(AF625,TPCalibEqFull!$AZ$2:$BB$56,3),IF(I625="TDN",VLOOKUP(AF625,TNCalibEqFull!$AZ$1:$BB$56,3),IF(I625="TN",VLOOKUP(AF625,TNCalibEqFull!$AZ$1:$BB$56,3),FALSE))))</f>
        <v>y=0.155x2+210.99x-92.045</v>
      </c>
      <c r="AV625" s="10" t="str">
        <f t="shared" si="67"/>
        <v>0104 05:25:00-EFK-0-L-1-SW-UKN</v>
      </c>
    </row>
    <row r="626" spans="1:48" s="10" customFormat="1" x14ac:dyDescent="0.55000000000000004">
      <c r="A626" s="32">
        <v>44930</v>
      </c>
      <c r="B626" s="33">
        <v>0.22916666666666666</v>
      </c>
      <c r="C626" s="10" t="s">
        <v>333</v>
      </c>
      <c r="D626" s="10">
        <v>0</v>
      </c>
      <c r="E626" s="10" t="s">
        <v>190</v>
      </c>
      <c r="F626" s="10">
        <v>1</v>
      </c>
      <c r="G626" s="10" t="s">
        <v>231</v>
      </c>
      <c r="H626" s="10" t="s">
        <v>322</v>
      </c>
      <c r="I626" s="10" t="s">
        <v>235</v>
      </c>
      <c r="J626" s="10">
        <v>2</v>
      </c>
      <c r="K626" s="12">
        <v>44937</v>
      </c>
      <c r="L626" s="33">
        <v>0.59270833333333328</v>
      </c>
      <c r="M626" s="10">
        <v>1</v>
      </c>
      <c r="N626" s="10" t="s">
        <v>196</v>
      </c>
      <c r="O626" s="10">
        <v>6.51</v>
      </c>
      <c r="P626" s="10">
        <v>0.39300000000000002</v>
      </c>
      <c r="Q626" s="10">
        <v>1300</v>
      </c>
      <c r="R626" s="10" t="s">
        <v>170</v>
      </c>
      <c r="S626" s="34">
        <f t="shared" si="63"/>
        <v>1300</v>
      </c>
      <c r="T626" s="10" t="s">
        <v>1011</v>
      </c>
      <c r="U626" s="34" t="str">
        <f t="shared" si="64"/>
        <v/>
      </c>
      <c r="V626" s="31" t="str">
        <f>IF(H626="CHK",VLOOKUP(I626,QCCHK,3,),IF(H626="GUP",VLOOKUP(E626,QCGUP,2,),IF(AND(H626="ATP",OR(I626="TN",I626="TDN",I626="TNO2-3",I626="NO2-3")),VLOOKUP(E626,QCREC_N,2,),IF(AND(H626="NIC",OR(I626="TN",I626="TDN",I626="TNO2-3",I626="NO2-3")),VLOOKUP(E626,QCNIC_N,2,),IF(AND(H626="UREA",OR(I626="TN",I626="TDN",I626="TNO2-3",I626="NO2-3")),VLOOKUP(E626,QCUREA_N,2,),IF(H626="PER",VLOOKUP(I626,QCPER,MATCH(E626,QCACTUAL!$J$25:$AA$25,0),),IF(H626="SPK",VLOOKUP(I626,QCSPK,3,),IF(AND(H626="ATP",OR(I626="TP",I626="TDP")),VLOOKUP(E626,QCATP_P,2,),""))))))))</f>
        <v/>
      </c>
      <c r="W626" s="31" t="str">
        <f t="shared" si="65"/>
        <v>TRUE</v>
      </c>
      <c r="X626" s="31" t="str">
        <f t="shared" si="66"/>
        <v/>
      </c>
      <c r="Y626" s="10" t="s">
        <v>1004</v>
      </c>
      <c r="Z626" s="10" t="s">
        <v>910</v>
      </c>
      <c r="AF626" s="12">
        <v>44937</v>
      </c>
      <c r="AJ626" s="10">
        <f>2.4015*6.51^2+187.16*6.51-68.555</f>
        <v>1251.6324101499999</v>
      </c>
      <c r="AK626" s="10">
        <f>0.155*6.51^2+210.99*6.51-92.045</f>
        <v>1288.0688155</v>
      </c>
      <c r="AL626" s="10" t="str">
        <f t="shared" si="68"/>
        <v>FALSE</v>
      </c>
      <c r="AM626" s="10" t="str">
        <f t="shared" si="68"/>
        <v>FALSE</v>
      </c>
      <c r="AN626" s="10" t="str">
        <f t="shared" si="68"/>
        <v>FALSE</v>
      </c>
      <c r="AO626" s="10" t="str">
        <f t="shared" si="69"/>
        <v>y=2.4015*6.51^2+187.16*6.51-68.555</v>
      </c>
      <c r="AP626" s="10" t="str">
        <f t="shared" si="69"/>
        <v>y=0.155*6.51^2+210.99*6.51-92.045</v>
      </c>
      <c r="AQ626" s="10" t="b">
        <f>IF(AND(I626="TP",S626&lt;=150),VLOOKUP(AF626,TPCalibEq150!$AZ$2:$BB$55,3,),IF(AND(I626="TDP",S626&lt;=150),VLOOKUP(AF626,TPCalibEq150!$AZ$2:$BB$55,3,)))</f>
        <v>0</v>
      </c>
      <c r="AR626" s="10" t="b">
        <f>IF(AND(I626="TP",S626&lt;=300),VLOOKUP(AF626,TPCalibEq300!$AZ$2:$BB$55,3,),IF(AND(I626="TDP",S626&lt;=300),VLOOKUP(AF626,TPCalibEq300!$AZ$2:$BB$55,3,)))</f>
        <v>0</v>
      </c>
      <c r="AS626" s="10" t="b">
        <f>IF(AND(I626="TP",S626&lt;=500),VLOOKUP(AF626,TPCalibEq500!$AZ$2:$BB$56,3,),IF(AND(I626="TDP",S626&lt;=500),VLOOKUP(AF626,TPCalibEq500!$AZ$2:$BB$56,3,)))</f>
        <v>0</v>
      </c>
      <c r="AT626" s="10" t="str">
        <f>IF(AND(I626="TN",S626&lt;=2800),VLOOKUP(AF626,TNCalibEq2500!$AZ$2:$BB$56,3,),IF(AND(I626="TDN",S626&lt;=2800),VLOOKUP(AF626,TNCalibEq2500!$AZ$2:$BB$56,3,)))</f>
        <v>y=2.4015x2+187.16x-68.555</v>
      </c>
      <c r="AU626" s="10" t="str">
        <f>IF(I626="TP",VLOOKUP(AF626,TPCalibEqFull!$AZ$2:$BB$56,3),IF(I626="TDP",VLOOKUP(AF626,TPCalibEqFull!$AZ$2:$BB$56,3),IF(I626="TDN",VLOOKUP(AF626,TNCalibEqFull!$AZ$1:$BB$56,3),IF(I626="TN",VLOOKUP(AF626,TNCalibEqFull!$AZ$1:$BB$56,3),FALSE))))</f>
        <v>y=0.155x2+210.99x-92.045</v>
      </c>
      <c r="AV626" s="10" t="str">
        <f t="shared" si="67"/>
        <v>0104 05:30:00-HST-0-C-1-SW-UKN</v>
      </c>
    </row>
    <row r="627" spans="1:48" s="10" customFormat="1" x14ac:dyDescent="0.55000000000000004">
      <c r="A627" s="32">
        <v>44931</v>
      </c>
      <c r="B627" s="33">
        <v>0.44513888888888892</v>
      </c>
      <c r="C627" s="10" t="s">
        <v>279</v>
      </c>
      <c r="D627" s="10">
        <v>0</v>
      </c>
      <c r="E627" s="10" t="s">
        <v>160</v>
      </c>
      <c r="F627" s="10">
        <v>1</v>
      </c>
      <c r="G627" s="10" t="s">
        <v>231</v>
      </c>
      <c r="H627" s="10" t="s">
        <v>322</v>
      </c>
      <c r="I627" s="10" t="s">
        <v>235</v>
      </c>
      <c r="J627" s="10">
        <v>3</v>
      </c>
      <c r="K627" s="12">
        <v>44937</v>
      </c>
      <c r="L627" s="33">
        <v>0.59339120370370368</v>
      </c>
      <c r="M627" s="10">
        <v>1</v>
      </c>
      <c r="N627" s="10" t="s">
        <v>196</v>
      </c>
      <c r="O627" s="10">
        <v>5.0599999999999996</v>
      </c>
      <c r="P627" s="10">
        <v>0.30499999999999999</v>
      </c>
      <c r="Q627" s="10">
        <v>985</v>
      </c>
      <c r="R627" s="10" t="s">
        <v>170</v>
      </c>
      <c r="S627" s="34">
        <f t="shared" si="63"/>
        <v>985</v>
      </c>
      <c r="T627" s="10" t="s">
        <v>1011</v>
      </c>
      <c r="U627" s="34" t="str">
        <f t="shared" si="64"/>
        <v/>
      </c>
      <c r="V627" s="31" t="str">
        <f>IF(H627="CHK",VLOOKUP(I627,QCCHK,3,),IF(H627="GUP",VLOOKUP(E627,QCGUP,2,),IF(AND(H627="ATP",OR(I627="TN",I627="TDN",I627="TNO2-3",I627="NO2-3")),VLOOKUP(E627,QCREC_N,2,),IF(AND(H627="NIC",OR(I627="TN",I627="TDN",I627="TNO2-3",I627="NO2-3")),VLOOKUP(E627,QCNIC_N,2,),IF(AND(H627="UREA",OR(I627="TN",I627="TDN",I627="TNO2-3",I627="NO2-3")),VLOOKUP(E627,QCUREA_N,2,),IF(H627="PER",VLOOKUP(I627,QCPER,MATCH(E627,QCACTUAL!$J$25:$AA$25,0),),IF(H627="SPK",VLOOKUP(I627,QCSPK,3,),IF(AND(H627="ATP",OR(I627="TP",I627="TDP")),VLOOKUP(E627,QCATP_P,2,),""))))))))</f>
        <v/>
      </c>
      <c r="W627" s="31" t="str">
        <f t="shared" si="65"/>
        <v>TRUE</v>
      </c>
      <c r="X627" s="31" t="str">
        <f t="shared" si="66"/>
        <v/>
      </c>
      <c r="Y627" s="10" t="s">
        <v>1004</v>
      </c>
      <c r="Z627" s="10" t="s">
        <v>910</v>
      </c>
      <c r="AF627" s="12">
        <v>44937</v>
      </c>
      <c r="AJ627" s="10">
        <f>2.4015*5.06^2+187.16*5.06-68.555</f>
        <v>939.96164539999995</v>
      </c>
      <c r="AK627" s="10">
        <f>0.155*5.06^2+210.99*5.06-92.045</f>
        <v>979.53295800000012</v>
      </c>
      <c r="AL627" s="10" t="str">
        <f t="shared" si="68"/>
        <v>FALSE</v>
      </c>
      <c r="AM627" s="10" t="str">
        <f t="shared" si="68"/>
        <v>FALSE</v>
      </c>
      <c r="AN627" s="10" t="str">
        <f t="shared" si="68"/>
        <v>FALSE</v>
      </c>
      <c r="AO627" s="10" t="str">
        <f t="shared" si="69"/>
        <v>y=2.4015*5.06^2+187.16*5.06-68.555</v>
      </c>
      <c r="AP627" s="10" t="str">
        <f t="shared" si="69"/>
        <v>y=0.155*5.06^2+210.99*5.06-92.045</v>
      </c>
      <c r="AQ627" s="10" t="b">
        <f>IF(AND(I627="TP",S627&lt;=150),VLOOKUP(AF627,TPCalibEq150!$AZ$2:$BB$55,3,),IF(AND(I627="TDP",S627&lt;=150),VLOOKUP(AF627,TPCalibEq150!$AZ$2:$BB$55,3,)))</f>
        <v>0</v>
      </c>
      <c r="AR627" s="10" t="b">
        <f>IF(AND(I627="TP",S627&lt;=300),VLOOKUP(AF627,TPCalibEq300!$AZ$2:$BB$55,3,),IF(AND(I627="TDP",S627&lt;=300),VLOOKUP(AF627,TPCalibEq300!$AZ$2:$BB$55,3,)))</f>
        <v>0</v>
      </c>
      <c r="AS627" s="10" t="b">
        <f>IF(AND(I627="TP",S627&lt;=500),VLOOKUP(AF627,TPCalibEq500!$AZ$2:$BB$56,3,),IF(AND(I627="TDP",S627&lt;=500),VLOOKUP(AF627,TPCalibEq500!$AZ$2:$BB$56,3,)))</f>
        <v>0</v>
      </c>
      <c r="AT627" s="10" t="str">
        <f>IF(AND(I627="TN",S627&lt;=2800),VLOOKUP(AF627,TNCalibEq2500!$AZ$2:$BB$56,3,),IF(AND(I627="TDN",S627&lt;=2800),VLOOKUP(AF627,TNCalibEq2500!$AZ$2:$BB$56,3,)))</f>
        <v>y=2.4015x2+187.16x-68.555</v>
      </c>
      <c r="AU627" s="10" t="str">
        <f>IF(I627="TP",VLOOKUP(AF627,TPCalibEqFull!$AZ$2:$BB$56,3),IF(I627="TDP",VLOOKUP(AF627,TPCalibEqFull!$AZ$2:$BB$56,3),IF(I627="TDN",VLOOKUP(AF627,TNCalibEqFull!$AZ$1:$BB$56,3),IF(I627="TN",VLOOKUP(AF627,TNCalibEqFull!$AZ$1:$BB$56,3),FALSE))))</f>
        <v>y=0.155x2+210.99x-92.045</v>
      </c>
      <c r="AV627" s="10" t="str">
        <f t="shared" si="67"/>
        <v>0105 10:41:00-EFK-0-L-1-SW-UKN</v>
      </c>
    </row>
    <row r="628" spans="1:48" s="10" customFormat="1" x14ac:dyDescent="0.55000000000000004">
      <c r="A628" s="32">
        <v>44931</v>
      </c>
      <c r="B628" s="33">
        <v>0.45069444444444445</v>
      </c>
      <c r="C628" s="10" t="s">
        <v>333</v>
      </c>
      <c r="D628" s="10">
        <v>0</v>
      </c>
      <c r="E628" s="10" t="s">
        <v>190</v>
      </c>
      <c r="F628" s="10">
        <v>1</v>
      </c>
      <c r="G628" s="10" t="s">
        <v>231</v>
      </c>
      <c r="H628" s="10" t="s">
        <v>322</v>
      </c>
      <c r="I628" s="10" t="s">
        <v>235</v>
      </c>
      <c r="J628" s="10">
        <v>4</v>
      </c>
      <c r="K628" s="12">
        <v>44937</v>
      </c>
      <c r="L628" s="33">
        <v>0.59406250000000005</v>
      </c>
      <c r="M628" s="10">
        <v>1</v>
      </c>
      <c r="N628" s="10" t="s">
        <v>196</v>
      </c>
      <c r="O628" s="10">
        <v>6.61</v>
      </c>
      <c r="P628" s="10">
        <v>0.39800000000000002</v>
      </c>
      <c r="Q628" s="10">
        <v>1320</v>
      </c>
      <c r="R628" s="10" t="s">
        <v>170</v>
      </c>
      <c r="S628" s="34">
        <f t="shared" si="63"/>
        <v>1320</v>
      </c>
      <c r="T628" s="10" t="s">
        <v>1011</v>
      </c>
      <c r="U628" s="34" t="str">
        <f t="shared" si="64"/>
        <v/>
      </c>
      <c r="V628" s="31" t="str">
        <f>IF(H628="CHK",VLOOKUP(I628,QCCHK,3,),IF(H628="GUP",VLOOKUP(E628,QCGUP,2,),IF(AND(H628="ATP",OR(I628="TN",I628="TDN",I628="TNO2-3",I628="NO2-3")),VLOOKUP(E628,QCREC_N,2,),IF(AND(H628="NIC",OR(I628="TN",I628="TDN",I628="TNO2-3",I628="NO2-3")),VLOOKUP(E628,QCNIC_N,2,),IF(AND(H628="UREA",OR(I628="TN",I628="TDN",I628="TNO2-3",I628="NO2-3")),VLOOKUP(E628,QCUREA_N,2,),IF(H628="PER",VLOOKUP(I628,QCPER,MATCH(E628,QCACTUAL!$J$25:$AA$25,0),),IF(H628="SPK",VLOOKUP(I628,QCSPK,3,),IF(AND(H628="ATP",OR(I628="TP",I628="TDP")),VLOOKUP(E628,QCATP_P,2,),""))))))))</f>
        <v/>
      </c>
      <c r="W628" s="31" t="str">
        <f t="shared" si="65"/>
        <v>TRUE</v>
      </c>
      <c r="X628" s="31" t="str">
        <f t="shared" si="66"/>
        <v/>
      </c>
      <c r="Y628" s="10" t="s">
        <v>1004</v>
      </c>
      <c r="Z628" s="10" t="s">
        <v>910</v>
      </c>
      <c r="AF628" s="12">
        <v>44937</v>
      </c>
      <c r="AJ628" s="10">
        <f>2.4015*6.61^2+187.16*6.61-68.555</f>
        <v>1273.49917815</v>
      </c>
      <c r="AK628" s="10">
        <f>0.155*6.61^2+210.99*6.61-92.045</f>
        <v>1309.3711754999999</v>
      </c>
      <c r="AL628" s="10" t="str">
        <f t="shared" si="68"/>
        <v>FALSE</v>
      </c>
      <c r="AM628" s="10" t="str">
        <f t="shared" si="68"/>
        <v>FALSE</v>
      </c>
      <c r="AN628" s="10" t="str">
        <f t="shared" si="68"/>
        <v>FALSE</v>
      </c>
      <c r="AO628" s="10" t="str">
        <f t="shared" si="69"/>
        <v>y=2.4015*6.61^2+187.16*6.61-68.555</v>
      </c>
      <c r="AP628" s="10" t="str">
        <f t="shared" si="69"/>
        <v>y=0.155*6.61^2+210.99*6.61-92.045</v>
      </c>
      <c r="AQ628" s="10" t="b">
        <f>IF(AND(I628="TP",S628&lt;=150),VLOOKUP(AF628,TPCalibEq150!$AZ$2:$BB$55,3,),IF(AND(I628="TDP",S628&lt;=150),VLOOKUP(AF628,TPCalibEq150!$AZ$2:$BB$55,3,)))</f>
        <v>0</v>
      </c>
      <c r="AR628" s="10" t="b">
        <f>IF(AND(I628="TP",S628&lt;=300),VLOOKUP(AF628,TPCalibEq300!$AZ$2:$BB$55,3,),IF(AND(I628="TDP",S628&lt;=300),VLOOKUP(AF628,TPCalibEq300!$AZ$2:$BB$55,3,)))</f>
        <v>0</v>
      </c>
      <c r="AS628" s="10" t="b">
        <f>IF(AND(I628="TP",S628&lt;=500),VLOOKUP(AF628,TPCalibEq500!$AZ$2:$BB$56,3,),IF(AND(I628="TDP",S628&lt;=500),VLOOKUP(AF628,TPCalibEq500!$AZ$2:$BB$56,3,)))</f>
        <v>0</v>
      </c>
      <c r="AT628" s="10" t="str">
        <f>IF(AND(I628="TN",S628&lt;=2800),VLOOKUP(AF628,TNCalibEq2500!$AZ$2:$BB$56,3,),IF(AND(I628="TDN",S628&lt;=2800),VLOOKUP(AF628,TNCalibEq2500!$AZ$2:$BB$56,3,)))</f>
        <v>y=2.4015x2+187.16x-68.555</v>
      </c>
      <c r="AU628" s="10" t="str">
        <f>IF(I628="TP",VLOOKUP(AF628,TPCalibEqFull!$AZ$2:$BB$56,3),IF(I628="TDP",VLOOKUP(AF628,TPCalibEqFull!$AZ$2:$BB$56,3),IF(I628="TDN",VLOOKUP(AF628,TNCalibEqFull!$AZ$1:$BB$56,3),IF(I628="TN",VLOOKUP(AF628,TNCalibEqFull!$AZ$1:$BB$56,3),FALSE))))</f>
        <v>y=0.155x2+210.99x-92.045</v>
      </c>
      <c r="AV628" s="10" t="str">
        <f t="shared" si="67"/>
        <v>0105 10:49:00-HST-0-C-1-SW-UKN</v>
      </c>
    </row>
    <row r="629" spans="1:48" s="10" customFormat="1" x14ac:dyDescent="0.55000000000000004">
      <c r="A629" s="32">
        <v>44932</v>
      </c>
      <c r="B629" s="33">
        <v>0.53333333333333333</v>
      </c>
      <c r="C629" s="10" t="s">
        <v>279</v>
      </c>
      <c r="D629" s="10">
        <v>0</v>
      </c>
      <c r="E629" s="10" t="s">
        <v>160</v>
      </c>
      <c r="F629" s="10">
        <v>1</v>
      </c>
      <c r="G629" s="10" t="s">
        <v>231</v>
      </c>
      <c r="H629" s="10" t="s">
        <v>322</v>
      </c>
      <c r="I629" s="10" t="s">
        <v>235</v>
      </c>
      <c r="J629" s="10">
        <v>5</v>
      </c>
      <c r="K629" s="12">
        <v>44937</v>
      </c>
      <c r="L629" s="33">
        <v>0.5947337962962963</v>
      </c>
      <c r="M629" s="10">
        <v>1</v>
      </c>
      <c r="N629" s="10" t="s">
        <v>196</v>
      </c>
      <c r="O629" s="10">
        <v>5.19</v>
      </c>
      <c r="P629" s="10">
        <v>0.312</v>
      </c>
      <c r="Q629" s="10">
        <v>1010</v>
      </c>
      <c r="R629" s="10" t="s">
        <v>170</v>
      </c>
      <c r="S629" s="34">
        <f t="shared" si="63"/>
        <v>1010</v>
      </c>
      <c r="T629" s="10" t="s">
        <v>1011</v>
      </c>
      <c r="U629" s="34" t="str">
        <f t="shared" si="64"/>
        <v/>
      </c>
      <c r="V629" s="31" t="str">
        <f>IF(H629="CHK",VLOOKUP(I629,QCCHK,3,),IF(H629="GUP",VLOOKUP(E629,QCGUP,2,),IF(AND(H629="ATP",OR(I629="TN",I629="TDN",I629="TNO2-3",I629="NO2-3")),VLOOKUP(E629,QCREC_N,2,),IF(AND(H629="NIC",OR(I629="TN",I629="TDN",I629="TNO2-3",I629="NO2-3")),VLOOKUP(E629,QCNIC_N,2,),IF(AND(H629="UREA",OR(I629="TN",I629="TDN",I629="TNO2-3",I629="NO2-3")),VLOOKUP(E629,QCUREA_N,2,),IF(H629="PER",VLOOKUP(I629,QCPER,MATCH(E629,QCACTUAL!$J$25:$AA$25,0),),IF(H629="SPK",VLOOKUP(I629,QCSPK,3,),IF(AND(H629="ATP",OR(I629="TP",I629="TDP")),VLOOKUP(E629,QCATP_P,2,),""))))))))</f>
        <v/>
      </c>
      <c r="W629" s="31" t="str">
        <f t="shared" si="65"/>
        <v>TRUE</v>
      </c>
      <c r="X629" s="31" t="str">
        <f t="shared" si="66"/>
        <v/>
      </c>
      <c r="Y629" s="10" t="s">
        <v>1004</v>
      </c>
      <c r="Z629" s="10" t="s">
        <v>910</v>
      </c>
      <c r="AF629" s="12">
        <v>44937</v>
      </c>
      <c r="AJ629" s="10">
        <f>2.4015*5.19^2+187.16*5.19-68.555</f>
        <v>967.49244414999998</v>
      </c>
      <c r="AK629" s="10">
        <f>0.155*5.19^2+210.99*5.19-92.045</f>
        <v>1007.1681955000003</v>
      </c>
      <c r="AL629" s="10" t="str">
        <f t="shared" si="68"/>
        <v>FALSE</v>
      </c>
      <c r="AM629" s="10" t="str">
        <f t="shared" si="68"/>
        <v>FALSE</v>
      </c>
      <c r="AN629" s="10" t="str">
        <f t="shared" si="68"/>
        <v>FALSE</v>
      </c>
      <c r="AO629" s="10" t="str">
        <f t="shared" si="69"/>
        <v>y=2.4015*5.19^2+187.16*5.19-68.555</v>
      </c>
      <c r="AP629" s="10" t="str">
        <f t="shared" si="69"/>
        <v>y=0.155*5.19^2+210.99*5.19-92.045</v>
      </c>
      <c r="AQ629" s="10" t="b">
        <f>IF(AND(I629="TP",S629&lt;=150),VLOOKUP(AF629,TPCalibEq150!$AZ$2:$BB$55,3,),IF(AND(I629="TDP",S629&lt;=150),VLOOKUP(AF629,TPCalibEq150!$AZ$2:$BB$55,3,)))</f>
        <v>0</v>
      </c>
      <c r="AR629" s="10" t="b">
        <f>IF(AND(I629="TP",S629&lt;=300),VLOOKUP(AF629,TPCalibEq300!$AZ$2:$BB$55,3,),IF(AND(I629="TDP",S629&lt;=300),VLOOKUP(AF629,TPCalibEq300!$AZ$2:$BB$55,3,)))</f>
        <v>0</v>
      </c>
      <c r="AS629" s="10" t="b">
        <f>IF(AND(I629="TP",S629&lt;=500),VLOOKUP(AF629,TPCalibEq500!$AZ$2:$BB$56,3,),IF(AND(I629="TDP",S629&lt;=500),VLOOKUP(AF629,TPCalibEq500!$AZ$2:$BB$56,3,)))</f>
        <v>0</v>
      </c>
      <c r="AT629" s="10" t="str">
        <f>IF(AND(I629="TN",S629&lt;=2800),VLOOKUP(AF629,TNCalibEq2500!$AZ$2:$BB$56,3,),IF(AND(I629="TDN",S629&lt;=2800),VLOOKUP(AF629,TNCalibEq2500!$AZ$2:$BB$56,3,)))</f>
        <v>y=2.4015x2+187.16x-68.555</v>
      </c>
      <c r="AU629" s="10" t="str">
        <f>IF(I629="TP",VLOOKUP(AF629,TPCalibEqFull!$AZ$2:$BB$56,3),IF(I629="TDP",VLOOKUP(AF629,TPCalibEqFull!$AZ$2:$BB$56,3),IF(I629="TDN",VLOOKUP(AF629,TNCalibEqFull!$AZ$1:$BB$56,3),IF(I629="TN",VLOOKUP(AF629,TNCalibEqFull!$AZ$1:$BB$56,3),FALSE))))</f>
        <v>y=0.155x2+210.99x-92.045</v>
      </c>
      <c r="AV629" s="10" t="str">
        <f t="shared" si="67"/>
        <v>0106 12:48:00-EFK-0-L-1-SW-UKN</v>
      </c>
    </row>
    <row r="630" spans="1:48" s="10" customFormat="1" x14ac:dyDescent="0.55000000000000004">
      <c r="A630" s="32">
        <v>44932</v>
      </c>
      <c r="B630" s="33">
        <v>0.52430555555555558</v>
      </c>
      <c r="C630" s="10" t="s">
        <v>333</v>
      </c>
      <c r="D630" s="10">
        <v>0</v>
      </c>
      <c r="E630" s="10" t="s">
        <v>190</v>
      </c>
      <c r="F630" s="10">
        <v>1</v>
      </c>
      <c r="G630" s="10" t="s">
        <v>231</v>
      </c>
      <c r="H630" s="10" t="s">
        <v>322</v>
      </c>
      <c r="I630" s="10" t="s">
        <v>235</v>
      </c>
      <c r="J630" s="10">
        <v>6</v>
      </c>
      <c r="K630" s="12">
        <v>44937</v>
      </c>
      <c r="L630" s="33">
        <v>0.59539351851851852</v>
      </c>
      <c r="M630" s="10">
        <v>1</v>
      </c>
      <c r="N630" s="10" t="s">
        <v>196</v>
      </c>
      <c r="O630" s="10">
        <v>6.6</v>
      </c>
      <c r="P630" s="10">
        <v>0.39800000000000002</v>
      </c>
      <c r="Q630" s="10">
        <v>1320</v>
      </c>
      <c r="R630" s="10" t="s">
        <v>170</v>
      </c>
      <c r="S630" s="34">
        <f t="shared" si="63"/>
        <v>1320</v>
      </c>
      <c r="T630" s="10" t="s">
        <v>1011</v>
      </c>
      <c r="U630" s="34" t="str">
        <f t="shared" si="64"/>
        <v/>
      </c>
      <c r="V630" s="31" t="str">
        <f>IF(H630="CHK",VLOOKUP(I630,QCCHK,3,),IF(H630="GUP",VLOOKUP(E630,QCGUP,2,),IF(AND(H630="ATP",OR(I630="TN",I630="TDN",I630="TNO2-3",I630="NO2-3")),VLOOKUP(E630,QCREC_N,2,),IF(AND(H630="NIC",OR(I630="TN",I630="TDN",I630="TNO2-3",I630="NO2-3")),VLOOKUP(E630,QCNIC_N,2,),IF(AND(H630="UREA",OR(I630="TN",I630="TDN",I630="TNO2-3",I630="NO2-3")),VLOOKUP(E630,QCUREA_N,2,),IF(H630="PER",VLOOKUP(I630,QCPER,MATCH(E630,QCACTUAL!$J$25:$AA$25,0),),IF(H630="SPK",VLOOKUP(I630,QCSPK,3,),IF(AND(H630="ATP",OR(I630="TP",I630="TDP")),VLOOKUP(E630,QCATP_P,2,),""))))))))</f>
        <v/>
      </c>
      <c r="W630" s="31" t="str">
        <f t="shared" si="65"/>
        <v>TRUE</v>
      </c>
      <c r="X630" s="31" t="str">
        <f t="shared" si="66"/>
        <v/>
      </c>
      <c r="Y630" s="10" t="s">
        <v>1004</v>
      </c>
      <c r="Z630" s="10" t="s">
        <v>910</v>
      </c>
      <c r="AF630" s="12">
        <v>44937</v>
      </c>
      <c r="AJ630" s="10">
        <f>2.4015*6.6^2+187.16*6.6-68.555</f>
        <v>1271.3103399999998</v>
      </c>
      <c r="AK630" s="10">
        <f>0.155*6.6^2+210.99*6.6-92.045</f>
        <v>1307.2407999999998</v>
      </c>
      <c r="AL630" s="10" t="str">
        <f t="shared" si="68"/>
        <v>FALSE</v>
      </c>
      <c r="AM630" s="10" t="str">
        <f t="shared" si="68"/>
        <v>FALSE</v>
      </c>
      <c r="AN630" s="10" t="str">
        <f t="shared" si="68"/>
        <v>FALSE</v>
      </c>
      <c r="AO630" s="10" t="str">
        <f t="shared" si="69"/>
        <v>y=2.4015*6.6^2+187.16*6.6-68.555</v>
      </c>
      <c r="AP630" s="10" t="str">
        <f t="shared" si="69"/>
        <v>y=0.155*6.6^2+210.99*6.6-92.045</v>
      </c>
      <c r="AQ630" s="10" t="b">
        <f>IF(AND(I630="TP",S630&lt;=150),VLOOKUP(AF630,TPCalibEq150!$AZ$2:$BB$55,3,),IF(AND(I630="TDP",S630&lt;=150),VLOOKUP(AF630,TPCalibEq150!$AZ$2:$BB$55,3,)))</f>
        <v>0</v>
      </c>
      <c r="AR630" s="10" t="b">
        <f>IF(AND(I630="TP",S630&lt;=300),VLOOKUP(AF630,TPCalibEq300!$AZ$2:$BB$55,3,),IF(AND(I630="TDP",S630&lt;=300),VLOOKUP(AF630,TPCalibEq300!$AZ$2:$BB$55,3,)))</f>
        <v>0</v>
      </c>
      <c r="AS630" s="10" t="b">
        <f>IF(AND(I630="TP",S630&lt;=500),VLOOKUP(AF630,TPCalibEq500!$AZ$2:$BB$56,3,),IF(AND(I630="TDP",S630&lt;=500),VLOOKUP(AF630,TPCalibEq500!$AZ$2:$BB$56,3,)))</f>
        <v>0</v>
      </c>
      <c r="AT630" s="10" t="str">
        <f>IF(AND(I630="TN",S630&lt;=2800),VLOOKUP(AF630,TNCalibEq2500!$AZ$2:$BB$56,3,),IF(AND(I630="TDN",S630&lt;=2800),VLOOKUP(AF630,TNCalibEq2500!$AZ$2:$BB$56,3,)))</f>
        <v>y=2.4015x2+187.16x-68.555</v>
      </c>
      <c r="AU630" s="10" t="str">
        <f>IF(I630="TP",VLOOKUP(AF630,TPCalibEqFull!$AZ$2:$BB$56,3),IF(I630="TDP",VLOOKUP(AF630,TPCalibEqFull!$AZ$2:$BB$56,3),IF(I630="TDN",VLOOKUP(AF630,TNCalibEqFull!$AZ$1:$BB$56,3),IF(I630="TN",VLOOKUP(AF630,TNCalibEqFull!$AZ$1:$BB$56,3),FALSE))))</f>
        <v>y=0.155x2+210.99x-92.045</v>
      </c>
      <c r="AV630" s="10" t="str">
        <f t="shared" si="67"/>
        <v>0106 12:35:00-HST-0-C-1-SW-UKN</v>
      </c>
    </row>
    <row r="631" spans="1:48" s="10" customFormat="1" x14ac:dyDescent="0.55000000000000004">
      <c r="A631" s="32">
        <v>44935</v>
      </c>
      <c r="B631" s="33">
        <v>0.39166666666666666</v>
      </c>
      <c r="C631" s="10" t="s">
        <v>279</v>
      </c>
      <c r="D631" s="10">
        <v>0</v>
      </c>
      <c r="E631" s="10" t="s">
        <v>160</v>
      </c>
      <c r="F631" s="10">
        <v>1</v>
      </c>
      <c r="G631" s="10" t="s">
        <v>231</v>
      </c>
      <c r="H631" s="10" t="s">
        <v>322</v>
      </c>
      <c r="I631" s="10" t="s">
        <v>235</v>
      </c>
      <c r="J631" s="10">
        <v>7</v>
      </c>
      <c r="K631" s="12">
        <v>44937</v>
      </c>
      <c r="L631" s="33">
        <v>0.59606481481481477</v>
      </c>
      <c r="M631" s="10">
        <v>1</v>
      </c>
      <c r="N631" s="10" t="s">
        <v>196</v>
      </c>
      <c r="O631" s="10">
        <v>5.61</v>
      </c>
      <c r="P631" s="10">
        <v>0.33900000000000002</v>
      </c>
      <c r="Q631" s="10">
        <v>1100</v>
      </c>
      <c r="R631" s="10" t="s">
        <v>170</v>
      </c>
      <c r="S631" s="34">
        <f t="shared" si="63"/>
        <v>1100</v>
      </c>
      <c r="T631" s="10" t="s">
        <v>1011</v>
      </c>
      <c r="U631" s="34" t="str">
        <f t="shared" si="64"/>
        <v/>
      </c>
      <c r="V631" s="31" t="str">
        <f>IF(H631="CHK",VLOOKUP(I631,QCCHK,3,),IF(H631="GUP",VLOOKUP(E631,QCGUP,2,),IF(AND(H631="ATP",OR(I631="TN",I631="TDN",I631="TNO2-3",I631="NO2-3")),VLOOKUP(E631,QCREC_N,2,),IF(AND(H631="NIC",OR(I631="TN",I631="TDN",I631="TNO2-3",I631="NO2-3")),VLOOKUP(E631,QCNIC_N,2,),IF(AND(H631="UREA",OR(I631="TN",I631="TDN",I631="TNO2-3",I631="NO2-3")),VLOOKUP(E631,QCUREA_N,2,),IF(H631="PER",VLOOKUP(I631,QCPER,MATCH(E631,QCACTUAL!$J$25:$AA$25,0),),IF(H631="SPK",VLOOKUP(I631,QCSPK,3,),IF(AND(H631="ATP",OR(I631="TP",I631="TDP")),VLOOKUP(E631,QCATP_P,2,),""))))))))</f>
        <v/>
      </c>
      <c r="W631" s="31" t="str">
        <f t="shared" si="65"/>
        <v>TRUE</v>
      </c>
      <c r="X631" s="31" t="str">
        <f t="shared" si="66"/>
        <v/>
      </c>
      <c r="Y631" s="10" t="s">
        <v>1004</v>
      </c>
      <c r="Z631" s="10" t="s">
        <v>910</v>
      </c>
      <c r="AF631" s="12">
        <v>44937</v>
      </c>
      <c r="AJ631" s="10">
        <f>2.4015*5.61^2+187.16*5.61-68.555</f>
        <v>1056.9928481499999</v>
      </c>
      <c r="AK631" s="10">
        <f>0.155*5.61^2+210.99*5.61-92.045</f>
        <v>1096.4870754999999</v>
      </c>
      <c r="AL631" s="10" t="str">
        <f t="shared" si="68"/>
        <v>FALSE</v>
      </c>
      <c r="AM631" s="10" t="str">
        <f t="shared" si="68"/>
        <v>FALSE</v>
      </c>
      <c r="AN631" s="10" t="str">
        <f t="shared" si="68"/>
        <v>FALSE</v>
      </c>
      <c r="AO631" s="10" t="str">
        <f t="shared" si="69"/>
        <v>y=2.4015*5.61^2+187.16*5.61-68.555</v>
      </c>
      <c r="AP631" s="10" t="str">
        <f t="shared" si="69"/>
        <v>y=0.155*5.61^2+210.99*5.61-92.045</v>
      </c>
      <c r="AQ631" s="10" t="b">
        <f>IF(AND(I631="TP",S631&lt;=150),VLOOKUP(AF631,TPCalibEq150!$AZ$2:$BB$55,3,),IF(AND(I631="TDP",S631&lt;=150),VLOOKUP(AF631,TPCalibEq150!$AZ$2:$BB$55,3,)))</f>
        <v>0</v>
      </c>
      <c r="AR631" s="10" t="b">
        <f>IF(AND(I631="TP",S631&lt;=300),VLOOKUP(AF631,TPCalibEq300!$AZ$2:$BB$55,3,),IF(AND(I631="TDP",S631&lt;=300),VLOOKUP(AF631,TPCalibEq300!$AZ$2:$BB$55,3,)))</f>
        <v>0</v>
      </c>
      <c r="AS631" s="10" t="b">
        <f>IF(AND(I631="TP",S631&lt;=500),VLOOKUP(AF631,TPCalibEq500!$AZ$2:$BB$56,3,),IF(AND(I631="TDP",S631&lt;=500),VLOOKUP(AF631,TPCalibEq500!$AZ$2:$BB$56,3,)))</f>
        <v>0</v>
      </c>
      <c r="AT631" s="10" t="str">
        <f>IF(AND(I631="TN",S631&lt;=2800),VLOOKUP(AF631,TNCalibEq2500!$AZ$2:$BB$56,3,),IF(AND(I631="TDN",S631&lt;=2800),VLOOKUP(AF631,TNCalibEq2500!$AZ$2:$BB$56,3,)))</f>
        <v>y=2.4015x2+187.16x-68.555</v>
      </c>
      <c r="AU631" s="10" t="str">
        <f>IF(I631="TP",VLOOKUP(AF631,TPCalibEqFull!$AZ$2:$BB$56,3),IF(I631="TDP",VLOOKUP(AF631,TPCalibEqFull!$AZ$2:$BB$56,3),IF(I631="TDN",VLOOKUP(AF631,TNCalibEqFull!$AZ$1:$BB$56,3),IF(I631="TN",VLOOKUP(AF631,TNCalibEqFull!$AZ$1:$BB$56,3),FALSE))))</f>
        <v>y=0.155x2+210.99x-92.045</v>
      </c>
      <c r="AV631" s="10" t="str">
        <f t="shared" si="67"/>
        <v>0109 09:24:00-EFK-0-L-1-SW-UKN</v>
      </c>
    </row>
    <row r="632" spans="1:48" s="10" customFormat="1" x14ac:dyDescent="0.55000000000000004">
      <c r="A632" s="32">
        <v>44935</v>
      </c>
      <c r="B632" s="33">
        <v>0.30208333333333331</v>
      </c>
      <c r="C632" s="10" t="s">
        <v>333</v>
      </c>
      <c r="D632" s="10">
        <v>0</v>
      </c>
      <c r="E632" s="10" t="s">
        <v>190</v>
      </c>
      <c r="F632" s="10">
        <v>1</v>
      </c>
      <c r="G632" s="10" t="s">
        <v>231</v>
      </c>
      <c r="H632" s="10" t="s">
        <v>322</v>
      </c>
      <c r="I632" s="10" t="s">
        <v>235</v>
      </c>
      <c r="J632" s="10">
        <v>8</v>
      </c>
      <c r="K632" s="12">
        <v>44937</v>
      </c>
      <c r="L632" s="33">
        <v>0.59672453703703698</v>
      </c>
      <c r="M632" s="10">
        <v>1</v>
      </c>
      <c r="N632" s="10" t="s">
        <v>196</v>
      </c>
      <c r="O632" s="10">
        <v>5.95</v>
      </c>
      <c r="P632" s="10">
        <v>0.35799999999999998</v>
      </c>
      <c r="Q632" s="10">
        <v>1180</v>
      </c>
      <c r="R632" s="10" t="s">
        <v>170</v>
      </c>
      <c r="S632" s="34">
        <f t="shared" si="63"/>
        <v>1180</v>
      </c>
      <c r="T632" s="10" t="s">
        <v>1011</v>
      </c>
      <c r="U632" s="34" t="str">
        <f t="shared" si="64"/>
        <v/>
      </c>
      <c r="V632" s="31" t="str">
        <f>IF(H632="CHK",VLOOKUP(I632,QCCHK,3,),IF(H632="GUP",VLOOKUP(E632,QCGUP,2,),IF(AND(H632="ATP",OR(I632="TN",I632="TDN",I632="TNO2-3",I632="NO2-3")),VLOOKUP(E632,QCREC_N,2,),IF(AND(H632="NIC",OR(I632="TN",I632="TDN",I632="TNO2-3",I632="NO2-3")),VLOOKUP(E632,QCNIC_N,2,),IF(AND(H632="UREA",OR(I632="TN",I632="TDN",I632="TNO2-3",I632="NO2-3")),VLOOKUP(E632,QCUREA_N,2,),IF(H632="PER",VLOOKUP(I632,QCPER,MATCH(E632,QCACTUAL!$J$25:$AA$25,0),),IF(H632="SPK",VLOOKUP(I632,QCSPK,3,),IF(AND(H632="ATP",OR(I632="TP",I632="TDP")),VLOOKUP(E632,QCATP_P,2,),""))))))))</f>
        <v/>
      </c>
      <c r="W632" s="31" t="str">
        <f t="shared" si="65"/>
        <v>TRUE</v>
      </c>
      <c r="X632" s="31" t="str">
        <f t="shared" si="66"/>
        <v/>
      </c>
      <c r="Y632" s="10" t="s">
        <v>1004</v>
      </c>
      <c r="Z632" s="10" t="s">
        <v>910</v>
      </c>
      <c r="AF632" s="12">
        <v>44937</v>
      </c>
      <c r="AJ632" s="10">
        <f>2.4015*5.95^2+187.16*5.95-68.555</f>
        <v>1130.0661037500001</v>
      </c>
      <c r="AK632" s="10">
        <f>0.155*5.95^2+210.99*5.95-92.045</f>
        <v>1168.8328875000002</v>
      </c>
      <c r="AL632" s="10" t="str">
        <f t="shared" si="68"/>
        <v>FALSE</v>
      </c>
      <c r="AM632" s="10" t="str">
        <f t="shared" si="68"/>
        <v>FALSE</v>
      </c>
      <c r="AN632" s="10" t="str">
        <f t="shared" si="68"/>
        <v>FALSE</v>
      </c>
      <c r="AO632" s="10" t="str">
        <f t="shared" si="69"/>
        <v>y=2.4015*5.95^2+187.16*5.95-68.555</v>
      </c>
      <c r="AP632" s="10" t="str">
        <f t="shared" si="69"/>
        <v>y=0.155*5.95^2+210.99*5.95-92.045</v>
      </c>
      <c r="AQ632" s="10" t="b">
        <f>IF(AND(I632="TP",S632&lt;=150),VLOOKUP(AF632,TPCalibEq150!$AZ$2:$BB$55,3,),IF(AND(I632="TDP",S632&lt;=150),VLOOKUP(AF632,TPCalibEq150!$AZ$2:$BB$55,3,)))</f>
        <v>0</v>
      </c>
      <c r="AR632" s="10" t="b">
        <f>IF(AND(I632="TP",S632&lt;=300),VLOOKUP(AF632,TPCalibEq300!$AZ$2:$BB$55,3,),IF(AND(I632="TDP",S632&lt;=300),VLOOKUP(AF632,TPCalibEq300!$AZ$2:$BB$55,3,)))</f>
        <v>0</v>
      </c>
      <c r="AS632" s="10" t="b">
        <f>IF(AND(I632="TP",S632&lt;=500),VLOOKUP(AF632,TPCalibEq500!$AZ$2:$BB$56,3,),IF(AND(I632="TDP",S632&lt;=500),VLOOKUP(AF632,TPCalibEq500!$AZ$2:$BB$56,3,)))</f>
        <v>0</v>
      </c>
      <c r="AT632" s="10" t="str">
        <f>IF(AND(I632="TN",S632&lt;=2800),VLOOKUP(AF632,TNCalibEq2500!$AZ$2:$BB$56,3,),IF(AND(I632="TDN",S632&lt;=2800),VLOOKUP(AF632,TNCalibEq2500!$AZ$2:$BB$56,3,)))</f>
        <v>y=2.4015x2+187.16x-68.555</v>
      </c>
      <c r="AU632" s="10" t="str">
        <f>IF(I632="TP",VLOOKUP(AF632,TPCalibEqFull!$AZ$2:$BB$56,3),IF(I632="TDP",VLOOKUP(AF632,TPCalibEqFull!$AZ$2:$BB$56,3),IF(I632="TDN",VLOOKUP(AF632,TNCalibEqFull!$AZ$1:$BB$56,3),IF(I632="TN",VLOOKUP(AF632,TNCalibEqFull!$AZ$1:$BB$56,3),FALSE))))</f>
        <v>y=0.155x2+210.99x-92.045</v>
      </c>
      <c r="AV632" s="10" t="str">
        <f t="shared" si="67"/>
        <v>0109 07:15:00-HST-0-C-1-SW-UKN</v>
      </c>
    </row>
    <row r="633" spans="1:48" s="10" customFormat="1" x14ac:dyDescent="0.55000000000000004">
      <c r="A633" s="32">
        <v>44936</v>
      </c>
      <c r="B633" s="33">
        <v>0.39166666666666666</v>
      </c>
      <c r="C633" s="10" t="s">
        <v>279</v>
      </c>
      <c r="D633" s="10">
        <v>0</v>
      </c>
      <c r="E633" s="10" t="s">
        <v>160</v>
      </c>
      <c r="F633" s="10">
        <v>1</v>
      </c>
      <c r="G633" s="10" t="s">
        <v>231</v>
      </c>
      <c r="H633" s="10" t="s">
        <v>322</v>
      </c>
      <c r="I633" s="10" t="s">
        <v>235</v>
      </c>
      <c r="J633" s="10">
        <v>9</v>
      </c>
      <c r="K633" s="12">
        <v>44937</v>
      </c>
      <c r="L633" s="33">
        <v>0.5973842592592592</v>
      </c>
      <c r="M633" s="10">
        <v>1</v>
      </c>
      <c r="N633" s="10" t="s">
        <v>196</v>
      </c>
      <c r="O633" s="10">
        <v>5.6</v>
      </c>
      <c r="P633" s="10">
        <v>0.33800000000000002</v>
      </c>
      <c r="Q633" s="10">
        <v>1100</v>
      </c>
      <c r="R633" s="10" t="s">
        <v>170</v>
      </c>
      <c r="S633" s="34">
        <f t="shared" si="63"/>
        <v>1100</v>
      </c>
      <c r="T633" s="10" t="s">
        <v>1011</v>
      </c>
      <c r="U633" s="34" t="str">
        <f t="shared" si="64"/>
        <v/>
      </c>
      <c r="V633" s="31" t="str">
        <f>IF(H633="CHK",VLOOKUP(I633,QCCHK,3,),IF(H633="GUP",VLOOKUP(E633,QCGUP,2,),IF(AND(H633="ATP",OR(I633="TN",I633="TDN",I633="TNO2-3",I633="NO2-3")),VLOOKUP(E633,QCREC_N,2,),IF(AND(H633="NIC",OR(I633="TN",I633="TDN",I633="TNO2-3",I633="NO2-3")),VLOOKUP(E633,QCNIC_N,2,),IF(AND(H633="UREA",OR(I633="TN",I633="TDN",I633="TNO2-3",I633="NO2-3")),VLOOKUP(E633,QCUREA_N,2,),IF(H633="PER",VLOOKUP(I633,QCPER,MATCH(E633,QCACTUAL!$J$25:$AA$25,0),),IF(H633="SPK",VLOOKUP(I633,QCSPK,3,),IF(AND(H633="ATP",OR(I633="TP",I633="TDP")),VLOOKUP(E633,QCATP_P,2,),""))))))))</f>
        <v/>
      </c>
      <c r="W633" s="31" t="str">
        <f t="shared" si="65"/>
        <v>TRUE</v>
      </c>
      <c r="X633" s="31" t="str">
        <f t="shared" si="66"/>
        <v/>
      </c>
      <c r="Y633" s="10" t="s">
        <v>1004</v>
      </c>
      <c r="AF633" s="12">
        <v>44937</v>
      </c>
      <c r="AJ633" s="10">
        <f>2.4015*5.6^2+187.16*5.6-68.555</f>
        <v>1054.85204</v>
      </c>
      <c r="AK633" s="10">
        <f>0.155*5.6^2+210.99*5.6-92.045</f>
        <v>1094.3597999999997</v>
      </c>
      <c r="AL633" s="10" t="str">
        <f t="shared" si="68"/>
        <v>FALSE</v>
      </c>
      <c r="AM633" s="10" t="str">
        <f t="shared" si="68"/>
        <v>FALSE</v>
      </c>
      <c r="AN633" s="10" t="str">
        <f t="shared" si="68"/>
        <v>FALSE</v>
      </c>
      <c r="AO633" s="10" t="str">
        <f t="shared" si="69"/>
        <v>y=2.4015*5.6^2+187.16*5.6-68.555</v>
      </c>
      <c r="AP633" s="10" t="str">
        <f t="shared" si="69"/>
        <v>y=0.155*5.6^2+210.99*5.6-92.045</v>
      </c>
      <c r="AQ633" s="10" t="b">
        <f>IF(AND(I633="TP",S633&lt;=150),VLOOKUP(AF633,TPCalibEq150!$AZ$2:$BB$55,3,),IF(AND(I633="TDP",S633&lt;=150),VLOOKUP(AF633,TPCalibEq150!$AZ$2:$BB$55,3,)))</f>
        <v>0</v>
      </c>
      <c r="AR633" s="10" t="b">
        <f>IF(AND(I633="TP",S633&lt;=300),VLOOKUP(AF633,TPCalibEq300!$AZ$2:$BB$55,3,),IF(AND(I633="TDP",S633&lt;=300),VLOOKUP(AF633,TPCalibEq300!$AZ$2:$BB$55,3,)))</f>
        <v>0</v>
      </c>
      <c r="AS633" s="10" t="b">
        <f>IF(AND(I633="TP",S633&lt;=500),VLOOKUP(AF633,TPCalibEq500!$AZ$2:$BB$56,3,),IF(AND(I633="TDP",S633&lt;=500),VLOOKUP(AF633,TPCalibEq500!$AZ$2:$BB$56,3,)))</f>
        <v>0</v>
      </c>
      <c r="AT633" s="10" t="str">
        <f>IF(AND(I633="TN",S633&lt;=2800),VLOOKUP(AF633,TNCalibEq2500!$AZ$2:$BB$56,3,),IF(AND(I633="TDN",S633&lt;=2800),VLOOKUP(AF633,TNCalibEq2500!$AZ$2:$BB$56,3,)))</f>
        <v>y=2.4015x2+187.16x-68.555</v>
      </c>
      <c r="AU633" s="10" t="str">
        <f>IF(I633="TP",VLOOKUP(AF633,TPCalibEqFull!$AZ$2:$BB$56,3),IF(I633="TDP",VLOOKUP(AF633,TPCalibEqFull!$AZ$2:$BB$56,3),IF(I633="TDN",VLOOKUP(AF633,TNCalibEqFull!$AZ$1:$BB$56,3),IF(I633="TN",VLOOKUP(AF633,TNCalibEqFull!$AZ$1:$BB$56,3),FALSE))))</f>
        <v>y=0.155x2+210.99x-92.045</v>
      </c>
      <c r="AV633" s="10" t="str">
        <f t="shared" si="67"/>
        <v>0110 09:24:00-EFK-0-L-1-SW-UKN</v>
      </c>
    </row>
    <row r="634" spans="1:48" s="10" customFormat="1" x14ac:dyDescent="0.55000000000000004">
      <c r="A634" s="32">
        <v>44936</v>
      </c>
      <c r="B634" s="33">
        <v>0.39583333333333331</v>
      </c>
      <c r="C634" s="10" t="s">
        <v>333</v>
      </c>
      <c r="D634" s="10">
        <v>0</v>
      </c>
      <c r="E634" s="10" t="s">
        <v>190</v>
      </c>
      <c r="F634" s="10">
        <v>1</v>
      </c>
      <c r="G634" s="10" t="s">
        <v>231</v>
      </c>
      <c r="H634" s="10" t="s">
        <v>322</v>
      </c>
      <c r="I634" s="10" t="s">
        <v>235</v>
      </c>
      <c r="J634" s="10">
        <v>10</v>
      </c>
      <c r="K634" s="12">
        <v>44937</v>
      </c>
      <c r="L634" s="33">
        <v>0.59805555555555556</v>
      </c>
      <c r="M634" s="10">
        <v>1</v>
      </c>
      <c r="N634" s="10" t="s">
        <v>196</v>
      </c>
      <c r="O634" s="10">
        <v>6.16</v>
      </c>
      <c r="P634" s="10">
        <v>0.37</v>
      </c>
      <c r="Q634" s="10">
        <v>1220</v>
      </c>
      <c r="R634" s="10" t="s">
        <v>170</v>
      </c>
      <c r="S634" s="34">
        <f t="shared" si="63"/>
        <v>1220</v>
      </c>
      <c r="T634" s="10" t="s">
        <v>1011</v>
      </c>
      <c r="U634" s="34" t="str">
        <f t="shared" si="64"/>
        <v/>
      </c>
      <c r="V634" s="31" t="str">
        <f>IF(H634="CHK",VLOOKUP(I634,QCCHK,3,),IF(H634="GUP",VLOOKUP(E634,QCGUP,2,),IF(AND(H634="ATP",OR(I634="TN",I634="TDN",I634="TNO2-3",I634="NO2-3")),VLOOKUP(E634,QCREC_N,2,),IF(AND(H634="NIC",OR(I634="TN",I634="TDN",I634="TNO2-3",I634="NO2-3")),VLOOKUP(E634,QCNIC_N,2,),IF(AND(H634="UREA",OR(I634="TN",I634="TDN",I634="TNO2-3",I634="NO2-3")),VLOOKUP(E634,QCUREA_N,2,),IF(H634="PER",VLOOKUP(I634,QCPER,MATCH(E634,QCACTUAL!$J$25:$AA$25,0),),IF(H634="SPK",VLOOKUP(I634,QCSPK,3,),IF(AND(H634="ATP",OR(I634="TP",I634="TDP")),VLOOKUP(E634,QCATP_P,2,),""))))))))</f>
        <v/>
      </c>
      <c r="W634" s="31" t="str">
        <f t="shared" si="65"/>
        <v>TRUE</v>
      </c>
      <c r="X634" s="31" t="str">
        <f t="shared" si="66"/>
        <v/>
      </c>
      <c r="Y634" s="10" t="s">
        <v>1004</v>
      </c>
      <c r="AF634" s="12">
        <v>44937</v>
      </c>
      <c r="AJ634" s="10">
        <f>2.4015*6.16^2+187.16*6.16-68.555</f>
        <v>1175.4769584000001</v>
      </c>
      <c r="AK634" s="10">
        <f>0.155*6.16^2+210.99*6.16-92.045</f>
        <v>1213.5349679999999</v>
      </c>
      <c r="AL634" s="10" t="str">
        <f t="shared" si="68"/>
        <v>FALSE</v>
      </c>
      <c r="AM634" s="10" t="str">
        <f t="shared" si="68"/>
        <v>FALSE</v>
      </c>
      <c r="AN634" s="10" t="str">
        <f t="shared" si="68"/>
        <v>FALSE</v>
      </c>
      <c r="AO634" s="10" t="str">
        <f t="shared" si="69"/>
        <v>y=2.4015*6.16^2+187.16*6.16-68.555</v>
      </c>
      <c r="AP634" s="10" t="str">
        <f t="shared" si="69"/>
        <v>y=0.155*6.16^2+210.99*6.16-92.045</v>
      </c>
      <c r="AQ634" s="10" t="b">
        <f>IF(AND(I634="TP",S634&lt;=150),VLOOKUP(AF634,TPCalibEq150!$AZ$2:$BB$55,3,),IF(AND(I634="TDP",S634&lt;=150),VLOOKUP(AF634,TPCalibEq150!$AZ$2:$BB$55,3,)))</f>
        <v>0</v>
      </c>
      <c r="AR634" s="10" t="b">
        <f>IF(AND(I634="TP",S634&lt;=300),VLOOKUP(AF634,TPCalibEq300!$AZ$2:$BB$55,3,),IF(AND(I634="TDP",S634&lt;=300),VLOOKUP(AF634,TPCalibEq300!$AZ$2:$BB$55,3,)))</f>
        <v>0</v>
      </c>
      <c r="AS634" s="10" t="b">
        <f>IF(AND(I634="TP",S634&lt;=500),VLOOKUP(AF634,TPCalibEq500!$AZ$2:$BB$56,3,),IF(AND(I634="TDP",S634&lt;=500),VLOOKUP(AF634,TPCalibEq500!$AZ$2:$BB$56,3,)))</f>
        <v>0</v>
      </c>
      <c r="AT634" s="10" t="str">
        <f>IF(AND(I634="TN",S634&lt;=2800),VLOOKUP(AF634,TNCalibEq2500!$AZ$2:$BB$56,3,),IF(AND(I634="TDN",S634&lt;=2800),VLOOKUP(AF634,TNCalibEq2500!$AZ$2:$BB$56,3,)))</f>
        <v>y=2.4015x2+187.16x-68.555</v>
      </c>
      <c r="AU634" s="10" t="str">
        <f>IF(I634="TP",VLOOKUP(AF634,TPCalibEqFull!$AZ$2:$BB$56,3),IF(I634="TDP",VLOOKUP(AF634,TPCalibEqFull!$AZ$2:$BB$56,3),IF(I634="TDN",VLOOKUP(AF634,TNCalibEqFull!$AZ$1:$BB$56,3),IF(I634="TN",VLOOKUP(AF634,TNCalibEqFull!$AZ$1:$BB$56,3),FALSE))))</f>
        <v>y=0.155x2+210.99x-92.045</v>
      </c>
      <c r="AV634" s="10" t="str">
        <f t="shared" si="67"/>
        <v>0110 09:30:00-HST-0-C-1-SW-UKN</v>
      </c>
    </row>
    <row r="635" spans="1:48" s="10" customFormat="1" x14ac:dyDescent="0.55000000000000004">
      <c r="A635" s="32">
        <v>44936</v>
      </c>
      <c r="B635" s="33">
        <v>0.39583333333333331</v>
      </c>
      <c r="C635" s="10" t="s">
        <v>333</v>
      </c>
      <c r="D635" s="10">
        <v>0</v>
      </c>
      <c r="E635" s="10" t="s">
        <v>190</v>
      </c>
      <c r="F635" s="10">
        <v>1</v>
      </c>
      <c r="G635" s="10" t="s">
        <v>231</v>
      </c>
      <c r="H635" s="10" t="s">
        <v>233</v>
      </c>
      <c r="I635" s="10" t="s">
        <v>235</v>
      </c>
      <c r="J635" s="10">
        <v>10</v>
      </c>
      <c r="K635" s="12">
        <v>44937</v>
      </c>
      <c r="L635" s="33">
        <v>0.59871527777777778</v>
      </c>
      <c r="M635" s="10">
        <v>1</v>
      </c>
      <c r="N635" s="10" t="s">
        <v>196</v>
      </c>
      <c r="O635" s="10">
        <v>6.12</v>
      </c>
      <c r="P635" s="10">
        <v>0.37</v>
      </c>
      <c r="Q635" s="10">
        <v>1210</v>
      </c>
      <c r="R635" s="10" t="s">
        <v>170</v>
      </c>
      <c r="S635" s="34">
        <f t="shared" si="63"/>
        <v>1210</v>
      </c>
      <c r="T635" s="10" t="s">
        <v>1011</v>
      </c>
      <c r="U635" s="34">
        <f t="shared" si="64"/>
        <v>0.82304526748971196</v>
      </c>
      <c r="V635" s="31" t="str">
        <f>IF(H635="CHK",VLOOKUP(I635,QCCHK,3,),IF(H635="GUP",VLOOKUP(E635,QCGUP,2,),IF(AND(H635="ATP",OR(I635="TN",I635="TDN",I635="TNO2-3",I635="NO2-3")),VLOOKUP(E635,QCREC_N,2,),IF(AND(H635="NIC",OR(I635="TN",I635="TDN",I635="TNO2-3",I635="NO2-3")),VLOOKUP(E635,QCNIC_N,2,),IF(AND(H635="UREA",OR(I635="TN",I635="TDN",I635="TNO2-3",I635="NO2-3")),VLOOKUP(E635,QCUREA_N,2,),IF(H635="PER",VLOOKUP(I635,QCPER,MATCH(E635,QCACTUAL!$J$25:$AA$25,0),),IF(H635="SPK",VLOOKUP(I635,QCSPK,3,),IF(AND(H635="ATP",OR(I635="TP",I635="TDP")),VLOOKUP(E635,QCATP_P,2,),""))))))))</f>
        <v/>
      </c>
      <c r="W635" s="31" t="str">
        <f t="shared" si="65"/>
        <v>TRUE</v>
      </c>
      <c r="X635" s="31" t="str">
        <f t="shared" si="66"/>
        <v>((ABS(rep1-rep2))/((rep1+rep2)/2)*100</v>
      </c>
      <c r="Y635" s="10" t="s">
        <v>1004</v>
      </c>
      <c r="AF635" s="12">
        <v>44937</v>
      </c>
      <c r="AJ635" s="10">
        <f>2.4015*6.12^2+187.16*6.12-68.555</f>
        <v>1166.8109416</v>
      </c>
      <c r="AK635" s="10">
        <f>0.155*6.12^2+210.99*6.12-92.045</f>
        <v>1205.0192320000001</v>
      </c>
      <c r="AL635" s="10" t="str">
        <f t="shared" si="68"/>
        <v>FALSE</v>
      </c>
      <c r="AM635" s="10" t="str">
        <f t="shared" si="68"/>
        <v>FALSE</v>
      </c>
      <c r="AN635" s="10" t="str">
        <f t="shared" si="68"/>
        <v>FALSE</v>
      </c>
      <c r="AO635" s="10" t="str">
        <f t="shared" si="69"/>
        <v>y=2.4015*6.12^2+187.16*6.12-68.555</v>
      </c>
      <c r="AP635" s="10" t="str">
        <f t="shared" si="69"/>
        <v>y=0.155*6.12^2+210.99*6.12-92.045</v>
      </c>
      <c r="AQ635" s="10" t="b">
        <f>IF(AND(I635="TP",S635&lt;=150),VLOOKUP(AF635,TPCalibEq150!$AZ$2:$BB$55,3,),IF(AND(I635="TDP",S635&lt;=150),VLOOKUP(AF635,TPCalibEq150!$AZ$2:$BB$55,3,)))</f>
        <v>0</v>
      </c>
      <c r="AR635" s="10" t="b">
        <f>IF(AND(I635="TP",S635&lt;=300),VLOOKUP(AF635,TPCalibEq300!$AZ$2:$BB$55,3,),IF(AND(I635="TDP",S635&lt;=300),VLOOKUP(AF635,TPCalibEq300!$AZ$2:$BB$55,3,)))</f>
        <v>0</v>
      </c>
      <c r="AS635" s="10" t="b">
        <f>IF(AND(I635="TP",S635&lt;=500),VLOOKUP(AF635,TPCalibEq500!$AZ$2:$BB$56,3,),IF(AND(I635="TDP",S635&lt;=500),VLOOKUP(AF635,TPCalibEq500!$AZ$2:$BB$56,3,)))</f>
        <v>0</v>
      </c>
      <c r="AT635" s="10" t="str">
        <f>IF(AND(I635="TN",S635&lt;=2800),VLOOKUP(AF635,TNCalibEq2500!$AZ$2:$BB$56,3,),IF(AND(I635="TDN",S635&lt;=2800),VLOOKUP(AF635,TNCalibEq2500!$AZ$2:$BB$56,3,)))</f>
        <v>y=2.4015x2+187.16x-68.555</v>
      </c>
      <c r="AU635" s="10" t="str">
        <f>IF(I635="TP",VLOOKUP(AF635,TPCalibEqFull!$AZ$2:$BB$56,3),IF(I635="TDP",VLOOKUP(AF635,TPCalibEqFull!$AZ$2:$BB$56,3),IF(I635="TDN",VLOOKUP(AF635,TNCalibEqFull!$AZ$1:$BB$56,3),IF(I635="TN",VLOOKUP(AF635,TNCalibEqFull!$AZ$1:$BB$56,3),FALSE))))</f>
        <v>y=0.155x2+210.99x-92.045</v>
      </c>
      <c r="AV635" s="10" t="str">
        <f t="shared" si="67"/>
        <v>0110 09:30:00-HST-0-C-1-SW-DUP</v>
      </c>
    </row>
    <row r="636" spans="1:48" s="10" customFormat="1" x14ac:dyDescent="0.55000000000000004">
      <c r="A636" s="32">
        <v>44936</v>
      </c>
      <c r="B636" s="33">
        <v>0.39583333333333331</v>
      </c>
      <c r="C636" s="10" t="s">
        <v>912</v>
      </c>
      <c r="D636" s="10">
        <v>0</v>
      </c>
      <c r="E636" s="10" t="s">
        <v>190</v>
      </c>
      <c r="F636" s="10">
        <v>1</v>
      </c>
      <c r="G636" s="10" t="s">
        <v>231</v>
      </c>
      <c r="H636" s="10" t="s">
        <v>314</v>
      </c>
      <c r="I636" s="10" t="s">
        <v>235</v>
      </c>
      <c r="J636" s="10">
        <v>29</v>
      </c>
      <c r="K636" s="12">
        <v>44937</v>
      </c>
      <c r="L636" s="33">
        <v>0.59937499999999999</v>
      </c>
      <c r="M636" s="10">
        <v>1</v>
      </c>
      <c r="N636" s="10" t="s">
        <v>196</v>
      </c>
      <c r="O636" s="10">
        <v>19.100000000000001</v>
      </c>
      <c r="P636" s="10">
        <v>1.1399999999999999</v>
      </c>
      <c r="Q636" s="10">
        <v>4000</v>
      </c>
      <c r="R636" s="10" t="s">
        <v>170</v>
      </c>
      <c r="S636" s="34">
        <f t="shared" si="63"/>
        <v>4000</v>
      </c>
      <c r="T636" s="10" t="s">
        <v>1011</v>
      </c>
      <c r="U636" s="34">
        <f t="shared" si="64"/>
        <v>111.60000000000001</v>
      </c>
      <c r="V636" s="31">
        <f>IF(H636="CHK",VLOOKUP(I636,QCCHK,3,),IF(H636="GUP",VLOOKUP(E636,QCGUP,2,),IF(AND(H636="ATP",OR(I636="TN",I636="TDN",I636="TNO2-3",I636="NO2-3")),VLOOKUP(E636,QCREC_N,2,),IF(AND(H636="NIC",OR(I636="TN",I636="TDN",I636="TNO2-3",I636="NO2-3")),VLOOKUP(E636,QCNIC_N,2,),IF(AND(H636="UREA",OR(I636="TN",I636="TDN",I636="TNO2-3",I636="NO2-3")),VLOOKUP(E636,QCUREA_N,2,),IF(H636="PER",VLOOKUP(I636,QCPER,MATCH(E636,QCACTUAL!$J$25:$AA$25,0),),IF(H636="SPK",VLOOKUP(I636,QCSPK,3,),IF(AND(H636="ATP",OR(I636="TP",I636="TDP")),VLOOKUP(E636,QCATP_P,2,),""))))))))</f>
        <v>2500</v>
      </c>
      <c r="W636" s="31" t="str">
        <f t="shared" si="65"/>
        <v>TRUE</v>
      </c>
      <c r="X636" s="31" t="str">
        <f t="shared" si="66"/>
        <v>([spikedunkn]-[unkn])/[spike]*100</v>
      </c>
      <c r="Y636" s="10" t="s">
        <v>1004</v>
      </c>
      <c r="AF636" s="12">
        <v>44937</v>
      </c>
      <c r="AK636" s="10">
        <f>0.155*19.1^2+210.99*19.1-92.045</f>
        <v>3994.4095500000003</v>
      </c>
      <c r="AL636" s="10" t="str">
        <f t="shared" si="68"/>
        <v>FALSE</v>
      </c>
      <c r="AM636" s="10" t="str">
        <f t="shared" si="68"/>
        <v>FALSE</v>
      </c>
      <c r="AN636" s="10" t="str">
        <f t="shared" si="68"/>
        <v>FALSE</v>
      </c>
      <c r="AO636" s="10" t="str">
        <f t="shared" si="69"/>
        <v>FALSE</v>
      </c>
      <c r="AP636" s="10" t="str">
        <f t="shared" si="69"/>
        <v>y=0.155*19.1^2+210.99*19.1-92.045</v>
      </c>
      <c r="AQ636" s="10" t="b">
        <f>IF(AND(I636="TP",S636&lt;=150),VLOOKUP(AF636,TPCalibEq150!$AZ$2:$BB$55,3,),IF(AND(I636="TDP",S636&lt;=150),VLOOKUP(AF636,TPCalibEq150!$AZ$2:$BB$55,3,)))</f>
        <v>0</v>
      </c>
      <c r="AR636" s="10" t="b">
        <f>IF(AND(I636="TP",S636&lt;=300),VLOOKUP(AF636,TPCalibEq300!$AZ$2:$BB$55,3,),IF(AND(I636="TDP",S636&lt;=300),VLOOKUP(AF636,TPCalibEq300!$AZ$2:$BB$55,3,)))</f>
        <v>0</v>
      </c>
      <c r="AS636" s="10" t="b">
        <f>IF(AND(I636="TP",S636&lt;=500),VLOOKUP(AF636,TPCalibEq500!$AZ$2:$BB$56,3,),IF(AND(I636="TDP",S636&lt;=500),VLOOKUP(AF636,TPCalibEq500!$AZ$2:$BB$56,3,)))</f>
        <v>0</v>
      </c>
      <c r="AT636" s="10" t="b">
        <f>IF(AND(I636="TN",S636&lt;=2800),VLOOKUP(AF636,TNCalibEq2500!$AZ$2:$BB$56,3,),IF(AND(I636="TDN",S636&lt;=2800),VLOOKUP(AF636,TNCalibEq2500!$AZ$2:$BB$56,3,)))</f>
        <v>0</v>
      </c>
      <c r="AU636" s="10" t="str">
        <f>IF(I636="TP",VLOOKUP(AF636,TPCalibEqFull!$AZ$2:$BB$56,3),IF(I636="TDP",VLOOKUP(AF636,TPCalibEqFull!$AZ$2:$BB$56,3),IF(I636="TDN",VLOOKUP(AF636,TNCalibEqFull!$AZ$1:$BB$56,3),IF(I636="TN",VLOOKUP(AF636,TNCalibEqFull!$AZ$1:$BB$56,3),FALSE))))</f>
        <v>y=0.155x2+210.99x-92.045</v>
      </c>
      <c r="AV636" s="10" t="str">
        <f t="shared" si="67"/>
        <v>0110 09:30:00-HST -0-C-1-SW-SPK</v>
      </c>
    </row>
    <row r="637" spans="1:48" s="10" customFormat="1" x14ac:dyDescent="0.55000000000000004">
      <c r="A637" s="32">
        <v>44937</v>
      </c>
      <c r="B637" s="33">
        <v>0.375</v>
      </c>
      <c r="C637" s="10" t="s">
        <v>70</v>
      </c>
      <c r="D637" s="10" t="s">
        <v>71</v>
      </c>
      <c r="E637" s="10" t="s">
        <v>901</v>
      </c>
      <c r="F637" s="10">
        <v>1</v>
      </c>
      <c r="G637" s="10" t="s">
        <v>73</v>
      </c>
      <c r="H637" s="10" t="s">
        <v>207</v>
      </c>
      <c r="I637" s="10" t="s">
        <v>235</v>
      </c>
      <c r="J637" s="10">
        <v>199</v>
      </c>
      <c r="K637" s="12">
        <v>44937</v>
      </c>
      <c r="L637" s="33">
        <v>0.60004629629629636</v>
      </c>
      <c r="M637" s="10">
        <v>1</v>
      </c>
      <c r="N637" s="10" t="s">
        <v>196</v>
      </c>
      <c r="O637" s="10">
        <v>6.27</v>
      </c>
      <c r="P637" s="10">
        <v>0.38100000000000001</v>
      </c>
      <c r="Q637" s="10">
        <v>1250</v>
      </c>
      <c r="R637" s="10" t="s">
        <v>170</v>
      </c>
      <c r="S637" s="34">
        <f t="shared" si="63"/>
        <v>1250</v>
      </c>
      <c r="T637" s="10" t="s">
        <v>1011</v>
      </c>
      <c r="U637" s="34">
        <f t="shared" si="64"/>
        <v>100</v>
      </c>
      <c r="V637" s="31">
        <f>IF(H637="CHK",VLOOKUP(I637,QCCHK,3,),IF(H637="GUP",VLOOKUP(E637,QCGUP,2,),IF(AND(H637="ATP",OR(I637="TN",I637="TDN",I637="TNO2-3",I637="NO2-3")),VLOOKUP(E637,QCREC_N,2,),IF(AND(H637="NIC",OR(I637="TN",I637="TDN",I637="TNO2-3",I637="NO2-3")),VLOOKUP(E637,QCNIC_N,2,),IF(AND(H637="UREA",OR(I637="TN",I637="TDN",I637="TNO2-3",I637="NO2-3")),VLOOKUP(E637,QCUREA_N,2,),IF(H637="PER",VLOOKUP(I637,QCPER,MATCH(E637,QCACTUAL!$J$25:$AA$25,0),),IF(H637="SPK",VLOOKUP(I637,QCSPK,3,),IF(AND(H637="ATP",OR(I637="TP",I637="TDP")),VLOOKUP(E637,QCATP_P,2,),""))))))))</f>
        <v>1250</v>
      </c>
      <c r="W637" s="31" t="str">
        <f t="shared" si="65"/>
        <v>TRUE</v>
      </c>
      <c r="X637" s="31" t="str">
        <f t="shared" si="66"/>
        <v>[chk]/[actual]*100</v>
      </c>
      <c r="Y637" s="10" t="s">
        <v>1004</v>
      </c>
      <c r="AF637" s="12">
        <v>44937</v>
      </c>
      <c r="AJ637" s="10">
        <f>2.4015*6.27^2+187.16*6.27-68.555</f>
        <v>1199.3481293499999</v>
      </c>
      <c r="AK637" s="10">
        <f>0.155*6.27^2+210.99*6.27-92.045</f>
        <v>1236.9557995</v>
      </c>
      <c r="AL637" s="10" t="str">
        <f t="shared" si="68"/>
        <v>FALSE</v>
      </c>
      <c r="AM637" s="10" t="str">
        <f t="shared" si="68"/>
        <v>FALSE</v>
      </c>
      <c r="AN637" s="10" t="str">
        <f t="shared" si="68"/>
        <v>FALSE</v>
      </c>
      <c r="AO637" s="10" t="str">
        <f t="shared" si="69"/>
        <v>y=2.4015*6.27^2+187.16*6.27-68.555</v>
      </c>
      <c r="AP637" s="10" t="str">
        <f t="shared" si="69"/>
        <v>y=0.155*6.27^2+210.99*6.27-92.045</v>
      </c>
      <c r="AQ637" s="10" t="b">
        <f>IF(AND(I637="TP",S637&lt;=150),VLOOKUP(AF637,TPCalibEq150!$AZ$2:$BB$55,3,),IF(AND(I637="TDP",S637&lt;=150),VLOOKUP(AF637,TPCalibEq150!$AZ$2:$BB$55,3,)))</f>
        <v>0</v>
      </c>
      <c r="AR637" s="10" t="b">
        <f>IF(AND(I637="TP",S637&lt;=300),VLOOKUP(AF637,TPCalibEq300!$AZ$2:$BB$55,3,),IF(AND(I637="TDP",S637&lt;=300),VLOOKUP(AF637,TPCalibEq300!$AZ$2:$BB$55,3,)))</f>
        <v>0</v>
      </c>
      <c r="AS637" s="10" t="b">
        <f>IF(AND(I637="TP",S637&lt;=500),VLOOKUP(AF637,TPCalibEq500!$AZ$2:$BB$56,3,),IF(AND(I637="TDP",S637&lt;=500),VLOOKUP(AF637,TPCalibEq500!$AZ$2:$BB$56,3,)))</f>
        <v>0</v>
      </c>
      <c r="AT637" s="10" t="str">
        <f>IF(AND(I637="TN",S637&lt;=2800),VLOOKUP(AF637,TNCalibEq2500!$AZ$2:$BB$56,3,),IF(AND(I637="TDN",S637&lt;=2800),VLOOKUP(AF637,TNCalibEq2500!$AZ$2:$BB$56,3,)))</f>
        <v>y=2.4015x2+187.16x-68.555</v>
      </c>
      <c r="AU637" s="10" t="str">
        <f>IF(I637="TP",VLOOKUP(AF637,TPCalibEqFull!$AZ$2:$BB$56,3),IF(I637="TDP",VLOOKUP(AF637,TPCalibEqFull!$AZ$2:$BB$56,3),IF(I637="TDN",VLOOKUP(AF637,TNCalibEqFull!$AZ$1:$BB$56,3),IF(I637="TN",VLOOKUP(AF637,TNCalibEqFull!$AZ$1:$BB$56,3),FALSE))))</f>
        <v>y=0.155x2+210.99x-92.045</v>
      </c>
      <c r="AV637" s="10" t="str">
        <f t="shared" si="67"/>
        <v>0111 09:00:00-QAC-STD-D-1-DI-CHK</v>
      </c>
    </row>
    <row r="638" spans="1:48" s="10" customFormat="1" x14ac:dyDescent="0.55000000000000004">
      <c r="A638" s="32">
        <v>44935</v>
      </c>
      <c r="B638" s="33">
        <v>0.25</v>
      </c>
      <c r="C638" s="10" t="s">
        <v>70</v>
      </c>
      <c r="D638" s="10" t="s">
        <v>241</v>
      </c>
      <c r="E638" s="10" t="s">
        <v>866</v>
      </c>
      <c r="F638" s="10">
        <v>1</v>
      </c>
      <c r="G638" s="10" t="s">
        <v>73</v>
      </c>
      <c r="H638" s="10" t="s">
        <v>264</v>
      </c>
      <c r="I638" s="10" t="s">
        <v>235</v>
      </c>
      <c r="J638" s="10">
        <v>123</v>
      </c>
      <c r="K638" s="12">
        <v>44937</v>
      </c>
      <c r="L638" s="33">
        <v>0.60071759259259261</v>
      </c>
      <c r="M638" s="10">
        <v>1</v>
      </c>
      <c r="N638" s="10" t="s">
        <v>196</v>
      </c>
      <c r="O638" s="10">
        <v>0.38300000000000001</v>
      </c>
      <c r="P638" s="10">
        <v>2.3800000000000002E-2</v>
      </c>
      <c r="Q638" s="10">
        <v>-16.399999999999999</v>
      </c>
      <c r="R638" s="10" t="s">
        <v>170</v>
      </c>
      <c r="S638" s="34">
        <f t="shared" si="63"/>
        <v>3.4795536335000037</v>
      </c>
      <c r="T638" s="10" t="s">
        <v>1011</v>
      </c>
      <c r="U638" s="34">
        <f t="shared" si="64"/>
        <v>3.4795536335000037</v>
      </c>
      <c r="V638" s="31" t="str">
        <f>IF(H638="CHK",VLOOKUP(I638,QCCHK,3,),IF(H638="GUP",VLOOKUP(E638,QCGUP,2,),IF(AND(H638="ATP",OR(I638="TN",I638="TDN",I638="TNO2-3",I638="NO2-3")),VLOOKUP(E638,QCREC_N,2,),IF(AND(H638="NIC",OR(I638="TN",I638="TDN",I638="TNO2-3",I638="NO2-3")),VLOOKUP(E638,QCNIC_N,2,),IF(AND(H638="UREA",OR(I638="TN",I638="TDN",I638="TNO2-3",I638="NO2-3")),VLOOKUP(E638,QCUREA_N,2,),IF(H638="PER",VLOOKUP(I638,QCPER,MATCH(E638,QCACTUAL!$J$25:$AA$25,0),),IF(H638="SPK",VLOOKUP(I638,QCSPK,3,),IF(AND(H638="ATP",OR(I638="TP",I638="TDP")),VLOOKUP(E638,QCATP_P,2,),""))))))))</f>
        <v/>
      </c>
      <c r="W638" s="31" t="str">
        <f t="shared" si="65"/>
        <v>TRUE</v>
      </c>
      <c r="X638" s="31" t="str">
        <f t="shared" si="66"/>
        <v>nominal concentration</v>
      </c>
      <c r="Y638" s="10" t="s">
        <v>1004</v>
      </c>
      <c r="Z638" s="10" t="s">
        <v>910</v>
      </c>
      <c r="AF638" s="12">
        <v>44937</v>
      </c>
      <c r="AJ638" s="10">
        <f>2.4015*0.383^2+187.16*0.383-68.555</f>
        <v>3.4795536335000037</v>
      </c>
      <c r="AK638" s="10">
        <f>0.155*0.383^2+210.99*0.383-92.045</f>
        <v>-11.213093204999993</v>
      </c>
      <c r="AL638" s="10" t="str">
        <f t="shared" si="68"/>
        <v>FALSE</v>
      </c>
      <c r="AM638" s="10" t="str">
        <f t="shared" si="68"/>
        <v>FALSE</v>
      </c>
      <c r="AN638" s="10" t="str">
        <f t="shared" si="68"/>
        <v>FALSE</v>
      </c>
      <c r="AO638" s="10" t="str">
        <f t="shared" si="69"/>
        <v>y=2.4015*0.383^2+187.16*0.383-68.555</v>
      </c>
      <c r="AP638" s="10" t="str">
        <f t="shared" si="69"/>
        <v>y=0.155*0.383^2+210.99*0.383-92.045</v>
      </c>
      <c r="AQ638" s="10" t="b">
        <f>IF(AND(I638="TP",S638&lt;=150),VLOOKUP(AF638,TPCalibEq150!$AZ$2:$BB$55,3,),IF(AND(I638="TDP",S638&lt;=150),VLOOKUP(AF638,TPCalibEq150!$AZ$2:$BB$55,3,)))</f>
        <v>0</v>
      </c>
      <c r="AR638" s="10" t="b">
        <f>IF(AND(I638="TP",S638&lt;=300),VLOOKUP(AF638,TPCalibEq300!$AZ$2:$BB$55,3,),IF(AND(I638="TDP",S638&lt;=300),VLOOKUP(AF638,TPCalibEq300!$AZ$2:$BB$55,3,)))</f>
        <v>0</v>
      </c>
      <c r="AS638" s="10" t="b">
        <f>IF(AND(I638="TP",S638&lt;=500),VLOOKUP(AF638,TPCalibEq500!$AZ$2:$BB$56,3,),IF(AND(I638="TDP",S638&lt;=500),VLOOKUP(AF638,TPCalibEq500!$AZ$2:$BB$56,3,)))</f>
        <v>0</v>
      </c>
      <c r="AT638" s="10" t="str">
        <f>IF(AND(I638="TN",S638&lt;=2800),VLOOKUP(AF638,TNCalibEq2500!$AZ$2:$BB$56,3,),IF(AND(I638="TDN",S638&lt;=2800),VLOOKUP(AF638,TNCalibEq2500!$AZ$2:$BB$56,3,)))</f>
        <v>y=2.4015x2+187.16x-68.555</v>
      </c>
      <c r="AU638" s="10" t="str">
        <f>IF(I638="TP",VLOOKUP(AF638,TPCalibEqFull!$AZ$2:$BB$56,3),IF(I638="TDP",VLOOKUP(AF638,TPCalibEqFull!$AZ$2:$BB$56,3),IF(I638="TDN",VLOOKUP(AF638,TNCalibEqFull!$AZ$1:$BB$56,3),IF(I638="TN",VLOOKUP(AF638,TNCalibEqFull!$AZ$1:$BB$56,3),FALSE))))</f>
        <v>y=0.155x2+210.99x-92.045</v>
      </c>
      <c r="AV638" s="10" t="str">
        <f t="shared" si="67"/>
        <v>0109 06:00:00-QAC-BLK-A-1-DI-FLD</v>
      </c>
    </row>
    <row r="639" spans="1:48" s="10" customFormat="1" x14ac:dyDescent="0.55000000000000004">
      <c r="A639" s="32">
        <v>44936</v>
      </c>
      <c r="B639" s="33">
        <v>0.36458333333333331</v>
      </c>
      <c r="C639" s="10" t="s">
        <v>70</v>
      </c>
      <c r="D639" s="10" t="s">
        <v>241</v>
      </c>
      <c r="E639" s="10" t="s">
        <v>866</v>
      </c>
      <c r="F639" s="10">
        <v>1</v>
      </c>
      <c r="G639" s="10" t="s">
        <v>73</v>
      </c>
      <c r="H639" s="10" t="s">
        <v>245</v>
      </c>
      <c r="I639" s="10" t="s">
        <v>235</v>
      </c>
      <c r="J639" s="10">
        <v>124</v>
      </c>
      <c r="K639" s="12">
        <v>44937</v>
      </c>
      <c r="L639" s="33">
        <v>0.60137731481481482</v>
      </c>
      <c r="M639" s="10">
        <v>1</v>
      </c>
      <c r="N639" s="10" t="s">
        <v>196</v>
      </c>
      <c r="O639" s="10">
        <v>0.38500000000000001</v>
      </c>
      <c r="P639" s="10">
        <v>2.29E-2</v>
      </c>
      <c r="Q639" s="10">
        <v>-16</v>
      </c>
      <c r="R639" s="10" t="s">
        <v>170</v>
      </c>
      <c r="S639" s="34">
        <f t="shared" si="63"/>
        <v>3.8575623374999992</v>
      </c>
      <c r="T639" s="10" t="s">
        <v>1011</v>
      </c>
      <c r="U639" s="34">
        <f t="shared" si="64"/>
        <v>3.8575623374999992</v>
      </c>
      <c r="V639" s="31" t="str">
        <f>IF(H639="CHK",VLOOKUP(I639,QCCHK,3,),IF(H639="GUP",VLOOKUP(E639,QCGUP,2,),IF(AND(H639="ATP",OR(I639="TN",I639="TDN",I639="TNO2-3",I639="NO2-3")),VLOOKUP(E639,QCREC_N,2,),IF(AND(H639="NIC",OR(I639="TN",I639="TDN",I639="TNO2-3",I639="NO2-3")),VLOOKUP(E639,QCNIC_N,2,),IF(AND(H639="UREA",OR(I639="TN",I639="TDN",I639="TNO2-3",I639="NO2-3")),VLOOKUP(E639,QCUREA_N,2,),IF(H639="PER",VLOOKUP(I639,QCPER,MATCH(E639,QCACTUAL!$J$25:$AA$25,0),),IF(H639="SPK",VLOOKUP(I639,QCSPK,3,),IF(AND(H639="ATP",OR(I639="TP",I639="TDP")),VLOOKUP(E639,QCATP_P,2,),""))))))))</f>
        <v/>
      </c>
      <c r="W639" s="31" t="str">
        <f t="shared" si="65"/>
        <v>TRUE</v>
      </c>
      <c r="X639" s="31" t="str">
        <f t="shared" si="66"/>
        <v>nominal concentration</v>
      </c>
      <c r="Y639" s="10" t="s">
        <v>1004</v>
      </c>
      <c r="AF639" s="12">
        <v>44937</v>
      </c>
      <c r="AJ639" s="10">
        <f>2.4015*0.385^2+187.16*0.385-68.555</f>
        <v>3.8575623374999992</v>
      </c>
      <c r="AK639" s="10">
        <f>0.155*0.385^2+210.99*0.385-92.045</f>
        <v>-10.790875124999999</v>
      </c>
      <c r="AL639" s="10" t="str">
        <f t="shared" si="68"/>
        <v>FALSE</v>
      </c>
      <c r="AM639" s="10" t="str">
        <f t="shared" si="68"/>
        <v>FALSE</v>
      </c>
      <c r="AN639" s="10" t="str">
        <f t="shared" si="68"/>
        <v>FALSE</v>
      </c>
      <c r="AO639" s="10" t="str">
        <f t="shared" si="69"/>
        <v>y=2.4015*0.385^2+187.16*0.385-68.555</v>
      </c>
      <c r="AP639" s="10" t="str">
        <f t="shared" si="69"/>
        <v>y=0.155*0.385^2+210.99*0.385-92.045</v>
      </c>
      <c r="AQ639" s="10" t="b">
        <f>IF(AND(I639="TP",S639&lt;=150),VLOOKUP(AF639,TPCalibEq150!$AZ$2:$BB$55,3,),IF(AND(I639="TDP",S639&lt;=150),VLOOKUP(AF639,TPCalibEq150!$AZ$2:$BB$55,3,)))</f>
        <v>0</v>
      </c>
      <c r="AR639" s="10" t="b">
        <f>IF(AND(I639="TP",S639&lt;=300),VLOOKUP(AF639,TPCalibEq300!$AZ$2:$BB$55,3,),IF(AND(I639="TDP",S639&lt;=300),VLOOKUP(AF639,TPCalibEq300!$AZ$2:$BB$55,3,)))</f>
        <v>0</v>
      </c>
      <c r="AS639" s="10" t="b">
        <f>IF(AND(I639="TP",S639&lt;=500),VLOOKUP(AF639,TPCalibEq500!$AZ$2:$BB$56,3,),IF(AND(I639="TDP",S639&lt;=500),VLOOKUP(AF639,TPCalibEq500!$AZ$2:$BB$56,3,)))</f>
        <v>0</v>
      </c>
      <c r="AT639" s="10" t="str">
        <f>IF(AND(I639="TN",S639&lt;=2800),VLOOKUP(AF639,TNCalibEq2500!$AZ$2:$BB$56,3,),IF(AND(I639="TDN",S639&lt;=2800),VLOOKUP(AF639,TNCalibEq2500!$AZ$2:$BB$56,3,)))</f>
        <v>y=2.4015x2+187.16x-68.555</v>
      </c>
      <c r="AU639" s="10" t="str">
        <f>IF(I639="TP",VLOOKUP(AF639,TPCalibEqFull!$AZ$2:$BB$56,3),IF(I639="TDP",VLOOKUP(AF639,TPCalibEqFull!$AZ$2:$BB$56,3),IF(I639="TDN",VLOOKUP(AF639,TNCalibEqFull!$AZ$1:$BB$56,3),IF(I639="TN",VLOOKUP(AF639,TNCalibEqFull!$AZ$1:$BB$56,3),FALSE))))</f>
        <v>y=0.155x2+210.99x-92.045</v>
      </c>
      <c r="AV639" s="10" t="str">
        <f t="shared" si="67"/>
        <v>0110 08:45:00-QAC-BLK-A-1-DI-ESF</v>
      </c>
    </row>
    <row r="640" spans="1:48" s="10" customFormat="1" x14ac:dyDescent="0.55000000000000004">
      <c r="A640" s="32">
        <v>44935</v>
      </c>
      <c r="B640" s="33">
        <v>0.25</v>
      </c>
      <c r="C640" s="10" t="s">
        <v>70</v>
      </c>
      <c r="D640" s="10" t="s">
        <v>241</v>
      </c>
      <c r="E640" s="10" t="s">
        <v>911</v>
      </c>
      <c r="F640" s="10">
        <v>1</v>
      </c>
      <c r="G640" s="10" t="s">
        <v>73</v>
      </c>
      <c r="H640" s="10" t="s">
        <v>264</v>
      </c>
      <c r="I640" s="10" t="s">
        <v>224</v>
      </c>
      <c r="J640" s="10">
        <v>125</v>
      </c>
      <c r="K640" s="12">
        <v>44937</v>
      </c>
      <c r="L640" s="33">
        <v>0.60204861111111108</v>
      </c>
      <c r="M640" s="10">
        <v>1</v>
      </c>
      <c r="N640" s="10" t="s">
        <v>196</v>
      </c>
      <c r="O640" s="10">
        <v>0.51800000000000002</v>
      </c>
      <c r="P640" s="10">
        <v>3.09E-2</v>
      </c>
      <c r="Q640" s="10">
        <v>12.4</v>
      </c>
      <c r="R640" s="10" t="s">
        <v>170</v>
      </c>
      <c r="S640" s="34">
        <f t="shared" si="63"/>
        <v>29.038260085999994</v>
      </c>
      <c r="T640" s="10" t="s">
        <v>1011</v>
      </c>
      <c r="U640" s="34">
        <f t="shared" si="64"/>
        <v>29.038260085999994</v>
      </c>
      <c r="V640" s="31" t="str">
        <f>IF(H640="CHK",VLOOKUP(I640,QCCHK,3,),IF(H640="GUP",VLOOKUP(E640,QCGUP,2,),IF(AND(H640="ATP",OR(I640="TN",I640="TDN",I640="TNO2-3",I640="NO2-3")),VLOOKUP(E640,QCREC_N,2,),IF(AND(H640="NIC",OR(I640="TN",I640="TDN",I640="TNO2-3",I640="NO2-3")),VLOOKUP(E640,QCNIC_N,2,),IF(AND(H640="UREA",OR(I640="TN",I640="TDN",I640="TNO2-3",I640="NO2-3")),VLOOKUP(E640,QCUREA_N,2,),IF(H640="PER",VLOOKUP(I640,QCPER,MATCH(E640,QCACTUAL!$J$25:$AA$25,0),),IF(H640="SPK",VLOOKUP(I640,QCSPK,3,),IF(AND(H640="ATP",OR(I640="TP",I640="TDP")),VLOOKUP(E640,QCATP_P,2,),""))))))))</f>
        <v/>
      </c>
      <c r="W640" s="31" t="str">
        <f t="shared" si="65"/>
        <v>FALSE</v>
      </c>
      <c r="X640" s="31" t="str">
        <f t="shared" si="66"/>
        <v>nominal concentration</v>
      </c>
      <c r="Y640" s="10" t="s">
        <v>1004</v>
      </c>
      <c r="Z640" s="10" t="s">
        <v>910</v>
      </c>
      <c r="AF640" s="12">
        <v>44937</v>
      </c>
      <c r="AJ640" s="10">
        <f>2.4015*0.518^2+187.16*0.518-68.555</f>
        <v>29.038260085999994</v>
      </c>
      <c r="AK640" s="10">
        <f>0.155*0.518^2+210.99*0.518-92.045</f>
        <v>17.289410220000008</v>
      </c>
      <c r="AL640" s="10" t="str">
        <f t="shared" si="68"/>
        <v>FALSE</v>
      </c>
      <c r="AM640" s="10" t="str">
        <f t="shared" si="68"/>
        <v>FALSE</v>
      </c>
      <c r="AN640" s="10" t="str">
        <f t="shared" si="68"/>
        <v>FALSE</v>
      </c>
      <c r="AO640" s="10" t="str">
        <f t="shared" si="69"/>
        <v>y=2.4015*0.518^2+187.16*0.518-68.555</v>
      </c>
      <c r="AP640" s="10" t="str">
        <f t="shared" si="69"/>
        <v>y=0.155*0.518^2+210.99*0.518-92.045</v>
      </c>
      <c r="AQ640" s="10" t="b">
        <f>IF(AND(I640="TP",S640&lt;=150),VLOOKUP(AF640,TPCalibEq150!$AZ$2:$BB$55,3,),IF(AND(I640="TDP",S640&lt;=150),VLOOKUP(AF640,TPCalibEq150!$AZ$2:$BB$55,3,)))</f>
        <v>0</v>
      </c>
      <c r="AR640" s="10" t="b">
        <f>IF(AND(I640="TP",S640&lt;=300),VLOOKUP(AF640,TPCalibEq300!$AZ$2:$BB$55,3,),IF(AND(I640="TDP",S640&lt;=300),VLOOKUP(AF640,TPCalibEq300!$AZ$2:$BB$55,3,)))</f>
        <v>0</v>
      </c>
      <c r="AS640" s="10" t="b">
        <f>IF(AND(I640="TP",S640&lt;=500),VLOOKUP(AF640,TPCalibEq500!$AZ$2:$BB$56,3,),IF(AND(I640="TDP",S640&lt;=500),VLOOKUP(AF640,TPCalibEq500!$AZ$2:$BB$56,3,)))</f>
        <v>0</v>
      </c>
      <c r="AT640" s="10" t="str">
        <f>IF(AND(I640="TN",S640&lt;=2800),VLOOKUP(AF640,TNCalibEq2500!$AZ$2:$BB$56,3,),IF(AND(I640="TDN",S640&lt;=2800),VLOOKUP(AF640,TNCalibEq2500!$AZ$2:$BB$56,3,)))</f>
        <v>y=2.4015x2+187.16x-68.555</v>
      </c>
      <c r="AU640" s="10" t="str">
        <f>IF(I640="TP",VLOOKUP(AF640,TPCalibEqFull!$AZ$2:$BB$56,3),IF(I640="TDP",VLOOKUP(AF640,TPCalibEqFull!$AZ$2:$BB$56,3),IF(I640="TDN",VLOOKUP(AF640,TNCalibEqFull!$AZ$1:$BB$56,3),IF(I640="TN",VLOOKUP(AF640,TNCalibEqFull!$AZ$1:$BB$56,3),FALSE))))</f>
        <v>y=0.155x2+210.99x-92.045</v>
      </c>
      <c r="AV640" s="10" t="str">
        <f t="shared" si="67"/>
        <v>0109 06:00:00-QAC-BLK-FIL-1-DI-FLD</v>
      </c>
    </row>
    <row r="641" spans="1:48" s="10" customFormat="1" x14ac:dyDescent="0.55000000000000004">
      <c r="A641" s="32">
        <v>44936</v>
      </c>
      <c r="B641" s="33">
        <v>0.36458333333333331</v>
      </c>
      <c r="C641" s="10" t="s">
        <v>70</v>
      </c>
      <c r="D641" s="10" t="s">
        <v>241</v>
      </c>
      <c r="E641" s="10" t="s">
        <v>911</v>
      </c>
      <c r="F641" s="10">
        <v>1</v>
      </c>
      <c r="G641" s="10" t="s">
        <v>73</v>
      </c>
      <c r="H641" s="10" t="s">
        <v>245</v>
      </c>
      <c r="I641" s="10" t="s">
        <v>224</v>
      </c>
      <c r="J641" s="10">
        <v>126</v>
      </c>
      <c r="K641" s="12">
        <v>44937</v>
      </c>
      <c r="L641" s="33">
        <v>0.60271990740740744</v>
      </c>
      <c r="M641" s="10">
        <v>1</v>
      </c>
      <c r="N641" s="10" t="s">
        <v>196</v>
      </c>
      <c r="O641" s="10">
        <v>0.46100000000000002</v>
      </c>
      <c r="P641" s="10">
        <v>2.8000000000000001E-2</v>
      </c>
      <c r="Q641" s="10">
        <v>0.189</v>
      </c>
      <c r="R641" s="10" t="s">
        <v>170</v>
      </c>
      <c r="S641" s="34">
        <f t="shared" si="63"/>
        <v>18.23612918149999</v>
      </c>
      <c r="T641" s="10" t="s">
        <v>1011</v>
      </c>
      <c r="U641" s="34">
        <f t="shared" si="64"/>
        <v>18.23612918149999</v>
      </c>
      <c r="V641" s="31" t="str">
        <f>IF(H641="CHK",VLOOKUP(I641,QCCHK,3,),IF(H641="GUP",VLOOKUP(E641,QCGUP,2,),IF(AND(H641="ATP",OR(I641="TN",I641="TDN",I641="TNO2-3",I641="NO2-3")),VLOOKUP(E641,QCREC_N,2,),IF(AND(H641="NIC",OR(I641="TN",I641="TDN",I641="TNO2-3",I641="NO2-3")),VLOOKUP(E641,QCNIC_N,2,),IF(AND(H641="UREA",OR(I641="TN",I641="TDN",I641="TNO2-3",I641="NO2-3")),VLOOKUP(E641,QCUREA_N,2,),IF(H641="PER",VLOOKUP(I641,QCPER,MATCH(E641,QCACTUAL!$J$25:$AA$25,0),),IF(H641="SPK",VLOOKUP(I641,QCSPK,3,),IF(AND(H641="ATP",OR(I641="TP",I641="TDP")),VLOOKUP(E641,QCATP_P,2,),""))))))))</f>
        <v/>
      </c>
      <c r="W641" s="31" t="str">
        <f t="shared" si="65"/>
        <v>FALSE</v>
      </c>
      <c r="X641" s="31" t="str">
        <f t="shared" si="66"/>
        <v>nominal concentration</v>
      </c>
      <c r="Y641" s="10" t="s">
        <v>1004</v>
      </c>
      <c r="AF641" s="12">
        <v>44937</v>
      </c>
      <c r="AJ641" s="10">
        <f>2.4015*0.461^2+187.16*0.461-68.555</f>
        <v>18.23612918149999</v>
      </c>
      <c r="AK641" s="10">
        <f>0.155*0.461^2+210.99*0.461-92.045</f>
        <v>5.2543307550000122</v>
      </c>
      <c r="AL641" s="10" t="str">
        <f t="shared" si="68"/>
        <v>FALSE</v>
      </c>
      <c r="AM641" s="10" t="str">
        <f t="shared" si="68"/>
        <v>FALSE</v>
      </c>
      <c r="AN641" s="10" t="str">
        <f t="shared" si="68"/>
        <v>FALSE</v>
      </c>
      <c r="AO641" s="10" t="str">
        <f t="shared" si="69"/>
        <v>y=2.4015*0.461^2+187.16*0.461-68.555</v>
      </c>
      <c r="AP641" s="10" t="str">
        <f t="shared" si="69"/>
        <v>y=0.155*0.461^2+210.99*0.461-92.045</v>
      </c>
      <c r="AQ641" s="10" t="b">
        <f>IF(AND(I641="TP",S641&lt;=150),VLOOKUP(AF641,TPCalibEq150!$AZ$2:$BB$55,3,),IF(AND(I641="TDP",S641&lt;=150),VLOOKUP(AF641,TPCalibEq150!$AZ$2:$BB$55,3,)))</f>
        <v>0</v>
      </c>
      <c r="AR641" s="10" t="b">
        <f>IF(AND(I641="TP",S641&lt;=300),VLOOKUP(AF641,TPCalibEq300!$AZ$2:$BB$55,3,),IF(AND(I641="TDP",S641&lt;=300),VLOOKUP(AF641,TPCalibEq300!$AZ$2:$BB$55,3,)))</f>
        <v>0</v>
      </c>
      <c r="AS641" s="10" t="b">
        <f>IF(AND(I641="TP",S641&lt;=500),VLOOKUP(AF641,TPCalibEq500!$AZ$2:$BB$56,3,),IF(AND(I641="TDP",S641&lt;=500),VLOOKUP(AF641,TPCalibEq500!$AZ$2:$BB$56,3,)))</f>
        <v>0</v>
      </c>
      <c r="AT641" s="10" t="str">
        <f>IF(AND(I641="TN",S641&lt;=2800),VLOOKUP(AF641,TNCalibEq2500!$AZ$2:$BB$56,3,),IF(AND(I641="TDN",S641&lt;=2800),VLOOKUP(AF641,TNCalibEq2500!$AZ$2:$BB$56,3,)))</f>
        <v>y=2.4015x2+187.16x-68.555</v>
      </c>
      <c r="AU641" s="10" t="str">
        <f>IF(I641="TP",VLOOKUP(AF641,TPCalibEqFull!$AZ$2:$BB$56,3),IF(I641="TDP",VLOOKUP(AF641,TPCalibEqFull!$AZ$2:$BB$56,3),IF(I641="TDN",VLOOKUP(AF641,TNCalibEqFull!$AZ$1:$BB$56,3),IF(I641="TN",VLOOKUP(AF641,TNCalibEqFull!$AZ$1:$BB$56,3),FALSE))))</f>
        <v>y=0.155x2+210.99x-92.045</v>
      </c>
      <c r="AV641" s="10" t="str">
        <f t="shared" si="67"/>
        <v>0110 08:45:00-QAC-BLK-FIL-1-DI-ESF</v>
      </c>
    </row>
    <row r="642" spans="1:48" s="10" customFormat="1" x14ac:dyDescent="0.55000000000000004">
      <c r="A642" s="32">
        <v>44930</v>
      </c>
      <c r="B642" s="33">
        <v>0.22569444444444445</v>
      </c>
      <c r="C642" s="10" t="s">
        <v>279</v>
      </c>
      <c r="D642" s="10">
        <v>0</v>
      </c>
      <c r="E642" s="10" t="s">
        <v>160</v>
      </c>
      <c r="F642" s="10">
        <v>1</v>
      </c>
      <c r="G642" s="10" t="s">
        <v>231</v>
      </c>
      <c r="H642" s="10" t="s">
        <v>322</v>
      </c>
      <c r="I642" s="10" t="s">
        <v>235</v>
      </c>
      <c r="J642" s="10">
        <v>91</v>
      </c>
      <c r="K642" s="12">
        <v>44937</v>
      </c>
      <c r="L642" s="33">
        <v>0.60339120370370369</v>
      </c>
      <c r="M642" s="10">
        <v>1</v>
      </c>
      <c r="N642" s="10" t="s">
        <v>196</v>
      </c>
      <c r="O642" s="10">
        <v>6.64</v>
      </c>
      <c r="P642" s="10">
        <v>0.39900000000000002</v>
      </c>
      <c r="Q642" s="10">
        <v>1330</v>
      </c>
      <c r="R642" s="10" t="s">
        <v>170</v>
      </c>
      <c r="S642" s="34">
        <f t="shared" ref="S642:S705" si="70">IF(OR(AND(I642&lt;&gt;"TP", I642&lt;&gt;"TDP",I642&lt;&gt;"TN", I642&lt;&gt;"TDN"),H642="CAL"), Q642*M642, IF(OR(AND(I642="TN", Q642&gt;2500), AND(I642="TDN", Q642&gt;2500)),MAX(Q642, AK642)*M642, IF(OR(AND(I642="TN", Q642&lt;=2500), AND(I642="TDN", Q642&lt;=2500)),MAX(Q642, AJ642,AK642)*M642, IF(OR(AND(I642="TP",Q642&gt;500), AND(I642="TDP", Q642&gt;500)),MAX(Q642,AK642)*M642,IF(OR(AND(I642="TP",Q642&lt;=150), AND(I642="TDP", Q642&lt;=150)),MAX(Q642,AG642:AI642,AK642)*M642,IF(OR(AND(I642="TP",Q642&lt;=300), AND(I642="TDP", Q642&lt;=300)),MAX(Q642,AH642,AI642,AK642)*M642,IF(OR(AND(I642="TP",Q642&lt;=500), AND(I642="TDP", Q642&lt;=500)),MAX(Q642,AI642,AK642)*M642,"")))))))</f>
        <v>1330</v>
      </c>
      <c r="T642" s="10" t="s">
        <v>1011</v>
      </c>
      <c r="U642" s="34" t="str">
        <f t="shared" ref="U642:U705" si="71">IF(OR(H642="CHK",H642="ATP",H642="GUP",H642="PER", H642="NIC", H642="UREA"),(S642/V642*100),IF(H642="DUP",((ABS(S642-S641))/((S641+S642)/2))*100,IF(H642="SPK",((S642-S641)/V642*100),IF(OR(H642="LAB",H642="FLD",H642="ESF"),S642,""))))</f>
        <v/>
      </c>
      <c r="V642" s="31" t="str">
        <f>IF(H642="CHK",VLOOKUP(I642,QCCHK,3,),IF(H642="GUP",VLOOKUP(E642,QCGUP,2,),IF(AND(H642="ATP",OR(I642="TN",I642="TDN",I642="TNO2-3",I642="NO2-3")),VLOOKUP(E642,QCREC_N,2,),IF(AND(H642="NIC",OR(I642="TN",I642="TDN",I642="TNO2-3",I642="NO2-3")),VLOOKUP(E642,QCNIC_N,2,),IF(AND(H642="UREA",OR(I642="TN",I642="TDN",I642="TNO2-3",I642="NO2-3")),VLOOKUP(E642,QCUREA_N,2,),IF(H642="PER",VLOOKUP(I642,QCPER,MATCH(E642,QCACTUAL!$J$25:$AA$25,0),),IF(H642="SPK",VLOOKUP(I642,QCSPK,3,),IF(AND(H642="ATP",OR(I642="TP",I642="TDP")),VLOOKUP(E642,QCATP_P,2,),""))))))))</f>
        <v/>
      </c>
      <c r="W642" s="31" t="str">
        <f t="shared" ref="W642:W705" si="72">IF(AND(OR(H642="PER",H642="ATP",H642="GUP",H642="CHK",H642="SPK", H642="NIC"),OR(U642&gt;125,U642&lt;75)),"FALSE",IF(AND(H642="DUP",OR(U642&gt;25, U642&lt;-25)),"FALSE",IF(AND(OR(H642="LAB",H642="FLD",H642="ESF"),U642&gt;15),"FALSE","TRUE")))</f>
        <v>TRUE</v>
      </c>
      <c r="X642" s="31" t="str">
        <f t="shared" ref="X642:X705" si="73">IF(ISNA(VLOOKUP(H642,QCEQUATIONS,2,)),"",(VLOOKUP(H642,QCEQUATIONS,2,)))</f>
        <v/>
      </c>
      <c r="Y642" s="10" t="s">
        <v>1004</v>
      </c>
      <c r="Z642" s="10" t="s">
        <v>910</v>
      </c>
      <c r="AF642" s="12">
        <v>44937</v>
      </c>
      <c r="AJ642" s="10">
        <f>2.4015*6.64^2+187.16*6.64-68.555</f>
        <v>1280.0685743999998</v>
      </c>
      <c r="AK642" s="10">
        <f>0.155*6.64^2+210.99*6.64-92.045</f>
        <v>1315.7624879999998</v>
      </c>
      <c r="AL642" s="10" t="str">
        <f t="shared" si="68"/>
        <v>FALSE</v>
      </c>
      <c r="AM642" s="10" t="str">
        <f t="shared" si="68"/>
        <v>FALSE</v>
      </c>
      <c r="AN642" s="10" t="str">
        <f t="shared" si="68"/>
        <v>FALSE</v>
      </c>
      <c r="AO642" s="10" t="str">
        <f t="shared" si="69"/>
        <v>y=2.4015*6.64^2+187.16*6.64-68.555</v>
      </c>
      <c r="AP642" s="10" t="str">
        <f t="shared" si="69"/>
        <v>y=0.155*6.64^2+210.99*6.64-92.045</v>
      </c>
      <c r="AQ642" s="10" t="b">
        <f>IF(AND(I642="TP",S642&lt;=150),VLOOKUP(AF642,TPCalibEq150!$AZ$2:$BB$55,3,),IF(AND(I642="TDP",S642&lt;=150),VLOOKUP(AF642,TPCalibEq150!$AZ$2:$BB$55,3,)))</f>
        <v>0</v>
      </c>
      <c r="AR642" s="10" t="b">
        <f>IF(AND(I642="TP",S642&lt;=300),VLOOKUP(AF642,TPCalibEq300!$AZ$2:$BB$55,3,),IF(AND(I642="TDP",S642&lt;=300),VLOOKUP(AF642,TPCalibEq300!$AZ$2:$BB$55,3,)))</f>
        <v>0</v>
      </c>
      <c r="AS642" s="10" t="b">
        <f>IF(AND(I642="TP",S642&lt;=500),VLOOKUP(AF642,TPCalibEq500!$AZ$2:$BB$56,3,),IF(AND(I642="TDP",S642&lt;=500),VLOOKUP(AF642,TPCalibEq500!$AZ$2:$BB$56,3,)))</f>
        <v>0</v>
      </c>
      <c r="AT642" s="10" t="str">
        <f>IF(AND(I642="TN",S642&lt;=2800),VLOOKUP(AF642,TNCalibEq2500!$AZ$2:$BB$56,3,),IF(AND(I642="TDN",S642&lt;=2800),VLOOKUP(AF642,TNCalibEq2500!$AZ$2:$BB$56,3,)))</f>
        <v>y=2.4015x2+187.16x-68.555</v>
      </c>
      <c r="AU642" s="10" t="str">
        <f>IF(I642="TP",VLOOKUP(AF642,TPCalibEqFull!$AZ$2:$BB$56,3),IF(I642="TDP",VLOOKUP(AF642,TPCalibEqFull!$AZ$2:$BB$56,3),IF(I642="TDN",VLOOKUP(AF642,TNCalibEqFull!$AZ$1:$BB$56,3),IF(I642="TN",VLOOKUP(AF642,TNCalibEqFull!$AZ$1:$BB$56,3),FALSE))))</f>
        <v>y=0.155x2+210.99x-92.045</v>
      </c>
      <c r="AV642" s="10" t="str">
        <f t="shared" ref="AV642:AV705" si="74">TEXT(A642, "MMDD")&amp;" "&amp;TEXT(B642, "HH:MM:SS")&amp;"-"&amp;C642&amp;"-"&amp;D642&amp;"-"&amp;E642&amp;"-"&amp;F642&amp;"-"&amp;G642&amp;"-"&amp;H642</f>
        <v>0104 05:25:00-EFK-0-L-1-SW-UKN</v>
      </c>
    </row>
    <row r="643" spans="1:48" s="10" customFormat="1" x14ac:dyDescent="0.55000000000000004">
      <c r="A643" s="32">
        <v>44930</v>
      </c>
      <c r="B643" s="33">
        <v>0.22916666666666666</v>
      </c>
      <c r="C643" s="10" t="s">
        <v>333</v>
      </c>
      <c r="D643" s="10">
        <v>0</v>
      </c>
      <c r="E643" s="10" t="s">
        <v>190</v>
      </c>
      <c r="F643" s="10">
        <v>1</v>
      </c>
      <c r="G643" s="10" t="s">
        <v>231</v>
      </c>
      <c r="H643" s="10" t="s">
        <v>322</v>
      </c>
      <c r="I643" s="10" t="s">
        <v>235</v>
      </c>
      <c r="J643" s="10">
        <v>92</v>
      </c>
      <c r="K643" s="12">
        <v>44937</v>
      </c>
      <c r="L643" s="33">
        <v>0.6040740740740741</v>
      </c>
      <c r="M643" s="10">
        <v>1</v>
      </c>
      <c r="N643" s="10" t="s">
        <v>196</v>
      </c>
      <c r="O643" s="10">
        <v>6.59</v>
      </c>
      <c r="P643" s="10">
        <v>0.39700000000000002</v>
      </c>
      <c r="Q643" s="10">
        <v>1310</v>
      </c>
      <c r="R643" s="10" t="s">
        <v>170</v>
      </c>
      <c r="S643" s="34">
        <f t="shared" si="70"/>
        <v>1310</v>
      </c>
      <c r="T643" s="10" t="s">
        <v>1011</v>
      </c>
      <c r="U643" s="34" t="str">
        <f t="shared" si="71"/>
        <v/>
      </c>
      <c r="V643" s="31" t="str">
        <f>IF(H643="CHK",VLOOKUP(I643,QCCHK,3,),IF(H643="GUP",VLOOKUP(E643,QCGUP,2,),IF(AND(H643="ATP",OR(I643="TN",I643="TDN",I643="TNO2-3",I643="NO2-3")),VLOOKUP(E643,QCREC_N,2,),IF(AND(H643="NIC",OR(I643="TN",I643="TDN",I643="TNO2-3",I643="NO2-3")),VLOOKUP(E643,QCNIC_N,2,),IF(AND(H643="UREA",OR(I643="TN",I643="TDN",I643="TNO2-3",I643="NO2-3")),VLOOKUP(E643,QCUREA_N,2,),IF(H643="PER",VLOOKUP(I643,QCPER,MATCH(E643,QCACTUAL!$J$25:$AA$25,0),),IF(H643="SPK",VLOOKUP(I643,QCSPK,3,),IF(AND(H643="ATP",OR(I643="TP",I643="TDP")),VLOOKUP(E643,QCATP_P,2,),""))))))))</f>
        <v/>
      </c>
      <c r="W643" s="31" t="str">
        <f t="shared" si="72"/>
        <v>TRUE</v>
      </c>
      <c r="X643" s="31" t="str">
        <f t="shared" si="73"/>
        <v/>
      </c>
      <c r="Y643" s="10" t="s">
        <v>1004</v>
      </c>
      <c r="Z643" s="10" t="s">
        <v>910</v>
      </c>
      <c r="AF643" s="12">
        <v>44937</v>
      </c>
      <c r="AJ643" s="10">
        <f>2.4015*6.59^2+187.16*6.59-68.555</f>
        <v>1269.1219821499999</v>
      </c>
      <c r="AK643" s="10">
        <f>0.155*6.59^2+210.99*6.59-92.045</f>
        <v>1305.1104554999999</v>
      </c>
      <c r="AL643" s="10" t="str">
        <f t="shared" ref="AL643:AN706" si="75">IF($O643="", "", IF(AQ643&lt;&gt;"", SUBSTITUTE(SUBSTITUTE(AQ643, "x", "*"&amp;$O643&amp;"^", 1), "x", "*"&amp;$O643, 1), ""))</f>
        <v>FALSE</v>
      </c>
      <c r="AM643" s="10" t="str">
        <f t="shared" si="75"/>
        <v>FALSE</v>
      </c>
      <c r="AN643" s="10" t="str">
        <f t="shared" si="75"/>
        <v>FALSE</v>
      </c>
      <c r="AO643" s="10" t="str">
        <f t="shared" ref="AO643:AP706" si="76">IF($O643="", "FALSE", IF(AT643&lt;&gt;"FALSE", SUBSTITUTE(SUBSTITUTE(AT643, "x", "*"&amp;$O643&amp;"^", 1), "x", "*"&amp;$O643, 1), ""))</f>
        <v>y=2.4015*6.59^2+187.16*6.59-68.555</v>
      </c>
      <c r="AP643" s="10" t="str">
        <f t="shared" si="76"/>
        <v>y=0.155*6.59^2+210.99*6.59-92.045</v>
      </c>
      <c r="AQ643" s="10" t="b">
        <f>IF(AND(I643="TP",S643&lt;=150),VLOOKUP(AF643,TPCalibEq150!$AZ$2:$BB$55,3,),IF(AND(I643="TDP",S643&lt;=150),VLOOKUP(AF643,TPCalibEq150!$AZ$2:$BB$55,3,)))</f>
        <v>0</v>
      </c>
      <c r="AR643" s="10" t="b">
        <f>IF(AND(I643="TP",S643&lt;=300),VLOOKUP(AF643,TPCalibEq300!$AZ$2:$BB$55,3,),IF(AND(I643="TDP",S643&lt;=300),VLOOKUP(AF643,TPCalibEq300!$AZ$2:$BB$55,3,)))</f>
        <v>0</v>
      </c>
      <c r="AS643" s="10" t="b">
        <f>IF(AND(I643="TP",S643&lt;=500),VLOOKUP(AF643,TPCalibEq500!$AZ$2:$BB$56,3,),IF(AND(I643="TDP",S643&lt;=500),VLOOKUP(AF643,TPCalibEq500!$AZ$2:$BB$56,3,)))</f>
        <v>0</v>
      </c>
      <c r="AT643" s="10" t="str">
        <f>IF(AND(I643="TN",S643&lt;=2800),VLOOKUP(AF643,TNCalibEq2500!$AZ$2:$BB$56,3,),IF(AND(I643="TDN",S643&lt;=2800),VLOOKUP(AF643,TNCalibEq2500!$AZ$2:$BB$56,3,)))</f>
        <v>y=2.4015x2+187.16x-68.555</v>
      </c>
      <c r="AU643" s="10" t="str">
        <f>IF(I643="TP",VLOOKUP(AF643,TPCalibEqFull!$AZ$2:$BB$56,3),IF(I643="TDP",VLOOKUP(AF643,TPCalibEqFull!$AZ$2:$BB$56,3),IF(I643="TDN",VLOOKUP(AF643,TNCalibEqFull!$AZ$1:$BB$56,3),IF(I643="TN",VLOOKUP(AF643,TNCalibEqFull!$AZ$1:$BB$56,3),FALSE))))</f>
        <v>y=0.155x2+210.99x-92.045</v>
      </c>
      <c r="AV643" s="10" t="str">
        <f t="shared" si="74"/>
        <v>0104 05:30:00-HST-0-C-1-SW-UKN</v>
      </c>
    </row>
    <row r="644" spans="1:48" s="10" customFormat="1" x14ac:dyDescent="0.55000000000000004">
      <c r="A644" s="32">
        <v>44931</v>
      </c>
      <c r="B644" s="33">
        <v>0.44513888888888892</v>
      </c>
      <c r="C644" s="10" t="s">
        <v>279</v>
      </c>
      <c r="D644" s="10">
        <v>0</v>
      </c>
      <c r="E644" s="10" t="s">
        <v>160</v>
      </c>
      <c r="F644" s="10">
        <v>1</v>
      </c>
      <c r="G644" s="10" t="s">
        <v>231</v>
      </c>
      <c r="H644" s="10" t="s">
        <v>322</v>
      </c>
      <c r="I644" s="10" t="s">
        <v>235</v>
      </c>
      <c r="J644" s="10">
        <v>93</v>
      </c>
      <c r="K644" s="12">
        <v>44937</v>
      </c>
      <c r="L644" s="33">
        <v>0.60474537037037035</v>
      </c>
      <c r="M644" s="10">
        <v>1</v>
      </c>
      <c r="N644" s="10" t="s">
        <v>196</v>
      </c>
      <c r="O644" s="10">
        <v>6.05</v>
      </c>
      <c r="P644" s="10">
        <v>0.36499999999999999</v>
      </c>
      <c r="Q644" s="10">
        <v>1200</v>
      </c>
      <c r="R644" s="10" t="s">
        <v>170</v>
      </c>
      <c r="S644" s="34">
        <f t="shared" si="70"/>
        <v>1200</v>
      </c>
      <c r="T644" s="10" t="s">
        <v>1011</v>
      </c>
      <c r="U644" s="34" t="str">
        <f t="shared" si="71"/>
        <v/>
      </c>
      <c r="V644" s="31" t="str">
        <f>IF(H644="CHK",VLOOKUP(I644,QCCHK,3,),IF(H644="GUP",VLOOKUP(E644,QCGUP,2,),IF(AND(H644="ATP",OR(I644="TN",I644="TDN",I644="TNO2-3",I644="NO2-3")),VLOOKUP(E644,QCREC_N,2,),IF(AND(H644="NIC",OR(I644="TN",I644="TDN",I644="TNO2-3",I644="NO2-3")),VLOOKUP(E644,QCNIC_N,2,),IF(AND(H644="UREA",OR(I644="TN",I644="TDN",I644="TNO2-3",I644="NO2-3")),VLOOKUP(E644,QCUREA_N,2,),IF(H644="PER",VLOOKUP(I644,QCPER,MATCH(E644,QCACTUAL!$J$25:$AA$25,0),),IF(H644="SPK",VLOOKUP(I644,QCSPK,3,),IF(AND(H644="ATP",OR(I644="TP",I644="TDP")),VLOOKUP(E644,QCATP_P,2,),""))))))))</f>
        <v/>
      </c>
      <c r="W644" s="31" t="str">
        <f t="shared" si="72"/>
        <v>TRUE</v>
      </c>
      <c r="X644" s="31" t="str">
        <f t="shared" si="73"/>
        <v/>
      </c>
      <c r="Y644" s="10" t="s">
        <v>1004</v>
      </c>
      <c r="Z644" s="10" t="s">
        <v>910</v>
      </c>
      <c r="AF644" s="12">
        <v>44937</v>
      </c>
      <c r="AJ644" s="10">
        <f>2.4015*6.05^2+187.16*6.05-68.555</f>
        <v>1151.6639037499999</v>
      </c>
      <c r="AK644" s="10">
        <f>0.155*6.05^2+210.99*6.05-92.045</f>
        <v>1190.1178874999998</v>
      </c>
      <c r="AL644" s="10" t="str">
        <f t="shared" si="75"/>
        <v>FALSE</v>
      </c>
      <c r="AM644" s="10" t="str">
        <f t="shared" si="75"/>
        <v>FALSE</v>
      </c>
      <c r="AN644" s="10" t="str">
        <f t="shared" si="75"/>
        <v>FALSE</v>
      </c>
      <c r="AO644" s="10" t="str">
        <f t="shared" si="76"/>
        <v>y=2.4015*6.05^2+187.16*6.05-68.555</v>
      </c>
      <c r="AP644" s="10" t="str">
        <f t="shared" si="76"/>
        <v>y=0.155*6.05^2+210.99*6.05-92.045</v>
      </c>
      <c r="AQ644" s="10" t="b">
        <f>IF(AND(I644="TP",S644&lt;=150),VLOOKUP(AF644,TPCalibEq150!$AZ$2:$BB$55,3,),IF(AND(I644="TDP",S644&lt;=150),VLOOKUP(AF644,TPCalibEq150!$AZ$2:$BB$55,3,)))</f>
        <v>0</v>
      </c>
      <c r="AR644" s="10" t="b">
        <f>IF(AND(I644="TP",S644&lt;=300),VLOOKUP(AF644,TPCalibEq300!$AZ$2:$BB$55,3,),IF(AND(I644="TDP",S644&lt;=300),VLOOKUP(AF644,TPCalibEq300!$AZ$2:$BB$55,3,)))</f>
        <v>0</v>
      </c>
      <c r="AS644" s="10" t="b">
        <f>IF(AND(I644="TP",S644&lt;=500),VLOOKUP(AF644,TPCalibEq500!$AZ$2:$BB$56,3,),IF(AND(I644="TDP",S644&lt;=500),VLOOKUP(AF644,TPCalibEq500!$AZ$2:$BB$56,3,)))</f>
        <v>0</v>
      </c>
      <c r="AT644" s="10" t="str">
        <f>IF(AND(I644="TN",S644&lt;=2800),VLOOKUP(AF644,TNCalibEq2500!$AZ$2:$BB$56,3,),IF(AND(I644="TDN",S644&lt;=2800),VLOOKUP(AF644,TNCalibEq2500!$AZ$2:$BB$56,3,)))</f>
        <v>y=2.4015x2+187.16x-68.555</v>
      </c>
      <c r="AU644" s="10" t="str">
        <f>IF(I644="TP",VLOOKUP(AF644,TPCalibEqFull!$AZ$2:$BB$56,3),IF(I644="TDP",VLOOKUP(AF644,TPCalibEqFull!$AZ$2:$BB$56,3),IF(I644="TDN",VLOOKUP(AF644,TNCalibEqFull!$AZ$1:$BB$56,3),IF(I644="TN",VLOOKUP(AF644,TNCalibEqFull!$AZ$1:$BB$56,3),FALSE))))</f>
        <v>y=0.155x2+210.99x-92.045</v>
      </c>
      <c r="AV644" s="10" t="str">
        <f t="shared" si="74"/>
        <v>0105 10:41:00-EFK-0-L-1-SW-UKN</v>
      </c>
    </row>
    <row r="645" spans="1:48" s="10" customFormat="1" x14ac:dyDescent="0.55000000000000004">
      <c r="A645" s="32">
        <v>44931</v>
      </c>
      <c r="B645" s="33">
        <v>0.45069444444444445</v>
      </c>
      <c r="C645" s="10" t="s">
        <v>333</v>
      </c>
      <c r="D645" s="10">
        <v>0</v>
      </c>
      <c r="E645" s="10" t="s">
        <v>190</v>
      </c>
      <c r="F645" s="10">
        <v>1</v>
      </c>
      <c r="G645" s="10" t="s">
        <v>231</v>
      </c>
      <c r="H645" s="10" t="s">
        <v>322</v>
      </c>
      <c r="I645" s="10" t="s">
        <v>235</v>
      </c>
      <c r="J645" s="10">
        <v>94</v>
      </c>
      <c r="K645" s="12">
        <v>44937</v>
      </c>
      <c r="L645" s="33">
        <v>0.60540509259259256</v>
      </c>
      <c r="M645" s="10">
        <v>1</v>
      </c>
      <c r="N645" s="10" t="s">
        <v>196</v>
      </c>
      <c r="O645" s="10">
        <v>5.61</v>
      </c>
      <c r="P645" s="10">
        <v>0.33900000000000002</v>
      </c>
      <c r="Q645" s="10">
        <v>1100</v>
      </c>
      <c r="R645" s="10" t="s">
        <v>170</v>
      </c>
      <c r="S645" s="34">
        <f t="shared" si="70"/>
        <v>1100</v>
      </c>
      <c r="T645" s="10" t="s">
        <v>1011</v>
      </c>
      <c r="U645" s="34" t="str">
        <f t="shared" si="71"/>
        <v/>
      </c>
      <c r="V645" s="31" t="str">
        <f>IF(H645="CHK",VLOOKUP(I645,QCCHK,3,),IF(H645="GUP",VLOOKUP(E645,QCGUP,2,),IF(AND(H645="ATP",OR(I645="TN",I645="TDN",I645="TNO2-3",I645="NO2-3")),VLOOKUP(E645,QCREC_N,2,),IF(AND(H645="NIC",OR(I645="TN",I645="TDN",I645="TNO2-3",I645="NO2-3")),VLOOKUP(E645,QCNIC_N,2,),IF(AND(H645="UREA",OR(I645="TN",I645="TDN",I645="TNO2-3",I645="NO2-3")),VLOOKUP(E645,QCUREA_N,2,),IF(H645="PER",VLOOKUP(I645,QCPER,MATCH(E645,QCACTUAL!$J$25:$AA$25,0),),IF(H645="SPK",VLOOKUP(I645,QCSPK,3,),IF(AND(H645="ATP",OR(I645="TP",I645="TDP")),VLOOKUP(E645,QCATP_P,2,),""))))))))</f>
        <v/>
      </c>
      <c r="W645" s="31" t="str">
        <f t="shared" si="72"/>
        <v>TRUE</v>
      </c>
      <c r="X645" s="31" t="str">
        <f t="shared" si="73"/>
        <v/>
      </c>
      <c r="Y645" s="10" t="s">
        <v>1004</v>
      </c>
      <c r="Z645" s="10" t="s">
        <v>910</v>
      </c>
      <c r="AF645" s="12">
        <v>44937</v>
      </c>
      <c r="AJ645" s="10">
        <f>2.4015*5.61^2+187.16*5.61-68.555</f>
        <v>1056.9928481499999</v>
      </c>
      <c r="AK645" s="10">
        <f>0.155*5.61^2+210.99*5.61-92.045</f>
        <v>1096.4870754999999</v>
      </c>
      <c r="AL645" s="10" t="str">
        <f t="shared" si="75"/>
        <v>FALSE</v>
      </c>
      <c r="AM645" s="10" t="str">
        <f t="shared" si="75"/>
        <v>FALSE</v>
      </c>
      <c r="AN645" s="10" t="str">
        <f t="shared" si="75"/>
        <v>FALSE</v>
      </c>
      <c r="AO645" s="10" t="str">
        <f t="shared" si="76"/>
        <v>y=2.4015*5.61^2+187.16*5.61-68.555</v>
      </c>
      <c r="AP645" s="10" t="str">
        <f t="shared" si="76"/>
        <v>y=0.155*5.61^2+210.99*5.61-92.045</v>
      </c>
      <c r="AQ645" s="10" t="b">
        <f>IF(AND(I645="TP",S645&lt;=150),VLOOKUP(AF645,TPCalibEq150!$AZ$2:$BB$55,3,),IF(AND(I645="TDP",S645&lt;=150),VLOOKUP(AF645,TPCalibEq150!$AZ$2:$BB$55,3,)))</f>
        <v>0</v>
      </c>
      <c r="AR645" s="10" t="b">
        <f>IF(AND(I645="TP",S645&lt;=300),VLOOKUP(AF645,TPCalibEq300!$AZ$2:$BB$55,3,),IF(AND(I645="TDP",S645&lt;=300),VLOOKUP(AF645,TPCalibEq300!$AZ$2:$BB$55,3,)))</f>
        <v>0</v>
      </c>
      <c r="AS645" s="10" t="b">
        <f>IF(AND(I645="TP",S645&lt;=500),VLOOKUP(AF645,TPCalibEq500!$AZ$2:$BB$56,3,),IF(AND(I645="TDP",S645&lt;=500),VLOOKUP(AF645,TPCalibEq500!$AZ$2:$BB$56,3,)))</f>
        <v>0</v>
      </c>
      <c r="AT645" s="10" t="str">
        <f>IF(AND(I645="TN",S645&lt;=2800),VLOOKUP(AF645,TNCalibEq2500!$AZ$2:$BB$56,3,),IF(AND(I645="TDN",S645&lt;=2800),VLOOKUP(AF645,TNCalibEq2500!$AZ$2:$BB$56,3,)))</f>
        <v>y=2.4015x2+187.16x-68.555</v>
      </c>
      <c r="AU645" s="10" t="str">
        <f>IF(I645="TP",VLOOKUP(AF645,TPCalibEqFull!$AZ$2:$BB$56,3),IF(I645="TDP",VLOOKUP(AF645,TPCalibEqFull!$AZ$2:$BB$56,3),IF(I645="TDN",VLOOKUP(AF645,TNCalibEqFull!$AZ$1:$BB$56,3),IF(I645="TN",VLOOKUP(AF645,TNCalibEqFull!$AZ$1:$BB$56,3),FALSE))))</f>
        <v>y=0.155x2+210.99x-92.045</v>
      </c>
      <c r="AV645" s="10" t="str">
        <f t="shared" si="74"/>
        <v>0105 10:49:00-HST-0-C-1-SW-UKN</v>
      </c>
    </row>
    <row r="646" spans="1:48" s="10" customFormat="1" x14ac:dyDescent="0.55000000000000004">
      <c r="A646" s="32">
        <v>44932</v>
      </c>
      <c r="B646" s="33">
        <v>0.53333333333333333</v>
      </c>
      <c r="C646" s="10" t="s">
        <v>279</v>
      </c>
      <c r="D646" s="10">
        <v>0</v>
      </c>
      <c r="E646" s="10" t="s">
        <v>160</v>
      </c>
      <c r="F646" s="10">
        <v>1</v>
      </c>
      <c r="G646" s="10" t="s">
        <v>231</v>
      </c>
      <c r="H646" s="10" t="s">
        <v>322</v>
      </c>
      <c r="I646" s="10" t="s">
        <v>235</v>
      </c>
      <c r="J646" s="10">
        <v>95</v>
      </c>
      <c r="K646" s="12">
        <v>44937</v>
      </c>
      <c r="L646" s="33">
        <v>0.60607638888888882</v>
      </c>
      <c r="M646" s="10">
        <v>1</v>
      </c>
      <c r="N646" s="10" t="s">
        <v>196</v>
      </c>
      <c r="O646" s="10">
        <v>6.33</v>
      </c>
      <c r="P646" s="10">
        <v>0.38100000000000001</v>
      </c>
      <c r="Q646" s="10">
        <v>1260</v>
      </c>
      <c r="R646" s="10" t="s">
        <v>170</v>
      </c>
      <c r="S646" s="34">
        <f t="shared" si="70"/>
        <v>1260</v>
      </c>
      <c r="T646" s="10" t="s">
        <v>1011</v>
      </c>
      <c r="U646" s="34" t="str">
        <f t="shared" si="71"/>
        <v/>
      </c>
      <c r="V646" s="31" t="str">
        <f>IF(H646="CHK",VLOOKUP(I646,QCCHK,3,),IF(H646="GUP",VLOOKUP(E646,QCGUP,2,),IF(AND(H646="ATP",OR(I646="TN",I646="TDN",I646="TNO2-3",I646="NO2-3")),VLOOKUP(E646,QCREC_N,2,),IF(AND(H646="NIC",OR(I646="TN",I646="TDN",I646="TNO2-3",I646="NO2-3")),VLOOKUP(E646,QCNIC_N,2,),IF(AND(H646="UREA",OR(I646="TN",I646="TDN",I646="TNO2-3",I646="NO2-3")),VLOOKUP(E646,QCUREA_N,2,),IF(H646="PER",VLOOKUP(I646,QCPER,MATCH(E646,QCACTUAL!$J$25:$AA$25,0),),IF(H646="SPK",VLOOKUP(I646,QCSPK,3,),IF(AND(H646="ATP",OR(I646="TP",I646="TDP")),VLOOKUP(E646,QCATP_P,2,),""))))))))</f>
        <v/>
      </c>
      <c r="W646" s="31" t="str">
        <f t="shared" si="72"/>
        <v>TRUE</v>
      </c>
      <c r="X646" s="31" t="str">
        <f t="shared" si="73"/>
        <v/>
      </c>
      <c r="Y646" s="10" t="s">
        <v>1004</v>
      </c>
      <c r="Z646" s="10" t="s">
        <v>910</v>
      </c>
      <c r="AF646" s="12">
        <v>44937</v>
      </c>
      <c r="AJ646" s="10">
        <f>2.4015*6.33^2+187.16*6.33-68.555</f>
        <v>1212.3932633499999</v>
      </c>
      <c r="AK646" s="10">
        <f>0.155*6.33^2+210.99*6.33-92.045</f>
        <v>1249.7323795</v>
      </c>
      <c r="AL646" s="10" t="str">
        <f t="shared" si="75"/>
        <v>FALSE</v>
      </c>
      <c r="AM646" s="10" t="str">
        <f t="shared" si="75"/>
        <v>FALSE</v>
      </c>
      <c r="AN646" s="10" t="str">
        <f t="shared" si="75"/>
        <v>FALSE</v>
      </c>
      <c r="AO646" s="10" t="str">
        <f t="shared" si="76"/>
        <v>y=2.4015*6.33^2+187.16*6.33-68.555</v>
      </c>
      <c r="AP646" s="10" t="str">
        <f t="shared" si="76"/>
        <v>y=0.155*6.33^2+210.99*6.33-92.045</v>
      </c>
      <c r="AQ646" s="10" t="b">
        <f>IF(AND(I646="TP",S646&lt;=150),VLOOKUP(AF646,TPCalibEq150!$AZ$2:$BB$55,3,),IF(AND(I646="TDP",S646&lt;=150),VLOOKUP(AF646,TPCalibEq150!$AZ$2:$BB$55,3,)))</f>
        <v>0</v>
      </c>
      <c r="AR646" s="10" t="b">
        <f>IF(AND(I646="TP",S646&lt;=300),VLOOKUP(AF646,TPCalibEq300!$AZ$2:$BB$55,3,),IF(AND(I646="TDP",S646&lt;=300),VLOOKUP(AF646,TPCalibEq300!$AZ$2:$BB$55,3,)))</f>
        <v>0</v>
      </c>
      <c r="AS646" s="10" t="b">
        <f>IF(AND(I646="TP",S646&lt;=500),VLOOKUP(AF646,TPCalibEq500!$AZ$2:$BB$56,3,),IF(AND(I646="TDP",S646&lt;=500),VLOOKUP(AF646,TPCalibEq500!$AZ$2:$BB$56,3,)))</f>
        <v>0</v>
      </c>
      <c r="AT646" s="10" t="str">
        <f>IF(AND(I646="TN",S646&lt;=2800),VLOOKUP(AF646,TNCalibEq2500!$AZ$2:$BB$56,3,),IF(AND(I646="TDN",S646&lt;=2800),VLOOKUP(AF646,TNCalibEq2500!$AZ$2:$BB$56,3,)))</f>
        <v>y=2.4015x2+187.16x-68.555</v>
      </c>
      <c r="AU646" s="10" t="str">
        <f>IF(I646="TP",VLOOKUP(AF646,TPCalibEqFull!$AZ$2:$BB$56,3),IF(I646="TDP",VLOOKUP(AF646,TPCalibEqFull!$AZ$2:$BB$56,3),IF(I646="TDN",VLOOKUP(AF646,TNCalibEqFull!$AZ$1:$BB$56,3),IF(I646="TN",VLOOKUP(AF646,TNCalibEqFull!$AZ$1:$BB$56,3),FALSE))))</f>
        <v>y=0.155x2+210.99x-92.045</v>
      </c>
      <c r="AV646" s="10" t="str">
        <f t="shared" si="74"/>
        <v>0106 12:48:00-EFK-0-L-1-SW-UKN</v>
      </c>
    </row>
    <row r="647" spans="1:48" s="10" customFormat="1" x14ac:dyDescent="0.55000000000000004">
      <c r="A647" s="32">
        <v>44932</v>
      </c>
      <c r="B647" s="33">
        <v>0.52430555555555558</v>
      </c>
      <c r="C647" s="10" t="s">
        <v>333</v>
      </c>
      <c r="D647" s="10">
        <v>0</v>
      </c>
      <c r="E647" s="10" t="s">
        <v>190</v>
      </c>
      <c r="F647" s="10">
        <v>1</v>
      </c>
      <c r="G647" s="10" t="s">
        <v>231</v>
      </c>
      <c r="H647" s="10" t="s">
        <v>322</v>
      </c>
      <c r="I647" s="10" t="s">
        <v>235</v>
      </c>
      <c r="J647" s="10">
        <v>96</v>
      </c>
      <c r="K647" s="12">
        <v>44937</v>
      </c>
      <c r="L647" s="33">
        <v>0.60674768518518518</v>
      </c>
      <c r="M647" s="10">
        <v>1</v>
      </c>
      <c r="N647" s="10" t="s">
        <v>196</v>
      </c>
      <c r="O647" s="10">
        <v>5.59</v>
      </c>
      <c r="P647" s="10">
        <v>0.33700000000000002</v>
      </c>
      <c r="Q647" s="10">
        <v>1100</v>
      </c>
      <c r="R647" s="10" t="s">
        <v>170</v>
      </c>
      <c r="S647" s="34">
        <f t="shared" si="70"/>
        <v>1100</v>
      </c>
      <c r="T647" s="10" t="s">
        <v>1011</v>
      </c>
      <c r="U647" s="34" t="str">
        <f t="shared" si="71"/>
        <v/>
      </c>
      <c r="V647" s="31" t="str">
        <f>IF(H647="CHK",VLOOKUP(I647,QCCHK,3,),IF(H647="GUP",VLOOKUP(E647,QCGUP,2,),IF(AND(H647="ATP",OR(I647="TN",I647="TDN",I647="TNO2-3",I647="NO2-3")),VLOOKUP(E647,QCREC_N,2,),IF(AND(H647="NIC",OR(I647="TN",I647="TDN",I647="TNO2-3",I647="NO2-3")),VLOOKUP(E647,QCNIC_N,2,),IF(AND(H647="UREA",OR(I647="TN",I647="TDN",I647="TNO2-3",I647="NO2-3")),VLOOKUP(E647,QCUREA_N,2,),IF(H647="PER",VLOOKUP(I647,QCPER,MATCH(E647,QCACTUAL!$J$25:$AA$25,0),),IF(H647="SPK",VLOOKUP(I647,QCSPK,3,),IF(AND(H647="ATP",OR(I647="TP",I647="TDP")),VLOOKUP(E647,QCATP_P,2,),""))))))))</f>
        <v/>
      </c>
      <c r="W647" s="31" t="str">
        <f t="shared" si="72"/>
        <v>TRUE</v>
      </c>
      <c r="X647" s="31" t="str">
        <f t="shared" si="73"/>
        <v/>
      </c>
      <c r="Y647" s="10" t="s">
        <v>1004</v>
      </c>
      <c r="Z647" s="10" t="s">
        <v>910</v>
      </c>
      <c r="AF647" s="12">
        <v>44937</v>
      </c>
      <c r="AJ647" s="10">
        <f>2.4015*5.59^2+187.16*5.59-68.555</f>
        <v>1052.71171215</v>
      </c>
      <c r="AK647" s="10">
        <f>0.155*5.59^2+210.99*5.59-92.045</f>
        <v>1092.2325554999998</v>
      </c>
      <c r="AL647" s="10" t="str">
        <f t="shared" si="75"/>
        <v>FALSE</v>
      </c>
      <c r="AM647" s="10" t="str">
        <f t="shared" si="75"/>
        <v>FALSE</v>
      </c>
      <c r="AN647" s="10" t="str">
        <f t="shared" si="75"/>
        <v>FALSE</v>
      </c>
      <c r="AO647" s="10" t="str">
        <f t="shared" si="76"/>
        <v>y=2.4015*5.59^2+187.16*5.59-68.555</v>
      </c>
      <c r="AP647" s="10" t="str">
        <f t="shared" si="76"/>
        <v>y=0.155*5.59^2+210.99*5.59-92.045</v>
      </c>
      <c r="AQ647" s="10" t="b">
        <f>IF(AND(I647="TP",S647&lt;=150),VLOOKUP(AF647,TPCalibEq150!$AZ$2:$BB$55,3,),IF(AND(I647="TDP",S647&lt;=150),VLOOKUP(AF647,TPCalibEq150!$AZ$2:$BB$55,3,)))</f>
        <v>0</v>
      </c>
      <c r="AR647" s="10" t="b">
        <f>IF(AND(I647="TP",S647&lt;=300),VLOOKUP(AF647,TPCalibEq300!$AZ$2:$BB$55,3,),IF(AND(I647="TDP",S647&lt;=300),VLOOKUP(AF647,TPCalibEq300!$AZ$2:$BB$55,3,)))</f>
        <v>0</v>
      </c>
      <c r="AS647" s="10" t="b">
        <f>IF(AND(I647="TP",S647&lt;=500),VLOOKUP(AF647,TPCalibEq500!$AZ$2:$BB$56,3,),IF(AND(I647="TDP",S647&lt;=500),VLOOKUP(AF647,TPCalibEq500!$AZ$2:$BB$56,3,)))</f>
        <v>0</v>
      </c>
      <c r="AT647" s="10" t="str">
        <f>IF(AND(I647="TN",S647&lt;=2800),VLOOKUP(AF647,TNCalibEq2500!$AZ$2:$BB$56,3,),IF(AND(I647="TDN",S647&lt;=2800),VLOOKUP(AF647,TNCalibEq2500!$AZ$2:$BB$56,3,)))</f>
        <v>y=2.4015x2+187.16x-68.555</v>
      </c>
      <c r="AU647" s="10" t="str">
        <f>IF(I647="TP",VLOOKUP(AF647,TPCalibEqFull!$AZ$2:$BB$56,3),IF(I647="TDP",VLOOKUP(AF647,TPCalibEqFull!$AZ$2:$BB$56,3),IF(I647="TDN",VLOOKUP(AF647,TNCalibEqFull!$AZ$1:$BB$56,3),IF(I647="TN",VLOOKUP(AF647,TNCalibEqFull!$AZ$1:$BB$56,3),FALSE))))</f>
        <v>y=0.155x2+210.99x-92.045</v>
      </c>
      <c r="AV647" s="10" t="str">
        <f t="shared" si="74"/>
        <v>0106 12:35:00-HST-0-C-1-SW-UKN</v>
      </c>
    </row>
    <row r="648" spans="1:48" s="10" customFormat="1" x14ac:dyDescent="0.55000000000000004">
      <c r="A648" s="32">
        <v>44935</v>
      </c>
      <c r="B648" s="33">
        <v>0.39166666666666666</v>
      </c>
      <c r="C648" s="10" t="s">
        <v>279</v>
      </c>
      <c r="D648" s="10">
        <v>0</v>
      </c>
      <c r="E648" s="10" t="s">
        <v>160</v>
      </c>
      <c r="F648" s="10">
        <v>1</v>
      </c>
      <c r="G648" s="10" t="s">
        <v>231</v>
      </c>
      <c r="H648" s="10" t="s">
        <v>322</v>
      </c>
      <c r="I648" s="10" t="s">
        <v>235</v>
      </c>
      <c r="J648" s="10">
        <v>97</v>
      </c>
      <c r="K648" s="12">
        <v>44937</v>
      </c>
      <c r="L648" s="33">
        <v>0.60741898148148155</v>
      </c>
      <c r="M648" s="10">
        <v>1</v>
      </c>
      <c r="N648" s="10" t="s">
        <v>196</v>
      </c>
      <c r="O648" s="10">
        <v>5.84</v>
      </c>
      <c r="P648" s="10">
        <v>0.35399999999999998</v>
      </c>
      <c r="Q648" s="10">
        <v>1150</v>
      </c>
      <c r="R648" s="10" t="s">
        <v>170</v>
      </c>
      <c r="S648" s="34">
        <f t="shared" si="70"/>
        <v>1150</v>
      </c>
      <c r="T648" s="10" t="s">
        <v>1011</v>
      </c>
      <c r="U648" s="34" t="str">
        <f t="shared" si="71"/>
        <v/>
      </c>
      <c r="V648" s="31" t="str">
        <f>IF(H648="CHK",VLOOKUP(I648,QCCHK,3,),IF(H648="GUP",VLOOKUP(E648,QCGUP,2,),IF(AND(H648="ATP",OR(I648="TN",I648="TDN",I648="TNO2-3",I648="NO2-3")),VLOOKUP(E648,QCREC_N,2,),IF(AND(H648="NIC",OR(I648="TN",I648="TDN",I648="TNO2-3",I648="NO2-3")),VLOOKUP(E648,QCNIC_N,2,),IF(AND(H648="UREA",OR(I648="TN",I648="TDN",I648="TNO2-3",I648="NO2-3")),VLOOKUP(E648,QCUREA_N,2,),IF(H648="PER",VLOOKUP(I648,QCPER,MATCH(E648,QCACTUAL!$J$25:$AA$25,0),),IF(H648="SPK",VLOOKUP(I648,QCSPK,3,),IF(AND(H648="ATP",OR(I648="TP",I648="TDP")),VLOOKUP(E648,QCATP_P,2,),""))))))))</f>
        <v/>
      </c>
      <c r="W648" s="31" t="str">
        <f t="shared" si="72"/>
        <v>TRUE</v>
      </c>
      <c r="X648" s="31" t="str">
        <f t="shared" si="73"/>
        <v/>
      </c>
      <c r="Y648" s="10" t="s">
        <v>1004</v>
      </c>
      <c r="Z648" s="10" t="s">
        <v>910</v>
      </c>
      <c r="AF648" s="12">
        <v>44937</v>
      </c>
      <c r="AJ648" s="10">
        <f>2.4015*5.84^2+187.16*5.84-68.555</f>
        <v>1106.3639983999999</v>
      </c>
      <c r="AK648" s="10">
        <f>0.155*5.84^2+210.99*5.84-92.045</f>
        <v>1145.4229680000001</v>
      </c>
      <c r="AL648" s="10" t="str">
        <f t="shared" si="75"/>
        <v>FALSE</v>
      </c>
      <c r="AM648" s="10" t="str">
        <f t="shared" si="75"/>
        <v>FALSE</v>
      </c>
      <c r="AN648" s="10" t="str">
        <f t="shared" si="75"/>
        <v>FALSE</v>
      </c>
      <c r="AO648" s="10" t="str">
        <f t="shared" si="76"/>
        <v>y=2.4015*5.84^2+187.16*5.84-68.555</v>
      </c>
      <c r="AP648" s="10" t="str">
        <f t="shared" si="76"/>
        <v>y=0.155*5.84^2+210.99*5.84-92.045</v>
      </c>
      <c r="AQ648" s="10" t="b">
        <f>IF(AND(I648="TP",S648&lt;=150),VLOOKUP(AF648,TPCalibEq150!$AZ$2:$BB$55,3,),IF(AND(I648="TDP",S648&lt;=150),VLOOKUP(AF648,TPCalibEq150!$AZ$2:$BB$55,3,)))</f>
        <v>0</v>
      </c>
      <c r="AR648" s="10" t="b">
        <f>IF(AND(I648="TP",S648&lt;=300),VLOOKUP(AF648,TPCalibEq300!$AZ$2:$BB$55,3,),IF(AND(I648="TDP",S648&lt;=300),VLOOKUP(AF648,TPCalibEq300!$AZ$2:$BB$55,3,)))</f>
        <v>0</v>
      </c>
      <c r="AS648" s="10" t="b">
        <f>IF(AND(I648="TP",S648&lt;=500),VLOOKUP(AF648,TPCalibEq500!$AZ$2:$BB$56,3,),IF(AND(I648="TDP",S648&lt;=500),VLOOKUP(AF648,TPCalibEq500!$AZ$2:$BB$56,3,)))</f>
        <v>0</v>
      </c>
      <c r="AT648" s="10" t="str">
        <f>IF(AND(I648="TN",S648&lt;=2800),VLOOKUP(AF648,TNCalibEq2500!$AZ$2:$BB$56,3,),IF(AND(I648="TDN",S648&lt;=2800),VLOOKUP(AF648,TNCalibEq2500!$AZ$2:$BB$56,3,)))</f>
        <v>y=2.4015x2+187.16x-68.555</v>
      </c>
      <c r="AU648" s="10" t="str">
        <f>IF(I648="TP",VLOOKUP(AF648,TPCalibEqFull!$AZ$2:$BB$56,3),IF(I648="TDP",VLOOKUP(AF648,TPCalibEqFull!$AZ$2:$BB$56,3),IF(I648="TDN",VLOOKUP(AF648,TNCalibEqFull!$AZ$1:$BB$56,3),IF(I648="TN",VLOOKUP(AF648,TNCalibEqFull!$AZ$1:$BB$56,3),FALSE))))</f>
        <v>y=0.155x2+210.99x-92.045</v>
      </c>
      <c r="AV648" s="10" t="str">
        <f t="shared" si="74"/>
        <v>0109 09:24:00-EFK-0-L-1-SW-UKN</v>
      </c>
    </row>
    <row r="649" spans="1:48" s="10" customFormat="1" x14ac:dyDescent="0.55000000000000004">
      <c r="A649" s="32">
        <v>44935</v>
      </c>
      <c r="B649" s="33">
        <v>0.30208333333333331</v>
      </c>
      <c r="C649" s="10" t="s">
        <v>333</v>
      </c>
      <c r="D649" s="10">
        <v>0</v>
      </c>
      <c r="E649" s="10" t="s">
        <v>190</v>
      </c>
      <c r="F649" s="10">
        <v>1</v>
      </c>
      <c r="G649" s="10" t="s">
        <v>231</v>
      </c>
      <c r="H649" s="10" t="s">
        <v>322</v>
      </c>
      <c r="I649" s="10" t="s">
        <v>235</v>
      </c>
      <c r="J649" s="10">
        <v>98</v>
      </c>
      <c r="K649" s="12">
        <v>44937</v>
      </c>
      <c r="L649" s="33">
        <v>0.60807870370370376</v>
      </c>
      <c r="M649" s="10">
        <v>1</v>
      </c>
      <c r="N649" s="10" t="s">
        <v>196</v>
      </c>
      <c r="O649" s="10">
        <v>4.9800000000000004</v>
      </c>
      <c r="P649" s="10">
        <v>0.30099999999999999</v>
      </c>
      <c r="Q649" s="10">
        <v>968</v>
      </c>
      <c r="R649" s="10" t="s">
        <v>170</v>
      </c>
      <c r="S649" s="34">
        <f t="shared" si="70"/>
        <v>968</v>
      </c>
      <c r="T649" s="10" t="s">
        <v>1011</v>
      </c>
      <c r="U649" s="34" t="str">
        <f t="shared" si="71"/>
        <v/>
      </c>
      <c r="V649" s="31" t="str">
        <f>IF(H649="CHK",VLOOKUP(I649,QCCHK,3,),IF(H649="GUP",VLOOKUP(E649,QCGUP,2,),IF(AND(H649="ATP",OR(I649="TN",I649="TDN",I649="TNO2-3",I649="NO2-3")),VLOOKUP(E649,QCREC_N,2,),IF(AND(H649="NIC",OR(I649="TN",I649="TDN",I649="TNO2-3",I649="NO2-3")),VLOOKUP(E649,QCNIC_N,2,),IF(AND(H649="UREA",OR(I649="TN",I649="TDN",I649="TNO2-3",I649="NO2-3")),VLOOKUP(E649,QCUREA_N,2,),IF(H649="PER",VLOOKUP(I649,QCPER,MATCH(E649,QCACTUAL!$J$25:$AA$25,0),),IF(H649="SPK",VLOOKUP(I649,QCSPK,3,),IF(AND(H649="ATP",OR(I649="TP",I649="TDP")),VLOOKUP(E649,QCATP_P,2,),""))))))))</f>
        <v/>
      </c>
      <c r="W649" s="31" t="str">
        <f t="shared" si="72"/>
        <v>TRUE</v>
      </c>
      <c r="X649" s="31" t="str">
        <f t="shared" si="73"/>
        <v/>
      </c>
      <c r="Y649" s="10" t="s">
        <v>1004</v>
      </c>
      <c r="Z649" s="10" t="s">
        <v>910</v>
      </c>
      <c r="AF649" s="12">
        <v>44937</v>
      </c>
      <c r="AJ649" s="10">
        <f>2.4015*4.98^2+187.16*4.98-68.555</f>
        <v>923.05996060000007</v>
      </c>
      <c r="AK649" s="10">
        <f>0.155*4.98^2+210.99*4.98-92.045</f>
        <v>962.52926200000013</v>
      </c>
      <c r="AL649" s="10" t="str">
        <f t="shared" si="75"/>
        <v>FALSE</v>
      </c>
      <c r="AM649" s="10" t="str">
        <f t="shared" si="75"/>
        <v>FALSE</v>
      </c>
      <c r="AN649" s="10" t="str">
        <f t="shared" si="75"/>
        <v>FALSE</v>
      </c>
      <c r="AO649" s="10" t="str">
        <f t="shared" si="76"/>
        <v>y=2.4015*4.98^2+187.16*4.98-68.555</v>
      </c>
      <c r="AP649" s="10" t="str">
        <f t="shared" si="76"/>
        <v>y=0.155*4.98^2+210.99*4.98-92.045</v>
      </c>
      <c r="AQ649" s="10" t="b">
        <f>IF(AND(I649="TP",S649&lt;=150),VLOOKUP(AF649,TPCalibEq150!$AZ$2:$BB$55,3,),IF(AND(I649="TDP",S649&lt;=150),VLOOKUP(AF649,TPCalibEq150!$AZ$2:$BB$55,3,)))</f>
        <v>0</v>
      </c>
      <c r="AR649" s="10" t="b">
        <f>IF(AND(I649="TP",S649&lt;=300),VLOOKUP(AF649,TPCalibEq300!$AZ$2:$BB$55,3,),IF(AND(I649="TDP",S649&lt;=300),VLOOKUP(AF649,TPCalibEq300!$AZ$2:$BB$55,3,)))</f>
        <v>0</v>
      </c>
      <c r="AS649" s="10" t="b">
        <f>IF(AND(I649="TP",S649&lt;=500),VLOOKUP(AF649,TPCalibEq500!$AZ$2:$BB$56,3,),IF(AND(I649="TDP",S649&lt;=500),VLOOKUP(AF649,TPCalibEq500!$AZ$2:$BB$56,3,)))</f>
        <v>0</v>
      </c>
      <c r="AT649" s="10" t="str">
        <f>IF(AND(I649="TN",S649&lt;=2800),VLOOKUP(AF649,TNCalibEq2500!$AZ$2:$BB$56,3,),IF(AND(I649="TDN",S649&lt;=2800),VLOOKUP(AF649,TNCalibEq2500!$AZ$2:$BB$56,3,)))</f>
        <v>y=2.4015x2+187.16x-68.555</v>
      </c>
      <c r="AU649" s="10" t="str">
        <f>IF(I649="TP",VLOOKUP(AF649,TPCalibEqFull!$AZ$2:$BB$56,3),IF(I649="TDP",VLOOKUP(AF649,TPCalibEqFull!$AZ$2:$BB$56,3),IF(I649="TDN",VLOOKUP(AF649,TNCalibEqFull!$AZ$1:$BB$56,3),IF(I649="TN",VLOOKUP(AF649,TNCalibEqFull!$AZ$1:$BB$56,3),FALSE))))</f>
        <v>y=0.155x2+210.99x-92.045</v>
      </c>
      <c r="AV649" s="10" t="str">
        <f t="shared" si="74"/>
        <v>0109 07:15:00-HST-0-C-1-SW-UKN</v>
      </c>
    </row>
    <row r="650" spans="1:48" s="10" customFormat="1" x14ac:dyDescent="0.55000000000000004">
      <c r="A650" s="32">
        <v>44936</v>
      </c>
      <c r="B650" s="33">
        <v>0.39166666666666666</v>
      </c>
      <c r="C650" s="10" t="s">
        <v>279</v>
      </c>
      <c r="D650" s="10">
        <v>0</v>
      </c>
      <c r="E650" s="10" t="s">
        <v>160</v>
      </c>
      <c r="F650" s="10">
        <v>1</v>
      </c>
      <c r="G650" s="10" t="s">
        <v>231</v>
      </c>
      <c r="H650" s="10" t="s">
        <v>322</v>
      </c>
      <c r="I650" s="10" t="s">
        <v>235</v>
      </c>
      <c r="J650" s="10">
        <v>99</v>
      </c>
      <c r="K650" s="12">
        <v>44937</v>
      </c>
      <c r="L650" s="33">
        <v>0.60875000000000001</v>
      </c>
      <c r="M650" s="10">
        <v>1</v>
      </c>
      <c r="N650" s="10" t="s">
        <v>196</v>
      </c>
      <c r="O650" s="10">
        <v>6.19</v>
      </c>
      <c r="P650" s="10">
        <v>0.375</v>
      </c>
      <c r="Q650" s="10">
        <v>1230</v>
      </c>
      <c r="R650" s="10" t="s">
        <v>170</v>
      </c>
      <c r="S650" s="34">
        <f t="shared" si="70"/>
        <v>1230</v>
      </c>
      <c r="T650" s="10" t="s">
        <v>1011</v>
      </c>
      <c r="U650" s="34" t="str">
        <f t="shared" si="71"/>
        <v/>
      </c>
      <c r="V650" s="31" t="str">
        <f>IF(H650="CHK",VLOOKUP(I650,QCCHK,3,),IF(H650="GUP",VLOOKUP(E650,QCGUP,2,),IF(AND(H650="ATP",OR(I650="TN",I650="TDN",I650="TNO2-3",I650="NO2-3")),VLOOKUP(E650,QCREC_N,2,),IF(AND(H650="NIC",OR(I650="TN",I650="TDN",I650="TNO2-3",I650="NO2-3")),VLOOKUP(E650,QCNIC_N,2,),IF(AND(H650="UREA",OR(I650="TN",I650="TDN",I650="TNO2-3",I650="NO2-3")),VLOOKUP(E650,QCUREA_N,2,),IF(H650="PER",VLOOKUP(I650,QCPER,MATCH(E650,QCACTUAL!$J$25:$AA$25,0),),IF(H650="SPK",VLOOKUP(I650,QCSPK,3,),IF(AND(H650="ATP",OR(I650="TP",I650="TDP")),VLOOKUP(E650,QCATP_P,2,),""))))))))</f>
        <v/>
      </c>
      <c r="W650" s="31" t="str">
        <f t="shared" si="72"/>
        <v>TRUE</v>
      </c>
      <c r="X650" s="31" t="str">
        <f t="shared" si="73"/>
        <v/>
      </c>
      <c r="Y650" s="10" t="s">
        <v>1004</v>
      </c>
      <c r="AF650" s="12">
        <v>44937</v>
      </c>
      <c r="AJ650" s="10">
        <f>2.4015*6.19^2+187.16*6.19-68.555</f>
        <v>1181.9815141500001</v>
      </c>
      <c r="AK650" s="10">
        <f>0.155*6.19^2+210.99*6.19-92.045</f>
        <v>1219.9220955000001</v>
      </c>
      <c r="AL650" s="10" t="str">
        <f t="shared" si="75"/>
        <v>FALSE</v>
      </c>
      <c r="AM650" s="10" t="str">
        <f t="shared" si="75"/>
        <v>FALSE</v>
      </c>
      <c r="AN650" s="10" t="str">
        <f t="shared" si="75"/>
        <v>FALSE</v>
      </c>
      <c r="AO650" s="10" t="str">
        <f t="shared" si="76"/>
        <v>y=2.4015*6.19^2+187.16*6.19-68.555</v>
      </c>
      <c r="AP650" s="10" t="str">
        <f t="shared" si="76"/>
        <v>y=0.155*6.19^2+210.99*6.19-92.045</v>
      </c>
      <c r="AQ650" s="10" t="b">
        <f>IF(AND(I650="TP",S650&lt;=150),VLOOKUP(AF650,TPCalibEq150!$AZ$2:$BB$55,3,),IF(AND(I650="TDP",S650&lt;=150),VLOOKUP(AF650,TPCalibEq150!$AZ$2:$BB$55,3,)))</f>
        <v>0</v>
      </c>
      <c r="AR650" s="10" t="b">
        <f>IF(AND(I650="TP",S650&lt;=300),VLOOKUP(AF650,TPCalibEq300!$AZ$2:$BB$55,3,),IF(AND(I650="TDP",S650&lt;=300),VLOOKUP(AF650,TPCalibEq300!$AZ$2:$BB$55,3,)))</f>
        <v>0</v>
      </c>
      <c r="AS650" s="10" t="b">
        <f>IF(AND(I650="TP",S650&lt;=500),VLOOKUP(AF650,TPCalibEq500!$AZ$2:$BB$56,3,),IF(AND(I650="TDP",S650&lt;=500),VLOOKUP(AF650,TPCalibEq500!$AZ$2:$BB$56,3,)))</f>
        <v>0</v>
      </c>
      <c r="AT650" s="10" t="str">
        <f>IF(AND(I650="TN",S650&lt;=2800),VLOOKUP(AF650,TNCalibEq2500!$AZ$2:$BB$56,3,),IF(AND(I650="TDN",S650&lt;=2800),VLOOKUP(AF650,TNCalibEq2500!$AZ$2:$BB$56,3,)))</f>
        <v>y=2.4015x2+187.16x-68.555</v>
      </c>
      <c r="AU650" s="10" t="str">
        <f>IF(I650="TP",VLOOKUP(AF650,TPCalibEqFull!$AZ$2:$BB$56,3),IF(I650="TDP",VLOOKUP(AF650,TPCalibEqFull!$AZ$2:$BB$56,3),IF(I650="TDN",VLOOKUP(AF650,TNCalibEqFull!$AZ$1:$BB$56,3),IF(I650="TN",VLOOKUP(AF650,TNCalibEqFull!$AZ$1:$BB$56,3),FALSE))))</f>
        <v>y=0.155x2+210.99x-92.045</v>
      </c>
      <c r="AV650" s="10" t="str">
        <f t="shared" si="74"/>
        <v>0110 09:24:00-EFK-0-L-1-SW-UKN</v>
      </c>
    </row>
    <row r="651" spans="1:48" s="10" customFormat="1" x14ac:dyDescent="0.55000000000000004">
      <c r="A651" s="32">
        <v>44936</v>
      </c>
      <c r="B651" s="33">
        <v>0.39583333333333331</v>
      </c>
      <c r="C651" s="10" t="s">
        <v>333</v>
      </c>
      <c r="D651" s="10">
        <v>0</v>
      </c>
      <c r="E651" s="10" t="s">
        <v>190</v>
      </c>
      <c r="F651" s="10">
        <v>1</v>
      </c>
      <c r="G651" s="10" t="s">
        <v>231</v>
      </c>
      <c r="H651" s="10" t="s">
        <v>322</v>
      </c>
      <c r="I651" s="10" t="s">
        <v>235</v>
      </c>
      <c r="J651" s="10">
        <v>100</v>
      </c>
      <c r="K651" s="12">
        <v>44937</v>
      </c>
      <c r="L651" s="33">
        <v>0.60939814814814819</v>
      </c>
      <c r="M651" s="10">
        <v>1</v>
      </c>
      <c r="N651" s="10" t="s">
        <v>196</v>
      </c>
      <c r="O651" s="10">
        <v>4.84</v>
      </c>
      <c r="P651" s="10">
        <v>0.29199999999999998</v>
      </c>
      <c r="Q651" s="10">
        <v>938</v>
      </c>
      <c r="R651" s="10" t="s">
        <v>170</v>
      </c>
      <c r="S651" s="34">
        <f t="shared" si="70"/>
        <v>938</v>
      </c>
      <c r="T651" s="10" t="s">
        <v>1011</v>
      </c>
      <c r="U651" s="34" t="str">
        <f t="shared" si="71"/>
        <v/>
      </c>
      <c r="V651" s="31" t="str">
        <f>IF(H651="CHK",VLOOKUP(I651,QCCHK,3,),IF(H651="GUP",VLOOKUP(E651,QCGUP,2,),IF(AND(H651="ATP",OR(I651="TN",I651="TDN",I651="TNO2-3",I651="NO2-3")),VLOOKUP(E651,QCREC_N,2,),IF(AND(H651="NIC",OR(I651="TN",I651="TDN",I651="TNO2-3",I651="NO2-3")),VLOOKUP(E651,QCNIC_N,2,),IF(AND(H651="UREA",OR(I651="TN",I651="TDN",I651="TNO2-3",I651="NO2-3")),VLOOKUP(E651,QCUREA_N,2,),IF(H651="PER",VLOOKUP(I651,QCPER,MATCH(E651,QCACTUAL!$J$25:$AA$25,0),),IF(H651="SPK",VLOOKUP(I651,QCSPK,3,),IF(AND(H651="ATP",OR(I651="TP",I651="TDP")),VLOOKUP(E651,QCATP_P,2,),""))))))))</f>
        <v/>
      </c>
      <c r="W651" s="31" t="str">
        <f t="shared" si="72"/>
        <v>TRUE</v>
      </c>
      <c r="X651" s="31" t="str">
        <f t="shared" si="73"/>
        <v/>
      </c>
      <c r="Y651" s="10" t="s">
        <v>1004</v>
      </c>
      <c r="AF651" s="12">
        <v>44937</v>
      </c>
      <c r="AJ651" s="10">
        <f>2.4015*4.84^2+187.16*4.84-68.555</f>
        <v>893.55597839999996</v>
      </c>
      <c r="AK651" s="10">
        <f>0.155*4.84^2+210.99*4.84-92.045</f>
        <v>932.77756800000009</v>
      </c>
      <c r="AL651" s="10" t="str">
        <f t="shared" si="75"/>
        <v>FALSE</v>
      </c>
      <c r="AM651" s="10" t="str">
        <f t="shared" si="75"/>
        <v>FALSE</v>
      </c>
      <c r="AN651" s="10" t="str">
        <f t="shared" si="75"/>
        <v>FALSE</v>
      </c>
      <c r="AO651" s="10" t="str">
        <f t="shared" si="76"/>
        <v>y=2.4015*4.84^2+187.16*4.84-68.555</v>
      </c>
      <c r="AP651" s="10" t="str">
        <f t="shared" si="76"/>
        <v>y=0.155*4.84^2+210.99*4.84-92.045</v>
      </c>
      <c r="AQ651" s="10" t="b">
        <f>IF(AND(I651="TP",S651&lt;=150),VLOOKUP(AF651,TPCalibEq150!$AZ$2:$BB$55,3,),IF(AND(I651="TDP",S651&lt;=150),VLOOKUP(AF651,TPCalibEq150!$AZ$2:$BB$55,3,)))</f>
        <v>0</v>
      </c>
      <c r="AR651" s="10" t="b">
        <f>IF(AND(I651="TP",S651&lt;=300),VLOOKUP(AF651,TPCalibEq300!$AZ$2:$BB$55,3,),IF(AND(I651="TDP",S651&lt;=300),VLOOKUP(AF651,TPCalibEq300!$AZ$2:$BB$55,3,)))</f>
        <v>0</v>
      </c>
      <c r="AS651" s="10" t="b">
        <f>IF(AND(I651="TP",S651&lt;=500),VLOOKUP(AF651,TPCalibEq500!$AZ$2:$BB$56,3,),IF(AND(I651="TDP",S651&lt;=500),VLOOKUP(AF651,TPCalibEq500!$AZ$2:$BB$56,3,)))</f>
        <v>0</v>
      </c>
      <c r="AT651" s="10" t="str">
        <f>IF(AND(I651="TN",S651&lt;=2800),VLOOKUP(AF651,TNCalibEq2500!$AZ$2:$BB$56,3,),IF(AND(I651="TDN",S651&lt;=2800),VLOOKUP(AF651,TNCalibEq2500!$AZ$2:$BB$56,3,)))</f>
        <v>y=2.4015x2+187.16x-68.555</v>
      </c>
      <c r="AU651" s="10" t="str">
        <f>IF(I651="TP",VLOOKUP(AF651,TPCalibEqFull!$AZ$2:$BB$56,3),IF(I651="TDP",VLOOKUP(AF651,TPCalibEqFull!$AZ$2:$BB$56,3),IF(I651="TDN",VLOOKUP(AF651,TNCalibEqFull!$AZ$1:$BB$56,3),IF(I651="TN",VLOOKUP(AF651,TNCalibEqFull!$AZ$1:$BB$56,3),FALSE))))</f>
        <v>y=0.155x2+210.99x-92.045</v>
      </c>
      <c r="AV651" s="10" t="str">
        <f t="shared" si="74"/>
        <v>0110 09:30:00-HST-0-C-1-SW-UKN</v>
      </c>
    </row>
    <row r="652" spans="1:48" s="10" customFormat="1" x14ac:dyDescent="0.55000000000000004">
      <c r="A652" s="32">
        <v>44936</v>
      </c>
      <c r="B652" s="33">
        <v>0.39583333333333331</v>
      </c>
      <c r="C652" s="10" t="s">
        <v>333</v>
      </c>
      <c r="D652" s="10">
        <v>0</v>
      </c>
      <c r="E652" s="10" t="s">
        <v>190</v>
      </c>
      <c r="F652" s="10">
        <v>1</v>
      </c>
      <c r="G652" s="10" t="s">
        <v>231</v>
      </c>
      <c r="H652" s="10" t="s">
        <v>233</v>
      </c>
      <c r="I652" s="10" t="s">
        <v>235</v>
      </c>
      <c r="J652" s="10">
        <v>100</v>
      </c>
      <c r="K652" s="12">
        <v>44937</v>
      </c>
      <c r="L652" s="33">
        <v>0.61006944444444444</v>
      </c>
      <c r="M652" s="10">
        <v>1</v>
      </c>
      <c r="N652" s="10" t="s">
        <v>196</v>
      </c>
      <c r="O652" s="10">
        <v>4.83</v>
      </c>
      <c r="P652" s="10">
        <v>0.29199999999999998</v>
      </c>
      <c r="Q652" s="10">
        <v>937</v>
      </c>
      <c r="R652" s="10" t="s">
        <v>170</v>
      </c>
      <c r="S652" s="34">
        <f t="shared" si="70"/>
        <v>937</v>
      </c>
      <c r="T652" s="10" t="s">
        <v>1011</v>
      </c>
      <c r="U652" s="34">
        <f t="shared" si="71"/>
        <v>0.10666666666666667</v>
      </c>
      <c r="V652" s="31" t="str">
        <f>IF(H652="CHK",VLOOKUP(I652,QCCHK,3,),IF(H652="GUP",VLOOKUP(E652,QCGUP,2,),IF(AND(H652="ATP",OR(I652="TN",I652="TDN",I652="TNO2-3",I652="NO2-3")),VLOOKUP(E652,QCREC_N,2,),IF(AND(H652="NIC",OR(I652="TN",I652="TDN",I652="TNO2-3",I652="NO2-3")),VLOOKUP(E652,QCNIC_N,2,),IF(AND(H652="UREA",OR(I652="TN",I652="TDN",I652="TNO2-3",I652="NO2-3")),VLOOKUP(E652,QCUREA_N,2,),IF(H652="PER",VLOOKUP(I652,QCPER,MATCH(E652,QCACTUAL!$J$25:$AA$25,0),),IF(H652="SPK",VLOOKUP(I652,QCSPK,3,),IF(AND(H652="ATP",OR(I652="TP",I652="TDP")),VLOOKUP(E652,QCATP_P,2,),""))))))))</f>
        <v/>
      </c>
      <c r="W652" s="31" t="str">
        <f t="shared" si="72"/>
        <v>TRUE</v>
      </c>
      <c r="X652" s="31" t="str">
        <f t="shared" si="73"/>
        <v>((ABS(rep1-rep2))/((rep1+rep2)/2)*100</v>
      </c>
      <c r="Y652" s="10" t="s">
        <v>1004</v>
      </c>
      <c r="AF652" s="12">
        <v>44937</v>
      </c>
      <c r="AJ652" s="10">
        <f>2.4015*4.83^2+187.16*4.83-68.555</f>
        <v>891.45215334999989</v>
      </c>
      <c r="AK652" s="10">
        <f>0.155*4.83^2+210.99*4.83-92.045</f>
        <v>930.65267950000009</v>
      </c>
      <c r="AL652" s="10" t="str">
        <f t="shared" si="75"/>
        <v>FALSE</v>
      </c>
      <c r="AM652" s="10" t="str">
        <f t="shared" si="75"/>
        <v>FALSE</v>
      </c>
      <c r="AN652" s="10" t="str">
        <f t="shared" si="75"/>
        <v>FALSE</v>
      </c>
      <c r="AO652" s="10" t="str">
        <f t="shared" si="76"/>
        <v>y=2.4015*4.83^2+187.16*4.83-68.555</v>
      </c>
      <c r="AP652" s="10" t="str">
        <f t="shared" si="76"/>
        <v>y=0.155*4.83^2+210.99*4.83-92.045</v>
      </c>
      <c r="AQ652" s="10" t="b">
        <f>IF(AND(I652="TP",S652&lt;=150),VLOOKUP(AF652,TPCalibEq150!$AZ$2:$BB$55,3,),IF(AND(I652="TDP",S652&lt;=150),VLOOKUP(AF652,TPCalibEq150!$AZ$2:$BB$55,3,)))</f>
        <v>0</v>
      </c>
      <c r="AR652" s="10" t="b">
        <f>IF(AND(I652="TP",S652&lt;=300),VLOOKUP(AF652,TPCalibEq300!$AZ$2:$BB$55,3,),IF(AND(I652="TDP",S652&lt;=300),VLOOKUP(AF652,TPCalibEq300!$AZ$2:$BB$55,3,)))</f>
        <v>0</v>
      </c>
      <c r="AS652" s="10" t="b">
        <f>IF(AND(I652="TP",S652&lt;=500),VLOOKUP(AF652,TPCalibEq500!$AZ$2:$BB$56,3,),IF(AND(I652="TDP",S652&lt;=500),VLOOKUP(AF652,TPCalibEq500!$AZ$2:$BB$56,3,)))</f>
        <v>0</v>
      </c>
      <c r="AT652" s="10" t="str">
        <f>IF(AND(I652="TN",S652&lt;=2800),VLOOKUP(AF652,TNCalibEq2500!$AZ$2:$BB$56,3,),IF(AND(I652="TDN",S652&lt;=2800),VLOOKUP(AF652,TNCalibEq2500!$AZ$2:$BB$56,3,)))</f>
        <v>y=2.4015x2+187.16x-68.555</v>
      </c>
      <c r="AU652" s="10" t="str">
        <f>IF(I652="TP",VLOOKUP(AF652,TPCalibEqFull!$AZ$2:$BB$56,3),IF(I652="TDP",VLOOKUP(AF652,TPCalibEqFull!$AZ$2:$BB$56,3),IF(I652="TDN",VLOOKUP(AF652,TNCalibEqFull!$AZ$1:$BB$56,3),IF(I652="TN",VLOOKUP(AF652,TNCalibEqFull!$AZ$1:$BB$56,3),FALSE))))</f>
        <v>y=0.155x2+210.99x-92.045</v>
      </c>
      <c r="AV652" s="10" t="str">
        <f t="shared" si="74"/>
        <v>0110 09:30:00-HST-0-C-1-SW-DUP</v>
      </c>
    </row>
    <row r="653" spans="1:48" s="10" customFormat="1" x14ac:dyDescent="0.55000000000000004">
      <c r="A653" s="32">
        <v>44936</v>
      </c>
      <c r="B653" s="33">
        <v>0.39583333333333331</v>
      </c>
      <c r="C653" s="10" t="s">
        <v>912</v>
      </c>
      <c r="D653" s="10">
        <v>0</v>
      </c>
      <c r="E653" s="10" t="s">
        <v>190</v>
      </c>
      <c r="F653" s="10">
        <v>1</v>
      </c>
      <c r="G653" s="10" t="s">
        <v>231</v>
      </c>
      <c r="H653" s="10" t="s">
        <v>314</v>
      </c>
      <c r="I653" s="10" t="s">
        <v>235</v>
      </c>
      <c r="J653" s="10">
        <v>119</v>
      </c>
      <c r="K653" s="12">
        <v>44937</v>
      </c>
      <c r="L653" s="33">
        <v>0.61072916666666666</v>
      </c>
      <c r="M653" s="10">
        <v>1</v>
      </c>
      <c r="N653" s="10" t="s">
        <v>196</v>
      </c>
      <c r="O653" s="10">
        <v>15.9</v>
      </c>
      <c r="P653" s="10">
        <v>0.95199999999999996</v>
      </c>
      <c r="Q653" s="10">
        <v>3310</v>
      </c>
      <c r="R653" s="10" t="s">
        <v>170</v>
      </c>
      <c r="S653" s="34">
        <f t="shared" si="70"/>
        <v>3310</v>
      </c>
      <c r="T653" s="10" t="s">
        <v>1011</v>
      </c>
      <c r="U653" s="34">
        <f t="shared" si="71"/>
        <v>94.92</v>
      </c>
      <c r="V653" s="31">
        <f>IF(H653="CHK",VLOOKUP(I653,QCCHK,3,),IF(H653="GUP",VLOOKUP(E653,QCGUP,2,),IF(AND(H653="ATP",OR(I653="TN",I653="TDN",I653="TNO2-3",I653="NO2-3")),VLOOKUP(E653,QCREC_N,2,),IF(AND(H653="NIC",OR(I653="TN",I653="TDN",I653="TNO2-3",I653="NO2-3")),VLOOKUP(E653,QCNIC_N,2,),IF(AND(H653="UREA",OR(I653="TN",I653="TDN",I653="TNO2-3",I653="NO2-3")),VLOOKUP(E653,QCUREA_N,2,),IF(H653="PER",VLOOKUP(I653,QCPER,MATCH(E653,QCACTUAL!$J$25:$AA$25,0),),IF(H653="SPK",VLOOKUP(I653,QCSPK,3,),IF(AND(H653="ATP",OR(I653="TP",I653="TDP")),VLOOKUP(E653,QCATP_P,2,),""))))))))</f>
        <v>2500</v>
      </c>
      <c r="W653" s="31" t="str">
        <f t="shared" si="72"/>
        <v>TRUE</v>
      </c>
      <c r="X653" s="31" t="str">
        <f t="shared" si="73"/>
        <v>([spikedunkn]-[unkn])/[spike]*100</v>
      </c>
      <c r="Y653" s="10" t="s">
        <v>1004</v>
      </c>
      <c r="AF653" s="12">
        <v>44937</v>
      </c>
      <c r="AK653" s="10">
        <f>0.155*15.9^2+210.99*15.9-92.045</f>
        <v>3301.8815500000005</v>
      </c>
      <c r="AL653" s="10" t="str">
        <f t="shared" si="75"/>
        <v>FALSE</v>
      </c>
      <c r="AM653" s="10" t="str">
        <f t="shared" si="75"/>
        <v>FALSE</v>
      </c>
      <c r="AN653" s="10" t="str">
        <f t="shared" si="75"/>
        <v>FALSE</v>
      </c>
      <c r="AO653" s="10" t="str">
        <f t="shared" si="76"/>
        <v>FALSE</v>
      </c>
      <c r="AP653" s="10" t="str">
        <f t="shared" si="76"/>
        <v>y=0.155*15.9^2+210.99*15.9-92.045</v>
      </c>
      <c r="AQ653" s="10" t="b">
        <f>IF(AND(I653="TP",S653&lt;=150),VLOOKUP(AF653,TPCalibEq150!$AZ$2:$BB$55,3,),IF(AND(I653="TDP",S653&lt;=150),VLOOKUP(AF653,TPCalibEq150!$AZ$2:$BB$55,3,)))</f>
        <v>0</v>
      </c>
      <c r="AR653" s="10" t="b">
        <f>IF(AND(I653="TP",S653&lt;=300),VLOOKUP(AF653,TPCalibEq300!$AZ$2:$BB$55,3,),IF(AND(I653="TDP",S653&lt;=300),VLOOKUP(AF653,TPCalibEq300!$AZ$2:$BB$55,3,)))</f>
        <v>0</v>
      </c>
      <c r="AS653" s="10" t="b">
        <f>IF(AND(I653="TP",S653&lt;=500),VLOOKUP(AF653,TPCalibEq500!$AZ$2:$BB$56,3,),IF(AND(I653="TDP",S653&lt;=500),VLOOKUP(AF653,TPCalibEq500!$AZ$2:$BB$56,3,)))</f>
        <v>0</v>
      </c>
      <c r="AT653" s="10" t="b">
        <f>IF(AND(I653="TN",S653&lt;=2800),VLOOKUP(AF653,TNCalibEq2500!$AZ$2:$BB$56,3,),IF(AND(I653="TDN",S653&lt;=2800),VLOOKUP(AF653,TNCalibEq2500!$AZ$2:$BB$56,3,)))</f>
        <v>0</v>
      </c>
      <c r="AU653" s="10" t="str">
        <f>IF(I653="TP",VLOOKUP(AF653,TPCalibEqFull!$AZ$2:$BB$56,3),IF(I653="TDP",VLOOKUP(AF653,TPCalibEqFull!$AZ$2:$BB$56,3),IF(I653="TDN",VLOOKUP(AF653,TNCalibEqFull!$AZ$1:$BB$56,3),IF(I653="TN",VLOOKUP(AF653,TNCalibEqFull!$AZ$1:$BB$56,3),FALSE))))</f>
        <v>y=0.155x2+210.99x-92.045</v>
      </c>
      <c r="AV653" s="10" t="str">
        <f t="shared" si="74"/>
        <v>0110 09:30:00-HST -0-C-1-SW-SPK</v>
      </c>
    </row>
    <row r="654" spans="1:48" s="10" customFormat="1" x14ac:dyDescent="0.55000000000000004">
      <c r="A654" s="32">
        <v>44937</v>
      </c>
      <c r="B654" s="33">
        <v>0.375</v>
      </c>
      <c r="C654" s="10" t="s">
        <v>70</v>
      </c>
      <c r="D654" s="10" t="s">
        <v>71</v>
      </c>
      <c r="E654" s="10" t="s">
        <v>901</v>
      </c>
      <c r="F654" s="10">
        <v>1</v>
      </c>
      <c r="G654" s="10" t="s">
        <v>73</v>
      </c>
      <c r="H654" s="10" t="s">
        <v>207</v>
      </c>
      <c r="I654" s="10" t="s">
        <v>235</v>
      </c>
      <c r="J654" s="10">
        <v>199</v>
      </c>
      <c r="K654" s="12">
        <v>44937</v>
      </c>
      <c r="L654" s="33">
        <v>0.61140046296296291</v>
      </c>
      <c r="M654" s="10">
        <v>1</v>
      </c>
      <c r="N654" s="10" t="s">
        <v>196</v>
      </c>
      <c r="O654" s="10">
        <v>6.24</v>
      </c>
      <c r="P654" s="10">
        <v>0.38</v>
      </c>
      <c r="Q654" s="10">
        <v>1240</v>
      </c>
      <c r="R654" s="10" t="s">
        <v>170</v>
      </c>
      <c r="S654" s="34">
        <f t="shared" si="70"/>
        <v>1240</v>
      </c>
      <c r="T654" s="10" t="s">
        <v>1011</v>
      </c>
      <c r="U654" s="34">
        <f t="shared" si="71"/>
        <v>99.2</v>
      </c>
      <c r="V654" s="31">
        <f>IF(H654="CHK",VLOOKUP(I654,QCCHK,3,),IF(H654="GUP",VLOOKUP(E654,QCGUP,2,),IF(AND(H654="ATP",OR(I654="TN",I654="TDN",I654="TNO2-3",I654="NO2-3")),VLOOKUP(E654,QCREC_N,2,),IF(AND(H654="NIC",OR(I654="TN",I654="TDN",I654="TNO2-3",I654="NO2-3")),VLOOKUP(E654,QCNIC_N,2,),IF(AND(H654="UREA",OR(I654="TN",I654="TDN",I654="TNO2-3",I654="NO2-3")),VLOOKUP(E654,QCUREA_N,2,),IF(H654="PER",VLOOKUP(I654,QCPER,MATCH(E654,QCACTUAL!$J$25:$AA$25,0),),IF(H654="SPK",VLOOKUP(I654,QCSPK,3,),IF(AND(H654="ATP",OR(I654="TP",I654="TDP")),VLOOKUP(E654,QCATP_P,2,),""))))))))</f>
        <v>1250</v>
      </c>
      <c r="W654" s="31" t="str">
        <f t="shared" si="72"/>
        <v>TRUE</v>
      </c>
      <c r="X654" s="31" t="str">
        <f t="shared" si="73"/>
        <v>[chk]/[actual]*100</v>
      </c>
      <c r="Y654" s="10" t="s">
        <v>1004</v>
      </c>
      <c r="AF654" s="12">
        <v>44937</v>
      </c>
      <c r="AJ654" s="10">
        <f>2.4015*6.24^2+187.16*6.24-68.555</f>
        <v>1192.8320464000001</v>
      </c>
      <c r="AK654" s="10">
        <f>0.155*6.24^2+210.99*6.24-92.045</f>
        <v>1230.5679279999999</v>
      </c>
      <c r="AL654" s="10" t="str">
        <f t="shared" si="75"/>
        <v>FALSE</v>
      </c>
      <c r="AM654" s="10" t="str">
        <f t="shared" si="75"/>
        <v>FALSE</v>
      </c>
      <c r="AN654" s="10" t="str">
        <f t="shared" si="75"/>
        <v>FALSE</v>
      </c>
      <c r="AO654" s="10" t="str">
        <f t="shared" si="76"/>
        <v>y=2.4015*6.24^2+187.16*6.24-68.555</v>
      </c>
      <c r="AP654" s="10" t="str">
        <f t="shared" si="76"/>
        <v>y=0.155*6.24^2+210.99*6.24-92.045</v>
      </c>
      <c r="AQ654" s="10" t="b">
        <f>IF(AND(I654="TP",S654&lt;=150),VLOOKUP(AF654,TPCalibEq150!$AZ$2:$BB$55,3,),IF(AND(I654="TDP",S654&lt;=150),VLOOKUP(AF654,TPCalibEq150!$AZ$2:$BB$55,3,)))</f>
        <v>0</v>
      </c>
      <c r="AR654" s="10" t="b">
        <f>IF(AND(I654="TP",S654&lt;=300),VLOOKUP(AF654,TPCalibEq300!$AZ$2:$BB$55,3,),IF(AND(I654="TDP",S654&lt;=300),VLOOKUP(AF654,TPCalibEq300!$AZ$2:$BB$55,3,)))</f>
        <v>0</v>
      </c>
      <c r="AS654" s="10" t="b">
        <f>IF(AND(I654="TP",S654&lt;=500),VLOOKUP(AF654,TPCalibEq500!$AZ$2:$BB$56,3,),IF(AND(I654="TDP",S654&lt;=500),VLOOKUP(AF654,TPCalibEq500!$AZ$2:$BB$56,3,)))</f>
        <v>0</v>
      </c>
      <c r="AT654" s="10" t="str">
        <f>IF(AND(I654="TN",S654&lt;=2800),VLOOKUP(AF654,TNCalibEq2500!$AZ$2:$BB$56,3,),IF(AND(I654="TDN",S654&lt;=2800),VLOOKUP(AF654,TNCalibEq2500!$AZ$2:$BB$56,3,)))</f>
        <v>y=2.4015x2+187.16x-68.555</v>
      </c>
      <c r="AU654" s="10" t="str">
        <f>IF(I654="TP",VLOOKUP(AF654,TPCalibEqFull!$AZ$2:$BB$56,3),IF(I654="TDP",VLOOKUP(AF654,TPCalibEqFull!$AZ$2:$BB$56,3),IF(I654="TDN",VLOOKUP(AF654,TNCalibEqFull!$AZ$1:$BB$56,3),IF(I654="TN",VLOOKUP(AF654,TNCalibEqFull!$AZ$1:$BB$56,3),FALSE))))</f>
        <v>y=0.155x2+210.99x-92.045</v>
      </c>
      <c r="AV654" s="10" t="str">
        <f t="shared" si="74"/>
        <v>0111 09:00:00-QAC-STD-D-1-DI-CHK</v>
      </c>
    </row>
    <row r="655" spans="1:48" s="10" customFormat="1" x14ac:dyDescent="0.55000000000000004">
      <c r="A655" s="32">
        <v>44935</v>
      </c>
      <c r="B655" s="33">
        <v>0.35972222222222222</v>
      </c>
      <c r="C655" s="10" t="s">
        <v>998</v>
      </c>
      <c r="D655" s="10">
        <v>0</v>
      </c>
      <c r="E655" s="10" t="s">
        <v>190</v>
      </c>
      <c r="F655" s="10">
        <v>1</v>
      </c>
      <c r="G655" s="10" t="s">
        <v>231</v>
      </c>
      <c r="H655" s="10" t="s">
        <v>322</v>
      </c>
      <c r="I655" s="10" t="s">
        <v>235</v>
      </c>
      <c r="J655" s="10">
        <v>11</v>
      </c>
      <c r="K655" s="12">
        <v>44937</v>
      </c>
      <c r="L655" s="33">
        <v>0.61206018518518512</v>
      </c>
      <c r="M655" s="10">
        <v>1</v>
      </c>
      <c r="N655" s="10" t="s">
        <v>196</v>
      </c>
      <c r="O655" s="10">
        <v>6.79</v>
      </c>
      <c r="P655" s="10">
        <v>0.40899999999999997</v>
      </c>
      <c r="Q655" s="10">
        <v>1360</v>
      </c>
      <c r="R655" s="10" t="s">
        <v>170</v>
      </c>
      <c r="S655" s="34">
        <f t="shared" si="70"/>
        <v>1360</v>
      </c>
      <c r="T655" s="10" t="s">
        <v>1011</v>
      </c>
      <c r="U655" s="34" t="str">
        <f t="shared" si="71"/>
        <v/>
      </c>
      <c r="V655" s="31" t="str">
        <f>IF(H655="CHK",VLOOKUP(I655,QCCHK,3,),IF(H655="GUP",VLOOKUP(E655,QCGUP,2,),IF(AND(H655="ATP",OR(I655="TN",I655="TDN",I655="TNO2-3",I655="NO2-3")),VLOOKUP(E655,QCREC_N,2,),IF(AND(H655="NIC",OR(I655="TN",I655="TDN",I655="TNO2-3",I655="NO2-3")),VLOOKUP(E655,QCNIC_N,2,),IF(AND(H655="UREA",OR(I655="TN",I655="TDN",I655="TNO2-3",I655="NO2-3")),VLOOKUP(E655,QCUREA_N,2,),IF(H655="PER",VLOOKUP(I655,QCPER,MATCH(E655,QCACTUAL!$J$25:$AA$25,0),),IF(H655="SPK",VLOOKUP(I655,QCSPK,3,),IF(AND(H655="ATP",OR(I655="TP",I655="TDP")),VLOOKUP(E655,QCATP_P,2,),""))))))))</f>
        <v/>
      </c>
      <c r="W655" s="31" t="str">
        <f t="shared" si="72"/>
        <v>TRUE</v>
      </c>
      <c r="X655" s="31" t="str">
        <f t="shared" si="73"/>
        <v/>
      </c>
      <c r="Y655" s="10" t="s">
        <v>1004</v>
      </c>
      <c r="Z655" s="10" t="s">
        <v>910</v>
      </c>
      <c r="AF655" s="12">
        <v>44937</v>
      </c>
      <c r="AJ655" s="10">
        <f>2.4015*6.79^2+187.16*6.79-68.555</f>
        <v>1312.9803961499999</v>
      </c>
      <c r="AK655" s="10">
        <f>0.155*6.79^2+210.99*6.79-92.045</f>
        <v>1347.7232354999999</v>
      </c>
      <c r="AL655" s="10" t="str">
        <f t="shared" si="75"/>
        <v>FALSE</v>
      </c>
      <c r="AM655" s="10" t="str">
        <f t="shared" si="75"/>
        <v>FALSE</v>
      </c>
      <c r="AN655" s="10" t="str">
        <f t="shared" si="75"/>
        <v>FALSE</v>
      </c>
      <c r="AO655" s="10" t="str">
        <f t="shared" si="76"/>
        <v>y=2.4015*6.79^2+187.16*6.79-68.555</v>
      </c>
      <c r="AP655" s="10" t="str">
        <f t="shared" si="76"/>
        <v>y=0.155*6.79^2+210.99*6.79-92.045</v>
      </c>
      <c r="AQ655" s="10" t="b">
        <f>IF(AND(I655="TP",S655&lt;=150),VLOOKUP(AF655,TPCalibEq150!$AZ$2:$BB$55,3,),IF(AND(I655="TDP",S655&lt;=150),VLOOKUP(AF655,TPCalibEq150!$AZ$2:$BB$55,3,)))</f>
        <v>0</v>
      </c>
      <c r="AR655" s="10" t="b">
        <f>IF(AND(I655="TP",S655&lt;=300),VLOOKUP(AF655,TPCalibEq300!$AZ$2:$BB$55,3,),IF(AND(I655="TDP",S655&lt;=300),VLOOKUP(AF655,TPCalibEq300!$AZ$2:$BB$55,3,)))</f>
        <v>0</v>
      </c>
      <c r="AS655" s="10" t="b">
        <f>IF(AND(I655="TP",S655&lt;=500),VLOOKUP(AF655,TPCalibEq500!$AZ$2:$BB$56,3,),IF(AND(I655="TDP",S655&lt;=500),VLOOKUP(AF655,TPCalibEq500!$AZ$2:$BB$56,3,)))</f>
        <v>0</v>
      </c>
      <c r="AT655" s="10" t="str">
        <f>IF(AND(I655="TN",S655&lt;=2800),VLOOKUP(AF655,TNCalibEq2500!$AZ$2:$BB$56,3,),IF(AND(I655="TDN",S655&lt;=2800),VLOOKUP(AF655,TNCalibEq2500!$AZ$2:$BB$56,3,)))</f>
        <v>y=2.4015x2+187.16x-68.555</v>
      </c>
      <c r="AU655" s="10" t="str">
        <f>IF(I655="TP",VLOOKUP(AF655,TPCalibEqFull!$AZ$2:$BB$56,3),IF(I655="TDP",VLOOKUP(AF655,TPCalibEqFull!$AZ$2:$BB$56,3),IF(I655="TDN",VLOOKUP(AF655,TNCalibEqFull!$AZ$1:$BB$56,3),IF(I655="TN",VLOOKUP(AF655,TNCalibEqFull!$AZ$1:$BB$56,3),FALSE))))</f>
        <v>y=0.155x2+210.99x-92.045</v>
      </c>
      <c r="AV655" s="10" t="str">
        <f t="shared" si="74"/>
        <v>0109 08:38:00-ELW-0-C-1-SW-UKN</v>
      </c>
    </row>
    <row r="656" spans="1:48" s="10" customFormat="1" x14ac:dyDescent="0.55000000000000004">
      <c r="A656" s="32">
        <v>44935</v>
      </c>
      <c r="B656" s="33">
        <v>0.44722222222222219</v>
      </c>
      <c r="C656" s="10" t="s">
        <v>310</v>
      </c>
      <c r="D656" s="10">
        <v>0</v>
      </c>
      <c r="E656" s="10" t="s">
        <v>190</v>
      </c>
      <c r="F656" s="10">
        <v>1</v>
      </c>
      <c r="G656" s="10" t="s">
        <v>231</v>
      </c>
      <c r="H656" s="10" t="s">
        <v>322</v>
      </c>
      <c r="I656" s="10" t="s">
        <v>235</v>
      </c>
      <c r="J656" s="10">
        <v>12</v>
      </c>
      <c r="K656" s="12">
        <v>44937</v>
      </c>
      <c r="L656" s="33">
        <v>0.61271990740740734</v>
      </c>
      <c r="M656" s="10">
        <v>1</v>
      </c>
      <c r="N656" s="10" t="s">
        <v>196</v>
      </c>
      <c r="O656" s="10">
        <v>6.74</v>
      </c>
      <c r="P656" s="10">
        <v>0.40699999999999997</v>
      </c>
      <c r="Q656" s="10">
        <v>1350</v>
      </c>
      <c r="R656" s="10" t="s">
        <v>170</v>
      </c>
      <c r="S656" s="34">
        <f t="shared" si="70"/>
        <v>1350</v>
      </c>
      <c r="T656" s="10" t="s">
        <v>1011</v>
      </c>
      <c r="U656" s="34" t="str">
        <f t="shared" si="71"/>
        <v/>
      </c>
      <c r="V656" s="31" t="str">
        <f>IF(H656="CHK",VLOOKUP(I656,QCCHK,3,),IF(H656="GUP",VLOOKUP(E656,QCGUP,2,),IF(AND(H656="ATP",OR(I656="TN",I656="TDN",I656="TNO2-3",I656="NO2-3")),VLOOKUP(E656,QCREC_N,2,),IF(AND(H656="NIC",OR(I656="TN",I656="TDN",I656="TNO2-3",I656="NO2-3")),VLOOKUP(E656,QCNIC_N,2,),IF(AND(H656="UREA",OR(I656="TN",I656="TDN",I656="TNO2-3",I656="NO2-3")),VLOOKUP(E656,QCUREA_N,2,),IF(H656="PER",VLOOKUP(I656,QCPER,MATCH(E656,QCACTUAL!$J$25:$AA$25,0),),IF(H656="SPK",VLOOKUP(I656,QCSPK,3,),IF(AND(H656="ATP",OR(I656="TP",I656="TDP")),VLOOKUP(E656,QCATP_P,2,),""))))))))</f>
        <v/>
      </c>
      <c r="W656" s="31" t="str">
        <f t="shared" si="72"/>
        <v>TRUE</v>
      </c>
      <c r="X656" s="31" t="str">
        <f t="shared" si="73"/>
        <v/>
      </c>
      <c r="Y656" s="10" t="s">
        <v>1004</v>
      </c>
      <c r="Z656" s="10" t="s">
        <v>910</v>
      </c>
      <c r="AF656" s="12">
        <v>44937</v>
      </c>
      <c r="AJ656" s="10">
        <f>2.4015*6.74^2+187.16*6.74-68.555</f>
        <v>1301.9977813999999</v>
      </c>
      <c r="AK656" s="10">
        <f>0.155*6.74^2+210.99*6.74-92.045</f>
        <v>1337.068878</v>
      </c>
      <c r="AL656" s="10" t="str">
        <f t="shared" si="75"/>
        <v>FALSE</v>
      </c>
      <c r="AM656" s="10" t="str">
        <f t="shared" si="75"/>
        <v>FALSE</v>
      </c>
      <c r="AN656" s="10" t="str">
        <f t="shared" si="75"/>
        <v>FALSE</v>
      </c>
      <c r="AO656" s="10" t="str">
        <f t="shared" si="76"/>
        <v>y=2.4015*6.74^2+187.16*6.74-68.555</v>
      </c>
      <c r="AP656" s="10" t="str">
        <f t="shared" si="76"/>
        <v>y=0.155*6.74^2+210.99*6.74-92.045</v>
      </c>
      <c r="AQ656" s="10" t="b">
        <f>IF(AND(I656="TP",S656&lt;=150),VLOOKUP(AF656,TPCalibEq150!$AZ$2:$BB$55,3,),IF(AND(I656="TDP",S656&lt;=150),VLOOKUP(AF656,TPCalibEq150!$AZ$2:$BB$55,3,)))</f>
        <v>0</v>
      </c>
      <c r="AR656" s="10" t="b">
        <f>IF(AND(I656="TP",S656&lt;=300),VLOOKUP(AF656,TPCalibEq300!$AZ$2:$BB$55,3,),IF(AND(I656="TDP",S656&lt;=300),VLOOKUP(AF656,TPCalibEq300!$AZ$2:$BB$55,3,)))</f>
        <v>0</v>
      </c>
      <c r="AS656" s="10" t="b">
        <f>IF(AND(I656="TP",S656&lt;=500),VLOOKUP(AF656,TPCalibEq500!$AZ$2:$BB$56,3,),IF(AND(I656="TDP",S656&lt;=500),VLOOKUP(AF656,TPCalibEq500!$AZ$2:$BB$56,3,)))</f>
        <v>0</v>
      </c>
      <c r="AT656" s="10" t="str">
        <f>IF(AND(I656="TN",S656&lt;=2800),VLOOKUP(AF656,TNCalibEq2500!$AZ$2:$BB$56,3,),IF(AND(I656="TDN",S656&lt;=2800),VLOOKUP(AF656,TNCalibEq2500!$AZ$2:$BB$56,3,)))</f>
        <v>y=2.4015x2+187.16x-68.555</v>
      </c>
      <c r="AU656" s="10" t="str">
        <f>IF(I656="TP",VLOOKUP(AF656,TPCalibEqFull!$AZ$2:$BB$56,3),IF(I656="TDP",VLOOKUP(AF656,TPCalibEqFull!$AZ$2:$BB$56,3),IF(I656="TDN",VLOOKUP(AF656,TNCalibEqFull!$AZ$1:$BB$56,3),IF(I656="TN",VLOOKUP(AF656,TNCalibEqFull!$AZ$1:$BB$56,3),FALSE))))</f>
        <v>y=0.155x2+210.99x-92.045</v>
      </c>
      <c r="AV656" s="10" t="str">
        <f t="shared" si="74"/>
        <v>0109 10:44:00-ELI-0-C-1-SW-UKN</v>
      </c>
    </row>
    <row r="657" spans="1:48" s="10" customFormat="1" x14ac:dyDescent="0.55000000000000004">
      <c r="A657" s="32">
        <v>44935</v>
      </c>
      <c r="B657" s="33">
        <v>0.4145833333333333</v>
      </c>
      <c r="C657" s="10" t="s">
        <v>999</v>
      </c>
      <c r="D657" s="10">
        <v>0</v>
      </c>
      <c r="E657" s="10" t="s">
        <v>190</v>
      </c>
      <c r="F657" s="10">
        <v>1</v>
      </c>
      <c r="G657" s="10" t="s">
        <v>231</v>
      </c>
      <c r="H657" s="10" t="s">
        <v>322</v>
      </c>
      <c r="I657" s="10" t="s">
        <v>235</v>
      </c>
      <c r="J657" s="10">
        <v>13</v>
      </c>
      <c r="K657" s="12">
        <v>44937</v>
      </c>
      <c r="L657" s="33">
        <v>0.61337962962962966</v>
      </c>
      <c r="M657" s="10">
        <v>1</v>
      </c>
      <c r="N657" s="10" t="s">
        <v>196</v>
      </c>
      <c r="O657" s="10">
        <v>4.99</v>
      </c>
      <c r="P657" s="10">
        <v>0.30099999999999999</v>
      </c>
      <c r="Q657" s="10">
        <v>970</v>
      </c>
      <c r="R657" s="10" t="s">
        <v>170</v>
      </c>
      <c r="S657" s="34">
        <f t="shared" si="70"/>
        <v>970</v>
      </c>
      <c r="T657" s="10" t="s">
        <v>1011</v>
      </c>
      <c r="U657" s="34" t="str">
        <f t="shared" si="71"/>
        <v/>
      </c>
      <c r="V657" s="31" t="str">
        <f>IF(H657="CHK",VLOOKUP(I657,QCCHK,3,),IF(H657="GUP",VLOOKUP(E657,QCGUP,2,),IF(AND(H657="ATP",OR(I657="TN",I657="TDN",I657="TNO2-3",I657="NO2-3")),VLOOKUP(E657,QCREC_N,2,),IF(AND(H657="NIC",OR(I657="TN",I657="TDN",I657="TNO2-3",I657="NO2-3")),VLOOKUP(E657,QCNIC_N,2,),IF(AND(H657="UREA",OR(I657="TN",I657="TDN",I657="TNO2-3",I657="NO2-3")),VLOOKUP(E657,QCUREA_N,2,),IF(H657="PER",VLOOKUP(I657,QCPER,MATCH(E657,QCACTUAL!$J$25:$AA$25,0),),IF(H657="SPK",VLOOKUP(I657,QCSPK,3,),IF(AND(H657="ATP",OR(I657="TP",I657="TDP")),VLOOKUP(E657,QCATP_P,2,),""))))))))</f>
        <v/>
      </c>
      <c r="W657" s="31" t="str">
        <f t="shared" si="72"/>
        <v>TRUE</v>
      </c>
      <c r="X657" s="31" t="str">
        <f t="shared" si="73"/>
        <v/>
      </c>
      <c r="Y657" s="10" t="s">
        <v>1004</v>
      </c>
      <c r="Z657" s="10" t="s">
        <v>910</v>
      </c>
      <c r="AF657" s="12">
        <v>44937</v>
      </c>
      <c r="AJ657" s="10">
        <f>2.4015*4.99^2+187.16*4.99-68.555</f>
        <v>925.17099015000008</v>
      </c>
      <c r="AK657" s="10">
        <f>0.155*4.99^2+210.99*4.99-92.045</f>
        <v>964.6546155000002</v>
      </c>
      <c r="AL657" s="10" t="str">
        <f t="shared" si="75"/>
        <v>FALSE</v>
      </c>
      <c r="AM657" s="10" t="str">
        <f t="shared" si="75"/>
        <v>FALSE</v>
      </c>
      <c r="AN657" s="10" t="str">
        <f t="shared" si="75"/>
        <v>FALSE</v>
      </c>
      <c r="AO657" s="10" t="str">
        <f t="shared" si="76"/>
        <v>y=2.4015*4.99^2+187.16*4.99-68.555</v>
      </c>
      <c r="AP657" s="10" t="str">
        <f t="shared" si="76"/>
        <v>y=0.155*4.99^2+210.99*4.99-92.045</v>
      </c>
      <c r="AQ657" s="10" t="b">
        <f>IF(AND(I657="TP",S657&lt;=150),VLOOKUP(AF657,TPCalibEq150!$AZ$2:$BB$55,3,),IF(AND(I657="TDP",S657&lt;=150),VLOOKUP(AF657,TPCalibEq150!$AZ$2:$BB$55,3,)))</f>
        <v>0</v>
      </c>
      <c r="AR657" s="10" t="b">
        <f>IF(AND(I657="TP",S657&lt;=300),VLOOKUP(AF657,TPCalibEq300!$AZ$2:$BB$55,3,),IF(AND(I657="TDP",S657&lt;=300),VLOOKUP(AF657,TPCalibEq300!$AZ$2:$BB$55,3,)))</f>
        <v>0</v>
      </c>
      <c r="AS657" s="10" t="b">
        <f>IF(AND(I657="TP",S657&lt;=500),VLOOKUP(AF657,TPCalibEq500!$AZ$2:$BB$56,3,),IF(AND(I657="TDP",S657&lt;=500),VLOOKUP(AF657,TPCalibEq500!$AZ$2:$BB$56,3,)))</f>
        <v>0</v>
      </c>
      <c r="AT657" s="10" t="str">
        <f>IF(AND(I657="TN",S657&lt;=2800),VLOOKUP(AF657,TNCalibEq2500!$AZ$2:$BB$56,3,),IF(AND(I657="TDN",S657&lt;=2800),VLOOKUP(AF657,TNCalibEq2500!$AZ$2:$BB$56,3,)))</f>
        <v>y=2.4015x2+187.16x-68.555</v>
      </c>
      <c r="AU657" s="10" t="str">
        <f>IF(I657="TP",VLOOKUP(AF657,TPCalibEqFull!$AZ$2:$BB$56,3),IF(I657="TDP",VLOOKUP(AF657,TPCalibEqFull!$AZ$2:$BB$56,3),IF(I657="TDN",VLOOKUP(AF657,TNCalibEqFull!$AZ$1:$BB$56,3),IF(I657="TN",VLOOKUP(AF657,TNCalibEqFull!$AZ$1:$BB$56,3),FALSE))))</f>
        <v>y=0.155x2+210.99x-92.045</v>
      </c>
      <c r="AV657" s="10" t="str">
        <f t="shared" si="74"/>
        <v>0109 09:57:00-EAW-0-C-1-SW-UKN</v>
      </c>
    </row>
    <row r="658" spans="1:48" s="10" customFormat="1" x14ac:dyDescent="0.55000000000000004">
      <c r="A658" s="32">
        <v>44935</v>
      </c>
      <c r="B658" s="33">
        <v>0.4145833333333333</v>
      </c>
      <c r="C658" s="10" t="s">
        <v>999</v>
      </c>
      <c r="D658" s="10">
        <v>0</v>
      </c>
      <c r="E658" s="10" t="s">
        <v>190</v>
      </c>
      <c r="F658" s="10">
        <v>2</v>
      </c>
      <c r="G658" s="10" t="s">
        <v>231</v>
      </c>
      <c r="H658" s="10" t="s">
        <v>322</v>
      </c>
      <c r="I658" s="10" t="s">
        <v>235</v>
      </c>
      <c r="J658" s="10">
        <v>14</v>
      </c>
      <c r="K658" s="12">
        <v>44937</v>
      </c>
      <c r="L658" s="33">
        <v>0.61403935185185188</v>
      </c>
      <c r="M658" s="10">
        <v>1</v>
      </c>
      <c r="N658" s="10" t="s">
        <v>196</v>
      </c>
      <c r="O658" s="10">
        <v>5.84</v>
      </c>
      <c r="P658" s="10">
        <v>0.35499999999999998</v>
      </c>
      <c r="Q658" s="10">
        <v>1150</v>
      </c>
      <c r="R658" s="10" t="s">
        <v>170</v>
      </c>
      <c r="S658" s="34">
        <f t="shared" si="70"/>
        <v>1150</v>
      </c>
      <c r="T658" s="10" t="s">
        <v>1011</v>
      </c>
      <c r="U658" s="34" t="str">
        <f t="shared" si="71"/>
        <v/>
      </c>
      <c r="V658" s="31" t="str">
        <f>IF(H658="CHK",VLOOKUP(I658,QCCHK,3,),IF(H658="GUP",VLOOKUP(E658,QCGUP,2,),IF(AND(H658="ATP",OR(I658="TN",I658="TDN",I658="TNO2-3",I658="NO2-3")),VLOOKUP(E658,QCREC_N,2,),IF(AND(H658="NIC",OR(I658="TN",I658="TDN",I658="TNO2-3",I658="NO2-3")),VLOOKUP(E658,QCNIC_N,2,),IF(AND(H658="UREA",OR(I658="TN",I658="TDN",I658="TNO2-3",I658="NO2-3")),VLOOKUP(E658,QCUREA_N,2,),IF(H658="PER",VLOOKUP(I658,QCPER,MATCH(E658,QCACTUAL!$J$25:$AA$25,0),),IF(H658="SPK",VLOOKUP(I658,QCSPK,3,),IF(AND(H658="ATP",OR(I658="TP",I658="TDP")),VLOOKUP(E658,QCATP_P,2,),""))))))))</f>
        <v/>
      </c>
      <c r="W658" s="31" t="str">
        <f t="shared" si="72"/>
        <v>TRUE</v>
      </c>
      <c r="X658" s="31" t="str">
        <f t="shared" si="73"/>
        <v/>
      </c>
      <c r="Y658" s="10" t="s">
        <v>1004</v>
      </c>
      <c r="Z658" s="10" t="s">
        <v>910</v>
      </c>
      <c r="AF658" s="12">
        <v>44937</v>
      </c>
      <c r="AJ658" s="10">
        <f>2.4015*5.84^2+187.16*5.84-68.555</f>
        <v>1106.3639983999999</v>
      </c>
      <c r="AK658" s="10">
        <f>0.155*5.84^2+210.99*5.84-92.045</f>
        <v>1145.4229680000001</v>
      </c>
      <c r="AL658" s="10" t="str">
        <f t="shared" si="75"/>
        <v>FALSE</v>
      </c>
      <c r="AM658" s="10" t="str">
        <f t="shared" si="75"/>
        <v>FALSE</v>
      </c>
      <c r="AN658" s="10" t="str">
        <f t="shared" si="75"/>
        <v>FALSE</v>
      </c>
      <c r="AO658" s="10" t="str">
        <f t="shared" si="76"/>
        <v>y=2.4015*5.84^2+187.16*5.84-68.555</v>
      </c>
      <c r="AP658" s="10" t="str">
        <f t="shared" si="76"/>
        <v>y=0.155*5.84^2+210.99*5.84-92.045</v>
      </c>
      <c r="AQ658" s="10" t="b">
        <f>IF(AND(I658="TP",S658&lt;=150),VLOOKUP(AF658,TPCalibEq150!$AZ$2:$BB$55,3,),IF(AND(I658="TDP",S658&lt;=150),VLOOKUP(AF658,TPCalibEq150!$AZ$2:$BB$55,3,)))</f>
        <v>0</v>
      </c>
      <c r="AR658" s="10" t="b">
        <f>IF(AND(I658="TP",S658&lt;=300),VLOOKUP(AF658,TPCalibEq300!$AZ$2:$BB$55,3,),IF(AND(I658="TDP",S658&lt;=300),VLOOKUP(AF658,TPCalibEq300!$AZ$2:$BB$55,3,)))</f>
        <v>0</v>
      </c>
      <c r="AS658" s="10" t="b">
        <f>IF(AND(I658="TP",S658&lt;=500),VLOOKUP(AF658,TPCalibEq500!$AZ$2:$BB$56,3,),IF(AND(I658="TDP",S658&lt;=500),VLOOKUP(AF658,TPCalibEq500!$AZ$2:$BB$56,3,)))</f>
        <v>0</v>
      </c>
      <c r="AT658" s="10" t="str">
        <f>IF(AND(I658="TN",S658&lt;=2800),VLOOKUP(AF658,TNCalibEq2500!$AZ$2:$BB$56,3,),IF(AND(I658="TDN",S658&lt;=2800),VLOOKUP(AF658,TNCalibEq2500!$AZ$2:$BB$56,3,)))</f>
        <v>y=2.4015x2+187.16x-68.555</v>
      </c>
      <c r="AU658" s="10" t="str">
        <f>IF(I658="TP",VLOOKUP(AF658,TPCalibEqFull!$AZ$2:$BB$56,3),IF(I658="TDP",VLOOKUP(AF658,TPCalibEqFull!$AZ$2:$BB$56,3),IF(I658="TDN",VLOOKUP(AF658,TNCalibEqFull!$AZ$1:$BB$56,3),IF(I658="TN",VLOOKUP(AF658,TNCalibEqFull!$AZ$1:$BB$56,3),FALSE))))</f>
        <v>y=0.155x2+210.99x-92.045</v>
      </c>
      <c r="AV658" s="10" t="str">
        <f t="shared" si="74"/>
        <v>0109 09:57:00-EAW-0-C-2-SW-UKN</v>
      </c>
    </row>
    <row r="659" spans="1:48" s="10" customFormat="1" x14ac:dyDescent="0.55000000000000004">
      <c r="A659" s="32">
        <v>44935</v>
      </c>
      <c r="B659" s="33">
        <v>0.4145833333333333</v>
      </c>
      <c r="C659" s="10" t="s">
        <v>999</v>
      </c>
      <c r="D659" s="10">
        <v>0</v>
      </c>
      <c r="E659" s="10" t="s">
        <v>190</v>
      </c>
      <c r="F659" s="10">
        <v>2</v>
      </c>
      <c r="G659" s="10" t="s">
        <v>231</v>
      </c>
      <c r="H659" s="10" t="s">
        <v>233</v>
      </c>
      <c r="I659" s="10" t="s">
        <v>235</v>
      </c>
      <c r="J659" s="10">
        <v>14</v>
      </c>
      <c r="K659" s="12">
        <v>44937</v>
      </c>
      <c r="L659" s="33">
        <v>0.61469907407407409</v>
      </c>
      <c r="M659" s="10">
        <v>1</v>
      </c>
      <c r="N659" s="10" t="s">
        <v>196</v>
      </c>
      <c r="O659" s="10">
        <v>5.83</v>
      </c>
      <c r="P659" s="10">
        <v>0.35399999999999998</v>
      </c>
      <c r="Q659" s="10">
        <v>1150</v>
      </c>
      <c r="R659" s="10" t="s">
        <v>170</v>
      </c>
      <c r="S659" s="34">
        <f t="shared" si="70"/>
        <v>1150</v>
      </c>
      <c r="T659" s="10" t="s">
        <v>1011</v>
      </c>
      <c r="U659" s="34">
        <f t="shared" si="71"/>
        <v>0</v>
      </c>
      <c r="V659" s="31" t="str">
        <f>IF(H659="CHK",VLOOKUP(I659,QCCHK,3,),IF(H659="GUP",VLOOKUP(E659,QCGUP,2,),IF(AND(H659="ATP",OR(I659="TN",I659="TDN",I659="TNO2-3",I659="NO2-3")),VLOOKUP(E659,QCREC_N,2,),IF(AND(H659="NIC",OR(I659="TN",I659="TDN",I659="TNO2-3",I659="NO2-3")),VLOOKUP(E659,QCNIC_N,2,),IF(AND(H659="UREA",OR(I659="TN",I659="TDN",I659="TNO2-3",I659="NO2-3")),VLOOKUP(E659,QCUREA_N,2,),IF(H659="PER",VLOOKUP(I659,QCPER,MATCH(E659,QCACTUAL!$J$25:$AA$25,0),),IF(H659="SPK",VLOOKUP(I659,QCSPK,3,),IF(AND(H659="ATP",OR(I659="TP",I659="TDP")),VLOOKUP(E659,QCATP_P,2,),""))))))))</f>
        <v/>
      </c>
      <c r="W659" s="31" t="str">
        <f t="shared" si="72"/>
        <v>TRUE</v>
      </c>
      <c r="X659" s="31" t="str">
        <f t="shared" si="73"/>
        <v>((ABS(rep1-rep2))/((rep1+rep2)/2)*100</v>
      </c>
      <c r="Y659" s="10" t="s">
        <v>1004</v>
      </c>
      <c r="Z659" s="10" t="s">
        <v>910</v>
      </c>
      <c r="AF659" s="12">
        <v>44937</v>
      </c>
      <c r="AJ659" s="10">
        <f>2.4015*5.83^2+187.16*5.83-68.555</f>
        <v>1104.2121433499999</v>
      </c>
      <c r="AK659" s="10">
        <f>0.155*5.83^2+210.99*5.83-92.045</f>
        <v>1143.2949795</v>
      </c>
      <c r="AL659" s="10" t="str">
        <f t="shared" si="75"/>
        <v>FALSE</v>
      </c>
      <c r="AM659" s="10" t="str">
        <f t="shared" si="75"/>
        <v>FALSE</v>
      </c>
      <c r="AN659" s="10" t="str">
        <f t="shared" si="75"/>
        <v>FALSE</v>
      </c>
      <c r="AO659" s="10" t="str">
        <f t="shared" si="76"/>
        <v>y=2.4015*5.83^2+187.16*5.83-68.555</v>
      </c>
      <c r="AP659" s="10" t="str">
        <f t="shared" si="76"/>
        <v>y=0.155*5.83^2+210.99*5.83-92.045</v>
      </c>
      <c r="AQ659" s="10" t="b">
        <f>IF(AND(I659="TP",S659&lt;=150),VLOOKUP(AF659,TPCalibEq150!$AZ$2:$BB$55,3,),IF(AND(I659="TDP",S659&lt;=150),VLOOKUP(AF659,TPCalibEq150!$AZ$2:$BB$55,3,)))</f>
        <v>0</v>
      </c>
      <c r="AR659" s="10" t="b">
        <f>IF(AND(I659="TP",S659&lt;=300),VLOOKUP(AF659,TPCalibEq300!$AZ$2:$BB$55,3,),IF(AND(I659="TDP",S659&lt;=300),VLOOKUP(AF659,TPCalibEq300!$AZ$2:$BB$55,3,)))</f>
        <v>0</v>
      </c>
      <c r="AS659" s="10" t="b">
        <f>IF(AND(I659="TP",S659&lt;=500),VLOOKUP(AF659,TPCalibEq500!$AZ$2:$BB$56,3,),IF(AND(I659="TDP",S659&lt;=500),VLOOKUP(AF659,TPCalibEq500!$AZ$2:$BB$56,3,)))</f>
        <v>0</v>
      </c>
      <c r="AT659" s="10" t="str">
        <f>IF(AND(I659="TN",S659&lt;=2800),VLOOKUP(AF659,TNCalibEq2500!$AZ$2:$BB$56,3,),IF(AND(I659="TDN",S659&lt;=2800),VLOOKUP(AF659,TNCalibEq2500!$AZ$2:$BB$56,3,)))</f>
        <v>y=2.4015x2+187.16x-68.555</v>
      </c>
      <c r="AU659" s="10" t="str">
        <f>IF(I659="TP",VLOOKUP(AF659,TPCalibEqFull!$AZ$2:$BB$56,3),IF(I659="TDP",VLOOKUP(AF659,TPCalibEqFull!$AZ$2:$BB$56,3),IF(I659="TDN",VLOOKUP(AF659,TNCalibEqFull!$AZ$1:$BB$56,3),IF(I659="TN",VLOOKUP(AF659,TNCalibEqFull!$AZ$1:$BB$56,3),FALSE))))</f>
        <v>y=0.155x2+210.99x-92.045</v>
      </c>
      <c r="AV659" s="10" t="str">
        <f t="shared" si="74"/>
        <v>0109 09:57:00-EAW-0-C-2-SW-DUP</v>
      </c>
    </row>
    <row r="660" spans="1:48" s="10" customFormat="1" x14ac:dyDescent="0.55000000000000004">
      <c r="A660" s="32">
        <v>44935</v>
      </c>
      <c r="B660" s="33">
        <v>0.4145833333333333</v>
      </c>
      <c r="C660" s="10" t="s">
        <v>999</v>
      </c>
      <c r="D660" s="10">
        <v>0</v>
      </c>
      <c r="E660" s="10" t="s">
        <v>190</v>
      </c>
      <c r="F660" s="10">
        <v>2</v>
      </c>
      <c r="G660" s="10" t="s">
        <v>231</v>
      </c>
      <c r="H660" s="10" t="s">
        <v>314</v>
      </c>
      <c r="I660" s="10" t="s">
        <v>235</v>
      </c>
      <c r="J660" s="10">
        <v>30</v>
      </c>
      <c r="K660" s="12">
        <v>44937</v>
      </c>
      <c r="L660" s="33">
        <v>0.61534722222222216</v>
      </c>
      <c r="M660" s="10">
        <v>1</v>
      </c>
      <c r="N660" s="10" t="s">
        <v>196</v>
      </c>
      <c r="O660" s="10">
        <v>16.399999999999999</v>
      </c>
      <c r="P660" s="10">
        <v>0.98</v>
      </c>
      <c r="Q660" s="10">
        <v>3420</v>
      </c>
      <c r="R660" s="10" t="s">
        <v>170</v>
      </c>
      <c r="S660" s="34">
        <f t="shared" si="70"/>
        <v>3420</v>
      </c>
      <c r="T660" s="10" t="s">
        <v>1011</v>
      </c>
      <c r="U660" s="34">
        <f t="shared" si="71"/>
        <v>90.8</v>
      </c>
      <c r="V660" s="31">
        <f>IF(H660="CHK",VLOOKUP(I660,QCCHK,3,),IF(H660="GUP",VLOOKUP(E660,QCGUP,2,),IF(AND(H660="ATP",OR(I660="TN",I660="TDN",I660="TNO2-3",I660="NO2-3")),VLOOKUP(E660,QCREC_N,2,),IF(AND(H660="NIC",OR(I660="TN",I660="TDN",I660="TNO2-3",I660="NO2-3")),VLOOKUP(E660,QCNIC_N,2,),IF(AND(H660="UREA",OR(I660="TN",I660="TDN",I660="TNO2-3",I660="NO2-3")),VLOOKUP(E660,QCUREA_N,2,),IF(H660="PER",VLOOKUP(I660,QCPER,MATCH(E660,QCACTUAL!$J$25:$AA$25,0),),IF(H660="SPK",VLOOKUP(I660,QCSPK,3,),IF(AND(H660="ATP",OR(I660="TP",I660="TDP")),VLOOKUP(E660,QCATP_P,2,),""))))))))</f>
        <v>2500</v>
      </c>
      <c r="W660" s="31" t="str">
        <f t="shared" si="72"/>
        <v>TRUE</v>
      </c>
      <c r="X660" s="31" t="str">
        <f t="shared" si="73"/>
        <v>([spikedunkn]-[unkn])/[spike]*100</v>
      </c>
      <c r="Y660" s="10" t="s">
        <v>1004</v>
      </c>
      <c r="Z660" s="10" t="s">
        <v>910</v>
      </c>
      <c r="AF660" s="12">
        <v>44937</v>
      </c>
      <c r="AK660" s="10">
        <f>0.155*16.4^2+210.99*16.4-92.045</f>
        <v>3409.8797999999997</v>
      </c>
      <c r="AL660" s="10" t="str">
        <f t="shared" si="75"/>
        <v>FALSE</v>
      </c>
      <c r="AM660" s="10" t="str">
        <f t="shared" si="75"/>
        <v>FALSE</v>
      </c>
      <c r="AN660" s="10" t="str">
        <f t="shared" si="75"/>
        <v>FALSE</v>
      </c>
      <c r="AO660" s="10" t="str">
        <f t="shared" si="76"/>
        <v>FALSE</v>
      </c>
      <c r="AP660" s="10" t="str">
        <f t="shared" si="76"/>
        <v>y=0.155*16.4^2+210.99*16.4-92.045</v>
      </c>
      <c r="AQ660" s="10" t="b">
        <f>IF(AND(I660="TP",S660&lt;=150),VLOOKUP(AF660,TPCalibEq150!$AZ$2:$BB$55,3,),IF(AND(I660="TDP",S660&lt;=150),VLOOKUP(AF660,TPCalibEq150!$AZ$2:$BB$55,3,)))</f>
        <v>0</v>
      </c>
      <c r="AR660" s="10" t="b">
        <f>IF(AND(I660="TP",S660&lt;=300),VLOOKUP(AF660,TPCalibEq300!$AZ$2:$BB$55,3,),IF(AND(I660="TDP",S660&lt;=300),VLOOKUP(AF660,TPCalibEq300!$AZ$2:$BB$55,3,)))</f>
        <v>0</v>
      </c>
      <c r="AS660" s="10" t="b">
        <f>IF(AND(I660="TP",S660&lt;=500),VLOOKUP(AF660,TPCalibEq500!$AZ$2:$BB$56,3,),IF(AND(I660="TDP",S660&lt;=500),VLOOKUP(AF660,TPCalibEq500!$AZ$2:$BB$56,3,)))</f>
        <v>0</v>
      </c>
      <c r="AT660" s="10" t="b">
        <f>IF(AND(I660="TN",S660&lt;=2800),VLOOKUP(AF660,TNCalibEq2500!$AZ$2:$BB$56,3,),IF(AND(I660="TDN",S660&lt;=2800),VLOOKUP(AF660,TNCalibEq2500!$AZ$2:$BB$56,3,)))</f>
        <v>0</v>
      </c>
      <c r="AU660" s="10" t="str">
        <f>IF(I660="TP",VLOOKUP(AF660,TPCalibEqFull!$AZ$2:$BB$56,3),IF(I660="TDP",VLOOKUP(AF660,TPCalibEqFull!$AZ$2:$BB$56,3),IF(I660="TDN",VLOOKUP(AF660,TNCalibEqFull!$AZ$1:$BB$56,3),IF(I660="TN",VLOOKUP(AF660,TNCalibEqFull!$AZ$1:$BB$56,3),FALSE))))</f>
        <v>y=0.155x2+210.99x-92.045</v>
      </c>
      <c r="AV660" s="10" t="str">
        <f t="shared" si="74"/>
        <v>0109 09:57:00-EAW-0-C-2-SW-SPK</v>
      </c>
    </row>
    <row r="661" spans="1:48" s="10" customFormat="1" x14ac:dyDescent="0.55000000000000004">
      <c r="A661" s="32">
        <v>44937</v>
      </c>
      <c r="B661" s="33">
        <v>0.375</v>
      </c>
      <c r="C661" s="10" t="s">
        <v>70</v>
      </c>
      <c r="D661" s="10" t="s">
        <v>71</v>
      </c>
      <c r="E661" s="10" t="s">
        <v>901</v>
      </c>
      <c r="F661" s="10">
        <v>1</v>
      </c>
      <c r="G661" s="10" t="s">
        <v>73</v>
      </c>
      <c r="H661" s="10" t="s">
        <v>207</v>
      </c>
      <c r="I661" s="10" t="s">
        <v>235</v>
      </c>
      <c r="J661" s="10">
        <v>200</v>
      </c>
      <c r="K661" s="12">
        <v>44937</v>
      </c>
      <c r="L661" s="33">
        <v>0.61603009259259256</v>
      </c>
      <c r="M661" s="10">
        <v>1</v>
      </c>
      <c r="N661" s="10" t="s">
        <v>196</v>
      </c>
      <c r="O661" s="10">
        <v>6.2</v>
      </c>
      <c r="P661" s="10">
        <v>0.377</v>
      </c>
      <c r="Q661" s="10">
        <v>1230</v>
      </c>
      <c r="R661" s="10" t="s">
        <v>170</v>
      </c>
      <c r="S661" s="34">
        <f t="shared" si="70"/>
        <v>1230</v>
      </c>
      <c r="T661" s="10" t="s">
        <v>1011</v>
      </c>
      <c r="U661" s="34">
        <f t="shared" si="71"/>
        <v>98.4</v>
      </c>
      <c r="V661" s="31">
        <f>IF(H661="CHK",VLOOKUP(I661,QCCHK,3,),IF(H661="GUP",VLOOKUP(E661,QCGUP,2,),IF(AND(H661="ATP",OR(I661="TN",I661="TDN",I661="TNO2-3",I661="NO2-3")),VLOOKUP(E661,QCREC_N,2,),IF(AND(H661="NIC",OR(I661="TN",I661="TDN",I661="TNO2-3",I661="NO2-3")),VLOOKUP(E661,QCNIC_N,2,),IF(AND(H661="UREA",OR(I661="TN",I661="TDN",I661="TNO2-3",I661="NO2-3")),VLOOKUP(E661,QCUREA_N,2,),IF(H661="PER",VLOOKUP(I661,QCPER,MATCH(E661,QCACTUAL!$J$25:$AA$25,0),),IF(H661="SPK",VLOOKUP(I661,QCSPK,3,),IF(AND(H661="ATP",OR(I661="TP",I661="TDP")),VLOOKUP(E661,QCATP_P,2,),""))))))))</f>
        <v>1250</v>
      </c>
      <c r="W661" s="31" t="str">
        <f t="shared" si="72"/>
        <v>TRUE</v>
      </c>
      <c r="X661" s="31" t="str">
        <f t="shared" si="73"/>
        <v>[chk]/[actual]*100</v>
      </c>
      <c r="Y661" s="10" t="s">
        <v>1004</v>
      </c>
      <c r="AF661" s="12">
        <v>44937</v>
      </c>
      <c r="AJ661" s="10">
        <f>2.4015*6.2^2+187.16*6.2-68.555</f>
        <v>1184.15066</v>
      </c>
      <c r="AK661" s="10">
        <f>0.155*6.2^2+210.99*6.2-92.045</f>
        <v>1222.0512000000001</v>
      </c>
      <c r="AL661" s="10" t="str">
        <f t="shared" si="75"/>
        <v>FALSE</v>
      </c>
      <c r="AM661" s="10" t="str">
        <f t="shared" si="75"/>
        <v>FALSE</v>
      </c>
      <c r="AN661" s="10" t="str">
        <f t="shared" si="75"/>
        <v>FALSE</v>
      </c>
      <c r="AO661" s="10" t="str">
        <f t="shared" si="76"/>
        <v>y=2.4015*6.2^2+187.16*6.2-68.555</v>
      </c>
      <c r="AP661" s="10" t="str">
        <f t="shared" si="76"/>
        <v>y=0.155*6.2^2+210.99*6.2-92.045</v>
      </c>
      <c r="AQ661" s="10" t="b">
        <f>IF(AND(I661="TP",S661&lt;=150),VLOOKUP(AF661,TPCalibEq150!$AZ$2:$BB$55,3,),IF(AND(I661="TDP",S661&lt;=150),VLOOKUP(AF661,TPCalibEq150!$AZ$2:$BB$55,3,)))</f>
        <v>0</v>
      </c>
      <c r="AR661" s="10" t="b">
        <f>IF(AND(I661="TP",S661&lt;=300),VLOOKUP(AF661,TPCalibEq300!$AZ$2:$BB$55,3,),IF(AND(I661="TDP",S661&lt;=300),VLOOKUP(AF661,TPCalibEq300!$AZ$2:$BB$55,3,)))</f>
        <v>0</v>
      </c>
      <c r="AS661" s="10" t="b">
        <f>IF(AND(I661="TP",S661&lt;=500),VLOOKUP(AF661,TPCalibEq500!$AZ$2:$BB$56,3,),IF(AND(I661="TDP",S661&lt;=500),VLOOKUP(AF661,TPCalibEq500!$AZ$2:$BB$56,3,)))</f>
        <v>0</v>
      </c>
      <c r="AT661" s="10" t="str">
        <f>IF(AND(I661="TN",S661&lt;=2800),VLOOKUP(AF661,TNCalibEq2500!$AZ$2:$BB$56,3,),IF(AND(I661="TDN",S661&lt;=2800),VLOOKUP(AF661,TNCalibEq2500!$AZ$2:$BB$56,3,)))</f>
        <v>y=2.4015x2+187.16x-68.555</v>
      </c>
      <c r="AU661" s="10" t="str">
        <f>IF(I661="TP",VLOOKUP(AF661,TPCalibEqFull!$AZ$2:$BB$56,3),IF(I661="TDP",VLOOKUP(AF661,TPCalibEqFull!$AZ$2:$BB$56,3),IF(I661="TDN",VLOOKUP(AF661,TNCalibEqFull!$AZ$1:$BB$56,3),IF(I661="TN",VLOOKUP(AF661,TNCalibEqFull!$AZ$1:$BB$56,3),FALSE))))</f>
        <v>y=0.155x2+210.99x-92.045</v>
      </c>
      <c r="AV661" s="10" t="str">
        <f t="shared" si="74"/>
        <v>0111 09:00:00-QAC-STD-D-1-DI-CHK</v>
      </c>
    </row>
    <row r="662" spans="1:48" s="10" customFormat="1" x14ac:dyDescent="0.55000000000000004">
      <c r="A662" s="32">
        <v>44935</v>
      </c>
      <c r="B662" s="33">
        <v>0.35972222222222222</v>
      </c>
      <c r="C662" s="10" t="s">
        <v>998</v>
      </c>
      <c r="D662" s="10">
        <v>0</v>
      </c>
      <c r="E662" s="10" t="s">
        <v>190</v>
      </c>
      <c r="F662" s="10">
        <v>1</v>
      </c>
      <c r="G662" s="10" t="s">
        <v>231</v>
      </c>
      <c r="H662" s="10" t="s">
        <v>322</v>
      </c>
      <c r="I662" s="10" t="s">
        <v>235</v>
      </c>
      <c r="J662" s="10">
        <v>101</v>
      </c>
      <c r="K662" s="12">
        <v>44937</v>
      </c>
      <c r="L662" s="33">
        <v>0.61668981481481489</v>
      </c>
      <c r="M662" s="10">
        <v>1</v>
      </c>
      <c r="N662" s="10" t="s">
        <v>196</v>
      </c>
      <c r="O662" s="10">
        <v>6.26</v>
      </c>
      <c r="P662" s="10">
        <v>0.378</v>
      </c>
      <c r="Q662" s="10">
        <v>1240</v>
      </c>
      <c r="R662" s="10" t="s">
        <v>170</v>
      </c>
      <c r="S662" s="34">
        <f t="shared" si="70"/>
        <v>1240</v>
      </c>
      <c r="T662" s="10" t="s">
        <v>1011</v>
      </c>
      <c r="U662" s="34" t="str">
        <f t="shared" si="71"/>
        <v/>
      </c>
      <c r="V662" s="31" t="str">
        <f>IF(H662="CHK",VLOOKUP(I662,QCCHK,3,),IF(H662="GUP",VLOOKUP(E662,QCGUP,2,),IF(AND(H662="ATP",OR(I662="TN",I662="TDN",I662="TNO2-3",I662="NO2-3")),VLOOKUP(E662,QCREC_N,2,),IF(AND(H662="NIC",OR(I662="TN",I662="TDN",I662="TNO2-3",I662="NO2-3")),VLOOKUP(E662,QCNIC_N,2,),IF(AND(H662="UREA",OR(I662="TN",I662="TDN",I662="TNO2-3",I662="NO2-3")),VLOOKUP(E662,QCUREA_N,2,),IF(H662="PER",VLOOKUP(I662,QCPER,MATCH(E662,QCACTUAL!$J$25:$AA$25,0),),IF(H662="SPK",VLOOKUP(I662,QCSPK,3,),IF(AND(H662="ATP",OR(I662="TP",I662="TDP")),VLOOKUP(E662,QCATP_P,2,),""))))))))</f>
        <v/>
      </c>
      <c r="W662" s="31" t="str">
        <f t="shared" si="72"/>
        <v>TRUE</v>
      </c>
      <c r="X662" s="31" t="str">
        <f t="shared" si="73"/>
        <v/>
      </c>
      <c r="Y662" s="10" t="s">
        <v>1004</v>
      </c>
      <c r="Z662" s="10" t="s">
        <v>910</v>
      </c>
      <c r="AF662" s="12">
        <v>44937</v>
      </c>
      <c r="AJ662" s="10">
        <f>2.4015*6.26^2+187.16*6.26-68.555</f>
        <v>1197.1756214</v>
      </c>
      <c r="AK662" s="10">
        <f>0.155*6.26^2+210.99*6.26-92.045</f>
        <v>1234.826478</v>
      </c>
      <c r="AL662" s="10" t="str">
        <f t="shared" si="75"/>
        <v>FALSE</v>
      </c>
      <c r="AM662" s="10" t="str">
        <f t="shared" si="75"/>
        <v>FALSE</v>
      </c>
      <c r="AN662" s="10" t="str">
        <f t="shared" si="75"/>
        <v>FALSE</v>
      </c>
      <c r="AO662" s="10" t="str">
        <f t="shared" si="76"/>
        <v>y=2.4015*6.26^2+187.16*6.26-68.555</v>
      </c>
      <c r="AP662" s="10" t="str">
        <f t="shared" si="76"/>
        <v>y=0.155*6.26^2+210.99*6.26-92.045</v>
      </c>
      <c r="AQ662" s="10" t="b">
        <f>IF(AND(I662="TP",S662&lt;=150),VLOOKUP(AF662,TPCalibEq150!$AZ$2:$BB$55,3,),IF(AND(I662="TDP",S662&lt;=150),VLOOKUP(AF662,TPCalibEq150!$AZ$2:$BB$55,3,)))</f>
        <v>0</v>
      </c>
      <c r="AR662" s="10" t="b">
        <f>IF(AND(I662="TP",S662&lt;=300),VLOOKUP(AF662,TPCalibEq300!$AZ$2:$BB$55,3,),IF(AND(I662="TDP",S662&lt;=300),VLOOKUP(AF662,TPCalibEq300!$AZ$2:$BB$55,3,)))</f>
        <v>0</v>
      </c>
      <c r="AS662" s="10" t="b">
        <f>IF(AND(I662="TP",S662&lt;=500),VLOOKUP(AF662,TPCalibEq500!$AZ$2:$BB$56,3,),IF(AND(I662="TDP",S662&lt;=500),VLOOKUP(AF662,TPCalibEq500!$AZ$2:$BB$56,3,)))</f>
        <v>0</v>
      </c>
      <c r="AT662" s="10" t="str">
        <f>IF(AND(I662="TN",S662&lt;=2800),VLOOKUP(AF662,TNCalibEq2500!$AZ$2:$BB$56,3,),IF(AND(I662="TDN",S662&lt;=2800),VLOOKUP(AF662,TNCalibEq2500!$AZ$2:$BB$56,3,)))</f>
        <v>y=2.4015x2+187.16x-68.555</v>
      </c>
      <c r="AU662" s="10" t="str">
        <f>IF(I662="TP",VLOOKUP(AF662,TPCalibEqFull!$AZ$2:$BB$56,3),IF(I662="TDP",VLOOKUP(AF662,TPCalibEqFull!$AZ$2:$BB$56,3),IF(I662="TDN",VLOOKUP(AF662,TNCalibEqFull!$AZ$1:$BB$56,3),IF(I662="TN",VLOOKUP(AF662,TNCalibEqFull!$AZ$1:$BB$56,3),FALSE))))</f>
        <v>y=0.155x2+210.99x-92.045</v>
      </c>
      <c r="AV662" s="10" t="str">
        <f t="shared" si="74"/>
        <v>0109 08:38:00-ELW-0-C-1-SW-UKN</v>
      </c>
    </row>
    <row r="663" spans="1:48" s="10" customFormat="1" x14ac:dyDescent="0.55000000000000004">
      <c r="A663" s="32">
        <v>44935</v>
      </c>
      <c r="B663" s="33">
        <v>0.44722222222222219</v>
      </c>
      <c r="C663" s="10" t="s">
        <v>310</v>
      </c>
      <c r="D663" s="10">
        <v>0</v>
      </c>
      <c r="E663" s="10" t="s">
        <v>190</v>
      </c>
      <c r="F663" s="10">
        <v>1</v>
      </c>
      <c r="G663" s="10" t="s">
        <v>231</v>
      </c>
      <c r="H663" s="10" t="s">
        <v>322</v>
      </c>
      <c r="I663" s="10" t="s">
        <v>235</v>
      </c>
      <c r="J663" s="10">
        <v>102</v>
      </c>
      <c r="K663" s="12">
        <v>44937</v>
      </c>
      <c r="L663" s="33">
        <v>0.6173495370370371</v>
      </c>
      <c r="M663" s="10">
        <v>1</v>
      </c>
      <c r="N663" s="10" t="s">
        <v>196</v>
      </c>
      <c r="O663" s="10">
        <v>8.23</v>
      </c>
      <c r="P663" s="10">
        <v>0.495</v>
      </c>
      <c r="Q663" s="10">
        <v>1670</v>
      </c>
      <c r="R663" s="10" t="s">
        <v>170</v>
      </c>
      <c r="S663" s="34">
        <f t="shared" si="70"/>
        <v>1670</v>
      </c>
      <c r="T663" s="10" t="s">
        <v>1011</v>
      </c>
      <c r="U663" s="34" t="str">
        <f t="shared" si="71"/>
        <v/>
      </c>
      <c r="V663" s="31" t="str">
        <f>IF(H663="CHK",VLOOKUP(I663,QCCHK,3,),IF(H663="GUP",VLOOKUP(E663,QCGUP,2,),IF(AND(H663="ATP",OR(I663="TN",I663="TDN",I663="TNO2-3",I663="NO2-3")),VLOOKUP(E663,QCREC_N,2,),IF(AND(H663="NIC",OR(I663="TN",I663="TDN",I663="TNO2-3",I663="NO2-3")),VLOOKUP(E663,QCNIC_N,2,),IF(AND(H663="UREA",OR(I663="TN",I663="TDN",I663="TNO2-3",I663="NO2-3")),VLOOKUP(E663,QCUREA_N,2,),IF(H663="PER",VLOOKUP(I663,QCPER,MATCH(E663,QCACTUAL!$J$25:$AA$25,0),),IF(H663="SPK",VLOOKUP(I663,QCSPK,3,),IF(AND(H663="ATP",OR(I663="TP",I663="TDP")),VLOOKUP(E663,QCATP_P,2,),""))))))))</f>
        <v/>
      </c>
      <c r="W663" s="31" t="str">
        <f t="shared" si="72"/>
        <v>TRUE</v>
      </c>
      <c r="X663" s="31" t="str">
        <f t="shared" si="73"/>
        <v/>
      </c>
      <c r="Y663" s="10" t="s">
        <v>1004</v>
      </c>
      <c r="Z663" s="10" t="s">
        <v>910</v>
      </c>
      <c r="AF663" s="12">
        <v>44937</v>
      </c>
      <c r="AJ663" s="10">
        <f>2.4015*8.23^2+187.16*8.23-68.555</f>
        <v>1634.4323593500001</v>
      </c>
      <c r="AK663" s="10">
        <f>0.155*8.23^2+210.99*8.23-92.045</f>
        <v>1654.9012995000001</v>
      </c>
      <c r="AL663" s="10" t="str">
        <f t="shared" si="75"/>
        <v>FALSE</v>
      </c>
      <c r="AM663" s="10" t="str">
        <f t="shared" si="75"/>
        <v>FALSE</v>
      </c>
      <c r="AN663" s="10" t="str">
        <f t="shared" si="75"/>
        <v>FALSE</v>
      </c>
      <c r="AO663" s="10" t="str">
        <f t="shared" si="76"/>
        <v>y=2.4015*8.23^2+187.16*8.23-68.555</v>
      </c>
      <c r="AP663" s="10" t="str">
        <f t="shared" si="76"/>
        <v>y=0.155*8.23^2+210.99*8.23-92.045</v>
      </c>
      <c r="AQ663" s="10" t="b">
        <f>IF(AND(I663="TP",S663&lt;=150),VLOOKUP(AF663,TPCalibEq150!$AZ$2:$BB$55,3,),IF(AND(I663="TDP",S663&lt;=150),VLOOKUP(AF663,TPCalibEq150!$AZ$2:$BB$55,3,)))</f>
        <v>0</v>
      </c>
      <c r="AR663" s="10" t="b">
        <f>IF(AND(I663="TP",S663&lt;=300),VLOOKUP(AF663,TPCalibEq300!$AZ$2:$BB$55,3,),IF(AND(I663="TDP",S663&lt;=300),VLOOKUP(AF663,TPCalibEq300!$AZ$2:$BB$55,3,)))</f>
        <v>0</v>
      </c>
      <c r="AS663" s="10" t="b">
        <f>IF(AND(I663="TP",S663&lt;=500),VLOOKUP(AF663,TPCalibEq500!$AZ$2:$BB$56,3,),IF(AND(I663="TDP",S663&lt;=500),VLOOKUP(AF663,TPCalibEq500!$AZ$2:$BB$56,3,)))</f>
        <v>0</v>
      </c>
      <c r="AT663" s="10" t="str">
        <f>IF(AND(I663="TN",S663&lt;=2800),VLOOKUP(AF663,TNCalibEq2500!$AZ$2:$BB$56,3,),IF(AND(I663="TDN",S663&lt;=2800),VLOOKUP(AF663,TNCalibEq2500!$AZ$2:$BB$56,3,)))</f>
        <v>y=2.4015x2+187.16x-68.555</v>
      </c>
      <c r="AU663" s="10" t="str">
        <f>IF(I663="TP",VLOOKUP(AF663,TPCalibEqFull!$AZ$2:$BB$56,3),IF(I663="TDP",VLOOKUP(AF663,TPCalibEqFull!$AZ$2:$BB$56,3),IF(I663="TDN",VLOOKUP(AF663,TNCalibEqFull!$AZ$1:$BB$56,3),IF(I663="TN",VLOOKUP(AF663,TNCalibEqFull!$AZ$1:$BB$56,3),FALSE))))</f>
        <v>y=0.155x2+210.99x-92.045</v>
      </c>
      <c r="AV663" s="10" t="str">
        <f t="shared" si="74"/>
        <v>0109 10:44:00-ELI-0-C-1-SW-UKN</v>
      </c>
    </row>
    <row r="664" spans="1:48" s="10" customFormat="1" x14ac:dyDescent="0.55000000000000004">
      <c r="A664" s="32">
        <v>44935</v>
      </c>
      <c r="B664" s="33">
        <v>0.4145833333333333</v>
      </c>
      <c r="C664" s="10" t="s">
        <v>999</v>
      </c>
      <c r="D664" s="10">
        <v>0</v>
      </c>
      <c r="E664" s="10" t="s">
        <v>190</v>
      </c>
      <c r="F664" s="10">
        <v>1</v>
      </c>
      <c r="G664" s="10" t="s">
        <v>231</v>
      </c>
      <c r="H664" s="10" t="s">
        <v>322</v>
      </c>
      <c r="I664" s="10" t="s">
        <v>235</v>
      </c>
      <c r="J664" s="10">
        <v>103</v>
      </c>
      <c r="K664" s="12">
        <v>44937</v>
      </c>
      <c r="L664" s="33">
        <v>0.61800925925925931</v>
      </c>
      <c r="M664" s="10">
        <v>1</v>
      </c>
      <c r="N664" s="10" t="s">
        <v>196</v>
      </c>
      <c r="O664" s="10">
        <v>7.52</v>
      </c>
      <c r="P664" s="10">
        <v>0.45500000000000002</v>
      </c>
      <c r="Q664" s="10">
        <v>1510</v>
      </c>
      <c r="R664" s="10" t="s">
        <v>170</v>
      </c>
      <c r="S664" s="34">
        <f t="shared" si="70"/>
        <v>1510</v>
      </c>
      <c r="T664" s="10" t="s">
        <v>1011</v>
      </c>
      <c r="U664" s="34" t="str">
        <f t="shared" si="71"/>
        <v/>
      </c>
      <c r="V664" s="31" t="str">
        <f>IF(H664="CHK",VLOOKUP(I664,QCCHK,3,),IF(H664="GUP",VLOOKUP(E664,QCGUP,2,),IF(AND(H664="ATP",OR(I664="TN",I664="TDN",I664="TNO2-3",I664="NO2-3")),VLOOKUP(E664,QCREC_N,2,),IF(AND(H664="NIC",OR(I664="TN",I664="TDN",I664="TNO2-3",I664="NO2-3")),VLOOKUP(E664,QCNIC_N,2,),IF(AND(H664="UREA",OR(I664="TN",I664="TDN",I664="TNO2-3",I664="NO2-3")),VLOOKUP(E664,QCUREA_N,2,),IF(H664="PER",VLOOKUP(I664,QCPER,MATCH(E664,QCACTUAL!$J$25:$AA$25,0),),IF(H664="SPK",VLOOKUP(I664,QCSPK,3,),IF(AND(H664="ATP",OR(I664="TP",I664="TDP")),VLOOKUP(E664,QCATP_P,2,),""))))))))</f>
        <v/>
      </c>
      <c r="W664" s="31" t="str">
        <f t="shared" si="72"/>
        <v>TRUE</v>
      </c>
      <c r="X664" s="31" t="str">
        <f t="shared" si="73"/>
        <v/>
      </c>
      <c r="Y664" s="10" t="s">
        <v>1004</v>
      </c>
      <c r="Z664" s="10" t="s">
        <v>910</v>
      </c>
      <c r="AF664" s="12">
        <v>44937</v>
      </c>
      <c r="AJ664" s="10">
        <f>2.4015*7.52^2+187.16*7.52-68.555</f>
        <v>1474.6939855999999</v>
      </c>
      <c r="AK664" s="10">
        <f>0.155*7.52^2+210.99*7.52-92.045</f>
        <v>1503.365112</v>
      </c>
      <c r="AL664" s="10" t="str">
        <f t="shared" si="75"/>
        <v>FALSE</v>
      </c>
      <c r="AM664" s="10" t="str">
        <f t="shared" si="75"/>
        <v>FALSE</v>
      </c>
      <c r="AN664" s="10" t="str">
        <f t="shared" si="75"/>
        <v>FALSE</v>
      </c>
      <c r="AO664" s="10" t="str">
        <f t="shared" si="76"/>
        <v>y=2.4015*7.52^2+187.16*7.52-68.555</v>
      </c>
      <c r="AP664" s="10" t="str">
        <f t="shared" si="76"/>
        <v>y=0.155*7.52^2+210.99*7.52-92.045</v>
      </c>
      <c r="AQ664" s="10" t="b">
        <f>IF(AND(I664="TP",S664&lt;=150),VLOOKUP(AF664,TPCalibEq150!$AZ$2:$BB$55,3,),IF(AND(I664="TDP",S664&lt;=150),VLOOKUP(AF664,TPCalibEq150!$AZ$2:$BB$55,3,)))</f>
        <v>0</v>
      </c>
      <c r="AR664" s="10" t="b">
        <f>IF(AND(I664="TP",S664&lt;=300),VLOOKUP(AF664,TPCalibEq300!$AZ$2:$BB$55,3,),IF(AND(I664="TDP",S664&lt;=300),VLOOKUP(AF664,TPCalibEq300!$AZ$2:$BB$55,3,)))</f>
        <v>0</v>
      </c>
      <c r="AS664" s="10" t="b">
        <f>IF(AND(I664="TP",S664&lt;=500),VLOOKUP(AF664,TPCalibEq500!$AZ$2:$BB$56,3,),IF(AND(I664="TDP",S664&lt;=500),VLOOKUP(AF664,TPCalibEq500!$AZ$2:$BB$56,3,)))</f>
        <v>0</v>
      </c>
      <c r="AT664" s="10" t="str">
        <f>IF(AND(I664="TN",S664&lt;=2800),VLOOKUP(AF664,TNCalibEq2500!$AZ$2:$BB$56,3,),IF(AND(I664="TDN",S664&lt;=2800),VLOOKUP(AF664,TNCalibEq2500!$AZ$2:$BB$56,3,)))</f>
        <v>y=2.4015x2+187.16x-68.555</v>
      </c>
      <c r="AU664" s="10" t="str">
        <f>IF(I664="TP",VLOOKUP(AF664,TPCalibEqFull!$AZ$2:$BB$56,3),IF(I664="TDP",VLOOKUP(AF664,TPCalibEqFull!$AZ$2:$BB$56,3),IF(I664="TDN",VLOOKUP(AF664,TNCalibEqFull!$AZ$1:$BB$56,3),IF(I664="TN",VLOOKUP(AF664,TNCalibEqFull!$AZ$1:$BB$56,3),FALSE))))</f>
        <v>y=0.155x2+210.99x-92.045</v>
      </c>
      <c r="AV664" s="10" t="str">
        <f t="shared" si="74"/>
        <v>0109 09:57:00-EAW-0-C-1-SW-UKN</v>
      </c>
    </row>
    <row r="665" spans="1:48" s="10" customFormat="1" x14ac:dyDescent="0.55000000000000004">
      <c r="A665" s="32">
        <v>44935</v>
      </c>
      <c r="B665" s="33">
        <v>0.4145833333333333</v>
      </c>
      <c r="C665" s="10" t="s">
        <v>999</v>
      </c>
      <c r="D665" s="10">
        <v>0</v>
      </c>
      <c r="E665" s="10" t="s">
        <v>190</v>
      </c>
      <c r="F665" s="10">
        <v>2</v>
      </c>
      <c r="G665" s="10" t="s">
        <v>231</v>
      </c>
      <c r="H665" s="10" t="s">
        <v>322</v>
      </c>
      <c r="I665" s="10" t="s">
        <v>235</v>
      </c>
      <c r="J665" s="10">
        <v>103</v>
      </c>
      <c r="K665" s="12">
        <v>44937</v>
      </c>
      <c r="L665" s="33">
        <v>0.61866898148148153</v>
      </c>
      <c r="M665" s="10">
        <v>1</v>
      </c>
      <c r="N665" s="10" t="s">
        <v>196</v>
      </c>
      <c r="O665" s="10">
        <v>7.54</v>
      </c>
      <c r="P665" s="10">
        <v>0.45700000000000002</v>
      </c>
      <c r="Q665" s="10">
        <v>1520</v>
      </c>
      <c r="R665" s="10" t="s">
        <v>170</v>
      </c>
      <c r="S665" s="34">
        <f t="shared" si="70"/>
        <v>1520</v>
      </c>
      <c r="T665" s="10" t="s">
        <v>1011</v>
      </c>
      <c r="U665" s="34" t="str">
        <f t="shared" si="71"/>
        <v/>
      </c>
      <c r="V665" s="31" t="str">
        <f>IF(H665="CHK",VLOOKUP(I665,QCCHK,3,),IF(H665="GUP",VLOOKUP(E665,QCGUP,2,),IF(AND(H665="ATP",OR(I665="TN",I665="TDN",I665="TNO2-3",I665="NO2-3")),VLOOKUP(E665,QCREC_N,2,),IF(AND(H665="NIC",OR(I665="TN",I665="TDN",I665="TNO2-3",I665="NO2-3")),VLOOKUP(E665,QCNIC_N,2,),IF(AND(H665="UREA",OR(I665="TN",I665="TDN",I665="TNO2-3",I665="NO2-3")),VLOOKUP(E665,QCUREA_N,2,),IF(H665="PER",VLOOKUP(I665,QCPER,MATCH(E665,QCACTUAL!$J$25:$AA$25,0),),IF(H665="SPK",VLOOKUP(I665,QCSPK,3,),IF(AND(H665="ATP",OR(I665="TP",I665="TDP")),VLOOKUP(E665,QCATP_P,2,),""))))))))</f>
        <v/>
      </c>
      <c r="W665" s="31" t="str">
        <f t="shared" si="72"/>
        <v>TRUE</v>
      </c>
      <c r="X665" s="31" t="str">
        <f t="shared" si="73"/>
        <v/>
      </c>
      <c r="Y665" s="10" t="s">
        <v>1004</v>
      </c>
      <c r="Z665" s="10" t="s">
        <v>910</v>
      </c>
      <c r="AF665" s="12">
        <v>44937</v>
      </c>
      <c r="AJ665" s="10">
        <f>2.4015*7.54^2+187.16*7.54-68.555</f>
        <v>1479.1605173999999</v>
      </c>
      <c r="AK665" s="10">
        <f>0.155*7.54^2+210.99*7.54-92.045</f>
        <v>1507.6315979999999</v>
      </c>
      <c r="AL665" s="10" t="str">
        <f t="shared" si="75"/>
        <v>FALSE</v>
      </c>
      <c r="AM665" s="10" t="str">
        <f t="shared" si="75"/>
        <v>FALSE</v>
      </c>
      <c r="AN665" s="10" t="str">
        <f t="shared" si="75"/>
        <v>FALSE</v>
      </c>
      <c r="AO665" s="10" t="str">
        <f t="shared" si="76"/>
        <v>y=2.4015*7.54^2+187.16*7.54-68.555</v>
      </c>
      <c r="AP665" s="10" t="str">
        <f t="shared" si="76"/>
        <v>y=0.155*7.54^2+210.99*7.54-92.045</v>
      </c>
      <c r="AQ665" s="10" t="b">
        <f>IF(AND(I665="TP",S665&lt;=150),VLOOKUP(AF665,TPCalibEq150!$AZ$2:$BB$55,3,),IF(AND(I665="TDP",S665&lt;=150),VLOOKUP(AF665,TPCalibEq150!$AZ$2:$BB$55,3,)))</f>
        <v>0</v>
      </c>
      <c r="AR665" s="10" t="b">
        <f>IF(AND(I665="TP",S665&lt;=300),VLOOKUP(AF665,TPCalibEq300!$AZ$2:$BB$55,3,),IF(AND(I665="TDP",S665&lt;=300),VLOOKUP(AF665,TPCalibEq300!$AZ$2:$BB$55,3,)))</f>
        <v>0</v>
      </c>
      <c r="AS665" s="10" t="b">
        <f>IF(AND(I665="TP",S665&lt;=500),VLOOKUP(AF665,TPCalibEq500!$AZ$2:$BB$56,3,),IF(AND(I665="TDP",S665&lt;=500),VLOOKUP(AF665,TPCalibEq500!$AZ$2:$BB$56,3,)))</f>
        <v>0</v>
      </c>
      <c r="AT665" s="10" t="str">
        <f>IF(AND(I665="TN",S665&lt;=2800),VLOOKUP(AF665,TNCalibEq2500!$AZ$2:$BB$56,3,),IF(AND(I665="TDN",S665&lt;=2800),VLOOKUP(AF665,TNCalibEq2500!$AZ$2:$BB$56,3,)))</f>
        <v>y=2.4015x2+187.16x-68.555</v>
      </c>
      <c r="AU665" s="10" t="str">
        <f>IF(I665="TP",VLOOKUP(AF665,TPCalibEqFull!$AZ$2:$BB$56,3),IF(I665="TDP",VLOOKUP(AF665,TPCalibEqFull!$AZ$2:$BB$56,3),IF(I665="TDN",VLOOKUP(AF665,TNCalibEqFull!$AZ$1:$BB$56,3),IF(I665="TN",VLOOKUP(AF665,TNCalibEqFull!$AZ$1:$BB$56,3),FALSE))))</f>
        <v>y=0.155x2+210.99x-92.045</v>
      </c>
      <c r="AV665" s="10" t="str">
        <f t="shared" si="74"/>
        <v>0109 09:57:00-EAW-0-C-2-SW-UKN</v>
      </c>
    </row>
    <row r="666" spans="1:48" s="10" customFormat="1" x14ac:dyDescent="0.55000000000000004">
      <c r="A666" s="32">
        <v>44935</v>
      </c>
      <c r="B666" s="33">
        <v>0.4145833333333333</v>
      </c>
      <c r="C666" s="10" t="s">
        <v>999</v>
      </c>
      <c r="D666" s="10">
        <v>0</v>
      </c>
      <c r="E666" s="10" t="s">
        <v>190</v>
      </c>
      <c r="F666" s="10">
        <v>2</v>
      </c>
      <c r="G666" s="10" t="s">
        <v>231</v>
      </c>
      <c r="H666" s="10" t="s">
        <v>233</v>
      </c>
      <c r="I666" s="10" t="s">
        <v>235</v>
      </c>
      <c r="J666" s="10">
        <v>104</v>
      </c>
      <c r="K666" s="12">
        <v>44937</v>
      </c>
      <c r="L666" s="33">
        <v>0.61932870370370374</v>
      </c>
      <c r="M666" s="10">
        <v>1</v>
      </c>
      <c r="N666" s="10" t="s">
        <v>196</v>
      </c>
      <c r="O666" s="10">
        <v>8.1999999999999993</v>
      </c>
      <c r="P666" s="10">
        <v>0.496</v>
      </c>
      <c r="Q666" s="10">
        <v>1660</v>
      </c>
      <c r="R666" s="10" t="s">
        <v>170</v>
      </c>
      <c r="S666" s="34">
        <f t="shared" si="70"/>
        <v>1660</v>
      </c>
      <c r="T666" s="10" t="s">
        <v>1011</v>
      </c>
      <c r="U666" s="34">
        <f t="shared" si="71"/>
        <v>8.8050314465408803</v>
      </c>
      <c r="V666" s="31" t="str">
        <f>IF(H666="CHK",VLOOKUP(I666,QCCHK,3,),IF(H666="GUP",VLOOKUP(E666,QCGUP,2,),IF(AND(H666="ATP",OR(I666="TN",I666="TDN",I666="TNO2-3",I666="NO2-3")),VLOOKUP(E666,QCREC_N,2,),IF(AND(H666="NIC",OR(I666="TN",I666="TDN",I666="TNO2-3",I666="NO2-3")),VLOOKUP(E666,QCNIC_N,2,),IF(AND(H666="UREA",OR(I666="TN",I666="TDN",I666="TNO2-3",I666="NO2-3")),VLOOKUP(E666,QCUREA_N,2,),IF(H666="PER",VLOOKUP(I666,QCPER,MATCH(E666,QCACTUAL!$J$25:$AA$25,0),),IF(H666="SPK",VLOOKUP(I666,QCSPK,3,),IF(AND(H666="ATP",OR(I666="TP",I666="TDP")),VLOOKUP(E666,QCATP_P,2,),""))))))))</f>
        <v/>
      </c>
      <c r="W666" s="31" t="str">
        <f t="shared" si="72"/>
        <v>TRUE</v>
      </c>
      <c r="X666" s="31" t="str">
        <f t="shared" si="73"/>
        <v>((ABS(rep1-rep2))/((rep1+rep2)/2)*100</v>
      </c>
      <c r="Y666" s="10" t="s">
        <v>1004</v>
      </c>
      <c r="Z666" s="10" t="s">
        <v>910</v>
      </c>
      <c r="AF666" s="12">
        <v>44937</v>
      </c>
      <c r="AJ666" s="10">
        <f>2.4015*8.2^2+187.16*8.2-68.555</f>
        <v>1627.6338599999997</v>
      </c>
      <c r="AK666" s="10">
        <f>0.155*8.2^2+210.99*8.2-92.045</f>
        <v>1648.4951999999998</v>
      </c>
      <c r="AL666" s="10" t="str">
        <f t="shared" si="75"/>
        <v>FALSE</v>
      </c>
      <c r="AM666" s="10" t="str">
        <f t="shared" si="75"/>
        <v>FALSE</v>
      </c>
      <c r="AN666" s="10" t="str">
        <f t="shared" si="75"/>
        <v>FALSE</v>
      </c>
      <c r="AO666" s="10" t="str">
        <f t="shared" si="76"/>
        <v>y=2.4015*8.2^2+187.16*8.2-68.555</v>
      </c>
      <c r="AP666" s="10" t="str">
        <f t="shared" si="76"/>
        <v>y=0.155*8.2^2+210.99*8.2-92.045</v>
      </c>
      <c r="AQ666" s="10" t="b">
        <f>IF(AND(I666="TP",S666&lt;=150),VLOOKUP(AF666,TPCalibEq150!$AZ$2:$BB$55,3,),IF(AND(I666="TDP",S666&lt;=150),VLOOKUP(AF666,TPCalibEq150!$AZ$2:$BB$55,3,)))</f>
        <v>0</v>
      </c>
      <c r="AR666" s="10" t="b">
        <f>IF(AND(I666="TP",S666&lt;=300),VLOOKUP(AF666,TPCalibEq300!$AZ$2:$BB$55,3,),IF(AND(I666="TDP",S666&lt;=300),VLOOKUP(AF666,TPCalibEq300!$AZ$2:$BB$55,3,)))</f>
        <v>0</v>
      </c>
      <c r="AS666" s="10" t="b">
        <f>IF(AND(I666="TP",S666&lt;=500),VLOOKUP(AF666,TPCalibEq500!$AZ$2:$BB$56,3,),IF(AND(I666="TDP",S666&lt;=500),VLOOKUP(AF666,TPCalibEq500!$AZ$2:$BB$56,3,)))</f>
        <v>0</v>
      </c>
      <c r="AT666" s="10" t="str">
        <f>IF(AND(I666="TN",S666&lt;=2800),VLOOKUP(AF666,TNCalibEq2500!$AZ$2:$BB$56,3,),IF(AND(I666="TDN",S666&lt;=2800),VLOOKUP(AF666,TNCalibEq2500!$AZ$2:$BB$56,3,)))</f>
        <v>y=2.4015x2+187.16x-68.555</v>
      </c>
      <c r="AU666" s="10" t="str">
        <f>IF(I666="TP",VLOOKUP(AF666,TPCalibEqFull!$AZ$2:$BB$56,3),IF(I666="TDP",VLOOKUP(AF666,TPCalibEqFull!$AZ$2:$BB$56,3),IF(I666="TDN",VLOOKUP(AF666,TNCalibEqFull!$AZ$1:$BB$56,3),IF(I666="TN",VLOOKUP(AF666,TNCalibEqFull!$AZ$1:$BB$56,3),FALSE))))</f>
        <v>y=0.155x2+210.99x-92.045</v>
      </c>
      <c r="AV666" s="10" t="str">
        <f t="shared" si="74"/>
        <v>0109 09:57:00-EAW-0-C-2-SW-DUP</v>
      </c>
    </row>
    <row r="667" spans="1:48" s="10" customFormat="1" x14ac:dyDescent="0.55000000000000004">
      <c r="A667" s="32">
        <v>44935</v>
      </c>
      <c r="B667" s="33">
        <v>0.4145833333333333</v>
      </c>
      <c r="C667" s="10" t="s">
        <v>999</v>
      </c>
      <c r="D667" s="10">
        <v>0</v>
      </c>
      <c r="E667" s="10" t="s">
        <v>190</v>
      </c>
      <c r="F667" s="10">
        <v>2</v>
      </c>
      <c r="G667" s="10" t="s">
        <v>231</v>
      </c>
      <c r="H667" s="10" t="s">
        <v>314</v>
      </c>
      <c r="I667" s="10" t="s">
        <v>235</v>
      </c>
      <c r="J667" s="10">
        <v>120</v>
      </c>
      <c r="K667" s="12">
        <v>44937</v>
      </c>
      <c r="L667" s="33">
        <v>0.62</v>
      </c>
      <c r="M667" s="10">
        <v>1</v>
      </c>
      <c r="N667" s="10" t="s">
        <v>196</v>
      </c>
      <c r="O667" s="10">
        <v>18.399999999999999</v>
      </c>
      <c r="P667" s="10">
        <v>1.1000000000000001</v>
      </c>
      <c r="Q667" s="10">
        <v>3840</v>
      </c>
      <c r="R667" s="10" t="s">
        <v>170</v>
      </c>
      <c r="S667" s="34">
        <f t="shared" si="70"/>
        <v>3842.6477999999997</v>
      </c>
      <c r="T667" s="10" t="s">
        <v>1011</v>
      </c>
      <c r="U667" s="34">
        <f t="shared" si="71"/>
        <v>87.305911999999992</v>
      </c>
      <c r="V667" s="31">
        <f>IF(H667="CHK",VLOOKUP(I667,QCCHK,3,),IF(H667="GUP",VLOOKUP(E667,QCGUP,2,),IF(AND(H667="ATP",OR(I667="TN",I667="TDN",I667="TNO2-3",I667="NO2-3")),VLOOKUP(E667,QCREC_N,2,),IF(AND(H667="NIC",OR(I667="TN",I667="TDN",I667="TNO2-3",I667="NO2-3")),VLOOKUP(E667,QCNIC_N,2,),IF(AND(H667="UREA",OR(I667="TN",I667="TDN",I667="TNO2-3",I667="NO2-3")),VLOOKUP(E667,QCUREA_N,2,),IF(H667="PER",VLOOKUP(I667,QCPER,MATCH(E667,QCACTUAL!$J$25:$AA$25,0),),IF(H667="SPK",VLOOKUP(I667,QCSPK,3,),IF(AND(H667="ATP",OR(I667="TP",I667="TDP")),VLOOKUP(E667,QCATP_P,2,),""))))))))</f>
        <v>2500</v>
      </c>
      <c r="W667" s="31" t="str">
        <f t="shared" si="72"/>
        <v>TRUE</v>
      </c>
      <c r="X667" s="31" t="str">
        <f t="shared" si="73"/>
        <v>([spikedunkn]-[unkn])/[spike]*100</v>
      </c>
      <c r="Y667" s="10" t="s">
        <v>1004</v>
      </c>
      <c r="Z667" s="10" t="s">
        <v>910</v>
      </c>
      <c r="AF667" s="12">
        <v>44937</v>
      </c>
      <c r="AK667" s="10">
        <f>0.155*18.4^2+210.99*18.4-92.045</f>
        <v>3842.6477999999997</v>
      </c>
      <c r="AL667" s="10" t="str">
        <f t="shared" si="75"/>
        <v>FALSE</v>
      </c>
      <c r="AM667" s="10" t="str">
        <f t="shared" si="75"/>
        <v>FALSE</v>
      </c>
      <c r="AN667" s="10" t="str">
        <f t="shared" si="75"/>
        <v>FALSE</v>
      </c>
      <c r="AO667" s="10" t="str">
        <f t="shared" si="76"/>
        <v>FALSE</v>
      </c>
      <c r="AP667" s="10" t="str">
        <f t="shared" si="76"/>
        <v>y=0.155*18.4^2+210.99*18.4-92.045</v>
      </c>
      <c r="AQ667" s="10" t="b">
        <f>IF(AND(I667="TP",S667&lt;=150),VLOOKUP(AF667,TPCalibEq150!$AZ$2:$BB$55,3,),IF(AND(I667="TDP",S667&lt;=150),VLOOKUP(AF667,TPCalibEq150!$AZ$2:$BB$55,3,)))</f>
        <v>0</v>
      </c>
      <c r="AR667" s="10" t="b">
        <f>IF(AND(I667="TP",S667&lt;=300),VLOOKUP(AF667,TPCalibEq300!$AZ$2:$BB$55,3,),IF(AND(I667="TDP",S667&lt;=300),VLOOKUP(AF667,TPCalibEq300!$AZ$2:$BB$55,3,)))</f>
        <v>0</v>
      </c>
      <c r="AS667" s="10" t="b">
        <f>IF(AND(I667="TP",S667&lt;=500),VLOOKUP(AF667,TPCalibEq500!$AZ$2:$BB$56,3,),IF(AND(I667="TDP",S667&lt;=500),VLOOKUP(AF667,TPCalibEq500!$AZ$2:$BB$56,3,)))</f>
        <v>0</v>
      </c>
      <c r="AT667" s="10" t="b">
        <f>IF(AND(I667="TN",S667&lt;=2800),VLOOKUP(AF667,TNCalibEq2500!$AZ$2:$BB$56,3,),IF(AND(I667="TDN",S667&lt;=2800),VLOOKUP(AF667,TNCalibEq2500!$AZ$2:$BB$56,3,)))</f>
        <v>0</v>
      </c>
      <c r="AU667" s="10" t="str">
        <f>IF(I667="TP",VLOOKUP(AF667,TPCalibEqFull!$AZ$2:$BB$56,3),IF(I667="TDP",VLOOKUP(AF667,TPCalibEqFull!$AZ$2:$BB$56,3),IF(I667="TDN",VLOOKUP(AF667,TNCalibEqFull!$AZ$1:$BB$56,3),IF(I667="TN",VLOOKUP(AF667,TNCalibEqFull!$AZ$1:$BB$56,3),FALSE))))</f>
        <v>y=0.155x2+210.99x-92.045</v>
      </c>
      <c r="AV667" s="10" t="str">
        <f t="shared" si="74"/>
        <v>0109 09:57:00-EAW-0-C-2-SW-SPK</v>
      </c>
    </row>
    <row r="668" spans="1:48" s="10" customFormat="1" x14ac:dyDescent="0.55000000000000004">
      <c r="A668" s="32">
        <v>44937</v>
      </c>
      <c r="B668" s="33">
        <v>0.375</v>
      </c>
      <c r="C668" s="10" t="s">
        <v>70</v>
      </c>
      <c r="D668" s="10" t="s">
        <v>71</v>
      </c>
      <c r="E668" s="10" t="s">
        <v>901</v>
      </c>
      <c r="F668" s="10">
        <v>1</v>
      </c>
      <c r="G668" s="10" t="s">
        <v>73</v>
      </c>
      <c r="H668" s="10" t="s">
        <v>207</v>
      </c>
      <c r="I668" s="10" t="s">
        <v>235</v>
      </c>
      <c r="J668" s="10">
        <v>200</v>
      </c>
      <c r="K668" s="12">
        <v>44937</v>
      </c>
      <c r="L668" s="33">
        <v>0.62067129629629625</v>
      </c>
      <c r="M668" s="10">
        <v>1</v>
      </c>
      <c r="N668" s="10" t="s">
        <v>196</v>
      </c>
      <c r="O668" s="10">
        <v>6.15</v>
      </c>
      <c r="P668" s="10">
        <v>0.376</v>
      </c>
      <c r="Q668" s="10">
        <v>1220</v>
      </c>
      <c r="R668" s="10" t="s">
        <v>170</v>
      </c>
      <c r="S668" s="34">
        <f t="shared" si="70"/>
        <v>1220</v>
      </c>
      <c r="T668" s="10" t="s">
        <v>1011</v>
      </c>
      <c r="U668" s="34">
        <f t="shared" si="71"/>
        <v>97.6</v>
      </c>
      <c r="V668" s="31">
        <f>IF(H668="CHK",VLOOKUP(I668,QCCHK,3,),IF(H668="GUP",VLOOKUP(E668,QCGUP,2,),IF(AND(H668="ATP",OR(I668="TN",I668="TDN",I668="TNO2-3",I668="NO2-3")),VLOOKUP(E668,QCREC_N,2,),IF(AND(H668="NIC",OR(I668="TN",I668="TDN",I668="TNO2-3",I668="NO2-3")),VLOOKUP(E668,QCNIC_N,2,),IF(AND(H668="UREA",OR(I668="TN",I668="TDN",I668="TNO2-3",I668="NO2-3")),VLOOKUP(E668,QCUREA_N,2,),IF(H668="PER",VLOOKUP(I668,QCPER,MATCH(E668,QCACTUAL!$J$25:$AA$25,0),),IF(H668="SPK",VLOOKUP(I668,QCSPK,3,),IF(AND(H668="ATP",OR(I668="TP",I668="TDP")),VLOOKUP(E668,QCATP_P,2,),""))))))))</f>
        <v>1250</v>
      </c>
      <c r="W668" s="31" t="str">
        <f t="shared" si="72"/>
        <v>TRUE</v>
      </c>
      <c r="X668" s="31" t="str">
        <f t="shared" si="73"/>
        <v>[chk]/[actual]*100</v>
      </c>
      <c r="Y668" s="10" t="s">
        <v>1004</v>
      </c>
      <c r="AF668" s="12">
        <v>44937</v>
      </c>
      <c r="AJ668" s="10">
        <f>2.4015*6.15^2+187.16*6.15-68.555</f>
        <v>1173.3097337500001</v>
      </c>
      <c r="AK668" s="10">
        <f>0.155*6.15^2+210.99*6.15-92.045</f>
        <v>1211.4059875</v>
      </c>
      <c r="AL668" s="10" t="str">
        <f t="shared" si="75"/>
        <v>FALSE</v>
      </c>
      <c r="AM668" s="10" t="str">
        <f t="shared" si="75"/>
        <v>FALSE</v>
      </c>
      <c r="AN668" s="10" t="str">
        <f t="shared" si="75"/>
        <v>FALSE</v>
      </c>
      <c r="AO668" s="10" t="str">
        <f t="shared" si="76"/>
        <v>y=2.4015*6.15^2+187.16*6.15-68.555</v>
      </c>
      <c r="AP668" s="10" t="str">
        <f t="shared" si="76"/>
        <v>y=0.155*6.15^2+210.99*6.15-92.045</v>
      </c>
      <c r="AQ668" s="10" t="b">
        <f>IF(AND(I668="TP",S668&lt;=150),VLOOKUP(AF668,TPCalibEq150!$AZ$2:$BB$55,3,),IF(AND(I668="TDP",S668&lt;=150),VLOOKUP(AF668,TPCalibEq150!$AZ$2:$BB$55,3,)))</f>
        <v>0</v>
      </c>
      <c r="AR668" s="10" t="b">
        <f>IF(AND(I668="TP",S668&lt;=300),VLOOKUP(AF668,TPCalibEq300!$AZ$2:$BB$55,3,),IF(AND(I668="TDP",S668&lt;=300),VLOOKUP(AF668,TPCalibEq300!$AZ$2:$BB$55,3,)))</f>
        <v>0</v>
      </c>
      <c r="AS668" s="10" t="b">
        <f>IF(AND(I668="TP",S668&lt;=500),VLOOKUP(AF668,TPCalibEq500!$AZ$2:$BB$56,3,),IF(AND(I668="TDP",S668&lt;=500),VLOOKUP(AF668,TPCalibEq500!$AZ$2:$BB$56,3,)))</f>
        <v>0</v>
      </c>
      <c r="AT668" s="10" t="str">
        <f>IF(AND(I668="TN",S668&lt;=2800),VLOOKUP(AF668,TNCalibEq2500!$AZ$2:$BB$56,3,),IF(AND(I668="TDN",S668&lt;=2800),VLOOKUP(AF668,TNCalibEq2500!$AZ$2:$BB$56,3,)))</f>
        <v>y=2.4015x2+187.16x-68.555</v>
      </c>
      <c r="AU668" s="10" t="str">
        <f>IF(I668="TP",VLOOKUP(AF668,TPCalibEqFull!$AZ$2:$BB$56,3),IF(I668="TDP",VLOOKUP(AF668,TPCalibEqFull!$AZ$2:$BB$56,3),IF(I668="TDN",VLOOKUP(AF668,TNCalibEqFull!$AZ$1:$BB$56,3),IF(I668="TN",VLOOKUP(AF668,TNCalibEqFull!$AZ$1:$BB$56,3),FALSE))))</f>
        <v>y=0.155x2+210.99x-92.045</v>
      </c>
      <c r="AV668" s="10" t="str">
        <f t="shared" si="74"/>
        <v>0111 09:00:00-QAC-STD-D-1-DI-CHK</v>
      </c>
    </row>
    <row r="669" spans="1:48" s="10" customFormat="1" x14ac:dyDescent="0.55000000000000004">
      <c r="A669" s="32">
        <v>44930</v>
      </c>
      <c r="B669" s="33">
        <v>0.22569444444444445</v>
      </c>
      <c r="C669" s="10" t="s">
        <v>279</v>
      </c>
      <c r="D669" s="10">
        <v>0</v>
      </c>
      <c r="E669" s="10" t="s">
        <v>911</v>
      </c>
      <c r="F669" s="10">
        <v>1</v>
      </c>
      <c r="G669" s="10" t="s">
        <v>231</v>
      </c>
      <c r="H669" s="10" t="s">
        <v>322</v>
      </c>
      <c r="I669" s="10" t="s">
        <v>224</v>
      </c>
      <c r="J669" s="10">
        <v>15</v>
      </c>
      <c r="K669" s="12">
        <v>44937</v>
      </c>
      <c r="L669" s="33">
        <v>0.62131944444444442</v>
      </c>
      <c r="M669" s="10">
        <v>1</v>
      </c>
      <c r="N669" s="10" t="s">
        <v>196</v>
      </c>
      <c r="O669" s="10">
        <v>5.07</v>
      </c>
      <c r="P669" s="10">
        <v>0.30599999999999999</v>
      </c>
      <c r="Q669" s="10">
        <v>988</v>
      </c>
      <c r="R669" s="10" t="s">
        <v>170</v>
      </c>
      <c r="S669" s="34">
        <f t="shared" si="70"/>
        <v>988</v>
      </c>
      <c r="T669" s="10" t="s">
        <v>1011</v>
      </c>
      <c r="U669" s="34" t="str">
        <f t="shared" si="71"/>
        <v/>
      </c>
      <c r="V669" s="31" t="str">
        <f>IF(H669="CHK",VLOOKUP(I669,QCCHK,3,),IF(H669="GUP",VLOOKUP(E669,QCGUP,2,),IF(AND(H669="ATP",OR(I669="TN",I669="TDN",I669="TNO2-3",I669="NO2-3")),VLOOKUP(E669,QCREC_N,2,),IF(AND(H669="NIC",OR(I669="TN",I669="TDN",I669="TNO2-3",I669="NO2-3")),VLOOKUP(E669,QCNIC_N,2,),IF(AND(H669="UREA",OR(I669="TN",I669="TDN",I669="TNO2-3",I669="NO2-3")),VLOOKUP(E669,QCUREA_N,2,),IF(H669="PER",VLOOKUP(I669,QCPER,MATCH(E669,QCACTUAL!$J$25:$AA$25,0),),IF(H669="SPK",VLOOKUP(I669,QCSPK,3,),IF(AND(H669="ATP",OR(I669="TP",I669="TDP")),VLOOKUP(E669,QCATP_P,2,),""))))))))</f>
        <v/>
      </c>
      <c r="W669" s="31" t="str">
        <f t="shared" si="72"/>
        <v>TRUE</v>
      </c>
      <c r="X669" s="31" t="str">
        <f t="shared" si="73"/>
        <v/>
      </c>
      <c r="Y669" s="10" t="s">
        <v>1004</v>
      </c>
      <c r="Z669" s="10" t="s">
        <v>910</v>
      </c>
      <c r="AF669" s="12">
        <v>44937</v>
      </c>
      <c r="AJ669" s="10">
        <f>2.4015*5.07^2+187.16*5.07-68.555</f>
        <v>942.0765173499999</v>
      </c>
      <c r="AK669" s="10">
        <f>0.155*5.07^2+210.99*5.07-92.045</f>
        <v>981.65855950000025</v>
      </c>
      <c r="AL669" s="10" t="str">
        <f t="shared" si="75"/>
        <v>FALSE</v>
      </c>
      <c r="AM669" s="10" t="str">
        <f t="shared" si="75"/>
        <v>FALSE</v>
      </c>
      <c r="AN669" s="10" t="str">
        <f t="shared" si="75"/>
        <v>FALSE</v>
      </c>
      <c r="AO669" s="10" t="str">
        <f t="shared" si="76"/>
        <v>y=2.4015*5.07^2+187.16*5.07-68.555</v>
      </c>
      <c r="AP669" s="10" t="str">
        <f t="shared" si="76"/>
        <v>y=0.155*5.07^2+210.99*5.07-92.045</v>
      </c>
      <c r="AQ669" s="10" t="b">
        <f>IF(AND(I669="TP",S669&lt;=150),VLOOKUP(AF669,TPCalibEq150!$AZ$2:$BB$55,3,),IF(AND(I669="TDP",S669&lt;=150),VLOOKUP(AF669,TPCalibEq150!$AZ$2:$BB$55,3,)))</f>
        <v>0</v>
      </c>
      <c r="AR669" s="10" t="b">
        <f>IF(AND(I669="TP",S669&lt;=300),VLOOKUP(AF669,TPCalibEq300!$AZ$2:$BB$55,3,),IF(AND(I669="TDP",S669&lt;=300),VLOOKUP(AF669,TPCalibEq300!$AZ$2:$BB$55,3,)))</f>
        <v>0</v>
      </c>
      <c r="AS669" s="10" t="b">
        <f>IF(AND(I669="TP",S669&lt;=500),VLOOKUP(AF669,TPCalibEq500!$AZ$2:$BB$56,3,),IF(AND(I669="TDP",S669&lt;=500),VLOOKUP(AF669,TPCalibEq500!$AZ$2:$BB$56,3,)))</f>
        <v>0</v>
      </c>
      <c r="AT669" s="10" t="str">
        <f>IF(AND(I669="TN",S669&lt;=2800),VLOOKUP(AF669,TNCalibEq2500!$AZ$2:$BB$56,3,),IF(AND(I669="TDN",S669&lt;=2800),VLOOKUP(AF669,TNCalibEq2500!$AZ$2:$BB$56,3,)))</f>
        <v>y=2.4015x2+187.16x-68.555</v>
      </c>
      <c r="AU669" s="10" t="str">
        <f>IF(I669="TP",VLOOKUP(AF669,TPCalibEqFull!$AZ$2:$BB$56,3),IF(I669="TDP",VLOOKUP(AF669,TPCalibEqFull!$AZ$2:$BB$56,3),IF(I669="TDN",VLOOKUP(AF669,TNCalibEqFull!$AZ$1:$BB$56,3),IF(I669="TN",VLOOKUP(AF669,TNCalibEqFull!$AZ$1:$BB$56,3),FALSE))))</f>
        <v>y=0.155x2+210.99x-92.045</v>
      </c>
      <c r="AV669" s="10" t="str">
        <f t="shared" si="74"/>
        <v>0104 05:25:00-EFK-0-FIL-1-SW-UKN</v>
      </c>
    </row>
    <row r="670" spans="1:48" s="10" customFormat="1" x14ac:dyDescent="0.55000000000000004">
      <c r="A670" s="32">
        <v>44930</v>
      </c>
      <c r="B670" s="33">
        <v>0.22916666666666666</v>
      </c>
      <c r="C670" s="10" t="s">
        <v>333</v>
      </c>
      <c r="D670" s="10">
        <v>0</v>
      </c>
      <c r="E670" s="10" t="s">
        <v>911</v>
      </c>
      <c r="F670" s="10">
        <v>1</v>
      </c>
      <c r="G670" s="10" t="s">
        <v>231</v>
      </c>
      <c r="H670" s="10" t="s">
        <v>322</v>
      </c>
      <c r="I670" s="10" t="s">
        <v>224</v>
      </c>
      <c r="J670" s="10">
        <v>16</v>
      </c>
      <c r="K670" s="12">
        <v>44937</v>
      </c>
      <c r="L670" s="33">
        <v>0.62200231481481483</v>
      </c>
      <c r="M670" s="10">
        <v>1</v>
      </c>
      <c r="N670" s="10" t="s">
        <v>196</v>
      </c>
      <c r="O670" s="10">
        <v>5.98</v>
      </c>
      <c r="P670" s="10">
        <v>0.35899999999999999</v>
      </c>
      <c r="Q670" s="10">
        <v>1180</v>
      </c>
      <c r="R670" s="10" t="s">
        <v>170</v>
      </c>
      <c r="S670" s="34">
        <f t="shared" si="70"/>
        <v>1180</v>
      </c>
      <c r="T670" s="10" t="s">
        <v>1011</v>
      </c>
      <c r="U670" s="34" t="str">
        <f t="shared" si="71"/>
        <v/>
      </c>
      <c r="V670" s="31" t="str">
        <f>IF(H670="CHK",VLOOKUP(I670,QCCHK,3,),IF(H670="GUP",VLOOKUP(E670,QCGUP,2,),IF(AND(H670="ATP",OR(I670="TN",I670="TDN",I670="TNO2-3",I670="NO2-3")),VLOOKUP(E670,QCREC_N,2,),IF(AND(H670="NIC",OR(I670="TN",I670="TDN",I670="TNO2-3",I670="NO2-3")),VLOOKUP(E670,QCNIC_N,2,),IF(AND(H670="UREA",OR(I670="TN",I670="TDN",I670="TNO2-3",I670="NO2-3")),VLOOKUP(E670,QCUREA_N,2,),IF(H670="PER",VLOOKUP(I670,QCPER,MATCH(E670,QCACTUAL!$J$25:$AA$25,0),),IF(H670="SPK",VLOOKUP(I670,QCSPK,3,),IF(AND(H670="ATP",OR(I670="TP",I670="TDP")),VLOOKUP(E670,QCATP_P,2,),""))))))))</f>
        <v/>
      </c>
      <c r="W670" s="31" t="str">
        <f t="shared" si="72"/>
        <v>TRUE</v>
      </c>
      <c r="X670" s="31" t="str">
        <f t="shared" si="73"/>
        <v/>
      </c>
      <c r="Y670" s="10" t="s">
        <v>1004</v>
      </c>
      <c r="Z670" s="10" t="s">
        <v>910</v>
      </c>
      <c r="AF670" s="12">
        <v>44937</v>
      </c>
      <c r="AJ670" s="10">
        <f>2.4015*5.98^2+187.16*5.98-68.555</f>
        <v>1136.5404006000001</v>
      </c>
      <c r="AK670" s="10">
        <f>0.155*5.98^2+210.99*5.98-92.045</f>
        <v>1175.2180620000001</v>
      </c>
      <c r="AL670" s="10" t="str">
        <f t="shared" si="75"/>
        <v>FALSE</v>
      </c>
      <c r="AM670" s="10" t="str">
        <f t="shared" si="75"/>
        <v>FALSE</v>
      </c>
      <c r="AN670" s="10" t="str">
        <f t="shared" si="75"/>
        <v>FALSE</v>
      </c>
      <c r="AO670" s="10" t="str">
        <f t="shared" si="76"/>
        <v>y=2.4015*5.98^2+187.16*5.98-68.555</v>
      </c>
      <c r="AP670" s="10" t="str">
        <f t="shared" si="76"/>
        <v>y=0.155*5.98^2+210.99*5.98-92.045</v>
      </c>
      <c r="AQ670" s="10" t="b">
        <f>IF(AND(I670="TP",S670&lt;=150),VLOOKUP(AF670,TPCalibEq150!$AZ$2:$BB$55,3,),IF(AND(I670="TDP",S670&lt;=150),VLOOKUP(AF670,TPCalibEq150!$AZ$2:$BB$55,3,)))</f>
        <v>0</v>
      </c>
      <c r="AR670" s="10" t="b">
        <f>IF(AND(I670="TP",S670&lt;=300),VLOOKUP(AF670,TPCalibEq300!$AZ$2:$BB$55,3,),IF(AND(I670="TDP",S670&lt;=300),VLOOKUP(AF670,TPCalibEq300!$AZ$2:$BB$55,3,)))</f>
        <v>0</v>
      </c>
      <c r="AS670" s="10" t="b">
        <f>IF(AND(I670="TP",S670&lt;=500),VLOOKUP(AF670,TPCalibEq500!$AZ$2:$BB$56,3,),IF(AND(I670="TDP",S670&lt;=500),VLOOKUP(AF670,TPCalibEq500!$AZ$2:$BB$56,3,)))</f>
        <v>0</v>
      </c>
      <c r="AT670" s="10" t="str">
        <f>IF(AND(I670="TN",S670&lt;=2800),VLOOKUP(AF670,TNCalibEq2500!$AZ$2:$BB$56,3,),IF(AND(I670="TDN",S670&lt;=2800),VLOOKUP(AF670,TNCalibEq2500!$AZ$2:$BB$56,3,)))</f>
        <v>y=2.4015x2+187.16x-68.555</v>
      </c>
      <c r="AU670" s="10" t="str">
        <f>IF(I670="TP",VLOOKUP(AF670,TPCalibEqFull!$AZ$2:$BB$56,3),IF(I670="TDP",VLOOKUP(AF670,TPCalibEqFull!$AZ$2:$BB$56,3),IF(I670="TDN",VLOOKUP(AF670,TNCalibEqFull!$AZ$1:$BB$56,3),IF(I670="TN",VLOOKUP(AF670,TNCalibEqFull!$AZ$1:$BB$56,3),FALSE))))</f>
        <v>y=0.155x2+210.99x-92.045</v>
      </c>
      <c r="AV670" s="10" t="str">
        <f t="shared" si="74"/>
        <v>0104 05:30:00-HST-0-FIL-1-SW-UKN</v>
      </c>
    </row>
    <row r="671" spans="1:48" s="10" customFormat="1" x14ac:dyDescent="0.55000000000000004">
      <c r="A671" s="32">
        <v>44931</v>
      </c>
      <c r="B671" s="33">
        <v>0.44513888888888892</v>
      </c>
      <c r="C671" s="10" t="s">
        <v>279</v>
      </c>
      <c r="D671" s="10">
        <v>0</v>
      </c>
      <c r="E671" s="10" t="s">
        <v>911</v>
      </c>
      <c r="F671" s="10">
        <v>1</v>
      </c>
      <c r="G671" s="10" t="s">
        <v>231</v>
      </c>
      <c r="H671" s="10" t="s">
        <v>322</v>
      </c>
      <c r="I671" s="10" t="s">
        <v>224</v>
      </c>
      <c r="J671" s="10">
        <v>17</v>
      </c>
      <c r="K671" s="12">
        <v>44937</v>
      </c>
      <c r="L671" s="33">
        <v>0.62267361111111108</v>
      </c>
      <c r="M671" s="10">
        <v>1</v>
      </c>
      <c r="N671" s="10" t="s">
        <v>196</v>
      </c>
      <c r="O671" s="10">
        <v>5.5</v>
      </c>
      <c r="P671" s="10">
        <v>0.33100000000000002</v>
      </c>
      <c r="Q671" s="10">
        <v>1080</v>
      </c>
      <c r="R671" s="10" t="s">
        <v>170</v>
      </c>
      <c r="S671" s="34">
        <f t="shared" si="70"/>
        <v>1080</v>
      </c>
      <c r="T671" s="10" t="s">
        <v>1011</v>
      </c>
      <c r="U671" s="34" t="str">
        <f t="shared" si="71"/>
        <v/>
      </c>
      <c r="V671" s="31" t="str">
        <f>IF(H671="CHK",VLOOKUP(I671,QCCHK,3,),IF(H671="GUP",VLOOKUP(E671,QCGUP,2,),IF(AND(H671="ATP",OR(I671="TN",I671="TDN",I671="TNO2-3",I671="NO2-3")),VLOOKUP(E671,QCREC_N,2,),IF(AND(H671="NIC",OR(I671="TN",I671="TDN",I671="TNO2-3",I671="NO2-3")),VLOOKUP(E671,QCNIC_N,2,),IF(AND(H671="UREA",OR(I671="TN",I671="TDN",I671="TNO2-3",I671="NO2-3")),VLOOKUP(E671,QCUREA_N,2,),IF(H671="PER",VLOOKUP(I671,QCPER,MATCH(E671,QCACTUAL!$J$25:$AA$25,0),),IF(H671="SPK",VLOOKUP(I671,QCSPK,3,),IF(AND(H671="ATP",OR(I671="TP",I671="TDP")),VLOOKUP(E671,QCATP_P,2,),""))))))))</f>
        <v/>
      </c>
      <c r="W671" s="31" t="str">
        <f t="shared" si="72"/>
        <v>TRUE</v>
      </c>
      <c r="X671" s="31" t="str">
        <f t="shared" si="73"/>
        <v/>
      </c>
      <c r="Y671" s="10" t="s">
        <v>1004</v>
      </c>
      <c r="Z671" s="10" t="s">
        <v>910</v>
      </c>
      <c r="AF671" s="12">
        <v>44937</v>
      </c>
      <c r="AJ671" s="10">
        <f>2.4015*5.5^2+187.16*5.5-68.555</f>
        <v>1033.4703749999999</v>
      </c>
      <c r="AK671" s="10">
        <f>0.155*5.5^2+210.99*5.5-92.045</f>
        <v>1073.0887500000001</v>
      </c>
      <c r="AL671" s="10" t="str">
        <f t="shared" si="75"/>
        <v>FALSE</v>
      </c>
      <c r="AM671" s="10" t="str">
        <f t="shared" si="75"/>
        <v>FALSE</v>
      </c>
      <c r="AN671" s="10" t="str">
        <f t="shared" si="75"/>
        <v>FALSE</v>
      </c>
      <c r="AO671" s="10" t="str">
        <f t="shared" si="76"/>
        <v>y=2.4015*5.5^2+187.16*5.5-68.555</v>
      </c>
      <c r="AP671" s="10" t="str">
        <f t="shared" si="76"/>
        <v>y=0.155*5.5^2+210.99*5.5-92.045</v>
      </c>
      <c r="AQ671" s="10" t="b">
        <f>IF(AND(I671="TP",S671&lt;=150),VLOOKUP(AF671,TPCalibEq150!$AZ$2:$BB$55,3,),IF(AND(I671="TDP",S671&lt;=150),VLOOKUP(AF671,TPCalibEq150!$AZ$2:$BB$55,3,)))</f>
        <v>0</v>
      </c>
      <c r="AR671" s="10" t="b">
        <f>IF(AND(I671="TP",S671&lt;=300),VLOOKUP(AF671,TPCalibEq300!$AZ$2:$BB$55,3,),IF(AND(I671="TDP",S671&lt;=300),VLOOKUP(AF671,TPCalibEq300!$AZ$2:$BB$55,3,)))</f>
        <v>0</v>
      </c>
      <c r="AS671" s="10" t="b">
        <f>IF(AND(I671="TP",S671&lt;=500),VLOOKUP(AF671,TPCalibEq500!$AZ$2:$BB$56,3,),IF(AND(I671="TDP",S671&lt;=500),VLOOKUP(AF671,TPCalibEq500!$AZ$2:$BB$56,3,)))</f>
        <v>0</v>
      </c>
      <c r="AT671" s="10" t="str">
        <f>IF(AND(I671="TN",S671&lt;=2800),VLOOKUP(AF671,TNCalibEq2500!$AZ$2:$BB$56,3,),IF(AND(I671="TDN",S671&lt;=2800),VLOOKUP(AF671,TNCalibEq2500!$AZ$2:$BB$56,3,)))</f>
        <v>y=2.4015x2+187.16x-68.555</v>
      </c>
      <c r="AU671" s="10" t="str">
        <f>IF(I671="TP",VLOOKUP(AF671,TPCalibEqFull!$AZ$2:$BB$56,3),IF(I671="TDP",VLOOKUP(AF671,TPCalibEqFull!$AZ$2:$BB$56,3),IF(I671="TDN",VLOOKUP(AF671,TNCalibEqFull!$AZ$1:$BB$56,3),IF(I671="TN",VLOOKUP(AF671,TNCalibEqFull!$AZ$1:$BB$56,3),FALSE))))</f>
        <v>y=0.155x2+210.99x-92.045</v>
      </c>
      <c r="AV671" s="10" t="str">
        <f t="shared" si="74"/>
        <v>0105 10:41:00-EFK-0-FIL-1-SW-UKN</v>
      </c>
    </row>
    <row r="672" spans="1:48" s="10" customFormat="1" x14ac:dyDescent="0.55000000000000004">
      <c r="A672" s="32">
        <v>44931</v>
      </c>
      <c r="B672" s="33">
        <v>0.45069444444444445</v>
      </c>
      <c r="C672" s="10" t="s">
        <v>333</v>
      </c>
      <c r="D672" s="10">
        <v>0</v>
      </c>
      <c r="E672" s="10" t="s">
        <v>911</v>
      </c>
      <c r="F672" s="10">
        <v>1</v>
      </c>
      <c r="G672" s="10" t="s">
        <v>231</v>
      </c>
      <c r="H672" s="10" t="s">
        <v>322</v>
      </c>
      <c r="I672" s="10" t="s">
        <v>224</v>
      </c>
      <c r="J672" s="10">
        <v>18</v>
      </c>
      <c r="K672" s="12">
        <v>44937</v>
      </c>
      <c r="L672" s="33">
        <v>0.62334490740740744</v>
      </c>
      <c r="M672" s="10">
        <v>1</v>
      </c>
      <c r="N672" s="10" t="s">
        <v>196</v>
      </c>
      <c r="O672" s="10">
        <v>5.92</v>
      </c>
      <c r="P672" s="10">
        <v>0.35699999999999998</v>
      </c>
      <c r="Q672" s="10">
        <v>1170</v>
      </c>
      <c r="R672" s="10" t="s">
        <v>170</v>
      </c>
      <c r="S672" s="34">
        <f t="shared" si="70"/>
        <v>1170</v>
      </c>
      <c r="T672" s="10" t="s">
        <v>1011</v>
      </c>
      <c r="U672" s="34" t="str">
        <f t="shared" si="71"/>
        <v/>
      </c>
      <c r="V672" s="31" t="str">
        <f>IF(H672="CHK",VLOOKUP(I672,QCCHK,3,),IF(H672="GUP",VLOOKUP(E672,QCGUP,2,),IF(AND(H672="ATP",OR(I672="TN",I672="TDN",I672="TNO2-3",I672="NO2-3")),VLOOKUP(E672,QCREC_N,2,),IF(AND(H672="NIC",OR(I672="TN",I672="TDN",I672="TNO2-3",I672="NO2-3")),VLOOKUP(E672,QCNIC_N,2,),IF(AND(H672="UREA",OR(I672="TN",I672="TDN",I672="TNO2-3",I672="NO2-3")),VLOOKUP(E672,QCUREA_N,2,),IF(H672="PER",VLOOKUP(I672,QCPER,MATCH(E672,QCACTUAL!$J$25:$AA$25,0),),IF(H672="SPK",VLOOKUP(I672,QCSPK,3,),IF(AND(H672="ATP",OR(I672="TP",I672="TDP")),VLOOKUP(E672,QCATP_P,2,),""))))))))</f>
        <v/>
      </c>
      <c r="W672" s="31" t="str">
        <f t="shared" si="72"/>
        <v>TRUE</v>
      </c>
      <c r="X672" s="31" t="str">
        <f t="shared" si="73"/>
        <v/>
      </c>
      <c r="Y672" s="10" t="s">
        <v>1004</v>
      </c>
      <c r="Z672" s="10" t="s">
        <v>910</v>
      </c>
      <c r="AF672" s="12">
        <v>44937</v>
      </c>
      <c r="AJ672" s="10">
        <f>2.4015*5.92^2+187.16*5.92-68.555</f>
        <v>1123.5961296</v>
      </c>
      <c r="AK672" s="10">
        <f>0.155*5.92^2+210.99*5.92-92.045</f>
        <v>1162.4479919999999</v>
      </c>
      <c r="AL672" s="10" t="str">
        <f t="shared" si="75"/>
        <v>FALSE</v>
      </c>
      <c r="AM672" s="10" t="str">
        <f t="shared" si="75"/>
        <v>FALSE</v>
      </c>
      <c r="AN672" s="10" t="str">
        <f t="shared" si="75"/>
        <v>FALSE</v>
      </c>
      <c r="AO672" s="10" t="str">
        <f t="shared" si="76"/>
        <v>y=2.4015*5.92^2+187.16*5.92-68.555</v>
      </c>
      <c r="AP672" s="10" t="str">
        <f t="shared" si="76"/>
        <v>y=0.155*5.92^2+210.99*5.92-92.045</v>
      </c>
      <c r="AQ672" s="10" t="b">
        <f>IF(AND(I672="TP",S672&lt;=150),VLOOKUP(AF672,TPCalibEq150!$AZ$2:$BB$55,3,),IF(AND(I672="TDP",S672&lt;=150),VLOOKUP(AF672,TPCalibEq150!$AZ$2:$BB$55,3,)))</f>
        <v>0</v>
      </c>
      <c r="AR672" s="10" t="b">
        <f>IF(AND(I672="TP",S672&lt;=300),VLOOKUP(AF672,TPCalibEq300!$AZ$2:$BB$55,3,),IF(AND(I672="TDP",S672&lt;=300),VLOOKUP(AF672,TPCalibEq300!$AZ$2:$BB$55,3,)))</f>
        <v>0</v>
      </c>
      <c r="AS672" s="10" t="b">
        <f>IF(AND(I672="TP",S672&lt;=500),VLOOKUP(AF672,TPCalibEq500!$AZ$2:$BB$56,3,),IF(AND(I672="TDP",S672&lt;=500),VLOOKUP(AF672,TPCalibEq500!$AZ$2:$BB$56,3,)))</f>
        <v>0</v>
      </c>
      <c r="AT672" s="10" t="str">
        <f>IF(AND(I672="TN",S672&lt;=2800),VLOOKUP(AF672,TNCalibEq2500!$AZ$2:$BB$56,3,),IF(AND(I672="TDN",S672&lt;=2800),VLOOKUP(AF672,TNCalibEq2500!$AZ$2:$BB$56,3,)))</f>
        <v>y=2.4015x2+187.16x-68.555</v>
      </c>
      <c r="AU672" s="10" t="str">
        <f>IF(I672="TP",VLOOKUP(AF672,TPCalibEqFull!$AZ$2:$BB$56,3),IF(I672="TDP",VLOOKUP(AF672,TPCalibEqFull!$AZ$2:$BB$56,3),IF(I672="TDN",VLOOKUP(AF672,TNCalibEqFull!$AZ$1:$BB$56,3),IF(I672="TN",VLOOKUP(AF672,TNCalibEqFull!$AZ$1:$BB$56,3),FALSE))))</f>
        <v>y=0.155x2+210.99x-92.045</v>
      </c>
      <c r="AV672" s="10" t="str">
        <f t="shared" si="74"/>
        <v>0105 10:49:00-HST-0-FIL-1-SW-UKN</v>
      </c>
    </row>
    <row r="673" spans="1:48" s="10" customFormat="1" x14ac:dyDescent="0.55000000000000004">
      <c r="A673" s="32">
        <v>44932</v>
      </c>
      <c r="B673" s="33">
        <v>0.53333333333333333</v>
      </c>
      <c r="C673" s="10" t="s">
        <v>279</v>
      </c>
      <c r="D673" s="10">
        <v>0</v>
      </c>
      <c r="E673" s="10" t="s">
        <v>911</v>
      </c>
      <c r="F673" s="10">
        <v>1</v>
      </c>
      <c r="G673" s="10" t="s">
        <v>231</v>
      </c>
      <c r="H673" s="10" t="s">
        <v>322</v>
      </c>
      <c r="I673" s="10" t="s">
        <v>224</v>
      </c>
      <c r="J673" s="10">
        <v>19</v>
      </c>
      <c r="K673" s="12">
        <v>44937</v>
      </c>
      <c r="L673" s="33">
        <v>0.6240162037037037</v>
      </c>
      <c r="M673" s="10">
        <v>1</v>
      </c>
      <c r="N673" s="10" t="s">
        <v>196</v>
      </c>
      <c r="O673" s="10">
        <v>6.3</v>
      </c>
      <c r="P673" s="10">
        <v>0.379</v>
      </c>
      <c r="Q673" s="10">
        <v>1250</v>
      </c>
      <c r="R673" s="10" t="s">
        <v>170</v>
      </c>
      <c r="S673" s="34">
        <f t="shared" si="70"/>
        <v>1250</v>
      </c>
      <c r="T673" s="10" t="s">
        <v>1011</v>
      </c>
      <c r="U673" s="34" t="str">
        <f t="shared" si="71"/>
        <v/>
      </c>
      <c r="V673" s="31" t="str">
        <f>IF(H673="CHK",VLOOKUP(I673,QCCHK,3,),IF(H673="GUP",VLOOKUP(E673,QCGUP,2,),IF(AND(H673="ATP",OR(I673="TN",I673="TDN",I673="TNO2-3",I673="NO2-3")),VLOOKUP(E673,QCREC_N,2,),IF(AND(H673="NIC",OR(I673="TN",I673="TDN",I673="TNO2-3",I673="NO2-3")),VLOOKUP(E673,QCNIC_N,2,),IF(AND(H673="UREA",OR(I673="TN",I673="TDN",I673="TNO2-3",I673="NO2-3")),VLOOKUP(E673,QCUREA_N,2,),IF(H673="PER",VLOOKUP(I673,QCPER,MATCH(E673,QCACTUAL!$J$25:$AA$25,0),),IF(H673="SPK",VLOOKUP(I673,QCSPK,3,),IF(AND(H673="ATP",OR(I673="TP",I673="TDP")),VLOOKUP(E673,QCATP_P,2,),""))))))))</f>
        <v/>
      </c>
      <c r="W673" s="31" t="str">
        <f t="shared" si="72"/>
        <v>TRUE</v>
      </c>
      <c r="X673" s="31" t="str">
        <f t="shared" si="73"/>
        <v/>
      </c>
      <c r="Y673" s="10" t="s">
        <v>1004</v>
      </c>
      <c r="Z673" s="10" t="s">
        <v>910</v>
      </c>
      <c r="AF673" s="12">
        <v>44937</v>
      </c>
      <c r="AJ673" s="10">
        <f>2.4015*6.3^2+187.16*6.3-68.555</f>
        <v>1205.8685349999998</v>
      </c>
      <c r="AK673" s="10">
        <f>0.155*6.3^2+210.99*6.3-92.045</f>
        <v>1243.3439499999999</v>
      </c>
      <c r="AL673" s="10" t="str">
        <f t="shared" si="75"/>
        <v>FALSE</v>
      </c>
      <c r="AM673" s="10" t="str">
        <f t="shared" si="75"/>
        <v>FALSE</v>
      </c>
      <c r="AN673" s="10" t="str">
        <f t="shared" si="75"/>
        <v>FALSE</v>
      </c>
      <c r="AO673" s="10" t="str">
        <f t="shared" si="76"/>
        <v>y=2.4015*6.3^2+187.16*6.3-68.555</v>
      </c>
      <c r="AP673" s="10" t="str">
        <f t="shared" si="76"/>
        <v>y=0.155*6.3^2+210.99*6.3-92.045</v>
      </c>
      <c r="AQ673" s="10" t="b">
        <f>IF(AND(I673="TP",S673&lt;=150),VLOOKUP(AF673,TPCalibEq150!$AZ$2:$BB$55,3,),IF(AND(I673="TDP",S673&lt;=150),VLOOKUP(AF673,TPCalibEq150!$AZ$2:$BB$55,3,)))</f>
        <v>0</v>
      </c>
      <c r="AR673" s="10" t="b">
        <f>IF(AND(I673="TP",S673&lt;=300),VLOOKUP(AF673,TPCalibEq300!$AZ$2:$BB$55,3,),IF(AND(I673="TDP",S673&lt;=300),VLOOKUP(AF673,TPCalibEq300!$AZ$2:$BB$55,3,)))</f>
        <v>0</v>
      </c>
      <c r="AS673" s="10" t="b">
        <f>IF(AND(I673="TP",S673&lt;=500),VLOOKUP(AF673,TPCalibEq500!$AZ$2:$BB$56,3,),IF(AND(I673="TDP",S673&lt;=500),VLOOKUP(AF673,TPCalibEq500!$AZ$2:$BB$56,3,)))</f>
        <v>0</v>
      </c>
      <c r="AT673" s="10" t="str">
        <f>IF(AND(I673="TN",S673&lt;=2800),VLOOKUP(AF673,TNCalibEq2500!$AZ$2:$BB$56,3,),IF(AND(I673="TDN",S673&lt;=2800),VLOOKUP(AF673,TNCalibEq2500!$AZ$2:$BB$56,3,)))</f>
        <v>y=2.4015x2+187.16x-68.555</v>
      </c>
      <c r="AU673" s="10" t="str">
        <f>IF(I673="TP",VLOOKUP(AF673,TPCalibEqFull!$AZ$2:$BB$56,3),IF(I673="TDP",VLOOKUP(AF673,TPCalibEqFull!$AZ$2:$BB$56,3),IF(I673="TDN",VLOOKUP(AF673,TNCalibEqFull!$AZ$1:$BB$56,3),IF(I673="TN",VLOOKUP(AF673,TNCalibEqFull!$AZ$1:$BB$56,3),FALSE))))</f>
        <v>y=0.155x2+210.99x-92.045</v>
      </c>
      <c r="AV673" s="10" t="str">
        <f t="shared" si="74"/>
        <v>0106 12:48:00-EFK-0-FIL-1-SW-UKN</v>
      </c>
    </row>
    <row r="674" spans="1:48" s="10" customFormat="1" x14ac:dyDescent="0.55000000000000004">
      <c r="A674" s="32">
        <v>44932</v>
      </c>
      <c r="B674" s="33">
        <v>0.52430555555555558</v>
      </c>
      <c r="C674" s="10" t="s">
        <v>333</v>
      </c>
      <c r="D674" s="10">
        <v>0</v>
      </c>
      <c r="E674" s="10" t="s">
        <v>911</v>
      </c>
      <c r="F674" s="10">
        <v>1</v>
      </c>
      <c r="G674" s="10" t="s">
        <v>231</v>
      </c>
      <c r="H674" s="10" t="s">
        <v>322</v>
      </c>
      <c r="I674" s="10" t="s">
        <v>224</v>
      </c>
      <c r="J674" s="10">
        <v>20</v>
      </c>
      <c r="K674" s="12">
        <v>44937</v>
      </c>
      <c r="L674" s="33">
        <v>0.62468749999999995</v>
      </c>
      <c r="M674" s="10">
        <v>1</v>
      </c>
      <c r="N674" s="10" t="s">
        <v>196</v>
      </c>
      <c r="O674" s="10">
        <v>5.87</v>
      </c>
      <c r="P674" s="10">
        <v>0.35499999999999998</v>
      </c>
      <c r="Q674" s="10">
        <v>1160</v>
      </c>
      <c r="R674" s="10" t="s">
        <v>170</v>
      </c>
      <c r="S674" s="34">
        <f t="shared" si="70"/>
        <v>1160</v>
      </c>
      <c r="T674" s="10" t="s">
        <v>1011</v>
      </c>
      <c r="U674" s="34" t="str">
        <f t="shared" si="71"/>
        <v/>
      </c>
      <c r="V674" s="31" t="str">
        <f>IF(H674="CHK",VLOOKUP(I674,QCCHK,3,),IF(H674="GUP",VLOOKUP(E674,QCGUP,2,),IF(AND(H674="ATP",OR(I674="TN",I674="TDN",I674="TNO2-3",I674="NO2-3")),VLOOKUP(E674,QCREC_N,2,),IF(AND(H674="NIC",OR(I674="TN",I674="TDN",I674="TNO2-3",I674="NO2-3")),VLOOKUP(E674,QCNIC_N,2,),IF(AND(H674="UREA",OR(I674="TN",I674="TDN",I674="TNO2-3",I674="NO2-3")),VLOOKUP(E674,QCUREA_N,2,),IF(H674="PER",VLOOKUP(I674,QCPER,MATCH(E674,QCACTUAL!$J$25:$AA$25,0),),IF(H674="SPK",VLOOKUP(I674,QCSPK,3,),IF(AND(H674="ATP",OR(I674="TP",I674="TDP")),VLOOKUP(E674,QCATP_P,2,),""))))))))</f>
        <v/>
      </c>
      <c r="W674" s="31" t="str">
        <f t="shared" si="72"/>
        <v>TRUE</v>
      </c>
      <c r="X674" s="31" t="str">
        <f t="shared" si="73"/>
        <v/>
      </c>
      <c r="Y674" s="10" t="s">
        <v>1004</v>
      </c>
      <c r="Z674" s="10" t="s">
        <v>910</v>
      </c>
      <c r="AF674" s="12">
        <v>44937</v>
      </c>
      <c r="AJ674" s="10">
        <f>2.4015*5.87^2+187.16*5.87-68.555</f>
        <v>1112.82244535</v>
      </c>
      <c r="AK674" s="10">
        <f>0.155*5.87^2+210.99*5.87-92.045</f>
        <v>1151.8071195</v>
      </c>
      <c r="AL674" s="10" t="str">
        <f t="shared" si="75"/>
        <v>FALSE</v>
      </c>
      <c r="AM674" s="10" t="str">
        <f t="shared" si="75"/>
        <v>FALSE</v>
      </c>
      <c r="AN674" s="10" t="str">
        <f t="shared" si="75"/>
        <v>FALSE</v>
      </c>
      <c r="AO674" s="10" t="str">
        <f t="shared" si="76"/>
        <v>y=2.4015*5.87^2+187.16*5.87-68.555</v>
      </c>
      <c r="AP674" s="10" t="str">
        <f t="shared" si="76"/>
        <v>y=0.155*5.87^2+210.99*5.87-92.045</v>
      </c>
      <c r="AQ674" s="10" t="b">
        <f>IF(AND(I674="TP",S674&lt;=150),VLOOKUP(AF674,TPCalibEq150!$AZ$2:$BB$55,3,),IF(AND(I674="TDP",S674&lt;=150),VLOOKUP(AF674,TPCalibEq150!$AZ$2:$BB$55,3,)))</f>
        <v>0</v>
      </c>
      <c r="AR674" s="10" t="b">
        <f>IF(AND(I674="TP",S674&lt;=300),VLOOKUP(AF674,TPCalibEq300!$AZ$2:$BB$55,3,),IF(AND(I674="TDP",S674&lt;=300),VLOOKUP(AF674,TPCalibEq300!$AZ$2:$BB$55,3,)))</f>
        <v>0</v>
      </c>
      <c r="AS674" s="10" t="b">
        <f>IF(AND(I674="TP",S674&lt;=500),VLOOKUP(AF674,TPCalibEq500!$AZ$2:$BB$56,3,),IF(AND(I674="TDP",S674&lt;=500),VLOOKUP(AF674,TPCalibEq500!$AZ$2:$BB$56,3,)))</f>
        <v>0</v>
      </c>
      <c r="AT674" s="10" t="str">
        <f>IF(AND(I674="TN",S674&lt;=2800),VLOOKUP(AF674,TNCalibEq2500!$AZ$2:$BB$56,3,),IF(AND(I674="TDN",S674&lt;=2800),VLOOKUP(AF674,TNCalibEq2500!$AZ$2:$BB$56,3,)))</f>
        <v>y=2.4015x2+187.16x-68.555</v>
      </c>
      <c r="AU674" s="10" t="str">
        <f>IF(I674="TP",VLOOKUP(AF674,TPCalibEqFull!$AZ$2:$BB$56,3),IF(I674="TDP",VLOOKUP(AF674,TPCalibEqFull!$AZ$2:$BB$56,3),IF(I674="TDN",VLOOKUP(AF674,TNCalibEqFull!$AZ$1:$BB$56,3),IF(I674="TN",VLOOKUP(AF674,TNCalibEqFull!$AZ$1:$BB$56,3),FALSE))))</f>
        <v>y=0.155x2+210.99x-92.045</v>
      </c>
      <c r="AV674" s="10" t="str">
        <f t="shared" si="74"/>
        <v>0106 12:35:00-HST-0-FIL-1-SW-UKN</v>
      </c>
    </row>
    <row r="675" spans="1:48" s="10" customFormat="1" x14ac:dyDescent="0.55000000000000004">
      <c r="A675" s="32">
        <v>44935</v>
      </c>
      <c r="B675" s="33">
        <v>0.39166666666666666</v>
      </c>
      <c r="C675" s="10" t="s">
        <v>279</v>
      </c>
      <c r="D675" s="10">
        <v>0</v>
      </c>
      <c r="E675" s="10" t="s">
        <v>911</v>
      </c>
      <c r="F675" s="10">
        <v>1</v>
      </c>
      <c r="G675" s="10" t="s">
        <v>231</v>
      </c>
      <c r="H675" s="10" t="s">
        <v>322</v>
      </c>
      <c r="I675" s="10" t="s">
        <v>224</v>
      </c>
      <c r="J675" s="10">
        <v>21</v>
      </c>
      <c r="K675" s="12">
        <v>44937</v>
      </c>
      <c r="L675" s="33">
        <v>0.62535879629629632</v>
      </c>
      <c r="M675" s="10">
        <v>1</v>
      </c>
      <c r="N675" s="10" t="s">
        <v>196</v>
      </c>
      <c r="O675" s="10">
        <v>6.53</v>
      </c>
      <c r="P675" s="10">
        <v>0.39400000000000002</v>
      </c>
      <c r="Q675" s="10">
        <v>1300</v>
      </c>
      <c r="R675" s="10" t="s">
        <v>170</v>
      </c>
      <c r="S675" s="34">
        <f t="shared" si="70"/>
        <v>1300</v>
      </c>
      <c r="T675" s="10" t="s">
        <v>1011</v>
      </c>
      <c r="U675" s="34" t="str">
        <f t="shared" si="71"/>
        <v/>
      </c>
      <c r="V675" s="31" t="str">
        <f>IF(H675="CHK",VLOOKUP(I675,QCCHK,3,),IF(H675="GUP",VLOOKUP(E675,QCGUP,2,),IF(AND(H675="ATP",OR(I675="TN",I675="TDN",I675="TNO2-3",I675="NO2-3")),VLOOKUP(E675,QCREC_N,2,),IF(AND(H675="NIC",OR(I675="TN",I675="TDN",I675="TNO2-3",I675="NO2-3")),VLOOKUP(E675,QCNIC_N,2,),IF(AND(H675="UREA",OR(I675="TN",I675="TDN",I675="TNO2-3",I675="NO2-3")),VLOOKUP(E675,QCUREA_N,2,),IF(H675="PER",VLOOKUP(I675,QCPER,MATCH(E675,QCACTUAL!$J$25:$AA$25,0),),IF(H675="SPK",VLOOKUP(I675,QCSPK,3,),IF(AND(H675="ATP",OR(I675="TP",I675="TDP")),VLOOKUP(E675,QCATP_P,2,),""))))))))</f>
        <v/>
      </c>
      <c r="W675" s="31" t="str">
        <f t="shared" si="72"/>
        <v>TRUE</v>
      </c>
      <c r="X675" s="31" t="str">
        <f t="shared" si="73"/>
        <v/>
      </c>
      <c r="Y675" s="10" t="s">
        <v>1004</v>
      </c>
      <c r="Z675" s="10" t="s">
        <v>910</v>
      </c>
      <c r="AF675" s="12">
        <v>44937</v>
      </c>
      <c r="AJ675" s="10">
        <f>2.4015*6.53^2+187.16*6.53-68.555</f>
        <v>1256.00192135</v>
      </c>
      <c r="AK675" s="10">
        <f>0.155*6.53^2+210.99*6.53-92.045</f>
        <v>1292.3290395000001</v>
      </c>
      <c r="AL675" s="10" t="str">
        <f t="shared" si="75"/>
        <v>FALSE</v>
      </c>
      <c r="AM675" s="10" t="str">
        <f t="shared" si="75"/>
        <v>FALSE</v>
      </c>
      <c r="AN675" s="10" t="str">
        <f t="shared" si="75"/>
        <v>FALSE</v>
      </c>
      <c r="AO675" s="10" t="str">
        <f t="shared" si="76"/>
        <v>y=2.4015*6.53^2+187.16*6.53-68.555</v>
      </c>
      <c r="AP675" s="10" t="str">
        <f t="shared" si="76"/>
        <v>y=0.155*6.53^2+210.99*6.53-92.045</v>
      </c>
      <c r="AQ675" s="10" t="b">
        <f>IF(AND(I675="TP",S675&lt;=150),VLOOKUP(AF675,TPCalibEq150!$AZ$2:$BB$55,3,),IF(AND(I675="TDP",S675&lt;=150),VLOOKUP(AF675,TPCalibEq150!$AZ$2:$BB$55,3,)))</f>
        <v>0</v>
      </c>
      <c r="AR675" s="10" t="b">
        <f>IF(AND(I675="TP",S675&lt;=300),VLOOKUP(AF675,TPCalibEq300!$AZ$2:$BB$55,3,),IF(AND(I675="TDP",S675&lt;=300),VLOOKUP(AF675,TPCalibEq300!$AZ$2:$BB$55,3,)))</f>
        <v>0</v>
      </c>
      <c r="AS675" s="10" t="b">
        <f>IF(AND(I675="TP",S675&lt;=500),VLOOKUP(AF675,TPCalibEq500!$AZ$2:$BB$56,3,),IF(AND(I675="TDP",S675&lt;=500),VLOOKUP(AF675,TPCalibEq500!$AZ$2:$BB$56,3,)))</f>
        <v>0</v>
      </c>
      <c r="AT675" s="10" t="str">
        <f>IF(AND(I675="TN",S675&lt;=2800),VLOOKUP(AF675,TNCalibEq2500!$AZ$2:$BB$56,3,),IF(AND(I675="TDN",S675&lt;=2800),VLOOKUP(AF675,TNCalibEq2500!$AZ$2:$BB$56,3,)))</f>
        <v>y=2.4015x2+187.16x-68.555</v>
      </c>
      <c r="AU675" s="10" t="str">
        <f>IF(I675="TP",VLOOKUP(AF675,TPCalibEqFull!$AZ$2:$BB$56,3),IF(I675="TDP",VLOOKUP(AF675,TPCalibEqFull!$AZ$2:$BB$56,3),IF(I675="TDN",VLOOKUP(AF675,TNCalibEqFull!$AZ$1:$BB$56,3),IF(I675="TN",VLOOKUP(AF675,TNCalibEqFull!$AZ$1:$BB$56,3),FALSE))))</f>
        <v>y=0.155x2+210.99x-92.045</v>
      </c>
      <c r="AV675" s="10" t="str">
        <f t="shared" si="74"/>
        <v>0109 09:24:00-EFK-0-FIL-1-SW-UKN</v>
      </c>
    </row>
    <row r="676" spans="1:48" s="10" customFormat="1" x14ac:dyDescent="0.55000000000000004">
      <c r="A676" s="32">
        <v>44935</v>
      </c>
      <c r="B676" s="33">
        <v>0.30208333333333331</v>
      </c>
      <c r="C676" s="10" t="s">
        <v>333</v>
      </c>
      <c r="D676" s="10">
        <v>0</v>
      </c>
      <c r="E676" s="10" t="s">
        <v>911</v>
      </c>
      <c r="F676" s="10">
        <v>1</v>
      </c>
      <c r="G676" s="10" t="s">
        <v>231</v>
      </c>
      <c r="H676" s="10" t="s">
        <v>322</v>
      </c>
      <c r="I676" s="10" t="s">
        <v>224</v>
      </c>
      <c r="J676" s="10">
        <v>22</v>
      </c>
      <c r="K676" s="12">
        <v>44937</v>
      </c>
      <c r="L676" s="33">
        <v>0.62601851851851853</v>
      </c>
      <c r="M676" s="10">
        <v>1</v>
      </c>
      <c r="N676" s="10" t="s">
        <v>196</v>
      </c>
      <c r="O676" s="10">
        <v>5.64</v>
      </c>
      <c r="P676" s="10">
        <v>0.34100000000000003</v>
      </c>
      <c r="Q676" s="10">
        <v>1110</v>
      </c>
      <c r="R676" s="10" t="s">
        <v>170</v>
      </c>
      <c r="S676" s="34">
        <f t="shared" si="70"/>
        <v>1110</v>
      </c>
      <c r="T676" s="10" t="s">
        <v>1011</v>
      </c>
      <c r="U676" s="34" t="str">
        <f t="shared" si="71"/>
        <v/>
      </c>
      <c r="V676" s="31" t="str">
        <f>IF(H676="CHK",VLOOKUP(I676,QCCHK,3,),IF(H676="GUP",VLOOKUP(E676,QCGUP,2,),IF(AND(H676="ATP",OR(I676="TN",I676="TDN",I676="TNO2-3",I676="NO2-3")),VLOOKUP(E676,QCREC_N,2,),IF(AND(H676="NIC",OR(I676="TN",I676="TDN",I676="TNO2-3",I676="NO2-3")),VLOOKUP(E676,QCNIC_N,2,),IF(AND(H676="UREA",OR(I676="TN",I676="TDN",I676="TNO2-3",I676="NO2-3")),VLOOKUP(E676,QCUREA_N,2,),IF(H676="PER",VLOOKUP(I676,QCPER,MATCH(E676,QCACTUAL!$J$25:$AA$25,0),),IF(H676="SPK",VLOOKUP(I676,QCSPK,3,),IF(AND(H676="ATP",OR(I676="TP",I676="TDP")),VLOOKUP(E676,QCATP_P,2,),""))))))))</f>
        <v/>
      </c>
      <c r="W676" s="31" t="str">
        <f t="shared" si="72"/>
        <v>TRUE</v>
      </c>
      <c r="X676" s="31" t="str">
        <f t="shared" si="73"/>
        <v/>
      </c>
      <c r="Y676" s="10" t="s">
        <v>1004</v>
      </c>
      <c r="Z676" s="10" t="s">
        <v>910</v>
      </c>
      <c r="AF676" s="12">
        <v>44937</v>
      </c>
      <c r="AJ676" s="10">
        <f>2.4015*5.64^2+187.16*5.64-68.555</f>
        <v>1063.4181544</v>
      </c>
      <c r="AK676" s="10">
        <f>0.155*5.64^2+210.99*5.64-92.045</f>
        <v>1102.8690879999999</v>
      </c>
      <c r="AL676" s="10" t="str">
        <f t="shared" si="75"/>
        <v>FALSE</v>
      </c>
      <c r="AM676" s="10" t="str">
        <f t="shared" si="75"/>
        <v>FALSE</v>
      </c>
      <c r="AN676" s="10" t="str">
        <f t="shared" si="75"/>
        <v>FALSE</v>
      </c>
      <c r="AO676" s="10" t="str">
        <f t="shared" si="76"/>
        <v>y=2.4015*5.64^2+187.16*5.64-68.555</v>
      </c>
      <c r="AP676" s="10" t="str">
        <f t="shared" si="76"/>
        <v>y=0.155*5.64^2+210.99*5.64-92.045</v>
      </c>
      <c r="AQ676" s="10" t="b">
        <f>IF(AND(I676="TP",S676&lt;=150),VLOOKUP(AF676,TPCalibEq150!$AZ$2:$BB$55,3,),IF(AND(I676="TDP",S676&lt;=150),VLOOKUP(AF676,TPCalibEq150!$AZ$2:$BB$55,3,)))</f>
        <v>0</v>
      </c>
      <c r="AR676" s="10" t="b">
        <f>IF(AND(I676="TP",S676&lt;=300),VLOOKUP(AF676,TPCalibEq300!$AZ$2:$BB$55,3,),IF(AND(I676="TDP",S676&lt;=300),VLOOKUP(AF676,TPCalibEq300!$AZ$2:$BB$55,3,)))</f>
        <v>0</v>
      </c>
      <c r="AS676" s="10" t="b">
        <f>IF(AND(I676="TP",S676&lt;=500),VLOOKUP(AF676,TPCalibEq500!$AZ$2:$BB$56,3,),IF(AND(I676="TDP",S676&lt;=500),VLOOKUP(AF676,TPCalibEq500!$AZ$2:$BB$56,3,)))</f>
        <v>0</v>
      </c>
      <c r="AT676" s="10" t="str">
        <f>IF(AND(I676="TN",S676&lt;=2800),VLOOKUP(AF676,TNCalibEq2500!$AZ$2:$BB$56,3,),IF(AND(I676="TDN",S676&lt;=2800),VLOOKUP(AF676,TNCalibEq2500!$AZ$2:$BB$56,3,)))</f>
        <v>y=2.4015x2+187.16x-68.555</v>
      </c>
      <c r="AU676" s="10" t="str">
        <f>IF(I676="TP",VLOOKUP(AF676,TPCalibEqFull!$AZ$2:$BB$56,3),IF(I676="TDP",VLOOKUP(AF676,TPCalibEqFull!$AZ$2:$BB$56,3),IF(I676="TDN",VLOOKUP(AF676,TNCalibEqFull!$AZ$1:$BB$56,3),IF(I676="TN",VLOOKUP(AF676,TNCalibEqFull!$AZ$1:$BB$56,3),FALSE))))</f>
        <v>y=0.155x2+210.99x-92.045</v>
      </c>
      <c r="AV676" s="10" t="str">
        <f t="shared" si="74"/>
        <v>0109 07:15:00-HST-0-FIL-1-SW-UKN</v>
      </c>
    </row>
    <row r="677" spans="1:48" s="10" customFormat="1" x14ac:dyDescent="0.55000000000000004">
      <c r="A677" s="32">
        <v>44936</v>
      </c>
      <c r="B677" s="33">
        <v>0.39166666666666666</v>
      </c>
      <c r="C677" s="10" t="s">
        <v>279</v>
      </c>
      <c r="D677" s="10">
        <v>0</v>
      </c>
      <c r="E677" s="10" t="s">
        <v>911</v>
      </c>
      <c r="F677" s="10">
        <v>1</v>
      </c>
      <c r="G677" s="10" t="s">
        <v>231</v>
      </c>
      <c r="H677" s="10" t="s">
        <v>322</v>
      </c>
      <c r="I677" s="10" t="s">
        <v>224</v>
      </c>
      <c r="J677" s="10">
        <v>23</v>
      </c>
      <c r="K677" s="12">
        <v>44937</v>
      </c>
      <c r="L677" s="33">
        <v>0.62667824074074074</v>
      </c>
      <c r="M677" s="10">
        <v>1</v>
      </c>
      <c r="N677" s="10" t="s">
        <v>196</v>
      </c>
      <c r="O677" s="10">
        <v>7.69</v>
      </c>
      <c r="P677" s="10">
        <v>0.46400000000000002</v>
      </c>
      <c r="Q677" s="10">
        <v>1550</v>
      </c>
      <c r="R677" s="10" t="s">
        <v>170</v>
      </c>
      <c r="S677" s="34">
        <f t="shared" si="70"/>
        <v>1550</v>
      </c>
      <c r="T677" s="10" t="s">
        <v>1011</v>
      </c>
      <c r="U677" s="34" t="str">
        <f t="shared" si="71"/>
        <v/>
      </c>
      <c r="V677" s="31" t="str">
        <f>IF(H677="CHK",VLOOKUP(I677,QCCHK,3,),IF(H677="GUP",VLOOKUP(E677,QCGUP,2,),IF(AND(H677="ATP",OR(I677="TN",I677="TDN",I677="TNO2-3",I677="NO2-3")),VLOOKUP(E677,QCREC_N,2,),IF(AND(H677="NIC",OR(I677="TN",I677="TDN",I677="TNO2-3",I677="NO2-3")),VLOOKUP(E677,QCNIC_N,2,),IF(AND(H677="UREA",OR(I677="TN",I677="TDN",I677="TNO2-3",I677="NO2-3")),VLOOKUP(E677,QCUREA_N,2,),IF(H677="PER",VLOOKUP(I677,QCPER,MATCH(E677,QCACTUAL!$J$25:$AA$25,0),),IF(H677="SPK",VLOOKUP(I677,QCSPK,3,),IF(AND(H677="ATP",OR(I677="TP",I677="TDP")),VLOOKUP(E677,QCATP_P,2,),""))))))))</f>
        <v/>
      </c>
      <c r="W677" s="31" t="str">
        <f t="shared" si="72"/>
        <v>TRUE</v>
      </c>
      <c r="X677" s="31" t="str">
        <f t="shared" si="73"/>
        <v/>
      </c>
      <c r="Y677" s="10" t="s">
        <v>1004</v>
      </c>
      <c r="AF677" s="12">
        <v>44937</v>
      </c>
      <c r="AJ677" s="10">
        <f>2.4015*7.69^2+187.16*7.69-68.555</f>
        <v>1512.72074415</v>
      </c>
      <c r="AK677" s="10">
        <f>0.155*7.69^2+210.99*7.69-92.045</f>
        <v>1539.6341955</v>
      </c>
      <c r="AL677" s="10" t="str">
        <f t="shared" si="75"/>
        <v>FALSE</v>
      </c>
      <c r="AM677" s="10" t="str">
        <f t="shared" si="75"/>
        <v>FALSE</v>
      </c>
      <c r="AN677" s="10" t="str">
        <f t="shared" si="75"/>
        <v>FALSE</v>
      </c>
      <c r="AO677" s="10" t="str">
        <f t="shared" si="76"/>
        <v>y=2.4015*7.69^2+187.16*7.69-68.555</v>
      </c>
      <c r="AP677" s="10" t="str">
        <f t="shared" si="76"/>
        <v>y=0.155*7.69^2+210.99*7.69-92.045</v>
      </c>
      <c r="AQ677" s="10" t="b">
        <f>IF(AND(I677="TP",S677&lt;=150),VLOOKUP(AF677,TPCalibEq150!$AZ$2:$BB$55,3,),IF(AND(I677="TDP",S677&lt;=150),VLOOKUP(AF677,TPCalibEq150!$AZ$2:$BB$55,3,)))</f>
        <v>0</v>
      </c>
      <c r="AR677" s="10" t="b">
        <f>IF(AND(I677="TP",S677&lt;=300),VLOOKUP(AF677,TPCalibEq300!$AZ$2:$BB$55,3,),IF(AND(I677="TDP",S677&lt;=300),VLOOKUP(AF677,TPCalibEq300!$AZ$2:$BB$55,3,)))</f>
        <v>0</v>
      </c>
      <c r="AS677" s="10" t="b">
        <f>IF(AND(I677="TP",S677&lt;=500),VLOOKUP(AF677,TPCalibEq500!$AZ$2:$BB$56,3,),IF(AND(I677="TDP",S677&lt;=500),VLOOKUP(AF677,TPCalibEq500!$AZ$2:$BB$56,3,)))</f>
        <v>0</v>
      </c>
      <c r="AT677" s="10" t="str">
        <f>IF(AND(I677="TN",S677&lt;=2800),VLOOKUP(AF677,TNCalibEq2500!$AZ$2:$BB$56,3,),IF(AND(I677="TDN",S677&lt;=2800),VLOOKUP(AF677,TNCalibEq2500!$AZ$2:$BB$56,3,)))</f>
        <v>y=2.4015x2+187.16x-68.555</v>
      </c>
      <c r="AU677" s="10" t="str">
        <f>IF(I677="TP",VLOOKUP(AF677,TPCalibEqFull!$AZ$2:$BB$56,3),IF(I677="TDP",VLOOKUP(AF677,TPCalibEqFull!$AZ$2:$BB$56,3),IF(I677="TDN",VLOOKUP(AF677,TNCalibEqFull!$AZ$1:$BB$56,3),IF(I677="TN",VLOOKUP(AF677,TNCalibEqFull!$AZ$1:$BB$56,3),FALSE))))</f>
        <v>y=0.155x2+210.99x-92.045</v>
      </c>
      <c r="AV677" s="10" t="str">
        <f t="shared" si="74"/>
        <v>0110 09:24:00-EFK-0-FIL-1-SW-UKN</v>
      </c>
    </row>
    <row r="678" spans="1:48" s="10" customFormat="1" x14ac:dyDescent="0.55000000000000004">
      <c r="A678" s="32">
        <v>44936</v>
      </c>
      <c r="B678" s="33">
        <v>0.39583333333333331</v>
      </c>
      <c r="C678" s="10" t="s">
        <v>333</v>
      </c>
      <c r="D678" s="10">
        <v>0</v>
      </c>
      <c r="E678" s="10" t="s">
        <v>911</v>
      </c>
      <c r="F678" s="10">
        <v>1</v>
      </c>
      <c r="G678" s="10" t="s">
        <v>231</v>
      </c>
      <c r="H678" s="10" t="s">
        <v>322</v>
      </c>
      <c r="I678" s="10" t="s">
        <v>224</v>
      </c>
      <c r="J678" s="10">
        <v>24</v>
      </c>
      <c r="K678" s="12">
        <v>44937</v>
      </c>
      <c r="L678" s="33">
        <v>0.62733796296296296</v>
      </c>
      <c r="M678" s="10">
        <v>1</v>
      </c>
      <c r="N678" s="10" t="s">
        <v>196</v>
      </c>
      <c r="O678" s="10">
        <v>7.98</v>
      </c>
      <c r="P678" s="10">
        <v>0.48099999999999998</v>
      </c>
      <c r="Q678" s="10">
        <v>1610</v>
      </c>
      <c r="R678" s="10" t="s">
        <v>170</v>
      </c>
      <c r="S678" s="34">
        <f t="shared" si="70"/>
        <v>1610</v>
      </c>
      <c r="T678" s="10" t="s">
        <v>1011</v>
      </c>
      <c r="U678" s="34" t="str">
        <f t="shared" si="71"/>
        <v/>
      </c>
      <c r="V678" s="31" t="str">
        <f>IF(H678="CHK",VLOOKUP(I678,QCCHK,3,),IF(H678="GUP",VLOOKUP(E678,QCGUP,2,),IF(AND(H678="ATP",OR(I678="TN",I678="TDN",I678="TNO2-3",I678="NO2-3")),VLOOKUP(E678,QCREC_N,2,),IF(AND(H678="NIC",OR(I678="TN",I678="TDN",I678="TNO2-3",I678="NO2-3")),VLOOKUP(E678,QCNIC_N,2,),IF(AND(H678="UREA",OR(I678="TN",I678="TDN",I678="TNO2-3",I678="NO2-3")),VLOOKUP(E678,QCUREA_N,2,),IF(H678="PER",VLOOKUP(I678,QCPER,MATCH(E678,QCACTUAL!$J$25:$AA$25,0),),IF(H678="SPK",VLOOKUP(I678,QCSPK,3,),IF(AND(H678="ATP",OR(I678="TP",I678="TDP")),VLOOKUP(E678,QCATP_P,2,),""))))))))</f>
        <v/>
      </c>
      <c r="W678" s="31" t="str">
        <f t="shared" si="72"/>
        <v>TRUE</v>
      </c>
      <c r="X678" s="31" t="str">
        <f t="shared" si="73"/>
        <v/>
      </c>
      <c r="Y678" s="10" t="s">
        <v>1004</v>
      </c>
      <c r="AF678" s="12">
        <v>44937</v>
      </c>
      <c r="AJ678" s="10">
        <f>2.4015*7.98^2+187.16*7.98-68.555</f>
        <v>1577.9102806000001</v>
      </c>
      <c r="AK678" s="10">
        <f>0.155*7.98^2+210.99*7.98-92.045</f>
        <v>1601.5256620000002</v>
      </c>
      <c r="AL678" s="10" t="str">
        <f t="shared" si="75"/>
        <v>FALSE</v>
      </c>
      <c r="AM678" s="10" t="str">
        <f t="shared" si="75"/>
        <v>FALSE</v>
      </c>
      <c r="AN678" s="10" t="str">
        <f t="shared" si="75"/>
        <v>FALSE</v>
      </c>
      <c r="AO678" s="10" t="str">
        <f t="shared" si="76"/>
        <v>y=2.4015*7.98^2+187.16*7.98-68.555</v>
      </c>
      <c r="AP678" s="10" t="str">
        <f t="shared" si="76"/>
        <v>y=0.155*7.98^2+210.99*7.98-92.045</v>
      </c>
      <c r="AQ678" s="10" t="b">
        <f>IF(AND(I678="TP",S678&lt;=150),VLOOKUP(AF678,TPCalibEq150!$AZ$2:$BB$55,3,),IF(AND(I678="TDP",S678&lt;=150),VLOOKUP(AF678,TPCalibEq150!$AZ$2:$BB$55,3,)))</f>
        <v>0</v>
      </c>
      <c r="AR678" s="10" t="b">
        <f>IF(AND(I678="TP",S678&lt;=300),VLOOKUP(AF678,TPCalibEq300!$AZ$2:$BB$55,3,),IF(AND(I678="TDP",S678&lt;=300),VLOOKUP(AF678,TPCalibEq300!$AZ$2:$BB$55,3,)))</f>
        <v>0</v>
      </c>
      <c r="AS678" s="10" t="b">
        <f>IF(AND(I678="TP",S678&lt;=500),VLOOKUP(AF678,TPCalibEq500!$AZ$2:$BB$56,3,),IF(AND(I678="TDP",S678&lt;=500),VLOOKUP(AF678,TPCalibEq500!$AZ$2:$BB$56,3,)))</f>
        <v>0</v>
      </c>
      <c r="AT678" s="10" t="str">
        <f>IF(AND(I678="TN",S678&lt;=2800),VLOOKUP(AF678,TNCalibEq2500!$AZ$2:$BB$56,3,),IF(AND(I678="TDN",S678&lt;=2800),VLOOKUP(AF678,TNCalibEq2500!$AZ$2:$BB$56,3,)))</f>
        <v>y=2.4015x2+187.16x-68.555</v>
      </c>
      <c r="AU678" s="10" t="str">
        <f>IF(I678="TP",VLOOKUP(AF678,TPCalibEqFull!$AZ$2:$BB$56,3),IF(I678="TDP",VLOOKUP(AF678,TPCalibEqFull!$AZ$2:$BB$56,3),IF(I678="TDN",VLOOKUP(AF678,TNCalibEqFull!$AZ$1:$BB$56,3),IF(I678="TN",VLOOKUP(AF678,TNCalibEqFull!$AZ$1:$BB$56,3),FALSE))))</f>
        <v>y=0.155x2+210.99x-92.045</v>
      </c>
      <c r="AV678" s="10" t="str">
        <f t="shared" si="74"/>
        <v>0110 09:30:00-HST-0-FIL-1-SW-UKN</v>
      </c>
    </row>
    <row r="679" spans="1:48" s="10" customFormat="1" x14ac:dyDescent="0.55000000000000004">
      <c r="A679" s="32">
        <v>44936</v>
      </c>
      <c r="B679" s="33">
        <v>0.39583333333333331</v>
      </c>
      <c r="C679" s="10" t="s">
        <v>333</v>
      </c>
      <c r="D679" s="10">
        <v>0</v>
      </c>
      <c r="E679" s="10" t="s">
        <v>911</v>
      </c>
      <c r="F679" s="10">
        <v>1</v>
      </c>
      <c r="G679" s="10" t="s">
        <v>231</v>
      </c>
      <c r="H679" s="10" t="s">
        <v>233</v>
      </c>
      <c r="I679" s="10" t="s">
        <v>224</v>
      </c>
      <c r="J679" s="10">
        <v>24</v>
      </c>
      <c r="K679" s="12">
        <v>44937</v>
      </c>
      <c r="L679" s="33">
        <v>0.62800925925925932</v>
      </c>
      <c r="M679" s="10">
        <v>1</v>
      </c>
      <c r="N679" s="10" t="s">
        <v>196</v>
      </c>
      <c r="O679" s="10">
        <v>8.02</v>
      </c>
      <c r="P679" s="10">
        <v>0.48399999999999999</v>
      </c>
      <c r="Q679" s="10">
        <v>1620</v>
      </c>
      <c r="R679" s="10" t="s">
        <v>170</v>
      </c>
      <c r="S679" s="34">
        <f t="shared" si="70"/>
        <v>1620</v>
      </c>
      <c r="T679" s="10" t="s">
        <v>1011</v>
      </c>
      <c r="U679" s="34">
        <f t="shared" si="71"/>
        <v>0.61919504643962853</v>
      </c>
      <c r="V679" s="31" t="str">
        <f>IF(H679="CHK",VLOOKUP(I679,QCCHK,3,),IF(H679="GUP",VLOOKUP(E679,QCGUP,2,),IF(AND(H679="ATP",OR(I679="TN",I679="TDN",I679="TNO2-3",I679="NO2-3")),VLOOKUP(E679,QCREC_N,2,),IF(AND(H679="NIC",OR(I679="TN",I679="TDN",I679="TNO2-3",I679="NO2-3")),VLOOKUP(E679,QCNIC_N,2,),IF(AND(H679="UREA",OR(I679="TN",I679="TDN",I679="TNO2-3",I679="NO2-3")),VLOOKUP(E679,QCUREA_N,2,),IF(H679="PER",VLOOKUP(I679,QCPER,MATCH(E679,QCACTUAL!$J$25:$AA$25,0),),IF(H679="SPK",VLOOKUP(I679,QCSPK,3,),IF(AND(H679="ATP",OR(I679="TP",I679="TDP")),VLOOKUP(E679,QCATP_P,2,),""))))))))</f>
        <v/>
      </c>
      <c r="W679" s="31" t="str">
        <f t="shared" si="72"/>
        <v>TRUE</v>
      </c>
      <c r="X679" s="31" t="str">
        <f t="shared" si="73"/>
        <v>((ABS(rep1-rep2))/((rep1+rep2)/2)*100</v>
      </c>
      <c r="Y679" s="10" t="s">
        <v>1004</v>
      </c>
      <c r="AF679" s="12">
        <v>44937</v>
      </c>
      <c r="AJ679" s="10">
        <f>2.4015*8.02^2+187.16*8.02-68.555</f>
        <v>1586.9336405999998</v>
      </c>
      <c r="AK679" s="10">
        <f>0.155*8.02^2+210.99*8.02-92.045</f>
        <v>1610.0644619999998</v>
      </c>
      <c r="AL679" s="10" t="str">
        <f t="shared" si="75"/>
        <v>FALSE</v>
      </c>
      <c r="AM679" s="10" t="str">
        <f t="shared" si="75"/>
        <v>FALSE</v>
      </c>
      <c r="AN679" s="10" t="str">
        <f t="shared" si="75"/>
        <v>FALSE</v>
      </c>
      <c r="AO679" s="10" t="str">
        <f t="shared" si="76"/>
        <v>y=2.4015*8.02^2+187.16*8.02-68.555</v>
      </c>
      <c r="AP679" s="10" t="str">
        <f t="shared" si="76"/>
        <v>y=0.155*8.02^2+210.99*8.02-92.045</v>
      </c>
      <c r="AQ679" s="10" t="b">
        <f>IF(AND(I679="TP",S679&lt;=150),VLOOKUP(AF679,TPCalibEq150!$AZ$2:$BB$55,3,),IF(AND(I679="TDP",S679&lt;=150),VLOOKUP(AF679,TPCalibEq150!$AZ$2:$BB$55,3,)))</f>
        <v>0</v>
      </c>
      <c r="AR679" s="10" t="b">
        <f>IF(AND(I679="TP",S679&lt;=300),VLOOKUP(AF679,TPCalibEq300!$AZ$2:$BB$55,3,),IF(AND(I679="TDP",S679&lt;=300),VLOOKUP(AF679,TPCalibEq300!$AZ$2:$BB$55,3,)))</f>
        <v>0</v>
      </c>
      <c r="AS679" s="10" t="b">
        <f>IF(AND(I679="TP",S679&lt;=500),VLOOKUP(AF679,TPCalibEq500!$AZ$2:$BB$56,3,),IF(AND(I679="TDP",S679&lt;=500),VLOOKUP(AF679,TPCalibEq500!$AZ$2:$BB$56,3,)))</f>
        <v>0</v>
      </c>
      <c r="AT679" s="10" t="str">
        <f>IF(AND(I679="TN",S679&lt;=2800),VLOOKUP(AF679,TNCalibEq2500!$AZ$2:$BB$56,3,),IF(AND(I679="TDN",S679&lt;=2800),VLOOKUP(AF679,TNCalibEq2500!$AZ$2:$BB$56,3,)))</f>
        <v>y=2.4015x2+187.16x-68.555</v>
      </c>
      <c r="AU679" s="10" t="str">
        <f>IF(I679="TP",VLOOKUP(AF679,TPCalibEqFull!$AZ$2:$BB$56,3),IF(I679="TDP",VLOOKUP(AF679,TPCalibEqFull!$AZ$2:$BB$56,3),IF(I679="TDN",VLOOKUP(AF679,TNCalibEqFull!$AZ$1:$BB$56,3),IF(I679="TN",VLOOKUP(AF679,TNCalibEqFull!$AZ$1:$BB$56,3),FALSE))))</f>
        <v>y=0.155x2+210.99x-92.045</v>
      </c>
      <c r="AV679" s="10" t="str">
        <f t="shared" si="74"/>
        <v>0110 09:30:00-HST-0-FIL-1-SW-DUP</v>
      </c>
    </row>
    <row r="680" spans="1:48" s="10" customFormat="1" x14ac:dyDescent="0.55000000000000004">
      <c r="A680" s="32">
        <v>44936</v>
      </c>
      <c r="B680" s="33">
        <v>0.39583333333333331</v>
      </c>
      <c r="C680" s="10" t="s">
        <v>912</v>
      </c>
      <c r="D680" s="10">
        <v>0</v>
      </c>
      <c r="E680" s="10" t="s">
        <v>911</v>
      </c>
      <c r="F680" s="10">
        <v>1</v>
      </c>
      <c r="G680" s="10" t="s">
        <v>231</v>
      </c>
      <c r="H680" s="10" t="s">
        <v>314</v>
      </c>
      <c r="I680" s="10" t="s">
        <v>224</v>
      </c>
      <c r="J680" s="10">
        <v>31</v>
      </c>
      <c r="K680" s="12">
        <v>44937</v>
      </c>
      <c r="L680" s="33">
        <v>0.62868055555555558</v>
      </c>
      <c r="M680" s="10">
        <v>1</v>
      </c>
      <c r="N680" s="10" t="s">
        <v>196</v>
      </c>
      <c r="O680" s="10">
        <v>18.399999999999999</v>
      </c>
      <c r="P680" s="10">
        <v>1.1000000000000001</v>
      </c>
      <c r="Q680" s="10">
        <v>3840</v>
      </c>
      <c r="R680" s="10" t="s">
        <v>170</v>
      </c>
      <c r="S680" s="34">
        <f t="shared" si="70"/>
        <v>3842.6477999999997</v>
      </c>
      <c r="T680" s="10" t="s">
        <v>1011</v>
      </c>
      <c r="U680" s="34">
        <f t="shared" si="71"/>
        <v>88.905911999999987</v>
      </c>
      <c r="V680" s="31">
        <f>IF(H680="CHK",VLOOKUP(I680,QCCHK,3,),IF(H680="GUP",VLOOKUP(E680,QCGUP,2,),IF(AND(H680="ATP",OR(I680="TN",I680="TDN",I680="TNO2-3",I680="NO2-3")),VLOOKUP(E680,QCREC_N,2,),IF(AND(H680="NIC",OR(I680="TN",I680="TDN",I680="TNO2-3",I680="NO2-3")),VLOOKUP(E680,QCNIC_N,2,),IF(AND(H680="UREA",OR(I680="TN",I680="TDN",I680="TNO2-3",I680="NO2-3")),VLOOKUP(E680,QCUREA_N,2,),IF(H680="PER",VLOOKUP(I680,QCPER,MATCH(E680,QCACTUAL!$J$25:$AA$25,0),),IF(H680="SPK",VLOOKUP(I680,QCSPK,3,),IF(AND(H680="ATP",OR(I680="TP",I680="TDP")),VLOOKUP(E680,QCATP_P,2,),""))))))))</f>
        <v>2500</v>
      </c>
      <c r="W680" s="31" t="str">
        <f t="shared" si="72"/>
        <v>TRUE</v>
      </c>
      <c r="X680" s="31" t="str">
        <f t="shared" si="73"/>
        <v>([spikedunkn]-[unkn])/[spike]*100</v>
      </c>
      <c r="Y680" s="10" t="s">
        <v>1004</v>
      </c>
      <c r="AF680" s="12">
        <v>44937</v>
      </c>
      <c r="AK680" s="10">
        <f>0.155*18.4^2+210.99*18.4-92.045</f>
        <v>3842.6477999999997</v>
      </c>
      <c r="AL680" s="10" t="str">
        <f t="shared" si="75"/>
        <v>FALSE</v>
      </c>
      <c r="AM680" s="10" t="str">
        <f t="shared" si="75"/>
        <v>FALSE</v>
      </c>
      <c r="AN680" s="10" t="str">
        <f t="shared" si="75"/>
        <v>FALSE</v>
      </c>
      <c r="AO680" s="10" t="str">
        <f t="shared" si="76"/>
        <v>FALSE</v>
      </c>
      <c r="AP680" s="10" t="str">
        <f t="shared" si="76"/>
        <v>y=0.155*18.4^2+210.99*18.4-92.045</v>
      </c>
      <c r="AQ680" s="10" t="b">
        <f>IF(AND(I680="TP",S680&lt;=150),VLOOKUP(AF680,TPCalibEq150!$AZ$2:$BB$55,3,),IF(AND(I680="TDP",S680&lt;=150),VLOOKUP(AF680,TPCalibEq150!$AZ$2:$BB$55,3,)))</f>
        <v>0</v>
      </c>
      <c r="AR680" s="10" t="b">
        <f>IF(AND(I680="TP",S680&lt;=300),VLOOKUP(AF680,TPCalibEq300!$AZ$2:$BB$55,3,),IF(AND(I680="TDP",S680&lt;=300),VLOOKUP(AF680,TPCalibEq300!$AZ$2:$BB$55,3,)))</f>
        <v>0</v>
      </c>
      <c r="AS680" s="10" t="b">
        <f>IF(AND(I680="TP",S680&lt;=500),VLOOKUP(AF680,TPCalibEq500!$AZ$2:$BB$56,3,),IF(AND(I680="TDP",S680&lt;=500),VLOOKUP(AF680,TPCalibEq500!$AZ$2:$BB$56,3,)))</f>
        <v>0</v>
      </c>
      <c r="AT680" s="10" t="b">
        <f>IF(AND(I680="TN",S680&lt;=2800),VLOOKUP(AF680,TNCalibEq2500!$AZ$2:$BB$56,3,),IF(AND(I680="TDN",S680&lt;=2800),VLOOKUP(AF680,TNCalibEq2500!$AZ$2:$BB$56,3,)))</f>
        <v>0</v>
      </c>
      <c r="AU680" s="10" t="str">
        <f>IF(I680="TP",VLOOKUP(AF680,TPCalibEqFull!$AZ$2:$BB$56,3),IF(I680="TDP",VLOOKUP(AF680,TPCalibEqFull!$AZ$2:$BB$56,3),IF(I680="TDN",VLOOKUP(AF680,TNCalibEqFull!$AZ$1:$BB$56,3),IF(I680="TN",VLOOKUP(AF680,TNCalibEqFull!$AZ$1:$BB$56,3),FALSE))))</f>
        <v>y=0.155x2+210.99x-92.045</v>
      </c>
      <c r="AV680" s="10" t="str">
        <f t="shared" si="74"/>
        <v>0110 09:30:00-HST -0-FIL-1-SW-SPK</v>
      </c>
    </row>
    <row r="681" spans="1:48" s="10" customFormat="1" x14ac:dyDescent="0.55000000000000004">
      <c r="A681" s="32">
        <v>44937</v>
      </c>
      <c r="B681" s="33">
        <v>0.375</v>
      </c>
      <c r="C681" s="10" t="s">
        <v>70</v>
      </c>
      <c r="D681" s="10" t="s">
        <v>71</v>
      </c>
      <c r="E681" s="10" t="s">
        <v>901</v>
      </c>
      <c r="F681" s="10">
        <v>1</v>
      </c>
      <c r="G681" s="10" t="s">
        <v>73</v>
      </c>
      <c r="H681" s="10" t="s">
        <v>207</v>
      </c>
      <c r="I681" s="10" t="s">
        <v>235</v>
      </c>
      <c r="J681" s="10">
        <v>201</v>
      </c>
      <c r="K681" s="12">
        <v>44937</v>
      </c>
      <c r="L681" s="33">
        <v>0.62936342592592587</v>
      </c>
      <c r="M681" s="10">
        <v>1</v>
      </c>
      <c r="N681" s="10" t="s">
        <v>196</v>
      </c>
      <c r="O681" s="10">
        <v>6.13</v>
      </c>
      <c r="P681" s="10">
        <v>0.372</v>
      </c>
      <c r="Q681" s="10">
        <v>1220</v>
      </c>
      <c r="R681" s="10" t="s">
        <v>170</v>
      </c>
      <c r="S681" s="34">
        <f t="shared" si="70"/>
        <v>1220</v>
      </c>
      <c r="T681" s="10" t="s">
        <v>1011</v>
      </c>
      <c r="U681" s="34">
        <f t="shared" si="71"/>
        <v>97.6</v>
      </c>
      <c r="V681" s="31">
        <f>IF(H681="CHK",VLOOKUP(I681,QCCHK,3,),IF(H681="GUP",VLOOKUP(E681,QCGUP,2,),IF(AND(H681="ATP",OR(I681="TN",I681="TDN",I681="TNO2-3",I681="NO2-3")),VLOOKUP(E681,QCREC_N,2,),IF(AND(H681="NIC",OR(I681="TN",I681="TDN",I681="TNO2-3",I681="NO2-3")),VLOOKUP(E681,QCNIC_N,2,),IF(AND(H681="UREA",OR(I681="TN",I681="TDN",I681="TNO2-3",I681="NO2-3")),VLOOKUP(E681,QCUREA_N,2,),IF(H681="PER",VLOOKUP(I681,QCPER,MATCH(E681,QCACTUAL!$J$25:$AA$25,0),),IF(H681="SPK",VLOOKUP(I681,QCSPK,3,),IF(AND(H681="ATP",OR(I681="TP",I681="TDP")),VLOOKUP(E681,QCATP_P,2,),""))))))))</f>
        <v>1250</v>
      </c>
      <c r="W681" s="31" t="str">
        <f t="shared" si="72"/>
        <v>TRUE</v>
      </c>
      <c r="X681" s="31" t="str">
        <f t="shared" si="73"/>
        <v>[chk]/[actual]*100</v>
      </c>
      <c r="Y681" s="10" t="s">
        <v>1004</v>
      </c>
      <c r="AF681" s="12">
        <v>44937</v>
      </c>
      <c r="AJ681" s="10">
        <f>2.4015*6.13^2+187.16*6.13-68.555</f>
        <v>1168.9767253499999</v>
      </c>
      <c r="AK681" s="10">
        <f>0.155*6.13^2+210.99*6.13-92.045</f>
        <v>1207.1481194999999</v>
      </c>
      <c r="AL681" s="10" t="str">
        <f t="shared" si="75"/>
        <v>FALSE</v>
      </c>
      <c r="AM681" s="10" t="str">
        <f t="shared" si="75"/>
        <v>FALSE</v>
      </c>
      <c r="AN681" s="10" t="str">
        <f t="shared" si="75"/>
        <v>FALSE</v>
      </c>
      <c r="AO681" s="10" t="str">
        <f t="shared" si="76"/>
        <v>y=2.4015*6.13^2+187.16*6.13-68.555</v>
      </c>
      <c r="AP681" s="10" t="str">
        <f t="shared" si="76"/>
        <v>y=0.155*6.13^2+210.99*6.13-92.045</v>
      </c>
      <c r="AQ681" s="10" t="b">
        <f>IF(AND(I681="TP",S681&lt;=150),VLOOKUP(AF681,TPCalibEq150!$AZ$2:$BB$55,3,),IF(AND(I681="TDP",S681&lt;=150),VLOOKUP(AF681,TPCalibEq150!$AZ$2:$BB$55,3,)))</f>
        <v>0</v>
      </c>
      <c r="AR681" s="10" t="b">
        <f>IF(AND(I681="TP",S681&lt;=300),VLOOKUP(AF681,TPCalibEq300!$AZ$2:$BB$55,3,),IF(AND(I681="TDP",S681&lt;=300),VLOOKUP(AF681,TPCalibEq300!$AZ$2:$BB$55,3,)))</f>
        <v>0</v>
      </c>
      <c r="AS681" s="10" t="b">
        <f>IF(AND(I681="TP",S681&lt;=500),VLOOKUP(AF681,TPCalibEq500!$AZ$2:$BB$56,3,),IF(AND(I681="TDP",S681&lt;=500),VLOOKUP(AF681,TPCalibEq500!$AZ$2:$BB$56,3,)))</f>
        <v>0</v>
      </c>
      <c r="AT681" s="10" t="str">
        <f>IF(AND(I681="TN",S681&lt;=2800),VLOOKUP(AF681,TNCalibEq2500!$AZ$2:$BB$56,3,),IF(AND(I681="TDN",S681&lt;=2800),VLOOKUP(AF681,TNCalibEq2500!$AZ$2:$BB$56,3,)))</f>
        <v>y=2.4015x2+187.16x-68.555</v>
      </c>
      <c r="AU681" s="10" t="str">
        <f>IF(I681="TP",VLOOKUP(AF681,TPCalibEqFull!$AZ$2:$BB$56,3),IF(I681="TDP",VLOOKUP(AF681,TPCalibEqFull!$AZ$2:$BB$56,3),IF(I681="TDN",VLOOKUP(AF681,TNCalibEqFull!$AZ$1:$BB$56,3),IF(I681="TN",VLOOKUP(AF681,TNCalibEqFull!$AZ$1:$BB$56,3),FALSE))))</f>
        <v>y=0.155x2+210.99x-92.045</v>
      </c>
      <c r="AV681" s="10" t="str">
        <f t="shared" si="74"/>
        <v>0111 09:00:00-QAC-STD-D-1-DI-CHK</v>
      </c>
    </row>
    <row r="682" spans="1:48" s="10" customFormat="1" x14ac:dyDescent="0.55000000000000004">
      <c r="A682" s="32">
        <v>44930</v>
      </c>
      <c r="B682" s="33">
        <v>0.22569444444444445</v>
      </c>
      <c r="C682" s="10" t="s">
        <v>279</v>
      </c>
      <c r="D682" s="10">
        <v>0</v>
      </c>
      <c r="E682" s="10" t="s">
        <v>911</v>
      </c>
      <c r="F682" s="10">
        <v>1</v>
      </c>
      <c r="G682" s="10" t="s">
        <v>231</v>
      </c>
      <c r="H682" s="10" t="s">
        <v>322</v>
      </c>
      <c r="I682" s="10" t="s">
        <v>224</v>
      </c>
      <c r="J682" s="10">
        <v>105</v>
      </c>
      <c r="K682" s="12">
        <v>44937</v>
      </c>
      <c r="L682" s="33">
        <v>0.63002314814814808</v>
      </c>
      <c r="M682" s="10">
        <v>1</v>
      </c>
      <c r="N682" s="10" t="s">
        <v>196</v>
      </c>
      <c r="O682" s="10">
        <v>6</v>
      </c>
      <c r="P682" s="10">
        <v>0.36099999999999999</v>
      </c>
      <c r="Q682" s="10">
        <v>1190</v>
      </c>
      <c r="R682" s="10" t="s">
        <v>170</v>
      </c>
      <c r="S682" s="34">
        <f t="shared" si="70"/>
        <v>1190</v>
      </c>
      <c r="T682" s="10" t="s">
        <v>1011</v>
      </c>
      <c r="U682" s="34" t="str">
        <f t="shared" si="71"/>
        <v/>
      </c>
      <c r="V682" s="31" t="str">
        <f>IF(H682="CHK",VLOOKUP(I682,QCCHK,3,),IF(H682="GUP",VLOOKUP(E682,QCGUP,2,),IF(AND(H682="ATP",OR(I682="TN",I682="TDN",I682="TNO2-3",I682="NO2-3")),VLOOKUP(E682,QCREC_N,2,),IF(AND(H682="NIC",OR(I682="TN",I682="TDN",I682="TNO2-3",I682="NO2-3")),VLOOKUP(E682,QCNIC_N,2,),IF(AND(H682="UREA",OR(I682="TN",I682="TDN",I682="TNO2-3",I682="NO2-3")),VLOOKUP(E682,QCUREA_N,2,),IF(H682="PER",VLOOKUP(I682,QCPER,MATCH(E682,QCACTUAL!$J$25:$AA$25,0),),IF(H682="SPK",VLOOKUP(I682,QCSPK,3,),IF(AND(H682="ATP",OR(I682="TP",I682="TDP")),VLOOKUP(E682,QCATP_P,2,),""))))))))</f>
        <v/>
      </c>
      <c r="W682" s="31" t="str">
        <f t="shared" si="72"/>
        <v>TRUE</v>
      </c>
      <c r="X682" s="31" t="str">
        <f t="shared" si="73"/>
        <v/>
      </c>
      <c r="Y682" s="10" t="s">
        <v>1004</v>
      </c>
      <c r="Z682" s="10" t="s">
        <v>910</v>
      </c>
      <c r="AF682" s="12">
        <v>44937</v>
      </c>
      <c r="AJ682" s="10">
        <f>2.4015*6^2+187.16*6-68.555</f>
        <v>1140.8589999999999</v>
      </c>
      <c r="AK682" s="10">
        <f>0.155*6^2+210.99*6-92.045</f>
        <v>1179.4749999999999</v>
      </c>
      <c r="AL682" s="10" t="str">
        <f t="shared" si="75"/>
        <v>FALSE</v>
      </c>
      <c r="AM682" s="10" t="str">
        <f t="shared" si="75"/>
        <v>FALSE</v>
      </c>
      <c r="AN682" s="10" t="str">
        <f t="shared" si="75"/>
        <v>FALSE</v>
      </c>
      <c r="AO682" s="10" t="str">
        <f t="shared" si="76"/>
        <v>y=2.4015*6^2+187.16*6-68.555</v>
      </c>
      <c r="AP682" s="10" t="str">
        <f t="shared" si="76"/>
        <v>y=0.155*6^2+210.99*6-92.045</v>
      </c>
      <c r="AQ682" s="10" t="b">
        <f>IF(AND(I682="TP",S682&lt;=150),VLOOKUP(AF682,TPCalibEq150!$AZ$2:$BB$55,3,),IF(AND(I682="TDP",S682&lt;=150),VLOOKUP(AF682,TPCalibEq150!$AZ$2:$BB$55,3,)))</f>
        <v>0</v>
      </c>
      <c r="AR682" s="10" t="b">
        <f>IF(AND(I682="TP",S682&lt;=300),VLOOKUP(AF682,TPCalibEq300!$AZ$2:$BB$55,3,),IF(AND(I682="TDP",S682&lt;=300),VLOOKUP(AF682,TPCalibEq300!$AZ$2:$BB$55,3,)))</f>
        <v>0</v>
      </c>
      <c r="AS682" s="10" t="b">
        <f>IF(AND(I682="TP",S682&lt;=500),VLOOKUP(AF682,TPCalibEq500!$AZ$2:$BB$56,3,),IF(AND(I682="TDP",S682&lt;=500),VLOOKUP(AF682,TPCalibEq500!$AZ$2:$BB$56,3,)))</f>
        <v>0</v>
      </c>
      <c r="AT682" s="10" t="str">
        <f>IF(AND(I682="TN",S682&lt;=2800),VLOOKUP(AF682,TNCalibEq2500!$AZ$2:$BB$56,3,),IF(AND(I682="TDN",S682&lt;=2800),VLOOKUP(AF682,TNCalibEq2500!$AZ$2:$BB$56,3,)))</f>
        <v>y=2.4015x2+187.16x-68.555</v>
      </c>
      <c r="AU682" s="10" t="str">
        <f>IF(I682="TP",VLOOKUP(AF682,TPCalibEqFull!$AZ$2:$BB$56,3),IF(I682="TDP",VLOOKUP(AF682,TPCalibEqFull!$AZ$2:$BB$56,3),IF(I682="TDN",VLOOKUP(AF682,TNCalibEqFull!$AZ$1:$BB$56,3),IF(I682="TN",VLOOKUP(AF682,TNCalibEqFull!$AZ$1:$BB$56,3),FALSE))))</f>
        <v>y=0.155x2+210.99x-92.045</v>
      </c>
      <c r="AV682" s="10" t="str">
        <f t="shared" si="74"/>
        <v>0104 05:25:00-EFK-0-FIL-1-SW-UKN</v>
      </c>
    </row>
    <row r="683" spans="1:48" s="10" customFormat="1" x14ac:dyDescent="0.55000000000000004">
      <c r="A683" s="32">
        <v>44930</v>
      </c>
      <c r="B683" s="33">
        <v>0.22916666666666666</v>
      </c>
      <c r="C683" s="10" t="s">
        <v>333</v>
      </c>
      <c r="D683" s="10">
        <v>0</v>
      </c>
      <c r="E683" s="10" t="s">
        <v>911</v>
      </c>
      <c r="F683" s="10">
        <v>1</v>
      </c>
      <c r="G683" s="10" t="s">
        <v>231</v>
      </c>
      <c r="H683" s="10" t="s">
        <v>322</v>
      </c>
      <c r="I683" s="10" t="s">
        <v>224</v>
      </c>
      <c r="J683" s="10">
        <v>106</v>
      </c>
      <c r="K683" s="12">
        <v>44937</v>
      </c>
      <c r="L683" s="33">
        <v>0.63070601851851849</v>
      </c>
      <c r="M683" s="10">
        <v>1</v>
      </c>
      <c r="N683" s="10" t="s">
        <v>196</v>
      </c>
      <c r="O683" s="10">
        <v>6.9</v>
      </c>
      <c r="P683" s="10">
        <v>0.41499999999999998</v>
      </c>
      <c r="Q683" s="10">
        <v>1380</v>
      </c>
      <c r="R683" s="10" t="s">
        <v>170</v>
      </c>
      <c r="S683" s="34">
        <f t="shared" si="70"/>
        <v>1380</v>
      </c>
      <c r="T683" s="10" t="s">
        <v>1011</v>
      </c>
      <c r="U683" s="34" t="str">
        <f t="shared" si="71"/>
        <v/>
      </c>
      <c r="V683" s="31" t="str">
        <f>IF(H683="CHK",VLOOKUP(I683,QCCHK,3,),IF(H683="GUP",VLOOKUP(E683,QCGUP,2,),IF(AND(H683="ATP",OR(I683="TN",I683="TDN",I683="TNO2-3",I683="NO2-3")),VLOOKUP(E683,QCREC_N,2,),IF(AND(H683="NIC",OR(I683="TN",I683="TDN",I683="TNO2-3",I683="NO2-3")),VLOOKUP(E683,QCNIC_N,2,),IF(AND(H683="UREA",OR(I683="TN",I683="TDN",I683="TNO2-3",I683="NO2-3")),VLOOKUP(E683,QCUREA_N,2,),IF(H683="PER",VLOOKUP(I683,QCPER,MATCH(E683,QCACTUAL!$J$25:$AA$25,0),),IF(H683="SPK",VLOOKUP(I683,QCSPK,3,),IF(AND(H683="ATP",OR(I683="TP",I683="TDP")),VLOOKUP(E683,QCATP_P,2,),""))))))))</f>
        <v/>
      </c>
      <c r="W683" s="31" t="str">
        <f t="shared" si="72"/>
        <v>TRUE</v>
      </c>
      <c r="X683" s="31" t="str">
        <f t="shared" si="73"/>
        <v/>
      </c>
      <c r="Y683" s="10" t="s">
        <v>1004</v>
      </c>
      <c r="Z683" s="10" t="s">
        <v>910</v>
      </c>
      <c r="AF683" s="12">
        <v>44937</v>
      </c>
      <c r="AJ683" s="10">
        <f>2.4015*6.9^2+187.16*6.9-68.555</f>
        <v>1337.1844149999999</v>
      </c>
      <c r="AK683" s="10">
        <f>0.155*6.9^2+210.99*6.9-92.045</f>
        <v>1371.1655500000002</v>
      </c>
      <c r="AL683" s="10" t="str">
        <f t="shared" si="75"/>
        <v>FALSE</v>
      </c>
      <c r="AM683" s="10" t="str">
        <f t="shared" si="75"/>
        <v>FALSE</v>
      </c>
      <c r="AN683" s="10" t="str">
        <f t="shared" si="75"/>
        <v>FALSE</v>
      </c>
      <c r="AO683" s="10" t="str">
        <f t="shared" si="76"/>
        <v>y=2.4015*6.9^2+187.16*6.9-68.555</v>
      </c>
      <c r="AP683" s="10" t="str">
        <f t="shared" si="76"/>
        <v>y=0.155*6.9^2+210.99*6.9-92.045</v>
      </c>
      <c r="AQ683" s="10" t="b">
        <f>IF(AND(I683="TP",S683&lt;=150),VLOOKUP(AF683,TPCalibEq150!$AZ$2:$BB$55,3,),IF(AND(I683="TDP",S683&lt;=150),VLOOKUP(AF683,TPCalibEq150!$AZ$2:$BB$55,3,)))</f>
        <v>0</v>
      </c>
      <c r="AR683" s="10" t="b">
        <f>IF(AND(I683="TP",S683&lt;=300),VLOOKUP(AF683,TPCalibEq300!$AZ$2:$BB$55,3,),IF(AND(I683="TDP",S683&lt;=300),VLOOKUP(AF683,TPCalibEq300!$AZ$2:$BB$55,3,)))</f>
        <v>0</v>
      </c>
      <c r="AS683" s="10" t="b">
        <f>IF(AND(I683="TP",S683&lt;=500),VLOOKUP(AF683,TPCalibEq500!$AZ$2:$BB$56,3,),IF(AND(I683="TDP",S683&lt;=500),VLOOKUP(AF683,TPCalibEq500!$AZ$2:$BB$56,3,)))</f>
        <v>0</v>
      </c>
      <c r="AT683" s="10" t="str">
        <f>IF(AND(I683="TN",S683&lt;=2800),VLOOKUP(AF683,TNCalibEq2500!$AZ$2:$BB$56,3,),IF(AND(I683="TDN",S683&lt;=2800),VLOOKUP(AF683,TNCalibEq2500!$AZ$2:$BB$56,3,)))</f>
        <v>y=2.4015x2+187.16x-68.555</v>
      </c>
      <c r="AU683" s="10" t="str">
        <f>IF(I683="TP",VLOOKUP(AF683,TPCalibEqFull!$AZ$2:$BB$56,3),IF(I683="TDP",VLOOKUP(AF683,TPCalibEqFull!$AZ$2:$BB$56,3),IF(I683="TDN",VLOOKUP(AF683,TNCalibEqFull!$AZ$1:$BB$56,3),IF(I683="TN",VLOOKUP(AF683,TNCalibEqFull!$AZ$1:$BB$56,3),FALSE))))</f>
        <v>y=0.155x2+210.99x-92.045</v>
      </c>
      <c r="AV683" s="10" t="str">
        <f t="shared" si="74"/>
        <v>0104 05:30:00-HST-0-FIL-1-SW-UKN</v>
      </c>
    </row>
    <row r="684" spans="1:48" s="10" customFormat="1" x14ac:dyDescent="0.55000000000000004">
      <c r="A684" s="32">
        <v>44931</v>
      </c>
      <c r="B684" s="33">
        <v>0.44513888888888892</v>
      </c>
      <c r="C684" s="10" t="s">
        <v>279</v>
      </c>
      <c r="D684" s="10">
        <v>0</v>
      </c>
      <c r="E684" s="10" t="s">
        <v>911</v>
      </c>
      <c r="F684" s="10">
        <v>1</v>
      </c>
      <c r="G684" s="10" t="s">
        <v>231</v>
      </c>
      <c r="H684" s="10" t="s">
        <v>322</v>
      </c>
      <c r="I684" s="10" t="s">
        <v>224</v>
      </c>
      <c r="J684" s="10">
        <v>107</v>
      </c>
      <c r="K684" s="12">
        <v>44937</v>
      </c>
      <c r="L684" s="33">
        <v>0.63136574074074081</v>
      </c>
      <c r="M684" s="10">
        <v>1</v>
      </c>
      <c r="N684" s="10" t="s">
        <v>196</v>
      </c>
      <c r="O684" s="10">
        <v>5.59</v>
      </c>
      <c r="P684" s="10">
        <v>0.33700000000000002</v>
      </c>
      <c r="Q684" s="10">
        <v>1100</v>
      </c>
      <c r="R684" s="10" t="s">
        <v>170</v>
      </c>
      <c r="S684" s="34">
        <f t="shared" si="70"/>
        <v>1100</v>
      </c>
      <c r="T684" s="10" t="s">
        <v>1011</v>
      </c>
      <c r="U684" s="34" t="str">
        <f t="shared" si="71"/>
        <v/>
      </c>
      <c r="V684" s="31" t="str">
        <f>IF(H684="CHK",VLOOKUP(I684,QCCHK,3,),IF(H684="GUP",VLOOKUP(E684,QCGUP,2,),IF(AND(H684="ATP",OR(I684="TN",I684="TDN",I684="TNO2-3",I684="NO2-3")),VLOOKUP(E684,QCREC_N,2,),IF(AND(H684="NIC",OR(I684="TN",I684="TDN",I684="TNO2-3",I684="NO2-3")),VLOOKUP(E684,QCNIC_N,2,),IF(AND(H684="UREA",OR(I684="TN",I684="TDN",I684="TNO2-3",I684="NO2-3")),VLOOKUP(E684,QCUREA_N,2,),IF(H684="PER",VLOOKUP(I684,QCPER,MATCH(E684,QCACTUAL!$J$25:$AA$25,0),),IF(H684="SPK",VLOOKUP(I684,QCSPK,3,),IF(AND(H684="ATP",OR(I684="TP",I684="TDP")),VLOOKUP(E684,QCATP_P,2,),""))))))))</f>
        <v/>
      </c>
      <c r="W684" s="31" t="str">
        <f t="shared" si="72"/>
        <v>TRUE</v>
      </c>
      <c r="X684" s="31" t="str">
        <f t="shared" si="73"/>
        <v/>
      </c>
      <c r="Y684" s="10" t="s">
        <v>1004</v>
      </c>
      <c r="Z684" s="10" t="s">
        <v>910</v>
      </c>
      <c r="AF684" s="12">
        <v>44937</v>
      </c>
      <c r="AJ684" s="10">
        <f>2.4015*5.59^2+187.16*5.59-68.555</f>
        <v>1052.71171215</v>
      </c>
      <c r="AK684" s="10">
        <f>0.155*5.59^2+210.99*5.59-92.045</f>
        <v>1092.2325554999998</v>
      </c>
      <c r="AL684" s="10" t="str">
        <f t="shared" si="75"/>
        <v>FALSE</v>
      </c>
      <c r="AM684" s="10" t="str">
        <f t="shared" si="75"/>
        <v>FALSE</v>
      </c>
      <c r="AN684" s="10" t="str">
        <f t="shared" si="75"/>
        <v>FALSE</v>
      </c>
      <c r="AO684" s="10" t="str">
        <f t="shared" si="76"/>
        <v>y=2.4015*5.59^2+187.16*5.59-68.555</v>
      </c>
      <c r="AP684" s="10" t="str">
        <f t="shared" si="76"/>
        <v>y=0.155*5.59^2+210.99*5.59-92.045</v>
      </c>
      <c r="AQ684" s="10" t="b">
        <f>IF(AND(I684="TP",S684&lt;=150),VLOOKUP(AF684,TPCalibEq150!$AZ$2:$BB$55,3,),IF(AND(I684="TDP",S684&lt;=150),VLOOKUP(AF684,TPCalibEq150!$AZ$2:$BB$55,3,)))</f>
        <v>0</v>
      </c>
      <c r="AR684" s="10" t="b">
        <f>IF(AND(I684="TP",S684&lt;=300),VLOOKUP(AF684,TPCalibEq300!$AZ$2:$BB$55,3,),IF(AND(I684="TDP",S684&lt;=300),VLOOKUP(AF684,TPCalibEq300!$AZ$2:$BB$55,3,)))</f>
        <v>0</v>
      </c>
      <c r="AS684" s="10" t="b">
        <f>IF(AND(I684="TP",S684&lt;=500),VLOOKUP(AF684,TPCalibEq500!$AZ$2:$BB$56,3,),IF(AND(I684="TDP",S684&lt;=500),VLOOKUP(AF684,TPCalibEq500!$AZ$2:$BB$56,3,)))</f>
        <v>0</v>
      </c>
      <c r="AT684" s="10" t="str">
        <f>IF(AND(I684="TN",S684&lt;=2800),VLOOKUP(AF684,TNCalibEq2500!$AZ$2:$BB$56,3,),IF(AND(I684="TDN",S684&lt;=2800),VLOOKUP(AF684,TNCalibEq2500!$AZ$2:$BB$56,3,)))</f>
        <v>y=2.4015x2+187.16x-68.555</v>
      </c>
      <c r="AU684" s="10" t="str">
        <f>IF(I684="TP",VLOOKUP(AF684,TPCalibEqFull!$AZ$2:$BB$56,3),IF(I684="TDP",VLOOKUP(AF684,TPCalibEqFull!$AZ$2:$BB$56,3),IF(I684="TDN",VLOOKUP(AF684,TNCalibEqFull!$AZ$1:$BB$56,3),IF(I684="TN",VLOOKUP(AF684,TNCalibEqFull!$AZ$1:$BB$56,3),FALSE))))</f>
        <v>y=0.155x2+210.99x-92.045</v>
      </c>
      <c r="AV684" s="10" t="str">
        <f t="shared" si="74"/>
        <v>0105 10:41:00-EFK-0-FIL-1-SW-UKN</v>
      </c>
    </row>
    <row r="685" spans="1:48" s="10" customFormat="1" x14ac:dyDescent="0.55000000000000004">
      <c r="A685" s="32">
        <v>44931</v>
      </c>
      <c r="B685" s="33">
        <v>0.45069444444444445</v>
      </c>
      <c r="C685" s="10" t="s">
        <v>333</v>
      </c>
      <c r="D685" s="10">
        <v>0</v>
      </c>
      <c r="E685" s="10" t="s">
        <v>911</v>
      </c>
      <c r="F685" s="10">
        <v>1</v>
      </c>
      <c r="G685" s="10" t="s">
        <v>231</v>
      </c>
      <c r="H685" s="10" t="s">
        <v>322</v>
      </c>
      <c r="I685" s="10" t="s">
        <v>224</v>
      </c>
      <c r="J685" s="10">
        <v>108</v>
      </c>
      <c r="K685" s="12">
        <v>44937</v>
      </c>
      <c r="L685" s="33">
        <v>0.6320486111111111</v>
      </c>
      <c r="M685" s="10">
        <v>1</v>
      </c>
      <c r="N685" s="10" t="s">
        <v>196</v>
      </c>
      <c r="O685" s="10">
        <v>5.96</v>
      </c>
      <c r="P685" s="10">
        <v>0.35799999999999998</v>
      </c>
      <c r="Q685" s="10">
        <v>1180</v>
      </c>
      <c r="R685" s="10" t="s">
        <v>170</v>
      </c>
      <c r="S685" s="34">
        <f t="shared" si="70"/>
        <v>1180</v>
      </c>
      <c r="T685" s="10" t="s">
        <v>1011</v>
      </c>
      <c r="U685" s="34" t="str">
        <f t="shared" si="71"/>
        <v/>
      </c>
      <c r="V685" s="31" t="str">
        <f>IF(H685="CHK",VLOOKUP(I685,QCCHK,3,),IF(H685="GUP",VLOOKUP(E685,QCGUP,2,),IF(AND(H685="ATP",OR(I685="TN",I685="TDN",I685="TNO2-3",I685="NO2-3")),VLOOKUP(E685,QCREC_N,2,),IF(AND(H685="NIC",OR(I685="TN",I685="TDN",I685="TNO2-3",I685="NO2-3")),VLOOKUP(E685,QCNIC_N,2,),IF(AND(H685="UREA",OR(I685="TN",I685="TDN",I685="TNO2-3",I685="NO2-3")),VLOOKUP(E685,QCUREA_N,2,),IF(H685="PER",VLOOKUP(I685,QCPER,MATCH(E685,QCACTUAL!$J$25:$AA$25,0),),IF(H685="SPK",VLOOKUP(I685,QCSPK,3,),IF(AND(H685="ATP",OR(I685="TP",I685="TDP")),VLOOKUP(E685,QCATP_P,2,),""))))))))</f>
        <v/>
      </c>
      <c r="W685" s="31" t="str">
        <f t="shared" si="72"/>
        <v>TRUE</v>
      </c>
      <c r="X685" s="31" t="str">
        <f t="shared" si="73"/>
        <v/>
      </c>
      <c r="Y685" s="10" t="s">
        <v>1004</v>
      </c>
      <c r="Z685" s="10" t="s">
        <v>910</v>
      </c>
      <c r="AF685" s="12">
        <v>44937</v>
      </c>
      <c r="AJ685" s="10">
        <f>2.4015*5.96^2+187.16*5.96-68.555</f>
        <v>1132.2237224</v>
      </c>
      <c r="AK685" s="10">
        <f>0.155*5.96^2+210.99*5.96-92.045</f>
        <v>1170.9612480000001</v>
      </c>
      <c r="AL685" s="10" t="str">
        <f t="shared" si="75"/>
        <v>FALSE</v>
      </c>
      <c r="AM685" s="10" t="str">
        <f t="shared" si="75"/>
        <v>FALSE</v>
      </c>
      <c r="AN685" s="10" t="str">
        <f t="shared" si="75"/>
        <v>FALSE</v>
      </c>
      <c r="AO685" s="10" t="str">
        <f t="shared" si="76"/>
        <v>y=2.4015*5.96^2+187.16*5.96-68.555</v>
      </c>
      <c r="AP685" s="10" t="str">
        <f t="shared" si="76"/>
        <v>y=0.155*5.96^2+210.99*5.96-92.045</v>
      </c>
      <c r="AQ685" s="10" t="b">
        <f>IF(AND(I685="TP",S685&lt;=150),VLOOKUP(AF685,TPCalibEq150!$AZ$2:$BB$55,3,),IF(AND(I685="TDP",S685&lt;=150),VLOOKUP(AF685,TPCalibEq150!$AZ$2:$BB$55,3,)))</f>
        <v>0</v>
      </c>
      <c r="AR685" s="10" t="b">
        <f>IF(AND(I685="TP",S685&lt;=300),VLOOKUP(AF685,TPCalibEq300!$AZ$2:$BB$55,3,),IF(AND(I685="TDP",S685&lt;=300),VLOOKUP(AF685,TPCalibEq300!$AZ$2:$BB$55,3,)))</f>
        <v>0</v>
      </c>
      <c r="AS685" s="10" t="b">
        <f>IF(AND(I685="TP",S685&lt;=500),VLOOKUP(AF685,TPCalibEq500!$AZ$2:$BB$56,3,),IF(AND(I685="TDP",S685&lt;=500),VLOOKUP(AF685,TPCalibEq500!$AZ$2:$BB$56,3,)))</f>
        <v>0</v>
      </c>
      <c r="AT685" s="10" t="str">
        <f>IF(AND(I685="TN",S685&lt;=2800),VLOOKUP(AF685,TNCalibEq2500!$AZ$2:$BB$56,3,),IF(AND(I685="TDN",S685&lt;=2800),VLOOKUP(AF685,TNCalibEq2500!$AZ$2:$BB$56,3,)))</f>
        <v>y=2.4015x2+187.16x-68.555</v>
      </c>
      <c r="AU685" s="10" t="str">
        <f>IF(I685="TP",VLOOKUP(AF685,TPCalibEqFull!$AZ$2:$BB$56,3),IF(I685="TDP",VLOOKUP(AF685,TPCalibEqFull!$AZ$2:$BB$56,3),IF(I685="TDN",VLOOKUP(AF685,TNCalibEqFull!$AZ$1:$BB$56,3),IF(I685="TN",VLOOKUP(AF685,TNCalibEqFull!$AZ$1:$BB$56,3),FALSE))))</f>
        <v>y=0.155x2+210.99x-92.045</v>
      </c>
      <c r="AV685" s="10" t="str">
        <f t="shared" si="74"/>
        <v>0105 10:49:00-HST-0-FIL-1-SW-UKN</v>
      </c>
    </row>
    <row r="686" spans="1:48" s="10" customFormat="1" x14ac:dyDescent="0.55000000000000004">
      <c r="A686" s="32">
        <v>44932</v>
      </c>
      <c r="B686" s="33">
        <v>0.53333333333333333</v>
      </c>
      <c r="C686" s="10" t="s">
        <v>279</v>
      </c>
      <c r="D686" s="10">
        <v>0</v>
      </c>
      <c r="E686" s="10" t="s">
        <v>911</v>
      </c>
      <c r="F686" s="10">
        <v>1</v>
      </c>
      <c r="G686" s="10" t="s">
        <v>231</v>
      </c>
      <c r="H686" s="10" t="s">
        <v>322</v>
      </c>
      <c r="I686" s="10" t="s">
        <v>224</v>
      </c>
      <c r="J686" s="10">
        <v>109</v>
      </c>
      <c r="K686" s="12">
        <v>44937</v>
      </c>
      <c r="L686" s="33">
        <v>0.63270833333333332</v>
      </c>
      <c r="M686" s="10">
        <v>1</v>
      </c>
      <c r="N686" s="10" t="s">
        <v>196</v>
      </c>
      <c r="O686" s="10">
        <v>5.78</v>
      </c>
      <c r="P686" s="10">
        <v>0.34899999999999998</v>
      </c>
      <c r="Q686" s="10">
        <v>1140</v>
      </c>
      <c r="R686" s="10" t="s">
        <v>170</v>
      </c>
      <c r="S686" s="34">
        <f t="shared" si="70"/>
        <v>1140</v>
      </c>
      <c r="T686" s="10" t="s">
        <v>1011</v>
      </c>
      <c r="U686" s="34" t="str">
        <f t="shared" si="71"/>
        <v/>
      </c>
      <c r="V686" s="31" t="str">
        <f>IF(H686="CHK",VLOOKUP(I686,QCCHK,3,),IF(H686="GUP",VLOOKUP(E686,QCGUP,2,),IF(AND(H686="ATP",OR(I686="TN",I686="TDN",I686="TNO2-3",I686="NO2-3")),VLOOKUP(E686,QCREC_N,2,),IF(AND(H686="NIC",OR(I686="TN",I686="TDN",I686="TNO2-3",I686="NO2-3")),VLOOKUP(E686,QCNIC_N,2,),IF(AND(H686="UREA",OR(I686="TN",I686="TDN",I686="TNO2-3",I686="NO2-3")),VLOOKUP(E686,QCUREA_N,2,),IF(H686="PER",VLOOKUP(I686,QCPER,MATCH(E686,QCACTUAL!$J$25:$AA$25,0),),IF(H686="SPK",VLOOKUP(I686,QCSPK,3,),IF(AND(H686="ATP",OR(I686="TP",I686="TDP")),VLOOKUP(E686,QCATP_P,2,),""))))))))</f>
        <v/>
      </c>
      <c r="W686" s="31" t="str">
        <f t="shared" si="72"/>
        <v>TRUE</v>
      </c>
      <c r="X686" s="31" t="str">
        <f t="shared" si="73"/>
        <v/>
      </c>
      <c r="Y686" s="10" t="s">
        <v>1004</v>
      </c>
      <c r="Z686" s="10" t="s">
        <v>910</v>
      </c>
      <c r="AF686" s="12">
        <v>44937</v>
      </c>
      <c r="AJ686" s="10">
        <f>2.4015*5.78^2+187.16*5.78-68.555</f>
        <v>1093.4600726000001</v>
      </c>
      <c r="AK686" s="10">
        <f>0.155*5.78^2+210.99*5.78-92.045</f>
        <v>1132.6555020000001</v>
      </c>
      <c r="AL686" s="10" t="str">
        <f t="shared" si="75"/>
        <v>FALSE</v>
      </c>
      <c r="AM686" s="10" t="str">
        <f t="shared" si="75"/>
        <v>FALSE</v>
      </c>
      <c r="AN686" s="10" t="str">
        <f t="shared" si="75"/>
        <v>FALSE</v>
      </c>
      <c r="AO686" s="10" t="str">
        <f t="shared" si="76"/>
        <v>y=2.4015*5.78^2+187.16*5.78-68.555</v>
      </c>
      <c r="AP686" s="10" t="str">
        <f t="shared" si="76"/>
        <v>y=0.155*5.78^2+210.99*5.78-92.045</v>
      </c>
      <c r="AQ686" s="10" t="b">
        <f>IF(AND(I686="TP",S686&lt;=150),VLOOKUP(AF686,TPCalibEq150!$AZ$2:$BB$55,3,),IF(AND(I686="TDP",S686&lt;=150),VLOOKUP(AF686,TPCalibEq150!$AZ$2:$BB$55,3,)))</f>
        <v>0</v>
      </c>
      <c r="AR686" s="10" t="b">
        <f>IF(AND(I686="TP",S686&lt;=300),VLOOKUP(AF686,TPCalibEq300!$AZ$2:$BB$55,3,),IF(AND(I686="TDP",S686&lt;=300),VLOOKUP(AF686,TPCalibEq300!$AZ$2:$BB$55,3,)))</f>
        <v>0</v>
      </c>
      <c r="AS686" s="10" t="b">
        <f>IF(AND(I686="TP",S686&lt;=500),VLOOKUP(AF686,TPCalibEq500!$AZ$2:$BB$56,3,),IF(AND(I686="TDP",S686&lt;=500),VLOOKUP(AF686,TPCalibEq500!$AZ$2:$BB$56,3,)))</f>
        <v>0</v>
      </c>
      <c r="AT686" s="10" t="str">
        <f>IF(AND(I686="TN",S686&lt;=2800),VLOOKUP(AF686,TNCalibEq2500!$AZ$2:$BB$56,3,),IF(AND(I686="TDN",S686&lt;=2800),VLOOKUP(AF686,TNCalibEq2500!$AZ$2:$BB$56,3,)))</f>
        <v>y=2.4015x2+187.16x-68.555</v>
      </c>
      <c r="AU686" s="10" t="str">
        <f>IF(I686="TP",VLOOKUP(AF686,TPCalibEqFull!$AZ$2:$BB$56,3),IF(I686="TDP",VLOOKUP(AF686,TPCalibEqFull!$AZ$2:$BB$56,3),IF(I686="TDN",VLOOKUP(AF686,TNCalibEqFull!$AZ$1:$BB$56,3),IF(I686="TN",VLOOKUP(AF686,TNCalibEqFull!$AZ$1:$BB$56,3),FALSE))))</f>
        <v>y=0.155x2+210.99x-92.045</v>
      </c>
      <c r="AV686" s="10" t="str">
        <f t="shared" si="74"/>
        <v>0106 12:48:00-EFK-0-FIL-1-SW-UKN</v>
      </c>
    </row>
    <row r="687" spans="1:48" s="10" customFormat="1" x14ac:dyDescent="0.55000000000000004">
      <c r="A687" s="32">
        <v>44932</v>
      </c>
      <c r="B687" s="33">
        <v>0.52430555555555558</v>
      </c>
      <c r="C687" s="10" t="s">
        <v>333</v>
      </c>
      <c r="D687" s="10">
        <v>0</v>
      </c>
      <c r="E687" s="10" t="s">
        <v>911</v>
      </c>
      <c r="F687" s="10">
        <v>1</v>
      </c>
      <c r="G687" s="10" t="s">
        <v>231</v>
      </c>
      <c r="H687" s="10" t="s">
        <v>322</v>
      </c>
      <c r="I687" s="10" t="s">
        <v>224</v>
      </c>
      <c r="J687" s="10">
        <v>110</v>
      </c>
      <c r="K687" s="12">
        <v>44937</v>
      </c>
      <c r="L687" s="33">
        <v>0.63337962962962957</v>
      </c>
      <c r="M687" s="10">
        <v>1</v>
      </c>
      <c r="N687" s="10" t="s">
        <v>196</v>
      </c>
      <c r="O687" s="10">
        <v>5.47</v>
      </c>
      <c r="P687" s="10">
        <v>0.32900000000000001</v>
      </c>
      <c r="Q687" s="10">
        <v>1070</v>
      </c>
      <c r="R687" s="10" t="s">
        <v>170</v>
      </c>
      <c r="S687" s="34">
        <f t="shared" si="70"/>
        <v>1070</v>
      </c>
      <c r="T687" s="10" t="s">
        <v>1011</v>
      </c>
      <c r="U687" s="34" t="str">
        <f t="shared" si="71"/>
        <v/>
      </c>
      <c r="V687" s="31" t="str">
        <f>IF(H687="CHK",VLOOKUP(I687,QCCHK,3,),IF(H687="GUP",VLOOKUP(E687,QCGUP,2,),IF(AND(H687="ATP",OR(I687="TN",I687="TDN",I687="TNO2-3",I687="NO2-3")),VLOOKUP(E687,QCREC_N,2,),IF(AND(H687="NIC",OR(I687="TN",I687="TDN",I687="TNO2-3",I687="NO2-3")),VLOOKUP(E687,QCNIC_N,2,),IF(AND(H687="UREA",OR(I687="TN",I687="TDN",I687="TNO2-3",I687="NO2-3")),VLOOKUP(E687,QCUREA_N,2,),IF(H687="PER",VLOOKUP(I687,QCPER,MATCH(E687,QCACTUAL!$J$25:$AA$25,0),),IF(H687="SPK",VLOOKUP(I687,QCSPK,3,),IF(AND(H687="ATP",OR(I687="TP",I687="TDP")),VLOOKUP(E687,QCATP_P,2,),""))))))))</f>
        <v/>
      </c>
      <c r="W687" s="31" t="str">
        <f t="shared" si="72"/>
        <v>TRUE</v>
      </c>
      <c r="X687" s="31" t="str">
        <f t="shared" si="73"/>
        <v/>
      </c>
      <c r="Y687" s="10" t="s">
        <v>1004</v>
      </c>
      <c r="Z687" s="10" t="s">
        <v>910</v>
      </c>
      <c r="AF687" s="12">
        <v>44937</v>
      </c>
      <c r="AJ687" s="10">
        <f>2.4015*5.47^2+187.16*5.47-68.555</f>
        <v>1027.06524135</v>
      </c>
      <c r="AK687" s="10">
        <f>0.155*5.47^2+210.99*5.47-92.045</f>
        <v>1066.7080394999998</v>
      </c>
      <c r="AL687" s="10" t="str">
        <f t="shared" si="75"/>
        <v>FALSE</v>
      </c>
      <c r="AM687" s="10" t="str">
        <f t="shared" si="75"/>
        <v>FALSE</v>
      </c>
      <c r="AN687" s="10" t="str">
        <f t="shared" si="75"/>
        <v>FALSE</v>
      </c>
      <c r="AO687" s="10" t="str">
        <f t="shared" si="76"/>
        <v>y=2.4015*5.47^2+187.16*5.47-68.555</v>
      </c>
      <c r="AP687" s="10" t="str">
        <f t="shared" si="76"/>
        <v>y=0.155*5.47^2+210.99*5.47-92.045</v>
      </c>
      <c r="AQ687" s="10" t="b">
        <f>IF(AND(I687="TP",S687&lt;=150),VLOOKUP(AF687,TPCalibEq150!$AZ$2:$BB$55,3,),IF(AND(I687="TDP",S687&lt;=150),VLOOKUP(AF687,TPCalibEq150!$AZ$2:$BB$55,3,)))</f>
        <v>0</v>
      </c>
      <c r="AR687" s="10" t="b">
        <f>IF(AND(I687="TP",S687&lt;=300),VLOOKUP(AF687,TPCalibEq300!$AZ$2:$BB$55,3,),IF(AND(I687="TDP",S687&lt;=300),VLOOKUP(AF687,TPCalibEq300!$AZ$2:$BB$55,3,)))</f>
        <v>0</v>
      </c>
      <c r="AS687" s="10" t="b">
        <f>IF(AND(I687="TP",S687&lt;=500),VLOOKUP(AF687,TPCalibEq500!$AZ$2:$BB$56,3,),IF(AND(I687="TDP",S687&lt;=500),VLOOKUP(AF687,TPCalibEq500!$AZ$2:$BB$56,3,)))</f>
        <v>0</v>
      </c>
      <c r="AT687" s="10" t="str">
        <f>IF(AND(I687="TN",S687&lt;=2800),VLOOKUP(AF687,TNCalibEq2500!$AZ$2:$BB$56,3,),IF(AND(I687="TDN",S687&lt;=2800),VLOOKUP(AF687,TNCalibEq2500!$AZ$2:$BB$56,3,)))</f>
        <v>y=2.4015x2+187.16x-68.555</v>
      </c>
      <c r="AU687" s="10" t="str">
        <f>IF(I687="TP",VLOOKUP(AF687,TPCalibEqFull!$AZ$2:$BB$56,3),IF(I687="TDP",VLOOKUP(AF687,TPCalibEqFull!$AZ$2:$BB$56,3),IF(I687="TDN",VLOOKUP(AF687,TNCalibEqFull!$AZ$1:$BB$56,3),IF(I687="TN",VLOOKUP(AF687,TNCalibEqFull!$AZ$1:$BB$56,3),FALSE))))</f>
        <v>y=0.155x2+210.99x-92.045</v>
      </c>
      <c r="AV687" s="10" t="str">
        <f t="shared" si="74"/>
        <v>0106 12:35:00-HST-0-FIL-1-SW-UKN</v>
      </c>
    </row>
    <row r="688" spans="1:48" s="10" customFormat="1" x14ac:dyDescent="0.55000000000000004">
      <c r="A688" s="32">
        <v>44935</v>
      </c>
      <c r="B688" s="33">
        <v>0.39166666666666666</v>
      </c>
      <c r="C688" s="10" t="s">
        <v>279</v>
      </c>
      <c r="D688" s="10">
        <v>0</v>
      </c>
      <c r="E688" s="10" t="s">
        <v>911</v>
      </c>
      <c r="F688" s="10">
        <v>1</v>
      </c>
      <c r="G688" s="10" t="s">
        <v>231</v>
      </c>
      <c r="H688" s="10" t="s">
        <v>322</v>
      </c>
      <c r="I688" s="10" t="s">
        <v>224</v>
      </c>
      <c r="J688" s="10">
        <v>111</v>
      </c>
      <c r="K688" s="12">
        <v>44937</v>
      </c>
      <c r="L688" s="33">
        <v>0.63405092592592593</v>
      </c>
      <c r="M688" s="10">
        <v>1</v>
      </c>
      <c r="N688" s="10" t="s">
        <v>196</v>
      </c>
      <c r="O688" s="10">
        <v>5.35</v>
      </c>
      <c r="P688" s="10">
        <v>0.32300000000000001</v>
      </c>
      <c r="Q688" s="10">
        <v>1050</v>
      </c>
      <c r="R688" s="10" t="s">
        <v>170</v>
      </c>
      <c r="S688" s="34">
        <f t="shared" si="70"/>
        <v>1050</v>
      </c>
      <c r="T688" s="10" t="s">
        <v>1011</v>
      </c>
      <c r="U688" s="34" t="str">
        <f t="shared" si="71"/>
        <v/>
      </c>
      <c r="V688" s="31" t="str">
        <f>IF(H688="CHK",VLOOKUP(I688,QCCHK,3,),IF(H688="GUP",VLOOKUP(E688,QCGUP,2,),IF(AND(H688="ATP",OR(I688="TN",I688="TDN",I688="TNO2-3",I688="NO2-3")),VLOOKUP(E688,QCREC_N,2,),IF(AND(H688="NIC",OR(I688="TN",I688="TDN",I688="TNO2-3",I688="NO2-3")),VLOOKUP(E688,QCNIC_N,2,),IF(AND(H688="UREA",OR(I688="TN",I688="TDN",I688="TNO2-3",I688="NO2-3")),VLOOKUP(E688,QCUREA_N,2,),IF(H688="PER",VLOOKUP(I688,QCPER,MATCH(E688,QCACTUAL!$J$25:$AA$25,0),),IF(H688="SPK",VLOOKUP(I688,QCSPK,3,),IF(AND(H688="ATP",OR(I688="TP",I688="TDP")),VLOOKUP(E688,QCATP_P,2,),""))))))))</f>
        <v/>
      </c>
      <c r="W688" s="31" t="str">
        <f t="shared" si="72"/>
        <v>TRUE</v>
      </c>
      <c r="X688" s="31" t="str">
        <f t="shared" si="73"/>
        <v/>
      </c>
      <c r="Y688" s="10" t="s">
        <v>1004</v>
      </c>
      <c r="Z688" s="10" t="s">
        <v>910</v>
      </c>
      <c r="AF688" s="12">
        <v>44937</v>
      </c>
      <c r="AJ688" s="10">
        <f>2.4015*5.35^2+187.16*5.35-68.555</f>
        <v>1001.4879337499999</v>
      </c>
      <c r="AK688" s="10">
        <f>0.155*5.35^2+210.99*5.35-92.045</f>
        <v>1041.1879875</v>
      </c>
      <c r="AL688" s="10" t="str">
        <f t="shared" si="75"/>
        <v>FALSE</v>
      </c>
      <c r="AM688" s="10" t="str">
        <f t="shared" si="75"/>
        <v>FALSE</v>
      </c>
      <c r="AN688" s="10" t="str">
        <f t="shared" si="75"/>
        <v>FALSE</v>
      </c>
      <c r="AO688" s="10" t="str">
        <f t="shared" si="76"/>
        <v>y=2.4015*5.35^2+187.16*5.35-68.555</v>
      </c>
      <c r="AP688" s="10" t="str">
        <f t="shared" si="76"/>
        <v>y=0.155*5.35^2+210.99*5.35-92.045</v>
      </c>
      <c r="AQ688" s="10" t="b">
        <f>IF(AND(I688="TP",S688&lt;=150),VLOOKUP(AF688,TPCalibEq150!$AZ$2:$BB$55,3,),IF(AND(I688="TDP",S688&lt;=150),VLOOKUP(AF688,TPCalibEq150!$AZ$2:$BB$55,3,)))</f>
        <v>0</v>
      </c>
      <c r="AR688" s="10" t="b">
        <f>IF(AND(I688="TP",S688&lt;=300),VLOOKUP(AF688,TPCalibEq300!$AZ$2:$BB$55,3,),IF(AND(I688="TDP",S688&lt;=300),VLOOKUP(AF688,TPCalibEq300!$AZ$2:$BB$55,3,)))</f>
        <v>0</v>
      </c>
      <c r="AS688" s="10" t="b">
        <f>IF(AND(I688="TP",S688&lt;=500),VLOOKUP(AF688,TPCalibEq500!$AZ$2:$BB$56,3,),IF(AND(I688="TDP",S688&lt;=500),VLOOKUP(AF688,TPCalibEq500!$AZ$2:$BB$56,3,)))</f>
        <v>0</v>
      </c>
      <c r="AT688" s="10" t="str">
        <f>IF(AND(I688="TN",S688&lt;=2800),VLOOKUP(AF688,TNCalibEq2500!$AZ$2:$BB$56,3,),IF(AND(I688="TDN",S688&lt;=2800),VLOOKUP(AF688,TNCalibEq2500!$AZ$2:$BB$56,3,)))</f>
        <v>y=2.4015x2+187.16x-68.555</v>
      </c>
      <c r="AU688" s="10" t="str">
        <f>IF(I688="TP",VLOOKUP(AF688,TPCalibEqFull!$AZ$2:$BB$56,3),IF(I688="TDP",VLOOKUP(AF688,TPCalibEqFull!$AZ$2:$BB$56,3),IF(I688="TDN",VLOOKUP(AF688,TNCalibEqFull!$AZ$1:$BB$56,3),IF(I688="TN",VLOOKUP(AF688,TNCalibEqFull!$AZ$1:$BB$56,3),FALSE))))</f>
        <v>y=0.155x2+210.99x-92.045</v>
      </c>
      <c r="AV688" s="10" t="str">
        <f t="shared" si="74"/>
        <v>0109 09:24:00-EFK-0-FIL-1-SW-UKN</v>
      </c>
    </row>
    <row r="689" spans="1:48" s="10" customFormat="1" x14ac:dyDescent="0.55000000000000004">
      <c r="A689" s="32">
        <v>44935</v>
      </c>
      <c r="B689" s="33">
        <v>0.30208333333333331</v>
      </c>
      <c r="C689" s="10" t="s">
        <v>333</v>
      </c>
      <c r="D689" s="10">
        <v>0</v>
      </c>
      <c r="E689" s="10" t="s">
        <v>911</v>
      </c>
      <c r="F689" s="10">
        <v>1</v>
      </c>
      <c r="G689" s="10" t="s">
        <v>231</v>
      </c>
      <c r="H689" s="10" t="s">
        <v>322</v>
      </c>
      <c r="I689" s="10" t="s">
        <v>224</v>
      </c>
      <c r="J689" s="10">
        <v>112</v>
      </c>
      <c r="K689" s="12">
        <v>44937</v>
      </c>
      <c r="L689" s="33">
        <v>0.63472222222222219</v>
      </c>
      <c r="M689" s="10">
        <v>1</v>
      </c>
      <c r="N689" s="10" t="s">
        <v>196</v>
      </c>
      <c r="O689" s="10">
        <v>5.78</v>
      </c>
      <c r="P689" s="10">
        <v>0.34699999999999998</v>
      </c>
      <c r="Q689" s="10">
        <v>1140</v>
      </c>
      <c r="R689" s="10" t="s">
        <v>170</v>
      </c>
      <c r="S689" s="34">
        <f t="shared" si="70"/>
        <v>1140</v>
      </c>
      <c r="T689" s="10" t="s">
        <v>1011</v>
      </c>
      <c r="U689" s="34" t="str">
        <f t="shared" si="71"/>
        <v/>
      </c>
      <c r="V689" s="31" t="str">
        <f>IF(H689="CHK",VLOOKUP(I689,QCCHK,3,),IF(H689="GUP",VLOOKUP(E689,QCGUP,2,),IF(AND(H689="ATP",OR(I689="TN",I689="TDN",I689="TNO2-3",I689="NO2-3")),VLOOKUP(E689,QCREC_N,2,),IF(AND(H689="NIC",OR(I689="TN",I689="TDN",I689="TNO2-3",I689="NO2-3")),VLOOKUP(E689,QCNIC_N,2,),IF(AND(H689="UREA",OR(I689="TN",I689="TDN",I689="TNO2-3",I689="NO2-3")),VLOOKUP(E689,QCUREA_N,2,),IF(H689="PER",VLOOKUP(I689,QCPER,MATCH(E689,QCACTUAL!$J$25:$AA$25,0),),IF(H689="SPK",VLOOKUP(I689,QCSPK,3,),IF(AND(H689="ATP",OR(I689="TP",I689="TDP")),VLOOKUP(E689,QCATP_P,2,),""))))))))</f>
        <v/>
      </c>
      <c r="W689" s="31" t="str">
        <f t="shared" si="72"/>
        <v>TRUE</v>
      </c>
      <c r="X689" s="31" t="str">
        <f t="shared" si="73"/>
        <v/>
      </c>
      <c r="Y689" s="10" t="s">
        <v>1004</v>
      </c>
      <c r="Z689" s="10" t="s">
        <v>910</v>
      </c>
      <c r="AF689" s="12">
        <v>44937</v>
      </c>
      <c r="AJ689" s="10">
        <f>2.4015*5.78^2+187.16*5.78-68.555</f>
        <v>1093.4600726000001</v>
      </c>
      <c r="AK689" s="10">
        <f>0.155*5.78^2+210.99*5.78-92.045</f>
        <v>1132.6555020000001</v>
      </c>
      <c r="AL689" s="10" t="str">
        <f t="shared" si="75"/>
        <v>FALSE</v>
      </c>
      <c r="AM689" s="10" t="str">
        <f t="shared" si="75"/>
        <v>FALSE</v>
      </c>
      <c r="AN689" s="10" t="str">
        <f t="shared" si="75"/>
        <v>FALSE</v>
      </c>
      <c r="AO689" s="10" t="str">
        <f t="shared" si="76"/>
        <v>y=2.4015*5.78^2+187.16*5.78-68.555</v>
      </c>
      <c r="AP689" s="10" t="str">
        <f t="shared" si="76"/>
        <v>y=0.155*5.78^2+210.99*5.78-92.045</v>
      </c>
      <c r="AQ689" s="10" t="b">
        <f>IF(AND(I689="TP",S689&lt;=150),VLOOKUP(AF689,TPCalibEq150!$AZ$2:$BB$55,3,),IF(AND(I689="TDP",S689&lt;=150),VLOOKUP(AF689,TPCalibEq150!$AZ$2:$BB$55,3,)))</f>
        <v>0</v>
      </c>
      <c r="AR689" s="10" t="b">
        <f>IF(AND(I689="TP",S689&lt;=300),VLOOKUP(AF689,TPCalibEq300!$AZ$2:$BB$55,3,),IF(AND(I689="TDP",S689&lt;=300),VLOOKUP(AF689,TPCalibEq300!$AZ$2:$BB$55,3,)))</f>
        <v>0</v>
      </c>
      <c r="AS689" s="10" t="b">
        <f>IF(AND(I689="TP",S689&lt;=500),VLOOKUP(AF689,TPCalibEq500!$AZ$2:$BB$56,3,),IF(AND(I689="TDP",S689&lt;=500),VLOOKUP(AF689,TPCalibEq500!$AZ$2:$BB$56,3,)))</f>
        <v>0</v>
      </c>
      <c r="AT689" s="10" t="str">
        <f>IF(AND(I689="TN",S689&lt;=2800),VLOOKUP(AF689,TNCalibEq2500!$AZ$2:$BB$56,3,),IF(AND(I689="TDN",S689&lt;=2800),VLOOKUP(AF689,TNCalibEq2500!$AZ$2:$BB$56,3,)))</f>
        <v>y=2.4015x2+187.16x-68.555</v>
      </c>
      <c r="AU689" s="10" t="str">
        <f>IF(I689="TP",VLOOKUP(AF689,TPCalibEqFull!$AZ$2:$BB$56,3),IF(I689="TDP",VLOOKUP(AF689,TPCalibEqFull!$AZ$2:$BB$56,3),IF(I689="TDN",VLOOKUP(AF689,TNCalibEqFull!$AZ$1:$BB$56,3),IF(I689="TN",VLOOKUP(AF689,TNCalibEqFull!$AZ$1:$BB$56,3),FALSE))))</f>
        <v>y=0.155x2+210.99x-92.045</v>
      </c>
      <c r="AV689" s="10" t="str">
        <f t="shared" si="74"/>
        <v>0109 07:15:00-HST-0-FIL-1-SW-UKN</v>
      </c>
    </row>
    <row r="690" spans="1:48" s="10" customFormat="1" x14ac:dyDescent="0.55000000000000004">
      <c r="A690" s="32">
        <v>44936</v>
      </c>
      <c r="B690" s="33">
        <v>0.39166666666666666</v>
      </c>
      <c r="C690" s="10" t="s">
        <v>279</v>
      </c>
      <c r="D690" s="10">
        <v>0</v>
      </c>
      <c r="E690" s="10" t="s">
        <v>911</v>
      </c>
      <c r="F690" s="10">
        <v>1</v>
      </c>
      <c r="G690" s="10" t="s">
        <v>231</v>
      </c>
      <c r="H690" s="10" t="s">
        <v>322</v>
      </c>
      <c r="I690" s="10" t="s">
        <v>224</v>
      </c>
      <c r="J690" s="10">
        <v>113</v>
      </c>
      <c r="K690" s="12">
        <v>44937</v>
      </c>
      <c r="L690" s="33">
        <v>0.63538194444444451</v>
      </c>
      <c r="M690" s="10">
        <v>1</v>
      </c>
      <c r="N690" s="10" t="s">
        <v>196</v>
      </c>
      <c r="O690" s="10">
        <v>6.25</v>
      </c>
      <c r="P690" s="10">
        <v>0.376</v>
      </c>
      <c r="Q690" s="10">
        <v>1240</v>
      </c>
      <c r="R690" s="10" t="s">
        <v>170</v>
      </c>
      <c r="S690" s="34">
        <f t="shared" si="70"/>
        <v>1240</v>
      </c>
      <c r="T690" s="10" t="s">
        <v>1011</v>
      </c>
      <c r="U690" s="34" t="str">
        <f t="shared" si="71"/>
        <v/>
      </c>
      <c r="V690" s="31" t="str">
        <f>IF(H690="CHK",VLOOKUP(I690,QCCHK,3,),IF(H690="GUP",VLOOKUP(E690,QCGUP,2,),IF(AND(H690="ATP",OR(I690="TN",I690="TDN",I690="TNO2-3",I690="NO2-3")),VLOOKUP(E690,QCREC_N,2,),IF(AND(H690="NIC",OR(I690="TN",I690="TDN",I690="TNO2-3",I690="NO2-3")),VLOOKUP(E690,QCNIC_N,2,),IF(AND(H690="UREA",OR(I690="TN",I690="TDN",I690="TNO2-3",I690="NO2-3")),VLOOKUP(E690,QCUREA_N,2,),IF(H690="PER",VLOOKUP(I690,QCPER,MATCH(E690,QCACTUAL!$J$25:$AA$25,0),),IF(H690="SPK",VLOOKUP(I690,QCSPK,3,),IF(AND(H690="ATP",OR(I690="TP",I690="TDP")),VLOOKUP(E690,QCATP_P,2,),""))))))))</f>
        <v/>
      </c>
      <c r="W690" s="31" t="str">
        <f t="shared" si="72"/>
        <v>TRUE</v>
      </c>
      <c r="X690" s="31" t="str">
        <f t="shared" si="73"/>
        <v/>
      </c>
      <c r="Y690" s="10" t="s">
        <v>1004</v>
      </c>
      <c r="Z690" s="10" t="s">
        <v>910</v>
      </c>
      <c r="AF690" s="12">
        <v>44937</v>
      </c>
      <c r="AJ690" s="10">
        <f>2.4015*6.25^2+187.16*6.25-68.555</f>
        <v>1195.0035937499999</v>
      </c>
      <c r="AK690" s="10">
        <f>0.155*6.25^2+210.99*6.25-92.045</f>
        <v>1232.6971874999999</v>
      </c>
      <c r="AL690" s="10" t="str">
        <f t="shared" si="75"/>
        <v>FALSE</v>
      </c>
      <c r="AM690" s="10" t="str">
        <f t="shared" si="75"/>
        <v>FALSE</v>
      </c>
      <c r="AN690" s="10" t="str">
        <f t="shared" si="75"/>
        <v>FALSE</v>
      </c>
      <c r="AO690" s="10" t="str">
        <f t="shared" si="76"/>
        <v>y=2.4015*6.25^2+187.16*6.25-68.555</v>
      </c>
      <c r="AP690" s="10" t="str">
        <f t="shared" si="76"/>
        <v>y=0.155*6.25^2+210.99*6.25-92.045</v>
      </c>
      <c r="AQ690" s="10" t="b">
        <f>IF(AND(I690="TP",S690&lt;=150),VLOOKUP(AF690,TPCalibEq150!$AZ$2:$BB$55,3,),IF(AND(I690="TDP",S690&lt;=150),VLOOKUP(AF690,TPCalibEq150!$AZ$2:$BB$55,3,)))</f>
        <v>0</v>
      </c>
      <c r="AR690" s="10" t="b">
        <f>IF(AND(I690="TP",S690&lt;=300),VLOOKUP(AF690,TPCalibEq300!$AZ$2:$BB$55,3,),IF(AND(I690="TDP",S690&lt;=300),VLOOKUP(AF690,TPCalibEq300!$AZ$2:$BB$55,3,)))</f>
        <v>0</v>
      </c>
      <c r="AS690" s="10" t="b">
        <f>IF(AND(I690="TP",S690&lt;=500),VLOOKUP(AF690,TPCalibEq500!$AZ$2:$BB$56,3,),IF(AND(I690="TDP",S690&lt;=500),VLOOKUP(AF690,TPCalibEq500!$AZ$2:$BB$56,3,)))</f>
        <v>0</v>
      </c>
      <c r="AT690" s="10" t="str">
        <f>IF(AND(I690="TN",S690&lt;=2800),VLOOKUP(AF690,TNCalibEq2500!$AZ$2:$BB$56,3,),IF(AND(I690="TDN",S690&lt;=2800),VLOOKUP(AF690,TNCalibEq2500!$AZ$2:$BB$56,3,)))</f>
        <v>y=2.4015x2+187.16x-68.555</v>
      </c>
      <c r="AU690" s="10" t="str">
        <f>IF(I690="TP",VLOOKUP(AF690,TPCalibEqFull!$AZ$2:$BB$56,3),IF(I690="TDP",VLOOKUP(AF690,TPCalibEqFull!$AZ$2:$BB$56,3),IF(I690="TDN",VLOOKUP(AF690,TNCalibEqFull!$AZ$1:$BB$56,3),IF(I690="TN",VLOOKUP(AF690,TNCalibEqFull!$AZ$1:$BB$56,3),FALSE))))</f>
        <v>y=0.155x2+210.99x-92.045</v>
      </c>
      <c r="AV690" s="10" t="str">
        <f t="shared" si="74"/>
        <v>0110 09:24:00-EFK-0-FIL-1-SW-UKN</v>
      </c>
    </row>
    <row r="691" spans="1:48" s="10" customFormat="1" x14ac:dyDescent="0.55000000000000004">
      <c r="A691" s="32">
        <v>44936</v>
      </c>
      <c r="B691" s="33">
        <v>0.39583333333333331</v>
      </c>
      <c r="C691" s="10" t="s">
        <v>333</v>
      </c>
      <c r="D691" s="10">
        <v>0</v>
      </c>
      <c r="E691" s="10" t="s">
        <v>911</v>
      </c>
      <c r="F691" s="10">
        <v>1</v>
      </c>
      <c r="G691" s="10" t="s">
        <v>231</v>
      </c>
      <c r="H691" s="10" t="s">
        <v>322</v>
      </c>
      <c r="I691" s="10" t="s">
        <v>224</v>
      </c>
      <c r="J691" s="10">
        <v>114</v>
      </c>
      <c r="K691" s="12">
        <v>44937</v>
      </c>
      <c r="L691" s="33">
        <v>0.63604166666666673</v>
      </c>
      <c r="M691" s="10">
        <v>1</v>
      </c>
      <c r="N691" s="10" t="s">
        <v>196</v>
      </c>
      <c r="O691" s="10">
        <v>4.8099999999999996</v>
      </c>
      <c r="P691" s="10">
        <v>0.28899999999999998</v>
      </c>
      <c r="Q691" s="10">
        <v>933</v>
      </c>
      <c r="R691" s="10" t="s">
        <v>170</v>
      </c>
      <c r="S691" s="34">
        <f t="shared" si="70"/>
        <v>933</v>
      </c>
      <c r="T691" s="10" t="s">
        <v>1011</v>
      </c>
      <c r="U691" s="34" t="str">
        <f t="shared" si="71"/>
        <v/>
      </c>
      <c r="V691" s="31" t="str">
        <f>IF(H691="CHK",VLOOKUP(I691,QCCHK,3,),IF(H691="GUP",VLOOKUP(E691,QCGUP,2,),IF(AND(H691="ATP",OR(I691="TN",I691="TDN",I691="TNO2-3",I691="NO2-3")),VLOOKUP(E691,QCREC_N,2,),IF(AND(H691="NIC",OR(I691="TN",I691="TDN",I691="TNO2-3",I691="NO2-3")),VLOOKUP(E691,QCNIC_N,2,),IF(AND(H691="UREA",OR(I691="TN",I691="TDN",I691="TNO2-3",I691="NO2-3")),VLOOKUP(E691,QCUREA_N,2,),IF(H691="PER",VLOOKUP(I691,QCPER,MATCH(E691,QCACTUAL!$J$25:$AA$25,0),),IF(H691="SPK",VLOOKUP(I691,QCSPK,3,),IF(AND(H691="ATP",OR(I691="TP",I691="TDP")),VLOOKUP(E691,QCATP_P,2,),""))))))))</f>
        <v/>
      </c>
      <c r="W691" s="31" t="str">
        <f t="shared" si="72"/>
        <v>TRUE</v>
      </c>
      <c r="X691" s="31" t="str">
        <f t="shared" si="73"/>
        <v/>
      </c>
      <c r="Y691" s="10" t="s">
        <v>1004</v>
      </c>
      <c r="Z691" s="10" t="s">
        <v>910</v>
      </c>
      <c r="AF691" s="12">
        <v>44937</v>
      </c>
      <c r="AJ691" s="10">
        <f>2.4015*4.81^2+187.16*4.81-68.555</f>
        <v>887.24594414999979</v>
      </c>
      <c r="AK691" s="10">
        <f>0.155*4.81^2+210.99*4.81-92.045</f>
        <v>926.40299550000009</v>
      </c>
      <c r="AL691" s="10" t="str">
        <f t="shared" si="75"/>
        <v>FALSE</v>
      </c>
      <c r="AM691" s="10" t="str">
        <f t="shared" si="75"/>
        <v>FALSE</v>
      </c>
      <c r="AN691" s="10" t="str">
        <f t="shared" si="75"/>
        <v>FALSE</v>
      </c>
      <c r="AO691" s="10" t="str">
        <f t="shared" si="76"/>
        <v>y=2.4015*4.81^2+187.16*4.81-68.555</v>
      </c>
      <c r="AP691" s="10" t="str">
        <f t="shared" si="76"/>
        <v>y=0.155*4.81^2+210.99*4.81-92.045</v>
      </c>
      <c r="AQ691" s="10" t="b">
        <f>IF(AND(I691="TP",S691&lt;=150),VLOOKUP(AF691,TPCalibEq150!$AZ$2:$BB$55,3,),IF(AND(I691="TDP",S691&lt;=150),VLOOKUP(AF691,TPCalibEq150!$AZ$2:$BB$55,3,)))</f>
        <v>0</v>
      </c>
      <c r="AR691" s="10" t="b">
        <f>IF(AND(I691="TP",S691&lt;=300),VLOOKUP(AF691,TPCalibEq300!$AZ$2:$BB$55,3,),IF(AND(I691="TDP",S691&lt;=300),VLOOKUP(AF691,TPCalibEq300!$AZ$2:$BB$55,3,)))</f>
        <v>0</v>
      </c>
      <c r="AS691" s="10" t="b">
        <f>IF(AND(I691="TP",S691&lt;=500),VLOOKUP(AF691,TPCalibEq500!$AZ$2:$BB$56,3,),IF(AND(I691="TDP",S691&lt;=500),VLOOKUP(AF691,TPCalibEq500!$AZ$2:$BB$56,3,)))</f>
        <v>0</v>
      </c>
      <c r="AT691" s="10" t="str">
        <f>IF(AND(I691="TN",S691&lt;=2800),VLOOKUP(AF691,TNCalibEq2500!$AZ$2:$BB$56,3,),IF(AND(I691="TDN",S691&lt;=2800),VLOOKUP(AF691,TNCalibEq2500!$AZ$2:$BB$56,3,)))</f>
        <v>y=2.4015x2+187.16x-68.555</v>
      </c>
      <c r="AU691" s="10" t="str">
        <f>IF(I691="TP",VLOOKUP(AF691,TPCalibEqFull!$AZ$2:$BB$56,3),IF(I691="TDP",VLOOKUP(AF691,TPCalibEqFull!$AZ$2:$BB$56,3),IF(I691="TDN",VLOOKUP(AF691,TNCalibEqFull!$AZ$1:$BB$56,3),IF(I691="TN",VLOOKUP(AF691,TNCalibEqFull!$AZ$1:$BB$56,3),FALSE))))</f>
        <v>y=0.155x2+210.99x-92.045</v>
      </c>
      <c r="AV691" s="10" t="str">
        <f t="shared" si="74"/>
        <v>0110 09:30:00-HST-0-FIL-1-SW-UKN</v>
      </c>
    </row>
    <row r="692" spans="1:48" s="10" customFormat="1" x14ac:dyDescent="0.55000000000000004">
      <c r="A692" s="32">
        <v>44936</v>
      </c>
      <c r="B692" s="33">
        <v>0.39583333333333331</v>
      </c>
      <c r="C692" s="10" t="s">
        <v>333</v>
      </c>
      <c r="D692" s="10">
        <v>0</v>
      </c>
      <c r="E692" s="10" t="s">
        <v>911</v>
      </c>
      <c r="F692" s="10">
        <v>1</v>
      </c>
      <c r="G692" s="10" t="s">
        <v>231</v>
      </c>
      <c r="H692" s="10" t="s">
        <v>233</v>
      </c>
      <c r="I692" s="10" t="s">
        <v>224</v>
      </c>
      <c r="J692" s="10">
        <v>114</v>
      </c>
      <c r="K692" s="12">
        <v>44937</v>
      </c>
      <c r="L692" s="33">
        <v>0.63670138888888894</v>
      </c>
      <c r="M692" s="10">
        <v>1</v>
      </c>
      <c r="N692" s="10" t="s">
        <v>196</v>
      </c>
      <c r="O692" s="10">
        <v>4.79</v>
      </c>
      <c r="P692" s="10">
        <v>0.28899999999999998</v>
      </c>
      <c r="Q692" s="10">
        <v>929</v>
      </c>
      <c r="R692" s="10" t="s">
        <v>170</v>
      </c>
      <c r="S692" s="34">
        <f t="shared" si="70"/>
        <v>929</v>
      </c>
      <c r="T692" s="10" t="s">
        <v>1011</v>
      </c>
      <c r="U692" s="34">
        <f t="shared" si="71"/>
        <v>0.42964554242749731</v>
      </c>
      <c r="V692" s="31" t="str">
        <f>IF(H692="CHK",VLOOKUP(I692,QCCHK,3,),IF(H692="GUP",VLOOKUP(E692,QCGUP,2,),IF(AND(H692="ATP",OR(I692="TN",I692="TDN",I692="TNO2-3",I692="NO2-3")),VLOOKUP(E692,QCREC_N,2,),IF(AND(H692="NIC",OR(I692="TN",I692="TDN",I692="TNO2-3",I692="NO2-3")),VLOOKUP(E692,QCNIC_N,2,),IF(AND(H692="UREA",OR(I692="TN",I692="TDN",I692="TNO2-3",I692="NO2-3")),VLOOKUP(E692,QCUREA_N,2,),IF(H692="PER",VLOOKUP(I692,QCPER,MATCH(E692,QCACTUAL!$J$25:$AA$25,0),),IF(H692="SPK",VLOOKUP(I692,QCSPK,3,),IF(AND(H692="ATP",OR(I692="TP",I692="TDP")),VLOOKUP(E692,QCATP_P,2,),""))))))))</f>
        <v/>
      </c>
      <c r="W692" s="31" t="str">
        <f t="shared" si="72"/>
        <v>TRUE</v>
      </c>
      <c r="X692" s="31" t="str">
        <f t="shared" si="73"/>
        <v>((ABS(rep1-rep2))/((rep1+rep2)/2)*100</v>
      </c>
      <c r="Y692" s="10" t="s">
        <v>1004</v>
      </c>
      <c r="Z692" s="10" t="s">
        <v>910</v>
      </c>
      <c r="AF692" s="12">
        <v>44937</v>
      </c>
      <c r="AJ692" s="10">
        <f>2.4015*4.79^2+187.16*4.79-68.555</f>
        <v>883.04165614999988</v>
      </c>
      <c r="AK692" s="10">
        <f>0.155*4.79^2+210.99*4.79-92.045</f>
        <v>922.15343550000011</v>
      </c>
      <c r="AL692" s="10" t="str">
        <f t="shared" si="75"/>
        <v>FALSE</v>
      </c>
      <c r="AM692" s="10" t="str">
        <f t="shared" si="75"/>
        <v>FALSE</v>
      </c>
      <c r="AN692" s="10" t="str">
        <f t="shared" si="75"/>
        <v>FALSE</v>
      </c>
      <c r="AO692" s="10" t="str">
        <f t="shared" si="76"/>
        <v>y=2.4015*4.79^2+187.16*4.79-68.555</v>
      </c>
      <c r="AP692" s="10" t="str">
        <f t="shared" si="76"/>
        <v>y=0.155*4.79^2+210.99*4.79-92.045</v>
      </c>
      <c r="AQ692" s="10" t="b">
        <f>IF(AND(I692="TP",S692&lt;=150),VLOOKUP(AF692,TPCalibEq150!$AZ$2:$BB$55,3,),IF(AND(I692="TDP",S692&lt;=150),VLOOKUP(AF692,TPCalibEq150!$AZ$2:$BB$55,3,)))</f>
        <v>0</v>
      </c>
      <c r="AR692" s="10" t="b">
        <f>IF(AND(I692="TP",S692&lt;=300),VLOOKUP(AF692,TPCalibEq300!$AZ$2:$BB$55,3,),IF(AND(I692="TDP",S692&lt;=300),VLOOKUP(AF692,TPCalibEq300!$AZ$2:$BB$55,3,)))</f>
        <v>0</v>
      </c>
      <c r="AS692" s="10" t="b">
        <f>IF(AND(I692="TP",S692&lt;=500),VLOOKUP(AF692,TPCalibEq500!$AZ$2:$BB$56,3,),IF(AND(I692="TDP",S692&lt;=500),VLOOKUP(AF692,TPCalibEq500!$AZ$2:$BB$56,3,)))</f>
        <v>0</v>
      </c>
      <c r="AT692" s="10" t="str">
        <f>IF(AND(I692="TN",S692&lt;=2800),VLOOKUP(AF692,TNCalibEq2500!$AZ$2:$BB$56,3,),IF(AND(I692="TDN",S692&lt;=2800),VLOOKUP(AF692,TNCalibEq2500!$AZ$2:$BB$56,3,)))</f>
        <v>y=2.4015x2+187.16x-68.555</v>
      </c>
      <c r="AU692" s="10" t="str">
        <f>IF(I692="TP",VLOOKUP(AF692,TPCalibEqFull!$AZ$2:$BB$56,3),IF(I692="TDP",VLOOKUP(AF692,TPCalibEqFull!$AZ$2:$BB$56,3),IF(I692="TDN",VLOOKUP(AF692,TNCalibEqFull!$AZ$1:$BB$56,3),IF(I692="TN",VLOOKUP(AF692,TNCalibEqFull!$AZ$1:$BB$56,3),FALSE))))</f>
        <v>y=0.155x2+210.99x-92.045</v>
      </c>
      <c r="AV692" s="10" t="str">
        <f t="shared" si="74"/>
        <v>0110 09:30:00-HST-0-FIL-1-SW-DUP</v>
      </c>
    </row>
    <row r="693" spans="1:48" s="10" customFormat="1" x14ac:dyDescent="0.55000000000000004">
      <c r="A693" s="32">
        <v>44936</v>
      </c>
      <c r="B693" s="33">
        <v>0.39583333333333331</v>
      </c>
      <c r="C693" s="10" t="s">
        <v>912</v>
      </c>
      <c r="D693" s="10">
        <v>0</v>
      </c>
      <c r="E693" s="10" t="s">
        <v>911</v>
      </c>
      <c r="F693" s="10">
        <v>1</v>
      </c>
      <c r="G693" s="10" t="s">
        <v>231</v>
      </c>
      <c r="H693" s="10" t="s">
        <v>314</v>
      </c>
      <c r="I693" s="10" t="s">
        <v>224</v>
      </c>
      <c r="J693" s="10">
        <v>121</v>
      </c>
      <c r="K693" s="12">
        <v>44937</v>
      </c>
      <c r="L693" s="33">
        <v>0.63737268518518519</v>
      </c>
      <c r="M693" s="10">
        <v>1</v>
      </c>
      <c r="N693" s="10" t="s">
        <v>196</v>
      </c>
      <c r="O693" s="10">
        <v>15.9</v>
      </c>
      <c r="P693" s="10">
        <v>0.94799999999999995</v>
      </c>
      <c r="Q693" s="10">
        <v>3300</v>
      </c>
      <c r="R693" s="10" t="s">
        <v>170</v>
      </c>
      <c r="S693" s="34">
        <f t="shared" si="70"/>
        <v>3301.8815500000005</v>
      </c>
      <c r="T693" s="10" t="s">
        <v>1011</v>
      </c>
      <c r="U693" s="34">
        <f t="shared" si="71"/>
        <v>94.915262000000027</v>
      </c>
      <c r="V693" s="31">
        <f>IF(H693="CHK",VLOOKUP(I693,QCCHK,3,),IF(H693="GUP",VLOOKUP(E693,QCGUP,2,),IF(AND(H693="ATP",OR(I693="TN",I693="TDN",I693="TNO2-3",I693="NO2-3")),VLOOKUP(E693,QCREC_N,2,),IF(AND(H693="NIC",OR(I693="TN",I693="TDN",I693="TNO2-3",I693="NO2-3")),VLOOKUP(E693,QCNIC_N,2,),IF(AND(H693="UREA",OR(I693="TN",I693="TDN",I693="TNO2-3",I693="NO2-3")),VLOOKUP(E693,QCUREA_N,2,),IF(H693="PER",VLOOKUP(I693,QCPER,MATCH(E693,QCACTUAL!$J$25:$AA$25,0),),IF(H693="SPK",VLOOKUP(I693,QCSPK,3,),IF(AND(H693="ATP",OR(I693="TP",I693="TDP")),VLOOKUP(E693,QCATP_P,2,),""))))))))</f>
        <v>2500</v>
      </c>
      <c r="W693" s="31" t="str">
        <f t="shared" si="72"/>
        <v>TRUE</v>
      </c>
      <c r="X693" s="31" t="str">
        <f t="shared" si="73"/>
        <v>([spikedunkn]-[unkn])/[spike]*100</v>
      </c>
      <c r="Y693" s="10" t="s">
        <v>1004</v>
      </c>
      <c r="Z693" s="10" t="s">
        <v>910</v>
      </c>
      <c r="AF693" s="12">
        <v>44937</v>
      </c>
      <c r="AK693" s="10">
        <f>0.155*15.9^2+210.99*15.9-92.045</f>
        <v>3301.8815500000005</v>
      </c>
      <c r="AL693" s="10" t="str">
        <f t="shared" si="75"/>
        <v>FALSE</v>
      </c>
      <c r="AM693" s="10" t="str">
        <f t="shared" si="75"/>
        <v>FALSE</v>
      </c>
      <c r="AN693" s="10" t="str">
        <f t="shared" si="75"/>
        <v>FALSE</v>
      </c>
      <c r="AO693" s="10" t="str">
        <f t="shared" si="76"/>
        <v>FALSE</v>
      </c>
      <c r="AP693" s="10" t="str">
        <f t="shared" si="76"/>
        <v>y=0.155*15.9^2+210.99*15.9-92.045</v>
      </c>
      <c r="AQ693" s="10" t="b">
        <f>IF(AND(I693="TP",S693&lt;=150),VLOOKUP(AF693,TPCalibEq150!$AZ$2:$BB$55,3,),IF(AND(I693="TDP",S693&lt;=150),VLOOKUP(AF693,TPCalibEq150!$AZ$2:$BB$55,3,)))</f>
        <v>0</v>
      </c>
      <c r="AR693" s="10" t="b">
        <f>IF(AND(I693="TP",S693&lt;=300),VLOOKUP(AF693,TPCalibEq300!$AZ$2:$BB$55,3,),IF(AND(I693="TDP",S693&lt;=300),VLOOKUP(AF693,TPCalibEq300!$AZ$2:$BB$55,3,)))</f>
        <v>0</v>
      </c>
      <c r="AS693" s="10" t="b">
        <f>IF(AND(I693="TP",S693&lt;=500),VLOOKUP(AF693,TPCalibEq500!$AZ$2:$BB$56,3,),IF(AND(I693="TDP",S693&lt;=500),VLOOKUP(AF693,TPCalibEq500!$AZ$2:$BB$56,3,)))</f>
        <v>0</v>
      </c>
      <c r="AT693" s="10" t="b">
        <f>IF(AND(I693="TN",S693&lt;=2800),VLOOKUP(AF693,TNCalibEq2500!$AZ$2:$BB$56,3,),IF(AND(I693="TDN",S693&lt;=2800),VLOOKUP(AF693,TNCalibEq2500!$AZ$2:$BB$56,3,)))</f>
        <v>0</v>
      </c>
      <c r="AU693" s="10" t="str">
        <f>IF(I693="TP",VLOOKUP(AF693,TPCalibEqFull!$AZ$2:$BB$56,3),IF(I693="TDP",VLOOKUP(AF693,TPCalibEqFull!$AZ$2:$BB$56,3),IF(I693="TDN",VLOOKUP(AF693,TNCalibEqFull!$AZ$1:$BB$56,3),IF(I693="TN",VLOOKUP(AF693,TNCalibEqFull!$AZ$1:$BB$56,3),FALSE))))</f>
        <v>y=0.155x2+210.99x-92.045</v>
      </c>
      <c r="AV693" s="10" t="str">
        <f t="shared" si="74"/>
        <v>0110 09:30:00-HST -0-FIL-1-SW-SPK</v>
      </c>
    </row>
    <row r="694" spans="1:48" s="10" customFormat="1" x14ac:dyDescent="0.55000000000000004">
      <c r="A694" s="32">
        <v>44937</v>
      </c>
      <c r="B694" s="33">
        <v>0.375</v>
      </c>
      <c r="C694" s="10" t="s">
        <v>70</v>
      </c>
      <c r="D694" s="10" t="s">
        <v>71</v>
      </c>
      <c r="E694" s="10" t="s">
        <v>901</v>
      </c>
      <c r="F694" s="10">
        <v>1</v>
      </c>
      <c r="G694" s="10" t="s">
        <v>73</v>
      </c>
      <c r="H694" s="10" t="s">
        <v>207</v>
      </c>
      <c r="I694" s="10" t="s">
        <v>235</v>
      </c>
      <c r="J694" s="10">
        <v>201</v>
      </c>
      <c r="K694" s="12">
        <v>44937</v>
      </c>
      <c r="L694" s="33">
        <v>0.63805555555555549</v>
      </c>
      <c r="M694" s="10">
        <v>1</v>
      </c>
      <c r="N694" s="10" t="s">
        <v>196</v>
      </c>
      <c r="O694" s="10">
        <v>6.17</v>
      </c>
      <c r="P694" s="10">
        <v>0.375</v>
      </c>
      <c r="Q694" s="10">
        <v>1220</v>
      </c>
      <c r="R694" s="10" t="s">
        <v>170</v>
      </c>
      <c r="S694" s="34">
        <f t="shared" si="70"/>
        <v>1220</v>
      </c>
      <c r="T694" s="10" t="s">
        <v>1011</v>
      </c>
      <c r="U694" s="34">
        <f t="shared" si="71"/>
        <v>97.6</v>
      </c>
      <c r="V694" s="31">
        <f>IF(H694="CHK",VLOOKUP(I694,QCCHK,3,),IF(H694="GUP",VLOOKUP(E694,QCGUP,2,),IF(AND(H694="ATP",OR(I694="TN",I694="TDN",I694="TNO2-3",I694="NO2-3")),VLOOKUP(E694,QCREC_N,2,),IF(AND(H694="NIC",OR(I694="TN",I694="TDN",I694="TNO2-3",I694="NO2-3")),VLOOKUP(E694,QCNIC_N,2,),IF(AND(H694="UREA",OR(I694="TN",I694="TDN",I694="TNO2-3",I694="NO2-3")),VLOOKUP(E694,QCUREA_N,2,),IF(H694="PER",VLOOKUP(I694,QCPER,MATCH(E694,QCACTUAL!$J$25:$AA$25,0),),IF(H694="SPK",VLOOKUP(I694,QCSPK,3,),IF(AND(H694="ATP",OR(I694="TP",I694="TDP")),VLOOKUP(E694,QCATP_P,2,),""))))))))</f>
        <v>1250</v>
      </c>
      <c r="W694" s="31" t="str">
        <f t="shared" si="72"/>
        <v>TRUE</v>
      </c>
      <c r="X694" s="31" t="str">
        <f t="shared" si="73"/>
        <v>[chk]/[actual]*100</v>
      </c>
      <c r="Y694" s="10" t="s">
        <v>1004</v>
      </c>
      <c r="AF694" s="12">
        <v>44937</v>
      </c>
      <c r="AJ694" s="10">
        <f>2.4015*6.17^2+187.16*6.17-68.555</f>
        <v>1177.64466335</v>
      </c>
      <c r="AK694" s="10">
        <f>0.155*6.17^2+210.99*6.17-92.045</f>
        <v>1215.6639795000001</v>
      </c>
      <c r="AL694" s="10" t="str">
        <f t="shared" si="75"/>
        <v>FALSE</v>
      </c>
      <c r="AM694" s="10" t="str">
        <f t="shared" si="75"/>
        <v>FALSE</v>
      </c>
      <c r="AN694" s="10" t="str">
        <f t="shared" si="75"/>
        <v>FALSE</v>
      </c>
      <c r="AO694" s="10" t="str">
        <f t="shared" si="76"/>
        <v>y=2.4015*6.17^2+187.16*6.17-68.555</v>
      </c>
      <c r="AP694" s="10" t="str">
        <f t="shared" si="76"/>
        <v>y=0.155*6.17^2+210.99*6.17-92.045</v>
      </c>
      <c r="AQ694" s="10" t="b">
        <f>IF(AND(I694="TP",S694&lt;=150),VLOOKUP(AF694,TPCalibEq150!$AZ$2:$BB$55,3,),IF(AND(I694="TDP",S694&lt;=150),VLOOKUP(AF694,TPCalibEq150!$AZ$2:$BB$55,3,)))</f>
        <v>0</v>
      </c>
      <c r="AR694" s="10" t="b">
        <f>IF(AND(I694="TP",S694&lt;=300),VLOOKUP(AF694,TPCalibEq300!$AZ$2:$BB$55,3,),IF(AND(I694="TDP",S694&lt;=300),VLOOKUP(AF694,TPCalibEq300!$AZ$2:$BB$55,3,)))</f>
        <v>0</v>
      </c>
      <c r="AS694" s="10" t="b">
        <f>IF(AND(I694="TP",S694&lt;=500),VLOOKUP(AF694,TPCalibEq500!$AZ$2:$BB$56,3,),IF(AND(I694="TDP",S694&lt;=500),VLOOKUP(AF694,TPCalibEq500!$AZ$2:$BB$56,3,)))</f>
        <v>0</v>
      </c>
      <c r="AT694" s="10" t="str">
        <f>IF(AND(I694="TN",S694&lt;=2800),VLOOKUP(AF694,TNCalibEq2500!$AZ$2:$BB$56,3,),IF(AND(I694="TDN",S694&lt;=2800),VLOOKUP(AF694,TNCalibEq2500!$AZ$2:$BB$56,3,)))</f>
        <v>y=2.4015x2+187.16x-68.555</v>
      </c>
      <c r="AU694" s="10" t="str">
        <f>IF(I694="TP",VLOOKUP(AF694,TPCalibEqFull!$AZ$2:$BB$56,3),IF(I694="TDP",VLOOKUP(AF694,TPCalibEqFull!$AZ$2:$BB$56,3),IF(I694="TDN",VLOOKUP(AF694,TNCalibEqFull!$AZ$1:$BB$56,3),IF(I694="TN",VLOOKUP(AF694,TNCalibEqFull!$AZ$1:$BB$56,3),FALSE))))</f>
        <v>y=0.155x2+210.99x-92.045</v>
      </c>
      <c r="AV694" s="10" t="str">
        <f t="shared" si="74"/>
        <v>0111 09:00:00-QAC-STD-D-1-DI-CHK</v>
      </c>
    </row>
    <row r="695" spans="1:48" s="10" customFormat="1" x14ac:dyDescent="0.55000000000000004">
      <c r="A695" s="32">
        <v>44935</v>
      </c>
      <c r="B695" s="33">
        <v>0.35972222222222222</v>
      </c>
      <c r="C695" s="10" t="s">
        <v>998</v>
      </c>
      <c r="D695" s="10">
        <v>0</v>
      </c>
      <c r="E695" s="10" t="s">
        <v>911</v>
      </c>
      <c r="F695" s="10">
        <v>1</v>
      </c>
      <c r="G695" s="10" t="s">
        <v>231</v>
      </c>
      <c r="H695" s="10" t="s">
        <v>322</v>
      </c>
      <c r="I695" s="10" t="s">
        <v>224</v>
      </c>
      <c r="J695" s="10">
        <v>25</v>
      </c>
      <c r="K695" s="12">
        <v>44937</v>
      </c>
      <c r="L695" s="33">
        <v>0.63871527777777781</v>
      </c>
      <c r="M695" s="10">
        <v>1</v>
      </c>
      <c r="N695" s="10" t="s">
        <v>196</v>
      </c>
      <c r="O695" s="10">
        <v>0.38300000000000001</v>
      </c>
      <c r="P695" s="10">
        <v>2.3900000000000001E-2</v>
      </c>
      <c r="Q695" s="10">
        <v>-16.600000000000001</v>
      </c>
      <c r="R695" s="10" t="s">
        <v>170</v>
      </c>
      <c r="S695" s="34">
        <f t="shared" si="70"/>
        <v>3.4795536335000037</v>
      </c>
      <c r="T695" s="10" t="s">
        <v>1011</v>
      </c>
      <c r="U695" s="34" t="str">
        <f t="shared" si="71"/>
        <v/>
      </c>
      <c r="V695" s="31" t="str">
        <f>IF(H695="CHK",VLOOKUP(I695,QCCHK,3,),IF(H695="GUP",VLOOKUP(E695,QCGUP,2,),IF(AND(H695="ATP",OR(I695="TN",I695="TDN",I695="TNO2-3",I695="NO2-3")),VLOOKUP(E695,QCREC_N,2,),IF(AND(H695="NIC",OR(I695="TN",I695="TDN",I695="TNO2-3",I695="NO2-3")),VLOOKUP(E695,QCNIC_N,2,),IF(AND(H695="UREA",OR(I695="TN",I695="TDN",I695="TNO2-3",I695="NO2-3")),VLOOKUP(E695,QCUREA_N,2,),IF(H695="PER",VLOOKUP(I695,QCPER,MATCH(E695,QCACTUAL!$J$25:$AA$25,0),),IF(H695="SPK",VLOOKUP(I695,QCSPK,3,),IF(AND(H695="ATP",OR(I695="TP",I695="TDP")),VLOOKUP(E695,QCATP_P,2,),""))))))))</f>
        <v/>
      </c>
      <c r="W695" s="31" t="str">
        <f t="shared" si="72"/>
        <v>TRUE</v>
      </c>
      <c r="X695" s="31" t="str">
        <f t="shared" si="73"/>
        <v/>
      </c>
      <c r="Y695" s="10" t="s">
        <v>1004</v>
      </c>
      <c r="Z695" s="10" t="s">
        <v>910</v>
      </c>
      <c r="AF695" s="12">
        <v>44937</v>
      </c>
      <c r="AJ695" s="10">
        <f>2.4015*0.383^2+187.16*0.383-68.555</f>
        <v>3.4795536335000037</v>
      </c>
      <c r="AK695" s="10">
        <f>0.155*0.383^2+210.99*0.383-92.045</f>
        <v>-11.213093204999993</v>
      </c>
      <c r="AL695" s="10" t="str">
        <f t="shared" si="75"/>
        <v>FALSE</v>
      </c>
      <c r="AM695" s="10" t="str">
        <f t="shared" si="75"/>
        <v>FALSE</v>
      </c>
      <c r="AN695" s="10" t="str">
        <f t="shared" si="75"/>
        <v>FALSE</v>
      </c>
      <c r="AO695" s="10" t="str">
        <f t="shared" si="76"/>
        <v>y=2.4015*0.383^2+187.16*0.383-68.555</v>
      </c>
      <c r="AP695" s="10" t="str">
        <f t="shared" si="76"/>
        <v>y=0.155*0.383^2+210.99*0.383-92.045</v>
      </c>
      <c r="AQ695" s="10" t="b">
        <f>IF(AND(I695="TP",S695&lt;=150),VLOOKUP(AF695,TPCalibEq150!$AZ$2:$BB$55,3,),IF(AND(I695="TDP",S695&lt;=150),VLOOKUP(AF695,TPCalibEq150!$AZ$2:$BB$55,3,)))</f>
        <v>0</v>
      </c>
      <c r="AR695" s="10" t="b">
        <f>IF(AND(I695="TP",S695&lt;=300),VLOOKUP(AF695,TPCalibEq300!$AZ$2:$BB$55,3,),IF(AND(I695="TDP",S695&lt;=300),VLOOKUP(AF695,TPCalibEq300!$AZ$2:$BB$55,3,)))</f>
        <v>0</v>
      </c>
      <c r="AS695" s="10" t="b">
        <f>IF(AND(I695="TP",S695&lt;=500),VLOOKUP(AF695,TPCalibEq500!$AZ$2:$BB$56,3,),IF(AND(I695="TDP",S695&lt;=500),VLOOKUP(AF695,TPCalibEq500!$AZ$2:$BB$56,3,)))</f>
        <v>0</v>
      </c>
      <c r="AT695" s="10" t="str">
        <f>IF(AND(I695="TN",S695&lt;=2800),VLOOKUP(AF695,TNCalibEq2500!$AZ$2:$BB$56,3,),IF(AND(I695="TDN",S695&lt;=2800),VLOOKUP(AF695,TNCalibEq2500!$AZ$2:$BB$56,3,)))</f>
        <v>y=2.4015x2+187.16x-68.555</v>
      </c>
      <c r="AU695" s="10" t="str">
        <f>IF(I695="TP",VLOOKUP(AF695,TPCalibEqFull!$AZ$2:$BB$56,3),IF(I695="TDP",VLOOKUP(AF695,TPCalibEqFull!$AZ$2:$BB$56,3),IF(I695="TDN",VLOOKUP(AF695,TNCalibEqFull!$AZ$1:$BB$56,3),IF(I695="TN",VLOOKUP(AF695,TNCalibEqFull!$AZ$1:$BB$56,3),FALSE))))</f>
        <v>y=0.155x2+210.99x-92.045</v>
      </c>
      <c r="AV695" s="10" t="str">
        <f t="shared" si="74"/>
        <v>0109 08:38:00-ELW-0-FIL-1-SW-UKN</v>
      </c>
    </row>
    <row r="696" spans="1:48" s="10" customFormat="1" x14ac:dyDescent="0.55000000000000004">
      <c r="A696" s="32">
        <v>44935</v>
      </c>
      <c r="B696" s="33">
        <v>0.44722222222222219</v>
      </c>
      <c r="C696" s="10" t="s">
        <v>310</v>
      </c>
      <c r="D696" s="10">
        <v>0</v>
      </c>
      <c r="E696" s="10" t="s">
        <v>911</v>
      </c>
      <c r="F696" s="10">
        <v>1</v>
      </c>
      <c r="G696" s="10" t="s">
        <v>231</v>
      </c>
      <c r="H696" s="10" t="s">
        <v>322</v>
      </c>
      <c r="I696" s="10" t="s">
        <v>224</v>
      </c>
      <c r="J696" s="10">
        <v>26</v>
      </c>
      <c r="K696" s="12">
        <v>44937</v>
      </c>
      <c r="L696" s="33">
        <v>0.63937500000000003</v>
      </c>
      <c r="M696" s="10">
        <v>1</v>
      </c>
      <c r="N696" s="10" t="s">
        <v>196</v>
      </c>
      <c r="O696" s="10">
        <v>0.52200000000000002</v>
      </c>
      <c r="P696" s="10">
        <v>3.15E-2</v>
      </c>
      <c r="Q696" s="10">
        <v>13.2</v>
      </c>
      <c r="R696" s="10" t="s">
        <v>170</v>
      </c>
      <c r="S696" s="34">
        <f t="shared" si="70"/>
        <v>29.796890325999996</v>
      </c>
      <c r="T696" s="10" t="s">
        <v>1011</v>
      </c>
      <c r="U696" s="34" t="str">
        <f t="shared" si="71"/>
        <v/>
      </c>
      <c r="V696" s="31" t="str">
        <f>IF(H696="CHK",VLOOKUP(I696,QCCHK,3,),IF(H696="GUP",VLOOKUP(E696,QCGUP,2,),IF(AND(H696="ATP",OR(I696="TN",I696="TDN",I696="TNO2-3",I696="NO2-3")),VLOOKUP(E696,QCREC_N,2,),IF(AND(H696="NIC",OR(I696="TN",I696="TDN",I696="TNO2-3",I696="NO2-3")),VLOOKUP(E696,QCNIC_N,2,),IF(AND(H696="UREA",OR(I696="TN",I696="TDN",I696="TNO2-3",I696="NO2-3")),VLOOKUP(E696,QCUREA_N,2,),IF(H696="PER",VLOOKUP(I696,QCPER,MATCH(E696,QCACTUAL!$J$25:$AA$25,0),),IF(H696="SPK",VLOOKUP(I696,QCSPK,3,),IF(AND(H696="ATP",OR(I696="TP",I696="TDP")),VLOOKUP(E696,QCATP_P,2,),""))))))))</f>
        <v/>
      </c>
      <c r="W696" s="31" t="str">
        <f t="shared" si="72"/>
        <v>TRUE</v>
      </c>
      <c r="X696" s="31" t="str">
        <f t="shared" si="73"/>
        <v/>
      </c>
      <c r="Y696" s="10" t="s">
        <v>1004</v>
      </c>
      <c r="Z696" s="10" t="s">
        <v>910</v>
      </c>
      <c r="AF696" s="12">
        <v>44937</v>
      </c>
      <c r="AJ696" s="10">
        <f>2.4015*0.522^2+187.16*0.522-68.555</f>
        <v>29.796890325999996</v>
      </c>
      <c r="AK696" s="10">
        <f>0.155*0.522^2+210.99*0.522-92.045</f>
        <v>18.134015020000021</v>
      </c>
      <c r="AL696" s="10" t="str">
        <f t="shared" si="75"/>
        <v>FALSE</v>
      </c>
      <c r="AM696" s="10" t="str">
        <f t="shared" si="75"/>
        <v>FALSE</v>
      </c>
      <c r="AN696" s="10" t="str">
        <f t="shared" si="75"/>
        <v>FALSE</v>
      </c>
      <c r="AO696" s="10" t="str">
        <f t="shared" si="76"/>
        <v>y=2.4015*0.522^2+187.16*0.522-68.555</v>
      </c>
      <c r="AP696" s="10" t="str">
        <f t="shared" si="76"/>
        <v>y=0.155*0.522^2+210.99*0.522-92.045</v>
      </c>
      <c r="AQ696" s="10" t="b">
        <f>IF(AND(I696="TP",S696&lt;=150),VLOOKUP(AF696,TPCalibEq150!$AZ$2:$BB$55,3,),IF(AND(I696="TDP",S696&lt;=150),VLOOKUP(AF696,TPCalibEq150!$AZ$2:$BB$55,3,)))</f>
        <v>0</v>
      </c>
      <c r="AR696" s="10" t="b">
        <f>IF(AND(I696="TP",S696&lt;=300),VLOOKUP(AF696,TPCalibEq300!$AZ$2:$BB$55,3,),IF(AND(I696="TDP",S696&lt;=300),VLOOKUP(AF696,TPCalibEq300!$AZ$2:$BB$55,3,)))</f>
        <v>0</v>
      </c>
      <c r="AS696" s="10" t="b">
        <f>IF(AND(I696="TP",S696&lt;=500),VLOOKUP(AF696,TPCalibEq500!$AZ$2:$BB$56,3,),IF(AND(I696="TDP",S696&lt;=500),VLOOKUP(AF696,TPCalibEq500!$AZ$2:$BB$56,3,)))</f>
        <v>0</v>
      </c>
      <c r="AT696" s="10" t="str">
        <f>IF(AND(I696="TN",S696&lt;=2800),VLOOKUP(AF696,TNCalibEq2500!$AZ$2:$BB$56,3,),IF(AND(I696="TDN",S696&lt;=2800),VLOOKUP(AF696,TNCalibEq2500!$AZ$2:$BB$56,3,)))</f>
        <v>y=2.4015x2+187.16x-68.555</v>
      </c>
      <c r="AU696" s="10" t="str">
        <f>IF(I696="TP",VLOOKUP(AF696,TPCalibEqFull!$AZ$2:$BB$56,3),IF(I696="TDP",VLOOKUP(AF696,TPCalibEqFull!$AZ$2:$BB$56,3),IF(I696="TDN",VLOOKUP(AF696,TNCalibEqFull!$AZ$1:$BB$56,3),IF(I696="TN",VLOOKUP(AF696,TNCalibEqFull!$AZ$1:$BB$56,3),FALSE))))</f>
        <v>y=0.155x2+210.99x-92.045</v>
      </c>
      <c r="AV696" s="10" t="str">
        <f t="shared" si="74"/>
        <v>0109 10:44:00-ELI-0-FIL-1-SW-UKN</v>
      </c>
    </row>
    <row r="697" spans="1:48" s="10" customFormat="1" x14ac:dyDescent="0.55000000000000004">
      <c r="A697" s="32">
        <v>44935</v>
      </c>
      <c r="B697" s="33">
        <v>0.4145833333333333</v>
      </c>
      <c r="C697" s="10" t="s">
        <v>999</v>
      </c>
      <c r="D697" s="10">
        <v>0</v>
      </c>
      <c r="E697" s="10" t="s">
        <v>911</v>
      </c>
      <c r="F697" s="10">
        <v>1</v>
      </c>
      <c r="G697" s="10" t="s">
        <v>231</v>
      </c>
      <c r="H697" s="10" t="s">
        <v>322</v>
      </c>
      <c r="I697" s="10" t="s">
        <v>224</v>
      </c>
      <c r="J697" s="10">
        <v>27</v>
      </c>
      <c r="K697" s="12">
        <v>44937</v>
      </c>
      <c r="L697" s="33">
        <v>0.64003472222222224</v>
      </c>
      <c r="M697" s="10">
        <v>1</v>
      </c>
      <c r="N697" s="10" t="s">
        <v>196</v>
      </c>
      <c r="O697" s="10">
        <v>0.34200000000000003</v>
      </c>
      <c r="P697" s="10">
        <v>2.01E-2</v>
      </c>
      <c r="Q697" s="10">
        <v>-25.2</v>
      </c>
      <c r="R697" s="10" t="s">
        <v>170</v>
      </c>
      <c r="S697" s="34">
        <f t="shared" si="70"/>
        <v>-4.2653909540000114</v>
      </c>
      <c r="T697" s="10" t="s">
        <v>1011</v>
      </c>
      <c r="U697" s="34" t="str">
        <f t="shared" si="71"/>
        <v/>
      </c>
      <c r="V697" s="31" t="str">
        <f>IF(H697="CHK",VLOOKUP(I697,QCCHK,3,),IF(H697="GUP",VLOOKUP(E697,QCGUP,2,),IF(AND(H697="ATP",OR(I697="TN",I697="TDN",I697="TNO2-3",I697="NO2-3")),VLOOKUP(E697,QCREC_N,2,),IF(AND(H697="NIC",OR(I697="TN",I697="TDN",I697="TNO2-3",I697="NO2-3")),VLOOKUP(E697,QCNIC_N,2,),IF(AND(H697="UREA",OR(I697="TN",I697="TDN",I697="TNO2-3",I697="NO2-3")),VLOOKUP(E697,QCUREA_N,2,),IF(H697="PER",VLOOKUP(I697,QCPER,MATCH(E697,QCACTUAL!$J$25:$AA$25,0),),IF(H697="SPK",VLOOKUP(I697,QCSPK,3,),IF(AND(H697="ATP",OR(I697="TP",I697="TDP")),VLOOKUP(E697,QCATP_P,2,),""))))))))</f>
        <v/>
      </c>
      <c r="W697" s="31" t="str">
        <f t="shared" si="72"/>
        <v>TRUE</v>
      </c>
      <c r="X697" s="31" t="str">
        <f t="shared" si="73"/>
        <v/>
      </c>
      <c r="Y697" s="10" t="s">
        <v>1004</v>
      </c>
      <c r="Z697" s="10" t="s">
        <v>910</v>
      </c>
      <c r="AF697" s="12">
        <v>44937</v>
      </c>
      <c r="AJ697" s="10">
        <f>2.4015*0.342^2+187.16*0.342-68.555</f>
        <v>-4.2653909540000114</v>
      </c>
      <c r="AK697" s="10">
        <f>0.155*0.342^2+210.99*0.342-92.045</f>
        <v>-19.868290579999993</v>
      </c>
      <c r="AL697" s="10" t="str">
        <f t="shared" si="75"/>
        <v>FALSE</v>
      </c>
      <c r="AM697" s="10" t="str">
        <f t="shared" si="75"/>
        <v>FALSE</v>
      </c>
      <c r="AN697" s="10" t="str">
        <f t="shared" si="75"/>
        <v>FALSE</v>
      </c>
      <c r="AO697" s="10" t="str">
        <f t="shared" si="76"/>
        <v>y=2.4015*0.342^2+187.16*0.342-68.555</v>
      </c>
      <c r="AP697" s="10" t="str">
        <f t="shared" si="76"/>
        <v>y=0.155*0.342^2+210.99*0.342-92.045</v>
      </c>
      <c r="AQ697" s="10" t="b">
        <f>IF(AND(I697="TP",S697&lt;=150),VLOOKUP(AF697,TPCalibEq150!$AZ$2:$BB$55,3,),IF(AND(I697="TDP",S697&lt;=150),VLOOKUP(AF697,TPCalibEq150!$AZ$2:$BB$55,3,)))</f>
        <v>0</v>
      </c>
      <c r="AR697" s="10" t="b">
        <f>IF(AND(I697="TP",S697&lt;=300),VLOOKUP(AF697,TPCalibEq300!$AZ$2:$BB$55,3,),IF(AND(I697="TDP",S697&lt;=300),VLOOKUP(AF697,TPCalibEq300!$AZ$2:$BB$55,3,)))</f>
        <v>0</v>
      </c>
      <c r="AS697" s="10" t="b">
        <f>IF(AND(I697="TP",S697&lt;=500),VLOOKUP(AF697,TPCalibEq500!$AZ$2:$BB$56,3,),IF(AND(I697="TDP",S697&lt;=500),VLOOKUP(AF697,TPCalibEq500!$AZ$2:$BB$56,3,)))</f>
        <v>0</v>
      </c>
      <c r="AT697" s="10" t="str">
        <f>IF(AND(I697="TN",S697&lt;=2800),VLOOKUP(AF697,TNCalibEq2500!$AZ$2:$BB$56,3,),IF(AND(I697="TDN",S697&lt;=2800),VLOOKUP(AF697,TNCalibEq2500!$AZ$2:$BB$56,3,)))</f>
        <v>y=2.4015x2+187.16x-68.555</v>
      </c>
      <c r="AU697" s="10" t="str">
        <f>IF(I697="TP",VLOOKUP(AF697,TPCalibEqFull!$AZ$2:$BB$56,3),IF(I697="TDP",VLOOKUP(AF697,TPCalibEqFull!$AZ$2:$BB$56,3),IF(I697="TDN",VLOOKUP(AF697,TNCalibEqFull!$AZ$1:$BB$56,3),IF(I697="TN",VLOOKUP(AF697,TNCalibEqFull!$AZ$1:$BB$56,3),FALSE))))</f>
        <v>y=0.155x2+210.99x-92.045</v>
      </c>
      <c r="AV697" s="10" t="str">
        <f t="shared" si="74"/>
        <v>0109 09:57:00-EAW-0-FIL-1-SW-UKN</v>
      </c>
    </row>
    <row r="698" spans="1:48" s="10" customFormat="1" x14ac:dyDescent="0.55000000000000004">
      <c r="A698" s="32">
        <v>44935</v>
      </c>
      <c r="B698" s="33">
        <v>0.4145833333333333</v>
      </c>
      <c r="C698" s="10" t="s">
        <v>999</v>
      </c>
      <c r="D698" s="10">
        <v>0</v>
      </c>
      <c r="E698" s="10" t="s">
        <v>911</v>
      </c>
      <c r="F698" s="10">
        <v>2</v>
      </c>
      <c r="G698" s="10" t="s">
        <v>231</v>
      </c>
      <c r="H698" s="10" t="s">
        <v>322</v>
      </c>
      <c r="I698" s="10" t="s">
        <v>224</v>
      </c>
      <c r="J698" s="10">
        <v>28</v>
      </c>
      <c r="K698" s="12">
        <v>44937</v>
      </c>
      <c r="L698" s="33">
        <v>0.64069444444444446</v>
      </c>
      <c r="M698" s="10">
        <v>1</v>
      </c>
      <c r="N698" s="10" t="s">
        <v>196</v>
      </c>
      <c r="O698" s="10">
        <v>0.373</v>
      </c>
      <c r="P698" s="10">
        <v>2.2100000000000002E-2</v>
      </c>
      <c r="Q698" s="10">
        <v>-18.8</v>
      </c>
      <c r="R698" s="10" t="s">
        <v>170</v>
      </c>
      <c r="S698" s="34">
        <f t="shared" si="70"/>
        <v>1.5897982934999959</v>
      </c>
      <c r="T698" s="10" t="s">
        <v>1011</v>
      </c>
      <c r="U698" s="34" t="str">
        <f t="shared" si="71"/>
        <v/>
      </c>
      <c r="V698" s="31" t="str">
        <f>IF(H698="CHK",VLOOKUP(I698,QCCHK,3,),IF(H698="GUP",VLOOKUP(E698,QCGUP,2,),IF(AND(H698="ATP",OR(I698="TN",I698="TDN",I698="TNO2-3",I698="NO2-3")),VLOOKUP(E698,QCREC_N,2,),IF(AND(H698="NIC",OR(I698="TN",I698="TDN",I698="TNO2-3",I698="NO2-3")),VLOOKUP(E698,QCNIC_N,2,),IF(AND(H698="UREA",OR(I698="TN",I698="TDN",I698="TNO2-3",I698="NO2-3")),VLOOKUP(E698,QCUREA_N,2,),IF(H698="PER",VLOOKUP(I698,QCPER,MATCH(E698,QCACTUAL!$J$25:$AA$25,0),),IF(H698="SPK",VLOOKUP(I698,QCSPK,3,),IF(AND(H698="ATP",OR(I698="TP",I698="TDP")),VLOOKUP(E698,QCATP_P,2,),""))))))))</f>
        <v/>
      </c>
      <c r="W698" s="31" t="str">
        <f t="shared" si="72"/>
        <v>TRUE</v>
      </c>
      <c r="X698" s="31" t="str">
        <f t="shared" si="73"/>
        <v/>
      </c>
      <c r="Y698" s="10" t="s">
        <v>1004</v>
      </c>
      <c r="Z698" s="10" t="s">
        <v>910</v>
      </c>
      <c r="AF698" s="12">
        <v>44937</v>
      </c>
      <c r="AJ698" s="10">
        <f>2.4015*0.373^2+187.16*0.373-68.555</f>
        <v>1.5897982934999959</v>
      </c>
      <c r="AK698" s="10">
        <f>0.155*0.373^2+210.99*0.373-92.045</f>
        <v>-13.324165004999998</v>
      </c>
      <c r="AL698" s="10" t="str">
        <f t="shared" si="75"/>
        <v>FALSE</v>
      </c>
      <c r="AM698" s="10" t="str">
        <f t="shared" si="75"/>
        <v>FALSE</v>
      </c>
      <c r="AN698" s="10" t="str">
        <f t="shared" si="75"/>
        <v>FALSE</v>
      </c>
      <c r="AO698" s="10" t="str">
        <f t="shared" si="76"/>
        <v>y=2.4015*0.373^2+187.16*0.373-68.555</v>
      </c>
      <c r="AP698" s="10" t="str">
        <f t="shared" si="76"/>
        <v>y=0.155*0.373^2+210.99*0.373-92.045</v>
      </c>
      <c r="AQ698" s="10" t="b">
        <f>IF(AND(I698="TP",S698&lt;=150),VLOOKUP(AF698,TPCalibEq150!$AZ$2:$BB$55,3,),IF(AND(I698="TDP",S698&lt;=150),VLOOKUP(AF698,TPCalibEq150!$AZ$2:$BB$55,3,)))</f>
        <v>0</v>
      </c>
      <c r="AR698" s="10" t="b">
        <f>IF(AND(I698="TP",S698&lt;=300),VLOOKUP(AF698,TPCalibEq300!$AZ$2:$BB$55,3,),IF(AND(I698="TDP",S698&lt;=300),VLOOKUP(AF698,TPCalibEq300!$AZ$2:$BB$55,3,)))</f>
        <v>0</v>
      </c>
      <c r="AS698" s="10" t="b">
        <f>IF(AND(I698="TP",S698&lt;=500),VLOOKUP(AF698,TPCalibEq500!$AZ$2:$BB$56,3,),IF(AND(I698="TDP",S698&lt;=500),VLOOKUP(AF698,TPCalibEq500!$AZ$2:$BB$56,3,)))</f>
        <v>0</v>
      </c>
      <c r="AT698" s="10" t="str">
        <f>IF(AND(I698="TN",S698&lt;=2800),VLOOKUP(AF698,TNCalibEq2500!$AZ$2:$BB$56,3,),IF(AND(I698="TDN",S698&lt;=2800),VLOOKUP(AF698,TNCalibEq2500!$AZ$2:$BB$56,3,)))</f>
        <v>y=2.4015x2+187.16x-68.555</v>
      </c>
      <c r="AU698" s="10" t="str">
        <f>IF(I698="TP",VLOOKUP(AF698,TPCalibEqFull!$AZ$2:$BB$56,3),IF(I698="TDP",VLOOKUP(AF698,TPCalibEqFull!$AZ$2:$BB$56,3),IF(I698="TDN",VLOOKUP(AF698,TNCalibEqFull!$AZ$1:$BB$56,3),IF(I698="TN",VLOOKUP(AF698,TNCalibEqFull!$AZ$1:$BB$56,3),FALSE))))</f>
        <v>y=0.155x2+210.99x-92.045</v>
      </c>
      <c r="AV698" s="10" t="str">
        <f t="shared" si="74"/>
        <v>0109 09:57:00-EAW-0-FIL-2-SW-UKN</v>
      </c>
    </row>
    <row r="699" spans="1:48" s="10" customFormat="1" x14ac:dyDescent="0.55000000000000004">
      <c r="A699" s="32">
        <v>44935</v>
      </c>
      <c r="B699" s="33">
        <v>0.4145833333333333</v>
      </c>
      <c r="C699" s="10" t="s">
        <v>999</v>
      </c>
      <c r="D699" s="10">
        <v>0</v>
      </c>
      <c r="E699" s="10" t="s">
        <v>911</v>
      </c>
      <c r="F699" s="10">
        <v>2</v>
      </c>
      <c r="G699" s="10" t="s">
        <v>231</v>
      </c>
      <c r="H699" s="10" t="s">
        <v>233</v>
      </c>
      <c r="I699" s="10" t="s">
        <v>224</v>
      </c>
      <c r="J699" s="10">
        <v>28</v>
      </c>
      <c r="K699" s="12">
        <v>44937</v>
      </c>
      <c r="L699" s="33">
        <v>0.64136574074074071</v>
      </c>
      <c r="M699" s="10">
        <v>1</v>
      </c>
      <c r="N699" s="10" t="s">
        <v>196</v>
      </c>
      <c r="O699" s="10">
        <v>0.36299999999999999</v>
      </c>
      <c r="P699" s="10">
        <v>2.1700000000000001E-2</v>
      </c>
      <c r="Q699" s="10">
        <v>-20.8</v>
      </c>
      <c r="R699" s="10" t="s">
        <v>170</v>
      </c>
      <c r="S699" s="34">
        <f t="shared" si="70"/>
        <v>-0.29947674650001943</v>
      </c>
      <c r="T699" s="10" t="s">
        <v>1011</v>
      </c>
      <c r="U699" s="34">
        <f t="shared" si="71"/>
        <v>292.83786578510103</v>
      </c>
      <c r="V699" s="31" t="str">
        <f>IF(H699="CHK",VLOOKUP(I699,QCCHK,3,),IF(H699="GUP",VLOOKUP(E699,QCGUP,2,),IF(AND(H699="ATP",OR(I699="TN",I699="TDN",I699="TNO2-3",I699="NO2-3")),VLOOKUP(E699,QCREC_N,2,),IF(AND(H699="NIC",OR(I699="TN",I699="TDN",I699="TNO2-3",I699="NO2-3")),VLOOKUP(E699,QCNIC_N,2,),IF(AND(H699="UREA",OR(I699="TN",I699="TDN",I699="TNO2-3",I699="NO2-3")),VLOOKUP(E699,QCUREA_N,2,),IF(H699="PER",VLOOKUP(I699,QCPER,MATCH(E699,QCACTUAL!$J$25:$AA$25,0),),IF(H699="SPK",VLOOKUP(I699,QCSPK,3,),IF(AND(H699="ATP",OR(I699="TP",I699="TDP")),VLOOKUP(E699,QCATP_P,2,),""))))))))</f>
        <v/>
      </c>
      <c r="W699" s="31" t="str">
        <f t="shared" si="72"/>
        <v>FALSE</v>
      </c>
      <c r="X699" s="31" t="str">
        <f t="shared" si="73"/>
        <v>((ABS(rep1-rep2))/((rep1+rep2)/2)*100</v>
      </c>
      <c r="Y699" s="10" t="s">
        <v>1004</v>
      </c>
      <c r="Z699" s="10" t="s">
        <v>910</v>
      </c>
      <c r="AF699" s="12">
        <v>44937</v>
      </c>
      <c r="AJ699" s="10">
        <f>2.4015*0.363^2+187.16*0.363-68.555</f>
        <v>-0.29947674650001943</v>
      </c>
      <c r="AK699" s="10">
        <f>0.155*0.363^2+210.99*0.363-92.045</f>
        <v>-15.435205804999995</v>
      </c>
      <c r="AL699" s="10" t="str">
        <f t="shared" si="75"/>
        <v>FALSE</v>
      </c>
      <c r="AM699" s="10" t="str">
        <f t="shared" si="75"/>
        <v>FALSE</v>
      </c>
      <c r="AN699" s="10" t="str">
        <f t="shared" si="75"/>
        <v>FALSE</v>
      </c>
      <c r="AO699" s="10" t="str">
        <f t="shared" si="76"/>
        <v>y=2.4015*0.363^2+187.16*0.363-68.555</v>
      </c>
      <c r="AP699" s="10" t="str">
        <f t="shared" si="76"/>
        <v>y=0.155*0.363^2+210.99*0.363-92.045</v>
      </c>
      <c r="AQ699" s="10" t="b">
        <f>IF(AND(I699="TP",S699&lt;=150),VLOOKUP(AF699,TPCalibEq150!$AZ$2:$BB$55,3,),IF(AND(I699="TDP",S699&lt;=150),VLOOKUP(AF699,TPCalibEq150!$AZ$2:$BB$55,3,)))</f>
        <v>0</v>
      </c>
      <c r="AR699" s="10" t="b">
        <f>IF(AND(I699="TP",S699&lt;=300),VLOOKUP(AF699,TPCalibEq300!$AZ$2:$BB$55,3,),IF(AND(I699="TDP",S699&lt;=300),VLOOKUP(AF699,TPCalibEq300!$AZ$2:$BB$55,3,)))</f>
        <v>0</v>
      </c>
      <c r="AS699" s="10" t="b">
        <f>IF(AND(I699="TP",S699&lt;=500),VLOOKUP(AF699,TPCalibEq500!$AZ$2:$BB$56,3,),IF(AND(I699="TDP",S699&lt;=500),VLOOKUP(AF699,TPCalibEq500!$AZ$2:$BB$56,3,)))</f>
        <v>0</v>
      </c>
      <c r="AT699" s="10" t="str">
        <f>IF(AND(I699="TN",S699&lt;=2800),VLOOKUP(AF699,TNCalibEq2500!$AZ$2:$BB$56,3,),IF(AND(I699="TDN",S699&lt;=2800),VLOOKUP(AF699,TNCalibEq2500!$AZ$2:$BB$56,3,)))</f>
        <v>y=2.4015x2+187.16x-68.555</v>
      </c>
      <c r="AU699" s="10" t="str">
        <f>IF(I699="TP",VLOOKUP(AF699,TPCalibEqFull!$AZ$2:$BB$56,3),IF(I699="TDP",VLOOKUP(AF699,TPCalibEqFull!$AZ$2:$BB$56,3),IF(I699="TDN",VLOOKUP(AF699,TNCalibEqFull!$AZ$1:$BB$56,3),IF(I699="TN",VLOOKUP(AF699,TNCalibEqFull!$AZ$1:$BB$56,3),FALSE))))</f>
        <v>y=0.155x2+210.99x-92.045</v>
      </c>
      <c r="AV699" s="10" t="str">
        <f t="shared" si="74"/>
        <v>0109 09:57:00-EAW-0-FIL-2-SW-DUP</v>
      </c>
    </row>
    <row r="700" spans="1:48" s="10" customFormat="1" x14ac:dyDescent="0.55000000000000004">
      <c r="A700" s="32">
        <v>44935</v>
      </c>
      <c r="B700" s="33">
        <v>0.4145833333333333</v>
      </c>
      <c r="C700" s="10" t="s">
        <v>999</v>
      </c>
      <c r="D700" s="10">
        <v>0</v>
      </c>
      <c r="E700" s="10" t="s">
        <v>911</v>
      </c>
      <c r="F700" s="10">
        <v>2</v>
      </c>
      <c r="G700" s="10" t="s">
        <v>231</v>
      </c>
      <c r="H700" s="10" t="s">
        <v>314</v>
      </c>
      <c r="I700" s="10" t="s">
        <v>224</v>
      </c>
      <c r="J700" s="10">
        <v>32</v>
      </c>
      <c r="K700" s="12">
        <v>44937</v>
      </c>
      <c r="L700" s="33">
        <v>0.64203703703703707</v>
      </c>
      <c r="M700" s="10">
        <v>1</v>
      </c>
      <c r="N700" s="10" t="s">
        <v>196</v>
      </c>
      <c r="O700" s="10">
        <v>16.399999999999999</v>
      </c>
      <c r="P700" s="10">
        <v>0.97299999999999998</v>
      </c>
      <c r="Q700" s="10">
        <v>3410</v>
      </c>
      <c r="R700" s="10" t="s">
        <v>170</v>
      </c>
      <c r="S700" s="34">
        <f t="shared" si="70"/>
        <v>3410</v>
      </c>
      <c r="T700" s="10" t="s">
        <v>1011</v>
      </c>
      <c r="U700" s="34">
        <f t="shared" si="71"/>
        <v>136.41197906986</v>
      </c>
      <c r="V700" s="31">
        <f>IF(H700="CHK",VLOOKUP(I700,QCCHK,3,),IF(H700="GUP",VLOOKUP(E700,QCGUP,2,),IF(AND(H700="ATP",OR(I700="TN",I700="TDN",I700="TNO2-3",I700="NO2-3")),VLOOKUP(E700,QCREC_N,2,),IF(AND(H700="NIC",OR(I700="TN",I700="TDN",I700="TNO2-3",I700="NO2-3")),VLOOKUP(E700,QCNIC_N,2,),IF(AND(H700="UREA",OR(I700="TN",I700="TDN",I700="TNO2-3",I700="NO2-3")),VLOOKUP(E700,QCUREA_N,2,),IF(H700="PER",VLOOKUP(I700,QCPER,MATCH(E700,QCACTUAL!$J$25:$AA$25,0),),IF(H700="SPK",VLOOKUP(I700,QCSPK,3,),IF(AND(H700="ATP",OR(I700="TP",I700="TDP")),VLOOKUP(E700,QCATP_P,2,),""))))))))</f>
        <v>2500</v>
      </c>
      <c r="W700" s="31" t="str">
        <f t="shared" si="72"/>
        <v>FALSE</v>
      </c>
      <c r="X700" s="31" t="str">
        <f t="shared" si="73"/>
        <v>([spikedunkn]-[unkn])/[spike]*100</v>
      </c>
      <c r="Y700" s="10" t="s">
        <v>1004</v>
      </c>
      <c r="Z700" s="10" t="s">
        <v>910</v>
      </c>
      <c r="AF700" s="12">
        <v>44937</v>
      </c>
      <c r="AK700" s="10">
        <f>0.155*16.4^2+210.99*16.4-92.045</f>
        <v>3409.8797999999997</v>
      </c>
      <c r="AL700" s="10" t="str">
        <f t="shared" si="75"/>
        <v>FALSE</v>
      </c>
      <c r="AM700" s="10" t="str">
        <f t="shared" si="75"/>
        <v>FALSE</v>
      </c>
      <c r="AN700" s="10" t="str">
        <f t="shared" si="75"/>
        <v>FALSE</v>
      </c>
      <c r="AO700" s="10" t="str">
        <f t="shared" si="76"/>
        <v>FALSE</v>
      </c>
      <c r="AP700" s="10" t="str">
        <f t="shared" si="76"/>
        <v>y=0.155*16.4^2+210.99*16.4-92.045</v>
      </c>
      <c r="AQ700" s="10" t="b">
        <f>IF(AND(I700="TP",S700&lt;=150),VLOOKUP(AF700,TPCalibEq150!$AZ$2:$BB$55,3,),IF(AND(I700="TDP",S700&lt;=150),VLOOKUP(AF700,TPCalibEq150!$AZ$2:$BB$55,3,)))</f>
        <v>0</v>
      </c>
      <c r="AR700" s="10" t="b">
        <f>IF(AND(I700="TP",S700&lt;=300),VLOOKUP(AF700,TPCalibEq300!$AZ$2:$BB$55,3,),IF(AND(I700="TDP",S700&lt;=300),VLOOKUP(AF700,TPCalibEq300!$AZ$2:$BB$55,3,)))</f>
        <v>0</v>
      </c>
      <c r="AS700" s="10" t="b">
        <f>IF(AND(I700="TP",S700&lt;=500),VLOOKUP(AF700,TPCalibEq500!$AZ$2:$BB$56,3,),IF(AND(I700="TDP",S700&lt;=500),VLOOKUP(AF700,TPCalibEq500!$AZ$2:$BB$56,3,)))</f>
        <v>0</v>
      </c>
      <c r="AT700" s="10" t="b">
        <f>IF(AND(I700="TN",S700&lt;=2800),VLOOKUP(AF700,TNCalibEq2500!$AZ$2:$BB$56,3,),IF(AND(I700="TDN",S700&lt;=2800),VLOOKUP(AF700,TNCalibEq2500!$AZ$2:$BB$56,3,)))</f>
        <v>0</v>
      </c>
      <c r="AU700" s="10" t="str">
        <f>IF(I700="TP",VLOOKUP(AF700,TPCalibEqFull!$AZ$2:$BB$56,3),IF(I700="TDP",VLOOKUP(AF700,TPCalibEqFull!$AZ$2:$BB$56,3),IF(I700="TDN",VLOOKUP(AF700,TNCalibEqFull!$AZ$1:$BB$56,3),IF(I700="TN",VLOOKUP(AF700,TNCalibEqFull!$AZ$1:$BB$56,3),FALSE))))</f>
        <v>y=0.155x2+210.99x-92.045</v>
      </c>
      <c r="AV700" s="10" t="str">
        <f t="shared" si="74"/>
        <v>0109 09:57:00-EAW-0-FIL-2-SW-SPK</v>
      </c>
    </row>
    <row r="701" spans="1:48" s="10" customFormat="1" x14ac:dyDescent="0.55000000000000004">
      <c r="A701" s="32">
        <v>44937</v>
      </c>
      <c r="B701" s="33">
        <v>0.375</v>
      </c>
      <c r="C701" s="10" t="s">
        <v>70</v>
      </c>
      <c r="D701" s="10" t="s">
        <v>71</v>
      </c>
      <c r="E701" s="10" t="s">
        <v>901</v>
      </c>
      <c r="F701" s="10">
        <v>1</v>
      </c>
      <c r="G701" s="10" t="s">
        <v>73</v>
      </c>
      <c r="H701" s="10" t="s">
        <v>207</v>
      </c>
      <c r="I701" s="10" t="s">
        <v>235</v>
      </c>
      <c r="J701" s="10">
        <v>202</v>
      </c>
      <c r="K701" s="12">
        <v>44937</v>
      </c>
      <c r="L701" s="33">
        <v>0.64270833333333333</v>
      </c>
      <c r="M701" s="10">
        <v>1</v>
      </c>
      <c r="N701" s="10" t="s">
        <v>196</v>
      </c>
      <c r="O701" s="10">
        <v>6.16</v>
      </c>
      <c r="P701" s="10">
        <v>0.374</v>
      </c>
      <c r="Q701" s="10">
        <v>1220</v>
      </c>
      <c r="R701" s="10" t="s">
        <v>170</v>
      </c>
      <c r="S701" s="34">
        <f t="shared" si="70"/>
        <v>1220</v>
      </c>
      <c r="T701" s="10" t="s">
        <v>1011</v>
      </c>
      <c r="U701" s="34">
        <f t="shared" si="71"/>
        <v>97.6</v>
      </c>
      <c r="V701" s="31">
        <f>IF(H701="CHK",VLOOKUP(I701,QCCHK,3,),IF(H701="GUP",VLOOKUP(E701,QCGUP,2,),IF(AND(H701="ATP",OR(I701="TN",I701="TDN",I701="TNO2-3",I701="NO2-3")),VLOOKUP(E701,QCREC_N,2,),IF(AND(H701="NIC",OR(I701="TN",I701="TDN",I701="TNO2-3",I701="NO2-3")),VLOOKUP(E701,QCNIC_N,2,),IF(AND(H701="UREA",OR(I701="TN",I701="TDN",I701="TNO2-3",I701="NO2-3")),VLOOKUP(E701,QCUREA_N,2,),IF(H701="PER",VLOOKUP(I701,QCPER,MATCH(E701,QCACTUAL!$J$25:$AA$25,0),),IF(H701="SPK",VLOOKUP(I701,QCSPK,3,),IF(AND(H701="ATP",OR(I701="TP",I701="TDP")),VLOOKUP(E701,QCATP_P,2,),""))))))))</f>
        <v>1250</v>
      </c>
      <c r="W701" s="31" t="str">
        <f t="shared" si="72"/>
        <v>TRUE</v>
      </c>
      <c r="X701" s="31" t="str">
        <f t="shared" si="73"/>
        <v>[chk]/[actual]*100</v>
      </c>
      <c r="Y701" s="10" t="s">
        <v>1004</v>
      </c>
      <c r="AF701" s="12">
        <v>44937</v>
      </c>
      <c r="AJ701" s="10">
        <f>2.4015*6.16^2+187.16*6.16-68.555</f>
        <v>1175.4769584000001</v>
      </c>
      <c r="AK701" s="10">
        <f>0.155*6.16^2+210.99*6.16-92.045</f>
        <v>1213.5349679999999</v>
      </c>
      <c r="AL701" s="10" t="str">
        <f t="shared" si="75"/>
        <v>FALSE</v>
      </c>
      <c r="AM701" s="10" t="str">
        <f t="shared" si="75"/>
        <v>FALSE</v>
      </c>
      <c r="AN701" s="10" t="str">
        <f t="shared" si="75"/>
        <v>FALSE</v>
      </c>
      <c r="AO701" s="10" t="str">
        <f t="shared" si="76"/>
        <v>y=2.4015*6.16^2+187.16*6.16-68.555</v>
      </c>
      <c r="AP701" s="10" t="str">
        <f t="shared" si="76"/>
        <v>y=0.155*6.16^2+210.99*6.16-92.045</v>
      </c>
      <c r="AQ701" s="10" t="b">
        <f>IF(AND(I701="TP",S701&lt;=150),VLOOKUP(AF701,TPCalibEq150!$AZ$2:$BB$55,3,),IF(AND(I701="TDP",S701&lt;=150),VLOOKUP(AF701,TPCalibEq150!$AZ$2:$BB$55,3,)))</f>
        <v>0</v>
      </c>
      <c r="AR701" s="10" t="b">
        <f>IF(AND(I701="TP",S701&lt;=300),VLOOKUP(AF701,TPCalibEq300!$AZ$2:$BB$55,3,),IF(AND(I701="TDP",S701&lt;=300),VLOOKUP(AF701,TPCalibEq300!$AZ$2:$BB$55,3,)))</f>
        <v>0</v>
      </c>
      <c r="AS701" s="10" t="b">
        <f>IF(AND(I701="TP",S701&lt;=500),VLOOKUP(AF701,TPCalibEq500!$AZ$2:$BB$56,3,),IF(AND(I701="TDP",S701&lt;=500),VLOOKUP(AF701,TPCalibEq500!$AZ$2:$BB$56,3,)))</f>
        <v>0</v>
      </c>
      <c r="AT701" s="10" t="str">
        <f>IF(AND(I701="TN",S701&lt;=2800),VLOOKUP(AF701,TNCalibEq2500!$AZ$2:$BB$56,3,),IF(AND(I701="TDN",S701&lt;=2800),VLOOKUP(AF701,TNCalibEq2500!$AZ$2:$BB$56,3,)))</f>
        <v>y=2.4015x2+187.16x-68.555</v>
      </c>
      <c r="AU701" s="10" t="str">
        <f>IF(I701="TP",VLOOKUP(AF701,TPCalibEqFull!$AZ$2:$BB$56,3),IF(I701="TDP",VLOOKUP(AF701,TPCalibEqFull!$AZ$2:$BB$56,3),IF(I701="TDN",VLOOKUP(AF701,TNCalibEqFull!$AZ$1:$BB$56,3),IF(I701="TN",VLOOKUP(AF701,TNCalibEqFull!$AZ$1:$BB$56,3),FALSE))))</f>
        <v>y=0.155x2+210.99x-92.045</v>
      </c>
      <c r="AV701" s="10" t="str">
        <f t="shared" si="74"/>
        <v>0111 09:00:00-QAC-STD-D-1-DI-CHK</v>
      </c>
    </row>
    <row r="702" spans="1:48" s="10" customFormat="1" x14ac:dyDescent="0.55000000000000004">
      <c r="A702" s="32">
        <v>44935</v>
      </c>
      <c r="B702" s="33">
        <v>0.35972222222222222</v>
      </c>
      <c r="C702" s="10" t="s">
        <v>998</v>
      </c>
      <c r="D702" s="10">
        <v>0</v>
      </c>
      <c r="E702" s="10" t="s">
        <v>911</v>
      </c>
      <c r="F702" s="10">
        <v>1</v>
      </c>
      <c r="G702" s="10" t="s">
        <v>231</v>
      </c>
      <c r="H702" s="10" t="s">
        <v>322</v>
      </c>
      <c r="I702" s="10" t="s">
        <v>224</v>
      </c>
      <c r="J702" s="10">
        <v>115</v>
      </c>
      <c r="K702" s="12">
        <v>44937</v>
      </c>
      <c r="L702" s="33">
        <v>0.64337962962962958</v>
      </c>
      <c r="M702" s="10">
        <v>1</v>
      </c>
      <c r="N702" s="10" t="s">
        <v>196</v>
      </c>
      <c r="O702" s="10">
        <v>5.63</v>
      </c>
      <c r="P702" s="10">
        <v>0.34100000000000003</v>
      </c>
      <c r="Q702" s="10">
        <v>1110</v>
      </c>
      <c r="R702" s="10" t="s">
        <v>170</v>
      </c>
      <c r="S702" s="34">
        <f t="shared" si="70"/>
        <v>1110</v>
      </c>
      <c r="T702" s="10" t="s">
        <v>1011</v>
      </c>
      <c r="U702" s="34" t="str">
        <f t="shared" si="71"/>
        <v/>
      </c>
      <c r="V702" s="31" t="str">
        <f>IF(H702="CHK",VLOOKUP(I702,QCCHK,3,),IF(H702="GUP",VLOOKUP(E702,QCGUP,2,),IF(AND(H702="ATP",OR(I702="TN",I702="TDN",I702="TNO2-3",I702="NO2-3")),VLOOKUP(E702,QCREC_N,2,),IF(AND(H702="NIC",OR(I702="TN",I702="TDN",I702="TNO2-3",I702="NO2-3")),VLOOKUP(E702,QCNIC_N,2,),IF(AND(H702="UREA",OR(I702="TN",I702="TDN",I702="TNO2-3",I702="NO2-3")),VLOOKUP(E702,QCUREA_N,2,),IF(H702="PER",VLOOKUP(I702,QCPER,MATCH(E702,QCACTUAL!$J$25:$AA$25,0),),IF(H702="SPK",VLOOKUP(I702,QCSPK,3,),IF(AND(H702="ATP",OR(I702="TP",I702="TDP")),VLOOKUP(E702,QCATP_P,2,),""))))))))</f>
        <v/>
      </c>
      <c r="W702" s="31" t="str">
        <f t="shared" si="72"/>
        <v>TRUE</v>
      </c>
      <c r="X702" s="31" t="str">
        <f t="shared" si="73"/>
        <v/>
      </c>
      <c r="Y702" s="10" t="s">
        <v>1004</v>
      </c>
      <c r="Z702" s="10" t="s">
        <v>910</v>
      </c>
      <c r="AF702" s="12">
        <v>44937</v>
      </c>
      <c r="AJ702" s="10">
        <f>2.4015*5.63^2+187.16*5.63-68.555</f>
        <v>1061.2759053499999</v>
      </c>
      <c r="AK702" s="10">
        <f>0.155*5.63^2+210.99*5.63-92.045</f>
        <v>1100.7417195</v>
      </c>
      <c r="AL702" s="10" t="str">
        <f t="shared" si="75"/>
        <v>FALSE</v>
      </c>
      <c r="AM702" s="10" t="str">
        <f t="shared" si="75"/>
        <v>FALSE</v>
      </c>
      <c r="AN702" s="10" t="str">
        <f t="shared" si="75"/>
        <v>FALSE</v>
      </c>
      <c r="AO702" s="10" t="str">
        <f t="shared" si="76"/>
        <v>y=2.4015*5.63^2+187.16*5.63-68.555</v>
      </c>
      <c r="AP702" s="10" t="str">
        <f t="shared" si="76"/>
        <v>y=0.155*5.63^2+210.99*5.63-92.045</v>
      </c>
      <c r="AQ702" s="10" t="b">
        <f>IF(AND(I702="TP",S702&lt;=150),VLOOKUP(AF702,TPCalibEq150!$AZ$2:$BB$55,3,),IF(AND(I702="TDP",S702&lt;=150),VLOOKUP(AF702,TPCalibEq150!$AZ$2:$BB$55,3,)))</f>
        <v>0</v>
      </c>
      <c r="AR702" s="10" t="b">
        <f>IF(AND(I702="TP",S702&lt;=300),VLOOKUP(AF702,TPCalibEq300!$AZ$2:$BB$55,3,),IF(AND(I702="TDP",S702&lt;=300),VLOOKUP(AF702,TPCalibEq300!$AZ$2:$BB$55,3,)))</f>
        <v>0</v>
      </c>
      <c r="AS702" s="10" t="b">
        <f>IF(AND(I702="TP",S702&lt;=500),VLOOKUP(AF702,TPCalibEq500!$AZ$2:$BB$56,3,),IF(AND(I702="TDP",S702&lt;=500),VLOOKUP(AF702,TPCalibEq500!$AZ$2:$BB$56,3,)))</f>
        <v>0</v>
      </c>
      <c r="AT702" s="10" t="str">
        <f>IF(AND(I702="TN",S702&lt;=2800),VLOOKUP(AF702,TNCalibEq2500!$AZ$2:$BB$56,3,),IF(AND(I702="TDN",S702&lt;=2800),VLOOKUP(AF702,TNCalibEq2500!$AZ$2:$BB$56,3,)))</f>
        <v>y=2.4015x2+187.16x-68.555</v>
      </c>
      <c r="AU702" s="10" t="str">
        <f>IF(I702="TP",VLOOKUP(AF702,TPCalibEqFull!$AZ$2:$BB$56,3),IF(I702="TDP",VLOOKUP(AF702,TPCalibEqFull!$AZ$2:$BB$56,3),IF(I702="TDN",VLOOKUP(AF702,TNCalibEqFull!$AZ$1:$BB$56,3),IF(I702="TN",VLOOKUP(AF702,TNCalibEqFull!$AZ$1:$BB$56,3),FALSE))))</f>
        <v>y=0.155x2+210.99x-92.045</v>
      </c>
      <c r="AV702" s="10" t="str">
        <f t="shared" si="74"/>
        <v>0109 08:38:00-ELW-0-FIL-1-SW-UKN</v>
      </c>
    </row>
    <row r="703" spans="1:48" s="10" customFormat="1" x14ac:dyDescent="0.55000000000000004">
      <c r="A703" s="32">
        <v>44935</v>
      </c>
      <c r="B703" s="33">
        <v>0.44722222222222219</v>
      </c>
      <c r="C703" s="10" t="s">
        <v>310</v>
      </c>
      <c r="D703" s="10">
        <v>0</v>
      </c>
      <c r="E703" s="10" t="s">
        <v>911</v>
      </c>
      <c r="F703" s="10">
        <v>1</v>
      </c>
      <c r="G703" s="10" t="s">
        <v>231</v>
      </c>
      <c r="H703" s="10" t="s">
        <v>322</v>
      </c>
      <c r="I703" s="10" t="s">
        <v>224</v>
      </c>
      <c r="J703" s="10">
        <v>116</v>
      </c>
      <c r="K703" s="12">
        <v>44937</v>
      </c>
      <c r="L703" s="33">
        <v>0.64402777777777775</v>
      </c>
      <c r="M703" s="10">
        <v>1</v>
      </c>
      <c r="N703" s="10" t="s">
        <v>196</v>
      </c>
      <c r="O703" s="10">
        <v>7.57</v>
      </c>
      <c r="P703" s="10">
        <v>0.45700000000000002</v>
      </c>
      <c r="Q703" s="10">
        <v>1520</v>
      </c>
      <c r="R703" s="10" t="s">
        <v>170</v>
      </c>
      <c r="S703" s="34">
        <f t="shared" si="70"/>
        <v>1520</v>
      </c>
      <c r="T703" s="10" t="s">
        <v>1011</v>
      </c>
      <c r="U703" s="34" t="str">
        <f t="shared" si="71"/>
        <v/>
      </c>
      <c r="V703" s="31" t="str">
        <f>IF(H703="CHK",VLOOKUP(I703,QCCHK,3,),IF(H703="GUP",VLOOKUP(E703,QCGUP,2,),IF(AND(H703="ATP",OR(I703="TN",I703="TDN",I703="TNO2-3",I703="NO2-3")),VLOOKUP(E703,QCREC_N,2,),IF(AND(H703="NIC",OR(I703="TN",I703="TDN",I703="TNO2-3",I703="NO2-3")),VLOOKUP(E703,QCNIC_N,2,),IF(AND(H703="UREA",OR(I703="TN",I703="TDN",I703="TNO2-3",I703="NO2-3")),VLOOKUP(E703,QCUREA_N,2,),IF(H703="PER",VLOOKUP(I703,QCPER,MATCH(E703,QCACTUAL!$J$25:$AA$25,0),),IF(H703="SPK",VLOOKUP(I703,QCSPK,3,),IF(AND(H703="ATP",OR(I703="TP",I703="TDP")),VLOOKUP(E703,QCATP_P,2,),""))))))))</f>
        <v/>
      </c>
      <c r="W703" s="31" t="str">
        <f t="shared" si="72"/>
        <v>TRUE</v>
      </c>
      <c r="X703" s="31" t="str">
        <f t="shared" si="73"/>
        <v/>
      </c>
      <c r="Y703" s="10" t="s">
        <v>1004</v>
      </c>
      <c r="Z703" s="10" t="s">
        <v>910</v>
      </c>
      <c r="AF703" s="12">
        <v>44937</v>
      </c>
      <c r="AJ703" s="10">
        <f>2.4015*7.57^2+187.16*7.57-68.555</f>
        <v>1485.8639173500001</v>
      </c>
      <c r="AK703" s="10">
        <f>0.155*7.57^2+210.99*7.57-92.045</f>
        <v>1514.0315595</v>
      </c>
      <c r="AL703" s="10" t="str">
        <f t="shared" si="75"/>
        <v>FALSE</v>
      </c>
      <c r="AM703" s="10" t="str">
        <f t="shared" si="75"/>
        <v>FALSE</v>
      </c>
      <c r="AN703" s="10" t="str">
        <f t="shared" si="75"/>
        <v>FALSE</v>
      </c>
      <c r="AO703" s="10" t="str">
        <f t="shared" si="76"/>
        <v>y=2.4015*7.57^2+187.16*7.57-68.555</v>
      </c>
      <c r="AP703" s="10" t="str">
        <f t="shared" si="76"/>
        <v>y=0.155*7.57^2+210.99*7.57-92.045</v>
      </c>
      <c r="AQ703" s="10" t="b">
        <f>IF(AND(I703="TP",S703&lt;=150),VLOOKUP(AF703,TPCalibEq150!$AZ$2:$BB$55,3,),IF(AND(I703="TDP",S703&lt;=150),VLOOKUP(AF703,TPCalibEq150!$AZ$2:$BB$55,3,)))</f>
        <v>0</v>
      </c>
      <c r="AR703" s="10" t="b">
        <f>IF(AND(I703="TP",S703&lt;=300),VLOOKUP(AF703,TPCalibEq300!$AZ$2:$BB$55,3,),IF(AND(I703="TDP",S703&lt;=300),VLOOKUP(AF703,TPCalibEq300!$AZ$2:$BB$55,3,)))</f>
        <v>0</v>
      </c>
      <c r="AS703" s="10" t="b">
        <f>IF(AND(I703="TP",S703&lt;=500),VLOOKUP(AF703,TPCalibEq500!$AZ$2:$BB$56,3,),IF(AND(I703="TDP",S703&lt;=500),VLOOKUP(AF703,TPCalibEq500!$AZ$2:$BB$56,3,)))</f>
        <v>0</v>
      </c>
      <c r="AT703" s="10" t="str">
        <f>IF(AND(I703="TN",S703&lt;=2800),VLOOKUP(AF703,TNCalibEq2500!$AZ$2:$BB$56,3,),IF(AND(I703="TDN",S703&lt;=2800),VLOOKUP(AF703,TNCalibEq2500!$AZ$2:$BB$56,3,)))</f>
        <v>y=2.4015x2+187.16x-68.555</v>
      </c>
      <c r="AU703" s="10" t="str">
        <f>IF(I703="TP",VLOOKUP(AF703,TPCalibEqFull!$AZ$2:$BB$56,3),IF(I703="TDP",VLOOKUP(AF703,TPCalibEqFull!$AZ$2:$BB$56,3),IF(I703="TDN",VLOOKUP(AF703,TNCalibEqFull!$AZ$1:$BB$56,3),IF(I703="TN",VLOOKUP(AF703,TNCalibEqFull!$AZ$1:$BB$56,3),FALSE))))</f>
        <v>y=0.155x2+210.99x-92.045</v>
      </c>
      <c r="AV703" s="10" t="str">
        <f t="shared" si="74"/>
        <v>0109 10:44:00-ELI-0-FIL-1-SW-UKN</v>
      </c>
    </row>
    <row r="704" spans="1:48" s="10" customFormat="1" x14ac:dyDescent="0.55000000000000004">
      <c r="A704" s="32">
        <v>44935</v>
      </c>
      <c r="B704" s="33">
        <v>0.4145833333333333</v>
      </c>
      <c r="C704" s="10" t="s">
        <v>999</v>
      </c>
      <c r="D704" s="10">
        <v>0</v>
      </c>
      <c r="E704" s="10" t="s">
        <v>911</v>
      </c>
      <c r="F704" s="10">
        <v>1</v>
      </c>
      <c r="G704" s="10" t="s">
        <v>231</v>
      </c>
      <c r="H704" s="10" t="s">
        <v>322</v>
      </c>
      <c r="I704" s="10" t="s">
        <v>224</v>
      </c>
      <c r="J704" s="10">
        <v>117</v>
      </c>
      <c r="K704" s="12">
        <v>44937</v>
      </c>
      <c r="L704" s="33">
        <v>0.64469907407407401</v>
      </c>
      <c r="M704" s="10">
        <v>1</v>
      </c>
      <c r="N704" s="10" t="s">
        <v>196</v>
      </c>
      <c r="O704" s="10">
        <v>7.73</v>
      </c>
      <c r="P704" s="10">
        <v>0.46500000000000002</v>
      </c>
      <c r="Q704" s="10">
        <v>1560</v>
      </c>
      <c r="R704" s="10" t="s">
        <v>170</v>
      </c>
      <c r="S704" s="34">
        <f t="shared" si="70"/>
        <v>1560</v>
      </c>
      <c r="T704" s="10" t="s">
        <v>1011</v>
      </c>
      <c r="U704" s="34" t="str">
        <f t="shared" si="71"/>
        <v/>
      </c>
      <c r="V704" s="31" t="str">
        <f>IF(H704="CHK",VLOOKUP(I704,QCCHK,3,),IF(H704="GUP",VLOOKUP(E704,QCGUP,2,),IF(AND(H704="ATP",OR(I704="TN",I704="TDN",I704="TNO2-3",I704="NO2-3")),VLOOKUP(E704,QCREC_N,2,),IF(AND(H704="NIC",OR(I704="TN",I704="TDN",I704="TNO2-3",I704="NO2-3")),VLOOKUP(E704,QCNIC_N,2,),IF(AND(H704="UREA",OR(I704="TN",I704="TDN",I704="TNO2-3",I704="NO2-3")),VLOOKUP(E704,QCUREA_N,2,),IF(H704="PER",VLOOKUP(I704,QCPER,MATCH(E704,QCACTUAL!$J$25:$AA$25,0),),IF(H704="SPK",VLOOKUP(I704,QCSPK,3,),IF(AND(H704="ATP",OR(I704="TP",I704="TDP")),VLOOKUP(E704,QCATP_P,2,),""))))))))</f>
        <v/>
      </c>
      <c r="W704" s="31" t="str">
        <f t="shared" si="72"/>
        <v>TRUE</v>
      </c>
      <c r="X704" s="31" t="str">
        <f t="shared" si="73"/>
        <v/>
      </c>
      <c r="Y704" s="10" t="s">
        <v>1004</v>
      </c>
      <c r="Z704" s="10" t="s">
        <v>910</v>
      </c>
      <c r="AF704" s="12">
        <v>44937</v>
      </c>
      <c r="AJ704" s="10">
        <f>2.4015*7.73^2+187.16*7.73-68.555</f>
        <v>1521.6883893500001</v>
      </c>
      <c r="AK704" s="10">
        <f>0.155*7.73^2+210.99*7.73-92.045</f>
        <v>1548.1693995000001</v>
      </c>
      <c r="AL704" s="10" t="str">
        <f t="shared" si="75"/>
        <v>FALSE</v>
      </c>
      <c r="AM704" s="10" t="str">
        <f t="shared" si="75"/>
        <v>FALSE</v>
      </c>
      <c r="AN704" s="10" t="str">
        <f t="shared" si="75"/>
        <v>FALSE</v>
      </c>
      <c r="AO704" s="10" t="str">
        <f t="shared" si="76"/>
        <v>y=2.4015*7.73^2+187.16*7.73-68.555</v>
      </c>
      <c r="AP704" s="10" t="str">
        <f t="shared" si="76"/>
        <v>y=0.155*7.73^2+210.99*7.73-92.045</v>
      </c>
      <c r="AQ704" s="10" t="b">
        <f>IF(AND(I704="TP",S704&lt;=150),VLOOKUP(AF704,TPCalibEq150!$AZ$2:$BB$55,3,),IF(AND(I704="TDP",S704&lt;=150),VLOOKUP(AF704,TPCalibEq150!$AZ$2:$BB$55,3,)))</f>
        <v>0</v>
      </c>
      <c r="AR704" s="10" t="b">
        <f>IF(AND(I704="TP",S704&lt;=300),VLOOKUP(AF704,TPCalibEq300!$AZ$2:$BB$55,3,),IF(AND(I704="TDP",S704&lt;=300),VLOOKUP(AF704,TPCalibEq300!$AZ$2:$BB$55,3,)))</f>
        <v>0</v>
      </c>
      <c r="AS704" s="10" t="b">
        <f>IF(AND(I704="TP",S704&lt;=500),VLOOKUP(AF704,TPCalibEq500!$AZ$2:$BB$56,3,),IF(AND(I704="TDP",S704&lt;=500),VLOOKUP(AF704,TPCalibEq500!$AZ$2:$BB$56,3,)))</f>
        <v>0</v>
      </c>
      <c r="AT704" s="10" t="str">
        <f>IF(AND(I704="TN",S704&lt;=2800),VLOOKUP(AF704,TNCalibEq2500!$AZ$2:$BB$56,3,),IF(AND(I704="TDN",S704&lt;=2800),VLOOKUP(AF704,TNCalibEq2500!$AZ$2:$BB$56,3,)))</f>
        <v>y=2.4015x2+187.16x-68.555</v>
      </c>
      <c r="AU704" s="10" t="str">
        <f>IF(I704="TP",VLOOKUP(AF704,TPCalibEqFull!$AZ$2:$BB$56,3),IF(I704="TDP",VLOOKUP(AF704,TPCalibEqFull!$AZ$2:$BB$56,3),IF(I704="TDN",VLOOKUP(AF704,TNCalibEqFull!$AZ$1:$BB$56,3),IF(I704="TN",VLOOKUP(AF704,TNCalibEqFull!$AZ$1:$BB$56,3),FALSE))))</f>
        <v>y=0.155x2+210.99x-92.045</v>
      </c>
      <c r="AV704" s="10" t="str">
        <f t="shared" si="74"/>
        <v>0109 09:57:00-EAW-0-FIL-1-SW-UKN</v>
      </c>
    </row>
    <row r="705" spans="1:48" s="10" customFormat="1" x14ac:dyDescent="0.55000000000000004">
      <c r="A705" s="32">
        <v>44935</v>
      </c>
      <c r="B705" s="33">
        <v>0.4145833333333333</v>
      </c>
      <c r="C705" s="10" t="s">
        <v>999</v>
      </c>
      <c r="D705" s="10">
        <v>0</v>
      </c>
      <c r="E705" s="10" t="s">
        <v>911</v>
      </c>
      <c r="F705" s="10">
        <v>1</v>
      </c>
      <c r="G705" s="10" t="s">
        <v>231</v>
      </c>
      <c r="H705" s="10" t="s">
        <v>322</v>
      </c>
      <c r="I705" s="10" t="s">
        <v>224</v>
      </c>
      <c r="J705" s="10">
        <v>118</v>
      </c>
      <c r="K705" s="12">
        <v>44937</v>
      </c>
      <c r="L705" s="33">
        <v>0.64535879629629633</v>
      </c>
      <c r="M705" s="10">
        <v>1</v>
      </c>
      <c r="N705" s="10" t="s">
        <v>196</v>
      </c>
      <c r="O705" s="10">
        <v>7.08</v>
      </c>
      <c r="P705" s="10">
        <v>0.42699999999999999</v>
      </c>
      <c r="Q705" s="10">
        <v>1420</v>
      </c>
      <c r="R705" s="10" t="s">
        <v>170</v>
      </c>
      <c r="S705" s="34">
        <f t="shared" si="70"/>
        <v>1420</v>
      </c>
      <c r="T705" s="10" t="s">
        <v>1011</v>
      </c>
      <c r="U705" s="34" t="str">
        <f t="shared" si="71"/>
        <v/>
      </c>
      <c r="V705" s="31" t="str">
        <f>IF(H705="CHK",VLOOKUP(I705,QCCHK,3,),IF(H705="GUP",VLOOKUP(E705,QCGUP,2,),IF(AND(H705="ATP",OR(I705="TN",I705="TDN",I705="TNO2-3",I705="NO2-3")),VLOOKUP(E705,QCREC_N,2,),IF(AND(H705="NIC",OR(I705="TN",I705="TDN",I705="TNO2-3",I705="NO2-3")),VLOOKUP(E705,QCNIC_N,2,),IF(AND(H705="UREA",OR(I705="TN",I705="TDN",I705="TNO2-3",I705="NO2-3")),VLOOKUP(E705,QCUREA_N,2,),IF(H705="PER",VLOOKUP(I705,QCPER,MATCH(E705,QCACTUAL!$J$25:$AA$25,0),),IF(H705="SPK",VLOOKUP(I705,QCSPK,3,),IF(AND(H705="ATP",OR(I705="TP",I705="TDP")),VLOOKUP(E705,QCATP_P,2,),""))))))))</f>
        <v/>
      </c>
      <c r="W705" s="31" t="str">
        <f t="shared" si="72"/>
        <v>TRUE</v>
      </c>
      <c r="X705" s="31" t="str">
        <f t="shared" si="73"/>
        <v/>
      </c>
      <c r="Y705" s="10" t="s">
        <v>1004</v>
      </c>
      <c r="Z705" s="10" t="s">
        <v>910</v>
      </c>
      <c r="AF705" s="12">
        <v>44937</v>
      </c>
      <c r="AJ705" s="10">
        <f>2.4015*7.08^2+187.16*7.08-68.555</f>
        <v>1376.9163495999999</v>
      </c>
      <c r="AK705" s="10">
        <f>0.155*7.08^2+210.99*7.08-92.045</f>
        <v>1409.5337920000002</v>
      </c>
      <c r="AL705" s="10" t="str">
        <f t="shared" si="75"/>
        <v>FALSE</v>
      </c>
      <c r="AM705" s="10" t="str">
        <f t="shared" si="75"/>
        <v>FALSE</v>
      </c>
      <c r="AN705" s="10" t="str">
        <f t="shared" si="75"/>
        <v>FALSE</v>
      </c>
      <c r="AO705" s="10" t="str">
        <f t="shared" si="76"/>
        <v>y=2.4015*7.08^2+187.16*7.08-68.555</v>
      </c>
      <c r="AP705" s="10" t="str">
        <f t="shared" si="76"/>
        <v>y=0.155*7.08^2+210.99*7.08-92.045</v>
      </c>
      <c r="AQ705" s="10" t="b">
        <f>IF(AND(I705="TP",S705&lt;=150),VLOOKUP(AF705,TPCalibEq150!$AZ$2:$BB$55,3,),IF(AND(I705="TDP",S705&lt;=150),VLOOKUP(AF705,TPCalibEq150!$AZ$2:$BB$55,3,)))</f>
        <v>0</v>
      </c>
      <c r="AR705" s="10" t="b">
        <f>IF(AND(I705="TP",S705&lt;=300),VLOOKUP(AF705,TPCalibEq300!$AZ$2:$BB$55,3,),IF(AND(I705="TDP",S705&lt;=300),VLOOKUP(AF705,TPCalibEq300!$AZ$2:$BB$55,3,)))</f>
        <v>0</v>
      </c>
      <c r="AS705" s="10" t="b">
        <f>IF(AND(I705="TP",S705&lt;=500),VLOOKUP(AF705,TPCalibEq500!$AZ$2:$BB$56,3,),IF(AND(I705="TDP",S705&lt;=500),VLOOKUP(AF705,TPCalibEq500!$AZ$2:$BB$56,3,)))</f>
        <v>0</v>
      </c>
      <c r="AT705" s="10" t="str">
        <f>IF(AND(I705="TN",S705&lt;=2800),VLOOKUP(AF705,TNCalibEq2500!$AZ$2:$BB$56,3,),IF(AND(I705="TDN",S705&lt;=2800),VLOOKUP(AF705,TNCalibEq2500!$AZ$2:$BB$56,3,)))</f>
        <v>y=2.4015x2+187.16x-68.555</v>
      </c>
      <c r="AU705" s="10" t="str">
        <f>IF(I705="TP",VLOOKUP(AF705,TPCalibEqFull!$AZ$2:$BB$56,3),IF(I705="TDP",VLOOKUP(AF705,TPCalibEqFull!$AZ$2:$BB$56,3),IF(I705="TDN",VLOOKUP(AF705,TNCalibEqFull!$AZ$1:$BB$56,3),IF(I705="TN",VLOOKUP(AF705,TNCalibEqFull!$AZ$1:$BB$56,3),FALSE))))</f>
        <v>y=0.155x2+210.99x-92.045</v>
      </c>
      <c r="AV705" s="10" t="str">
        <f t="shared" si="74"/>
        <v>0109 09:57:00-EAW-0-FIL-1-SW-UKN</v>
      </c>
    </row>
    <row r="706" spans="1:48" s="10" customFormat="1" x14ac:dyDescent="0.55000000000000004">
      <c r="A706" s="32">
        <v>44935</v>
      </c>
      <c r="B706" s="33">
        <v>0.4145833333333333</v>
      </c>
      <c r="C706" s="10" t="s">
        <v>999</v>
      </c>
      <c r="D706" s="10">
        <v>0</v>
      </c>
      <c r="E706" s="10" t="s">
        <v>911</v>
      </c>
      <c r="F706" s="10">
        <v>1</v>
      </c>
      <c r="G706" s="10" t="s">
        <v>231</v>
      </c>
      <c r="H706" s="10" t="s">
        <v>233</v>
      </c>
      <c r="I706" s="10" t="s">
        <v>224</v>
      </c>
      <c r="J706" s="10">
        <v>118</v>
      </c>
      <c r="K706" s="12">
        <v>44937</v>
      </c>
      <c r="L706" s="33">
        <v>0.64601851851851855</v>
      </c>
      <c r="M706" s="10">
        <v>1</v>
      </c>
      <c r="N706" s="10" t="s">
        <v>196</v>
      </c>
      <c r="O706" s="10">
        <v>7.06</v>
      </c>
      <c r="P706" s="10">
        <v>0.42699999999999999</v>
      </c>
      <c r="Q706" s="10">
        <v>1420</v>
      </c>
      <c r="R706" s="10" t="s">
        <v>170</v>
      </c>
      <c r="S706" s="34">
        <f t="shared" ref="S706:S769" si="77">IF(OR(AND(I706&lt;&gt;"TP", I706&lt;&gt;"TDP",I706&lt;&gt;"TN", I706&lt;&gt;"TDN"),H706="CAL"), Q706*M706, IF(OR(AND(I706="TN", Q706&gt;2500), AND(I706="TDN", Q706&gt;2500)),MAX(Q706, AK706)*M706, IF(OR(AND(I706="TN", Q706&lt;=2500), AND(I706="TDN", Q706&lt;=2500)),MAX(Q706, AJ706,AK706)*M706, IF(OR(AND(I706="TP",Q706&gt;500), AND(I706="TDP", Q706&gt;500)),MAX(Q706,AK706)*M706,IF(OR(AND(I706="TP",Q706&lt;=150), AND(I706="TDP", Q706&lt;=150)),MAX(Q706,AG706:AI706,AK706)*M706,IF(OR(AND(I706="TP",Q706&lt;=300), AND(I706="TDP", Q706&lt;=300)),MAX(Q706,AH706,AI706,AK706)*M706,IF(OR(AND(I706="TP",Q706&lt;=500), AND(I706="TDP", Q706&lt;=500)),MAX(Q706,AI706,AK706)*M706,"")))))))</f>
        <v>1420</v>
      </c>
      <c r="T706" s="10" t="s">
        <v>1011</v>
      </c>
      <c r="U706" s="34">
        <f t="shared" ref="U706:U769" si="78">IF(OR(H706="CHK",H706="ATP",H706="GUP",H706="PER", H706="NIC", H706="UREA"),(S706/V706*100),IF(H706="DUP",((ABS(S706-S705))/((S705+S706)/2))*100,IF(H706="SPK",((S706-S705)/V706*100),IF(OR(H706="LAB",H706="FLD",H706="ESF"),S706,""))))</f>
        <v>0</v>
      </c>
      <c r="V706" s="31" t="str">
        <f>IF(H706="CHK",VLOOKUP(I706,QCCHK,3,),IF(H706="GUP",VLOOKUP(E706,QCGUP,2,),IF(AND(H706="ATP",OR(I706="TN",I706="TDN",I706="TNO2-3",I706="NO2-3")),VLOOKUP(E706,QCREC_N,2,),IF(AND(H706="NIC",OR(I706="TN",I706="TDN",I706="TNO2-3",I706="NO2-3")),VLOOKUP(E706,QCNIC_N,2,),IF(AND(H706="UREA",OR(I706="TN",I706="TDN",I706="TNO2-3",I706="NO2-3")),VLOOKUP(E706,QCUREA_N,2,),IF(H706="PER",VLOOKUP(I706,QCPER,MATCH(E706,QCACTUAL!$J$25:$AA$25,0),),IF(H706="SPK",VLOOKUP(I706,QCSPK,3,),IF(AND(H706="ATP",OR(I706="TP",I706="TDP")),VLOOKUP(E706,QCATP_P,2,),""))))))))</f>
        <v/>
      </c>
      <c r="W706" s="31" t="str">
        <f t="shared" ref="W706:W769" si="79">IF(AND(OR(H706="PER",H706="ATP",H706="GUP",H706="CHK",H706="SPK", H706="NIC"),OR(U706&gt;125,U706&lt;75)),"FALSE",IF(AND(H706="DUP",OR(U706&gt;25, U706&lt;-25)),"FALSE",IF(AND(OR(H706="LAB",H706="FLD",H706="ESF"),U706&gt;15),"FALSE","TRUE")))</f>
        <v>TRUE</v>
      </c>
      <c r="X706" s="31" t="str">
        <f t="shared" ref="X706:X769" si="80">IF(ISNA(VLOOKUP(H706,QCEQUATIONS,2,)),"",(VLOOKUP(H706,QCEQUATIONS,2,)))</f>
        <v>((ABS(rep1-rep2))/((rep1+rep2)/2)*100</v>
      </c>
      <c r="Y706" s="10" t="s">
        <v>1004</v>
      </c>
      <c r="Z706" s="10" t="s">
        <v>910</v>
      </c>
      <c r="AF706" s="12">
        <v>44937</v>
      </c>
      <c r="AJ706" s="10">
        <f>2.4015*7.06^2+187.16*7.06-68.555</f>
        <v>1372.4940053999999</v>
      </c>
      <c r="AK706" s="10">
        <f>0.155*7.06^2+210.99*7.06-92.045</f>
        <v>1405.270158</v>
      </c>
      <c r="AL706" s="10" t="str">
        <f t="shared" si="75"/>
        <v>FALSE</v>
      </c>
      <c r="AM706" s="10" t="str">
        <f t="shared" si="75"/>
        <v>FALSE</v>
      </c>
      <c r="AN706" s="10" t="str">
        <f t="shared" si="75"/>
        <v>FALSE</v>
      </c>
      <c r="AO706" s="10" t="str">
        <f t="shared" si="76"/>
        <v>y=2.4015*7.06^2+187.16*7.06-68.555</v>
      </c>
      <c r="AP706" s="10" t="str">
        <f t="shared" si="76"/>
        <v>y=0.155*7.06^2+210.99*7.06-92.045</v>
      </c>
      <c r="AQ706" s="10" t="b">
        <f>IF(AND(I706="TP",S706&lt;=150),VLOOKUP(AF706,TPCalibEq150!$AZ$2:$BB$55,3,),IF(AND(I706="TDP",S706&lt;=150),VLOOKUP(AF706,TPCalibEq150!$AZ$2:$BB$55,3,)))</f>
        <v>0</v>
      </c>
      <c r="AR706" s="10" t="b">
        <f>IF(AND(I706="TP",S706&lt;=300),VLOOKUP(AF706,TPCalibEq300!$AZ$2:$BB$55,3,),IF(AND(I706="TDP",S706&lt;=300),VLOOKUP(AF706,TPCalibEq300!$AZ$2:$BB$55,3,)))</f>
        <v>0</v>
      </c>
      <c r="AS706" s="10" t="b">
        <f>IF(AND(I706="TP",S706&lt;=500),VLOOKUP(AF706,TPCalibEq500!$AZ$2:$BB$56,3,),IF(AND(I706="TDP",S706&lt;=500),VLOOKUP(AF706,TPCalibEq500!$AZ$2:$BB$56,3,)))</f>
        <v>0</v>
      </c>
      <c r="AT706" s="10" t="str">
        <f>IF(AND(I706="TN",S706&lt;=2800),VLOOKUP(AF706,TNCalibEq2500!$AZ$2:$BB$56,3,),IF(AND(I706="TDN",S706&lt;=2800),VLOOKUP(AF706,TNCalibEq2500!$AZ$2:$BB$56,3,)))</f>
        <v>y=2.4015x2+187.16x-68.555</v>
      </c>
      <c r="AU706" s="10" t="str">
        <f>IF(I706="TP",VLOOKUP(AF706,TPCalibEqFull!$AZ$2:$BB$56,3),IF(I706="TDP",VLOOKUP(AF706,TPCalibEqFull!$AZ$2:$BB$56,3),IF(I706="TDN",VLOOKUP(AF706,TNCalibEqFull!$AZ$1:$BB$56,3),IF(I706="TN",VLOOKUP(AF706,TNCalibEqFull!$AZ$1:$BB$56,3),FALSE))))</f>
        <v>y=0.155x2+210.99x-92.045</v>
      </c>
      <c r="AV706" s="10" t="str">
        <f t="shared" ref="AV706:AV769" si="81">TEXT(A706, "MMDD")&amp;" "&amp;TEXT(B706, "HH:MM:SS")&amp;"-"&amp;C706&amp;"-"&amp;D706&amp;"-"&amp;E706&amp;"-"&amp;F706&amp;"-"&amp;G706&amp;"-"&amp;H706</f>
        <v>0109 09:57:00-EAW-0-FIL-1-SW-DUP</v>
      </c>
    </row>
    <row r="707" spans="1:48" s="10" customFormat="1" x14ac:dyDescent="0.55000000000000004">
      <c r="A707" s="32">
        <v>44935</v>
      </c>
      <c r="B707" s="33">
        <v>0.4145833333333333</v>
      </c>
      <c r="C707" s="10" t="s">
        <v>999</v>
      </c>
      <c r="D707" s="10">
        <v>0</v>
      </c>
      <c r="E707" s="10" t="s">
        <v>911</v>
      </c>
      <c r="F707" s="10">
        <v>1</v>
      </c>
      <c r="G707" s="10" t="s">
        <v>231</v>
      </c>
      <c r="H707" s="10" t="s">
        <v>314</v>
      </c>
      <c r="I707" s="10" t="s">
        <v>224</v>
      </c>
      <c r="J707" s="10">
        <v>122</v>
      </c>
      <c r="K707" s="12">
        <v>44937</v>
      </c>
      <c r="L707" s="33">
        <v>0.6466898148148148</v>
      </c>
      <c r="M707" s="10">
        <v>1</v>
      </c>
      <c r="N707" s="10" t="s">
        <v>196</v>
      </c>
      <c r="O707" s="10">
        <v>18.2</v>
      </c>
      <c r="P707" s="10">
        <v>1.0900000000000001</v>
      </c>
      <c r="Q707" s="10">
        <v>3810</v>
      </c>
      <c r="R707" s="10" t="s">
        <v>170</v>
      </c>
      <c r="S707" s="34">
        <f t="shared" si="77"/>
        <v>3810</v>
      </c>
      <c r="T707" s="10" t="s">
        <v>1011</v>
      </c>
      <c r="U707" s="34">
        <f t="shared" si="78"/>
        <v>95.6</v>
      </c>
      <c r="V707" s="31">
        <f>IF(H707="CHK",VLOOKUP(I707,QCCHK,3,),IF(H707="GUP",VLOOKUP(E707,QCGUP,2,),IF(AND(H707="ATP",OR(I707="TN",I707="TDN",I707="TNO2-3",I707="NO2-3")),VLOOKUP(E707,QCREC_N,2,),IF(AND(H707="NIC",OR(I707="TN",I707="TDN",I707="TNO2-3",I707="NO2-3")),VLOOKUP(E707,QCNIC_N,2,),IF(AND(H707="UREA",OR(I707="TN",I707="TDN",I707="TNO2-3",I707="NO2-3")),VLOOKUP(E707,QCUREA_N,2,),IF(H707="PER",VLOOKUP(I707,QCPER,MATCH(E707,QCACTUAL!$J$25:$AA$25,0),),IF(H707="SPK",VLOOKUP(I707,QCSPK,3,),IF(AND(H707="ATP",OR(I707="TP",I707="TDP")),VLOOKUP(E707,QCATP_P,2,),""))))))))</f>
        <v>2500</v>
      </c>
      <c r="W707" s="31" t="str">
        <f t="shared" si="79"/>
        <v>TRUE</v>
      </c>
      <c r="X707" s="31" t="str">
        <f t="shared" si="80"/>
        <v>([spikedunkn]-[unkn])/[spike]*100</v>
      </c>
      <c r="Y707" s="10" t="s">
        <v>1004</v>
      </c>
      <c r="Z707" s="10" t="s">
        <v>910</v>
      </c>
      <c r="AF707" s="12">
        <v>44937</v>
      </c>
      <c r="AK707" s="10">
        <f>0.155*18.2^2+210.99*18.2-92.045</f>
        <v>3799.3152</v>
      </c>
      <c r="AL707" s="10" t="str">
        <f t="shared" ref="AL707:AN722" si="82">IF($O707="", "", IF(AQ707&lt;&gt;"", SUBSTITUTE(SUBSTITUTE(AQ707, "x", "*"&amp;$O707&amp;"^", 1), "x", "*"&amp;$O707, 1), ""))</f>
        <v>FALSE</v>
      </c>
      <c r="AM707" s="10" t="str">
        <f t="shared" si="82"/>
        <v>FALSE</v>
      </c>
      <c r="AN707" s="10" t="str">
        <f t="shared" si="82"/>
        <v>FALSE</v>
      </c>
      <c r="AO707" s="10" t="str">
        <f t="shared" ref="AO707:AP722" si="83">IF($O707="", "FALSE", IF(AT707&lt;&gt;"FALSE", SUBSTITUTE(SUBSTITUTE(AT707, "x", "*"&amp;$O707&amp;"^", 1), "x", "*"&amp;$O707, 1), ""))</f>
        <v>FALSE</v>
      </c>
      <c r="AP707" s="10" t="str">
        <f t="shared" si="83"/>
        <v>y=0.155*18.2^2+210.99*18.2-92.045</v>
      </c>
      <c r="AQ707" s="10" t="b">
        <f>IF(AND(I707="TP",S707&lt;=150),VLOOKUP(AF707,TPCalibEq150!$AZ$2:$BB$55,3,),IF(AND(I707="TDP",S707&lt;=150),VLOOKUP(AF707,TPCalibEq150!$AZ$2:$BB$55,3,)))</f>
        <v>0</v>
      </c>
      <c r="AR707" s="10" t="b">
        <f>IF(AND(I707="TP",S707&lt;=300),VLOOKUP(AF707,TPCalibEq300!$AZ$2:$BB$55,3,),IF(AND(I707="TDP",S707&lt;=300),VLOOKUP(AF707,TPCalibEq300!$AZ$2:$BB$55,3,)))</f>
        <v>0</v>
      </c>
      <c r="AS707" s="10" t="b">
        <f>IF(AND(I707="TP",S707&lt;=500),VLOOKUP(AF707,TPCalibEq500!$AZ$2:$BB$56,3,),IF(AND(I707="TDP",S707&lt;=500),VLOOKUP(AF707,TPCalibEq500!$AZ$2:$BB$56,3,)))</f>
        <v>0</v>
      </c>
      <c r="AT707" s="10" t="b">
        <f>IF(AND(I707="TN",S707&lt;=2800),VLOOKUP(AF707,TNCalibEq2500!$AZ$2:$BB$56,3,),IF(AND(I707="TDN",S707&lt;=2800),VLOOKUP(AF707,TNCalibEq2500!$AZ$2:$BB$56,3,)))</f>
        <v>0</v>
      </c>
      <c r="AU707" s="10" t="str">
        <f>IF(I707="TP",VLOOKUP(AF707,TPCalibEqFull!$AZ$2:$BB$56,3),IF(I707="TDP",VLOOKUP(AF707,TPCalibEqFull!$AZ$2:$BB$56,3),IF(I707="TDN",VLOOKUP(AF707,TNCalibEqFull!$AZ$1:$BB$56,3),IF(I707="TN",VLOOKUP(AF707,TNCalibEqFull!$AZ$1:$BB$56,3),FALSE))))</f>
        <v>y=0.155x2+210.99x-92.045</v>
      </c>
      <c r="AV707" s="10" t="str">
        <f t="shared" si="81"/>
        <v>0109 09:57:00-EAW-0-FIL-1-SW-SPK</v>
      </c>
    </row>
    <row r="708" spans="1:48" s="10" customFormat="1" x14ac:dyDescent="0.55000000000000004">
      <c r="A708" s="32">
        <v>44937</v>
      </c>
      <c r="B708" s="33">
        <v>0.375</v>
      </c>
      <c r="C708" s="10" t="s">
        <v>70</v>
      </c>
      <c r="D708" s="10" t="s">
        <v>71</v>
      </c>
      <c r="E708" s="10" t="s">
        <v>901</v>
      </c>
      <c r="F708" s="10">
        <v>1</v>
      </c>
      <c r="G708" s="10" t="s">
        <v>73</v>
      </c>
      <c r="H708" s="10" t="s">
        <v>207</v>
      </c>
      <c r="I708" s="10" t="s">
        <v>235</v>
      </c>
      <c r="J708" s="10">
        <v>202</v>
      </c>
      <c r="K708" s="12">
        <v>44937</v>
      </c>
      <c r="L708" s="33">
        <v>0.6473726851851852</v>
      </c>
      <c r="M708" s="10">
        <v>1</v>
      </c>
      <c r="N708" s="10" t="s">
        <v>196</v>
      </c>
      <c r="O708" s="10">
        <v>6.15</v>
      </c>
      <c r="P708" s="10">
        <v>0.373</v>
      </c>
      <c r="Q708" s="10">
        <v>1220</v>
      </c>
      <c r="R708" s="10" t="s">
        <v>170</v>
      </c>
      <c r="S708" s="34">
        <f t="shared" si="77"/>
        <v>1220</v>
      </c>
      <c r="T708" s="10" t="s">
        <v>1011</v>
      </c>
      <c r="U708" s="34">
        <f t="shared" si="78"/>
        <v>97.6</v>
      </c>
      <c r="V708" s="31">
        <f>IF(H708="CHK",VLOOKUP(I708,QCCHK,3,),IF(H708="GUP",VLOOKUP(E708,QCGUP,2,),IF(AND(H708="ATP",OR(I708="TN",I708="TDN",I708="TNO2-3",I708="NO2-3")),VLOOKUP(E708,QCREC_N,2,),IF(AND(H708="NIC",OR(I708="TN",I708="TDN",I708="TNO2-3",I708="NO2-3")),VLOOKUP(E708,QCNIC_N,2,),IF(AND(H708="UREA",OR(I708="TN",I708="TDN",I708="TNO2-3",I708="NO2-3")),VLOOKUP(E708,QCUREA_N,2,),IF(H708="PER",VLOOKUP(I708,QCPER,MATCH(E708,QCACTUAL!$J$25:$AA$25,0),),IF(H708="SPK",VLOOKUP(I708,QCSPK,3,),IF(AND(H708="ATP",OR(I708="TP",I708="TDP")),VLOOKUP(E708,QCATP_P,2,),""))))))))</f>
        <v>1250</v>
      </c>
      <c r="W708" s="31" t="str">
        <f t="shared" si="79"/>
        <v>TRUE</v>
      </c>
      <c r="X708" s="31" t="str">
        <f t="shared" si="80"/>
        <v>[chk]/[actual]*100</v>
      </c>
      <c r="Y708" s="10" t="s">
        <v>1004</v>
      </c>
      <c r="AF708" s="12">
        <v>44937</v>
      </c>
      <c r="AJ708" s="10">
        <f>2.4015*6.15^2+187.16*6.15-68.555</f>
        <v>1173.3097337500001</v>
      </c>
      <c r="AK708" s="10">
        <f>0.155*6.15^2+210.99*6.15-92.045</f>
        <v>1211.4059875</v>
      </c>
      <c r="AL708" s="10" t="str">
        <f t="shared" si="82"/>
        <v>FALSE</v>
      </c>
      <c r="AM708" s="10" t="str">
        <f t="shared" si="82"/>
        <v>FALSE</v>
      </c>
      <c r="AN708" s="10" t="str">
        <f t="shared" si="82"/>
        <v>FALSE</v>
      </c>
      <c r="AO708" s="10" t="str">
        <f t="shared" si="83"/>
        <v>y=2.4015*6.15^2+187.16*6.15-68.555</v>
      </c>
      <c r="AP708" s="10" t="str">
        <f t="shared" si="83"/>
        <v>y=0.155*6.15^2+210.99*6.15-92.045</v>
      </c>
      <c r="AQ708" s="10" t="b">
        <f>IF(AND(I708="TP",S708&lt;=150),VLOOKUP(AF708,TPCalibEq150!$AZ$2:$BB$55,3,),IF(AND(I708="TDP",S708&lt;=150),VLOOKUP(AF708,TPCalibEq150!$AZ$2:$BB$55,3,)))</f>
        <v>0</v>
      </c>
      <c r="AR708" s="10" t="b">
        <f>IF(AND(I708="TP",S708&lt;=300),VLOOKUP(AF708,TPCalibEq300!$AZ$2:$BB$55,3,),IF(AND(I708="TDP",S708&lt;=300),VLOOKUP(AF708,TPCalibEq300!$AZ$2:$BB$55,3,)))</f>
        <v>0</v>
      </c>
      <c r="AS708" s="10" t="b">
        <f>IF(AND(I708="TP",S708&lt;=500),VLOOKUP(AF708,TPCalibEq500!$AZ$2:$BB$56,3,),IF(AND(I708="TDP",S708&lt;=500),VLOOKUP(AF708,TPCalibEq500!$AZ$2:$BB$56,3,)))</f>
        <v>0</v>
      </c>
      <c r="AT708" s="10" t="str">
        <f>IF(AND(I708="TN",S708&lt;=2800),VLOOKUP(AF708,TNCalibEq2500!$AZ$2:$BB$56,3,),IF(AND(I708="TDN",S708&lt;=2800),VLOOKUP(AF708,TNCalibEq2500!$AZ$2:$BB$56,3,)))</f>
        <v>y=2.4015x2+187.16x-68.555</v>
      </c>
      <c r="AU708" s="10" t="str">
        <f>IF(I708="TP",VLOOKUP(AF708,TPCalibEqFull!$AZ$2:$BB$56,3),IF(I708="TDP",VLOOKUP(AF708,TPCalibEqFull!$AZ$2:$BB$56,3),IF(I708="TDN",VLOOKUP(AF708,TNCalibEqFull!$AZ$1:$BB$56,3),IF(I708="TN",VLOOKUP(AF708,TNCalibEqFull!$AZ$1:$BB$56,3),FALSE))))</f>
        <v>y=0.155x2+210.99x-92.045</v>
      </c>
      <c r="AV708" s="10" t="str">
        <f t="shared" si="81"/>
        <v>0111 09:00:00-QAC-STD-D-1-DI-CHK</v>
      </c>
    </row>
    <row r="709" spans="1:48" s="10" customFormat="1" x14ac:dyDescent="0.55000000000000004">
      <c r="A709" s="32">
        <v>44937</v>
      </c>
      <c r="B709" s="33">
        <v>0.375</v>
      </c>
      <c r="C709" s="10" t="s">
        <v>70</v>
      </c>
      <c r="D709" s="10" t="s">
        <v>71</v>
      </c>
      <c r="E709" s="10" t="s">
        <v>917</v>
      </c>
      <c r="F709" s="10">
        <v>1</v>
      </c>
      <c r="G709" s="10" t="s">
        <v>73</v>
      </c>
      <c r="H709" s="10" t="s">
        <v>74</v>
      </c>
      <c r="I709" s="10" t="s">
        <v>83</v>
      </c>
      <c r="J709" s="10">
        <v>181</v>
      </c>
      <c r="K709" s="12">
        <v>44937</v>
      </c>
      <c r="L709" s="33">
        <v>0.5774421296296296</v>
      </c>
      <c r="M709" s="10">
        <v>1</v>
      </c>
      <c r="N709" s="10" t="s">
        <v>84</v>
      </c>
      <c r="O709" s="10">
        <v>0.54100000000000004</v>
      </c>
      <c r="P709" s="10">
        <v>4.0599999999999997E-2</v>
      </c>
      <c r="Q709" s="10">
        <v>0</v>
      </c>
      <c r="R709" s="10" t="s">
        <v>85</v>
      </c>
      <c r="S709" s="34">
        <f t="shared" si="77"/>
        <v>0</v>
      </c>
      <c r="T709" s="10" t="s">
        <v>78</v>
      </c>
      <c r="U709" s="34" t="str">
        <f t="shared" si="78"/>
        <v/>
      </c>
      <c r="V709" s="31" t="str">
        <f>IF(H709="CHK",VLOOKUP(I709,QCCHK,3,),IF(H709="GUP",VLOOKUP(E709,QCGUP,2,),IF(AND(H709="ATP",OR(I709="TN",I709="TDN",I709="TNO2-3",I709="NO2-3")),VLOOKUP(E709,QCREC_N,2,),IF(AND(H709="NIC",OR(I709="TN",I709="TDN",I709="TNO2-3",I709="NO2-3")),VLOOKUP(E709,QCNIC_N,2,),IF(AND(H709="UREA",OR(I709="TN",I709="TDN",I709="TNO2-3",I709="NO2-3")),VLOOKUP(E709,QCUREA_N,2,),IF(H709="PER",VLOOKUP(I709,QCPER,MATCH(E709,QCACTUAL!$J$25:$AA$25,0),),IF(H709="SPK",VLOOKUP(I709,QCSPK,3,),IF(AND(H709="ATP",OR(I709="TP",I709="TDP")),VLOOKUP(E709,QCATP_P,2,),""))))))))</f>
        <v/>
      </c>
      <c r="W709" s="31" t="str">
        <f t="shared" si="79"/>
        <v>TRUE</v>
      </c>
      <c r="X709" s="31" t="str">
        <f t="shared" si="80"/>
        <v/>
      </c>
      <c r="Y709" s="10" t="s">
        <v>1021</v>
      </c>
      <c r="AF709" s="12">
        <v>44937</v>
      </c>
      <c r="AG709" s="10">
        <f>-1.7779*0.541^2+83.185*0.541-35.938</f>
        <v>8.5447274501000052</v>
      </c>
      <c r="AH709" s="10">
        <f>-2.8628*0.541^2+86.116*0.541-37.286</f>
        <v>8.4648688332000006</v>
      </c>
      <c r="AI709" s="10">
        <f>-0.232*0.541^2+72.802*0.541-30.279</f>
        <v>9.0389800080000064</v>
      </c>
      <c r="AK709" s="10">
        <f>0*0.541^2+67.076*0.541-21.654</f>
        <v>14.634116000000002</v>
      </c>
      <c r="AL709" s="10" t="str">
        <f t="shared" si="82"/>
        <v>y=-1.7779*0.541^2+83.185*0.541-35.938</v>
      </c>
      <c r="AM709" s="10" t="str">
        <f t="shared" si="82"/>
        <v>y=-2.8628*0.541^2+86.116*0.541-37.286</v>
      </c>
      <c r="AN709" s="10" t="str">
        <f t="shared" si="82"/>
        <v>y=-0.232*0.541^2+72.802*0.541-30.279</v>
      </c>
      <c r="AO709" s="10" t="str">
        <f t="shared" si="83"/>
        <v>FALSE</v>
      </c>
      <c r="AP709" s="10" t="str">
        <f t="shared" si="83"/>
        <v>y=0*0.541^2+67.076*0.541-21.654</v>
      </c>
      <c r="AQ709" s="10" t="str">
        <f>IF(AND(I709="TP",S709&lt;=150),VLOOKUP(AF709,TPCalibEq150!$AZ$2:$BB$55,3,),IF(AND(I709="TDP",S709&lt;=150),VLOOKUP(AF709,TPCalibEq150!$AZ$2:$BB$55,3,)))</f>
        <v>y=-1.7779x2+83.185x-35.938</v>
      </c>
      <c r="AR709" s="10" t="str">
        <f>IF(AND(I709="TP",S709&lt;=300),VLOOKUP(AF709,TPCalibEq300!$AZ$2:$BB$55,3,),IF(AND(I709="TDP",S709&lt;=300),VLOOKUP(AF709,TPCalibEq300!$AZ$2:$BB$55,3,)))</f>
        <v>y=-2.8628x2+86.116x-37.286</v>
      </c>
      <c r="AS709" s="10" t="str">
        <f>IF(AND(I709="TP",S709&lt;=500),VLOOKUP(AF709,TPCalibEq500!$AZ$2:$BB$56,3,),IF(AND(I709="TDP",S709&lt;=500),VLOOKUP(AF709,TPCalibEq500!$AZ$2:$BB$56,3,)))</f>
        <v>y=-0.232x2+72.802x-30.279</v>
      </c>
      <c r="AT709" s="10" t="b">
        <f>IF(AND(I709="TN",S709&lt;=2800),VLOOKUP(AF709,TNCalibEq2500!$AZ$2:$BB$56,3,),IF(AND(I709="TDN",S709&lt;=2800),VLOOKUP(AF709,TNCalibEq2500!$AZ$2:$BB$56,3,)))</f>
        <v>0</v>
      </c>
      <c r="AU709" s="10" t="str">
        <f>IF(I709="TP",VLOOKUP(AF709,TPCalibEqFull!$AZ$2:$BB$56,3),IF(I709="TDP",VLOOKUP(AF709,TPCalibEqFull!$AZ$2:$BB$56,3),IF(I709="TDN",VLOOKUP(AF709,TNCalibEqFull!$AZ$1:$BB$56,3),IF(I709="TN",VLOOKUP(AF709,TNCalibEqFull!$AZ$1:$BB$56,3),FALSE))))</f>
        <v>y=0x2+67.076x-21.654</v>
      </c>
      <c r="AV709" s="10" t="str">
        <f t="shared" si="81"/>
        <v>0111 09:00:00-QAC-STD-D.H-1-DI-CAL</v>
      </c>
    </row>
    <row r="710" spans="1:48" s="10" customFormat="1" x14ac:dyDescent="0.55000000000000004">
      <c r="A710" s="32">
        <v>44937</v>
      </c>
      <c r="B710" s="33">
        <v>0.375</v>
      </c>
      <c r="C710" s="10" t="s">
        <v>70</v>
      </c>
      <c r="D710" s="10" t="s">
        <v>71</v>
      </c>
      <c r="E710" s="10" t="s">
        <v>918</v>
      </c>
      <c r="F710" s="10">
        <v>1</v>
      </c>
      <c r="G710" s="10" t="s">
        <v>73</v>
      </c>
      <c r="H710" s="10" t="s">
        <v>74</v>
      </c>
      <c r="I710" s="10" t="s">
        <v>83</v>
      </c>
      <c r="J710" s="10">
        <v>182</v>
      </c>
      <c r="K710" s="12">
        <v>44937</v>
      </c>
      <c r="L710" s="33">
        <v>0.57814814814814819</v>
      </c>
      <c r="M710" s="10">
        <v>1</v>
      </c>
      <c r="N710" s="10" t="s">
        <v>84</v>
      </c>
      <c r="O710" s="10">
        <v>0.56799999999999995</v>
      </c>
      <c r="P710" s="10">
        <v>3.9300000000000002E-2</v>
      </c>
      <c r="Q710" s="10">
        <v>12</v>
      </c>
      <c r="R710" s="10" t="s">
        <v>85</v>
      </c>
      <c r="S710" s="34">
        <f t="shared" si="77"/>
        <v>12</v>
      </c>
      <c r="T710" s="10" t="s">
        <v>78</v>
      </c>
      <c r="U710" s="34" t="str">
        <f t="shared" si="78"/>
        <v/>
      </c>
      <c r="V710" s="31" t="str">
        <f>IF(H710="CHK",VLOOKUP(I710,QCCHK,3,),IF(H710="GUP",VLOOKUP(E710,QCGUP,2,),IF(AND(H710="ATP",OR(I710="TN",I710="TDN",I710="TNO2-3",I710="NO2-3")),VLOOKUP(E710,QCREC_N,2,),IF(AND(H710="NIC",OR(I710="TN",I710="TDN",I710="TNO2-3",I710="NO2-3")),VLOOKUP(E710,QCNIC_N,2,),IF(AND(H710="UREA",OR(I710="TN",I710="TDN",I710="TNO2-3",I710="NO2-3")),VLOOKUP(E710,QCUREA_N,2,),IF(H710="PER",VLOOKUP(I710,QCPER,MATCH(E710,QCACTUAL!$J$25:$AA$25,0),),IF(H710="SPK",VLOOKUP(I710,QCSPK,3,),IF(AND(H710="ATP",OR(I710="TP",I710="TDP")),VLOOKUP(E710,QCATP_P,2,),""))))))))</f>
        <v/>
      </c>
      <c r="W710" s="31" t="str">
        <f t="shared" si="79"/>
        <v>TRUE</v>
      </c>
      <c r="X710" s="31" t="str">
        <f t="shared" si="80"/>
        <v/>
      </c>
      <c r="Y710" s="10" t="s">
        <v>1021</v>
      </c>
      <c r="AF710" s="12">
        <v>44937</v>
      </c>
      <c r="AG710" s="10">
        <f>-1.7779*0.568^2+83.185*0.568-35.938</f>
        <v>10.737486790399998</v>
      </c>
      <c r="AH710" s="10">
        <f>-2.8628*0.568^2+86.116*0.568-37.286</f>
        <v>10.704280012799991</v>
      </c>
      <c r="AI710" s="10">
        <f>-0.232*0.568^2+72.802*0.568-30.279</f>
        <v>10.997687232000001</v>
      </c>
      <c r="AK710" s="10">
        <f>0*0.568^2+67.076*0.568-21.654</f>
        <v>16.445167999999992</v>
      </c>
      <c r="AL710" s="10" t="str">
        <f t="shared" si="82"/>
        <v>y=-1.7779*0.568^2+83.185*0.568-35.938</v>
      </c>
      <c r="AM710" s="10" t="str">
        <f t="shared" si="82"/>
        <v>y=-2.8628*0.568^2+86.116*0.568-37.286</v>
      </c>
      <c r="AN710" s="10" t="str">
        <f t="shared" si="82"/>
        <v>y=-0.232*0.568^2+72.802*0.568-30.279</v>
      </c>
      <c r="AO710" s="10" t="str">
        <f t="shared" si="83"/>
        <v>FALSE</v>
      </c>
      <c r="AP710" s="10" t="str">
        <f t="shared" si="83"/>
        <v>y=0*0.568^2+67.076*0.568-21.654</v>
      </c>
      <c r="AQ710" s="10" t="str">
        <f>IF(AND(I710="TP",S710&lt;=150),VLOOKUP(AF710,TPCalibEq150!$AZ$2:$BB$55,3,),IF(AND(I710="TDP",S710&lt;=150),VLOOKUP(AF710,TPCalibEq150!$AZ$2:$BB$55,3,)))</f>
        <v>y=-1.7779x2+83.185x-35.938</v>
      </c>
      <c r="AR710" s="10" t="str">
        <f>IF(AND(I710="TP",S710&lt;=300),VLOOKUP(AF710,TPCalibEq300!$AZ$2:$BB$55,3,),IF(AND(I710="TDP",S710&lt;=300),VLOOKUP(AF710,TPCalibEq300!$AZ$2:$BB$55,3,)))</f>
        <v>y=-2.8628x2+86.116x-37.286</v>
      </c>
      <c r="AS710" s="10" t="str">
        <f>IF(AND(I710="TP",S710&lt;=500),VLOOKUP(AF710,TPCalibEq500!$AZ$2:$BB$56,3,),IF(AND(I710="TDP",S710&lt;=500),VLOOKUP(AF710,TPCalibEq500!$AZ$2:$BB$56,3,)))</f>
        <v>y=-0.232x2+72.802x-30.279</v>
      </c>
      <c r="AT710" s="10" t="b">
        <f>IF(AND(I710="TN",S710&lt;=2800),VLOOKUP(AF710,TNCalibEq2500!$AZ$2:$BB$56,3,),IF(AND(I710="TDN",S710&lt;=2800),VLOOKUP(AF710,TNCalibEq2500!$AZ$2:$BB$56,3,)))</f>
        <v>0</v>
      </c>
      <c r="AU710" s="10" t="str">
        <f>IF(I710="TP",VLOOKUP(AF710,TPCalibEqFull!$AZ$2:$BB$56,3),IF(I710="TDP",VLOOKUP(AF710,TPCalibEqFull!$AZ$2:$BB$56,3),IF(I710="TDN",VLOOKUP(AF710,TNCalibEqFull!$AZ$1:$BB$56,3),IF(I710="TN",VLOOKUP(AF710,TNCalibEqFull!$AZ$1:$BB$56,3),FALSE))))</f>
        <v>y=0x2+67.076x-21.654</v>
      </c>
      <c r="AV710" s="10" t="str">
        <f t="shared" si="81"/>
        <v>0111 09:00:00-QAC-STD-D.G-1-DI-CAL</v>
      </c>
    </row>
    <row r="711" spans="1:48" s="10" customFormat="1" x14ac:dyDescent="0.55000000000000004">
      <c r="A711" s="32">
        <v>44937</v>
      </c>
      <c r="B711" s="33">
        <v>0.375</v>
      </c>
      <c r="C711" s="10" t="s">
        <v>70</v>
      </c>
      <c r="D711" s="10" t="s">
        <v>71</v>
      </c>
      <c r="E711" s="10" t="s">
        <v>919</v>
      </c>
      <c r="F711" s="10">
        <v>1</v>
      </c>
      <c r="G711" s="10" t="s">
        <v>73</v>
      </c>
      <c r="H711" s="10" t="s">
        <v>74</v>
      </c>
      <c r="I711" s="10" t="s">
        <v>83</v>
      </c>
      <c r="J711" s="10">
        <v>183</v>
      </c>
      <c r="K711" s="12">
        <v>44937</v>
      </c>
      <c r="L711" s="33">
        <v>0.57885416666666667</v>
      </c>
      <c r="M711" s="10">
        <v>1</v>
      </c>
      <c r="N711" s="10" t="s">
        <v>84</v>
      </c>
      <c r="O711" s="10">
        <v>1.05</v>
      </c>
      <c r="P711" s="10">
        <v>7.3899999999999993E-2</v>
      </c>
      <c r="Q711" s="10">
        <v>50</v>
      </c>
      <c r="R711" s="10" t="s">
        <v>85</v>
      </c>
      <c r="S711" s="34">
        <f t="shared" si="77"/>
        <v>50</v>
      </c>
      <c r="T711" s="10" t="s">
        <v>1022</v>
      </c>
      <c r="U711" s="34" t="str">
        <f t="shared" si="78"/>
        <v/>
      </c>
      <c r="V711" s="31" t="str">
        <f>IF(H711="CHK",VLOOKUP(I711,QCCHK,3,),IF(H711="GUP",VLOOKUP(E711,QCGUP,2,),IF(AND(H711="ATP",OR(I711="TN",I711="TDN",I711="TNO2-3",I711="NO2-3")),VLOOKUP(E711,QCREC_N,2,),IF(AND(H711="NIC",OR(I711="TN",I711="TDN",I711="TNO2-3",I711="NO2-3")),VLOOKUP(E711,QCNIC_N,2,),IF(AND(H711="UREA",OR(I711="TN",I711="TDN",I711="TNO2-3",I711="NO2-3")),VLOOKUP(E711,QCUREA_N,2,),IF(H711="PER",VLOOKUP(I711,QCPER,MATCH(E711,QCACTUAL!$J$25:$AA$25,0),),IF(H711="SPK",VLOOKUP(I711,QCSPK,3,),IF(AND(H711="ATP",OR(I711="TP",I711="TDP")),VLOOKUP(E711,QCATP_P,2,),""))))))))</f>
        <v/>
      </c>
      <c r="W711" s="31" t="str">
        <f t="shared" si="79"/>
        <v>TRUE</v>
      </c>
      <c r="X711" s="31" t="str">
        <f t="shared" si="80"/>
        <v/>
      </c>
      <c r="Y711" s="10" t="s">
        <v>1021</v>
      </c>
      <c r="AF711" s="12">
        <v>44937</v>
      </c>
      <c r="AG711" s="10">
        <f>-1.7779*1.05^2+83.185*1.05-35.938</f>
        <v>49.446115250000005</v>
      </c>
      <c r="AH711" s="10">
        <f>-2.8628*1.05^2+86.116*1.05-37.286</f>
        <v>49.979562999999999</v>
      </c>
      <c r="AI711" s="10">
        <f>-0.232*1.05^2+72.802*1.05-30.279</f>
        <v>45.907320000000013</v>
      </c>
      <c r="AK711" s="10">
        <f>0*1.05^2+67.076*1.05-21.654</f>
        <v>48.775800000000004</v>
      </c>
      <c r="AL711" s="10" t="str">
        <f t="shared" si="82"/>
        <v>y=-1.7779*1.05^2+83.185*1.05-35.938</v>
      </c>
      <c r="AM711" s="10" t="str">
        <f t="shared" si="82"/>
        <v>y=-2.8628*1.05^2+86.116*1.05-37.286</v>
      </c>
      <c r="AN711" s="10" t="str">
        <f t="shared" si="82"/>
        <v>y=-0.232*1.05^2+72.802*1.05-30.279</v>
      </c>
      <c r="AO711" s="10" t="str">
        <f t="shared" si="83"/>
        <v>FALSE</v>
      </c>
      <c r="AP711" s="10" t="str">
        <f t="shared" si="83"/>
        <v>y=0*1.05^2+67.076*1.05-21.654</v>
      </c>
      <c r="AQ711" s="10" t="str">
        <f>IF(AND(I711="TP",S711&lt;=150),VLOOKUP(AF711,TPCalibEq150!$AZ$2:$BB$55,3,),IF(AND(I711="TDP",S711&lt;=150),VLOOKUP(AF711,TPCalibEq150!$AZ$2:$BB$55,3,)))</f>
        <v>y=-1.7779x2+83.185x-35.938</v>
      </c>
      <c r="AR711" s="10" t="str">
        <f>IF(AND(I711="TP",S711&lt;=300),VLOOKUP(AF711,TPCalibEq300!$AZ$2:$BB$55,3,),IF(AND(I711="TDP",S711&lt;=300),VLOOKUP(AF711,TPCalibEq300!$AZ$2:$BB$55,3,)))</f>
        <v>y=-2.8628x2+86.116x-37.286</v>
      </c>
      <c r="AS711" s="10" t="str">
        <f>IF(AND(I711="TP",S711&lt;=500),VLOOKUP(AF711,TPCalibEq500!$AZ$2:$BB$56,3,),IF(AND(I711="TDP",S711&lt;=500),VLOOKUP(AF711,TPCalibEq500!$AZ$2:$BB$56,3,)))</f>
        <v>y=-0.232x2+72.802x-30.279</v>
      </c>
      <c r="AT711" s="10" t="b">
        <f>IF(AND(I711="TN",S711&lt;=2800),VLOOKUP(AF711,TNCalibEq2500!$AZ$2:$BB$56,3,),IF(AND(I711="TDN",S711&lt;=2800),VLOOKUP(AF711,TNCalibEq2500!$AZ$2:$BB$56,3,)))</f>
        <v>0</v>
      </c>
      <c r="AU711" s="10" t="str">
        <f>IF(I711="TP",VLOOKUP(AF711,TPCalibEqFull!$AZ$2:$BB$56,3),IF(I711="TDP",VLOOKUP(AF711,TPCalibEqFull!$AZ$2:$BB$56,3),IF(I711="TDN",VLOOKUP(AF711,TNCalibEqFull!$AZ$1:$BB$56,3),IF(I711="TN",VLOOKUP(AF711,TNCalibEqFull!$AZ$1:$BB$56,3),FALSE))))</f>
        <v>y=0x2+67.076x-21.654</v>
      </c>
      <c r="AV711" s="10" t="str">
        <f t="shared" si="81"/>
        <v>0111 09:00:00-QAC-STD-D.F-1-DI-CAL</v>
      </c>
    </row>
    <row r="712" spans="1:48" s="10" customFormat="1" x14ac:dyDescent="0.55000000000000004">
      <c r="A712" s="32">
        <v>44937</v>
      </c>
      <c r="B712" s="33">
        <v>0.375</v>
      </c>
      <c r="C712" s="10" t="s">
        <v>70</v>
      </c>
      <c r="D712" s="10" t="s">
        <v>71</v>
      </c>
      <c r="E712" s="10" t="s">
        <v>920</v>
      </c>
      <c r="F712" s="10">
        <v>1</v>
      </c>
      <c r="G712" s="10" t="s">
        <v>73</v>
      </c>
      <c r="H712" s="10" t="s">
        <v>74</v>
      </c>
      <c r="I712" s="10" t="s">
        <v>83</v>
      </c>
      <c r="J712" s="10">
        <v>184</v>
      </c>
      <c r="K712" s="12">
        <v>44937</v>
      </c>
      <c r="L712" s="33">
        <v>0.57956018518518515</v>
      </c>
      <c r="M712" s="10">
        <v>1</v>
      </c>
      <c r="N712" s="10" t="s">
        <v>84</v>
      </c>
      <c r="O712" s="10">
        <v>3.34</v>
      </c>
      <c r="P712" s="10">
        <v>0.23899999999999999</v>
      </c>
      <c r="Q712" s="10">
        <v>200</v>
      </c>
      <c r="R712" s="10" t="s">
        <v>85</v>
      </c>
      <c r="S712" s="34">
        <f t="shared" si="77"/>
        <v>200</v>
      </c>
      <c r="T712" s="10" t="s">
        <v>1023</v>
      </c>
      <c r="U712" s="34" t="str">
        <f t="shared" si="78"/>
        <v/>
      </c>
      <c r="V712" s="31" t="str">
        <f>IF(H712="CHK",VLOOKUP(I712,QCCHK,3,),IF(H712="GUP",VLOOKUP(E712,QCGUP,2,),IF(AND(H712="ATP",OR(I712="TN",I712="TDN",I712="TNO2-3",I712="NO2-3")),VLOOKUP(E712,QCREC_N,2,),IF(AND(H712="NIC",OR(I712="TN",I712="TDN",I712="TNO2-3",I712="NO2-3")),VLOOKUP(E712,QCNIC_N,2,),IF(AND(H712="UREA",OR(I712="TN",I712="TDN",I712="TNO2-3",I712="NO2-3")),VLOOKUP(E712,QCUREA_N,2,),IF(H712="PER",VLOOKUP(I712,QCPER,MATCH(E712,QCACTUAL!$J$25:$AA$25,0),),IF(H712="SPK",VLOOKUP(I712,QCSPK,3,),IF(AND(H712="ATP",OR(I712="TP",I712="TDP")),VLOOKUP(E712,QCATP_P,2,),""))))))))</f>
        <v/>
      </c>
      <c r="W712" s="31" t="str">
        <f t="shared" si="79"/>
        <v>TRUE</v>
      </c>
      <c r="X712" s="31" t="str">
        <f t="shared" si="80"/>
        <v/>
      </c>
      <c r="Y712" s="10" t="s">
        <v>1021</v>
      </c>
      <c r="AF712" s="12">
        <v>44937</v>
      </c>
      <c r="AH712" s="10">
        <f>-2.8628*3.34^2+86.116*3.34-37.286</f>
        <v>218.40518831999998</v>
      </c>
      <c r="AI712" s="10">
        <f>-0.232*3.34^2+72.802*3.34-30.279</f>
        <v>210.29158080000002</v>
      </c>
      <c r="AK712" s="10">
        <f>0*3.34^2+67.076*3.34-21.654</f>
        <v>202.37983999999997</v>
      </c>
      <c r="AL712" s="10" t="str">
        <f t="shared" si="82"/>
        <v>FALSE</v>
      </c>
      <c r="AM712" s="10" t="str">
        <f t="shared" si="82"/>
        <v>y=-2.8628*3.34^2+86.116*3.34-37.286</v>
      </c>
      <c r="AN712" s="10" t="str">
        <f t="shared" si="82"/>
        <v>y=-0.232*3.34^2+72.802*3.34-30.279</v>
      </c>
      <c r="AO712" s="10" t="str">
        <f t="shared" si="83"/>
        <v>FALSE</v>
      </c>
      <c r="AP712" s="10" t="str">
        <f t="shared" si="83"/>
        <v>y=0*3.34^2+67.076*3.34-21.654</v>
      </c>
      <c r="AQ712" s="10" t="b">
        <f>IF(AND(I712="TP",S712&lt;=150),VLOOKUP(AF712,TPCalibEq150!$AZ$2:$BB$55,3,),IF(AND(I712="TDP",S712&lt;=150),VLOOKUP(AF712,TPCalibEq150!$AZ$2:$BB$55,3,)))</f>
        <v>0</v>
      </c>
      <c r="AR712" s="10" t="str">
        <f>IF(AND(I712="TP",S712&lt;=300),VLOOKUP(AF712,TPCalibEq300!$AZ$2:$BB$55,3,),IF(AND(I712="TDP",S712&lt;=300),VLOOKUP(AF712,TPCalibEq300!$AZ$2:$BB$55,3,)))</f>
        <v>y=-2.8628x2+86.116x-37.286</v>
      </c>
      <c r="AS712" s="10" t="str">
        <f>IF(AND(I712="TP",S712&lt;=500),VLOOKUP(AF712,TPCalibEq500!$AZ$2:$BB$56,3,),IF(AND(I712="TDP",S712&lt;=500),VLOOKUP(AF712,TPCalibEq500!$AZ$2:$BB$56,3,)))</f>
        <v>y=-0.232x2+72.802x-30.279</v>
      </c>
      <c r="AT712" s="10" t="b">
        <f>IF(AND(I712="TN",S712&lt;=2800),VLOOKUP(AF712,TNCalibEq2500!$AZ$2:$BB$56,3,),IF(AND(I712="TDN",S712&lt;=2800),VLOOKUP(AF712,TNCalibEq2500!$AZ$2:$BB$56,3,)))</f>
        <v>0</v>
      </c>
      <c r="AU712" s="10" t="str">
        <f>IF(I712="TP",VLOOKUP(AF712,TPCalibEqFull!$AZ$2:$BB$56,3),IF(I712="TDP",VLOOKUP(AF712,TPCalibEqFull!$AZ$2:$BB$56,3),IF(I712="TDN",VLOOKUP(AF712,TNCalibEqFull!$AZ$1:$BB$56,3),IF(I712="TN",VLOOKUP(AF712,TNCalibEqFull!$AZ$1:$BB$56,3),FALSE))))</f>
        <v>y=0x2+67.076x-21.654</v>
      </c>
      <c r="AV712" s="10" t="str">
        <f t="shared" si="81"/>
        <v>0111 09:00:00-QAC-STD-D.E-1-DI-CAL</v>
      </c>
    </row>
    <row r="713" spans="1:48" s="10" customFormat="1" x14ac:dyDescent="0.55000000000000004">
      <c r="A713" s="32">
        <v>44937</v>
      </c>
      <c r="B713" s="33">
        <v>0.375</v>
      </c>
      <c r="C713" s="10" t="s">
        <v>70</v>
      </c>
      <c r="D713" s="10" t="s">
        <v>71</v>
      </c>
      <c r="E713" s="10" t="s">
        <v>921</v>
      </c>
      <c r="F713" s="10">
        <v>1</v>
      </c>
      <c r="G713" s="10" t="s">
        <v>73</v>
      </c>
      <c r="H713" s="10" t="s">
        <v>74</v>
      </c>
      <c r="I713" s="10" t="s">
        <v>83</v>
      </c>
      <c r="J713" s="10">
        <v>185</v>
      </c>
      <c r="K713" s="12">
        <v>44937</v>
      </c>
      <c r="L713" s="33">
        <v>0.5802546296296297</v>
      </c>
      <c r="M713" s="10">
        <v>1</v>
      </c>
      <c r="N713" s="10" t="s">
        <v>84</v>
      </c>
      <c r="O713" s="10">
        <v>7.42</v>
      </c>
      <c r="P713" s="10">
        <v>0.53400000000000003</v>
      </c>
      <c r="Q713" s="10">
        <v>500</v>
      </c>
      <c r="R713" s="10" t="s">
        <v>85</v>
      </c>
      <c r="S713" s="34">
        <f t="shared" si="77"/>
        <v>500</v>
      </c>
      <c r="T713" s="10" t="s">
        <v>1024</v>
      </c>
      <c r="U713" s="34" t="str">
        <f t="shared" si="78"/>
        <v/>
      </c>
      <c r="V713" s="31" t="str">
        <f>IF(H713="CHK",VLOOKUP(I713,QCCHK,3,),IF(H713="GUP",VLOOKUP(E713,QCGUP,2,),IF(AND(H713="ATP",OR(I713="TN",I713="TDN",I713="TNO2-3",I713="NO2-3")),VLOOKUP(E713,QCREC_N,2,),IF(AND(H713="NIC",OR(I713="TN",I713="TDN",I713="TNO2-3",I713="NO2-3")),VLOOKUP(E713,QCNIC_N,2,),IF(AND(H713="UREA",OR(I713="TN",I713="TDN",I713="TNO2-3",I713="NO2-3")),VLOOKUP(E713,QCUREA_N,2,),IF(H713="PER",VLOOKUP(I713,QCPER,MATCH(E713,QCACTUAL!$J$25:$AA$25,0),),IF(H713="SPK",VLOOKUP(I713,QCSPK,3,),IF(AND(H713="ATP",OR(I713="TP",I713="TDP")),VLOOKUP(E713,QCATP_P,2,),""))))))))</f>
        <v/>
      </c>
      <c r="W713" s="31" t="str">
        <f t="shared" si="79"/>
        <v>TRUE</v>
      </c>
      <c r="X713" s="31" t="str">
        <f t="shared" si="80"/>
        <v/>
      </c>
      <c r="Y713" s="10" t="s">
        <v>1021</v>
      </c>
      <c r="AF713" s="12">
        <v>44937</v>
      </c>
      <c r="AI713" s="10">
        <f>-0.232*7.42^2+72.802*7.42-30.279</f>
        <v>497.13875520000011</v>
      </c>
      <c r="AK713" s="10">
        <f>0*7.42^2+67.076*7.42-21.654</f>
        <v>476.04991999999993</v>
      </c>
      <c r="AL713" s="10" t="str">
        <f t="shared" si="82"/>
        <v>FALSE</v>
      </c>
      <c r="AM713" s="10" t="str">
        <f t="shared" si="82"/>
        <v>FALSE</v>
      </c>
      <c r="AN713" s="10" t="str">
        <f t="shared" si="82"/>
        <v>y=-0.232*7.42^2+72.802*7.42-30.279</v>
      </c>
      <c r="AO713" s="10" t="str">
        <f t="shared" si="83"/>
        <v>FALSE</v>
      </c>
      <c r="AP713" s="10" t="str">
        <f t="shared" si="83"/>
        <v>y=0*7.42^2+67.076*7.42-21.654</v>
      </c>
      <c r="AQ713" s="10" t="b">
        <f>IF(AND(I713="TP",S713&lt;=150),VLOOKUP(AF713,TPCalibEq150!$AZ$2:$BB$55,3,),IF(AND(I713="TDP",S713&lt;=150),VLOOKUP(AF713,TPCalibEq150!$AZ$2:$BB$55,3,)))</f>
        <v>0</v>
      </c>
      <c r="AR713" s="10" t="b">
        <f>IF(AND(I713="TP",S713&lt;=300),VLOOKUP(AF713,TPCalibEq300!$AZ$2:$BB$55,3,),IF(AND(I713="TDP",S713&lt;=300),VLOOKUP(AF713,TPCalibEq300!$AZ$2:$BB$55,3,)))</f>
        <v>0</v>
      </c>
      <c r="AS713" s="10" t="str">
        <f>IF(AND(I713="TP",S713&lt;=500),VLOOKUP(AF713,TPCalibEq500!$AZ$2:$BB$56,3,),IF(AND(I713="TDP",S713&lt;=500),VLOOKUP(AF713,TPCalibEq500!$AZ$2:$BB$56,3,)))</f>
        <v>y=-0.232x2+72.802x-30.279</v>
      </c>
      <c r="AT713" s="10" t="b">
        <f>IF(AND(I713="TN",S713&lt;=2800),VLOOKUP(AF713,TNCalibEq2500!$AZ$2:$BB$56,3,),IF(AND(I713="TDN",S713&lt;=2800),VLOOKUP(AF713,TNCalibEq2500!$AZ$2:$BB$56,3,)))</f>
        <v>0</v>
      </c>
      <c r="AU713" s="10" t="str">
        <f>IF(I713="TP",VLOOKUP(AF713,TPCalibEqFull!$AZ$2:$BB$56,3),IF(I713="TDP",VLOOKUP(AF713,TPCalibEqFull!$AZ$2:$BB$56,3),IF(I713="TDN",VLOOKUP(AF713,TNCalibEqFull!$AZ$1:$BB$56,3),IF(I713="TN",VLOOKUP(AF713,TNCalibEqFull!$AZ$1:$BB$56,3),FALSE))))</f>
        <v>y=0x2+67.076x-21.654</v>
      </c>
      <c r="AV713" s="10" t="str">
        <f t="shared" si="81"/>
        <v>0111 09:00:00-QAC-STD-D.D-1-DI-CAL</v>
      </c>
    </row>
    <row r="714" spans="1:48" s="10" customFormat="1" x14ac:dyDescent="0.55000000000000004">
      <c r="A714" s="32">
        <v>44937</v>
      </c>
      <c r="B714" s="33">
        <v>0.375</v>
      </c>
      <c r="C714" s="10" t="s">
        <v>70</v>
      </c>
      <c r="D714" s="10" t="s">
        <v>71</v>
      </c>
      <c r="E714" s="10" t="s">
        <v>922</v>
      </c>
      <c r="F714" s="10">
        <v>1</v>
      </c>
      <c r="G714" s="10" t="s">
        <v>73</v>
      </c>
      <c r="H714" s="10" t="s">
        <v>74</v>
      </c>
      <c r="I714" s="10" t="s">
        <v>83</v>
      </c>
      <c r="J714" s="10">
        <v>186</v>
      </c>
      <c r="K714" s="12">
        <v>44937</v>
      </c>
      <c r="L714" s="33">
        <v>0.58097222222222222</v>
      </c>
      <c r="M714" s="10">
        <v>1</v>
      </c>
      <c r="N714" s="10" t="s">
        <v>84</v>
      </c>
      <c r="O714" s="10">
        <v>15.6</v>
      </c>
      <c r="P714" s="10">
        <v>1.1200000000000001</v>
      </c>
      <c r="Q714" s="10">
        <v>1000</v>
      </c>
      <c r="R714" s="10" t="s">
        <v>85</v>
      </c>
      <c r="S714" s="34">
        <f t="shared" si="77"/>
        <v>1000</v>
      </c>
      <c r="T714" s="10" t="s">
        <v>1025</v>
      </c>
      <c r="U714" s="34" t="str">
        <f t="shared" si="78"/>
        <v/>
      </c>
      <c r="V714" s="31" t="str">
        <f>IF(H714="CHK",VLOOKUP(I714,QCCHK,3,),IF(H714="GUP",VLOOKUP(E714,QCGUP,2,),IF(AND(H714="ATP",OR(I714="TN",I714="TDN",I714="TNO2-3",I714="NO2-3")),VLOOKUP(E714,QCREC_N,2,),IF(AND(H714="NIC",OR(I714="TN",I714="TDN",I714="TNO2-3",I714="NO2-3")),VLOOKUP(E714,QCNIC_N,2,),IF(AND(H714="UREA",OR(I714="TN",I714="TDN",I714="TNO2-3",I714="NO2-3")),VLOOKUP(E714,QCUREA_N,2,),IF(H714="PER",VLOOKUP(I714,QCPER,MATCH(E714,QCACTUAL!$J$25:$AA$25,0),),IF(H714="SPK",VLOOKUP(I714,QCSPK,3,),IF(AND(H714="ATP",OR(I714="TP",I714="TDP")),VLOOKUP(E714,QCATP_P,2,),""))))))))</f>
        <v/>
      </c>
      <c r="W714" s="31" t="str">
        <f t="shared" si="79"/>
        <v>TRUE</v>
      </c>
      <c r="X714" s="31" t="str">
        <f t="shared" si="80"/>
        <v/>
      </c>
      <c r="Y714" s="10" t="s">
        <v>1021</v>
      </c>
      <c r="AF714" s="12">
        <v>44937</v>
      </c>
      <c r="AK714" s="10">
        <f>0*15.6^2+67.076*15.6-21.654</f>
        <v>1024.7315999999998</v>
      </c>
      <c r="AL714" s="10" t="str">
        <f t="shared" si="82"/>
        <v>FALSE</v>
      </c>
      <c r="AM714" s="10" t="str">
        <f t="shared" si="82"/>
        <v>FALSE</v>
      </c>
      <c r="AN714" s="10" t="str">
        <f t="shared" si="82"/>
        <v>FALSE</v>
      </c>
      <c r="AO714" s="10" t="str">
        <f t="shared" si="83"/>
        <v>FALSE</v>
      </c>
      <c r="AP714" s="10" t="str">
        <f t="shared" si="83"/>
        <v>y=0*15.6^2+67.076*15.6-21.654</v>
      </c>
      <c r="AQ714" s="10" t="b">
        <f>IF(AND(I714="TP",S714&lt;=150),VLOOKUP(AF714,TPCalibEq150!$AZ$2:$BB$55,3,),IF(AND(I714="TDP",S714&lt;=150),VLOOKUP(AF714,TPCalibEq150!$AZ$2:$BB$55,3,)))</f>
        <v>0</v>
      </c>
      <c r="AR714" s="10" t="b">
        <f>IF(AND(I714="TP",S714&lt;=300),VLOOKUP(AF714,TPCalibEq300!$AZ$2:$BB$55,3,),IF(AND(I714="TDP",S714&lt;=300),VLOOKUP(AF714,TPCalibEq300!$AZ$2:$BB$55,3,)))</f>
        <v>0</v>
      </c>
      <c r="AS714" s="10" t="b">
        <f>IF(AND(I714="TP",S714&lt;=500),VLOOKUP(AF714,TPCalibEq500!$AZ$2:$BB$56,3,),IF(AND(I714="TDP",S714&lt;=500),VLOOKUP(AF714,TPCalibEq500!$AZ$2:$BB$56,3,)))</f>
        <v>0</v>
      </c>
      <c r="AT714" s="10" t="b">
        <f>IF(AND(I714="TN",S714&lt;=2800),VLOOKUP(AF714,TNCalibEq2500!$AZ$2:$BB$56,3,),IF(AND(I714="TDN",S714&lt;=2800),VLOOKUP(AF714,TNCalibEq2500!$AZ$2:$BB$56,3,)))</f>
        <v>0</v>
      </c>
      <c r="AU714" s="10" t="str">
        <f>IF(I714="TP",VLOOKUP(AF714,TPCalibEqFull!$AZ$2:$BB$56,3),IF(I714="TDP",VLOOKUP(AF714,TPCalibEqFull!$AZ$2:$BB$56,3),IF(I714="TDN",VLOOKUP(AF714,TNCalibEqFull!$AZ$1:$BB$56,3),IF(I714="TN",VLOOKUP(AF714,TNCalibEqFull!$AZ$1:$BB$56,3),FALSE))))</f>
        <v>y=0x2+67.076x-21.654</v>
      </c>
      <c r="AV714" s="10" t="str">
        <f t="shared" si="81"/>
        <v>0111 09:00:00-QAC-STD-D.C-1-DI-CAL</v>
      </c>
    </row>
    <row r="715" spans="1:48" s="10" customFormat="1" x14ac:dyDescent="0.55000000000000004">
      <c r="A715" s="32">
        <v>44937</v>
      </c>
      <c r="B715" s="33">
        <v>0.375</v>
      </c>
      <c r="C715" s="10" t="s">
        <v>70</v>
      </c>
      <c r="D715" s="10" t="s">
        <v>71</v>
      </c>
      <c r="E715" s="10" t="s">
        <v>923</v>
      </c>
      <c r="F715" s="10">
        <v>1</v>
      </c>
      <c r="G715" s="10" t="s">
        <v>73</v>
      </c>
      <c r="H715" s="10" t="s">
        <v>74</v>
      </c>
      <c r="I715" s="10" t="s">
        <v>83</v>
      </c>
      <c r="J715" s="10">
        <v>187</v>
      </c>
      <c r="K715" s="12">
        <v>44937</v>
      </c>
      <c r="L715" s="33">
        <v>0.5816782407407407</v>
      </c>
      <c r="M715" s="10">
        <v>1</v>
      </c>
      <c r="N715" s="10" t="s">
        <v>84</v>
      </c>
      <c r="O715" s="10">
        <v>23</v>
      </c>
      <c r="P715" s="10">
        <v>1.63</v>
      </c>
      <c r="Q715" s="10">
        <v>1500</v>
      </c>
      <c r="R715" s="10" t="s">
        <v>85</v>
      </c>
      <c r="S715" s="34">
        <f t="shared" si="77"/>
        <v>1500</v>
      </c>
      <c r="T715" s="10" t="s">
        <v>1026</v>
      </c>
      <c r="U715" s="34" t="str">
        <f t="shared" si="78"/>
        <v/>
      </c>
      <c r="V715" s="31" t="str">
        <f>IF(H715="CHK",VLOOKUP(I715,QCCHK,3,),IF(H715="GUP",VLOOKUP(E715,QCGUP,2,),IF(AND(H715="ATP",OR(I715="TN",I715="TDN",I715="TNO2-3",I715="NO2-3")),VLOOKUP(E715,QCREC_N,2,),IF(AND(H715="NIC",OR(I715="TN",I715="TDN",I715="TNO2-3",I715="NO2-3")),VLOOKUP(E715,QCNIC_N,2,),IF(AND(H715="UREA",OR(I715="TN",I715="TDN",I715="TNO2-3",I715="NO2-3")),VLOOKUP(E715,QCUREA_N,2,),IF(H715="PER",VLOOKUP(I715,QCPER,MATCH(E715,QCACTUAL!$J$25:$AA$25,0),),IF(H715="SPK",VLOOKUP(I715,QCSPK,3,),IF(AND(H715="ATP",OR(I715="TP",I715="TDP")),VLOOKUP(E715,QCATP_P,2,),""))))))))</f>
        <v/>
      </c>
      <c r="W715" s="31" t="str">
        <f t="shared" si="79"/>
        <v>TRUE</v>
      </c>
      <c r="X715" s="31" t="str">
        <f t="shared" si="80"/>
        <v/>
      </c>
      <c r="Y715" s="10" t="s">
        <v>1021</v>
      </c>
      <c r="AF715" s="12">
        <v>44937</v>
      </c>
      <c r="AK715" s="10">
        <f>0*23^2+67.076*23-21.654</f>
        <v>1521.0939999999998</v>
      </c>
      <c r="AL715" s="10" t="str">
        <f t="shared" si="82"/>
        <v>FALSE</v>
      </c>
      <c r="AM715" s="10" t="str">
        <f t="shared" si="82"/>
        <v>FALSE</v>
      </c>
      <c r="AN715" s="10" t="str">
        <f t="shared" si="82"/>
        <v>FALSE</v>
      </c>
      <c r="AO715" s="10" t="str">
        <f t="shared" si="83"/>
        <v>FALSE</v>
      </c>
      <c r="AP715" s="10" t="str">
        <f t="shared" si="83"/>
        <v>y=0*23^2+67.076*23-21.654</v>
      </c>
      <c r="AQ715" s="10" t="b">
        <f>IF(AND(I715="TP",S715&lt;=150),VLOOKUP(AF715,TPCalibEq150!$AZ$2:$BB$55,3,),IF(AND(I715="TDP",S715&lt;=150),VLOOKUP(AF715,TPCalibEq150!$AZ$2:$BB$55,3,)))</f>
        <v>0</v>
      </c>
      <c r="AR715" s="10" t="b">
        <f>IF(AND(I715="TP",S715&lt;=300),VLOOKUP(AF715,TPCalibEq300!$AZ$2:$BB$55,3,),IF(AND(I715="TDP",S715&lt;=300),VLOOKUP(AF715,TPCalibEq300!$AZ$2:$BB$55,3,)))</f>
        <v>0</v>
      </c>
      <c r="AS715" s="10" t="b">
        <f>IF(AND(I715="TP",S715&lt;=500),VLOOKUP(AF715,TPCalibEq500!$AZ$2:$BB$56,3,),IF(AND(I715="TDP",S715&lt;=500),VLOOKUP(AF715,TPCalibEq500!$AZ$2:$BB$56,3,)))</f>
        <v>0</v>
      </c>
      <c r="AT715" s="10" t="b">
        <f>IF(AND(I715="TN",S715&lt;=2800),VLOOKUP(AF715,TNCalibEq2500!$AZ$2:$BB$56,3,),IF(AND(I715="TDN",S715&lt;=2800),VLOOKUP(AF715,TNCalibEq2500!$AZ$2:$BB$56,3,)))</f>
        <v>0</v>
      </c>
      <c r="AU715" s="10" t="str">
        <f>IF(I715="TP",VLOOKUP(AF715,TPCalibEqFull!$AZ$2:$BB$56,3),IF(I715="TDP",VLOOKUP(AF715,TPCalibEqFull!$AZ$2:$BB$56,3),IF(I715="TDN",VLOOKUP(AF715,TNCalibEqFull!$AZ$1:$BB$56,3),IF(I715="TN",VLOOKUP(AF715,TNCalibEqFull!$AZ$1:$BB$56,3),FALSE))))</f>
        <v>y=0x2+67.076x-21.654</v>
      </c>
      <c r="AV715" s="10" t="str">
        <f t="shared" si="81"/>
        <v>0111 09:00:00-QAC-STD-D.B-1-DI-CAL</v>
      </c>
    </row>
    <row r="716" spans="1:48" s="10" customFormat="1" x14ac:dyDescent="0.55000000000000004">
      <c r="A716" s="32">
        <v>44937</v>
      </c>
      <c r="B716" s="33">
        <v>0.375</v>
      </c>
      <c r="C716" s="10" t="s">
        <v>70</v>
      </c>
      <c r="D716" s="10" t="s">
        <v>71</v>
      </c>
      <c r="E716" s="10" t="s">
        <v>924</v>
      </c>
      <c r="F716" s="10">
        <v>1</v>
      </c>
      <c r="G716" s="10" t="s">
        <v>73</v>
      </c>
      <c r="H716" s="10" t="s">
        <v>74</v>
      </c>
      <c r="I716" s="10" t="s">
        <v>83</v>
      </c>
      <c r="J716" s="10">
        <v>188</v>
      </c>
      <c r="K716" s="12">
        <v>44937</v>
      </c>
      <c r="L716" s="33">
        <v>0.58239583333333333</v>
      </c>
      <c r="M716" s="10">
        <v>1</v>
      </c>
      <c r="N716" s="10" t="s">
        <v>84</v>
      </c>
      <c r="O716" s="10">
        <v>29.9</v>
      </c>
      <c r="P716" s="10">
        <v>2.1</v>
      </c>
      <c r="Q716" s="10">
        <v>2000</v>
      </c>
      <c r="R716" s="10" t="s">
        <v>85</v>
      </c>
      <c r="S716" s="34">
        <f t="shared" si="77"/>
        <v>2000</v>
      </c>
      <c r="T716" s="10" t="s">
        <v>1027</v>
      </c>
      <c r="U716" s="34" t="str">
        <f t="shared" si="78"/>
        <v/>
      </c>
      <c r="V716" s="31" t="str">
        <f>IF(H716="CHK",VLOOKUP(I716,QCCHK,3,),IF(H716="GUP",VLOOKUP(E716,QCGUP,2,),IF(AND(H716="ATP",OR(I716="TN",I716="TDN",I716="TNO2-3",I716="NO2-3")),VLOOKUP(E716,QCREC_N,2,),IF(AND(H716="NIC",OR(I716="TN",I716="TDN",I716="TNO2-3",I716="NO2-3")),VLOOKUP(E716,QCNIC_N,2,),IF(AND(H716="UREA",OR(I716="TN",I716="TDN",I716="TNO2-3",I716="NO2-3")),VLOOKUP(E716,QCUREA_N,2,),IF(H716="PER",VLOOKUP(I716,QCPER,MATCH(E716,QCACTUAL!$J$25:$AA$25,0),),IF(H716="SPK",VLOOKUP(I716,QCSPK,3,),IF(AND(H716="ATP",OR(I716="TP",I716="TDP")),VLOOKUP(E716,QCATP_P,2,),""))))))))</f>
        <v/>
      </c>
      <c r="W716" s="31" t="str">
        <f t="shared" si="79"/>
        <v>TRUE</v>
      </c>
      <c r="X716" s="31" t="str">
        <f t="shared" si="80"/>
        <v/>
      </c>
      <c r="Y716" s="10" t="s">
        <v>1021</v>
      </c>
      <c r="AF716" s="12">
        <v>44937</v>
      </c>
      <c r="AK716" s="10">
        <f>0*29.9^2+67.076*29.9-21.654</f>
        <v>1983.9183999999998</v>
      </c>
      <c r="AL716" s="10" t="str">
        <f t="shared" si="82"/>
        <v>FALSE</v>
      </c>
      <c r="AM716" s="10" t="str">
        <f t="shared" si="82"/>
        <v>FALSE</v>
      </c>
      <c r="AN716" s="10" t="str">
        <f t="shared" si="82"/>
        <v>FALSE</v>
      </c>
      <c r="AO716" s="10" t="str">
        <f t="shared" si="83"/>
        <v>FALSE</v>
      </c>
      <c r="AP716" s="10" t="str">
        <f t="shared" si="83"/>
        <v>y=0*29.9^2+67.076*29.9-21.654</v>
      </c>
      <c r="AQ716" s="10" t="b">
        <f>IF(AND(I716="TP",S716&lt;=150),VLOOKUP(AF716,TPCalibEq150!$AZ$2:$BB$55,3,),IF(AND(I716="TDP",S716&lt;=150),VLOOKUP(AF716,TPCalibEq150!$AZ$2:$BB$55,3,)))</f>
        <v>0</v>
      </c>
      <c r="AR716" s="10" t="b">
        <f>IF(AND(I716="TP",S716&lt;=300),VLOOKUP(AF716,TPCalibEq300!$AZ$2:$BB$55,3,),IF(AND(I716="TDP",S716&lt;=300),VLOOKUP(AF716,TPCalibEq300!$AZ$2:$BB$55,3,)))</f>
        <v>0</v>
      </c>
      <c r="AS716" s="10" t="b">
        <f>IF(AND(I716="TP",S716&lt;=500),VLOOKUP(AF716,TPCalibEq500!$AZ$2:$BB$56,3,),IF(AND(I716="TDP",S716&lt;=500),VLOOKUP(AF716,TPCalibEq500!$AZ$2:$BB$56,3,)))</f>
        <v>0</v>
      </c>
      <c r="AT716" s="10" t="b">
        <f>IF(AND(I716="TN",S716&lt;=2800),VLOOKUP(AF716,TNCalibEq2500!$AZ$2:$BB$56,3,),IF(AND(I716="TDN",S716&lt;=2800),VLOOKUP(AF716,TNCalibEq2500!$AZ$2:$BB$56,3,)))</f>
        <v>0</v>
      </c>
      <c r="AU716" s="10" t="str">
        <f>IF(I716="TP",VLOOKUP(AF716,TPCalibEqFull!$AZ$2:$BB$56,3),IF(I716="TDP",VLOOKUP(AF716,TPCalibEqFull!$AZ$2:$BB$56,3),IF(I716="TDN",VLOOKUP(AF716,TNCalibEqFull!$AZ$1:$BB$56,3),IF(I716="TN",VLOOKUP(AF716,TNCalibEqFull!$AZ$1:$BB$56,3),FALSE))))</f>
        <v>y=0x2+67.076x-21.654</v>
      </c>
      <c r="AV716" s="10" t="str">
        <f t="shared" si="81"/>
        <v>0111 09:00:00-QAC-STD-D.A-1-DI-CAL</v>
      </c>
    </row>
    <row r="717" spans="1:48" s="10" customFormat="1" x14ac:dyDescent="0.55000000000000004">
      <c r="A717" s="32">
        <v>44937</v>
      </c>
      <c r="B717" s="33">
        <v>0.375</v>
      </c>
      <c r="C717" s="10" t="s">
        <v>70</v>
      </c>
      <c r="D717" s="10" t="s">
        <v>71</v>
      </c>
      <c r="E717" s="10" t="s">
        <v>925</v>
      </c>
      <c r="F717" s="10">
        <v>1</v>
      </c>
      <c r="G717" s="10" t="s">
        <v>73</v>
      </c>
      <c r="H717" s="10" t="s">
        <v>74</v>
      </c>
      <c r="I717" s="10" t="s">
        <v>83</v>
      </c>
      <c r="J717" s="10">
        <v>189</v>
      </c>
      <c r="K717" s="12">
        <v>44937</v>
      </c>
      <c r="L717" s="33">
        <v>0.58310185185185182</v>
      </c>
      <c r="M717" s="10">
        <v>1</v>
      </c>
      <c r="N717" s="10" t="s">
        <v>84</v>
      </c>
      <c r="O717" s="10">
        <v>0.46899999999999997</v>
      </c>
      <c r="P717" s="10">
        <v>3.1899999999999998E-2</v>
      </c>
      <c r="Q717" s="10">
        <v>0</v>
      </c>
      <c r="R717" s="10" t="s">
        <v>85</v>
      </c>
      <c r="S717" s="34">
        <f t="shared" si="77"/>
        <v>0</v>
      </c>
      <c r="T717" s="10" t="s">
        <v>1028</v>
      </c>
      <c r="U717" s="34" t="str">
        <f t="shared" si="78"/>
        <v/>
      </c>
      <c r="V717" s="31" t="str">
        <f>IF(H717="CHK",VLOOKUP(I717,QCCHK,3,),IF(H717="GUP",VLOOKUP(E717,QCGUP,2,),IF(AND(H717="ATP",OR(I717="TN",I717="TDN",I717="TNO2-3",I717="NO2-3")),VLOOKUP(E717,QCREC_N,2,),IF(AND(H717="NIC",OR(I717="TN",I717="TDN",I717="TNO2-3",I717="NO2-3")),VLOOKUP(E717,QCNIC_N,2,),IF(AND(H717="UREA",OR(I717="TN",I717="TDN",I717="TNO2-3",I717="NO2-3")),VLOOKUP(E717,QCUREA_N,2,),IF(H717="PER",VLOOKUP(I717,QCPER,MATCH(E717,QCACTUAL!$J$25:$AA$25,0),),IF(H717="SPK",VLOOKUP(I717,QCSPK,3,),IF(AND(H717="ATP",OR(I717="TP",I717="TDP")),VLOOKUP(E717,QCATP_P,2,),""))))))))</f>
        <v/>
      </c>
      <c r="W717" s="31" t="str">
        <f t="shared" si="79"/>
        <v>TRUE</v>
      </c>
      <c r="X717" s="31" t="str">
        <f t="shared" si="80"/>
        <v/>
      </c>
      <c r="Y717" s="10" t="s">
        <v>1021</v>
      </c>
      <c r="AF717" s="12">
        <v>44937</v>
      </c>
      <c r="AG717" s="10">
        <f>-1.7779*0.469^2+83.185*0.469-35.938</f>
        <v>2.6846963380999966</v>
      </c>
      <c r="AH717" s="10">
        <f>-2.8628*0.469^2+86.116*0.469-37.286</f>
        <v>2.4726996491999955</v>
      </c>
      <c r="AI717" s="10">
        <f>-0.232*0.469^2+72.802*0.469-30.279</f>
        <v>3.8141070480000003</v>
      </c>
      <c r="AK717" s="10">
        <f>0*0.469^2+67.076*0.469-21.654</f>
        <v>9.8046439999999961</v>
      </c>
      <c r="AL717" s="10" t="str">
        <f t="shared" si="82"/>
        <v>y=-1.7779*0.469^2+83.185*0.469-35.938</v>
      </c>
      <c r="AM717" s="10" t="str">
        <f t="shared" si="82"/>
        <v>y=-2.8628*0.469^2+86.116*0.469-37.286</v>
      </c>
      <c r="AN717" s="10" t="str">
        <f t="shared" si="82"/>
        <v>y=-0.232*0.469^2+72.802*0.469-30.279</v>
      </c>
      <c r="AO717" s="10" t="str">
        <f t="shared" si="83"/>
        <v>FALSE</v>
      </c>
      <c r="AP717" s="10" t="str">
        <f t="shared" si="83"/>
        <v>y=0*0.469^2+67.076*0.469-21.654</v>
      </c>
      <c r="AQ717" s="10" t="str">
        <f>IF(AND(I717="TP",S717&lt;=150),VLOOKUP(AF717,TPCalibEq150!$AZ$2:$BB$55,3,),IF(AND(I717="TDP",S717&lt;=150),VLOOKUP(AF717,TPCalibEq150!$AZ$2:$BB$55,3,)))</f>
        <v>y=-1.7779x2+83.185x-35.938</v>
      </c>
      <c r="AR717" s="10" t="str">
        <f>IF(AND(I717="TP",S717&lt;=300),VLOOKUP(AF717,TPCalibEq300!$AZ$2:$BB$55,3,),IF(AND(I717="TDP",S717&lt;=300),VLOOKUP(AF717,TPCalibEq300!$AZ$2:$BB$55,3,)))</f>
        <v>y=-2.8628x2+86.116x-37.286</v>
      </c>
      <c r="AS717" s="10" t="str">
        <f>IF(AND(I717="TP",S717&lt;=500),VLOOKUP(AF717,TPCalibEq500!$AZ$2:$BB$56,3,),IF(AND(I717="TDP",S717&lt;=500),VLOOKUP(AF717,TPCalibEq500!$AZ$2:$BB$56,3,)))</f>
        <v>y=-0.232x2+72.802x-30.279</v>
      </c>
      <c r="AT717" s="10" t="b">
        <f>IF(AND(I717="TN",S717&lt;=2800),VLOOKUP(AF717,TNCalibEq2500!$AZ$2:$BB$56,3,),IF(AND(I717="TDN",S717&lt;=2800),VLOOKUP(AF717,TNCalibEq2500!$AZ$2:$BB$56,3,)))</f>
        <v>0</v>
      </c>
      <c r="AU717" s="10" t="str">
        <f>IF(I717="TP",VLOOKUP(AF717,TPCalibEqFull!$AZ$2:$BB$56,3),IF(I717="TDP",VLOOKUP(AF717,TPCalibEqFull!$AZ$2:$BB$56,3),IF(I717="TDN",VLOOKUP(AF717,TNCalibEqFull!$AZ$1:$BB$56,3),IF(I717="TN",VLOOKUP(AF717,TNCalibEqFull!$AZ$1:$BB$56,3),FALSE))))</f>
        <v>y=0x2+67.076x-21.654</v>
      </c>
      <c r="AV717" s="10" t="str">
        <f t="shared" si="81"/>
        <v>0111 09:00:00-QAC-STD-Q.H-1-DI-CAL</v>
      </c>
    </row>
    <row r="718" spans="1:48" s="10" customFormat="1" x14ac:dyDescent="0.55000000000000004">
      <c r="A718" s="32">
        <v>44937</v>
      </c>
      <c r="B718" s="33">
        <v>0.375</v>
      </c>
      <c r="C718" s="10" t="s">
        <v>70</v>
      </c>
      <c r="D718" s="10" t="s">
        <v>71</v>
      </c>
      <c r="E718" s="10" t="s">
        <v>926</v>
      </c>
      <c r="F718" s="10">
        <v>1</v>
      </c>
      <c r="G718" s="10" t="s">
        <v>73</v>
      </c>
      <c r="H718" s="10" t="s">
        <v>74</v>
      </c>
      <c r="I718" s="10" t="s">
        <v>83</v>
      </c>
      <c r="J718" s="10">
        <v>190</v>
      </c>
      <c r="K718" s="12">
        <v>44937</v>
      </c>
      <c r="L718" s="33">
        <v>0.5838078703703703</v>
      </c>
      <c r="M718" s="10">
        <v>1</v>
      </c>
      <c r="N718" s="10" t="s">
        <v>84</v>
      </c>
      <c r="O718" s="10">
        <v>0.50800000000000001</v>
      </c>
      <c r="P718" s="10">
        <v>3.49E-2</v>
      </c>
      <c r="Q718" s="10">
        <v>5</v>
      </c>
      <c r="R718" s="10" t="s">
        <v>85</v>
      </c>
      <c r="S718" s="34">
        <f t="shared" si="77"/>
        <v>5</v>
      </c>
      <c r="T718" s="10" t="s">
        <v>1029</v>
      </c>
      <c r="U718" s="34" t="str">
        <f t="shared" si="78"/>
        <v/>
      </c>
      <c r="V718" s="31" t="str">
        <f>IF(H718="CHK",VLOOKUP(I718,QCCHK,3,),IF(H718="GUP",VLOOKUP(E718,QCGUP,2,),IF(AND(H718="ATP",OR(I718="TN",I718="TDN",I718="TNO2-3",I718="NO2-3")),VLOOKUP(E718,QCREC_N,2,),IF(AND(H718="NIC",OR(I718="TN",I718="TDN",I718="TNO2-3",I718="NO2-3")),VLOOKUP(E718,QCNIC_N,2,),IF(AND(H718="UREA",OR(I718="TN",I718="TDN",I718="TNO2-3",I718="NO2-3")),VLOOKUP(E718,QCUREA_N,2,),IF(H718="PER",VLOOKUP(I718,QCPER,MATCH(E718,QCACTUAL!$J$25:$AA$25,0),),IF(H718="SPK",VLOOKUP(I718,QCSPK,3,),IF(AND(H718="ATP",OR(I718="TP",I718="TDP")),VLOOKUP(E718,QCATP_P,2,),""))))))))</f>
        <v/>
      </c>
      <c r="W718" s="31" t="str">
        <f t="shared" si="79"/>
        <v>TRUE</v>
      </c>
      <c r="X718" s="31" t="str">
        <f t="shared" si="80"/>
        <v/>
      </c>
      <c r="Y718" s="10" t="s">
        <v>1021</v>
      </c>
      <c r="AF718" s="12">
        <v>44937</v>
      </c>
      <c r="AG718" s="10">
        <f>-1.7779*0.508^2+83.185*0.508-35.938</f>
        <v>5.8611680144000005</v>
      </c>
      <c r="AH718" s="10">
        <f>-2.8628*0.508^2+86.116*0.508-37.286</f>
        <v>5.722142380799994</v>
      </c>
      <c r="AI718" s="10">
        <f>-0.232*0.508^2+72.802*0.508-30.279</f>
        <v>6.6445451520000027</v>
      </c>
      <c r="AK718" s="10">
        <f>0*0.508^2+67.076*0.508-21.654</f>
        <v>12.420607999999998</v>
      </c>
      <c r="AL718" s="10" t="str">
        <f t="shared" si="82"/>
        <v>y=-1.7779*0.508^2+83.185*0.508-35.938</v>
      </c>
      <c r="AM718" s="10" t="str">
        <f t="shared" si="82"/>
        <v>y=-2.8628*0.508^2+86.116*0.508-37.286</v>
      </c>
      <c r="AN718" s="10" t="str">
        <f t="shared" si="82"/>
        <v>y=-0.232*0.508^2+72.802*0.508-30.279</v>
      </c>
      <c r="AO718" s="10" t="str">
        <f t="shared" si="83"/>
        <v>FALSE</v>
      </c>
      <c r="AP718" s="10" t="str">
        <f t="shared" si="83"/>
        <v>y=0*0.508^2+67.076*0.508-21.654</v>
      </c>
      <c r="AQ718" s="10" t="str">
        <f>IF(AND(I718="TP",S718&lt;=150),VLOOKUP(AF718,TPCalibEq150!$AZ$2:$BB$55,3,),IF(AND(I718="TDP",S718&lt;=150),VLOOKUP(AF718,TPCalibEq150!$AZ$2:$BB$55,3,)))</f>
        <v>y=-1.7779x2+83.185x-35.938</v>
      </c>
      <c r="AR718" s="10" t="str">
        <f>IF(AND(I718="TP",S718&lt;=300),VLOOKUP(AF718,TPCalibEq300!$AZ$2:$BB$55,3,),IF(AND(I718="TDP",S718&lt;=300),VLOOKUP(AF718,TPCalibEq300!$AZ$2:$BB$55,3,)))</f>
        <v>y=-2.8628x2+86.116x-37.286</v>
      </c>
      <c r="AS718" s="10" t="str">
        <f>IF(AND(I718="TP",S718&lt;=500),VLOOKUP(AF718,TPCalibEq500!$AZ$2:$BB$56,3,),IF(AND(I718="TDP",S718&lt;=500),VLOOKUP(AF718,TPCalibEq500!$AZ$2:$BB$56,3,)))</f>
        <v>y=-0.232x2+72.802x-30.279</v>
      </c>
      <c r="AT718" s="10" t="b">
        <f>IF(AND(I718="TN",S718&lt;=2800),VLOOKUP(AF718,TNCalibEq2500!$AZ$2:$BB$56,3,),IF(AND(I718="TDN",S718&lt;=2800),VLOOKUP(AF718,TNCalibEq2500!$AZ$2:$BB$56,3,)))</f>
        <v>0</v>
      </c>
      <c r="AU718" s="10" t="str">
        <f>IF(I718="TP",VLOOKUP(AF718,TPCalibEqFull!$AZ$2:$BB$56,3),IF(I718="TDP",VLOOKUP(AF718,TPCalibEqFull!$AZ$2:$BB$56,3),IF(I718="TDN",VLOOKUP(AF718,TNCalibEqFull!$AZ$1:$BB$56,3),IF(I718="TN",VLOOKUP(AF718,TNCalibEqFull!$AZ$1:$BB$56,3),FALSE))))</f>
        <v>y=0x2+67.076x-21.654</v>
      </c>
      <c r="AV718" s="10" t="str">
        <f t="shared" si="81"/>
        <v>0111 09:00:00-QAC-STD-Q.G-1-DI-CAL</v>
      </c>
    </row>
    <row r="719" spans="1:48" s="10" customFormat="1" x14ac:dyDescent="0.55000000000000004">
      <c r="A719" s="32">
        <v>44937</v>
      </c>
      <c r="B719" s="33">
        <v>0.375</v>
      </c>
      <c r="C719" s="10" t="s">
        <v>70</v>
      </c>
      <c r="D719" s="10" t="s">
        <v>71</v>
      </c>
      <c r="E719" s="10" t="s">
        <v>927</v>
      </c>
      <c r="F719" s="10">
        <v>1</v>
      </c>
      <c r="G719" s="10" t="s">
        <v>73</v>
      </c>
      <c r="H719" s="10" t="s">
        <v>74</v>
      </c>
      <c r="I719" s="10" t="s">
        <v>83</v>
      </c>
      <c r="J719" s="10">
        <v>191</v>
      </c>
      <c r="K719" s="12">
        <v>44937</v>
      </c>
      <c r="L719" s="33">
        <v>0.58451388888888889</v>
      </c>
      <c r="M719" s="10">
        <v>1</v>
      </c>
      <c r="N719" s="10" t="s">
        <v>84</v>
      </c>
      <c r="O719" s="10">
        <v>0.58899999999999997</v>
      </c>
      <c r="P719" s="10">
        <v>4.0800000000000003E-2</v>
      </c>
      <c r="Q719" s="10">
        <v>15</v>
      </c>
      <c r="R719" s="10" t="s">
        <v>85</v>
      </c>
      <c r="S719" s="34">
        <f t="shared" si="77"/>
        <v>15</v>
      </c>
      <c r="T719" s="10" t="s">
        <v>1030</v>
      </c>
      <c r="U719" s="34" t="str">
        <f t="shared" si="78"/>
        <v/>
      </c>
      <c r="V719" s="31" t="str">
        <f>IF(H719="CHK",VLOOKUP(I719,QCCHK,3,),IF(H719="GUP",VLOOKUP(E719,QCGUP,2,),IF(AND(H719="ATP",OR(I719="TN",I719="TDN",I719="TNO2-3",I719="NO2-3")),VLOOKUP(E719,QCREC_N,2,),IF(AND(H719="NIC",OR(I719="TN",I719="TDN",I719="TNO2-3",I719="NO2-3")),VLOOKUP(E719,QCNIC_N,2,),IF(AND(H719="UREA",OR(I719="TN",I719="TDN",I719="TNO2-3",I719="NO2-3")),VLOOKUP(E719,QCUREA_N,2,),IF(H719="PER",VLOOKUP(I719,QCPER,MATCH(E719,QCACTUAL!$J$25:$AA$25,0),),IF(H719="SPK",VLOOKUP(I719,QCSPK,3,),IF(AND(H719="ATP",OR(I719="TP",I719="TDP")),VLOOKUP(E719,QCATP_P,2,),""))))))))</f>
        <v/>
      </c>
      <c r="W719" s="31" t="str">
        <f t="shared" si="79"/>
        <v>TRUE</v>
      </c>
      <c r="X719" s="31" t="str">
        <f t="shared" si="80"/>
        <v/>
      </c>
      <c r="Y719" s="10" t="s">
        <v>1021</v>
      </c>
      <c r="AF719" s="12">
        <v>44937</v>
      </c>
      <c r="AG719" s="10">
        <f>-1.7779*0.589^2+83.185*0.589-35.938</f>
        <v>12.441174154099997</v>
      </c>
      <c r="AH719" s="10">
        <f>-2.8628*0.589^2+86.116*0.589-37.286</f>
        <v>12.443158561200001</v>
      </c>
      <c r="AI719" s="10">
        <f>-0.232*0.589^2+72.802*0.589-30.279</f>
        <v>12.520892327999999</v>
      </c>
      <c r="AK719" s="10">
        <f>0*0.589^2+67.076*0.589-21.654</f>
        <v>17.853763999999995</v>
      </c>
      <c r="AL719" s="10" t="str">
        <f t="shared" si="82"/>
        <v>y=-1.7779*0.589^2+83.185*0.589-35.938</v>
      </c>
      <c r="AM719" s="10" t="str">
        <f t="shared" si="82"/>
        <v>y=-2.8628*0.589^2+86.116*0.589-37.286</v>
      </c>
      <c r="AN719" s="10" t="str">
        <f t="shared" si="82"/>
        <v>y=-0.232*0.589^2+72.802*0.589-30.279</v>
      </c>
      <c r="AO719" s="10" t="str">
        <f t="shared" si="83"/>
        <v>FALSE</v>
      </c>
      <c r="AP719" s="10" t="str">
        <f t="shared" si="83"/>
        <v>y=0*0.589^2+67.076*0.589-21.654</v>
      </c>
      <c r="AQ719" s="10" t="str">
        <f>IF(AND(I719="TP",S719&lt;=150),VLOOKUP(AF719,TPCalibEq150!$AZ$2:$BB$55,3,),IF(AND(I719="TDP",S719&lt;=150),VLOOKUP(AF719,TPCalibEq150!$AZ$2:$BB$55,3,)))</f>
        <v>y=-1.7779x2+83.185x-35.938</v>
      </c>
      <c r="AR719" s="10" t="str">
        <f>IF(AND(I719="TP",S719&lt;=300),VLOOKUP(AF719,TPCalibEq300!$AZ$2:$BB$55,3,),IF(AND(I719="TDP",S719&lt;=300),VLOOKUP(AF719,TPCalibEq300!$AZ$2:$BB$55,3,)))</f>
        <v>y=-2.8628x2+86.116x-37.286</v>
      </c>
      <c r="AS719" s="10" t="str">
        <f>IF(AND(I719="TP",S719&lt;=500),VLOOKUP(AF719,TPCalibEq500!$AZ$2:$BB$56,3,),IF(AND(I719="TDP",S719&lt;=500),VLOOKUP(AF719,TPCalibEq500!$AZ$2:$BB$56,3,)))</f>
        <v>y=-0.232x2+72.802x-30.279</v>
      </c>
      <c r="AT719" s="10" t="b">
        <f>IF(AND(I719="TN",S719&lt;=2800),VLOOKUP(AF719,TNCalibEq2500!$AZ$2:$BB$56,3,),IF(AND(I719="TDN",S719&lt;=2800),VLOOKUP(AF719,TNCalibEq2500!$AZ$2:$BB$56,3,)))</f>
        <v>0</v>
      </c>
      <c r="AU719" s="10" t="str">
        <f>IF(I719="TP",VLOOKUP(AF719,TPCalibEqFull!$AZ$2:$BB$56,3),IF(I719="TDP",VLOOKUP(AF719,TPCalibEqFull!$AZ$2:$BB$56,3),IF(I719="TDN",VLOOKUP(AF719,TNCalibEqFull!$AZ$1:$BB$56,3),IF(I719="TN",VLOOKUP(AF719,TNCalibEqFull!$AZ$1:$BB$56,3),FALSE))))</f>
        <v>y=0x2+67.076x-21.654</v>
      </c>
      <c r="AV719" s="10" t="str">
        <f t="shared" si="81"/>
        <v>0111 09:00:00-QAC-STD-Q.F-1-DI-CAL</v>
      </c>
    </row>
    <row r="720" spans="1:48" s="10" customFormat="1" x14ac:dyDescent="0.55000000000000004">
      <c r="A720" s="32">
        <v>44937</v>
      </c>
      <c r="B720" s="33">
        <v>0.375</v>
      </c>
      <c r="C720" s="10" t="s">
        <v>70</v>
      </c>
      <c r="D720" s="10" t="s">
        <v>71</v>
      </c>
      <c r="E720" s="10" t="s">
        <v>928</v>
      </c>
      <c r="F720" s="10">
        <v>1</v>
      </c>
      <c r="G720" s="10" t="s">
        <v>73</v>
      </c>
      <c r="H720" s="10" t="s">
        <v>74</v>
      </c>
      <c r="I720" s="10" t="s">
        <v>83</v>
      </c>
      <c r="J720" s="10">
        <v>192</v>
      </c>
      <c r="K720" s="12">
        <v>44937</v>
      </c>
      <c r="L720" s="33">
        <v>0.58523148148148152</v>
      </c>
      <c r="M720" s="10">
        <v>1</v>
      </c>
      <c r="N720" s="10" t="s">
        <v>84</v>
      </c>
      <c r="O720" s="10">
        <v>0.65800000000000003</v>
      </c>
      <c r="P720" s="10">
        <v>4.5400000000000003E-2</v>
      </c>
      <c r="Q720" s="10">
        <v>20</v>
      </c>
      <c r="R720" s="10" t="s">
        <v>85</v>
      </c>
      <c r="S720" s="34">
        <f t="shared" si="77"/>
        <v>20</v>
      </c>
      <c r="T720" s="10" t="s">
        <v>1031</v>
      </c>
      <c r="U720" s="34" t="str">
        <f t="shared" si="78"/>
        <v/>
      </c>
      <c r="V720" s="31" t="str">
        <f>IF(H720="CHK",VLOOKUP(I720,QCCHK,3,),IF(H720="GUP",VLOOKUP(E720,QCGUP,2,),IF(AND(H720="ATP",OR(I720="TN",I720="TDN",I720="TNO2-3",I720="NO2-3")),VLOOKUP(E720,QCREC_N,2,),IF(AND(H720="NIC",OR(I720="TN",I720="TDN",I720="TNO2-3",I720="NO2-3")),VLOOKUP(E720,QCNIC_N,2,),IF(AND(H720="UREA",OR(I720="TN",I720="TDN",I720="TNO2-3",I720="NO2-3")),VLOOKUP(E720,QCUREA_N,2,),IF(H720="PER",VLOOKUP(I720,QCPER,MATCH(E720,QCACTUAL!$J$25:$AA$25,0),),IF(H720="SPK",VLOOKUP(I720,QCSPK,3,),IF(AND(H720="ATP",OR(I720="TP",I720="TDP")),VLOOKUP(E720,QCATP_P,2,),""))))))))</f>
        <v/>
      </c>
      <c r="W720" s="31" t="str">
        <f t="shared" si="79"/>
        <v>TRUE</v>
      </c>
      <c r="X720" s="31" t="str">
        <f t="shared" si="80"/>
        <v/>
      </c>
      <c r="Y720" s="10" t="s">
        <v>1021</v>
      </c>
      <c r="AF720" s="12">
        <v>44937</v>
      </c>
      <c r="AG720" s="10">
        <f>-1.7779*0.658^2+83.185*0.658-35.938</f>
        <v>18.027963304400004</v>
      </c>
      <c r="AH720" s="10">
        <f>-2.8628*0.658^2+86.116*0.658-37.286</f>
        <v>18.138838660800005</v>
      </c>
      <c r="AI720" s="10">
        <f>-0.232*0.658^2+72.802*0.658-30.279</f>
        <v>17.524268352000011</v>
      </c>
      <c r="AK720" s="10">
        <f>0*0.658^2+67.076*0.658-21.654</f>
        <v>22.482007999999997</v>
      </c>
      <c r="AL720" s="10" t="str">
        <f t="shared" si="82"/>
        <v>y=-1.7779*0.658^2+83.185*0.658-35.938</v>
      </c>
      <c r="AM720" s="10" t="str">
        <f t="shared" si="82"/>
        <v>y=-2.8628*0.658^2+86.116*0.658-37.286</v>
      </c>
      <c r="AN720" s="10" t="str">
        <f t="shared" si="82"/>
        <v>y=-0.232*0.658^2+72.802*0.658-30.279</v>
      </c>
      <c r="AO720" s="10" t="str">
        <f t="shared" si="83"/>
        <v>FALSE</v>
      </c>
      <c r="AP720" s="10" t="str">
        <f t="shared" si="83"/>
        <v>y=0*0.658^2+67.076*0.658-21.654</v>
      </c>
      <c r="AQ720" s="10" t="str">
        <f>IF(AND(I720="TP",S720&lt;=150),VLOOKUP(AF720,TPCalibEq150!$AZ$2:$BB$55,3,),IF(AND(I720="TDP",S720&lt;=150),VLOOKUP(AF720,TPCalibEq150!$AZ$2:$BB$55,3,)))</f>
        <v>y=-1.7779x2+83.185x-35.938</v>
      </c>
      <c r="AR720" s="10" t="str">
        <f>IF(AND(I720="TP",S720&lt;=300),VLOOKUP(AF720,TPCalibEq300!$AZ$2:$BB$55,3,),IF(AND(I720="TDP",S720&lt;=300),VLOOKUP(AF720,TPCalibEq300!$AZ$2:$BB$55,3,)))</f>
        <v>y=-2.8628x2+86.116x-37.286</v>
      </c>
      <c r="AS720" s="10" t="str">
        <f>IF(AND(I720="TP",S720&lt;=500),VLOOKUP(AF720,TPCalibEq500!$AZ$2:$BB$56,3,),IF(AND(I720="TDP",S720&lt;=500),VLOOKUP(AF720,TPCalibEq500!$AZ$2:$BB$56,3,)))</f>
        <v>y=-0.232x2+72.802x-30.279</v>
      </c>
      <c r="AT720" s="10" t="b">
        <f>IF(AND(I720="TN",S720&lt;=2800),VLOOKUP(AF720,TNCalibEq2500!$AZ$2:$BB$56,3,),IF(AND(I720="TDN",S720&lt;=2800),VLOOKUP(AF720,TNCalibEq2500!$AZ$2:$BB$56,3,)))</f>
        <v>0</v>
      </c>
      <c r="AU720" s="10" t="str">
        <f>IF(I720="TP",VLOOKUP(AF720,TPCalibEqFull!$AZ$2:$BB$56,3),IF(I720="TDP",VLOOKUP(AF720,TPCalibEqFull!$AZ$2:$BB$56,3),IF(I720="TDN",VLOOKUP(AF720,TNCalibEqFull!$AZ$1:$BB$56,3),IF(I720="TN",VLOOKUP(AF720,TNCalibEqFull!$AZ$1:$BB$56,3),FALSE))))</f>
        <v>y=0x2+67.076x-21.654</v>
      </c>
      <c r="AV720" s="10" t="str">
        <f t="shared" si="81"/>
        <v>0111 09:00:00-QAC-STD-Q.E-1-DI-CAL</v>
      </c>
    </row>
    <row r="721" spans="1:48" s="10" customFormat="1" x14ac:dyDescent="0.55000000000000004">
      <c r="A721" s="32">
        <v>44937</v>
      </c>
      <c r="B721" s="33">
        <v>0.375</v>
      </c>
      <c r="C721" s="10" t="s">
        <v>70</v>
      </c>
      <c r="D721" s="10" t="s">
        <v>71</v>
      </c>
      <c r="E721" s="10" t="s">
        <v>929</v>
      </c>
      <c r="F721" s="10">
        <v>1</v>
      </c>
      <c r="G721" s="10" t="s">
        <v>73</v>
      </c>
      <c r="H721" s="10" t="s">
        <v>74</v>
      </c>
      <c r="I721" s="10" t="s">
        <v>83</v>
      </c>
      <c r="J721" s="10">
        <v>193</v>
      </c>
      <c r="K721" s="12">
        <v>44937</v>
      </c>
      <c r="L721" s="33">
        <v>0.5859375</v>
      </c>
      <c r="M721" s="10">
        <v>1</v>
      </c>
      <c r="N721" s="10" t="s">
        <v>84</v>
      </c>
      <c r="O721" s="10">
        <v>1.39</v>
      </c>
      <c r="P721" s="10">
        <v>9.69E-2</v>
      </c>
      <c r="Q721" s="10">
        <v>75</v>
      </c>
      <c r="R721" s="10" t="s">
        <v>85</v>
      </c>
      <c r="S721" s="34">
        <f t="shared" si="77"/>
        <v>75</v>
      </c>
      <c r="T721" s="10" t="s">
        <v>1032</v>
      </c>
      <c r="U721" s="34" t="str">
        <f t="shared" si="78"/>
        <v/>
      </c>
      <c r="V721" s="31" t="str">
        <f>IF(H721="CHK",VLOOKUP(I721,QCCHK,3,),IF(H721="GUP",VLOOKUP(E721,QCGUP,2,),IF(AND(H721="ATP",OR(I721="TN",I721="TDN",I721="TNO2-3",I721="NO2-3")),VLOOKUP(E721,QCREC_N,2,),IF(AND(H721="NIC",OR(I721="TN",I721="TDN",I721="TNO2-3",I721="NO2-3")),VLOOKUP(E721,QCNIC_N,2,),IF(AND(H721="UREA",OR(I721="TN",I721="TDN",I721="TNO2-3",I721="NO2-3")),VLOOKUP(E721,QCUREA_N,2,),IF(H721="PER",VLOOKUP(I721,QCPER,MATCH(E721,QCACTUAL!$J$25:$AA$25,0),),IF(H721="SPK",VLOOKUP(I721,QCSPK,3,),IF(AND(H721="ATP",OR(I721="TP",I721="TDP")),VLOOKUP(E721,QCATP_P,2,),""))))))))</f>
        <v/>
      </c>
      <c r="W721" s="31" t="str">
        <f t="shared" si="79"/>
        <v>TRUE</v>
      </c>
      <c r="X721" s="31" t="str">
        <f t="shared" si="80"/>
        <v/>
      </c>
      <c r="Y721" s="10" t="s">
        <v>1021</v>
      </c>
      <c r="AF721" s="12">
        <v>44937</v>
      </c>
      <c r="AG721" s="10">
        <f>-1.7779*1.39^2+83.185*1.39-35.938</f>
        <v>76.25406941</v>
      </c>
      <c r="AH721" s="10">
        <f>-2.8628*1.39^2+86.116*1.39-37.286</f>
        <v>76.884024119999978</v>
      </c>
      <c r="AI721" s="10">
        <f>-0.232*1.39^2+72.802*1.39-30.279</f>
        <v>70.467532800000015</v>
      </c>
      <c r="AK721" s="10">
        <f>0*1.39^2+67.076*1.39-21.654</f>
        <v>71.581639999999993</v>
      </c>
      <c r="AL721" s="10" t="str">
        <f t="shared" si="82"/>
        <v>y=-1.7779*1.39^2+83.185*1.39-35.938</v>
      </c>
      <c r="AM721" s="10" t="str">
        <f t="shared" si="82"/>
        <v>y=-2.8628*1.39^2+86.116*1.39-37.286</v>
      </c>
      <c r="AN721" s="10" t="str">
        <f t="shared" si="82"/>
        <v>y=-0.232*1.39^2+72.802*1.39-30.279</v>
      </c>
      <c r="AO721" s="10" t="str">
        <f t="shared" si="83"/>
        <v>FALSE</v>
      </c>
      <c r="AP721" s="10" t="str">
        <f t="shared" si="83"/>
        <v>y=0*1.39^2+67.076*1.39-21.654</v>
      </c>
      <c r="AQ721" s="10" t="str">
        <f>IF(AND(I721="TP",S721&lt;=150),VLOOKUP(AF721,TPCalibEq150!$AZ$2:$BB$55,3,),IF(AND(I721="TDP",S721&lt;=150),VLOOKUP(AF721,TPCalibEq150!$AZ$2:$BB$55,3,)))</f>
        <v>y=-1.7779x2+83.185x-35.938</v>
      </c>
      <c r="AR721" s="10" t="str">
        <f>IF(AND(I721="TP",S721&lt;=300),VLOOKUP(AF721,TPCalibEq300!$AZ$2:$BB$55,3,),IF(AND(I721="TDP",S721&lt;=300),VLOOKUP(AF721,TPCalibEq300!$AZ$2:$BB$55,3,)))</f>
        <v>y=-2.8628x2+86.116x-37.286</v>
      </c>
      <c r="AS721" s="10" t="str">
        <f>IF(AND(I721="TP",S721&lt;=500),VLOOKUP(AF721,TPCalibEq500!$AZ$2:$BB$56,3,),IF(AND(I721="TDP",S721&lt;=500),VLOOKUP(AF721,TPCalibEq500!$AZ$2:$BB$56,3,)))</f>
        <v>y=-0.232x2+72.802x-30.279</v>
      </c>
      <c r="AT721" s="10" t="b">
        <f>IF(AND(I721="TN",S721&lt;=2800),VLOOKUP(AF721,TNCalibEq2500!$AZ$2:$BB$56,3,),IF(AND(I721="TDN",S721&lt;=2800),VLOOKUP(AF721,TNCalibEq2500!$AZ$2:$BB$56,3,)))</f>
        <v>0</v>
      </c>
      <c r="AU721" s="10" t="str">
        <f>IF(I721="TP",VLOOKUP(AF721,TPCalibEqFull!$AZ$2:$BB$56,3),IF(I721="TDP",VLOOKUP(AF721,TPCalibEqFull!$AZ$2:$BB$56,3),IF(I721="TDN",VLOOKUP(AF721,TNCalibEqFull!$AZ$1:$BB$56,3),IF(I721="TN",VLOOKUP(AF721,TNCalibEqFull!$AZ$1:$BB$56,3),FALSE))))</f>
        <v>y=0x2+67.076x-21.654</v>
      </c>
      <c r="AV721" s="10" t="str">
        <f t="shared" si="81"/>
        <v>0111 09:00:00-QAC-STD-Q.D-1-DI-CAL</v>
      </c>
    </row>
    <row r="722" spans="1:48" s="10" customFormat="1" x14ac:dyDescent="0.55000000000000004">
      <c r="A722" s="32">
        <v>44937</v>
      </c>
      <c r="B722" s="33">
        <v>0.375</v>
      </c>
      <c r="C722" s="10" t="s">
        <v>70</v>
      </c>
      <c r="D722" s="10" t="s">
        <v>71</v>
      </c>
      <c r="E722" s="10" t="s">
        <v>930</v>
      </c>
      <c r="F722" s="10">
        <v>1</v>
      </c>
      <c r="G722" s="10" t="s">
        <v>73</v>
      </c>
      <c r="H722" s="10" t="s">
        <v>74</v>
      </c>
      <c r="I722" s="10" t="s">
        <v>83</v>
      </c>
      <c r="J722" s="10">
        <v>194</v>
      </c>
      <c r="K722" s="12">
        <v>44937</v>
      </c>
      <c r="L722" s="33">
        <v>0.58664351851851848</v>
      </c>
      <c r="M722" s="10">
        <v>1</v>
      </c>
      <c r="N722" s="10" t="s">
        <v>84</v>
      </c>
      <c r="O722" s="10">
        <v>2.35</v>
      </c>
      <c r="P722" s="10">
        <v>0.16700000000000001</v>
      </c>
      <c r="Q722" s="10">
        <v>150</v>
      </c>
      <c r="R722" s="10" t="s">
        <v>85</v>
      </c>
      <c r="S722" s="34">
        <f t="shared" si="77"/>
        <v>150</v>
      </c>
      <c r="T722" s="10" t="s">
        <v>1033</v>
      </c>
      <c r="U722" s="34" t="str">
        <f t="shared" si="78"/>
        <v/>
      </c>
      <c r="V722" s="31" t="str">
        <f>IF(H722="CHK",VLOOKUP(I722,QCCHK,3,),IF(H722="GUP",VLOOKUP(E722,QCGUP,2,),IF(AND(H722="ATP",OR(I722="TN",I722="TDN",I722="TNO2-3",I722="NO2-3")),VLOOKUP(E722,QCREC_N,2,),IF(AND(H722="NIC",OR(I722="TN",I722="TDN",I722="TNO2-3",I722="NO2-3")),VLOOKUP(E722,QCNIC_N,2,),IF(AND(H722="UREA",OR(I722="TN",I722="TDN",I722="TNO2-3",I722="NO2-3")),VLOOKUP(E722,QCUREA_N,2,),IF(H722="PER",VLOOKUP(I722,QCPER,MATCH(E722,QCACTUAL!$J$25:$AA$25,0),),IF(H722="SPK",VLOOKUP(I722,QCSPK,3,),IF(AND(H722="ATP",OR(I722="TP",I722="TDP")),VLOOKUP(E722,QCATP_P,2,),""))))))))</f>
        <v/>
      </c>
      <c r="W722" s="31" t="str">
        <f t="shared" si="79"/>
        <v>TRUE</v>
      </c>
      <c r="X722" s="31" t="str">
        <f t="shared" si="80"/>
        <v/>
      </c>
      <c r="Y722" s="10" t="s">
        <v>1021</v>
      </c>
      <c r="AF722" s="12">
        <v>44937</v>
      </c>
      <c r="AG722" s="10">
        <f>-1.7779*2.35^2+83.185*2.35-35.938</f>
        <v>149.72829725000003</v>
      </c>
      <c r="AH722" s="10">
        <f>-2.8628*2.35^2+86.116*2.35-37.286</f>
        <v>149.27678700000001</v>
      </c>
      <c r="AI722" s="10">
        <f>-0.232*2.35^2+72.802*2.35-30.279</f>
        <v>139.52448000000004</v>
      </c>
      <c r="AK722" s="10">
        <f>0*2.35^2+67.076*2.35-21.654</f>
        <v>135.97459999999998</v>
      </c>
      <c r="AL722" s="10" t="str">
        <f t="shared" si="82"/>
        <v>y=-1.7779*2.35^2+83.185*2.35-35.938</v>
      </c>
      <c r="AM722" s="10" t="str">
        <f t="shared" si="82"/>
        <v>y=-2.8628*2.35^2+86.116*2.35-37.286</v>
      </c>
      <c r="AN722" s="10" t="str">
        <f t="shared" si="82"/>
        <v>y=-0.232*2.35^2+72.802*2.35-30.279</v>
      </c>
      <c r="AO722" s="10" t="str">
        <f t="shared" si="83"/>
        <v>FALSE</v>
      </c>
      <c r="AP722" s="10" t="str">
        <f t="shared" si="83"/>
        <v>y=0*2.35^2+67.076*2.35-21.654</v>
      </c>
      <c r="AQ722" s="10" t="str">
        <f>IF(AND(I722="TP",S722&lt;=150),VLOOKUP(AF722,TPCalibEq150!$AZ$2:$BB$55,3,),IF(AND(I722="TDP",S722&lt;=150),VLOOKUP(AF722,TPCalibEq150!$AZ$2:$BB$55,3,)))</f>
        <v>y=-1.7779x2+83.185x-35.938</v>
      </c>
      <c r="AR722" s="10" t="str">
        <f>IF(AND(I722="TP",S722&lt;=300),VLOOKUP(AF722,TPCalibEq300!$AZ$2:$BB$55,3,),IF(AND(I722="TDP",S722&lt;=300),VLOOKUP(AF722,TPCalibEq300!$AZ$2:$BB$55,3,)))</f>
        <v>y=-2.8628x2+86.116x-37.286</v>
      </c>
      <c r="AS722" s="10" t="str">
        <f>IF(AND(I722="TP",S722&lt;=500),VLOOKUP(AF722,TPCalibEq500!$AZ$2:$BB$56,3,),IF(AND(I722="TDP",S722&lt;=500),VLOOKUP(AF722,TPCalibEq500!$AZ$2:$BB$56,3,)))</f>
        <v>y=-0.232x2+72.802x-30.279</v>
      </c>
      <c r="AT722" s="10" t="b">
        <f>IF(AND(I722="TN",S722&lt;=2800),VLOOKUP(AF722,TNCalibEq2500!$AZ$2:$BB$56,3,),IF(AND(I722="TDN",S722&lt;=2800),VLOOKUP(AF722,TNCalibEq2500!$AZ$2:$BB$56,3,)))</f>
        <v>0</v>
      </c>
      <c r="AU722" s="10" t="str">
        <f>IF(I722="TP",VLOOKUP(AF722,TPCalibEqFull!$AZ$2:$BB$56,3),IF(I722="TDP",VLOOKUP(AF722,TPCalibEqFull!$AZ$2:$BB$56,3),IF(I722="TDN",VLOOKUP(AF722,TNCalibEqFull!$AZ$1:$BB$56,3),IF(I722="TN",VLOOKUP(AF722,TNCalibEqFull!$AZ$1:$BB$56,3),FALSE))))</f>
        <v>y=0x2+67.076x-21.654</v>
      </c>
      <c r="AV722" s="10" t="str">
        <f t="shared" si="81"/>
        <v>0111 09:00:00-QAC-STD-Q.C-1-DI-CAL</v>
      </c>
    </row>
    <row r="723" spans="1:48" s="10" customFormat="1" x14ac:dyDescent="0.55000000000000004">
      <c r="A723" s="32">
        <v>44937</v>
      </c>
      <c r="B723" s="33">
        <v>0.375</v>
      </c>
      <c r="C723" s="10" t="s">
        <v>70</v>
      </c>
      <c r="D723" s="10" t="s">
        <v>71</v>
      </c>
      <c r="E723" s="10" t="s">
        <v>931</v>
      </c>
      <c r="F723" s="10">
        <v>1</v>
      </c>
      <c r="G723" s="10" t="s">
        <v>73</v>
      </c>
      <c r="H723" s="10" t="s">
        <v>74</v>
      </c>
      <c r="I723" s="10" t="s">
        <v>83</v>
      </c>
      <c r="J723" s="10">
        <v>195</v>
      </c>
      <c r="K723" s="12">
        <v>44937</v>
      </c>
      <c r="L723" s="33">
        <v>0.58734953703703707</v>
      </c>
      <c r="M723" s="10">
        <v>1</v>
      </c>
      <c r="N723" s="10" t="s">
        <v>84</v>
      </c>
      <c r="O723" s="10">
        <v>4.63</v>
      </c>
      <c r="P723" s="10">
        <v>0.33700000000000002</v>
      </c>
      <c r="Q723" s="10">
        <v>300</v>
      </c>
      <c r="R723" s="10" t="s">
        <v>85</v>
      </c>
      <c r="S723" s="34">
        <f t="shared" si="77"/>
        <v>300</v>
      </c>
      <c r="T723" s="10" t="s">
        <v>1034</v>
      </c>
      <c r="U723" s="34" t="str">
        <f t="shared" si="78"/>
        <v/>
      </c>
      <c r="V723" s="31" t="str">
        <f>IF(H723="CHK",VLOOKUP(I723,QCCHK,3,),IF(H723="GUP",VLOOKUP(E723,QCGUP,2,),IF(AND(H723="ATP",OR(I723="TN",I723="TDN",I723="TNO2-3",I723="NO2-3")),VLOOKUP(E723,QCREC_N,2,),IF(AND(H723="NIC",OR(I723="TN",I723="TDN",I723="TNO2-3",I723="NO2-3")),VLOOKUP(E723,QCNIC_N,2,),IF(AND(H723="UREA",OR(I723="TN",I723="TDN",I723="TNO2-3",I723="NO2-3")),VLOOKUP(E723,QCUREA_N,2,),IF(H723="PER",VLOOKUP(I723,QCPER,MATCH(E723,QCACTUAL!$J$25:$AA$25,0),),IF(H723="SPK",VLOOKUP(I723,QCSPK,3,),IF(AND(H723="ATP",OR(I723="TP",I723="TDP")),VLOOKUP(E723,QCATP_P,2,),""))))))))</f>
        <v/>
      </c>
      <c r="W723" s="31" t="str">
        <f t="shared" si="79"/>
        <v>TRUE</v>
      </c>
      <c r="X723" s="31" t="str">
        <f t="shared" si="80"/>
        <v/>
      </c>
      <c r="Y723" s="10" t="s">
        <v>1021</v>
      </c>
      <c r="AF723" s="12">
        <v>44937</v>
      </c>
      <c r="AH723" s="10">
        <f>-2.8628*4.63^2+86.116*4.63-37.286</f>
        <v>300.06152268</v>
      </c>
      <c r="AI723" s="10">
        <f>-0.232*4.63^2+72.802*4.63-30.279</f>
        <v>301.82089919999999</v>
      </c>
      <c r="AK723" s="10">
        <f>0*4.63^2+67.076*4.63-21.654</f>
        <v>288.90787999999998</v>
      </c>
      <c r="AL723" s="10" t="str">
        <f t="shared" ref="AL723:AN786" si="84">IF($O723="", "", IF(AQ723&lt;&gt;"", SUBSTITUTE(SUBSTITUTE(AQ723, "x", "*"&amp;$O723&amp;"^", 1), "x", "*"&amp;$O723, 1), ""))</f>
        <v>FALSE</v>
      </c>
      <c r="AM723" s="10" t="str">
        <f t="shared" si="84"/>
        <v>y=-2.8628*4.63^2+86.116*4.63-37.286</v>
      </c>
      <c r="AN723" s="10" t="str">
        <f t="shared" si="84"/>
        <v>y=-0.232*4.63^2+72.802*4.63-30.279</v>
      </c>
      <c r="AO723" s="10" t="str">
        <f t="shared" ref="AO723:AP786" si="85">IF($O723="", "FALSE", IF(AT723&lt;&gt;"FALSE", SUBSTITUTE(SUBSTITUTE(AT723, "x", "*"&amp;$O723&amp;"^", 1), "x", "*"&amp;$O723, 1), ""))</f>
        <v>FALSE</v>
      </c>
      <c r="AP723" s="10" t="str">
        <f t="shared" si="85"/>
        <v>y=0*4.63^2+67.076*4.63-21.654</v>
      </c>
      <c r="AQ723" s="10" t="b">
        <f>IF(AND(I723="TP",S723&lt;=150),VLOOKUP(AF723,TPCalibEq150!$AZ$2:$BB$55,3,),IF(AND(I723="TDP",S723&lt;=150),VLOOKUP(AF723,TPCalibEq150!$AZ$2:$BB$55,3,)))</f>
        <v>0</v>
      </c>
      <c r="AR723" s="10" t="str">
        <f>IF(AND(I723="TP",S723&lt;=300),VLOOKUP(AF723,TPCalibEq300!$AZ$2:$BB$55,3,),IF(AND(I723="TDP",S723&lt;=300),VLOOKUP(AF723,TPCalibEq300!$AZ$2:$BB$55,3,)))</f>
        <v>y=-2.8628x2+86.116x-37.286</v>
      </c>
      <c r="AS723" s="10" t="str">
        <f>IF(AND(I723="TP",S723&lt;=500),VLOOKUP(AF723,TPCalibEq500!$AZ$2:$BB$56,3,),IF(AND(I723="TDP",S723&lt;=500),VLOOKUP(AF723,TPCalibEq500!$AZ$2:$BB$56,3,)))</f>
        <v>y=-0.232x2+72.802x-30.279</v>
      </c>
      <c r="AT723" s="10" t="b">
        <f>IF(AND(I723="TN",S723&lt;=2800),VLOOKUP(AF723,TNCalibEq2500!$AZ$2:$BB$56,3,),IF(AND(I723="TDN",S723&lt;=2800),VLOOKUP(AF723,TNCalibEq2500!$AZ$2:$BB$56,3,)))</f>
        <v>0</v>
      </c>
      <c r="AU723" s="10" t="str">
        <f>IF(I723="TP",VLOOKUP(AF723,TPCalibEqFull!$AZ$2:$BB$56,3),IF(I723="TDP",VLOOKUP(AF723,TPCalibEqFull!$AZ$2:$BB$56,3),IF(I723="TDN",VLOOKUP(AF723,TNCalibEqFull!$AZ$1:$BB$56,3),IF(I723="TN",VLOOKUP(AF723,TNCalibEqFull!$AZ$1:$BB$56,3),FALSE))))</f>
        <v>y=0x2+67.076x-21.654</v>
      </c>
      <c r="AV723" s="10" t="str">
        <f t="shared" si="81"/>
        <v>0111 09:00:00-QAC-STD-Q.B-1-DI-CAL</v>
      </c>
    </row>
    <row r="724" spans="1:48" s="10" customFormat="1" x14ac:dyDescent="0.55000000000000004">
      <c r="A724" s="32">
        <v>44937</v>
      </c>
      <c r="B724" s="33">
        <v>0.375</v>
      </c>
      <c r="C724" s="10" t="s">
        <v>70</v>
      </c>
      <c r="D724" s="10" t="s">
        <v>71</v>
      </c>
      <c r="E724" s="10" t="s">
        <v>932</v>
      </c>
      <c r="F724" s="10">
        <v>1</v>
      </c>
      <c r="G724" s="10" t="s">
        <v>73</v>
      </c>
      <c r="H724" s="10" t="s">
        <v>74</v>
      </c>
      <c r="I724" s="10" t="s">
        <v>83</v>
      </c>
      <c r="J724" s="10">
        <v>196</v>
      </c>
      <c r="K724" s="12">
        <v>44937</v>
      </c>
      <c r="L724" s="33">
        <v>0.58805555555555555</v>
      </c>
      <c r="M724" s="10">
        <v>1</v>
      </c>
      <c r="N724" s="10" t="s">
        <v>84</v>
      </c>
      <c r="O724" s="10">
        <v>7.48</v>
      </c>
      <c r="P724" s="10">
        <v>0.54</v>
      </c>
      <c r="Q724" s="10">
        <v>500</v>
      </c>
      <c r="R724" s="10" t="s">
        <v>85</v>
      </c>
      <c r="S724" s="34">
        <f t="shared" si="77"/>
        <v>500</v>
      </c>
      <c r="T724" s="10" t="s">
        <v>1035</v>
      </c>
      <c r="U724" s="34" t="str">
        <f t="shared" si="78"/>
        <v/>
      </c>
      <c r="V724" s="31" t="str">
        <f>IF(H724="CHK",VLOOKUP(I724,QCCHK,3,),IF(H724="GUP",VLOOKUP(E724,QCGUP,2,),IF(AND(H724="ATP",OR(I724="TN",I724="TDN",I724="TNO2-3",I724="NO2-3")),VLOOKUP(E724,QCREC_N,2,),IF(AND(H724="NIC",OR(I724="TN",I724="TDN",I724="TNO2-3",I724="NO2-3")),VLOOKUP(E724,QCNIC_N,2,),IF(AND(H724="UREA",OR(I724="TN",I724="TDN",I724="TNO2-3",I724="NO2-3")),VLOOKUP(E724,QCUREA_N,2,),IF(H724="PER",VLOOKUP(I724,QCPER,MATCH(E724,QCACTUAL!$J$25:$AA$25,0),),IF(H724="SPK",VLOOKUP(I724,QCSPK,3,),IF(AND(H724="ATP",OR(I724="TP",I724="TDP")),VLOOKUP(E724,QCATP_P,2,),""))))))))</f>
        <v/>
      </c>
      <c r="W724" s="31" t="str">
        <f t="shared" si="79"/>
        <v>TRUE</v>
      </c>
      <c r="X724" s="31" t="str">
        <f t="shared" si="80"/>
        <v/>
      </c>
      <c r="Y724" s="10" t="s">
        <v>1021</v>
      </c>
      <c r="AF724" s="12">
        <v>44937</v>
      </c>
      <c r="AI724" s="10">
        <f>-0.232*7.48^2+72.802*7.48-30.279</f>
        <v>501.29946720000009</v>
      </c>
      <c r="AK724" s="10">
        <f>0*7.48^2+67.076*7.48-21.654</f>
        <v>480.07447999999999</v>
      </c>
      <c r="AL724" s="10" t="str">
        <f t="shared" si="84"/>
        <v>FALSE</v>
      </c>
      <c r="AM724" s="10" t="str">
        <f t="shared" si="84"/>
        <v>FALSE</v>
      </c>
      <c r="AN724" s="10" t="str">
        <f t="shared" si="84"/>
        <v>y=-0.232*7.48^2+72.802*7.48-30.279</v>
      </c>
      <c r="AO724" s="10" t="str">
        <f t="shared" si="85"/>
        <v>FALSE</v>
      </c>
      <c r="AP724" s="10" t="str">
        <f t="shared" si="85"/>
        <v>y=0*7.48^2+67.076*7.48-21.654</v>
      </c>
      <c r="AQ724" s="10" t="b">
        <f>IF(AND(I724="TP",S724&lt;=150),VLOOKUP(AF724,TPCalibEq150!$AZ$2:$BB$55,3,),IF(AND(I724="TDP",S724&lt;=150),VLOOKUP(AF724,TPCalibEq150!$AZ$2:$BB$55,3,)))</f>
        <v>0</v>
      </c>
      <c r="AR724" s="10" t="b">
        <f>IF(AND(I724="TP",S724&lt;=300),VLOOKUP(AF724,TPCalibEq300!$AZ$2:$BB$55,3,),IF(AND(I724="TDP",S724&lt;=300),VLOOKUP(AF724,TPCalibEq300!$AZ$2:$BB$55,3,)))</f>
        <v>0</v>
      </c>
      <c r="AS724" s="10" t="str">
        <f>IF(AND(I724="TP",S724&lt;=500),VLOOKUP(AF724,TPCalibEq500!$AZ$2:$BB$56,3,),IF(AND(I724="TDP",S724&lt;=500),VLOOKUP(AF724,TPCalibEq500!$AZ$2:$BB$56,3,)))</f>
        <v>y=-0.232x2+72.802x-30.279</v>
      </c>
      <c r="AT724" s="10" t="b">
        <f>IF(AND(I724="TN",S724&lt;=2800),VLOOKUP(AF724,TNCalibEq2500!$AZ$2:$BB$56,3,),IF(AND(I724="TDN",S724&lt;=2800),VLOOKUP(AF724,TNCalibEq2500!$AZ$2:$BB$56,3,)))</f>
        <v>0</v>
      </c>
      <c r="AU724" s="10" t="str">
        <f>IF(I724="TP",VLOOKUP(AF724,TPCalibEqFull!$AZ$2:$BB$56,3),IF(I724="TDP",VLOOKUP(AF724,TPCalibEqFull!$AZ$2:$BB$56,3),IF(I724="TDN",VLOOKUP(AF724,TNCalibEqFull!$AZ$1:$BB$56,3),IF(I724="TN",VLOOKUP(AF724,TNCalibEqFull!$AZ$1:$BB$56,3),FALSE))))</f>
        <v>y=0x2+67.076x-21.654</v>
      </c>
      <c r="AV724" s="10" t="str">
        <f t="shared" si="81"/>
        <v>0111 09:00:00-QAC-STD-Q.A-1-DI-CAL</v>
      </c>
    </row>
    <row r="725" spans="1:48" s="10" customFormat="1" x14ac:dyDescent="0.55000000000000004">
      <c r="A725" s="32">
        <v>44900</v>
      </c>
      <c r="B725" s="33">
        <v>0.375</v>
      </c>
      <c r="C725" s="10" t="s">
        <v>70</v>
      </c>
      <c r="D725" s="10" t="s">
        <v>71</v>
      </c>
      <c r="E725" s="10" t="s">
        <v>932</v>
      </c>
      <c r="F725" s="10">
        <v>1</v>
      </c>
      <c r="G725" s="10" t="s">
        <v>73</v>
      </c>
      <c r="H725" s="10" t="s">
        <v>74</v>
      </c>
      <c r="I725" s="10" t="s">
        <v>83</v>
      </c>
      <c r="J725" s="10">
        <v>196</v>
      </c>
      <c r="K725" s="12">
        <v>44937</v>
      </c>
      <c r="L725" s="33">
        <v>0.58876157407407403</v>
      </c>
      <c r="M725" s="10">
        <v>1</v>
      </c>
      <c r="N725" s="10" t="s">
        <v>84</v>
      </c>
      <c r="O725" s="10">
        <v>7.41</v>
      </c>
      <c r="P725" s="10">
        <v>0.53600000000000003</v>
      </c>
      <c r="Q725" s="10">
        <v>470</v>
      </c>
      <c r="R725" s="10" t="s">
        <v>85</v>
      </c>
      <c r="S725" s="34">
        <f t="shared" si="77"/>
        <v>470</v>
      </c>
      <c r="T725" s="10" t="s">
        <v>1035</v>
      </c>
      <c r="U725" s="34" t="str">
        <f t="shared" si="78"/>
        <v/>
      </c>
      <c r="V725" s="31" t="str">
        <f>IF(H725="CHK",VLOOKUP(I725,QCCHK,3,),IF(H725="GUP",VLOOKUP(E725,QCGUP,2,),IF(AND(H725="ATP",OR(I725="TN",I725="TDN",I725="TNO2-3",I725="NO2-3")),VLOOKUP(E725,QCREC_N,2,),IF(AND(H725="NIC",OR(I725="TN",I725="TDN",I725="TNO2-3",I725="NO2-3")),VLOOKUP(E725,QCNIC_N,2,),IF(AND(H725="UREA",OR(I725="TN",I725="TDN",I725="TNO2-3",I725="NO2-3")),VLOOKUP(E725,QCUREA_N,2,),IF(H725="PER",VLOOKUP(I725,QCPER,MATCH(E725,QCACTUAL!$J$25:$AA$25,0),),IF(H725="SPK",VLOOKUP(I725,QCSPK,3,),IF(AND(H725="ATP",OR(I725="TP",I725="TDP")),VLOOKUP(E725,QCATP_P,2,),""))))))))</f>
        <v/>
      </c>
      <c r="W725" s="31" t="str">
        <f t="shared" si="79"/>
        <v>TRUE</v>
      </c>
      <c r="X725" s="31" t="str">
        <f t="shared" si="80"/>
        <v/>
      </c>
      <c r="Y725" s="10" t="s">
        <v>1021</v>
      </c>
      <c r="AF725" s="12">
        <v>44937</v>
      </c>
      <c r="AI725" s="10">
        <f>-0.232*7.41^2+72.802*7.41-30.279</f>
        <v>496.4451408000001</v>
      </c>
      <c r="AK725" s="10">
        <f>0*7.41^2+67.076*7.41-21.654</f>
        <v>475.37915999999996</v>
      </c>
      <c r="AL725" s="10" t="str">
        <f t="shared" si="84"/>
        <v>FALSE</v>
      </c>
      <c r="AM725" s="10" t="str">
        <f t="shared" si="84"/>
        <v>FALSE</v>
      </c>
      <c r="AN725" s="10" t="str">
        <f t="shared" si="84"/>
        <v>y=-0.232*7.41^2+72.802*7.41-30.279</v>
      </c>
      <c r="AO725" s="10" t="str">
        <f t="shared" si="85"/>
        <v>FALSE</v>
      </c>
      <c r="AP725" s="10" t="str">
        <f t="shared" si="85"/>
        <v>y=0*7.41^2+67.076*7.41-21.654</v>
      </c>
      <c r="AQ725" s="10" t="b">
        <f>IF(AND(I725="TP",S725&lt;=150),VLOOKUP(AF725,TPCalibEq150!$AZ$2:$BB$55,3,),IF(AND(I725="TDP",S725&lt;=150),VLOOKUP(AF725,TPCalibEq150!$AZ$2:$BB$55,3,)))</f>
        <v>0</v>
      </c>
      <c r="AR725" s="10" t="b">
        <f>IF(AND(I725="TP",S725&lt;=300),VLOOKUP(AF725,TPCalibEq300!$AZ$2:$BB$55,3,),IF(AND(I725="TDP",S725&lt;=300),VLOOKUP(AF725,TPCalibEq300!$AZ$2:$BB$55,3,)))</f>
        <v>0</v>
      </c>
      <c r="AS725" s="10" t="str">
        <f>IF(AND(I725="TP",S725&lt;=500),VLOOKUP(AF725,TPCalibEq500!$AZ$2:$BB$56,3,),IF(AND(I725="TDP",S725&lt;=500),VLOOKUP(AF725,TPCalibEq500!$AZ$2:$BB$56,3,)))</f>
        <v>y=-0.232x2+72.802x-30.279</v>
      </c>
      <c r="AT725" s="10" t="b">
        <f>IF(AND(I725="TN",S725&lt;=2800),VLOOKUP(AF725,TNCalibEq2500!$AZ$2:$BB$56,3,),IF(AND(I725="TDN",S725&lt;=2800),VLOOKUP(AF725,TNCalibEq2500!$AZ$2:$BB$56,3,)))</f>
        <v>0</v>
      </c>
      <c r="AU725" s="10" t="str">
        <f>IF(I725="TP",VLOOKUP(AF725,TPCalibEqFull!$AZ$2:$BB$56,3),IF(I725="TDP",VLOOKUP(AF725,TPCalibEqFull!$AZ$2:$BB$56,3),IF(I725="TDN",VLOOKUP(AF725,TNCalibEqFull!$AZ$1:$BB$56,3),IF(I725="TN",VLOOKUP(AF725,TNCalibEqFull!$AZ$1:$BB$56,3),FALSE))))</f>
        <v>y=0x2+67.076x-21.654</v>
      </c>
      <c r="AV725" s="10" t="str">
        <f t="shared" si="81"/>
        <v>1205 09:00:00-QAC-STD-Q.A-1-DI-CAL</v>
      </c>
    </row>
    <row r="726" spans="1:48" s="10" customFormat="1" x14ac:dyDescent="0.55000000000000004">
      <c r="A726" s="32">
        <v>44937</v>
      </c>
      <c r="B726" s="33">
        <v>0.375</v>
      </c>
      <c r="C726" s="10" t="s">
        <v>70</v>
      </c>
      <c r="D726" s="10" t="s">
        <v>241</v>
      </c>
      <c r="E726" s="10" t="s">
        <v>866</v>
      </c>
      <c r="F726" s="10">
        <v>1</v>
      </c>
      <c r="G726" s="10" t="s">
        <v>73</v>
      </c>
      <c r="H726" s="10" t="s">
        <v>283</v>
      </c>
      <c r="I726" s="10" t="s">
        <v>83</v>
      </c>
      <c r="J726" s="10">
        <v>198</v>
      </c>
      <c r="K726" s="12">
        <v>44937</v>
      </c>
      <c r="L726" s="33">
        <v>0.59016203703703707</v>
      </c>
      <c r="M726" s="10">
        <v>1</v>
      </c>
      <c r="N726" s="10" t="s">
        <v>84</v>
      </c>
      <c r="O726" s="10">
        <v>0.443</v>
      </c>
      <c r="P726" s="10">
        <v>3.4500000000000003E-2</v>
      </c>
      <c r="Q726" s="10">
        <v>9.7899999999999991</v>
      </c>
      <c r="R726" s="10" t="s">
        <v>85</v>
      </c>
      <c r="S726" s="34">
        <f t="shared" si="77"/>
        <v>9.7899999999999991</v>
      </c>
      <c r="T726" s="10" t="s">
        <v>1035</v>
      </c>
      <c r="U726" s="34">
        <f t="shared" si="78"/>
        <v>9.7899999999999991</v>
      </c>
      <c r="V726" s="31" t="str">
        <f>IF(H726="CHK",VLOOKUP(I726,QCCHK,3,),IF(H726="GUP",VLOOKUP(E726,QCGUP,2,),IF(AND(H726="ATP",OR(I726="TN",I726="TDN",I726="TNO2-3",I726="NO2-3")),VLOOKUP(E726,QCREC_N,2,),IF(AND(H726="NIC",OR(I726="TN",I726="TDN",I726="TNO2-3",I726="NO2-3")),VLOOKUP(E726,QCNIC_N,2,),IF(AND(H726="UREA",OR(I726="TN",I726="TDN",I726="TNO2-3",I726="NO2-3")),VLOOKUP(E726,QCUREA_N,2,),IF(H726="PER",VLOOKUP(I726,QCPER,MATCH(E726,QCACTUAL!$J$25:$AA$25,0),),IF(H726="SPK",VLOOKUP(I726,QCSPK,3,),IF(AND(H726="ATP",OR(I726="TP",I726="TDP")),VLOOKUP(E726,QCATP_P,2,),""))))))))</f>
        <v/>
      </c>
      <c r="W726" s="31" t="str">
        <f t="shared" si="79"/>
        <v>TRUE</v>
      </c>
      <c r="X726" s="31" t="str">
        <f t="shared" si="80"/>
        <v>nominal concentration</v>
      </c>
      <c r="Y726" s="10" t="s">
        <v>1021</v>
      </c>
      <c r="AF726" s="12">
        <v>44937</v>
      </c>
      <c r="AG726" s="10">
        <f>-1.7779*0.443^2+83.185*0.443-35.938</f>
        <v>0.5640439028999964</v>
      </c>
      <c r="AH726" s="10">
        <f>-2.8628*0.443^2+86.116*0.443-37.286</f>
        <v>0.30156636280000271</v>
      </c>
      <c r="AI726" s="10">
        <f>-0.232*0.443^2+72.802*0.443-30.279</f>
        <v>1.9267562319999989</v>
      </c>
      <c r="AK726" s="10">
        <f>0*0.443^2+67.076*0.443-21.654</f>
        <v>8.0606679999999962</v>
      </c>
      <c r="AL726" s="10" t="str">
        <f t="shared" si="84"/>
        <v>y=-1.7779*0.443^2+83.185*0.443-35.938</v>
      </c>
      <c r="AM726" s="10" t="str">
        <f t="shared" si="84"/>
        <v>y=-2.8628*0.443^2+86.116*0.443-37.286</v>
      </c>
      <c r="AN726" s="10" t="str">
        <f t="shared" si="84"/>
        <v>y=-0.232*0.443^2+72.802*0.443-30.279</v>
      </c>
      <c r="AO726" s="10" t="str">
        <f t="shared" si="85"/>
        <v>FALSE</v>
      </c>
      <c r="AP726" s="10" t="str">
        <f t="shared" si="85"/>
        <v>y=0*0.443^2+67.076*0.443-21.654</v>
      </c>
      <c r="AQ726" s="10" t="str">
        <f>IF(AND(I726="TP",S726&lt;=150),VLOOKUP(AF726,TPCalibEq150!$AZ$2:$BB$55,3,),IF(AND(I726="TDP",S726&lt;=150),VLOOKUP(AF726,TPCalibEq150!$AZ$2:$BB$55,3,)))</f>
        <v>y=-1.7779x2+83.185x-35.938</v>
      </c>
      <c r="AR726" s="10" t="str">
        <f>IF(AND(I726="TP",S726&lt;=300),VLOOKUP(AF726,TPCalibEq300!$AZ$2:$BB$55,3,),IF(AND(I726="TDP",S726&lt;=300),VLOOKUP(AF726,TPCalibEq300!$AZ$2:$BB$55,3,)))</f>
        <v>y=-2.8628x2+86.116x-37.286</v>
      </c>
      <c r="AS726" s="10" t="str">
        <f>IF(AND(I726="TP",S726&lt;=500),VLOOKUP(AF726,TPCalibEq500!$AZ$2:$BB$56,3,),IF(AND(I726="TDP",S726&lt;=500),VLOOKUP(AF726,TPCalibEq500!$AZ$2:$BB$56,3,)))</f>
        <v>y=-0.232x2+72.802x-30.279</v>
      </c>
      <c r="AT726" s="10" t="b">
        <f>IF(AND(I726="TN",S726&lt;=2800),VLOOKUP(AF726,TNCalibEq2500!$AZ$2:$BB$56,3,),IF(AND(I726="TDN",S726&lt;=2800),VLOOKUP(AF726,TNCalibEq2500!$AZ$2:$BB$56,3,)))</f>
        <v>0</v>
      </c>
      <c r="AU726" s="10" t="str">
        <f>IF(I726="TP",VLOOKUP(AF726,TPCalibEqFull!$AZ$2:$BB$56,3),IF(I726="TDP",VLOOKUP(AF726,TPCalibEqFull!$AZ$2:$BB$56,3),IF(I726="TDN",VLOOKUP(AF726,TNCalibEqFull!$AZ$1:$BB$56,3),IF(I726="TN",VLOOKUP(AF726,TNCalibEqFull!$AZ$1:$BB$56,3),FALSE))))</f>
        <v>y=0x2+67.076x-21.654</v>
      </c>
      <c r="AV726" s="10" t="str">
        <f t="shared" si="81"/>
        <v>0111 09:00:00-QAC-BLK-A-1-DI-LAB</v>
      </c>
    </row>
    <row r="727" spans="1:48" s="10" customFormat="1" x14ac:dyDescent="0.55000000000000004">
      <c r="A727" s="32">
        <v>44937</v>
      </c>
      <c r="B727" s="33">
        <v>0.375</v>
      </c>
      <c r="C727" s="10" t="s">
        <v>70</v>
      </c>
      <c r="D727" s="10" t="s">
        <v>241</v>
      </c>
      <c r="E727" s="10" t="s">
        <v>866</v>
      </c>
      <c r="F727" s="10">
        <v>1</v>
      </c>
      <c r="G727" s="10" t="s">
        <v>73</v>
      </c>
      <c r="H727" s="10" t="s">
        <v>314</v>
      </c>
      <c r="I727" s="10" t="s">
        <v>83</v>
      </c>
      <c r="J727" s="10">
        <v>225</v>
      </c>
      <c r="K727" s="12">
        <v>44937</v>
      </c>
      <c r="L727" s="33">
        <v>0.59086805555555555</v>
      </c>
      <c r="M727" s="10">
        <v>1</v>
      </c>
      <c r="N727" s="10" t="s">
        <v>84</v>
      </c>
      <c r="O727" s="10">
        <v>15.7</v>
      </c>
      <c r="P727" s="10">
        <v>1.1299999999999999</v>
      </c>
      <c r="Q727" s="10">
        <v>1020</v>
      </c>
      <c r="R727" s="10" t="s">
        <v>85</v>
      </c>
      <c r="S727" s="34">
        <f t="shared" si="77"/>
        <v>1031.4391999999998</v>
      </c>
      <c r="T727" s="10" t="s">
        <v>1035</v>
      </c>
      <c r="U727" s="34">
        <f t="shared" si="78"/>
        <v>102.16492</v>
      </c>
      <c r="V727" s="31">
        <f>IF(H727="CHK",VLOOKUP(I727,QCCHK,3,),IF(H727="GUP",VLOOKUP(E727,QCGUP,2,),IF(AND(H727="ATP",OR(I727="TN",I727="TDN",I727="TNO2-3",I727="NO2-3")),VLOOKUP(E727,QCREC_N,2,),IF(AND(H727="NIC",OR(I727="TN",I727="TDN",I727="TNO2-3",I727="NO2-3")),VLOOKUP(E727,QCNIC_N,2,),IF(AND(H727="UREA",OR(I727="TN",I727="TDN",I727="TNO2-3",I727="NO2-3")),VLOOKUP(E727,QCUREA_N,2,),IF(H727="PER",VLOOKUP(I727,QCPER,MATCH(E727,QCACTUAL!$J$25:$AA$25,0),),IF(H727="SPK",VLOOKUP(I727,QCSPK,3,),IF(AND(H727="ATP",OR(I727="TP",I727="TDP")),VLOOKUP(E727,QCATP_P,2,),""))))))))</f>
        <v>1000</v>
      </c>
      <c r="W727" s="31" t="str">
        <f t="shared" si="79"/>
        <v>TRUE</v>
      </c>
      <c r="X727" s="31" t="str">
        <f t="shared" si="80"/>
        <v>([spikedunkn]-[unkn])/[spike]*100</v>
      </c>
      <c r="Y727" s="10" t="s">
        <v>1021</v>
      </c>
      <c r="AF727" s="12">
        <v>44937</v>
      </c>
      <c r="AK727" s="10">
        <f>0*15.7^2+67.076*15.7-21.654</f>
        <v>1031.4391999999998</v>
      </c>
      <c r="AL727" s="10" t="str">
        <f t="shared" si="84"/>
        <v>FALSE</v>
      </c>
      <c r="AM727" s="10" t="str">
        <f t="shared" si="84"/>
        <v>FALSE</v>
      </c>
      <c r="AN727" s="10" t="str">
        <f t="shared" si="84"/>
        <v>FALSE</v>
      </c>
      <c r="AO727" s="10" t="str">
        <f t="shared" si="85"/>
        <v>FALSE</v>
      </c>
      <c r="AP727" s="10" t="str">
        <f t="shared" si="85"/>
        <v>y=0*15.7^2+67.076*15.7-21.654</v>
      </c>
      <c r="AQ727" s="10" t="b">
        <f>IF(AND(I727="TP",S727&lt;=150),VLOOKUP(AF727,TPCalibEq150!$AZ$2:$BB$55,3,),IF(AND(I727="TDP",S727&lt;=150),VLOOKUP(AF727,TPCalibEq150!$AZ$2:$BB$55,3,)))</f>
        <v>0</v>
      </c>
      <c r="AR727" s="10" t="b">
        <f>IF(AND(I727="TP",S727&lt;=300),VLOOKUP(AF727,TPCalibEq300!$AZ$2:$BB$55,3,),IF(AND(I727="TDP",S727&lt;=300),VLOOKUP(AF727,TPCalibEq300!$AZ$2:$BB$55,3,)))</f>
        <v>0</v>
      </c>
      <c r="AS727" s="10" t="b">
        <f>IF(AND(I727="TP",S727&lt;=500),VLOOKUP(AF727,TPCalibEq500!$AZ$2:$BB$56,3,),IF(AND(I727="TDP",S727&lt;=500),VLOOKUP(AF727,TPCalibEq500!$AZ$2:$BB$56,3,)))</f>
        <v>0</v>
      </c>
      <c r="AT727" s="10" t="b">
        <f>IF(AND(I727="TN",S727&lt;=2800),VLOOKUP(AF727,TNCalibEq2500!$AZ$2:$BB$56,3,),IF(AND(I727="TDN",S727&lt;=2800),VLOOKUP(AF727,TNCalibEq2500!$AZ$2:$BB$56,3,)))</f>
        <v>0</v>
      </c>
      <c r="AU727" s="10" t="str">
        <f>IF(I727="TP",VLOOKUP(AF727,TPCalibEqFull!$AZ$2:$BB$56,3),IF(I727="TDP",VLOOKUP(AF727,TPCalibEqFull!$AZ$2:$BB$56,3),IF(I727="TDN",VLOOKUP(AF727,TNCalibEqFull!$AZ$1:$BB$56,3),IF(I727="TN",VLOOKUP(AF727,TNCalibEqFull!$AZ$1:$BB$56,3),FALSE))))</f>
        <v>y=0x2+67.076x-21.654</v>
      </c>
      <c r="AV727" s="10" t="str">
        <f t="shared" si="81"/>
        <v>0111 09:00:00-QAC-BLK-A-1-DI-SPK</v>
      </c>
    </row>
    <row r="728" spans="1:48" s="10" customFormat="1" x14ac:dyDescent="0.55000000000000004">
      <c r="A728" s="32">
        <v>44937</v>
      </c>
      <c r="B728" s="33">
        <v>0.375</v>
      </c>
      <c r="C728" s="10" t="s">
        <v>70</v>
      </c>
      <c r="D728" s="10" t="s">
        <v>71</v>
      </c>
      <c r="E728" s="10" t="s">
        <v>948</v>
      </c>
      <c r="F728" s="10">
        <v>1</v>
      </c>
      <c r="G728" s="10" t="s">
        <v>73</v>
      </c>
      <c r="H728" s="10" t="s">
        <v>299</v>
      </c>
      <c r="I728" s="10" t="s">
        <v>83</v>
      </c>
      <c r="J728" s="10">
        <v>197</v>
      </c>
      <c r="K728" s="12">
        <v>44937</v>
      </c>
      <c r="L728" s="33">
        <v>0.59157407407407414</v>
      </c>
      <c r="M728" s="10">
        <v>1</v>
      </c>
      <c r="N728" s="10" t="s">
        <v>84</v>
      </c>
      <c r="O728" s="10">
        <v>4.82</v>
      </c>
      <c r="P728" s="10">
        <v>0.34799999999999998</v>
      </c>
      <c r="Q728" s="10">
        <v>299</v>
      </c>
      <c r="R728" s="10" t="s">
        <v>85</v>
      </c>
      <c r="S728" s="34">
        <f t="shared" si="77"/>
        <v>315.23672320000009</v>
      </c>
      <c r="T728" s="10" t="s">
        <v>1035</v>
      </c>
      <c r="U728" s="34">
        <f t="shared" si="78"/>
        <v>95.526279757575779</v>
      </c>
      <c r="V728" s="31">
        <f>IF(H728="CHK",VLOOKUP(I728,QCCHK,3,),IF(H728="GUP",VLOOKUP(E728,QCGUP,2,),IF(AND(H728="ATP",OR(I728="TN",I728="TDN",I728="TNO2-3",I728="NO2-3")),VLOOKUP(E728,QCREC_N,2,),IF(AND(H728="NIC",OR(I728="TN",I728="TDN",I728="TNO2-3",I728="NO2-3")),VLOOKUP(E728,QCNIC_N,2,),IF(AND(H728="UREA",OR(I728="TN",I728="TDN",I728="TNO2-3",I728="NO2-3")),VLOOKUP(E728,QCUREA_N,2,),IF(H728="PER",VLOOKUP(I728,QCPER,MATCH(E728,QCACTUAL!$J$25:$AA$25,0),),IF(H728="SPK",VLOOKUP(I728,QCSPK,3,),IF(AND(H728="ATP",OR(I728="TP",I728="TDP")),VLOOKUP(E728,QCATP_P,2,),""))))))))</f>
        <v>330</v>
      </c>
      <c r="W728" s="31" t="str">
        <f t="shared" si="79"/>
        <v>TRUE</v>
      </c>
      <c r="X728" s="31" t="str">
        <f t="shared" si="80"/>
        <v>[per]/[actual]*100</v>
      </c>
      <c r="Y728" s="10" t="s">
        <v>1021</v>
      </c>
      <c r="AF728" s="12">
        <v>44937</v>
      </c>
      <c r="AH728" s="10">
        <f>-2.8628*4.82^2+86.116*4.82-37.286</f>
        <v>311.28340528000007</v>
      </c>
      <c r="AI728" s="10">
        <f>-0.232*4.82^2+72.802*4.82-30.279</f>
        <v>315.23672320000009</v>
      </c>
      <c r="AK728" s="10">
        <f>0*4.82^2+67.076*4.82-21.654</f>
        <v>301.65231999999997</v>
      </c>
      <c r="AL728" s="10" t="str">
        <f t="shared" si="84"/>
        <v>FALSE</v>
      </c>
      <c r="AM728" s="10" t="str">
        <f t="shared" si="84"/>
        <v>FALSE</v>
      </c>
      <c r="AN728" s="10" t="str">
        <f t="shared" si="84"/>
        <v>y=-0.232*4.82^2+72.802*4.82-30.279</v>
      </c>
      <c r="AO728" s="10" t="str">
        <f t="shared" si="85"/>
        <v>FALSE</v>
      </c>
      <c r="AP728" s="10" t="str">
        <f t="shared" si="85"/>
        <v>y=0*4.82^2+67.076*4.82-21.654</v>
      </c>
      <c r="AQ728" s="10" t="b">
        <f>IF(AND(I728="TP",S728&lt;=150),VLOOKUP(AF728,TPCalibEq150!$AZ$2:$BB$55,3,),IF(AND(I728="TDP",S728&lt;=150),VLOOKUP(AF728,TPCalibEq150!$AZ$2:$BB$55,3,)))</f>
        <v>0</v>
      </c>
      <c r="AR728" s="10" t="b">
        <f>IF(AND(I728="TP",S728&lt;=300),VLOOKUP(AF728,TPCalibEq300!$AZ$2:$BB$55,3,),IF(AND(I728="TDP",S728&lt;=300),VLOOKUP(AF728,TPCalibEq300!$AZ$2:$BB$55,3,)))</f>
        <v>0</v>
      </c>
      <c r="AS728" s="10" t="str">
        <f>IF(AND(I728="TP",S728&lt;=500),VLOOKUP(AF728,TPCalibEq500!$AZ$2:$BB$56,3,),IF(AND(I728="TDP",S728&lt;=500),VLOOKUP(AF728,TPCalibEq500!$AZ$2:$BB$56,3,)))</f>
        <v>y=-0.232x2+72.802x-30.279</v>
      </c>
      <c r="AT728" s="10" t="b">
        <f>IF(AND(I728="TN",S728&lt;=2800),VLOOKUP(AF728,TNCalibEq2500!$AZ$2:$BB$56,3,),IF(AND(I728="TDN",S728&lt;=2800),VLOOKUP(AF728,TNCalibEq2500!$AZ$2:$BB$56,3,)))</f>
        <v>0</v>
      </c>
      <c r="AU728" s="10" t="str">
        <f>IF(I728="TP",VLOOKUP(AF728,TPCalibEqFull!$AZ$2:$BB$56,3),IF(I728="TDP",VLOOKUP(AF728,TPCalibEqFull!$AZ$2:$BB$56,3),IF(I728="TDN",VLOOKUP(AF728,TNCalibEqFull!$AZ$1:$BB$56,3),IF(I728="TN",VLOOKUP(AF728,TNCalibEqFull!$AZ$1:$BB$56,3),FALSE))))</f>
        <v>y=0x2+67.076x-21.654</v>
      </c>
      <c r="AV728" s="10" t="str">
        <f t="shared" si="81"/>
        <v>0111 09:00:00-QAC-STD-22A-1-DI-PER</v>
      </c>
    </row>
    <row r="729" spans="1:48" s="10" customFormat="1" x14ac:dyDescent="0.55000000000000004">
      <c r="A729" s="32">
        <v>44937</v>
      </c>
      <c r="B729" s="33">
        <v>0.375</v>
      </c>
      <c r="C729" s="10" t="s">
        <v>70</v>
      </c>
      <c r="D729" s="10" t="s">
        <v>305</v>
      </c>
      <c r="E729" s="10" t="s">
        <v>866</v>
      </c>
      <c r="F729" s="10">
        <v>1</v>
      </c>
      <c r="G729" s="10" t="s">
        <v>73</v>
      </c>
      <c r="H729" s="10" t="s">
        <v>274</v>
      </c>
      <c r="I729" s="10" t="s">
        <v>83</v>
      </c>
      <c r="J729" s="10">
        <v>204</v>
      </c>
      <c r="K729" s="12">
        <v>44937</v>
      </c>
      <c r="L729" s="33">
        <v>0.59229166666666666</v>
      </c>
      <c r="M729" s="10">
        <v>1</v>
      </c>
      <c r="N729" s="10" t="s">
        <v>84</v>
      </c>
      <c r="O729" s="10">
        <v>15.8</v>
      </c>
      <c r="P729" s="10">
        <v>1.1299999999999999</v>
      </c>
      <c r="Q729" s="10">
        <v>1030</v>
      </c>
      <c r="R729" s="10" t="s">
        <v>85</v>
      </c>
      <c r="S729" s="34">
        <f t="shared" si="77"/>
        <v>1038.1468</v>
      </c>
      <c r="T729" s="10" t="s">
        <v>1035</v>
      </c>
      <c r="U729" s="34">
        <f t="shared" si="78"/>
        <v>103.81468000000001</v>
      </c>
      <c r="V729" s="31">
        <f>IF(H729="CHK",VLOOKUP(I729,QCCHK,3,),IF(H729="GUP",VLOOKUP(E729,QCGUP,2,),IF(AND(H729="ATP",OR(I729="TN",I729="TDN",I729="TNO2-3",I729="NO2-3")),VLOOKUP(E729,QCREC_N,2,),IF(AND(H729="NIC",OR(I729="TN",I729="TDN",I729="TNO2-3",I729="NO2-3")),VLOOKUP(E729,QCNIC_N,2,),IF(AND(H729="UREA",OR(I729="TN",I729="TDN",I729="TNO2-3",I729="NO2-3")),VLOOKUP(E729,QCUREA_N,2,),IF(H729="PER",VLOOKUP(I729,QCPER,MATCH(E729,QCACTUAL!$J$25:$AA$25,0),),IF(H729="SPK",VLOOKUP(I729,QCSPK,3,),IF(AND(H729="ATP",OR(I729="TP",I729="TDP")),VLOOKUP(E729,QCATP_P,2,),""))))))))</f>
        <v>1000</v>
      </c>
      <c r="W729" s="31" t="str">
        <f t="shared" si="79"/>
        <v>TRUE</v>
      </c>
      <c r="X729" s="31" t="str">
        <f t="shared" si="80"/>
        <v>[rec]/[actual]*100</v>
      </c>
      <c r="Y729" s="10" t="s">
        <v>1021</v>
      </c>
      <c r="AF729" s="12">
        <v>44937</v>
      </c>
      <c r="AK729" s="10">
        <f>0*15.8^2+67.076*15.8-21.654</f>
        <v>1038.1468</v>
      </c>
      <c r="AL729" s="10" t="str">
        <f t="shared" si="84"/>
        <v>FALSE</v>
      </c>
      <c r="AM729" s="10" t="str">
        <f t="shared" si="84"/>
        <v>FALSE</v>
      </c>
      <c r="AN729" s="10" t="str">
        <f t="shared" si="84"/>
        <v>FALSE</v>
      </c>
      <c r="AO729" s="10" t="str">
        <f t="shared" si="85"/>
        <v>FALSE</v>
      </c>
      <c r="AP729" s="10" t="str">
        <f t="shared" si="85"/>
        <v>y=0*15.8^2+67.076*15.8-21.654</v>
      </c>
      <c r="AQ729" s="10" t="b">
        <f>IF(AND(I729="TP",S729&lt;=150),VLOOKUP(AF729,TPCalibEq150!$AZ$2:$BB$55,3,),IF(AND(I729="TDP",S729&lt;=150),VLOOKUP(AF729,TPCalibEq150!$AZ$2:$BB$55,3,)))</f>
        <v>0</v>
      </c>
      <c r="AR729" s="10" t="b">
        <f>IF(AND(I729="TP",S729&lt;=300),VLOOKUP(AF729,TPCalibEq300!$AZ$2:$BB$55,3,),IF(AND(I729="TDP",S729&lt;=300),VLOOKUP(AF729,TPCalibEq300!$AZ$2:$BB$55,3,)))</f>
        <v>0</v>
      </c>
      <c r="AS729" s="10" t="b">
        <f>IF(AND(I729="TP",S729&lt;=500),VLOOKUP(AF729,TPCalibEq500!$AZ$2:$BB$56,3,),IF(AND(I729="TDP",S729&lt;=500),VLOOKUP(AF729,TPCalibEq500!$AZ$2:$BB$56,3,)))</f>
        <v>0</v>
      </c>
      <c r="AT729" s="10" t="b">
        <f>IF(AND(I729="TN",S729&lt;=2800),VLOOKUP(AF729,TNCalibEq2500!$AZ$2:$BB$56,3,),IF(AND(I729="TDN",S729&lt;=2800),VLOOKUP(AF729,TNCalibEq2500!$AZ$2:$BB$56,3,)))</f>
        <v>0</v>
      </c>
      <c r="AU729" s="10" t="str">
        <f>IF(I729="TP",VLOOKUP(AF729,TPCalibEqFull!$AZ$2:$BB$56,3),IF(I729="TDP",VLOOKUP(AF729,TPCalibEqFull!$AZ$2:$BB$56,3),IF(I729="TDN",VLOOKUP(AF729,TNCalibEqFull!$AZ$1:$BB$56,3),IF(I729="TN",VLOOKUP(AF729,TNCalibEqFull!$AZ$1:$BB$56,3),FALSE))))</f>
        <v>y=0x2+67.076x-21.654</v>
      </c>
      <c r="AV729" s="10" t="str">
        <f t="shared" si="81"/>
        <v>0111 09:00:00-QAC-REC-A-1-DI-GUP</v>
      </c>
    </row>
    <row r="730" spans="1:48" s="10" customFormat="1" x14ac:dyDescent="0.55000000000000004">
      <c r="A730" s="32">
        <v>44937</v>
      </c>
      <c r="B730" s="33">
        <v>0.375</v>
      </c>
      <c r="C730" s="10" t="s">
        <v>70</v>
      </c>
      <c r="D730" s="10" t="s">
        <v>305</v>
      </c>
      <c r="E730" s="10" t="s">
        <v>583</v>
      </c>
      <c r="F730" s="10">
        <v>1</v>
      </c>
      <c r="G730" s="10" t="s">
        <v>73</v>
      </c>
      <c r="H730" s="10" t="s">
        <v>274</v>
      </c>
      <c r="I730" s="10" t="s">
        <v>83</v>
      </c>
      <c r="J730" s="10">
        <v>205</v>
      </c>
      <c r="K730" s="12">
        <v>44937</v>
      </c>
      <c r="L730" s="33">
        <v>0.59299768518518514</v>
      </c>
      <c r="M730" s="10">
        <v>1</v>
      </c>
      <c r="N730" s="10" t="s">
        <v>84</v>
      </c>
      <c r="O730" s="10">
        <v>3.15</v>
      </c>
      <c r="P730" s="10">
        <v>0.224</v>
      </c>
      <c r="Q730" s="10">
        <v>188</v>
      </c>
      <c r="R730" s="10" t="s">
        <v>85</v>
      </c>
      <c r="S730" s="34">
        <f t="shared" si="77"/>
        <v>205.57326699999999</v>
      </c>
      <c r="T730" s="10" t="s">
        <v>1035</v>
      </c>
      <c r="U730" s="34">
        <f t="shared" si="78"/>
        <v>102.78663349999999</v>
      </c>
      <c r="V730" s="31">
        <f>IF(H730="CHK",VLOOKUP(I730,QCCHK,3,),IF(H730="GUP",VLOOKUP(E730,QCGUP,2,),IF(AND(H730="ATP",OR(I730="TN",I730="TDN",I730="TNO2-3",I730="NO2-3")),VLOOKUP(E730,QCREC_N,2,),IF(AND(H730="NIC",OR(I730="TN",I730="TDN",I730="TNO2-3",I730="NO2-3")),VLOOKUP(E730,QCNIC_N,2,),IF(AND(H730="UREA",OR(I730="TN",I730="TDN",I730="TNO2-3",I730="NO2-3")),VLOOKUP(E730,QCUREA_N,2,),IF(H730="PER",VLOOKUP(I730,QCPER,MATCH(E730,QCACTUAL!$J$25:$AA$25,0),),IF(H730="SPK",VLOOKUP(I730,QCSPK,3,),IF(AND(H730="ATP",OR(I730="TP",I730="TDP")),VLOOKUP(E730,QCATP_P,2,),""))))))))</f>
        <v>200</v>
      </c>
      <c r="W730" s="31" t="str">
        <f t="shared" si="79"/>
        <v>TRUE</v>
      </c>
      <c r="X730" s="31" t="str">
        <f t="shared" si="80"/>
        <v>[rec]/[actual]*100</v>
      </c>
      <c r="Y730" s="10" t="s">
        <v>1021</v>
      </c>
      <c r="AF730" s="12">
        <v>44937</v>
      </c>
      <c r="AH730" s="10">
        <f>-2.8628*3.15^2+86.116*3.15-37.286</f>
        <v>205.57326699999999</v>
      </c>
      <c r="AI730" s="10">
        <f>-0.232*3.15^2+72.802*3.15-30.279</f>
        <v>196.74528000000001</v>
      </c>
      <c r="AK730" s="10">
        <f>0*3.15^2+67.076*3.15-21.654</f>
        <v>189.63539999999998</v>
      </c>
      <c r="AL730" s="10" t="str">
        <f t="shared" si="84"/>
        <v>FALSE</v>
      </c>
      <c r="AM730" s="10" t="str">
        <f t="shared" si="84"/>
        <v>y=-2.8628*3.15^2+86.116*3.15-37.286</v>
      </c>
      <c r="AN730" s="10" t="str">
        <f t="shared" si="84"/>
        <v>y=-0.232*3.15^2+72.802*3.15-30.279</v>
      </c>
      <c r="AO730" s="10" t="str">
        <f t="shared" si="85"/>
        <v>FALSE</v>
      </c>
      <c r="AP730" s="10" t="str">
        <f t="shared" si="85"/>
        <v>y=0*3.15^2+67.076*3.15-21.654</v>
      </c>
      <c r="AQ730" s="10" t="b">
        <f>IF(AND(I730="TP",S730&lt;=150),VLOOKUP(AF730,TPCalibEq150!$AZ$2:$BB$55,3,),IF(AND(I730="TDP",S730&lt;=150),VLOOKUP(AF730,TPCalibEq150!$AZ$2:$BB$55,3,)))</f>
        <v>0</v>
      </c>
      <c r="AR730" s="10" t="str">
        <f>IF(AND(I730="TP",S730&lt;=300),VLOOKUP(AF730,TPCalibEq300!$AZ$2:$BB$55,3,),IF(AND(I730="TDP",S730&lt;=300),VLOOKUP(AF730,TPCalibEq300!$AZ$2:$BB$55,3,)))</f>
        <v>y=-2.8628x2+86.116x-37.286</v>
      </c>
      <c r="AS730" s="10" t="str">
        <f>IF(AND(I730="TP",S730&lt;=500),VLOOKUP(AF730,TPCalibEq500!$AZ$2:$BB$56,3,),IF(AND(I730="TDP",S730&lt;=500),VLOOKUP(AF730,TPCalibEq500!$AZ$2:$BB$56,3,)))</f>
        <v>y=-0.232x2+72.802x-30.279</v>
      </c>
      <c r="AT730" s="10" t="b">
        <f>IF(AND(I730="TN",S730&lt;=2800),VLOOKUP(AF730,TNCalibEq2500!$AZ$2:$BB$56,3,),IF(AND(I730="TDN",S730&lt;=2800),VLOOKUP(AF730,TNCalibEq2500!$AZ$2:$BB$56,3,)))</f>
        <v>0</v>
      </c>
      <c r="AU730" s="10" t="str">
        <f>IF(I730="TP",VLOOKUP(AF730,TPCalibEqFull!$AZ$2:$BB$56,3),IF(I730="TDP",VLOOKUP(AF730,TPCalibEqFull!$AZ$2:$BB$56,3),IF(I730="TDN",VLOOKUP(AF730,TNCalibEqFull!$AZ$1:$BB$56,3),IF(I730="TN",VLOOKUP(AF730,TNCalibEqFull!$AZ$1:$BB$56,3),FALSE))))</f>
        <v>y=0x2+67.076x-21.654</v>
      </c>
      <c r="AV730" s="10" t="str">
        <f t="shared" si="81"/>
        <v>0111 09:00:00-QAC-REC-B-1-DI-GUP</v>
      </c>
    </row>
    <row r="731" spans="1:48" s="10" customFormat="1" x14ac:dyDescent="0.55000000000000004">
      <c r="A731" s="32">
        <v>44937</v>
      </c>
      <c r="B731" s="33">
        <v>0.375</v>
      </c>
      <c r="C731" s="10" t="s">
        <v>70</v>
      </c>
      <c r="D731" s="10" t="s">
        <v>305</v>
      </c>
      <c r="E731" s="10" t="s">
        <v>190</v>
      </c>
      <c r="F731" s="10">
        <v>1</v>
      </c>
      <c r="G731" s="10" t="s">
        <v>73</v>
      </c>
      <c r="H731" s="10" t="s">
        <v>274</v>
      </c>
      <c r="I731" s="10" t="s">
        <v>83</v>
      </c>
      <c r="J731" s="10">
        <v>206</v>
      </c>
      <c r="K731" s="12">
        <v>44937</v>
      </c>
      <c r="L731" s="33">
        <v>0.59370370370370373</v>
      </c>
      <c r="M731" s="10">
        <v>1</v>
      </c>
      <c r="N731" s="10" t="s">
        <v>84</v>
      </c>
      <c r="O731" s="10">
        <v>1.76</v>
      </c>
      <c r="P731" s="10">
        <v>0.125</v>
      </c>
      <c r="Q731" s="10">
        <v>96.8</v>
      </c>
      <c r="R731" s="10" t="s">
        <v>85</v>
      </c>
      <c r="S731" s="34">
        <f t="shared" si="77"/>
        <v>105.41035072</v>
      </c>
      <c r="T731" s="10" t="s">
        <v>1035</v>
      </c>
      <c r="U731" s="34">
        <f t="shared" si="78"/>
        <v>105.41035072</v>
      </c>
      <c r="V731" s="31">
        <f>IF(H731="CHK",VLOOKUP(I731,QCCHK,3,),IF(H731="GUP",VLOOKUP(E731,QCGUP,2,),IF(AND(H731="ATP",OR(I731="TN",I731="TDN",I731="TNO2-3",I731="NO2-3")),VLOOKUP(E731,QCREC_N,2,),IF(AND(H731="NIC",OR(I731="TN",I731="TDN",I731="TNO2-3",I731="NO2-3")),VLOOKUP(E731,QCNIC_N,2,),IF(AND(H731="UREA",OR(I731="TN",I731="TDN",I731="TNO2-3",I731="NO2-3")),VLOOKUP(E731,QCUREA_N,2,),IF(H731="PER",VLOOKUP(I731,QCPER,MATCH(E731,QCACTUAL!$J$25:$AA$25,0),),IF(H731="SPK",VLOOKUP(I731,QCSPK,3,),IF(AND(H731="ATP",OR(I731="TP",I731="TDP")),VLOOKUP(E731,QCATP_P,2,),""))))))))</f>
        <v>100</v>
      </c>
      <c r="W731" s="31" t="str">
        <f t="shared" si="79"/>
        <v>TRUE</v>
      </c>
      <c r="X731" s="31" t="str">
        <f t="shared" si="80"/>
        <v>[rec]/[actual]*100</v>
      </c>
      <c r="Y731" s="10" t="s">
        <v>1021</v>
      </c>
      <c r="AF731" s="12">
        <v>44937</v>
      </c>
      <c r="AG731" s="10">
        <f>-1.7779*1.76^2+83.185*1.76-35.938</f>
        <v>104.96037696</v>
      </c>
      <c r="AH731" s="10">
        <f>-2.8628*1.76^2+86.116*1.76-37.286</f>
        <v>105.41035072</v>
      </c>
      <c r="AI731" s="10">
        <f>-0.232*1.76^2+72.802*1.76-30.279</f>
        <v>97.133876800000024</v>
      </c>
      <c r="AK731" s="10">
        <f>0*1.76^2+67.076*1.76-21.654</f>
        <v>96.399759999999986</v>
      </c>
      <c r="AL731" s="10" t="str">
        <f t="shared" si="84"/>
        <v>y=-1.7779*1.76^2+83.185*1.76-35.938</v>
      </c>
      <c r="AM731" s="10" t="str">
        <f t="shared" si="84"/>
        <v>y=-2.8628*1.76^2+86.116*1.76-37.286</v>
      </c>
      <c r="AN731" s="10" t="str">
        <f t="shared" si="84"/>
        <v>y=-0.232*1.76^2+72.802*1.76-30.279</v>
      </c>
      <c r="AO731" s="10" t="str">
        <f t="shared" si="85"/>
        <v>FALSE</v>
      </c>
      <c r="AP731" s="10" t="str">
        <f t="shared" si="85"/>
        <v>y=0*1.76^2+67.076*1.76-21.654</v>
      </c>
      <c r="AQ731" s="10" t="str">
        <f>IF(AND(I731="TP",S731&lt;=150),VLOOKUP(AF731,TPCalibEq150!$AZ$2:$BB$55,3,),IF(AND(I731="TDP",S731&lt;=150),VLOOKUP(AF731,TPCalibEq150!$AZ$2:$BB$55,3,)))</f>
        <v>y=-1.7779x2+83.185x-35.938</v>
      </c>
      <c r="AR731" s="10" t="str">
        <f>IF(AND(I731="TP",S731&lt;=300),VLOOKUP(AF731,TPCalibEq300!$AZ$2:$BB$55,3,),IF(AND(I731="TDP",S731&lt;=300),VLOOKUP(AF731,TPCalibEq300!$AZ$2:$BB$55,3,)))</f>
        <v>y=-2.8628x2+86.116x-37.286</v>
      </c>
      <c r="AS731" s="10" t="str">
        <f>IF(AND(I731="TP",S731&lt;=500),VLOOKUP(AF731,TPCalibEq500!$AZ$2:$BB$56,3,),IF(AND(I731="TDP",S731&lt;=500),VLOOKUP(AF731,TPCalibEq500!$AZ$2:$BB$56,3,)))</f>
        <v>y=-0.232x2+72.802x-30.279</v>
      </c>
      <c r="AT731" s="10" t="b">
        <f>IF(AND(I731="TN",S731&lt;=2800),VLOOKUP(AF731,TNCalibEq2500!$AZ$2:$BB$56,3,),IF(AND(I731="TDN",S731&lt;=2800),VLOOKUP(AF731,TNCalibEq2500!$AZ$2:$BB$56,3,)))</f>
        <v>0</v>
      </c>
      <c r="AU731" s="10" t="str">
        <f>IF(I731="TP",VLOOKUP(AF731,TPCalibEqFull!$AZ$2:$BB$56,3),IF(I731="TDP",VLOOKUP(AF731,TPCalibEqFull!$AZ$2:$BB$56,3),IF(I731="TDN",VLOOKUP(AF731,TNCalibEqFull!$AZ$1:$BB$56,3),IF(I731="TN",VLOOKUP(AF731,TNCalibEqFull!$AZ$1:$BB$56,3),FALSE))))</f>
        <v>y=0x2+67.076x-21.654</v>
      </c>
      <c r="AV731" s="10" t="str">
        <f t="shared" si="81"/>
        <v>0111 09:00:00-QAC-REC-C-1-DI-GUP</v>
      </c>
    </row>
    <row r="732" spans="1:48" s="10" customFormat="1" x14ac:dyDescent="0.55000000000000004">
      <c r="A732" s="32">
        <v>44937</v>
      </c>
      <c r="B732" s="33">
        <v>0.375</v>
      </c>
      <c r="C732" s="10" t="s">
        <v>70</v>
      </c>
      <c r="D732" s="10" t="s">
        <v>305</v>
      </c>
      <c r="E732" s="10" t="s">
        <v>866</v>
      </c>
      <c r="F732" s="10">
        <v>1</v>
      </c>
      <c r="G732" s="10" t="s">
        <v>73</v>
      </c>
      <c r="H732" s="10" t="s">
        <v>181</v>
      </c>
      <c r="I732" s="10" t="s">
        <v>83</v>
      </c>
      <c r="J732" s="10">
        <v>207</v>
      </c>
      <c r="K732" s="12">
        <v>44937</v>
      </c>
      <c r="L732" s="33">
        <v>0.59440972222222221</v>
      </c>
      <c r="M732" s="10">
        <v>1</v>
      </c>
      <c r="N732" s="10" t="s">
        <v>84</v>
      </c>
      <c r="O732" s="10">
        <v>18</v>
      </c>
      <c r="P732" s="10">
        <v>1.28</v>
      </c>
      <c r="Q732" s="10">
        <v>1180</v>
      </c>
      <c r="R732" s="10" t="s">
        <v>85</v>
      </c>
      <c r="S732" s="34">
        <f t="shared" si="77"/>
        <v>1185.7139999999999</v>
      </c>
      <c r="T732" s="10" t="s">
        <v>1035</v>
      </c>
      <c r="U732" s="34">
        <f t="shared" si="78"/>
        <v>88.950787696924223</v>
      </c>
      <c r="V732" s="31">
        <f>IF(H732="CHK",VLOOKUP(I732,QCCHK,3,),IF(H732="GUP",VLOOKUP(E732,QCGUP,2,),IF(AND(H732="ATP",OR(I732="TN",I732="TDN",I732="TNO2-3",I732="NO2-3")),VLOOKUP(E732,QCREC_N,2,),IF(AND(H732="NIC",OR(I732="TN",I732="TDN",I732="TNO2-3",I732="NO2-3")),VLOOKUP(E732,QCNIC_N,2,),IF(AND(H732="UREA",OR(I732="TN",I732="TDN",I732="TNO2-3",I732="NO2-3")),VLOOKUP(E732,QCUREA_N,2,),IF(H732="PER",VLOOKUP(I732,QCPER,MATCH(E732,QCACTUAL!$J$25:$AA$25,0),),IF(H732="SPK",VLOOKUP(I732,QCSPK,3,),IF(AND(H732="ATP",OR(I732="TP",I732="TDP")),VLOOKUP(E732,QCATP_P,2,),""))))))))</f>
        <v>1333</v>
      </c>
      <c r="W732" s="31" t="str">
        <f t="shared" si="79"/>
        <v>TRUE</v>
      </c>
      <c r="X732" s="31" t="str">
        <f t="shared" si="80"/>
        <v>[rec]/[actual]*100</v>
      </c>
      <c r="Y732" s="10" t="s">
        <v>1021</v>
      </c>
      <c r="AF732" s="12">
        <v>44937</v>
      </c>
      <c r="AK732" s="10">
        <f>0*18^2+67.076*18-21.654</f>
        <v>1185.7139999999999</v>
      </c>
      <c r="AL732" s="10" t="str">
        <f t="shared" si="84"/>
        <v>FALSE</v>
      </c>
      <c r="AM732" s="10" t="str">
        <f t="shared" si="84"/>
        <v>FALSE</v>
      </c>
      <c r="AN732" s="10" t="str">
        <f t="shared" si="84"/>
        <v>FALSE</v>
      </c>
      <c r="AO732" s="10" t="str">
        <f t="shared" si="85"/>
        <v>FALSE</v>
      </c>
      <c r="AP732" s="10" t="str">
        <f t="shared" si="85"/>
        <v>y=0*18^2+67.076*18-21.654</v>
      </c>
      <c r="AQ732" s="10" t="b">
        <f>IF(AND(I732="TP",S732&lt;=150),VLOOKUP(AF732,TPCalibEq150!$AZ$2:$BB$55,3,),IF(AND(I732="TDP",S732&lt;=150),VLOOKUP(AF732,TPCalibEq150!$AZ$2:$BB$55,3,)))</f>
        <v>0</v>
      </c>
      <c r="AR732" s="10" t="b">
        <f>IF(AND(I732="TP",S732&lt;=300),VLOOKUP(AF732,TPCalibEq300!$AZ$2:$BB$55,3,),IF(AND(I732="TDP",S732&lt;=300),VLOOKUP(AF732,TPCalibEq300!$AZ$2:$BB$55,3,)))</f>
        <v>0</v>
      </c>
      <c r="AS732" s="10" t="b">
        <f>IF(AND(I732="TP",S732&lt;=500),VLOOKUP(AF732,TPCalibEq500!$AZ$2:$BB$56,3,),IF(AND(I732="TDP",S732&lt;=500),VLOOKUP(AF732,TPCalibEq500!$AZ$2:$BB$56,3,)))</f>
        <v>0</v>
      </c>
      <c r="AT732" s="10" t="b">
        <f>IF(AND(I732="TN",S732&lt;=2800),VLOOKUP(AF732,TNCalibEq2500!$AZ$2:$BB$56,3,),IF(AND(I732="TDN",S732&lt;=2800),VLOOKUP(AF732,TNCalibEq2500!$AZ$2:$BB$56,3,)))</f>
        <v>0</v>
      </c>
      <c r="AU732" s="10" t="str">
        <f>IF(I732="TP",VLOOKUP(AF732,TPCalibEqFull!$AZ$2:$BB$56,3),IF(I732="TDP",VLOOKUP(AF732,TPCalibEqFull!$AZ$2:$BB$56,3),IF(I732="TDN",VLOOKUP(AF732,TNCalibEqFull!$AZ$1:$BB$56,3),IF(I732="TN",VLOOKUP(AF732,TNCalibEqFull!$AZ$1:$BB$56,3),FALSE))))</f>
        <v>y=0x2+67.076x-21.654</v>
      </c>
      <c r="AV732" s="10" t="str">
        <f t="shared" si="81"/>
        <v>0111 09:00:00-QAC-REC-A-1-DI-ATP</v>
      </c>
    </row>
    <row r="733" spans="1:48" s="10" customFormat="1" x14ac:dyDescent="0.55000000000000004">
      <c r="A733" s="32">
        <v>44937</v>
      </c>
      <c r="B733" s="33">
        <v>0.375</v>
      </c>
      <c r="C733" s="10" t="s">
        <v>70</v>
      </c>
      <c r="D733" s="10" t="s">
        <v>305</v>
      </c>
      <c r="E733" s="10" t="s">
        <v>583</v>
      </c>
      <c r="F733" s="10">
        <v>1</v>
      </c>
      <c r="G733" s="10" t="s">
        <v>73</v>
      </c>
      <c r="H733" s="10" t="s">
        <v>181</v>
      </c>
      <c r="I733" s="10" t="s">
        <v>83</v>
      </c>
      <c r="J733" s="10">
        <v>208</v>
      </c>
      <c r="K733" s="12">
        <v>44937</v>
      </c>
      <c r="L733" s="33">
        <v>0.5951157407407407</v>
      </c>
      <c r="M733" s="10">
        <v>1</v>
      </c>
      <c r="N733" s="10" t="s">
        <v>84</v>
      </c>
      <c r="O733" s="10">
        <v>3.84</v>
      </c>
      <c r="P733" s="10">
        <v>0.27500000000000002</v>
      </c>
      <c r="Q733" s="10">
        <v>234</v>
      </c>
      <c r="R733" s="10" t="s">
        <v>85</v>
      </c>
      <c r="S733" s="34">
        <f t="shared" si="77"/>
        <v>251.18573631999999</v>
      </c>
      <c r="T733" s="10" t="s">
        <v>1035</v>
      </c>
      <c r="U733" s="34">
        <f t="shared" si="78"/>
        <v>94.430727939849618</v>
      </c>
      <c r="V733" s="31">
        <f>IF(H733="CHK",VLOOKUP(I733,QCCHK,3,),IF(H733="GUP",VLOOKUP(E733,QCGUP,2,),IF(AND(H733="ATP",OR(I733="TN",I733="TDN",I733="TNO2-3",I733="NO2-3")),VLOOKUP(E733,QCREC_N,2,),IF(AND(H733="NIC",OR(I733="TN",I733="TDN",I733="TNO2-3",I733="NO2-3")),VLOOKUP(E733,QCNIC_N,2,),IF(AND(H733="UREA",OR(I733="TN",I733="TDN",I733="TNO2-3",I733="NO2-3")),VLOOKUP(E733,QCUREA_N,2,),IF(H733="PER",VLOOKUP(I733,QCPER,MATCH(E733,QCACTUAL!$J$25:$AA$25,0),),IF(H733="SPK",VLOOKUP(I733,QCSPK,3,),IF(AND(H733="ATP",OR(I733="TP",I733="TDP")),VLOOKUP(E733,QCATP_P,2,),""))))))))</f>
        <v>266</v>
      </c>
      <c r="W733" s="31" t="str">
        <f t="shared" si="79"/>
        <v>TRUE</v>
      </c>
      <c r="X733" s="31" t="str">
        <f t="shared" si="80"/>
        <v>[rec]/[actual]*100</v>
      </c>
      <c r="Y733" s="10" t="s">
        <v>1021</v>
      </c>
      <c r="AF733" s="12">
        <v>44937</v>
      </c>
      <c r="AH733" s="10">
        <f>-2.8628*3.84^2+86.116*3.84-37.286</f>
        <v>251.18573631999999</v>
      </c>
      <c r="AI733" s="10">
        <f>-0.232*3.84^2+72.802*3.84-30.279</f>
        <v>245.85970080000004</v>
      </c>
      <c r="AK733" s="10">
        <f>0*3.84^2+67.076*3.84-21.654</f>
        <v>235.91783999999996</v>
      </c>
      <c r="AL733" s="10" t="str">
        <f t="shared" si="84"/>
        <v>FALSE</v>
      </c>
      <c r="AM733" s="10" t="str">
        <f t="shared" si="84"/>
        <v>y=-2.8628*3.84^2+86.116*3.84-37.286</v>
      </c>
      <c r="AN733" s="10" t="str">
        <f t="shared" si="84"/>
        <v>y=-0.232*3.84^2+72.802*3.84-30.279</v>
      </c>
      <c r="AO733" s="10" t="str">
        <f t="shared" si="85"/>
        <v>FALSE</v>
      </c>
      <c r="AP733" s="10" t="str">
        <f t="shared" si="85"/>
        <v>y=0*3.84^2+67.076*3.84-21.654</v>
      </c>
      <c r="AQ733" s="10" t="b">
        <f>IF(AND(I733="TP",S733&lt;=150),VLOOKUP(AF733,TPCalibEq150!$AZ$2:$BB$55,3,),IF(AND(I733="TDP",S733&lt;=150),VLOOKUP(AF733,TPCalibEq150!$AZ$2:$BB$55,3,)))</f>
        <v>0</v>
      </c>
      <c r="AR733" s="10" t="str">
        <f>IF(AND(I733="TP",S733&lt;=300),VLOOKUP(AF733,TPCalibEq300!$AZ$2:$BB$55,3,),IF(AND(I733="TDP",S733&lt;=300),VLOOKUP(AF733,TPCalibEq300!$AZ$2:$BB$55,3,)))</f>
        <v>y=-2.8628x2+86.116x-37.286</v>
      </c>
      <c r="AS733" s="10" t="str">
        <f>IF(AND(I733="TP",S733&lt;=500),VLOOKUP(AF733,TPCalibEq500!$AZ$2:$BB$56,3,),IF(AND(I733="TDP",S733&lt;=500),VLOOKUP(AF733,TPCalibEq500!$AZ$2:$BB$56,3,)))</f>
        <v>y=-0.232x2+72.802x-30.279</v>
      </c>
      <c r="AT733" s="10" t="b">
        <f>IF(AND(I733="TN",S733&lt;=2800),VLOOKUP(AF733,TNCalibEq2500!$AZ$2:$BB$56,3,),IF(AND(I733="TDN",S733&lt;=2800),VLOOKUP(AF733,TNCalibEq2500!$AZ$2:$BB$56,3,)))</f>
        <v>0</v>
      </c>
      <c r="AU733" s="10" t="str">
        <f>IF(I733="TP",VLOOKUP(AF733,TPCalibEqFull!$AZ$2:$BB$56,3),IF(I733="TDP",VLOOKUP(AF733,TPCalibEqFull!$AZ$2:$BB$56,3),IF(I733="TDN",VLOOKUP(AF733,TNCalibEqFull!$AZ$1:$BB$56,3),IF(I733="TN",VLOOKUP(AF733,TNCalibEqFull!$AZ$1:$BB$56,3),FALSE))))</f>
        <v>y=0x2+67.076x-21.654</v>
      </c>
      <c r="AV733" s="10" t="str">
        <f t="shared" si="81"/>
        <v>0111 09:00:00-QAC-REC-B-1-DI-ATP</v>
      </c>
    </row>
    <row r="734" spans="1:48" s="10" customFormat="1" x14ac:dyDescent="0.55000000000000004">
      <c r="A734" s="32">
        <v>44937</v>
      </c>
      <c r="B734" s="33">
        <v>0.375</v>
      </c>
      <c r="C734" s="10" t="s">
        <v>70</v>
      </c>
      <c r="D734" s="10" t="s">
        <v>305</v>
      </c>
      <c r="E734" s="10" t="s">
        <v>190</v>
      </c>
      <c r="F734" s="10">
        <v>1</v>
      </c>
      <c r="G734" s="10" t="s">
        <v>73</v>
      </c>
      <c r="H734" s="10" t="s">
        <v>181</v>
      </c>
      <c r="I734" s="10" t="s">
        <v>83</v>
      </c>
      <c r="J734" s="10">
        <v>209</v>
      </c>
      <c r="K734" s="12">
        <v>44937</v>
      </c>
      <c r="L734" s="33">
        <v>0.59582175925925929</v>
      </c>
      <c r="M734" s="10">
        <v>1</v>
      </c>
      <c r="N734" s="10" t="s">
        <v>84</v>
      </c>
      <c r="O734" s="10">
        <v>2.04</v>
      </c>
      <c r="P734" s="10">
        <v>0.14399999999999999</v>
      </c>
      <c r="Q734" s="10">
        <v>115</v>
      </c>
      <c r="R734" s="10" t="s">
        <v>85</v>
      </c>
      <c r="S734" s="34">
        <f t="shared" si="77"/>
        <v>126.47681151999998</v>
      </c>
      <c r="T734" s="10" t="s">
        <v>1035</v>
      </c>
      <c r="U734" s="34">
        <f t="shared" si="78"/>
        <v>95.095347007518782</v>
      </c>
      <c r="V734" s="31">
        <f>IF(H734="CHK",VLOOKUP(I734,QCCHK,3,),IF(H734="GUP",VLOOKUP(E734,QCGUP,2,),IF(AND(H734="ATP",OR(I734="TN",I734="TDN",I734="TNO2-3",I734="NO2-3")),VLOOKUP(E734,QCREC_N,2,),IF(AND(H734="NIC",OR(I734="TN",I734="TDN",I734="TNO2-3",I734="NO2-3")),VLOOKUP(E734,QCNIC_N,2,),IF(AND(H734="UREA",OR(I734="TN",I734="TDN",I734="TNO2-3",I734="NO2-3")),VLOOKUP(E734,QCUREA_N,2,),IF(H734="PER",VLOOKUP(I734,QCPER,MATCH(E734,QCACTUAL!$J$25:$AA$25,0),),IF(H734="SPK",VLOOKUP(I734,QCSPK,3,),IF(AND(H734="ATP",OR(I734="TP",I734="TDP")),VLOOKUP(E734,QCATP_P,2,),""))))))))</f>
        <v>133</v>
      </c>
      <c r="W734" s="31" t="str">
        <f t="shared" si="79"/>
        <v>TRUE</v>
      </c>
      <c r="X734" s="31" t="str">
        <f t="shared" si="80"/>
        <v>[rec]/[actual]*100</v>
      </c>
      <c r="Y734" s="10" t="s">
        <v>1021</v>
      </c>
      <c r="AF734" s="12">
        <v>44937</v>
      </c>
      <c r="AG734" s="10">
        <f>-1.7779*2.04^2+83.185*2.04-35.938</f>
        <v>126.36049136000001</v>
      </c>
      <c r="AH734" s="10">
        <f>-2.8628*2.04^2+86.116*2.04-37.286</f>
        <v>126.47681151999998</v>
      </c>
      <c r="AI734" s="10">
        <f>-0.232*2.04^2+72.802*2.04-30.279</f>
        <v>117.27158880000002</v>
      </c>
      <c r="AK734" s="10">
        <f>0*2.04^2+67.076*2.04-21.654</f>
        <v>115.18104</v>
      </c>
      <c r="AL734" s="10" t="str">
        <f t="shared" si="84"/>
        <v>y=-1.7779*2.04^2+83.185*2.04-35.938</v>
      </c>
      <c r="AM734" s="10" t="str">
        <f t="shared" si="84"/>
        <v>y=-2.8628*2.04^2+86.116*2.04-37.286</v>
      </c>
      <c r="AN734" s="10" t="str">
        <f t="shared" si="84"/>
        <v>y=-0.232*2.04^2+72.802*2.04-30.279</v>
      </c>
      <c r="AO734" s="10" t="str">
        <f t="shared" si="85"/>
        <v>FALSE</v>
      </c>
      <c r="AP734" s="10" t="str">
        <f t="shared" si="85"/>
        <v>y=0*2.04^2+67.076*2.04-21.654</v>
      </c>
      <c r="AQ734" s="10" t="str">
        <f>IF(AND(I734="TP",S734&lt;=150),VLOOKUP(AF734,TPCalibEq150!$AZ$2:$BB$55,3,),IF(AND(I734="TDP",S734&lt;=150),VLOOKUP(AF734,TPCalibEq150!$AZ$2:$BB$55,3,)))</f>
        <v>y=-1.7779x2+83.185x-35.938</v>
      </c>
      <c r="AR734" s="10" t="str">
        <f>IF(AND(I734="TP",S734&lt;=300),VLOOKUP(AF734,TPCalibEq300!$AZ$2:$BB$55,3,),IF(AND(I734="TDP",S734&lt;=300),VLOOKUP(AF734,TPCalibEq300!$AZ$2:$BB$55,3,)))</f>
        <v>y=-2.8628x2+86.116x-37.286</v>
      </c>
      <c r="AS734" s="10" t="str">
        <f>IF(AND(I734="TP",S734&lt;=500),VLOOKUP(AF734,TPCalibEq500!$AZ$2:$BB$56,3,),IF(AND(I734="TDP",S734&lt;=500),VLOOKUP(AF734,TPCalibEq500!$AZ$2:$BB$56,3,)))</f>
        <v>y=-0.232x2+72.802x-30.279</v>
      </c>
      <c r="AT734" s="10" t="b">
        <f>IF(AND(I734="TN",S734&lt;=2800),VLOOKUP(AF734,TNCalibEq2500!$AZ$2:$BB$56,3,),IF(AND(I734="TDN",S734&lt;=2800),VLOOKUP(AF734,TNCalibEq2500!$AZ$2:$BB$56,3,)))</f>
        <v>0</v>
      </c>
      <c r="AU734" s="10" t="str">
        <f>IF(I734="TP",VLOOKUP(AF734,TPCalibEqFull!$AZ$2:$BB$56,3),IF(I734="TDP",VLOOKUP(AF734,TPCalibEqFull!$AZ$2:$BB$56,3),IF(I734="TDN",VLOOKUP(AF734,TNCalibEqFull!$AZ$1:$BB$56,3),IF(I734="TN",VLOOKUP(AF734,TNCalibEqFull!$AZ$1:$BB$56,3),FALSE))))</f>
        <v>y=0x2+67.076x-21.654</v>
      </c>
      <c r="AV734" s="10" t="str">
        <f t="shared" si="81"/>
        <v>0111 09:00:00-QAC-REC-C-1-DI-ATP</v>
      </c>
    </row>
    <row r="735" spans="1:48" s="10" customFormat="1" x14ac:dyDescent="0.55000000000000004">
      <c r="A735" s="32">
        <v>44935</v>
      </c>
      <c r="B735" s="33">
        <v>0.25</v>
      </c>
      <c r="C735" s="10" t="s">
        <v>70</v>
      </c>
      <c r="D735" s="10" t="s">
        <v>241</v>
      </c>
      <c r="E735" s="10" t="s">
        <v>866</v>
      </c>
      <c r="F735" s="10">
        <v>1</v>
      </c>
      <c r="G735" s="10" t="s">
        <v>73</v>
      </c>
      <c r="H735" s="10" t="s">
        <v>264</v>
      </c>
      <c r="I735" s="10" t="s">
        <v>83</v>
      </c>
      <c r="J735" s="10">
        <v>33</v>
      </c>
      <c r="K735" s="12">
        <v>44937</v>
      </c>
      <c r="L735" s="33">
        <v>0.59722222222222221</v>
      </c>
      <c r="M735" s="10">
        <v>1</v>
      </c>
      <c r="N735" s="10" t="s">
        <v>84</v>
      </c>
      <c r="O735" s="10">
        <v>0.45900000000000002</v>
      </c>
      <c r="P735" s="10">
        <v>3.32E-2</v>
      </c>
      <c r="Q735" s="10">
        <v>10.8</v>
      </c>
      <c r="R735" s="10" t="s">
        <v>85</v>
      </c>
      <c r="S735" s="34">
        <f t="shared" si="77"/>
        <v>10.8</v>
      </c>
      <c r="T735" s="10" t="s">
        <v>1035</v>
      </c>
      <c r="U735" s="34">
        <f t="shared" si="78"/>
        <v>10.8</v>
      </c>
      <c r="V735" s="31" t="str">
        <f>IF(H735="CHK",VLOOKUP(I735,QCCHK,3,),IF(H735="GUP",VLOOKUP(E735,QCGUP,2,),IF(AND(H735="ATP",OR(I735="TN",I735="TDN",I735="TNO2-3",I735="NO2-3")),VLOOKUP(E735,QCREC_N,2,),IF(AND(H735="NIC",OR(I735="TN",I735="TDN",I735="TNO2-3",I735="NO2-3")),VLOOKUP(E735,QCNIC_N,2,),IF(AND(H735="UREA",OR(I735="TN",I735="TDN",I735="TNO2-3",I735="NO2-3")),VLOOKUP(E735,QCUREA_N,2,),IF(H735="PER",VLOOKUP(I735,QCPER,MATCH(E735,QCACTUAL!$J$25:$AA$25,0),),IF(H735="SPK",VLOOKUP(I735,QCSPK,3,),IF(AND(H735="ATP",OR(I735="TP",I735="TDP")),VLOOKUP(E735,QCATP_P,2,),""))))))))</f>
        <v/>
      </c>
      <c r="W735" s="31" t="str">
        <f t="shared" si="79"/>
        <v>TRUE</v>
      </c>
      <c r="X735" s="31" t="str">
        <f t="shared" si="80"/>
        <v>nominal concentration</v>
      </c>
      <c r="Y735" s="10" t="s">
        <v>1021</v>
      </c>
      <c r="Z735" s="10" t="s">
        <v>910</v>
      </c>
      <c r="AF735" s="12">
        <v>44937</v>
      </c>
      <c r="AG735" s="10">
        <f>-1.7779*0.459^2+83.185*0.459-35.938</f>
        <v>1.8693452501000039</v>
      </c>
      <c r="AH735" s="10">
        <f>-2.8628*0.459^2+86.116*0.459-37.286</f>
        <v>1.6381064332000008</v>
      </c>
      <c r="AI735" s="10">
        <f>-0.232*0.459^2+72.802*0.459-30.279</f>
        <v>3.0882400080000032</v>
      </c>
      <c r="AK735" s="10">
        <f>0*0.459^2+67.076*0.459-21.654</f>
        <v>9.1338839999999983</v>
      </c>
      <c r="AL735" s="10" t="str">
        <f t="shared" si="84"/>
        <v>y=-1.7779*0.459^2+83.185*0.459-35.938</v>
      </c>
      <c r="AM735" s="10" t="str">
        <f t="shared" si="84"/>
        <v>y=-2.8628*0.459^2+86.116*0.459-37.286</v>
      </c>
      <c r="AN735" s="10" t="str">
        <f t="shared" si="84"/>
        <v>y=-0.232*0.459^2+72.802*0.459-30.279</v>
      </c>
      <c r="AO735" s="10" t="str">
        <f t="shared" si="85"/>
        <v>FALSE</v>
      </c>
      <c r="AP735" s="10" t="str">
        <f t="shared" si="85"/>
        <v>y=0*0.459^2+67.076*0.459-21.654</v>
      </c>
      <c r="AQ735" s="10" t="str">
        <f>IF(AND(I735="TP",S735&lt;=150),VLOOKUP(AF735,TPCalibEq150!$AZ$2:$BB$55,3,),IF(AND(I735="TDP",S735&lt;=150),VLOOKUP(AF735,TPCalibEq150!$AZ$2:$BB$55,3,)))</f>
        <v>y=-1.7779x2+83.185x-35.938</v>
      </c>
      <c r="AR735" s="10" t="str">
        <f>IF(AND(I735="TP",S735&lt;=300),VLOOKUP(AF735,TPCalibEq300!$AZ$2:$BB$55,3,),IF(AND(I735="TDP",S735&lt;=300),VLOOKUP(AF735,TPCalibEq300!$AZ$2:$BB$55,3,)))</f>
        <v>y=-2.8628x2+86.116x-37.286</v>
      </c>
      <c r="AS735" s="10" t="str">
        <f>IF(AND(I735="TP",S735&lt;=500),VLOOKUP(AF735,TPCalibEq500!$AZ$2:$BB$56,3,),IF(AND(I735="TDP",S735&lt;=500),VLOOKUP(AF735,TPCalibEq500!$AZ$2:$BB$56,3,)))</f>
        <v>y=-0.232x2+72.802x-30.279</v>
      </c>
      <c r="AT735" s="10" t="b">
        <f>IF(AND(I735="TN",S735&lt;=2800),VLOOKUP(AF735,TNCalibEq2500!$AZ$2:$BB$56,3,),IF(AND(I735="TDN",S735&lt;=2800),VLOOKUP(AF735,TNCalibEq2500!$AZ$2:$BB$56,3,)))</f>
        <v>0</v>
      </c>
      <c r="AU735" s="10" t="str">
        <f>IF(I735="TP",VLOOKUP(AF735,TPCalibEqFull!$AZ$2:$BB$56,3),IF(I735="TDP",VLOOKUP(AF735,TPCalibEqFull!$AZ$2:$BB$56,3),IF(I735="TDN",VLOOKUP(AF735,TNCalibEqFull!$AZ$1:$BB$56,3),IF(I735="TN",VLOOKUP(AF735,TNCalibEqFull!$AZ$1:$BB$56,3),FALSE))))</f>
        <v>y=0x2+67.076x-21.654</v>
      </c>
      <c r="AV735" s="10" t="str">
        <f t="shared" si="81"/>
        <v>0109 06:00:00-QAC-BLK-A-1-DI-FLD</v>
      </c>
    </row>
    <row r="736" spans="1:48" s="10" customFormat="1" x14ac:dyDescent="0.55000000000000004">
      <c r="A736" s="32">
        <v>44936</v>
      </c>
      <c r="B736" s="33">
        <v>0.36458333333333331</v>
      </c>
      <c r="C736" s="10" t="s">
        <v>70</v>
      </c>
      <c r="D736" s="10" t="s">
        <v>241</v>
      </c>
      <c r="E736" s="10" t="s">
        <v>866</v>
      </c>
      <c r="F736" s="10">
        <v>1</v>
      </c>
      <c r="G736" s="10" t="s">
        <v>73</v>
      </c>
      <c r="H736" s="10" t="s">
        <v>245</v>
      </c>
      <c r="I736" s="10" t="s">
        <v>83</v>
      </c>
      <c r="J736" s="10">
        <v>34</v>
      </c>
      <c r="K736" s="12">
        <v>44937</v>
      </c>
      <c r="L736" s="33">
        <v>0.5979282407407408</v>
      </c>
      <c r="M736" s="10">
        <v>1</v>
      </c>
      <c r="N736" s="10" t="s">
        <v>84</v>
      </c>
      <c r="O736" s="10">
        <v>1.37</v>
      </c>
      <c r="P736" s="10">
        <v>9.6199999999999994E-2</v>
      </c>
      <c r="Q736" s="10">
        <v>70.8</v>
      </c>
      <c r="R736" s="10" t="s">
        <v>85</v>
      </c>
      <c r="S736" s="34">
        <f t="shared" si="77"/>
        <v>75.319730680000006</v>
      </c>
      <c r="T736" s="10" t="s">
        <v>1035</v>
      </c>
      <c r="U736" s="34">
        <f t="shared" si="78"/>
        <v>75.319730680000006</v>
      </c>
      <c r="V736" s="31" t="str">
        <f>IF(H736="CHK",VLOOKUP(I736,QCCHK,3,),IF(H736="GUP",VLOOKUP(E736,QCGUP,2,),IF(AND(H736="ATP",OR(I736="TN",I736="TDN",I736="TNO2-3",I736="NO2-3")),VLOOKUP(E736,QCREC_N,2,),IF(AND(H736="NIC",OR(I736="TN",I736="TDN",I736="TNO2-3",I736="NO2-3")),VLOOKUP(E736,QCNIC_N,2,),IF(AND(H736="UREA",OR(I736="TN",I736="TDN",I736="TNO2-3",I736="NO2-3")),VLOOKUP(E736,QCUREA_N,2,),IF(H736="PER",VLOOKUP(I736,QCPER,MATCH(E736,QCACTUAL!$J$25:$AA$25,0),),IF(H736="SPK",VLOOKUP(I736,QCSPK,3,),IF(AND(H736="ATP",OR(I736="TP",I736="TDP")),VLOOKUP(E736,QCATP_P,2,),""))))))))</f>
        <v/>
      </c>
      <c r="W736" s="31" t="str">
        <f t="shared" si="79"/>
        <v>FALSE</v>
      </c>
      <c r="X736" s="31" t="str">
        <f t="shared" si="80"/>
        <v>nominal concentration</v>
      </c>
      <c r="Y736" s="10" t="s">
        <v>1021</v>
      </c>
      <c r="AF736" s="12">
        <v>44937</v>
      </c>
      <c r="AG736" s="10">
        <f>-1.7779*1.37^2+83.185*1.37-35.938</f>
        <v>74.688509490000001</v>
      </c>
      <c r="AH736" s="10">
        <f>-2.8628*1.37^2+86.116*1.37-37.286</f>
        <v>75.319730680000006</v>
      </c>
      <c r="AI736" s="10">
        <f>-0.232*1.37^2+72.802*1.37-30.279</f>
        <v>69.02429920000003</v>
      </c>
      <c r="AK736" s="10">
        <f>0*1.37^2+67.076*1.37-21.654</f>
        <v>70.240120000000005</v>
      </c>
      <c r="AL736" s="10" t="str">
        <f t="shared" si="84"/>
        <v>y=-1.7779*1.37^2+83.185*1.37-35.938</v>
      </c>
      <c r="AM736" s="10" t="str">
        <f t="shared" si="84"/>
        <v>y=-2.8628*1.37^2+86.116*1.37-37.286</v>
      </c>
      <c r="AN736" s="10" t="str">
        <f t="shared" si="84"/>
        <v>y=-0.232*1.37^2+72.802*1.37-30.279</v>
      </c>
      <c r="AO736" s="10" t="str">
        <f t="shared" si="85"/>
        <v>FALSE</v>
      </c>
      <c r="AP736" s="10" t="str">
        <f t="shared" si="85"/>
        <v>y=0*1.37^2+67.076*1.37-21.654</v>
      </c>
      <c r="AQ736" s="10" t="str">
        <f>IF(AND(I736="TP",S736&lt;=150),VLOOKUP(AF736,TPCalibEq150!$AZ$2:$BB$55,3,),IF(AND(I736="TDP",S736&lt;=150),VLOOKUP(AF736,TPCalibEq150!$AZ$2:$BB$55,3,)))</f>
        <v>y=-1.7779x2+83.185x-35.938</v>
      </c>
      <c r="AR736" s="10" t="str">
        <f>IF(AND(I736="TP",S736&lt;=300),VLOOKUP(AF736,TPCalibEq300!$AZ$2:$BB$55,3,),IF(AND(I736="TDP",S736&lt;=300),VLOOKUP(AF736,TPCalibEq300!$AZ$2:$BB$55,3,)))</f>
        <v>y=-2.8628x2+86.116x-37.286</v>
      </c>
      <c r="AS736" s="10" t="str">
        <f>IF(AND(I736="TP",S736&lt;=500),VLOOKUP(AF736,TPCalibEq500!$AZ$2:$BB$56,3,),IF(AND(I736="TDP",S736&lt;=500),VLOOKUP(AF736,TPCalibEq500!$AZ$2:$BB$56,3,)))</f>
        <v>y=-0.232x2+72.802x-30.279</v>
      </c>
      <c r="AT736" s="10" t="b">
        <f>IF(AND(I736="TN",S736&lt;=2800),VLOOKUP(AF736,TNCalibEq2500!$AZ$2:$BB$56,3,),IF(AND(I736="TDN",S736&lt;=2800),VLOOKUP(AF736,TNCalibEq2500!$AZ$2:$BB$56,3,)))</f>
        <v>0</v>
      </c>
      <c r="AU736" s="10" t="str">
        <f>IF(I736="TP",VLOOKUP(AF736,TPCalibEqFull!$AZ$2:$BB$56,3),IF(I736="TDP",VLOOKUP(AF736,TPCalibEqFull!$AZ$2:$BB$56,3),IF(I736="TDN",VLOOKUP(AF736,TNCalibEqFull!$AZ$1:$BB$56,3),IF(I736="TN",VLOOKUP(AF736,TNCalibEqFull!$AZ$1:$BB$56,3),FALSE))))</f>
        <v>y=0x2+67.076x-21.654</v>
      </c>
      <c r="AV736" s="10" t="str">
        <f t="shared" si="81"/>
        <v>0110 08:45:00-QAC-BLK-A-1-DI-ESF</v>
      </c>
    </row>
    <row r="737" spans="1:48" s="10" customFormat="1" x14ac:dyDescent="0.55000000000000004">
      <c r="A737" s="32">
        <v>44935</v>
      </c>
      <c r="B737" s="33">
        <v>0.25</v>
      </c>
      <c r="C737" s="10" t="s">
        <v>70</v>
      </c>
      <c r="D737" s="10" t="s">
        <v>241</v>
      </c>
      <c r="E737" s="10" t="s">
        <v>911</v>
      </c>
      <c r="F737" s="10">
        <v>1</v>
      </c>
      <c r="G737" s="10" t="s">
        <v>73</v>
      </c>
      <c r="H737" s="10" t="s">
        <v>264</v>
      </c>
      <c r="I737" s="10" t="s">
        <v>266</v>
      </c>
      <c r="J737" s="10">
        <v>35</v>
      </c>
      <c r="K737" s="12">
        <v>44937</v>
      </c>
      <c r="L737" s="33">
        <v>0.59862268518518513</v>
      </c>
      <c r="M737" s="10">
        <v>1</v>
      </c>
      <c r="N737" s="10" t="s">
        <v>84</v>
      </c>
      <c r="O737" s="10">
        <v>1.6</v>
      </c>
      <c r="P737" s="10">
        <v>0.112</v>
      </c>
      <c r="Q737" s="10">
        <v>86</v>
      </c>
      <c r="R737" s="10" t="s">
        <v>85</v>
      </c>
      <c r="S737" s="34">
        <f t="shared" si="77"/>
        <v>93.170832000000019</v>
      </c>
      <c r="T737" s="10" t="s">
        <v>1035</v>
      </c>
      <c r="U737" s="34">
        <f t="shared" si="78"/>
        <v>93.170832000000019</v>
      </c>
      <c r="V737" s="31" t="str">
        <f>IF(H737="CHK",VLOOKUP(I737,QCCHK,3,),IF(H737="GUP",VLOOKUP(E737,QCGUP,2,),IF(AND(H737="ATP",OR(I737="TN",I737="TDN",I737="TNO2-3",I737="NO2-3")),VLOOKUP(E737,QCREC_N,2,),IF(AND(H737="NIC",OR(I737="TN",I737="TDN",I737="TNO2-3",I737="NO2-3")),VLOOKUP(E737,QCNIC_N,2,),IF(AND(H737="UREA",OR(I737="TN",I737="TDN",I737="TNO2-3",I737="NO2-3")),VLOOKUP(E737,QCUREA_N,2,),IF(H737="PER",VLOOKUP(I737,QCPER,MATCH(E737,QCACTUAL!$J$25:$AA$25,0),),IF(H737="SPK",VLOOKUP(I737,QCSPK,3,),IF(AND(H737="ATP",OR(I737="TP",I737="TDP")),VLOOKUP(E737,QCATP_P,2,),""))))))))</f>
        <v/>
      </c>
      <c r="W737" s="31" t="str">
        <f t="shared" si="79"/>
        <v>FALSE</v>
      </c>
      <c r="X737" s="31" t="str">
        <f t="shared" si="80"/>
        <v>nominal concentration</v>
      </c>
      <c r="Y737" s="10" t="s">
        <v>1021</v>
      </c>
      <c r="Z737" s="10" t="s">
        <v>910</v>
      </c>
      <c r="AF737" s="12">
        <v>44937</v>
      </c>
      <c r="AG737" s="10">
        <f>-1.7779*1.6^2+83.185*1.6-35.938</f>
        <v>92.606576000000004</v>
      </c>
      <c r="AH737" s="10">
        <f>-2.8628*1.6^2+86.116*1.6-37.286</f>
        <v>93.170832000000019</v>
      </c>
      <c r="AI737" s="10">
        <f>-0.232*1.6^2+72.802*1.6-30.279</f>
        <v>85.610280000000017</v>
      </c>
      <c r="AK737" s="10">
        <f>0*1.6^2+67.076*1.6-21.654</f>
        <v>85.667599999999993</v>
      </c>
      <c r="AL737" s="10" t="str">
        <f t="shared" si="84"/>
        <v>y=-1.7779*1.6^2+83.185*1.6-35.938</v>
      </c>
      <c r="AM737" s="10" t="str">
        <f t="shared" si="84"/>
        <v>y=-2.8628*1.6^2+86.116*1.6-37.286</v>
      </c>
      <c r="AN737" s="10" t="str">
        <f t="shared" si="84"/>
        <v>y=-0.232*1.6^2+72.802*1.6-30.279</v>
      </c>
      <c r="AO737" s="10" t="str">
        <f t="shared" si="85"/>
        <v>FALSE</v>
      </c>
      <c r="AP737" s="10" t="str">
        <f t="shared" si="85"/>
        <v>y=0*1.6^2+67.076*1.6-21.654</v>
      </c>
      <c r="AQ737" s="10" t="str">
        <f>IF(AND(I737="TP",S737&lt;=150),VLOOKUP(AF737,TPCalibEq150!$AZ$2:$BB$55,3,),IF(AND(I737="TDP",S737&lt;=150),VLOOKUP(AF737,TPCalibEq150!$AZ$2:$BB$55,3,)))</f>
        <v>y=-1.7779x2+83.185x-35.938</v>
      </c>
      <c r="AR737" s="10" t="str">
        <f>IF(AND(I737="TP",S737&lt;=300),VLOOKUP(AF737,TPCalibEq300!$AZ$2:$BB$55,3,),IF(AND(I737="TDP",S737&lt;=300),VLOOKUP(AF737,TPCalibEq300!$AZ$2:$BB$55,3,)))</f>
        <v>y=-2.8628x2+86.116x-37.286</v>
      </c>
      <c r="AS737" s="10" t="str">
        <f>IF(AND(I737="TP",S737&lt;=500),VLOOKUP(AF737,TPCalibEq500!$AZ$2:$BB$56,3,),IF(AND(I737="TDP",S737&lt;=500),VLOOKUP(AF737,TPCalibEq500!$AZ$2:$BB$56,3,)))</f>
        <v>y=-0.232x2+72.802x-30.279</v>
      </c>
      <c r="AT737" s="10" t="b">
        <f>IF(AND(I737="TN",S737&lt;=2800),VLOOKUP(AF737,TNCalibEq2500!$AZ$2:$BB$56,3,),IF(AND(I737="TDN",S737&lt;=2800),VLOOKUP(AF737,TNCalibEq2500!$AZ$2:$BB$56,3,)))</f>
        <v>0</v>
      </c>
      <c r="AU737" s="10" t="str">
        <f>IF(I737="TP",VLOOKUP(AF737,TPCalibEqFull!$AZ$2:$BB$56,3),IF(I737="TDP",VLOOKUP(AF737,TPCalibEqFull!$AZ$2:$BB$56,3),IF(I737="TDN",VLOOKUP(AF737,TNCalibEqFull!$AZ$1:$BB$56,3),IF(I737="TN",VLOOKUP(AF737,TNCalibEqFull!$AZ$1:$BB$56,3),FALSE))))</f>
        <v>y=0x2+67.076x-21.654</v>
      </c>
      <c r="AV737" s="10" t="str">
        <f t="shared" si="81"/>
        <v>0109 06:00:00-QAC-BLK-FIL-1-DI-FLD</v>
      </c>
    </row>
    <row r="738" spans="1:48" s="10" customFormat="1" x14ac:dyDescent="0.55000000000000004">
      <c r="A738" s="32">
        <v>44936</v>
      </c>
      <c r="B738" s="33">
        <v>0.36458333333333331</v>
      </c>
      <c r="C738" s="10" t="s">
        <v>70</v>
      </c>
      <c r="D738" s="10" t="s">
        <v>241</v>
      </c>
      <c r="E738" s="10" t="s">
        <v>911</v>
      </c>
      <c r="F738" s="10">
        <v>1</v>
      </c>
      <c r="G738" s="10" t="s">
        <v>73</v>
      </c>
      <c r="H738" s="10" t="s">
        <v>245</v>
      </c>
      <c r="I738" s="10" t="s">
        <v>266</v>
      </c>
      <c r="J738" s="10">
        <v>36</v>
      </c>
      <c r="K738" s="12">
        <v>44937</v>
      </c>
      <c r="L738" s="33">
        <v>0.59931712962962969</v>
      </c>
      <c r="M738" s="10">
        <v>1</v>
      </c>
      <c r="N738" s="10" t="s">
        <v>84</v>
      </c>
      <c r="O738" s="10">
        <v>0.47299999999999998</v>
      </c>
      <c r="P738" s="10">
        <v>3.1800000000000002E-2</v>
      </c>
      <c r="Q738" s="10">
        <v>11.7</v>
      </c>
      <c r="R738" s="10" t="s">
        <v>85</v>
      </c>
      <c r="S738" s="34">
        <f t="shared" si="77"/>
        <v>11.7</v>
      </c>
      <c r="T738" s="10" t="s">
        <v>1035</v>
      </c>
      <c r="U738" s="34">
        <f t="shared" si="78"/>
        <v>11.7</v>
      </c>
      <c r="V738" s="31" t="str">
        <f>IF(H738="CHK",VLOOKUP(I738,QCCHK,3,),IF(H738="GUP",VLOOKUP(E738,QCGUP,2,),IF(AND(H738="ATP",OR(I738="TN",I738="TDN",I738="TNO2-3",I738="NO2-3")),VLOOKUP(E738,QCREC_N,2,),IF(AND(H738="NIC",OR(I738="TN",I738="TDN",I738="TNO2-3",I738="NO2-3")),VLOOKUP(E738,QCNIC_N,2,),IF(AND(H738="UREA",OR(I738="TN",I738="TDN",I738="TNO2-3",I738="NO2-3")),VLOOKUP(E738,QCUREA_N,2,),IF(H738="PER",VLOOKUP(I738,QCPER,MATCH(E738,QCACTUAL!$J$25:$AA$25,0),),IF(H738="SPK",VLOOKUP(I738,QCSPK,3,),IF(AND(H738="ATP",OR(I738="TP",I738="TDP")),VLOOKUP(E738,QCATP_P,2,),""))))))))</f>
        <v/>
      </c>
      <c r="W738" s="31" t="str">
        <f t="shared" si="79"/>
        <v>TRUE</v>
      </c>
      <c r="X738" s="31" t="str">
        <f t="shared" si="80"/>
        <v>nominal concentration</v>
      </c>
      <c r="Y738" s="10" t="s">
        <v>1021</v>
      </c>
      <c r="AF738" s="12">
        <v>44937</v>
      </c>
      <c r="AG738" s="10">
        <f>-1.7779*0.473^2+83.185*0.473-35.938</f>
        <v>3.0107372108999968</v>
      </c>
      <c r="AH738" s="10">
        <f>-2.8628*0.473^2+86.116*0.473-37.286</f>
        <v>2.8063766187999946</v>
      </c>
      <c r="AI738" s="10">
        <f>-0.232*0.473^2+72.802*0.473-30.279</f>
        <v>4.1044408720000014</v>
      </c>
      <c r="AK738" s="10">
        <f>0*0.473^2+67.076*0.473-21.654</f>
        <v>10.072947999999997</v>
      </c>
      <c r="AL738" s="10" t="str">
        <f t="shared" si="84"/>
        <v>y=-1.7779*0.473^2+83.185*0.473-35.938</v>
      </c>
      <c r="AM738" s="10" t="str">
        <f t="shared" si="84"/>
        <v>y=-2.8628*0.473^2+86.116*0.473-37.286</v>
      </c>
      <c r="AN738" s="10" t="str">
        <f t="shared" si="84"/>
        <v>y=-0.232*0.473^2+72.802*0.473-30.279</v>
      </c>
      <c r="AO738" s="10" t="str">
        <f t="shared" si="85"/>
        <v>FALSE</v>
      </c>
      <c r="AP738" s="10" t="str">
        <f t="shared" si="85"/>
        <v>y=0*0.473^2+67.076*0.473-21.654</v>
      </c>
      <c r="AQ738" s="10" t="str">
        <f>IF(AND(I738="TP",S738&lt;=150),VLOOKUP(AF738,TPCalibEq150!$AZ$2:$BB$55,3,),IF(AND(I738="TDP",S738&lt;=150),VLOOKUP(AF738,TPCalibEq150!$AZ$2:$BB$55,3,)))</f>
        <v>y=-1.7779x2+83.185x-35.938</v>
      </c>
      <c r="AR738" s="10" t="str">
        <f>IF(AND(I738="TP",S738&lt;=300),VLOOKUP(AF738,TPCalibEq300!$AZ$2:$BB$55,3,),IF(AND(I738="TDP",S738&lt;=300),VLOOKUP(AF738,TPCalibEq300!$AZ$2:$BB$55,3,)))</f>
        <v>y=-2.8628x2+86.116x-37.286</v>
      </c>
      <c r="AS738" s="10" t="str">
        <f>IF(AND(I738="TP",S738&lt;=500),VLOOKUP(AF738,TPCalibEq500!$AZ$2:$BB$56,3,),IF(AND(I738="TDP",S738&lt;=500),VLOOKUP(AF738,TPCalibEq500!$AZ$2:$BB$56,3,)))</f>
        <v>y=-0.232x2+72.802x-30.279</v>
      </c>
      <c r="AT738" s="10" t="b">
        <f>IF(AND(I738="TN",S738&lt;=2800),VLOOKUP(AF738,TNCalibEq2500!$AZ$2:$BB$56,3,),IF(AND(I738="TDN",S738&lt;=2800),VLOOKUP(AF738,TNCalibEq2500!$AZ$2:$BB$56,3,)))</f>
        <v>0</v>
      </c>
      <c r="AU738" s="10" t="str">
        <f>IF(I738="TP",VLOOKUP(AF738,TPCalibEqFull!$AZ$2:$BB$56,3),IF(I738="TDP",VLOOKUP(AF738,TPCalibEqFull!$AZ$2:$BB$56,3),IF(I738="TDN",VLOOKUP(AF738,TNCalibEqFull!$AZ$1:$BB$56,3),IF(I738="TN",VLOOKUP(AF738,TNCalibEqFull!$AZ$1:$BB$56,3),FALSE))))</f>
        <v>y=0x2+67.076x-21.654</v>
      </c>
      <c r="AV738" s="10" t="str">
        <f t="shared" si="81"/>
        <v>0110 08:45:00-QAC-BLK-FIL-1-DI-ESF</v>
      </c>
    </row>
    <row r="739" spans="1:48" s="10" customFormat="1" x14ac:dyDescent="0.55000000000000004">
      <c r="A739" s="32">
        <v>44930</v>
      </c>
      <c r="B739" s="33">
        <v>0.22569444444444445</v>
      </c>
      <c r="C739" s="10" t="s">
        <v>279</v>
      </c>
      <c r="D739" s="10">
        <v>0</v>
      </c>
      <c r="E739" s="10" t="s">
        <v>160</v>
      </c>
      <c r="F739" s="10">
        <v>1</v>
      </c>
      <c r="G739" s="10" t="s">
        <v>231</v>
      </c>
      <c r="H739" s="10" t="s">
        <v>322</v>
      </c>
      <c r="I739" s="10" t="s">
        <v>83</v>
      </c>
      <c r="J739" s="10">
        <v>1</v>
      </c>
      <c r="K739" s="12">
        <v>44937</v>
      </c>
      <c r="L739" s="33">
        <v>0.60002314814814817</v>
      </c>
      <c r="M739" s="10">
        <v>1</v>
      </c>
      <c r="N739" s="10" t="s">
        <v>84</v>
      </c>
      <c r="O739" s="10">
        <v>6.88</v>
      </c>
      <c r="P739" s="10">
        <v>0.495</v>
      </c>
      <c r="Q739" s="10">
        <v>435</v>
      </c>
      <c r="R739" s="10" t="s">
        <v>85</v>
      </c>
      <c r="S739" s="34">
        <f t="shared" si="77"/>
        <v>459.61717920000001</v>
      </c>
      <c r="T739" s="10" t="s">
        <v>1035</v>
      </c>
      <c r="U739" s="34" t="str">
        <f t="shared" si="78"/>
        <v/>
      </c>
      <c r="V739" s="31" t="str">
        <f>IF(H739="CHK",VLOOKUP(I739,QCCHK,3,),IF(H739="GUP",VLOOKUP(E739,QCGUP,2,),IF(AND(H739="ATP",OR(I739="TN",I739="TDN",I739="TNO2-3",I739="NO2-3")),VLOOKUP(E739,QCREC_N,2,),IF(AND(H739="NIC",OR(I739="TN",I739="TDN",I739="TNO2-3",I739="NO2-3")),VLOOKUP(E739,QCNIC_N,2,),IF(AND(H739="UREA",OR(I739="TN",I739="TDN",I739="TNO2-3",I739="NO2-3")),VLOOKUP(E739,QCUREA_N,2,),IF(H739="PER",VLOOKUP(I739,QCPER,MATCH(E739,QCACTUAL!$J$25:$AA$25,0),),IF(H739="SPK",VLOOKUP(I739,QCSPK,3,),IF(AND(H739="ATP",OR(I739="TP",I739="TDP")),VLOOKUP(E739,QCATP_P,2,),""))))))))</f>
        <v/>
      </c>
      <c r="W739" s="31" t="str">
        <f t="shared" si="79"/>
        <v>TRUE</v>
      </c>
      <c r="X739" s="31" t="str">
        <f t="shared" si="80"/>
        <v/>
      </c>
      <c r="Y739" s="10" t="s">
        <v>1021</v>
      </c>
      <c r="Z739" s="10" t="s">
        <v>910</v>
      </c>
      <c r="AF739" s="12">
        <v>44937</v>
      </c>
      <c r="AI739" s="10">
        <f>-0.232*6.88^2+72.802*6.88-30.279</f>
        <v>459.61717920000001</v>
      </c>
      <c r="AK739" s="10">
        <f>0*6.88^2+67.076*6.88-21.654</f>
        <v>439.82887999999997</v>
      </c>
      <c r="AL739" s="10" t="str">
        <f t="shared" si="84"/>
        <v>FALSE</v>
      </c>
      <c r="AM739" s="10" t="str">
        <f t="shared" si="84"/>
        <v>FALSE</v>
      </c>
      <c r="AN739" s="10" t="str">
        <f t="shared" si="84"/>
        <v>y=-0.232*6.88^2+72.802*6.88-30.279</v>
      </c>
      <c r="AO739" s="10" t="str">
        <f t="shared" si="85"/>
        <v>FALSE</v>
      </c>
      <c r="AP739" s="10" t="str">
        <f t="shared" si="85"/>
        <v>y=0*6.88^2+67.076*6.88-21.654</v>
      </c>
      <c r="AQ739" s="10" t="b">
        <f>IF(AND(I739="TP",S739&lt;=150),VLOOKUP(AF739,TPCalibEq150!$AZ$2:$BB$55,3,),IF(AND(I739="TDP",S739&lt;=150),VLOOKUP(AF739,TPCalibEq150!$AZ$2:$BB$55,3,)))</f>
        <v>0</v>
      </c>
      <c r="AR739" s="10" t="b">
        <f>IF(AND(I739="TP",S739&lt;=300),VLOOKUP(AF739,TPCalibEq300!$AZ$2:$BB$55,3,),IF(AND(I739="TDP",S739&lt;=300),VLOOKUP(AF739,TPCalibEq300!$AZ$2:$BB$55,3,)))</f>
        <v>0</v>
      </c>
      <c r="AS739" s="10" t="str">
        <f>IF(AND(I739="TP",S739&lt;=500),VLOOKUP(AF739,TPCalibEq500!$AZ$2:$BB$56,3,),IF(AND(I739="TDP",S739&lt;=500),VLOOKUP(AF739,TPCalibEq500!$AZ$2:$BB$56,3,)))</f>
        <v>y=-0.232x2+72.802x-30.279</v>
      </c>
      <c r="AT739" s="10" t="b">
        <f>IF(AND(I739="TN",S739&lt;=2800),VLOOKUP(AF739,TNCalibEq2500!$AZ$2:$BB$56,3,),IF(AND(I739="TDN",S739&lt;=2800),VLOOKUP(AF739,TNCalibEq2500!$AZ$2:$BB$56,3,)))</f>
        <v>0</v>
      </c>
      <c r="AU739" s="10" t="str">
        <f>IF(I739="TP",VLOOKUP(AF739,TPCalibEqFull!$AZ$2:$BB$56,3),IF(I739="TDP",VLOOKUP(AF739,TPCalibEqFull!$AZ$2:$BB$56,3),IF(I739="TDN",VLOOKUP(AF739,TNCalibEqFull!$AZ$1:$BB$56,3),IF(I739="TN",VLOOKUP(AF739,TNCalibEqFull!$AZ$1:$BB$56,3),FALSE))))</f>
        <v>y=0x2+67.076x-21.654</v>
      </c>
      <c r="AV739" s="10" t="str">
        <f t="shared" si="81"/>
        <v>0104 05:25:00-EFK-0-L-1-SW-UKN</v>
      </c>
    </row>
    <row r="740" spans="1:48" s="10" customFormat="1" x14ac:dyDescent="0.55000000000000004">
      <c r="A740" s="32">
        <v>44930</v>
      </c>
      <c r="B740" s="33">
        <v>0.22916666666666666</v>
      </c>
      <c r="C740" s="10" t="s">
        <v>333</v>
      </c>
      <c r="D740" s="10">
        <v>0</v>
      </c>
      <c r="E740" s="10" t="s">
        <v>190</v>
      </c>
      <c r="F740" s="10">
        <v>1</v>
      </c>
      <c r="G740" s="10" t="s">
        <v>231</v>
      </c>
      <c r="H740" s="10" t="s">
        <v>322</v>
      </c>
      <c r="I740" s="10" t="s">
        <v>83</v>
      </c>
      <c r="J740" s="10">
        <v>2</v>
      </c>
      <c r="K740" s="12">
        <v>44937</v>
      </c>
      <c r="L740" s="33">
        <v>0.60072916666666665</v>
      </c>
      <c r="M740" s="10">
        <v>1</v>
      </c>
      <c r="N740" s="10" t="s">
        <v>84</v>
      </c>
      <c r="O740" s="10">
        <v>3.46</v>
      </c>
      <c r="P740" s="10">
        <v>0.248</v>
      </c>
      <c r="Q740" s="10">
        <v>209</v>
      </c>
      <c r="R740" s="10" t="s">
        <v>85</v>
      </c>
      <c r="S740" s="34">
        <f t="shared" si="77"/>
        <v>226.40306351999999</v>
      </c>
      <c r="T740" s="10" t="s">
        <v>1035</v>
      </c>
      <c r="U740" s="34" t="str">
        <f t="shared" si="78"/>
        <v/>
      </c>
      <c r="V740" s="31" t="str">
        <f>IF(H740="CHK",VLOOKUP(I740,QCCHK,3,),IF(H740="GUP",VLOOKUP(E740,QCGUP,2,),IF(AND(H740="ATP",OR(I740="TN",I740="TDN",I740="TNO2-3",I740="NO2-3")),VLOOKUP(E740,QCREC_N,2,),IF(AND(H740="NIC",OR(I740="TN",I740="TDN",I740="TNO2-3",I740="NO2-3")),VLOOKUP(E740,QCNIC_N,2,),IF(AND(H740="UREA",OR(I740="TN",I740="TDN",I740="TNO2-3",I740="NO2-3")),VLOOKUP(E740,QCUREA_N,2,),IF(H740="PER",VLOOKUP(I740,QCPER,MATCH(E740,QCACTUAL!$J$25:$AA$25,0),),IF(H740="SPK",VLOOKUP(I740,QCSPK,3,),IF(AND(H740="ATP",OR(I740="TP",I740="TDP")),VLOOKUP(E740,QCATP_P,2,),""))))))))</f>
        <v/>
      </c>
      <c r="W740" s="31" t="str">
        <f t="shared" si="79"/>
        <v>TRUE</v>
      </c>
      <c r="X740" s="31" t="str">
        <f t="shared" si="80"/>
        <v/>
      </c>
      <c r="Y740" s="10" t="s">
        <v>1021</v>
      </c>
      <c r="Z740" s="10" t="s">
        <v>910</v>
      </c>
      <c r="AF740" s="12">
        <v>44937</v>
      </c>
      <c r="AH740" s="10">
        <f>-2.8628*3.46^2+86.116*3.46-37.286</f>
        <v>226.40306351999999</v>
      </c>
      <c r="AI740" s="10">
        <f>-0.232*3.46^2+72.802*3.46-30.279</f>
        <v>218.83850880000003</v>
      </c>
      <c r="AK740" s="10">
        <f>0*3.46^2+67.076*3.46-21.654</f>
        <v>210.42895999999999</v>
      </c>
      <c r="AL740" s="10" t="str">
        <f t="shared" si="84"/>
        <v>FALSE</v>
      </c>
      <c r="AM740" s="10" t="str">
        <f t="shared" si="84"/>
        <v>y=-2.8628*3.46^2+86.116*3.46-37.286</v>
      </c>
      <c r="AN740" s="10" t="str">
        <f t="shared" si="84"/>
        <v>y=-0.232*3.46^2+72.802*3.46-30.279</v>
      </c>
      <c r="AO740" s="10" t="str">
        <f t="shared" si="85"/>
        <v>FALSE</v>
      </c>
      <c r="AP740" s="10" t="str">
        <f t="shared" si="85"/>
        <v>y=0*3.46^2+67.076*3.46-21.654</v>
      </c>
      <c r="AQ740" s="10" t="b">
        <f>IF(AND(I740="TP",S740&lt;=150),VLOOKUP(AF740,TPCalibEq150!$AZ$2:$BB$55,3,),IF(AND(I740="TDP",S740&lt;=150),VLOOKUP(AF740,TPCalibEq150!$AZ$2:$BB$55,3,)))</f>
        <v>0</v>
      </c>
      <c r="AR740" s="10" t="str">
        <f>IF(AND(I740="TP",S740&lt;=300),VLOOKUP(AF740,TPCalibEq300!$AZ$2:$BB$55,3,),IF(AND(I740="TDP",S740&lt;=300),VLOOKUP(AF740,TPCalibEq300!$AZ$2:$BB$55,3,)))</f>
        <v>y=-2.8628x2+86.116x-37.286</v>
      </c>
      <c r="AS740" s="10" t="str">
        <f>IF(AND(I740="TP",S740&lt;=500),VLOOKUP(AF740,TPCalibEq500!$AZ$2:$BB$56,3,),IF(AND(I740="TDP",S740&lt;=500),VLOOKUP(AF740,TPCalibEq500!$AZ$2:$BB$56,3,)))</f>
        <v>y=-0.232x2+72.802x-30.279</v>
      </c>
      <c r="AT740" s="10" t="b">
        <f>IF(AND(I740="TN",S740&lt;=2800),VLOOKUP(AF740,TNCalibEq2500!$AZ$2:$BB$56,3,),IF(AND(I740="TDN",S740&lt;=2800),VLOOKUP(AF740,TNCalibEq2500!$AZ$2:$BB$56,3,)))</f>
        <v>0</v>
      </c>
      <c r="AU740" s="10" t="str">
        <f>IF(I740="TP",VLOOKUP(AF740,TPCalibEqFull!$AZ$2:$BB$56,3),IF(I740="TDP",VLOOKUP(AF740,TPCalibEqFull!$AZ$2:$BB$56,3),IF(I740="TDN",VLOOKUP(AF740,TNCalibEqFull!$AZ$1:$BB$56,3),IF(I740="TN",VLOOKUP(AF740,TNCalibEqFull!$AZ$1:$BB$56,3),FALSE))))</f>
        <v>y=0x2+67.076x-21.654</v>
      </c>
      <c r="AV740" s="10" t="str">
        <f t="shared" si="81"/>
        <v>0104 05:30:00-HST-0-C-1-SW-UKN</v>
      </c>
    </row>
    <row r="741" spans="1:48" s="10" customFormat="1" x14ac:dyDescent="0.55000000000000004">
      <c r="A741" s="32">
        <v>44931</v>
      </c>
      <c r="B741" s="33">
        <v>0.44513888888888892</v>
      </c>
      <c r="C741" s="10" t="s">
        <v>279</v>
      </c>
      <c r="D741" s="10">
        <v>0</v>
      </c>
      <c r="E741" s="10" t="s">
        <v>160</v>
      </c>
      <c r="F741" s="10">
        <v>1</v>
      </c>
      <c r="G741" s="10" t="s">
        <v>231</v>
      </c>
      <c r="H741" s="10" t="s">
        <v>322</v>
      </c>
      <c r="I741" s="10" t="s">
        <v>83</v>
      </c>
      <c r="J741" s="10">
        <v>3</v>
      </c>
      <c r="K741" s="12">
        <v>44937</v>
      </c>
      <c r="L741" s="33">
        <v>0.60143518518518524</v>
      </c>
      <c r="M741" s="10">
        <v>1</v>
      </c>
      <c r="N741" s="10" t="s">
        <v>84</v>
      </c>
      <c r="O741" s="10">
        <v>3.46</v>
      </c>
      <c r="P741" s="10">
        <v>0.24399999999999999</v>
      </c>
      <c r="Q741" s="10">
        <v>208</v>
      </c>
      <c r="R741" s="10" t="s">
        <v>85</v>
      </c>
      <c r="S741" s="34">
        <f t="shared" si="77"/>
        <v>226.40306351999999</v>
      </c>
      <c r="T741" s="10" t="s">
        <v>1035</v>
      </c>
      <c r="U741" s="34" t="str">
        <f t="shared" si="78"/>
        <v/>
      </c>
      <c r="V741" s="31" t="str">
        <f>IF(H741="CHK",VLOOKUP(I741,QCCHK,3,),IF(H741="GUP",VLOOKUP(E741,QCGUP,2,),IF(AND(H741="ATP",OR(I741="TN",I741="TDN",I741="TNO2-3",I741="NO2-3")),VLOOKUP(E741,QCREC_N,2,),IF(AND(H741="NIC",OR(I741="TN",I741="TDN",I741="TNO2-3",I741="NO2-3")),VLOOKUP(E741,QCNIC_N,2,),IF(AND(H741="UREA",OR(I741="TN",I741="TDN",I741="TNO2-3",I741="NO2-3")),VLOOKUP(E741,QCUREA_N,2,),IF(H741="PER",VLOOKUP(I741,QCPER,MATCH(E741,QCACTUAL!$J$25:$AA$25,0),),IF(H741="SPK",VLOOKUP(I741,QCSPK,3,),IF(AND(H741="ATP",OR(I741="TP",I741="TDP")),VLOOKUP(E741,QCATP_P,2,),""))))))))</f>
        <v/>
      </c>
      <c r="W741" s="31" t="str">
        <f t="shared" si="79"/>
        <v>TRUE</v>
      </c>
      <c r="X741" s="31" t="str">
        <f t="shared" si="80"/>
        <v/>
      </c>
      <c r="Y741" s="10" t="s">
        <v>1021</v>
      </c>
      <c r="Z741" s="10" t="s">
        <v>910</v>
      </c>
      <c r="AF741" s="12">
        <v>44937</v>
      </c>
      <c r="AH741" s="10">
        <f>-2.8628*3.46^2+86.116*3.46-37.286</f>
        <v>226.40306351999999</v>
      </c>
      <c r="AI741" s="10">
        <f>-0.232*3.46^2+72.802*3.46-30.279</f>
        <v>218.83850880000003</v>
      </c>
      <c r="AK741" s="10">
        <f>0*3.46^2+67.076*3.46-21.654</f>
        <v>210.42895999999999</v>
      </c>
      <c r="AL741" s="10" t="str">
        <f t="shared" si="84"/>
        <v>FALSE</v>
      </c>
      <c r="AM741" s="10" t="str">
        <f t="shared" si="84"/>
        <v>y=-2.8628*3.46^2+86.116*3.46-37.286</v>
      </c>
      <c r="AN741" s="10" t="str">
        <f t="shared" si="84"/>
        <v>y=-0.232*3.46^2+72.802*3.46-30.279</v>
      </c>
      <c r="AO741" s="10" t="str">
        <f t="shared" si="85"/>
        <v>FALSE</v>
      </c>
      <c r="AP741" s="10" t="str">
        <f t="shared" si="85"/>
        <v>y=0*3.46^2+67.076*3.46-21.654</v>
      </c>
      <c r="AQ741" s="10" t="b">
        <f>IF(AND(I741="TP",S741&lt;=150),VLOOKUP(AF741,TPCalibEq150!$AZ$2:$BB$55,3,),IF(AND(I741="TDP",S741&lt;=150),VLOOKUP(AF741,TPCalibEq150!$AZ$2:$BB$55,3,)))</f>
        <v>0</v>
      </c>
      <c r="AR741" s="10" t="str">
        <f>IF(AND(I741="TP",S741&lt;=300),VLOOKUP(AF741,TPCalibEq300!$AZ$2:$BB$55,3,),IF(AND(I741="TDP",S741&lt;=300),VLOOKUP(AF741,TPCalibEq300!$AZ$2:$BB$55,3,)))</f>
        <v>y=-2.8628x2+86.116x-37.286</v>
      </c>
      <c r="AS741" s="10" t="str">
        <f>IF(AND(I741="TP",S741&lt;=500),VLOOKUP(AF741,TPCalibEq500!$AZ$2:$BB$56,3,),IF(AND(I741="TDP",S741&lt;=500),VLOOKUP(AF741,TPCalibEq500!$AZ$2:$BB$56,3,)))</f>
        <v>y=-0.232x2+72.802x-30.279</v>
      </c>
      <c r="AT741" s="10" t="b">
        <f>IF(AND(I741="TN",S741&lt;=2800),VLOOKUP(AF741,TNCalibEq2500!$AZ$2:$BB$56,3,),IF(AND(I741="TDN",S741&lt;=2800),VLOOKUP(AF741,TNCalibEq2500!$AZ$2:$BB$56,3,)))</f>
        <v>0</v>
      </c>
      <c r="AU741" s="10" t="str">
        <f>IF(I741="TP",VLOOKUP(AF741,TPCalibEqFull!$AZ$2:$BB$56,3),IF(I741="TDP",VLOOKUP(AF741,TPCalibEqFull!$AZ$2:$BB$56,3),IF(I741="TDN",VLOOKUP(AF741,TNCalibEqFull!$AZ$1:$BB$56,3),IF(I741="TN",VLOOKUP(AF741,TNCalibEqFull!$AZ$1:$BB$56,3),FALSE))))</f>
        <v>y=0x2+67.076x-21.654</v>
      </c>
      <c r="AV741" s="10" t="str">
        <f t="shared" si="81"/>
        <v>0105 10:41:00-EFK-0-L-1-SW-UKN</v>
      </c>
    </row>
    <row r="742" spans="1:48" s="10" customFormat="1" x14ac:dyDescent="0.55000000000000004">
      <c r="A742" s="32">
        <v>44931</v>
      </c>
      <c r="B742" s="33">
        <v>0.45069444444444445</v>
      </c>
      <c r="C742" s="10" t="s">
        <v>333</v>
      </c>
      <c r="D742" s="10">
        <v>0</v>
      </c>
      <c r="E742" s="10" t="s">
        <v>190</v>
      </c>
      <c r="F742" s="10">
        <v>1</v>
      </c>
      <c r="G742" s="10" t="s">
        <v>231</v>
      </c>
      <c r="H742" s="10" t="s">
        <v>322</v>
      </c>
      <c r="I742" s="10" t="s">
        <v>83</v>
      </c>
      <c r="J742" s="10">
        <v>4</v>
      </c>
      <c r="K742" s="12">
        <v>44937</v>
      </c>
      <c r="L742" s="33">
        <v>0.60214120370370372</v>
      </c>
      <c r="M742" s="10">
        <v>1</v>
      </c>
      <c r="N742" s="10" t="s">
        <v>84</v>
      </c>
      <c r="O742" s="10">
        <v>2.85</v>
      </c>
      <c r="P742" s="10">
        <v>0.20399999999999999</v>
      </c>
      <c r="Q742" s="10">
        <v>169</v>
      </c>
      <c r="R742" s="10" t="s">
        <v>85</v>
      </c>
      <c r="S742" s="34">
        <f t="shared" si="77"/>
        <v>184.89150699999999</v>
      </c>
      <c r="T742" s="10" t="s">
        <v>1035</v>
      </c>
      <c r="U742" s="34" t="str">
        <f t="shared" si="78"/>
        <v/>
      </c>
      <c r="V742" s="31" t="str">
        <f>IF(H742="CHK",VLOOKUP(I742,QCCHK,3,),IF(H742="GUP",VLOOKUP(E742,QCGUP,2,),IF(AND(H742="ATP",OR(I742="TN",I742="TDN",I742="TNO2-3",I742="NO2-3")),VLOOKUP(E742,QCREC_N,2,),IF(AND(H742="NIC",OR(I742="TN",I742="TDN",I742="TNO2-3",I742="NO2-3")),VLOOKUP(E742,QCNIC_N,2,),IF(AND(H742="UREA",OR(I742="TN",I742="TDN",I742="TNO2-3",I742="NO2-3")),VLOOKUP(E742,QCUREA_N,2,),IF(H742="PER",VLOOKUP(I742,QCPER,MATCH(E742,QCACTUAL!$J$25:$AA$25,0),),IF(H742="SPK",VLOOKUP(I742,QCSPK,3,),IF(AND(H742="ATP",OR(I742="TP",I742="TDP")),VLOOKUP(E742,QCATP_P,2,),""))))))))</f>
        <v/>
      </c>
      <c r="W742" s="31" t="str">
        <f t="shared" si="79"/>
        <v>TRUE</v>
      </c>
      <c r="X742" s="31" t="str">
        <f t="shared" si="80"/>
        <v/>
      </c>
      <c r="Y742" s="10" t="s">
        <v>1021</v>
      </c>
      <c r="Z742" s="10" t="s">
        <v>910</v>
      </c>
      <c r="AF742" s="12">
        <v>44937</v>
      </c>
      <c r="AH742" s="10">
        <f>-2.8628*2.85^2+86.116*2.85-37.286</f>
        <v>184.89150699999999</v>
      </c>
      <c r="AI742" s="10">
        <f>-0.232*2.85^2+72.802*2.85-30.279</f>
        <v>175.32228000000003</v>
      </c>
      <c r="AK742" s="10">
        <f>0*2.85^2+67.076*2.85-21.654</f>
        <v>169.51259999999999</v>
      </c>
      <c r="AL742" s="10" t="str">
        <f t="shared" si="84"/>
        <v>FALSE</v>
      </c>
      <c r="AM742" s="10" t="str">
        <f t="shared" si="84"/>
        <v>y=-2.8628*2.85^2+86.116*2.85-37.286</v>
      </c>
      <c r="AN742" s="10" t="str">
        <f t="shared" si="84"/>
        <v>y=-0.232*2.85^2+72.802*2.85-30.279</v>
      </c>
      <c r="AO742" s="10" t="str">
        <f t="shared" si="85"/>
        <v>FALSE</v>
      </c>
      <c r="AP742" s="10" t="str">
        <f t="shared" si="85"/>
        <v>y=0*2.85^2+67.076*2.85-21.654</v>
      </c>
      <c r="AQ742" s="10" t="b">
        <f>IF(AND(I742="TP",S742&lt;=150),VLOOKUP(AF742,TPCalibEq150!$AZ$2:$BB$55,3,),IF(AND(I742="TDP",S742&lt;=150),VLOOKUP(AF742,TPCalibEq150!$AZ$2:$BB$55,3,)))</f>
        <v>0</v>
      </c>
      <c r="AR742" s="10" t="str">
        <f>IF(AND(I742="TP",S742&lt;=300),VLOOKUP(AF742,TPCalibEq300!$AZ$2:$BB$55,3,),IF(AND(I742="TDP",S742&lt;=300),VLOOKUP(AF742,TPCalibEq300!$AZ$2:$BB$55,3,)))</f>
        <v>y=-2.8628x2+86.116x-37.286</v>
      </c>
      <c r="AS742" s="10" t="str">
        <f>IF(AND(I742="TP",S742&lt;=500),VLOOKUP(AF742,TPCalibEq500!$AZ$2:$BB$56,3,),IF(AND(I742="TDP",S742&lt;=500),VLOOKUP(AF742,TPCalibEq500!$AZ$2:$BB$56,3,)))</f>
        <v>y=-0.232x2+72.802x-30.279</v>
      </c>
      <c r="AT742" s="10" t="b">
        <f>IF(AND(I742="TN",S742&lt;=2800),VLOOKUP(AF742,TNCalibEq2500!$AZ$2:$BB$56,3,),IF(AND(I742="TDN",S742&lt;=2800),VLOOKUP(AF742,TNCalibEq2500!$AZ$2:$BB$56,3,)))</f>
        <v>0</v>
      </c>
      <c r="AU742" s="10" t="str">
        <f>IF(I742="TP",VLOOKUP(AF742,TPCalibEqFull!$AZ$2:$BB$56,3),IF(I742="TDP",VLOOKUP(AF742,TPCalibEqFull!$AZ$2:$BB$56,3),IF(I742="TDN",VLOOKUP(AF742,TNCalibEqFull!$AZ$1:$BB$56,3),IF(I742="TN",VLOOKUP(AF742,TNCalibEqFull!$AZ$1:$BB$56,3),FALSE))))</f>
        <v>y=0x2+67.076x-21.654</v>
      </c>
      <c r="AV742" s="10" t="str">
        <f t="shared" si="81"/>
        <v>0105 10:49:00-HST-0-C-1-SW-UKN</v>
      </c>
    </row>
    <row r="743" spans="1:48" s="10" customFormat="1" x14ac:dyDescent="0.55000000000000004">
      <c r="A743" s="32">
        <v>44932</v>
      </c>
      <c r="B743" s="33">
        <v>0.53333333333333333</v>
      </c>
      <c r="C743" s="10" t="s">
        <v>279</v>
      </c>
      <c r="D743" s="10">
        <v>0</v>
      </c>
      <c r="E743" s="10" t="s">
        <v>160</v>
      </c>
      <c r="F743" s="10">
        <v>1</v>
      </c>
      <c r="G743" s="10" t="s">
        <v>231</v>
      </c>
      <c r="H743" s="10" t="s">
        <v>322</v>
      </c>
      <c r="I743" s="10" t="s">
        <v>83</v>
      </c>
      <c r="J743" s="10">
        <v>5</v>
      </c>
      <c r="K743" s="12">
        <v>44937</v>
      </c>
      <c r="L743" s="33">
        <v>0.60283564814814816</v>
      </c>
      <c r="M743" s="10">
        <v>1</v>
      </c>
      <c r="N743" s="10" t="s">
        <v>84</v>
      </c>
      <c r="O743" s="10">
        <v>3.47</v>
      </c>
      <c r="P743" s="10">
        <v>0.251</v>
      </c>
      <c r="Q743" s="10">
        <v>209</v>
      </c>
      <c r="R743" s="10" t="s">
        <v>85</v>
      </c>
      <c r="S743" s="34">
        <f t="shared" si="77"/>
        <v>227.06583147999999</v>
      </c>
      <c r="T743" s="10" t="s">
        <v>1035</v>
      </c>
      <c r="U743" s="34" t="str">
        <f t="shared" si="78"/>
        <v/>
      </c>
      <c r="V743" s="31" t="str">
        <f>IF(H743="CHK",VLOOKUP(I743,QCCHK,3,),IF(H743="GUP",VLOOKUP(E743,QCGUP,2,),IF(AND(H743="ATP",OR(I743="TN",I743="TDN",I743="TNO2-3",I743="NO2-3")),VLOOKUP(E743,QCREC_N,2,),IF(AND(H743="NIC",OR(I743="TN",I743="TDN",I743="TNO2-3",I743="NO2-3")),VLOOKUP(E743,QCNIC_N,2,),IF(AND(H743="UREA",OR(I743="TN",I743="TDN",I743="TNO2-3",I743="NO2-3")),VLOOKUP(E743,QCUREA_N,2,),IF(H743="PER",VLOOKUP(I743,QCPER,MATCH(E743,QCACTUAL!$J$25:$AA$25,0),),IF(H743="SPK",VLOOKUP(I743,QCSPK,3,),IF(AND(H743="ATP",OR(I743="TP",I743="TDP")),VLOOKUP(E743,QCATP_P,2,),""))))))))</f>
        <v/>
      </c>
      <c r="W743" s="31" t="str">
        <f t="shared" si="79"/>
        <v>TRUE</v>
      </c>
      <c r="X743" s="31" t="str">
        <f t="shared" si="80"/>
        <v/>
      </c>
      <c r="Y743" s="10" t="s">
        <v>1021</v>
      </c>
      <c r="Z743" s="10" t="s">
        <v>910</v>
      </c>
      <c r="AF743" s="12">
        <v>44937</v>
      </c>
      <c r="AH743" s="10">
        <f>-2.8628*3.47^2+86.116*3.47-37.286</f>
        <v>227.06583147999999</v>
      </c>
      <c r="AI743" s="10">
        <f>-0.232*3.47^2+72.802*3.47-30.279</f>
        <v>219.55045120000003</v>
      </c>
      <c r="AK743" s="10">
        <f>0*3.47^2+67.076*3.47-21.654</f>
        <v>211.09971999999999</v>
      </c>
      <c r="AL743" s="10" t="str">
        <f t="shared" si="84"/>
        <v>FALSE</v>
      </c>
      <c r="AM743" s="10" t="str">
        <f t="shared" si="84"/>
        <v>y=-2.8628*3.47^2+86.116*3.47-37.286</v>
      </c>
      <c r="AN743" s="10" t="str">
        <f t="shared" si="84"/>
        <v>y=-0.232*3.47^2+72.802*3.47-30.279</v>
      </c>
      <c r="AO743" s="10" t="str">
        <f t="shared" si="85"/>
        <v>FALSE</v>
      </c>
      <c r="AP743" s="10" t="str">
        <f t="shared" si="85"/>
        <v>y=0*3.47^2+67.076*3.47-21.654</v>
      </c>
      <c r="AQ743" s="10" t="b">
        <f>IF(AND(I743="TP",S743&lt;=150),VLOOKUP(AF743,TPCalibEq150!$AZ$2:$BB$55,3,),IF(AND(I743="TDP",S743&lt;=150),VLOOKUP(AF743,TPCalibEq150!$AZ$2:$BB$55,3,)))</f>
        <v>0</v>
      </c>
      <c r="AR743" s="10" t="str">
        <f>IF(AND(I743="TP",S743&lt;=300),VLOOKUP(AF743,TPCalibEq300!$AZ$2:$BB$55,3,),IF(AND(I743="TDP",S743&lt;=300),VLOOKUP(AF743,TPCalibEq300!$AZ$2:$BB$55,3,)))</f>
        <v>y=-2.8628x2+86.116x-37.286</v>
      </c>
      <c r="AS743" s="10" t="str">
        <f>IF(AND(I743="TP",S743&lt;=500),VLOOKUP(AF743,TPCalibEq500!$AZ$2:$BB$56,3,),IF(AND(I743="TDP",S743&lt;=500),VLOOKUP(AF743,TPCalibEq500!$AZ$2:$BB$56,3,)))</f>
        <v>y=-0.232x2+72.802x-30.279</v>
      </c>
      <c r="AT743" s="10" t="b">
        <f>IF(AND(I743="TN",S743&lt;=2800),VLOOKUP(AF743,TNCalibEq2500!$AZ$2:$BB$56,3,),IF(AND(I743="TDN",S743&lt;=2800),VLOOKUP(AF743,TNCalibEq2500!$AZ$2:$BB$56,3,)))</f>
        <v>0</v>
      </c>
      <c r="AU743" s="10" t="str">
        <f>IF(I743="TP",VLOOKUP(AF743,TPCalibEqFull!$AZ$2:$BB$56,3),IF(I743="TDP",VLOOKUP(AF743,TPCalibEqFull!$AZ$2:$BB$56,3),IF(I743="TDN",VLOOKUP(AF743,TNCalibEqFull!$AZ$1:$BB$56,3),IF(I743="TN",VLOOKUP(AF743,TNCalibEqFull!$AZ$1:$BB$56,3),FALSE))))</f>
        <v>y=0x2+67.076x-21.654</v>
      </c>
      <c r="AV743" s="10" t="str">
        <f t="shared" si="81"/>
        <v>0106 12:48:00-EFK-0-L-1-SW-UKN</v>
      </c>
    </row>
    <row r="744" spans="1:48" s="10" customFormat="1" x14ac:dyDescent="0.55000000000000004">
      <c r="A744" s="32">
        <v>44932</v>
      </c>
      <c r="B744" s="33">
        <v>0.52430555555555558</v>
      </c>
      <c r="C744" s="10" t="s">
        <v>333</v>
      </c>
      <c r="D744" s="10">
        <v>0</v>
      </c>
      <c r="E744" s="10" t="s">
        <v>190</v>
      </c>
      <c r="F744" s="10">
        <v>1</v>
      </c>
      <c r="G744" s="10" t="s">
        <v>231</v>
      </c>
      <c r="H744" s="10" t="s">
        <v>322</v>
      </c>
      <c r="I744" s="10" t="s">
        <v>83</v>
      </c>
      <c r="J744" s="10">
        <v>6</v>
      </c>
      <c r="K744" s="12">
        <v>44937</v>
      </c>
      <c r="L744" s="33">
        <v>0.6035300925925926</v>
      </c>
      <c r="M744" s="10">
        <v>1</v>
      </c>
      <c r="N744" s="10" t="s">
        <v>84</v>
      </c>
      <c r="O744" s="10">
        <v>3.74</v>
      </c>
      <c r="P744" s="10">
        <v>0.26600000000000001</v>
      </c>
      <c r="Q744" s="10">
        <v>227</v>
      </c>
      <c r="R744" s="10" t="s">
        <v>85</v>
      </c>
      <c r="S744" s="34">
        <f t="shared" si="77"/>
        <v>244.74413872000002</v>
      </c>
      <c r="T744" s="10" t="s">
        <v>1035</v>
      </c>
      <c r="U744" s="34" t="str">
        <f t="shared" si="78"/>
        <v/>
      </c>
      <c r="V744" s="31" t="str">
        <f>IF(H744="CHK",VLOOKUP(I744,QCCHK,3,),IF(H744="GUP",VLOOKUP(E744,QCGUP,2,),IF(AND(H744="ATP",OR(I744="TN",I744="TDN",I744="TNO2-3",I744="NO2-3")),VLOOKUP(E744,QCREC_N,2,),IF(AND(H744="NIC",OR(I744="TN",I744="TDN",I744="TNO2-3",I744="NO2-3")),VLOOKUP(E744,QCNIC_N,2,),IF(AND(H744="UREA",OR(I744="TN",I744="TDN",I744="TNO2-3",I744="NO2-3")),VLOOKUP(E744,QCUREA_N,2,),IF(H744="PER",VLOOKUP(I744,QCPER,MATCH(E744,QCACTUAL!$J$25:$AA$25,0),),IF(H744="SPK",VLOOKUP(I744,QCSPK,3,),IF(AND(H744="ATP",OR(I744="TP",I744="TDP")),VLOOKUP(E744,QCATP_P,2,),""))))))))</f>
        <v/>
      </c>
      <c r="W744" s="31" t="str">
        <f t="shared" si="79"/>
        <v>TRUE</v>
      </c>
      <c r="X744" s="31" t="str">
        <f t="shared" si="80"/>
        <v/>
      </c>
      <c r="Y744" s="10" t="s">
        <v>1021</v>
      </c>
      <c r="Z744" s="10" t="s">
        <v>910</v>
      </c>
      <c r="AF744" s="12">
        <v>44937</v>
      </c>
      <c r="AH744" s="10">
        <f>-2.8628*3.74^2+86.116*3.74-37.286</f>
        <v>244.74413872000002</v>
      </c>
      <c r="AI744" s="10">
        <f>-0.232*3.74^2+72.802*3.74-30.279</f>
        <v>238.75535680000002</v>
      </c>
      <c r="AK744" s="10">
        <f>0*3.74^2+67.076*3.74-21.654</f>
        <v>229.21024</v>
      </c>
      <c r="AL744" s="10" t="str">
        <f t="shared" si="84"/>
        <v>FALSE</v>
      </c>
      <c r="AM744" s="10" t="str">
        <f t="shared" si="84"/>
        <v>y=-2.8628*3.74^2+86.116*3.74-37.286</v>
      </c>
      <c r="AN744" s="10" t="str">
        <f t="shared" si="84"/>
        <v>y=-0.232*3.74^2+72.802*3.74-30.279</v>
      </c>
      <c r="AO744" s="10" t="str">
        <f t="shared" si="85"/>
        <v>FALSE</v>
      </c>
      <c r="AP744" s="10" t="str">
        <f t="shared" si="85"/>
        <v>y=0*3.74^2+67.076*3.74-21.654</v>
      </c>
      <c r="AQ744" s="10" t="b">
        <f>IF(AND(I744="TP",S744&lt;=150),VLOOKUP(AF744,TPCalibEq150!$AZ$2:$BB$55,3,),IF(AND(I744="TDP",S744&lt;=150),VLOOKUP(AF744,TPCalibEq150!$AZ$2:$BB$55,3,)))</f>
        <v>0</v>
      </c>
      <c r="AR744" s="10" t="str">
        <f>IF(AND(I744="TP",S744&lt;=300),VLOOKUP(AF744,TPCalibEq300!$AZ$2:$BB$55,3,),IF(AND(I744="TDP",S744&lt;=300),VLOOKUP(AF744,TPCalibEq300!$AZ$2:$BB$55,3,)))</f>
        <v>y=-2.8628x2+86.116x-37.286</v>
      </c>
      <c r="AS744" s="10" t="str">
        <f>IF(AND(I744="TP",S744&lt;=500),VLOOKUP(AF744,TPCalibEq500!$AZ$2:$BB$56,3,),IF(AND(I744="TDP",S744&lt;=500),VLOOKUP(AF744,TPCalibEq500!$AZ$2:$BB$56,3,)))</f>
        <v>y=-0.232x2+72.802x-30.279</v>
      </c>
      <c r="AT744" s="10" t="b">
        <f>IF(AND(I744="TN",S744&lt;=2800),VLOOKUP(AF744,TNCalibEq2500!$AZ$2:$BB$56,3,),IF(AND(I744="TDN",S744&lt;=2800),VLOOKUP(AF744,TNCalibEq2500!$AZ$2:$BB$56,3,)))</f>
        <v>0</v>
      </c>
      <c r="AU744" s="10" t="str">
        <f>IF(I744="TP",VLOOKUP(AF744,TPCalibEqFull!$AZ$2:$BB$56,3),IF(I744="TDP",VLOOKUP(AF744,TPCalibEqFull!$AZ$2:$BB$56,3),IF(I744="TDN",VLOOKUP(AF744,TNCalibEqFull!$AZ$1:$BB$56,3),IF(I744="TN",VLOOKUP(AF744,TNCalibEqFull!$AZ$1:$BB$56,3),FALSE))))</f>
        <v>y=0x2+67.076x-21.654</v>
      </c>
      <c r="AV744" s="10" t="str">
        <f t="shared" si="81"/>
        <v>0106 12:35:00-HST-0-C-1-SW-UKN</v>
      </c>
    </row>
    <row r="745" spans="1:48" s="10" customFormat="1" x14ac:dyDescent="0.55000000000000004">
      <c r="A745" s="32">
        <v>44935</v>
      </c>
      <c r="B745" s="33">
        <v>0.39166666666666666</v>
      </c>
      <c r="C745" s="10" t="s">
        <v>279</v>
      </c>
      <c r="D745" s="10">
        <v>0</v>
      </c>
      <c r="E745" s="10" t="s">
        <v>160</v>
      </c>
      <c r="F745" s="10">
        <v>1</v>
      </c>
      <c r="G745" s="10" t="s">
        <v>231</v>
      </c>
      <c r="H745" s="10" t="s">
        <v>322</v>
      </c>
      <c r="I745" s="10" t="s">
        <v>83</v>
      </c>
      <c r="J745" s="10">
        <v>7</v>
      </c>
      <c r="K745" s="12">
        <v>44937</v>
      </c>
      <c r="L745" s="33">
        <v>0.60422453703703705</v>
      </c>
      <c r="M745" s="10">
        <v>1</v>
      </c>
      <c r="N745" s="10" t="s">
        <v>84</v>
      </c>
      <c r="O745" s="10">
        <v>2.04</v>
      </c>
      <c r="P745" s="10">
        <v>0.14299999999999999</v>
      </c>
      <c r="Q745" s="10">
        <v>115</v>
      </c>
      <c r="R745" s="10" t="s">
        <v>85</v>
      </c>
      <c r="S745" s="34">
        <f t="shared" si="77"/>
        <v>126.47681151999998</v>
      </c>
      <c r="T745" s="10" t="s">
        <v>1035</v>
      </c>
      <c r="U745" s="34" t="str">
        <f t="shared" si="78"/>
        <v/>
      </c>
      <c r="V745" s="31" t="str">
        <f>IF(H745="CHK",VLOOKUP(I745,QCCHK,3,),IF(H745="GUP",VLOOKUP(E745,QCGUP,2,),IF(AND(H745="ATP",OR(I745="TN",I745="TDN",I745="TNO2-3",I745="NO2-3")),VLOOKUP(E745,QCREC_N,2,),IF(AND(H745="NIC",OR(I745="TN",I745="TDN",I745="TNO2-3",I745="NO2-3")),VLOOKUP(E745,QCNIC_N,2,),IF(AND(H745="UREA",OR(I745="TN",I745="TDN",I745="TNO2-3",I745="NO2-3")),VLOOKUP(E745,QCUREA_N,2,),IF(H745="PER",VLOOKUP(I745,QCPER,MATCH(E745,QCACTUAL!$J$25:$AA$25,0),),IF(H745="SPK",VLOOKUP(I745,QCSPK,3,),IF(AND(H745="ATP",OR(I745="TP",I745="TDP")),VLOOKUP(E745,QCATP_P,2,),""))))))))</f>
        <v/>
      </c>
      <c r="W745" s="31" t="str">
        <f t="shared" si="79"/>
        <v>TRUE</v>
      </c>
      <c r="X745" s="31" t="str">
        <f t="shared" si="80"/>
        <v/>
      </c>
      <c r="Y745" s="10" t="s">
        <v>1021</v>
      </c>
      <c r="Z745" s="10" t="s">
        <v>910</v>
      </c>
      <c r="AF745" s="12">
        <v>44937</v>
      </c>
      <c r="AG745" s="10">
        <f>-1.7779*2.04^2+83.185*2.04-35.938</f>
        <v>126.36049136000001</v>
      </c>
      <c r="AH745" s="10">
        <f>-2.8628*2.04^2+86.116*2.04-37.286</f>
        <v>126.47681151999998</v>
      </c>
      <c r="AI745" s="10">
        <f>-0.232*2.04^2+72.802*2.04-30.279</f>
        <v>117.27158880000002</v>
      </c>
      <c r="AK745" s="10">
        <f>0*2.04^2+67.076*2.04-21.654</f>
        <v>115.18104</v>
      </c>
      <c r="AL745" s="10" t="str">
        <f t="shared" si="84"/>
        <v>y=-1.7779*2.04^2+83.185*2.04-35.938</v>
      </c>
      <c r="AM745" s="10" t="str">
        <f t="shared" si="84"/>
        <v>y=-2.8628*2.04^2+86.116*2.04-37.286</v>
      </c>
      <c r="AN745" s="10" t="str">
        <f t="shared" si="84"/>
        <v>y=-0.232*2.04^2+72.802*2.04-30.279</v>
      </c>
      <c r="AO745" s="10" t="str">
        <f t="shared" si="85"/>
        <v>FALSE</v>
      </c>
      <c r="AP745" s="10" t="str">
        <f t="shared" si="85"/>
        <v>y=0*2.04^2+67.076*2.04-21.654</v>
      </c>
      <c r="AQ745" s="10" t="str">
        <f>IF(AND(I745="TP",S745&lt;=150),VLOOKUP(AF745,TPCalibEq150!$AZ$2:$BB$55,3,),IF(AND(I745="TDP",S745&lt;=150),VLOOKUP(AF745,TPCalibEq150!$AZ$2:$BB$55,3,)))</f>
        <v>y=-1.7779x2+83.185x-35.938</v>
      </c>
      <c r="AR745" s="10" t="str">
        <f>IF(AND(I745="TP",S745&lt;=300),VLOOKUP(AF745,TPCalibEq300!$AZ$2:$BB$55,3,),IF(AND(I745="TDP",S745&lt;=300),VLOOKUP(AF745,TPCalibEq300!$AZ$2:$BB$55,3,)))</f>
        <v>y=-2.8628x2+86.116x-37.286</v>
      </c>
      <c r="AS745" s="10" t="str">
        <f>IF(AND(I745="TP",S745&lt;=500),VLOOKUP(AF745,TPCalibEq500!$AZ$2:$BB$56,3,),IF(AND(I745="TDP",S745&lt;=500),VLOOKUP(AF745,TPCalibEq500!$AZ$2:$BB$56,3,)))</f>
        <v>y=-0.232x2+72.802x-30.279</v>
      </c>
      <c r="AT745" s="10" t="b">
        <f>IF(AND(I745="TN",S745&lt;=2800),VLOOKUP(AF745,TNCalibEq2500!$AZ$2:$BB$56,3,),IF(AND(I745="TDN",S745&lt;=2800),VLOOKUP(AF745,TNCalibEq2500!$AZ$2:$BB$56,3,)))</f>
        <v>0</v>
      </c>
      <c r="AU745" s="10" t="str">
        <f>IF(I745="TP",VLOOKUP(AF745,TPCalibEqFull!$AZ$2:$BB$56,3),IF(I745="TDP",VLOOKUP(AF745,TPCalibEqFull!$AZ$2:$BB$56,3),IF(I745="TDN",VLOOKUP(AF745,TNCalibEqFull!$AZ$1:$BB$56,3),IF(I745="TN",VLOOKUP(AF745,TNCalibEqFull!$AZ$1:$BB$56,3),FALSE))))</f>
        <v>y=0x2+67.076x-21.654</v>
      </c>
      <c r="AV745" s="10" t="str">
        <f t="shared" si="81"/>
        <v>0109 09:24:00-EFK-0-L-1-SW-UKN</v>
      </c>
    </row>
    <row r="746" spans="1:48" s="10" customFormat="1" x14ac:dyDescent="0.55000000000000004">
      <c r="A746" s="32">
        <v>44935</v>
      </c>
      <c r="B746" s="33">
        <v>0.30208333333333331</v>
      </c>
      <c r="C746" s="10" t="s">
        <v>333</v>
      </c>
      <c r="D746" s="10">
        <v>0</v>
      </c>
      <c r="E746" s="10" t="s">
        <v>190</v>
      </c>
      <c r="F746" s="10">
        <v>1</v>
      </c>
      <c r="G746" s="10" t="s">
        <v>231</v>
      </c>
      <c r="H746" s="10" t="s">
        <v>322</v>
      </c>
      <c r="I746" s="10" t="s">
        <v>83</v>
      </c>
      <c r="J746" s="10">
        <v>8</v>
      </c>
      <c r="K746" s="12">
        <v>44937</v>
      </c>
      <c r="L746" s="33">
        <v>0.60493055555555553</v>
      </c>
      <c r="M746" s="10">
        <v>1</v>
      </c>
      <c r="N746" s="10" t="s">
        <v>84</v>
      </c>
      <c r="O746" s="10">
        <v>2.4700000000000002</v>
      </c>
      <c r="P746" s="10">
        <v>0.17599999999999999</v>
      </c>
      <c r="Q746" s="10">
        <v>143</v>
      </c>
      <c r="R746" s="10" t="s">
        <v>85</v>
      </c>
      <c r="S746" s="34">
        <f t="shared" si="77"/>
        <v>158.68215989000004</v>
      </c>
      <c r="T746" s="10" t="s">
        <v>1035</v>
      </c>
      <c r="U746" s="34" t="str">
        <f t="shared" si="78"/>
        <v/>
      </c>
      <c r="V746" s="31" t="str">
        <f>IF(H746="CHK",VLOOKUP(I746,QCCHK,3,),IF(H746="GUP",VLOOKUP(E746,QCGUP,2,),IF(AND(H746="ATP",OR(I746="TN",I746="TDN",I746="TNO2-3",I746="NO2-3")),VLOOKUP(E746,QCREC_N,2,),IF(AND(H746="NIC",OR(I746="TN",I746="TDN",I746="TNO2-3",I746="NO2-3")),VLOOKUP(E746,QCNIC_N,2,),IF(AND(H746="UREA",OR(I746="TN",I746="TDN",I746="TNO2-3",I746="NO2-3")),VLOOKUP(E746,QCUREA_N,2,),IF(H746="PER",VLOOKUP(I746,QCPER,MATCH(E746,QCACTUAL!$J$25:$AA$25,0),),IF(H746="SPK",VLOOKUP(I746,QCSPK,3,),IF(AND(H746="ATP",OR(I746="TP",I746="TDP")),VLOOKUP(E746,QCATP_P,2,),""))))))))</f>
        <v/>
      </c>
      <c r="W746" s="31" t="str">
        <f t="shared" si="79"/>
        <v>TRUE</v>
      </c>
      <c r="X746" s="31" t="str">
        <f t="shared" si="80"/>
        <v/>
      </c>
      <c r="Y746" s="10" t="s">
        <v>1021</v>
      </c>
      <c r="Z746" s="10" t="s">
        <v>910</v>
      </c>
      <c r="AF746" s="12">
        <v>44937</v>
      </c>
      <c r="AG746" s="10">
        <f>-1.7779*2.47^2+83.185*2.47-35.938</f>
        <v>158.68215989000004</v>
      </c>
      <c r="AH746" s="10">
        <f>-2.8628*2.47^2+86.116*2.47-37.286</f>
        <v>157.95486348</v>
      </c>
      <c r="AI746" s="10">
        <f>-0.232*2.47^2+72.802*2.47-30.279</f>
        <v>148.12653120000004</v>
      </c>
      <c r="AK746" s="10">
        <f>0*2.47^2+67.076*2.47-21.654</f>
        <v>144.02372</v>
      </c>
      <c r="AL746" s="10" t="str">
        <f t="shared" si="84"/>
        <v>FALSE</v>
      </c>
      <c r="AM746" s="10" t="str">
        <f t="shared" si="84"/>
        <v>y=-2.8628*2.47^2+86.116*2.47-37.286</v>
      </c>
      <c r="AN746" s="10" t="str">
        <f t="shared" si="84"/>
        <v>y=-0.232*2.47^2+72.802*2.47-30.279</v>
      </c>
      <c r="AO746" s="10" t="str">
        <f t="shared" si="85"/>
        <v>FALSE</v>
      </c>
      <c r="AP746" s="10" t="str">
        <f t="shared" si="85"/>
        <v>y=0*2.47^2+67.076*2.47-21.654</v>
      </c>
      <c r="AQ746" s="10" t="b">
        <f>IF(AND(I746="TP",S746&lt;=150),VLOOKUP(AF746,TPCalibEq150!$AZ$2:$BB$55,3,),IF(AND(I746="TDP",S746&lt;=150),VLOOKUP(AF746,TPCalibEq150!$AZ$2:$BB$55,3,)))</f>
        <v>0</v>
      </c>
      <c r="AR746" s="10" t="str">
        <f>IF(AND(I746="TP",S746&lt;=300),VLOOKUP(AF746,TPCalibEq300!$AZ$2:$BB$55,3,),IF(AND(I746="TDP",S746&lt;=300),VLOOKUP(AF746,TPCalibEq300!$AZ$2:$BB$55,3,)))</f>
        <v>y=-2.8628x2+86.116x-37.286</v>
      </c>
      <c r="AS746" s="10" t="str">
        <f>IF(AND(I746="TP",S746&lt;=500),VLOOKUP(AF746,TPCalibEq500!$AZ$2:$BB$56,3,),IF(AND(I746="TDP",S746&lt;=500),VLOOKUP(AF746,TPCalibEq500!$AZ$2:$BB$56,3,)))</f>
        <v>y=-0.232x2+72.802x-30.279</v>
      </c>
      <c r="AT746" s="10" t="b">
        <f>IF(AND(I746="TN",S746&lt;=2800),VLOOKUP(AF746,TNCalibEq2500!$AZ$2:$BB$56,3,),IF(AND(I746="TDN",S746&lt;=2800),VLOOKUP(AF746,TNCalibEq2500!$AZ$2:$BB$56,3,)))</f>
        <v>0</v>
      </c>
      <c r="AU746" s="10" t="str">
        <f>IF(I746="TP",VLOOKUP(AF746,TPCalibEqFull!$AZ$2:$BB$56,3),IF(I746="TDP",VLOOKUP(AF746,TPCalibEqFull!$AZ$2:$BB$56,3),IF(I746="TDN",VLOOKUP(AF746,TNCalibEqFull!$AZ$1:$BB$56,3),IF(I746="TN",VLOOKUP(AF746,TNCalibEqFull!$AZ$1:$BB$56,3),FALSE))))</f>
        <v>y=0x2+67.076x-21.654</v>
      </c>
      <c r="AV746" s="10" t="str">
        <f t="shared" si="81"/>
        <v>0109 07:15:00-HST-0-C-1-SW-UKN</v>
      </c>
    </row>
    <row r="747" spans="1:48" s="10" customFormat="1" x14ac:dyDescent="0.55000000000000004">
      <c r="A747" s="32">
        <v>44936</v>
      </c>
      <c r="B747" s="33">
        <v>0.39166666666666666</v>
      </c>
      <c r="C747" s="10" t="s">
        <v>279</v>
      </c>
      <c r="D747" s="10">
        <v>0</v>
      </c>
      <c r="E747" s="10" t="s">
        <v>160</v>
      </c>
      <c r="F747" s="10">
        <v>1</v>
      </c>
      <c r="G747" s="10" t="s">
        <v>231</v>
      </c>
      <c r="H747" s="10" t="s">
        <v>322</v>
      </c>
      <c r="I747" s="10" t="s">
        <v>83</v>
      </c>
      <c r="J747" s="10">
        <v>9</v>
      </c>
      <c r="K747" s="12">
        <v>44937</v>
      </c>
      <c r="L747" s="33">
        <v>0.60562499999999997</v>
      </c>
      <c r="M747" s="10">
        <v>1</v>
      </c>
      <c r="N747" s="10" t="s">
        <v>84</v>
      </c>
      <c r="O747" s="10">
        <v>2.13</v>
      </c>
      <c r="P747" s="10">
        <v>0.14899999999999999</v>
      </c>
      <c r="Q747" s="10">
        <v>121</v>
      </c>
      <c r="R747" s="10" t="s">
        <v>85</v>
      </c>
      <c r="S747" s="34">
        <f t="shared" si="77"/>
        <v>133.17989548999998</v>
      </c>
      <c r="T747" s="10" t="s">
        <v>1035</v>
      </c>
      <c r="U747" s="34" t="str">
        <f t="shared" si="78"/>
        <v/>
      </c>
      <c r="V747" s="31" t="str">
        <f>IF(H747="CHK",VLOOKUP(I747,QCCHK,3,),IF(H747="GUP",VLOOKUP(E747,QCGUP,2,),IF(AND(H747="ATP",OR(I747="TN",I747="TDN",I747="TNO2-3",I747="NO2-3")),VLOOKUP(E747,QCREC_N,2,),IF(AND(H747="NIC",OR(I747="TN",I747="TDN",I747="TNO2-3",I747="NO2-3")),VLOOKUP(E747,QCNIC_N,2,),IF(AND(H747="UREA",OR(I747="TN",I747="TDN",I747="TNO2-3",I747="NO2-3")),VLOOKUP(E747,QCUREA_N,2,),IF(H747="PER",VLOOKUP(I747,QCPER,MATCH(E747,QCACTUAL!$J$25:$AA$25,0),),IF(H747="SPK",VLOOKUP(I747,QCSPK,3,),IF(AND(H747="ATP",OR(I747="TP",I747="TDP")),VLOOKUP(E747,QCATP_P,2,),""))))))))</f>
        <v/>
      </c>
      <c r="W747" s="31" t="str">
        <f t="shared" si="79"/>
        <v>TRUE</v>
      </c>
      <c r="X747" s="31" t="str">
        <f t="shared" si="80"/>
        <v/>
      </c>
      <c r="Y747" s="10" t="s">
        <v>1021</v>
      </c>
      <c r="AF747" s="12">
        <v>44937</v>
      </c>
      <c r="AG747" s="10">
        <f>-1.7779*2.13^2+83.185*2.13-35.938</f>
        <v>133.17989548999998</v>
      </c>
      <c r="AH747" s="10">
        <f>-2.8628*2.13^2+86.116*2.13-37.286</f>
        <v>133.15284267999999</v>
      </c>
      <c r="AI747" s="10">
        <f>-0.232*2.13^2+72.802*2.13-30.279</f>
        <v>123.7366992</v>
      </c>
      <c r="AK747" s="10">
        <f>0*2.13^2+67.076*2.13-21.654</f>
        <v>121.21787999999998</v>
      </c>
      <c r="AL747" s="10" t="str">
        <f t="shared" si="84"/>
        <v>y=-1.7779*2.13^2+83.185*2.13-35.938</v>
      </c>
      <c r="AM747" s="10" t="str">
        <f t="shared" si="84"/>
        <v>y=-2.8628*2.13^2+86.116*2.13-37.286</v>
      </c>
      <c r="AN747" s="10" t="str">
        <f t="shared" si="84"/>
        <v>y=-0.232*2.13^2+72.802*2.13-30.279</v>
      </c>
      <c r="AO747" s="10" t="str">
        <f t="shared" si="85"/>
        <v>FALSE</v>
      </c>
      <c r="AP747" s="10" t="str">
        <f t="shared" si="85"/>
        <v>y=0*2.13^2+67.076*2.13-21.654</v>
      </c>
      <c r="AQ747" s="10" t="str">
        <f>IF(AND(I747="TP",S747&lt;=150),VLOOKUP(AF747,TPCalibEq150!$AZ$2:$BB$55,3,),IF(AND(I747="TDP",S747&lt;=150),VLOOKUP(AF747,TPCalibEq150!$AZ$2:$BB$55,3,)))</f>
        <v>y=-1.7779x2+83.185x-35.938</v>
      </c>
      <c r="AR747" s="10" t="str">
        <f>IF(AND(I747="TP",S747&lt;=300),VLOOKUP(AF747,TPCalibEq300!$AZ$2:$BB$55,3,),IF(AND(I747="TDP",S747&lt;=300),VLOOKUP(AF747,TPCalibEq300!$AZ$2:$BB$55,3,)))</f>
        <v>y=-2.8628x2+86.116x-37.286</v>
      </c>
      <c r="AS747" s="10" t="str">
        <f>IF(AND(I747="TP",S747&lt;=500),VLOOKUP(AF747,TPCalibEq500!$AZ$2:$BB$56,3,),IF(AND(I747="TDP",S747&lt;=500),VLOOKUP(AF747,TPCalibEq500!$AZ$2:$BB$56,3,)))</f>
        <v>y=-0.232x2+72.802x-30.279</v>
      </c>
      <c r="AT747" s="10" t="b">
        <f>IF(AND(I747="TN",S747&lt;=2800),VLOOKUP(AF747,TNCalibEq2500!$AZ$2:$BB$56,3,),IF(AND(I747="TDN",S747&lt;=2800),VLOOKUP(AF747,TNCalibEq2500!$AZ$2:$BB$56,3,)))</f>
        <v>0</v>
      </c>
      <c r="AU747" s="10" t="str">
        <f>IF(I747="TP",VLOOKUP(AF747,TPCalibEqFull!$AZ$2:$BB$56,3),IF(I747="TDP",VLOOKUP(AF747,TPCalibEqFull!$AZ$2:$BB$56,3),IF(I747="TDN",VLOOKUP(AF747,TNCalibEqFull!$AZ$1:$BB$56,3),IF(I747="TN",VLOOKUP(AF747,TNCalibEqFull!$AZ$1:$BB$56,3),FALSE))))</f>
        <v>y=0x2+67.076x-21.654</v>
      </c>
      <c r="AV747" s="10" t="str">
        <f t="shared" si="81"/>
        <v>0110 09:24:00-EFK-0-L-1-SW-UKN</v>
      </c>
    </row>
    <row r="748" spans="1:48" s="10" customFormat="1" x14ac:dyDescent="0.55000000000000004">
      <c r="A748" s="32">
        <v>44936</v>
      </c>
      <c r="B748" s="33">
        <v>0.39583333333333331</v>
      </c>
      <c r="C748" s="10" t="s">
        <v>333</v>
      </c>
      <c r="D748" s="10">
        <v>0</v>
      </c>
      <c r="E748" s="10" t="s">
        <v>190</v>
      </c>
      <c r="F748" s="10">
        <v>1</v>
      </c>
      <c r="G748" s="10" t="s">
        <v>231</v>
      </c>
      <c r="H748" s="10" t="s">
        <v>322</v>
      </c>
      <c r="I748" s="10" t="s">
        <v>83</v>
      </c>
      <c r="J748" s="10">
        <v>10</v>
      </c>
      <c r="K748" s="12">
        <v>44937</v>
      </c>
      <c r="L748" s="33">
        <v>0.60631944444444441</v>
      </c>
      <c r="M748" s="10">
        <v>1</v>
      </c>
      <c r="N748" s="10" t="s">
        <v>84</v>
      </c>
      <c r="O748" s="10">
        <v>1.92</v>
      </c>
      <c r="P748" s="10">
        <v>0.13300000000000001</v>
      </c>
      <c r="Q748" s="10">
        <v>107</v>
      </c>
      <c r="R748" s="10" t="s">
        <v>85</v>
      </c>
      <c r="S748" s="34">
        <f t="shared" si="77"/>
        <v>117.50329407999999</v>
      </c>
      <c r="T748" s="10" t="s">
        <v>1035</v>
      </c>
      <c r="U748" s="34" t="str">
        <f t="shared" si="78"/>
        <v/>
      </c>
      <c r="V748" s="31" t="str">
        <f>IF(H748="CHK",VLOOKUP(I748,QCCHK,3,),IF(H748="GUP",VLOOKUP(E748,QCGUP,2,),IF(AND(H748="ATP",OR(I748="TN",I748="TDN",I748="TNO2-3",I748="NO2-3")),VLOOKUP(E748,QCREC_N,2,),IF(AND(H748="NIC",OR(I748="TN",I748="TDN",I748="TNO2-3",I748="NO2-3")),VLOOKUP(E748,QCNIC_N,2,),IF(AND(H748="UREA",OR(I748="TN",I748="TDN",I748="TNO2-3",I748="NO2-3")),VLOOKUP(E748,QCUREA_N,2,),IF(H748="PER",VLOOKUP(I748,QCPER,MATCH(E748,QCACTUAL!$J$25:$AA$25,0),),IF(H748="SPK",VLOOKUP(I748,QCSPK,3,),IF(AND(H748="ATP",OR(I748="TP",I748="TDP")),VLOOKUP(E748,QCATP_P,2,),""))))))))</f>
        <v/>
      </c>
      <c r="W748" s="31" t="str">
        <f t="shared" si="79"/>
        <v>TRUE</v>
      </c>
      <c r="X748" s="31" t="str">
        <f t="shared" si="80"/>
        <v/>
      </c>
      <c r="Y748" s="10" t="s">
        <v>1021</v>
      </c>
      <c r="AF748" s="12">
        <v>44937</v>
      </c>
      <c r="AG748" s="10">
        <f>-1.7779*1.92^2+83.185*1.92-35.938</f>
        <v>117.22314944</v>
      </c>
      <c r="AH748" s="10">
        <f>-2.8628*1.92^2+86.116*1.92-37.286</f>
        <v>117.50329407999999</v>
      </c>
      <c r="AI748" s="10">
        <f>-0.232*1.92^2+72.802*1.92-30.279</f>
        <v>108.6455952</v>
      </c>
      <c r="AK748" s="10">
        <f>0*1.92^2+67.076*1.92-21.654</f>
        <v>107.13191999999998</v>
      </c>
      <c r="AL748" s="10" t="str">
        <f t="shared" si="84"/>
        <v>y=-1.7779*1.92^2+83.185*1.92-35.938</v>
      </c>
      <c r="AM748" s="10" t="str">
        <f t="shared" si="84"/>
        <v>y=-2.8628*1.92^2+86.116*1.92-37.286</v>
      </c>
      <c r="AN748" s="10" t="str">
        <f t="shared" si="84"/>
        <v>y=-0.232*1.92^2+72.802*1.92-30.279</v>
      </c>
      <c r="AO748" s="10" t="str">
        <f t="shared" si="85"/>
        <v>FALSE</v>
      </c>
      <c r="AP748" s="10" t="str">
        <f t="shared" si="85"/>
        <v>y=0*1.92^2+67.076*1.92-21.654</v>
      </c>
      <c r="AQ748" s="10" t="str">
        <f>IF(AND(I748="TP",S748&lt;=150),VLOOKUP(AF748,TPCalibEq150!$AZ$2:$BB$55,3,),IF(AND(I748="TDP",S748&lt;=150),VLOOKUP(AF748,TPCalibEq150!$AZ$2:$BB$55,3,)))</f>
        <v>y=-1.7779x2+83.185x-35.938</v>
      </c>
      <c r="AR748" s="10" t="str">
        <f>IF(AND(I748="TP",S748&lt;=300),VLOOKUP(AF748,TPCalibEq300!$AZ$2:$BB$55,3,),IF(AND(I748="TDP",S748&lt;=300),VLOOKUP(AF748,TPCalibEq300!$AZ$2:$BB$55,3,)))</f>
        <v>y=-2.8628x2+86.116x-37.286</v>
      </c>
      <c r="AS748" s="10" t="str">
        <f>IF(AND(I748="TP",S748&lt;=500),VLOOKUP(AF748,TPCalibEq500!$AZ$2:$BB$56,3,),IF(AND(I748="TDP",S748&lt;=500),VLOOKUP(AF748,TPCalibEq500!$AZ$2:$BB$56,3,)))</f>
        <v>y=-0.232x2+72.802x-30.279</v>
      </c>
      <c r="AT748" s="10" t="b">
        <f>IF(AND(I748="TN",S748&lt;=2800),VLOOKUP(AF748,TNCalibEq2500!$AZ$2:$BB$56,3,),IF(AND(I748="TDN",S748&lt;=2800),VLOOKUP(AF748,TNCalibEq2500!$AZ$2:$BB$56,3,)))</f>
        <v>0</v>
      </c>
      <c r="AU748" s="10" t="str">
        <f>IF(I748="TP",VLOOKUP(AF748,TPCalibEqFull!$AZ$2:$BB$56,3),IF(I748="TDP",VLOOKUP(AF748,TPCalibEqFull!$AZ$2:$BB$56,3),IF(I748="TDN",VLOOKUP(AF748,TNCalibEqFull!$AZ$1:$BB$56,3),IF(I748="TN",VLOOKUP(AF748,TNCalibEqFull!$AZ$1:$BB$56,3),FALSE))))</f>
        <v>y=0x2+67.076x-21.654</v>
      </c>
      <c r="AV748" s="10" t="str">
        <f t="shared" si="81"/>
        <v>0110 09:30:00-HST-0-C-1-SW-UKN</v>
      </c>
    </row>
    <row r="749" spans="1:48" s="10" customFormat="1" x14ac:dyDescent="0.55000000000000004">
      <c r="A749" s="32">
        <v>44936</v>
      </c>
      <c r="B749" s="33">
        <v>0.39583333333333331</v>
      </c>
      <c r="C749" s="10" t="s">
        <v>333</v>
      </c>
      <c r="D749" s="10">
        <v>0</v>
      </c>
      <c r="E749" s="10" t="s">
        <v>190</v>
      </c>
      <c r="F749" s="10">
        <v>1</v>
      </c>
      <c r="G749" s="10" t="s">
        <v>231</v>
      </c>
      <c r="H749" s="10" t="s">
        <v>233</v>
      </c>
      <c r="I749" s="10" t="s">
        <v>83</v>
      </c>
      <c r="J749" s="10">
        <v>10</v>
      </c>
      <c r="K749" s="12">
        <v>44937</v>
      </c>
      <c r="L749" s="33">
        <v>0.60700231481481481</v>
      </c>
      <c r="M749" s="10">
        <v>1</v>
      </c>
      <c r="N749" s="10" t="s">
        <v>84</v>
      </c>
      <c r="O749" s="10">
        <v>1.93</v>
      </c>
      <c r="P749" s="10">
        <v>0.13300000000000001</v>
      </c>
      <c r="Q749" s="10">
        <v>107</v>
      </c>
      <c r="R749" s="10" t="s">
        <v>85</v>
      </c>
      <c r="S749" s="34">
        <f t="shared" si="77"/>
        <v>118.25423627999999</v>
      </c>
      <c r="T749" s="10" t="s">
        <v>1035</v>
      </c>
      <c r="U749" s="34">
        <f t="shared" si="78"/>
        <v>0.63704620493208775</v>
      </c>
      <c r="V749" s="31" t="str">
        <f>IF(H749="CHK",VLOOKUP(I749,QCCHK,3,),IF(H749="GUP",VLOOKUP(E749,QCGUP,2,),IF(AND(H749="ATP",OR(I749="TN",I749="TDN",I749="TNO2-3",I749="NO2-3")),VLOOKUP(E749,QCREC_N,2,),IF(AND(H749="NIC",OR(I749="TN",I749="TDN",I749="TNO2-3",I749="NO2-3")),VLOOKUP(E749,QCNIC_N,2,),IF(AND(H749="UREA",OR(I749="TN",I749="TDN",I749="TNO2-3",I749="NO2-3")),VLOOKUP(E749,QCUREA_N,2,),IF(H749="PER",VLOOKUP(I749,QCPER,MATCH(E749,QCACTUAL!$J$25:$AA$25,0),),IF(H749="SPK",VLOOKUP(I749,QCSPK,3,),IF(AND(H749="ATP",OR(I749="TP",I749="TDP")),VLOOKUP(E749,QCATP_P,2,),""))))))))</f>
        <v/>
      </c>
      <c r="W749" s="31" t="str">
        <f t="shared" si="79"/>
        <v>TRUE</v>
      </c>
      <c r="X749" s="31" t="str">
        <f t="shared" si="80"/>
        <v>((ABS(rep1-rep2))/((rep1+rep2)/2)*100</v>
      </c>
      <c r="Y749" s="10" t="s">
        <v>1021</v>
      </c>
      <c r="AF749" s="12">
        <v>44937</v>
      </c>
      <c r="AG749" s="10">
        <f>-1.7779*1.93^2+83.185*1.93-35.938</f>
        <v>117.98655029000001</v>
      </c>
      <c r="AH749" s="10">
        <f>-2.8628*1.93^2+86.116*1.93-37.286</f>
        <v>118.25423627999999</v>
      </c>
      <c r="AI749" s="10">
        <f>-0.232*1.93^2+72.802*1.93-30.279</f>
        <v>109.36468320000003</v>
      </c>
      <c r="AK749" s="10">
        <f>0*1.93^2+67.076*1.93-21.654</f>
        <v>107.80267999999998</v>
      </c>
      <c r="AL749" s="10" t="str">
        <f t="shared" si="84"/>
        <v>y=-1.7779*1.93^2+83.185*1.93-35.938</v>
      </c>
      <c r="AM749" s="10" t="str">
        <f t="shared" si="84"/>
        <v>y=-2.8628*1.93^2+86.116*1.93-37.286</v>
      </c>
      <c r="AN749" s="10" t="str">
        <f t="shared" si="84"/>
        <v>y=-0.232*1.93^2+72.802*1.93-30.279</v>
      </c>
      <c r="AO749" s="10" t="str">
        <f t="shared" si="85"/>
        <v>FALSE</v>
      </c>
      <c r="AP749" s="10" t="str">
        <f t="shared" si="85"/>
        <v>y=0*1.93^2+67.076*1.93-21.654</v>
      </c>
      <c r="AQ749" s="10" t="str">
        <f>IF(AND(I749="TP",S749&lt;=150),VLOOKUP(AF749,TPCalibEq150!$AZ$2:$BB$55,3,),IF(AND(I749="TDP",S749&lt;=150),VLOOKUP(AF749,TPCalibEq150!$AZ$2:$BB$55,3,)))</f>
        <v>y=-1.7779x2+83.185x-35.938</v>
      </c>
      <c r="AR749" s="10" t="str">
        <f>IF(AND(I749="TP",S749&lt;=300),VLOOKUP(AF749,TPCalibEq300!$AZ$2:$BB$55,3,),IF(AND(I749="TDP",S749&lt;=300),VLOOKUP(AF749,TPCalibEq300!$AZ$2:$BB$55,3,)))</f>
        <v>y=-2.8628x2+86.116x-37.286</v>
      </c>
      <c r="AS749" s="10" t="str">
        <f>IF(AND(I749="TP",S749&lt;=500),VLOOKUP(AF749,TPCalibEq500!$AZ$2:$BB$56,3,),IF(AND(I749="TDP",S749&lt;=500),VLOOKUP(AF749,TPCalibEq500!$AZ$2:$BB$56,3,)))</f>
        <v>y=-0.232x2+72.802x-30.279</v>
      </c>
      <c r="AT749" s="10" t="b">
        <f>IF(AND(I749="TN",S749&lt;=2800),VLOOKUP(AF749,TNCalibEq2500!$AZ$2:$BB$56,3,),IF(AND(I749="TDN",S749&lt;=2800),VLOOKUP(AF749,TNCalibEq2500!$AZ$2:$BB$56,3,)))</f>
        <v>0</v>
      </c>
      <c r="AU749" s="10" t="str">
        <f>IF(I749="TP",VLOOKUP(AF749,TPCalibEqFull!$AZ$2:$BB$56,3),IF(I749="TDP",VLOOKUP(AF749,TPCalibEqFull!$AZ$2:$BB$56,3),IF(I749="TDN",VLOOKUP(AF749,TNCalibEqFull!$AZ$1:$BB$56,3),IF(I749="TN",VLOOKUP(AF749,TNCalibEqFull!$AZ$1:$BB$56,3),FALSE))))</f>
        <v>y=0x2+67.076x-21.654</v>
      </c>
      <c r="AV749" s="10" t="str">
        <f t="shared" si="81"/>
        <v>0110 09:30:00-HST-0-C-1-SW-DUP</v>
      </c>
    </row>
    <row r="750" spans="1:48" s="10" customFormat="1" x14ac:dyDescent="0.55000000000000004">
      <c r="A750" s="32">
        <v>44936</v>
      </c>
      <c r="B750" s="33">
        <v>0.39583333333333331</v>
      </c>
      <c r="C750" s="10" t="s">
        <v>912</v>
      </c>
      <c r="D750" s="10">
        <v>0</v>
      </c>
      <c r="E750" s="10" t="s">
        <v>190</v>
      </c>
      <c r="F750" s="10">
        <v>1</v>
      </c>
      <c r="G750" s="10" t="s">
        <v>231</v>
      </c>
      <c r="H750" s="10" t="s">
        <v>314</v>
      </c>
      <c r="I750" s="10" t="s">
        <v>83</v>
      </c>
      <c r="J750" s="10">
        <v>29</v>
      </c>
      <c r="K750" s="12">
        <v>44937</v>
      </c>
      <c r="L750" s="33">
        <v>0.60769675925925926</v>
      </c>
      <c r="M750" s="10">
        <v>1</v>
      </c>
      <c r="N750" s="10" t="s">
        <v>84</v>
      </c>
      <c r="O750" s="10">
        <v>17.3</v>
      </c>
      <c r="P750" s="10">
        <v>1.23</v>
      </c>
      <c r="Q750" s="10">
        <v>1130</v>
      </c>
      <c r="R750" s="10" t="s">
        <v>85</v>
      </c>
      <c r="S750" s="34">
        <f t="shared" si="77"/>
        <v>1138.7608</v>
      </c>
      <c r="T750" s="10" t="s">
        <v>1035</v>
      </c>
      <c r="U750" s="34">
        <f t="shared" si="78"/>
        <v>102.05065637199999</v>
      </c>
      <c r="V750" s="31">
        <f>IF(H750="CHK",VLOOKUP(I750,QCCHK,3,),IF(H750="GUP",VLOOKUP(E750,QCGUP,2,),IF(AND(H750="ATP",OR(I750="TN",I750="TDN",I750="TNO2-3",I750="NO2-3")),VLOOKUP(E750,QCREC_N,2,),IF(AND(H750="NIC",OR(I750="TN",I750="TDN",I750="TNO2-3",I750="NO2-3")),VLOOKUP(E750,QCNIC_N,2,),IF(AND(H750="UREA",OR(I750="TN",I750="TDN",I750="TNO2-3",I750="NO2-3")),VLOOKUP(E750,QCUREA_N,2,),IF(H750="PER",VLOOKUP(I750,QCPER,MATCH(E750,QCACTUAL!$J$25:$AA$25,0),),IF(H750="SPK",VLOOKUP(I750,QCSPK,3,),IF(AND(H750="ATP",OR(I750="TP",I750="TDP")),VLOOKUP(E750,QCATP_P,2,),""))))))))</f>
        <v>1000</v>
      </c>
      <c r="W750" s="31" t="str">
        <f t="shared" si="79"/>
        <v>TRUE</v>
      </c>
      <c r="X750" s="31" t="str">
        <f t="shared" si="80"/>
        <v>([spikedunkn]-[unkn])/[spike]*100</v>
      </c>
      <c r="Y750" s="10" t="s">
        <v>1021</v>
      </c>
      <c r="AF750" s="12">
        <v>44937</v>
      </c>
      <c r="AK750" s="10">
        <f>0*17.3^2+67.076*17.3-21.654</f>
        <v>1138.7608</v>
      </c>
      <c r="AL750" s="10" t="str">
        <f t="shared" si="84"/>
        <v>FALSE</v>
      </c>
      <c r="AM750" s="10" t="str">
        <f t="shared" si="84"/>
        <v>FALSE</v>
      </c>
      <c r="AN750" s="10" t="str">
        <f t="shared" si="84"/>
        <v>FALSE</v>
      </c>
      <c r="AO750" s="10" t="str">
        <f t="shared" si="85"/>
        <v>FALSE</v>
      </c>
      <c r="AP750" s="10" t="str">
        <f t="shared" si="85"/>
        <v>y=0*17.3^2+67.076*17.3-21.654</v>
      </c>
      <c r="AQ750" s="10" t="b">
        <f>IF(AND(I750="TP",S750&lt;=150),VLOOKUP(AF750,TPCalibEq150!$AZ$2:$BB$55,3,),IF(AND(I750="TDP",S750&lt;=150),VLOOKUP(AF750,TPCalibEq150!$AZ$2:$BB$55,3,)))</f>
        <v>0</v>
      </c>
      <c r="AR750" s="10" t="b">
        <f>IF(AND(I750="TP",S750&lt;=300),VLOOKUP(AF750,TPCalibEq300!$AZ$2:$BB$55,3,),IF(AND(I750="TDP",S750&lt;=300),VLOOKUP(AF750,TPCalibEq300!$AZ$2:$BB$55,3,)))</f>
        <v>0</v>
      </c>
      <c r="AS750" s="10" t="b">
        <f>IF(AND(I750="TP",S750&lt;=500),VLOOKUP(AF750,TPCalibEq500!$AZ$2:$BB$56,3,),IF(AND(I750="TDP",S750&lt;=500),VLOOKUP(AF750,TPCalibEq500!$AZ$2:$BB$56,3,)))</f>
        <v>0</v>
      </c>
      <c r="AT750" s="10" t="b">
        <f>IF(AND(I750="TN",S750&lt;=2800),VLOOKUP(AF750,TNCalibEq2500!$AZ$2:$BB$56,3,),IF(AND(I750="TDN",S750&lt;=2800),VLOOKUP(AF750,TNCalibEq2500!$AZ$2:$BB$56,3,)))</f>
        <v>0</v>
      </c>
      <c r="AU750" s="10" t="str">
        <f>IF(I750="TP",VLOOKUP(AF750,TPCalibEqFull!$AZ$2:$BB$56,3),IF(I750="TDP",VLOOKUP(AF750,TPCalibEqFull!$AZ$2:$BB$56,3),IF(I750="TDN",VLOOKUP(AF750,TNCalibEqFull!$AZ$1:$BB$56,3),IF(I750="TN",VLOOKUP(AF750,TNCalibEqFull!$AZ$1:$BB$56,3),FALSE))))</f>
        <v>y=0x2+67.076x-21.654</v>
      </c>
      <c r="AV750" s="10" t="str">
        <f t="shared" si="81"/>
        <v>0110 09:30:00-HST -0-C-1-SW-SPK</v>
      </c>
    </row>
    <row r="751" spans="1:48" s="10" customFormat="1" x14ac:dyDescent="0.55000000000000004">
      <c r="A751" s="32">
        <v>44937</v>
      </c>
      <c r="B751" s="33">
        <v>0.375</v>
      </c>
      <c r="C751" s="10" t="s">
        <v>70</v>
      </c>
      <c r="D751" s="10" t="s">
        <v>71</v>
      </c>
      <c r="E751" s="10" t="s">
        <v>901</v>
      </c>
      <c r="F751" s="10">
        <v>1</v>
      </c>
      <c r="G751" s="10" t="s">
        <v>73</v>
      </c>
      <c r="H751" s="10" t="s">
        <v>207</v>
      </c>
      <c r="I751" s="10" t="s">
        <v>83</v>
      </c>
      <c r="J751" s="10">
        <v>199</v>
      </c>
      <c r="K751" s="12">
        <v>44937</v>
      </c>
      <c r="L751" s="33">
        <v>0.60840277777777774</v>
      </c>
      <c r="M751" s="10">
        <v>1</v>
      </c>
      <c r="N751" s="10" t="s">
        <v>84</v>
      </c>
      <c r="O751" s="10">
        <v>8.17</v>
      </c>
      <c r="P751" s="10">
        <v>0.58799999999999997</v>
      </c>
      <c r="Q751" s="10">
        <v>521</v>
      </c>
      <c r="R751" s="10" t="s">
        <v>85</v>
      </c>
      <c r="S751" s="34">
        <f t="shared" si="77"/>
        <v>526.35691999999995</v>
      </c>
      <c r="T751" s="10" t="s">
        <v>1035</v>
      </c>
      <c r="U751" s="34">
        <f t="shared" si="78"/>
        <v>105.27138399999998</v>
      </c>
      <c r="V751" s="31">
        <f>IF(H751="CHK",VLOOKUP(I751,QCCHK,3,),IF(H751="GUP",VLOOKUP(E751,QCGUP,2,),IF(AND(H751="ATP",OR(I751="TN",I751="TDN",I751="TNO2-3",I751="NO2-3")),VLOOKUP(E751,QCREC_N,2,),IF(AND(H751="NIC",OR(I751="TN",I751="TDN",I751="TNO2-3",I751="NO2-3")),VLOOKUP(E751,QCNIC_N,2,),IF(AND(H751="UREA",OR(I751="TN",I751="TDN",I751="TNO2-3",I751="NO2-3")),VLOOKUP(E751,QCUREA_N,2,),IF(H751="PER",VLOOKUP(I751,QCPER,MATCH(E751,QCACTUAL!$J$25:$AA$25,0),),IF(H751="SPK",VLOOKUP(I751,QCSPK,3,),IF(AND(H751="ATP",OR(I751="TP",I751="TDP")),VLOOKUP(E751,QCATP_P,2,),""))))))))</f>
        <v>500</v>
      </c>
      <c r="W751" s="31" t="str">
        <f t="shared" si="79"/>
        <v>TRUE</v>
      </c>
      <c r="X751" s="31" t="str">
        <f t="shared" si="80"/>
        <v>[chk]/[actual]*100</v>
      </c>
      <c r="Y751" s="10" t="s">
        <v>1021</v>
      </c>
      <c r="AF751" s="12">
        <v>44937</v>
      </c>
      <c r="AK751" s="10">
        <f>0*8.17^2+67.076*8.17-21.654</f>
        <v>526.35691999999995</v>
      </c>
      <c r="AL751" s="10" t="str">
        <f t="shared" si="84"/>
        <v>FALSE</v>
      </c>
      <c r="AM751" s="10" t="str">
        <f t="shared" si="84"/>
        <v>FALSE</v>
      </c>
      <c r="AN751" s="10" t="str">
        <f t="shared" si="84"/>
        <v>FALSE</v>
      </c>
      <c r="AO751" s="10" t="str">
        <f t="shared" si="85"/>
        <v>FALSE</v>
      </c>
      <c r="AP751" s="10" t="str">
        <f t="shared" si="85"/>
        <v>y=0*8.17^2+67.076*8.17-21.654</v>
      </c>
      <c r="AQ751" s="10" t="b">
        <f>IF(AND(I751="TP",S751&lt;=150),VLOOKUP(AF751,TPCalibEq150!$AZ$2:$BB$55,3,),IF(AND(I751="TDP",S751&lt;=150),VLOOKUP(AF751,TPCalibEq150!$AZ$2:$BB$55,3,)))</f>
        <v>0</v>
      </c>
      <c r="AR751" s="10" t="b">
        <f>IF(AND(I751="TP",S751&lt;=300),VLOOKUP(AF751,TPCalibEq300!$AZ$2:$BB$55,3,),IF(AND(I751="TDP",S751&lt;=300),VLOOKUP(AF751,TPCalibEq300!$AZ$2:$BB$55,3,)))</f>
        <v>0</v>
      </c>
      <c r="AS751" s="10" t="b">
        <f>IF(AND(I751="TP",S751&lt;=500),VLOOKUP(AF751,TPCalibEq500!$AZ$2:$BB$56,3,),IF(AND(I751="TDP",S751&lt;=500),VLOOKUP(AF751,TPCalibEq500!$AZ$2:$BB$56,3,)))</f>
        <v>0</v>
      </c>
      <c r="AT751" s="10" t="b">
        <f>IF(AND(I751="TN",S751&lt;=2800),VLOOKUP(AF751,TNCalibEq2500!$AZ$2:$BB$56,3,),IF(AND(I751="TDN",S751&lt;=2800),VLOOKUP(AF751,TNCalibEq2500!$AZ$2:$BB$56,3,)))</f>
        <v>0</v>
      </c>
      <c r="AU751" s="10" t="str">
        <f>IF(I751="TP",VLOOKUP(AF751,TPCalibEqFull!$AZ$2:$BB$56,3),IF(I751="TDP",VLOOKUP(AF751,TPCalibEqFull!$AZ$2:$BB$56,3),IF(I751="TDN",VLOOKUP(AF751,TNCalibEqFull!$AZ$1:$BB$56,3),IF(I751="TN",VLOOKUP(AF751,TNCalibEqFull!$AZ$1:$BB$56,3),FALSE))))</f>
        <v>y=0x2+67.076x-21.654</v>
      </c>
      <c r="AV751" s="10" t="str">
        <f t="shared" si="81"/>
        <v>0111 09:00:00-QAC-STD-D-1-DI-CHK</v>
      </c>
    </row>
    <row r="752" spans="1:48" s="10" customFormat="1" x14ac:dyDescent="0.55000000000000004">
      <c r="A752" s="32">
        <v>44935</v>
      </c>
      <c r="B752" s="33">
        <v>0.25</v>
      </c>
      <c r="C752" s="10" t="s">
        <v>70</v>
      </c>
      <c r="D752" s="10" t="s">
        <v>241</v>
      </c>
      <c r="E752" s="10" t="s">
        <v>866</v>
      </c>
      <c r="F752" s="10">
        <v>1</v>
      </c>
      <c r="G752" s="10" t="s">
        <v>73</v>
      </c>
      <c r="H752" s="10" t="s">
        <v>264</v>
      </c>
      <c r="I752" s="10" t="s">
        <v>83</v>
      </c>
      <c r="J752" s="10">
        <v>123</v>
      </c>
      <c r="K752" s="12">
        <v>44937</v>
      </c>
      <c r="L752" s="33">
        <v>0.60909722222222229</v>
      </c>
      <c r="M752" s="10">
        <v>1</v>
      </c>
      <c r="N752" s="10" t="s">
        <v>84</v>
      </c>
      <c r="O752" s="10">
        <v>0.46899999999999997</v>
      </c>
      <c r="P752" s="10">
        <v>3.15E-2</v>
      </c>
      <c r="Q752" s="10">
        <v>11.5</v>
      </c>
      <c r="R752" s="10" t="s">
        <v>85</v>
      </c>
      <c r="S752" s="34">
        <f t="shared" si="77"/>
        <v>11.5</v>
      </c>
      <c r="T752" s="10" t="s">
        <v>1035</v>
      </c>
      <c r="U752" s="34">
        <f t="shared" si="78"/>
        <v>11.5</v>
      </c>
      <c r="V752" s="31" t="str">
        <f>IF(H752="CHK",VLOOKUP(I752,QCCHK,3,),IF(H752="GUP",VLOOKUP(E752,QCGUP,2,),IF(AND(H752="ATP",OR(I752="TN",I752="TDN",I752="TNO2-3",I752="NO2-3")),VLOOKUP(E752,QCREC_N,2,),IF(AND(H752="NIC",OR(I752="TN",I752="TDN",I752="TNO2-3",I752="NO2-3")),VLOOKUP(E752,QCNIC_N,2,),IF(AND(H752="UREA",OR(I752="TN",I752="TDN",I752="TNO2-3",I752="NO2-3")),VLOOKUP(E752,QCUREA_N,2,),IF(H752="PER",VLOOKUP(I752,QCPER,MATCH(E752,QCACTUAL!$J$25:$AA$25,0),),IF(H752="SPK",VLOOKUP(I752,QCSPK,3,),IF(AND(H752="ATP",OR(I752="TP",I752="TDP")),VLOOKUP(E752,QCATP_P,2,),""))))))))</f>
        <v/>
      </c>
      <c r="W752" s="31" t="str">
        <f t="shared" si="79"/>
        <v>TRUE</v>
      </c>
      <c r="X752" s="31" t="str">
        <f t="shared" si="80"/>
        <v>nominal concentration</v>
      </c>
      <c r="Y752" s="10" t="s">
        <v>1021</v>
      </c>
      <c r="Z752" s="10" t="s">
        <v>910</v>
      </c>
      <c r="AF752" s="12">
        <v>44937</v>
      </c>
      <c r="AG752" s="10">
        <f>-1.7779*0.469^2+83.185*0.469-35.938</f>
        <v>2.6846963380999966</v>
      </c>
      <c r="AH752" s="10">
        <f>-2.8628*0.469^2+86.116*0.469-37.286</f>
        <v>2.4726996491999955</v>
      </c>
      <c r="AI752" s="10">
        <f>-0.232*0.469^2+72.802*0.469-30.279</f>
        <v>3.8141070480000003</v>
      </c>
      <c r="AK752" s="10">
        <f>0*0.469^2+67.076*0.469-21.654</f>
        <v>9.8046439999999961</v>
      </c>
      <c r="AL752" s="10" t="str">
        <f t="shared" si="84"/>
        <v>y=-1.7779*0.469^2+83.185*0.469-35.938</v>
      </c>
      <c r="AM752" s="10" t="str">
        <f t="shared" si="84"/>
        <v>y=-2.8628*0.469^2+86.116*0.469-37.286</v>
      </c>
      <c r="AN752" s="10" t="str">
        <f t="shared" si="84"/>
        <v>y=-0.232*0.469^2+72.802*0.469-30.279</v>
      </c>
      <c r="AO752" s="10" t="str">
        <f t="shared" si="85"/>
        <v>FALSE</v>
      </c>
      <c r="AP752" s="10" t="str">
        <f t="shared" si="85"/>
        <v>y=0*0.469^2+67.076*0.469-21.654</v>
      </c>
      <c r="AQ752" s="10" t="str">
        <f>IF(AND(I752="TP",S752&lt;=150),VLOOKUP(AF752,TPCalibEq150!$AZ$2:$BB$55,3,),IF(AND(I752="TDP",S752&lt;=150),VLOOKUP(AF752,TPCalibEq150!$AZ$2:$BB$55,3,)))</f>
        <v>y=-1.7779x2+83.185x-35.938</v>
      </c>
      <c r="AR752" s="10" t="str">
        <f>IF(AND(I752="TP",S752&lt;=300),VLOOKUP(AF752,TPCalibEq300!$AZ$2:$BB$55,3,),IF(AND(I752="TDP",S752&lt;=300),VLOOKUP(AF752,TPCalibEq300!$AZ$2:$BB$55,3,)))</f>
        <v>y=-2.8628x2+86.116x-37.286</v>
      </c>
      <c r="AS752" s="10" t="str">
        <f>IF(AND(I752="TP",S752&lt;=500),VLOOKUP(AF752,TPCalibEq500!$AZ$2:$BB$56,3,),IF(AND(I752="TDP",S752&lt;=500),VLOOKUP(AF752,TPCalibEq500!$AZ$2:$BB$56,3,)))</f>
        <v>y=-0.232x2+72.802x-30.279</v>
      </c>
      <c r="AT752" s="10" t="b">
        <f>IF(AND(I752="TN",S752&lt;=2800),VLOOKUP(AF752,TNCalibEq2500!$AZ$2:$BB$56,3,),IF(AND(I752="TDN",S752&lt;=2800),VLOOKUP(AF752,TNCalibEq2500!$AZ$2:$BB$56,3,)))</f>
        <v>0</v>
      </c>
      <c r="AU752" s="10" t="str">
        <f>IF(I752="TP",VLOOKUP(AF752,TPCalibEqFull!$AZ$2:$BB$56,3),IF(I752="TDP",VLOOKUP(AF752,TPCalibEqFull!$AZ$2:$BB$56,3),IF(I752="TDN",VLOOKUP(AF752,TNCalibEqFull!$AZ$1:$BB$56,3),IF(I752="TN",VLOOKUP(AF752,TNCalibEqFull!$AZ$1:$BB$56,3),FALSE))))</f>
        <v>y=0x2+67.076x-21.654</v>
      </c>
      <c r="AV752" s="10" t="str">
        <f t="shared" si="81"/>
        <v>0109 06:00:00-QAC-BLK-A-1-DI-FLD</v>
      </c>
    </row>
    <row r="753" spans="1:48" s="10" customFormat="1" x14ac:dyDescent="0.55000000000000004">
      <c r="A753" s="32">
        <v>44936</v>
      </c>
      <c r="B753" s="33">
        <v>0.36458333333333331</v>
      </c>
      <c r="C753" s="10" t="s">
        <v>70</v>
      </c>
      <c r="D753" s="10" t="s">
        <v>241</v>
      </c>
      <c r="E753" s="10" t="s">
        <v>866</v>
      </c>
      <c r="F753" s="10">
        <v>1</v>
      </c>
      <c r="G753" s="10" t="s">
        <v>73</v>
      </c>
      <c r="H753" s="10" t="s">
        <v>245</v>
      </c>
      <c r="I753" s="10" t="s">
        <v>83</v>
      </c>
      <c r="J753" s="10">
        <v>124</v>
      </c>
      <c r="K753" s="12">
        <v>44937</v>
      </c>
      <c r="L753" s="33">
        <v>0.60979166666666662</v>
      </c>
      <c r="M753" s="10">
        <v>1</v>
      </c>
      <c r="N753" s="10" t="s">
        <v>84</v>
      </c>
      <c r="O753" s="10">
        <v>0.55600000000000005</v>
      </c>
      <c r="P753" s="10">
        <v>3.7900000000000003E-2</v>
      </c>
      <c r="Q753" s="10">
        <v>17.2</v>
      </c>
      <c r="R753" s="10" t="s">
        <v>85</v>
      </c>
      <c r="S753" s="34">
        <f t="shared" si="77"/>
        <v>17.2</v>
      </c>
      <c r="T753" s="10" t="s">
        <v>1035</v>
      </c>
      <c r="U753" s="34">
        <f t="shared" si="78"/>
        <v>17.2</v>
      </c>
      <c r="V753" s="31" t="str">
        <f>IF(H753="CHK",VLOOKUP(I753,QCCHK,3,),IF(H753="GUP",VLOOKUP(E753,QCGUP,2,),IF(AND(H753="ATP",OR(I753="TN",I753="TDN",I753="TNO2-3",I753="NO2-3")),VLOOKUP(E753,QCREC_N,2,),IF(AND(H753="NIC",OR(I753="TN",I753="TDN",I753="TNO2-3",I753="NO2-3")),VLOOKUP(E753,QCNIC_N,2,),IF(AND(H753="UREA",OR(I753="TN",I753="TDN",I753="TNO2-3",I753="NO2-3")),VLOOKUP(E753,QCUREA_N,2,),IF(H753="PER",VLOOKUP(I753,QCPER,MATCH(E753,QCACTUAL!$J$25:$AA$25,0),),IF(H753="SPK",VLOOKUP(I753,QCSPK,3,),IF(AND(H753="ATP",OR(I753="TP",I753="TDP")),VLOOKUP(E753,QCATP_P,2,),""))))))))</f>
        <v/>
      </c>
      <c r="W753" s="31" t="str">
        <f t="shared" si="79"/>
        <v>FALSE</v>
      </c>
      <c r="X753" s="31" t="str">
        <f t="shared" si="80"/>
        <v>nominal concentration</v>
      </c>
      <c r="Y753" s="10" t="s">
        <v>1021</v>
      </c>
      <c r="AF753" s="12">
        <v>44937</v>
      </c>
      <c r="AG753" s="10">
        <f>-1.7779*0.556^2+83.185*0.556-35.938</f>
        <v>9.7632471056000014</v>
      </c>
      <c r="AH753" s="10">
        <f>-2.8628*0.556^2+86.116*0.556-37.286</f>
        <v>9.7095014591999984</v>
      </c>
      <c r="AI753" s="10">
        <f>-0.232*0.556^2+72.802*0.556-30.279</f>
        <v>10.127192448000013</v>
      </c>
      <c r="AK753" s="10">
        <f>0*0.556^2+67.076*0.556-21.654</f>
        <v>15.640255999999997</v>
      </c>
      <c r="AL753" s="10" t="str">
        <f t="shared" si="84"/>
        <v>y=-1.7779*0.556^2+83.185*0.556-35.938</v>
      </c>
      <c r="AM753" s="10" t="str">
        <f t="shared" si="84"/>
        <v>y=-2.8628*0.556^2+86.116*0.556-37.286</v>
      </c>
      <c r="AN753" s="10" t="str">
        <f t="shared" si="84"/>
        <v>y=-0.232*0.556^2+72.802*0.556-30.279</v>
      </c>
      <c r="AO753" s="10" t="str">
        <f t="shared" si="85"/>
        <v>FALSE</v>
      </c>
      <c r="AP753" s="10" t="str">
        <f t="shared" si="85"/>
        <v>y=0*0.556^2+67.076*0.556-21.654</v>
      </c>
      <c r="AQ753" s="10" t="str">
        <f>IF(AND(I753="TP",S753&lt;=150),VLOOKUP(AF753,TPCalibEq150!$AZ$2:$BB$55,3,),IF(AND(I753="TDP",S753&lt;=150),VLOOKUP(AF753,TPCalibEq150!$AZ$2:$BB$55,3,)))</f>
        <v>y=-1.7779x2+83.185x-35.938</v>
      </c>
      <c r="AR753" s="10" t="str">
        <f>IF(AND(I753="TP",S753&lt;=300),VLOOKUP(AF753,TPCalibEq300!$AZ$2:$BB$55,3,),IF(AND(I753="TDP",S753&lt;=300),VLOOKUP(AF753,TPCalibEq300!$AZ$2:$BB$55,3,)))</f>
        <v>y=-2.8628x2+86.116x-37.286</v>
      </c>
      <c r="AS753" s="10" t="str">
        <f>IF(AND(I753="TP",S753&lt;=500),VLOOKUP(AF753,TPCalibEq500!$AZ$2:$BB$56,3,),IF(AND(I753="TDP",S753&lt;=500),VLOOKUP(AF753,TPCalibEq500!$AZ$2:$BB$56,3,)))</f>
        <v>y=-0.232x2+72.802x-30.279</v>
      </c>
      <c r="AT753" s="10" t="b">
        <f>IF(AND(I753="TN",S753&lt;=2800),VLOOKUP(AF753,TNCalibEq2500!$AZ$2:$BB$56,3,),IF(AND(I753="TDN",S753&lt;=2800),VLOOKUP(AF753,TNCalibEq2500!$AZ$2:$BB$56,3,)))</f>
        <v>0</v>
      </c>
      <c r="AU753" s="10" t="str">
        <f>IF(I753="TP",VLOOKUP(AF753,TPCalibEqFull!$AZ$2:$BB$56,3),IF(I753="TDP",VLOOKUP(AF753,TPCalibEqFull!$AZ$2:$BB$56,3),IF(I753="TDN",VLOOKUP(AF753,TNCalibEqFull!$AZ$1:$BB$56,3),IF(I753="TN",VLOOKUP(AF753,TNCalibEqFull!$AZ$1:$BB$56,3),FALSE))))</f>
        <v>y=0x2+67.076x-21.654</v>
      </c>
      <c r="AV753" s="10" t="str">
        <f t="shared" si="81"/>
        <v>0110 08:45:00-QAC-BLK-A-1-DI-ESF</v>
      </c>
    </row>
    <row r="754" spans="1:48" s="10" customFormat="1" x14ac:dyDescent="0.55000000000000004">
      <c r="A754" s="32">
        <v>44935</v>
      </c>
      <c r="B754" s="33">
        <v>0.25</v>
      </c>
      <c r="C754" s="10" t="s">
        <v>70</v>
      </c>
      <c r="D754" s="10" t="s">
        <v>241</v>
      </c>
      <c r="E754" s="10" t="s">
        <v>911</v>
      </c>
      <c r="F754" s="10">
        <v>1</v>
      </c>
      <c r="G754" s="10" t="s">
        <v>73</v>
      </c>
      <c r="H754" s="10" t="s">
        <v>264</v>
      </c>
      <c r="I754" s="10" t="s">
        <v>266</v>
      </c>
      <c r="J754" s="10">
        <v>125</v>
      </c>
      <c r="K754" s="12">
        <v>44937</v>
      </c>
      <c r="L754" s="33">
        <v>0.61047453703703702</v>
      </c>
      <c r="M754" s="10">
        <v>1</v>
      </c>
      <c r="N754" s="10" t="s">
        <v>84</v>
      </c>
      <c r="O754" s="10">
        <v>0.61099999999999999</v>
      </c>
      <c r="P754" s="10">
        <v>4.1799999999999997E-2</v>
      </c>
      <c r="Q754" s="10">
        <v>20.9</v>
      </c>
      <c r="R754" s="10" t="s">
        <v>85</v>
      </c>
      <c r="S754" s="34">
        <f t="shared" si="77"/>
        <v>20.9</v>
      </c>
      <c r="T754" s="10" t="s">
        <v>1035</v>
      </c>
      <c r="U754" s="34">
        <f t="shared" si="78"/>
        <v>20.9</v>
      </c>
      <c r="V754" s="31" t="str">
        <f>IF(H754="CHK",VLOOKUP(I754,QCCHK,3,),IF(H754="GUP",VLOOKUP(E754,QCGUP,2,),IF(AND(H754="ATP",OR(I754="TN",I754="TDN",I754="TNO2-3",I754="NO2-3")),VLOOKUP(E754,QCREC_N,2,),IF(AND(H754="NIC",OR(I754="TN",I754="TDN",I754="TNO2-3",I754="NO2-3")),VLOOKUP(E754,QCNIC_N,2,),IF(AND(H754="UREA",OR(I754="TN",I754="TDN",I754="TNO2-3",I754="NO2-3")),VLOOKUP(E754,QCUREA_N,2,),IF(H754="PER",VLOOKUP(I754,QCPER,MATCH(E754,QCACTUAL!$J$25:$AA$25,0),),IF(H754="SPK",VLOOKUP(I754,QCSPK,3,),IF(AND(H754="ATP",OR(I754="TP",I754="TDP")),VLOOKUP(E754,QCATP_P,2,),""))))))))</f>
        <v/>
      </c>
      <c r="W754" s="31" t="str">
        <f t="shared" si="79"/>
        <v>FALSE</v>
      </c>
      <c r="X754" s="31" t="str">
        <f t="shared" si="80"/>
        <v>nominal concentration</v>
      </c>
      <c r="Y754" s="10" t="s">
        <v>1021</v>
      </c>
      <c r="Z754" s="10" t="s">
        <v>910</v>
      </c>
      <c r="AF754" s="12">
        <v>44937</v>
      </c>
      <c r="AG754" s="10">
        <f>-1.7779*0.611^2+83.185*0.611-35.938</f>
        <v>14.224307594099997</v>
      </c>
      <c r="AH754" s="10">
        <f>-2.8628*0.611^2+86.116*0.611-37.286</f>
        <v>14.262132641199997</v>
      </c>
      <c r="AI754" s="10">
        <f>-0.232*0.611^2+72.802*0.611-30.279</f>
        <v>14.116411528000004</v>
      </c>
      <c r="AK754" s="10">
        <f>0*0.611^2+67.076*0.611-21.654</f>
        <v>19.329435999999998</v>
      </c>
      <c r="AL754" s="10" t="str">
        <f t="shared" si="84"/>
        <v>y=-1.7779*0.611^2+83.185*0.611-35.938</v>
      </c>
      <c r="AM754" s="10" t="str">
        <f t="shared" si="84"/>
        <v>y=-2.8628*0.611^2+86.116*0.611-37.286</v>
      </c>
      <c r="AN754" s="10" t="str">
        <f t="shared" si="84"/>
        <v>y=-0.232*0.611^2+72.802*0.611-30.279</v>
      </c>
      <c r="AO754" s="10" t="str">
        <f t="shared" si="85"/>
        <v>FALSE</v>
      </c>
      <c r="AP754" s="10" t="str">
        <f t="shared" si="85"/>
        <v>y=0*0.611^2+67.076*0.611-21.654</v>
      </c>
      <c r="AQ754" s="10" t="str">
        <f>IF(AND(I754="TP",S754&lt;=150),VLOOKUP(AF754,TPCalibEq150!$AZ$2:$BB$55,3,),IF(AND(I754="TDP",S754&lt;=150),VLOOKUP(AF754,TPCalibEq150!$AZ$2:$BB$55,3,)))</f>
        <v>y=-1.7779x2+83.185x-35.938</v>
      </c>
      <c r="AR754" s="10" t="str">
        <f>IF(AND(I754="TP",S754&lt;=300),VLOOKUP(AF754,TPCalibEq300!$AZ$2:$BB$55,3,),IF(AND(I754="TDP",S754&lt;=300),VLOOKUP(AF754,TPCalibEq300!$AZ$2:$BB$55,3,)))</f>
        <v>y=-2.8628x2+86.116x-37.286</v>
      </c>
      <c r="AS754" s="10" t="str">
        <f>IF(AND(I754="TP",S754&lt;=500),VLOOKUP(AF754,TPCalibEq500!$AZ$2:$BB$56,3,),IF(AND(I754="TDP",S754&lt;=500),VLOOKUP(AF754,TPCalibEq500!$AZ$2:$BB$56,3,)))</f>
        <v>y=-0.232x2+72.802x-30.279</v>
      </c>
      <c r="AT754" s="10" t="b">
        <f>IF(AND(I754="TN",S754&lt;=2800),VLOOKUP(AF754,TNCalibEq2500!$AZ$2:$BB$56,3,),IF(AND(I754="TDN",S754&lt;=2800),VLOOKUP(AF754,TNCalibEq2500!$AZ$2:$BB$56,3,)))</f>
        <v>0</v>
      </c>
      <c r="AU754" s="10" t="str">
        <f>IF(I754="TP",VLOOKUP(AF754,TPCalibEqFull!$AZ$2:$BB$56,3),IF(I754="TDP",VLOOKUP(AF754,TPCalibEqFull!$AZ$2:$BB$56,3),IF(I754="TDN",VLOOKUP(AF754,TNCalibEqFull!$AZ$1:$BB$56,3),IF(I754="TN",VLOOKUP(AF754,TNCalibEqFull!$AZ$1:$BB$56,3),FALSE))))</f>
        <v>y=0x2+67.076x-21.654</v>
      </c>
      <c r="AV754" s="10" t="str">
        <f t="shared" si="81"/>
        <v>0109 06:00:00-QAC-BLK-FIL-1-DI-FLD</v>
      </c>
    </row>
    <row r="755" spans="1:48" s="10" customFormat="1" x14ac:dyDescent="0.55000000000000004">
      <c r="A755" s="32">
        <v>44936</v>
      </c>
      <c r="B755" s="33">
        <v>0.36458333333333331</v>
      </c>
      <c r="C755" s="10" t="s">
        <v>70</v>
      </c>
      <c r="D755" s="10" t="s">
        <v>241</v>
      </c>
      <c r="E755" s="10" t="s">
        <v>911</v>
      </c>
      <c r="F755" s="10">
        <v>1</v>
      </c>
      <c r="G755" s="10" t="s">
        <v>73</v>
      </c>
      <c r="H755" s="10" t="s">
        <v>245</v>
      </c>
      <c r="I755" s="10" t="s">
        <v>266</v>
      </c>
      <c r="J755" s="10">
        <v>126</v>
      </c>
      <c r="K755" s="12">
        <v>44937</v>
      </c>
      <c r="L755" s="33">
        <v>0.61119212962962965</v>
      </c>
      <c r="M755" s="10">
        <v>1</v>
      </c>
      <c r="N755" s="10" t="s">
        <v>84</v>
      </c>
      <c r="O755" s="10">
        <v>0.57199999999999995</v>
      </c>
      <c r="P755" s="10">
        <v>3.8600000000000002E-2</v>
      </c>
      <c r="Q755" s="10">
        <v>18.3</v>
      </c>
      <c r="R755" s="10" t="s">
        <v>85</v>
      </c>
      <c r="S755" s="34">
        <f t="shared" si="77"/>
        <v>18.3</v>
      </c>
      <c r="T755" s="10" t="s">
        <v>1035</v>
      </c>
      <c r="U755" s="34">
        <f t="shared" si="78"/>
        <v>18.3</v>
      </c>
      <c r="V755" s="31" t="str">
        <f>IF(H755="CHK",VLOOKUP(I755,QCCHK,3,),IF(H755="GUP",VLOOKUP(E755,QCGUP,2,),IF(AND(H755="ATP",OR(I755="TN",I755="TDN",I755="TNO2-3",I755="NO2-3")),VLOOKUP(E755,QCREC_N,2,),IF(AND(H755="NIC",OR(I755="TN",I755="TDN",I755="TNO2-3",I755="NO2-3")),VLOOKUP(E755,QCNIC_N,2,),IF(AND(H755="UREA",OR(I755="TN",I755="TDN",I755="TNO2-3",I755="NO2-3")),VLOOKUP(E755,QCUREA_N,2,),IF(H755="PER",VLOOKUP(I755,QCPER,MATCH(E755,QCACTUAL!$J$25:$AA$25,0),),IF(H755="SPK",VLOOKUP(I755,QCSPK,3,),IF(AND(H755="ATP",OR(I755="TP",I755="TDP")),VLOOKUP(E755,QCATP_P,2,),""))))))))</f>
        <v/>
      </c>
      <c r="W755" s="31" t="str">
        <f t="shared" si="79"/>
        <v>FALSE</v>
      </c>
      <c r="X755" s="31" t="str">
        <f t="shared" si="80"/>
        <v>nominal concentration</v>
      </c>
      <c r="Y755" s="10" t="s">
        <v>1021</v>
      </c>
      <c r="AF755" s="12">
        <v>44937</v>
      </c>
      <c r="AG755" s="10">
        <f>-1.7779*0.572^2+83.185*0.572-35.938</f>
        <v>11.0621195664</v>
      </c>
      <c r="AH755" s="10">
        <f>-2.8628*0.572^2+86.116*0.572-37.286</f>
        <v>11.035689644799994</v>
      </c>
      <c r="AI755" s="10">
        <f>-0.232*0.572^2+72.802*0.572-30.279</f>
        <v>11.287837311999997</v>
      </c>
      <c r="AK755" s="10">
        <f>0*0.572^2+67.076*0.572-21.654</f>
        <v>16.713471999999992</v>
      </c>
      <c r="AL755" s="10" t="str">
        <f t="shared" si="84"/>
        <v>y=-1.7779*0.572^2+83.185*0.572-35.938</v>
      </c>
      <c r="AM755" s="10" t="str">
        <f t="shared" si="84"/>
        <v>y=-2.8628*0.572^2+86.116*0.572-37.286</v>
      </c>
      <c r="AN755" s="10" t="str">
        <f t="shared" si="84"/>
        <v>y=-0.232*0.572^2+72.802*0.572-30.279</v>
      </c>
      <c r="AO755" s="10" t="str">
        <f t="shared" si="85"/>
        <v>FALSE</v>
      </c>
      <c r="AP755" s="10" t="str">
        <f t="shared" si="85"/>
        <v>y=0*0.572^2+67.076*0.572-21.654</v>
      </c>
      <c r="AQ755" s="10" t="str">
        <f>IF(AND(I755="TP",S755&lt;=150),VLOOKUP(AF755,TPCalibEq150!$AZ$2:$BB$55,3,),IF(AND(I755="TDP",S755&lt;=150),VLOOKUP(AF755,TPCalibEq150!$AZ$2:$BB$55,3,)))</f>
        <v>y=-1.7779x2+83.185x-35.938</v>
      </c>
      <c r="AR755" s="10" t="str">
        <f>IF(AND(I755="TP",S755&lt;=300),VLOOKUP(AF755,TPCalibEq300!$AZ$2:$BB$55,3,),IF(AND(I755="TDP",S755&lt;=300),VLOOKUP(AF755,TPCalibEq300!$AZ$2:$BB$55,3,)))</f>
        <v>y=-2.8628x2+86.116x-37.286</v>
      </c>
      <c r="AS755" s="10" t="str">
        <f>IF(AND(I755="TP",S755&lt;=500),VLOOKUP(AF755,TPCalibEq500!$AZ$2:$BB$56,3,),IF(AND(I755="TDP",S755&lt;=500),VLOOKUP(AF755,TPCalibEq500!$AZ$2:$BB$56,3,)))</f>
        <v>y=-0.232x2+72.802x-30.279</v>
      </c>
      <c r="AT755" s="10" t="b">
        <f>IF(AND(I755="TN",S755&lt;=2800),VLOOKUP(AF755,TNCalibEq2500!$AZ$2:$BB$56,3,),IF(AND(I755="TDN",S755&lt;=2800),VLOOKUP(AF755,TNCalibEq2500!$AZ$2:$BB$56,3,)))</f>
        <v>0</v>
      </c>
      <c r="AU755" s="10" t="str">
        <f>IF(I755="TP",VLOOKUP(AF755,TPCalibEqFull!$AZ$2:$BB$56,3),IF(I755="TDP",VLOOKUP(AF755,TPCalibEqFull!$AZ$2:$BB$56,3),IF(I755="TDN",VLOOKUP(AF755,TNCalibEqFull!$AZ$1:$BB$56,3),IF(I755="TN",VLOOKUP(AF755,TNCalibEqFull!$AZ$1:$BB$56,3),FALSE))))</f>
        <v>y=0x2+67.076x-21.654</v>
      </c>
      <c r="AV755" s="10" t="str">
        <f t="shared" si="81"/>
        <v>0110 08:45:00-QAC-BLK-FIL-1-DI-ESF</v>
      </c>
    </row>
    <row r="756" spans="1:48" s="10" customFormat="1" x14ac:dyDescent="0.55000000000000004">
      <c r="A756" s="32">
        <v>44930</v>
      </c>
      <c r="B756" s="33">
        <v>0.22569444444444445</v>
      </c>
      <c r="C756" s="10" t="s">
        <v>279</v>
      </c>
      <c r="D756" s="10">
        <v>0</v>
      </c>
      <c r="E756" s="10" t="s">
        <v>160</v>
      </c>
      <c r="F756" s="10">
        <v>1</v>
      </c>
      <c r="G756" s="10" t="s">
        <v>231</v>
      </c>
      <c r="H756" s="10" t="s">
        <v>322</v>
      </c>
      <c r="I756" s="10" t="s">
        <v>83</v>
      </c>
      <c r="J756" s="10">
        <v>91</v>
      </c>
      <c r="K756" s="12">
        <v>44937</v>
      </c>
      <c r="L756" s="33">
        <v>0.6118865740740741</v>
      </c>
      <c r="M756" s="10">
        <v>1</v>
      </c>
      <c r="N756" s="10" t="s">
        <v>84</v>
      </c>
      <c r="O756" s="10">
        <v>5.28</v>
      </c>
      <c r="P756" s="10">
        <v>0.372</v>
      </c>
      <c r="Q756" s="10">
        <v>329</v>
      </c>
      <c r="R756" s="10" t="s">
        <v>85</v>
      </c>
      <c r="S756" s="34">
        <f t="shared" si="77"/>
        <v>347.64777120000008</v>
      </c>
      <c r="T756" s="10" t="s">
        <v>1035</v>
      </c>
      <c r="U756" s="34" t="str">
        <f t="shared" si="78"/>
        <v/>
      </c>
      <c r="V756" s="31" t="str">
        <f>IF(H756="CHK",VLOOKUP(I756,QCCHK,3,),IF(H756="GUP",VLOOKUP(E756,QCGUP,2,),IF(AND(H756="ATP",OR(I756="TN",I756="TDN",I756="TNO2-3",I756="NO2-3")),VLOOKUP(E756,QCREC_N,2,),IF(AND(H756="NIC",OR(I756="TN",I756="TDN",I756="TNO2-3",I756="NO2-3")),VLOOKUP(E756,QCNIC_N,2,),IF(AND(H756="UREA",OR(I756="TN",I756="TDN",I756="TNO2-3",I756="NO2-3")),VLOOKUP(E756,QCUREA_N,2,),IF(H756="PER",VLOOKUP(I756,QCPER,MATCH(E756,QCACTUAL!$J$25:$AA$25,0),),IF(H756="SPK",VLOOKUP(I756,QCSPK,3,),IF(AND(H756="ATP",OR(I756="TP",I756="TDP")),VLOOKUP(E756,QCATP_P,2,),""))))))))</f>
        <v/>
      </c>
      <c r="W756" s="31" t="str">
        <f t="shared" si="79"/>
        <v>TRUE</v>
      </c>
      <c r="X756" s="31" t="str">
        <f t="shared" si="80"/>
        <v/>
      </c>
      <c r="Y756" s="10" t="s">
        <v>1021</v>
      </c>
      <c r="Z756" s="10" t="s">
        <v>910</v>
      </c>
      <c r="AF756" s="12">
        <v>44937</v>
      </c>
      <c r="AI756" s="10">
        <f>-0.232*5.28^2+72.802*5.28-30.279</f>
        <v>347.64777120000008</v>
      </c>
      <c r="AK756" s="10">
        <f>0*5.28^2+67.076*5.28-21.654</f>
        <v>332.50727999999998</v>
      </c>
      <c r="AL756" s="10" t="str">
        <f t="shared" si="84"/>
        <v>FALSE</v>
      </c>
      <c r="AM756" s="10" t="str">
        <f t="shared" si="84"/>
        <v>FALSE</v>
      </c>
      <c r="AN756" s="10" t="str">
        <f t="shared" si="84"/>
        <v>y=-0.232*5.28^2+72.802*5.28-30.279</v>
      </c>
      <c r="AO756" s="10" t="str">
        <f t="shared" si="85"/>
        <v>FALSE</v>
      </c>
      <c r="AP756" s="10" t="str">
        <f t="shared" si="85"/>
        <v>y=0*5.28^2+67.076*5.28-21.654</v>
      </c>
      <c r="AQ756" s="10" t="b">
        <f>IF(AND(I756="TP",S756&lt;=150),VLOOKUP(AF756,TPCalibEq150!$AZ$2:$BB$55,3,),IF(AND(I756="TDP",S756&lt;=150),VLOOKUP(AF756,TPCalibEq150!$AZ$2:$BB$55,3,)))</f>
        <v>0</v>
      </c>
      <c r="AR756" s="10" t="b">
        <f>IF(AND(I756="TP",S756&lt;=300),VLOOKUP(AF756,TPCalibEq300!$AZ$2:$BB$55,3,),IF(AND(I756="TDP",S756&lt;=300),VLOOKUP(AF756,TPCalibEq300!$AZ$2:$BB$55,3,)))</f>
        <v>0</v>
      </c>
      <c r="AS756" s="10" t="str">
        <f>IF(AND(I756="TP",S756&lt;=500),VLOOKUP(AF756,TPCalibEq500!$AZ$2:$BB$56,3,),IF(AND(I756="TDP",S756&lt;=500),VLOOKUP(AF756,TPCalibEq500!$AZ$2:$BB$56,3,)))</f>
        <v>y=-0.232x2+72.802x-30.279</v>
      </c>
      <c r="AT756" s="10" t="b">
        <f>IF(AND(I756="TN",S756&lt;=2800),VLOOKUP(AF756,TNCalibEq2500!$AZ$2:$BB$56,3,),IF(AND(I756="TDN",S756&lt;=2800),VLOOKUP(AF756,TNCalibEq2500!$AZ$2:$BB$56,3,)))</f>
        <v>0</v>
      </c>
      <c r="AU756" s="10" t="str">
        <f>IF(I756="TP",VLOOKUP(AF756,TPCalibEqFull!$AZ$2:$BB$56,3),IF(I756="TDP",VLOOKUP(AF756,TPCalibEqFull!$AZ$2:$BB$56,3),IF(I756="TDN",VLOOKUP(AF756,TNCalibEqFull!$AZ$1:$BB$56,3),IF(I756="TN",VLOOKUP(AF756,TNCalibEqFull!$AZ$1:$BB$56,3),FALSE))))</f>
        <v>y=0x2+67.076x-21.654</v>
      </c>
      <c r="AV756" s="10" t="str">
        <f t="shared" si="81"/>
        <v>0104 05:25:00-EFK-0-L-1-SW-UKN</v>
      </c>
    </row>
    <row r="757" spans="1:48" s="10" customFormat="1" x14ac:dyDescent="0.55000000000000004">
      <c r="A757" s="32">
        <v>44930</v>
      </c>
      <c r="B757" s="33">
        <v>0.22916666666666666</v>
      </c>
      <c r="C757" s="10" t="s">
        <v>333</v>
      </c>
      <c r="D757" s="10">
        <v>0</v>
      </c>
      <c r="E757" s="10" t="s">
        <v>190</v>
      </c>
      <c r="F757" s="10">
        <v>1</v>
      </c>
      <c r="G757" s="10" t="s">
        <v>231</v>
      </c>
      <c r="H757" s="10" t="s">
        <v>322</v>
      </c>
      <c r="I757" s="10" t="s">
        <v>83</v>
      </c>
      <c r="J757" s="10">
        <v>92</v>
      </c>
      <c r="K757" s="12">
        <v>44937</v>
      </c>
      <c r="L757" s="33">
        <v>0.61259259259259258</v>
      </c>
      <c r="M757" s="10">
        <v>1</v>
      </c>
      <c r="N757" s="10" t="s">
        <v>84</v>
      </c>
      <c r="O757" s="10">
        <v>2.23</v>
      </c>
      <c r="P757" s="10">
        <v>0.158</v>
      </c>
      <c r="Q757" s="10">
        <v>128</v>
      </c>
      <c r="R757" s="10" t="s">
        <v>85</v>
      </c>
      <c r="S757" s="34">
        <f t="shared" si="77"/>
        <v>140.72323109000001</v>
      </c>
      <c r="T757" s="10" t="s">
        <v>1035</v>
      </c>
      <c r="U757" s="34" t="str">
        <f t="shared" si="78"/>
        <v/>
      </c>
      <c r="V757" s="31" t="str">
        <f>IF(H757="CHK",VLOOKUP(I757,QCCHK,3,),IF(H757="GUP",VLOOKUP(E757,QCGUP,2,),IF(AND(H757="ATP",OR(I757="TN",I757="TDN",I757="TNO2-3",I757="NO2-3")),VLOOKUP(E757,QCREC_N,2,),IF(AND(H757="NIC",OR(I757="TN",I757="TDN",I757="TNO2-3",I757="NO2-3")),VLOOKUP(E757,QCNIC_N,2,),IF(AND(H757="UREA",OR(I757="TN",I757="TDN",I757="TNO2-3",I757="NO2-3")),VLOOKUP(E757,QCUREA_N,2,),IF(H757="PER",VLOOKUP(I757,QCPER,MATCH(E757,QCACTUAL!$J$25:$AA$25,0),),IF(H757="SPK",VLOOKUP(I757,QCSPK,3,),IF(AND(H757="ATP",OR(I757="TP",I757="TDP")),VLOOKUP(E757,QCATP_P,2,),""))))))))</f>
        <v/>
      </c>
      <c r="W757" s="31" t="str">
        <f t="shared" si="79"/>
        <v>TRUE</v>
      </c>
      <c r="X757" s="31" t="str">
        <f t="shared" si="80"/>
        <v/>
      </c>
      <c r="Y757" s="10" t="s">
        <v>1021</v>
      </c>
      <c r="Z757" s="10" t="s">
        <v>910</v>
      </c>
      <c r="AF757" s="12">
        <v>44937</v>
      </c>
      <c r="AG757" s="10">
        <f>-1.7779*2.23^2+83.185*2.23-35.938</f>
        <v>140.72323109000001</v>
      </c>
      <c r="AH757" s="10">
        <f>-2.8628*2.23^2+86.116*2.23-37.286</f>
        <v>140.51626188</v>
      </c>
      <c r="AI757" s="10">
        <f>-0.232*2.23^2+72.802*2.23-30.279</f>
        <v>130.91574720000003</v>
      </c>
      <c r="AK757" s="10">
        <f>0*2.23^2+67.076*2.23-21.654</f>
        <v>127.92547999999999</v>
      </c>
      <c r="AL757" s="10" t="str">
        <f t="shared" si="84"/>
        <v>y=-1.7779*2.23^2+83.185*2.23-35.938</v>
      </c>
      <c r="AM757" s="10" t="str">
        <f t="shared" si="84"/>
        <v>y=-2.8628*2.23^2+86.116*2.23-37.286</v>
      </c>
      <c r="AN757" s="10" t="str">
        <f t="shared" si="84"/>
        <v>y=-0.232*2.23^2+72.802*2.23-30.279</v>
      </c>
      <c r="AO757" s="10" t="str">
        <f t="shared" si="85"/>
        <v>FALSE</v>
      </c>
      <c r="AP757" s="10" t="str">
        <f t="shared" si="85"/>
        <v>y=0*2.23^2+67.076*2.23-21.654</v>
      </c>
      <c r="AQ757" s="10" t="str">
        <f>IF(AND(I757="TP",S757&lt;=150),VLOOKUP(AF757,TPCalibEq150!$AZ$2:$BB$55,3,),IF(AND(I757="TDP",S757&lt;=150),VLOOKUP(AF757,TPCalibEq150!$AZ$2:$BB$55,3,)))</f>
        <v>y=-1.7779x2+83.185x-35.938</v>
      </c>
      <c r="AR757" s="10" t="str">
        <f>IF(AND(I757="TP",S757&lt;=300),VLOOKUP(AF757,TPCalibEq300!$AZ$2:$BB$55,3,),IF(AND(I757="TDP",S757&lt;=300),VLOOKUP(AF757,TPCalibEq300!$AZ$2:$BB$55,3,)))</f>
        <v>y=-2.8628x2+86.116x-37.286</v>
      </c>
      <c r="AS757" s="10" t="str">
        <f>IF(AND(I757="TP",S757&lt;=500),VLOOKUP(AF757,TPCalibEq500!$AZ$2:$BB$56,3,),IF(AND(I757="TDP",S757&lt;=500),VLOOKUP(AF757,TPCalibEq500!$AZ$2:$BB$56,3,)))</f>
        <v>y=-0.232x2+72.802x-30.279</v>
      </c>
      <c r="AT757" s="10" t="b">
        <f>IF(AND(I757="TN",S757&lt;=2800),VLOOKUP(AF757,TNCalibEq2500!$AZ$2:$BB$56,3,),IF(AND(I757="TDN",S757&lt;=2800),VLOOKUP(AF757,TNCalibEq2500!$AZ$2:$BB$56,3,)))</f>
        <v>0</v>
      </c>
      <c r="AU757" s="10" t="str">
        <f>IF(I757="TP",VLOOKUP(AF757,TPCalibEqFull!$AZ$2:$BB$56,3),IF(I757="TDP",VLOOKUP(AF757,TPCalibEqFull!$AZ$2:$BB$56,3),IF(I757="TDN",VLOOKUP(AF757,TNCalibEqFull!$AZ$1:$BB$56,3),IF(I757="TN",VLOOKUP(AF757,TNCalibEqFull!$AZ$1:$BB$56,3),FALSE))))</f>
        <v>y=0x2+67.076x-21.654</v>
      </c>
      <c r="AV757" s="10" t="str">
        <f t="shared" si="81"/>
        <v>0104 05:30:00-HST-0-C-1-SW-UKN</v>
      </c>
    </row>
    <row r="758" spans="1:48" s="10" customFormat="1" x14ac:dyDescent="0.55000000000000004">
      <c r="A758" s="32">
        <v>44931</v>
      </c>
      <c r="B758" s="33">
        <v>0.44513888888888892</v>
      </c>
      <c r="C758" s="10" t="s">
        <v>279</v>
      </c>
      <c r="D758" s="10">
        <v>0</v>
      </c>
      <c r="E758" s="10" t="s">
        <v>160</v>
      </c>
      <c r="F758" s="10">
        <v>1</v>
      </c>
      <c r="G758" s="10" t="s">
        <v>231</v>
      </c>
      <c r="H758" s="10" t="s">
        <v>322</v>
      </c>
      <c r="I758" s="10" t="s">
        <v>83</v>
      </c>
      <c r="J758" s="10">
        <v>93</v>
      </c>
      <c r="K758" s="12">
        <v>44937</v>
      </c>
      <c r="L758" s="33">
        <v>0.61329861111111106</v>
      </c>
      <c r="M758" s="10">
        <v>1</v>
      </c>
      <c r="N758" s="10" t="s">
        <v>84</v>
      </c>
      <c r="O758" s="10">
        <v>2.2000000000000002</v>
      </c>
      <c r="P758" s="10">
        <v>0.155</v>
      </c>
      <c r="Q758" s="10">
        <v>126</v>
      </c>
      <c r="R758" s="10" t="s">
        <v>85</v>
      </c>
      <c r="S758" s="34">
        <f t="shared" si="77"/>
        <v>138.46396400000003</v>
      </c>
      <c r="T758" s="10" t="s">
        <v>1035</v>
      </c>
      <c r="U758" s="34" t="str">
        <f t="shared" si="78"/>
        <v/>
      </c>
      <c r="V758" s="31" t="str">
        <f>IF(H758="CHK",VLOOKUP(I758,QCCHK,3,),IF(H758="GUP",VLOOKUP(E758,QCGUP,2,),IF(AND(H758="ATP",OR(I758="TN",I758="TDN",I758="TNO2-3",I758="NO2-3")),VLOOKUP(E758,QCREC_N,2,),IF(AND(H758="NIC",OR(I758="TN",I758="TDN",I758="TNO2-3",I758="NO2-3")),VLOOKUP(E758,QCNIC_N,2,),IF(AND(H758="UREA",OR(I758="TN",I758="TDN",I758="TNO2-3",I758="NO2-3")),VLOOKUP(E758,QCUREA_N,2,),IF(H758="PER",VLOOKUP(I758,QCPER,MATCH(E758,QCACTUAL!$J$25:$AA$25,0),),IF(H758="SPK",VLOOKUP(I758,QCSPK,3,),IF(AND(H758="ATP",OR(I758="TP",I758="TDP")),VLOOKUP(E758,QCATP_P,2,),""))))))))</f>
        <v/>
      </c>
      <c r="W758" s="31" t="str">
        <f t="shared" si="79"/>
        <v>TRUE</v>
      </c>
      <c r="X758" s="31" t="str">
        <f t="shared" si="80"/>
        <v/>
      </c>
      <c r="Y758" s="10" t="s">
        <v>1021</v>
      </c>
      <c r="Z758" s="10" t="s">
        <v>910</v>
      </c>
      <c r="AF758" s="12">
        <v>44937</v>
      </c>
      <c r="AG758" s="10">
        <f>-1.7779*2.2^2+83.185*2.2-35.938</f>
        <v>138.46396400000003</v>
      </c>
      <c r="AH758" s="10">
        <f>-2.8628*2.2^2+86.116*2.2-37.286</f>
        <v>138.31324800000002</v>
      </c>
      <c r="AI758" s="10">
        <f>-0.232*2.2^2+72.802*2.2-30.279</f>
        <v>128.76252000000002</v>
      </c>
      <c r="AK758" s="10">
        <f>0*2.2^2+67.076*2.2-21.654</f>
        <v>125.91319999999999</v>
      </c>
      <c r="AL758" s="10" t="str">
        <f t="shared" si="84"/>
        <v>y=-1.7779*2.2^2+83.185*2.2-35.938</v>
      </c>
      <c r="AM758" s="10" t="str">
        <f t="shared" si="84"/>
        <v>y=-2.8628*2.2^2+86.116*2.2-37.286</v>
      </c>
      <c r="AN758" s="10" t="str">
        <f t="shared" si="84"/>
        <v>y=-0.232*2.2^2+72.802*2.2-30.279</v>
      </c>
      <c r="AO758" s="10" t="str">
        <f t="shared" si="85"/>
        <v>FALSE</v>
      </c>
      <c r="AP758" s="10" t="str">
        <f t="shared" si="85"/>
        <v>y=0*2.2^2+67.076*2.2-21.654</v>
      </c>
      <c r="AQ758" s="10" t="str">
        <f>IF(AND(I758="TP",S758&lt;=150),VLOOKUP(AF758,TPCalibEq150!$AZ$2:$BB$55,3,),IF(AND(I758="TDP",S758&lt;=150),VLOOKUP(AF758,TPCalibEq150!$AZ$2:$BB$55,3,)))</f>
        <v>y=-1.7779x2+83.185x-35.938</v>
      </c>
      <c r="AR758" s="10" t="str">
        <f>IF(AND(I758="TP",S758&lt;=300),VLOOKUP(AF758,TPCalibEq300!$AZ$2:$BB$55,3,),IF(AND(I758="TDP",S758&lt;=300),VLOOKUP(AF758,TPCalibEq300!$AZ$2:$BB$55,3,)))</f>
        <v>y=-2.8628x2+86.116x-37.286</v>
      </c>
      <c r="AS758" s="10" t="str">
        <f>IF(AND(I758="TP",S758&lt;=500),VLOOKUP(AF758,TPCalibEq500!$AZ$2:$BB$56,3,),IF(AND(I758="TDP",S758&lt;=500),VLOOKUP(AF758,TPCalibEq500!$AZ$2:$BB$56,3,)))</f>
        <v>y=-0.232x2+72.802x-30.279</v>
      </c>
      <c r="AT758" s="10" t="b">
        <f>IF(AND(I758="TN",S758&lt;=2800),VLOOKUP(AF758,TNCalibEq2500!$AZ$2:$BB$56,3,),IF(AND(I758="TDN",S758&lt;=2800),VLOOKUP(AF758,TNCalibEq2500!$AZ$2:$BB$56,3,)))</f>
        <v>0</v>
      </c>
      <c r="AU758" s="10" t="str">
        <f>IF(I758="TP",VLOOKUP(AF758,TPCalibEqFull!$AZ$2:$BB$56,3),IF(I758="TDP",VLOOKUP(AF758,TPCalibEqFull!$AZ$2:$BB$56,3),IF(I758="TDN",VLOOKUP(AF758,TNCalibEqFull!$AZ$1:$BB$56,3),IF(I758="TN",VLOOKUP(AF758,TNCalibEqFull!$AZ$1:$BB$56,3),FALSE))))</f>
        <v>y=0x2+67.076x-21.654</v>
      </c>
      <c r="AV758" s="10" t="str">
        <f t="shared" si="81"/>
        <v>0105 10:41:00-EFK-0-L-1-SW-UKN</v>
      </c>
    </row>
    <row r="759" spans="1:48" s="10" customFormat="1" x14ac:dyDescent="0.55000000000000004">
      <c r="A759" s="32">
        <v>44931</v>
      </c>
      <c r="B759" s="33">
        <v>0.45069444444444445</v>
      </c>
      <c r="C759" s="10" t="s">
        <v>333</v>
      </c>
      <c r="D759" s="10">
        <v>0</v>
      </c>
      <c r="E759" s="10" t="s">
        <v>190</v>
      </c>
      <c r="F759" s="10">
        <v>1</v>
      </c>
      <c r="G759" s="10" t="s">
        <v>231</v>
      </c>
      <c r="H759" s="10" t="s">
        <v>322</v>
      </c>
      <c r="I759" s="10" t="s">
        <v>83</v>
      </c>
      <c r="J759" s="10">
        <v>94</v>
      </c>
      <c r="K759" s="12">
        <v>44937</v>
      </c>
      <c r="L759" s="33">
        <v>0.61399305555555561</v>
      </c>
      <c r="M759" s="10">
        <v>1</v>
      </c>
      <c r="N759" s="10" t="s">
        <v>84</v>
      </c>
      <c r="O759" s="10">
        <v>1.86</v>
      </c>
      <c r="P759" s="10">
        <v>0.13</v>
      </c>
      <c r="Q759" s="10">
        <v>103</v>
      </c>
      <c r="R759" s="10" t="s">
        <v>85</v>
      </c>
      <c r="S759" s="34">
        <f t="shared" si="77"/>
        <v>112.98561712</v>
      </c>
      <c r="T759" s="10" t="s">
        <v>1035</v>
      </c>
      <c r="U759" s="34" t="str">
        <f t="shared" si="78"/>
        <v/>
      </c>
      <c r="V759" s="31" t="str">
        <f>IF(H759="CHK",VLOOKUP(I759,QCCHK,3,),IF(H759="GUP",VLOOKUP(E759,QCGUP,2,),IF(AND(H759="ATP",OR(I759="TN",I759="TDN",I759="TNO2-3",I759="NO2-3")),VLOOKUP(E759,QCREC_N,2,),IF(AND(H759="NIC",OR(I759="TN",I759="TDN",I759="TNO2-3",I759="NO2-3")),VLOOKUP(E759,QCNIC_N,2,),IF(AND(H759="UREA",OR(I759="TN",I759="TDN",I759="TNO2-3",I759="NO2-3")),VLOOKUP(E759,QCUREA_N,2,),IF(H759="PER",VLOOKUP(I759,QCPER,MATCH(E759,QCACTUAL!$J$25:$AA$25,0),),IF(H759="SPK",VLOOKUP(I759,QCSPK,3,),IF(AND(H759="ATP",OR(I759="TP",I759="TDP")),VLOOKUP(E759,QCATP_P,2,),""))))))))</f>
        <v/>
      </c>
      <c r="W759" s="31" t="str">
        <f t="shared" si="79"/>
        <v>TRUE</v>
      </c>
      <c r="X759" s="31" t="str">
        <f t="shared" si="80"/>
        <v/>
      </c>
      <c r="Y759" s="10" t="s">
        <v>1021</v>
      </c>
      <c r="Z759" s="10" t="s">
        <v>910</v>
      </c>
      <c r="AF759" s="12">
        <v>44937</v>
      </c>
      <c r="AG759" s="10">
        <f>-1.7779*1.86^2+83.185*1.86-35.938</f>
        <v>112.63527716000003</v>
      </c>
      <c r="AH759" s="10">
        <f>-2.8628*1.86^2+86.116*1.86-37.286</f>
        <v>112.98561712</v>
      </c>
      <c r="AI759" s="10">
        <f>-0.232*1.86^2+72.802*1.86-30.279</f>
        <v>104.33009280000005</v>
      </c>
      <c r="AK759" s="10">
        <f>0*1.86^2+67.076*1.86-21.654</f>
        <v>103.10736</v>
      </c>
      <c r="AL759" s="10" t="str">
        <f t="shared" si="84"/>
        <v>y=-1.7779*1.86^2+83.185*1.86-35.938</v>
      </c>
      <c r="AM759" s="10" t="str">
        <f t="shared" si="84"/>
        <v>y=-2.8628*1.86^2+86.116*1.86-37.286</v>
      </c>
      <c r="AN759" s="10" t="str">
        <f t="shared" si="84"/>
        <v>y=-0.232*1.86^2+72.802*1.86-30.279</v>
      </c>
      <c r="AO759" s="10" t="str">
        <f t="shared" si="85"/>
        <v>FALSE</v>
      </c>
      <c r="AP759" s="10" t="str">
        <f t="shared" si="85"/>
        <v>y=0*1.86^2+67.076*1.86-21.654</v>
      </c>
      <c r="AQ759" s="10" t="str">
        <f>IF(AND(I759="TP",S759&lt;=150),VLOOKUP(AF759,TPCalibEq150!$AZ$2:$BB$55,3,),IF(AND(I759="TDP",S759&lt;=150),VLOOKUP(AF759,TPCalibEq150!$AZ$2:$BB$55,3,)))</f>
        <v>y=-1.7779x2+83.185x-35.938</v>
      </c>
      <c r="AR759" s="10" t="str">
        <f>IF(AND(I759="TP",S759&lt;=300),VLOOKUP(AF759,TPCalibEq300!$AZ$2:$BB$55,3,),IF(AND(I759="TDP",S759&lt;=300),VLOOKUP(AF759,TPCalibEq300!$AZ$2:$BB$55,3,)))</f>
        <v>y=-2.8628x2+86.116x-37.286</v>
      </c>
      <c r="AS759" s="10" t="str">
        <f>IF(AND(I759="TP",S759&lt;=500),VLOOKUP(AF759,TPCalibEq500!$AZ$2:$BB$56,3,),IF(AND(I759="TDP",S759&lt;=500),VLOOKUP(AF759,TPCalibEq500!$AZ$2:$BB$56,3,)))</f>
        <v>y=-0.232x2+72.802x-30.279</v>
      </c>
      <c r="AT759" s="10" t="b">
        <f>IF(AND(I759="TN",S759&lt;=2800),VLOOKUP(AF759,TNCalibEq2500!$AZ$2:$BB$56,3,),IF(AND(I759="TDN",S759&lt;=2800),VLOOKUP(AF759,TNCalibEq2500!$AZ$2:$BB$56,3,)))</f>
        <v>0</v>
      </c>
      <c r="AU759" s="10" t="str">
        <f>IF(I759="TP",VLOOKUP(AF759,TPCalibEqFull!$AZ$2:$BB$56,3),IF(I759="TDP",VLOOKUP(AF759,TPCalibEqFull!$AZ$2:$BB$56,3),IF(I759="TDN",VLOOKUP(AF759,TNCalibEqFull!$AZ$1:$BB$56,3),IF(I759="TN",VLOOKUP(AF759,TNCalibEqFull!$AZ$1:$BB$56,3),FALSE))))</f>
        <v>y=0x2+67.076x-21.654</v>
      </c>
      <c r="AV759" s="10" t="str">
        <f t="shared" si="81"/>
        <v>0105 10:49:00-HST-0-C-1-SW-UKN</v>
      </c>
    </row>
    <row r="760" spans="1:48" s="10" customFormat="1" x14ac:dyDescent="0.55000000000000004">
      <c r="A760" s="32">
        <v>44932</v>
      </c>
      <c r="B760" s="33">
        <v>0.53333333333333333</v>
      </c>
      <c r="C760" s="10" t="s">
        <v>279</v>
      </c>
      <c r="D760" s="10">
        <v>0</v>
      </c>
      <c r="E760" s="10" t="s">
        <v>160</v>
      </c>
      <c r="F760" s="10">
        <v>1</v>
      </c>
      <c r="G760" s="10" t="s">
        <v>231</v>
      </c>
      <c r="H760" s="10" t="s">
        <v>322</v>
      </c>
      <c r="I760" s="10" t="s">
        <v>83</v>
      </c>
      <c r="J760" s="10">
        <v>95</v>
      </c>
      <c r="K760" s="12">
        <v>44937</v>
      </c>
      <c r="L760" s="33">
        <v>0.61469907407407409</v>
      </c>
      <c r="M760" s="10">
        <v>1</v>
      </c>
      <c r="N760" s="10" t="s">
        <v>84</v>
      </c>
      <c r="O760" s="10">
        <v>1.97</v>
      </c>
      <c r="P760" s="10">
        <v>0.13900000000000001</v>
      </c>
      <c r="Q760" s="10">
        <v>110</v>
      </c>
      <c r="R760" s="10" t="s">
        <v>85</v>
      </c>
      <c r="S760" s="34">
        <f t="shared" si="77"/>
        <v>121.25227948</v>
      </c>
      <c r="T760" s="10" t="s">
        <v>1035</v>
      </c>
      <c r="U760" s="34" t="str">
        <f t="shared" si="78"/>
        <v/>
      </c>
      <c r="V760" s="31" t="str">
        <f>IF(H760="CHK",VLOOKUP(I760,QCCHK,3,),IF(H760="GUP",VLOOKUP(E760,QCGUP,2,),IF(AND(H760="ATP",OR(I760="TN",I760="TDN",I760="TNO2-3",I760="NO2-3")),VLOOKUP(E760,QCREC_N,2,),IF(AND(H760="NIC",OR(I760="TN",I760="TDN",I760="TNO2-3",I760="NO2-3")),VLOOKUP(E760,QCNIC_N,2,),IF(AND(H760="UREA",OR(I760="TN",I760="TDN",I760="TNO2-3",I760="NO2-3")),VLOOKUP(E760,QCUREA_N,2,),IF(H760="PER",VLOOKUP(I760,QCPER,MATCH(E760,QCACTUAL!$J$25:$AA$25,0),),IF(H760="SPK",VLOOKUP(I760,QCSPK,3,),IF(AND(H760="ATP",OR(I760="TP",I760="TDP")),VLOOKUP(E760,QCATP_P,2,),""))))))))</f>
        <v/>
      </c>
      <c r="W760" s="31" t="str">
        <f t="shared" si="79"/>
        <v>TRUE</v>
      </c>
      <c r="X760" s="31" t="str">
        <f t="shared" si="80"/>
        <v/>
      </c>
      <c r="Y760" s="10" t="s">
        <v>1021</v>
      </c>
      <c r="Z760" s="10" t="s">
        <v>910</v>
      </c>
      <c r="AF760" s="12">
        <v>44937</v>
      </c>
      <c r="AG760" s="10">
        <f>-1.7779*1.97^2+83.185*1.97-35.938</f>
        <v>121.03659788999998</v>
      </c>
      <c r="AH760" s="10">
        <f>-2.8628*1.97^2+86.116*1.97-37.286</f>
        <v>121.25227948</v>
      </c>
      <c r="AI760" s="10">
        <f>-0.232*1.97^2+72.802*1.97-30.279</f>
        <v>112.24057120000003</v>
      </c>
      <c r="AK760" s="10">
        <f>0*1.97^2+67.076*1.97-21.654</f>
        <v>110.48571999999999</v>
      </c>
      <c r="AL760" s="10" t="str">
        <f t="shared" si="84"/>
        <v>y=-1.7779*1.97^2+83.185*1.97-35.938</v>
      </c>
      <c r="AM760" s="10" t="str">
        <f t="shared" si="84"/>
        <v>y=-2.8628*1.97^2+86.116*1.97-37.286</v>
      </c>
      <c r="AN760" s="10" t="str">
        <f t="shared" si="84"/>
        <v>y=-0.232*1.97^2+72.802*1.97-30.279</v>
      </c>
      <c r="AO760" s="10" t="str">
        <f t="shared" si="85"/>
        <v>FALSE</v>
      </c>
      <c r="AP760" s="10" t="str">
        <f t="shared" si="85"/>
        <v>y=0*1.97^2+67.076*1.97-21.654</v>
      </c>
      <c r="AQ760" s="10" t="str">
        <f>IF(AND(I760="TP",S760&lt;=150),VLOOKUP(AF760,TPCalibEq150!$AZ$2:$BB$55,3,),IF(AND(I760="TDP",S760&lt;=150),VLOOKUP(AF760,TPCalibEq150!$AZ$2:$BB$55,3,)))</f>
        <v>y=-1.7779x2+83.185x-35.938</v>
      </c>
      <c r="AR760" s="10" t="str">
        <f>IF(AND(I760="TP",S760&lt;=300),VLOOKUP(AF760,TPCalibEq300!$AZ$2:$BB$55,3,),IF(AND(I760="TDP",S760&lt;=300),VLOOKUP(AF760,TPCalibEq300!$AZ$2:$BB$55,3,)))</f>
        <v>y=-2.8628x2+86.116x-37.286</v>
      </c>
      <c r="AS760" s="10" t="str">
        <f>IF(AND(I760="TP",S760&lt;=500),VLOOKUP(AF760,TPCalibEq500!$AZ$2:$BB$56,3,),IF(AND(I760="TDP",S760&lt;=500),VLOOKUP(AF760,TPCalibEq500!$AZ$2:$BB$56,3,)))</f>
        <v>y=-0.232x2+72.802x-30.279</v>
      </c>
      <c r="AT760" s="10" t="b">
        <f>IF(AND(I760="TN",S760&lt;=2800),VLOOKUP(AF760,TNCalibEq2500!$AZ$2:$BB$56,3,),IF(AND(I760="TDN",S760&lt;=2800),VLOOKUP(AF760,TNCalibEq2500!$AZ$2:$BB$56,3,)))</f>
        <v>0</v>
      </c>
      <c r="AU760" s="10" t="str">
        <f>IF(I760="TP",VLOOKUP(AF760,TPCalibEqFull!$AZ$2:$BB$56,3),IF(I760="TDP",VLOOKUP(AF760,TPCalibEqFull!$AZ$2:$BB$56,3),IF(I760="TDN",VLOOKUP(AF760,TNCalibEqFull!$AZ$1:$BB$56,3),IF(I760="TN",VLOOKUP(AF760,TNCalibEqFull!$AZ$1:$BB$56,3),FALSE))))</f>
        <v>y=0x2+67.076x-21.654</v>
      </c>
      <c r="AV760" s="10" t="str">
        <f t="shared" si="81"/>
        <v>0106 12:48:00-EFK-0-L-1-SW-UKN</v>
      </c>
    </row>
    <row r="761" spans="1:48" s="10" customFormat="1" x14ac:dyDescent="0.55000000000000004">
      <c r="A761" s="32">
        <v>44932</v>
      </c>
      <c r="B761" s="33">
        <v>0.52430555555555558</v>
      </c>
      <c r="C761" s="10" t="s">
        <v>333</v>
      </c>
      <c r="D761" s="10">
        <v>0</v>
      </c>
      <c r="E761" s="10" t="s">
        <v>190</v>
      </c>
      <c r="F761" s="10">
        <v>1</v>
      </c>
      <c r="G761" s="10" t="s">
        <v>231</v>
      </c>
      <c r="H761" s="10" t="s">
        <v>322</v>
      </c>
      <c r="I761" s="10" t="s">
        <v>83</v>
      </c>
      <c r="J761" s="10">
        <v>96</v>
      </c>
      <c r="K761" s="12">
        <v>44937</v>
      </c>
      <c r="L761" s="33">
        <v>0.61539351851851853</v>
      </c>
      <c r="M761" s="10">
        <v>1</v>
      </c>
      <c r="N761" s="10" t="s">
        <v>84</v>
      </c>
      <c r="O761" s="10">
        <v>2.66</v>
      </c>
      <c r="P761" s="10">
        <v>0.188</v>
      </c>
      <c r="Q761" s="10">
        <v>156</v>
      </c>
      <c r="R761" s="10" t="s">
        <v>85</v>
      </c>
      <c r="S761" s="34">
        <f t="shared" si="77"/>
        <v>171.52653232</v>
      </c>
      <c r="T761" s="10" t="s">
        <v>1035</v>
      </c>
      <c r="U761" s="34" t="str">
        <f t="shared" si="78"/>
        <v/>
      </c>
      <c r="V761" s="31" t="str">
        <f>IF(H761="CHK",VLOOKUP(I761,QCCHK,3,),IF(H761="GUP",VLOOKUP(E761,QCGUP,2,),IF(AND(H761="ATP",OR(I761="TN",I761="TDN",I761="TNO2-3",I761="NO2-3")),VLOOKUP(E761,QCREC_N,2,),IF(AND(H761="NIC",OR(I761="TN",I761="TDN",I761="TNO2-3",I761="NO2-3")),VLOOKUP(E761,QCNIC_N,2,),IF(AND(H761="UREA",OR(I761="TN",I761="TDN",I761="TNO2-3",I761="NO2-3")),VLOOKUP(E761,QCUREA_N,2,),IF(H761="PER",VLOOKUP(I761,QCPER,MATCH(E761,QCACTUAL!$J$25:$AA$25,0),),IF(H761="SPK",VLOOKUP(I761,QCSPK,3,),IF(AND(H761="ATP",OR(I761="TP",I761="TDP")),VLOOKUP(E761,QCATP_P,2,),""))))))))</f>
        <v/>
      </c>
      <c r="W761" s="31" t="str">
        <f t="shared" si="79"/>
        <v>TRUE</v>
      </c>
      <c r="X761" s="31" t="str">
        <f t="shared" si="80"/>
        <v/>
      </c>
      <c r="Y761" s="10" t="s">
        <v>1021</v>
      </c>
      <c r="Z761" s="10" t="s">
        <v>910</v>
      </c>
      <c r="AF761" s="12">
        <v>44937</v>
      </c>
      <c r="AH761" s="10">
        <f>-2.8628*2.66^2+86.116*2.66-37.286</f>
        <v>171.52653232</v>
      </c>
      <c r="AI761" s="10">
        <f>-0.232*2.66^2+72.802*2.66-30.279</f>
        <v>161.73278080000003</v>
      </c>
      <c r="AK761" s="10">
        <f>0*2.66^2+67.076*2.66-21.654</f>
        <v>156.76815999999999</v>
      </c>
      <c r="AL761" s="10" t="str">
        <f t="shared" si="84"/>
        <v>FALSE</v>
      </c>
      <c r="AM761" s="10" t="str">
        <f t="shared" si="84"/>
        <v>y=-2.8628*2.66^2+86.116*2.66-37.286</v>
      </c>
      <c r="AN761" s="10" t="str">
        <f t="shared" si="84"/>
        <v>y=-0.232*2.66^2+72.802*2.66-30.279</v>
      </c>
      <c r="AO761" s="10" t="str">
        <f t="shared" si="85"/>
        <v>FALSE</v>
      </c>
      <c r="AP761" s="10" t="str">
        <f t="shared" si="85"/>
        <v>y=0*2.66^2+67.076*2.66-21.654</v>
      </c>
      <c r="AQ761" s="10" t="b">
        <f>IF(AND(I761="TP",S761&lt;=150),VLOOKUP(AF761,TPCalibEq150!$AZ$2:$BB$55,3,),IF(AND(I761="TDP",S761&lt;=150),VLOOKUP(AF761,TPCalibEq150!$AZ$2:$BB$55,3,)))</f>
        <v>0</v>
      </c>
      <c r="AR761" s="10" t="str">
        <f>IF(AND(I761="TP",S761&lt;=300),VLOOKUP(AF761,TPCalibEq300!$AZ$2:$BB$55,3,),IF(AND(I761="TDP",S761&lt;=300),VLOOKUP(AF761,TPCalibEq300!$AZ$2:$BB$55,3,)))</f>
        <v>y=-2.8628x2+86.116x-37.286</v>
      </c>
      <c r="AS761" s="10" t="str">
        <f>IF(AND(I761="TP",S761&lt;=500),VLOOKUP(AF761,TPCalibEq500!$AZ$2:$BB$56,3,),IF(AND(I761="TDP",S761&lt;=500),VLOOKUP(AF761,TPCalibEq500!$AZ$2:$BB$56,3,)))</f>
        <v>y=-0.232x2+72.802x-30.279</v>
      </c>
      <c r="AT761" s="10" t="b">
        <f>IF(AND(I761="TN",S761&lt;=2800),VLOOKUP(AF761,TNCalibEq2500!$AZ$2:$BB$56,3,),IF(AND(I761="TDN",S761&lt;=2800),VLOOKUP(AF761,TNCalibEq2500!$AZ$2:$BB$56,3,)))</f>
        <v>0</v>
      </c>
      <c r="AU761" s="10" t="str">
        <f>IF(I761="TP",VLOOKUP(AF761,TPCalibEqFull!$AZ$2:$BB$56,3),IF(I761="TDP",VLOOKUP(AF761,TPCalibEqFull!$AZ$2:$BB$56,3),IF(I761="TDN",VLOOKUP(AF761,TNCalibEqFull!$AZ$1:$BB$56,3),IF(I761="TN",VLOOKUP(AF761,TNCalibEqFull!$AZ$1:$BB$56,3),FALSE))))</f>
        <v>y=0x2+67.076x-21.654</v>
      </c>
      <c r="AV761" s="10" t="str">
        <f t="shared" si="81"/>
        <v>0106 12:35:00-HST-0-C-1-SW-UKN</v>
      </c>
    </row>
    <row r="762" spans="1:48" s="10" customFormat="1" x14ac:dyDescent="0.55000000000000004">
      <c r="A762" s="32">
        <v>44935</v>
      </c>
      <c r="B762" s="33">
        <v>0.39166666666666666</v>
      </c>
      <c r="C762" s="10" t="s">
        <v>279</v>
      </c>
      <c r="D762" s="10">
        <v>0</v>
      </c>
      <c r="E762" s="10" t="s">
        <v>160</v>
      </c>
      <c r="F762" s="10">
        <v>1</v>
      </c>
      <c r="G762" s="10" t="s">
        <v>231</v>
      </c>
      <c r="H762" s="10" t="s">
        <v>322</v>
      </c>
      <c r="I762" s="10" t="s">
        <v>83</v>
      </c>
      <c r="J762" s="10">
        <v>97</v>
      </c>
      <c r="K762" s="12">
        <v>44937</v>
      </c>
      <c r="L762" s="33">
        <v>0.61608796296296298</v>
      </c>
      <c r="M762" s="10">
        <v>1</v>
      </c>
      <c r="N762" s="10" t="s">
        <v>84</v>
      </c>
      <c r="O762" s="10">
        <v>2.11</v>
      </c>
      <c r="P762" s="10">
        <v>0.14899999999999999</v>
      </c>
      <c r="Q762" s="10">
        <v>119</v>
      </c>
      <c r="R762" s="10" t="s">
        <v>85</v>
      </c>
      <c r="S762" s="34">
        <f t="shared" si="77"/>
        <v>131.67328812</v>
      </c>
      <c r="T762" s="10" t="s">
        <v>1035</v>
      </c>
      <c r="U762" s="34" t="str">
        <f t="shared" si="78"/>
        <v/>
      </c>
      <c r="V762" s="31" t="str">
        <f>IF(H762="CHK",VLOOKUP(I762,QCCHK,3,),IF(H762="GUP",VLOOKUP(E762,QCGUP,2,),IF(AND(H762="ATP",OR(I762="TN",I762="TDN",I762="TNO2-3",I762="NO2-3")),VLOOKUP(E762,QCREC_N,2,),IF(AND(H762="NIC",OR(I762="TN",I762="TDN",I762="TNO2-3",I762="NO2-3")),VLOOKUP(E762,QCNIC_N,2,),IF(AND(H762="UREA",OR(I762="TN",I762="TDN",I762="TNO2-3",I762="NO2-3")),VLOOKUP(E762,QCUREA_N,2,),IF(H762="PER",VLOOKUP(I762,QCPER,MATCH(E762,QCACTUAL!$J$25:$AA$25,0),),IF(H762="SPK",VLOOKUP(I762,QCSPK,3,),IF(AND(H762="ATP",OR(I762="TP",I762="TDP")),VLOOKUP(E762,QCATP_P,2,),""))))))))</f>
        <v/>
      </c>
      <c r="W762" s="31" t="str">
        <f t="shared" si="79"/>
        <v>TRUE</v>
      </c>
      <c r="X762" s="31" t="str">
        <f t="shared" si="80"/>
        <v/>
      </c>
      <c r="Y762" s="10" t="s">
        <v>1021</v>
      </c>
      <c r="Z762" s="10" t="s">
        <v>910</v>
      </c>
      <c r="AF762" s="12">
        <v>44937</v>
      </c>
      <c r="AG762" s="10">
        <f>-1.7779*2.11^2+83.185*2.11-35.938</f>
        <v>131.66696141</v>
      </c>
      <c r="AH762" s="10">
        <f>-2.8628*2.11^2+86.116*2.11-37.286</f>
        <v>131.67328812</v>
      </c>
      <c r="AI762" s="10">
        <f>-0.232*2.11^2+72.802*2.11-30.279</f>
        <v>122.30033280000001</v>
      </c>
      <c r="AK762" s="10">
        <f>0*2.11^2+67.076*2.11-21.654</f>
        <v>119.87635999999998</v>
      </c>
      <c r="AL762" s="10" t="str">
        <f t="shared" si="84"/>
        <v>y=-1.7779*2.11^2+83.185*2.11-35.938</v>
      </c>
      <c r="AM762" s="10" t="str">
        <f t="shared" si="84"/>
        <v>y=-2.8628*2.11^2+86.116*2.11-37.286</v>
      </c>
      <c r="AN762" s="10" t="str">
        <f t="shared" si="84"/>
        <v>y=-0.232*2.11^2+72.802*2.11-30.279</v>
      </c>
      <c r="AO762" s="10" t="str">
        <f t="shared" si="85"/>
        <v>FALSE</v>
      </c>
      <c r="AP762" s="10" t="str">
        <f t="shared" si="85"/>
        <v>y=0*2.11^2+67.076*2.11-21.654</v>
      </c>
      <c r="AQ762" s="10" t="str">
        <f>IF(AND(I762="TP",S762&lt;=150),VLOOKUP(AF762,TPCalibEq150!$AZ$2:$BB$55,3,),IF(AND(I762="TDP",S762&lt;=150),VLOOKUP(AF762,TPCalibEq150!$AZ$2:$BB$55,3,)))</f>
        <v>y=-1.7779x2+83.185x-35.938</v>
      </c>
      <c r="AR762" s="10" t="str">
        <f>IF(AND(I762="TP",S762&lt;=300),VLOOKUP(AF762,TPCalibEq300!$AZ$2:$BB$55,3,),IF(AND(I762="TDP",S762&lt;=300),VLOOKUP(AF762,TPCalibEq300!$AZ$2:$BB$55,3,)))</f>
        <v>y=-2.8628x2+86.116x-37.286</v>
      </c>
      <c r="AS762" s="10" t="str">
        <f>IF(AND(I762="TP",S762&lt;=500),VLOOKUP(AF762,TPCalibEq500!$AZ$2:$BB$56,3,),IF(AND(I762="TDP",S762&lt;=500),VLOOKUP(AF762,TPCalibEq500!$AZ$2:$BB$56,3,)))</f>
        <v>y=-0.232x2+72.802x-30.279</v>
      </c>
      <c r="AT762" s="10" t="b">
        <f>IF(AND(I762="TN",S762&lt;=2800),VLOOKUP(AF762,TNCalibEq2500!$AZ$2:$BB$56,3,),IF(AND(I762="TDN",S762&lt;=2800),VLOOKUP(AF762,TNCalibEq2500!$AZ$2:$BB$56,3,)))</f>
        <v>0</v>
      </c>
      <c r="AU762" s="10" t="str">
        <f>IF(I762="TP",VLOOKUP(AF762,TPCalibEqFull!$AZ$2:$BB$56,3),IF(I762="TDP",VLOOKUP(AF762,TPCalibEqFull!$AZ$2:$BB$56,3),IF(I762="TDN",VLOOKUP(AF762,TNCalibEqFull!$AZ$1:$BB$56,3),IF(I762="TN",VLOOKUP(AF762,TNCalibEqFull!$AZ$1:$BB$56,3),FALSE))))</f>
        <v>y=0x2+67.076x-21.654</v>
      </c>
      <c r="AV762" s="10" t="str">
        <f t="shared" si="81"/>
        <v>0109 09:24:00-EFK-0-L-1-SW-UKN</v>
      </c>
    </row>
    <row r="763" spans="1:48" s="10" customFormat="1" x14ac:dyDescent="0.55000000000000004">
      <c r="A763" s="32">
        <v>44935</v>
      </c>
      <c r="B763" s="33">
        <v>0.30208333333333331</v>
      </c>
      <c r="C763" s="10" t="s">
        <v>333</v>
      </c>
      <c r="D763" s="10">
        <v>0</v>
      </c>
      <c r="E763" s="10" t="s">
        <v>190</v>
      </c>
      <c r="F763" s="10">
        <v>1</v>
      </c>
      <c r="G763" s="10" t="s">
        <v>231</v>
      </c>
      <c r="H763" s="10" t="s">
        <v>322</v>
      </c>
      <c r="I763" s="10" t="s">
        <v>83</v>
      </c>
      <c r="J763" s="10">
        <v>98</v>
      </c>
      <c r="K763" s="12">
        <v>44937</v>
      </c>
      <c r="L763" s="33">
        <v>0.61679398148148146</v>
      </c>
      <c r="M763" s="10">
        <v>1</v>
      </c>
      <c r="N763" s="10" t="s">
        <v>84</v>
      </c>
      <c r="O763" s="10">
        <v>1.48</v>
      </c>
      <c r="P763" s="10">
        <v>0.10299999999999999</v>
      </c>
      <c r="Q763" s="10">
        <v>78</v>
      </c>
      <c r="R763" s="10" t="s">
        <v>85</v>
      </c>
      <c r="S763" s="34">
        <f t="shared" si="77"/>
        <v>83.895002879999993</v>
      </c>
      <c r="T763" s="10" t="s">
        <v>1035</v>
      </c>
      <c r="U763" s="34" t="str">
        <f t="shared" si="78"/>
        <v/>
      </c>
      <c r="V763" s="31" t="str">
        <f>IF(H763="CHK",VLOOKUP(I763,QCCHK,3,),IF(H763="GUP",VLOOKUP(E763,QCGUP,2,),IF(AND(H763="ATP",OR(I763="TN",I763="TDN",I763="TNO2-3",I763="NO2-3")),VLOOKUP(E763,QCREC_N,2,),IF(AND(H763="NIC",OR(I763="TN",I763="TDN",I763="TNO2-3",I763="NO2-3")),VLOOKUP(E763,QCNIC_N,2,),IF(AND(H763="UREA",OR(I763="TN",I763="TDN",I763="TNO2-3",I763="NO2-3")),VLOOKUP(E763,QCUREA_N,2,),IF(H763="PER",VLOOKUP(I763,QCPER,MATCH(E763,QCACTUAL!$J$25:$AA$25,0),),IF(H763="SPK",VLOOKUP(I763,QCSPK,3,),IF(AND(H763="ATP",OR(I763="TP",I763="TDP")),VLOOKUP(E763,QCATP_P,2,),""))))))))</f>
        <v/>
      </c>
      <c r="W763" s="31" t="str">
        <f t="shared" si="79"/>
        <v>TRUE</v>
      </c>
      <c r="X763" s="31" t="str">
        <f t="shared" si="80"/>
        <v/>
      </c>
      <c r="Y763" s="10" t="s">
        <v>1021</v>
      </c>
      <c r="Z763" s="10" t="s">
        <v>910</v>
      </c>
      <c r="AF763" s="12">
        <v>44937</v>
      </c>
      <c r="AG763" s="10">
        <f>-1.7779*1.48^2+83.185*1.48-35.938</f>
        <v>83.281487839999997</v>
      </c>
      <c r="AH763" s="10">
        <f>-2.8628*1.48^2+86.116*1.48-37.286</f>
        <v>83.895002879999993</v>
      </c>
      <c r="AI763" s="10">
        <f>-0.232*1.48^2+72.802*1.48-30.279</f>
        <v>76.959787200000022</v>
      </c>
      <c r="AK763" s="10">
        <f>0*1.48^2+67.076*1.48-21.654</f>
        <v>77.618479999999991</v>
      </c>
      <c r="AL763" s="10" t="str">
        <f t="shared" si="84"/>
        <v>y=-1.7779*1.48^2+83.185*1.48-35.938</v>
      </c>
      <c r="AM763" s="10" t="str">
        <f t="shared" si="84"/>
        <v>y=-2.8628*1.48^2+86.116*1.48-37.286</v>
      </c>
      <c r="AN763" s="10" t="str">
        <f t="shared" si="84"/>
        <v>y=-0.232*1.48^2+72.802*1.48-30.279</v>
      </c>
      <c r="AO763" s="10" t="str">
        <f t="shared" si="85"/>
        <v>FALSE</v>
      </c>
      <c r="AP763" s="10" t="str">
        <f t="shared" si="85"/>
        <v>y=0*1.48^2+67.076*1.48-21.654</v>
      </c>
      <c r="AQ763" s="10" t="str">
        <f>IF(AND(I763="TP",S763&lt;=150),VLOOKUP(AF763,TPCalibEq150!$AZ$2:$BB$55,3,),IF(AND(I763="TDP",S763&lt;=150),VLOOKUP(AF763,TPCalibEq150!$AZ$2:$BB$55,3,)))</f>
        <v>y=-1.7779x2+83.185x-35.938</v>
      </c>
      <c r="AR763" s="10" t="str">
        <f>IF(AND(I763="TP",S763&lt;=300),VLOOKUP(AF763,TPCalibEq300!$AZ$2:$BB$55,3,),IF(AND(I763="TDP",S763&lt;=300),VLOOKUP(AF763,TPCalibEq300!$AZ$2:$BB$55,3,)))</f>
        <v>y=-2.8628x2+86.116x-37.286</v>
      </c>
      <c r="AS763" s="10" t="str">
        <f>IF(AND(I763="TP",S763&lt;=500),VLOOKUP(AF763,TPCalibEq500!$AZ$2:$BB$56,3,),IF(AND(I763="TDP",S763&lt;=500),VLOOKUP(AF763,TPCalibEq500!$AZ$2:$BB$56,3,)))</f>
        <v>y=-0.232x2+72.802x-30.279</v>
      </c>
      <c r="AT763" s="10" t="b">
        <f>IF(AND(I763="TN",S763&lt;=2800),VLOOKUP(AF763,TNCalibEq2500!$AZ$2:$BB$56,3,),IF(AND(I763="TDN",S763&lt;=2800),VLOOKUP(AF763,TNCalibEq2500!$AZ$2:$BB$56,3,)))</f>
        <v>0</v>
      </c>
      <c r="AU763" s="10" t="str">
        <f>IF(I763="TP",VLOOKUP(AF763,TPCalibEqFull!$AZ$2:$BB$56,3),IF(I763="TDP",VLOOKUP(AF763,TPCalibEqFull!$AZ$2:$BB$56,3),IF(I763="TDN",VLOOKUP(AF763,TNCalibEqFull!$AZ$1:$BB$56,3),IF(I763="TN",VLOOKUP(AF763,TNCalibEqFull!$AZ$1:$BB$56,3),FALSE))))</f>
        <v>y=0x2+67.076x-21.654</v>
      </c>
      <c r="AV763" s="10" t="str">
        <f t="shared" si="81"/>
        <v>0109 07:15:00-HST-0-C-1-SW-UKN</v>
      </c>
    </row>
    <row r="764" spans="1:48" s="10" customFormat="1" x14ac:dyDescent="0.55000000000000004">
      <c r="A764" s="32">
        <v>44936</v>
      </c>
      <c r="B764" s="33">
        <v>0.39166666666666666</v>
      </c>
      <c r="C764" s="10" t="s">
        <v>279</v>
      </c>
      <c r="D764" s="10">
        <v>0</v>
      </c>
      <c r="E764" s="10" t="s">
        <v>160</v>
      </c>
      <c r="F764" s="10">
        <v>1</v>
      </c>
      <c r="G764" s="10" t="s">
        <v>231</v>
      </c>
      <c r="H764" s="10" t="s">
        <v>322</v>
      </c>
      <c r="I764" s="10" t="s">
        <v>83</v>
      </c>
      <c r="J764" s="10">
        <v>99</v>
      </c>
      <c r="K764" s="12">
        <v>44937</v>
      </c>
      <c r="L764" s="33">
        <v>0.6174884259259259</v>
      </c>
      <c r="M764" s="10">
        <v>1</v>
      </c>
      <c r="N764" s="10" t="s">
        <v>84</v>
      </c>
      <c r="O764" s="10">
        <v>2.15</v>
      </c>
      <c r="P764" s="10">
        <v>0.152</v>
      </c>
      <c r="Q764" s="10">
        <v>123</v>
      </c>
      <c r="R764" s="10" t="s">
        <v>85</v>
      </c>
      <c r="S764" s="34">
        <f t="shared" si="77"/>
        <v>134.69140725</v>
      </c>
      <c r="T764" s="10" t="s">
        <v>1035</v>
      </c>
      <c r="U764" s="34" t="str">
        <f t="shared" si="78"/>
        <v/>
      </c>
      <c r="V764" s="31" t="str">
        <f>IF(H764="CHK",VLOOKUP(I764,QCCHK,3,),IF(H764="GUP",VLOOKUP(E764,QCGUP,2,),IF(AND(H764="ATP",OR(I764="TN",I764="TDN",I764="TNO2-3",I764="NO2-3")),VLOOKUP(E764,QCREC_N,2,),IF(AND(H764="NIC",OR(I764="TN",I764="TDN",I764="TNO2-3",I764="NO2-3")),VLOOKUP(E764,QCNIC_N,2,),IF(AND(H764="UREA",OR(I764="TN",I764="TDN",I764="TNO2-3",I764="NO2-3")),VLOOKUP(E764,QCUREA_N,2,),IF(H764="PER",VLOOKUP(I764,QCPER,MATCH(E764,QCACTUAL!$J$25:$AA$25,0),),IF(H764="SPK",VLOOKUP(I764,QCSPK,3,),IF(AND(H764="ATP",OR(I764="TP",I764="TDP")),VLOOKUP(E764,QCATP_P,2,),""))))))))</f>
        <v/>
      </c>
      <c r="W764" s="31" t="str">
        <f t="shared" si="79"/>
        <v>TRUE</v>
      </c>
      <c r="X764" s="31" t="str">
        <f t="shared" si="80"/>
        <v/>
      </c>
      <c r="Y764" s="10" t="s">
        <v>1021</v>
      </c>
      <c r="AF764" s="12">
        <v>44937</v>
      </c>
      <c r="AG764" s="10">
        <f>-1.7779*2.15^2+83.185*2.15-35.938</f>
        <v>134.69140725</v>
      </c>
      <c r="AH764" s="10">
        <f>-2.8628*2.15^2+86.116*2.15-37.286</f>
        <v>134.63010699999998</v>
      </c>
      <c r="AI764" s="10">
        <f>-0.232*2.15^2+72.802*2.15-30.279</f>
        <v>125.17288000000002</v>
      </c>
      <c r="AK764" s="10">
        <f>0*2.15^2+67.076*2.15-21.654</f>
        <v>122.55939999999998</v>
      </c>
      <c r="AL764" s="10" t="str">
        <f t="shared" si="84"/>
        <v>y=-1.7779*2.15^2+83.185*2.15-35.938</v>
      </c>
      <c r="AM764" s="10" t="str">
        <f t="shared" si="84"/>
        <v>y=-2.8628*2.15^2+86.116*2.15-37.286</v>
      </c>
      <c r="AN764" s="10" t="str">
        <f t="shared" si="84"/>
        <v>y=-0.232*2.15^2+72.802*2.15-30.279</v>
      </c>
      <c r="AO764" s="10" t="str">
        <f t="shared" si="85"/>
        <v>FALSE</v>
      </c>
      <c r="AP764" s="10" t="str">
        <f t="shared" si="85"/>
        <v>y=0*2.15^2+67.076*2.15-21.654</v>
      </c>
      <c r="AQ764" s="10" t="str">
        <f>IF(AND(I764="TP",S764&lt;=150),VLOOKUP(AF764,TPCalibEq150!$AZ$2:$BB$55,3,),IF(AND(I764="TDP",S764&lt;=150),VLOOKUP(AF764,TPCalibEq150!$AZ$2:$BB$55,3,)))</f>
        <v>y=-1.7779x2+83.185x-35.938</v>
      </c>
      <c r="AR764" s="10" t="str">
        <f>IF(AND(I764="TP",S764&lt;=300),VLOOKUP(AF764,TPCalibEq300!$AZ$2:$BB$55,3,),IF(AND(I764="TDP",S764&lt;=300),VLOOKUP(AF764,TPCalibEq300!$AZ$2:$BB$55,3,)))</f>
        <v>y=-2.8628x2+86.116x-37.286</v>
      </c>
      <c r="AS764" s="10" t="str">
        <f>IF(AND(I764="TP",S764&lt;=500),VLOOKUP(AF764,TPCalibEq500!$AZ$2:$BB$56,3,),IF(AND(I764="TDP",S764&lt;=500),VLOOKUP(AF764,TPCalibEq500!$AZ$2:$BB$56,3,)))</f>
        <v>y=-0.232x2+72.802x-30.279</v>
      </c>
      <c r="AT764" s="10" t="b">
        <f>IF(AND(I764="TN",S764&lt;=2800),VLOOKUP(AF764,TNCalibEq2500!$AZ$2:$BB$56,3,),IF(AND(I764="TDN",S764&lt;=2800),VLOOKUP(AF764,TNCalibEq2500!$AZ$2:$BB$56,3,)))</f>
        <v>0</v>
      </c>
      <c r="AU764" s="10" t="str">
        <f>IF(I764="TP",VLOOKUP(AF764,TPCalibEqFull!$AZ$2:$BB$56,3),IF(I764="TDP",VLOOKUP(AF764,TPCalibEqFull!$AZ$2:$BB$56,3),IF(I764="TDN",VLOOKUP(AF764,TNCalibEqFull!$AZ$1:$BB$56,3),IF(I764="TN",VLOOKUP(AF764,TNCalibEqFull!$AZ$1:$BB$56,3),FALSE))))</f>
        <v>y=0x2+67.076x-21.654</v>
      </c>
      <c r="AV764" s="10" t="str">
        <f t="shared" si="81"/>
        <v>0110 09:24:00-EFK-0-L-1-SW-UKN</v>
      </c>
    </row>
    <row r="765" spans="1:48" s="10" customFormat="1" x14ac:dyDescent="0.55000000000000004">
      <c r="A765" s="32">
        <v>44936</v>
      </c>
      <c r="B765" s="33">
        <v>0.39583333333333331</v>
      </c>
      <c r="C765" s="10" t="s">
        <v>333</v>
      </c>
      <c r="D765" s="10">
        <v>0</v>
      </c>
      <c r="E765" s="10" t="s">
        <v>190</v>
      </c>
      <c r="F765" s="10">
        <v>1</v>
      </c>
      <c r="G765" s="10" t="s">
        <v>231</v>
      </c>
      <c r="H765" s="10" t="s">
        <v>322</v>
      </c>
      <c r="I765" s="10" t="s">
        <v>83</v>
      </c>
      <c r="J765" s="10">
        <v>100</v>
      </c>
      <c r="K765" s="12">
        <v>44937</v>
      </c>
      <c r="L765" s="33">
        <v>0.61818287037037034</v>
      </c>
      <c r="M765" s="10">
        <v>1</v>
      </c>
      <c r="N765" s="10" t="s">
        <v>84</v>
      </c>
      <c r="O765" s="10">
        <v>1.36</v>
      </c>
      <c r="P765" s="10">
        <v>9.4200000000000006E-2</v>
      </c>
      <c r="Q765" s="10">
        <v>70.099999999999994</v>
      </c>
      <c r="R765" s="10" t="s">
        <v>85</v>
      </c>
      <c r="S765" s="34">
        <f t="shared" si="77"/>
        <v>74.53672512</v>
      </c>
      <c r="T765" s="10" t="s">
        <v>1035</v>
      </c>
      <c r="U765" s="34" t="str">
        <f t="shared" si="78"/>
        <v/>
      </c>
      <c r="V765" s="31" t="str">
        <f>IF(H765="CHK",VLOOKUP(I765,QCCHK,3,),IF(H765="GUP",VLOOKUP(E765,QCGUP,2,),IF(AND(H765="ATP",OR(I765="TN",I765="TDN",I765="TNO2-3",I765="NO2-3")),VLOOKUP(E765,QCREC_N,2,),IF(AND(H765="NIC",OR(I765="TN",I765="TDN",I765="TNO2-3",I765="NO2-3")),VLOOKUP(E765,QCNIC_N,2,),IF(AND(H765="UREA",OR(I765="TN",I765="TDN",I765="TNO2-3",I765="NO2-3")),VLOOKUP(E765,QCUREA_N,2,),IF(H765="PER",VLOOKUP(I765,QCPER,MATCH(E765,QCACTUAL!$J$25:$AA$25,0),),IF(H765="SPK",VLOOKUP(I765,QCSPK,3,),IF(AND(H765="ATP",OR(I765="TP",I765="TDP")),VLOOKUP(E765,QCATP_P,2,),""))))))))</f>
        <v/>
      </c>
      <c r="W765" s="31" t="str">
        <f t="shared" si="79"/>
        <v>TRUE</v>
      </c>
      <c r="X765" s="31" t="str">
        <f t="shared" si="80"/>
        <v/>
      </c>
      <c r="Y765" s="10" t="s">
        <v>1021</v>
      </c>
      <c r="AF765" s="12">
        <v>44937</v>
      </c>
      <c r="AG765" s="10">
        <f>-1.7779*1.36^2+83.185*1.36-35.938</f>
        <v>73.905196160000003</v>
      </c>
      <c r="AH765" s="10">
        <f>-2.8628*1.36^2+86.116*1.36-37.286</f>
        <v>74.53672512</v>
      </c>
      <c r="AI765" s="10">
        <f>-0.232*1.36^2+72.802*1.36-30.279</f>
        <v>68.30261280000002</v>
      </c>
      <c r="AK765" s="10">
        <f>0*1.36^2+67.076*1.36-21.654</f>
        <v>69.569360000000003</v>
      </c>
      <c r="AL765" s="10" t="str">
        <f t="shared" si="84"/>
        <v>y=-1.7779*1.36^2+83.185*1.36-35.938</v>
      </c>
      <c r="AM765" s="10" t="str">
        <f t="shared" si="84"/>
        <v>y=-2.8628*1.36^2+86.116*1.36-37.286</v>
      </c>
      <c r="AN765" s="10" t="str">
        <f t="shared" si="84"/>
        <v>y=-0.232*1.36^2+72.802*1.36-30.279</v>
      </c>
      <c r="AO765" s="10" t="str">
        <f t="shared" si="85"/>
        <v>FALSE</v>
      </c>
      <c r="AP765" s="10" t="str">
        <f t="shared" si="85"/>
        <v>y=0*1.36^2+67.076*1.36-21.654</v>
      </c>
      <c r="AQ765" s="10" t="str">
        <f>IF(AND(I765="TP",S765&lt;=150),VLOOKUP(AF765,TPCalibEq150!$AZ$2:$BB$55,3,),IF(AND(I765="TDP",S765&lt;=150),VLOOKUP(AF765,TPCalibEq150!$AZ$2:$BB$55,3,)))</f>
        <v>y=-1.7779x2+83.185x-35.938</v>
      </c>
      <c r="AR765" s="10" t="str">
        <f>IF(AND(I765="TP",S765&lt;=300),VLOOKUP(AF765,TPCalibEq300!$AZ$2:$BB$55,3,),IF(AND(I765="TDP",S765&lt;=300),VLOOKUP(AF765,TPCalibEq300!$AZ$2:$BB$55,3,)))</f>
        <v>y=-2.8628x2+86.116x-37.286</v>
      </c>
      <c r="AS765" s="10" t="str">
        <f>IF(AND(I765="TP",S765&lt;=500),VLOOKUP(AF765,TPCalibEq500!$AZ$2:$BB$56,3,),IF(AND(I765="TDP",S765&lt;=500),VLOOKUP(AF765,TPCalibEq500!$AZ$2:$BB$56,3,)))</f>
        <v>y=-0.232x2+72.802x-30.279</v>
      </c>
      <c r="AT765" s="10" t="b">
        <f>IF(AND(I765="TN",S765&lt;=2800),VLOOKUP(AF765,TNCalibEq2500!$AZ$2:$BB$56,3,),IF(AND(I765="TDN",S765&lt;=2800),VLOOKUP(AF765,TNCalibEq2500!$AZ$2:$BB$56,3,)))</f>
        <v>0</v>
      </c>
      <c r="AU765" s="10" t="str">
        <f>IF(I765="TP",VLOOKUP(AF765,TPCalibEqFull!$AZ$2:$BB$56,3),IF(I765="TDP",VLOOKUP(AF765,TPCalibEqFull!$AZ$2:$BB$56,3),IF(I765="TDN",VLOOKUP(AF765,TNCalibEqFull!$AZ$1:$BB$56,3),IF(I765="TN",VLOOKUP(AF765,TNCalibEqFull!$AZ$1:$BB$56,3),FALSE))))</f>
        <v>y=0x2+67.076x-21.654</v>
      </c>
      <c r="AV765" s="10" t="str">
        <f t="shared" si="81"/>
        <v>0110 09:30:00-HST-0-C-1-SW-UKN</v>
      </c>
    </row>
    <row r="766" spans="1:48" s="10" customFormat="1" x14ac:dyDescent="0.55000000000000004">
      <c r="A766" s="32">
        <v>44936</v>
      </c>
      <c r="B766" s="33">
        <v>0.39583333333333331</v>
      </c>
      <c r="C766" s="10" t="s">
        <v>333</v>
      </c>
      <c r="D766" s="10">
        <v>0</v>
      </c>
      <c r="E766" s="10" t="s">
        <v>190</v>
      </c>
      <c r="F766" s="10">
        <v>1</v>
      </c>
      <c r="G766" s="10" t="s">
        <v>231</v>
      </c>
      <c r="H766" s="10" t="s">
        <v>233</v>
      </c>
      <c r="I766" s="10" t="s">
        <v>83</v>
      </c>
      <c r="J766" s="10">
        <v>100</v>
      </c>
      <c r="K766" s="12">
        <v>44937</v>
      </c>
      <c r="L766" s="33">
        <v>0.61887731481481478</v>
      </c>
      <c r="M766" s="10">
        <v>1</v>
      </c>
      <c r="N766" s="10" t="s">
        <v>84</v>
      </c>
      <c r="O766" s="10">
        <v>1.34</v>
      </c>
      <c r="P766" s="10">
        <v>9.3700000000000006E-2</v>
      </c>
      <c r="Q766" s="10">
        <v>69</v>
      </c>
      <c r="R766" s="10" t="s">
        <v>85</v>
      </c>
      <c r="S766" s="34">
        <f t="shared" si="77"/>
        <v>72.968996320000002</v>
      </c>
      <c r="T766" s="10" t="s">
        <v>1035</v>
      </c>
      <c r="U766" s="34">
        <f t="shared" si="78"/>
        <v>2.1256515133044425</v>
      </c>
      <c r="V766" s="31" t="str">
        <f>IF(H766="CHK",VLOOKUP(I766,QCCHK,3,),IF(H766="GUP",VLOOKUP(E766,QCGUP,2,),IF(AND(H766="ATP",OR(I766="TN",I766="TDN",I766="TNO2-3",I766="NO2-3")),VLOOKUP(E766,QCREC_N,2,),IF(AND(H766="NIC",OR(I766="TN",I766="TDN",I766="TNO2-3",I766="NO2-3")),VLOOKUP(E766,QCNIC_N,2,),IF(AND(H766="UREA",OR(I766="TN",I766="TDN",I766="TNO2-3",I766="NO2-3")),VLOOKUP(E766,QCUREA_N,2,),IF(H766="PER",VLOOKUP(I766,QCPER,MATCH(E766,QCACTUAL!$J$25:$AA$25,0),),IF(H766="SPK",VLOOKUP(I766,QCSPK,3,),IF(AND(H766="ATP",OR(I766="TP",I766="TDP")),VLOOKUP(E766,QCATP_P,2,),""))))))))</f>
        <v/>
      </c>
      <c r="W766" s="31" t="str">
        <f t="shared" si="79"/>
        <v>TRUE</v>
      </c>
      <c r="X766" s="31" t="str">
        <f t="shared" si="80"/>
        <v>((ABS(rep1-rep2))/((rep1+rep2)/2)*100</v>
      </c>
      <c r="Y766" s="10" t="s">
        <v>1021</v>
      </c>
      <c r="AF766" s="12">
        <v>44937</v>
      </c>
      <c r="AG766" s="10">
        <f>-1.7779*1.34^2+83.185*1.34-35.938</f>
        <v>72.337502760000007</v>
      </c>
      <c r="AH766" s="10">
        <f>-2.8628*1.34^2+86.116*1.34-37.286</f>
        <v>72.968996320000002</v>
      </c>
      <c r="AI766" s="10">
        <f>-0.232*1.34^2+72.802*1.34-30.279</f>
        <v>66.859100800000022</v>
      </c>
      <c r="AK766" s="10">
        <f>0*1.34^2+67.076*1.34-21.654</f>
        <v>68.22784</v>
      </c>
      <c r="AL766" s="10" t="str">
        <f t="shared" si="84"/>
        <v>y=-1.7779*1.34^2+83.185*1.34-35.938</v>
      </c>
      <c r="AM766" s="10" t="str">
        <f t="shared" si="84"/>
        <v>y=-2.8628*1.34^2+86.116*1.34-37.286</v>
      </c>
      <c r="AN766" s="10" t="str">
        <f t="shared" si="84"/>
        <v>y=-0.232*1.34^2+72.802*1.34-30.279</v>
      </c>
      <c r="AO766" s="10" t="str">
        <f t="shared" si="85"/>
        <v>FALSE</v>
      </c>
      <c r="AP766" s="10" t="str">
        <f t="shared" si="85"/>
        <v>y=0*1.34^2+67.076*1.34-21.654</v>
      </c>
      <c r="AQ766" s="10" t="str">
        <f>IF(AND(I766="TP",S766&lt;=150),VLOOKUP(AF766,TPCalibEq150!$AZ$2:$BB$55,3,),IF(AND(I766="TDP",S766&lt;=150),VLOOKUP(AF766,TPCalibEq150!$AZ$2:$BB$55,3,)))</f>
        <v>y=-1.7779x2+83.185x-35.938</v>
      </c>
      <c r="AR766" s="10" t="str">
        <f>IF(AND(I766="TP",S766&lt;=300),VLOOKUP(AF766,TPCalibEq300!$AZ$2:$BB$55,3,),IF(AND(I766="TDP",S766&lt;=300),VLOOKUP(AF766,TPCalibEq300!$AZ$2:$BB$55,3,)))</f>
        <v>y=-2.8628x2+86.116x-37.286</v>
      </c>
      <c r="AS766" s="10" t="str">
        <f>IF(AND(I766="TP",S766&lt;=500),VLOOKUP(AF766,TPCalibEq500!$AZ$2:$BB$56,3,),IF(AND(I766="TDP",S766&lt;=500),VLOOKUP(AF766,TPCalibEq500!$AZ$2:$BB$56,3,)))</f>
        <v>y=-0.232x2+72.802x-30.279</v>
      </c>
      <c r="AT766" s="10" t="b">
        <f>IF(AND(I766="TN",S766&lt;=2800),VLOOKUP(AF766,TNCalibEq2500!$AZ$2:$BB$56,3,),IF(AND(I766="TDN",S766&lt;=2800),VLOOKUP(AF766,TNCalibEq2500!$AZ$2:$BB$56,3,)))</f>
        <v>0</v>
      </c>
      <c r="AU766" s="10" t="str">
        <f>IF(I766="TP",VLOOKUP(AF766,TPCalibEqFull!$AZ$2:$BB$56,3),IF(I766="TDP",VLOOKUP(AF766,TPCalibEqFull!$AZ$2:$BB$56,3),IF(I766="TDN",VLOOKUP(AF766,TNCalibEqFull!$AZ$1:$BB$56,3),IF(I766="TN",VLOOKUP(AF766,TNCalibEqFull!$AZ$1:$BB$56,3),FALSE))))</f>
        <v>y=0x2+67.076x-21.654</v>
      </c>
      <c r="AV766" s="10" t="str">
        <f t="shared" si="81"/>
        <v>0110 09:30:00-HST-0-C-1-SW-DUP</v>
      </c>
    </row>
    <row r="767" spans="1:48" s="10" customFormat="1" x14ac:dyDescent="0.55000000000000004">
      <c r="A767" s="32">
        <v>44936</v>
      </c>
      <c r="B767" s="33">
        <v>0.39583333333333331</v>
      </c>
      <c r="C767" s="10" t="s">
        <v>912</v>
      </c>
      <c r="D767" s="10">
        <v>0</v>
      </c>
      <c r="E767" s="10" t="s">
        <v>190</v>
      </c>
      <c r="F767" s="10">
        <v>1</v>
      </c>
      <c r="G767" s="10" t="s">
        <v>231</v>
      </c>
      <c r="H767" s="10" t="s">
        <v>314</v>
      </c>
      <c r="I767" s="10" t="s">
        <v>83</v>
      </c>
      <c r="J767" s="10">
        <v>119</v>
      </c>
      <c r="K767" s="12">
        <v>44937</v>
      </c>
      <c r="L767" s="33">
        <v>0.61957175925925922</v>
      </c>
      <c r="M767" s="10">
        <v>1</v>
      </c>
      <c r="N767" s="10" t="s">
        <v>84</v>
      </c>
      <c r="O767" s="10">
        <v>17.3</v>
      </c>
      <c r="P767" s="10">
        <v>1.22</v>
      </c>
      <c r="Q767" s="10">
        <v>1130</v>
      </c>
      <c r="R767" s="10" t="s">
        <v>85</v>
      </c>
      <c r="S767" s="34">
        <f t="shared" si="77"/>
        <v>1138.7608</v>
      </c>
      <c r="T767" s="10" t="s">
        <v>1035</v>
      </c>
      <c r="U767" s="34">
        <f t="shared" si="78"/>
        <v>106.57918036800001</v>
      </c>
      <c r="V767" s="31">
        <f>IF(H767="CHK",VLOOKUP(I767,QCCHK,3,),IF(H767="GUP",VLOOKUP(E767,QCGUP,2,),IF(AND(H767="ATP",OR(I767="TN",I767="TDN",I767="TNO2-3",I767="NO2-3")),VLOOKUP(E767,QCREC_N,2,),IF(AND(H767="NIC",OR(I767="TN",I767="TDN",I767="TNO2-3",I767="NO2-3")),VLOOKUP(E767,QCNIC_N,2,),IF(AND(H767="UREA",OR(I767="TN",I767="TDN",I767="TNO2-3",I767="NO2-3")),VLOOKUP(E767,QCUREA_N,2,),IF(H767="PER",VLOOKUP(I767,QCPER,MATCH(E767,QCACTUAL!$J$25:$AA$25,0),),IF(H767="SPK",VLOOKUP(I767,QCSPK,3,),IF(AND(H767="ATP",OR(I767="TP",I767="TDP")),VLOOKUP(E767,QCATP_P,2,),""))))))))</f>
        <v>1000</v>
      </c>
      <c r="W767" s="31" t="str">
        <f t="shared" si="79"/>
        <v>TRUE</v>
      </c>
      <c r="X767" s="31" t="str">
        <f t="shared" si="80"/>
        <v>([spikedunkn]-[unkn])/[spike]*100</v>
      </c>
      <c r="Y767" s="10" t="s">
        <v>1021</v>
      </c>
      <c r="AF767" s="12">
        <v>44937</v>
      </c>
      <c r="AK767" s="10">
        <f>0*17.3^2+67.076*17.3-21.654</f>
        <v>1138.7608</v>
      </c>
      <c r="AL767" s="10" t="str">
        <f t="shared" si="84"/>
        <v>FALSE</v>
      </c>
      <c r="AM767" s="10" t="str">
        <f t="shared" si="84"/>
        <v>FALSE</v>
      </c>
      <c r="AN767" s="10" t="str">
        <f t="shared" si="84"/>
        <v>FALSE</v>
      </c>
      <c r="AO767" s="10" t="str">
        <f t="shared" si="85"/>
        <v>FALSE</v>
      </c>
      <c r="AP767" s="10" t="str">
        <f t="shared" si="85"/>
        <v>y=0*17.3^2+67.076*17.3-21.654</v>
      </c>
      <c r="AQ767" s="10" t="b">
        <f>IF(AND(I767="TP",S767&lt;=150),VLOOKUP(AF767,TPCalibEq150!$AZ$2:$BB$55,3,),IF(AND(I767="TDP",S767&lt;=150),VLOOKUP(AF767,TPCalibEq150!$AZ$2:$BB$55,3,)))</f>
        <v>0</v>
      </c>
      <c r="AR767" s="10" t="b">
        <f>IF(AND(I767="TP",S767&lt;=300),VLOOKUP(AF767,TPCalibEq300!$AZ$2:$BB$55,3,),IF(AND(I767="TDP",S767&lt;=300),VLOOKUP(AF767,TPCalibEq300!$AZ$2:$BB$55,3,)))</f>
        <v>0</v>
      </c>
      <c r="AS767" s="10" t="b">
        <f>IF(AND(I767="TP",S767&lt;=500),VLOOKUP(AF767,TPCalibEq500!$AZ$2:$BB$56,3,),IF(AND(I767="TDP",S767&lt;=500),VLOOKUP(AF767,TPCalibEq500!$AZ$2:$BB$56,3,)))</f>
        <v>0</v>
      </c>
      <c r="AT767" s="10" t="b">
        <f>IF(AND(I767="TN",S767&lt;=2800),VLOOKUP(AF767,TNCalibEq2500!$AZ$2:$BB$56,3,),IF(AND(I767="TDN",S767&lt;=2800),VLOOKUP(AF767,TNCalibEq2500!$AZ$2:$BB$56,3,)))</f>
        <v>0</v>
      </c>
      <c r="AU767" s="10" t="str">
        <f>IF(I767="TP",VLOOKUP(AF767,TPCalibEqFull!$AZ$2:$BB$56,3),IF(I767="TDP",VLOOKUP(AF767,TPCalibEqFull!$AZ$2:$BB$56,3),IF(I767="TDN",VLOOKUP(AF767,TNCalibEqFull!$AZ$1:$BB$56,3),IF(I767="TN",VLOOKUP(AF767,TNCalibEqFull!$AZ$1:$BB$56,3),FALSE))))</f>
        <v>y=0x2+67.076x-21.654</v>
      </c>
      <c r="AV767" s="10" t="str">
        <f t="shared" si="81"/>
        <v>0110 09:30:00-HST -0-C-1-SW-SPK</v>
      </c>
    </row>
    <row r="768" spans="1:48" s="10" customFormat="1" x14ac:dyDescent="0.55000000000000004">
      <c r="A768" s="32">
        <v>44937</v>
      </c>
      <c r="B768" s="33">
        <v>0.375</v>
      </c>
      <c r="C768" s="10" t="s">
        <v>70</v>
      </c>
      <c r="D768" s="10" t="s">
        <v>71</v>
      </c>
      <c r="E768" s="10" t="s">
        <v>901</v>
      </c>
      <c r="F768" s="10">
        <v>1</v>
      </c>
      <c r="G768" s="10" t="s">
        <v>73</v>
      </c>
      <c r="H768" s="10" t="s">
        <v>207</v>
      </c>
      <c r="I768" s="10" t="s">
        <v>83</v>
      </c>
      <c r="J768" s="10">
        <v>199</v>
      </c>
      <c r="K768" s="12">
        <v>44937</v>
      </c>
      <c r="L768" s="33">
        <v>0.62027777777777782</v>
      </c>
      <c r="M768" s="10">
        <v>1</v>
      </c>
      <c r="N768" s="10" t="s">
        <v>84</v>
      </c>
      <c r="O768" s="10">
        <v>8.24</v>
      </c>
      <c r="P768" s="10">
        <v>0.59099999999999997</v>
      </c>
      <c r="Q768" s="10">
        <v>526</v>
      </c>
      <c r="R768" s="10" t="s">
        <v>85</v>
      </c>
      <c r="S768" s="34">
        <f t="shared" si="77"/>
        <v>531.05223999999998</v>
      </c>
      <c r="T768" s="10" t="s">
        <v>1035</v>
      </c>
      <c r="U768" s="34">
        <f t="shared" si="78"/>
        <v>106.21044799999999</v>
      </c>
      <c r="V768" s="31">
        <f>IF(H768="CHK",VLOOKUP(I768,QCCHK,3,),IF(H768="GUP",VLOOKUP(E768,QCGUP,2,),IF(AND(H768="ATP",OR(I768="TN",I768="TDN",I768="TNO2-3",I768="NO2-3")),VLOOKUP(E768,QCREC_N,2,),IF(AND(H768="NIC",OR(I768="TN",I768="TDN",I768="TNO2-3",I768="NO2-3")),VLOOKUP(E768,QCNIC_N,2,),IF(AND(H768="UREA",OR(I768="TN",I768="TDN",I768="TNO2-3",I768="NO2-3")),VLOOKUP(E768,QCUREA_N,2,),IF(H768="PER",VLOOKUP(I768,QCPER,MATCH(E768,QCACTUAL!$J$25:$AA$25,0),),IF(H768="SPK",VLOOKUP(I768,QCSPK,3,),IF(AND(H768="ATP",OR(I768="TP",I768="TDP")),VLOOKUP(E768,QCATP_P,2,),""))))))))</f>
        <v>500</v>
      </c>
      <c r="W768" s="31" t="str">
        <f t="shared" si="79"/>
        <v>TRUE</v>
      </c>
      <c r="X768" s="31" t="str">
        <f t="shared" si="80"/>
        <v>[chk]/[actual]*100</v>
      </c>
      <c r="Y768" s="10" t="s">
        <v>1021</v>
      </c>
      <c r="AF768" s="12">
        <v>44937</v>
      </c>
      <c r="AK768" s="10">
        <f>0*8.24^2+67.076*8.24-21.654</f>
        <v>531.05223999999998</v>
      </c>
      <c r="AL768" s="10" t="str">
        <f t="shared" si="84"/>
        <v>FALSE</v>
      </c>
      <c r="AM768" s="10" t="str">
        <f t="shared" si="84"/>
        <v>FALSE</v>
      </c>
      <c r="AN768" s="10" t="str">
        <f t="shared" si="84"/>
        <v>FALSE</v>
      </c>
      <c r="AO768" s="10" t="str">
        <f t="shared" si="85"/>
        <v>FALSE</v>
      </c>
      <c r="AP768" s="10" t="str">
        <f t="shared" si="85"/>
        <v>y=0*8.24^2+67.076*8.24-21.654</v>
      </c>
      <c r="AQ768" s="10" t="b">
        <f>IF(AND(I768="TP",S768&lt;=150),VLOOKUP(AF768,TPCalibEq150!$AZ$2:$BB$55,3,),IF(AND(I768="TDP",S768&lt;=150),VLOOKUP(AF768,TPCalibEq150!$AZ$2:$BB$55,3,)))</f>
        <v>0</v>
      </c>
      <c r="AR768" s="10" t="b">
        <f>IF(AND(I768="TP",S768&lt;=300),VLOOKUP(AF768,TPCalibEq300!$AZ$2:$BB$55,3,),IF(AND(I768="TDP",S768&lt;=300),VLOOKUP(AF768,TPCalibEq300!$AZ$2:$BB$55,3,)))</f>
        <v>0</v>
      </c>
      <c r="AS768" s="10" t="b">
        <f>IF(AND(I768="TP",S768&lt;=500),VLOOKUP(AF768,TPCalibEq500!$AZ$2:$BB$56,3,),IF(AND(I768="TDP",S768&lt;=500),VLOOKUP(AF768,TPCalibEq500!$AZ$2:$BB$56,3,)))</f>
        <v>0</v>
      </c>
      <c r="AT768" s="10" t="b">
        <f>IF(AND(I768="TN",S768&lt;=2800),VLOOKUP(AF768,TNCalibEq2500!$AZ$2:$BB$56,3,),IF(AND(I768="TDN",S768&lt;=2800),VLOOKUP(AF768,TNCalibEq2500!$AZ$2:$BB$56,3,)))</f>
        <v>0</v>
      </c>
      <c r="AU768" s="10" t="str">
        <f>IF(I768="TP",VLOOKUP(AF768,TPCalibEqFull!$AZ$2:$BB$56,3),IF(I768="TDP",VLOOKUP(AF768,TPCalibEqFull!$AZ$2:$BB$56,3),IF(I768="TDN",VLOOKUP(AF768,TNCalibEqFull!$AZ$1:$BB$56,3),IF(I768="TN",VLOOKUP(AF768,TNCalibEqFull!$AZ$1:$BB$56,3),FALSE))))</f>
        <v>y=0x2+67.076x-21.654</v>
      </c>
      <c r="AV768" s="10" t="str">
        <f t="shared" si="81"/>
        <v>0111 09:00:00-QAC-STD-D-1-DI-CHK</v>
      </c>
    </row>
    <row r="769" spans="1:48" s="10" customFormat="1" x14ac:dyDescent="0.55000000000000004">
      <c r="A769" s="32">
        <v>44935</v>
      </c>
      <c r="B769" s="33">
        <v>0.35972222222222222</v>
      </c>
      <c r="C769" s="10" t="s">
        <v>998</v>
      </c>
      <c r="D769" s="10">
        <v>0</v>
      </c>
      <c r="E769" s="10" t="s">
        <v>190</v>
      </c>
      <c r="F769" s="10">
        <v>1</v>
      </c>
      <c r="G769" s="10" t="s">
        <v>231</v>
      </c>
      <c r="H769" s="10" t="s">
        <v>322</v>
      </c>
      <c r="I769" s="10" t="s">
        <v>83</v>
      </c>
      <c r="J769" s="10">
        <v>11</v>
      </c>
      <c r="K769" s="12">
        <v>44937</v>
      </c>
      <c r="L769" s="33">
        <v>0.62097222222222226</v>
      </c>
      <c r="M769" s="10">
        <v>1</v>
      </c>
      <c r="N769" s="10" t="s">
        <v>84</v>
      </c>
      <c r="O769" s="10">
        <v>3.16</v>
      </c>
      <c r="P769" s="10">
        <v>0.22700000000000001</v>
      </c>
      <c r="Q769" s="10">
        <v>189</v>
      </c>
      <c r="R769" s="10" t="s">
        <v>85</v>
      </c>
      <c r="S769" s="34">
        <f t="shared" si="77"/>
        <v>206.25378431999997</v>
      </c>
      <c r="T769" s="10" t="s">
        <v>1035</v>
      </c>
      <c r="U769" s="34" t="str">
        <f t="shared" si="78"/>
        <v/>
      </c>
      <c r="V769" s="31" t="str">
        <f>IF(H769="CHK",VLOOKUP(I769,QCCHK,3,),IF(H769="GUP",VLOOKUP(E769,QCGUP,2,),IF(AND(H769="ATP",OR(I769="TN",I769="TDN",I769="TNO2-3",I769="NO2-3")),VLOOKUP(E769,QCREC_N,2,),IF(AND(H769="NIC",OR(I769="TN",I769="TDN",I769="TNO2-3",I769="NO2-3")),VLOOKUP(E769,QCNIC_N,2,),IF(AND(H769="UREA",OR(I769="TN",I769="TDN",I769="TNO2-3",I769="NO2-3")),VLOOKUP(E769,QCUREA_N,2,),IF(H769="PER",VLOOKUP(I769,QCPER,MATCH(E769,QCACTUAL!$J$25:$AA$25,0),),IF(H769="SPK",VLOOKUP(I769,QCSPK,3,),IF(AND(H769="ATP",OR(I769="TP",I769="TDP")),VLOOKUP(E769,QCATP_P,2,),""))))))))</f>
        <v/>
      </c>
      <c r="W769" s="31" t="str">
        <f t="shared" si="79"/>
        <v>TRUE</v>
      </c>
      <c r="X769" s="31" t="str">
        <f t="shared" si="80"/>
        <v/>
      </c>
      <c r="Y769" s="10" t="s">
        <v>1021</v>
      </c>
      <c r="Z769" s="10" t="s">
        <v>910</v>
      </c>
      <c r="AF769" s="12">
        <v>44937</v>
      </c>
      <c r="AH769" s="10">
        <f>-2.8628*3.16^2+86.116*3.16-37.286</f>
        <v>206.25378431999997</v>
      </c>
      <c r="AI769" s="10">
        <f>-0.232*3.16^2+72.802*3.16-30.279</f>
        <v>197.45866080000002</v>
      </c>
      <c r="AK769" s="10">
        <f>0*3.16^2+67.076*3.16-21.654</f>
        <v>190.30616000000001</v>
      </c>
      <c r="AL769" s="10" t="str">
        <f t="shared" si="84"/>
        <v>FALSE</v>
      </c>
      <c r="AM769" s="10" t="str">
        <f t="shared" si="84"/>
        <v>y=-2.8628*3.16^2+86.116*3.16-37.286</v>
      </c>
      <c r="AN769" s="10" t="str">
        <f t="shared" si="84"/>
        <v>y=-0.232*3.16^2+72.802*3.16-30.279</v>
      </c>
      <c r="AO769" s="10" t="str">
        <f t="shared" si="85"/>
        <v>FALSE</v>
      </c>
      <c r="AP769" s="10" t="str">
        <f t="shared" si="85"/>
        <v>y=0*3.16^2+67.076*3.16-21.654</v>
      </c>
      <c r="AQ769" s="10" t="b">
        <f>IF(AND(I769="TP",S769&lt;=150),VLOOKUP(AF769,TPCalibEq150!$AZ$2:$BB$55,3,),IF(AND(I769="TDP",S769&lt;=150),VLOOKUP(AF769,TPCalibEq150!$AZ$2:$BB$55,3,)))</f>
        <v>0</v>
      </c>
      <c r="AR769" s="10" t="str">
        <f>IF(AND(I769="TP",S769&lt;=300),VLOOKUP(AF769,TPCalibEq300!$AZ$2:$BB$55,3,),IF(AND(I769="TDP",S769&lt;=300),VLOOKUP(AF769,TPCalibEq300!$AZ$2:$BB$55,3,)))</f>
        <v>y=-2.8628x2+86.116x-37.286</v>
      </c>
      <c r="AS769" s="10" t="str">
        <f>IF(AND(I769="TP",S769&lt;=500),VLOOKUP(AF769,TPCalibEq500!$AZ$2:$BB$56,3,),IF(AND(I769="TDP",S769&lt;=500),VLOOKUP(AF769,TPCalibEq500!$AZ$2:$BB$56,3,)))</f>
        <v>y=-0.232x2+72.802x-30.279</v>
      </c>
      <c r="AT769" s="10" t="b">
        <f>IF(AND(I769="TN",S769&lt;=2800),VLOOKUP(AF769,TNCalibEq2500!$AZ$2:$BB$56,3,),IF(AND(I769="TDN",S769&lt;=2800),VLOOKUP(AF769,TNCalibEq2500!$AZ$2:$BB$56,3,)))</f>
        <v>0</v>
      </c>
      <c r="AU769" s="10" t="str">
        <f>IF(I769="TP",VLOOKUP(AF769,TPCalibEqFull!$AZ$2:$BB$56,3),IF(I769="TDP",VLOOKUP(AF769,TPCalibEqFull!$AZ$2:$BB$56,3),IF(I769="TDN",VLOOKUP(AF769,TNCalibEqFull!$AZ$1:$BB$56,3),IF(I769="TN",VLOOKUP(AF769,TNCalibEqFull!$AZ$1:$BB$56,3),FALSE))))</f>
        <v>y=0x2+67.076x-21.654</v>
      </c>
      <c r="AV769" s="10" t="str">
        <f t="shared" si="81"/>
        <v>0109 08:38:00-ELW-0-C-1-SW-UKN</v>
      </c>
    </row>
    <row r="770" spans="1:48" s="10" customFormat="1" x14ac:dyDescent="0.55000000000000004">
      <c r="A770" s="32">
        <v>44935</v>
      </c>
      <c r="B770" s="33">
        <v>0.44722222222222219</v>
      </c>
      <c r="C770" s="10" t="s">
        <v>310</v>
      </c>
      <c r="D770" s="10">
        <v>0</v>
      </c>
      <c r="E770" s="10" t="s">
        <v>190</v>
      </c>
      <c r="F770" s="10">
        <v>1</v>
      </c>
      <c r="G770" s="10" t="s">
        <v>231</v>
      </c>
      <c r="H770" s="10" t="s">
        <v>322</v>
      </c>
      <c r="I770" s="10" t="s">
        <v>83</v>
      </c>
      <c r="J770" s="10">
        <v>12</v>
      </c>
      <c r="K770" s="12">
        <v>44937</v>
      </c>
      <c r="L770" s="33">
        <v>0.62165509259259266</v>
      </c>
      <c r="M770" s="10">
        <v>1</v>
      </c>
      <c r="N770" s="10" t="s">
        <v>84</v>
      </c>
      <c r="O770" s="10">
        <v>4.08</v>
      </c>
      <c r="P770" s="10">
        <v>0.29299999999999998</v>
      </c>
      <c r="Q770" s="10">
        <v>250</v>
      </c>
      <c r="R770" s="10" t="s">
        <v>85</v>
      </c>
      <c r="S770" s="34">
        <f t="shared" ref="S770:S833" si="86">IF(OR(AND(I770&lt;&gt;"TP", I770&lt;&gt;"TDP",I770&lt;&gt;"TN", I770&lt;&gt;"TDN"),H770="CAL"), Q770*M770, IF(OR(AND(I770="TN", Q770&gt;2500), AND(I770="TDN", Q770&gt;2500)),MAX(Q770, AK770)*M770, IF(OR(AND(I770="TN", Q770&lt;=2500), AND(I770="TDN", Q770&lt;=2500)),MAX(Q770, AJ770,AK770)*M770, IF(OR(AND(I770="TP",Q770&gt;500), AND(I770="TDP", Q770&gt;500)),MAX(Q770,AK770)*M770,IF(OR(AND(I770="TP",Q770&lt;=150), AND(I770="TDP", Q770&lt;=150)),MAX(Q770,AG770:AI770,AK770)*M770,IF(OR(AND(I770="TP",Q770&lt;=300), AND(I770="TDP", Q770&lt;=300)),MAX(Q770,AH770,AI770,AK770)*M770,IF(OR(AND(I770="TP",Q770&lt;=500), AND(I770="TDP", Q770&lt;=500)),MAX(Q770,AI770,AK770)*M770,"")))))))</f>
        <v>266.41196608000001</v>
      </c>
      <c r="T770" s="10" t="s">
        <v>1035</v>
      </c>
      <c r="U770" s="34" t="str">
        <f t="shared" ref="U770:U833" si="87">IF(OR(H770="CHK",H770="ATP",H770="GUP",H770="PER", H770="NIC", H770="UREA"),(S770/V770*100),IF(H770="DUP",((ABS(S770-S769))/((S769+S770)/2))*100,IF(H770="SPK",((S770-S769)/V770*100),IF(OR(H770="LAB",H770="FLD",H770="ESF"),S770,""))))</f>
        <v/>
      </c>
      <c r="V770" s="31" t="str">
        <f>IF(H770="CHK",VLOOKUP(I770,QCCHK,3,),IF(H770="GUP",VLOOKUP(E770,QCGUP,2,),IF(AND(H770="ATP",OR(I770="TN",I770="TDN",I770="TNO2-3",I770="NO2-3")),VLOOKUP(E770,QCREC_N,2,),IF(AND(H770="NIC",OR(I770="TN",I770="TDN",I770="TNO2-3",I770="NO2-3")),VLOOKUP(E770,QCNIC_N,2,),IF(AND(H770="UREA",OR(I770="TN",I770="TDN",I770="TNO2-3",I770="NO2-3")),VLOOKUP(E770,QCUREA_N,2,),IF(H770="PER",VLOOKUP(I770,QCPER,MATCH(E770,QCACTUAL!$J$25:$AA$25,0),),IF(H770="SPK",VLOOKUP(I770,QCSPK,3,),IF(AND(H770="ATP",OR(I770="TP",I770="TDP")),VLOOKUP(E770,QCATP_P,2,),""))))))))</f>
        <v/>
      </c>
      <c r="W770" s="31" t="str">
        <f t="shared" ref="W770:W833" si="88">IF(AND(OR(H770="PER",H770="ATP",H770="GUP",H770="CHK",H770="SPK", H770="NIC"),OR(U770&gt;125,U770&lt;75)),"FALSE",IF(AND(H770="DUP",OR(U770&gt;25, U770&lt;-25)),"FALSE",IF(AND(OR(H770="LAB",H770="FLD",H770="ESF"),U770&gt;15),"FALSE","TRUE")))</f>
        <v>TRUE</v>
      </c>
      <c r="X770" s="31" t="str">
        <f t="shared" ref="X770:X833" si="89">IF(ISNA(VLOOKUP(H770,QCEQUATIONS,2,)),"",(VLOOKUP(H770,QCEQUATIONS,2,)))</f>
        <v/>
      </c>
      <c r="Y770" s="10" t="s">
        <v>1021</v>
      </c>
      <c r="Z770" s="10" t="s">
        <v>910</v>
      </c>
      <c r="AF770" s="12">
        <v>44937</v>
      </c>
      <c r="AH770" s="10">
        <f>-2.8628*4.08^2+86.116*4.08-37.286</f>
        <v>266.41196608000001</v>
      </c>
      <c r="AI770" s="10">
        <f>-0.232*4.08^2+72.802*4.08-30.279</f>
        <v>262.89119520000003</v>
      </c>
      <c r="AK770" s="10">
        <f>0*4.08^2+67.076*4.08-21.654</f>
        <v>252.01607999999999</v>
      </c>
      <c r="AL770" s="10" t="str">
        <f t="shared" si="84"/>
        <v>FALSE</v>
      </c>
      <c r="AM770" s="10" t="str">
        <f t="shared" si="84"/>
        <v>y=-2.8628*4.08^2+86.116*4.08-37.286</v>
      </c>
      <c r="AN770" s="10" t="str">
        <f t="shared" si="84"/>
        <v>y=-0.232*4.08^2+72.802*4.08-30.279</v>
      </c>
      <c r="AO770" s="10" t="str">
        <f t="shared" si="85"/>
        <v>FALSE</v>
      </c>
      <c r="AP770" s="10" t="str">
        <f t="shared" si="85"/>
        <v>y=0*4.08^2+67.076*4.08-21.654</v>
      </c>
      <c r="AQ770" s="10" t="b">
        <f>IF(AND(I770="TP",S770&lt;=150),VLOOKUP(AF770,TPCalibEq150!$AZ$2:$BB$55,3,),IF(AND(I770="TDP",S770&lt;=150),VLOOKUP(AF770,TPCalibEq150!$AZ$2:$BB$55,3,)))</f>
        <v>0</v>
      </c>
      <c r="AR770" s="10" t="str">
        <f>IF(AND(I770="TP",S770&lt;=300),VLOOKUP(AF770,TPCalibEq300!$AZ$2:$BB$55,3,),IF(AND(I770="TDP",S770&lt;=300),VLOOKUP(AF770,TPCalibEq300!$AZ$2:$BB$55,3,)))</f>
        <v>y=-2.8628x2+86.116x-37.286</v>
      </c>
      <c r="AS770" s="10" t="str">
        <f>IF(AND(I770="TP",S770&lt;=500),VLOOKUP(AF770,TPCalibEq500!$AZ$2:$BB$56,3,),IF(AND(I770="TDP",S770&lt;=500),VLOOKUP(AF770,TPCalibEq500!$AZ$2:$BB$56,3,)))</f>
        <v>y=-0.232x2+72.802x-30.279</v>
      </c>
      <c r="AT770" s="10" t="b">
        <f>IF(AND(I770="TN",S770&lt;=2800),VLOOKUP(AF770,TNCalibEq2500!$AZ$2:$BB$56,3,),IF(AND(I770="TDN",S770&lt;=2800),VLOOKUP(AF770,TNCalibEq2500!$AZ$2:$BB$56,3,)))</f>
        <v>0</v>
      </c>
      <c r="AU770" s="10" t="str">
        <f>IF(I770="TP",VLOOKUP(AF770,TPCalibEqFull!$AZ$2:$BB$56,3),IF(I770="TDP",VLOOKUP(AF770,TPCalibEqFull!$AZ$2:$BB$56,3),IF(I770="TDN",VLOOKUP(AF770,TNCalibEqFull!$AZ$1:$BB$56,3),IF(I770="TN",VLOOKUP(AF770,TNCalibEqFull!$AZ$1:$BB$56,3),FALSE))))</f>
        <v>y=0x2+67.076x-21.654</v>
      </c>
      <c r="AV770" s="10" t="str">
        <f t="shared" ref="AV770:AV833" si="90">TEXT(A770, "MMDD")&amp;" "&amp;TEXT(B770, "HH:MM:SS")&amp;"-"&amp;C770&amp;"-"&amp;D770&amp;"-"&amp;E770&amp;"-"&amp;F770&amp;"-"&amp;G770&amp;"-"&amp;H770</f>
        <v>0109 10:44:00-ELI-0-C-1-SW-UKN</v>
      </c>
    </row>
    <row r="771" spans="1:48" s="10" customFormat="1" x14ac:dyDescent="0.55000000000000004">
      <c r="A771" s="32">
        <v>44935</v>
      </c>
      <c r="B771" s="33">
        <v>0.4145833333333333</v>
      </c>
      <c r="C771" s="10" t="s">
        <v>999</v>
      </c>
      <c r="D771" s="10">
        <v>0</v>
      </c>
      <c r="E771" s="10" t="s">
        <v>190</v>
      </c>
      <c r="F771" s="10">
        <v>1</v>
      </c>
      <c r="G771" s="10" t="s">
        <v>231</v>
      </c>
      <c r="H771" s="10" t="s">
        <v>322</v>
      </c>
      <c r="I771" s="10" t="s">
        <v>83</v>
      </c>
      <c r="J771" s="10">
        <v>13</v>
      </c>
      <c r="K771" s="12">
        <v>44937</v>
      </c>
      <c r="L771" s="33">
        <v>0.62236111111111114</v>
      </c>
      <c r="M771" s="10">
        <v>1</v>
      </c>
      <c r="N771" s="10" t="s">
        <v>84</v>
      </c>
      <c r="O771" s="10">
        <v>3.1</v>
      </c>
      <c r="P771" s="10">
        <v>0.22</v>
      </c>
      <c r="Q771" s="10">
        <v>185</v>
      </c>
      <c r="R771" s="10" t="s">
        <v>85</v>
      </c>
      <c r="S771" s="34">
        <f t="shared" si="86"/>
        <v>202.16209200000003</v>
      </c>
      <c r="T771" s="10" t="s">
        <v>1035</v>
      </c>
      <c r="U771" s="34" t="str">
        <f t="shared" si="87"/>
        <v/>
      </c>
      <c r="V771" s="31" t="str">
        <f>IF(H771="CHK",VLOOKUP(I771,QCCHK,3,),IF(H771="GUP",VLOOKUP(E771,QCGUP,2,),IF(AND(H771="ATP",OR(I771="TN",I771="TDN",I771="TNO2-3",I771="NO2-3")),VLOOKUP(E771,QCREC_N,2,),IF(AND(H771="NIC",OR(I771="TN",I771="TDN",I771="TNO2-3",I771="NO2-3")),VLOOKUP(E771,QCNIC_N,2,),IF(AND(H771="UREA",OR(I771="TN",I771="TDN",I771="TNO2-3",I771="NO2-3")),VLOOKUP(E771,QCUREA_N,2,),IF(H771="PER",VLOOKUP(I771,QCPER,MATCH(E771,QCACTUAL!$J$25:$AA$25,0),),IF(H771="SPK",VLOOKUP(I771,QCSPK,3,),IF(AND(H771="ATP",OR(I771="TP",I771="TDP")),VLOOKUP(E771,QCATP_P,2,),""))))))))</f>
        <v/>
      </c>
      <c r="W771" s="31" t="str">
        <f t="shared" si="88"/>
        <v>TRUE</v>
      </c>
      <c r="X771" s="31" t="str">
        <f t="shared" si="89"/>
        <v/>
      </c>
      <c r="Y771" s="10" t="s">
        <v>1021</v>
      </c>
      <c r="Z771" s="10" t="s">
        <v>910</v>
      </c>
      <c r="AF771" s="12">
        <v>44937</v>
      </c>
      <c r="AH771" s="10">
        <f>-2.8628*3.1^2+86.116*3.1-37.286</f>
        <v>202.16209200000003</v>
      </c>
      <c r="AI771" s="10">
        <f>-0.232*3.1^2+72.802*3.1-30.279</f>
        <v>193.17768000000001</v>
      </c>
      <c r="AK771" s="10">
        <f>0*3.1^2+67.076*3.1-21.654</f>
        <v>186.2816</v>
      </c>
      <c r="AL771" s="10" t="str">
        <f t="shared" si="84"/>
        <v>FALSE</v>
      </c>
      <c r="AM771" s="10" t="str">
        <f t="shared" si="84"/>
        <v>y=-2.8628*3.1^2+86.116*3.1-37.286</v>
      </c>
      <c r="AN771" s="10" t="str">
        <f t="shared" si="84"/>
        <v>y=-0.232*3.1^2+72.802*3.1-30.279</v>
      </c>
      <c r="AO771" s="10" t="str">
        <f t="shared" si="85"/>
        <v>FALSE</v>
      </c>
      <c r="AP771" s="10" t="str">
        <f t="shared" si="85"/>
        <v>y=0*3.1^2+67.076*3.1-21.654</v>
      </c>
      <c r="AQ771" s="10" t="b">
        <f>IF(AND(I771="TP",S771&lt;=150),VLOOKUP(AF771,TPCalibEq150!$AZ$2:$BB$55,3,),IF(AND(I771="TDP",S771&lt;=150),VLOOKUP(AF771,TPCalibEq150!$AZ$2:$BB$55,3,)))</f>
        <v>0</v>
      </c>
      <c r="AR771" s="10" t="str">
        <f>IF(AND(I771="TP",S771&lt;=300),VLOOKUP(AF771,TPCalibEq300!$AZ$2:$BB$55,3,),IF(AND(I771="TDP",S771&lt;=300),VLOOKUP(AF771,TPCalibEq300!$AZ$2:$BB$55,3,)))</f>
        <v>y=-2.8628x2+86.116x-37.286</v>
      </c>
      <c r="AS771" s="10" t="str">
        <f>IF(AND(I771="TP",S771&lt;=500),VLOOKUP(AF771,TPCalibEq500!$AZ$2:$BB$56,3,),IF(AND(I771="TDP",S771&lt;=500),VLOOKUP(AF771,TPCalibEq500!$AZ$2:$BB$56,3,)))</f>
        <v>y=-0.232x2+72.802x-30.279</v>
      </c>
      <c r="AT771" s="10" t="b">
        <f>IF(AND(I771="TN",S771&lt;=2800),VLOOKUP(AF771,TNCalibEq2500!$AZ$2:$BB$56,3,),IF(AND(I771="TDN",S771&lt;=2800),VLOOKUP(AF771,TNCalibEq2500!$AZ$2:$BB$56,3,)))</f>
        <v>0</v>
      </c>
      <c r="AU771" s="10" t="str">
        <f>IF(I771="TP",VLOOKUP(AF771,TPCalibEqFull!$AZ$2:$BB$56,3),IF(I771="TDP",VLOOKUP(AF771,TPCalibEqFull!$AZ$2:$BB$56,3),IF(I771="TDN",VLOOKUP(AF771,TNCalibEqFull!$AZ$1:$BB$56,3),IF(I771="TN",VLOOKUP(AF771,TNCalibEqFull!$AZ$1:$BB$56,3),FALSE))))</f>
        <v>y=0x2+67.076x-21.654</v>
      </c>
      <c r="AV771" s="10" t="str">
        <f t="shared" si="90"/>
        <v>0109 09:57:00-EAW-0-C-1-SW-UKN</v>
      </c>
    </row>
    <row r="772" spans="1:48" s="10" customFormat="1" x14ac:dyDescent="0.55000000000000004">
      <c r="A772" s="32">
        <v>44935</v>
      </c>
      <c r="B772" s="33">
        <v>0.4145833333333333</v>
      </c>
      <c r="C772" s="10" t="s">
        <v>999</v>
      </c>
      <c r="D772" s="10">
        <v>0</v>
      </c>
      <c r="E772" s="10" t="s">
        <v>190</v>
      </c>
      <c r="F772" s="10">
        <v>2</v>
      </c>
      <c r="G772" s="10" t="s">
        <v>231</v>
      </c>
      <c r="H772" s="10" t="s">
        <v>322</v>
      </c>
      <c r="I772" s="10" t="s">
        <v>83</v>
      </c>
      <c r="J772" s="10">
        <v>14</v>
      </c>
      <c r="K772" s="12">
        <v>44937</v>
      </c>
      <c r="L772" s="33">
        <v>0.62304398148148155</v>
      </c>
      <c r="M772" s="10">
        <v>1</v>
      </c>
      <c r="N772" s="10" t="s">
        <v>84</v>
      </c>
      <c r="O772" s="10">
        <v>3.68</v>
      </c>
      <c r="P772" s="10">
        <v>0.26200000000000001</v>
      </c>
      <c r="Q772" s="10">
        <v>223</v>
      </c>
      <c r="R772" s="10" t="s">
        <v>85</v>
      </c>
      <c r="S772" s="34">
        <f t="shared" si="86"/>
        <v>240.85169728</v>
      </c>
      <c r="T772" s="10" t="s">
        <v>1035</v>
      </c>
      <c r="U772" s="34" t="str">
        <f t="shared" si="87"/>
        <v/>
      </c>
      <c r="V772" s="31" t="str">
        <f>IF(H772="CHK",VLOOKUP(I772,QCCHK,3,),IF(H772="GUP",VLOOKUP(E772,QCGUP,2,),IF(AND(H772="ATP",OR(I772="TN",I772="TDN",I772="TNO2-3",I772="NO2-3")),VLOOKUP(E772,QCREC_N,2,),IF(AND(H772="NIC",OR(I772="TN",I772="TDN",I772="TNO2-3",I772="NO2-3")),VLOOKUP(E772,QCNIC_N,2,),IF(AND(H772="UREA",OR(I772="TN",I772="TDN",I772="TNO2-3",I772="NO2-3")),VLOOKUP(E772,QCUREA_N,2,),IF(H772="PER",VLOOKUP(I772,QCPER,MATCH(E772,QCACTUAL!$J$25:$AA$25,0),),IF(H772="SPK",VLOOKUP(I772,QCSPK,3,),IF(AND(H772="ATP",OR(I772="TP",I772="TDP")),VLOOKUP(E772,QCATP_P,2,),""))))))))</f>
        <v/>
      </c>
      <c r="W772" s="31" t="str">
        <f t="shared" si="88"/>
        <v>TRUE</v>
      </c>
      <c r="X772" s="31" t="str">
        <f t="shared" si="89"/>
        <v/>
      </c>
      <c r="Y772" s="10" t="s">
        <v>1021</v>
      </c>
      <c r="Z772" s="10" t="s">
        <v>910</v>
      </c>
      <c r="AF772" s="12">
        <v>44937</v>
      </c>
      <c r="AH772" s="10">
        <f>-2.8628*3.68^2+86.116*3.68-37.286</f>
        <v>240.85169728</v>
      </c>
      <c r="AI772" s="10">
        <f>-0.232*3.68^2+72.802*3.68-30.279</f>
        <v>234.49052320000004</v>
      </c>
      <c r="AK772" s="10">
        <f>0*3.68^2+67.076*3.68-21.654</f>
        <v>225.18567999999999</v>
      </c>
      <c r="AL772" s="10" t="str">
        <f t="shared" si="84"/>
        <v>FALSE</v>
      </c>
      <c r="AM772" s="10" t="str">
        <f t="shared" si="84"/>
        <v>y=-2.8628*3.68^2+86.116*3.68-37.286</v>
      </c>
      <c r="AN772" s="10" t="str">
        <f t="shared" si="84"/>
        <v>y=-0.232*3.68^2+72.802*3.68-30.279</v>
      </c>
      <c r="AO772" s="10" t="str">
        <f t="shared" si="85"/>
        <v>FALSE</v>
      </c>
      <c r="AP772" s="10" t="str">
        <f t="shared" si="85"/>
        <v>y=0*3.68^2+67.076*3.68-21.654</v>
      </c>
      <c r="AQ772" s="10" t="b">
        <f>IF(AND(I772="TP",S772&lt;=150),VLOOKUP(AF772,TPCalibEq150!$AZ$2:$BB$55,3,),IF(AND(I772="TDP",S772&lt;=150),VLOOKUP(AF772,TPCalibEq150!$AZ$2:$BB$55,3,)))</f>
        <v>0</v>
      </c>
      <c r="AR772" s="10" t="str">
        <f>IF(AND(I772="TP",S772&lt;=300),VLOOKUP(AF772,TPCalibEq300!$AZ$2:$BB$55,3,),IF(AND(I772="TDP",S772&lt;=300),VLOOKUP(AF772,TPCalibEq300!$AZ$2:$BB$55,3,)))</f>
        <v>y=-2.8628x2+86.116x-37.286</v>
      </c>
      <c r="AS772" s="10" t="str">
        <f>IF(AND(I772="TP",S772&lt;=500),VLOOKUP(AF772,TPCalibEq500!$AZ$2:$BB$56,3,),IF(AND(I772="TDP",S772&lt;=500),VLOOKUP(AF772,TPCalibEq500!$AZ$2:$BB$56,3,)))</f>
        <v>y=-0.232x2+72.802x-30.279</v>
      </c>
      <c r="AT772" s="10" t="b">
        <f>IF(AND(I772="TN",S772&lt;=2800),VLOOKUP(AF772,TNCalibEq2500!$AZ$2:$BB$56,3,),IF(AND(I772="TDN",S772&lt;=2800),VLOOKUP(AF772,TNCalibEq2500!$AZ$2:$BB$56,3,)))</f>
        <v>0</v>
      </c>
      <c r="AU772" s="10" t="str">
        <f>IF(I772="TP",VLOOKUP(AF772,TPCalibEqFull!$AZ$2:$BB$56,3),IF(I772="TDP",VLOOKUP(AF772,TPCalibEqFull!$AZ$2:$BB$56,3),IF(I772="TDN",VLOOKUP(AF772,TNCalibEqFull!$AZ$1:$BB$56,3),IF(I772="TN",VLOOKUP(AF772,TNCalibEqFull!$AZ$1:$BB$56,3),FALSE))))</f>
        <v>y=0x2+67.076x-21.654</v>
      </c>
      <c r="AV772" s="10" t="str">
        <f t="shared" si="90"/>
        <v>0109 09:57:00-EAW-0-C-2-SW-UKN</v>
      </c>
    </row>
    <row r="773" spans="1:48" s="10" customFormat="1" x14ac:dyDescent="0.55000000000000004">
      <c r="A773" s="32">
        <v>44935</v>
      </c>
      <c r="B773" s="33">
        <v>0.4145833333333333</v>
      </c>
      <c r="C773" s="10" t="s">
        <v>999</v>
      </c>
      <c r="D773" s="10">
        <v>0</v>
      </c>
      <c r="E773" s="10" t="s">
        <v>190</v>
      </c>
      <c r="F773" s="10">
        <v>2</v>
      </c>
      <c r="G773" s="10" t="s">
        <v>231</v>
      </c>
      <c r="H773" s="10" t="s">
        <v>233</v>
      </c>
      <c r="I773" s="10" t="s">
        <v>83</v>
      </c>
      <c r="J773" s="10">
        <v>14</v>
      </c>
      <c r="K773" s="12">
        <v>44937</v>
      </c>
      <c r="L773" s="33">
        <v>0.62373842592592588</v>
      </c>
      <c r="M773" s="10">
        <v>1</v>
      </c>
      <c r="N773" s="10" t="s">
        <v>84</v>
      </c>
      <c r="O773" s="10">
        <v>3.62</v>
      </c>
      <c r="P773" s="10">
        <v>0.25900000000000001</v>
      </c>
      <c r="Q773" s="10">
        <v>219</v>
      </c>
      <c r="R773" s="10" t="s">
        <v>85</v>
      </c>
      <c r="S773" s="34">
        <f t="shared" si="86"/>
        <v>236.93864367999998</v>
      </c>
      <c r="T773" s="10" t="s">
        <v>1035</v>
      </c>
      <c r="U773" s="34">
        <f t="shared" si="87"/>
        <v>1.6379793664885358</v>
      </c>
      <c r="V773" s="31" t="str">
        <f>IF(H773="CHK",VLOOKUP(I773,QCCHK,3,),IF(H773="GUP",VLOOKUP(E773,QCGUP,2,),IF(AND(H773="ATP",OR(I773="TN",I773="TDN",I773="TNO2-3",I773="NO2-3")),VLOOKUP(E773,QCREC_N,2,),IF(AND(H773="NIC",OR(I773="TN",I773="TDN",I773="TNO2-3",I773="NO2-3")),VLOOKUP(E773,QCNIC_N,2,),IF(AND(H773="UREA",OR(I773="TN",I773="TDN",I773="TNO2-3",I773="NO2-3")),VLOOKUP(E773,QCUREA_N,2,),IF(H773="PER",VLOOKUP(I773,QCPER,MATCH(E773,QCACTUAL!$J$25:$AA$25,0),),IF(H773="SPK",VLOOKUP(I773,QCSPK,3,),IF(AND(H773="ATP",OR(I773="TP",I773="TDP")),VLOOKUP(E773,QCATP_P,2,),""))))))))</f>
        <v/>
      </c>
      <c r="W773" s="31" t="str">
        <f t="shared" si="88"/>
        <v>TRUE</v>
      </c>
      <c r="X773" s="31" t="str">
        <f t="shared" si="89"/>
        <v>((ABS(rep1-rep2))/((rep1+rep2)/2)*100</v>
      </c>
      <c r="Y773" s="10" t="s">
        <v>1021</v>
      </c>
      <c r="Z773" s="10" t="s">
        <v>910</v>
      </c>
      <c r="AF773" s="12">
        <v>44937</v>
      </c>
      <c r="AH773" s="10">
        <f>-2.8628*3.62^2+86.116*3.62-37.286</f>
        <v>236.93864367999998</v>
      </c>
      <c r="AI773" s="10">
        <f>-0.232*3.62^2+72.802*3.62-30.279</f>
        <v>230.22401920000004</v>
      </c>
      <c r="AK773" s="10">
        <f>0*3.62^2+67.076*3.62-21.654</f>
        <v>221.16111999999998</v>
      </c>
      <c r="AL773" s="10" t="str">
        <f t="shared" si="84"/>
        <v>FALSE</v>
      </c>
      <c r="AM773" s="10" t="str">
        <f t="shared" si="84"/>
        <v>y=-2.8628*3.62^2+86.116*3.62-37.286</v>
      </c>
      <c r="AN773" s="10" t="str">
        <f t="shared" si="84"/>
        <v>y=-0.232*3.62^2+72.802*3.62-30.279</v>
      </c>
      <c r="AO773" s="10" t="str">
        <f t="shared" si="85"/>
        <v>FALSE</v>
      </c>
      <c r="AP773" s="10" t="str">
        <f t="shared" si="85"/>
        <v>y=0*3.62^2+67.076*3.62-21.654</v>
      </c>
      <c r="AQ773" s="10" t="b">
        <f>IF(AND(I773="TP",S773&lt;=150),VLOOKUP(AF773,TPCalibEq150!$AZ$2:$BB$55,3,),IF(AND(I773="TDP",S773&lt;=150),VLOOKUP(AF773,TPCalibEq150!$AZ$2:$BB$55,3,)))</f>
        <v>0</v>
      </c>
      <c r="AR773" s="10" t="str">
        <f>IF(AND(I773="TP",S773&lt;=300),VLOOKUP(AF773,TPCalibEq300!$AZ$2:$BB$55,3,),IF(AND(I773="TDP",S773&lt;=300),VLOOKUP(AF773,TPCalibEq300!$AZ$2:$BB$55,3,)))</f>
        <v>y=-2.8628x2+86.116x-37.286</v>
      </c>
      <c r="AS773" s="10" t="str">
        <f>IF(AND(I773="TP",S773&lt;=500),VLOOKUP(AF773,TPCalibEq500!$AZ$2:$BB$56,3,),IF(AND(I773="TDP",S773&lt;=500),VLOOKUP(AF773,TPCalibEq500!$AZ$2:$BB$56,3,)))</f>
        <v>y=-0.232x2+72.802x-30.279</v>
      </c>
      <c r="AT773" s="10" t="b">
        <f>IF(AND(I773="TN",S773&lt;=2800),VLOOKUP(AF773,TNCalibEq2500!$AZ$2:$BB$56,3,),IF(AND(I773="TDN",S773&lt;=2800),VLOOKUP(AF773,TNCalibEq2500!$AZ$2:$BB$56,3,)))</f>
        <v>0</v>
      </c>
      <c r="AU773" s="10" t="str">
        <f>IF(I773="TP",VLOOKUP(AF773,TPCalibEqFull!$AZ$2:$BB$56,3),IF(I773="TDP",VLOOKUP(AF773,TPCalibEqFull!$AZ$2:$BB$56,3),IF(I773="TDN",VLOOKUP(AF773,TNCalibEqFull!$AZ$1:$BB$56,3),IF(I773="TN",VLOOKUP(AF773,TNCalibEqFull!$AZ$1:$BB$56,3),FALSE))))</f>
        <v>y=0x2+67.076x-21.654</v>
      </c>
      <c r="AV773" s="10" t="str">
        <f t="shared" si="90"/>
        <v>0109 09:57:00-EAW-0-C-2-SW-DUP</v>
      </c>
    </row>
    <row r="774" spans="1:48" s="10" customFormat="1" x14ac:dyDescent="0.55000000000000004">
      <c r="A774" s="32">
        <v>44935</v>
      </c>
      <c r="B774" s="33">
        <v>0.4145833333333333</v>
      </c>
      <c r="C774" s="10" t="s">
        <v>999</v>
      </c>
      <c r="D774" s="10">
        <v>0</v>
      </c>
      <c r="E774" s="10" t="s">
        <v>190</v>
      </c>
      <c r="F774" s="10">
        <v>2</v>
      </c>
      <c r="G774" s="10" t="s">
        <v>231</v>
      </c>
      <c r="H774" s="10" t="s">
        <v>314</v>
      </c>
      <c r="I774" s="10" t="s">
        <v>83</v>
      </c>
      <c r="J774" s="10">
        <v>30</v>
      </c>
      <c r="K774" s="12">
        <v>44937</v>
      </c>
      <c r="L774" s="33">
        <v>0.62440972222222224</v>
      </c>
      <c r="M774" s="10">
        <v>1</v>
      </c>
      <c r="N774" s="10" t="s">
        <v>84</v>
      </c>
      <c r="O774" s="10">
        <v>19.600000000000001</v>
      </c>
      <c r="P774" s="10">
        <v>1.38</v>
      </c>
      <c r="Q774" s="10">
        <v>1280</v>
      </c>
      <c r="R774" s="10" t="s">
        <v>85</v>
      </c>
      <c r="S774" s="34">
        <f t="shared" si="86"/>
        <v>1293.0355999999999</v>
      </c>
      <c r="T774" s="10" t="s">
        <v>1035</v>
      </c>
      <c r="U774" s="34">
        <f t="shared" si="87"/>
        <v>105.60969563199998</v>
      </c>
      <c r="V774" s="31">
        <f>IF(H774="CHK",VLOOKUP(I774,QCCHK,3,),IF(H774="GUP",VLOOKUP(E774,QCGUP,2,),IF(AND(H774="ATP",OR(I774="TN",I774="TDN",I774="TNO2-3",I774="NO2-3")),VLOOKUP(E774,QCREC_N,2,),IF(AND(H774="NIC",OR(I774="TN",I774="TDN",I774="TNO2-3",I774="NO2-3")),VLOOKUP(E774,QCNIC_N,2,),IF(AND(H774="UREA",OR(I774="TN",I774="TDN",I774="TNO2-3",I774="NO2-3")),VLOOKUP(E774,QCUREA_N,2,),IF(H774="PER",VLOOKUP(I774,QCPER,MATCH(E774,QCACTUAL!$J$25:$AA$25,0),),IF(H774="SPK",VLOOKUP(I774,QCSPK,3,),IF(AND(H774="ATP",OR(I774="TP",I774="TDP")),VLOOKUP(E774,QCATP_P,2,),""))))))))</f>
        <v>1000</v>
      </c>
      <c r="W774" s="31" t="str">
        <f t="shared" si="88"/>
        <v>TRUE</v>
      </c>
      <c r="X774" s="31" t="str">
        <f t="shared" si="89"/>
        <v>([spikedunkn]-[unkn])/[spike]*100</v>
      </c>
      <c r="Y774" s="10" t="s">
        <v>1021</v>
      </c>
      <c r="Z774" s="10" t="s">
        <v>910</v>
      </c>
      <c r="AF774" s="12">
        <v>44937</v>
      </c>
      <c r="AK774" s="10">
        <f>0*19.6^2+67.076*19.6-21.654</f>
        <v>1293.0355999999999</v>
      </c>
      <c r="AL774" s="10" t="str">
        <f t="shared" si="84"/>
        <v>FALSE</v>
      </c>
      <c r="AM774" s="10" t="str">
        <f t="shared" si="84"/>
        <v>FALSE</v>
      </c>
      <c r="AN774" s="10" t="str">
        <f t="shared" si="84"/>
        <v>FALSE</v>
      </c>
      <c r="AO774" s="10" t="str">
        <f t="shared" si="85"/>
        <v>FALSE</v>
      </c>
      <c r="AP774" s="10" t="str">
        <f t="shared" si="85"/>
        <v>y=0*19.6^2+67.076*19.6-21.654</v>
      </c>
      <c r="AQ774" s="10" t="b">
        <f>IF(AND(I774="TP",S774&lt;=150),VLOOKUP(AF774,TPCalibEq150!$AZ$2:$BB$55,3,),IF(AND(I774="TDP",S774&lt;=150),VLOOKUP(AF774,TPCalibEq150!$AZ$2:$BB$55,3,)))</f>
        <v>0</v>
      </c>
      <c r="AR774" s="10" t="b">
        <f>IF(AND(I774="TP",S774&lt;=300),VLOOKUP(AF774,TPCalibEq300!$AZ$2:$BB$55,3,),IF(AND(I774="TDP",S774&lt;=300),VLOOKUP(AF774,TPCalibEq300!$AZ$2:$BB$55,3,)))</f>
        <v>0</v>
      </c>
      <c r="AS774" s="10" t="b">
        <f>IF(AND(I774="TP",S774&lt;=500),VLOOKUP(AF774,TPCalibEq500!$AZ$2:$BB$56,3,),IF(AND(I774="TDP",S774&lt;=500),VLOOKUP(AF774,TPCalibEq500!$AZ$2:$BB$56,3,)))</f>
        <v>0</v>
      </c>
      <c r="AT774" s="10" t="b">
        <f>IF(AND(I774="TN",S774&lt;=2800),VLOOKUP(AF774,TNCalibEq2500!$AZ$2:$BB$56,3,),IF(AND(I774="TDN",S774&lt;=2800),VLOOKUP(AF774,TNCalibEq2500!$AZ$2:$BB$56,3,)))</f>
        <v>0</v>
      </c>
      <c r="AU774" s="10" t="str">
        <f>IF(I774="TP",VLOOKUP(AF774,TPCalibEqFull!$AZ$2:$BB$56,3),IF(I774="TDP",VLOOKUP(AF774,TPCalibEqFull!$AZ$2:$BB$56,3),IF(I774="TDN",VLOOKUP(AF774,TNCalibEqFull!$AZ$1:$BB$56,3),IF(I774="TN",VLOOKUP(AF774,TNCalibEqFull!$AZ$1:$BB$56,3),FALSE))))</f>
        <v>y=0x2+67.076x-21.654</v>
      </c>
      <c r="AV774" s="10" t="str">
        <f t="shared" si="90"/>
        <v>0109 09:57:00-EAW-0-C-2-SW-SPK</v>
      </c>
    </row>
    <row r="775" spans="1:48" s="10" customFormat="1" x14ac:dyDescent="0.55000000000000004">
      <c r="A775" s="32">
        <v>44937</v>
      </c>
      <c r="B775" s="33">
        <v>0.375</v>
      </c>
      <c r="C775" s="10" t="s">
        <v>70</v>
      </c>
      <c r="D775" s="10" t="s">
        <v>71</v>
      </c>
      <c r="E775" s="10" t="s">
        <v>901</v>
      </c>
      <c r="F775" s="10">
        <v>1</v>
      </c>
      <c r="G775" s="10" t="s">
        <v>73</v>
      </c>
      <c r="H775" s="10" t="s">
        <v>207</v>
      </c>
      <c r="I775" s="10" t="s">
        <v>83</v>
      </c>
      <c r="J775" s="10">
        <v>200</v>
      </c>
      <c r="K775" s="12">
        <v>44937</v>
      </c>
      <c r="L775" s="33">
        <v>0.62510416666666668</v>
      </c>
      <c r="M775" s="10">
        <v>1</v>
      </c>
      <c r="N775" s="10" t="s">
        <v>84</v>
      </c>
      <c r="O775" s="10">
        <v>8.19</v>
      </c>
      <c r="P775" s="10">
        <v>0.59199999999999997</v>
      </c>
      <c r="Q775" s="10">
        <v>522</v>
      </c>
      <c r="R775" s="10" t="s">
        <v>85</v>
      </c>
      <c r="S775" s="34">
        <f t="shared" si="86"/>
        <v>527.69843999999989</v>
      </c>
      <c r="T775" s="10" t="s">
        <v>1035</v>
      </c>
      <c r="U775" s="34">
        <f t="shared" si="87"/>
        <v>105.53968799999997</v>
      </c>
      <c r="V775" s="31">
        <f>IF(H775="CHK",VLOOKUP(I775,QCCHK,3,),IF(H775="GUP",VLOOKUP(E775,QCGUP,2,),IF(AND(H775="ATP",OR(I775="TN",I775="TDN",I775="TNO2-3",I775="NO2-3")),VLOOKUP(E775,QCREC_N,2,),IF(AND(H775="NIC",OR(I775="TN",I775="TDN",I775="TNO2-3",I775="NO2-3")),VLOOKUP(E775,QCNIC_N,2,),IF(AND(H775="UREA",OR(I775="TN",I775="TDN",I775="TNO2-3",I775="NO2-3")),VLOOKUP(E775,QCUREA_N,2,),IF(H775="PER",VLOOKUP(I775,QCPER,MATCH(E775,QCACTUAL!$J$25:$AA$25,0),),IF(H775="SPK",VLOOKUP(I775,QCSPK,3,),IF(AND(H775="ATP",OR(I775="TP",I775="TDP")),VLOOKUP(E775,QCATP_P,2,),""))))))))</f>
        <v>500</v>
      </c>
      <c r="W775" s="31" t="str">
        <f t="shared" si="88"/>
        <v>TRUE</v>
      </c>
      <c r="X775" s="31" t="str">
        <f t="shared" si="89"/>
        <v>[chk]/[actual]*100</v>
      </c>
      <c r="Y775" s="10" t="s">
        <v>1021</v>
      </c>
      <c r="AF775" s="12">
        <v>44937</v>
      </c>
      <c r="AK775" s="10">
        <f>0*8.19^2+67.076*8.19-21.654</f>
        <v>527.69843999999989</v>
      </c>
      <c r="AL775" s="10" t="str">
        <f t="shared" si="84"/>
        <v>FALSE</v>
      </c>
      <c r="AM775" s="10" t="str">
        <f t="shared" si="84"/>
        <v>FALSE</v>
      </c>
      <c r="AN775" s="10" t="str">
        <f t="shared" si="84"/>
        <v>FALSE</v>
      </c>
      <c r="AO775" s="10" t="str">
        <f t="shared" si="85"/>
        <v>FALSE</v>
      </c>
      <c r="AP775" s="10" t="str">
        <f t="shared" si="85"/>
        <v>y=0*8.19^2+67.076*8.19-21.654</v>
      </c>
      <c r="AQ775" s="10" t="b">
        <f>IF(AND(I775="TP",S775&lt;=150),VLOOKUP(AF775,TPCalibEq150!$AZ$2:$BB$55,3,),IF(AND(I775="TDP",S775&lt;=150),VLOOKUP(AF775,TPCalibEq150!$AZ$2:$BB$55,3,)))</f>
        <v>0</v>
      </c>
      <c r="AR775" s="10" t="b">
        <f>IF(AND(I775="TP",S775&lt;=300),VLOOKUP(AF775,TPCalibEq300!$AZ$2:$BB$55,3,),IF(AND(I775="TDP",S775&lt;=300),VLOOKUP(AF775,TPCalibEq300!$AZ$2:$BB$55,3,)))</f>
        <v>0</v>
      </c>
      <c r="AS775" s="10" t="b">
        <f>IF(AND(I775="TP",S775&lt;=500),VLOOKUP(AF775,TPCalibEq500!$AZ$2:$BB$56,3,),IF(AND(I775="TDP",S775&lt;=500),VLOOKUP(AF775,TPCalibEq500!$AZ$2:$BB$56,3,)))</f>
        <v>0</v>
      </c>
      <c r="AT775" s="10" t="b">
        <f>IF(AND(I775="TN",S775&lt;=2800),VLOOKUP(AF775,TNCalibEq2500!$AZ$2:$BB$56,3,),IF(AND(I775="TDN",S775&lt;=2800),VLOOKUP(AF775,TNCalibEq2500!$AZ$2:$BB$56,3,)))</f>
        <v>0</v>
      </c>
      <c r="AU775" s="10" t="str">
        <f>IF(I775="TP",VLOOKUP(AF775,TPCalibEqFull!$AZ$2:$BB$56,3),IF(I775="TDP",VLOOKUP(AF775,TPCalibEqFull!$AZ$2:$BB$56,3),IF(I775="TDN",VLOOKUP(AF775,TNCalibEqFull!$AZ$1:$BB$56,3),IF(I775="TN",VLOOKUP(AF775,TNCalibEqFull!$AZ$1:$BB$56,3),FALSE))))</f>
        <v>y=0x2+67.076x-21.654</v>
      </c>
      <c r="AV775" s="10" t="str">
        <f t="shared" si="90"/>
        <v>0111 09:00:00-QAC-STD-D-1-DI-CHK</v>
      </c>
    </row>
    <row r="776" spans="1:48" s="10" customFormat="1" x14ac:dyDescent="0.55000000000000004">
      <c r="A776" s="32">
        <v>44935</v>
      </c>
      <c r="B776" s="33">
        <v>0.35972222222222222</v>
      </c>
      <c r="C776" s="10" t="s">
        <v>998</v>
      </c>
      <c r="D776" s="10">
        <v>0</v>
      </c>
      <c r="E776" s="10" t="s">
        <v>190</v>
      </c>
      <c r="F776" s="10">
        <v>1</v>
      </c>
      <c r="G776" s="10" t="s">
        <v>231</v>
      </c>
      <c r="H776" s="10" t="s">
        <v>322</v>
      </c>
      <c r="I776" s="10" t="s">
        <v>83</v>
      </c>
      <c r="J776" s="10">
        <v>101</v>
      </c>
      <c r="K776" s="12">
        <v>44937</v>
      </c>
      <c r="L776" s="33">
        <v>0.62579861111111112</v>
      </c>
      <c r="M776" s="10">
        <v>1</v>
      </c>
      <c r="N776" s="10" t="s">
        <v>84</v>
      </c>
      <c r="O776" s="10">
        <v>2.36</v>
      </c>
      <c r="P776" s="10">
        <v>0.16800000000000001</v>
      </c>
      <c r="Q776" s="10">
        <v>136</v>
      </c>
      <c r="R776" s="10" t="s">
        <v>85</v>
      </c>
      <c r="S776" s="34">
        <f t="shared" si="86"/>
        <v>150.47640816000001</v>
      </c>
      <c r="T776" s="10" t="s">
        <v>1035</v>
      </c>
      <c r="U776" s="34" t="str">
        <f t="shared" si="87"/>
        <v/>
      </c>
      <c r="V776" s="31" t="str">
        <f>IF(H776="CHK",VLOOKUP(I776,QCCHK,3,),IF(H776="GUP",VLOOKUP(E776,QCGUP,2,),IF(AND(H776="ATP",OR(I776="TN",I776="TDN",I776="TNO2-3",I776="NO2-3")),VLOOKUP(E776,QCREC_N,2,),IF(AND(H776="NIC",OR(I776="TN",I776="TDN",I776="TNO2-3",I776="NO2-3")),VLOOKUP(E776,QCNIC_N,2,),IF(AND(H776="UREA",OR(I776="TN",I776="TDN",I776="TNO2-3",I776="NO2-3")),VLOOKUP(E776,QCUREA_N,2,),IF(H776="PER",VLOOKUP(I776,QCPER,MATCH(E776,QCACTUAL!$J$25:$AA$25,0),),IF(H776="SPK",VLOOKUP(I776,QCSPK,3,),IF(AND(H776="ATP",OR(I776="TP",I776="TDP")),VLOOKUP(E776,QCATP_P,2,),""))))))))</f>
        <v/>
      </c>
      <c r="W776" s="31" t="str">
        <f t="shared" si="88"/>
        <v>TRUE</v>
      </c>
      <c r="X776" s="31" t="str">
        <f t="shared" si="89"/>
        <v/>
      </c>
      <c r="Y776" s="10" t="s">
        <v>1021</v>
      </c>
      <c r="Z776" s="10" t="s">
        <v>910</v>
      </c>
      <c r="AF776" s="12">
        <v>44937</v>
      </c>
      <c r="AG776" s="10">
        <f>-1.7779*2.36^2+83.185*2.36-35.938</f>
        <v>150.47640816000001</v>
      </c>
      <c r="AH776" s="10">
        <f>-2.8628*2.36^2+86.116*2.36-37.286</f>
        <v>150.00310911999998</v>
      </c>
      <c r="AI776" s="10">
        <f>-0.232*2.36^2+72.802*2.36-30.279</f>
        <v>140.24157280000003</v>
      </c>
      <c r="AK776" s="10">
        <f>0*2.36^2+67.076*2.36-21.654</f>
        <v>136.64535999999998</v>
      </c>
      <c r="AL776" s="10" t="str">
        <f t="shared" si="84"/>
        <v>FALSE</v>
      </c>
      <c r="AM776" s="10" t="str">
        <f t="shared" si="84"/>
        <v>y=-2.8628*2.36^2+86.116*2.36-37.286</v>
      </c>
      <c r="AN776" s="10" t="str">
        <f t="shared" si="84"/>
        <v>y=-0.232*2.36^2+72.802*2.36-30.279</v>
      </c>
      <c r="AO776" s="10" t="str">
        <f t="shared" si="85"/>
        <v>FALSE</v>
      </c>
      <c r="AP776" s="10" t="str">
        <f t="shared" si="85"/>
        <v>y=0*2.36^2+67.076*2.36-21.654</v>
      </c>
      <c r="AQ776" s="10" t="b">
        <f>IF(AND(I776="TP",S776&lt;=150),VLOOKUP(AF776,TPCalibEq150!$AZ$2:$BB$55,3,),IF(AND(I776="TDP",S776&lt;=150),VLOOKUP(AF776,TPCalibEq150!$AZ$2:$BB$55,3,)))</f>
        <v>0</v>
      </c>
      <c r="AR776" s="10" t="str">
        <f>IF(AND(I776="TP",S776&lt;=300),VLOOKUP(AF776,TPCalibEq300!$AZ$2:$BB$55,3,),IF(AND(I776="TDP",S776&lt;=300),VLOOKUP(AF776,TPCalibEq300!$AZ$2:$BB$55,3,)))</f>
        <v>y=-2.8628x2+86.116x-37.286</v>
      </c>
      <c r="AS776" s="10" t="str">
        <f>IF(AND(I776="TP",S776&lt;=500),VLOOKUP(AF776,TPCalibEq500!$AZ$2:$BB$56,3,),IF(AND(I776="TDP",S776&lt;=500),VLOOKUP(AF776,TPCalibEq500!$AZ$2:$BB$56,3,)))</f>
        <v>y=-0.232x2+72.802x-30.279</v>
      </c>
      <c r="AT776" s="10" t="b">
        <f>IF(AND(I776="TN",S776&lt;=2800),VLOOKUP(AF776,TNCalibEq2500!$AZ$2:$BB$56,3,),IF(AND(I776="TDN",S776&lt;=2800),VLOOKUP(AF776,TNCalibEq2500!$AZ$2:$BB$56,3,)))</f>
        <v>0</v>
      </c>
      <c r="AU776" s="10" t="str">
        <f>IF(I776="TP",VLOOKUP(AF776,TPCalibEqFull!$AZ$2:$BB$56,3),IF(I776="TDP",VLOOKUP(AF776,TPCalibEqFull!$AZ$2:$BB$56,3),IF(I776="TDN",VLOOKUP(AF776,TNCalibEqFull!$AZ$1:$BB$56,3),IF(I776="TN",VLOOKUP(AF776,TNCalibEqFull!$AZ$1:$BB$56,3),FALSE))))</f>
        <v>y=0x2+67.076x-21.654</v>
      </c>
      <c r="AV776" s="10" t="str">
        <f t="shared" si="90"/>
        <v>0109 08:38:00-ELW-0-C-1-SW-UKN</v>
      </c>
    </row>
    <row r="777" spans="1:48" s="10" customFormat="1" x14ac:dyDescent="0.55000000000000004">
      <c r="A777" s="32">
        <v>44935</v>
      </c>
      <c r="B777" s="33">
        <v>0.44722222222222219</v>
      </c>
      <c r="C777" s="10" t="s">
        <v>310</v>
      </c>
      <c r="D777" s="10">
        <v>0</v>
      </c>
      <c r="E777" s="10" t="s">
        <v>190</v>
      </c>
      <c r="F777" s="10">
        <v>1</v>
      </c>
      <c r="G777" s="10" t="s">
        <v>231</v>
      </c>
      <c r="H777" s="10" t="s">
        <v>322</v>
      </c>
      <c r="I777" s="10" t="s">
        <v>83</v>
      </c>
      <c r="J777" s="10">
        <v>102</v>
      </c>
      <c r="K777" s="12">
        <v>44937</v>
      </c>
      <c r="L777" s="33">
        <v>0.62649305555555557</v>
      </c>
      <c r="M777" s="10">
        <v>1</v>
      </c>
      <c r="N777" s="10" t="s">
        <v>84</v>
      </c>
      <c r="O777" s="10">
        <v>2.67</v>
      </c>
      <c r="P777" s="10">
        <v>0.189</v>
      </c>
      <c r="Q777" s="10">
        <v>157</v>
      </c>
      <c r="R777" s="10" t="s">
        <v>85</v>
      </c>
      <c r="S777" s="34">
        <f t="shared" si="86"/>
        <v>172.23510508000001</v>
      </c>
      <c r="T777" s="10" t="s">
        <v>1035</v>
      </c>
      <c r="U777" s="34" t="str">
        <f t="shared" si="87"/>
        <v/>
      </c>
      <c r="V777" s="31" t="str">
        <f>IF(H777="CHK",VLOOKUP(I777,QCCHK,3,),IF(H777="GUP",VLOOKUP(E777,QCGUP,2,),IF(AND(H777="ATP",OR(I777="TN",I777="TDN",I777="TNO2-3",I777="NO2-3")),VLOOKUP(E777,QCREC_N,2,),IF(AND(H777="NIC",OR(I777="TN",I777="TDN",I777="TNO2-3",I777="NO2-3")),VLOOKUP(E777,QCNIC_N,2,),IF(AND(H777="UREA",OR(I777="TN",I777="TDN",I777="TNO2-3",I777="NO2-3")),VLOOKUP(E777,QCUREA_N,2,),IF(H777="PER",VLOOKUP(I777,QCPER,MATCH(E777,QCACTUAL!$J$25:$AA$25,0),),IF(H777="SPK",VLOOKUP(I777,QCSPK,3,),IF(AND(H777="ATP",OR(I777="TP",I777="TDP")),VLOOKUP(E777,QCATP_P,2,),""))))))))</f>
        <v/>
      </c>
      <c r="W777" s="31" t="str">
        <f t="shared" si="88"/>
        <v>TRUE</v>
      </c>
      <c r="X777" s="31" t="str">
        <f t="shared" si="89"/>
        <v/>
      </c>
      <c r="Y777" s="10" t="s">
        <v>1021</v>
      </c>
      <c r="Z777" s="10" t="s">
        <v>910</v>
      </c>
      <c r="AF777" s="12">
        <v>44937</v>
      </c>
      <c r="AH777" s="10">
        <f>-2.8628*2.67^2+86.116*2.67-37.286</f>
        <v>172.23510508000001</v>
      </c>
      <c r="AI777" s="10">
        <f>-0.232*2.67^2+72.802*2.67-30.279</f>
        <v>162.44843520000003</v>
      </c>
      <c r="AK777" s="10">
        <f>0*2.67^2+67.076*2.67-21.654</f>
        <v>157.43891999999997</v>
      </c>
      <c r="AL777" s="10" t="str">
        <f t="shared" si="84"/>
        <v>FALSE</v>
      </c>
      <c r="AM777" s="10" t="str">
        <f t="shared" si="84"/>
        <v>y=-2.8628*2.67^2+86.116*2.67-37.286</v>
      </c>
      <c r="AN777" s="10" t="str">
        <f t="shared" si="84"/>
        <v>y=-0.232*2.67^2+72.802*2.67-30.279</v>
      </c>
      <c r="AO777" s="10" t="str">
        <f t="shared" si="85"/>
        <v>FALSE</v>
      </c>
      <c r="AP777" s="10" t="str">
        <f t="shared" si="85"/>
        <v>y=0*2.67^2+67.076*2.67-21.654</v>
      </c>
      <c r="AQ777" s="10" t="b">
        <f>IF(AND(I777="TP",S777&lt;=150),VLOOKUP(AF777,TPCalibEq150!$AZ$2:$BB$55,3,),IF(AND(I777="TDP",S777&lt;=150),VLOOKUP(AF777,TPCalibEq150!$AZ$2:$BB$55,3,)))</f>
        <v>0</v>
      </c>
      <c r="AR777" s="10" t="str">
        <f>IF(AND(I777="TP",S777&lt;=300),VLOOKUP(AF777,TPCalibEq300!$AZ$2:$BB$55,3,),IF(AND(I777="TDP",S777&lt;=300),VLOOKUP(AF777,TPCalibEq300!$AZ$2:$BB$55,3,)))</f>
        <v>y=-2.8628x2+86.116x-37.286</v>
      </c>
      <c r="AS777" s="10" t="str">
        <f>IF(AND(I777="TP",S777&lt;=500),VLOOKUP(AF777,TPCalibEq500!$AZ$2:$BB$56,3,),IF(AND(I777="TDP",S777&lt;=500),VLOOKUP(AF777,TPCalibEq500!$AZ$2:$BB$56,3,)))</f>
        <v>y=-0.232x2+72.802x-30.279</v>
      </c>
      <c r="AT777" s="10" t="b">
        <f>IF(AND(I777="TN",S777&lt;=2800),VLOOKUP(AF777,TNCalibEq2500!$AZ$2:$BB$56,3,),IF(AND(I777="TDN",S777&lt;=2800),VLOOKUP(AF777,TNCalibEq2500!$AZ$2:$BB$56,3,)))</f>
        <v>0</v>
      </c>
      <c r="AU777" s="10" t="str">
        <f>IF(I777="TP",VLOOKUP(AF777,TPCalibEqFull!$AZ$2:$BB$56,3),IF(I777="TDP",VLOOKUP(AF777,TPCalibEqFull!$AZ$2:$BB$56,3),IF(I777="TDN",VLOOKUP(AF777,TNCalibEqFull!$AZ$1:$BB$56,3),IF(I777="TN",VLOOKUP(AF777,TNCalibEqFull!$AZ$1:$BB$56,3),FALSE))))</f>
        <v>y=0x2+67.076x-21.654</v>
      </c>
      <c r="AV777" s="10" t="str">
        <f t="shared" si="90"/>
        <v>0109 10:44:00-ELI-0-C-1-SW-UKN</v>
      </c>
    </row>
    <row r="778" spans="1:48" s="10" customFormat="1" x14ac:dyDescent="0.55000000000000004">
      <c r="A778" s="32">
        <v>44935</v>
      </c>
      <c r="B778" s="33">
        <v>0.4145833333333333</v>
      </c>
      <c r="C778" s="10" t="s">
        <v>999</v>
      </c>
      <c r="D778" s="10">
        <v>0</v>
      </c>
      <c r="E778" s="10" t="s">
        <v>190</v>
      </c>
      <c r="F778" s="10">
        <v>1</v>
      </c>
      <c r="G778" s="10" t="s">
        <v>231</v>
      </c>
      <c r="H778" s="10" t="s">
        <v>322</v>
      </c>
      <c r="I778" s="10" t="s">
        <v>83</v>
      </c>
      <c r="J778" s="10">
        <v>103</v>
      </c>
      <c r="K778" s="12">
        <v>44937</v>
      </c>
      <c r="L778" s="33">
        <v>0.62718750000000001</v>
      </c>
      <c r="M778" s="10">
        <v>1</v>
      </c>
      <c r="N778" s="10" t="s">
        <v>84</v>
      </c>
      <c r="O778" s="10">
        <v>2.5099999999999998</v>
      </c>
      <c r="P778" s="10">
        <v>0.17799999999999999</v>
      </c>
      <c r="Q778" s="10">
        <v>146</v>
      </c>
      <c r="R778" s="10" t="s">
        <v>85</v>
      </c>
      <c r="S778" s="34">
        <f t="shared" si="86"/>
        <v>161.65540220999998</v>
      </c>
      <c r="T778" s="10" t="s">
        <v>1035</v>
      </c>
      <c r="U778" s="34" t="str">
        <f t="shared" si="87"/>
        <v/>
      </c>
      <c r="V778" s="31" t="str">
        <f>IF(H778="CHK",VLOOKUP(I778,QCCHK,3,),IF(H778="GUP",VLOOKUP(E778,QCGUP,2,),IF(AND(H778="ATP",OR(I778="TN",I778="TDN",I778="TNO2-3",I778="NO2-3")),VLOOKUP(E778,QCREC_N,2,),IF(AND(H778="NIC",OR(I778="TN",I778="TDN",I778="TNO2-3",I778="NO2-3")),VLOOKUP(E778,QCNIC_N,2,),IF(AND(H778="UREA",OR(I778="TN",I778="TDN",I778="TNO2-3",I778="NO2-3")),VLOOKUP(E778,QCUREA_N,2,),IF(H778="PER",VLOOKUP(I778,QCPER,MATCH(E778,QCACTUAL!$J$25:$AA$25,0),),IF(H778="SPK",VLOOKUP(I778,QCSPK,3,),IF(AND(H778="ATP",OR(I778="TP",I778="TDP")),VLOOKUP(E778,QCATP_P,2,),""))))))))</f>
        <v/>
      </c>
      <c r="W778" s="31" t="str">
        <f t="shared" si="88"/>
        <v>TRUE</v>
      </c>
      <c r="X778" s="31" t="str">
        <f t="shared" si="89"/>
        <v/>
      </c>
      <c r="Y778" s="10" t="s">
        <v>1021</v>
      </c>
      <c r="Z778" s="10" t="s">
        <v>910</v>
      </c>
      <c r="AF778" s="12">
        <v>44937</v>
      </c>
      <c r="AG778" s="10">
        <f>-1.7779*2.51^2+83.185*2.51-35.938</f>
        <v>161.65540220999998</v>
      </c>
      <c r="AH778" s="10">
        <f>-2.8628*2.51^2+86.116*2.51-37.286</f>
        <v>160.82923371999999</v>
      </c>
      <c r="AI778" s="10">
        <f>-0.232*2.51^2+72.802*2.51-30.279</f>
        <v>150.99239680000002</v>
      </c>
      <c r="AK778" s="10">
        <f>0*2.51^2+67.076*2.51-21.654</f>
        <v>146.70675999999997</v>
      </c>
      <c r="AL778" s="10" t="str">
        <f t="shared" si="84"/>
        <v>FALSE</v>
      </c>
      <c r="AM778" s="10" t="str">
        <f t="shared" si="84"/>
        <v>y=-2.8628*2.51^2+86.116*2.51-37.286</v>
      </c>
      <c r="AN778" s="10" t="str">
        <f t="shared" si="84"/>
        <v>y=-0.232*2.51^2+72.802*2.51-30.279</v>
      </c>
      <c r="AO778" s="10" t="str">
        <f t="shared" si="85"/>
        <v>FALSE</v>
      </c>
      <c r="AP778" s="10" t="str">
        <f t="shared" si="85"/>
        <v>y=0*2.51^2+67.076*2.51-21.654</v>
      </c>
      <c r="AQ778" s="10" t="b">
        <f>IF(AND(I778="TP",S778&lt;=150),VLOOKUP(AF778,TPCalibEq150!$AZ$2:$BB$55,3,),IF(AND(I778="TDP",S778&lt;=150),VLOOKUP(AF778,TPCalibEq150!$AZ$2:$BB$55,3,)))</f>
        <v>0</v>
      </c>
      <c r="AR778" s="10" t="str">
        <f>IF(AND(I778="TP",S778&lt;=300),VLOOKUP(AF778,TPCalibEq300!$AZ$2:$BB$55,3,),IF(AND(I778="TDP",S778&lt;=300),VLOOKUP(AF778,TPCalibEq300!$AZ$2:$BB$55,3,)))</f>
        <v>y=-2.8628x2+86.116x-37.286</v>
      </c>
      <c r="AS778" s="10" t="str">
        <f>IF(AND(I778="TP",S778&lt;=500),VLOOKUP(AF778,TPCalibEq500!$AZ$2:$BB$56,3,),IF(AND(I778="TDP",S778&lt;=500),VLOOKUP(AF778,TPCalibEq500!$AZ$2:$BB$56,3,)))</f>
        <v>y=-0.232x2+72.802x-30.279</v>
      </c>
      <c r="AT778" s="10" t="b">
        <f>IF(AND(I778="TN",S778&lt;=2800),VLOOKUP(AF778,TNCalibEq2500!$AZ$2:$BB$56,3,),IF(AND(I778="TDN",S778&lt;=2800),VLOOKUP(AF778,TNCalibEq2500!$AZ$2:$BB$56,3,)))</f>
        <v>0</v>
      </c>
      <c r="AU778" s="10" t="str">
        <f>IF(I778="TP",VLOOKUP(AF778,TPCalibEqFull!$AZ$2:$BB$56,3),IF(I778="TDP",VLOOKUP(AF778,TPCalibEqFull!$AZ$2:$BB$56,3),IF(I778="TDN",VLOOKUP(AF778,TNCalibEqFull!$AZ$1:$BB$56,3),IF(I778="TN",VLOOKUP(AF778,TNCalibEqFull!$AZ$1:$BB$56,3),FALSE))))</f>
        <v>y=0x2+67.076x-21.654</v>
      </c>
      <c r="AV778" s="10" t="str">
        <f t="shared" si="90"/>
        <v>0109 09:57:00-EAW-0-C-1-SW-UKN</v>
      </c>
    </row>
    <row r="779" spans="1:48" s="10" customFormat="1" x14ac:dyDescent="0.55000000000000004">
      <c r="A779" s="32">
        <v>44935</v>
      </c>
      <c r="B779" s="33">
        <v>0.4145833333333333</v>
      </c>
      <c r="C779" s="10" t="s">
        <v>999</v>
      </c>
      <c r="D779" s="10">
        <v>0</v>
      </c>
      <c r="E779" s="10" t="s">
        <v>190</v>
      </c>
      <c r="F779" s="10">
        <v>2</v>
      </c>
      <c r="G779" s="10" t="s">
        <v>231</v>
      </c>
      <c r="H779" s="10" t="s">
        <v>322</v>
      </c>
      <c r="I779" s="10" t="s">
        <v>83</v>
      </c>
      <c r="J779" s="10">
        <v>104</v>
      </c>
      <c r="K779" s="12">
        <v>44937</v>
      </c>
      <c r="L779" s="33">
        <v>0.62788194444444445</v>
      </c>
      <c r="M779" s="10">
        <v>1</v>
      </c>
      <c r="N779" s="10" t="s">
        <v>84</v>
      </c>
      <c r="O779" s="10">
        <v>2.4900000000000002</v>
      </c>
      <c r="P779" s="10">
        <v>0.17599999999999999</v>
      </c>
      <c r="Q779" s="10">
        <v>144</v>
      </c>
      <c r="R779" s="10" t="s">
        <v>85</v>
      </c>
      <c r="S779" s="34">
        <f t="shared" si="86"/>
        <v>160.16949221000004</v>
      </c>
      <c r="T779" s="10" t="s">
        <v>1035</v>
      </c>
      <c r="U779" s="34" t="str">
        <f t="shared" si="87"/>
        <v/>
      </c>
      <c r="V779" s="31" t="str">
        <f>IF(H779="CHK",VLOOKUP(I779,QCCHK,3,),IF(H779="GUP",VLOOKUP(E779,QCGUP,2,),IF(AND(H779="ATP",OR(I779="TN",I779="TDN",I779="TNO2-3",I779="NO2-3")),VLOOKUP(E779,QCREC_N,2,),IF(AND(H779="NIC",OR(I779="TN",I779="TDN",I779="TNO2-3",I779="NO2-3")),VLOOKUP(E779,QCNIC_N,2,),IF(AND(H779="UREA",OR(I779="TN",I779="TDN",I779="TNO2-3",I779="NO2-3")),VLOOKUP(E779,QCUREA_N,2,),IF(H779="PER",VLOOKUP(I779,QCPER,MATCH(E779,QCACTUAL!$J$25:$AA$25,0),),IF(H779="SPK",VLOOKUP(I779,QCSPK,3,),IF(AND(H779="ATP",OR(I779="TP",I779="TDP")),VLOOKUP(E779,QCATP_P,2,),""))))))))</f>
        <v/>
      </c>
      <c r="W779" s="31" t="str">
        <f t="shared" si="88"/>
        <v>TRUE</v>
      </c>
      <c r="X779" s="31" t="str">
        <f t="shared" si="89"/>
        <v/>
      </c>
      <c r="Y779" s="10" t="s">
        <v>1021</v>
      </c>
      <c r="Z779" s="10" t="s">
        <v>910</v>
      </c>
      <c r="AF779" s="12">
        <v>44937</v>
      </c>
      <c r="AG779" s="10">
        <f>-1.7779*2.49^2+83.185*2.49-35.938</f>
        <v>160.16949221000004</v>
      </c>
      <c r="AH779" s="10">
        <f>-2.8628*2.49^2+86.116*2.49-37.286</f>
        <v>159.39319372</v>
      </c>
      <c r="AI779" s="10">
        <f>-0.232*2.49^2+72.802*2.49-30.279</f>
        <v>149.55955680000005</v>
      </c>
      <c r="AK779" s="10">
        <f>0*2.49^2+67.076*2.49-21.654</f>
        <v>145.36524</v>
      </c>
      <c r="AL779" s="10" t="str">
        <f t="shared" si="84"/>
        <v>FALSE</v>
      </c>
      <c r="AM779" s="10" t="str">
        <f t="shared" si="84"/>
        <v>y=-2.8628*2.49^2+86.116*2.49-37.286</v>
      </c>
      <c r="AN779" s="10" t="str">
        <f t="shared" si="84"/>
        <v>y=-0.232*2.49^2+72.802*2.49-30.279</v>
      </c>
      <c r="AO779" s="10" t="str">
        <f t="shared" si="85"/>
        <v>FALSE</v>
      </c>
      <c r="AP779" s="10" t="str">
        <f t="shared" si="85"/>
        <v>y=0*2.49^2+67.076*2.49-21.654</v>
      </c>
      <c r="AQ779" s="10" t="b">
        <f>IF(AND(I779="TP",S779&lt;=150),VLOOKUP(AF779,TPCalibEq150!$AZ$2:$BB$55,3,),IF(AND(I779="TDP",S779&lt;=150),VLOOKUP(AF779,TPCalibEq150!$AZ$2:$BB$55,3,)))</f>
        <v>0</v>
      </c>
      <c r="AR779" s="10" t="str">
        <f>IF(AND(I779="TP",S779&lt;=300),VLOOKUP(AF779,TPCalibEq300!$AZ$2:$BB$55,3,),IF(AND(I779="TDP",S779&lt;=300),VLOOKUP(AF779,TPCalibEq300!$AZ$2:$BB$55,3,)))</f>
        <v>y=-2.8628x2+86.116x-37.286</v>
      </c>
      <c r="AS779" s="10" t="str">
        <f>IF(AND(I779="TP",S779&lt;=500),VLOOKUP(AF779,TPCalibEq500!$AZ$2:$BB$56,3,),IF(AND(I779="TDP",S779&lt;=500),VLOOKUP(AF779,TPCalibEq500!$AZ$2:$BB$56,3,)))</f>
        <v>y=-0.232x2+72.802x-30.279</v>
      </c>
      <c r="AT779" s="10" t="b">
        <f>IF(AND(I779="TN",S779&lt;=2800),VLOOKUP(AF779,TNCalibEq2500!$AZ$2:$BB$56,3,),IF(AND(I779="TDN",S779&lt;=2800),VLOOKUP(AF779,TNCalibEq2500!$AZ$2:$BB$56,3,)))</f>
        <v>0</v>
      </c>
      <c r="AU779" s="10" t="str">
        <f>IF(I779="TP",VLOOKUP(AF779,TPCalibEqFull!$AZ$2:$BB$56,3),IF(I779="TDP",VLOOKUP(AF779,TPCalibEqFull!$AZ$2:$BB$56,3),IF(I779="TDN",VLOOKUP(AF779,TNCalibEqFull!$AZ$1:$BB$56,3),IF(I779="TN",VLOOKUP(AF779,TNCalibEqFull!$AZ$1:$BB$56,3),FALSE))))</f>
        <v>y=0x2+67.076x-21.654</v>
      </c>
      <c r="AV779" s="10" t="str">
        <f t="shared" si="90"/>
        <v>0109 09:57:00-EAW-0-C-2-SW-UKN</v>
      </c>
    </row>
    <row r="780" spans="1:48" s="10" customFormat="1" x14ac:dyDescent="0.55000000000000004">
      <c r="A780" s="32">
        <v>44935</v>
      </c>
      <c r="B780" s="33">
        <v>0.4145833333333333</v>
      </c>
      <c r="C780" s="10" t="s">
        <v>999</v>
      </c>
      <c r="D780" s="10">
        <v>0</v>
      </c>
      <c r="E780" s="10" t="s">
        <v>190</v>
      </c>
      <c r="F780" s="10">
        <v>2</v>
      </c>
      <c r="G780" s="10" t="s">
        <v>231</v>
      </c>
      <c r="H780" s="10" t="s">
        <v>233</v>
      </c>
      <c r="I780" s="10" t="s">
        <v>83</v>
      </c>
      <c r="J780" s="10">
        <v>104</v>
      </c>
      <c r="K780" s="12">
        <v>44937</v>
      </c>
      <c r="L780" s="33">
        <v>0.62856481481481474</v>
      </c>
      <c r="M780" s="10">
        <v>1</v>
      </c>
      <c r="N780" s="10" t="s">
        <v>84</v>
      </c>
      <c r="O780" s="10">
        <v>2.48</v>
      </c>
      <c r="P780" s="10">
        <v>0.17599999999999999</v>
      </c>
      <c r="Q780" s="10">
        <v>144</v>
      </c>
      <c r="R780" s="10" t="s">
        <v>85</v>
      </c>
      <c r="S780" s="34">
        <f t="shared" si="86"/>
        <v>159.42600384000002</v>
      </c>
      <c r="T780" s="10" t="s">
        <v>1035</v>
      </c>
      <c r="U780" s="34">
        <f t="shared" si="87"/>
        <v>0.46526836528616505</v>
      </c>
      <c r="V780" s="31" t="str">
        <f>IF(H780="CHK",VLOOKUP(I780,QCCHK,3,),IF(H780="GUP",VLOOKUP(E780,QCGUP,2,),IF(AND(H780="ATP",OR(I780="TN",I780="TDN",I780="TNO2-3",I780="NO2-3")),VLOOKUP(E780,QCREC_N,2,),IF(AND(H780="NIC",OR(I780="TN",I780="TDN",I780="TNO2-3",I780="NO2-3")),VLOOKUP(E780,QCNIC_N,2,),IF(AND(H780="UREA",OR(I780="TN",I780="TDN",I780="TNO2-3",I780="NO2-3")),VLOOKUP(E780,QCUREA_N,2,),IF(H780="PER",VLOOKUP(I780,QCPER,MATCH(E780,QCACTUAL!$J$25:$AA$25,0),),IF(H780="SPK",VLOOKUP(I780,QCSPK,3,),IF(AND(H780="ATP",OR(I780="TP",I780="TDP")),VLOOKUP(E780,QCATP_P,2,),""))))))))</f>
        <v/>
      </c>
      <c r="W780" s="31" t="str">
        <f t="shared" si="88"/>
        <v>TRUE</v>
      </c>
      <c r="X780" s="31" t="str">
        <f t="shared" si="89"/>
        <v>((ABS(rep1-rep2))/((rep1+rep2)/2)*100</v>
      </c>
      <c r="Y780" s="10" t="s">
        <v>1021</v>
      </c>
      <c r="Z780" s="10" t="s">
        <v>910</v>
      </c>
      <c r="AF780" s="12">
        <v>44937</v>
      </c>
      <c r="AG780" s="10">
        <f>-1.7779*2.48^2+83.185*2.48-35.938</f>
        <v>159.42600384000002</v>
      </c>
      <c r="AH780" s="10">
        <f>-2.8628*2.48^2+86.116*2.48-37.286</f>
        <v>158.67431488</v>
      </c>
      <c r="AI780" s="10">
        <f>-0.232*2.48^2+72.802*2.48-30.279</f>
        <v>148.84306720000004</v>
      </c>
      <c r="AK780" s="10">
        <f>0*2.48^2+67.076*2.48-21.654</f>
        <v>144.69448</v>
      </c>
      <c r="AL780" s="10" t="str">
        <f t="shared" si="84"/>
        <v>FALSE</v>
      </c>
      <c r="AM780" s="10" t="str">
        <f t="shared" si="84"/>
        <v>y=-2.8628*2.48^2+86.116*2.48-37.286</v>
      </c>
      <c r="AN780" s="10" t="str">
        <f t="shared" si="84"/>
        <v>y=-0.232*2.48^2+72.802*2.48-30.279</v>
      </c>
      <c r="AO780" s="10" t="str">
        <f t="shared" si="85"/>
        <v>FALSE</v>
      </c>
      <c r="AP780" s="10" t="str">
        <f t="shared" si="85"/>
        <v>y=0*2.48^2+67.076*2.48-21.654</v>
      </c>
      <c r="AQ780" s="10" t="b">
        <f>IF(AND(I780="TP",S780&lt;=150),VLOOKUP(AF780,TPCalibEq150!$AZ$2:$BB$55,3,),IF(AND(I780="TDP",S780&lt;=150),VLOOKUP(AF780,TPCalibEq150!$AZ$2:$BB$55,3,)))</f>
        <v>0</v>
      </c>
      <c r="AR780" s="10" t="str">
        <f>IF(AND(I780="TP",S780&lt;=300),VLOOKUP(AF780,TPCalibEq300!$AZ$2:$BB$55,3,),IF(AND(I780="TDP",S780&lt;=300),VLOOKUP(AF780,TPCalibEq300!$AZ$2:$BB$55,3,)))</f>
        <v>y=-2.8628x2+86.116x-37.286</v>
      </c>
      <c r="AS780" s="10" t="str">
        <f>IF(AND(I780="TP",S780&lt;=500),VLOOKUP(AF780,TPCalibEq500!$AZ$2:$BB$56,3,),IF(AND(I780="TDP",S780&lt;=500),VLOOKUP(AF780,TPCalibEq500!$AZ$2:$BB$56,3,)))</f>
        <v>y=-0.232x2+72.802x-30.279</v>
      </c>
      <c r="AT780" s="10" t="b">
        <f>IF(AND(I780="TN",S780&lt;=2800),VLOOKUP(AF780,TNCalibEq2500!$AZ$2:$BB$56,3,),IF(AND(I780="TDN",S780&lt;=2800),VLOOKUP(AF780,TNCalibEq2500!$AZ$2:$BB$56,3,)))</f>
        <v>0</v>
      </c>
      <c r="AU780" s="10" t="str">
        <f>IF(I780="TP",VLOOKUP(AF780,TPCalibEqFull!$AZ$2:$BB$56,3),IF(I780="TDP",VLOOKUP(AF780,TPCalibEqFull!$AZ$2:$BB$56,3),IF(I780="TDN",VLOOKUP(AF780,TNCalibEqFull!$AZ$1:$BB$56,3),IF(I780="TN",VLOOKUP(AF780,TNCalibEqFull!$AZ$1:$BB$56,3),FALSE))))</f>
        <v>y=0x2+67.076x-21.654</v>
      </c>
      <c r="AV780" s="10" t="str">
        <f t="shared" si="90"/>
        <v>0109 09:57:00-EAW-0-C-2-SW-DUP</v>
      </c>
    </row>
    <row r="781" spans="1:48" s="10" customFormat="1" x14ac:dyDescent="0.55000000000000004">
      <c r="A781" s="32">
        <v>44935</v>
      </c>
      <c r="B781" s="33">
        <v>0.4145833333333333</v>
      </c>
      <c r="C781" s="10" t="s">
        <v>999</v>
      </c>
      <c r="D781" s="10">
        <v>0</v>
      </c>
      <c r="E781" s="10" t="s">
        <v>190</v>
      </c>
      <c r="F781" s="10">
        <v>2</v>
      </c>
      <c r="G781" s="10" t="s">
        <v>231</v>
      </c>
      <c r="H781" s="10" t="s">
        <v>314</v>
      </c>
      <c r="I781" s="10" t="s">
        <v>83</v>
      </c>
      <c r="J781" s="10">
        <v>120</v>
      </c>
      <c r="K781" s="12">
        <v>44937</v>
      </c>
      <c r="L781" s="33">
        <v>0.6292592592592593</v>
      </c>
      <c r="M781" s="10">
        <v>1</v>
      </c>
      <c r="N781" s="10" t="s">
        <v>84</v>
      </c>
      <c r="O781" s="10">
        <v>17</v>
      </c>
      <c r="P781" s="10">
        <v>1.21</v>
      </c>
      <c r="Q781" s="10">
        <v>1110</v>
      </c>
      <c r="R781" s="10" t="s">
        <v>85</v>
      </c>
      <c r="S781" s="34">
        <f t="shared" si="86"/>
        <v>1118.6379999999999</v>
      </c>
      <c r="T781" s="10" t="s">
        <v>1035</v>
      </c>
      <c r="U781" s="34">
        <f t="shared" si="87"/>
        <v>95.921199615999981</v>
      </c>
      <c r="V781" s="31">
        <f>IF(H781="CHK",VLOOKUP(I781,QCCHK,3,),IF(H781="GUP",VLOOKUP(E781,QCGUP,2,),IF(AND(H781="ATP",OR(I781="TN",I781="TDN",I781="TNO2-3",I781="NO2-3")),VLOOKUP(E781,QCREC_N,2,),IF(AND(H781="NIC",OR(I781="TN",I781="TDN",I781="TNO2-3",I781="NO2-3")),VLOOKUP(E781,QCNIC_N,2,),IF(AND(H781="UREA",OR(I781="TN",I781="TDN",I781="TNO2-3",I781="NO2-3")),VLOOKUP(E781,QCUREA_N,2,),IF(H781="PER",VLOOKUP(I781,QCPER,MATCH(E781,QCACTUAL!$J$25:$AA$25,0),),IF(H781="SPK",VLOOKUP(I781,QCSPK,3,),IF(AND(H781="ATP",OR(I781="TP",I781="TDP")),VLOOKUP(E781,QCATP_P,2,),""))))))))</f>
        <v>1000</v>
      </c>
      <c r="W781" s="31" t="str">
        <f t="shared" si="88"/>
        <v>TRUE</v>
      </c>
      <c r="X781" s="31" t="str">
        <f t="shared" si="89"/>
        <v>([spikedunkn]-[unkn])/[spike]*100</v>
      </c>
      <c r="Y781" s="10" t="s">
        <v>1021</v>
      </c>
      <c r="Z781" s="10" t="s">
        <v>910</v>
      </c>
      <c r="AF781" s="12">
        <v>44937</v>
      </c>
      <c r="AK781" s="10">
        <f>0*17^2+67.076*17-21.654</f>
        <v>1118.6379999999999</v>
      </c>
      <c r="AL781" s="10" t="str">
        <f t="shared" si="84"/>
        <v>FALSE</v>
      </c>
      <c r="AM781" s="10" t="str">
        <f t="shared" si="84"/>
        <v>FALSE</v>
      </c>
      <c r="AN781" s="10" t="str">
        <f t="shared" si="84"/>
        <v>FALSE</v>
      </c>
      <c r="AO781" s="10" t="str">
        <f t="shared" si="85"/>
        <v>FALSE</v>
      </c>
      <c r="AP781" s="10" t="str">
        <f t="shared" si="85"/>
        <v>y=0*17^2+67.076*17-21.654</v>
      </c>
      <c r="AQ781" s="10" t="b">
        <f>IF(AND(I781="TP",S781&lt;=150),VLOOKUP(AF781,TPCalibEq150!$AZ$2:$BB$55,3,),IF(AND(I781="TDP",S781&lt;=150),VLOOKUP(AF781,TPCalibEq150!$AZ$2:$BB$55,3,)))</f>
        <v>0</v>
      </c>
      <c r="AR781" s="10" t="b">
        <f>IF(AND(I781="TP",S781&lt;=300),VLOOKUP(AF781,TPCalibEq300!$AZ$2:$BB$55,3,),IF(AND(I781="TDP",S781&lt;=300),VLOOKUP(AF781,TPCalibEq300!$AZ$2:$BB$55,3,)))</f>
        <v>0</v>
      </c>
      <c r="AS781" s="10" t="b">
        <f>IF(AND(I781="TP",S781&lt;=500),VLOOKUP(AF781,TPCalibEq500!$AZ$2:$BB$56,3,),IF(AND(I781="TDP",S781&lt;=500),VLOOKUP(AF781,TPCalibEq500!$AZ$2:$BB$56,3,)))</f>
        <v>0</v>
      </c>
      <c r="AT781" s="10" t="b">
        <f>IF(AND(I781="TN",S781&lt;=2800),VLOOKUP(AF781,TNCalibEq2500!$AZ$2:$BB$56,3,),IF(AND(I781="TDN",S781&lt;=2800),VLOOKUP(AF781,TNCalibEq2500!$AZ$2:$BB$56,3,)))</f>
        <v>0</v>
      </c>
      <c r="AU781" s="10" t="str">
        <f>IF(I781="TP",VLOOKUP(AF781,TPCalibEqFull!$AZ$2:$BB$56,3),IF(I781="TDP",VLOOKUP(AF781,TPCalibEqFull!$AZ$2:$BB$56,3),IF(I781="TDN",VLOOKUP(AF781,TNCalibEqFull!$AZ$1:$BB$56,3),IF(I781="TN",VLOOKUP(AF781,TNCalibEqFull!$AZ$1:$BB$56,3),FALSE))))</f>
        <v>y=0x2+67.076x-21.654</v>
      </c>
      <c r="AV781" s="10" t="str">
        <f t="shared" si="90"/>
        <v>0109 09:57:00-EAW-0-C-2-SW-SPK</v>
      </c>
    </row>
    <row r="782" spans="1:48" s="10" customFormat="1" x14ac:dyDescent="0.55000000000000004">
      <c r="A782" s="32">
        <v>44937</v>
      </c>
      <c r="B782" s="33">
        <v>0.375</v>
      </c>
      <c r="C782" s="10" t="s">
        <v>70</v>
      </c>
      <c r="D782" s="10" t="s">
        <v>71</v>
      </c>
      <c r="E782" s="10" t="s">
        <v>901</v>
      </c>
      <c r="F782" s="10">
        <v>1</v>
      </c>
      <c r="G782" s="10" t="s">
        <v>73</v>
      </c>
      <c r="H782" s="10" t="s">
        <v>207</v>
      </c>
      <c r="I782" s="10" t="s">
        <v>83</v>
      </c>
      <c r="J782" s="10">
        <v>200</v>
      </c>
      <c r="K782" s="12">
        <v>44937</v>
      </c>
      <c r="L782" s="33">
        <v>0.62997685185185182</v>
      </c>
      <c r="M782" s="10">
        <v>1</v>
      </c>
      <c r="N782" s="10" t="s">
        <v>84</v>
      </c>
      <c r="O782" s="10">
        <v>8.23</v>
      </c>
      <c r="P782" s="10">
        <v>0.59099999999999997</v>
      </c>
      <c r="Q782" s="10">
        <v>525</v>
      </c>
      <c r="R782" s="10" t="s">
        <v>85</v>
      </c>
      <c r="S782" s="34">
        <f t="shared" si="86"/>
        <v>530.38148000000001</v>
      </c>
      <c r="T782" s="10" t="s">
        <v>1035</v>
      </c>
      <c r="U782" s="34">
        <f t="shared" si="87"/>
        <v>106.07629599999999</v>
      </c>
      <c r="V782" s="31">
        <f>IF(H782="CHK",VLOOKUP(I782,QCCHK,3,),IF(H782="GUP",VLOOKUP(E782,QCGUP,2,),IF(AND(H782="ATP",OR(I782="TN",I782="TDN",I782="TNO2-3",I782="NO2-3")),VLOOKUP(E782,QCREC_N,2,),IF(AND(H782="NIC",OR(I782="TN",I782="TDN",I782="TNO2-3",I782="NO2-3")),VLOOKUP(E782,QCNIC_N,2,),IF(AND(H782="UREA",OR(I782="TN",I782="TDN",I782="TNO2-3",I782="NO2-3")),VLOOKUP(E782,QCUREA_N,2,),IF(H782="PER",VLOOKUP(I782,QCPER,MATCH(E782,QCACTUAL!$J$25:$AA$25,0),),IF(H782="SPK",VLOOKUP(I782,QCSPK,3,),IF(AND(H782="ATP",OR(I782="TP",I782="TDP")),VLOOKUP(E782,QCATP_P,2,),""))))))))</f>
        <v>500</v>
      </c>
      <c r="W782" s="31" t="str">
        <f t="shared" si="88"/>
        <v>TRUE</v>
      </c>
      <c r="X782" s="31" t="str">
        <f t="shared" si="89"/>
        <v>[chk]/[actual]*100</v>
      </c>
      <c r="Y782" s="10" t="s">
        <v>1021</v>
      </c>
      <c r="AF782" s="12">
        <v>44937</v>
      </c>
      <c r="AK782" s="10">
        <f>0*8.23^2+67.076*8.23-21.654</f>
        <v>530.38148000000001</v>
      </c>
      <c r="AL782" s="10" t="str">
        <f t="shared" si="84"/>
        <v>FALSE</v>
      </c>
      <c r="AM782" s="10" t="str">
        <f t="shared" si="84"/>
        <v>FALSE</v>
      </c>
      <c r="AN782" s="10" t="str">
        <f t="shared" si="84"/>
        <v>FALSE</v>
      </c>
      <c r="AO782" s="10" t="str">
        <f t="shared" si="85"/>
        <v>FALSE</v>
      </c>
      <c r="AP782" s="10" t="str">
        <f t="shared" si="85"/>
        <v>y=0*8.23^2+67.076*8.23-21.654</v>
      </c>
      <c r="AQ782" s="10" t="b">
        <f>IF(AND(I782="TP",S782&lt;=150),VLOOKUP(AF782,TPCalibEq150!$AZ$2:$BB$55,3,),IF(AND(I782="TDP",S782&lt;=150),VLOOKUP(AF782,TPCalibEq150!$AZ$2:$BB$55,3,)))</f>
        <v>0</v>
      </c>
      <c r="AR782" s="10" t="b">
        <f>IF(AND(I782="TP",S782&lt;=300),VLOOKUP(AF782,TPCalibEq300!$AZ$2:$BB$55,3,),IF(AND(I782="TDP",S782&lt;=300),VLOOKUP(AF782,TPCalibEq300!$AZ$2:$BB$55,3,)))</f>
        <v>0</v>
      </c>
      <c r="AS782" s="10" t="b">
        <f>IF(AND(I782="TP",S782&lt;=500),VLOOKUP(AF782,TPCalibEq500!$AZ$2:$BB$56,3,),IF(AND(I782="TDP",S782&lt;=500),VLOOKUP(AF782,TPCalibEq500!$AZ$2:$BB$56,3,)))</f>
        <v>0</v>
      </c>
      <c r="AT782" s="10" t="b">
        <f>IF(AND(I782="TN",S782&lt;=2800),VLOOKUP(AF782,TNCalibEq2500!$AZ$2:$BB$56,3,),IF(AND(I782="TDN",S782&lt;=2800),VLOOKUP(AF782,TNCalibEq2500!$AZ$2:$BB$56,3,)))</f>
        <v>0</v>
      </c>
      <c r="AU782" s="10" t="str">
        <f>IF(I782="TP",VLOOKUP(AF782,TPCalibEqFull!$AZ$2:$BB$56,3),IF(I782="TDP",VLOOKUP(AF782,TPCalibEqFull!$AZ$2:$BB$56,3),IF(I782="TDN",VLOOKUP(AF782,TNCalibEqFull!$AZ$1:$BB$56,3),IF(I782="TN",VLOOKUP(AF782,TNCalibEqFull!$AZ$1:$BB$56,3),FALSE))))</f>
        <v>y=0x2+67.076x-21.654</v>
      </c>
      <c r="AV782" s="10" t="str">
        <f t="shared" si="90"/>
        <v>0111 09:00:00-QAC-STD-D-1-DI-CHK</v>
      </c>
    </row>
    <row r="783" spans="1:48" s="10" customFormat="1" x14ac:dyDescent="0.55000000000000004">
      <c r="A783" s="32">
        <v>44930</v>
      </c>
      <c r="B783" s="33">
        <v>0.22569444444444445</v>
      </c>
      <c r="C783" s="10" t="s">
        <v>279</v>
      </c>
      <c r="D783" s="10">
        <v>0</v>
      </c>
      <c r="E783" s="10" t="s">
        <v>911</v>
      </c>
      <c r="F783" s="10">
        <v>1</v>
      </c>
      <c r="G783" s="10" t="s">
        <v>231</v>
      </c>
      <c r="H783" s="10" t="s">
        <v>322</v>
      </c>
      <c r="I783" s="10" t="s">
        <v>266</v>
      </c>
      <c r="J783" s="10">
        <v>15</v>
      </c>
      <c r="K783" s="12">
        <v>44937</v>
      </c>
      <c r="L783" s="33">
        <v>0.63065972222222222</v>
      </c>
      <c r="M783" s="10">
        <v>1</v>
      </c>
      <c r="N783" s="10" t="s">
        <v>84</v>
      </c>
      <c r="O783" s="10">
        <v>2.99</v>
      </c>
      <c r="P783" s="10">
        <v>0.21299999999999999</v>
      </c>
      <c r="Q783" s="10">
        <v>178</v>
      </c>
      <c r="R783" s="10" t="s">
        <v>85</v>
      </c>
      <c r="S783" s="34">
        <f t="shared" si="86"/>
        <v>194.60712172000001</v>
      </c>
      <c r="T783" s="10" t="s">
        <v>1035</v>
      </c>
      <c r="U783" s="34" t="str">
        <f t="shared" si="87"/>
        <v/>
      </c>
      <c r="V783" s="31" t="str">
        <f>IF(H783="CHK",VLOOKUP(I783,QCCHK,3,),IF(H783="GUP",VLOOKUP(E783,QCGUP,2,),IF(AND(H783="ATP",OR(I783="TN",I783="TDN",I783="TNO2-3",I783="NO2-3")),VLOOKUP(E783,QCREC_N,2,),IF(AND(H783="NIC",OR(I783="TN",I783="TDN",I783="TNO2-3",I783="NO2-3")),VLOOKUP(E783,QCNIC_N,2,),IF(AND(H783="UREA",OR(I783="TN",I783="TDN",I783="TNO2-3",I783="NO2-3")),VLOOKUP(E783,QCUREA_N,2,),IF(H783="PER",VLOOKUP(I783,QCPER,MATCH(E783,QCACTUAL!$J$25:$AA$25,0),),IF(H783="SPK",VLOOKUP(I783,QCSPK,3,),IF(AND(H783="ATP",OR(I783="TP",I783="TDP")),VLOOKUP(E783,QCATP_P,2,),""))))))))</f>
        <v/>
      </c>
      <c r="W783" s="31" t="str">
        <f t="shared" si="88"/>
        <v>TRUE</v>
      </c>
      <c r="X783" s="31" t="str">
        <f t="shared" si="89"/>
        <v/>
      </c>
      <c r="Y783" s="10" t="s">
        <v>1021</v>
      </c>
      <c r="Z783" s="10" t="s">
        <v>910</v>
      </c>
      <c r="AF783" s="12">
        <v>44937</v>
      </c>
      <c r="AH783" s="10">
        <f>-2.8628*2.99^2+86.116*2.99-37.286</f>
        <v>194.60712172000001</v>
      </c>
      <c r="AI783" s="10">
        <f>-0.232*2.99^2+72.802*2.99-30.279</f>
        <v>185.32487680000006</v>
      </c>
      <c r="AK783" s="10">
        <f>0*2.99^2+67.076*2.99-21.654</f>
        <v>178.90324000000001</v>
      </c>
      <c r="AL783" s="10" t="str">
        <f t="shared" si="84"/>
        <v>FALSE</v>
      </c>
      <c r="AM783" s="10" t="str">
        <f t="shared" si="84"/>
        <v>y=-2.8628*2.99^2+86.116*2.99-37.286</v>
      </c>
      <c r="AN783" s="10" t="str">
        <f t="shared" si="84"/>
        <v>y=-0.232*2.99^2+72.802*2.99-30.279</v>
      </c>
      <c r="AO783" s="10" t="str">
        <f t="shared" si="85"/>
        <v>FALSE</v>
      </c>
      <c r="AP783" s="10" t="str">
        <f t="shared" si="85"/>
        <v>y=0*2.99^2+67.076*2.99-21.654</v>
      </c>
      <c r="AQ783" s="10" t="b">
        <f>IF(AND(I783="TP",S783&lt;=150),VLOOKUP(AF783,TPCalibEq150!$AZ$2:$BB$55,3,),IF(AND(I783="TDP",S783&lt;=150),VLOOKUP(AF783,TPCalibEq150!$AZ$2:$BB$55,3,)))</f>
        <v>0</v>
      </c>
      <c r="AR783" s="10" t="str">
        <f>IF(AND(I783="TP",S783&lt;=300),VLOOKUP(AF783,TPCalibEq300!$AZ$2:$BB$55,3,),IF(AND(I783="TDP",S783&lt;=300),VLOOKUP(AF783,TPCalibEq300!$AZ$2:$BB$55,3,)))</f>
        <v>y=-2.8628x2+86.116x-37.286</v>
      </c>
      <c r="AS783" s="10" t="str">
        <f>IF(AND(I783="TP",S783&lt;=500),VLOOKUP(AF783,TPCalibEq500!$AZ$2:$BB$56,3,),IF(AND(I783="TDP",S783&lt;=500),VLOOKUP(AF783,TPCalibEq500!$AZ$2:$BB$56,3,)))</f>
        <v>y=-0.232x2+72.802x-30.279</v>
      </c>
      <c r="AT783" s="10" t="b">
        <f>IF(AND(I783="TN",S783&lt;=2800),VLOOKUP(AF783,TNCalibEq2500!$AZ$2:$BB$56,3,),IF(AND(I783="TDN",S783&lt;=2800),VLOOKUP(AF783,TNCalibEq2500!$AZ$2:$BB$56,3,)))</f>
        <v>0</v>
      </c>
      <c r="AU783" s="10" t="str">
        <f>IF(I783="TP",VLOOKUP(AF783,TPCalibEqFull!$AZ$2:$BB$56,3),IF(I783="TDP",VLOOKUP(AF783,TPCalibEqFull!$AZ$2:$BB$56,3),IF(I783="TDN",VLOOKUP(AF783,TNCalibEqFull!$AZ$1:$BB$56,3),IF(I783="TN",VLOOKUP(AF783,TNCalibEqFull!$AZ$1:$BB$56,3),FALSE))))</f>
        <v>y=0x2+67.076x-21.654</v>
      </c>
      <c r="AV783" s="10" t="str">
        <f t="shared" si="90"/>
        <v>0104 05:25:00-EFK-0-FIL-1-SW-UKN</v>
      </c>
    </row>
    <row r="784" spans="1:48" s="10" customFormat="1" x14ac:dyDescent="0.55000000000000004">
      <c r="A784" s="32">
        <v>44930</v>
      </c>
      <c r="B784" s="33">
        <v>0.22916666666666666</v>
      </c>
      <c r="C784" s="10" t="s">
        <v>333</v>
      </c>
      <c r="D784" s="10">
        <v>0</v>
      </c>
      <c r="E784" s="10" t="s">
        <v>911</v>
      </c>
      <c r="F784" s="10">
        <v>1</v>
      </c>
      <c r="G784" s="10" t="s">
        <v>231</v>
      </c>
      <c r="H784" s="10" t="s">
        <v>322</v>
      </c>
      <c r="I784" s="10" t="s">
        <v>266</v>
      </c>
      <c r="J784" s="10">
        <v>16</v>
      </c>
      <c r="K784" s="12">
        <v>44937</v>
      </c>
      <c r="L784" s="33">
        <v>0.63136574074074081</v>
      </c>
      <c r="M784" s="10">
        <v>1</v>
      </c>
      <c r="N784" s="10" t="s">
        <v>84</v>
      </c>
      <c r="O784" s="10">
        <v>3.27</v>
      </c>
      <c r="P784" s="10">
        <v>0.23200000000000001</v>
      </c>
      <c r="Q784" s="10">
        <v>196</v>
      </c>
      <c r="R784" s="10" t="s">
        <v>85</v>
      </c>
      <c r="S784" s="34">
        <f t="shared" si="86"/>
        <v>213.70168587999999</v>
      </c>
      <c r="T784" s="10" t="s">
        <v>1035</v>
      </c>
      <c r="U784" s="34" t="str">
        <f t="shared" si="87"/>
        <v/>
      </c>
      <c r="V784" s="31" t="str">
        <f>IF(H784="CHK",VLOOKUP(I784,QCCHK,3,),IF(H784="GUP",VLOOKUP(E784,QCGUP,2,),IF(AND(H784="ATP",OR(I784="TN",I784="TDN",I784="TNO2-3",I784="NO2-3")),VLOOKUP(E784,QCREC_N,2,),IF(AND(H784="NIC",OR(I784="TN",I784="TDN",I784="TNO2-3",I784="NO2-3")),VLOOKUP(E784,QCNIC_N,2,),IF(AND(H784="UREA",OR(I784="TN",I784="TDN",I784="TNO2-3",I784="NO2-3")),VLOOKUP(E784,QCUREA_N,2,),IF(H784="PER",VLOOKUP(I784,QCPER,MATCH(E784,QCACTUAL!$J$25:$AA$25,0),),IF(H784="SPK",VLOOKUP(I784,QCSPK,3,),IF(AND(H784="ATP",OR(I784="TP",I784="TDP")),VLOOKUP(E784,QCATP_P,2,),""))))))))</f>
        <v/>
      </c>
      <c r="W784" s="31" t="str">
        <f t="shared" si="88"/>
        <v>TRUE</v>
      </c>
      <c r="X784" s="31" t="str">
        <f t="shared" si="89"/>
        <v/>
      </c>
      <c r="Y784" s="10" t="s">
        <v>1021</v>
      </c>
      <c r="Z784" s="10" t="s">
        <v>910</v>
      </c>
      <c r="AF784" s="12">
        <v>44937</v>
      </c>
      <c r="AH784" s="10">
        <f>-2.8628*3.27^2+86.116*3.27-37.286</f>
        <v>213.70168587999999</v>
      </c>
      <c r="AI784" s="10">
        <f>-0.232*3.27^2+72.802*3.27-30.279</f>
        <v>205.30278720000001</v>
      </c>
      <c r="AK784" s="10">
        <f>0*3.27^2+67.076*3.27-21.654</f>
        <v>197.68451999999999</v>
      </c>
      <c r="AL784" s="10" t="str">
        <f t="shared" si="84"/>
        <v>FALSE</v>
      </c>
      <c r="AM784" s="10" t="str">
        <f t="shared" si="84"/>
        <v>y=-2.8628*3.27^2+86.116*3.27-37.286</v>
      </c>
      <c r="AN784" s="10" t="str">
        <f t="shared" si="84"/>
        <v>y=-0.232*3.27^2+72.802*3.27-30.279</v>
      </c>
      <c r="AO784" s="10" t="str">
        <f t="shared" si="85"/>
        <v>FALSE</v>
      </c>
      <c r="AP784" s="10" t="str">
        <f t="shared" si="85"/>
        <v>y=0*3.27^2+67.076*3.27-21.654</v>
      </c>
      <c r="AQ784" s="10" t="b">
        <f>IF(AND(I784="TP",S784&lt;=150),VLOOKUP(AF784,TPCalibEq150!$AZ$2:$BB$55,3,),IF(AND(I784="TDP",S784&lt;=150),VLOOKUP(AF784,TPCalibEq150!$AZ$2:$BB$55,3,)))</f>
        <v>0</v>
      </c>
      <c r="AR784" s="10" t="str">
        <f>IF(AND(I784="TP",S784&lt;=300),VLOOKUP(AF784,TPCalibEq300!$AZ$2:$BB$55,3,),IF(AND(I784="TDP",S784&lt;=300),VLOOKUP(AF784,TPCalibEq300!$AZ$2:$BB$55,3,)))</f>
        <v>y=-2.8628x2+86.116x-37.286</v>
      </c>
      <c r="AS784" s="10" t="str">
        <f>IF(AND(I784="TP",S784&lt;=500),VLOOKUP(AF784,TPCalibEq500!$AZ$2:$BB$56,3,),IF(AND(I784="TDP",S784&lt;=500),VLOOKUP(AF784,TPCalibEq500!$AZ$2:$BB$56,3,)))</f>
        <v>y=-0.232x2+72.802x-30.279</v>
      </c>
      <c r="AT784" s="10" t="b">
        <f>IF(AND(I784="TN",S784&lt;=2800),VLOOKUP(AF784,TNCalibEq2500!$AZ$2:$BB$56,3,),IF(AND(I784="TDN",S784&lt;=2800),VLOOKUP(AF784,TNCalibEq2500!$AZ$2:$BB$56,3,)))</f>
        <v>0</v>
      </c>
      <c r="AU784" s="10" t="str">
        <f>IF(I784="TP",VLOOKUP(AF784,TPCalibEqFull!$AZ$2:$BB$56,3),IF(I784="TDP",VLOOKUP(AF784,TPCalibEqFull!$AZ$2:$BB$56,3),IF(I784="TDN",VLOOKUP(AF784,TNCalibEqFull!$AZ$1:$BB$56,3),IF(I784="TN",VLOOKUP(AF784,TNCalibEqFull!$AZ$1:$BB$56,3),FALSE))))</f>
        <v>y=0x2+67.076x-21.654</v>
      </c>
      <c r="AV784" s="10" t="str">
        <f t="shared" si="90"/>
        <v>0104 05:30:00-HST-0-FIL-1-SW-UKN</v>
      </c>
    </row>
    <row r="785" spans="1:48" s="10" customFormat="1" x14ac:dyDescent="0.55000000000000004">
      <c r="A785" s="32">
        <v>44931</v>
      </c>
      <c r="B785" s="33">
        <v>0.44513888888888892</v>
      </c>
      <c r="C785" s="10" t="s">
        <v>279</v>
      </c>
      <c r="D785" s="10">
        <v>0</v>
      </c>
      <c r="E785" s="10" t="s">
        <v>911</v>
      </c>
      <c r="F785" s="10">
        <v>1</v>
      </c>
      <c r="G785" s="10" t="s">
        <v>231</v>
      </c>
      <c r="H785" s="10" t="s">
        <v>322</v>
      </c>
      <c r="I785" s="10" t="s">
        <v>266</v>
      </c>
      <c r="J785" s="10">
        <v>17</v>
      </c>
      <c r="K785" s="12">
        <v>44937</v>
      </c>
      <c r="L785" s="33">
        <v>0.63207175925925929</v>
      </c>
      <c r="M785" s="10">
        <v>1</v>
      </c>
      <c r="N785" s="10" t="s">
        <v>84</v>
      </c>
      <c r="O785" s="10">
        <v>2.44</v>
      </c>
      <c r="P785" s="10">
        <v>0.17100000000000001</v>
      </c>
      <c r="Q785" s="10">
        <v>141</v>
      </c>
      <c r="R785" s="10" t="s">
        <v>85</v>
      </c>
      <c r="S785" s="34">
        <f t="shared" si="86"/>
        <v>156.44849455999997</v>
      </c>
      <c r="T785" s="10" t="s">
        <v>1035</v>
      </c>
      <c r="U785" s="34" t="str">
        <f t="shared" si="87"/>
        <v/>
      </c>
      <c r="V785" s="31" t="str">
        <f>IF(H785="CHK",VLOOKUP(I785,QCCHK,3,),IF(H785="GUP",VLOOKUP(E785,QCGUP,2,),IF(AND(H785="ATP",OR(I785="TN",I785="TDN",I785="TNO2-3",I785="NO2-3")),VLOOKUP(E785,QCREC_N,2,),IF(AND(H785="NIC",OR(I785="TN",I785="TDN",I785="TNO2-3",I785="NO2-3")),VLOOKUP(E785,QCNIC_N,2,),IF(AND(H785="UREA",OR(I785="TN",I785="TDN",I785="TNO2-3",I785="NO2-3")),VLOOKUP(E785,QCUREA_N,2,),IF(H785="PER",VLOOKUP(I785,QCPER,MATCH(E785,QCACTUAL!$J$25:$AA$25,0),),IF(H785="SPK",VLOOKUP(I785,QCSPK,3,),IF(AND(H785="ATP",OR(I785="TP",I785="TDP")),VLOOKUP(E785,QCATP_P,2,),""))))))))</f>
        <v/>
      </c>
      <c r="W785" s="31" t="str">
        <f t="shared" si="88"/>
        <v>TRUE</v>
      </c>
      <c r="X785" s="31" t="str">
        <f t="shared" si="89"/>
        <v/>
      </c>
      <c r="Y785" s="10" t="s">
        <v>1021</v>
      </c>
      <c r="Z785" s="10" t="s">
        <v>910</v>
      </c>
      <c r="AF785" s="12">
        <v>44937</v>
      </c>
      <c r="AG785" s="10">
        <f>-1.7779*2.44^2+83.185*2.44-35.938</f>
        <v>156.44849455999997</v>
      </c>
      <c r="AH785" s="10">
        <f>-2.8628*2.44^2+86.116*2.44-37.286</f>
        <v>155.79307392000001</v>
      </c>
      <c r="AI785" s="10">
        <f>-0.232*2.44^2+72.802*2.44-30.279</f>
        <v>145.97664480000003</v>
      </c>
      <c r="AK785" s="10">
        <f>0*2.44^2+67.076*2.44-21.654</f>
        <v>142.01143999999999</v>
      </c>
      <c r="AL785" s="10" t="str">
        <f t="shared" si="84"/>
        <v>FALSE</v>
      </c>
      <c r="AM785" s="10" t="str">
        <f t="shared" si="84"/>
        <v>y=-2.8628*2.44^2+86.116*2.44-37.286</v>
      </c>
      <c r="AN785" s="10" t="str">
        <f t="shared" si="84"/>
        <v>y=-0.232*2.44^2+72.802*2.44-30.279</v>
      </c>
      <c r="AO785" s="10" t="str">
        <f t="shared" si="85"/>
        <v>FALSE</v>
      </c>
      <c r="AP785" s="10" t="str">
        <f t="shared" si="85"/>
        <v>y=0*2.44^2+67.076*2.44-21.654</v>
      </c>
      <c r="AQ785" s="10" t="b">
        <f>IF(AND(I785="TP",S785&lt;=150),VLOOKUP(AF785,TPCalibEq150!$AZ$2:$BB$55,3,),IF(AND(I785="TDP",S785&lt;=150),VLOOKUP(AF785,TPCalibEq150!$AZ$2:$BB$55,3,)))</f>
        <v>0</v>
      </c>
      <c r="AR785" s="10" t="str">
        <f>IF(AND(I785="TP",S785&lt;=300),VLOOKUP(AF785,TPCalibEq300!$AZ$2:$BB$55,3,),IF(AND(I785="TDP",S785&lt;=300),VLOOKUP(AF785,TPCalibEq300!$AZ$2:$BB$55,3,)))</f>
        <v>y=-2.8628x2+86.116x-37.286</v>
      </c>
      <c r="AS785" s="10" t="str">
        <f>IF(AND(I785="TP",S785&lt;=500),VLOOKUP(AF785,TPCalibEq500!$AZ$2:$BB$56,3,),IF(AND(I785="TDP",S785&lt;=500),VLOOKUP(AF785,TPCalibEq500!$AZ$2:$BB$56,3,)))</f>
        <v>y=-0.232x2+72.802x-30.279</v>
      </c>
      <c r="AT785" s="10" t="b">
        <f>IF(AND(I785="TN",S785&lt;=2800),VLOOKUP(AF785,TNCalibEq2500!$AZ$2:$BB$56,3,),IF(AND(I785="TDN",S785&lt;=2800),VLOOKUP(AF785,TNCalibEq2500!$AZ$2:$BB$56,3,)))</f>
        <v>0</v>
      </c>
      <c r="AU785" s="10" t="str">
        <f>IF(I785="TP",VLOOKUP(AF785,TPCalibEqFull!$AZ$2:$BB$56,3),IF(I785="TDP",VLOOKUP(AF785,TPCalibEqFull!$AZ$2:$BB$56,3),IF(I785="TDN",VLOOKUP(AF785,TNCalibEqFull!$AZ$1:$BB$56,3),IF(I785="TN",VLOOKUP(AF785,TNCalibEqFull!$AZ$1:$BB$56,3),FALSE))))</f>
        <v>y=0x2+67.076x-21.654</v>
      </c>
      <c r="AV785" s="10" t="str">
        <f t="shared" si="90"/>
        <v>0105 10:41:00-EFK-0-FIL-1-SW-UKN</v>
      </c>
    </row>
    <row r="786" spans="1:48" s="10" customFormat="1" x14ac:dyDescent="0.55000000000000004">
      <c r="A786" s="32">
        <v>44931</v>
      </c>
      <c r="B786" s="33">
        <v>0.45069444444444445</v>
      </c>
      <c r="C786" s="10" t="s">
        <v>333</v>
      </c>
      <c r="D786" s="10">
        <v>0</v>
      </c>
      <c r="E786" s="10" t="s">
        <v>911</v>
      </c>
      <c r="F786" s="10">
        <v>1</v>
      </c>
      <c r="G786" s="10" t="s">
        <v>231</v>
      </c>
      <c r="H786" s="10" t="s">
        <v>322</v>
      </c>
      <c r="I786" s="10" t="s">
        <v>266</v>
      </c>
      <c r="J786" s="10">
        <v>18</v>
      </c>
      <c r="K786" s="12">
        <v>44937</v>
      </c>
      <c r="L786" s="33">
        <v>0.63277777777777777</v>
      </c>
      <c r="M786" s="10">
        <v>1</v>
      </c>
      <c r="N786" s="10" t="s">
        <v>84</v>
      </c>
      <c r="O786" s="10">
        <v>3.02</v>
      </c>
      <c r="P786" s="10">
        <v>0.214</v>
      </c>
      <c r="Q786" s="10">
        <v>180</v>
      </c>
      <c r="R786" s="10" t="s">
        <v>85</v>
      </c>
      <c r="S786" s="34">
        <f t="shared" si="86"/>
        <v>196.67443887999997</v>
      </c>
      <c r="T786" s="10" t="s">
        <v>1035</v>
      </c>
      <c r="U786" s="34" t="str">
        <f t="shared" si="87"/>
        <v/>
      </c>
      <c r="V786" s="31" t="str">
        <f>IF(H786="CHK",VLOOKUP(I786,QCCHK,3,),IF(H786="GUP",VLOOKUP(E786,QCGUP,2,),IF(AND(H786="ATP",OR(I786="TN",I786="TDN",I786="TNO2-3",I786="NO2-3")),VLOOKUP(E786,QCREC_N,2,),IF(AND(H786="NIC",OR(I786="TN",I786="TDN",I786="TNO2-3",I786="NO2-3")),VLOOKUP(E786,QCNIC_N,2,),IF(AND(H786="UREA",OR(I786="TN",I786="TDN",I786="TNO2-3",I786="NO2-3")),VLOOKUP(E786,QCUREA_N,2,),IF(H786="PER",VLOOKUP(I786,QCPER,MATCH(E786,QCACTUAL!$J$25:$AA$25,0),),IF(H786="SPK",VLOOKUP(I786,QCSPK,3,),IF(AND(H786="ATP",OR(I786="TP",I786="TDP")),VLOOKUP(E786,QCATP_P,2,),""))))))))</f>
        <v/>
      </c>
      <c r="W786" s="31" t="str">
        <f t="shared" si="88"/>
        <v>TRUE</v>
      </c>
      <c r="X786" s="31" t="str">
        <f t="shared" si="89"/>
        <v/>
      </c>
      <c r="Y786" s="10" t="s">
        <v>1021</v>
      </c>
      <c r="Z786" s="10" t="s">
        <v>910</v>
      </c>
      <c r="AF786" s="12">
        <v>44937</v>
      </c>
      <c r="AH786" s="10">
        <f>-2.8628*3.02^2+86.116*3.02-37.286</f>
        <v>196.67443887999997</v>
      </c>
      <c r="AI786" s="10">
        <f>-0.232*3.02^2+72.802*3.02-30.279</f>
        <v>187.46710720000002</v>
      </c>
      <c r="AK786" s="10">
        <f>0*3.02^2+67.076*3.02-21.654</f>
        <v>180.91551999999999</v>
      </c>
      <c r="AL786" s="10" t="str">
        <f t="shared" si="84"/>
        <v>FALSE</v>
      </c>
      <c r="AM786" s="10" t="str">
        <f t="shared" si="84"/>
        <v>y=-2.8628*3.02^2+86.116*3.02-37.286</v>
      </c>
      <c r="AN786" s="10" t="str">
        <f t="shared" si="84"/>
        <v>y=-0.232*3.02^2+72.802*3.02-30.279</v>
      </c>
      <c r="AO786" s="10" t="str">
        <f t="shared" si="85"/>
        <v>FALSE</v>
      </c>
      <c r="AP786" s="10" t="str">
        <f t="shared" si="85"/>
        <v>y=0*3.02^2+67.076*3.02-21.654</v>
      </c>
      <c r="AQ786" s="10" t="b">
        <f>IF(AND(I786="TP",S786&lt;=150),VLOOKUP(AF786,TPCalibEq150!$AZ$2:$BB$55,3,),IF(AND(I786="TDP",S786&lt;=150),VLOOKUP(AF786,TPCalibEq150!$AZ$2:$BB$55,3,)))</f>
        <v>0</v>
      </c>
      <c r="AR786" s="10" t="str">
        <f>IF(AND(I786="TP",S786&lt;=300),VLOOKUP(AF786,TPCalibEq300!$AZ$2:$BB$55,3,),IF(AND(I786="TDP",S786&lt;=300),VLOOKUP(AF786,TPCalibEq300!$AZ$2:$BB$55,3,)))</f>
        <v>y=-2.8628x2+86.116x-37.286</v>
      </c>
      <c r="AS786" s="10" t="str">
        <f>IF(AND(I786="TP",S786&lt;=500),VLOOKUP(AF786,TPCalibEq500!$AZ$2:$BB$56,3,),IF(AND(I786="TDP",S786&lt;=500),VLOOKUP(AF786,TPCalibEq500!$AZ$2:$BB$56,3,)))</f>
        <v>y=-0.232x2+72.802x-30.279</v>
      </c>
      <c r="AT786" s="10" t="b">
        <f>IF(AND(I786="TN",S786&lt;=2800),VLOOKUP(AF786,TNCalibEq2500!$AZ$2:$BB$56,3,),IF(AND(I786="TDN",S786&lt;=2800),VLOOKUP(AF786,TNCalibEq2500!$AZ$2:$BB$56,3,)))</f>
        <v>0</v>
      </c>
      <c r="AU786" s="10" t="str">
        <f>IF(I786="TP",VLOOKUP(AF786,TPCalibEqFull!$AZ$2:$BB$56,3),IF(I786="TDP",VLOOKUP(AF786,TPCalibEqFull!$AZ$2:$BB$56,3),IF(I786="TDN",VLOOKUP(AF786,TNCalibEqFull!$AZ$1:$BB$56,3),IF(I786="TN",VLOOKUP(AF786,TNCalibEqFull!$AZ$1:$BB$56,3),FALSE))))</f>
        <v>y=0x2+67.076x-21.654</v>
      </c>
      <c r="AV786" s="10" t="str">
        <f t="shared" si="90"/>
        <v>0105 10:49:00-HST-0-FIL-1-SW-UKN</v>
      </c>
    </row>
    <row r="787" spans="1:48" s="10" customFormat="1" x14ac:dyDescent="0.55000000000000004">
      <c r="A787" s="32">
        <v>44932</v>
      </c>
      <c r="B787" s="33">
        <v>0.53333333333333333</v>
      </c>
      <c r="C787" s="10" t="s">
        <v>279</v>
      </c>
      <c r="D787" s="10">
        <v>0</v>
      </c>
      <c r="E787" s="10" t="s">
        <v>911</v>
      </c>
      <c r="F787" s="10">
        <v>1</v>
      </c>
      <c r="G787" s="10" t="s">
        <v>231</v>
      </c>
      <c r="H787" s="10" t="s">
        <v>322</v>
      </c>
      <c r="I787" s="10" t="s">
        <v>266</v>
      </c>
      <c r="J787" s="10">
        <v>19</v>
      </c>
      <c r="K787" s="12">
        <v>44937</v>
      </c>
      <c r="L787" s="33">
        <v>0.63347222222222221</v>
      </c>
      <c r="M787" s="10">
        <v>1</v>
      </c>
      <c r="N787" s="10" t="s">
        <v>84</v>
      </c>
      <c r="O787" s="10">
        <v>2.16</v>
      </c>
      <c r="P787" s="10">
        <v>0.151</v>
      </c>
      <c r="Q787" s="10">
        <v>123</v>
      </c>
      <c r="R787" s="10" t="s">
        <v>85</v>
      </c>
      <c r="S787" s="34">
        <f t="shared" si="86"/>
        <v>135.44662976000001</v>
      </c>
      <c r="T787" s="10" t="s">
        <v>1035</v>
      </c>
      <c r="U787" s="34" t="str">
        <f t="shared" si="87"/>
        <v/>
      </c>
      <c r="V787" s="31" t="str">
        <f>IF(H787="CHK",VLOOKUP(I787,QCCHK,3,),IF(H787="GUP",VLOOKUP(E787,QCGUP,2,),IF(AND(H787="ATP",OR(I787="TN",I787="TDN",I787="TNO2-3",I787="NO2-3")),VLOOKUP(E787,QCREC_N,2,),IF(AND(H787="NIC",OR(I787="TN",I787="TDN",I787="TNO2-3",I787="NO2-3")),VLOOKUP(E787,QCNIC_N,2,),IF(AND(H787="UREA",OR(I787="TN",I787="TDN",I787="TNO2-3",I787="NO2-3")),VLOOKUP(E787,QCUREA_N,2,),IF(H787="PER",VLOOKUP(I787,QCPER,MATCH(E787,QCACTUAL!$J$25:$AA$25,0),),IF(H787="SPK",VLOOKUP(I787,QCSPK,3,),IF(AND(H787="ATP",OR(I787="TP",I787="TDP")),VLOOKUP(E787,QCATP_P,2,),""))))))))</f>
        <v/>
      </c>
      <c r="W787" s="31" t="str">
        <f t="shared" si="88"/>
        <v>TRUE</v>
      </c>
      <c r="X787" s="31" t="str">
        <f t="shared" si="89"/>
        <v/>
      </c>
      <c r="Y787" s="10" t="s">
        <v>1021</v>
      </c>
      <c r="Z787" s="10" t="s">
        <v>910</v>
      </c>
      <c r="AF787" s="12">
        <v>44937</v>
      </c>
      <c r="AG787" s="10">
        <f>-1.7779*2.16^2+83.185*2.16-35.938</f>
        <v>135.44662976000001</v>
      </c>
      <c r="AH787" s="10">
        <f>-2.8628*2.16^2+86.116*2.16-37.286</f>
        <v>135.36788031999998</v>
      </c>
      <c r="AI787" s="10">
        <f>-0.232*2.16^2+72.802*2.16-30.279</f>
        <v>125.89090080000003</v>
      </c>
      <c r="AK787" s="10">
        <f>0*2.16^2+67.076*2.16-21.654</f>
        <v>123.23016000000001</v>
      </c>
      <c r="AL787" s="10" t="str">
        <f t="shared" ref="AL787:AN823" si="91">IF($O787="", "", IF(AQ787&lt;&gt;"", SUBSTITUTE(SUBSTITUTE(AQ787, "x", "*"&amp;$O787&amp;"^", 1), "x", "*"&amp;$O787, 1), ""))</f>
        <v>y=-1.7779*2.16^2+83.185*2.16-35.938</v>
      </c>
      <c r="AM787" s="10" t="str">
        <f t="shared" si="91"/>
        <v>y=-2.8628*2.16^2+86.116*2.16-37.286</v>
      </c>
      <c r="AN787" s="10" t="str">
        <f t="shared" si="91"/>
        <v>y=-0.232*2.16^2+72.802*2.16-30.279</v>
      </c>
      <c r="AO787" s="10" t="str">
        <f t="shared" ref="AO787:AP823" si="92">IF($O787="", "FALSE", IF(AT787&lt;&gt;"FALSE", SUBSTITUTE(SUBSTITUTE(AT787, "x", "*"&amp;$O787&amp;"^", 1), "x", "*"&amp;$O787, 1), ""))</f>
        <v>FALSE</v>
      </c>
      <c r="AP787" s="10" t="str">
        <f t="shared" si="92"/>
        <v>y=0*2.16^2+67.076*2.16-21.654</v>
      </c>
      <c r="AQ787" s="10" t="str">
        <f>IF(AND(I787="TP",S787&lt;=150),VLOOKUP(AF787,TPCalibEq150!$AZ$2:$BB$55,3,),IF(AND(I787="TDP",S787&lt;=150),VLOOKUP(AF787,TPCalibEq150!$AZ$2:$BB$55,3,)))</f>
        <v>y=-1.7779x2+83.185x-35.938</v>
      </c>
      <c r="AR787" s="10" t="str">
        <f>IF(AND(I787="TP",S787&lt;=300),VLOOKUP(AF787,TPCalibEq300!$AZ$2:$BB$55,3,),IF(AND(I787="TDP",S787&lt;=300),VLOOKUP(AF787,TPCalibEq300!$AZ$2:$BB$55,3,)))</f>
        <v>y=-2.8628x2+86.116x-37.286</v>
      </c>
      <c r="AS787" s="10" t="str">
        <f>IF(AND(I787="TP",S787&lt;=500),VLOOKUP(AF787,TPCalibEq500!$AZ$2:$BB$56,3,),IF(AND(I787="TDP",S787&lt;=500),VLOOKUP(AF787,TPCalibEq500!$AZ$2:$BB$56,3,)))</f>
        <v>y=-0.232x2+72.802x-30.279</v>
      </c>
      <c r="AT787" s="10" t="b">
        <f>IF(AND(I787="TN",S787&lt;=2800),VLOOKUP(AF787,TNCalibEq2500!$AZ$2:$BB$56,3,),IF(AND(I787="TDN",S787&lt;=2800),VLOOKUP(AF787,TNCalibEq2500!$AZ$2:$BB$56,3,)))</f>
        <v>0</v>
      </c>
      <c r="AU787" s="10" t="str">
        <f>IF(I787="TP",VLOOKUP(AF787,TPCalibEqFull!$AZ$2:$BB$56,3),IF(I787="TDP",VLOOKUP(AF787,TPCalibEqFull!$AZ$2:$BB$56,3),IF(I787="TDN",VLOOKUP(AF787,TNCalibEqFull!$AZ$1:$BB$56,3),IF(I787="TN",VLOOKUP(AF787,TNCalibEqFull!$AZ$1:$BB$56,3),FALSE))))</f>
        <v>y=0x2+67.076x-21.654</v>
      </c>
      <c r="AV787" s="10" t="str">
        <f t="shared" si="90"/>
        <v>0106 12:48:00-EFK-0-FIL-1-SW-UKN</v>
      </c>
    </row>
    <row r="788" spans="1:48" s="10" customFormat="1" x14ac:dyDescent="0.55000000000000004">
      <c r="A788" s="32">
        <v>44932</v>
      </c>
      <c r="B788" s="33">
        <v>0.52430555555555558</v>
      </c>
      <c r="C788" s="10" t="s">
        <v>333</v>
      </c>
      <c r="D788" s="10">
        <v>0</v>
      </c>
      <c r="E788" s="10" t="s">
        <v>911</v>
      </c>
      <c r="F788" s="10">
        <v>1</v>
      </c>
      <c r="G788" s="10" t="s">
        <v>231</v>
      </c>
      <c r="H788" s="10" t="s">
        <v>322</v>
      </c>
      <c r="I788" s="10" t="s">
        <v>266</v>
      </c>
      <c r="J788" s="10">
        <v>20</v>
      </c>
      <c r="K788" s="12">
        <v>44937</v>
      </c>
      <c r="L788" s="33">
        <v>0.6341782407407407</v>
      </c>
      <c r="M788" s="10">
        <v>1</v>
      </c>
      <c r="N788" s="10" t="s">
        <v>84</v>
      </c>
      <c r="O788" s="10">
        <v>4.2300000000000004</v>
      </c>
      <c r="P788" s="10">
        <v>0.30399999999999999</v>
      </c>
      <c r="Q788" s="10">
        <v>260</v>
      </c>
      <c r="R788" s="10" t="s">
        <v>85</v>
      </c>
      <c r="S788" s="34">
        <f t="shared" si="86"/>
        <v>275.76088587999999</v>
      </c>
      <c r="T788" s="10" t="s">
        <v>1035</v>
      </c>
      <c r="U788" s="34" t="str">
        <f t="shared" si="87"/>
        <v/>
      </c>
      <c r="V788" s="31" t="str">
        <f>IF(H788="CHK",VLOOKUP(I788,QCCHK,3,),IF(H788="GUP",VLOOKUP(E788,QCGUP,2,),IF(AND(H788="ATP",OR(I788="TN",I788="TDN",I788="TNO2-3",I788="NO2-3")),VLOOKUP(E788,QCREC_N,2,),IF(AND(H788="NIC",OR(I788="TN",I788="TDN",I788="TNO2-3",I788="NO2-3")),VLOOKUP(E788,QCNIC_N,2,),IF(AND(H788="UREA",OR(I788="TN",I788="TDN",I788="TNO2-3",I788="NO2-3")),VLOOKUP(E788,QCUREA_N,2,),IF(H788="PER",VLOOKUP(I788,QCPER,MATCH(E788,QCACTUAL!$J$25:$AA$25,0),),IF(H788="SPK",VLOOKUP(I788,QCSPK,3,),IF(AND(H788="ATP",OR(I788="TP",I788="TDP")),VLOOKUP(E788,QCATP_P,2,),""))))))))</f>
        <v/>
      </c>
      <c r="W788" s="31" t="str">
        <f t="shared" si="88"/>
        <v>TRUE</v>
      </c>
      <c r="X788" s="31" t="str">
        <f t="shared" si="89"/>
        <v/>
      </c>
      <c r="Y788" s="10" t="s">
        <v>1021</v>
      </c>
      <c r="Z788" s="10" t="s">
        <v>910</v>
      </c>
      <c r="AF788" s="12">
        <v>44937</v>
      </c>
      <c r="AH788" s="10">
        <f>-2.8628*4.23^2+86.116*4.23-37.286</f>
        <v>275.76088587999999</v>
      </c>
      <c r="AI788" s="10">
        <f>-0.232*4.23^2+72.802*4.23-30.279</f>
        <v>273.52230720000011</v>
      </c>
      <c r="AK788" s="10">
        <f>0*4.23^2+67.076*4.23-21.654</f>
        <v>262.07747999999998</v>
      </c>
      <c r="AL788" s="10" t="str">
        <f t="shared" si="91"/>
        <v>FALSE</v>
      </c>
      <c r="AM788" s="10" t="str">
        <f t="shared" si="91"/>
        <v>y=-2.8628*4.23^2+86.116*4.23-37.286</v>
      </c>
      <c r="AN788" s="10" t="str">
        <f t="shared" si="91"/>
        <v>y=-0.232*4.23^2+72.802*4.23-30.279</v>
      </c>
      <c r="AO788" s="10" t="str">
        <f t="shared" si="92"/>
        <v>FALSE</v>
      </c>
      <c r="AP788" s="10" t="str">
        <f t="shared" si="92"/>
        <v>y=0*4.23^2+67.076*4.23-21.654</v>
      </c>
      <c r="AQ788" s="10" t="b">
        <f>IF(AND(I788="TP",S788&lt;=150),VLOOKUP(AF788,TPCalibEq150!$AZ$2:$BB$55,3,),IF(AND(I788="TDP",S788&lt;=150),VLOOKUP(AF788,TPCalibEq150!$AZ$2:$BB$55,3,)))</f>
        <v>0</v>
      </c>
      <c r="AR788" s="10" t="str">
        <f>IF(AND(I788="TP",S788&lt;=300),VLOOKUP(AF788,TPCalibEq300!$AZ$2:$BB$55,3,),IF(AND(I788="TDP",S788&lt;=300),VLOOKUP(AF788,TPCalibEq300!$AZ$2:$BB$55,3,)))</f>
        <v>y=-2.8628x2+86.116x-37.286</v>
      </c>
      <c r="AS788" s="10" t="str">
        <f>IF(AND(I788="TP",S788&lt;=500),VLOOKUP(AF788,TPCalibEq500!$AZ$2:$BB$56,3,),IF(AND(I788="TDP",S788&lt;=500),VLOOKUP(AF788,TPCalibEq500!$AZ$2:$BB$56,3,)))</f>
        <v>y=-0.232x2+72.802x-30.279</v>
      </c>
      <c r="AT788" s="10" t="b">
        <f>IF(AND(I788="TN",S788&lt;=2800),VLOOKUP(AF788,TNCalibEq2500!$AZ$2:$BB$56,3,),IF(AND(I788="TDN",S788&lt;=2800),VLOOKUP(AF788,TNCalibEq2500!$AZ$2:$BB$56,3,)))</f>
        <v>0</v>
      </c>
      <c r="AU788" s="10" t="str">
        <f>IF(I788="TP",VLOOKUP(AF788,TPCalibEqFull!$AZ$2:$BB$56,3),IF(I788="TDP",VLOOKUP(AF788,TPCalibEqFull!$AZ$2:$BB$56,3),IF(I788="TDN",VLOOKUP(AF788,TNCalibEqFull!$AZ$1:$BB$56,3),IF(I788="TN",VLOOKUP(AF788,TNCalibEqFull!$AZ$1:$BB$56,3),FALSE))))</f>
        <v>y=0x2+67.076x-21.654</v>
      </c>
      <c r="AV788" s="10" t="str">
        <f t="shared" si="90"/>
        <v>0106 12:35:00-HST-0-FIL-1-SW-UKN</v>
      </c>
    </row>
    <row r="789" spans="1:48" s="10" customFormat="1" x14ac:dyDescent="0.55000000000000004">
      <c r="A789" s="32">
        <v>44935</v>
      </c>
      <c r="B789" s="33">
        <v>0.39166666666666666</v>
      </c>
      <c r="C789" s="10" t="s">
        <v>279</v>
      </c>
      <c r="D789" s="10">
        <v>0</v>
      </c>
      <c r="E789" s="10" t="s">
        <v>911</v>
      </c>
      <c r="F789" s="10">
        <v>1</v>
      </c>
      <c r="G789" s="10" t="s">
        <v>231</v>
      </c>
      <c r="H789" s="10" t="s">
        <v>322</v>
      </c>
      <c r="I789" s="10" t="s">
        <v>266</v>
      </c>
      <c r="J789" s="10">
        <v>21</v>
      </c>
      <c r="K789" s="12">
        <v>44937</v>
      </c>
      <c r="L789" s="33">
        <v>0.63488425925925929</v>
      </c>
      <c r="M789" s="10">
        <v>1</v>
      </c>
      <c r="N789" s="10" t="s">
        <v>84</v>
      </c>
      <c r="O789" s="10">
        <v>1.23</v>
      </c>
      <c r="P789" s="10">
        <v>8.5500000000000007E-2</v>
      </c>
      <c r="Q789" s="10">
        <v>61.9</v>
      </c>
      <c r="R789" s="10" t="s">
        <v>85</v>
      </c>
      <c r="S789" s="34">
        <f t="shared" si="86"/>
        <v>64.305549880000001</v>
      </c>
      <c r="T789" s="10" t="s">
        <v>1035</v>
      </c>
      <c r="U789" s="34" t="str">
        <f t="shared" si="87"/>
        <v/>
      </c>
      <c r="V789" s="31" t="str">
        <f>IF(H789="CHK",VLOOKUP(I789,QCCHK,3,),IF(H789="GUP",VLOOKUP(E789,QCGUP,2,),IF(AND(H789="ATP",OR(I789="TN",I789="TDN",I789="TNO2-3",I789="NO2-3")),VLOOKUP(E789,QCREC_N,2,),IF(AND(H789="NIC",OR(I789="TN",I789="TDN",I789="TNO2-3",I789="NO2-3")),VLOOKUP(E789,QCNIC_N,2,),IF(AND(H789="UREA",OR(I789="TN",I789="TDN",I789="TNO2-3",I789="NO2-3")),VLOOKUP(E789,QCUREA_N,2,),IF(H789="PER",VLOOKUP(I789,QCPER,MATCH(E789,QCACTUAL!$J$25:$AA$25,0),),IF(H789="SPK",VLOOKUP(I789,QCSPK,3,),IF(AND(H789="ATP",OR(I789="TP",I789="TDP")),VLOOKUP(E789,QCATP_P,2,),""))))))))</f>
        <v/>
      </c>
      <c r="W789" s="31" t="str">
        <f t="shared" si="88"/>
        <v>TRUE</v>
      </c>
      <c r="X789" s="31" t="str">
        <f t="shared" si="89"/>
        <v/>
      </c>
      <c r="Y789" s="10" t="s">
        <v>1021</v>
      </c>
      <c r="Z789" s="10" t="s">
        <v>910</v>
      </c>
      <c r="AF789" s="12">
        <v>44937</v>
      </c>
      <c r="AG789" s="10">
        <f>-1.7779*1.23^2+83.185*1.23-35.938</f>
        <v>63.689765089999995</v>
      </c>
      <c r="AH789" s="10">
        <f>-2.8628*1.23^2+86.116*1.23-37.286</f>
        <v>64.305549880000001</v>
      </c>
      <c r="AI789" s="10">
        <f>-0.232*1.23^2+72.802*1.23-30.279</f>
        <v>58.916467200000014</v>
      </c>
      <c r="AK789" s="10">
        <f>0*1.23^2+67.076*1.23-21.654</f>
        <v>60.84948</v>
      </c>
      <c r="AL789" s="10" t="str">
        <f t="shared" si="91"/>
        <v>y=-1.7779*1.23^2+83.185*1.23-35.938</v>
      </c>
      <c r="AM789" s="10" t="str">
        <f t="shared" si="91"/>
        <v>y=-2.8628*1.23^2+86.116*1.23-37.286</v>
      </c>
      <c r="AN789" s="10" t="str">
        <f t="shared" si="91"/>
        <v>y=-0.232*1.23^2+72.802*1.23-30.279</v>
      </c>
      <c r="AO789" s="10" t="str">
        <f t="shared" si="92"/>
        <v>FALSE</v>
      </c>
      <c r="AP789" s="10" t="str">
        <f t="shared" si="92"/>
        <v>y=0*1.23^2+67.076*1.23-21.654</v>
      </c>
      <c r="AQ789" s="10" t="str">
        <f>IF(AND(I789="TP",S789&lt;=150),VLOOKUP(AF789,TPCalibEq150!$AZ$2:$BB$55,3,),IF(AND(I789="TDP",S789&lt;=150),VLOOKUP(AF789,TPCalibEq150!$AZ$2:$BB$55,3,)))</f>
        <v>y=-1.7779x2+83.185x-35.938</v>
      </c>
      <c r="AR789" s="10" t="str">
        <f>IF(AND(I789="TP",S789&lt;=300),VLOOKUP(AF789,TPCalibEq300!$AZ$2:$BB$55,3,),IF(AND(I789="TDP",S789&lt;=300),VLOOKUP(AF789,TPCalibEq300!$AZ$2:$BB$55,3,)))</f>
        <v>y=-2.8628x2+86.116x-37.286</v>
      </c>
      <c r="AS789" s="10" t="str">
        <f>IF(AND(I789="TP",S789&lt;=500),VLOOKUP(AF789,TPCalibEq500!$AZ$2:$BB$56,3,),IF(AND(I789="TDP",S789&lt;=500),VLOOKUP(AF789,TPCalibEq500!$AZ$2:$BB$56,3,)))</f>
        <v>y=-0.232x2+72.802x-30.279</v>
      </c>
      <c r="AT789" s="10" t="b">
        <f>IF(AND(I789="TN",S789&lt;=2800),VLOOKUP(AF789,TNCalibEq2500!$AZ$2:$BB$56,3,),IF(AND(I789="TDN",S789&lt;=2800),VLOOKUP(AF789,TNCalibEq2500!$AZ$2:$BB$56,3,)))</f>
        <v>0</v>
      </c>
      <c r="AU789" s="10" t="str">
        <f>IF(I789="TP",VLOOKUP(AF789,TPCalibEqFull!$AZ$2:$BB$56,3),IF(I789="TDP",VLOOKUP(AF789,TPCalibEqFull!$AZ$2:$BB$56,3),IF(I789="TDN",VLOOKUP(AF789,TNCalibEqFull!$AZ$1:$BB$56,3),IF(I789="TN",VLOOKUP(AF789,TNCalibEqFull!$AZ$1:$BB$56,3),FALSE))))</f>
        <v>y=0x2+67.076x-21.654</v>
      </c>
      <c r="AV789" s="10" t="str">
        <f t="shared" si="90"/>
        <v>0109 09:24:00-EFK-0-FIL-1-SW-UKN</v>
      </c>
    </row>
    <row r="790" spans="1:48" s="10" customFormat="1" x14ac:dyDescent="0.55000000000000004">
      <c r="A790" s="32">
        <v>44935</v>
      </c>
      <c r="B790" s="33">
        <v>0.30208333333333331</v>
      </c>
      <c r="C790" s="10" t="s">
        <v>333</v>
      </c>
      <c r="D790" s="10">
        <v>0</v>
      </c>
      <c r="E790" s="10" t="s">
        <v>911</v>
      </c>
      <c r="F790" s="10">
        <v>1</v>
      </c>
      <c r="G790" s="10" t="s">
        <v>231</v>
      </c>
      <c r="H790" s="10" t="s">
        <v>322</v>
      </c>
      <c r="I790" s="10" t="s">
        <v>266</v>
      </c>
      <c r="J790" s="10">
        <v>22</v>
      </c>
      <c r="K790" s="12">
        <v>44937</v>
      </c>
      <c r="L790" s="33">
        <v>0.63557870370370373</v>
      </c>
      <c r="M790" s="10">
        <v>1</v>
      </c>
      <c r="N790" s="10" t="s">
        <v>84</v>
      </c>
      <c r="O790" s="10">
        <v>2.37</v>
      </c>
      <c r="P790" s="10">
        <v>0.16600000000000001</v>
      </c>
      <c r="Q790" s="10">
        <v>137</v>
      </c>
      <c r="R790" s="10" t="s">
        <v>85</v>
      </c>
      <c r="S790" s="34">
        <f t="shared" si="86"/>
        <v>151.22416349000002</v>
      </c>
      <c r="T790" s="10" t="s">
        <v>1035</v>
      </c>
      <c r="U790" s="34" t="str">
        <f t="shared" si="87"/>
        <v/>
      </c>
      <c r="V790" s="31" t="str">
        <f>IF(H790="CHK",VLOOKUP(I790,QCCHK,3,),IF(H790="GUP",VLOOKUP(E790,QCGUP,2,),IF(AND(H790="ATP",OR(I790="TN",I790="TDN",I790="TNO2-3",I790="NO2-3")),VLOOKUP(E790,QCREC_N,2,),IF(AND(H790="NIC",OR(I790="TN",I790="TDN",I790="TNO2-3",I790="NO2-3")),VLOOKUP(E790,QCNIC_N,2,),IF(AND(H790="UREA",OR(I790="TN",I790="TDN",I790="TNO2-3",I790="NO2-3")),VLOOKUP(E790,QCUREA_N,2,),IF(H790="PER",VLOOKUP(I790,QCPER,MATCH(E790,QCACTUAL!$J$25:$AA$25,0),),IF(H790="SPK",VLOOKUP(I790,QCSPK,3,),IF(AND(H790="ATP",OR(I790="TP",I790="TDP")),VLOOKUP(E790,QCATP_P,2,),""))))))))</f>
        <v/>
      </c>
      <c r="W790" s="31" t="str">
        <f t="shared" si="88"/>
        <v>TRUE</v>
      </c>
      <c r="X790" s="31" t="str">
        <f t="shared" si="89"/>
        <v/>
      </c>
      <c r="Y790" s="10" t="s">
        <v>1021</v>
      </c>
      <c r="Z790" s="10" t="s">
        <v>910</v>
      </c>
      <c r="AF790" s="12">
        <v>44937</v>
      </c>
      <c r="AG790" s="10">
        <f>-1.7779*2.37^2+83.185*2.37-35.938</f>
        <v>151.22416349000002</v>
      </c>
      <c r="AH790" s="10">
        <f>-2.8628*2.37^2+86.116*2.37-37.286</f>
        <v>150.72885868</v>
      </c>
      <c r="AI790" s="10">
        <f>-0.232*2.37^2+72.802*2.37-30.279</f>
        <v>140.95861920000004</v>
      </c>
      <c r="AK790" s="10">
        <f>0*2.37^2+67.076*2.37-21.654</f>
        <v>137.31611999999998</v>
      </c>
      <c r="AL790" s="10" t="str">
        <f t="shared" si="91"/>
        <v>FALSE</v>
      </c>
      <c r="AM790" s="10" t="str">
        <f t="shared" si="91"/>
        <v>y=-2.8628*2.37^2+86.116*2.37-37.286</v>
      </c>
      <c r="AN790" s="10" t="str">
        <f t="shared" si="91"/>
        <v>y=-0.232*2.37^2+72.802*2.37-30.279</v>
      </c>
      <c r="AO790" s="10" t="str">
        <f t="shared" si="92"/>
        <v>FALSE</v>
      </c>
      <c r="AP790" s="10" t="str">
        <f t="shared" si="92"/>
        <v>y=0*2.37^2+67.076*2.37-21.654</v>
      </c>
      <c r="AQ790" s="10" t="b">
        <f>IF(AND(I790="TP",S790&lt;=150),VLOOKUP(AF790,TPCalibEq150!$AZ$2:$BB$55,3,),IF(AND(I790="TDP",S790&lt;=150),VLOOKUP(AF790,TPCalibEq150!$AZ$2:$BB$55,3,)))</f>
        <v>0</v>
      </c>
      <c r="AR790" s="10" t="str">
        <f>IF(AND(I790="TP",S790&lt;=300),VLOOKUP(AF790,TPCalibEq300!$AZ$2:$BB$55,3,),IF(AND(I790="TDP",S790&lt;=300),VLOOKUP(AF790,TPCalibEq300!$AZ$2:$BB$55,3,)))</f>
        <v>y=-2.8628x2+86.116x-37.286</v>
      </c>
      <c r="AS790" s="10" t="str">
        <f>IF(AND(I790="TP",S790&lt;=500),VLOOKUP(AF790,TPCalibEq500!$AZ$2:$BB$56,3,),IF(AND(I790="TDP",S790&lt;=500),VLOOKUP(AF790,TPCalibEq500!$AZ$2:$BB$56,3,)))</f>
        <v>y=-0.232x2+72.802x-30.279</v>
      </c>
      <c r="AT790" s="10" t="b">
        <f>IF(AND(I790="TN",S790&lt;=2800),VLOOKUP(AF790,TNCalibEq2500!$AZ$2:$BB$56,3,),IF(AND(I790="TDN",S790&lt;=2800),VLOOKUP(AF790,TNCalibEq2500!$AZ$2:$BB$56,3,)))</f>
        <v>0</v>
      </c>
      <c r="AU790" s="10" t="str">
        <f>IF(I790="TP",VLOOKUP(AF790,TPCalibEqFull!$AZ$2:$BB$56,3),IF(I790="TDP",VLOOKUP(AF790,TPCalibEqFull!$AZ$2:$BB$56,3),IF(I790="TDN",VLOOKUP(AF790,TNCalibEqFull!$AZ$1:$BB$56,3),IF(I790="TN",VLOOKUP(AF790,TNCalibEqFull!$AZ$1:$BB$56,3),FALSE))))</f>
        <v>y=0x2+67.076x-21.654</v>
      </c>
      <c r="AV790" s="10" t="str">
        <f t="shared" si="90"/>
        <v>0109 07:15:00-HST-0-FIL-1-SW-UKN</v>
      </c>
    </row>
    <row r="791" spans="1:48" s="10" customFormat="1" x14ac:dyDescent="0.55000000000000004">
      <c r="A791" s="32">
        <v>44936</v>
      </c>
      <c r="B791" s="33">
        <v>0.39166666666666666</v>
      </c>
      <c r="C791" s="10" t="s">
        <v>279</v>
      </c>
      <c r="D791" s="10">
        <v>0</v>
      </c>
      <c r="E791" s="10" t="s">
        <v>911</v>
      </c>
      <c r="F791" s="10">
        <v>1</v>
      </c>
      <c r="G791" s="10" t="s">
        <v>231</v>
      </c>
      <c r="H791" s="10" t="s">
        <v>322</v>
      </c>
      <c r="I791" s="10" t="s">
        <v>266</v>
      </c>
      <c r="J791" s="10">
        <v>23</v>
      </c>
      <c r="K791" s="12">
        <v>44937</v>
      </c>
      <c r="L791" s="33">
        <v>0.63627314814814817</v>
      </c>
      <c r="M791" s="10">
        <v>1</v>
      </c>
      <c r="N791" s="10" t="s">
        <v>84</v>
      </c>
      <c r="O791" s="10">
        <v>2.2000000000000002</v>
      </c>
      <c r="P791" s="10">
        <v>0.155</v>
      </c>
      <c r="Q791" s="10">
        <v>126</v>
      </c>
      <c r="R791" s="10" t="s">
        <v>85</v>
      </c>
      <c r="S791" s="34">
        <f t="shared" si="86"/>
        <v>138.46396400000003</v>
      </c>
      <c r="T791" s="10" t="s">
        <v>1035</v>
      </c>
      <c r="U791" s="34" t="str">
        <f t="shared" si="87"/>
        <v/>
      </c>
      <c r="V791" s="31" t="str">
        <f>IF(H791="CHK",VLOOKUP(I791,QCCHK,3,),IF(H791="GUP",VLOOKUP(E791,QCGUP,2,),IF(AND(H791="ATP",OR(I791="TN",I791="TDN",I791="TNO2-3",I791="NO2-3")),VLOOKUP(E791,QCREC_N,2,),IF(AND(H791="NIC",OR(I791="TN",I791="TDN",I791="TNO2-3",I791="NO2-3")),VLOOKUP(E791,QCNIC_N,2,),IF(AND(H791="UREA",OR(I791="TN",I791="TDN",I791="TNO2-3",I791="NO2-3")),VLOOKUP(E791,QCUREA_N,2,),IF(H791="PER",VLOOKUP(I791,QCPER,MATCH(E791,QCACTUAL!$J$25:$AA$25,0),),IF(H791="SPK",VLOOKUP(I791,QCSPK,3,),IF(AND(H791="ATP",OR(I791="TP",I791="TDP")),VLOOKUP(E791,QCATP_P,2,),""))))))))</f>
        <v/>
      </c>
      <c r="W791" s="31" t="str">
        <f t="shared" si="88"/>
        <v>TRUE</v>
      </c>
      <c r="X791" s="31" t="str">
        <f t="shared" si="89"/>
        <v/>
      </c>
      <c r="Y791" s="10" t="s">
        <v>1021</v>
      </c>
      <c r="AF791" s="12">
        <v>44937</v>
      </c>
      <c r="AG791" s="10">
        <f>-1.7779*2.2^2+83.185*2.2-35.938</f>
        <v>138.46396400000003</v>
      </c>
      <c r="AH791" s="10">
        <f>-2.8628*2.2^2+86.116*2.2-37.286</f>
        <v>138.31324800000002</v>
      </c>
      <c r="AI791" s="10">
        <f>-0.232*2.2^2+72.802*2.2-30.279</f>
        <v>128.76252000000002</v>
      </c>
      <c r="AK791" s="10">
        <f>0*2.2^2+67.076*2.2-21.654</f>
        <v>125.91319999999999</v>
      </c>
      <c r="AL791" s="10" t="str">
        <f t="shared" si="91"/>
        <v>y=-1.7779*2.2^2+83.185*2.2-35.938</v>
      </c>
      <c r="AM791" s="10" t="str">
        <f t="shared" si="91"/>
        <v>y=-2.8628*2.2^2+86.116*2.2-37.286</v>
      </c>
      <c r="AN791" s="10" t="str">
        <f t="shared" si="91"/>
        <v>y=-0.232*2.2^2+72.802*2.2-30.279</v>
      </c>
      <c r="AO791" s="10" t="str">
        <f t="shared" si="92"/>
        <v>FALSE</v>
      </c>
      <c r="AP791" s="10" t="str">
        <f t="shared" si="92"/>
        <v>y=0*2.2^2+67.076*2.2-21.654</v>
      </c>
      <c r="AQ791" s="10" t="str">
        <f>IF(AND(I791="TP",S791&lt;=150),VLOOKUP(AF791,TPCalibEq150!$AZ$2:$BB$55,3,),IF(AND(I791="TDP",S791&lt;=150),VLOOKUP(AF791,TPCalibEq150!$AZ$2:$BB$55,3,)))</f>
        <v>y=-1.7779x2+83.185x-35.938</v>
      </c>
      <c r="AR791" s="10" t="str">
        <f>IF(AND(I791="TP",S791&lt;=300),VLOOKUP(AF791,TPCalibEq300!$AZ$2:$BB$55,3,),IF(AND(I791="TDP",S791&lt;=300),VLOOKUP(AF791,TPCalibEq300!$AZ$2:$BB$55,3,)))</f>
        <v>y=-2.8628x2+86.116x-37.286</v>
      </c>
      <c r="AS791" s="10" t="str">
        <f>IF(AND(I791="TP",S791&lt;=500),VLOOKUP(AF791,TPCalibEq500!$AZ$2:$BB$56,3,),IF(AND(I791="TDP",S791&lt;=500),VLOOKUP(AF791,TPCalibEq500!$AZ$2:$BB$56,3,)))</f>
        <v>y=-0.232x2+72.802x-30.279</v>
      </c>
      <c r="AT791" s="10" t="b">
        <f>IF(AND(I791="TN",S791&lt;=2800),VLOOKUP(AF791,TNCalibEq2500!$AZ$2:$BB$56,3,),IF(AND(I791="TDN",S791&lt;=2800),VLOOKUP(AF791,TNCalibEq2500!$AZ$2:$BB$56,3,)))</f>
        <v>0</v>
      </c>
      <c r="AU791" s="10" t="str">
        <f>IF(I791="TP",VLOOKUP(AF791,TPCalibEqFull!$AZ$2:$BB$56,3),IF(I791="TDP",VLOOKUP(AF791,TPCalibEqFull!$AZ$2:$BB$56,3),IF(I791="TDN",VLOOKUP(AF791,TNCalibEqFull!$AZ$1:$BB$56,3),IF(I791="TN",VLOOKUP(AF791,TNCalibEqFull!$AZ$1:$BB$56,3),FALSE))))</f>
        <v>y=0x2+67.076x-21.654</v>
      </c>
      <c r="AV791" s="10" t="str">
        <f t="shared" si="90"/>
        <v>0110 09:24:00-EFK-0-FIL-1-SW-UKN</v>
      </c>
    </row>
    <row r="792" spans="1:48" s="10" customFormat="1" x14ac:dyDescent="0.55000000000000004">
      <c r="A792" s="32">
        <v>44936</v>
      </c>
      <c r="B792" s="33">
        <v>0.39583333333333331</v>
      </c>
      <c r="C792" s="10" t="s">
        <v>333</v>
      </c>
      <c r="D792" s="10">
        <v>0</v>
      </c>
      <c r="E792" s="10" t="s">
        <v>911</v>
      </c>
      <c r="F792" s="10">
        <v>1</v>
      </c>
      <c r="G792" s="10" t="s">
        <v>231</v>
      </c>
      <c r="H792" s="10" t="s">
        <v>322</v>
      </c>
      <c r="I792" s="10" t="s">
        <v>266</v>
      </c>
      <c r="J792" s="10">
        <v>24</v>
      </c>
      <c r="K792" s="12">
        <v>44937</v>
      </c>
      <c r="L792" s="33">
        <v>0.63696759259259261</v>
      </c>
      <c r="M792" s="10">
        <v>1</v>
      </c>
      <c r="N792" s="10" t="s">
        <v>84</v>
      </c>
      <c r="O792" s="10">
        <v>2.82</v>
      </c>
      <c r="P792" s="10">
        <v>0.19900000000000001</v>
      </c>
      <c r="Q792" s="10">
        <v>166</v>
      </c>
      <c r="R792" s="10" t="s">
        <v>85</v>
      </c>
      <c r="S792" s="34">
        <f t="shared" si="86"/>
        <v>182.79498927999998</v>
      </c>
      <c r="T792" s="10" t="s">
        <v>1035</v>
      </c>
      <c r="U792" s="34" t="str">
        <f t="shared" si="87"/>
        <v/>
      </c>
      <c r="V792" s="31" t="str">
        <f>IF(H792="CHK",VLOOKUP(I792,QCCHK,3,),IF(H792="GUP",VLOOKUP(E792,QCGUP,2,),IF(AND(H792="ATP",OR(I792="TN",I792="TDN",I792="TNO2-3",I792="NO2-3")),VLOOKUP(E792,QCREC_N,2,),IF(AND(H792="NIC",OR(I792="TN",I792="TDN",I792="TNO2-3",I792="NO2-3")),VLOOKUP(E792,QCNIC_N,2,),IF(AND(H792="UREA",OR(I792="TN",I792="TDN",I792="TNO2-3",I792="NO2-3")),VLOOKUP(E792,QCUREA_N,2,),IF(H792="PER",VLOOKUP(I792,QCPER,MATCH(E792,QCACTUAL!$J$25:$AA$25,0),),IF(H792="SPK",VLOOKUP(I792,QCSPK,3,),IF(AND(H792="ATP",OR(I792="TP",I792="TDP")),VLOOKUP(E792,QCATP_P,2,),""))))))))</f>
        <v/>
      </c>
      <c r="W792" s="31" t="str">
        <f t="shared" si="88"/>
        <v>TRUE</v>
      </c>
      <c r="X792" s="31" t="str">
        <f t="shared" si="89"/>
        <v/>
      </c>
      <c r="Y792" s="10" t="s">
        <v>1021</v>
      </c>
      <c r="AF792" s="12">
        <v>44937</v>
      </c>
      <c r="AH792" s="10">
        <f>-2.8628*2.82^2+86.116*2.82-37.286</f>
        <v>182.79498927999998</v>
      </c>
      <c r="AI792" s="10">
        <f>-0.232*2.82^2+72.802*2.82-30.279</f>
        <v>173.17768320000002</v>
      </c>
      <c r="AK792" s="10">
        <f>0*2.82^2+67.076*2.82-21.654</f>
        <v>167.50031999999999</v>
      </c>
      <c r="AL792" s="10" t="str">
        <f t="shared" si="91"/>
        <v>FALSE</v>
      </c>
      <c r="AM792" s="10" t="str">
        <f t="shared" si="91"/>
        <v>y=-2.8628*2.82^2+86.116*2.82-37.286</v>
      </c>
      <c r="AN792" s="10" t="str">
        <f t="shared" si="91"/>
        <v>y=-0.232*2.82^2+72.802*2.82-30.279</v>
      </c>
      <c r="AO792" s="10" t="str">
        <f t="shared" si="92"/>
        <v>FALSE</v>
      </c>
      <c r="AP792" s="10" t="str">
        <f t="shared" si="92"/>
        <v>y=0*2.82^2+67.076*2.82-21.654</v>
      </c>
      <c r="AQ792" s="10" t="b">
        <f>IF(AND(I792="TP",S792&lt;=150),VLOOKUP(AF792,TPCalibEq150!$AZ$2:$BB$55,3,),IF(AND(I792="TDP",S792&lt;=150),VLOOKUP(AF792,TPCalibEq150!$AZ$2:$BB$55,3,)))</f>
        <v>0</v>
      </c>
      <c r="AR792" s="10" t="str">
        <f>IF(AND(I792="TP",S792&lt;=300),VLOOKUP(AF792,TPCalibEq300!$AZ$2:$BB$55,3,),IF(AND(I792="TDP",S792&lt;=300),VLOOKUP(AF792,TPCalibEq300!$AZ$2:$BB$55,3,)))</f>
        <v>y=-2.8628x2+86.116x-37.286</v>
      </c>
      <c r="AS792" s="10" t="str">
        <f>IF(AND(I792="TP",S792&lt;=500),VLOOKUP(AF792,TPCalibEq500!$AZ$2:$BB$56,3,),IF(AND(I792="TDP",S792&lt;=500),VLOOKUP(AF792,TPCalibEq500!$AZ$2:$BB$56,3,)))</f>
        <v>y=-0.232x2+72.802x-30.279</v>
      </c>
      <c r="AT792" s="10" t="b">
        <f>IF(AND(I792="TN",S792&lt;=2800),VLOOKUP(AF792,TNCalibEq2500!$AZ$2:$BB$56,3,),IF(AND(I792="TDN",S792&lt;=2800),VLOOKUP(AF792,TNCalibEq2500!$AZ$2:$BB$56,3,)))</f>
        <v>0</v>
      </c>
      <c r="AU792" s="10" t="str">
        <f>IF(I792="TP",VLOOKUP(AF792,TPCalibEqFull!$AZ$2:$BB$56,3),IF(I792="TDP",VLOOKUP(AF792,TPCalibEqFull!$AZ$2:$BB$56,3),IF(I792="TDN",VLOOKUP(AF792,TNCalibEqFull!$AZ$1:$BB$56,3),IF(I792="TN",VLOOKUP(AF792,TNCalibEqFull!$AZ$1:$BB$56,3),FALSE))))</f>
        <v>y=0x2+67.076x-21.654</v>
      </c>
      <c r="AV792" s="10" t="str">
        <f t="shared" si="90"/>
        <v>0110 09:30:00-HST-0-FIL-1-SW-UKN</v>
      </c>
    </row>
    <row r="793" spans="1:48" s="10" customFormat="1" x14ac:dyDescent="0.55000000000000004">
      <c r="A793" s="32">
        <v>44936</v>
      </c>
      <c r="B793" s="33">
        <v>0.39583333333333331</v>
      </c>
      <c r="C793" s="10" t="s">
        <v>333</v>
      </c>
      <c r="D793" s="10">
        <v>0</v>
      </c>
      <c r="E793" s="10" t="s">
        <v>911</v>
      </c>
      <c r="F793" s="10">
        <v>1</v>
      </c>
      <c r="G793" s="10" t="s">
        <v>231</v>
      </c>
      <c r="H793" s="10" t="s">
        <v>233</v>
      </c>
      <c r="I793" s="10" t="s">
        <v>266</v>
      </c>
      <c r="J793" s="10">
        <v>24</v>
      </c>
      <c r="K793" s="12">
        <v>44937</v>
      </c>
      <c r="L793" s="33">
        <v>0.63766203703703705</v>
      </c>
      <c r="M793" s="10">
        <v>1</v>
      </c>
      <c r="N793" s="10" t="s">
        <v>84</v>
      </c>
      <c r="O793" s="10">
        <v>2.82</v>
      </c>
      <c r="P793" s="10">
        <v>0.19900000000000001</v>
      </c>
      <c r="Q793" s="10">
        <v>166</v>
      </c>
      <c r="R793" s="10" t="s">
        <v>85</v>
      </c>
      <c r="S793" s="34">
        <f t="shared" si="86"/>
        <v>182.79498927999998</v>
      </c>
      <c r="T793" s="10" t="s">
        <v>1035</v>
      </c>
      <c r="U793" s="34">
        <f t="shared" si="87"/>
        <v>0</v>
      </c>
      <c r="V793" s="31" t="str">
        <f>IF(H793="CHK",VLOOKUP(I793,QCCHK,3,),IF(H793="GUP",VLOOKUP(E793,QCGUP,2,),IF(AND(H793="ATP",OR(I793="TN",I793="TDN",I793="TNO2-3",I793="NO2-3")),VLOOKUP(E793,QCREC_N,2,),IF(AND(H793="NIC",OR(I793="TN",I793="TDN",I793="TNO2-3",I793="NO2-3")),VLOOKUP(E793,QCNIC_N,2,),IF(AND(H793="UREA",OR(I793="TN",I793="TDN",I793="TNO2-3",I793="NO2-3")),VLOOKUP(E793,QCUREA_N,2,),IF(H793="PER",VLOOKUP(I793,QCPER,MATCH(E793,QCACTUAL!$J$25:$AA$25,0),),IF(H793="SPK",VLOOKUP(I793,QCSPK,3,),IF(AND(H793="ATP",OR(I793="TP",I793="TDP")),VLOOKUP(E793,QCATP_P,2,),""))))))))</f>
        <v/>
      </c>
      <c r="W793" s="31" t="str">
        <f t="shared" si="88"/>
        <v>TRUE</v>
      </c>
      <c r="X793" s="31" t="str">
        <f t="shared" si="89"/>
        <v>((ABS(rep1-rep2))/((rep1+rep2)/2)*100</v>
      </c>
      <c r="Y793" s="10" t="s">
        <v>1021</v>
      </c>
      <c r="AF793" s="12">
        <v>44937</v>
      </c>
      <c r="AH793" s="10">
        <f>-2.8628*2.82^2+86.116*2.82-37.286</f>
        <v>182.79498927999998</v>
      </c>
      <c r="AI793" s="10">
        <f>-0.232*2.82^2+72.802*2.82-30.279</f>
        <v>173.17768320000002</v>
      </c>
      <c r="AK793" s="10">
        <f>0*2.82^2+67.076*2.82-21.654</f>
        <v>167.50031999999999</v>
      </c>
      <c r="AL793" s="10" t="str">
        <f t="shared" si="91"/>
        <v>FALSE</v>
      </c>
      <c r="AM793" s="10" t="str">
        <f t="shared" si="91"/>
        <v>y=-2.8628*2.82^2+86.116*2.82-37.286</v>
      </c>
      <c r="AN793" s="10" t="str">
        <f t="shared" si="91"/>
        <v>y=-0.232*2.82^2+72.802*2.82-30.279</v>
      </c>
      <c r="AO793" s="10" t="str">
        <f t="shared" si="92"/>
        <v>FALSE</v>
      </c>
      <c r="AP793" s="10" t="str">
        <f t="shared" si="92"/>
        <v>y=0*2.82^2+67.076*2.82-21.654</v>
      </c>
      <c r="AQ793" s="10" t="b">
        <f>IF(AND(I793="TP",S793&lt;=150),VLOOKUP(AF793,TPCalibEq150!$AZ$2:$BB$55,3,),IF(AND(I793="TDP",S793&lt;=150),VLOOKUP(AF793,TPCalibEq150!$AZ$2:$BB$55,3,)))</f>
        <v>0</v>
      </c>
      <c r="AR793" s="10" t="str">
        <f>IF(AND(I793="TP",S793&lt;=300),VLOOKUP(AF793,TPCalibEq300!$AZ$2:$BB$55,3,),IF(AND(I793="TDP",S793&lt;=300),VLOOKUP(AF793,TPCalibEq300!$AZ$2:$BB$55,3,)))</f>
        <v>y=-2.8628x2+86.116x-37.286</v>
      </c>
      <c r="AS793" s="10" t="str">
        <f>IF(AND(I793="TP",S793&lt;=500),VLOOKUP(AF793,TPCalibEq500!$AZ$2:$BB$56,3,),IF(AND(I793="TDP",S793&lt;=500),VLOOKUP(AF793,TPCalibEq500!$AZ$2:$BB$56,3,)))</f>
        <v>y=-0.232x2+72.802x-30.279</v>
      </c>
      <c r="AT793" s="10" t="b">
        <f>IF(AND(I793="TN",S793&lt;=2800),VLOOKUP(AF793,TNCalibEq2500!$AZ$2:$BB$56,3,),IF(AND(I793="TDN",S793&lt;=2800),VLOOKUP(AF793,TNCalibEq2500!$AZ$2:$BB$56,3,)))</f>
        <v>0</v>
      </c>
      <c r="AU793" s="10" t="str">
        <f>IF(I793="TP",VLOOKUP(AF793,TPCalibEqFull!$AZ$2:$BB$56,3),IF(I793="TDP",VLOOKUP(AF793,TPCalibEqFull!$AZ$2:$BB$56,3),IF(I793="TDN",VLOOKUP(AF793,TNCalibEqFull!$AZ$1:$BB$56,3),IF(I793="TN",VLOOKUP(AF793,TNCalibEqFull!$AZ$1:$BB$56,3),FALSE))))</f>
        <v>y=0x2+67.076x-21.654</v>
      </c>
      <c r="AV793" s="10" t="str">
        <f t="shared" si="90"/>
        <v>0110 09:30:00-HST-0-FIL-1-SW-DUP</v>
      </c>
    </row>
    <row r="794" spans="1:48" s="10" customFormat="1" x14ac:dyDescent="0.55000000000000004">
      <c r="A794" s="32">
        <v>44936</v>
      </c>
      <c r="B794" s="33">
        <v>0.39583333333333331</v>
      </c>
      <c r="C794" s="10" t="s">
        <v>912</v>
      </c>
      <c r="D794" s="10">
        <v>0</v>
      </c>
      <c r="E794" s="10" t="s">
        <v>911</v>
      </c>
      <c r="F794" s="10">
        <v>1</v>
      </c>
      <c r="G794" s="10" t="s">
        <v>231</v>
      </c>
      <c r="H794" s="10" t="s">
        <v>314</v>
      </c>
      <c r="I794" s="10" t="s">
        <v>266</v>
      </c>
      <c r="J794" s="10">
        <v>31</v>
      </c>
      <c r="K794" s="12">
        <v>44937</v>
      </c>
      <c r="L794" s="33">
        <v>0.63836805555555554</v>
      </c>
      <c r="M794" s="10">
        <v>1</v>
      </c>
      <c r="N794" s="10" t="s">
        <v>84</v>
      </c>
      <c r="O794" s="10">
        <v>18.2</v>
      </c>
      <c r="P794" s="10">
        <v>1.28</v>
      </c>
      <c r="Q794" s="10">
        <v>1190</v>
      </c>
      <c r="R794" s="10" t="s">
        <v>85</v>
      </c>
      <c r="S794" s="34">
        <f t="shared" si="86"/>
        <v>1199.1291999999999</v>
      </c>
      <c r="T794" s="10" t="s">
        <v>1035</v>
      </c>
      <c r="U794" s="34">
        <f t="shared" si="87"/>
        <v>101.63342107199999</v>
      </c>
      <c r="V794" s="31">
        <f>IF(H794="CHK",VLOOKUP(I794,QCCHK,3,),IF(H794="GUP",VLOOKUP(E794,QCGUP,2,),IF(AND(H794="ATP",OR(I794="TN",I794="TDN",I794="TNO2-3",I794="NO2-3")),VLOOKUP(E794,QCREC_N,2,),IF(AND(H794="NIC",OR(I794="TN",I794="TDN",I794="TNO2-3",I794="NO2-3")),VLOOKUP(E794,QCNIC_N,2,),IF(AND(H794="UREA",OR(I794="TN",I794="TDN",I794="TNO2-3",I794="NO2-3")),VLOOKUP(E794,QCUREA_N,2,),IF(H794="PER",VLOOKUP(I794,QCPER,MATCH(E794,QCACTUAL!$J$25:$AA$25,0),),IF(H794="SPK",VLOOKUP(I794,QCSPK,3,),IF(AND(H794="ATP",OR(I794="TP",I794="TDP")),VLOOKUP(E794,QCATP_P,2,),""))))))))</f>
        <v>1000</v>
      </c>
      <c r="W794" s="31" t="str">
        <f t="shared" si="88"/>
        <v>TRUE</v>
      </c>
      <c r="X794" s="31" t="str">
        <f t="shared" si="89"/>
        <v>([spikedunkn]-[unkn])/[spike]*100</v>
      </c>
      <c r="Y794" s="10" t="s">
        <v>1021</v>
      </c>
      <c r="AF794" s="12">
        <v>44937</v>
      </c>
      <c r="AK794" s="10">
        <f>0*18.2^2+67.076*18.2-21.654</f>
        <v>1199.1291999999999</v>
      </c>
      <c r="AL794" s="10" t="str">
        <f t="shared" si="91"/>
        <v>FALSE</v>
      </c>
      <c r="AM794" s="10" t="str">
        <f t="shared" si="91"/>
        <v>FALSE</v>
      </c>
      <c r="AN794" s="10" t="str">
        <f t="shared" si="91"/>
        <v>FALSE</v>
      </c>
      <c r="AO794" s="10" t="str">
        <f t="shared" si="92"/>
        <v>FALSE</v>
      </c>
      <c r="AP794" s="10" t="str">
        <f t="shared" si="92"/>
        <v>y=0*18.2^2+67.076*18.2-21.654</v>
      </c>
      <c r="AQ794" s="10" t="b">
        <f>IF(AND(I794="TP",S794&lt;=150),VLOOKUP(AF794,TPCalibEq150!$AZ$2:$BB$55,3,),IF(AND(I794="TDP",S794&lt;=150),VLOOKUP(AF794,TPCalibEq150!$AZ$2:$BB$55,3,)))</f>
        <v>0</v>
      </c>
      <c r="AR794" s="10" t="b">
        <f>IF(AND(I794="TP",S794&lt;=300),VLOOKUP(AF794,TPCalibEq300!$AZ$2:$BB$55,3,),IF(AND(I794="TDP",S794&lt;=300),VLOOKUP(AF794,TPCalibEq300!$AZ$2:$BB$55,3,)))</f>
        <v>0</v>
      </c>
      <c r="AS794" s="10" t="b">
        <f>IF(AND(I794="TP",S794&lt;=500),VLOOKUP(AF794,TPCalibEq500!$AZ$2:$BB$56,3,),IF(AND(I794="TDP",S794&lt;=500),VLOOKUP(AF794,TPCalibEq500!$AZ$2:$BB$56,3,)))</f>
        <v>0</v>
      </c>
      <c r="AT794" s="10" t="b">
        <f>IF(AND(I794="TN",S794&lt;=2800),VLOOKUP(AF794,TNCalibEq2500!$AZ$2:$BB$56,3,),IF(AND(I794="TDN",S794&lt;=2800),VLOOKUP(AF794,TNCalibEq2500!$AZ$2:$BB$56,3,)))</f>
        <v>0</v>
      </c>
      <c r="AU794" s="10" t="str">
        <f>IF(I794="TP",VLOOKUP(AF794,TPCalibEqFull!$AZ$2:$BB$56,3),IF(I794="TDP",VLOOKUP(AF794,TPCalibEqFull!$AZ$2:$BB$56,3),IF(I794="TDN",VLOOKUP(AF794,TNCalibEqFull!$AZ$1:$BB$56,3),IF(I794="TN",VLOOKUP(AF794,TNCalibEqFull!$AZ$1:$BB$56,3),FALSE))))</f>
        <v>y=0x2+67.076x-21.654</v>
      </c>
      <c r="AV794" s="10" t="str">
        <f t="shared" si="90"/>
        <v>0110 09:30:00-HST -0-FIL-1-SW-SPK</v>
      </c>
    </row>
    <row r="795" spans="1:48" s="10" customFormat="1" x14ac:dyDescent="0.55000000000000004">
      <c r="A795" s="32">
        <v>44937</v>
      </c>
      <c r="B795" s="33">
        <v>0.375</v>
      </c>
      <c r="C795" s="10" t="s">
        <v>70</v>
      </c>
      <c r="D795" s="10" t="s">
        <v>71</v>
      </c>
      <c r="E795" s="10" t="s">
        <v>901</v>
      </c>
      <c r="F795" s="10">
        <v>1</v>
      </c>
      <c r="G795" s="10" t="s">
        <v>73</v>
      </c>
      <c r="H795" s="10" t="s">
        <v>207</v>
      </c>
      <c r="I795" s="10" t="s">
        <v>83</v>
      </c>
      <c r="J795" s="10">
        <v>201</v>
      </c>
      <c r="K795" s="12">
        <v>44937</v>
      </c>
      <c r="L795" s="33">
        <v>0.63907407407407402</v>
      </c>
      <c r="M795" s="10">
        <v>1</v>
      </c>
      <c r="N795" s="10" t="s">
        <v>84</v>
      </c>
      <c r="O795" s="10">
        <v>8.25</v>
      </c>
      <c r="P795" s="10">
        <v>0.58399999999999996</v>
      </c>
      <c r="Q795" s="10">
        <v>526</v>
      </c>
      <c r="R795" s="10" t="s">
        <v>85</v>
      </c>
      <c r="S795" s="34">
        <f t="shared" si="86"/>
        <v>531.72299999999996</v>
      </c>
      <c r="T795" s="10" t="s">
        <v>1035</v>
      </c>
      <c r="U795" s="34">
        <f t="shared" si="87"/>
        <v>106.34459999999999</v>
      </c>
      <c r="V795" s="31">
        <f>IF(H795="CHK",VLOOKUP(I795,QCCHK,3,),IF(H795="GUP",VLOOKUP(E795,QCGUP,2,),IF(AND(H795="ATP",OR(I795="TN",I795="TDN",I795="TNO2-3",I795="NO2-3")),VLOOKUP(E795,QCREC_N,2,),IF(AND(H795="NIC",OR(I795="TN",I795="TDN",I795="TNO2-3",I795="NO2-3")),VLOOKUP(E795,QCNIC_N,2,),IF(AND(H795="UREA",OR(I795="TN",I795="TDN",I795="TNO2-3",I795="NO2-3")),VLOOKUP(E795,QCUREA_N,2,),IF(H795="PER",VLOOKUP(I795,QCPER,MATCH(E795,QCACTUAL!$J$25:$AA$25,0),),IF(H795="SPK",VLOOKUP(I795,QCSPK,3,),IF(AND(H795="ATP",OR(I795="TP",I795="TDP")),VLOOKUP(E795,QCATP_P,2,),""))))))))</f>
        <v>500</v>
      </c>
      <c r="W795" s="31" t="str">
        <f t="shared" si="88"/>
        <v>TRUE</v>
      </c>
      <c r="X795" s="31" t="str">
        <f t="shared" si="89"/>
        <v>[chk]/[actual]*100</v>
      </c>
      <c r="Y795" s="10" t="s">
        <v>1021</v>
      </c>
      <c r="AF795" s="12">
        <v>44937</v>
      </c>
      <c r="AK795" s="10">
        <f>0*8.25^2+67.076*8.25-21.654</f>
        <v>531.72299999999996</v>
      </c>
      <c r="AL795" s="10" t="str">
        <f t="shared" si="91"/>
        <v>FALSE</v>
      </c>
      <c r="AM795" s="10" t="str">
        <f t="shared" si="91"/>
        <v>FALSE</v>
      </c>
      <c r="AN795" s="10" t="str">
        <f t="shared" si="91"/>
        <v>FALSE</v>
      </c>
      <c r="AO795" s="10" t="str">
        <f t="shared" si="92"/>
        <v>FALSE</v>
      </c>
      <c r="AP795" s="10" t="str">
        <f t="shared" si="92"/>
        <v>y=0*8.25^2+67.076*8.25-21.654</v>
      </c>
      <c r="AQ795" s="10" t="b">
        <f>IF(AND(I795="TP",S795&lt;=150),VLOOKUP(AF795,TPCalibEq150!$AZ$2:$BB$55,3,),IF(AND(I795="TDP",S795&lt;=150),VLOOKUP(AF795,TPCalibEq150!$AZ$2:$BB$55,3,)))</f>
        <v>0</v>
      </c>
      <c r="AR795" s="10" t="b">
        <f>IF(AND(I795="TP",S795&lt;=300),VLOOKUP(AF795,TPCalibEq300!$AZ$2:$BB$55,3,),IF(AND(I795="TDP",S795&lt;=300),VLOOKUP(AF795,TPCalibEq300!$AZ$2:$BB$55,3,)))</f>
        <v>0</v>
      </c>
      <c r="AS795" s="10" t="b">
        <f>IF(AND(I795="TP",S795&lt;=500),VLOOKUP(AF795,TPCalibEq500!$AZ$2:$BB$56,3,),IF(AND(I795="TDP",S795&lt;=500),VLOOKUP(AF795,TPCalibEq500!$AZ$2:$BB$56,3,)))</f>
        <v>0</v>
      </c>
      <c r="AT795" s="10" t="b">
        <f>IF(AND(I795="TN",S795&lt;=2800),VLOOKUP(AF795,TNCalibEq2500!$AZ$2:$BB$56,3,),IF(AND(I795="TDN",S795&lt;=2800),VLOOKUP(AF795,TNCalibEq2500!$AZ$2:$BB$56,3,)))</f>
        <v>0</v>
      </c>
      <c r="AU795" s="10" t="str">
        <f>IF(I795="TP",VLOOKUP(AF795,TPCalibEqFull!$AZ$2:$BB$56,3),IF(I795="TDP",VLOOKUP(AF795,TPCalibEqFull!$AZ$2:$BB$56,3),IF(I795="TDN",VLOOKUP(AF795,TNCalibEqFull!$AZ$1:$BB$56,3),IF(I795="TN",VLOOKUP(AF795,TNCalibEqFull!$AZ$1:$BB$56,3),FALSE))))</f>
        <v>y=0x2+67.076x-21.654</v>
      </c>
      <c r="AV795" s="10" t="str">
        <f t="shared" si="90"/>
        <v>0111 09:00:00-QAC-STD-D-1-DI-CHK</v>
      </c>
    </row>
    <row r="796" spans="1:48" s="10" customFormat="1" x14ac:dyDescent="0.55000000000000004">
      <c r="A796" s="32">
        <v>44930</v>
      </c>
      <c r="B796" s="33">
        <v>0.22569444444444445</v>
      </c>
      <c r="C796" s="10" t="s">
        <v>279</v>
      </c>
      <c r="D796" s="10">
        <v>0</v>
      </c>
      <c r="E796" s="10" t="s">
        <v>911</v>
      </c>
      <c r="F796" s="10">
        <v>1</v>
      </c>
      <c r="G796" s="10" t="s">
        <v>231</v>
      </c>
      <c r="H796" s="10" t="s">
        <v>322</v>
      </c>
      <c r="I796" s="10" t="s">
        <v>266</v>
      </c>
      <c r="J796" s="10">
        <v>105</v>
      </c>
      <c r="K796" s="12">
        <v>44937</v>
      </c>
      <c r="L796" s="33">
        <v>0.63975694444444442</v>
      </c>
      <c r="M796" s="10">
        <v>1</v>
      </c>
      <c r="N796" s="10" t="s">
        <v>84</v>
      </c>
      <c r="O796" s="10">
        <v>3.11</v>
      </c>
      <c r="P796" s="10">
        <v>0.22</v>
      </c>
      <c r="Q796" s="10">
        <v>186</v>
      </c>
      <c r="R796" s="10" t="s">
        <v>85</v>
      </c>
      <c r="S796" s="34">
        <f t="shared" si="86"/>
        <v>202.84547212000001</v>
      </c>
      <c r="T796" s="10" t="s">
        <v>1035</v>
      </c>
      <c r="U796" s="34" t="str">
        <f t="shared" si="87"/>
        <v/>
      </c>
      <c r="V796" s="31" t="str">
        <f>IF(H796="CHK",VLOOKUP(I796,QCCHK,3,),IF(H796="GUP",VLOOKUP(E796,QCGUP,2,),IF(AND(H796="ATP",OR(I796="TN",I796="TDN",I796="TNO2-3",I796="NO2-3")),VLOOKUP(E796,QCREC_N,2,),IF(AND(H796="NIC",OR(I796="TN",I796="TDN",I796="TNO2-3",I796="NO2-3")),VLOOKUP(E796,QCNIC_N,2,),IF(AND(H796="UREA",OR(I796="TN",I796="TDN",I796="TNO2-3",I796="NO2-3")),VLOOKUP(E796,QCUREA_N,2,),IF(H796="PER",VLOOKUP(I796,QCPER,MATCH(E796,QCACTUAL!$J$25:$AA$25,0),),IF(H796="SPK",VLOOKUP(I796,QCSPK,3,),IF(AND(H796="ATP",OR(I796="TP",I796="TDP")),VLOOKUP(E796,QCATP_P,2,),""))))))))</f>
        <v/>
      </c>
      <c r="W796" s="31" t="str">
        <f t="shared" si="88"/>
        <v>TRUE</v>
      </c>
      <c r="X796" s="31" t="str">
        <f t="shared" si="89"/>
        <v/>
      </c>
      <c r="Y796" s="10" t="s">
        <v>1021</v>
      </c>
      <c r="Z796" s="10" t="s">
        <v>910</v>
      </c>
      <c r="AF796" s="12">
        <v>44937</v>
      </c>
      <c r="AH796" s="10">
        <f>-2.8628*3.11^2+86.116*3.11-37.286</f>
        <v>202.84547212000001</v>
      </c>
      <c r="AI796" s="10">
        <f>-0.232*3.11^2+72.802*3.11-30.279</f>
        <v>193.8912928</v>
      </c>
      <c r="AK796" s="10">
        <f>0*3.11^2+67.076*3.11-21.654</f>
        <v>186.95235999999997</v>
      </c>
      <c r="AL796" s="10" t="str">
        <f t="shared" si="91"/>
        <v>FALSE</v>
      </c>
      <c r="AM796" s="10" t="str">
        <f t="shared" si="91"/>
        <v>y=-2.8628*3.11^2+86.116*3.11-37.286</v>
      </c>
      <c r="AN796" s="10" t="str">
        <f t="shared" si="91"/>
        <v>y=-0.232*3.11^2+72.802*3.11-30.279</v>
      </c>
      <c r="AO796" s="10" t="str">
        <f t="shared" si="92"/>
        <v>FALSE</v>
      </c>
      <c r="AP796" s="10" t="str">
        <f t="shared" si="92"/>
        <v>y=0*3.11^2+67.076*3.11-21.654</v>
      </c>
      <c r="AQ796" s="10" t="b">
        <f>IF(AND(I796="TP",S796&lt;=150),VLOOKUP(AF796,TPCalibEq150!$AZ$2:$BB$55,3,),IF(AND(I796="TDP",S796&lt;=150),VLOOKUP(AF796,TPCalibEq150!$AZ$2:$BB$55,3,)))</f>
        <v>0</v>
      </c>
      <c r="AR796" s="10" t="str">
        <f>IF(AND(I796="TP",S796&lt;=300),VLOOKUP(AF796,TPCalibEq300!$AZ$2:$BB$55,3,),IF(AND(I796="TDP",S796&lt;=300),VLOOKUP(AF796,TPCalibEq300!$AZ$2:$BB$55,3,)))</f>
        <v>y=-2.8628x2+86.116x-37.286</v>
      </c>
      <c r="AS796" s="10" t="str">
        <f>IF(AND(I796="TP",S796&lt;=500),VLOOKUP(AF796,TPCalibEq500!$AZ$2:$BB$56,3,),IF(AND(I796="TDP",S796&lt;=500),VLOOKUP(AF796,TPCalibEq500!$AZ$2:$BB$56,3,)))</f>
        <v>y=-0.232x2+72.802x-30.279</v>
      </c>
      <c r="AT796" s="10" t="b">
        <f>IF(AND(I796="TN",S796&lt;=2800),VLOOKUP(AF796,TNCalibEq2500!$AZ$2:$BB$56,3,),IF(AND(I796="TDN",S796&lt;=2800),VLOOKUP(AF796,TNCalibEq2500!$AZ$2:$BB$56,3,)))</f>
        <v>0</v>
      </c>
      <c r="AU796" s="10" t="str">
        <f>IF(I796="TP",VLOOKUP(AF796,TPCalibEqFull!$AZ$2:$BB$56,3),IF(I796="TDP",VLOOKUP(AF796,TPCalibEqFull!$AZ$2:$BB$56,3),IF(I796="TDN",VLOOKUP(AF796,TNCalibEqFull!$AZ$1:$BB$56,3),IF(I796="TN",VLOOKUP(AF796,TNCalibEqFull!$AZ$1:$BB$56,3),FALSE))))</f>
        <v>y=0x2+67.076x-21.654</v>
      </c>
      <c r="AV796" s="10" t="str">
        <f t="shared" si="90"/>
        <v>0104 05:25:00-EFK-0-FIL-1-SW-UKN</v>
      </c>
    </row>
    <row r="797" spans="1:48" s="10" customFormat="1" x14ac:dyDescent="0.55000000000000004">
      <c r="A797" s="32">
        <v>44930</v>
      </c>
      <c r="B797" s="33">
        <v>0.22916666666666666</v>
      </c>
      <c r="C797" s="10" t="s">
        <v>333</v>
      </c>
      <c r="D797" s="10">
        <v>0</v>
      </c>
      <c r="E797" s="10" t="s">
        <v>911</v>
      </c>
      <c r="F797" s="10">
        <v>1</v>
      </c>
      <c r="G797" s="10" t="s">
        <v>231</v>
      </c>
      <c r="H797" s="10" t="s">
        <v>322</v>
      </c>
      <c r="I797" s="10" t="s">
        <v>266</v>
      </c>
      <c r="J797" s="10">
        <v>106</v>
      </c>
      <c r="K797" s="12">
        <v>44937</v>
      </c>
      <c r="L797" s="33">
        <v>0.6404629629629629</v>
      </c>
      <c r="M797" s="10">
        <v>1</v>
      </c>
      <c r="N797" s="10" t="s">
        <v>84</v>
      </c>
      <c r="O797" s="10">
        <v>1.8</v>
      </c>
      <c r="P797" s="10">
        <v>0.124</v>
      </c>
      <c r="Q797" s="10">
        <v>99</v>
      </c>
      <c r="R797" s="10" t="s">
        <v>85</v>
      </c>
      <c r="S797" s="34">
        <f t="shared" si="86"/>
        <v>108.447328</v>
      </c>
      <c r="T797" s="10" t="s">
        <v>1035</v>
      </c>
      <c r="U797" s="34" t="str">
        <f t="shared" si="87"/>
        <v/>
      </c>
      <c r="V797" s="31" t="str">
        <f>IF(H797="CHK",VLOOKUP(I797,QCCHK,3,),IF(H797="GUP",VLOOKUP(E797,QCGUP,2,),IF(AND(H797="ATP",OR(I797="TN",I797="TDN",I797="TNO2-3",I797="NO2-3")),VLOOKUP(E797,QCREC_N,2,),IF(AND(H797="NIC",OR(I797="TN",I797="TDN",I797="TNO2-3",I797="NO2-3")),VLOOKUP(E797,QCNIC_N,2,),IF(AND(H797="UREA",OR(I797="TN",I797="TDN",I797="TNO2-3",I797="NO2-3")),VLOOKUP(E797,QCUREA_N,2,),IF(H797="PER",VLOOKUP(I797,QCPER,MATCH(E797,QCACTUAL!$J$25:$AA$25,0),),IF(H797="SPK",VLOOKUP(I797,QCSPK,3,),IF(AND(H797="ATP",OR(I797="TP",I797="TDP")),VLOOKUP(E797,QCATP_P,2,),""))))))))</f>
        <v/>
      </c>
      <c r="W797" s="31" t="str">
        <f t="shared" si="88"/>
        <v>TRUE</v>
      </c>
      <c r="X797" s="31" t="str">
        <f t="shared" si="89"/>
        <v/>
      </c>
      <c r="Y797" s="10" t="s">
        <v>1021</v>
      </c>
      <c r="Z797" s="10" t="s">
        <v>910</v>
      </c>
      <c r="AF797" s="12">
        <v>44937</v>
      </c>
      <c r="AG797" s="10">
        <f>-1.7779*1.8^2+83.185*1.8-35.938</f>
        <v>108.03460399999999</v>
      </c>
      <c r="AH797" s="10">
        <f>-2.8628*1.8^2+86.116*1.8-37.286</f>
        <v>108.447328</v>
      </c>
      <c r="AI797" s="10">
        <f>-0.232*1.8^2+72.802*1.8-30.279</f>
        <v>100.01292000000004</v>
      </c>
      <c r="AK797" s="10">
        <f>0*1.8^2+67.076*1.8-21.654</f>
        <v>99.082799999999992</v>
      </c>
      <c r="AL797" s="10" t="str">
        <f t="shared" si="91"/>
        <v>y=-1.7779*1.8^2+83.185*1.8-35.938</v>
      </c>
      <c r="AM797" s="10" t="str">
        <f t="shared" si="91"/>
        <v>y=-2.8628*1.8^2+86.116*1.8-37.286</v>
      </c>
      <c r="AN797" s="10" t="str">
        <f t="shared" si="91"/>
        <v>y=-0.232*1.8^2+72.802*1.8-30.279</v>
      </c>
      <c r="AO797" s="10" t="str">
        <f t="shared" si="92"/>
        <v>FALSE</v>
      </c>
      <c r="AP797" s="10" t="str">
        <f t="shared" si="92"/>
        <v>y=0*1.8^2+67.076*1.8-21.654</v>
      </c>
      <c r="AQ797" s="10" t="str">
        <f>IF(AND(I797="TP",S797&lt;=150),VLOOKUP(AF797,TPCalibEq150!$AZ$2:$BB$55,3,),IF(AND(I797="TDP",S797&lt;=150),VLOOKUP(AF797,TPCalibEq150!$AZ$2:$BB$55,3,)))</f>
        <v>y=-1.7779x2+83.185x-35.938</v>
      </c>
      <c r="AR797" s="10" t="str">
        <f>IF(AND(I797="TP",S797&lt;=300),VLOOKUP(AF797,TPCalibEq300!$AZ$2:$BB$55,3,),IF(AND(I797="TDP",S797&lt;=300),VLOOKUP(AF797,TPCalibEq300!$AZ$2:$BB$55,3,)))</f>
        <v>y=-2.8628x2+86.116x-37.286</v>
      </c>
      <c r="AS797" s="10" t="str">
        <f>IF(AND(I797="TP",S797&lt;=500),VLOOKUP(AF797,TPCalibEq500!$AZ$2:$BB$56,3,),IF(AND(I797="TDP",S797&lt;=500),VLOOKUP(AF797,TPCalibEq500!$AZ$2:$BB$56,3,)))</f>
        <v>y=-0.232x2+72.802x-30.279</v>
      </c>
      <c r="AT797" s="10" t="b">
        <f>IF(AND(I797="TN",S797&lt;=2800),VLOOKUP(AF797,TNCalibEq2500!$AZ$2:$BB$56,3,),IF(AND(I797="TDN",S797&lt;=2800),VLOOKUP(AF797,TNCalibEq2500!$AZ$2:$BB$56,3,)))</f>
        <v>0</v>
      </c>
      <c r="AU797" s="10" t="str">
        <f>IF(I797="TP",VLOOKUP(AF797,TPCalibEqFull!$AZ$2:$BB$56,3),IF(I797="TDP",VLOOKUP(AF797,TPCalibEqFull!$AZ$2:$BB$56,3),IF(I797="TDN",VLOOKUP(AF797,TNCalibEqFull!$AZ$1:$BB$56,3),IF(I797="TN",VLOOKUP(AF797,TNCalibEqFull!$AZ$1:$BB$56,3),FALSE))))</f>
        <v>y=0x2+67.076x-21.654</v>
      </c>
      <c r="AV797" s="10" t="str">
        <f t="shared" si="90"/>
        <v>0104 05:30:00-HST-0-FIL-1-SW-UKN</v>
      </c>
    </row>
    <row r="798" spans="1:48" s="10" customFormat="1" x14ac:dyDescent="0.55000000000000004">
      <c r="A798" s="32">
        <v>44931</v>
      </c>
      <c r="B798" s="33">
        <v>0.44513888888888892</v>
      </c>
      <c r="C798" s="10" t="s">
        <v>279</v>
      </c>
      <c r="D798" s="10">
        <v>0</v>
      </c>
      <c r="E798" s="10" t="s">
        <v>911</v>
      </c>
      <c r="F798" s="10">
        <v>1</v>
      </c>
      <c r="G798" s="10" t="s">
        <v>231</v>
      </c>
      <c r="H798" s="10" t="s">
        <v>322</v>
      </c>
      <c r="I798" s="10" t="s">
        <v>266</v>
      </c>
      <c r="J798" s="10">
        <v>107</v>
      </c>
      <c r="K798" s="12">
        <v>44937</v>
      </c>
      <c r="L798" s="33">
        <v>0.64115740740740745</v>
      </c>
      <c r="M798" s="10">
        <v>1</v>
      </c>
      <c r="N798" s="10" t="s">
        <v>84</v>
      </c>
      <c r="O798" s="10">
        <v>1.53</v>
      </c>
      <c r="P798" s="10">
        <v>0.10299999999999999</v>
      </c>
      <c r="Q798" s="10">
        <v>81.099999999999994</v>
      </c>
      <c r="R798" s="10" t="s">
        <v>85</v>
      </c>
      <c r="S798" s="34">
        <f t="shared" si="86"/>
        <v>87.769951480000017</v>
      </c>
      <c r="T798" s="10" t="s">
        <v>1035</v>
      </c>
      <c r="U798" s="34" t="str">
        <f t="shared" si="87"/>
        <v/>
      </c>
      <c r="V798" s="31" t="str">
        <f>IF(H798="CHK",VLOOKUP(I798,QCCHK,3,),IF(H798="GUP",VLOOKUP(E798,QCGUP,2,),IF(AND(H798="ATP",OR(I798="TN",I798="TDN",I798="TNO2-3",I798="NO2-3")),VLOOKUP(E798,QCREC_N,2,),IF(AND(H798="NIC",OR(I798="TN",I798="TDN",I798="TNO2-3",I798="NO2-3")),VLOOKUP(E798,QCNIC_N,2,),IF(AND(H798="UREA",OR(I798="TN",I798="TDN",I798="TNO2-3",I798="NO2-3")),VLOOKUP(E798,QCUREA_N,2,),IF(H798="PER",VLOOKUP(I798,QCPER,MATCH(E798,QCACTUAL!$J$25:$AA$25,0),),IF(H798="SPK",VLOOKUP(I798,QCSPK,3,),IF(AND(H798="ATP",OR(I798="TP",I798="TDP")),VLOOKUP(E798,QCATP_P,2,),""))))))))</f>
        <v/>
      </c>
      <c r="W798" s="31" t="str">
        <f t="shared" si="88"/>
        <v>TRUE</v>
      </c>
      <c r="X798" s="31" t="str">
        <f t="shared" si="89"/>
        <v/>
      </c>
      <c r="Y798" s="10" t="s">
        <v>1021</v>
      </c>
      <c r="Z798" s="10" t="s">
        <v>910</v>
      </c>
      <c r="AF798" s="12">
        <v>44937</v>
      </c>
      <c r="AG798" s="10">
        <f>-1.7779*1.53^2+83.185*1.53-35.938</f>
        <v>87.173163890000012</v>
      </c>
      <c r="AH798" s="10">
        <f>-2.8628*1.53^2+86.116*1.53-37.286</f>
        <v>87.769951480000017</v>
      </c>
      <c r="AI798" s="10">
        <f>-0.232*1.53^2+72.802*1.53-30.279</f>
        <v>80.564971200000002</v>
      </c>
      <c r="AK798" s="10">
        <f>0*1.53^2+67.076*1.53-21.654</f>
        <v>80.972279999999998</v>
      </c>
      <c r="AL798" s="10" t="str">
        <f t="shared" si="91"/>
        <v>y=-1.7779*1.53^2+83.185*1.53-35.938</v>
      </c>
      <c r="AM798" s="10" t="str">
        <f t="shared" si="91"/>
        <v>y=-2.8628*1.53^2+86.116*1.53-37.286</v>
      </c>
      <c r="AN798" s="10" t="str">
        <f t="shared" si="91"/>
        <v>y=-0.232*1.53^2+72.802*1.53-30.279</v>
      </c>
      <c r="AO798" s="10" t="str">
        <f t="shared" si="92"/>
        <v>FALSE</v>
      </c>
      <c r="AP798" s="10" t="str">
        <f t="shared" si="92"/>
        <v>y=0*1.53^2+67.076*1.53-21.654</v>
      </c>
      <c r="AQ798" s="10" t="str">
        <f>IF(AND(I798="TP",S798&lt;=150),VLOOKUP(AF798,TPCalibEq150!$AZ$2:$BB$55,3,),IF(AND(I798="TDP",S798&lt;=150),VLOOKUP(AF798,TPCalibEq150!$AZ$2:$BB$55,3,)))</f>
        <v>y=-1.7779x2+83.185x-35.938</v>
      </c>
      <c r="AR798" s="10" t="str">
        <f>IF(AND(I798="TP",S798&lt;=300),VLOOKUP(AF798,TPCalibEq300!$AZ$2:$BB$55,3,),IF(AND(I798="TDP",S798&lt;=300),VLOOKUP(AF798,TPCalibEq300!$AZ$2:$BB$55,3,)))</f>
        <v>y=-2.8628x2+86.116x-37.286</v>
      </c>
      <c r="AS798" s="10" t="str">
        <f>IF(AND(I798="TP",S798&lt;=500),VLOOKUP(AF798,TPCalibEq500!$AZ$2:$BB$56,3,),IF(AND(I798="TDP",S798&lt;=500),VLOOKUP(AF798,TPCalibEq500!$AZ$2:$BB$56,3,)))</f>
        <v>y=-0.232x2+72.802x-30.279</v>
      </c>
      <c r="AT798" s="10" t="b">
        <f>IF(AND(I798="TN",S798&lt;=2800),VLOOKUP(AF798,TNCalibEq2500!$AZ$2:$BB$56,3,),IF(AND(I798="TDN",S798&lt;=2800),VLOOKUP(AF798,TNCalibEq2500!$AZ$2:$BB$56,3,)))</f>
        <v>0</v>
      </c>
      <c r="AU798" s="10" t="str">
        <f>IF(I798="TP",VLOOKUP(AF798,TPCalibEqFull!$AZ$2:$BB$56,3),IF(I798="TDP",VLOOKUP(AF798,TPCalibEqFull!$AZ$2:$BB$56,3),IF(I798="TDN",VLOOKUP(AF798,TNCalibEqFull!$AZ$1:$BB$56,3),IF(I798="TN",VLOOKUP(AF798,TNCalibEqFull!$AZ$1:$BB$56,3),FALSE))))</f>
        <v>y=0x2+67.076x-21.654</v>
      </c>
      <c r="AV798" s="10" t="str">
        <f t="shared" si="90"/>
        <v>0105 10:41:00-EFK-0-FIL-1-SW-UKN</v>
      </c>
    </row>
    <row r="799" spans="1:48" s="10" customFormat="1" x14ac:dyDescent="0.55000000000000004">
      <c r="A799" s="32">
        <v>44931</v>
      </c>
      <c r="B799" s="33">
        <v>0.45069444444444445</v>
      </c>
      <c r="C799" s="10" t="s">
        <v>333</v>
      </c>
      <c r="D799" s="10">
        <v>0</v>
      </c>
      <c r="E799" s="10" t="s">
        <v>911</v>
      </c>
      <c r="F799" s="10">
        <v>1</v>
      </c>
      <c r="G799" s="10" t="s">
        <v>231</v>
      </c>
      <c r="H799" s="10" t="s">
        <v>322</v>
      </c>
      <c r="I799" s="10" t="s">
        <v>266</v>
      </c>
      <c r="J799" s="10">
        <v>108</v>
      </c>
      <c r="K799" s="12">
        <v>44937</v>
      </c>
      <c r="L799" s="33">
        <v>0.64186342592592593</v>
      </c>
      <c r="M799" s="10">
        <v>1</v>
      </c>
      <c r="N799" s="10" t="s">
        <v>84</v>
      </c>
      <c r="O799" s="10">
        <v>1.76</v>
      </c>
      <c r="P799" s="10">
        <v>0.122</v>
      </c>
      <c r="Q799" s="10">
        <v>96.7</v>
      </c>
      <c r="R799" s="10" t="s">
        <v>85</v>
      </c>
      <c r="S799" s="34">
        <f t="shared" si="86"/>
        <v>105.41035072</v>
      </c>
      <c r="T799" s="10" t="s">
        <v>1035</v>
      </c>
      <c r="U799" s="34" t="str">
        <f t="shared" si="87"/>
        <v/>
      </c>
      <c r="V799" s="31" t="str">
        <f>IF(H799="CHK",VLOOKUP(I799,QCCHK,3,),IF(H799="GUP",VLOOKUP(E799,QCGUP,2,),IF(AND(H799="ATP",OR(I799="TN",I799="TDN",I799="TNO2-3",I799="NO2-3")),VLOOKUP(E799,QCREC_N,2,),IF(AND(H799="NIC",OR(I799="TN",I799="TDN",I799="TNO2-3",I799="NO2-3")),VLOOKUP(E799,QCNIC_N,2,),IF(AND(H799="UREA",OR(I799="TN",I799="TDN",I799="TNO2-3",I799="NO2-3")),VLOOKUP(E799,QCUREA_N,2,),IF(H799="PER",VLOOKUP(I799,QCPER,MATCH(E799,QCACTUAL!$J$25:$AA$25,0),),IF(H799="SPK",VLOOKUP(I799,QCSPK,3,),IF(AND(H799="ATP",OR(I799="TP",I799="TDP")),VLOOKUP(E799,QCATP_P,2,),""))))))))</f>
        <v/>
      </c>
      <c r="W799" s="31" t="str">
        <f t="shared" si="88"/>
        <v>TRUE</v>
      </c>
      <c r="X799" s="31" t="str">
        <f t="shared" si="89"/>
        <v/>
      </c>
      <c r="Y799" s="10" t="s">
        <v>1021</v>
      </c>
      <c r="Z799" s="10" t="s">
        <v>910</v>
      </c>
      <c r="AF799" s="12">
        <v>44937</v>
      </c>
      <c r="AG799" s="10">
        <f>-1.7779*1.76^2+83.185*1.76-35.938</f>
        <v>104.96037696</v>
      </c>
      <c r="AH799" s="10">
        <f>-2.8628*1.76^2+86.116*1.76-37.286</f>
        <v>105.41035072</v>
      </c>
      <c r="AI799" s="10">
        <f>-0.232*1.76^2+72.802*1.76-30.279</f>
        <v>97.133876800000024</v>
      </c>
      <c r="AK799" s="10">
        <f>0*1.76^2+67.076*1.76-21.654</f>
        <v>96.399759999999986</v>
      </c>
      <c r="AL799" s="10" t="str">
        <f t="shared" si="91"/>
        <v>y=-1.7779*1.76^2+83.185*1.76-35.938</v>
      </c>
      <c r="AM799" s="10" t="str">
        <f t="shared" si="91"/>
        <v>y=-2.8628*1.76^2+86.116*1.76-37.286</v>
      </c>
      <c r="AN799" s="10" t="str">
        <f t="shared" si="91"/>
        <v>y=-0.232*1.76^2+72.802*1.76-30.279</v>
      </c>
      <c r="AO799" s="10" t="str">
        <f t="shared" si="92"/>
        <v>FALSE</v>
      </c>
      <c r="AP799" s="10" t="str">
        <f t="shared" si="92"/>
        <v>y=0*1.76^2+67.076*1.76-21.654</v>
      </c>
      <c r="AQ799" s="10" t="str">
        <f>IF(AND(I799="TP",S799&lt;=150),VLOOKUP(AF799,TPCalibEq150!$AZ$2:$BB$55,3,),IF(AND(I799="TDP",S799&lt;=150),VLOOKUP(AF799,TPCalibEq150!$AZ$2:$BB$55,3,)))</f>
        <v>y=-1.7779x2+83.185x-35.938</v>
      </c>
      <c r="AR799" s="10" t="str">
        <f>IF(AND(I799="TP",S799&lt;=300),VLOOKUP(AF799,TPCalibEq300!$AZ$2:$BB$55,3,),IF(AND(I799="TDP",S799&lt;=300),VLOOKUP(AF799,TPCalibEq300!$AZ$2:$BB$55,3,)))</f>
        <v>y=-2.8628x2+86.116x-37.286</v>
      </c>
      <c r="AS799" s="10" t="str">
        <f>IF(AND(I799="TP",S799&lt;=500),VLOOKUP(AF799,TPCalibEq500!$AZ$2:$BB$56,3,),IF(AND(I799="TDP",S799&lt;=500),VLOOKUP(AF799,TPCalibEq500!$AZ$2:$BB$56,3,)))</f>
        <v>y=-0.232x2+72.802x-30.279</v>
      </c>
      <c r="AT799" s="10" t="b">
        <f>IF(AND(I799="TN",S799&lt;=2800),VLOOKUP(AF799,TNCalibEq2500!$AZ$2:$BB$56,3,),IF(AND(I799="TDN",S799&lt;=2800),VLOOKUP(AF799,TNCalibEq2500!$AZ$2:$BB$56,3,)))</f>
        <v>0</v>
      </c>
      <c r="AU799" s="10" t="str">
        <f>IF(I799="TP",VLOOKUP(AF799,TPCalibEqFull!$AZ$2:$BB$56,3),IF(I799="TDP",VLOOKUP(AF799,TPCalibEqFull!$AZ$2:$BB$56,3),IF(I799="TDN",VLOOKUP(AF799,TNCalibEqFull!$AZ$1:$BB$56,3),IF(I799="TN",VLOOKUP(AF799,TNCalibEqFull!$AZ$1:$BB$56,3),FALSE))))</f>
        <v>y=0x2+67.076x-21.654</v>
      </c>
      <c r="AV799" s="10" t="str">
        <f t="shared" si="90"/>
        <v>0105 10:49:00-HST-0-FIL-1-SW-UKN</v>
      </c>
    </row>
    <row r="800" spans="1:48" s="10" customFormat="1" x14ac:dyDescent="0.55000000000000004">
      <c r="A800" s="32">
        <v>44932</v>
      </c>
      <c r="B800" s="33">
        <v>0.53333333333333333</v>
      </c>
      <c r="C800" s="10" t="s">
        <v>279</v>
      </c>
      <c r="D800" s="10">
        <v>0</v>
      </c>
      <c r="E800" s="10" t="s">
        <v>911</v>
      </c>
      <c r="F800" s="10">
        <v>1</v>
      </c>
      <c r="G800" s="10" t="s">
        <v>231</v>
      </c>
      <c r="H800" s="10" t="s">
        <v>322</v>
      </c>
      <c r="I800" s="10" t="s">
        <v>266</v>
      </c>
      <c r="J800" s="10">
        <v>109</v>
      </c>
      <c r="K800" s="12">
        <v>44937</v>
      </c>
      <c r="L800" s="33">
        <v>0.64254629629629634</v>
      </c>
      <c r="M800" s="10">
        <v>1</v>
      </c>
      <c r="N800" s="10" t="s">
        <v>84</v>
      </c>
      <c r="O800" s="10">
        <v>1.43</v>
      </c>
      <c r="P800" s="10">
        <v>0.1</v>
      </c>
      <c r="Q800" s="10">
        <v>74.8</v>
      </c>
      <c r="R800" s="10" t="s">
        <v>85</v>
      </c>
      <c r="S800" s="34">
        <f t="shared" si="86"/>
        <v>80.005740279999998</v>
      </c>
      <c r="T800" s="10" t="s">
        <v>1035</v>
      </c>
      <c r="U800" s="34" t="str">
        <f t="shared" si="87"/>
        <v/>
      </c>
      <c r="V800" s="31" t="str">
        <f>IF(H800="CHK",VLOOKUP(I800,QCCHK,3,),IF(H800="GUP",VLOOKUP(E800,QCGUP,2,),IF(AND(H800="ATP",OR(I800="TN",I800="TDN",I800="TNO2-3",I800="NO2-3")),VLOOKUP(E800,QCREC_N,2,),IF(AND(H800="NIC",OR(I800="TN",I800="TDN",I800="TNO2-3",I800="NO2-3")),VLOOKUP(E800,QCNIC_N,2,),IF(AND(H800="UREA",OR(I800="TN",I800="TDN",I800="TNO2-3",I800="NO2-3")),VLOOKUP(E800,QCUREA_N,2,),IF(H800="PER",VLOOKUP(I800,QCPER,MATCH(E800,QCACTUAL!$J$25:$AA$25,0),),IF(H800="SPK",VLOOKUP(I800,QCSPK,3,),IF(AND(H800="ATP",OR(I800="TP",I800="TDP")),VLOOKUP(E800,QCATP_P,2,),""))))))))</f>
        <v/>
      </c>
      <c r="W800" s="31" t="str">
        <f t="shared" si="88"/>
        <v>TRUE</v>
      </c>
      <c r="X800" s="31" t="str">
        <f t="shared" si="89"/>
        <v/>
      </c>
      <c r="Y800" s="10" t="s">
        <v>1021</v>
      </c>
      <c r="Z800" s="10" t="s">
        <v>910</v>
      </c>
      <c r="AF800" s="12">
        <v>44937</v>
      </c>
      <c r="AG800" s="10">
        <f>-1.7779*1.43^2+83.185*1.43-35.938</f>
        <v>79.380922290000001</v>
      </c>
      <c r="AH800" s="10">
        <f>-2.8628*1.43^2+86.116*1.43-37.286</f>
        <v>80.005740279999998</v>
      </c>
      <c r="AI800" s="10">
        <f>-0.232*1.43^2+72.802*1.43-30.279</f>
        <v>73.353443200000015</v>
      </c>
      <c r="AK800" s="10">
        <f>0*1.43^2+67.076*1.43-21.654</f>
        <v>74.264679999999984</v>
      </c>
      <c r="AL800" s="10" t="str">
        <f t="shared" si="91"/>
        <v>y=-1.7779*1.43^2+83.185*1.43-35.938</v>
      </c>
      <c r="AM800" s="10" t="str">
        <f t="shared" si="91"/>
        <v>y=-2.8628*1.43^2+86.116*1.43-37.286</v>
      </c>
      <c r="AN800" s="10" t="str">
        <f t="shared" si="91"/>
        <v>y=-0.232*1.43^2+72.802*1.43-30.279</v>
      </c>
      <c r="AO800" s="10" t="str">
        <f t="shared" si="92"/>
        <v>FALSE</v>
      </c>
      <c r="AP800" s="10" t="str">
        <f t="shared" si="92"/>
        <v>y=0*1.43^2+67.076*1.43-21.654</v>
      </c>
      <c r="AQ800" s="10" t="str">
        <f>IF(AND(I800="TP",S800&lt;=150),VLOOKUP(AF800,TPCalibEq150!$AZ$2:$BB$55,3,),IF(AND(I800="TDP",S800&lt;=150),VLOOKUP(AF800,TPCalibEq150!$AZ$2:$BB$55,3,)))</f>
        <v>y=-1.7779x2+83.185x-35.938</v>
      </c>
      <c r="AR800" s="10" t="str">
        <f>IF(AND(I800="TP",S800&lt;=300),VLOOKUP(AF800,TPCalibEq300!$AZ$2:$BB$55,3,),IF(AND(I800="TDP",S800&lt;=300),VLOOKUP(AF800,TPCalibEq300!$AZ$2:$BB$55,3,)))</f>
        <v>y=-2.8628x2+86.116x-37.286</v>
      </c>
      <c r="AS800" s="10" t="str">
        <f>IF(AND(I800="TP",S800&lt;=500),VLOOKUP(AF800,TPCalibEq500!$AZ$2:$BB$56,3,),IF(AND(I800="TDP",S800&lt;=500),VLOOKUP(AF800,TPCalibEq500!$AZ$2:$BB$56,3,)))</f>
        <v>y=-0.232x2+72.802x-30.279</v>
      </c>
      <c r="AT800" s="10" t="b">
        <f>IF(AND(I800="TN",S800&lt;=2800),VLOOKUP(AF800,TNCalibEq2500!$AZ$2:$BB$56,3,),IF(AND(I800="TDN",S800&lt;=2800),VLOOKUP(AF800,TNCalibEq2500!$AZ$2:$BB$56,3,)))</f>
        <v>0</v>
      </c>
      <c r="AU800" s="10" t="str">
        <f>IF(I800="TP",VLOOKUP(AF800,TPCalibEqFull!$AZ$2:$BB$56,3),IF(I800="TDP",VLOOKUP(AF800,TPCalibEqFull!$AZ$2:$BB$56,3),IF(I800="TDN",VLOOKUP(AF800,TNCalibEqFull!$AZ$1:$BB$56,3),IF(I800="TN",VLOOKUP(AF800,TNCalibEqFull!$AZ$1:$BB$56,3),FALSE))))</f>
        <v>y=0x2+67.076x-21.654</v>
      </c>
      <c r="AV800" s="10" t="str">
        <f t="shared" si="90"/>
        <v>0106 12:48:00-EFK-0-FIL-1-SW-UKN</v>
      </c>
    </row>
    <row r="801" spans="1:48" s="10" customFormat="1" x14ac:dyDescent="0.55000000000000004">
      <c r="A801" s="32">
        <v>44932</v>
      </c>
      <c r="B801" s="33">
        <v>0.52430555555555558</v>
      </c>
      <c r="C801" s="10" t="s">
        <v>333</v>
      </c>
      <c r="D801" s="10">
        <v>0</v>
      </c>
      <c r="E801" s="10" t="s">
        <v>911</v>
      </c>
      <c r="F801" s="10">
        <v>1</v>
      </c>
      <c r="G801" s="10" t="s">
        <v>231</v>
      </c>
      <c r="H801" s="10" t="s">
        <v>322</v>
      </c>
      <c r="I801" s="10" t="s">
        <v>266</v>
      </c>
      <c r="J801" s="10">
        <v>110</v>
      </c>
      <c r="K801" s="12">
        <v>44937</v>
      </c>
      <c r="L801" s="33">
        <v>0.64325231481481482</v>
      </c>
      <c r="M801" s="10">
        <v>1</v>
      </c>
      <c r="N801" s="10" t="s">
        <v>84</v>
      </c>
      <c r="O801" s="10">
        <v>2.59</v>
      </c>
      <c r="P801" s="10">
        <v>0.182</v>
      </c>
      <c r="Q801" s="10">
        <v>151</v>
      </c>
      <c r="R801" s="10" t="s">
        <v>85</v>
      </c>
      <c r="S801" s="34">
        <f t="shared" si="86"/>
        <v>166.55049131999999</v>
      </c>
      <c r="T801" s="10" t="s">
        <v>1035</v>
      </c>
      <c r="U801" s="34" t="str">
        <f t="shared" si="87"/>
        <v/>
      </c>
      <c r="V801" s="31" t="str">
        <f>IF(H801="CHK",VLOOKUP(I801,QCCHK,3,),IF(H801="GUP",VLOOKUP(E801,QCGUP,2,),IF(AND(H801="ATP",OR(I801="TN",I801="TDN",I801="TNO2-3",I801="NO2-3")),VLOOKUP(E801,QCREC_N,2,),IF(AND(H801="NIC",OR(I801="TN",I801="TDN",I801="TNO2-3",I801="NO2-3")),VLOOKUP(E801,QCNIC_N,2,),IF(AND(H801="UREA",OR(I801="TN",I801="TDN",I801="TNO2-3",I801="NO2-3")),VLOOKUP(E801,QCUREA_N,2,),IF(H801="PER",VLOOKUP(I801,QCPER,MATCH(E801,QCACTUAL!$J$25:$AA$25,0),),IF(H801="SPK",VLOOKUP(I801,QCSPK,3,),IF(AND(H801="ATP",OR(I801="TP",I801="TDP")),VLOOKUP(E801,QCATP_P,2,),""))))))))</f>
        <v/>
      </c>
      <c r="W801" s="31" t="str">
        <f t="shared" si="88"/>
        <v>TRUE</v>
      </c>
      <c r="X801" s="31" t="str">
        <f t="shared" si="89"/>
        <v/>
      </c>
      <c r="Y801" s="10" t="s">
        <v>1021</v>
      </c>
      <c r="Z801" s="10" t="s">
        <v>910</v>
      </c>
      <c r="AF801" s="12">
        <v>44937</v>
      </c>
      <c r="AH801" s="10">
        <f>-2.8628*2.59^2+86.116*2.59-37.286</f>
        <v>166.55049131999999</v>
      </c>
      <c r="AI801" s="10">
        <f>-0.232*2.59^2+72.802*2.59-30.279</f>
        <v>156.72190080000001</v>
      </c>
      <c r="AK801" s="10">
        <f>0*2.59^2+67.076*2.59-21.654</f>
        <v>152.07283999999999</v>
      </c>
      <c r="AL801" s="10" t="str">
        <f t="shared" si="91"/>
        <v>FALSE</v>
      </c>
      <c r="AM801" s="10" t="str">
        <f t="shared" si="91"/>
        <v>y=-2.8628*2.59^2+86.116*2.59-37.286</v>
      </c>
      <c r="AN801" s="10" t="str">
        <f t="shared" si="91"/>
        <v>y=-0.232*2.59^2+72.802*2.59-30.279</v>
      </c>
      <c r="AO801" s="10" t="str">
        <f t="shared" si="92"/>
        <v>FALSE</v>
      </c>
      <c r="AP801" s="10" t="str">
        <f t="shared" si="92"/>
        <v>y=0*2.59^2+67.076*2.59-21.654</v>
      </c>
      <c r="AQ801" s="10" t="b">
        <f>IF(AND(I801="TP",S801&lt;=150),VLOOKUP(AF801,TPCalibEq150!$AZ$2:$BB$55,3,),IF(AND(I801="TDP",S801&lt;=150),VLOOKUP(AF801,TPCalibEq150!$AZ$2:$BB$55,3,)))</f>
        <v>0</v>
      </c>
      <c r="AR801" s="10" t="str">
        <f>IF(AND(I801="TP",S801&lt;=300),VLOOKUP(AF801,TPCalibEq300!$AZ$2:$BB$55,3,),IF(AND(I801="TDP",S801&lt;=300),VLOOKUP(AF801,TPCalibEq300!$AZ$2:$BB$55,3,)))</f>
        <v>y=-2.8628x2+86.116x-37.286</v>
      </c>
      <c r="AS801" s="10" t="str">
        <f>IF(AND(I801="TP",S801&lt;=500),VLOOKUP(AF801,TPCalibEq500!$AZ$2:$BB$56,3,),IF(AND(I801="TDP",S801&lt;=500),VLOOKUP(AF801,TPCalibEq500!$AZ$2:$BB$56,3,)))</f>
        <v>y=-0.232x2+72.802x-30.279</v>
      </c>
      <c r="AT801" s="10" t="b">
        <f>IF(AND(I801="TN",S801&lt;=2800),VLOOKUP(AF801,TNCalibEq2500!$AZ$2:$BB$56,3,),IF(AND(I801="TDN",S801&lt;=2800),VLOOKUP(AF801,TNCalibEq2500!$AZ$2:$BB$56,3,)))</f>
        <v>0</v>
      </c>
      <c r="AU801" s="10" t="str">
        <f>IF(I801="TP",VLOOKUP(AF801,TPCalibEqFull!$AZ$2:$BB$56,3),IF(I801="TDP",VLOOKUP(AF801,TPCalibEqFull!$AZ$2:$BB$56,3),IF(I801="TDN",VLOOKUP(AF801,TNCalibEqFull!$AZ$1:$BB$56,3),IF(I801="TN",VLOOKUP(AF801,TNCalibEqFull!$AZ$1:$BB$56,3),FALSE))))</f>
        <v>y=0x2+67.076x-21.654</v>
      </c>
      <c r="AV801" s="10" t="str">
        <f t="shared" si="90"/>
        <v>0106 12:35:00-HST-0-FIL-1-SW-UKN</v>
      </c>
    </row>
    <row r="802" spans="1:48" s="10" customFormat="1" x14ac:dyDescent="0.55000000000000004">
      <c r="A802" s="32">
        <v>44935</v>
      </c>
      <c r="B802" s="33">
        <v>0.39166666666666666</v>
      </c>
      <c r="C802" s="10" t="s">
        <v>279</v>
      </c>
      <c r="D802" s="10">
        <v>0</v>
      </c>
      <c r="E802" s="10" t="s">
        <v>911</v>
      </c>
      <c r="F802" s="10">
        <v>1</v>
      </c>
      <c r="G802" s="10" t="s">
        <v>231</v>
      </c>
      <c r="H802" s="10" t="s">
        <v>322</v>
      </c>
      <c r="I802" s="10" t="s">
        <v>266</v>
      </c>
      <c r="J802" s="10">
        <v>111</v>
      </c>
      <c r="K802" s="12">
        <v>44937</v>
      </c>
      <c r="L802" s="33">
        <v>0.64394675925925926</v>
      </c>
      <c r="M802" s="10">
        <v>1</v>
      </c>
      <c r="N802" s="10" t="s">
        <v>84</v>
      </c>
      <c r="O802" s="10">
        <v>1.21</v>
      </c>
      <c r="P802" s="10">
        <v>8.3199999999999996E-2</v>
      </c>
      <c r="Q802" s="10">
        <v>60.5</v>
      </c>
      <c r="R802" s="10" t="s">
        <v>85</v>
      </c>
      <c r="S802" s="34">
        <f t="shared" si="86"/>
        <v>62.722934519999995</v>
      </c>
      <c r="T802" s="10" t="s">
        <v>1035</v>
      </c>
      <c r="U802" s="34" t="str">
        <f t="shared" si="87"/>
        <v/>
      </c>
      <c r="V802" s="31" t="str">
        <f>IF(H802="CHK",VLOOKUP(I802,QCCHK,3,),IF(H802="GUP",VLOOKUP(E802,QCGUP,2,),IF(AND(H802="ATP",OR(I802="TN",I802="TDN",I802="TNO2-3",I802="NO2-3")),VLOOKUP(E802,QCREC_N,2,),IF(AND(H802="NIC",OR(I802="TN",I802="TDN",I802="TNO2-3",I802="NO2-3")),VLOOKUP(E802,QCNIC_N,2,),IF(AND(H802="UREA",OR(I802="TN",I802="TDN",I802="TNO2-3",I802="NO2-3")),VLOOKUP(E802,QCUREA_N,2,),IF(H802="PER",VLOOKUP(I802,QCPER,MATCH(E802,QCACTUAL!$J$25:$AA$25,0),),IF(H802="SPK",VLOOKUP(I802,QCSPK,3,),IF(AND(H802="ATP",OR(I802="TP",I802="TDP")),VLOOKUP(E802,QCATP_P,2,),""))))))))</f>
        <v/>
      </c>
      <c r="W802" s="31" t="str">
        <f t="shared" si="88"/>
        <v>TRUE</v>
      </c>
      <c r="X802" s="31" t="str">
        <f t="shared" si="89"/>
        <v/>
      </c>
      <c r="Y802" s="10" t="s">
        <v>1021</v>
      </c>
      <c r="Z802" s="10" t="s">
        <v>910</v>
      </c>
      <c r="AF802" s="12">
        <v>44937</v>
      </c>
      <c r="AG802" s="10">
        <f>-1.7779*1.21^2+83.185*1.21-35.938</f>
        <v>62.112826609999999</v>
      </c>
      <c r="AH802" s="10">
        <f>-2.8628*1.21^2+86.116*1.21-37.286</f>
        <v>62.722934519999995</v>
      </c>
      <c r="AI802" s="10">
        <f>-0.232*1.21^2+72.802*1.21-30.279</f>
        <v>57.471748800000015</v>
      </c>
      <c r="AK802" s="10">
        <f>0*1.21^2+67.076*1.21-21.654</f>
        <v>59.507959999999997</v>
      </c>
      <c r="AL802" s="10" t="str">
        <f t="shared" si="91"/>
        <v>y=-1.7779*1.21^2+83.185*1.21-35.938</v>
      </c>
      <c r="AM802" s="10" t="str">
        <f t="shared" si="91"/>
        <v>y=-2.8628*1.21^2+86.116*1.21-37.286</v>
      </c>
      <c r="AN802" s="10" t="str">
        <f t="shared" si="91"/>
        <v>y=-0.232*1.21^2+72.802*1.21-30.279</v>
      </c>
      <c r="AO802" s="10" t="str">
        <f t="shared" si="92"/>
        <v>FALSE</v>
      </c>
      <c r="AP802" s="10" t="str">
        <f t="shared" si="92"/>
        <v>y=0*1.21^2+67.076*1.21-21.654</v>
      </c>
      <c r="AQ802" s="10" t="str">
        <f>IF(AND(I802="TP",S802&lt;=150),VLOOKUP(AF802,TPCalibEq150!$AZ$2:$BB$55,3,),IF(AND(I802="TDP",S802&lt;=150),VLOOKUP(AF802,TPCalibEq150!$AZ$2:$BB$55,3,)))</f>
        <v>y=-1.7779x2+83.185x-35.938</v>
      </c>
      <c r="AR802" s="10" t="str">
        <f>IF(AND(I802="TP",S802&lt;=300),VLOOKUP(AF802,TPCalibEq300!$AZ$2:$BB$55,3,),IF(AND(I802="TDP",S802&lt;=300),VLOOKUP(AF802,TPCalibEq300!$AZ$2:$BB$55,3,)))</f>
        <v>y=-2.8628x2+86.116x-37.286</v>
      </c>
      <c r="AS802" s="10" t="str">
        <f>IF(AND(I802="TP",S802&lt;=500),VLOOKUP(AF802,TPCalibEq500!$AZ$2:$BB$56,3,),IF(AND(I802="TDP",S802&lt;=500),VLOOKUP(AF802,TPCalibEq500!$AZ$2:$BB$56,3,)))</f>
        <v>y=-0.232x2+72.802x-30.279</v>
      </c>
      <c r="AT802" s="10" t="b">
        <f>IF(AND(I802="TN",S802&lt;=2800),VLOOKUP(AF802,TNCalibEq2500!$AZ$2:$BB$56,3,),IF(AND(I802="TDN",S802&lt;=2800),VLOOKUP(AF802,TNCalibEq2500!$AZ$2:$BB$56,3,)))</f>
        <v>0</v>
      </c>
      <c r="AU802" s="10" t="str">
        <f>IF(I802="TP",VLOOKUP(AF802,TPCalibEqFull!$AZ$2:$BB$56,3),IF(I802="TDP",VLOOKUP(AF802,TPCalibEqFull!$AZ$2:$BB$56,3),IF(I802="TDN",VLOOKUP(AF802,TNCalibEqFull!$AZ$1:$BB$56,3),IF(I802="TN",VLOOKUP(AF802,TNCalibEqFull!$AZ$1:$BB$56,3),FALSE))))</f>
        <v>y=0x2+67.076x-21.654</v>
      </c>
      <c r="AV802" s="10" t="str">
        <f t="shared" si="90"/>
        <v>0109 09:24:00-EFK-0-FIL-1-SW-UKN</v>
      </c>
    </row>
    <row r="803" spans="1:48" s="10" customFormat="1" x14ac:dyDescent="0.55000000000000004">
      <c r="A803" s="32">
        <v>44935</v>
      </c>
      <c r="B803" s="33">
        <v>0.30208333333333331</v>
      </c>
      <c r="C803" s="10" t="s">
        <v>333</v>
      </c>
      <c r="D803" s="10">
        <v>0</v>
      </c>
      <c r="E803" s="10" t="s">
        <v>911</v>
      </c>
      <c r="F803" s="10">
        <v>1</v>
      </c>
      <c r="G803" s="10" t="s">
        <v>231</v>
      </c>
      <c r="H803" s="10" t="s">
        <v>322</v>
      </c>
      <c r="I803" s="10" t="s">
        <v>266</v>
      </c>
      <c r="J803" s="10">
        <v>112</v>
      </c>
      <c r="K803" s="12">
        <v>44937</v>
      </c>
      <c r="L803" s="33">
        <v>0.6446412037037037</v>
      </c>
      <c r="M803" s="10">
        <v>1</v>
      </c>
      <c r="N803" s="10" t="s">
        <v>84</v>
      </c>
      <c r="O803" s="10">
        <v>1.41</v>
      </c>
      <c r="P803" s="10">
        <v>9.7799999999999998E-2</v>
      </c>
      <c r="Q803" s="10">
        <v>73.400000000000006</v>
      </c>
      <c r="R803" s="10" t="s">
        <v>85</v>
      </c>
      <c r="S803" s="34">
        <f t="shared" si="86"/>
        <v>78.446027319999999</v>
      </c>
      <c r="T803" s="10" t="s">
        <v>1035</v>
      </c>
      <c r="U803" s="34" t="str">
        <f t="shared" si="87"/>
        <v/>
      </c>
      <c r="V803" s="31" t="str">
        <f>IF(H803="CHK",VLOOKUP(I803,QCCHK,3,),IF(H803="GUP",VLOOKUP(E803,QCGUP,2,),IF(AND(H803="ATP",OR(I803="TN",I803="TDN",I803="TNO2-3",I803="NO2-3")),VLOOKUP(E803,QCREC_N,2,),IF(AND(H803="NIC",OR(I803="TN",I803="TDN",I803="TNO2-3",I803="NO2-3")),VLOOKUP(E803,QCNIC_N,2,),IF(AND(H803="UREA",OR(I803="TN",I803="TDN",I803="TNO2-3",I803="NO2-3")),VLOOKUP(E803,QCUREA_N,2,),IF(H803="PER",VLOOKUP(I803,QCPER,MATCH(E803,QCACTUAL!$J$25:$AA$25,0),),IF(H803="SPK",VLOOKUP(I803,QCSPK,3,),IF(AND(H803="ATP",OR(I803="TP",I803="TDP")),VLOOKUP(E803,QCATP_P,2,),""))))))))</f>
        <v/>
      </c>
      <c r="W803" s="31" t="str">
        <f t="shared" si="88"/>
        <v>TRUE</v>
      </c>
      <c r="X803" s="31" t="str">
        <f t="shared" si="89"/>
        <v/>
      </c>
      <c r="Y803" s="10" t="s">
        <v>1021</v>
      </c>
      <c r="Z803" s="10" t="s">
        <v>910</v>
      </c>
      <c r="AF803" s="12">
        <v>44937</v>
      </c>
      <c r="AG803" s="10">
        <f>-1.7779*1.41^2+83.185*1.41-35.938</f>
        <v>77.818207009999995</v>
      </c>
      <c r="AH803" s="10">
        <f>-2.8628*1.41^2+86.116*1.41-37.286</f>
        <v>78.446027319999999</v>
      </c>
      <c r="AI803" s="10">
        <f>-0.232*1.41^2+72.802*1.41-30.279</f>
        <v>71.91058080000002</v>
      </c>
      <c r="AK803" s="10">
        <f>0*1.41^2+67.076*1.41-21.654</f>
        <v>72.923159999999996</v>
      </c>
      <c r="AL803" s="10" t="str">
        <f t="shared" si="91"/>
        <v>y=-1.7779*1.41^2+83.185*1.41-35.938</v>
      </c>
      <c r="AM803" s="10" t="str">
        <f t="shared" si="91"/>
        <v>y=-2.8628*1.41^2+86.116*1.41-37.286</v>
      </c>
      <c r="AN803" s="10" t="str">
        <f t="shared" si="91"/>
        <v>y=-0.232*1.41^2+72.802*1.41-30.279</v>
      </c>
      <c r="AO803" s="10" t="str">
        <f t="shared" si="92"/>
        <v>FALSE</v>
      </c>
      <c r="AP803" s="10" t="str">
        <f t="shared" si="92"/>
        <v>y=0*1.41^2+67.076*1.41-21.654</v>
      </c>
      <c r="AQ803" s="10" t="str">
        <f>IF(AND(I803="TP",S803&lt;=150),VLOOKUP(AF803,TPCalibEq150!$AZ$2:$BB$55,3,),IF(AND(I803="TDP",S803&lt;=150),VLOOKUP(AF803,TPCalibEq150!$AZ$2:$BB$55,3,)))</f>
        <v>y=-1.7779x2+83.185x-35.938</v>
      </c>
      <c r="AR803" s="10" t="str">
        <f>IF(AND(I803="TP",S803&lt;=300),VLOOKUP(AF803,TPCalibEq300!$AZ$2:$BB$55,3,),IF(AND(I803="TDP",S803&lt;=300),VLOOKUP(AF803,TPCalibEq300!$AZ$2:$BB$55,3,)))</f>
        <v>y=-2.8628x2+86.116x-37.286</v>
      </c>
      <c r="AS803" s="10" t="str">
        <f>IF(AND(I803="TP",S803&lt;=500),VLOOKUP(AF803,TPCalibEq500!$AZ$2:$BB$56,3,),IF(AND(I803="TDP",S803&lt;=500),VLOOKUP(AF803,TPCalibEq500!$AZ$2:$BB$56,3,)))</f>
        <v>y=-0.232x2+72.802x-30.279</v>
      </c>
      <c r="AT803" s="10" t="b">
        <f>IF(AND(I803="TN",S803&lt;=2800),VLOOKUP(AF803,TNCalibEq2500!$AZ$2:$BB$56,3,),IF(AND(I803="TDN",S803&lt;=2800),VLOOKUP(AF803,TNCalibEq2500!$AZ$2:$BB$56,3,)))</f>
        <v>0</v>
      </c>
      <c r="AU803" s="10" t="str">
        <f>IF(I803="TP",VLOOKUP(AF803,TPCalibEqFull!$AZ$2:$BB$56,3),IF(I803="TDP",VLOOKUP(AF803,TPCalibEqFull!$AZ$2:$BB$56,3),IF(I803="TDN",VLOOKUP(AF803,TNCalibEqFull!$AZ$1:$BB$56,3),IF(I803="TN",VLOOKUP(AF803,TNCalibEqFull!$AZ$1:$BB$56,3),FALSE))))</f>
        <v>y=0x2+67.076x-21.654</v>
      </c>
      <c r="AV803" s="10" t="str">
        <f t="shared" si="90"/>
        <v>0109 07:15:00-HST-0-FIL-1-SW-UKN</v>
      </c>
    </row>
    <row r="804" spans="1:48" s="10" customFormat="1" x14ac:dyDescent="0.55000000000000004">
      <c r="A804" s="32">
        <v>44936</v>
      </c>
      <c r="B804" s="33">
        <v>0.39166666666666666</v>
      </c>
      <c r="C804" s="10" t="s">
        <v>279</v>
      </c>
      <c r="D804" s="10">
        <v>0</v>
      </c>
      <c r="E804" s="10" t="s">
        <v>911</v>
      </c>
      <c r="F804" s="10">
        <v>1</v>
      </c>
      <c r="G804" s="10" t="s">
        <v>231</v>
      </c>
      <c r="H804" s="10" t="s">
        <v>322</v>
      </c>
      <c r="I804" s="10" t="s">
        <v>266</v>
      </c>
      <c r="J804" s="10">
        <v>113</v>
      </c>
      <c r="K804" s="12">
        <v>44937</v>
      </c>
      <c r="L804" s="33">
        <v>0.64534722222222218</v>
      </c>
      <c r="M804" s="10">
        <v>1</v>
      </c>
      <c r="N804" s="10" t="s">
        <v>84</v>
      </c>
      <c r="O804" s="10">
        <v>1.6</v>
      </c>
      <c r="P804" s="10">
        <v>0.111</v>
      </c>
      <c r="Q804" s="10">
        <v>85.8</v>
      </c>
      <c r="R804" s="10" t="s">
        <v>85</v>
      </c>
      <c r="S804" s="34">
        <f t="shared" si="86"/>
        <v>93.170832000000019</v>
      </c>
      <c r="T804" s="10" t="s">
        <v>1035</v>
      </c>
      <c r="U804" s="34" t="str">
        <f t="shared" si="87"/>
        <v/>
      </c>
      <c r="V804" s="31" t="str">
        <f>IF(H804="CHK",VLOOKUP(I804,QCCHK,3,),IF(H804="GUP",VLOOKUP(E804,QCGUP,2,),IF(AND(H804="ATP",OR(I804="TN",I804="TDN",I804="TNO2-3",I804="NO2-3")),VLOOKUP(E804,QCREC_N,2,),IF(AND(H804="NIC",OR(I804="TN",I804="TDN",I804="TNO2-3",I804="NO2-3")),VLOOKUP(E804,QCNIC_N,2,),IF(AND(H804="UREA",OR(I804="TN",I804="TDN",I804="TNO2-3",I804="NO2-3")),VLOOKUP(E804,QCUREA_N,2,),IF(H804="PER",VLOOKUP(I804,QCPER,MATCH(E804,QCACTUAL!$J$25:$AA$25,0),),IF(H804="SPK",VLOOKUP(I804,QCSPK,3,),IF(AND(H804="ATP",OR(I804="TP",I804="TDP")),VLOOKUP(E804,QCATP_P,2,),""))))))))</f>
        <v/>
      </c>
      <c r="W804" s="31" t="str">
        <f t="shared" si="88"/>
        <v>TRUE</v>
      </c>
      <c r="X804" s="31" t="str">
        <f t="shared" si="89"/>
        <v/>
      </c>
      <c r="Y804" s="10" t="s">
        <v>1021</v>
      </c>
      <c r="AF804" s="12">
        <v>44937</v>
      </c>
      <c r="AG804" s="10">
        <f>-1.7779*1.6^2+83.185*1.6-35.938</f>
        <v>92.606576000000004</v>
      </c>
      <c r="AH804" s="10">
        <f>-2.8628*1.6^2+86.116*1.6-37.286</f>
        <v>93.170832000000019</v>
      </c>
      <c r="AI804" s="10">
        <f>-0.232*1.6^2+72.802*1.6-30.279</f>
        <v>85.610280000000017</v>
      </c>
      <c r="AK804" s="10">
        <f>0*1.6^2+67.076*1.6-21.654</f>
        <v>85.667599999999993</v>
      </c>
      <c r="AL804" s="10" t="str">
        <f t="shared" si="91"/>
        <v>y=-1.7779*1.6^2+83.185*1.6-35.938</v>
      </c>
      <c r="AM804" s="10" t="str">
        <f t="shared" si="91"/>
        <v>y=-2.8628*1.6^2+86.116*1.6-37.286</v>
      </c>
      <c r="AN804" s="10" t="str">
        <f t="shared" si="91"/>
        <v>y=-0.232*1.6^2+72.802*1.6-30.279</v>
      </c>
      <c r="AO804" s="10" t="str">
        <f t="shared" si="92"/>
        <v>FALSE</v>
      </c>
      <c r="AP804" s="10" t="str">
        <f t="shared" si="92"/>
        <v>y=0*1.6^2+67.076*1.6-21.654</v>
      </c>
      <c r="AQ804" s="10" t="str">
        <f>IF(AND(I804="TP",S804&lt;=150),VLOOKUP(AF804,TPCalibEq150!$AZ$2:$BB$55,3,),IF(AND(I804="TDP",S804&lt;=150),VLOOKUP(AF804,TPCalibEq150!$AZ$2:$BB$55,3,)))</f>
        <v>y=-1.7779x2+83.185x-35.938</v>
      </c>
      <c r="AR804" s="10" t="str">
        <f>IF(AND(I804="TP",S804&lt;=300),VLOOKUP(AF804,TPCalibEq300!$AZ$2:$BB$55,3,),IF(AND(I804="TDP",S804&lt;=300),VLOOKUP(AF804,TPCalibEq300!$AZ$2:$BB$55,3,)))</f>
        <v>y=-2.8628x2+86.116x-37.286</v>
      </c>
      <c r="AS804" s="10" t="str">
        <f>IF(AND(I804="TP",S804&lt;=500),VLOOKUP(AF804,TPCalibEq500!$AZ$2:$BB$56,3,),IF(AND(I804="TDP",S804&lt;=500),VLOOKUP(AF804,TPCalibEq500!$AZ$2:$BB$56,3,)))</f>
        <v>y=-0.232x2+72.802x-30.279</v>
      </c>
      <c r="AT804" s="10" t="b">
        <f>IF(AND(I804="TN",S804&lt;=2800),VLOOKUP(AF804,TNCalibEq2500!$AZ$2:$BB$56,3,),IF(AND(I804="TDN",S804&lt;=2800),VLOOKUP(AF804,TNCalibEq2500!$AZ$2:$BB$56,3,)))</f>
        <v>0</v>
      </c>
      <c r="AU804" s="10" t="str">
        <f>IF(I804="TP",VLOOKUP(AF804,TPCalibEqFull!$AZ$2:$BB$56,3),IF(I804="TDP",VLOOKUP(AF804,TPCalibEqFull!$AZ$2:$BB$56,3),IF(I804="TDN",VLOOKUP(AF804,TNCalibEqFull!$AZ$1:$BB$56,3),IF(I804="TN",VLOOKUP(AF804,TNCalibEqFull!$AZ$1:$BB$56,3),FALSE))))</f>
        <v>y=0x2+67.076x-21.654</v>
      </c>
      <c r="AV804" s="10" t="str">
        <f t="shared" si="90"/>
        <v>0110 09:24:00-EFK-0-FIL-1-SW-UKN</v>
      </c>
    </row>
    <row r="805" spans="1:48" s="10" customFormat="1" x14ac:dyDescent="0.55000000000000004">
      <c r="A805" s="32">
        <v>44936</v>
      </c>
      <c r="B805" s="33">
        <v>0.39583333333333331</v>
      </c>
      <c r="C805" s="10" t="s">
        <v>333</v>
      </c>
      <c r="D805" s="10">
        <v>0</v>
      </c>
      <c r="E805" s="10" t="s">
        <v>911</v>
      </c>
      <c r="F805" s="10">
        <v>1</v>
      </c>
      <c r="G805" s="10" t="s">
        <v>231</v>
      </c>
      <c r="H805" s="10" t="s">
        <v>322</v>
      </c>
      <c r="I805" s="10" t="s">
        <v>266</v>
      </c>
      <c r="J805" s="10">
        <v>114</v>
      </c>
      <c r="K805" s="12">
        <v>44937</v>
      </c>
      <c r="L805" s="33">
        <v>0.64604166666666674</v>
      </c>
      <c r="M805" s="10">
        <v>1</v>
      </c>
      <c r="N805" s="10" t="s">
        <v>84</v>
      </c>
      <c r="O805" s="10">
        <v>1.41</v>
      </c>
      <c r="P805" s="10">
        <v>9.6799999999999997E-2</v>
      </c>
      <c r="Q805" s="10">
        <v>73.7</v>
      </c>
      <c r="R805" s="10" t="s">
        <v>85</v>
      </c>
      <c r="S805" s="34">
        <f t="shared" si="86"/>
        <v>78.446027319999999</v>
      </c>
      <c r="T805" s="10" t="s">
        <v>1035</v>
      </c>
      <c r="U805" s="34" t="str">
        <f t="shared" si="87"/>
        <v/>
      </c>
      <c r="V805" s="31" t="str">
        <f>IF(H805="CHK",VLOOKUP(I805,QCCHK,3,),IF(H805="GUP",VLOOKUP(E805,QCGUP,2,),IF(AND(H805="ATP",OR(I805="TN",I805="TDN",I805="TNO2-3",I805="NO2-3")),VLOOKUP(E805,QCREC_N,2,),IF(AND(H805="NIC",OR(I805="TN",I805="TDN",I805="TNO2-3",I805="NO2-3")),VLOOKUP(E805,QCNIC_N,2,),IF(AND(H805="UREA",OR(I805="TN",I805="TDN",I805="TNO2-3",I805="NO2-3")),VLOOKUP(E805,QCUREA_N,2,),IF(H805="PER",VLOOKUP(I805,QCPER,MATCH(E805,QCACTUAL!$J$25:$AA$25,0),),IF(H805="SPK",VLOOKUP(I805,QCSPK,3,),IF(AND(H805="ATP",OR(I805="TP",I805="TDP")),VLOOKUP(E805,QCATP_P,2,),""))))))))</f>
        <v/>
      </c>
      <c r="W805" s="31" t="str">
        <f t="shared" si="88"/>
        <v>TRUE</v>
      </c>
      <c r="X805" s="31" t="str">
        <f t="shared" si="89"/>
        <v/>
      </c>
      <c r="Y805" s="10" t="s">
        <v>1021</v>
      </c>
      <c r="AF805" s="12">
        <v>44937</v>
      </c>
      <c r="AG805" s="10">
        <f>-1.7779*1.41^2+83.185*1.41-35.938</f>
        <v>77.818207009999995</v>
      </c>
      <c r="AH805" s="10">
        <f>-2.8628*1.41^2+86.116*1.41-37.286</f>
        <v>78.446027319999999</v>
      </c>
      <c r="AI805" s="10">
        <f>-0.232*1.41^2+72.802*1.41-30.279</f>
        <v>71.91058080000002</v>
      </c>
      <c r="AK805" s="10">
        <f>0*1.41^2+67.076*1.41-21.654</f>
        <v>72.923159999999996</v>
      </c>
      <c r="AL805" s="10" t="str">
        <f t="shared" si="91"/>
        <v>y=-1.7779*1.41^2+83.185*1.41-35.938</v>
      </c>
      <c r="AM805" s="10" t="str">
        <f t="shared" si="91"/>
        <v>y=-2.8628*1.41^2+86.116*1.41-37.286</v>
      </c>
      <c r="AN805" s="10" t="str">
        <f t="shared" si="91"/>
        <v>y=-0.232*1.41^2+72.802*1.41-30.279</v>
      </c>
      <c r="AO805" s="10" t="str">
        <f t="shared" si="92"/>
        <v>FALSE</v>
      </c>
      <c r="AP805" s="10" t="str">
        <f t="shared" si="92"/>
        <v>y=0*1.41^2+67.076*1.41-21.654</v>
      </c>
      <c r="AQ805" s="10" t="str">
        <f>IF(AND(I805="TP",S805&lt;=150),VLOOKUP(AF805,TPCalibEq150!$AZ$2:$BB$55,3,),IF(AND(I805="TDP",S805&lt;=150),VLOOKUP(AF805,TPCalibEq150!$AZ$2:$BB$55,3,)))</f>
        <v>y=-1.7779x2+83.185x-35.938</v>
      </c>
      <c r="AR805" s="10" t="str">
        <f>IF(AND(I805="TP",S805&lt;=300),VLOOKUP(AF805,TPCalibEq300!$AZ$2:$BB$55,3,),IF(AND(I805="TDP",S805&lt;=300),VLOOKUP(AF805,TPCalibEq300!$AZ$2:$BB$55,3,)))</f>
        <v>y=-2.8628x2+86.116x-37.286</v>
      </c>
      <c r="AS805" s="10" t="str">
        <f>IF(AND(I805="TP",S805&lt;=500),VLOOKUP(AF805,TPCalibEq500!$AZ$2:$BB$56,3,),IF(AND(I805="TDP",S805&lt;=500),VLOOKUP(AF805,TPCalibEq500!$AZ$2:$BB$56,3,)))</f>
        <v>y=-0.232x2+72.802x-30.279</v>
      </c>
      <c r="AT805" s="10" t="b">
        <f>IF(AND(I805="TN",S805&lt;=2800),VLOOKUP(AF805,TNCalibEq2500!$AZ$2:$BB$56,3,),IF(AND(I805="TDN",S805&lt;=2800),VLOOKUP(AF805,TNCalibEq2500!$AZ$2:$BB$56,3,)))</f>
        <v>0</v>
      </c>
      <c r="AU805" s="10" t="str">
        <f>IF(I805="TP",VLOOKUP(AF805,TPCalibEqFull!$AZ$2:$BB$56,3),IF(I805="TDP",VLOOKUP(AF805,TPCalibEqFull!$AZ$2:$BB$56,3),IF(I805="TDN",VLOOKUP(AF805,TNCalibEqFull!$AZ$1:$BB$56,3),IF(I805="TN",VLOOKUP(AF805,TNCalibEqFull!$AZ$1:$BB$56,3),FALSE))))</f>
        <v>y=0x2+67.076x-21.654</v>
      </c>
      <c r="AV805" s="10" t="str">
        <f t="shared" si="90"/>
        <v>0110 09:30:00-HST-0-FIL-1-SW-UKN</v>
      </c>
    </row>
    <row r="806" spans="1:48" s="10" customFormat="1" x14ac:dyDescent="0.55000000000000004">
      <c r="A806" s="32">
        <v>44936</v>
      </c>
      <c r="B806" s="33">
        <v>0.39583333333333331</v>
      </c>
      <c r="C806" s="10" t="s">
        <v>333</v>
      </c>
      <c r="D806" s="10">
        <v>0</v>
      </c>
      <c r="E806" s="10" t="s">
        <v>911</v>
      </c>
      <c r="F806" s="10">
        <v>1</v>
      </c>
      <c r="G806" s="10" t="s">
        <v>231</v>
      </c>
      <c r="H806" s="10" t="s">
        <v>233</v>
      </c>
      <c r="I806" s="10" t="s">
        <v>266</v>
      </c>
      <c r="J806" s="10">
        <v>114</v>
      </c>
      <c r="K806" s="12">
        <v>44937</v>
      </c>
      <c r="L806" s="33">
        <v>0.64674768518518522</v>
      </c>
      <c r="M806" s="10">
        <v>1</v>
      </c>
      <c r="N806" s="10" t="s">
        <v>84</v>
      </c>
      <c r="O806" s="10">
        <v>1.42</v>
      </c>
      <c r="P806" s="10">
        <v>9.6699999999999994E-2</v>
      </c>
      <c r="Q806" s="10">
        <v>74</v>
      </c>
      <c r="R806" s="10" t="s">
        <v>85</v>
      </c>
      <c r="S806" s="34">
        <f t="shared" si="86"/>
        <v>79.226170079999989</v>
      </c>
      <c r="T806" s="10" t="s">
        <v>1035</v>
      </c>
      <c r="U806" s="34">
        <f t="shared" si="87"/>
        <v>0.98957555341331194</v>
      </c>
      <c r="V806" s="31" t="str">
        <f>IF(H806="CHK",VLOOKUP(I806,QCCHK,3,),IF(H806="GUP",VLOOKUP(E806,QCGUP,2,),IF(AND(H806="ATP",OR(I806="TN",I806="TDN",I806="TNO2-3",I806="NO2-3")),VLOOKUP(E806,QCREC_N,2,),IF(AND(H806="NIC",OR(I806="TN",I806="TDN",I806="TNO2-3",I806="NO2-3")),VLOOKUP(E806,QCNIC_N,2,),IF(AND(H806="UREA",OR(I806="TN",I806="TDN",I806="TNO2-3",I806="NO2-3")),VLOOKUP(E806,QCUREA_N,2,),IF(H806="PER",VLOOKUP(I806,QCPER,MATCH(E806,QCACTUAL!$J$25:$AA$25,0),),IF(H806="SPK",VLOOKUP(I806,QCSPK,3,),IF(AND(H806="ATP",OR(I806="TP",I806="TDP")),VLOOKUP(E806,QCATP_P,2,),""))))))))</f>
        <v/>
      </c>
      <c r="W806" s="31" t="str">
        <f t="shared" si="88"/>
        <v>TRUE</v>
      </c>
      <c r="X806" s="31" t="str">
        <f t="shared" si="89"/>
        <v>((ABS(rep1-rep2))/((rep1+rep2)/2)*100</v>
      </c>
      <c r="Y806" s="10" t="s">
        <v>1021</v>
      </c>
      <c r="AF806" s="12">
        <v>44937</v>
      </c>
      <c r="AG806" s="10">
        <f>-1.7779*1.42^2+83.185*1.42-35.938</f>
        <v>78.599742439999986</v>
      </c>
      <c r="AH806" s="10">
        <f>-2.8628*1.42^2+86.116*1.42-37.286</f>
        <v>79.226170079999989</v>
      </c>
      <c r="AI806" s="10">
        <f>-0.232*1.42^2+72.802*1.42-30.279</f>
        <v>72.632035200000018</v>
      </c>
      <c r="AK806" s="10">
        <f>0*1.42^2+67.076*1.42-21.654</f>
        <v>73.593919999999983</v>
      </c>
      <c r="AL806" s="10" t="str">
        <f t="shared" si="91"/>
        <v>y=-1.7779*1.42^2+83.185*1.42-35.938</v>
      </c>
      <c r="AM806" s="10" t="str">
        <f t="shared" si="91"/>
        <v>y=-2.8628*1.42^2+86.116*1.42-37.286</v>
      </c>
      <c r="AN806" s="10" t="str">
        <f t="shared" si="91"/>
        <v>y=-0.232*1.42^2+72.802*1.42-30.279</v>
      </c>
      <c r="AO806" s="10" t="str">
        <f t="shared" si="92"/>
        <v>FALSE</v>
      </c>
      <c r="AP806" s="10" t="str">
        <f t="shared" si="92"/>
        <v>y=0*1.42^2+67.076*1.42-21.654</v>
      </c>
      <c r="AQ806" s="10" t="str">
        <f>IF(AND(I806="TP",S806&lt;=150),VLOOKUP(AF806,TPCalibEq150!$AZ$2:$BB$55,3,),IF(AND(I806="TDP",S806&lt;=150),VLOOKUP(AF806,TPCalibEq150!$AZ$2:$BB$55,3,)))</f>
        <v>y=-1.7779x2+83.185x-35.938</v>
      </c>
      <c r="AR806" s="10" t="str">
        <f>IF(AND(I806="TP",S806&lt;=300),VLOOKUP(AF806,TPCalibEq300!$AZ$2:$BB$55,3,),IF(AND(I806="TDP",S806&lt;=300),VLOOKUP(AF806,TPCalibEq300!$AZ$2:$BB$55,3,)))</f>
        <v>y=-2.8628x2+86.116x-37.286</v>
      </c>
      <c r="AS806" s="10" t="str">
        <f>IF(AND(I806="TP",S806&lt;=500),VLOOKUP(AF806,TPCalibEq500!$AZ$2:$BB$56,3,),IF(AND(I806="TDP",S806&lt;=500),VLOOKUP(AF806,TPCalibEq500!$AZ$2:$BB$56,3,)))</f>
        <v>y=-0.232x2+72.802x-30.279</v>
      </c>
      <c r="AT806" s="10" t="b">
        <f>IF(AND(I806="TN",S806&lt;=2800),VLOOKUP(AF806,TNCalibEq2500!$AZ$2:$BB$56,3,),IF(AND(I806="TDN",S806&lt;=2800),VLOOKUP(AF806,TNCalibEq2500!$AZ$2:$BB$56,3,)))</f>
        <v>0</v>
      </c>
      <c r="AU806" s="10" t="str">
        <f>IF(I806="TP",VLOOKUP(AF806,TPCalibEqFull!$AZ$2:$BB$56,3),IF(I806="TDP",VLOOKUP(AF806,TPCalibEqFull!$AZ$2:$BB$56,3),IF(I806="TDN",VLOOKUP(AF806,TNCalibEqFull!$AZ$1:$BB$56,3),IF(I806="TN",VLOOKUP(AF806,TNCalibEqFull!$AZ$1:$BB$56,3),FALSE))))</f>
        <v>y=0x2+67.076x-21.654</v>
      </c>
      <c r="AV806" s="10" t="str">
        <f t="shared" si="90"/>
        <v>0110 09:30:00-HST-0-FIL-1-SW-DUP</v>
      </c>
    </row>
    <row r="807" spans="1:48" s="10" customFormat="1" x14ac:dyDescent="0.55000000000000004">
      <c r="A807" s="32">
        <v>44936</v>
      </c>
      <c r="B807" s="33">
        <v>0.39583333333333331</v>
      </c>
      <c r="C807" s="10" t="s">
        <v>912</v>
      </c>
      <c r="D807" s="10">
        <v>0</v>
      </c>
      <c r="E807" s="10" t="s">
        <v>911</v>
      </c>
      <c r="F807" s="10">
        <v>1</v>
      </c>
      <c r="G807" s="10" t="s">
        <v>231</v>
      </c>
      <c r="H807" s="10" t="s">
        <v>314</v>
      </c>
      <c r="I807" s="10" t="s">
        <v>266</v>
      </c>
      <c r="J807" s="10">
        <v>121</v>
      </c>
      <c r="K807" s="12">
        <v>44937</v>
      </c>
      <c r="L807" s="33">
        <v>0.6474537037037037</v>
      </c>
      <c r="M807" s="10">
        <v>1</v>
      </c>
      <c r="N807" s="10" t="s">
        <v>84</v>
      </c>
      <c r="O807" s="10">
        <v>16.2</v>
      </c>
      <c r="P807" s="10">
        <v>1.1499999999999999</v>
      </c>
      <c r="Q807" s="10">
        <v>1060</v>
      </c>
      <c r="R807" s="10" t="s">
        <v>85</v>
      </c>
      <c r="S807" s="34">
        <f t="shared" si="86"/>
        <v>1064.9771999999998</v>
      </c>
      <c r="T807" s="10" t="s">
        <v>1035</v>
      </c>
      <c r="U807" s="34">
        <f t="shared" si="87"/>
        <v>98.575102991999984</v>
      </c>
      <c r="V807" s="31">
        <f>IF(H807="CHK",VLOOKUP(I807,QCCHK,3,),IF(H807="GUP",VLOOKUP(E807,QCGUP,2,),IF(AND(H807="ATP",OR(I807="TN",I807="TDN",I807="TNO2-3",I807="NO2-3")),VLOOKUP(E807,QCREC_N,2,),IF(AND(H807="NIC",OR(I807="TN",I807="TDN",I807="TNO2-3",I807="NO2-3")),VLOOKUP(E807,QCNIC_N,2,),IF(AND(H807="UREA",OR(I807="TN",I807="TDN",I807="TNO2-3",I807="NO2-3")),VLOOKUP(E807,QCUREA_N,2,),IF(H807="PER",VLOOKUP(I807,QCPER,MATCH(E807,QCACTUAL!$J$25:$AA$25,0),),IF(H807="SPK",VLOOKUP(I807,QCSPK,3,),IF(AND(H807="ATP",OR(I807="TP",I807="TDP")),VLOOKUP(E807,QCATP_P,2,),""))))))))</f>
        <v>1000</v>
      </c>
      <c r="W807" s="31" t="str">
        <f t="shared" si="88"/>
        <v>TRUE</v>
      </c>
      <c r="X807" s="31" t="str">
        <f t="shared" si="89"/>
        <v>([spikedunkn]-[unkn])/[spike]*100</v>
      </c>
      <c r="Y807" s="10" t="s">
        <v>1021</v>
      </c>
      <c r="AF807" s="12">
        <v>44937</v>
      </c>
      <c r="AK807" s="10">
        <f>0*16.2^2+67.076*16.2-21.654</f>
        <v>1064.9771999999998</v>
      </c>
      <c r="AL807" s="10" t="str">
        <f t="shared" si="91"/>
        <v>FALSE</v>
      </c>
      <c r="AM807" s="10" t="str">
        <f t="shared" si="91"/>
        <v>FALSE</v>
      </c>
      <c r="AN807" s="10" t="str">
        <f t="shared" si="91"/>
        <v>FALSE</v>
      </c>
      <c r="AO807" s="10" t="str">
        <f t="shared" si="92"/>
        <v>FALSE</v>
      </c>
      <c r="AP807" s="10" t="str">
        <f t="shared" si="92"/>
        <v>y=0*16.2^2+67.076*16.2-21.654</v>
      </c>
      <c r="AQ807" s="10" t="b">
        <f>IF(AND(I807="TP",S807&lt;=150),VLOOKUP(AF807,TPCalibEq150!$AZ$2:$BB$55,3,),IF(AND(I807="TDP",S807&lt;=150),VLOOKUP(AF807,TPCalibEq150!$AZ$2:$BB$55,3,)))</f>
        <v>0</v>
      </c>
      <c r="AR807" s="10" t="b">
        <f>IF(AND(I807="TP",S807&lt;=300),VLOOKUP(AF807,TPCalibEq300!$AZ$2:$BB$55,3,),IF(AND(I807="TDP",S807&lt;=300),VLOOKUP(AF807,TPCalibEq300!$AZ$2:$BB$55,3,)))</f>
        <v>0</v>
      </c>
      <c r="AS807" s="10" t="b">
        <f>IF(AND(I807="TP",S807&lt;=500),VLOOKUP(AF807,TPCalibEq500!$AZ$2:$BB$56,3,),IF(AND(I807="TDP",S807&lt;=500),VLOOKUP(AF807,TPCalibEq500!$AZ$2:$BB$56,3,)))</f>
        <v>0</v>
      </c>
      <c r="AT807" s="10" t="b">
        <f>IF(AND(I807="TN",S807&lt;=2800),VLOOKUP(AF807,TNCalibEq2500!$AZ$2:$BB$56,3,),IF(AND(I807="TDN",S807&lt;=2800),VLOOKUP(AF807,TNCalibEq2500!$AZ$2:$BB$56,3,)))</f>
        <v>0</v>
      </c>
      <c r="AU807" s="10" t="str">
        <f>IF(I807="TP",VLOOKUP(AF807,TPCalibEqFull!$AZ$2:$BB$56,3),IF(I807="TDP",VLOOKUP(AF807,TPCalibEqFull!$AZ$2:$BB$56,3),IF(I807="TDN",VLOOKUP(AF807,TNCalibEqFull!$AZ$1:$BB$56,3),IF(I807="TN",VLOOKUP(AF807,TNCalibEqFull!$AZ$1:$BB$56,3),FALSE))))</f>
        <v>y=0x2+67.076x-21.654</v>
      </c>
      <c r="AV807" s="10" t="str">
        <f t="shared" si="90"/>
        <v>0110 09:30:00-HST -0-FIL-1-SW-SPK</v>
      </c>
    </row>
    <row r="808" spans="1:48" s="10" customFormat="1" x14ac:dyDescent="0.55000000000000004">
      <c r="A808" s="32">
        <v>44937</v>
      </c>
      <c r="B808" s="33">
        <v>0.375</v>
      </c>
      <c r="C808" s="10" t="s">
        <v>70</v>
      </c>
      <c r="D808" s="10" t="s">
        <v>71</v>
      </c>
      <c r="E808" s="10" t="s">
        <v>901</v>
      </c>
      <c r="F808" s="10">
        <v>1</v>
      </c>
      <c r="G808" s="10" t="s">
        <v>73</v>
      </c>
      <c r="H808" s="10" t="s">
        <v>207</v>
      </c>
      <c r="I808" s="10" t="s">
        <v>83</v>
      </c>
      <c r="J808" s="10">
        <v>201</v>
      </c>
      <c r="K808" s="12">
        <v>44937</v>
      </c>
      <c r="L808" s="33">
        <v>0.64815972222222229</v>
      </c>
      <c r="M808" s="10">
        <v>1</v>
      </c>
      <c r="N808" s="10" t="s">
        <v>84</v>
      </c>
      <c r="O808" s="10">
        <v>8.1199999999999992</v>
      </c>
      <c r="P808" s="10">
        <v>0.58099999999999996</v>
      </c>
      <c r="Q808" s="10">
        <v>518</v>
      </c>
      <c r="R808" s="10" t="s">
        <v>85</v>
      </c>
      <c r="S808" s="34">
        <f t="shared" si="86"/>
        <v>523.00311999999985</v>
      </c>
      <c r="T808" s="10" t="s">
        <v>1035</v>
      </c>
      <c r="U808" s="34">
        <f t="shared" si="87"/>
        <v>104.60062399999997</v>
      </c>
      <c r="V808" s="31">
        <f>IF(H808="CHK",VLOOKUP(I808,QCCHK,3,),IF(H808="GUP",VLOOKUP(E808,QCGUP,2,),IF(AND(H808="ATP",OR(I808="TN",I808="TDN",I808="TNO2-3",I808="NO2-3")),VLOOKUP(E808,QCREC_N,2,),IF(AND(H808="NIC",OR(I808="TN",I808="TDN",I808="TNO2-3",I808="NO2-3")),VLOOKUP(E808,QCNIC_N,2,),IF(AND(H808="UREA",OR(I808="TN",I808="TDN",I808="TNO2-3",I808="NO2-3")),VLOOKUP(E808,QCUREA_N,2,),IF(H808="PER",VLOOKUP(I808,QCPER,MATCH(E808,QCACTUAL!$J$25:$AA$25,0),),IF(H808="SPK",VLOOKUP(I808,QCSPK,3,),IF(AND(H808="ATP",OR(I808="TP",I808="TDP")),VLOOKUP(E808,QCATP_P,2,),""))))))))</f>
        <v>500</v>
      </c>
      <c r="W808" s="31" t="str">
        <f t="shared" si="88"/>
        <v>TRUE</v>
      </c>
      <c r="X808" s="31" t="str">
        <f t="shared" si="89"/>
        <v>[chk]/[actual]*100</v>
      </c>
      <c r="Y808" s="10" t="s">
        <v>1021</v>
      </c>
      <c r="AF808" s="12">
        <v>44937</v>
      </c>
      <c r="AK808" s="10">
        <f>0*8.12^2+67.076*8.12-21.654</f>
        <v>523.00311999999985</v>
      </c>
      <c r="AL808" s="10" t="str">
        <f t="shared" si="91"/>
        <v>FALSE</v>
      </c>
      <c r="AM808" s="10" t="str">
        <f t="shared" si="91"/>
        <v>FALSE</v>
      </c>
      <c r="AN808" s="10" t="str">
        <f t="shared" si="91"/>
        <v>FALSE</v>
      </c>
      <c r="AO808" s="10" t="str">
        <f t="shared" si="92"/>
        <v>FALSE</v>
      </c>
      <c r="AP808" s="10" t="str">
        <f t="shared" si="92"/>
        <v>y=0*8.12^2+67.076*8.12-21.654</v>
      </c>
      <c r="AQ808" s="10" t="b">
        <f>IF(AND(I808="TP",S808&lt;=150),VLOOKUP(AF808,TPCalibEq150!$AZ$2:$BB$55,3,),IF(AND(I808="TDP",S808&lt;=150),VLOOKUP(AF808,TPCalibEq150!$AZ$2:$BB$55,3,)))</f>
        <v>0</v>
      </c>
      <c r="AR808" s="10" t="b">
        <f>IF(AND(I808="TP",S808&lt;=300),VLOOKUP(AF808,TPCalibEq300!$AZ$2:$BB$55,3,),IF(AND(I808="TDP",S808&lt;=300),VLOOKUP(AF808,TPCalibEq300!$AZ$2:$BB$55,3,)))</f>
        <v>0</v>
      </c>
      <c r="AS808" s="10" t="b">
        <f>IF(AND(I808="TP",S808&lt;=500),VLOOKUP(AF808,TPCalibEq500!$AZ$2:$BB$56,3,),IF(AND(I808="TDP",S808&lt;=500),VLOOKUP(AF808,TPCalibEq500!$AZ$2:$BB$56,3,)))</f>
        <v>0</v>
      </c>
      <c r="AT808" s="10" t="b">
        <f>IF(AND(I808="TN",S808&lt;=2800),VLOOKUP(AF808,TNCalibEq2500!$AZ$2:$BB$56,3,),IF(AND(I808="TDN",S808&lt;=2800),VLOOKUP(AF808,TNCalibEq2500!$AZ$2:$BB$56,3,)))</f>
        <v>0</v>
      </c>
      <c r="AU808" s="10" t="str">
        <f>IF(I808="TP",VLOOKUP(AF808,TPCalibEqFull!$AZ$2:$BB$56,3),IF(I808="TDP",VLOOKUP(AF808,TPCalibEqFull!$AZ$2:$BB$56,3),IF(I808="TDN",VLOOKUP(AF808,TNCalibEqFull!$AZ$1:$BB$56,3),IF(I808="TN",VLOOKUP(AF808,TNCalibEqFull!$AZ$1:$BB$56,3),FALSE))))</f>
        <v>y=0x2+67.076x-21.654</v>
      </c>
      <c r="AV808" s="10" t="str">
        <f t="shared" si="90"/>
        <v>0111 09:00:00-QAC-STD-D-1-DI-CHK</v>
      </c>
    </row>
    <row r="809" spans="1:48" s="10" customFormat="1" x14ac:dyDescent="0.55000000000000004">
      <c r="A809" s="32">
        <v>44935</v>
      </c>
      <c r="B809" s="33">
        <v>0.35972222222222222</v>
      </c>
      <c r="C809" s="10" t="s">
        <v>998</v>
      </c>
      <c r="D809" s="10">
        <v>0</v>
      </c>
      <c r="E809" s="10" t="s">
        <v>911</v>
      </c>
      <c r="F809" s="10">
        <v>1</v>
      </c>
      <c r="G809" s="10" t="s">
        <v>231</v>
      </c>
      <c r="H809" s="10" t="s">
        <v>322</v>
      </c>
      <c r="I809" s="10" t="s">
        <v>266</v>
      </c>
      <c r="J809" s="10">
        <v>25</v>
      </c>
      <c r="K809" s="12">
        <v>44937</v>
      </c>
      <c r="L809" s="33">
        <v>0.64885416666666662</v>
      </c>
      <c r="M809" s="10">
        <v>1</v>
      </c>
      <c r="N809" s="10" t="s">
        <v>84</v>
      </c>
      <c r="O809" s="10">
        <v>1.7</v>
      </c>
      <c r="P809" s="10">
        <v>0.11799999999999999</v>
      </c>
      <c r="Q809" s="10">
        <v>92.9</v>
      </c>
      <c r="R809" s="10" t="s">
        <v>85</v>
      </c>
      <c r="S809" s="34">
        <f t="shared" si="86"/>
        <v>100.83770799999999</v>
      </c>
      <c r="T809" s="10" t="s">
        <v>1035</v>
      </c>
      <c r="U809" s="34" t="str">
        <f t="shared" si="87"/>
        <v/>
      </c>
      <c r="V809" s="31" t="str">
        <f>IF(H809="CHK",VLOOKUP(I809,QCCHK,3,),IF(H809="GUP",VLOOKUP(E809,QCGUP,2,),IF(AND(H809="ATP",OR(I809="TN",I809="TDN",I809="TNO2-3",I809="NO2-3")),VLOOKUP(E809,QCREC_N,2,),IF(AND(H809="NIC",OR(I809="TN",I809="TDN",I809="TNO2-3",I809="NO2-3")),VLOOKUP(E809,QCNIC_N,2,),IF(AND(H809="UREA",OR(I809="TN",I809="TDN",I809="TNO2-3",I809="NO2-3")),VLOOKUP(E809,QCUREA_N,2,),IF(H809="PER",VLOOKUP(I809,QCPER,MATCH(E809,QCACTUAL!$J$25:$AA$25,0),),IF(H809="SPK",VLOOKUP(I809,QCSPK,3,),IF(AND(H809="ATP",OR(I809="TP",I809="TDP")),VLOOKUP(E809,QCATP_P,2,),""))))))))</f>
        <v/>
      </c>
      <c r="W809" s="31" t="str">
        <f t="shared" si="88"/>
        <v>TRUE</v>
      </c>
      <c r="X809" s="31" t="str">
        <f t="shared" si="89"/>
        <v/>
      </c>
      <c r="Y809" s="10" t="s">
        <v>1021</v>
      </c>
      <c r="Z809" s="10" t="s">
        <v>910</v>
      </c>
      <c r="AF809" s="12">
        <v>44937</v>
      </c>
      <c r="AG809" s="10">
        <f>-1.7779*1.7^2+83.185*1.7-35.938</f>
        <v>100.33836900000001</v>
      </c>
      <c r="AH809" s="10">
        <f>-2.8628*1.7^2+86.116*1.7-37.286</f>
        <v>100.83770799999999</v>
      </c>
      <c r="AI809" s="10">
        <f>-0.232*1.7^2+72.802*1.7-30.279</f>
        <v>92.81392000000001</v>
      </c>
      <c r="AK809" s="10">
        <f>0*1.7^2+67.076*1.7-21.654</f>
        <v>92.375199999999992</v>
      </c>
      <c r="AL809" s="10" t="str">
        <f t="shared" si="91"/>
        <v>y=-1.7779*1.7^2+83.185*1.7-35.938</v>
      </c>
      <c r="AM809" s="10" t="str">
        <f t="shared" si="91"/>
        <v>y=-2.8628*1.7^2+86.116*1.7-37.286</v>
      </c>
      <c r="AN809" s="10" t="str">
        <f t="shared" si="91"/>
        <v>y=-0.232*1.7^2+72.802*1.7-30.279</v>
      </c>
      <c r="AO809" s="10" t="str">
        <f t="shared" si="92"/>
        <v>FALSE</v>
      </c>
      <c r="AP809" s="10" t="str">
        <f t="shared" si="92"/>
        <v>y=0*1.7^2+67.076*1.7-21.654</v>
      </c>
      <c r="AQ809" s="10" t="str">
        <f>IF(AND(I809="TP",S809&lt;=150),VLOOKUP(AF809,TPCalibEq150!$AZ$2:$BB$55,3,),IF(AND(I809="TDP",S809&lt;=150),VLOOKUP(AF809,TPCalibEq150!$AZ$2:$BB$55,3,)))</f>
        <v>y=-1.7779x2+83.185x-35.938</v>
      </c>
      <c r="AR809" s="10" t="str">
        <f>IF(AND(I809="TP",S809&lt;=300),VLOOKUP(AF809,TPCalibEq300!$AZ$2:$BB$55,3,),IF(AND(I809="TDP",S809&lt;=300),VLOOKUP(AF809,TPCalibEq300!$AZ$2:$BB$55,3,)))</f>
        <v>y=-2.8628x2+86.116x-37.286</v>
      </c>
      <c r="AS809" s="10" t="str">
        <f>IF(AND(I809="TP",S809&lt;=500),VLOOKUP(AF809,TPCalibEq500!$AZ$2:$BB$56,3,),IF(AND(I809="TDP",S809&lt;=500),VLOOKUP(AF809,TPCalibEq500!$AZ$2:$BB$56,3,)))</f>
        <v>y=-0.232x2+72.802x-30.279</v>
      </c>
      <c r="AT809" s="10" t="b">
        <f>IF(AND(I809="TN",S809&lt;=2800),VLOOKUP(AF809,TNCalibEq2500!$AZ$2:$BB$56,3,),IF(AND(I809="TDN",S809&lt;=2800),VLOOKUP(AF809,TNCalibEq2500!$AZ$2:$BB$56,3,)))</f>
        <v>0</v>
      </c>
      <c r="AU809" s="10" t="str">
        <f>IF(I809="TP",VLOOKUP(AF809,TPCalibEqFull!$AZ$2:$BB$56,3),IF(I809="TDP",VLOOKUP(AF809,TPCalibEqFull!$AZ$2:$BB$56,3),IF(I809="TDN",VLOOKUP(AF809,TNCalibEqFull!$AZ$1:$BB$56,3),IF(I809="TN",VLOOKUP(AF809,TNCalibEqFull!$AZ$1:$BB$56,3),FALSE))))</f>
        <v>y=0x2+67.076x-21.654</v>
      </c>
      <c r="AV809" s="10" t="str">
        <f t="shared" si="90"/>
        <v>0109 08:38:00-ELW-0-FIL-1-SW-UKN</v>
      </c>
    </row>
    <row r="810" spans="1:48" s="10" customFormat="1" x14ac:dyDescent="0.55000000000000004">
      <c r="A810" s="32">
        <v>44935</v>
      </c>
      <c r="B810" s="33">
        <v>0.44722222222222219</v>
      </c>
      <c r="C810" s="10" t="s">
        <v>310</v>
      </c>
      <c r="D810" s="10">
        <v>0</v>
      </c>
      <c r="E810" s="10" t="s">
        <v>911</v>
      </c>
      <c r="F810" s="10">
        <v>1</v>
      </c>
      <c r="G810" s="10" t="s">
        <v>231</v>
      </c>
      <c r="H810" s="10" t="s">
        <v>322</v>
      </c>
      <c r="I810" s="10" t="s">
        <v>266</v>
      </c>
      <c r="J810" s="10">
        <v>26</v>
      </c>
      <c r="K810" s="12">
        <v>44937</v>
      </c>
      <c r="L810" s="33">
        <v>0.64953703703703702</v>
      </c>
      <c r="M810" s="10">
        <v>1</v>
      </c>
      <c r="N810" s="10" t="s">
        <v>84</v>
      </c>
      <c r="O810" s="10">
        <v>2.82</v>
      </c>
      <c r="P810" s="10">
        <v>0.2</v>
      </c>
      <c r="Q810" s="10">
        <v>166</v>
      </c>
      <c r="R810" s="10" t="s">
        <v>85</v>
      </c>
      <c r="S810" s="34">
        <f t="shared" si="86"/>
        <v>182.79498927999998</v>
      </c>
      <c r="T810" s="10" t="s">
        <v>1035</v>
      </c>
      <c r="U810" s="34" t="str">
        <f t="shared" si="87"/>
        <v/>
      </c>
      <c r="V810" s="31" t="str">
        <f>IF(H810="CHK",VLOOKUP(I810,QCCHK,3,),IF(H810="GUP",VLOOKUP(E810,QCGUP,2,),IF(AND(H810="ATP",OR(I810="TN",I810="TDN",I810="TNO2-3",I810="NO2-3")),VLOOKUP(E810,QCREC_N,2,),IF(AND(H810="NIC",OR(I810="TN",I810="TDN",I810="TNO2-3",I810="NO2-3")),VLOOKUP(E810,QCNIC_N,2,),IF(AND(H810="UREA",OR(I810="TN",I810="TDN",I810="TNO2-3",I810="NO2-3")),VLOOKUP(E810,QCUREA_N,2,),IF(H810="PER",VLOOKUP(I810,QCPER,MATCH(E810,QCACTUAL!$J$25:$AA$25,0),),IF(H810="SPK",VLOOKUP(I810,QCSPK,3,),IF(AND(H810="ATP",OR(I810="TP",I810="TDP")),VLOOKUP(E810,QCATP_P,2,),""))))))))</f>
        <v/>
      </c>
      <c r="W810" s="31" t="str">
        <f t="shared" si="88"/>
        <v>TRUE</v>
      </c>
      <c r="X810" s="31" t="str">
        <f t="shared" si="89"/>
        <v/>
      </c>
      <c r="Y810" s="10" t="s">
        <v>1021</v>
      </c>
      <c r="Z810" s="10" t="s">
        <v>910</v>
      </c>
      <c r="AF810" s="12">
        <v>44937</v>
      </c>
      <c r="AH810" s="10">
        <f>-2.8628*2.82^2+86.116*2.82-37.286</f>
        <v>182.79498927999998</v>
      </c>
      <c r="AI810" s="10">
        <f>-0.232*2.82^2+72.802*2.82-30.279</f>
        <v>173.17768320000002</v>
      </c>
      <c r="AK810" s="10">
        <f>0*2.82^2+67.076*2.82-21.654</f>
        <v>167.50031999999999</v>
      </c>
      <c r="AL810" s="10" t="str">
        <f t="shared" si="91"/>
        <v>FALSE</v>
      </c>
      <c r="AM810" s="10" t="str">
        <f t="shared" si="91"/>
        <v>y=-2.8628*2.82^2+86.116*2.82-37.286</v>
      </c>
      <c r="AN810" s="10" t="str">
        <f t="shared" si="91"/>
        <v>y=-0.232*2.82^2+72.802*2.82-30.279</v>
      </c>
      <c r="AO810" s="10" t="str">
        <f t="shared" si="92"/>
        <v>FALSE</v>
      </c>
      <c r="AP810" s="10" t="str">
        <f t="shared" si="92"/>
        <v>y=0*2.82^2+67.076*2.82-21.654</v>
      </c>
      <c r="AQ810" s="10" t="b">
        <f>IF(AND(I810="TP",S810&lt;=150),VLOOKUP(AF810,TPCalibEq150!$AZ$2:$BB$55,3,),IF(AND(I810="TDP",S810&lt;=150),VLOOKUP(AF810,TPCalibEq150!$AZ$2:$BB$55,3,)))</f>
        <v>0</v>
      </c>
      <c r="AR810" s="10" t="str">
        <f>IF(AND(I810="TP",S810&lt;=300),VLOOKUP(AF810,TPCalibEq300!$AZ$2:$BB$55,3,),IF(AND(I810="TDP",S810&lt;=300),VLOOKUP(AF810,TPCalibEq300!$AZ$2:$BB$55,3,)))</f>
        <v>y=-2.8628x2+86.116x-37.286</v>
      </c>
      <c r="AS810" s="10" t="str">
        <f>IF(AND(I810="TP",S810&lt;=500),VLOOKUP(AF810,TPCalibEq500!$AZ$2:$BB$56,3,),IF(AND(I810="TDP",S810&lt;=500),VLOOKUP(AF810,TPCalibEq500!$AZ$2:$BB$56,3,)))</f>
        <v>y=-0.232x2+72.802x-30.279</v>
      </c>
      <c r="AT810" s="10" t="b">
        <f>IF(AND(I810="TN",S810&lt;=2800),VLOOKUP(AF810,TNCalibEq2500!$AZ$2:$BB$56,3,),IF(AND(I810="TDN",S810&lt;=2800),VLOOKUP(AF810,TNCalibEq2500!$AZ$2:$BB$56,3,)))</f>
        <v>0</v>
      </c>
      <c r="AU810" s="10" t="str">
        <f>IF(I810="TP",VLOOKUP(AF810,TPCalibEqFull!$AZ$2:$BB$56,3),IF(I810="TDP",VLOOKUP(AF810,TPCalibEqFull!$AZ$2:$BB$56,3),IF(I810="TDN",VLOOKUP(AF810,TNCalibEqFull!$AZ$1:$BB$56,3),IF(I810="TN",VLOOKUP(AF810,TNCalibEqFull!$AZ$1:$BB$56,3),FALSE))))</f>
        <v>y=0x2+67.076x-21.654</v>
      </c>
      <c r="AV810" s="10" t="str">
        <f t="shared" si="90"/>
        <v>0109 10:44:00-ELI-0-FIL-1-SW-UKN</v>
      </c>
    </row>
    <row r="811" spans="1:48" s="10" customFormat="1" x14ac:dyDescent="0.55000000000000004">
      <c r="A811" s="32">
        <v>44935</v>
      </c>
      <c r="B811" s="33">
        <v>0.4145833333333333</v>
      </c>
      <c r="C811" s="10" t="s">
        <v>999</v>
      </c>
      <c r="D811" s="10">
        <v>0</v>
      </c>
      <c r="E811" s="10" t="s">
        <v>911</v>
      </c>
      <c r="F811" s="10">
        <v>1</v>
      </c>
      <c r="G811" s="10" t="s">
        <v>231</v>
      </c>
      <c r="H811" s="10" t="s">
        <v>322</v>
      </c>
      <c r="I811" s="10" t="s">
        <v>266</v>
      </c>
      <c r="J811" s="10">
        <v>27</v>
      </c>
      <c r="K811" s="12">
        <v>44937</v>
      </c>
      <c r="L811" s="33">
        <v>0.6502430555555555</v>
      </c>
      <c r="M811" s="10">
        <v>1</v>
      </c>
      <c r="N811" s="10" t="s">
        <v>84</v>
      </c>
      <c r="O811" s="10">
        <v>1.95</v>
      </c>
      <c r="P811" s="10">
        <v>0.13600000000000001</v>
      </c>
      <c r="Q811" s="10">
        <v>109</v>
      </c>
      <c r="R811" s="10" t="s">
        <v>85</v>
      </c>
      <c r="S811" s="34">
        <f t="shared" si="86"/>
        <v>119.754403</v>
      </c>
      <c r="T811" s="10" t="s">
        <v>1035</v>
      </c>
      <c r="U811" s="34" t="str">
        <f t="shared" si="87"/>
        <v/>
      </c>
      <c r="V811" s="31" t="str">
        <f>IF(H811="CHK",VLOOKUP(I811,QCCHK,3,),IF(H811="GUP",VLOOKUP(E811,QCGUP,2,),IF(AND(H811="ATP",OR(I811="TN",I811="TDN",I811="TNO2-3",I811="NO2-3")),VLOOKUP(E811,QCREC_N,2,),IF(AND(H811="NIC",OR(I811="TN",I811="TDN",I811="TNO2-3",I811="NO2-3")),VLOOKUP(E811,QCNIC_N,2,),IF(AND(H811="UREA",OR(I811="TN",I811="TDN",I811="TNO2-3",I811="NO2-3")),VLOOKUP(E811,QCUREA_N,2,),IF(H811="PER",VLOOKUP(I811,QCPER,MATCH(E811,QCACTUAL!$J$25:$AA$25,0),),IF(H811="SPK",VLOOKUP(I811,QCSPK,3,),IF(AND(H811="ATP",OR(I811="TP",I811="TDP")),VLOOKUP(E811,QCATP_P,2,),""))))))))</f>
        <v/>
      </c>
      <c r="W811" s="31" t="str">
        <f t="shared" si="88"/>
        <v>TRUE</v>
      </c>
      <c r="X811" s="31" t="str">
        <f t="shared" si="89"/>
        <v/>
      </c>
      <c r="Y811" s="10" t="s">
        <v>1021</v>
      </c>
      <c r="Z811" s="10" t="s">
        <v>910</v>
      </c>
      <c r="AF811" s="12">
        <v>44937</v>
      </c>
      <c r="AG811" s="10">
        <f>-1.7779*1.95^2+83.185*1.95-35.938</f>
        <v>119.51228524999998</v>
      </c>
      <c r="AH811" s="10">
        <f>-2.8628*1.95^2+86.116*1.95-37.286</f>
        <v>119.754403</v>
      </c>
      <c r="AI811" s="10">
        <f>-0.232*1.95^2+72.802*1.95-30.279</f>
        <v>110.80272000000002</v>
      </c>
      <c r="AK811" s="10">
        <f>0*1.95^2+67.076*1.95-21.654</f>
        <v>109.14419999999998</v>
      </c>
      <c r="AL811" s="10" t="str">
        <f t="shared" si="91"/>
        <v>y=-1.7779*1.95^2+83.185*1.95-35.938</v>
      </c>
      <c r="AM811" s="10" t="str">
        <f t="shared" si="91"/>
        <v>y=-2.8628*1.95^2+86.116*1.95-37.286</v>
      </c>
      <c r="AN811" s="10" t="str">
        <f t="shared" si="91"/>
        <v>y=-0.232*1.95^2+72.802*1.95-30.279</v>
      </c>
      <c r="AO811" s="10" t="str">
        <f t="shared" si="92"/>
        <v>FALSE</v>
      </c>
      <c r="AP811" s="10" t="str">
        <f t="shared" si="92"/>
        <v>y=0*1.95^2+67.076*1.95-21.654</v>
      </c>
      <c r="AQ811" s="10" t="str">
        <f>IF(AND(I811="TP",S811&lt;=150),VLOOKUP(AF811,TPCalibEq150!$AZ$2:$BB$55,3,),IF(AND(I811="TDP",S811&lt;=150),VLOOKUP(AF811,TPCalibEq150!$AZ$2:$BB$55,3,)))</f>
        <v>y=-1.7779x2+83.185x-35.938</v>
      </c>
      <c r="AR811" s="10" t="str">
        <f>IF(AND(I811="TP",S811&lt;=300),VLOOKUP(AF811,TPCalibEq300!$AZ$2:$BB$55,3,),IF(AND(I811="TDP",S811&lt;=300),VLOOKUP(AF811,TPCalibEq300!$AZ$2:$BB$55,3,)))</f>
        <v>y=-2.8628x2+86.116x-37.286</v>
      </c>
      <c r="AS811" s="10" t="str">
        <f>IF(AND(I811="TP",S811&lt;=500),VLOOKUP(AF811,TPCalibEq500!$AZ$2:$BB$56,3,),IF(AND(I811="TDP",S811&lt;=500),VLOOKUP(AF811,TPCalibEq500!$AZ$2:$BB$56,3,)))</f>
        <v>y=-0.232x2+72.802x-30.279</v>
      </c>
      <c r="AT811" s="10" t="b">
        <f>IF(AND(I811="TN",S811&lt;=2800),VLOOKUP(AF811,TNCalibEq2500!$AZ$2:$BB$56,3,),IF(AND(I811="TDN",S811&lt;=2800),VLOOKUP(AF811,TNCalibEq2500!$AZ$2:$BB$56,3,)))</f>
        <v>0</v>
      </c>
      <c r="AU811" s="10" t="str">
        <f>IF(I811="TP",VLOOKUP(AF811,TPCalibEqFull!$AZ$2:$BB$56,3),IF(I811="TDP",VLOOKUP(AF811,TPCalibEqFull!$AZ$2:$BB$56,3),IF(I811="TDN",VLOOKUP(AF811,TNCalibEqFull!$AZ$1:$BB$56,3),IF(I811="TN",VLOOKUP(AF811,TNCalibEqFull!$AZ$1:$BB$56,3),FALSE))))</f>
        <v>y=0x2+67.076x-21.654</v>
      </c>
      <c r="AV811" s="10" t="str">
        <f t="shared" si="90"/>
        <v>0109 09:57:00-EAW-0-FIL-1-SW-UKN</v>
      </c>
    </row>
    <row r="812" spans="1:48" s="10" customFormat="1" x14ac:dyDescent="0.55000000000000004">
      <c r="A812" s="32">
        <v>44935</v>
      </c>
      <c r="B812" s="33">
        <v>0.4145833333333333</v>
      </c>
      <c r="C812" s="10" t="s">
        <v>999</v>
      </c>
      <c r="D812" s="10">
        <v>0</v>
      </c>
      <c r="E812" s="10" t="s">
        <v>911</v>
      </c>
      <c r="F812" s="10">
        <v>2</v>
      </c>
      <c r="G812" s="10" t="s">
        <v>231</v>
      </c>
      <c r="H812" s="10" t="s">
        <v>322</v>
      </c>
      <c r="I812" s="10" t="s">
        <v>266</v>
      </c>
      <c r="J812" s="10">
        <v>28</v>
      </c>
      <c r="K812" s="12">
        <v>44937</v>
      </c>
      <c r="L812" s="33">
        <v>0.65092592592592591</v>
      </c>
      <c r="M812" s="10">
        <v>1</v>
      </c>
      <c r="N812" s="10" t="s">
        <v>84</v>
      </c>
      <c r="O812" s="10">
        <v>1.81</v>
      </c>
      <c r="P812" s="10">
        <v>0.127</v>
      </c>
      <c r="Q812" s="10">
        <v>99.6</v>
      </c>
      <c r="R812" s="10" t="s">
        <v>85</v>
      </c>
      <c r="S812" s="34">
        <f t="shared" si="86"/>
        <v>109.20514091999999</v>
      </c>
      <c r="T812" s="10" t="s">
        <v>1035</v>
      </c>
      <c r="U812" s="34" t="str">
        <f t="shared" si="87"/>
        <v/>
      </c>
      <c r="V812" s="31" t="str">
        <f>IF(H812="CHK",VLOOKUP(I812,QCCHK,3,),IF(H812="GUP",VLOOKUP(E812,QCGUP,2,),IF(AND(H812="ATP",OR(I812="TN",I812="TDN",I812="TNO2-3",I812="NO2-3")),VLOOKUP(E812,QCREC_N,2,),IF(AND(H812="NIC",OR(I812="TN",I812="TDN",I812="TNO2-3",I812="NO2-3")),VLOOKUP(E812,QCNIC_N,2,),IF(AND(H812="UREA",OR(I812="TN",I812="TDN",I812="TNO2-3",I812="NO2-3")),VLOOKUP(E812,QCUREA_N,2,),IF(H812="PER",VLOOKUP(I812,QCPER,MATCH(E812,QCACTUAL!$J$25:$AA$25,0),),IF(H812="SPK",VLOOKUP(I812,QCSPK,3,),IF(AND(H812="ATP",OR(I812="TP",I812="TDP")),VLOOKUP(E812,QCATP_P,2,),""))))))))</f>
        <v/>
      </c>
      <c r="W812" s="31" t="str">
        <f t="shared" si="88"/>
        <v>TRUE</v>
      </c>
      <c r="X812" s="31" t="str">
        <f t="shared" si="89"/>
        <v/>
      </c>
      <c r="Y812" s="10" t="s">
        <v>1021</v>
      </c>
      <c r="Z812" s="10" t="s">
        <v>910</v>
      </c>
      <c r="AF812" s="12">
        <v>44937</v>
      </c>
      <c r="AG812" s="10">
        <f>-1.7779*1.81^2+83.185*1.81-35.938</f>
        <v>108.80227180999999</v>
      </c>
      <c r="AH812" s="10">
        <f>-2.8628*1.81^2+86.116*1.81-37.286</f>
        <v>109.20514091999999</v>
      </c>
      <c r="AI812" s="10">
        <f>-0.232*1.81^2+72.802*1.81-30.279</f>
        <v>100.73256480000001</v>
      </c>
      <c r="AK812" s="10">
        <f>0*1.81^2+67.076*1.81-21.654</f>
        <v>99.753559999999993</v>
      </c>
      <c r="AL812" s="10" t="str">
        <f t="shared" si="91"/>
        <v>y=-1.7779*1.81^2+83.185*1.81-35.938</v>
      </c>
      <c r="AM812" s="10" t="str">
        <f t="shared" si="91"/>
        <v>y=-2.8628*1.81^2+86.116*1.81-37.286</v>
      </c>
      <c r="AN812" s="10" t="str">
        <f t="shared" si="91"/>
        <v>y=-0.232*1.81^2+72.802*1.81-30.279</v>
      </c>
      <c r="AO812" s="10" t="str">
        <f t="shared" si="92"/>
        <v>FALSE</v>
      </c>
      <c r="AP812" s="10" t="str">
        <f t="shared" si="92"/>
        <v>y=0*1.81^2+67.076*1.81-21.654</v>
      </c>
      <c r="AQ812" s="10" t="str">
        <f>IF(AND(I812="TP",S812&lt;=150),VLOOKUP(AF812,TPCalibEq150!$AZ$2:$BB$55,3,),IF(AND(I812="TDP",S812&lt;=150),VLOOKUP(AF812,TPCalibEq150!$AZ$2:$BB$55,3,)))</f>
        <v>y=-1.7779x2+83.185x-35.938</v>
      </c>
      <c r="AR812" s="10" t="str">
        <f>IF(AND(I812="TP",S812&lt;=300),VLOOKUP(AF812,TPCalibEq300!$AZ$2:$BB$55,3,),IF(AND(I812="TDP",S812&lt;=300),VLOOKUP(AF812,TPCalibEq300!$AZ$2:$BB$55,3,)))</f>
        <v>y=-2.8628x2+86.116x-37.286</v>
      </c>
      <c r="AS812" s="10" t="str">
        <f>IF(AND(I812="TP",S812&lt;=500),VLOOKUP(AF812,TPCalibEq500!$AZ$2:$BB$56,3,),IF(AND(I812="TDP",S812&lt;=500),VLOOKUP(AF812,TPCalibEq500!$AZ$2:$BB$56,3,)))</f>
        <v>y=-0.232x2+72.802x-30.279</v>
      </c>
      <c r="AT812" s="10" t="b">
        <f>IF(AND(I812="TN",S812&lt;=2800),VLOOKUP(AF812,TNCalibEq2500!$AZ$2:$BB$56,3,),IF(AND(I812="TDN",S812&lt;=2800),VLOOKUP(AF812,TNCalibEq2500!$AZ$2:$BB$56,3,)))</f>
        <v>0</v>
      </c>
      <c r="AU812" s="10" t="str">
        <f>IF(I812="TP",VLOOKUP(AF812,TPCalibEqFull!$AZ$2:$BB$56,3),IF(I812="TDP",VLOOKUP(AF812,TPCalibEqFull!$AZ$2:$BB$56,3),IF(I812="TDN",VLOOKUP(AF812,TNCalibEqFull!$AZ$1:$BB$56,3),IF(I812="TN",VLOOKUP(AF812,TNCalibEqFull!$AZ$1:$BB$56,3),FALSE))))</f>
        <v>y=0x2+67.076x-21.654</v>
      </c>
      <c r="AV812" s="10" t="str">
        <f t="shared" si="90"/>
        <v>0109 09:57:00-EAW-0-FIL-2-SW-UKN</v>
      </c>
    </row>
    <row r="813" spans="1:48" s="10" customFormat="1" x14ac:dyDescent="0.55000000000000004">
      <c r="A813" s="32">
        <v>44935</v>
      </c>
      <c r="B813" s="33">
        <v>0.4145833333333333</v>
      </c>
      <c r="C813" s="10" t="s">
        <v>999</v>
      </c>
      <c r="D813" s="10">
        <v>0</v>
      </c>
      <c r="E813" s="10" t="s">
        <v>911</v>
      </c>
      <c r="F813" s="10">
        <v>2</v>
      </c>
      <c r="G813" s="10" t="s">
        <v>231</v>
      </c>
      <c r="H813" s="10" t="s">
        <v>233</v>
      </c>
      <c r="I813" s="10" t="s">
        <v>266</v>
      </c>
      <c r="J813" s="10">
        <v>28</v>
      </c>
      <c r="K813" s="12">
        <v>44937</v>
      </c>
      <c r="L813" s="33">
        <v>0.65162037037037035</v>
      </c>
      <c r="M813" s="10">
        <v>1</v>
      </c>
      <c r="N813" s="10" t="s">
        <v>84</v>
      </c>
      <c r="O813" s="10">
        <v>1.84</v>
      </c>
      <c r="P813" s="10">
        <v>0.127</v>
      </c>
      <c r="Q813" s="10">
        <v>102</v>
      </c>
      <c r="R813" s="10" t="s">
        <v>85</v>
      </c>
      <c r="S813" s="34">
        <f t="shared" si="86"/>
        <v>111.47514432</v>
      </c>
      <c r="T813" s="10" t="s">
        <v>1035</v>
      </c>
      <c r="U813" s="34">
        <f t="shared" si="87"/>
        <v>2.0572779281404987</v>
      </c>
      <c r="V813" s="31" t="str">
        <f>IF(H813="CHK",VLOOKUP(I813,QCCHK,3,),IF(H813="GUP",VLOOKUP(E813,QCGUP,2,),IF(AND(H813="ATP",OR(I813="TN",I813="TDN",I813="TNO2-3",I813="NO2-3")),VLOOKUP(E813,QCREC_N,2,),IF(AND(H813="NIC",OR(I813="TN",I813="TDN",I813="TNO2-3",I813="NO2-3")),VLOOKUP(E813,QCNIC_N,2,),IF(AND(H813="UREA",OR(I813="TN",I813="TDN",I813="TNO2-3",I813="NO2-3")),VLOOKUP(E813,QCUREA_N,2,),IF(H813="PER",VLOOKUP(I813,QCPER,MATCH(E813,QCACTUAL!$J$25:$AA$25,0),),IF(H813="SPK",VLOOKUP(I813,QCSPK,3,),IF(AND(H813="ATP",OR(I813="TP",I813="TDP")),VLOOKUP(E813,QCATP_P,2,),""))))))))</f>
        <v/>
      </c>
      <c r="W813" s="31" t="str">
        <f t="shared" si="88"/>
        <v>TRUE</v>
      </c>
      <c r="X813" s="31" t="str">
        <f t="shared" si="89"/>
        <v>((ABS(rep1-rep2))/((rep1+rep2)/2)*100</v>
      </c>
      <c r="Y813" s="10" t="s">
        <v>1021</v>
      </c>
      <c r="Z813" s="10" t="s">
        <v>910</v>
      </c>
      <c r="AF813" s="12">
        <v>44937</v>
      </c>
      <c r="AG813" s="10">
        <f>-1.7779*1.84^2+83.185*1.84-35.938</f>
        <v>111.10314176000001</v>
      </c>
      <c r="AH813" s="10">
        <f>-2.8628*1.84^2+86.116*1.84-37.286</f>
        <v>111.47514432</v>
      </c>
      <c r="AI813" s="10">
        <f>-0.232*1.84^2+72.802*1.84-30.279</f>
        <v>102.89122080000004</v>
      </c>
      <c r="AK813" s="10">
        <f>0*1.84^2+67.076*1.84-21.654</f>
        <v>101.76584</v>
      </c>
      <c r="AL813" s="10" t="str">
        <f t="shared" si="91"/>
        <v>y=-1.7779*1.84^2+83.185*1.84-35.938</v>
      </c>
      <c r="AM813" s="10" t="str">
        <f t="shared" si="91"/>
        <v>y=-2.8628*1.84^2+86.116*1.84-37.286</v>
      </c>
      <c r="AN813" s="10" t="str">
        <f t="shared" si="91"/>
        <v>y=-0.232*1.84^2+72.802*1.84-30.279</v>
      </c>
      <c r="AO813" s="10" t="str">
        <f t="shared" si="92"/>
        <v>FALSE</v>
      </c>
      <c r="AP813" s="10" t="str">
        <f t="shared" si="92"/>
        <v>y=0*1.84^2+67.076*1.84-21.654</v>
      </c>
      <c r="AQ813" s="10" t="str">
        <f>IF(AND(I813="TP",S813&lt;=150),VLOOKUP(AF813,TPCalibEq150!$AZ$2:$BB$55,3,),IF(AND(I813="TDP",S813&lt;=150),VLOOKUP(AF813,TPCalibEq150!$AZ$2:$BB$55,3,)))</f>
        <v>y=-1.7779x2+83.185x-35.938</v>
      </c>
      <c r="AR813" s="10" t="str">
        <f>IF(AND(I813="TP",S813&lt;=300),VLOOKUP(AF813,TPCalibEq300!$AZ$2:$BB$55,3,),IF(AND(I813="TDP",S813&lt;=300),VLOOKUP(AF813,TPCalibEq300!$AZ$2:$BB$55,3,)))</f>
        <v>y=-2.8628x2+86.116x-37.286</v>
      </c>
      <c r="AS813" s="10" t="str">
        <f>IF(AND(I813="TP",S813&lt;=500),VLOOKUP(AF813,TPCalibEq500!$AZ$2:$BB$56,3,),IF(AND(I813="TDP",S813&lt;=500),VLOOKUP(AF813,TPCalibEq500!$AZ$2:$BB$56,3,)))</f>
        <v>y=-0.232x2+72.802x-30.279</v>
      </c>
      <c r="AT813" s="10" t="b">
        <f>IF(AND(I813="TN",S813&lt;=2800),VLOOKUP(AF813,TNCalibEq2500!$AZ$2:$BB$56,3,),IF(AND(I813="TDN",S813&lt;=2800),VLOOKUP(AF813,TNCalibEq2500!$AZ$2:$BB$56,3,)))</f>
        <v>0</v>
      </c>
      <c r="AU813" s="10" t="str">
        <f>IF(I813="TP",VLOOKUP(AF813,TPCalibEqFull!$AZ$2:$BB$56,3),IF(I813="TDP",VLOOKUP(AF813,TPCalibEqFull!$AZ$2:$BB$56,3),IF(I813="TDN",VLOOKUP(AF813,TNCalibEqFull!$AZ$1:$BB$56,3),IF(I813="TN",VLOOKUP(AF813,TNCalibEqFull!$AZ$1:$BB$56,3),FALSE))))</f>
        <v>y=0x2+67.076x-21.654</v>
      </c>
      <c r="AV813" s="10" t="str">
        <f t="shared" si="90"/>
        <v>0109 09:57:00-EAW-0-FIL-2-SW-DUP</v>
      </c>
    </row>
    <row r="814" spans="1:48" s="10" customFormat="1" x14ac:dyDescent="0.55000000000000004">
      <c r="A814" s="32">
        <v>44935</v>
      </c>
      <c r="B814" s="33">
        <v>0.4145833333333333</v>
      </c>
      <c r="C814" s="10" t="s">
        <v>999</v>
      </c>
      <c r="D814" s="10">
        <v>0</v>
      </c>
      <c r="E814" s="10" t="s">
        <v>911</v>
      </c>
      <c r="F814" s="10">
        <v>2</v>
      </c>
      <c r="G814" s="10" t="s">
        <v>231</v>
      </c>
      <c r="H814" s="10" t="s">
        <v>314</v>
      </c>
      <c r="I814" s="10" t="s">
        <v>266</v>
      </c>
      <c r="J814" s="10">
        <v>32</v>
      </c>
      <c r="K814" s="12">
        <v>44937</v>
      </c>
      <c r="L814" s="33">
        <v>0.65232638888888894</v>
      </c>
      <c r="M814" s="10">
        <v>1</v>
      </c>
      <c r="N814" s="10" t="s">
        <v>84</v>
      </c>
      <c r="O814" s="10">
        <v>18</v>
      </c>
      <c r="P814" s="10">
        <v>1.26</v>
      </c>
      <c r="Q814" s="10">
        <v>1180</v>
      </c>
      <c r="R814" s="10" t="s">
        <v>85</v>
      </c>
      <c r="S814" s="34">
        <f t="shared" si="86"/>
        <v>1185.7139999999999</v>
      </c>
      <c r="T814" s="10" t="s">
        <v>1035</v>
      </c>
      <c r="U814" s="34">
        <f t="shared" si="87"/>
        <v>107.423885568</v>
      </c>
      <c r="V814" s="31">
        <f>IF(H814="CHK",VLOOKUP(I814,QCCHK,3,),IF(H814="GUP",VLOOKUP(E814,QCGUP,2,),IF(AND(H814="ATP",OR(I814="TN",I814="TDN",I814="TNO2-3",I814="NO2-3")),VLOOKUP(E814,QCREC_N,2,),IF(AND(H814="NIC",OR(I814="TN",I814="TDN",I814="TNO2-3",I814="NO2-3")),VLOOKUP(E814,QCNIC_N,2,),IF(AND(H814="UREA",OR(I814="TN",I814="TDN",I814="TNO2-3",I814="NO2-3")),VLOOKUP(E814,QCUREA_N,2,),IF(H814="PER",VLOOKUP(I814,QCPER,MATCH(E814,QCACTUAL!$J$25:$AA$25,0),),IF(H814="SPK",VLOOKUP(I814,QCSPK,3,),IF(AND(H814="ATP",OR(I814="TP",I814="TDP")),VLOOKUP(E814,QCATP_P,2,),""))))))))</f>
        <v>1000</v>
      </c>
      <c r="W814" s="31" t="str">
        <f t="shared" si="88"/>
        <v>TRUE</v>
      </c>
      <c r="X814" s="31" t="str">
        <f t="shared" si="89"/>
        <v>([spikedunkn]-[unkn])/[spike]*100</v>
      </c>
      <c r="Y814" s="10" t="s">
        <v>1021</v>
      </c>
      <c r="Z814" s="10" t="s">
        <v>910</v>
      </c>
      <c r="AF814" s="12">
        <v>44937</v>
      </c>
      <c r="AK814" s="10">
        <f>0*18^2+67.076*18-21.654</f>
        <v>1185.7139999999999</v>
      </c>
      <c r="AL814" s="10" t="str">
        <f t="shared" si="91"/>
        <v>FALSE</v>
      </c>
      <c r="AM814" s="10" t="str">
        <f t="shared" si="91"/>
        <v>FALSE</v>
      </c>
      <c r="AN814" s="10" t="str">
        <f t="shared" si="91"/>
        <v>FALSE</v>
      </c>
      <c r="AO814" s="10" t="str">
        <f t="shared" si="92"/>
        <v>FALSE</v>
      </c>
      <c r="AP814" s="10" t="str">
        <f t="shared" si="92"/>
        <v>y=0*18^2+67.076*18-21.654</v>
      </c>
      <c r="AQ814" s="10" t="b">
        <f>IF(AND(I814="TP",S814&lt;=150),VLOOKUP(AF814,TPCalibEq150!$AZ$2:$BB$55,3,),IF(AND(I814="TDP",S814&lt;=150),VLOOKUP(AF814,TPCalibEq150!$AZ$2:$BB$55,3,)))</f>
        <v>0</v>
      </c>
      <c r="AR814" s="10" t="b">
        <f>IF(AND(I814="TP",S814&lt;=300),VLOOKUP(AF814,TPCalibEq300!$AZ$2:$BB$55,3,),IF(AND(I814="TDP",S814&lt;=300),VLOOKUP(AF814,TPCalibEq300!$AZ$2:$BB$55,3,)))</f>
        <v>0</v>
      </c>
      <c r="AS814" s="10" t="b">
        <f>IF(AND(I814="TP",S814&lt;=500),VLOOKUP(AF814,TPCalibEq500!$AZ$2:$BB$56,3,),IF(AND(I814="TDP",S814&lt;=500),VLOOKUP(AF814,TPCalibEq500!$AZ$2:$BB$56,3,)))</f>
        <v>0</v>
      </c>
      <c r="AT814" s="10" t="b">
        <f>IF(AND(I814="TN",S814&lt;=2800),VLOOKUP(AF814,TNCalibEq2500!$AZ$2:$BB$56,3,),IF(AND(I814="TDN",S814&lt;=2800),VLOOKUP(AF814,TNCalibEq2500!$AZ$2:$BB$56,3,)))</f>
        <v>0</v>
      </c>
      <c r="AU814" s="10" t="str">
        <f>IF(I814="TP",VLOOKUP(AF814,TPCalibEqFull!$AZ$2:$BB$56,3),IF(I814="TDP",VLOOKUP(AF814,TPCalibEqFull!$AZ$2:$BB$56,3),IF(I814="TDN",VLOOKUP(AF814,TNCalibEqFull!$AZ$1:$BB$56,3),IF(I814="TN",VLOOKUP(AF814,TNCalibEqFull!$AZ$1:$BB$56,3),FALSE))))</f>
        <v>y=0x2+67.076x-21.654</v>
      </c>
      <c r="AV814" s="10" t="str">
        <f t="shared" si="90"/>
        <v>0109 09:57:00-EAW-0-FIL-2-SW-SPK</v>
      </c>
    </row>
    <row r="815" spans="1:48" s="10" customFormat="1" x14ac:dyDescent="0.55000000000000004">
      <c r="A815" s="32">
        <v>44937</v>
      </c>
      <c r="B815" s="33">
        <v>0.375</v>
      </c>
      <c r="C815" s="10" t="s">
        <v>70</v>
      </c>
      <c r="D815" s="10" t="s">
        <v>71</v>
      </c>
      <c r="E815" s="10" t="s">
        <v>901</v>
      </c>
      <c r="F815" s="10">
        <v>1</v>
      </c>
      <c r="G815" s="10" t="s">
        <v>73</v>
      </c>
      <c r="H815" s="10" t="s">
        <v>207</v>
      </c>
      <c r="I815" s="10" t="s">
        <v>83</v>
      </c>
      <c r="J815" s="10">
        <v>202</v>
      </c>
      <c r="K815" s="12">
        <v>44937</v>
      </c>
      <c r="L815" s="33">
        <v>0.65303240740740742</v>
      </c>
      <c r="M815" s="10">
        <v>1</v>
      </c>
      <c r="N815" s="10" t="s">
        <v>84</v>
      </c>
      <c r="O815" s="10">
        <v>8.19</v>
      </c>
      <c r="P815" s="10">
        <v>0.58699999999999997</v>
      </c>
      <c r="Q815" s="10">
        <v>522</v>
      </c>
      <c r="R815" s="10" t="s">
        <v>85</v>
      </c>
      <c r="S815" s="34">
        <f t="shared" si="86"/>
        <v>527.69843999999989</v>
      </c>
      <c r="T815" s="10" t="s">
        <v>1035</v>
      </c>
      <c r="U815" s="34">
        <f t="shared" si="87"/>
        <v>105.53968799999997</v>
      </c>
      <c r="V815" s="31">
        <f>IF(H815="CHK",VLOOKUP(I815,QCCHK,3,),IF(H815="GUP",VLOOKUP(E815,QCGUP,2,),IF(AND(H815="ATP",OR(I815="TN",I815="TDN",I815="TNO2-3",I815="NO2-3")),VLOOKUP(E815,QCREC_N,2,),IF(AND(H815="NIC",OR(I815="TN",I815="TDN",I815="TNO2-3",I815="NO2-3")),VLOOKUP(E815,QCNIC_N,2,),IF(AND(H815="UREA",OR(I815="TN",I815="TDN",I815="TNO2-3",I815="NO2-3")),VLOOKUP(E815,QCUREA_N,2,),IF(H815="PER",VLOOKUP(I815,QCPER,MATCH(E815,QCACTUAL!$J$25:$AA$25,0),),IF(H815="SPK",VLOOKUP(I815,QCSPK,3,),IF(AND(H815="ATP",OR(I815="TP",I815="TDP")),VLOOKUP(E815,QCATP_P,2,),""))))))))</f>
        <v>500</v>
      </c>
      <c r="W815" s="31" t="str">
        <f t="shared" si="88"/>
        <v>TRUE</v>
      </c>
      <c r="X815" s="31" t="str">
        <f t="shared" si="89"/>
        <v>[chk]/[actual]*100</v>
      </c>
      <c r="Y815" s="10" t="s">
        <v>1021</v>
      </c>
      <c r="AF815" s="12">
        <v>44937</v>
      </c>
      <c r="AK815" s="10">
        <f>0*8.19^2+67.076*8.19-21.654</f>
        <v>527.69843999999989</v>
      </c>
      <c r="AL815" s="10" t="str">
        <f t="shared" si="91"/>
        <v>FALSE</v>
      </c>
      <c r="AM815" s="10" t="str">
        <f t="shared" si="91"/>
        <v>FALSE</v>
      </c>
      <c r="AN815" s="10" t="str">
        <f t="shared" si="91"/>
        <v>FALSE</v>
      </c>
      <c r="AO815" s="10" t="str">
        <f t="shared" si="92"/>
        <v>FALSE</v>
      </c>
      <c r="AP815" s="10" t="str">
        <f t="shared" si="92"/>
        <v>y=0*8.19^2+67.076*8.19-21.654</v>
      </c>
      <c r="AQ815" s="10" t="b">
        <f>IF(AND(I815="TP",S815&lt;=150),VLOOKUP(AF815,TPCalibEq150!$AZ$2:$BB$55,3,),IF(AND(I815="TDP",S815&lt;=150),VLOOKUP(AF815,TPCalibEq150!$AZ$2:$BB$55,3,)))</f>
        <v>0</v>
      </c>
      <c r="AR815" s="10" t="b">
        <f>IF(AND(I815="TP",S815&lt;=300),VLOOKUP(AF815,TPCalibEq300!$AZ$2:$BB$55,3,),IF(AND(I815="TDP",S815&lt;=300),VLOOKUP(AF815,TPCalibEq300!$AZ$2:$BB$55,3,)))</f>
        <v>0</v>
      </c>
      <c r="AS815" s="10" t="b">
        <f>IF(AND(I815="TP",S815&lt;=500),VLOOKUP(AF815,TPCalibEq500!$AZ$2:$BB$56,3,),IF(AND(I815="TDP",S815&lt;=500),VLOOKUP(AF815,TPCalibEq500!$AZ$2:$BB$56,3,)))</f>
        <v>0</v>
      </c>
      <c r="AT815" s="10" t="b">
        <f>IF(AND(I815="TN",S815&lt;=2800),VLOOKUP(AF815,TNCalibEq2500!$AZ$2:$BB$56,3,),IF(AND(I815="TDN",S815&lt;=2800),VLOOKUP(AF815,TNCalibEq2500!$AZ$2:$BB$56,3,)))</f>
        <v>0</v>
      </c>
      <c r="AU815" s="10" t="str">
        <f>IF(I815="TP",VLOOKUP(AF815,TPCalibEqFull!$AZ$2:$BB$56,3),IF(I815="TDP",VLOOKUP(AF815,TPCalibEqFull!$AZ$2:$BB$56,3),IF(I815="TDN",VLOOKUP(AF815,TNCalibEqFull!$AZ$1:$BB$56,3),IF(I815="TN",VLOOKUP(AF815,TNCalibEqFull!$AZ$1:$BB$56,3),FALSE))))</f>
        <v>y=0x2+67.076x-21.654</v>
      </c>
      <c r="AV815" s="10" t="str">
        <f t="shared" si="90"/>
        <v>0111 09:00:00-QAC-STD-D-1-DI-CHK</v>
      </c>
    </row>
    <row r="816" spans="1:48" s="10" customFormat="1" x14ac:dyDescent="0.55000000000000004">
      <c r="A816" s="32">
        <v>44935</v>
      </c>
      <c r="B816" s="33">
        <v>0.35972222222222222</v>
      </c>
      <c r="C816" s="10" t="s">
        <v>998</v>
      </c>
      <c r="D816" s="10">
        <v>0</v>
      </c>
      <c r="E816" s="10" t="s">
        <v>911</v>
      </c>
      <c r="F816" s="10">
        <v>1</v>
      </c>
      <c r="G816" s="10" t="s">
        <v>231</v>
      </c>
      <c r="H816" s="10" t="s">
        <v>322</v>
      </c>
      <c r="I816" s="10" t="s">
        <v>266</v>
      </c>
      <c r="J816" s="10">
        <v>115</v>
      </c>
      <c r="K816" s="12">
        <v>44937</v>
      </c>
      <c r="L816" s="33">
        <v>0.65372685185185186</v>
      </c>
      <c r="M816" s="10">
        <v>1</v>
      </c>
      <c r="N816" s="10" t="s">
        <v>84</v>
      </c>
      <c r="O816" s="10">
        <v>1.76</v>
      </c>
      <c r="P816" s="10">
        <v>0.123</v>
      </c>
      <c r="Q816" s="10">
        <v>96.6</v>
      </c>
      <c r="R816" s="10" t="s">
        <v>85</v>
      </c>
      <c r="S816" s="34">
        <f t="shared" si="86"/>
        <v>105.41035072</v>
      </c>
      <c r="T816" s="10" t="s">
        <v>1035</v>
      </c>
      <c r="U816" s="34" t="str">
        <f t="shared" si="87"/>
        <v/>
      </c>
      <c r="V816" s="31" t="str">
        <f>IF(H816="CHK",VLOOKUP(I816,QCCHK,3,),IF(H816="GUP",VLOOKUP(E816,QCGUP,2,),IF(AND(H816="ATP",OR(I816="TN",I816="TDN",I816="TNO2-3",I816="NO2-3")),VLOOKUP(E816,QCREC_N,2,),IF(AND(H816="NIC",OR(I816="TN",I816="TDN",I816="TNO2-3",I816="NO2-3")),VLOOKUP(E816,QCNIC_N,2,),IF(AND(H816="UREA",OR(I816="TN",I816="TDN",I816="TNO2-3",I816="NO2-3")),VLOOKUP(E816,QCUREA_N,2,),IF(H816="PER",VLOOKUP(I816,QCPER,MATCH(E816,QCACTUAL!$J$25:$AA$25,0),),IF(H816="SPK",VLOOKUP(I816,QCSPK,3,),IF(AND(H816="ATP",OR(I816="TP",I816="TDP")),VLOOKUP(E816,QCATP_P,2,),""))))))))</f>
        <v/>
      </c>
      <c r="W816" s="31" t="str">
        <f t="shared" si="88"/>
        <v>TRUE</v>
      </c>
      <c r="X816" s="31" t="str">
        <f t="shared" si="89"/>
        <v/>
      </c>
      <c r="Y816" s="10" t="s">
        <v>1021</v>
      </c>
      <c r="Z816" s="10" t="s">
        <v>910</v>
      </c>
      <c r="AF816" s="12">
        <v>44937</v>
      </c>
      <c r="AG816" s="10">
        <f>-1.7779*1.76^2+83.185*1.76-35.938</f>
        <v>104.96037696</v>
      </c>
      <c r="AH816" s="10">
        <f>-2.8628*1.76^2+86.116*1.76-37.286</f>
        <v>105.41035072</v>
      </c>
      <c r="AI816" s="10">
        <f>-0.232*1.76^2+72.802*1.76-30.279</f>
        <v>97.133876800000024</v>
      </c>
      <c r="AK816" s="10">
        <f>0*1.76^2+67.076*1.76-21.654</f>
        <v>96.399759999999986</v>
      </c>
      <c r="AL816" s="10" t="str">
        <f t="shared" si="91"/>
        <v>y=-1.7779*1.76^2+83.185*1.76-35.938</v>
      </c>
      <c r="AM816" s="10" t="str">
        <f t="shared" si="91"/>
        <v>y=-2.8628*1.76^2+86.116*1.76-37.286</v>
      </c>
      <c r="AN816" s="10" t="str">
        <f t="shared" si="91"/>
        <v>y=-0.232*1.76^2+72.802*1.76-30.279</v>
      </c>
      <c r="AO816" s="10" t="str">
        <f t="shared" si="92"/>
        <v>FALSE</v>
      </c>
      <c r="AP816" s="10" t="str">
        <f t="shared" si="92"/>
        <v>y=0*1.76^2+67.076*1.76-21.654</v>
      </c>
      <c r="AQ816" s="10" t="str">
        <f>IF(AND(I816="TP",S816&lt;=150),VLOOKUP(AF816,TPCalibEq150!$AZ$2:$BB$55,3,),IF(AND(I816="TDP",S816&lt;=150),VLOOKUP(AF816,TPCalibEq150!$AZ$2:$BB$55,3,)))</f>
        <v>y=-1.7779x2+83.185x-35.938</v>
      </c>
      <c r="AR816" s="10" t="str">
        <f>IF(AND(I816="TP",S816&lt;=300),VLOOKUP(AF816,TPCalibEq300!$AZ$2:$BB$55,3,),IF(AND(I816="TDP",S816&lt;=300),VLOOKUP(AF816,TPCalibEq300!$AZ$2:$BB$55,3,)))</f>
        <v>y=-2.8628x2+86.116x-37.286</v>
      </c>
      <c r="AS816" s="10" t="str">
        <f>IF(AND(I816="TP",S816&lt;=500),VLOOKUP(AF816,TPCalibEq500!$AZ$2:$BB$56,3,),IF(AND(I816="TDP",S816&lt;=500),VLOOKUP(AF816,TPCalibEq500!$AZ$2:$BB$56,3,)))</f>
        <v>y=-0.232x2+72.802x-30.279</v>
      </c>
      <c r="AT816" s="10" t="b">
        <f>IF(AND(I816="TN",S816&lt;=2800),VLOOKUP(AF816,TNCalibEq2500!$AZ$2:$BB$56,3,),IF(AND(I816="TDN",S816&lt;=2800),VLOOKUP(AF816,TNCalibEq2500!$AZ$2:$BB$56,3,)))</f>
        <v>0</v>
      </c>
      <c r="AU816" s="10" t="str">
        <f>IF(I816="TP",VLOOKUP(AF816,TPCalibEqFull!$AZ$2:$BB$56,3),IF(I816="TDP",VLOOKUP(AF816,TPCalibEqFull!$AZ$2:$BB$56,3),IF(I816="TDN",VLOOKUP(AF816,TNCalibEqFull!$AZ$1:$BB$56,3),IF(I816="TN",VLOOKUP(AF816,TNCalibEqFull!$AZ$1:$BB$56,3),FALSE))))</f>
        <v>y=0x2+67.076x-21.654</v>
      </c>
      <c r="AV816" s="10" t="str">
        <f t="shared" si="90"/>
        <v>0109 08:38:00-ELW-0-FIL-1-SW-UKN</v>
      </c>
    </row>
    <row r="817" spans="1:48" s="10" customFormat="1" x14ac:dyDescent="0.55000000000000004">
      <c r="A817" s="32">
        <v>44935</v>
      </c>
      <c r="B817" s="33">
        <v>0.44722222222222219</v>
      </c>
      <c r="C817" s="10" t="s">
        <v>310</v>
      </c>
      <c r="D817" s="10">
        <v>0</v>
      </c>
      <c r="E817" s="10" t="s">
        <v>911</v>
      </c>
      <c r="F817" s="10">
        <v>1</v>
      </c>
      <c r="G817" s="10" t="s">
        <v>231</v>
      </c>
      <c r="H817" s="10" t="s">
        <v>322</v>
      </c>
      <c r="I817" s="10" t="s">
        <v>266</v>
      </c>
      <c r="J817" s="10">
        <v>116</v>
      </c>
      <c r="K817" s="12">
        <v>44937</v>
      </c>
      <c r="L817" s="33">
        <v>0.65443287037037035</v>
      </c>
      <c r="M817" s="10">
        <v>1</v>
      </c>
      <c r="N817" s="10" t="s">
        <v>84</v>
      </c>
      <c r="O817" s="10">
        <v>2.15</v>
      </c>
      <c r="P817" s="10">
        <v>0.151</v>
      </c>
      <c r="Q817" s="10">
        <v>122</v>
      </c>
      <c r="R817" s="10" t="s">
        <v>85</v>
      </c>
      <c r="S817" s="34">
        <f t="shared" si="86"/>
        <v>134.69140725</v>
      </c>
      <c r="T817" s="10" t="s">
        <v>1035</v>
      </c>
      <c r="U817" s="34" t="str">
        <f t="shared" si="87"/>
        <v/>
      </c>
      <c r="V817" s="31" t="str">
        <f>IF(H817="CHK",VLOOKUP(I817,QCCHK,3,),IF(H817="GUP",VLOOKUP(E817,QCGUP,2,),IF(AND(H817="ATP",OR(I817="TN",I817="TDN",I817="TNO2-3",I817="NO2-3")),VLOOKUP(E817,QCREC_N,2,),IF(AND(H817="NIC",OR(I817="TN",I817="TDN",I817="TNO2-3",I817="NO2-3")),VLOOKUP(E817,QCNIC_N,2,),IF(AND(H817="UREA",OR(I817="TN",I817="TDN",I817="TNO2-3",I817="NO2-3")),VLOOKUP(E817,QCUREA_N,2,),IF(H817="PER",VLOOKUP(I817,QCPER,MATCH(E817,QCACTUAL!$J$25:$AA$25,0),),IF(H817="SPK",VLOOKUP(I817,QCSPK,3,),IF(AND(H817="ATP",OR(I817="TP",I817="TDP")),VLOOKUP(E817,QCATP_P,2,),""))))))))</f>
        <v/>
      </c>
      <c r="W817" s="31" t="str">
        <f t="shared" si="88"/>
        <v>TRUE</v>
      </c>
      <c r="X817" s="31" t="str">
        <f t="shared" si="89"/>
        <v/>
      </c>
      <c r="Y817" s="10" t="s">
        <v>1021</v>
      </c>
      <c r="Z817" s="10" t="s">
        <v>910</v>
      </c>
      <c r="AF817" s="12">
        <v>44937</v>
      </c>
      <c r="AG817" s="10">
        <f>-1.7779*2.15^2+83.185*2.15-35.938</f>
        <v>134.69140725</v>
      </c>
      <c r="AH817" s="10">
        <f>-2.8628*2.15^2+86.116*2.15-37.286</f>
        <v>134.63010699999998</v>
      </c>
      <c r="AI817" s="10">
        <f>-0.232*2.15^2+72.802*2.15-30.279</f>
        <v>125.17288000000002</v>
      </c>
      <c r="AK817" s="10">
        <f>0*2.15^2+67.076*2.15-21.654</f>
        <v>122.55939999999998</v>
      </c>
      <c r="AL817" s="10" t="str">
        <f t="shared" si="91"/>
        <v>y=-1.7779*2.15^2+83.185*2.15-35.938</v>
      </c>
      <c r="AM817" s="10" t="str">
        <f t="shared" si="91"/>
        <v>y=-2.8628*2.15^2+86.116*2.15-37.286</v>
      </c>
      <c r="AN817" s="10" t="str">
        <f t="shared" si="91"/>
        <v>y=-0.232*2.15^2+72.802*2.15-30.279</v>
      </c>
      <c r="AO817" s="10" t="str">
        <f t="shared" si="92"/>
        <v>FALSE</v>
      </c>
      <c r="AP817" s="10" t="str">
        <f t="shared" si="92"/>
        <v>y=0*2.15^2+67.076*2.15-21.654</v>
      </c>
      <c r="AQ817" s="10" t="str">
        <f>IF(AND(I817="TP",S817&lt;=150),VLOOKUP(AF817,TPCalibEq150!$AZ$2:$BB$55,3,),IF(AND(I817="TDP",S817&lt;=150),VLOOKUP(AF817,TPCalibEq150!$AZ$2:$BB$55,3,)))</f>
        <v>y=-1.7779x2+83.185x-35.938</v>
      </c>
      <c r="AR817" s="10" t="str">
        <f>IF(AND(I817="TP",S817&lt;=300),VLOOKUP(AF817,TPCalibEq300!$AZ$2:$BB$55,3,),IF(AND(I817="TDP",S817&lt;=300),VLOOKUP(AF817,TPCalibEq300!$AZ$2:$BB$55,3,)))</f>
        <v>y=-2.8628x2+86.116x-37.286</v>
      </c>
      <c r="AS817" s="10" t="str">
        <f>IF(AND(I817="TP",S817&lt;=500),VLOOKUP(AF817,TPCalibEq500!$AZ$2:$BB$56,3,),IF(AND(I817="TDP",S817&lt;=500),VLOOKUP(AF817,TPCalibEq500!$AZ$2:$BB$56,3,)))</f>
        <v>y=-0.232x2+72.802x-30.279</v>
      </c>
      <c r="AT817" s="10" t="b">
        <f>IF(AND(I817="TN",S817&lt;=2800),VLOOKUP(AF817,TNCalibEq2500!$AZ$2:$BB$56,3,),IF(AND(I817="TDN",S817&lt;=2800),VLOOKUP(AF817,TNCalibEq2500!$AZ$2:$BB$56,3,)))</f>
        <v>0</v>
      </c>
      <c r="AU817" s="10" t="str">
        <f>IF(I817="TP",VLOOKUP(AF817,TPCalibEqFull!$AZ$2:$BB$56,3),IF(I817="TDP",VLOOKUP(AF817,TPCalibEqFull!$AZ$2:$BB$56,3),IF(I817="TDN",VLOOKUP(AF817,TNCalibEqFull!$AZ$1:$BB$56,3),IF(I817="TN",VLOOKUP(AF817,TNCalibEqFull!$AZ$1:$BB$56,3),FALSE))))</f>
        <v>y=0x2+67.076x-21.654</v>
      </c>
      <c r="AV817" s="10" t="str">
        <f t="shared" si="90"/>
        <v>0109 10:44:00-ELI-0-FIL-1-SW-UKN</v>
      </c>
    </row>
    <row r="818" spans="1:48" s="10" customFormat="1" x14ac:dyDescent="0.55000000000000004">
      <c r="A818" s="32">
        <v>44935</v>
      </c>
      <c r="B818" s="33">
        <v>0.4145833333333333</v>
      </c>
      <c r="C818" s="10" t="s">
        <v>999</v>
      </c>
      <c r="D818" s="10">
        <v>0</v>
      </c>
      <c r="E818" s="10" t="s">
        <v>911</v>
      </c>
      <c r="F818" s="10">
        <v>1</v>
      </c>
      <c r="G818" s="10" t="s">
        <v>231</v>
      </c>
      <c r="H818" s="10" t="s">
        <v>322</v>
      </c>
      <c r="I818" s="10" t="s">
        <v>266</v>
      </c>
      <c r="J818" s="10">
        <v>117</v>
      </c>
      <c r="K818" s="12">
        <v>44937</v>
      </c>
      <c r="L818" s="33">
        <v>0.65512731481481479</v>
      </c>
      <c r="M818" s="10">
        <v>1</v>
      </c>
      <c r="N818" s="10" t="s">
        <v>84</v>
      </c>
      <c r="O818" s="10">
        <v>2.04</v>
      </c>
      <c r="P818" s="10">
        <v>0.14199999999999999</v>
      </c>
      <c r="Q818" s="10">
        <v>115</v>
      </c>
      <c r="R818" s="10" t="s">
        <v>85</v>
      </c>
      <c r="S818" s="34">
        <f t="shared" si="86"/>
        <v>126.47681151999998</v>
      </c>
      <c r="T818" s="10" t="s">
        <v>1035</v>
      </c>
      <c r="U818" s="34" t="str">
        <f t="shared" si="87"/>
        <v/>
      </c>
      <c r="V818" s="31" t="str">
        <f>IF(H818="CHK",VLOOKUP(I818,QCCHK,3,),IF(H818="GUP",VLOOKUP(E818,QCGUP,2,),IF(AND(H818="ATP",OR(I818="TN",I818="TDN",I818="TNO2-3",I818="NO2-3")),VLOOKUP(E818,QCREC_N,2,),IF(AND(H818="NIC",OR(I818="TN",I818="TDN",I818="TNO2-3",I818="NO2-3")),VLOOKUP(E818,QCNIC_N,2,),IF(AND(H818="UREA",OR(I818="TN",I818="TDN",I818="TNO2-3",I818="NO2-3")),VLOOKUP(E818,QCUREA_N,2,),IF(H818="PER",VLOOKUP(I818,QCPER,MATCH(E818,QCACTUAL!$J$25:$AA$25,0),),IF(H818="SPK",VLOOKUP(I818,QCSPK,3,),IF(AND(H818="ATP",OR(I818="TP",I818="TDP")),VLOOKUP(E818,QCATP_P,2,),""))))))))</f>
        <v/>
      </c>
      <c r="W818" s="31" t="str">
        <f t="shared" si="88"/>
        <v>TRUE</v>
      </c>
      <c r="X818" s="31" t="str">
        <f t="shared" si="89"/>
        <v/>
      </c>
      <c r="Y818" s="10" t="s">
        <v>1021</v>
      </c>
      <c r="Z818" s="10" t="s">
        <v>910</v>
      </c>
      <c r="AF818" s="12">
        <v>44937</v>
      </c>
      <c r="AG818" s="10">
        <f>-1.7779*2.04^2+83.185*2.04-35.938</f>
        <v>126.36049136000001</v>
      </c>
      <c r="AH818" s="10">
        <f>-2.8628*2.04^2+86.116*2.04-37.286</f>
        <v>126.47681151999998</v>
      </c>
      <c r="AI818" s="10">
        <f>-0.232*2.04^2+72.802*2.04-30.279</f>
        <v>117.27158880000002</v>
      </c>
      <c r="AK818" s="10">
        <f>0*2.04^2+67.076*2.04-21.654</f>
        <v>115.18104</v>
      </c>
      <c r="AL818" s="10" t="str">
        <f t="shared" si="91"/>
        <v>y=-1.7779*2.04^2+83.185*2.04-35.938</v>
      </c>
      <c r="AM818" s="10" t="str">
        <f t="shared" si="91"/>
        <v>y=-2.8628*2.04^2+86.116*2.04-37.286</v>
      </c>
      <c r="AN818" s="10" t="str">
        <f t="shared" si="91"/>
        <v>y=-0.232*2.04^2+72.802*2.04-30.279</v>
      </c>
      <c r="AO818" s="10" t="str">
        <f t="shared" si="92"/>
        <v>FALSE</v>
      </c>
      <c r="AP818" s="10" t="str">
        <f t="shared" si="92"/>
        <v>y=0*2.04^2+67.076*2.04-21.654</v>
      </c>
      <c r="AQ818" s="10" t="str">
        <f>IF(AND(I818="TP",S818&lt;=150),VLOOKUP(AF818,TPCalibEq150!$AZ$2:$BB$55,3,),IF(AND(I818="TDP",S818&lt;=150),VLOOKUP(AF818,TPCalibEq150!$AZ$2:$BB$55,3,)))</f>
        <v>y=-1.7779x2+83.185x-35.938</v>
      </c>
      <c r="AR818" s="10" t="str">
        <f>IF(AND(I818="TP",S818&lt;=300),VLOOKUP(AF818,TPCalibEq300!$AZ$2:$BB$55,3,),IF(AND(I818="TDP",S818&lt;=300),VLOOKUP(AF818,TPCalibEq300!$AZ$2:$BB$55,3,)))</f>
        <v>y=-2.8628x2+86.116x-37.286</v>
      </c>
      <c r="AS818" s="10" t="str">
        <f>IF(AND(I818="TP",S818&lt;=500),VLOOKUP(AF818,TPCalibEq500!$AZ$2:$BB$56,3,),IF(AND(I818="TDP",S818&lt;=500),VLOOKUP(AF818,TPCalibEq500!$AZ$2:$BB$56,3,)))</f>
        <v>y=-0.232x2+72.802x-30.279</v>
      </c>
      <c r="AT818" s="10" t="b">
        <f>IF(AND(I818="TN",S818&lt;=2800),VLOOKUP(AF818,TNCalibEq2500!$AZ$2:$BB$56,3,),IF(AND(I818="TDN",S818&lt;=2800),VLOOKUP(AF818,TNCalibEq2500!$AZ$2:$BB$56,3,)))</f>
        <v>0</v>
      </c>
      <c r="AU818" s="10" t="str">
        <f>IF(I818="TP",VLOOKUP(AF818,TPCalibEqFull!$AZ$2:$BB$56,3),IF(I818="TDP",VLOOKUP(AF818,TPCalibEqFull!$AZ$2:$BB$56,3),IF(I818="TDN",VLOOKUP(AF818,TNCalibEqFull!$AZ$1:$BB$56,3),IF(I818="TN",VLOOKUP(AF818,TNCalibEqFull!$AZ$1:$BB$56,3),FALSE))))</f>
        <v>y=0x2+67.076x-21.654</v>
      </c>
      <c r="AV818" s="10" t="str">
        <f t="shared" si="90"/>
        <v>0109 09:57:00-EAW-0-FIL-1-SW-UKN</v>
      </c>
    </row>
    <row r="819" spans="1:48" s="10" customFormat="1" x14ac:dyDescent="0.55000000000000004">
      <c r="A819" s="32">
        <v>44935</v>
      </c>
      <c r="B819" s="33">
        <v>0.4145833333333333</v>
      </c>
      <c r="C819" s="10" t="s">
        <v>999</v>
      </c>
      <c r="D819" s="10">
        <v>0</v>
      </c>
      <c r="E819" s="10" t="s">
        <v>911</v>
      </c>
      <c r="F819" s="10">
        <v>1</v>
      </c>
      <c r="G819" s="10" t="s">
        <v>231</v>
      </c>
      <c r="H819" s="10" t="s">
        <v>322</v>
      </c>
      <c r="I819" s="10" t="s">
        <v>266</v>
      </c>
      <c r="J819" s="10">
        <v>118</v>
      </c>
      <c r="K819" s="12">
        <v>44937</v>
      </c>
      <c r="L819" s="33">
        <v>0.65583333333333338</v>
      </c>
      <c r="M819" s="10">
        <v>1</v>
      </c>
      <c r="N819" s="10" t="s">
        <v>84</v>
      </c>
      <c r="O819" s="10">
        <v>1.96</v>
      </c>
      <c r="P819" s="10">
        <v>0.13700000000000001</v>
      </c>
      <c r="Q819" s="10">
        <v>110</v>
      </c>
      <c r="R819" s="10" t="s">
        <v>85</v>
      </c>
      <c r="S819" s="34">
        <f t="shared" si="86"/>
        <v>120.50362752000001</v>
      </c>
      <c r="T819" s="10" t="s">
        <v>1035</v>
      </c>
      <c r="U819" s="34" t="str">
        <f t="shared" si="87"/>
        <v/>
      </c>
      <c r="V819" s="31" t="str">
        <f>IF(H819="CHK",VLOOKUP(I819,QCCHK,3,),IF(H819="GUP",VLOOKUP(E819,QCGUP,2,),IF(AND(H819="ATP",OR(I819="TN",I819="TDN",I819="TNO2-3",I819="NO2-3")),VLOOKUP(E819,QCREC_N,2,),IF(AND(H819="NIC",OR(I819="TN",I819="TDN",I819="TNO2-3",I819="NO2-3")),VLOOKUP(E819,QCNIC_N,2,),IF(AND(H819="UREA",OR(I819="TN",I819="TDN",I819="TNO2-3",I819="NO2-3")),VLOOKUP(E819,QCUREA_N,2,),IF(H819="PER",VLOOKUP(I819,QCPER,MATCH(E819,QCACTUAL!$J$25:$AA$25,0),),IF(H819="SPK",VLOOKUP(I819,QCSPK,3,),IF(AND(H819="ATP",OR(I819="TP",I819="TDP")),VLOOKUP(E819,QCATP_P,2,),""))))))))</f>
        <v/>
      </c>
      <c r="W819" s="31" t="str">
        <f t="shared" si="88"/>
        <v>TRUE</v>
      </c>
      <c r="X819" s="31" t="str">
        <f t="shared" si="89"/>
        <v/>
      </c>
      <c r="Y819" s="10" t="s">
        <v>1021</v>
      </c>
      <c r="Z819" s="10" t="s">
        <v>910</v>
      </c>
      <c r="AF819" s="12">
        <v>44937</v>
      </c>
      <c r="AG819" s="10">
        <f>-1.7779*1.96^2+83.185*1.96-35.938</f>
        <v>120.27461935999999</v>
      </c>
      <c r="AH819" s="10">
        <f>-2.8628*1.96^2+86.116*1.96-37.286</f>
        <v>120.50362752000001</v>
      </c>
      <c r="AI819" s="10">
        <f>-0.232*1.96^2+72.802*1.96-30.279</f>
        <v>111.52166880000001</v>
      </c>
      <c r="AK819" s="10">
        <f>0*1.96^2+67.076*1.96-21.654</f>
        <v>109.81495999999999</v>
      </c>
      <c r="AL819" s="10" t="str">
        <f t="shared" si="91"/>
        <v>y=-1.7779*1.96^2+83.185*1.96-35.938</v>
      </c>
      <c r="AM819" s="10" t="str">
        <f t="shared" si="91"/>
        <v>y=-2.8628*1.96^2+86.116*1.96-37.286</v>
      </c>
      <c r="AN819" s="10" t="str">
        <f t="shared" si="91"/>
        <v>y=-0.232*1.96^2+72.802*1.96-30.279</v>
      </c>
      <c r="AO819" s="10" t="str">
        <f t="shared" si="92"/>
        <v>FALSE</v>
      </c>
      <c r="AP819" s="10" t="str">
        <f t="shared" si="92"/>
        <v>y=0*1.96^2+67.076*1.96-21.654</v>
      </c>
      <c r="AQ819" s="10" t="str">
        <f>IF(AND(I819="TP",S819&lt;=150),VLOOKUP(AF819,TPCalibEq150!$AZ$2:$BB$55,3,),IF(AND(I819="TDP",S819&lt;=150),VLOOKUP(AF819,TPCalibEq150!$AZ$2:$BB$55,3,)))</f>
        <v>y=-1.7779x2+83.185x-35.938</v>
      </c>
      <c r="AR819" s="10" t="str">
        <f>IF(AND(I819="TP",S819&lt;=300),VLOOKUP(AF819,TPCalibEq300!$AZ$2:$BB$55,3,),IF(AND(I819="TDP",S819&lt;=300),VLOOKUP(AF819,TPCalibEq300!$AZ$2:$BB$55,3,)))</f>
        <v>y=-2.8628x2+86.116x-37.286</v>
      </c>
      <c r="AS819" s="10" t="str">
        <f>IF(AND(I819="TP",S819&lt;=500),VLOOKUP(AF819,TPCalibEq500!$AZ$2:$BB$56,3,),IF(AND(I819="TDP",S819&lt;=500),VLOOKUP(AF819,TPCalibEq500!$AZ$2:$BB$56,3,)))</f>
        <v>y=-0.232x2+72.802x-30.279</v>
      </c>
      <c r="AT819" s="10" t="b">
        <f>IF(AND(I819="TN",S819&lt;=2800),VLOOKUP(AF819,TNCalibEq2500!$AZ$2:$BB$56,3,),IF(AND(I819="TDN",S819&lt;=2800),VLOOKUP(AF819,TNCalibEq2500!$AZ$2:$BB$56,3,)))</f>
        <v>0</v>
      </c>
      <c r="AU819" s="10" t="str">
        <f>IF(I819="TP",VLOOKUP(AF819,TPCalibEqFull!$AZ$2:$BB$56,3),IF(I819="TDP",VLOOKUP(AF819,TPCalibEqFull!$AZ$2:$BB$56,3),IF(I819="TDN",VLOOKUP(AF819,TNCalibEqFull!$AZ$1:$BB$56,3),IF(I819="TN",VLOOKUP(AF819,TNCalibEqFull!$AZ$1:$BB$56,3),FALSE))))</f>
        <v>y=0x2+67.076x-21.654</v>
      </c>
      <c r="AV819" s="10" t="str">
        <f t="shared" si="90"/>
        <v>0109 09:57:00-EAW-0-FIL-1-SW-UKN</v>
      </c>
    </row>
    <row r="820" spans="1:48" s="10" customFormat="1" x14ac:dyDescent="0.55000000000000004">
      <c r="A820" s="32">
        <v>44935</v>
      </c>
      <c r="B820" s="33">
        <v>0.4145833333333333</v>
      </c>
      <c r="C820" s="10" t="s">
        <v>999</v>
      </c>
      <c r="D820" s="10">
        <v>0</v>
      </c>
      <c r="E820" s="10" t="s">
        <v>911</v>
      </c>
      <c r="F820" s="10">
        <v>1</v>
      </c>
      <c r="G820" s="10" t="s">
        <v>231</v>
      </c>
      <c r="H820" s="10" t="s">
        <v>233</v>
      </c>
      <c r="I820" s="10" t="s">
        <v>266</v>
      </c>
      <c r="J820" s="10">
        <v>118</v>
      </c>
      <c r="K820" s="12">
        <v>44937</v>
      </c>
      <c r="L820" s="33">
        <v>0.65653935185185186</v>
      </c>
      <c r="M820" s="10">
        <v>1</v>
      </c>
      <c r="N820" s="10" t="s">
        <v>84</v>
      </c>
      <c r="O820" s="10">
        <v>1.95</v>
      </c>
      <c r="P820" s="10">
        <v>0.13700000000000001</v>
      </c>
      <c r="Q820" s="10">
        <v>109</v>
      </c>
      <c r="R820" s="10" t="s">
        <v>85</v>
      </c>
      <c r="S820" s="34">
        <f t="shared" si="86"/>
        <v>119.754403</v>
      </c>
      <c r="T820" s="10" t="s">
        <v>1035</v>
      </c>
      <c r="U820" s="34">
        <f t="shared" si="87"/>
        <v>0.62368322788498376</v>
      </c>
      <c r="V820" s="31" t="str">
        <f>IF(H820="CHK",VLOOKUP(I820,QCCHK,3,),IF(H820="GUP",VLOOKUP(E820,QCGUP,2,),IF(AND(H820="ATP",OR(I820="TN",I820="TDN",I820="TNO2-3",I820="NO2-3")),VLOOKUP(E820,QCREC_N,2,),IF(AND(H820="NIC",OR(I820="TN",I820="TDN",I820="TNO2-3",I820="NO2-3")),VLOOKUP(E820,QCNIC_N,2,),IF(AND(H820="UREA",OR(I820="TN",I820="TDN",I820="TNO2-3",I820="NO2-3")),VLOOKUP(E820,QCUREA_N,2,),IF(H820="PER",VLOOKUP(I820,QCPER,MATCH(E820,QCACTUAL!$J$25:$AA$25,0),),IF(H820="SPK",VLOOKUP(I820,QCSPK,3,),IF(AND(H820="ATP",OR(I820="TP",I820="TDP")),VLOOKUP(E820,QCATP_P,2,),""))))))))</f>
        <v/>
      </c>
      <c r="W820" s="31" t="str">
        <f t="shared" si="88"/>
        <v>TRUE</v>
      </c>
      <c r="X820" s="31" t="str">
        <f t="shared" si="89"/>
        <v>((ABS(rep1-rep2))/((rep1+rep2)/2)*100</v>
      </c>
      <c r="Y820" s="10" t="s">
        <v>1021</v>
      </c>
      <c r="Z820" s="10" t="s">
        <v>910</v>
      </c>
      <c r="AF820" s="12">
        <v>44937</v>
      </c>
      <c r="AG820" s="10">
        <f>-1.7779*1.95^2+83.185*1.95-35.938</f>
        <v>119.51228524999998</v>
      </c>
      <c r="AH820" s="10">
        <f>-2.8628*1.95^2+86.116*1.95-37.286</f>
        <v>119.754403</v>
      </c>
      <c r="AI820" s="10">
        <f>-0.232*1.95^2+72.802*1.95-30.279</f>
        <v>110.80272000000002</v>
      </c>
      <c r="AK820" s="10">
        <f>0*1.95^2+67.076*1.95-21.654</f>
        <v>109.14419999999998</v>
      </c>
      <c r="AL820" s="10" t="str">
        <f t="shared" si="91"/>
        <v>y=-1.7779*1.95^2+83.185*1.95-35.938</v>
      </c>
      <c r="AM820" s="10" t="str">
        <f t="shared" si="91"/>
        <v>y=-2.8628*1.95^2+86.116*1.95-37.286</v>
      </c>
      <c r="AN820" s="10" t="str">
        <f t="shared" si="91"/>
        <v>y=-0.232*1.95^2+72.802*1.95-30.279</v>
      </c>
      <c r="AO820" s="10" t="str">
        <f t="shared" si="92"/>
        <v>FALSE</v>
      </c>
      <c r="AP820" s="10" t="str">
        <f t="shared" si="92"/>
        <v>y=0*1.95^2+67.076*1.95-21.654</v>
      </c>
      <c r="AQ820" s="10" t="str">
        <f>IF(AND(I820="TP",S820&lt;=150),VLOOKUP(AF820,TPCalibEq150!$AZ$2:$BB$55,3,),IF(AND(I820="TDP",S820&lt;=150),VLOOKUP(AF820,TPCalibEq150!$AZ$2:$BB$55,3,)))</f>
        <v>y=-1.7779x2+83.185x-35.938</v>
      </c>
      <c r="AR820" s="10" t="str">
        <f>IF(AND(I820="TP",S820&lt;=300),VLOOKUP(AF820,TPCalibEq300!$AZ$2:$BB$55,3,),IF(AND(I820="TDP",S820&lt;=300),VLOOKUP(AF820,TPCalibEq300!$AZ$2:$BB$55,3,)))</f>
        <v>y=-2.8628x2+86.116x-37.286</v>
      </c>
      <c r="AS820" s="10" t="str">
        <f>IF(AND(I820="TP",S820&lt;=500),VLOOKUP(AF820,TPCalibEq500!$AZ$2:$BB$56,3,),IF(AND(I820="TDP",S820&lt;=500),VLOOKUP(AF820,TPCalibEq500!$AZ$2:$BB$56,3,)))</f>
        <v>y=-0.232x2+72.802x-30.279</v>
      </c>
      <c r="AT820" s="10" t="b">
        <f>IF(AND(I820="TN",S820&lt;=2800),VLOOKUP(AF820,TNCalibEq2500!$AZ$2:$BB$56,3,),IF(AND(I820="TDN",S820&lt;=2800),VLOOKUP(AF820,TNCalibEq2500!$AZ$2:$BB$56,3,)))</f>
        <v>0</v>
      </c>
      <c r="AU820" s="10" t="str">
        <f>IF(I820="TP",VLOOKUP(AF820,TPCalibEqFull!$AZ$2:$BB$56,3),IF(I820="TDP",VLOOKUP(AF820,TPCalibEqFull!$AZ$2:$BB$56,3),IF(I820="TDN",VLOOKUP(AF820,TNCalibEqFull!$AZ$1:$BB$56,3),IF(I820="TN",VLOOKUP(AF820,TNCalibEqFull!$AZ$1:$BB$56,3),FALSE))))</f>
        <v>y=0x2+67.076x-21.654</v>
      </c>
      <c r="AV820" s="10" t="str">
        <f t="shared" si="90"/>
        <v>0109 09:57:00-EAW-0-FIL-1-SW-DUP</v>
      </c>
    </row>
    <row r="821" spans="1:48" s="10" customFormat="1" x14ac:dyDescent="0.55000000000000004">
      <c r="A821" s="32">
        <v>44935</v>
      </c>
      <c r="B821" s="33">
        <v>0.4145833333333333</v>
      </c>
      <c r="C821" s="10" t="s">
        <v>999</v>
      </c>
      <c r="D821" s="10">
        <v>0</v>
      </c>
      <c r="E821" s="10" t="s">
        <v>911</v>
      </c>
      <c r="F821" s="10">
        <v>1</v>
      </c>
      <c r="G821" s="10" t="s">
        <v>231</v>
      </c>
      <c r="H821" s="10" t="s">
        <v>314</v>
      </c>
      <c r="I821" s="10" t="s">
        <v>266</v>
      </c>
      <c r="J821" s="10">
        <v>122</v>
      </c>
      <c r="K821" s="12">
        <v>44937</v>
      </c>
      <c r="L821" s="33">
        <v>0.65724537037037034</v>
      </c>
      <c r="M821" s="10">
        <v>1</v>
      </c>
      <c r="N821" s="10" t="s">
        <v>84</v>
      </c>
      <c r="O821" s="10">
        <v>17.8</v>
      </c>
      <c r="P821" s="10">
        <v>1.25</v>
      </c>
      <c r="Q821" s="10">
        <v>1170</v>
      </c>
      <c r="R821" s="10" t="s">
        <v>85</v>
      </c>
      <c r="S821" s="34">
        <f t="shared" si="86"/>
        <v>1172.2988</v>
      </c>
      <c r="T821" s="10" t="s">
        <v>1035</v>
      </c>
      <c r="U821" s="34">
        <f t="shared" si="87"/>
        <v>105.25443970000001</v>
      </c>
      <c r="V821" s="31">
        <f>IF(H821="CHK",VLOOKUP(I821,QCCHK,3,),IF(H821="GUP",VLOOKUP(E821,QCGUP,2,),IF(AND(H821="ATP",OR(I821="TN",I821="TDN",I821="TNO2-3",I821="NO2-3")),VLOOKUP(E821,QCREC_N,2,),IF(AND(H821="NIC",OR(I821="TN",I821="TDN",I821="TNO2-3",I821="NO2-3")),VLOOKUP(E821,QCNIC_N,2,),IF(AND(H821="UREA",OR(I821="TN",I821="TDN",I821="TNO2-3",I821="NO2-3")),VLOOKUP(E821,QCUREA_N,2,),IF(H821="PER",VLOOKUP(I821,QCPER,MATCH(E821,QCACTUAL!$J$25:$AA$25,0),),IF(H821="SPK",VLOOKUP(I821,QCSPK,3,),IF(AND(H821="ATP",OR(I821="TP",I821="TDP")),VLOOKUP(E821,QCATP_P,2,),""))))))))</f>
        <v>1000</v>
      </c>
      <c r="W821" s="31" t="str">
        <f t="shared" si="88"/>
        <v>TRUE</v>
      </c>
      <c r="X821" s="31" t="str">
        <f t="shared" si="89"/>
        <v>([spikedunkn]-[unkn])/[spike]*100</v>
      </c>
      <c r="Y821" s="10" t="s">
        <v>1021</v>
      </c>
      <c r="Z821" s="10" t="s">
        <v>910</v>
      </c>
      <c r="AF821" s="12">
        <v>44937</v>
      </c>
      <c r="AK821" s="10">
        <f>0*17.8^2+67.076*17.8-21.654</f>
        <v>1172.2988</v>
      </c>
      <c r="AL821" s="10" t="str">
        <f t="shared" si="91"/>
        <v>FALSE</v>
      </c>
      <c r="AM821" s="10" t="str">
        <f t="shared" si="91"/>
        <v>FALSE</v>
      </c>
      <c r="AN821" s="10" t="str">
        <f t="shared" si="91"/>
        <v>FALSE</v>
      </c>
      <c r="AO821" s="10" t="str">
        <f t="shared" si="92"/>
        <v>FALSE</v>
      </c>
      <c r="AP821" s="10" t="str">
        <f t="shared" si="92"/>
        <v>y=0*17.8^2+67.076*17.8-21.654</v>
      </c>
      <c r="AQ821" s="10" t="b">
        <f>IF(AND(I821="TP",S821&lt;=150),VLOOKUP(AF821,TPCalibEq150!$AZ$2:$BB$55,3,),IF(AND(I821="TDP",S821&lt;=150),VLOOKUP(AF821,TPCalibEq150!$AZ$2:$BB$55,3,)))</f>
        <v>0</v>
      </c>
      <c r="AR821" s="10" t="b">
        <f>IF(AND(I821="TP",S821&lt;=300),VLOOKUP(AF821,TPCalibEq300!$AZ$2:$BB$55,3,),IF(AND(I821="TDP",S821&lt;=300),VLOOKUP(AF821,TPCalibEq300!$AZ$2:$BB$55,3,)))</f>
        <v>0</v>
      </c>
      <c r="AS821" s="10" t="b">
        <f>IF(AND(I821="TP",S821&lt;=500),VLOOKUP(AF821,TPCalibEq500!$AZ$2:$BB$56,3,),IF(AND(I821="TDP",S821&lt;=500),VLOOKUP(AF821,TPCalibEq500!$AZ$2:$BB$56,3,)))</f>
        <v>0</v>
      </c>
      <c r="AT821" s="10" t="b">
        <f>IF(AND(I821="TN",S821&lt;=2800),VLOOKUP(AF821,TNCalibEq2500!$AZ$2:$BB$56,3,),IF(AND(I821="TDN",S821&lt;=2800),VLOOKUP(AF821,TNCalibEq2500!$AZ$2:$BB$56,3,)))</f>
        <v>0</v>
      </c>
      <c r="AU821" s="10" t="str">
        <f>IF(I821="TP",VLOOKUP(AF821,TPCalibEqFull!$AZ$2:$BB$56,3),IF(I821="TDP",VLOOKUP(AF821,TPCalibEqFull!$AZ$2:$BB$56,3),IF(I821="TDN",VLOOKUP(AF821,TNCalibEqFull!$AZ$1:$BB$56,3),IF(I821="TN",VLOOKUP(AF821,TNCalibEqFull!$AZ$1:$BB$56,3),FALSE))))</f>
        <v>y=0x2+67.076x-21.654</v>
      </c>
      <c r="AV821" s="10" t="str">
        <f t="shared" si="90"/>
        <v>0109 09:57:00-EAW-0-FIL-1-SW-SPK</v>
      </c>
    </row>
    <row r="822" spans="1:48" s="10" customFormat="1" x14ac:dyDescent="0.55000000000000004">
      <c r="A822" s="32">
        <v>44937</v>
      </c>
      <c r="B822" s="33">
        <v>0.375</v>
      </c>
      <c r="C822" s="10" t="s">
        <v>70</v>
      </c>
      <c r="D822" s="10" t="s">
        <v>71</v>
      </c>
      <c r="E822" s="10" t="s">
        <v>901</v>
      </c>
      <c r="F822" s="10">
        <v>1</v>
      </c>
      <c r="G822" s="10" t="s">
        <v>73</v>
      </c>
      <c r="H822" s="10" t="s">
        <v>207</v>
      </c>
      <c r="I822" s="10" t="s">
        <v>83</v>
      </c>
      <c r="J822" s="10">
        <v>202</v>
      </c>
      <c r="K822" s="12">
        <v>44937</v>
      </c>
      <c r="L822" s="33">
        <v>0.65793981481481478</v>
      </c>
      <c r="M822" s="10">
        <v>1</v>
      </c>
      <c r="N822" s="10" t="s">
        <v>84</v>
      </c>
      <c r="O822" s="10">
        <v>8.33</v>
      </c>
      <c r="P822" s="10">
        <v>0.59299999999999997</v>
      </c>
      <c r="Q822" s="10">
        <v>532</v>
      </c>
      <c r="R822" s="10" t="s">
        <v>85</v>
      </c>
      <c r="S822" s="34">
        <f t="shared" si="86"/>
        <v>537.08907999999997</v>
      </c>
      <c r="T822" s="10" t="s">
        <v>1035</v>
      </c>
      <c r="U822" s="34">
        <f t="shared" si="87"/>
        <v>107.417816</v>
      </c>
      <c r="V822" s="31">
        <f>IF(H822="CHK",VLOOKUP(I822,QCCHK,3,),IF(H822="GUP",VLOOKUP(E822,QCGUP,2,),IF(AND(H822="ATP",OR(I822="TN",I822="TDN",I822="TNO2-3",I822="NO2-3")),VLOOKUP(E822,QCREC_N,2,),IF(AND(H822="NIC",OR(I822="TN",I822="TDN",I822="TNO2-3",I822="NO2-3")),VLOOKUP(E822,QCNIC_N,2,),IF(AND(H822="UREA",OR(I822="TN",I822="TDN",I822="TNO2-3",I822="NO2-3")),VLOOKUP(E822,QCUREA_N,2,),IF(H822="PER",VLOOKUP(I822,QCPER,MATCH(E822,QCACTUAL!$J$25:$AA$25,0),),IF(H822="SPK",VLOOKUP(I822,QCSPK,3,),IF(AND(H822="ATP",OR(I822="TP",I822="TDP")),VLOOKUP(E822,QCATP_P,2,),""))))))))</f>
        <v>500</v>
      </c>
      <c r="W822" s="31" t="str">
        <f t="shared" si="88"/>
        <v>TRUE</v>
      </c>
      <c r="X822" s="31" t="str">
        <f t="shared" si="89"/>
        <v>[chk]/[actual]*100</v>
      </c>
      <c r="Y822" s="10" t="s">
        <v>1021</v>
      </c>
      <c r="AF822" s="12">
        <v>44937</v>
      </c>
      <c r="AK822" s="10">
        <f>0*8.33^2+67.076*8.33-21.654</f>
        <v>537.08907999999997</v>
      </c>
      <c r="AL822" s="10" t="str">
        <f t="shared" si="91"/>
        <v>FALSE</v>
      </c>
      <c r="AM822" s="10" t="str">
        <f t="shared" si="91"/>
        <v>FALSE</v>
      </c>
      <c r="AN822" s="10" t="str">
        <f t="shared" si="91"/>
        <v>FALSE</v>
      </c>
      <c r="AO822" s="10" t="str">
        <f t="shared" si="92"/>
        <v>FALSE</v>
      </c>
      <c r="AP822" s="10" t="str">
        <f t="shared" si="92"/>
        <v>y=0*8.33^2+67.076*8.33-21.654</v>
      </c>
      <c r="AQ822" s="10" t="b">
        <f>IF(AND(I822="TP",S822&lt;=150),VLOOKUP(AF822,TPCalibEq150!$AZ$2:$BB$55,3,),IF(AND(I822="TDP",S822&lt;=150),VLOOKUP(AF822,TPCalibEq150!$AZ$2:$BB$55,3,)))</f>
        <v>0</v>
      </c>
      <c r="AR822" s="10" t="b">
        <f>IF(AND(I822="TP",S822&lt;=300),VLOOKUP(AF822,TPCalibEq300!$AZ$2:$BB$55,3,),IF(AND(I822="TDP",S822&lt;=300),VLOOKUP(AF822,TPCalibEq300!$AZ$2:$BB$55,3,)))</f>
        <v>0</v>
      </c>
      <c r="AS822" s="10" t="b">
        <f>IF(AND(I822="TP",S822&lt;=500),VLOOKUP(AF822,TPCalibEq500!$AZ$2:$BB$56,3,),IF(AND(I822="TDP",S822&lt;=500),VLOOKUP(AF822,TPCalibEq500!$AZ$2:$BB$56,3,)))</f>
        <v>0</v>
      </c>
      <c r="AT822" s="10" t="b">
        <f>IF(AND(I822="TN",S822&lt;=2800),VLOOKUP(AF822,TNCalibEq2500!$AZ$2:$BB$56,3,),IF(AND(I822="TDN",S822&lt;=2800),VLOOKUP(AF822,TNCalibEq2500!$AZ$2:$BB$56,3,)))</f>
        <v>0</v>
      </c>
      <c r="AU822" s="10" t="str">
        <f>IF(I822="TP",VLOOKUP(AF822,TPCalibEqFull!$AZ$2:$BB$56,3),IF(I822="TDP",VLOOKUP(AF822,TPCalibEqFull!$AZ$2:$BB$56,3),IF(I822="TDN",VLOOKUP(AF822,TNCalibEqFull!$AZ$1:$BB$56,3),IF(I822="TN",VLOOKUP(AF822,TNCalibEqFull!$AZ$1:$BB$56,3),FALSE))))</f>
        <v>y=0x2+67.076x-21.654</v>
      </c>
      <c r="AV822" s="10" t="str">
        <f t="shared" si="90"/>
        <v>0111 09:00:00-QAC-STD-D-1-DI-CHK</v>
      </c>
    </row>
    <row r="823" spans="1:48" s="10" customFormat="1" x14ac:dyDescent="0.55000000000000004">
      <c r="A823" s="32">
        <v>44950</v>
      </c>
      <c r="B823" s="33">
        <v>0.375</v>
      </c>
      <c r="C823" s="10" t="s">
        <v>70</v>
      </c>
      <c r="D823" s="10" t="s">
        <v>71</v>
      </c>
      <c r="E823" s="10" t="s">
        <v>72</v>
      </c>
      <c r="F823" s="10">
        <v>1</v>
      </c>
      <c r="G823" s="10" t="s">
        <v>73</v>
      </c>
      <c r="H823" s="10" t="s">
        <v>74</v>
      </c>
      <c r="I823" s="10" t="s">
        <v>75</v>
      </c>
      <c r="J823" s="10">
        <v>181</v>
      </c>
      <c r="K823" s="12">
        <v>44950</v>
      </c>
      <c r="L823" s="33">
        <v>0.45131944444444444</v>
      </c>
      <c r="M823" s="10">
        <v>1</v>
      </c>
      <c r="N823" s="10" t="s">
        <v>76</v>
      </c>
      <c r="O823" s="10">
        <v>2.87E-2</v>
      </c>
      <c r="P823" s="10">
        <v>3.0699999999999998E-3</v>
      </c>
      <c r="Q823" s="10">
        <v>0</v>
      </c>
      <c r="R823" s="10" t="s">
        <v>77</v>
      </c>
      <c r="S823" s="34">
        <f t="shared" si="86"/>
        <v>0</v>
      </c>
      <c r="T823" s="10" t="s">
        <v>78</v>
      </c>
      <c r="U823" s="34" t="str">
        <f t="shared" si="87"/>
        <v/>
      </c>
      <c r="V823" s="31" t="str">
        <f>IF(H823="CHK",VLOOKUP(I823,QCCHK,3,),IF(H823="GUP",VLOOKUP(E823,QCGUP,2,),IF(AND(H823="ATP",OR(I823="TN",I823="TDN",I823="TNO2-3",I823="NO2-3")),VLOOKUP(E823,QCREC_N,2,),IF(AND(H823="NIC",OR(I823="TN",I823="TDN",I823="TNO2-3",I823="NO2-3")),VLOOKUP(E823,QCNIC_N,2,),IF(AND(H823="UREA",OR(I823="TN",I823="TDN",I823="TNO2-3",I823="NO2-3")),VLOOKUP(E823,QCUREA_N,2,),IF(H823="PER",VLOOKUP(I823,QCPER,MATCH(E823,QCACTUAL!$J$25:$AA$25,0),),IF(H823="SPK",VLOOKUP(I823,QCSPK,3,),IF(AND(H823="ATP",OR(I823="TP",I823="TDP")),VLOOKUP(E823,QCATP_P,2,),""))))))))</f>
        <v/>
      </c>
      <c r="W823" s="31" t="str">
        <f t="shared" si="88"/>
        <v>TRUE</v>
      </c>
      <c r="X823" s="31" t="str">
        <f t="shared" si="89"/>
        <v/>
      </c>
      <c r="Y823" s="10" t="s">
        <v>1040</v>
      </c>
      <c r="AL823" s="10" t="str">
        <f t="shared" si="91"/>
        <v>FALSE</v>
      </c>
      <c r="AM823" s="10" t="str">
        <f t="shared" si="91"/>
        <v>FALSE</v>
      </c>
      <c r="AN823" s="10" t="str">
        <f t="shared" si="91"/>
        <v>FALSE</v>
      </c>
      <c r="AO823" s="10" t="str">
        <f t="shared" si="92"/>
        <v>FALSE</v>
      </c>
      <c r="AP823" s="10" t="str">
        <f t="shared" si="92"/>
        <v>FALSE</v>
      </c>
      <c r="AQ823" s="10" t="b">
        <f>IF(AND(I823="TP",S823&lt;=150),VLOOKUP(AF823,TPCalibEq150!$AZ$2:$BB$55,3,),IF(AND(I823="TDP",S823&lt;=150),VLOOKUP(AF823,TPCalibEq150!$AZ$2:$BB$55,3,)))</f>
        <v>0</v>
      </c>
      <c r="AR823" s="10" t="b">
        <f>IF(AND(I823="TP",S823&lt;=300),VLOOKUP(AF823,TPCalibEq300!$AZ$2:$BB$55,3,),IF(AND(I823="TDP",S823&lt;=300),VLOOKUP(AF823,TPCalibEq300!$AZ$2:$BB$55,3,)))</f>
        <v>0</v>
      </c>
      <c r="AS823" s="10" t="b">
        <f>IF(AND(I823="TP",S823&lt;=500),VLOOKUP(AF823,TPCalibEq500!$AZ$2:$BB$56,3,),IF(AND(I823="TDP",S823&lt;=500),VLOOKUP(AF823,TPCalibEq500!$AZ$2:$BB$56,3,)))</f>
        <v>0</v>
      </c>
      <c r="AT823" s="10" t="b">
        <f>IF(AND(I823="TN",S823&lt;=2800),VLOOKUP(AF823,TNCalibEq2500!$AZ$2:$BB$56,3,),IF(AND(I823="TDN",S823&lt;=2800),VLOOKUP(AF823,TNCalibEq2500!$AZ$2:$BB$56,3,)))</f>
        <v>0</v>
      </c>
      <c r="AU823" s="10" t="b">
        <f>IF(I823="TP",VLOOKUP(AF823,TPCalibEqFull!$AZ$2:$BB$56,3),IF(I823="TDP",VLOOKUP(AF823,TPCalibEqFull!$AZ$2:$BB$56,3),IF(I823="TDN",VLOOKUP(AF823,TNCalibEqFull!$AZ$1:$BB$56,3),IF(I823="TN",VLOOKUP(AF823,TNCalibEqFull!$AZ$1:$BB$56,3),FALSE))))</f>
        <v>0</v>
      </c>
      <c r="AV823" s="10" t="str">
        <f t="shared" si="90"/>
        <v>0124 09:00:00-QAC-STD-H-1-DI-CAL</v>
      </c>
    </row>
    <row r="824" spans="1:48" s="10" customFormat="1" x14ac:dyDescent="0.55000000000000004">
      <c r="A824" s="32">
        <v>44950</v>
      </c>
      <c r="B824" s="33">
        <v>0.375</v>
      </c>
      <c r="C824" s="10" t="s">
        <v>70</v>
      </c>
      <c r="D824" s="10" t="s">
        <v>71</v>
      </c>
      <c r="E824" s="10" t="s">
        <v>908</v>
      </c>
      <c r="F824" s="10">
        <v>1</v>
      </c>
      <c r="G824" s="10" t="s">
        <v>73</v>
      </c>
      <c r="H824" s="10" t="s">
        <v>74</v>
      </c>
      <c r="I824" s="10" t="s">
        <v>75</v>
      </c>
      <c r="J824" s="10">
        <v>182</v>
      </c>
      <c r="K824" s="12">
        <v>44950</v>
      </c>
      <c r="L824" s="33">
        <v>0.45216435185185189</v>
      </c>
      <c r="M824" s="10">
        <v>1</v>
      </c>
      <c r="N824" s="10" t="s">
        <v>76</v>
      </c>
      <c r="O824" s="10">
        <v>0.316</v>
      </c>
      <c r="P824" s="10">
        <v>2.6200000000000001E-2</v>
      </c>
      <c r="Q824" s="10">
        <v>20</v>
      </c>
      <c r="R824" s="10" t="s">
        <v>77</v>
      </c>
      <c r="S824" s="34">
        <f t="shared" si="86"/>
        <v>20</v>
      </c>
      <c r="T824" s="10" t="s">
        <v>1041</v>
      </c>
      <c r="U824" s="34" t="str">
        <f t="shared" si="87"/>
        <v/>
      </c>
      <c r="V824" s="31" t="str">
        <f>IF(H824="CHK",VLOOKUP(I824,QCCHK,3,),IF(H824="GUP",VLOOKUP(E824,QCGUP,2,),IF(AND(H824="ATP",OR(I824="TN",I824="TDN",I824="TNO2-3",I824="NO2-3")),VLOOKUP(E824,QCREC_N,2,),IF(AND(H824="NIC",OR(I824="TN",I824="TDN",I824="TNO2-3",I824="NO2-3")),VLOOKUP(E824,QCNIC_N,2,),IF(AND(H824="UREA",OR(I824="TN",I824="TDN",I824="TNO2-3",I824="NO2-3")),VLOOKUP(E824,QCUREA_N,2,),IF(H824="PER",VLOOKUP(I824,QCPER,MATCH(E824,QCACTUAL!$J$25:$AA$25,0),),IF(H824="SPK",VLOOKUP(I824,QCSPK,3,),IF(AND(H824="ATP",OR(I824="TP",I824="TDP")),VLOOKUP(E824,QCATP_P,2,),""))))))))</f>
        <v/>
      </c>
      <c r="W824" s="31" t="str">
        <f t="shared" si="88"/>
        <v>TRUE</v>
      </c>
      <c r="X824" s="31" t="str">
        <f t="shared" si="89"/>
        <v/>
      </c>
      <c r="Y824" s="10" t="s">
        <v>1040</v>
      </c>
      <c r="AL824" s="10" t="str">
        <f t="shared" ref="AL824:AN887" si="93">IF($O824="", "", IF(AQ824&lt;&gt;"", SUBSTITUTE(SUBSTITUTE(AQ824, "x", "*"&amp;$O824&amp;"^", 1), "x", "*"&amp;$O824, 1), ""))</f>
        <v>FALSE</v>
      </c>
      <c r="AM824" s="10" t="str">
        <f t="shared" si="93"/>
        <v>FALSE</v>
      </c>
      <c r="AN824" s="10" t="str">
        <f t="shared" si="93"/>
        <v>FALSE</v>
      </c>
      <c r="AO824" s="10" t="str">
        <f t="shared" ref="AO824:AP887" si="94">IF($O824="", "FALSE", IF(AT824&lt;&gt;"FALSE", SUBSTITUTE(SUBSTITUTE(AT824, "x", "*"&amp;$O824&amp;"^", 1), "x", "*"&amp;$O824, 1), ""))</f>
        <v>FALSE</v>
      </c>
      <c r="AP824" s="10" t="str">
        <f t="shared" si="94"/>
        <v>FALSE</v>
      </c>
      <c r="AQ824" s="10" t="b">
        <f>IF(AND(I824="TP",S824&lt;=150),VLOOKUP(AF824,TPCalibEq150!$AZ$2:$BB$55,3,),IF(AND(I824="TDP",S824&lt;=150),VLOOKUP(AF824,TPCalibEq150!$AZ$2:$BB$55,3,)))</f>
        <v>0</v>
      </c>
      <c r="AR824" s="10" t="b">
        <f>IF(AND(I824="TP",S824&lt;=300),VLOOKUP(AF824,TPCalibEq300!$AZ$2:$BB$55,3,),IF(AND(I824="TDP",S824&lt;=300),VLOOKUP(AF824,TPCalibEq300!$AZ$2:$BB$55,3,)))</f>
        <v>0</v>
      </c>
      <c r="AS824" s="10" t="b">
        <f>IF(AND(I824="TP",S824&lt;=500),VLOOKUP(AF824,TPCalibEq500!$AZ$2:$BB$56,3,),IF(AND(I824="TDP",S824&lt;=500),VLOOKUP(AF824,TPCalibEq500!$AZ$2:$BB$56,3,)))</f>
        <v>0</v>
      </c>
      <c r="AT824" s="10" t="b">
        <f>IF(AND(I824="TN",S824&lt;=2800),VLOOKUP(AF824,TNCalibEq2500!$AZ$2:$BB$56,3,),IF(AND(I824="TDN",S824&lt;=2800),VLOOKUP(AF824,TNCalibEq2500!$AZ$2:$BB$56,3,)))</f>
        <v>0</v>
      </c>
      <c r="AU824" s="10" t="b">
        <f>IF(I824="TP",VLOOKUP(AF824,TPCalibEqFull!$AZ$2:$BB$56,3),IF(I824="TDP",VLOOKUP(AF824,TPCalibEqFull!$AZ$2:$BB$56,3),IF(I824="TDN",VLOOKUP(AF824,TNCalibEqFull!$AZ$1:$BB$56,3),IF(I824="TN",VLOOKUP(AF824,TNCalibEqFull!$AZ$1:$BB$56,3),FALSE))))</f>
        <v>0</v>
      </c>
      <c r="AV824" s="10" t="str">
        <f t="shared" si="90"/>
        <v>0124 09:00:00-QAC-STD-G-1-DI-CAL</v>
      </c>
    </row>
    <row r="825" spans="1:48" s="10" customFormat="1" x14ac:dyDescent="0.55000000000000004">
      <c r="A825" s="32">
        <v>44950</v>
      </c>
      <c r="B825" s="33">
        <v>0.375</v>
      </c>
      <c r="C825" s="10" t="s">
        <v>70</v>
      </c>
      <c r="D825" s="10" t="s">
        <v>71</v>
      </c>
      <c r="E825" s="10" t="s">
        <v>550</v>
      </c>
      <c r="F825" s="10">
        <v>1</v>
      </c>
      <c r="G825" s="10" t="s">
        <v>73</v>
      </c>
      <c r="H825" s="10" t="s">
        <v>74</v>
      </c>
      <c r="I825" s="10" t="s">
        <v>75</v>
      </c>
      <c r="J825" s="10">
        <v>183</v>
      </c>
      <c r="K825" s="12">
        <v>44950</v>
      </c>
      <c r="L825" s="33">
        <v>0.45299768518518518</v>
      </c>
      <c r="M825" s="10">
        <v>1</v>
      </c>
      <c r="N825" s="10" t="s">
        <v>76</v>
      </c>
      <c r="O825" s="10">
        <v>0.88600000000000001</v>
      </c>
      <c r="P825" s="10">
        <v>7.8200000000000006E-2</v>
      </c>
      <c r="Q825" s="10">
        <v>60</v>
      </c>
      <c r="R825" s="10" t="s">
        <v>77</v>
      </c>
      <c r="S825" s="34">
        <f t="shared" si="86"/>
        <v>60</v>
      </c>
      <c r="T825" s="10" t="s">
        <v>1042</v>
      </c>
      <c r="U825" s="34" t="str">
        <f t="shared" si="87"/>
        <v/>
      </c>
      <c r="V825" s="31" t="str">
        <f>IF(H825="CHK",VLOOKUP(I825,QCCHK,3,),IF(H825="GUP",VLOOKUP(E825,QCGUP,2,),IF(AND(H825="ATP",OR(I825="TN",I825="TDN",I825="TNO2-3",I825="NO2-3")),VLOOKUP(E825,QCREC_N,2,),IF(AND(H825="NIC",OR(I825="TN",I825="TDN",I825="TNO2-3",I825="NO2-3")),VLOOKUP(E825,QCNIC_N,2,),IF(AND(H825="UREA",OR(I825="TN",I825="TDN",I825="TNO2-3",I825="NO2-3")),VLOOKUP(E825,QCUREA_N,2,),IF(H825="PER",VLOOKUP(I825,QCPER,MATCH(E825,QCACTUAL!$J$25:$AA$25,0),),IF(H825="SPK",VLOOKUP(I825,QCSPK,3,),IF(AND(H825="ATP",OR(I825="TP",I825="TDP")),VLOOKUP(E825,QCATP_P,2,),""))))))))</f>
        <v/>
      </c>
      <c r="W825" s="31" t="str">
        <f t="shared" si="88"/>
        <v>TRUE</v>
      </c>
      <c r="X825" s="31" t="str">
        <f t="shared" si="89"/>
        <v/>
      </c>
      <c r="Y825" s="10" t="s">
        <v>1040</v>
      </c>
      <c r="AL825" s="10" t="str">
        <f t="shared" si="93"/>
        <v>FALSE</v>
      </c>
      <c r="AM825" s="10" t="str">
        <f t="shared" si="93"/>
        <v>FALSE</v>
      </c>
      <c r="AN825" s="10" t="str">
        <f t="shared" si="93"/>
        <v>FALSE</v>
      </c>
      <c r="AO825" s="10" t="str">
        <f t="shared" si="94"/>
        <v>FALSE</v>
      </c>
      <c r="AP825" s="10" t="str">
        <f t="shared" si="94"/>
        <v>FALSE</v>
      </c>
      <c r="AQ825" s="10" t="b">
        <f>IF(AND(I825="TP",S825&lt;=150),VLOOKUP(AF825,TPCalibEq150!$AZ$2:$BB$55,3,),IF(AND(I825="TDP",S825&lt;=150),VLOOKUP(AF825,TPCalibEq150!$AZ$2:$BB$55,3,)))</f>
        <v>0</v>
      </c>
      <c r="AR825" s="10" t="b">
        <f>IF(AND(I825="TP",S825&lt;=300),VLOOKUP(AF825,TPCalibEq300!$AZ$2:$BB$55,3,),IF(AND(I825="TDP",S825&lt;=300),VLOOKUP(AF825,TPCalibEq300!$AZ$2:$BB$55,3,)))</f>
        <v>0</v>
      </c>
      <c r="AS825" s="10" t="b">
        <f>IF(AND(I825="TP",S825&lt;=500),VLOOKUP(AF825,TPCalibEq500!$AZ$2:$BB$56,3,),IF(AND(I825="TDP",S825&lt;=500),VLOOKUP(AF825,TPCalibEq500!$AZ$2:$BB$56,3,)))</f>
        <v>0</v>
      </c>
      <c r="AT825" s="10" t="b">
        <f>IF(AND(I825="TN",S825&lt;=2800),VLOOKUP(AF825,TNCalibEq2500!$AZ$2:$BB$56,3,),IF(AND(I825="TDN",S825&lt;=2800),VLOOKUP(AF825,TNCalibEq2500!$AZ$2:$BB$56,3,)))</f>
        <v>0</v>
      </c>
      <c r="AU825" s="10" t="b">
        <f>IF(I825="TP",VLOOKUP(AF825,TPCalibEqFull!$AZ$2:$BB$56,3),IF(I825="TDP",VLOOKUP(AF825,TPCalibEqFull!$AZ$2:$BB$56,3),IF(I825="TDN",VLOOKUP(AF825,TNCalibEqFull!$AZ$1:$BB$56,3),IF(I825="TN",VLOOKUP(AF825,TNCalibEqFull!$AZ$1:$BB$56,3),FALSE))))</f>
        <v>0</v>
      </c>
      <c r="AV825" s="10" t="str">
        <f t="shared" si="90"/>
        <v>0124 09:00:00-QAC-STD-F-1-DI-CAL</v>
      </c>
    </row>
    <row r="826" spans="1:48" s="10" customFormat="1" x14ac:dyDescent="0.55000000000000004">
      <c r="A826" s="32">
        <v>44950</v>
      </c>
      <c r="B826" s="33">
        <v>0.375</v>
      </c>
      <c r="C826" s="10" t="s">
        <v>70</v>
      </c>
      <c r="D826" s="10" t="s">
        <v>71</v>
      </c>
      <c r="E826" s="10" t="s">
        <v>909</v>
      </c>
      <c r="F826" s="10">
        <v>1</v>
      </c>
      <c r="G826" s="10" t="s">
        <v>73</v>
      </c>
      <c r="H826" s="10" t="s">
        <v>74</v>
      </c>
      <c r="I826" s="10" t="s">
        <v>75</v>
      </c>
      <c r="J826" s="10">
        <v>184</v>
      </c>
      <c r="K826" s="12">
        <v>44950</v>
      </c>
      <c r="L826" s="33">
        <v>0.45383101851851854</v>
      </c>
      <c r="M826" s="10">
        <v>1</v>
      </c>
      <c r="N826" s="10" t="s">
        <v>76</v>
      </c>
      <c r="O826" s="10">
        <v>1.1299999999999999</v>
      </c>
      <c r="P826" s="10">
        <v>0.10299999999999999</v>
      </c>
      <c r="Q826" s="10">
        <v>80</v>
      </c>
      <c r="R826" s="10" t="s">
        <v>77</v>
      </c>
      <c r="S826" s="34">
        <f t="shared" si="86"/>
        <v>80</v>
      </c>
      <c r="T826" s="10" t="s">
        <v>1043</v>
      </c>
      <c r="U826" s="34" t="str">
        <f t="shared" si="87"/>
        <v/>
      </c>
      <c r="V826" s="31" t="str">
        <f>IF(H826="CHK",VLOOKUP(I826,QCCHK,3,),IF(H826="GUP",VLOOKUP(E826,QCGUP,2,),IF(AND(H826="ATP",OR(I826="TN",I826="TDN",I826="TNO2-3",I826="NO2-3")),VLOOKUP(E826,QCREC_N,2,),IF(AND(H826="NIC",OR(I826="TN",I826="TDN",I826="TNO2-3",I826="NO2-3")),VLOOKUP(E826,QCNIC_N,2,),IF(AND(H826="UREA",OR(I826="TN",I826="TDN",I826="TNO2-3",I826="NO2-3")),VLOOKUP(E826,QCUREA_N,2,),IF(H826="PER",VLOOKUP(I826,QCPER,MATCH(E826,QCACTUAL!$J$25:$AA$25,0),),IF(H826="SPK",VLOOKUP(I826,QCSPK,3,),IF(AND(H826="ATP",OR(I826="TP",I826="TDP")),VLOOKUP(E826,QCATP_P,2,),""))))))))</f>
        <v/>
      </c>
      <c r="W826" s="31" t="str">
        <f t="shared" si="88"/>
        <v>TRUE</v>
      </c>
      <c r="X826" s="31" t="str">
        <f t="shared" si="89"/>
        <v/>
      </c>
      <c r="Y826" s="10" t="s">
        <v>1040</v>
      </c>
      <c r="AL826" s="10" t="str">
        <f t="shared" si="93"/>
        <v>FALSE</v>
      </c>
      <c r="AM826" s="10" t="str">
        <f t="shared" si="93"/>
        <v>FALSE</v>
      </c>
      <c r="AN826" s="10" t="str">
        <f t="shared" si="93"/>
        <v>FALSE</v>
      </c>
      <c r="AO826" s="10" t="str">
        <f t="shared" si="94"/>
        <v>FALSE</v>
      </c>
      <c r="AP826" s="10" t="str">
        <f t="shared" si="94"/>
        <v>FALSE</v>
      </c>
      <c r="AQ826" s="10" t="b">
        <f>IF(AND(I826="TP",S826&lt;=150),VLOOKUP(AF826,TPCalibEq150!$AZ$2:$BB$55,3,),IF(AND(I826="TDP",S826&lt;=150),VLOOKUP(AF826,TPCalibEq150!$AZ$2:$BB$55,3,)))</f>
        <v>0</v>
      </c>
      <c r="AR826" s="10" t="b">
        <f>IF(AND(I826="TP",S826&lt;=300),VLOOKUP(AF826,TPCalibEq300!$AZ$2:$BB$55,3,),IF(AND(I826="TDP",S826&lt;=300),VLOOKUP(AF826,TPCalibEq300!$AZ$2:$BB$55,3,)))</f>
        <v>0</v>
      </c>
      <c r="AS826" s="10" t="b">
        <f>IF(AND(I826="TP",S826&lt;=500),VLOOKUP(AF826,TPCalibEq500!$AZ$2:$BB$56,3,),IF(AND(I826="TDP",S826&lt;=500),VLOOKUP(AF826,TPCalibEq500!$AZ$2:$BB$56,3,)))</f>
        <v>0</v>
      </c>
      <c r="AT826" s="10" t="b">
        <f>IF(AND(I826="TN",S826&lt;=2800),VLOOKUP(AF826,TNCalibEq2500!$AZ$2:$BB$56,3,),IF(AND(I826="TDN",S826&lt;=2800),VLOOKUP(AF826,TNCalibEq2500!$AZ$2:$BB$56,3,)))</f>
        <v>0</v>
      </c>
      <c r="AU826" s="10" t="b">
        <f>IF(I826="TP",VLOOKUP(AF826,TPCalibEqFull!$AZ$2:$BB$56,3),IF(I826="TDP",VLOOKUP(AF826,TPCalibEqFull!$AZ$2:$BB$56,3),IF(I826="TDN",VLOOKUP(AF826,TNCalibEqFull!$AZ$1:$BB$56,3),IF(I826="TN",VLOOKUP(AF826,TNCalibEqFull!$AZ$1:$BB$56,3),FALSE))))</f>
        <v>0</v>
      </c>
      <c r="AV826" s="10" t="str">
        <f t="shared" si="90"/>
        <v>0124 09:00:00-QAC-STD-E-1-DI-CAL</v>
      </c>
    </row>
    <row r="827" spans="1:48" s="10" customFormat="1" x14ac:dyDescent="0.55000000000000004">
      <c r="A827" s="32">
        <v>44950</v>
      </c>
      <c r="B827" s="33">
        <v>0.375</v>
      </c>
      <c r="C827" s="10" t="s">
        <v>70</v>
      </c>
      <c r="D827" s="10" t="s">
        <v>71</v>
      </c>
      <c r="E827" s="10" t="s">
        <v>901</v>
      </c>
      <c r="F827" s="10">
        <v>1</v>
      </c>
      <c r="G827" s="10" t="s">
        <v>73</v>
      </c>
      <c r="H827" s="10" t="s">
        <v>74</v>
      </c>
      <c r="I827" s="10" t="s">
        <v>75</v>
      </c>
      <c r="J827" s="10">
        <v>185</v>
      </c>
      <c r="K827" s="12">
        <v>44950</v>
      </c>
      <c r="L827" s="33">
        <v>0.45465277777777779</v>
      </c>
      <c r="M827" s="10">
        <v>1</v>
      </c>
      <c r="N827" s="10" t="s">
        <v>76</v>
      </c>
      <c r="O827" s="10">
        <v>4.46</v>
      </c>
      <c r="P827" s="10">
        <v>0.42599999999999999</v>
      </c>
      <c r="Q827" s="10">
        <v>300</v>
      </c>
      <c r="R827" s="10" t="s">
        <v>77</v>
      </c>
      <c r="S827" s="34">
        <f t="shared" si="86"/>
        <v>300</v>
      </c>
      <c r="T827" s="10" t="s">
        <v>1044</v>
      </c>
      <c r="U827" s="34" t="str">
        <f t="shared" si="87"/>
        <v/>
      </c>
      <c r="V827" s="31" t="str">
        <f>IF(H827="CHK",VLOOKUP(I827,QCCHK,3,),IF(H827="GUP",VLOOKUP(E827,QCGUP,2,),IF(AND(H827="ATP",OR(I827="TN",I827="TDN",I827="TNO2-3",I827="NO2-3")),VLOOKUP(E827,QCREC_N,2,),IF(AND(H827="NIC",OR(I827="TN",I827="TDN",I827="TNO2-3",I827="NO2-3")),VLOOKUP(E827,QCNIC_N,2,),IF(AND(H827="UREA",OR(I827="TN",I827="TDN",I827="TNO2-3",I827="NO2-3")),VLOOKUP(E827,QCUREA_N,2,),IF(H827="PER",VLOOKUP(I827,QCPER,MATCH(E827,QCACTUAL!$J$25:$AA$25,0),),IF(H827="SPK",VLOOKUP(I827,QCSPK,3,),IF(AND(H827="ATP",OR(I827="TP",I827="TDP")),VLOOKUP(E827,QCATP_P,2,),""))))))))</f>
        <v/>
      </c>
      <c r="W827" s="31" t="str">
        <f t="shared" si="88"/>
        <v>TRUE</v>
      </c>
      <c r="X827" s="31" t="str">
        <f t="shared" si="89"/>
        <v/>
      </c>
      <c r="Y827" s="10" t="s">
        <v>1040</v>
      </c>
      <c r="AL827" s="10" t="str">
        <f t="shared" si="93"/>
        <v>FALSE</v>
      </c>
      <c r="AM827" s="10" t="str">
        <f t="shared" si="93"/>
        <v>FALSE</v>
      </c>
      <c r="AN827" s="10" t="str">
        <f t="shared" si="93"/>
        <v>FALSE</v>
      </c>
      <c r="AO827" s="10" t="str">
        <f t="shared" si="94"/>
        <v>FALSE</v>
      </c>
      <c r="AP827" s="10" t="str">
        <f t="shared" si="94"/>
        <v>FALSE</v>
      </c>
      <c r="AQ827" s="10" t="b">
        <f>IF(AND(I827="TP",S827&lt;=150),VLOOKUP(AF827,TPCalibEq150!$AZ$2:$BB$55,3,),IF(AND(I827="TDP",S827&lt;=150),VLOOKUP(AF827,TPCalibEq150!$AZ$2:$BB$55,3,)))</f>
        <v>0</v>
      </c>
      <c r="AR827" s="10" t="b">
        <f>IF(AND(I827="TP",S827&lt;=300),VLOOKUP(AF827,TPCalibEq300!$AZ$2:$BB$55,3,),IF(AND(I827="TDP",S827&lt;=300),VLOOKUP(AF827,TPCalibEq300!$AZ$2:$BB$55,3,)))</f>
        <v>0</v>
      </c>
      <c r="AS827" s="10" t="b">
        <f>IF(AND(I827="TP",S827&lt;=500),VLOOKUP(AF827,TPCalibEq500!$AZ$2:$BB$56,3,),IF(AND(I827="TDP",S827&lt;=500),VLOOKUP(AF827,TPCalibEq500!$AZ$2:$BB$56,3,)))</f>
        <v>0</v>
      </c>
      <c r="AT827" s="10" t="b">
        <f>IF(AND(I827="TN",S827&lt;=2800),VLOOKUP(AF827,TNCalibEq2500!$AZ$2:$BB$56,3,),IF(AND(I827="TDN",S827&lt;=2800),VLOOKUP(AF827,TNCalibEq2500!$AZ$2:$BB$56,3,)))</f>
        <v>0</v>
      </c>
      <c r="AU827" s="10" t="b">
        <f>IF(I827="TP",VLOOKUP(AF827,TPCalibEqFull!$AZ$2:$BB$56,3),IF(I827="TDP",VLOOKUP(AF827,TPCalibEqFull!$AZ$2:$BB$56,3),IF(I827="TDN",VLOOKUP(AF827,TNCalibEqFull!$AZ$1:$BB$56,3),IF(I827="TN",VLOOKUP(AF827,TNCalibEqFull!$AZ$1:$BB$56,3),FALSE))))</f>
        <v>0</v>
      </c>
      <c r="AV827" s="10" t="str">
        <f t="shared" si="90"/>
        <v>0124 09:00:00-QAC-STD-D-1-DI-CAL</v>
      </c>
    </row>
    <row r="828" spans="1:48" s="10" customFormat="1" x14ac:dyDescent="0.55000000000000004">
      <c r="A828" s="32">
        <v>44950</v>
      </c>
      <c r="B828" s="33">
        <v>0.375</v>
      </c>
      <c r="C828" s="10" t="s">
        <v>70</v>
      </c>
      <c r="D828" s="10" t="s">
        <v>71</v>
      </c>
      <c r="E828" s="10" t="s">
        <v>190</v>
      </c>
      <c r="F828" s="10">
        <v>1</v>
      </c>
      <c r="G828" s="10" t="s">
        <v>73</v>
      </c>
      <c r="H828" s="10" t="s">
        <v>74</v>
      </c>
      <c r="I828" s="10" t="s">
        <v>75</v>
      </c>
      <c r="J828" s="10">
        <v>186</v>
      </c>
      <c r="K828" s="12">
        <v>44950</v>
      </c>
      <c r="L828" s="33">
        <v>0.45547453703703705</v>
      </c>
      <c r="M828" s="10">
        <v>1</v>
      </c>
      <c r="N828" s="10" t="s">
        <v>76</v>
      </c>
      <c r="O828" s="10">
        <v>9.2100000000000009</v>
      </c>
      <c r="P828" s="10">
        <v>0.89500000000000002</v>
      </c>
      <c r="Q828" s="10">
        <v>600</v>
      </c>
      <c r="R828" s="10" t="s">
        <v>77</v>
      </c>
      <c r="S828" s="34">
        <f t="shared" si="86"/>
        <v>600</v>
      </c>
      <c r="T828" s="10" t="s">
        <v>1045</v>
      </c>
      <c r="U828" s="34" t="str">
        <f t="shared" si="87"/>
        <v/>
      </c>
      <c r="V828" s="31" t="str">
        <f>IF(H828="CHK",VLOOKUP(I828,QCCHK,3,),IF(H828="GUP",VLOOKUP(E828,QCGUP,2,),IF(AND(H828="ATP",OR(I828="TN",I828="TDN",I828="TNO2-3",I828="NO2-3")),VLOOKUP(E828,QCREC_N,2,),IF(AND(H828="NIC",OR(I828="TN",I828="TDN",I828="TNO2-3",I828="NO2-3")),VLOOKUP(E828,QCNIC_N,2,),IF(AND(H828="UREA",OR(I828="TN",I828="TDN",I828="TNO2-3",I828="NO2-3")),VLOOKUP(E828,QCUREA_N,2,),IF(H828="PER",VLOOKUP(I828,QCPER,MATCH(E828,QCACTUAL!$J$25:$AA$25,0),),IF(H828="SPK",VLOOKUP(I828,QCSPK,3,),IF(AND(H828="ATP",OR(I828="TP",I828="TDP")),VLOOKUP(E828,QCATP_P,2,),""))))))))</f>
        <v/>
      </c>
      <c r="W828" s="31" t="str">
        <f t="shared" si="88"/>
        <v>TRUE</v>
      </c>
      <c r="X828" s="31" t="str">
        <f t="shared" si="89"/>
        <v/>
      </c>
      <c r="Y828" s="10" t="s">
        <v>1040</v>
      </c>
      <c r="AL828" s="10" t="str">
        <f t="shared" si="93"/>
        <v>FALSE</v>
      </c>
      <c r="AM828" s="10" t="str">
        <f t="shared" si="93"/>
        <v>FALSE</v>
      </c>
      <c r="AN828" s="10" t="str">
        <f t="shared" si="93"/>
        <v>FALSE</v>
      </c>
      <c r="AO828" s="10" t="str">
        <f t="shared" si="94"/>
        <v>FALSE</v>
      </c>
      <c r="AP828" s="10" t="str">
        <f t="shared" si="94"/>
        <v>FALSE</v>
      </c>
      <c r="AQ828" s="10" t="b">
        <f>IF(AND(I828="TP",S828&lt;=150),VLOOKUP(AF828,TPCalibEq150!$AZ$2:$BB$55,3,),IF(AND(I828="TDP",S828&lt;=150),VLOOKUP(AF828,TPCalibEq150!$AZ$2:$BB$55,3,)))</f>
        <v>0</v>
      </c>
      <c r="AR828" s="10" t="b">
        <f>IF(AND(I828="TP",S828&lt;=300),VLOOKUP(AF828,TPCalibEq300!$AZ$2:$BB$55,3,),IF(AND(I828="TDP",S828&lt;=300),VLOOKUP(AF828,TPCalibEq300!$AZ$2:$BB$55,3,)))</f>
        <v>0</v>
      </c>
      <c r="AS828" s="10" t="b">
        <f>IF(AND(I828="TP",S828&lt;=500),VLOOKUP(AF828,TPCalibEq500!$AZ$2:$BB$56,3,),IF(AND(I828="TDP",S828&lt;=500),VLOOKUP(AF828,TPCalibEq500!$AZ$2:$BB$56,3,)))</f>
        <v>0</v>
      </c>
      <c r="AT828" s="10" t="b">
        <f>IF(AND(I828="TN",S828&lt;=2800),VLOOKUP(AF828,TNCalibEq2500!$AZ$2:$BB$56,3,),IF(AND(I828="TDN",S828&lt;=2800),VLOOKUP(AF828,TNCalibEq2500!$AZ$2:$BB$56,3,)))</f>
        <v>0</v>
      </c>
      <c r="AU828" s="10" t="b">
        <f>IF(I828="TP",VLOOKUP(AF828,TPCalibEqFull!$AZ$2:$BB$56,3),IF(I828="TDP",VLOOKUP(AF828,TPCalibEqFull!$AZ$2:$BB$56,3),IF(I828="TDN",VLOOKUP(AF828,TNCalibEqFull!$AZ$1:$BB$56,3),IF(I828="TN",VLOOKUP(AF828,TNCalibEqFull!$AZ$1:$BB$56,3),FALSE))))</f>
        <v>0</v>
      </c>
      <c r="AV828" s="10" t="str">
        <f t="shared" si="90"/>
        <v>0124 09:00:00-QAC-STD-C-1-DI-CAL</v>
      </c>
    </row>
    <row r="829" spans="1:48" s="10" customFormat="1" x14ac:dyDescent="0.55000000000000004">
      <c r="A829" s="32">
        <v>44950</v>
      </c>
      <c r="B829" s="33">
        <v>0.375</v>
      </c>
      <c r="C829" s="10" t="s">
        <v>70</v>
      </c>
      <c r="D829" s="10" t="s">
        <v>71</v>
      </c>
      <c r="E829" s="10" t="s">
        <v>583</v>
      </c>
      <c r="F829" s="10">
        <v>1</v>
      </c>
      <c r="G829" s="10" t="s">
        <v>73</v>
      </c>
      <c r="H829" s="10" t="s">
        <v>74</v>
      </c>
      <c r="I829" s="10" t="s">
        <v>75</v>
      </c>
      <c r="J829" s="10">
        <v>187</v>
      </c>
      <c r="K829" s="12">
        <v>44950</v>
      </c>
      <c r="L829" s="33">
        <v>0.45630787037037041</v>
      </c>
      <c r="M829" s="10">
        <v>1</v>
      </c>
      <c r="N829" s="10" t="s">
        <v>76</v>
      </c>
      <c r="O829" s="10">
        <v>18.600000000000001</v>
      </c>
      <c r="P829" s="10">
        <v>1.8</v>
      </c>
      <c r="Q829" s="10">
        <v>1200</v>
      </c>
      <c r="R829" s="10" t="s">
        <v>77</v>
      </c>
      <c r="S829" s="34">
        <f t="shared" si="86"/>
        <v>1200</v>
      </c>
      <c r="T829" s="10" t="s">
        <v>1046</v>
      </c>
      <c r="U829" s="34" t="str">
        <f t="shared" si="87"/>
        <v/>
      </c>
      <c r="V829" s="31" t="str">
        <f>IF(H829="CHK",VLOOKUP(I829,QCCHK,3,),IF(H829="GUP",VLOOKUP(E829,QCGUP,2,),IF(AND(H829="ATP",OR(I829="TN",I829="TDN",I829="TNO2-3",I829="NO2-3")),VLOOKUP(E829,QCREC_N,2,),IF(AND(H829="NIC",OR(I829="TN",I829="TDN",I829="TNO2-3",I829="NO2-3")),VLOOKUP(E829,QCNIC_N,2,),IF(AND(H829="UREA",OR(I829="TN",I829="TDN",I829="TNO2-3",I829="NO2-3")),VLOOKUP(E829,QCUREA_N,2,),IF(H829="PER",VLOOKUP(I829,QCPER,MATCH(E829,QCACTUAL!$J$25:$AA$25,0),),IF(H829="SPK",VLOOKUP(I829,QCSPK,3,),IF(AND(H829="ATP",OR(I829="TP",I829="TDP")),VLOOKUP(E829,QCATP_P,2,),""))))))))</f>
        <v/>
      </c>
      <c r="W829" s="31" t="str">
        <f t="shared" si="88"/>
        <v>TRUE</v>
      </c>
      <c r="X829" s="31" t="str">
        <f t="shared" si="89"/>
        <v/>
      </c>
      <c r="Y829" s="10" t="s">
        <v>1040</v>
      </c>
      <c r="AL829" s="10" t="str">
        <f t="shared" si="93"/>
        <v>FALSE</v>
      </c>
      <c r="AM829" s="10" t="str">
        <f t="shared" si="93"/>
        <v>FALSE</v>
      </c>
      <c r="AN829" s="10" t="str">
        <f t="shared" si="93"/>
        <v>FALSE</v>
      </c>
      <c r="AO829" s="10" t="str">
        <f t="shared" si="94"/>
        <v>FALSE</v>
      </c>
      <c r="AP829" s="10" t="str">
        <f t="shared" si="94"/>
        <v>FALSE</v>
      </c>
      <c r="AQ829" s="10" t="b">
        <f>IF(AND(I829="TP",S829&lt;=150),VLOOKUP(AF829,TPCalibEq150!$AZ$2:$BB$55,3,),IF(AND(I829="TDP",S829&lt;=150),VLOOKUP(AF829,TPCalibEq150!$AZ$2:$BB$55,3,)))</f>
        <v>0</v>
      </c>
      <c r="AR829" s="10" t="b">
        <f>IF(AND(I829="TP",S829&lt;=300),VLOOKUP(AF829,TPCalibEq300!$AZ$2:$BB$55,3,),IF(AND(I829="TDP",S829&lt;=300),VLOOKUP(AF829,TPCalibEq300!$AZ$2:$BB$55,3,)))</f>
        <v>0</v>
      </c>
      <c r="AS829" s="10" t="b">
        <f>IF(AND(I829="TP",S829&lt;=500),VLOOKUP(AF829,TPCalibEq500!$AZ$2:$BB$56,3,),IF(AND(I829="TDP",S829&lt;=500),VLOOKUP(AF829,TPCalibEq500!$AZ$2:$BB$56,3,)))</f>
        <v>0</v>
      </c>
      <c r="AT829" s="10" t="b">
        <f>IF(AND(I829="TN",S829&lt;=2800),VLOOKUP(AF829,TNCalibEq2500!$AZ$2:$BB$56,3,),IF(AND(I829="TDN",S829&lt;=2800),VLOOKUP(AF829,TNCalibEq2500!$AZ$2:$BB$56,3,)))</f>
        <v>0</v>
      </c>
      <c r="AU829" s="10" t="b">
        <f>IF(I829="TP",VLOOKUP(AF829,TPCalibEqFull!$AZ$2:$BB$56,3),IF(I829="TDP",VLOOKUP(AF829,TPCalibEqFull!$AZ$2:$BB$56,3),IF(I829="TDN",VLOOKUP(AF829,TNCalibEqFull!$AZ$1:$BB$56,3),IF(I829="TN",VLOOKUP(AF829,TNCalibEqFull!$AZ$1:$BB$56,3),FALSE))))</f>
        <v>0</v>
      </c>
      <c r="AV829" s="10" t="str">
        <f t="shared" si="90"/>
        <v>0124 09:00:00-QAC-STD-B-1-DI-CAL</v>
      </c>
    </row>
    <row r="830" spans="1:48" s="10" customFormat="1" x14ac:dyDescent="0.55000000000000004">
      <c r="A830" s="32">
        <v>44950</v>
      </c>
      <c r="B830" s="33">
        <v>0.375</v>
      </c>
      <c r="C830" s="10" t="s">
        <v>70</v>
      </c>
      <c r="D830" s="10" t="s">
        <v>71</v>
      </c>
      <c r="E830" s="10" t="s">
        <v>866</v>
      </c>
      <c r="F830" s="10">
        <v>1</v>
      </c>
      <c r="G830" s="10" t="s">
        <v>73</v>
      </c>
      <c r="H830" s="10" t="s">
        <v>74</v>
      </c>
      <c r="I830" s="10" t="s">
        <v>75</v>
      </c>
      <c r="J830" s="10">
        <v>188</v>
      </c>
      <c r="K830" s="12">
        <v>44950</v>
      </c>
      <c r="L830" s="33">
        <v>0.45712962962962966</v>
      </c>
      <c r="M830" s="10">
        <v>1</v>
      </c>
      <c r="N830" s="10" t="s">
        <v>76</v>
      </c>
      <c r="O830" s="10">
        <v>30.3</v>
      </c>
      <c r="P830" s="10">
        <v>2.9</v>
      </c>
      <c r="Q830" s="10">
        <v>2000</v>
      </c>
      <c r="R830" s="10" t="s">
        <v>77</v>
      </c>
      <c r="S830" s="34">
        <f t="shared" si="86"/>
        <v>2000</v>
      </c>
      <c r="T830" s="10" t="s">
        <v>1047</v>
      </c>
      <c r="U830" s="34" t="str">
        <f t="shared" si="87"/>
        <v/>
      </c>
      <c r="V830" s="31" t="str">
        <f>IF(H830="CHK",VLOOKUP(I830,QCCHK,3,),IF(H830="GUP",VLOOKUP(E830,QCGUP,2,),IF(AND(H830="ATP",OR(I830="TN",I830="TDN",I830="TNO2-3",I830="NO2-3")),VLOOKUP(E830,QCREC_N,2,),IF(AND(H830="NIC",OR(I830="TN",I830="TDN",I830="TNO2-3",I830="NO2-3")),VLOOKUP(E830,QCNIC_N,2,),IF(AND(H830="UREA",OR(I830="TN",I830="TDN",I830="TNO2-3",I830="NO2-3")),VLOOKUP(E830,QCUREA_N,2,),IF(H830="PER",VLOOKUP(I830,QCPER,MATCH(E830,QCACTUAL!$J$25:$AA$25,0),),IF(H830="SPK",VLOOKUP(I830,QCSPK,3,),IF(AND(H830="ATP",OR(I830="TP",I830="TDP")),VLOOKUP(E830,QCATP_P,2,),""))))))))</f>
        <v/>
      </c>
      <c r="W830" s="31" t="str">
        <f t="shared" si="88"/>
        <v>TRUE</v>
      </c>
      <c r="X830" s="31" t="str">
        <f t="shared" si="89"/>
        <v/>
      </c>
      <c r="Y830" s="10" t="s">
        <v>1040</v>
      </c>
      <c r="AL830" s="10" t="str">
        <f t="shared" si="93"/>
        <v>FALSE</v>
      </c>
      <c r="AM830" s="10" t="str">
        <f t="shared" si="93"/>
        <v>FALSE</v>
      </c>
      <c r="AN830" s="10" t="str">
        <f t="shared" si="93"/>
        <v>FALSE</v>
      </c>
      <c r="AO830" s="10" t="str">
        <f t="shared" si="94"/>
        <v>FALSE</v>
      </c>
      <c r="AP830" s="10" t="str">
        <f t="shared" si="94"/>
        <v>FALSE</v>
      </c>
      <c r="AQ830" s="10" t="b">
        <f>IF(AND(I830="TP",S830&lt;=150),VLOOKUP(AF830,TPCalibEq150!$AZ$2:$BB$55,3,),IF(AND(I830="TDP",S830&lt;=150),VLOOKUP(AF830,TPCalibEq150!$AZ$2:$BB$55,3,)))</f>
        <v>0</v>
      </c>
      <c r="AR830" s="10" t="b">
        <f>IF(AND(I830="TP",S830&lt;=300),VLOOKUP(AF830,TPCalibEq300!$AZ$2:$BB$55,3,),IF(AND(I830="TDP",S830&lt;=300),VLOOKUP(AF830,TPCalibEq300!$AZ$2:$BB$55,3,)))</f>
        <v>0</v>
      </c>
      <c r="AS830" s="10" t="b">
        <f>IF(AND(I830="TP",S830&lt;=500),VLOOKUP(AF830,TPCalibEq500!$AZ$2:$BB$56,3,),IF(AND(I830="TDP",S830&lt;=500),VLOOKUP(AF830,TPCalibEq500!$AZ$2:$BB$56,3,)))</f>
        <v>0</v>
      </c>
      <c r="AT830" s="10" t="b">
        <f>IF(AND(I830="TN",S830&lt;=2800),VLOOKUP(AF830,TNCalibEq2500!$AZ$2:$BB$56,3,),IF(AND(I830="TDN",S830&lt;=2800),VLOOKUP(AF830,TNCalibEq2500!$AZ$2:$BB$56,3,)))</f>
        <v>0</v>
      </c>
      <c r="AU830" s="10" t="b">
        <f>IF(I830="TP",VLOOKUP(AF830,TPCalibEqFull!$AZ$2:$BB$56,3),IF(I830="TDP",VLOOKUP(AF830,TPCalibEqFull!$AZ$2:$BB$56,3),IF(I830="TDN",VLOOKUP(AF830,TNCalibEqFull!$AZ$1:$BB$56,3),IF(I830="TN",VLOOKUP(AF830,TNCalibEqFull!$AZ$1:$BB$56,3),FALSE))))</f>
        <v>0</v>
      </c>
      <c r="AV830" s="10" t="str">
        <f t="shared" si="90"/>
        <v>0124 09:00:00-QAC-STD-A-1-DI-CAL</v>
      </c>
    </row>
    <row r="831" spans="1:48" s="10" customFormat="1" x14ac:dyDescent="0.55000000000000004">
      <c r="A831" s="32">
        <v>44950</v>
      </c>
      <c r="B831" s="33">
        <v>0.375</v>
      </c>
      <c r="C831" s="10" t="s">
        <v>70</v>
      </c>
      <c r="D831" s="10" t="s">
        <v>241</v>
      </c>
      <c r="E831" s="10" t="s">
        <v>866</v>
      </c>
      <c r="F831" s="10">
        <v>1</v>
      </c>
      <c r="G831" s="10" t="s">
        <v>73</v>
      </c>
      <c r="H831" s="10" t="s">
        <v>283</v>
      </c>
      <c r="I831" s="10" t="s">
        <v>75</v>
      </c>
      <c r="J831" s="10">
        <v>198</v>
      </c>
      <c r="K831" s="12">
        <v>44950</v>
      </c>
      <c r="L831" s="33">
        <v>0.45876157407407409</v>
      </c>
      <c r="M831" s="10">
        <v>1</v>
      </c>
      <c r="N831" s="10" t="s">
        <v>76</v>
      </c>
      <c r="O831" s="10">
        <v>7.0800000000000002E-2</v>
      </c>
      <c r="P831" s="10">
        <v>5.7600000000000004E-3</v>
      </c>
      <c r="Q831" s="10">
        <v>4.54</v>
      </c>
      <c r="R831" s="10" t="s">
        <v>77</v>
      </c>
      <c r="S831" s="34">
        <f t="shared" si="86"/>
        <v>4.54</v>
      </c>
      <c r="T831" s="10" t="s">
        <v>1047</v>
      </c>
      <c r="U831" s="34">
        <f t="shared" si="87"/>
        <v>4.54</v>
      </c>
      <c r="V831" s="31" t="str">
        <f>IF(H831="CHK",VLOOKUP(I831,QCCHK,3,),IF(H831="GUP",VLOOKUP(E831,QCGUP,2,),IF(AND(H831="ATP",OR(I831="TN",I831="TDN",I831="TNO2-3",I831="NO2-3")),VLOOKUP(E831,QCREC_N,2,),IF(AND(H831="NIC",OR(I831="TN",I831="TDN",I831="TNO2-3",I831="NO2-3")),VLOOKUP(E831,QCNIC_N,2,),IF(AND(H831="UREA",OR(I831="TN",I831="TDN",I831="TNO2-3",I831="NO2-3")),VLOOKUP(E831,QCUREA_N,2,),IF(H831="PER",VLOOKUP(I831,QCPER,MATCH(E831,QCACTUAL!$J$25:$AA$25,0),),IF(H831="SPK",VLOOKUP(I831,QCSPK,3,),IF(AND(H831="ATP",OR(I831="TP",I831="TDP")),VLOOKUP(E831,QCATP_P,2,),""))))))))</f>
        <v/>
      </c>
      <c r="W831" s="31" t="str">
        <f t="shared" si="88"/>
        <v>TRUE</v>
      </c>
      <c r="X831" s="31" t="str">
        <f t="shared" si="89"/>
        <v>nominal concentration</v>
      </c>
      <c r="Y831" s="10" t="s">
        <v>1040</v>
      </c>
      <c r="AL831" s="10" t="str">
        <f t="shared" si="93"/>
        <v>FALSE</v>
      </c>
      <c r="AM831" s="10" t="str">
        <f t="shared" si="93"/>
        <v>FALSE</v>
      </c>
      <c r="AN831" s="10" t="str">
        <f t="shared" si="93"/>
        <v>FALSE</v>
      </c>
      <c r="AO831" s="10" t="str">
        <f t="shared" si="94"/>
        <v>FALSE</v>
      </c>
      <c r="AP831" s="10" t="str">
        <f t="shared" si="94"/>
        <v>FALSE</v>
      </c>
      <c r="AQ831" s="10" t="b">
        <f>IF(AND(I831="TP",S831&lt;=150),VLOOKUP(AF831,TPCalibEq150!$AZ$2:$BB$55,3,),IF(AND(I831="TDP",S831&lt;=150),VLOOKUP(AF831,TPCalibEq150!$AZ$2:$BB$55,3,)))</f>
        <v>0</v>
      </c>
      <c r="AR831" s="10" t="b">
        <f>IF(AND(I831="TP",S831&lt;=300),VLOOKUP(AF831,TPCalibEq300!$AZ$2:$BB$55,3,),IF(AND(I831="TDP",S831&lt;=300),VLOOKUP(AF831,TPCalibEq300!$AZ$2:$BB$55,3,)))</f>
        <v>0</v>
      </c>
      <c r="AS831" s="10" t="b">
        <f>IF(AND(I831="TP",S831&lt;=500),VLOOKUP(AF831,TPCalibEq500!$AZ$2:$BB$56,3,),IF(AND(I831="TDP",S831&lt;=500),VLOOKUP(AF831,TPCalibEq500!$AZ$2:$BB$56,3,)))</f>
        <v>0</v>
      </c>
      <c r="AT831" s="10" t="b">
        <f>IF(AND(I831="TN",S831&lt;=2800),VLOOKUP(AF831,TNCalibEq2500!$AZ$2:$BB$56,3,),IF(AND(I831="TDN",S831&lt;=2800),VLOOKUP(AF831,TNCalibEq2500!$AZ$2:$BB$56,3,)))</f>
        <v>0</v>
      </c>
      <c r="AU831" s="10" t="b">
        <f>IF(I831="TP",VLOOKUP(AF831,TPCalibEqFull!$AZ$2:$BB$56,3),IF(I831="TDP",VLOOKUP(AF831,TPCalibEqFull!$AZ$2:$BB$56,3),IF(I831="TDN",VLOOKUP(AF831,TNCalibEqFull!$AZ$1:$BB$56,3),IF(I831="TN",VLOOKUP(AF831,TNCalibEqFull!$AZ$1:$BB$56,3),FALSE))))</f>
        <v>0</v>
      </c>
      <c r="AV831" s="10" t="str">
        <f t="shared" si="90"/>
        <v>0124 09:00:00-QAC-BLK-A-1-DI-LAB</v>
      </c>
    </row>
    <row r="832" spans="1:48" s="10" customFormat="1" x14ac:dyDescent="0.55000000000000004">
      <c r="A832" s="32">
        <v>44950</v>
      </c>
      <c r="B832" s="33">
        <v>0.375</v>
      </c>
      <c r="C832" s="10" t="s">
        <v>70</v>
      </c>
      <c r="D832" s="10" t="s">
        <v>241</v>
      </c>
      <c r="E832" s="10" t="s">
        <v>866</v>
      </c>
      <c r="F832" s="10">
        <v>1</v>
      </c>
      <c r="G832" s="10" t="s">
        <v>73</v>
      </c>
      <c r="H832" s="10" t="s">
        <v>314</v>
      </c>
      <c r="I832" s="10" t="s">
        <v>75</v>
      </c>
      <c r="J832" s="10">
        <v>225</v>
      </c>
      <c r="K832" s="12">
        <v>44950</v>
      </c>
      <c r="L832" s="33">
        <v>0.45958333333333329</v>
      </c>
      <c r="M832" s="10">
        <v>1</v>
      </c>
      <c r="N832" s="10" t="s">
        <v>76</v>
      </c>
      <c r="O832" s="10">
        <v>9.43</v>
      </c>
      <c r="P832" s="10">
        <v>0.90600000000000003</v>
      </c>
      <c r="Q832" s="10">
        <v>610</v>
      </c>
      <c r="R832" s="10" t="s">
        <v>77</v>
      </c>
      <c r="S832" s="34">
        <f t="shared" si="86"/>
        <v>610</v>
      </c>
      <c r="T832" s="10" t="s">
        <v>1047</v>
      </c>
      <c r="U832" s="34">
        <f t="shared" si="87"/>
        <v>96.87360000000001</v>
      </c>
      <c r="V832" s="31">
        <f>IF(H832="CHK",VLOOKUP(I832,QCCHK,3,),IF(H832="GUP",VLOOKUP(E832,QCGUP,2,),IF(AND(H832="ATP",OR(I832="TN",I832="TDN",I832="TNO2-3",I832="NO2-3")),VLOOKUP(E832,QCREC_N,2,),IF(AND(H832="NIC",OR(I832="TN",I832="TDN",I832="TNO2-3",I832="NO2-3")),VLOOKUP(E832,QCNIC_N,2,),IF(AND(H832="UREA",OR(I832="TN",I832="TDN",I832="TNO2-3",I832="NO2-3")),VLOOKUP(E832,QCUREA_N,2,),IF(H832="PER",VLOOKUP(I832,QCPER,MATCH(E832,QCACTUAL!$J$25:$AA$25,0),),IF(H832="SPK",VLOOKUP(I832,QCSPK,3,),IF(AND(H832="ATP",OR(I832="TP",I832="TDP")),VLOOKUP(E832,QCATP_P,2,),""))))))))</f>
        <v>625</v>
      </c>
      <c r="W832" s="31" t="str">
        <f t="shared" si="88"/>
        <v>TRUE</v>
      </c>
      <c r="X832" s="31" t="str">
        <f t="shared" si="89"/>
        <v>([spikedunkn]-[unkn])/[spike]*100</v>
      </c>
      <c r="Y832" s="10" t="s">
        <v>1040</v>
      </c>
      <c r="AL832" s="10" t="str">
        <f t="shared" si="93"/>
        <v>FALSE</v>
      </c>
      <c r="AM832" s="10" t="str">
        <f t="shared" si="93"/>
        <v>FALSE</v>
      </c>
      <c r="AN832" s="10" t="str">
        <f t="shared" si="93"/>
        <v>FALSE</v>
      </c>
      <c r="AO832" s="10" t="str">
        <f t="shared" si="94"/>
        <v>FALSE</v>
      </c>
      <c r="AP832" s="10" t="str">
        <f t="shared" si="94"/>
        <v>FALSE</v>
      </c>
      <c r="AQ832" s="10" t="b">
        <f>IF(AND(I832="TP",S832&lt;=150),VLOOKUP(AF832,TPCalibEq150!$AZ$2:$BB$55,3,),IF(AND(I832="TDP",S832&lt;=150),VLOOKUP(AF832,TPCalibEq150!$AZ$2:$BB$55,3,)))</f>
        <v>0</v>
      </c>
      <c r="AR832" s="10" t="b">
        <f>IF(AND(I832="TP",S832&lt;=300),VLOOKUP(AF832,TPCalibEq300!$AZ$2:$BB$55,3,),IF(AND(I832="TDP",S832&lt;=300),VLOOKUP(AF832,TPCalibEq300!$AZ$2:$BB$55,3,)))</f>
        <v>0</v>
      </c>
      <c r="AS832" s="10" t="b">
        <f>IF(AND(I832="TP",S832&lt;=500),VLOOKUP(AF832,TPCalibEq500!$AZ$2:$BB$56,3,),IF(AND(I832="TDP",S832&lt;=500),VLOOKUP(AF832,TPCalibEq500!$AZ$2:$BB$56,3,)))</f>
        <v>0</v>
      </c>
      <c r="AT832" s="10" t="b">
        <f>IF(AND(I832="TN",S832&lt;=2800),VLOOKUP(AF832,TNCalibEq2500!$AZ$2:$BB$56,3,),IF(AND(I832="TDN",S832&lt;=2800),VLOOKUP(AF832,TNCalibEq2500!$AZ$2:$BB$56,3,)))</f>
        <v>0</v>
      </c>
      <c r="AU832" s="10" t="b">
        <f>IF(I832="TP",VLOOKUP(AF832,TPCalibEqFull!$AZ$2:$BB$56,3),IF(I832="TDP",VLOOKUP(AF832,TPCalibEqFull!$AZ$2:$BB$56,3),IF(I832="TDN",VLOOKUP(AF832,TNCalibEqFull!$AZ$1:$BB$56,3),IF(I832="TN",VLOOKUP(AF832,TNCalibEqFull!$AZ$1:$BB$56,3),FALSE))))</f>
        <v>0</v>
      </c>
      <c r="AV832" s="10" t="str">
        <f t="shared" si="90"/>
        <v>0124 09:00:00-QAC-BLK-A-1-DI-SPK</v>
      </c>
    </row>
    <row r="833" spans="1:48" s="10" customFormat="1" x14ac:dyDescent="0.55000000000000004">
      <c r="A833" s="32">
        <v>44950</v>
      </c>
      <c r="B833" s="33">
        <v>0.375</v>
      </c>
      <c r="C833" s="10" t="s">
        <v>70</v>
      </c>
      <c r="D833" s="10" t="s">
        <v>71</v>
      </c>
      <c r="E833" s="10" t="s">
        <v>948</v>
      </c>
      <c r="F833" s="10">
        <v>1</v>
      </c>
      <c r="G833" s="10" t="s">
        <v>73</v>
      </c>
      <c r="H833" s="10" t="s">
        <v>299</v>
      </c>
      <c r="I833" s="10" t="s">
        <v>75</v>
      </c>
      <c r="J833" s="10">
        <v>197</v>
      </c>
      <c r="K833" s="12">
        <v>44950</v>
      </c>
      <c r="L833" s="33">
        <v>0.4604050925925926</v>
      </c>
      <c r="M833" s="10">
        <v>1</v>
      </c>
      <c r="N833" s="10" t="s">
        <v>76</v>
      </c>
      <c r="O833" s="10">
        <v>15.9</v>
      </c>
      <c r="P833" s="10">
        <v>1.52</v>
      </c>
      <c r="Q833" s="10">
        <v>1030</v>
      </c>
      <c r="R833" s="10" t="s">
        <v>77</v>
      </c>
      <c r="S833" s="34">
        <f t="shared" si="86"/>
        <v>1030</v>
      </c>
      <c r="T833" s="10" t="s">
        <v>1047</v>
      </c>
      <c r="U833" s="34">
        <f t="shared" si="87"/>
        <v>98.095238095238088</v>
      </c>
      <c r="V833" s="31">
        <f>IF(H833="CHK",VLOOKUP(I833,QCCHK,3,),IF(H833="GUP",VLOOKUP(E833,QCGUP,2,),IF(AND(H833="ATP",OR(I833="TN",I833="TDN",I833="TNO2-3",I833="NO2-3")),VLOOKUP(E833,QCREC_N,2,),IF(AND(H833="NIC",OR(I833="TN",I833="TDN",I833="TNO2-3",I833="NO2-3")),VLOOKUP(E833,QCNIC_N,2,),IF(AND(H833="UREA",OR(I833="TN",I833="TDN",I833="TNO2-3",I833="NO2-3")),VLOOKUP(E833,QCUREA_N,2,),IF(H833="PER",VLOOKUP(I833,QCPER,MATCH(E833,QCACTUAL!$J$25:$AA$25,0),),IF(H833="SPK",VLOOKUP(I833,QCSPK,3,),IF(AND(H833="ATP",OR(I833="TP",I833="TDP")),VLOOKUP(E833,QCATP_P,2,),""))))))))</f>
        <v>1050</v>
      </c>
      <c r="W833" s="31" t="str">
        <f t="shared" si="88"/>
        <v>TRUE</v>
      </c>
      <c r="X833" s="31" t="str">
        <f t="shared" si="89"/>
        <v>[per]/[actual]*100</v>
      </c>
      <c r="Y833" s="10" t="s">
        <v>1040</v>
      </c>
      <c r="AL833" s="10" t="str">
        <f t="shared" si="93"/>
        <v>FALSE</v>
      </c>
      <c r="AM833" s="10" t="str">
        <f t="shared" si="93"/>
        <v>FALSE</v>
      </c>
      <c r="AN833" s="10" t="str">
        <f t="shared" si="93"/>
        <v>FALSE</v>
      </c>
      <c r="AO833" s="10" t="str">
        <f t="shared" si="94"/>
        <v>FALSE</v>
      </c>
      <c r="AP833" s="10" t="str">
        <f t="shared" si="94"/>
        <v>FALSE</v>
      </c>
      <c r="AQ833" s="10" t="b">
        <f>IF(AND(I833="TP",S833&lt;=150),VLOOKUP(AF833,TPCalibEq150!$AZ$2:$BB$55,3,),IF(AND(I833="TDP",S833&lt;=150),VLOOKUP(AF833,TPCalibEq150!$AZ$2:$BB$55,3,)))</f>
        <v>0</v>
      </c>
      <c r="AR833" s="10" t="b">
        <f>IF(AND(I833="TP",S833&lt;=300),VLOOKUP(AF833,TPCalibEq300!$AZ$2:$BB$55,3,),IF(AND(I833="TDP",S833&lt;=300),VLOOKUP(AF833,TPCalibEq300!$AZ$2:$BB$55,3,)))</f>
        <v>0</v>
      </c>
      <c r="AS833" s="10" t="b">
        <f>IF(AND(I833="TP",S833&lt;=500),VLOOKUP(AF833,TPCalibEq500!$AZ$2:$BB$56,3,),IF(AND(I833="TDP",S833&lt;=500),VLOOKUP(AF833,TPCalibEq500!$AZ$2:$BB$56,3,)))</f>
        <v>0</v>
      </c>
      <c r="AT833" s="10" t="b">
        <f>IF(AND(I833="TN",S833&lt;=2800),VLOOKUP(AF833,TNCalibEq2500!$AZ$2:$BB$56,3,),IF(AND(I833="TDN",S833&lt;=2800),VLOOKUP(AF833,TNCalibEq2500!$AZ$2:$BB$56,3,)))</f>
        <v>0</v>
      </c>
      <c r="AU833" s="10" t="b">
        <f>IF(I833="TP",VLOOKUP(AF833,TPCalibEqFull!$AZ$2:$BB$56,3),IF(I833="TDP",VLOOKUP(AF833,TPCalibEqFull!$AZ$2:$BB$56,3),IF(I833="TDN",VLOOKUP(AF833,TNCalibEqFull!$AZ$1:$BB$56,3),IF(I833="TN",VLOOKUP(AF833,TNCalibEqFull!$AZ$1:$BB$56,3),FALSE))))</f>
        <v>0</v>
      </c>
      <c r="AV833" s="10" t="str">
        <f t="shared" si="90"/>
        <v>0124 09:00:00-QAC-STD-22A-1-DI-PER</v>
      </c>
    </row>
    <row r="834" spans="1:48" s="10" customFormat="1" x14ac:dyDescent="0.55000000000000004">
      <c r="A834" s="32">
        <v>45247</v>
      </c>
      <c r="B834" s="33">
        <v>0.25</v>
      </c>
      <c r="C834" s="10" t="s">
        <v>70</v>
      </c>
      <c r="D834" s="10" t="s">
        <v>241</v>
      </c>
      <c r="E834" s="10" t="s">
        <v>866</v>
      </c>
      <c r="F834" s="10">
        <v>1</v>
      </c>
      <c r="G834" s="10" t="s">
        <v>73</v>
      </c>
      <c r="H834" s="10" t="s">
        <v>264</v>
      </c>
      <c r="I834" s="10" t="s">
        <v>75</v>
      </c>
      <c r="J834" s="10">
        <v>63</v>
      </c>
      <c r="K834" s="12">
        <v>44950</v>
      </c>
      <c r="L834" s="33">
        <v>0.46369212962962963</v>
      </c>
      <c r="M834" s="10">
        <v>1</v>
      </c>
      <c r="N834" s="10" t="s">
        <v>76</v>
      </c>
      <c r="O834" s="10">
        <v>2.5499999999999998E-2</v>
      </c>
      <c r="P834" s="10">
        <v>1.9400000000000001E-3</v>
      </c>
      <c r="Q834" s="10">
        <v>1.64</v>
      </c>
      <c r="R834" s="10" t="s">
        <v>77</v>
      </c>
      <c r="S834" s="34">
        <f t="shared" ref="S834:S897" si="95">IF(OR(AND(I834&lt;&gt;"TP", I834&lt;&gt;"TDP",I834&lt;&gt;"TN", I834&lt;&gt;"TDN"),H834="CAL"), Q834*M834, IF(OR(AND(I834="TN", Q834&gt;2500), AND(I834="TDN", Q834&gt;2500)),MAX(Q834, AK834)*M834, IF(OR(AND(I834="TN", Q834&lt;=2500), AND(I834="TDN", Q834&lt;=2500)),MAX(Q834, AJ834,AK834)*M834, IF(OR(AND(I834="TP",Q834&gt;500), AND(I834="TDP", Q834&gt;500)),MAX(Q834,AK834)*M834,IF(OR(AND(I834="TP",Q834&lt;=150), AND(I834="TDP", Q834&lt;=150)),MAX(Q834,AG834:AI834,AK834)*M834,IF(OR(AND(I834="TP",Q834&lt;=300), AND(I834="TDP", Q834&lt;=300)),MAX(Q834,AH834,AI834,AK834)*M834,IF(OR(AND(I834="TP",Q834&lt;=500), AND(I834="TDP", Q834&lt;=500)),MAX(Q834,AI834,AK834)*M834,"")))))))</f>
        <v>1.64</v>
      </c>
      <c r="T834" s="10" t="s">
        <v>1047</v>
      </c>
      <c r="U834" s="34">
        <f t="shared" ref="U834:U897" si="96">IF(OR(H834="CHK",H834="ATP",H834="GUP",H834="PER", H834="NIC", H834="UREA"),(S834/V834*100),IF(H834="DUP",((ABS(S834-S833))/((S833+S834)/2))*100,IF(H834="SPK",((S834-S833)/V834*100),IF(OR(H834="LAB",H834="FLD",H834="ESF"),S834,""))))</f>
        <v>1.64</v>
      </c>
      <c r="V834" s="31" t="str">
        <f>IF(H834="CHK",VLOOKUP(I834,QCCHK,3,),IF(H834="GUP",VLOOKUP(E834,QCGUP,2,),IF(AND(H834="ATP",OR(I834="TN",I834="TDN",I834="TNO2-3",I834="NO2-3")),VLOOKUP(E834,QCREC_N,2,),IF(AND(H834="NIC",OR(I834="TN",I834="TDN",I834="TNO2-3",I834="NO2-3")),VLOOKUP(E834,QCNIC_N,2,),IF(AND(H834="UREA",OR(I834="TN",I834="TDN",I834="TNO2-3",I834="NO2-3")),VLOOKUP(E834,QCUREA_N,2,),IF(H834="PER",VLOOKUP(I834,QCPER,MATCH(E834,QCACTUAL!$J$25:$AA$25,0),),IF(H834="SPK",VLOOKUP(I834,QCSPK,3,),IF(AND(H834="ATP",OR(I834="TP",I834="TDP")),VLOOKUP(E834,QCATP_P,2,),""))))))))</f>
        <v/>
      </c>
      <c r="W834" s="31" t="str">
        <f t="shared" ref="W834:W897" si="97">IF(AND(OR(H834="PER",H834="ATP",H834="GUP",H834="CHK",H834="SPK", H834="NIC"),OR(U834&gt;125,U834&lt;75)),"FALSE",IF(AND(H834="DUP",OR(U834&gt;25, U834&lt;-25)),"FALSE",IF(AND(OR(H834="LAB",H834="FLD",H834="ESF"),U834&gt;15),"FALSE","TRUE")))</f>
        <v>TRUE</v>
      </c>
      <c r="X834" s="31" t="str">
        <f t="shared" ref="X834:X897" si="98">IF(ISNA(VLOOKUP(H834,QCEQUATIONS,2,)),"",(VLOOKUP(H834,QCEQUATIONS,2,)))</f>
        <v>nominal concentration</v>
      </c>
      <c r="Y834" s="10" t="s">
        <v>1040</v>
      </c>
      <c r="Z834" s="10" t="s">
        <v>910</v>
      </c>
      <c r="AL834" s="10" t="str">
        <f t="shared" si="93"/>
        <v>FALSE</v>
      </c>
      <c r="AM834" s="10" t="str">
        <f t="shared" si="93"/>
        <v>FALSE</v>
      </c>
      <c r="AN834" s="10" t="str">
        <f t="shared" si="93"/>
        <v>FALSE</v>
      </c>
      <c r="AO834" s="10" t="str">
        <f t="shared" si="94"/>
        <v>FALSE</v>
      </c>
      <c r="AP834" s="10" t="str">
        <f t="shared" si="94"/>
        <v>FALSE</v>
      </c>
      <c r="AQ834" s="10" t="b">
        <f>IF(AND(I834="TP",S834&lt;=150),VLOOKUP(AF834,TPCalibEq150!$AZ$2:$BB$55,3,),IF(AND(I834="TDP",S834&lt;=150),VLOOKUP(AF834,TPCalibEq150!$AZ$2:$BB$55,3,)))</f>
        <v>0</v>
      </c>
      <c r="AR834" s="10" t="b">
        <f>IF(AND(I834="TP",S834&lt;=300),VLOOKUP(AF834,TPCalibEq300!$AZ$2:$BB$55,3,),IF(AND(I834="TDP",S834&lt;=300),VLOOKUP(AF834,TPCalibEq300!$AZ$2:$BB$55,3,)))</f>
        <v>0</v>
      </c>
      <c r="AS834" s="10" t="b">
        <f>IF(AND(I834="TP",S834&lt;=500),VLOOKUP(AF834,TPCalibEq500!$AZ$2:$BB$56,3,),IF(AND(I834="TDP",S834&lt;=500),VLOOKUP(AF834,TPCalibEq500!$AZ$2:$BB$56,3,)))</f>
        <v>0</v>
      </c>
      <c r="AT834" s="10" t="b">
        <f>IF(AND(I834="TN",S834&lt;=2800),VLOOKUP(AF834,TNCalibEq2500!$AZ$2:$BB$56,3,),IF(AND(I834="TDN",S834&lt;=2800),VLOOKUP(AF834,TNCalibEq2500!$AZ$2:$BB$56,3,)))</f>
        <v>0</v>
      </c>
      <c r="AU834" s="10" t="b">
        <f>IF(I834="TP",VLOOKUP(AF834,TPCalibEqFull!$AZ$2:$BB$56,3),IF(I834="TDP",VLOOKUP(AF834,TPCalibEqFull!$AZ$2:$BB$56,3),IF(I834="TDN",VLOOKUP(AF834,TNCalibEqFull!$AZ$1:$BB$56,3),IF(I834="TN",VLOOKUP(AF834,TNCalibEqFull!$AZ$1:$BB$56,3),FALSE))))</f>
        <v>0</v>
      </c>
      <c r="AV834" s="10" t="str">
        <f t="shared" ref="AV834:AV897" si="99">TEXT(A834, "MMDD")&amp;" "&amp;TEXT(B834, "HH:MM:SS")&amp;"-"&amp;C834&amp;"-"&amp;D834&amp;"-"&amp;E834&amp;"-"&amp;F834&amp;"-"&amp;G834&amp;"-"&amp;H834</f>
        <v>1117 06:00:00-QAC-BLK-A-1-DI-FLD</v>
      </c>
    </row>
    <row r="835" spans="1:48" s="10" customFormat="1" x14ac:dyDescent="0.55000000000000004">
      <c r="A835" s="32">
        <v>45248</v>
      </c>
      <c r="B835" s="33">
        <v>0.3833333333333333</v>
      </c>
      <c r="C835" s="10" t="s">
        <v>70</v>
      </c>
      <c r="D835" s="10" t="s">
        <v>241</v>
      </c>
      <c r="E835" s="10" t="s">
        <v>866</v>
      </c>
      <c r="F835" s="10">
        <v>1</v>
      </c>
      <c r="G835" s="10" t="s">
        <v>73</v>
      </c>
      <c r="H835" s="10" t="s">
        <v>245</v>
      </c>
      <c r="I835" s="10" t="s">
        <v>75</v>
      </c>
      <c r="J835" s="10">
        <v>64</v>
      </c>
      <c r="K835" s="12">
        <v>44950</v>
      </c>
      <c r="L835" s="33">
        <v>0.4645023148148148</v>
      </c>
      <c r="M835" s="10">
        <v>1</v>
      </c>
      <c r="N835" s="10" t="s">
        <v>76</v>
      </c>
      <c r="O835" s="10">
        <v>7.8100000000000003E-2</v>
      </c>
      <c r="P835" s="10">
        <v>5.9800000000000001E-3</v>
      </c>
      <c r="Q835" s="10">
        <v>5.01</v>
      </c>
      <c r="R835" s="10" t="s">
        <v>77</v>
      </c>
      <c r="S835" s="34">
        <f t="shared" si="95"/>
        <v>5.01</v>
      </c>
      <c r="T835" s="10" t="s">
        <v>1047</v>
      </c>
      <c r="U835" s="34">
        <f t="shared" si="96"/>
        <v>5.01</v>
      </c>
      <c r="V835" s="31" t="str">
        <f>IF(H835="CHK",VLOOKUP(I835,QCCHK,3,),IF(H835="GUP",VLOOKUP(E835,QCGUP,2,),IF(AND(H835="ATP",OR(I835="TN",I835="TDN",I835="TNO2-3",I835="NO2-3")),VLOOKUP(E835,QCREC_N,2,),IF(AND(H835="NIC",OR(I835="TN",I835="TDN",I835="TNO2-3",I835="NO2-3")),VLOOKUP(E835,QCNIC_N,2,),IF(AND(H835="UREA",OR(I835="TN",I835="TDN",I835="TNO2-3",I835="NO2-3")),VLOOKUP(E835,QCUREA_N,2,),IF(H835="PER",VLOOKUP(I835,QCPER,MATCH(E835,QCACTUAL!$J$25:$AA$25,0),),IF(H835="SPK",VLOOKUP(I835,QCSPK,3,),IF(AND(H835="ATP",OR(I835="TP",I835="TDP")),VLOOKUP(E835,QCATP_P,2,),""))))))))</f>
        <v/>
      </c>
      <c r="W835" s="31" t="str">
        <f t="shared" si="97"/>
        <v>TRUE</v>
      </c>
      <c r="X835" s="31" t="str">
        <f t="shared" si="98"/>
        <v>nominal concentration</v>
      </c>
      <c r="Y835" s="10" t="s">
        <v>1040</v>
      </c>
      <c r="Z835" s="10" t="s">
        <v>910</v>
      </c>
      <c r="AL835" s="10" t="str">
        <f t="shared" si="93"/>
        <v>FALSE</v>
      </c>
      <c r="AM835" s="10" t="str">
        <f t="shared" si="93"/>
        <v>FALSE</v>
      </c>
      <c r="AN835" s="10" t="str">
        <f t="shared" si="93"/>
        <v>FALSE</v>
      </c>
      <c r="AO835" s="10" t="str">
        <f t="shared" si="94"/>
        <v>FALSE</v>
      </c>
      <c r="AP835" s="10" t="str">
        <f t="shared" si="94"/>
        <v>FALSE</v>
      </c>
      <c r="AQ835" s="10" t="b">
        <f>IF(AND(I835="TP",S835&lt;=150),VLOOKUP(AF835,TPCalibEq150!$AZ$2:$BB$55,3,),IF(AND(I835="TDP",S835&lt;=150),VLOOKUP(AF835,TPCalibEq150!$AZ$2:$BB$55,3,)))</f>
        <v>0</v>
      </c>
      <c r="AR835" s="10" t="b">
        <f>IF(AND(I835="TP",S835&lt;=300),VLOOKUP(AF835,TPCalibEq300!$AZ$2:$BB$55,3,),IF(AND(I835="TDP",S835&lt;=300),VLOOKUP(AF835,TPCalibEq300!$AZ$2:$BB$55,3,)))</f>
        <v>0</v>
      </c>
      <c r="AS835" s="10" t="b">
        <f>IF(AND(I835="TP",S835&lt;=500),VLOOKUP(AF835,TPCalibEq500!$AZ$2:$BB$56,3,),IF(AND(I835="TDP",S835&lt;=500),VLOOKUP(AF835,TPCalibEq500!$AZ$2:$BB$56,3,)))</f>
        <v>0</v>
      </c>
      <c r="AT835" s="10" t="b">
        <f>IF(AND(I835="TN",S835&lt;=2800),VLOOKUP(AF835,TNCalibEq2500!$AZ$2:$BB$56,3,),IF(AND(I835="TDN",S835&lt;=2800),VLOOKUP(AF835,TNCalibEq2500!$AZ$2:$BB$56,3,)))</f>
        <v>0</v>
      </c>
      <c r="AU835" s="10" t="b">
        <f>IF(I835="TP",VLOOKUP(AF835,TPCalibEqFull!$AZ$2:$BB$56,3),IF(I835="TDP",VLOOKUP(AF835,TPCalibEqFull!$AZ$2:$BB$56,3),IF(I835="TDN",VLOOKUP(AF835,TNCalibEqFull!$AZ$1:$BB$56,3),IF(I835="TN",VLOOKUP(AF835,TNCalibEqFull!$AZ$1:$BB$56,3),FALSE))))</f>
        <v>0</v>
      </c>
      <c r="AV835" s="10" t="str">
        <f t="shared" si="99"/>
        <v>1118 09:12:00-QAC-BLK-A-1-DI-ESF</v>
      </c>
    </row>
    <row r="836" spans="1:48" s="10" customFormat="1" x14ac:dyDescent="0.55000000000000004">
      <c r="A836" s="32">
        <v>45247</v>
      </c>
      <c r="B836" s="33">
        <v>0.25</v>
      </c>
      <c r="C836" s="10" t="s">
        <v>70</v>
      </c>
      <c r="D836" s="10" t="s">
        <v>241</v>
      </c>
      <c r="E836" s="10" t="s">
        <v>911</v>
      </c>
      <c r="F836" s="10">
        <v>1</v>
      </c>
      <c r="G836" s="10" t="s">
        <v>73</v>
      </c>
      <c r="H836" s="10" t="s">
        <v>264</v>
      </c>
      <c r="I836" s="10" t="s">
        <v>75</v>
      </c>
      <c r="J836" s="10">
        <v>65</v>
      </c>
      <c r="K836" s="12">
        <v>44950</v>
      </c>
      <c r="L836" s="33">
        <v>0.46532407407407406</v>
      </c>
      <c r="M836" s="10">
        <v>1</v>
      </c>
      <c r="N836" s="10" t="s">
        <v>76</v>
      </c>
      <c r="O836" s="10">
        <v>3.8300000000000001E-2</v>
      </c>
      <c r="P836" s="10">
        <v>4.8700000000000002E-3</v>
      </c>
      <c r="Q836" s="10">
        <v>2.46</v>
      </c>
      <c r="R836" s="10" t="s">
        <v>77</v>
      </c>
      <c r="S836" s="34">
        <f t="shared" si="95"/>
        <v>2.46</v>
      </c>
      <c r="T836" s="10" t="s">
        <v>1047</v>
      </c>
      <c r="U836" s="34">
        <f t="shared" si="96"/>
        <v>2.46</v>
      </c>
      <c r="V836" s="31" t="str">
        <f>IF(H836="CHK",VLOOKUP(I836,QCCHK,3,),IF(H836="GUP",VLOOKUP(E836,QCGUP,2,),IF(AND(H836="ATP",OR(I836="TN",I836="TDN",I836="TNO2-3",I836="NO2-3")),VLOOKUP(E836,QCREC_N,2,),IF(AND(H836="NIC",OR(I836="TN",I836="TDN",I836="TNO2-3",I836="NO2-3")),VLOOKUP(E836,QCNIC_N,2,),IF(AND(H836="UREA",OR(I836="TN",I836="TDN",I836="TNO2-3",I836="NO2-3")),VLOOKUP(E836,QCUREA_N,2,),IF(H836="PER",VLOOKUP(I836,QCPER,MATCH(E836,QCACTUAL!$J$25:$AA$25,0),),IF(H836="SPK",VLOOKUP(I836,QCSPK,3,),IF(AND(H836="ATP",OR(I836="TP",I836="TDP")),VLOOKUP(E836,QCATP_P,2,),""))))))))</f>
        <v/>
      </c>
      <c r="W836" s="31" t="str">
        <f t="shared" si="97"/>
        <v>TRUE</v>
      </c>
      <c r="X836" s="31" t="str">
        <f t="shared" si="98"/>
        <v>nominal concentration</v>
      </c>
      <c r="Y836" s="10" t="s">
        <v>1040</v>
      </c>
      <c r="Z836" s="10" t="s">
        <v>910</v>
      </c>
      <c r="AL836" s="10" t="str">
        <f t="shared" si="93"/>
        <v>FALSE</v>
      </c>
      <c r="AM836" s="10" t="str">
        <f t="shared" si="93"/>
        <v>FALSE</v>
      </c>
      <c r="AN836" s="10" t="str">
        <f t="shared" si="93"/>
        <v>FALSE</v>
      </c>
      <c r="AO836" s="10" t="str">
        <f t="shared" si="94"/>
        <v>FALSE</v>
      </c>
      <c r="AP836" s="10" t="str">
        <f t="shared" si="94"/>
        <v>FALSE</v>
      </c>
      <c r="AQ836" s="10" t="b">
        <f>IF(AND(I836="TP",S836&lt;=150),VLOOKUP(AF836,TPCalibEq150!$AZ$2:$BB$55,3,),IF(AND(I836="TDP",S836&lt;=150),VLOOKUP(AF836,TPCalibEq150!$AZ$2:$BB$55,3,)))</f>
        <v>0</v>
      </c>
      <c r="AR836" s="10" t="b">
        <f>IF(AND(I836="TP",S836&lt;=300),VLOOKUP(AF836,TPCalibEq300!$AZ$2:$BB$55,3,),IF(AND(I836="TDP",S836&lt;=300),VLOOKUP(AF836,TPCalibEq300!$AZ$2:$BB$55,3,)))</f>
        <v>0</v>
      </c>
      <c r="AS836" s="10" t="b">
        <f>IF(AND(I836="TP",S836&lt;=500),VLOOKUP(AF836,TPCalibEq500!$AZ$2:$BB$56,3,),IF(AND(I836="TDP",S836&lt;=500),VLOOKUP(AF836,TPCalibEq500!$AZ$2:$BB$56,3,)))</f>
        <v>0</v>
      </c>
      <c r="AT836" s="10" t="b">
        <f>IF(AND(I836="TN",S836&lt;=2800),VLOOKUP(AF836,TNCalibEq2500!$AZ$2:$BB$56,3,),IF(AND(I836="TDN",S836&lt;=2800),VLOOKUP(AF836,TNCalibEq2500!$AZ$2:$BB$56,3,)))</f>
        <v>0</v>
      </c>
      <c r="AU836" s="10" t="b">
        <f>IF(I836="TP",VLOOKUP(AF836,TPCalibEqFull!$AZ$2:$BB$56,3),IF(I836="TDP",VLOOKUP(AF836,TPCalibEqFull!$AZ$2:$BB$56,3),IF(I836="TDN",VLOOKUP(AF836,TNCalibEqFull!$AZ$1:$BB$56,3),IF(I836="TN",VLOOKUP(AF836,TNCalibEqFull!$AZ$1:$BB$56,3),FALSE))))</f>
        <v>0</v>
      </c>
      <c r="AV836" s="10" t="str">
        <f t="shared" si="99"/>
        <v>1117 06:00:00-QAC-BLK-FIL-1-DI-FLD</v>
      </c>
    </row>
    <row r="837" spans="1:48" s="10" customFormat="1" x14ac:dyDescent="0.55000000000000004">
      <c r="A837" s="32">
        <v>45248</v>
      </c>
      <c r="B837" s="33">
        <v>0.3833333333333333</v>
      </c>
      <c r="C837" s="10" t="s">
        <v>70</v>
      </c>
      <c r="D837" s="10" t="s">
        <v>241</v>
      </c>
      <c r="E837" s="10" t="s">
        <v>911</v>
      </c>
      <c r="F837" s="10">
        <v>1</v>
      </c>
      <c r="G837" s="10" t="s">
        <v>73</v>
      </c>
      <c r="H837" s="10" t="s">
        <v>245</v>
      </c>
      <c r="I837" s="10" t="s">
        <v>75</v>
      </c>
      <c r="J837" s="10">
        <v>66</v>
      </c>
      <c r="K837" s="12">
        <v>44950</v>
      </c>
      <c r="L837" s="33">
        <v>0.46614583333333331</v>
      </c>
      <c r="M837" s="10">
        <v>1</v>
      </c>
      <c r="N837" s="10" t="s">
        <v>76</v>
      </c>
      <c r="O837" s="10">
        <v>0.16300000000000001</v>
      </c>
      <c r="P837" s="10">
        <v>1.4999999999999999E-2</v>
      </c>
      <c r="Q837" s="10">
        <v>10.5</v>
      </c>
      <c r="R837" s="10" t="s">
        <v>77</v>
      </c>
      <c r="S837" s="34">
        <f t="shared" si="95"/>
        <v>10.5</v>
      </c>
      <c r="T837" s="10" t="s">
        <v>1047</v>
      </c>
      <c r="U837" s="34">
        <f t="shared" si="96"/>
        <v>10.5</v>
      </c>
      <c r="V837" s="31" t="str">
        <f>IF(H837="CHK",VLOOKUP(I837,QCCHK,3,),IF(H837="GUP",VLOOKUP(E837,QCGUP,2,),IF(AND(H837="ATP",OR(I837="TN",I837="TDN",I837="TNO2-3",I837="NO2-3")),VLOOKUP(E837,QCREC_N,2,),IF(AND(H837="NIC",OR(I837="TN",I837="TDN",I837="TNO2-3",I837="NO2-3")),VLOOKUP(E837,QCNIC_N,2,),IF(AND(H837="UREA",OR(I837="TN",I837="TDN",I837="TNO2-3",I837="NO2-3")),VLOOKUP(E837,QCUREA_N,2,),IF(H837="PER",VLOOKUP(I837,QCPER,MATCH(E837,QCACTUAL!$J$25:$AA$25,0),),IF(H837="SPK",VLOOKUP(I837,QCSPK,3,),IF(AND(H837="ATP",OR(I837="TP",I837="TDP")),VLOOKUP(E837,QCATP_P,2,),""))))))))</f>
        <v/>
      </c>
      <c r="W837" s="31" t="str">
        <f t="shared" si="97"/>
        <v>TRUE</v>
      </c>
      <c r="X837" s="31" t="str">
        <f t="shared" si="98"/>
        <v>nominal concentration</v>
      </c>
      <c r="Y837" s="10" t="s">
        <v>1040</v>
      </c>
      <c r="Z837" s="10" t="s">
        <v>910</v>
      </c>
      <c r="AL837" s="10" t="str">
        <f t="shared" si="93"/>
        <v>FALSE</v>
      </c>
      <c r="AM837" s="10" t="str">
        <f t="shared" si="93"/>
        <v>FALSE</v>
      </c>
      <c r="AN837" s="10" t="str">
        <f t="shared" si="93"/>
        <v>FALSE</v>
      </c>
      <c r="AO837" s="10" t="str">
        <f t="shared" si="94"/>
        <v>FALSE</v>
      </c>
      <c r="AP837" s="10" t="str">
        <f t="shared" si="94"/>
        <v>FALSE</v>
      </c>
      <c r="AQ837" s="10" t="b">
        <f>IF(AND(I837="TP",S837&lt;=150),VLOOKUP(AF837,TPCalibEq150!$AZ$2:$BB$55,3,),IF(AND(I837="TDP",S837&lt;=150),VLOOKUP(AF837,TPCalibEq150!$AZ$2:$BB$55,3,)))</f>
        <v>0</v>
      </c>
      <c r="AR837" s="10" t="b">
        <f>IF(AND(I837="TP",S837&lt;=300),VLOOKUP(AF837,TPCalibEq300!$AZ$2:$BB$55,3,),IF(AND(I837="TDP",S837&lt;=300),VLOOKUP(AF837,TPCalibEq300!$AZ$2:$BB$55,3,)))</f>
        <v>0</v>
      </c>
      <c r="AS837" s="10" t="b">
        <f>IF(AND(I837="TP",S837&lt;=500),VLOOKUP(AF837,TPCalibEq500!$AZ$2:$BB$56,3,),IF(AND(I837="TDP",S837&lt;=500),VLOOKUP(AF837,TPCalibEq500!$AZ$2:$BB$56,3,)))</f>
        <v>0</v>
      </c>
      <c r="AT837" s="10" t="b">
        <f>IF(AND(I837="TN",S837&lt;=2800),VLOOKUP(AF837,TNCalibEq2500!$AZ$2:$BB$56,3,),IF(AND(I837="TDN",S837&lt;=2800),VLOOKUP(AF837,TNCalibEq2500!$AZ$2:$BB$56,3,)))</f>
        <v>0</v>
      </c>
      <c r="AU837" s="10" t="b">
        <f>IF(I837="TP",VLOOKUP(AF837,TPCalibEqFull!$AZ$2:$BB$56,3),IF(I837="TDP",VLOOKUP(AF837,TPCalibEqFull!$AZ$2:$BB$56,3),IF(I837="TDN",VLOOKUP(AF837,TNCalibEqFull!$AZ$1:$BB$56,3),IF(I837="TN",VLOOKUP(AF837,TNCalibEqFull!$AZ$1:$BB$56,3),FALSE))))</f>
        <v>0</v>
      </c>
      <c r="AV837" s="10" t="str">
        <f t="shared" si="99"/>
        <v>1118 09:12:00-QAC-BLK-FIL-1-DI-ESF</v>
      </c>
    </row>
    <row r="838" spans="1:48" s="10" customFormat="1" x14ac:dyDescent="0.55000000000000004">
      <c r="A838" s="32">
        <v>44937</v>
      </c>
      <c r="B838" s="33">
        <v>0.24027777777777778</v>
      </c>
      <c r="C838" s="10" t="s">
        <v>279</v>
      </c>
      <c r="D838" s="10">
        <v>0</v>
      </c>
      <c r="E838" s="10" t="s">
        <v>190</v>
      </c>
      <c r="F838" s="10">
        <v>1</v>
      </c>
      <c r="G838" s="10" t="s">
        <v>231</v>
      </c>
      <c r="H838" s="10" t="s">
        <v>322</v>
      </c>
      <c r="I838" s="10" t="s">
        <v>75</v>
      </c>
      <c r="J838" s="10">
        <v>1</v>
      </c>
      <c r="K838" s="12">
        <v>44950</v>
      </c>
      <c r="L838" s="33">
        <v>0.46696759259259263</v>
      </c>
      <c r="M838" s="10">
        <v>1</v>
      </c>
      <c r="N838" s="10" t="s">
        <v>76</v>
      </c>
      <c r="O838" s="10">
        <v>0.16800000000000001</v>
      </c>
      <c r="P838" s="10">
        <v>1.49E-2</v>
      </c>
      <c r="Q838" s="10">
        <v>10.8</v>
      </c>
      <c r="R838" s="10" t="s">
        <v>77</v>
      </c>
      <c r="S838" s="34">
        <f t="shared" si="95"/>
        <v>10.8</v>
      </c>
      <c r="T838" s="10" t="s">
        <v>1047</v>
      </c>
      <c r="U838" s="34" t="str">
        <f t="shared" si="96"/>
        <v/>
      </c>
      <c r="V838" s="31" t="str">
        <f>IF(H838="CHK",VLOOKUP(I838,QCCHK,3,),IF(H838="GUP",VLOOKUP(E838,QCGUP,2,),IF(AND(H838="ATP",OR(I838="TN",I838="TDN",I838="TNO2-3",I838="NO2-3")),VLOOKUP(E838,QCREC_N,2,),IF(AND(H838="NIC",OR(I838="TN",I838="TDN",I838="TNO2-3",I838="NO2-3")),VLOOKUP(E838,QCNIC_N,2,),IF(AND(H838="UREA",OR(I838="TN",I838="TDN",I838="TNO2-3",I838="NO2-3")),VLOOKUP(E838,QCUREA_N,2,),IF(H838="PER",VLOOKUP(I838,QCPER,MATCH(E838,QCACTUAL!$J$25:$AA$25,0),),IF(H838="SPK",VLOOKUP(I838,QCSPK,3,),IF(AND(H838="ATP",OR(I838="TP",I838="TDP")),VLOOKUP(E838,QCATP_P,2,),""))))))))</f>
        <v/>
      </c>
      <c r="W838" s="31" t="str">
        <f t="shared" si="97"/>
        <v>TRUE</v>
      </c>
      <c r="X838" s="31" t="str">
        <f t="shared" si="98"/>
        <v/>
      </c>
      <c r="Y838" s="10" t="s">
        <v>1040</v>
      </c>
      <c r="Z838" s="10" t="s">
        <v>910</v>
      </c>
      <c r="AL838" s="10" t="str">
        <f t="shared" si="93"/>
        <v>FALSE</v>
      </c>
      <c r="AM838" s="10" t="str">
        <f t="shared" si="93"/>
        <v>FALSE</v>
      </c>
      <c r="AN838" s="10" t="str">
        <f t="shared" si="93"/>
        <v>FALSE</v>
      </c>
      <c r="AO838" s="10" t="str">
        <f t="shared" si="94"/>
        <v>FALSE</v>
      </c>
      <c r="AP838" s="10" t="str">
        <f t="shared" si="94"/>
        <v>FALSE</v>
      </c>
      <c r="AQ838" s="10" t="b">
        <f>IF(AND(I838="TP",S838&lt;=150),VLOOKUP(AF838,TPCalibEq150!$AZ$2:$BB$55,3,),IF(AND(I838="TDP",S838&lt;=150),VLOOKUP(AF838,TPCalibEq150!$AZ$2:$BB$55,3,)))</f>
        <v>0</v>
      </c>
      <c r="AR838" s="10" t="b">
        <f>IF(AND(I838="TP",S838&lt;=300),VLOOKUP(AF838,TPCalibEq300!$AZ$2:$BB$55,3,),IF(AND(I838="TDP",S838&lt;=300),VLOOKUP(AF838,TPCalibEq300!$AZ$2:$BB$55,3,)))</f>
        <v>0</v>
      </c>
      <c r="AS838" s="10" t="b">
        <f>IF(AND(I838="TP",S838&lt;=500),VLOOKUP(AF838,TPCalibEq500!$AZ$2:$BB$56,3,),IF(AND(I838="TDP",S838&lt;=500),VLOOKUP(AF838,TPCalibEq500!$AZ$2:$BB$56,3,)))</f>
        <v>0</v>
      </c>
      <c r="AT838" s="10" t="b">
        <f>IF(AND(I838="TN",S838&lt;=2800),VLOOKUP(AF838,TNCalibEq2500!$AZ$2:$BB$56,3,),IF(AND(I838="TDN",S838&lt;=2800),VLOOKUP(AF838,TNCalibEq2500!$AZ$2:$BB$56,3,)))</f>
        <v>0</v>
      </c>
      <c r="AU838" s="10" t="b">
        <f>IF(I838="TP",VLOOKUP(AF838,TPCalibEqFull!$AZ$2:$BB$56,3),IF(I838="TDP",VLOOKUP(AF838,TPCalibEqFull!$AZ$2:$BB$56,3),IF(I838="TDN",VLOOKUP(AF838,TNCalibEqFull!$AZ$1:$BB$56,3),IF(I838="TN",VLOOKUP(AF838,TNCalibEqFull!$AZ$1:$BB$56,3),FALSE))))</f>
        <v>0</v>
      </c>
      <c r="AV838" s="10" t="str">
        <f t="shared" si="99"/>
        <v>0111 05:46:00-EFK-0-C-1-SW-UKN</v>
      </c>
    </row>
    <row r="839" spans="1:48" s="10" customFormat="1" x14ac:dyDescent="0.55000000000000004">
      <c r="A839" s="32">
        <v>44937</v>
      </c>
      <c r="B839" s="33">
        <v>0.24513888888888888</v>
      </c>
      <c r="C839" s="10" t="s">
        <v>333</v>
      </c>
      <c r="D839" s="10">
        <v>0</v>
      </c>
      <c r="E839" s="10" t="s">
        <v>190</v>
      </c>
      <c r="F839" s="10">
        <v>1</v>
      </c>
      <c r="G839" s="10" t="s">
        <v>231</v>
      </c>
      <c r="H839" s="10" t="s">
        <v>322</v>
      </c>
      <c r="I839" s="10" t="s">
        <v>75</v>
      </c>
      <c r="J839" s="10">
        <v>2</v>
      </c>
      <c r="K839" s="12">
        <v>44950</v>
      </c>
      <c r="L839" s="33">
        <v>0.46778935185185189</v>
      </c>
      <c r="M839" s="10">
        <v>1</v>
      </c>
      <c r="N839" s="10" t="s">
        <v>76</v>
      </c>
      <c r="O839" s="10">
        <v>8.2500000000000004E-2</v>
      </c>
      <c r="P839" s="10">
        <v>7.0899999999999999E-3</v>
      </c>
      <c r="Q839" s="10">
        <v>5.3</v>
      </c>
      <c r="R839" s="10" t="s">
        <v>77</v>
      </c>
      <c r="S839" s="34">
        <f t="shared" si="95"/>
        <v>5.3</v>
      </c>
      <c r="T839" s="10" t="s">
        <v>1047</v>
      </c>
      <c r="U839" s="34" t="str">
        <f t="shared" si="96"/>
        <v/>
      </c>
      <c r="V839" s="31" t="str">
        <f>IF(H839="CHK",VLOOKUP(I839,QCCHK,3,),IF(H839="GUP",VLOOKUP(E839,QCGUP,2,),IF(AND(H839="ATP",OR(I839="TN",I839="TDN",I839="TNO2-3",I839="NO2-3")),VLOOKUP(E839,QCREC_N,2,),IF(AND(H839="NIC",OR(I839="TN",I839="TDN",I839="TNO2-3",I839="NO2-3")),VLOOKUP(E839,QCNIC_N,2,),IF(AND(H839="UREA",OR(I839="TN",I839="TDN",I839="TNO2-3",I839="NO2-3")),VLOOKUP(E839,QCUREA_N,2,),IF(H839="PER",VLOOKUP(I839,QCPER,MATCH(E839,QCACTUAL!$J$25:$AA$25,0),),IF(H839="SPK",VLOOKUP(I839,QCSPK,3,),IF(AND(H839="ATP",OR(I839="TP",I839="TDP")),VLOOKUP(E839,QCATP_P,2,),""))))))))</f>
        <v/>
      </c>
      <c r="W839" s="31" t="str">
        <f t="shared" si="97"/>
        <v>TRUE</v>
      </c>
      <c r="X839" s="31" t="str">
        <f t="shared" si="98"/>
        <v/>
      </c>
      <c r="Y839" s="10" t="s">
        <v>1040</v>
      </c>
      <c r="Z839" s="10" t="s">
        <v>910</v>
      </c>
      <c r="AL839" s="10" t="str">
        <f t="shared" si="93"/>
        <v>FALSE</v>
      </c>
      <c r="AM839" s="10" t="str">
        <f t="shared" si="93"/>
        <v>FALSE</v>
      </c>
      <c r="AN839" s="10" t="str">
        <f t="shared" si="93"/>
        <v>FALSE</v>
      </c>
      <c r="AO839" s="10" t="str">
        <f t="shared" si="94"/>
        <v>FALSE</v>
      </c>
      <c r="AP839" s="10" t="str">
        <f t="shared" si="94"/>
        <v>FALSE</v>
      </c>
      <c r="AQ839" s="10" t="b">
        <f>IF(AND(I839="TP",S839&lt;=150),VLOOKUP(AF839,TPCalibEq150!$AZ$2:$BB$55,3,),IF(AND(I839="TDP",S839&lt;=150),VLOOKUP(AF839,TPCalibEq150!$AZ$2:$BB$55,3,)))</f>
        <v>0</v>
      </c>
      <c r="AR839" s="10" t="b">
        <f>IF(AND(I839="TP",S839&lt;=300),VLOOKUP(AF839,TPCalibEq300!$AZ$2:$BB$55,3,),IF(AND(I839="TDP",S839&lt;=300),VLOOKUP(AF839,TPCalibEq300!$AZ$2:$BB$55,3,)))</f>
        <v>0</v>
      </c>
      <c r="AS839" s="10" t="b">
        <f>IF(AND(I839="TP",S839&lt;=500),VLOOKUP(AF839,TPCalibEq500!$AZ$2:$BB$56,3,),IF(AND(I839="TDP",S839&lt;=500),VLOOKUP(AF839,TPCalibEq500!$AZ$2:$BB$56,3,)))</f>
        <v>0</v>
      </c>
      <c r="AT839" s="10" t="b">
        <f>IF(AND(I839="TN",S839&lt;=2800),VLOOKUP(AF839,TNCalibEq2500!$AZ$2:$BB$56,3,),IF(AND(I839="TDN",S839&lt;=2800),VLOOKUP(AF839,TNCalibEq2500!$AZ$2:$BB$56,3,)))</f>
        <v>0</v>
      </c>
      <c r="AU839" s="10" t="b">
        <f>IF(I839="TP",VLOOKUP(AF839,TPCalibEqFull!$AZ$2:$BB$56,3),IF(I839="TDP",VLOOKUP(AF839,TPCalibEqFull!$AZ$2:$BB$56,3),IF(I839="TDN",VLOOKUP(AF839,TNCalibEqFull!$AZ$1:$BB$56,3),IF(I839="TN",VLOOKUP(AF839,TNCalibEqFull!$AZ$1:$BB$56,3),FALSE))))</f>
        <v>0</v>
      </c>
      <c r="AV839" s="10" t="str">
        <f t="shared" si="99"/>
        <v>0111 05:53:00-HST-0-C-1-SW-UKN</v>
      </c>
    </row>
    <row r="840" spans="1:48" s="10" customFormat="1" x14ac:dyDescent="0.55000000000000004">
      <c r="A840" s="32">
        <v>44938</v>
      </c>
      <c r="B840" s="33">
        <v>0.43958333333333338</v>
      </c>
      <c r="C840" s="10" t="s">
        <v>279</v>
      </c>
      <c r="D840" s="10">
        <v>0</v>
      </c>
      <c r="E840" s="10" t="s">
        <v>190</v>
      </c>
      <c r="F840" s="10">
        <v>1</v>
      </c>
      <c r="G840" s="10" t="s">
        <v>231</v>
      </c>
      <c r="H840" s="10" t="s">
        <v>322</v>
      </c>
      <c r="I840" s="10" t="s">
        <v>75</v>
      </c>
      <c r="J840" s="10">
        <v>3</v>
      </c>
      <c r="K840" s="12">
        <v>44950</v>
      </c>
      <c r="L840" s="33">
        <v>0.46861111111111109</v>
      </c>
      <c r="M840" s="10">
        <v>1</v>
      </c>
      <c r="N840" s="10" t="s">
        <v>76</v>
      </c>
      <c r="O840" s="10">
        <v>0.48</v>
      </c>
      <c r="P840" s="10">
        <v>4.3999999999999997E-2</v>
      </c>
      <c r="Q840" s="10">
        <v>30.8</v>
      </c>
      <c r="R840" s="10" t="s">
        <v>77</v>
      </c>
      <c r="S840" s="34">
        <f t="shared" si="95"/>
        <v>30.8</v>
      </c>
      <c r="T840" s="10" t="s">
        <v>1047</v>
      </c>
      <c r="U840" s="34" t="str">
        <f t="shared" si="96"/>
        <v/>
      </c>
      <c r="V840" s="31" t="str">
        <f>IF(H840="CHK",VLOOKUP(I840,QCCHK,3,),IF(H840="GUP",VLOOKUP(E840,QCGUP,2,),IF(AND(H840="ATP",OR(I840="TN",I840="TDN",I840="TNO2-3",I840="NO2-3")),VLOOKUP(E840,QCREC_N,2,),IF(AND(H840="NIC",OR(I840="TN",I840="TDN",I840="TNO2-3",I840="NO2-3")),VLOOKUP(E840,QCNIC_N,2,),IF(AND(H840="UREA",OR(I840="TN",I840="TDN",I840="TNO2-3",I840="NO2-3")),VLOOKUP(E840,QCUREA_N,2,),IF(H840="PER",VLOOKUP(I840,QCPER,MATCH(E840,QCACTUAL!$J$25:$AA$25,0),),IF(H840="SPK",VLOOKUP(I840,QCSPK,3,),IF(AND(H840="ATP",OR(I840="TP",I840="TDP")),VLOOKUP(E840,QCATP_P,2,),""))))))))</f>
        <v/>
      </c>
      <c r="W840" s="31" t="str">
        <f t="shared" si="97"/>
        <v>TRUE</v>
      </c>
      <c r="X840" s="31" t="str">
        <f t="shared" si="98"/>
        <v/>
      </c>
      <c r="Y840" s="10" t="s">
        <v>1040</v>
      </c>
      <c r="Z840" s="10" t="s">
        <v>910</v>
      </c>
      <c r="AL840" s="10" t="str">
        <f t="shared" si="93"/>
        <v>FALSE</v>
      </c>
      <c r="AM840" s="10" t="str">
        <f t="shared" si="93"/>
        <v>FALSE</v>
      </c>
      <c r="AN840" s="10" t="str">
        <f t="shared" si="93"/>
        <v>FALSE</v>
      </c>
      <c r="AO840" s="10" t="str">
        <f t="shared" si="94"/>
        <v>FALSE</v>
      </c>
      <c r="AP840" s="10" t="str">
        <f t="shared" si="94"/>
        <v>FALSE</v>
      </c>
      <c r="AQ840" s="10" t="b">
        <f>IF(AND(I840="TP",S840&lt;=150),VLOOKUP(AF840,TPCalibEq150!$AZ$2:$BB$55,3,),IF(AND(I840="TDP",S840&lt;=150),VLOOKUP(AF840,TPCalibEq150!$AZ$2:$BB$55,3,)))</f>
        <v>0</v>
      </c>
      <c r="AR840" s="10" t="b">
        <f>IF(AND(I840="TP",S840&lt;=300),VLOOKUP(AF840,TPCalibEq300!$AZ$2:$BB$55,3,),IF(AND(I840="TDP",S840&lt;=300),VLOOKUP(AF840,TPCalibEq300!$AZ$2:$BB$55,3,)))</f>
        <v>0</v>
      </c>
      <c r="AS840" s="10" t="b">
        <f>IF(AND(I840="TP",S840&lt;=500),VLOOKUP(AF840,TPCalibEq500!$AZ$2:$BB$56,3,),IF(AND(I840="TDP",S840&lt;=500),VLOOKUP(AF840,TPCalibEq500!$AZ$2:$BB$56,3,)))</f>
        <v>0</v>
      </c>
      <c r="AT840" s="10" t="b">
        <f>IF(AND(I840="TN",S840&lt;=2800),VLOOKUP(AF840,TNCalibEq2500!$AZ$2:$BB$56,3,),IF(AND(I840="TDN",S840&lt;=2800),VLOOKUP(AF840,TNCalibEq2500!$AZ$2:$BB$56,3,)))</f>
        <v>0</v>
      </c>
      <c r="AU840" s="10" t="b">
        <f>IF(I840="TP",VLOOKUP(AF840,TPCalibEqFull!$AZ$2:$BB$56,3),IF(I840="TDP",VLOOKUP(AF840,TPCalibEqFull!$AZ$2:$BB$56,3),IF(I840="TDN",VLOOKUP(AF840,TNCalibEqFull!$AZ$1:$BB$56,3),IF(I840="TN",VLOOKUP(AF840,TNCalibEqFull!$AZ$1:$BB$56,3),FALSE))))</f>
        <v>0</v>
      </c>
      <c r="AV840" s="10" t="str">
        <f t="shared" si="99"/>
        <v>0112 10:33:00-EFK-0-C-1-SW-UKN</v>
      </c>
    </row>
    <row r="841" spans="1:48" s="10" customFormat="1" x14ac:dyDescent="0.55000000000000004">
      <c r="A841" s="32">
        <v>44938</v>
      </c>
      <c r="B841" s="33">
        <v>0.4548611111111111</v>
      </c>
      <c r="C841" s="10" t="s">
        <v>333</v>
      </c>
      <c r="D841" s="10">
        <v>0</v>
      </c>
      <c r="E841" s="10" t="s">
        <v>190</v>
      </c>
      <c r="F841" s="10">
        <v>1</v>
      </c>
      <c r="G841" s="10" t="s">
        <v>231</v>
      </c>
      <c r="H841" s="10" t="s">
        <v>322</v>
      </c>
      <c r="I841" s="10" t="s">
        <v>75</v>
      </c>
      <c r="J841" s="10">
        <v>4</v>
      </c>
      <c r="K841" s="12">
        <v>44950</v>
      </c>
      <c r="L841" s="33">
        <v>0.46943287037037035</v>
      </c>
      <c r="M841" s="10">
        <v>1</v>
      </c>
      <c r="N841" s="10" t="s">
        <v>76</v>
      </c>
      <c r="O841" s="10">
        <v>0.89600000000000002</v>
      </c>
      <c r="P841" s="10">
        <v>8.2500000000000004E-2</v>
      </c>
      <c r="Q841" s="10">
        <v>57.6</v>
      </c>
      <c r="R841" s="10" t="s">
        <v>77</v>
      </c>
      <c r="S841" s="34">
        <f t="shared" si="95"/>
        <v>57.6</v>
      </c>
      <c r="T841" s="10" t="s">
        <v>1047</v>
      </c>
      <c r="U841" s="34" t="str">
        <f t="shared" si="96"/>
        <v/>
      </c>
      <c r="V841" s="31" t="str">
        <f>IF(H841="CHK",VLOOKUP(I841,QCCHK,3,),IF(H841="GUP",VLOOKUP(E841,QCGUP,2,),IF(AND(H841="ATP",OR(I841="TN",I841="TDN",I841="TNO2-3",I841="NO2-3")),VLOOKUP(E841,QCREC_N,2,),IF(AND(H841="NIC",OR(I841="TN",I841="TDN",I841="TNO2-3",I841="NO2-3")),VLOOKUP(E841,QCNIC_N,2,),IF(AND(H841="UREA",OR(I841="TN",I841="TDN",I841="TNO2-3",I841="NO2-3")),VLOOKUP(E841,QCUREA_N,2,),IF(H841="PER",VLOOKUP(I841,QCPER,MATCH(E841,QCACTUAL!$J$25:$AA$25,0),),IF(H841="SPK",VLOOKUP(I841,QCSPK,3,),IF(AND(H841="ATP",OR(I841="TP",I841="TDP")),VLOOKUP(E841,QCATP_P,2,),""))))))))</f>
        <v/>
      </c>
      <c r="W841" s="31" t="str">
        <f t="shared" si="97"/>
        <v>TRUE</v>
      </c>
      <c r="X841" s="31" t="str">
        <f t="shared" si="98"/>
        <v/>
      </c>
      <c r="Y841" s="10" t="s">
        <v>1040</v>
      </c>
      <c r="Z841" s="10" t="s">
        <v>910</v>
      </c>
      <c r="AL841" s="10" t="str">
        <f t="shared" si="93"/>
        <v>FALSE</v>
      </c>
      <c r="AM841" s="10" t="str">
        <f t="shared" si="93"/>
        <v>FALSE</v>
      </c>
      <c r="AN841" s="10" t="str">
        <f t="shared" si="93"/>
        <v>FALSE</v>
      </c>
      <c r="AO841" s="10" t="str">
        <f t="shared" si="94"/>
        <v>FALSE</v>
      </c>
      <c r="AP841" s="10" t="str">
        <f t="shared" si="94"/>
        <v>FALSE</v>
      </c>
      <c r="AQ841" s="10" t="b">
        <f>IF(AND(I841="TP",S841&lt;=150),VLOOKUP(AF841,TPCalibEq150!$AZ$2:$BB$55,3,),IF(AND(I841="TDP",S841&lt;=150),VLOOKUP(AF841,TPCalibEq150!$AZ$2:$BB$55,3,)))</f>
        <v>0</v>
      </c>
      <c r="AR841" s="10" t="b">
        <f>IF(AND(I841="TP",S841&lt;=300),VLOOKUP(AF841,TPCalibEq300!$AZ$2:$BB$55,3,),IF(AND(I841="TDP",S841&lt;=300),VLOOKUP(AF841,TPCalibEq300!$AZ$2:$BB$55,3,)))</f>
        <v>0</v>
      </c>
      <c r="AS841" s="10" t="b">
        <f>IF(AND(I841="TP",S841&lt;=500),VLOOKUP(AF841,TPCalibEq500!$AZ$2:$BB$56,3,),IF(AND(I841="TDP",S841&lt;=500),VLOOKUP(AF841,TPCalibEq500!$AZ$2:$BB$56,3,)))</f>
        <v>0</v>
      </c>
      <c r="AT841" s="10" t="b">
        <f>IF(AND(I841="TN",S841&lt;=2800),VLOOKUP(AF841,TNCalibEq2500!$AZ$2:$BB$56,3,),IF(AND(I841="TDN",S841&lt;=2800),VLOOKUP(AF841,TNCalibEq2500!$AZ$2:$BB$56,3,)))</f>
        <v>0</v>
      </c>
      <c r="AU841" s="10" t="b">
        <f>IF(I841="TP",VLOOKUP(AF841,TPCalibEqFull!$AZ$2:$BB$56,3),IF(I841="TDP",VLOOKUP(AF841,TPCalibEqFull!$AZ$2:$BB$56,3),IF(I841="TDN",VLOOKUP(AF841,TNCalibEqFull!$AZ$1:$BB$56,3),IF(I841="TN",VLOOKUP(AF841,TNCalibEqFull!$AZ$1:$BB$56,3),FALSE))))</f>
        <v>0</v>
      </c>
      <c r="AV841" s="10" t="str">
        <f t="shared" si="99"/>
        <v>0112 10:55:00-HST-0-C-1-SW-UKN</v>
      </c>
    </row>
    <row r="842" spans="1:48" s="10" customFormat="1" x14ac:dyDescent="0.55000000000000004">
      <c r="A842" s="32">
        <v>44939</v>
      </c>
      <c r="B842" s="33">
        <v>0.4916666666666667</v>
      </c>
      <c r="C842" s="10" t="s">
        <v>279</v>
      </c>
      <c r="D842" s="10">
        <v>0</v>
      </c>
      <c r="E842" s="10" t="s">
        <v>190</v>
      </c>
      <c r="F842" s="10">
        <v>1</v>
      </c>
      <c r="G842" s="10" t="s">
        <v>231</v>
      </c>
      <c r="H842" s="10" t="s">
        <v>322</v>
      </c>
      <c r="I842" s="10" t="s">
        <v>75</v>
      </c>
      <c r="J842" s="10">
        <v>5</v>
      </c>
      <c r="K842" s="12">
        <v>44950</v>
      </c>
      <c r="L842" s="33">
        <v>0.47025462962962966</v>
      </c>
      <c r="M842" s="10">
        <v>1</v>
      </c>
      <c r="N842" s="10" t="s">
        <v>76</v>
      </c>
      <c r="O842" s="10">
        <v>1.52</v>
      </c>
      <c r="P842" s="10">
        <v>0.14399999999999999</v>
      </c>
      <c r="Q842" s="10">
        <v>97.8</v>
      </c>
      <c r="R842" s="10" t="s">
        <v>77</v>
      </c>
      <c r="S842" s="34">
        <f t="shared" si="95"/>
        <v>97.8</v>
      </c>
      <c r="T842" s="10" t="s">
        <v>1047</v>
      </c>
      <c r="U842" s="34" t="str">
        <f t="shared" si="96"/>
        <v/>
      </c>
      <c r="V842" s="31" t="str">
        <f>IF(H842="CHK",VLOOKUP(I842,QCCHK,3,),IF(H842="GUP",VLOOKUP(E842,QCGUP,2,),IF(AND(H842="ATP",OR(I842="TN",I842="TDN",I842="TNO2-3",I842="NO2-3")),VLOOKUP(E842,QCREC_N,2,),IF(AND(H842="NIC",OR(I842="TN",I842="TDN",I842="TNO2-3",I842="NO2-3")),VLOOKUP(E842,QCNIC_N,2,),IF(AND(H842="UREA",OR(I842="TN",I842="TDN",I842="TNO2-3",I842="NO2-3")),VLOOKUP(E842,QCUREA_N,2,),IF(H842="PER",VLOOKUP(I842,QCPER,MATCH(E842,QCACTUAL!$J$25:$AA$25,0),),IF(H842="SPK",VLOOKUP(I842,QCSPK,3,),IF(AND(H842="ATP",OR(I842="TP",I842="TDP")),VLOOKUP(E842,QCATP_P,2,),""))))))))</f>
        <v/>
      </c>
      <c r="W842" s="31" t="str">
        <f t="shared" si="97"/>
        <v>TRUE</v>
      </c>
      <c r="X842" s="31" t="str">
        <f t="shared" si="98"/>
        <v/>
      </c>
      <c r="Y842" s="10" t="s">
        <v>1040</v>
      </c>
      <c r="Z842" s="10" t="s">
        <v>910</v>
      </c>
      <c r="AL842" s="10" t="str">
        <f t="shared" si="93"/>
        <v>FALSE</v>
      </c>
      <c r="AM842" s="10" t="str">
        <f t="shared" si="93"/>
        <v>FALSE</v>
      </c>
      <c r="AN842" s="10" t="str">
        <f t="shared" si="93"/>
        <v>FALSE</v>
      </c>
      <c r="AO842" s="10" t="str">
        <f t="shared" si="94"/>
        <v>FALSE</v>
      </c>
      <c r="AP842" s="10" t="str">
        <f t="shared" si="94"/>
        <v>FALSE</v>
      </c>
      <c r="AQ842" s="10" t="b">
        <f>IF(AND(I842="TP",S842&lt;=150),VLOOKUP(AF842,TPCalibEq150!$AZ$2:$BB$55,3,),IF(AND(I842="TDP",S842&lt;=150),VLOOKUP(AF842,TPCalibEq150!$AZ$2:$BB$55,3,)))</f>
        <v>0</v>
      </c>
      <c r="AR842" s="10" t="b">
        <f>IF(AND(I842="TP",S842&lt;=300),VLOOKUP(AF842,TPCalibEq300!$AZ$2:$BB$55,3,),IF(AND(I842="TDP",S842&lt;=300),VLOOKUP(AF842,TPCalibEq300!$AZ$2:$BB$55,3,)))</f>
        <v>0</v>
      </c>
      <c r="AS842" s="10" t="b">
        <f>IF(AND(I842="TP",S842&lt;=500),VLOOKUP(AF842,TPCalibEq500!$AZ$2:$BB$56,3,),IF(AND(I842="TDP",S842&lt;=500),VLOOKUP(AF842,TPCalibEq500!$AZ$2:$BB$56,3,)))</f>
        <v>0</v>
      </c>
      <c r="AT842" s="10" t="b">
        <f>IF(AND(I842="TN",S842&lt;=2800),VLOOKUP(AF842,TNCalibEq2500!$AZ$2:$BB$56,3,),IF(AND(I842="TDN",S842&lt;=2800),VLOOKUP(AF842,TNCalibEq2500!$AZ$2:$BB$56,3,)))</f>
        <v>0</v>
      </c>
      <c r="AU842" s="10" t="b">
        <f>IF(I842="TP",VLOOKUP(AF842,TPCalibEqFull!$AZ$2:$BB$56,3),IF(I842="TDP",VLOOKUP(AF842,TPCalibEqFull!$AZ$2:$BB$56,3),IF(I842="TDN",VLOOKUP(AF842,TNCalibEqFull!$AZ$1:$BB$56,3),IF(I842="TN",VLOOKUP(AF842,TNCalibEqFull!$AZ$1:$BB$56,3),FALSE))))</f>
        <v>0</v>
      </c>
      <c r="AV842" s="10" t="str">
        <f t="shared" si="99"/>
        <v>0113 11:48:00-EFK-0-C-1-SW-UKN</v>
      </c>
    </row>
    <row r="843" spans="1:48" s="10" customFormat="1" x14ac:dyDescent="0.55000000000000004">
      <c r="A843" s="32">
        <v>44939</v>
      </c>
      <c r="B843" s="33">
        <v>0.49444444444444446</v>
      </c>
      <c r="C843" s="10" t="s">
        <v>333</v>
      </c>
      <c r="D843" s="10">
        <v>0</v>
      </c>
      <c r="E843" s="10" t="s">
        <v>190</v>
      </c>
      <c r="F843" s="10">
        <v>1</v>
      </c>
      <c r="G843" s="10" t="s">
        <v>231</v>
      </c>
      <c r="H843" s="10" t="s">
        <v>322</v>
      </c>
      <c r="I843" s="10" t="s">
        <v>75</v>
      </c>
      <c r="J843" s="10">
        <v>6</v>
      </c>
      <c r="K843" s="12">
        <v>44950</v>
      </c>
      <c r="L843" s="33">
        <v>0.47107638888888892</v>
      </c>
      <c r="M843" s="10">
        <v>1</v>
      </c>
      <c r="N843" s="10" t="s">
        <v>76</v>
      </c>
      <c r="O843" s="10">
        <v>0.152</v>
      </c>
      <c r="P843" s="10">
        <v>1.3100000000000001E-2</v>
      </c>
      <c r="Q843" s="10">
        <v>9.74</v>
      </c>
      <c r="R843" s="10" t="s">
        <v>77</v>
      </c>
      <c r="S843" s="34">
        <f t="shared" si="95"/>
        <v>9.74</v>
      </c>
      <c r="T843" s="10" t="s">
        <v>1047</v>
      </c>
      <c r="U843" s="34" t="str">
        <f t="shared" si="96"/>
        <v/>
      </c>
      <c r="V843" s="31" t="str">
        <f>IF(H843="CHK",VLOOKUP(I843,QCCHK,3,),IF(H843="GUP",VLOOKUP(E843,QCGUP,2,),IF(AND(H843="ATP",OR(I843="TN",I843="TDN",I843="TNO2-3",I843="NO2-3")),VLOOKUP(E843,QCREC_N,2,),IF(AND(H843="NIC",OR(I843="TN",I843="TDN",I843="TNO2-3",I843="NO2-3")),VLOOKUP(E843,QCNIC_N,2,),IF(AND(H843="UREA",OR(I843="TN",I843="TDN",I843="TNO2-3",I843="NO2-3")),VLOOKUP(E843,QCUREA_N,2,),IF(H843="PER",VLOOKUP(I843,QCPER,MATCH(E843,QCACTUAL!$J$25:$AA$25,0),),IF(H843="SPK",VLOOKUP(I843,QCSPK,3,),IF(AND(H843="ATP",OR(I843="TP",I843="TDP")),VLOOKUP(E843,QCATP_P,2,),""))))))))</f>
        <v/>
      </c>
      <c r="W843" s="31" t="str">
        <f t="shared" si="97"/>
        <v>TRUE</v>
      </c>
      <c r="X843" s="31" t="str">
        <f t="shared" si="98"/>
        <v/>
      </c>
      <c r="Y843" s="10" t="s">
        <v>1040</v>
      </c>
      <c r="Z843" s="10" t="s">
        <v>910</v>
      </c>
      <c r="AL843" s="10" t="str">
        <f t="shared" si="93"/>
        <v>FALSE</v>
      </c>
      <c r="AM843" s="10" t="str">
        <f t="shared" si="93"/>
        <v>FALSE</v>
      </c>
      <c r="AN843" s="10" t="str">
        <f t="shared" si="93"/>
        <v>FALSE</v>
      </c>
      <c r="AO843" s="10" t="str">
        <f t="shared" si="94"/>
        <v>FALSE</v>
      </c>
      <c r="AP843" s="10" t="str">
        <f t="shared" si="94"/>
        <v>FALSE</v>
      </c>
      <c r="AQ843" s="10" t="b">
        <f>IF(AND(I843="TP",S843&lt;=150),VLOOKUP(AF843,TPCalibEq150!$AZ$2:$BB$55,3,),IF(AND(I843="TDP",S843&lt;=150),VLOOKUP(AF843,TPCalibEq150!$AZ$2:$BB$55,3,)))</f>
        <v>0</v>
      </c>
      <c r="AR843" s="10" t="b">
        <f>IF(AND(I843="TP",S843&lt;=300),VLOOKUP(AF843,TPCalibEq300!$AZ$2:$BB$55,3,),IF(AND(I843="TDP",S843&lt;=300),VLOOKUP(AF843,TPCalibEq300!$AZ$2:$BB$55,3,)))</f>
        <v>0</v>
      </c>
      <c r="AS843" s="10" t="b">
        <f>IF(AND(I843="TP",S843&lt;=500),VLOOKUP(AF843,TPCalibEq500!$AZ$2:$BB$56,3,),IF(AND(I843="TDP",S843&lt;=500),VLOOKUP(AF843,TPCalibEq500!$AZ$2:$BB$56,3,)))</f>
        <v>0</v>
      </c>
      <c r="AT843" s="10" t="b">
        <f>IF(AND(I843="TN",S843&lt;=2800),VLOOKUP(AF843,TNCalibEq2500!$AZ$2:$BB$56,3,),IF(AND(I843="TDN",S843&lt;=2800),VLOOKUP(AF843,TNCalibEq2500!$AZ$2:$BB$56,3,)))</f>
        <v>0</v>
      </c>
      <c r="AU843" s="10" t="b">
        <f>IF(I843="TP",VLOOKUP(AF843,TPCalibEqFull!$AZ$2:$BB$56,3),IF(I843="TDP",VLOOKUP(AF843,TPCalibEqFull!$AZ$2:$BB$56,3),IF(I843="TDN",VLOOKUP(AF843,TNCalibEqFull!$AZ$1:$BB$56,3),IF(I843="TN",VLOOKUP(AF843,TNCalibEqFull!$AZ$1:$BB$56,3),FALSE))))</f>
        <v>0</v>
      </c>
      <c r="AV843" s="10" t="str">
        <f t="shared" si="99"/>
        <v>0113 11:52:00-HST-0-C-1-SW-UKN</v>
      </c>
    </row>
    <row r="844" spans="1:48" s="10" customFormat="1" x14ac:dyDescent="0.55000000000000004">
      <c r="A844" s="32">
        <v>44943</v>
      </c>
      <c r="B844" s="33">
        <v>0.32291666666666669</v>
      </c>
      <c r="C844" s="10" t="s">
        <v>279</v>
      </c>
      <c r="D844" s="10">
        <v>0</v>
      </c>
      <c r="E844" s="10" t="s">
        <v>190</v>
      </c>
      <c r="F844" s="10">
        <v>1</v>
      </c>
      <c r="G844" s="10" t="s">
        <v>231</v>
      </c>
      <c r="H844" s="10" t="s">
        <v>322</v>
      </c>
      <c r="I844" s="10" t="s">
        <v>75</v>
      </c>
      <c r="J844" s="10">
        <v>7</v>
      </c>
      <c r="K844" s="12">
        <v>44950</v>
      </c>
      <c r="L844" s="33">
        <v>0.47188657407407408</v>
      </c>
      <c r="M844" s="10">
        <v>1</v>
      </c>
      <c r="N844" s="10" t="s">
        <v>76</v>
      </c>
      <c r="O844" s="10">
        <v>0.40799999999999997</v>
      </c>
      <c r="P844" s="10">
        <v>3.6200000000000003E-2</v>
      </c>
      <c r="Q844" s="10">
        <v>26.2</v>
      </c>
      <c r="R844" s="10" t="s">
        <v>77</v>
      </c>
      <c r="S844" s="34">
        <f t="shared" si="95"/>
        <v>26.2</v>
      </c>
      <c r="T844" s="10" t="s">
        <v>1047</v>
      </c>
      <c r="U844" s="34" t="str">
        <f t="shared" si="96"/>
        <v/>
      </c>
      <c r="V844" s="31" t="str">
        <f>IF(H844="CHK",VLOOKUP(I844,QCCHK,3,),IF(H844="GUP",VLOOKUP(E844,QCGUP,2,),IF(AND(H844="ATP",OR(I844="TN",I844="TDN",I844="TNO2-3",I844="NO2-3")),VLOOKUP(E844,QCREC_N,2,),IF(AND(H844="NIC",OR(I844="TN",I844="TDN",I844="TNO2-3",I844="NO2-3")),VLOOKUP(E844,QCNIC_N,2,),IF(AND(H844="UREA",OR(I844="TN",I844="TDN",I844="TNO2-3",I844="NO2-3")),VLOOKUP(E844,QCUREA_N,2,),IF(H844="PER",VLOOKUP(I844,QCPER,MATCH(E844,QCACTUAL!$J$25:$AA$25,0),),IF(H844="SPK",VLOOKUP(I844,QCSPK,3,),IF(AND(H844="ATP",OR(I844="TP",I844="TDP")),VLOOKUP(E844,QCATP_P,2,),""))))))))</f>
        <v/>
      </c>
      <c r="W844" s="31" t="str">
        <f t="shared" si="97"/>
        <v>TRUE</v>
      </c>
      <c r="X844" s="31" t="str">
        <f t="shared" si="98"/>
        <v/>
      </c>
      <c r="Y844" s="10" t="s">
        <v>1040</v>
      </c>
      <c r="Z844" s="10" t="s">
        <v>910</v>
      </c>
      <c r="AL844" s="10" t="str">
        <f t="shared" si="93"/>
        <v>FALSE</v>
      </c>
      <c r="AM844" s="10" t="str">
        <f t="shared" si="93"/>
        <v>FALSE</v>
      </c>
      <c r="AN844" s="10" t="str">
        <f t="shared" si="93"/>
        <v>FALSE</v>
      </c>
      <c r="AO844" s="10" t="str">
        <f t="shared" si="94"/>
        <v>FALSE</v>
      </c>
      <c r="AP844" s="10" t="str">
        <f t="shared" si="94"/>
        <v>FALSE</v>
      </c>
      <c r="AQ844" s="10" t="b">
        <f>IF(AND(I844="TP",S844&lt;=150),VLOOKUP(AF844,TPCalibEq150!$AZ$2:$BB$55,3,),IF(AND(I844="TDP",S844&lt;=150),VLOOKUP(AF844,TPCalibEq150!$AZ$2:$BB$55,3,)))</f>
        <v>0</v>
      </c>
      <c r="AR844" s="10" t="b">
        <f>IF(AND(I844="TP",S844&lt;=300),VLOOKUP(AF844,TPCalibEq300!$AZ$2:$BB$55,3,),IF(AND(I844="TDP",S844&lt;=300),VLOOKUP(AF844,TPCalibEq300!$AZ$2:$BB$55,3,)))</f>
        <v>0</v>
      </c>
      <c r="AS844" s="10" t="b">
        <f>IF(AND(I844="TP",S844&lt;=500),VLOOKUP(AF844,TPCalibEq500!$AZ$2:$BB$56,3,),IF(AND(I844="TDP",S844&lt;=500),VLOOKUP(AF844,TPCalibEq500!$AZ$2:$BB$56,3,)))</f>
        <v>0</v>
      </c>
      <c r="AT844" s="10" t="b">
        <f>IF(AND(I844="TN",S844&lt;=2800),VLOOKUP(AF844,TNCalibEq2500!$AZ$2:$BB$56,3,),IF(AND(I844="TDN",S844&lt;=2800),VLOOKUP(AF844,TNCalibEq2500!$AZ$2:$BB$56,3,)))</f>
        <v>0</v>
      </c>
      <c r="AU844" s="10" t="b">
        <f>IF(I844="TP",VLOOKUP(AF844,TPCalibEqFull!$AZ$2:$BB$56,3),IF(I844="TDP",VLOOKUP(AF844,TPCalibEqFull!$AZ$2:$BB$56,3),IF(I844="TDN",VLOOKUP(AF844,TNCalibEqFull!$AZ$1:$BB$56,3),IF(I844="TN",VLOOKUP(AF844,TNCalibEqFull!$AZ$1:$BB$56,3),FALSE))))</f>
        <v>0</v>
      </c>
      <c r="AV844" s="10" t="str">
        <f t="shared" si="99"/>
        <v>0117 07:45:00-EFK-0-C-1-SW-UKN</v>
      </c>
    </row>
    <row r="845" spans="1:48" s="10" customFormat="1" x14ac:dyDescent="0.55000000000000004">
      <c r="A845" s="32">
        <v>44943</v>
      </c>
      <c r="B845" s="33">
        <v>0.32083333333333336</v>
      </c>
      <c r="C845" s="10" t="s">
        <v>333</v>
      </c>
      <c r="D845" s="10">
        <v>0</v>
      </c>
      <c r="E845" s="10" t="s">
        <v>190</v>
      </c>
      <c r="F845" s="10">
        <v>1</v>
      </c>
      <c r="G845" s="10" t="s">
        <v>231</v>
      </c>
      <c r="H845" s="10" t="s">
        <v>322</v>
      </c>
      <c r="I845" s="10" t="s">
        <v>75</v>
      </c>
      <c r="J845" s="10">
        <v>8</v>
      </c>
      <c r="K845" s="12">
        <v>44950</v>
      </c>
      <c r="L845" s="33">
        <v>0.47270833333333334</v>
      </c>
      <c r="M845" s="10">
        <v>1</v>
      </c>
      <c r="N845" s="10" t="s">
        <v>76</v>
      </c>
      <c r="O845" s="10">
        <v>5.8700000000000002E-2</v>
      </c>
      <c r="P845" s="10">
        <v>5.0899999999999999E-3</v>
      </c>
      <c r="Q845" s="10">
        <v>3.77</v>
      </c>
      <c r="R845" s="10" t="s">
        <v>77</v>
      </c>
      <c r="S845" s="34">
        <f t="shared" si="95"/>
        <v>3.77</v>
      </c>
      <c r="T845" s="10" t="s">
        <v>1047</v>
      </c>
      <c r="U845" s="34" t="str">
        <f t="shared" si="96"/>
        <v/>
      </c>
      <c r="V845" s="31" t="str">
        <f>IF(H845="CHK",VLOOKUP(I845,QCCHK,3,),IF(H845="GUP",VLOOKUP(E845,QCGUP,2,),IF(AND(H845="ATP",OR(I845="TN",I845="TDN",I845="TNO2-3",I845="NO2-3")),VLOOKUP(E845,QCREC_N,2,),IF(AND(H845="NIC",OR(I845="TN",I845="TDN",I845="TNO2-3",I845="NO2-3")),VLOOKUP(E845,QCNIC_N,2,),IF(AND(H845="UREA",OR(I845="TN",I845="TDN",I845="TNO2-3",I845="NO2-3")),VLOOKUP(E845,QCUREA_N,2,),IF(H845="PER",VLOOKUP(I845,QCPER,MATCH(E845,QCACTUAL!$J$25:$AA$25,0),),IF(H845="SPK",VLOOKUP(I845,QCSPK,3,),IF(AND(H845="ATP",OR(I845="TP",I845="TDP")),VLOOKUP(E845,QCATP_P,2,),""))))))))</f>
        <v/>
      </c>
      <c r="W845" s="31" t="str">
        <f t="shared" si="97"/>
        <v>TRUE</v>
      </c>
      <c r="X845" s="31" t="str">
        <f t="shared" si="98"/>
        <v/>
      </c>
      <c r="Y845" s="10" t="s">
        <v>1040</v>
      </c>
      <c r="Z845" s="10" t="s">
        <v>910</v>
      </c>
      <c r="AL845" s="10" t="str">
        <f t="shared" si="93"/>
        <v>FALSE</v>
      </c>
      <c r="AM845" s="10" t="str">
        <f t="shared" si="93"/>
        <v>FALSE</v>
      </c>
      <c r="AN845" s="10" t="str">
        <f t="shared" si="93"/>
        <v>FALSE</v>
      </c>
      <c r="AO845" s="10" t="str">
        <f t="shared" si="94"/>
        <v>FALSE</v>
      </c>
      <c r="AP845" s="10" t="str">
        <f t="shared" si="94"/>
        <v>FALSE</v>
      </c>
      <c r="AQ845" s="10" t="b">
        <f>IF(AND(I845="TP",S845&lt;=150),VLOOKUP(AF845,TPCalibEq150!$AZ$2:$BB$55,3,),IF(AND(I845="TDP",S845&lt;=150),VLOOKUP(AF845,TPCalibEq150!$AZ$2:$BB$55,3,)))</f>
        <v>0</v>
      </c>
      <c r="AR845" s="10" t="b">
        <f>IF(AND(I845="TP",S845&lt;=300),VLOOKUP(AF845,TPCalibEq300!$AZ$2:$BB$55,3,),IF(AND(I845="TDP",S845&lt;=300),VLOOKUP(AF845,TPCalibEq300!$AZ$2:$BB$55,3,)))</f>
        <v>0</v>
      </c>
      <c r="AS845" s="10" t="b">
        <f>IF(AND(I845="TP",S845&lt;=500),VLOOKUP(AF845,TPCalibEq500!$AZ$2:$BB$56,3,),IF(AND(I845="TDP",S845&lt;=500),VLOOKUP(AF845,TPCalibEq500!$AZ$2:$BB$56,3,)))</f>
        <v>0</v>
      </c>
      <c r="AT845" s="10" t="b">
        <f>IF(AND(I845="TN",S845&lt;=2800),VLOOKUP(AF845,TNCalibEq2500!$AZ$2:$BB$56,3,),IF(AND(I845="TDN",S845&lt;=2800),VLOOKUP(AF845,TNCalibEq2500!$AZ$2:$BB$56,3,)))</f>
        <v>0</v>
      </c>
      <c r="AU845" s="10" t="b">
        <f>IF(I845="TP",VLOOKUP(AF845,TPCalibEqFull!$AZ$2:$BB$56,3),IF(I845="TDP",VLOOKUP(AF845,TPCalibEqFull!$AZ$2:$BB$56,3),IF(I845="TDN",VLOOKUP(AF845,TNCalibEqFull!$AZ$1:$BB$56,3),IF(I845="TN",VLOOKUP(AF845,TNCalibEqFull!$AZ$1:$BB$56,3),FALSE))))</f>
        <v>0</v>
      </c>
      <c r="AV845" s="10" t="str">
        <f t="shared" si="99"/>
        <v>0117 07:42:00-HST-0-C-1-SW-UKN</v>
      </c>
    </row>
    <row r="846" spans="1:48" s="10" customFormat="1" x14ac:dyDescent="0.55000000000000004">
      <c r="A846" s="32">
        <v>44944</v>
      </c>
      <c r="B846" s="33">
        <v>0.36249999999999999</v>
      </c>
      <c r="C846" s="10" t="s">
        <v>279</v>
      </c>
      <c r="D846" s="10">
        <v>0</v>
      </c>
      <c r="E846" s="10" t="s">
        <v>190</v>
      </c>
      <c r="F846" s="10">
        <v>1</v>
      </c>
      <c r="G846" s="10" t="s">
        <v>231</v>
      </c>
      <c r="H846" s="10" t="s">
        <v>322</v>
      </c>
      <c r="I846" s="10" t="s">
        <v>75</v>
      </c>
      <c r="J846" s="10">
        <v>9</v>
      </c>
      <c r="K846" s="12">
        <v>44950</v>
      </c>
      <c r="L846" s="33">
        <v>0.47351851851851851</v>
      </c>
      <c r="M846" s="10">
        <v>1</v>
      </c>
      <c r="N846" s="10" t="s">
        <v>76</v>
      </c>
      <c r="O846" s="10">
        <v>0.27800000000000002</v>
      </c>
      <c r="P846" s="10">
        <v>2.4400000000000002E-2</v>
      </c>
      <c r="Q846" s="10">
        <v>17.8</v>
      </c>
      <c r="R846" s="10" t="s">
        <v>77</v>
      </c>
      <c r="S846" s="34">
        <f t="shared" si="95"/>
        <v>17.8</v>
      </c>
      <c r="T846" s="10" t="s">
        <v>1047</v>
      </c>
      <c r="U846" s="34" t="str">
        <f t="shared" si="96"/>
        <v/>
      </c>
      <c r="V846" s="31" t="str">
        <f>IF(H846="CHK",VLOOKUP(I846,QCCHK,3,),IF(H846="GUP",VLOOKUP(E846,QCGUP,2,),IF(AND(H846="ATP",OR(I846="TN",I846="TDN",I846="TNO2-3",I846="NO2-3")),VLOOKUP(E846,QCREC_N,2,),IF(AND(H846="NIC",OR(I846="TN",I846="TDN",I846="TNO2-3",I846="NO2-3")),VLOOKUP(E846,QCNIC_N,2,),IF(AND(H846="UREA",OR(I846="TN",I846="TDN",I846="TNO2-3",I846="NO2-3")),VLOOKUP(E846,QCUREA_N,2,),IF(H846="PER",VLOOKUP(I846,QCPER,MATCH(E846,QCACTUAL!$J$25:$AA$25,0),),IF(H846="SPK",VLOOKUP(I846,QCSPK,3,),IF(AND(H846="ATP",OR(I846="TP",I846="TDP")),VLOOKUP(E846,QCATP_P,2,),""))))))))</f>
        <v/>
      </c>
      <c r="W846" s="31" t="str">
        <f t="shared" si="97"/>
        <v>TRUE</v>
      </c>
      <c r="X846" s="31" t="str">
        <f t="shared" si="98"/>
        <v/>
      </c>
      <c r="Y846" s="10" t="s">
        <v>1040</v>
      </c>
      <c r="Z846" s="10" t="s">
        <v>910</v>
      </c>
      <c r="AL846" s="10" t="str">
        <f t="shared" si="93"/>
        <v>FALSE</v>
      </c>
      <c r="AM846" s="10" t="str">
        <f t="shared" si="93"/>
        <v>FALSE</v>
      </c>
      <c r="AN846" s="10" t="str">
        <f t="shared" si="93"/>
        <v>FALSE</v>
      </c>
      <c r="AO846" s="10" t="str">
        <f t="shared" si="94"/>
        <v>FALSE</v>
      </c>
      <c r="AP846" s="10" t="str">
        <f t="shared" si="94"/>
        <v>FALSE</v>
      </c>
      <c r="AQ846" s="10" t="b">
        <f>IF(AND(I846="TP",S846&lt;=150),VLOOKUP(AF846,TPCalibEq150!$AZ$2:$BB$55,3,),IF(AND(I846="TDP",S846&lt;=150),VLOOKUP(AF846,TPCalibEq150!$AZ$2:$BB$55,3,)))</f>
        <v>0</v>
      </c>
      <c r="AR846" s="10" t="b">
        <f>IF(AND(I846="TP",S846&lt;=300),VLOOKUP(AF846,TPCalibEq300!$AZ$2:$BB$55,3,),IF(AND(I846="TDP",S846&lt;=300),VLOOKUP(AF846,TPCalibEq300!$AZ$2:$BB$55,3,)))</f>
        <v>0</v>
      </c>
      <c r="AS846" s="10" t="b">
        <f>IF(AND(I846="TP",S846&lt;=500),VLOOKUP(AF846,TPCalibEq500!$AZ$2:$BB$56,3,),IF(AND(I846="TDP",S846&lt;=500),VLOOKUP(AF846,TPCalibEq500!$AZ$2:$BB$56,3,)))</f>
        <v>0</v>
      </c>
      <c r="AT846" s="10" t="b">
        <f>IF(AND(I846="TN",S846&lt;=2800),VLOOKUP(AF846,TNCalibEq2500!$AZ$2:$BB$56,3,),IF(AND(I846="TDN",S846&lt;=2800),VLOOKUP(AF846,TNCalibEq2500!$AZ$2:$BB$56,3,)))</f>
        <v>0</v>
      </c>
      <c r="AU846" s="10" t="b">
        <f>IF(I846="TP",VLOOKUP(AF846,TPCalibEqFull!$AZ$2:$BB$56,3),IF(I846="TDP",VLOOKUP(AF846,TPCalibEqFull!$AZ$2:$BB$56,3),IF(I846="TDN",VLOOKUP(AF846,TNCalibEqFull!$AZ$1:$BB$56,3),IF(I846="TN",VLOOKUP(AF846,TNCalibEqFull!$AZ$1:$BB$56,3),FALSE))))</f>
        <v>0</v>
      </c>
      <c r="AV846" s="10" t="str">
        <f t="shared" si="99"/>
        <v>0118 08:42:00-EFK-0-C-1-SW-UKN</v>
      </c>
    </row>
    <row r="847" spans="1:48" s="10" customFormat="1" x14ac:dyDescent="0.55000000000000004">
      <c r="A847" s="32">
        <v>44944</v>
      </c>
      <c r="B847" s="33">
        <v>0.36805555555555558</v>
      </c>
      <c r="C847" s="10" t="s">
        <v>333</v>
      </c>
      <c r="D847" s="10">
        <v>0</v>
      </c>
      <c r="E847" s="10" t="s">
        <v>190</v>
      </c>
      <c r="F847" s="10">
        <v>1</v>
      </c>
      <c r="G847" s="10" t="s">
        <v>231</v>
      </c>
      <c r="H847" s="10" t="s">
        <v>322</v>
      </c>
      <c r="I847" s="10" t="s">
        <v>75</v>
      </c>
      <c r="J847" s="10">
        <v>10</v>
      </c>
      <c r="K847" s="12">
        <v>44950</v>
      </c>
      <c r="L847" s="33">
        <v>0.47432870370370367</v>
      </c>
      <c r="M847" s="10">
        <v>1</v>
      </c>
      <c r="N847" s="10" t="s">
        <v>76</v>
      </c>
      <c r="O847" s="10">
        <v>9.4700000000000006E-2</v>
      </c>
      <c r="P847" s="10">
        <v>7.3699999999999998E-3</v>
      </c>
      <c r="Q847" s="10">
        <v>6.08</v>
      </c>
      <c r="R847" s="10" t="s">
        <v>77</v>
      </c>
      <c r="S847" s="34">
        <f t="shared" si="95"/>
        <v>6.08</v>
      </c>
      <c r="T847" s="10" t="s">
        <v>1047</v>
      </c>
      <c r="U847" s="34" t="str">
        <f t="shared" si="96"/>
        <v/>
      </c>
      <c r="V847" s="31" t="str">
        <f>IF(H847="CHK",VLOOKUP(I847,QCCHK,3,),IF(H847="GUP",VLOOKUP(E847,QCGUP,2,),IF(AND(H847="ATP",OR(I847="TN",I847="TDN",I847="TNO2-3",I847="NO2-3")),VLOOKUP(E847,QCREC_N,2,),IF(AND(H847="NIC",OR(I847="TN",I847="TDN",I847="TNO2-3",I847="NO2-3")),VLOOKUP(E847,QCNIC_N,2,),IF(AND(H847="UREA",OR(I847="TN",I847="TDN",I847="TNO2-3",I847="NO2-3")),VLOOKUP(E847,QCUREA_N,2,),IF(H847="PER",VLOOKUP(I847,QCPER,MATCH(E847,QCACTUAL!$J$25:$AA$25,0),),IF(H847="SPK",VLOOKUP(I847,QCSPK,3,),IF(AND(H847="ATP",OR(I847="TP",I847="TDP")),VLOOKUP(E847,QCATP_P,2,),""))))))))</f>
        <v/>
      </c>
      <c r="W847" s="31" t="str">
        <f t="shared" si="97"/>
        <v>TRUE</v>
      </c>
      <c r="X847" s="31" t="str">
        <f t="shared" si="98"/>
        <v/>
      </c>
      <c r="Y847" s="10" t="s">
        <v>1040</v>
      </c>
      <c r="Z847" s="10" t="s">
        <v>910</v>
      </c>
      <c r="AL847" s="10" t="str">
        <f t="shared" si="93"/>
        <v>FALSE</v>
      </c>
      <c r="AM847" s="10" t="str">
        <f t="shared" si="93"/>
        <v>FALSE</v>
      </c>
      <c r="AN847" s="10" t="str">
        <f t="shared" si="93"/>
        <v>FALSE</v>
      </c>
      <c r="AO847" s="10" t="str">
        <f t="shared" si="94"/>
        <v>FALSE</v>
      </c>
      <c r="AP847" s="10" t="str">
        <f t="shared" si="94"/>
        <v>FALSE</v>
      </c>
      <c r="AQ847" s="10" t="b">
        <f>IF(AND(I847="TP",S847&lt;=150),VLOOKUP(AF847,TPCalibEq150!$AZ$2:$BB$55,3,),IF(AND(I847="TDP",S847&lt;=150),VLOOKUP(AF847,TPCalibEq150!$AZ$2:$BB$55,3,)))</f>
        <v>0</v>
      </c>
      <c r="AR847" s="10" t="b">
        <f>IF(AND(I847="TP",S847&lt;=300),VLOOKUP(AF847,TPCalibEq300!$AZ$2:$BB$55,3,),IF(AND(I847="TDP",S847&lt;=300),VLOOKUP(AF847,TPCalibEq300!$AZ$2:$BB$55,3,)))</f>
        <v>0</v>
      </c>
      <c r="AS847" s="10" t="b">
        <f>IF(AND(I847="TP",S847&lt;=500),VLOOKUP(AF847,TPCalibEq500!$AZ$2:$BB$56,3,),IF(AND(I847="TDP",S847&lt;=500),VLOOKUP(AF847,TPCalibEq500!$AZ$2:$BB$56,3,)))</f>
        <v>0</v>
      </c>
      <c r="AT847" s="10" t="b">
        <f>IF(AND(I847="TN",S847&lt;=2800),VLOOKUP(AF847,TNCalibEq2500!$AZ$2:$BB$56,3,),IF(AND(I847="TDN",S847&lt;=2800),VLOOKUP(AF847,TNCalibEq2500!$AZ$2:$BB$56,3,)))</f>
        <v>0</v>
      </c>
      <c r="AU847" s="10" t="b">
        <f>IF(I847="TP",VLOOKUP(AF847,TPCalibEqFull!$AZ$2:$BB$56,3),IF(I847="TDP",VLOOKUP(AF847,TPCalibEqFull!$AZ$2:$BB$56,3),IF(I847="TDN",VLOOKUP(AF847,TNCalibEqFull!$AZ$1:$BB$56,3),IF(I847="TN",VLOOKUP(AF847,TNCalibEqFull!$AZ$1:$BB$56,3),FALSE))))</f>
        <v>0</v>
      </c>
      <c r="AV847" s="10" t="str">
        <f t="shared" si="99"/>
        <v>0118 08:50:00-HST-0-C-1-SW-UKN</v>
      </c>
    </row>
    <row r="848" spans="1:48" s="10" customFormat="1" x14ac:dyDescent="0.55000000000000004">
      <c r="A848" s="32">
        <v>44944</v>
      </c>
      <c r="B848" s="33">
        <v>0.36805555555555558</v>
      </c>
      <c r="C848" s="10" t="s">
        <v>333</v>
      </c>
      <c r="D848" s="10">
        <v>0</v>
      </c>
      <c r="E848" s="10" t="s">
        <v>190</v>
      </c>
      <c r="F848" s="10">
        <v>1</v>
      </c>
      <c r="G848" s="10" t="s">
        <v>231</v>
      </c>
      <c r="H848" s="10" t="s">
        <v>233</v>
      </c>
      <c r="I848" s="10" t="s">
        <v>75</v>
      </c>
      <c r="J848" s="10">
        <v>10</v>
      </c>
      <c r="K848" s="12">
        <v>44950</v>
      </c>
      <c r="L848" s="33">
        <v>0.47513888888888883</v>
      </c>
      <c r="M848" s="10">
        <v>1</v>
      </c>
      <c r="N848" s="10" t="s">
        <v>76</v>
      </c>
      <c r="O848" s="10">
        <v>6.7799999999999999E-2</v>
      </c>
      <c r="P848" s="10">
        <v>6.1199999999999996E-3</v>
      </c>
      <c r="Q848" s="10">
        <v>4.3499999999999996</v>
      </c>
      <c r="R848" s="10" t="s">
        <v>77</v>
      </c>
      <c r="S848" s="34">
        <f t="shared" si="95"/>
        <v>4.3499999999999996</v>
      </c>
      <c r="T848" s="10" t="s">
        <v>1047</v>
      </c>
      <c r="U848" s="34">
        <f t="shared" si="96"/>
        <v>33.173537871524452</v>
      </c>
      <c r="V848" s="31" t="str">
        <f>IF(H848="CHK",VLOOKUP(I848,QCCHK,3,),IF(H848="GUP",VLOOKUP(E848,QCGUP,2,),IF(AND(H848="ATP",OR(I848="TN",I848="TDN",I848="TNO2-3",I848="NO2-3")),VLOOKUP(E848,QCREC_N,2,),IF(AND(H848="NIC",OR(I848="TN",I848="TDN",I848="TNO2-3",I848="NO2-3")),VLOOKUP(E848,QCNIC_N,2,),IF(AND(H848="UREA",OR(I848="TN",I848="TDN",I848="TNO2-3",I848="NO2-3")),VLOOKUP(E848,QCUREA_N,2,),IF(H848="PER",VLOOKUP(I848,QCPER,MATCH(E848,QCACTUAL!$J$25:$AA$25,0),),IF(H848="SPK",VLOOKUP(I848,QCSPK,3,),IF(AND(H848="ATP",OR(I848="TP",I848="TDP")),VLOOKUP(E848,QCATP_P,2,),""))))))))</f>
        <v/>
      </c>
      <c r="W848" s="31" t="b">
        <v>1</v>
      </c>
      <c r="X848" s="31" t="str">
        <f t="shared" si="98"/>
        <v>((ABS(rep1-rep2))/((rep1+rep2)/2)*100</v>
      </c>
      <c r="Y848" s="10" t="s">
        <v>1040</v>
      </c>
      <c r="Z848" s="10" t="s">
        <v>1059</v>
      </c>
      <c r="AL848" s="10" t="str">
        <f t="shared" si="93"/>
        <v>FALSE</v>
      </c>
      <c r="AM848" s="10" t="str">
        <f t="shared" si="93"/>
        <v>FALSE</v>
      </c>
      <c r="AN848" s="10" t="str">
        <f t="shared" si="93"/>
        <v>FALSE</v>
      </c>
      <c r="AO848" s="10" t="str">
        <f t="shared" si="94"/>
        <v>FALSE</v>
      </c>
      <c r="AP848" s="10" t="str">
        <f t="shared" si="94"/>
        <v>FALSE</v>
      </c>
      <c r="AQ848" s="10" t="b">
        <f>IF(AND(I848="TP",S848&lt;=150),VLOOKUP(AF848,TPCalibEq150!$AZ$2:$BB$55,3,),IF(AND(I848="TDP",S848&lt;=150),VLOOKUP(AF848,TPCalibEq150!$AZ$2:$BB$55,3,)))</f>
        <v>0</v>
      </c>
      <c r="AR848" s="10" t="b">
        <f>IF(AND(I848="TP",S848&lt;=300),VLOOKUP(AF848,TPCalibEq300!$AZ$2:$BB$55,3,),IF(AND(I848="TDP",S848&lt;=300),VLOOKUP(AF848,TPCalibEq300!$AZ$2:$BB$55,3,)))</f>
        <v>0</v>
      </c>
      <c r="AS848" s="10" t="b">
        <f>IF(AND(I848="TP",S848&lt;=500),VLOOKUP(AF848,TPCalibEq500!$AZ$2:$BB$56,3,),IF(AND(I848="TDP",S848&lt;=500),VLOOKUP(AF848,TPCalibEq500!$AZ$2:$BB$56,3,)))</f>
        <v>0</v>
      </c>
      <c r="AT848" s="10" t="b">
        <f>IF(AND(I848="TN",S848&lt;=2800),VLOOKUP(AF848,TNCalibEq2500!$AZ$2:$BB$56,3,),IF(AND(I848="TDN",S848&lt;=2800),VLOOKUP(AF848,TNCalibEq2500!$AZ$2:$BB$56,3,)))</f>
        <v>0</v>
      </c>
      <c r="AU848" s="10" t="b">
        <f>IF(I848="TP",VLOOKUP(AF848,TPCalibEqFull!$AZ$2:$BB$56,3),IF(I848="TDP",VLOOKUP(AF848,TPCalibEqFull!$AZ$2:$BB$56,3),IF(I848="TDN",VLOOKUP(AF848,TNCalibEqFull!$AZ$1:$BB$56,3),IF(I848="TN",VLOOKUP(AF848,TNCalibEqFull!$AZ$1:$BB$56,3),FALSE))))</f>
        <v>0</v>
      </c>
      <c r="AV848" s="10" t="str">
        <f t="shared" si="99"/>
        <v>0118 08:50:00-HST-0-C-1-SW-DUP</v>
      </c>
    </row>
    <row r="849" spans="1:48" s="10" customFormat="1" x14ac:dyDescent="0.55000000000000004">
      <c r="A849" s="32">
        <v>44944</v>
      </c>
      <c r="B849" s="33">
        <v>0.36805555555555558</v>
      </c>
      <c r="C849" s="10" t="s">
        <v>912</v>
      </c>
      <c r="D849" s="10">
        <v>0</v>
      </c>
      <c r="E849" s="10" t="s">
        <v>190</v>
      </c>
      <c r="F849" s="10">
        <v>1</v>
      </c>
      <c r="G849" s="10" t="s">
        <v>231</v>
      </c>
      <c r="H849" s="10" t="s">
        <v>314</v>
      </c>
      <c r="I849" s="10" t="s">
        <v>75</v>
      </c>
      <c r="J849" s="10">
        <v>57</v>
      </c>
      <c r="K849" s="12">
        <v>44950</v>
      </c>
      <c r="L849" s="33">
        <v>0.47594907407407411</v>
      </c>
      <c r="M849" s="10">
        <v>1</v>
      </c>
      <c r="N849" s="10" t="s">
        <v>76</v>
      </c>
      <c r="O849" s="10">
        <v>10.8</v>
      </c>
      <c r="P849" s="10">
        <v>1.07</v>
      </c>
      <c r="Q849" s="10">
        <v>702</v>
      </c>
      <c r="R849" s="10" t="s">
        <v>77</v>
      </c>
      <c r="S849" s="34">
        <f t="shared" si="95"/>
        <v>702</v>
      </c>
      <c r="T849" s="10" t="s">
        <v>1047</v>
      </c>
      <c r="U849" s="34">
        <f t="shared" si="96"/>
        <v>111.624</v>
      </c>
      <c r="V849" s="31">
        <f>IF(H849="CHK",VLOOKUP(I849,QCCHK,3,),IF(H849="GUP",VLOOKUP(E849,QCGUP,2,),IF(AND(H849="ATP",OR(I849="TN",I849="TDN",I849="TNO2-3",I849="NO2-3")),VLOOKUP(E849,QCREC_N,2,),IF(AND(H849="NIC",OR(I849="TN",I849="TDN",I849="TNO2-3",I849="NO2-3")),VLOOKUP(E849,QCNIC_N,2,),IF(AND(H849="UREA",OR(I849="TN",I849="TDN",I849="TNO2-3",I849="NO2-3")),VLOOKUP(E849,QCUREA_N,2,),IF(H849="PER",VLOOKUP(I849,QCPER,MATCH(E849,QCACTUAL!$J$25:$AA$25,0),),IF(H849="SPK",VLOOKUP(I849,QCSPK,3,),IF(AND(H849="ATP",OR(I849="TP",I849="TDP")),VLOOKUP(E849,QCATP_P,2,),""))))))))</f>
        <v>625</v>
      </c>
      <c r="W849" s="31" t="str">
        <f t="shared" si="97"/>
        <v>TRUE</v>
      </c>
      <c r="X849" s="31" t="str">
        <f t="shared" si="98"/>
        <v>([spikedunkn]-[unkn])/[spike]*100</v>
      </c>
      <c r="Y849" s="10" t="s">
        <v>1040</v>
      </c>
      <c r="Z849" s="10" t="s">
        <v>910</v>
      </c>
      <c r="AL849" s="10" t="str">
        <f t="shared" si="93"/>
        <v>FALSE</v>
      </c>
      <c r="AM849" s="10" t="str">
        <f t="shared" si="93"/>
        <v>FALSE</v>
      </c>
      <c r="AN849" s="10" t="str">
        <f t="shared" si="93"/>
        <v>FALSE</v>
      </c>
      <c r="AO849" s="10" t="str">
        <f t="shared" si="94"/>
        <v>FALSE</v>
      </c>
      <c r="AP849" s="10" t="str">
        <f t="shared" si="94"/>
        <v>FALSE</v>
      </c>
      <c r="AQ849" s="10" t="b">
        <f>IF(AND(I849="TP",S849&lt;=150),VLOOKUP(AF849,TPCalibEq150!$AZ$2:$BB$55,3,),IF(AND(I849="TDP",S849&lt;=150),VLOOKUP(AF849,TPCalibEq150!$AZ$2:$BB$55,3,)))</f>
        <v>0</v>
      </c>
      <c r="AR849" s="10" t="b">
        <f>IF(AND(I849="TP",S849&lt;=300),VLOOKUP(AF849,TPCalibEq300!$AZ$2:$BB$55,3,),IF(AND(I849="TDP",S849&lt;=300),VLOOKUP(AF849,TPCalibEq300!$AZ$2:$BB$55,3,)))</f>
        <v>0</v>
      </c>
      <c r="AS849" s="10" t="b">
        <f>IF(AND(I849="TP",S849&lt;=500),VLOOKUP(AF849,TPCalibEq500!$AZ$2:$BB$56,3,),IF(AND(I849="TDP",S849&lt;=500),VLOOKUP(AF849,TPCalibEq500!$AZ$2:$BB$56,3,)))</f>
        <v>0</v>
      </c>
      <c r="AT849" s="10" t="b">
        <f>IF(AND(I849="TN",S849&lt;=2800),VLOOKUP(AF849,TNCalibEq2500!$AZ$2:$BB$56,3,),IF(AND(I849="TDN",S849&lt;=2800),VLOOKUP(AF849,TNCalibEq2500!$AZ$2:$BB$56,3,)))</f>
        <v>0</v>
      </c>
      <c r="AU849" s="10" t="b">
        <f>IF(I849="TP",VLOOKUP(AF849,TPCalibEqFull!$AZ$2:$BB$56,3),IF(I849="TDP",VLOOKUP(AF849,TPCalibEqFull!$AZ$2:$BB$56,3),IF(I849="TDN",VLOOKUP(AF849,TNCalibEqFull!$AZ$1:$BB$56,3),IF(I849="TN",VLOOKUP(AF849,TNCalibEqFull!$AZ$1:$BB$56,3),FALSE))))</f>
        <v>0</v>
      </c>
      <c r="AV849" s="10" t="str">
        <f t="shared" si="99"/>
        <v>0118 08:50:00-HST -0-C-1-SW-SPK</v>
      </c>
    </row>
    <row r="850" spans="1:48" s="10" customFormat="1" x14ac:dyDescent="0.55000000000000004">
      <c r="A850" s="32">
        <v>44950</v>
      </c>
      <c r="B850" s="33">
        <v>0.375</v>
      </c>
      <c r="C850" s="10" t="s">
        <v>70</v>
      </c>
      <c r="D850" s="10" t="s">
        <v>71</v>
      </c>
      <c r="E850" s="10" t="s">
        <v>901</v>
      </c>
      <c r="F850" s="10">
        <v>1</v>
      </c>
      <c r="G850" s="10" t="s">
        <v>73</v>
      </c>
      <c r="H850" s="10" t="s">
        <v>207</v>
      </c>
      <c r="I850" s="10" t="s">
        <v>75</v>
      </c>
      <c r="J850" s="10">
        <v>199</v>
      </c>
      <c r="K850" s="12">
        <v>44950</v>
      </c>
      <c r="L850" s="33">
        <v>0.4767824074074074</v>
      </c>
      <c r="M850" s="10">
        <v>1</v>
      </c>
      <c r="N850" s="10" t="s">
        <v>76</v>
      </c>
      <c r="O850" s="10">
        <v>4.62</v>
      </c>
      <c r="P850" s="10">
        <v>0.45200000000000001</v>
      </c>
      <c r="Q850" s="10">
        <v>298</v>
      </c>
      <c r="R850" s="10" t="s">
        <v>77</v>
      </c>
      <c r="S850" s="34">
        <f t="shared" si="95"/>
        <v>298</v>
      </c>
      <c r="T850" s="10" t="s">
        <v>1047</v>
      </c>
      <c r="U850" s="34">
        <f t="shared" si="96"/>
        <v>99.333333333333329</v>
      </c>
      <c r="V850" s="31">
        <f>IF(H850="CHK",VLOOKUP(I850,QCCHK,3,),IF(H850="GUP",VLOOKUP(E850,QCGUP,2,),IF(AND(H850="ATP",OR(I850="TN",I850="TDN",I850="TNO2-3",I850="NO2-3")),VLOOKUP(E850,QCREC_N,2,),IF(AND(H850="NIC",OR(I850="TN",I850="TDN",I850="TNO2-3",I850="NO2-3")),VLOOKUP(E850,QCNIC_N,2,),IF(AND(H850="UREA",OR(I850="TN",I850="TDN",I850="TNO2-3",I850="NO2-3")),VLOOKUP(E850,QCUREA_N,2,),IF(H850="PER",VLOOKUP(I850,QCPER,MATCH(E850,QCACTUAL!$J$25:$AA$25,0),),IF(H850="SPK",VLOOKUP(I850,QCSPK,3,),IF(AND(H850="ATP",OR(I850="TP",I850="TDP")),VLOOKUP(E850,QCATP_P,2,),""))))))))</f>
        <v>300</v>
      </c>
      <c r="W850" s="31" t="str">
        <f t="shared" si="97"/>
        <v>TRUE</v>
      </c>
      <c r="X850" s="31" t="str">
        <f t="shared" si="98"/>
        <v>[chk]/[actual]*100</v>
      </c>
      <c r="Y850" s="10" t="s">
        <v>1040</v>
      </c>
      <c r="AL850" s="10" t="str">
        <f t="shared" si="93"/>
        <v>FALSE</v>
      </c>
      <c r="AM850" s="10" t="str">
        <f t="shared" si="93"/>
        <v>FALSE</v>
      </c>
      <c r="AN850" s="10" t="str">
        <f t="shared" si="93"/>
        <v>FALSE</v>
      </c>
      <c r="AO850" s="10" t="str">
        <f t="shared" si="94"/>
        <v>FALSE</v>
      </c>
      <c r="AP850" s="10" t="str">
        <f t="shared" si="94"/>
        <v>FALSE</v>
      </c>
      <c r="AQ850" s="10" t="b">
        <f>IF(AND(I850="TP",S850&lt;=150),VLOOKUP(AF850,TPCalibEq150!$AZ$2:$BB$55,3,),IF(AND(I850="TDP",S850&lt;=150),VLOOKUP(AF850,TPCalibEq150!$AZ$2:$BB$55,3,)))</f>
        <v>0</v>
      </c>
      <c r="AR850" s="10" t="b">
        <f>IF(AND(I850="TP",S850&lt;=300),VLOOKUP(AF850,TPCalibEq300!$AZ$2:$BB$55,3,),IF(AND(I850="TDP",S850&lt;=300),VLOOKUP(AF850,TPCalibEq300!$AZ$2:$BB$55,3,)))</f>
        <v>0</v>
      </c>
      <c r="AS850" s="10" t="b">
        <f>IF(AND(I850="TP",S850&lt;=500),VLOOKUP(AF850,TPCalibEq500!$AZ$2:$BB$56,3,),IF(AND(I850="TDP",S850&lt;=500),VLOOKUP(AF850,TPCalibEq500!$AZ$2:$BB$56,3,)))</f>
        <v>0</v>
      </c>
      <c r="AT850" s="10" t="b">
        <f>IF(AND(I850="TN",S850&lt;=2800),VLOOKUP(AF850,TNCalibEq2500!$AZ$2:$BB$56,3,),IF(AND(I850="TDN",S850&lt;=2800),VLOOKUP(AF850,TNCalibEq2500!$AZ$2:$BB$56,3,)))</f>
        <v>0</v>
      </c>
      <c r="AU850" s="10" t="b">
        <f>IF(I850="TP",VLOOKUP(AF850,TPCalibEqFull!$AZ$2:$BB$56,3),IF(I850="TDP",VLOOKUP(AF850,TPCalibEqFull!$AZ$2:$BB$56,3),IF(I850="TDN",VLOOKUP(AF850,TNCalibEqFull!$AZ$1:$BB$56,3),IF(I850="TN",VLOOKUP(AF850,TNCalibEqFull!$AZ$1:$BB$56,3),FALSE))))</f>
        <v>0</v>
      </c>
      <c r="AV850" s="10" t="str">
        <f t="shared" si="99"/>
        <v>0124 09:00:00-QAC-STD-D-1-DI-CHK</v>
      </c>
    </row>
    <row r="851" spans="1:48" s="10" customFormat="1" x14ac:dyDescent="0.55000000000000004">
      <c r="A851" s="32">
        <v>44945</v>
      </c>
      <c r="B851" s="33">
        <v>0.56041666666666667</v>
      </c>
      <c r="C851" s="10" t="s">
        <v>279</v>
      </c>
      <c r="D851" s="10">
        <v>0</v>
      </c>
      <c r="E851" s="10" t="s">
        <v>190</v>
      </c>
      <c r="F851" s="10">
        <v>1</v>
      </c>
      <c r="G851" s="10" t="s">
        <v>231</v>
      </c>
      <c r="H851" s="10" t="s">
        <v>322</v>
      </c>
      <c r="I851" s="10" t="s">
        <v>75</v>
      </c>
      <c r="J851" s="10">
        <v>11</v>
      </c>
      <c r="K851" s="12">
        <v>44950</v>
      </c>
      <c r="L851" s="33">
        <v>0.47759259259259257</v>
      </c>
      <c r="M851" s="10">
        <v>1</v>
      </c>
      <c r="N851" s="10" t="s">
        <v>76</v>
      </c>
      <c r="O851" s="10">
        <v>0.86399999999999999</v>
      </c>
      <c r="P851" s="10">
        <v>8.0199999999999994E-2</v>
      </c>
      <c r="Q851" s="10">
        <v>55.5</v>
      </c>
      <c r="R851" s="10" t="s">
        <v>77</v>
      </c>
      <c r="S851" s="34">
        <f t="shared" si="95"/>
        <v>55.5</v>
      </c>
      <c r="T851" s="10" t="s">
        <v>1047</v>
      </c>
      <c r="U851" s="34" t="str">
        <f t="shared" si="96"/>
        <v/>
      </c>
      <c r="V851" s="31" t="str">
        <f>IF(H851="CHK",VLOOKUP(I851,QCCHK,3,),IF(H851="GUP",VLOOKUP(E851,QCGUP,2,),IF(AND(H851="ATP",OR(I851="TN",I851="TDN",I851="TNO2-3",I851="NO2-3")),VLOOKUP(E851,QCREC_N,2,),IF(AND(H851="NIC",OR(I851="TN",I851="TDN",I851="TNO2-3",I851="NO2-3")),VLOOKUP(E851,QCNIC_N,2,),IF(AND(H851="UREA",OR(I851="TN",I851="TDN",I851="TNO2-3",I851="NO2-3")),VLOOKUP(E851,QCUREA_N,2,),IF(H851="PER",VLOOKUP(I851,QCPER,MATCH(E851,QCACTUAL!$J$25:$AA$25,0),),IF(H851="SPK",VLOOKUP(I851,QCSPK,3,),IF(AND(H851="ATP",OR(I851="TP",I851="TDP")),VLOOKUP(E851,QCATP_P,2,),""))))))))</f>
        <v/>
      </c>
      <c r="W851" s="31" t="str">
        <f t="shared" si="97"/>
        <v>TRUE</v>
      </c>
      <c r="X851" s="31" t="str">
        <f t="shared" si="98"/>
        <v/>
      </c>
      <c r="Y851" s="10" t="s">
        <v>1040</v>
      </c>
      <c r="Z851" s="10" t="s">
        <v>910</v>
      </c>
      <c r="AL851" s="10" t="str">
        <f t="shared" si="93"/>
        <v>FALSE</v>
      </c>
      <c r="AM851" s="10" t="str">
        <f t="shared" si="93"/>
        <v>FALSE</v>
      </c>
      <c r="AN851" s="10" t="str">
        <f t="shared" si="93"/>
        <v>FALSE</v>
      </c>
      <c r="AO851" s="10" t="str">
        <f t="shared" si="94"/>
        <v>FALSE</v>
      </c>
      <c r="AP851" s="10" t="str">
        <f t="shared" si="94"/>
        <v>FALSE</v>
      </c>
      <c r="AQ851" s="10" t="b">
        <f>IF(AND(I851="TP",S851&lt;=150),VLOOKUP(AF851,TPCalibEq150!$AZ$2:$BB$55,3,),IF(AND(I851="TDP",S851&lt;=150),VLOOKUP(AF851,TPCalibEq150!$AZ$2:$BB$55,3,)))</f>
        <v>0</v>
      </c>
      <c r="AR851" s="10" t="b">
        <f>IF(AND(I851="TP",S851&lt;=300),VLOOKUP(AF851,TPCalibEq300!$AZ$2:$BB$55,3,),IF(AND(I851="TDP",S851&lt;=300),VLOOKUP(AF851,TPCalibEq300!$AZ$2:$BB$55,3,)))</f>
        <v>0</v>
      </c>
      <c r="AS851" s="10" t="b">
        <f>IF(AND(I851="TP",S851&lt;=500),VLOOKUP(AF851,TPCalibEq500!$AZ$2:$BB$56,3,),IF(AND(I851="TDP",S851&lt;=500),VLOOKUP(AF851,TPCalibEq500!$AZ$2:$BB$56,3,)))</f>
        <v>0</v>
      </c>
      <c r="AT851" s="10" t="b">
        <f>IF(AND(I851="TN",S851&lt;=2800),VLOOKUP(AF851,TNCalibEq2500!$AZ$2:$BB$56,3,),IF(AND(I851="TDN",S851&lt;=2800),VLOOKUP(AF851,TNCalibEq2500!$AZ$2:$BB$56,3,)))</f>
        <v>0</v>
      </c>
      <c r="AU851" s="10" t="b">
        <f>IF(I851="TP",VLOOKUP(AF851,TPCalibEqFull!$AZ$2:$BB$56,3),IF(I851="TDP",VLOOKUP(AF851,TPCalibEqFull!$AZ$2:$BB$56,3),IF(I851="TDN",VLOOKUP(AF851,TNCalibEqFull!$AZ$1:$BB$56,3),IF(I851="TN",VLOOKUP(AF851,TNCalibEqFull!$AZ$1:$BB$56,3),FALSE))))</f>
        <v>0</v>
      </c>
      <c r="AV851" s="10" t="str">
        <f t="shared" si="99"/>
        <v>0119 13:27:00-EFK-0-C-1-SW-UKN</v>
      </c>
    </row>
    <row r="852" spans="1:48" s="10" customFormat="1" x14ac:dyDescent="0.55000000000000004">
      <c r="A852" s="32">
        <v>44945</v>
      </c>
      <c r="B852" s="33">
        <v>0.56736111111111109</v>
      </c>
      <c r="C852" s="10" t="s">
        <v>333</v>
      </c>
      <c r="D852" s="10">
        <v>0</v>
      </c>
      <c r="E852" s="10" t="s">
        <v>190</v>
      </c>
      <c r="F852" s="10">
        <v>1</v>
      </c>
      <c r="G852" s="10" t="s">
        <v>231</v>
      </c>
      <c r="H852" s="10" t="s">
        <v>322</v>
      </c>
      <c r="I852" s="10" t="s">
        <v>75</v>
      </c>
      <c r="J852" s="10">
        <v>12</v>
      </c>
      <c r="K852" s="12">
        <v>44950</v>
      </c>
      <c r="L852" s="33">
        <v>0.47840277777777779</v>
      </c>
      <c r="M852" s="10">
        <v>1</v>
      </c>
      <c r="N852" s="10" t="s">
        <v>76</v>
      </c>
      <c r="O852" s="10">
        <v>0.17699999999999999</v>
      </c>
      <c r="P852" s="10">
        <v>1.55E-2</v>
      </c>
      <c r="Q852" s="10">
        <v>11.4</v>
      </c>
      <c r="R852" s="10" t="s">
        <v>77</v>
      </c>
      <c r="S852" s="34">
        <f t="shared" si="95"/>
        <v>11.4</v>
      </c>
      <c r="T852" s="10" t="s">
        <v>1047</v>
      </c>
      <c r="U852" s="34" t="str">
        <f t="shared" si="96"/>
        <v/>
      </c>
      <c r="V852" s="31" t="str">
        <f>IF(H852="CHK",VLOOKUP(I852,QCCHK,3,),IF(H852="GUP",VLOOKUP(E852,QCGUP,2,),IF(AND(H852="ATP",OR(I852="TN",I852="TDN",I852="TNO2-3",I852="NO2-3")),VLOOKUP(E852,QCREC_N,2,),IF(AND(H852="NIC",OR(I852="TN",I852="TDN",I852="TNO2-3",I852="NO2-3")),VLOOKUP(E852,QCNIC_N,2,),IF(AND(H852="UREA",OR(I852="TN",I852="TDN",I852="TNO2-3",I852="NO2-3")),VLOOKUP(E852,QCUREA_N,2,),IF(H852="PER",VLOOKUP(I852,QCPER,MATCH(E852,QCACTUAL!$J$25:$AA$25,0),),IF(H852="SPK",VLOOKUP(I852,QCSPK,3,),IF(AND(H852="ATP",OR(I852="TP",I852="TDP")),VLOOKUP(E852,QCATP_P,2,),""))))))))</f>
        <v/>
      </c>
      <c r="W852" s="31" t="str">
        <f t="shared" si="97"/>
        <v>TRUE</v>
      </c>
      <c r="X852" s="31" t="str">
        <f t="shared" si="98"/>
        <v/>
      </c>
      <c r="Y852" s="10" t="s">
        <v>1040</v>
      </c>
      <c r="Z852" s="10" t="s">
        <v>910</v>
      </c>
      <c r="AL852" s="10" t="str">
        <f t="shared" si="93"/>
        <v>FALSE</v>
      </c>
      <c r="AM852" s="10" t="str">
        <f t="shared" si="93"/>
        <v>FALSE</v>
      </c>
      <c r="AN852" s="10" t="str">
        <f t="shared" si="93"/>
        <v>FALSE</v>
      </c>
      <c r="AO852" s="10" t="str">
        <f t="shared" si="94"/>
        <v>FALSE</v>
      </c>
      <c r="AP852" s="10" t="str">
        <f t="shared" si="94"/>
        <v>FALSE</v>
      </c>
      <c r="AQ852" s="10" t="b">
        <f>IF(AND(I852="TP",S852&lt;=150),VLOOKUP(AF852,TPCalibEq150!$AZ$2:$BB$55,3,),IF(AND(I852="TDP",S852&lt;=150),VLOOKUP(AF852,TPCalibEq150!$AZ$2:$BB$55,3,)))</f>
        <v>0</v>
      </c>
      <c r="AR852" s="10" t="b">
        <f>IF(AND(I852="TP",S852&lt;=300),VLOOKUP(AF852,TPCalibEq300!$AZ$2:$BB$55,3,),IF(AND(I852="TDP",S852&lt;=300),VLOOKUP(AF852,TPCalibEq300!$AZ$2:$BB$55,3,)))</f>
        <v>0</v>
      </c>
      <c r="AS852" s="10" t="b">
        <f>IF(AND(I852="TP",S852&lt;=500),VLOOKUP(AF852,TPCalibEq500!$AZ$2:$BB$56,3,),IF(AND(I852="TDP",S852&lt;=500),VLOOKUP(AF852,TPCalibEq500!$AZ$2:$BB$56,3,)))</f>
        <v>0</v>
      </c>
      <c r="AT852" s="10" t="b">
        <f>IF(AND(I852="TN",S852&lt;=2800),VLOOKUP(AF852,TNCalibEq2500!$AZ$2:$BB$56,3,),IF(AND(I852="TDN",S852&lt;=2800),VLOOKUP(AF852,TNCalibEq2500!$AZ$2:$BB$56,3,)))</f>
        <v>0</v>
      </c>
      <c r="AU852" s="10" t="b">
        <f>IF(I852="TP",VLOOKUP(AF852,TPCalibEqFull!$AZ$2:$BB$56,3),IF(I852="TDP",VLOOKUP(AF852,TPCalibEqFull!$AZ$2:$BB$56,3),IF(I852="TDN",VLOOKUP(AF852,TNCalibEqFull!$AZ$1:$BB$56,3),IF(I852="TN",VLOOKUP(AF852,TNCalibEqFull!$AZ$1:$BB$56,3),FALSE))))</f>
        <v>0</v>
      </c>
      <c r="AV852" s="10" t="str">
        <f t="shared" si="99"/>
        <v>0119 13:37:00-HST-0-C-1-SW-UKN</v>
      </c>
    </row>
    <row r="853" spans="1:48" s="10" customFormat="1" x14ac:dyDescent="0.55000000000000004">
      <c r="A853" s="32">
        <v>44946</v>
      </c>
      <c r="B853" s="33">
        <v>0.37013888888888885</v>
      </c>
      <c r="C853" s="10" t="s">
        <v>279</v>
      </c>
      <c r="D853" s="10">
        <v>0</v>
      </c>
      <c r="E853" s="10" t="s">
        <v>190</v>
      </c>
      <c r="F853" s="10">
        <v>1</v>
      </c>
      <c r="G853" s="10" t="s">
        <v>231</v>
      </c>
      <c r="H853" s="10" t="s">
        <v>322</v>
      </c>
      <c r="I853" s="10" t="s">
        <v>75</v>
      </c>
      <c r="J853" s="10">
        <v>13</v>
      </c>
      <c r="K853" s="12">
        <v>44950</v>
      </c>
      <c r="L853" s="33">
        <v>0.47921296296296295</v>
      </c>
      <c r="M853" s="10">
        <v>1</v>
      </c>
      <c r="N853" s="10" t="s">
        <v>76</v>
      </c>
      <c r="O853" s="10">
        <v>14.2</v>
      </c>
      <c r="P853" s="10">
        <v>1.39</v>
      </c>
      <c r="Q853" s="10">
        <v>921</v>
      </c>
      <c r="R853" s="10" t="s">
        <v>77</v>
      </c>
      <c r="S853" s="34">
        <f t="shared" si="95"/>
        <v>921</v>
      </c>
      <c r="T853" s="10" t="s">
        <v>1047</v>
      </c>
      <c r="U853" s="34" t="str">
        <f t="shared" si="96"/>
        <v/>
      </c>
      <c r="V853" s="31" t="str">
        <f>IF(H853="CHK",VLOOKUP(I853,QCCHK,3,),IF(H853="GUP",VLOOKUP(E853,QCGUP,2,),IF(AND(H853="ATP",OR(I853="TN",I853="TDN",I853="TNO2-3",I853="NO2-3")),VLOOKUP(E853,QCREC_N,2,),IF(AND(H853="NIC",OR(I853="TN",I853="TDN",I853="TNO2-3",I853="NO2-3")),VLOOKUP(E853,QCNIC_N,2,),IF(AND(H853="UREA",OR(I853="TN",I853="TDN",I853="TNO2-3",I853="NO2-3")),VLOOKUP(E853,QCUREA_N,2,),IF(H853="PER",VLOOKUP(I853,QCPER,MATCH(E853,QCACTUAL!$J$25:$AA$25,0),),IF(H853="SPK",VLOOKUP(I853,QCSPK,3,),IF(AND(H853="ATP",OR(I853="TP",I853="TDP")),VLOOKUP(E853,QCATP_P,2,),""))))))))</f>
        <v/>
      </c>
      <c r="W853" s="31" t="str">
        <f t="shared" si="97"/>
        <v>TRUE</v>
      </c>
      <c r="X853" s="31" t="str">
        <f t="shared" si="98"/>
        <v/>
      </c>
      <c r="Y853" s="10" t="s">
        <v>1040</v>
      </c>
      <c r="Z853" s="10" t="s">
        <v>910</v>
      </c>
      <c r="AL853" s="10" t="str">
        <f t="shared" si="93"/>
        <v>FALSE</v>
      </c>
      <c r="AM853" s="10" t="str">
        <f t="shared" si="93"/>
        <v>FALSE</v>
      </c>
      <c r="AN853" s="10" t="str">
        <f t="shared" si="93"/>
        <v>FALSE</v>
      </c>
      <c r="AO853" s="10" t="str">
        <f t="shared" si="94"/>
        <v>FALSE</v>
      </c>
      <c r="AP853" s="10" t="str">
        <f t="shared" si="94"/>
        <v>FALSE</v>
      </c>
      <c r="AQ853" s="10" t="b">
        <f>IF(AND(I853="TP",S853&lt;=150),VLOOKUP(AF853,TPCalibEq150!$AZ$2:$BB$55,3,),IF(AND(I853="TDP",S853&lt;=150),VLOOKUP(AF853,TPCalibEq150!$AZ$2:$BB$55,3,)))</f>
        <v>0</v>
      </c>
      <c r="AR853" s="10" t="b">
        <f>IF(AND(I853="TP",S853&lt;=300),VLOOKUP(AF853,TPCalibEq300!$AZ$2:$BB$55,3,),IF(AND(I853="TDP",S853&lt;=300),VLOOKUP(AF853,TPCalibEq300!$AZ$2:$BB$55,3,)))</f>
        <v>0</v>
      </c>
      <c r="AS853" s="10" t="b">
        <f>IF(AND(I853="TP",S853&lt;=500),VLOOKUP(AF853,TPCalibEq500!$AZ$2:$BB$56,3,),IF(AND(I853="TDP",S853&lt;=500),VLOOKUP(AF853,TPCalibEq500!$AZ$2:$BB$56,3,)))</f>
        <v>0</v>
      </c>
      <c r="AT853" s="10" t="b">
        <f>IF(AND(I853="TN",S853&lt;=2800),VLOOKUP(AF853,TNCalibEq2500!$AZ$2:$BB$56,3,),IF(AND(I853="TDN",S853&lt;=2800),VLOOKUP(AF853,TNCalibEq2500!$AZ$2:$BB$56,3,)))</f>
        <v>0</v>
      </c>
      <c r="AU853" s="10" t="b">
        <f>IF(I853="TP",VLOOKUP(AF853,TPCalibEqFull!$AZ$2:$BB$56,3),IF(I853="TDP",VLOOKUP(AF853,TPCalibEqFull!$AZ$2:$BB$56,3),IF(I853="TDN",VLOOKUP(AF853,TNCalibEqFull!$AZ$1:$BB$56,3),IF(I853="TN",VLOOKUP(AF853,TNCalibEqFull!$AZ$1:$BB$56,3),FALSE))))</f>
        <v>0</v>
      </c>
      <c r="AV853" s="10" t="str">
        <f t="shared" si="99"/>
        <v>0120 08:53:00-EFK-0-C-1-SW-UKN</v>
      </c>
    </row>
    <row r="854" spans="1:48" s="10" customFormat="1" x14ac:dyDescent="0.55000000000000004">
      <c r="A854" s="32">
        <v>44946</v>
      </c>
      <c r="B854" s="33">
        <v>0.37291666666666662</v>
      </c>
      <c r="C854" s="10" t="s">
        <v>333</v>
      </c>
      <c r="D854" s="10">
        <v>0</v>
      </c>
      <c r="E854" s="10" t="s">
        <v>190</v>
      </c>
      <c r="F854" s="10">
        <v>1</v>
      </c>
      <c r="G854" s="10" t="s">
        <v>231</v>
      </c>
      <c r="H854" s="10" t="s">
        <v>322</v>
      </c>
      <c r="I854" s="10" t="s">
        <v>75</v>
      </c>
      <c r="J854" s="10">
        <v>14</v>
      </c>
      <c r="K854" s="12">
        <v>44950</v>
      </c>
      <c r="L854" s="33">
        <v>0.48002314814814812</v>
      </c>
      <c r="M854" s="10">
        <v>1</v>
      </c>
      <c r="N854" s="10" t="s">
        <v>76</v>
      </c>
      <c r="O854" s="10">
        <v>0.10199999999999999</v>
      </c>
      <c r="P854" s="10">
        <v>9.5700000000000004E-3</v>
      </c>
      <c r="Q854" s="10">
        <v>6.53</v>
      </c>
      <c r="R854" s="10" t="s">
        <v>77</v>
      </c>
      <c r="S854" s="34">
        <f t="shared" si="95"/>
        <v>6.53</v>
      </c>
      <c r="T854" s="10" t="s">
        <v>1047</v>
      </c>
      <c r="U854" s="34" t="str">
        <f t="shared" si="96"/>
        <v/>
      </c>
      <c r="V854" s="31" t="str">
        <f>IF(H854="CHK",VLOOKUP(I854,QCCHK,3,),IF(H854="GUP",VLOOKUP(E854,QCGUP,2,),IF(AND(H854="ATP",OR(I854="TN",I854="TDN",I854="TNO2-3",I854="NO2-3")),VLOOKUP(E854,QCREC_N,2,),IF(AND(H854="NIC",OR(I854="TN",I854="TDN",I854="TNO2-3",I854="NO2-3")),VLOOKUP(E854,QCNIC_N,2,),IF(AND(H854="UREA",OR(I854="TN",I854="TDN",I854="TNO2-3",I854="NO2-3")),VLOOKUP(E854,QCUREA_N,2,),IF(H854="PER",VLOOKUP(I854,QCPER,MATCH(E854,QCACTUAL!$J$25:$AA$25,0),),IF(H854="SPK",VLOOKUP(I854,QCSPK,3,),IF(AND(H854="ATP",OR(I854="TP",I854="TDP")),VLOOKUP(E854,QCATP_P,2,),""))))))))</f>
        <v/>
      </c>
      <c r="W854" s="31" t="str">
        <f t="shared" si="97"/>
        <v>TRUE</v>
      </c>
      <c r="X854" s="31" t="str">
        <f t="shared" si="98"/>
        <v/>
      </c>
      <c r="Y854" s="10" t="s">
        <v>1040</v>
      </c>
      <c r="Z854" s="10" t="s">
        <v>910</v>
      </c>
      <c r="AL854" s="10" t="str">
        <f t="shared" si="93"/>
        <v>FALSE</v>
      </c>
      <c r="AM854" s="10" t="str">
        <f t="shared" si="93"/>
        <v>FALSE</v>
      </c>
      <c r="AN854" s="10" t="str">
        <f t="shared" si="93"/>
        <v>FALSE</v>
      </c>
      <c r="AO854" s="10" t="str">
        <f t="shared" si="94"/>
        <v>FALSE</v>
      </c>
      <c r="AP854" s="10" t="str">
        <f t="shared" si="94"/>
        <v>FALSE</v>
      </c>
      <c r="AQ854" s="10" t="b">
        <f>IF(AND(I854="TP",S854&lt;=150),VLOOKUP(AF854,TPCalibEq150!$AZ$2:$BB$55,3,),IF(AND(I854="TDP",S854&lt;=150),VLOOKUP(AF854,TPCalibEq150!$AZ$2:$BB$55,3,)))</f>
        <v>0</v>
      </c>
      <c r="AR854" s="10" t="b">
        <f>IF(AND(I854="TP",S854&lt;=300),VLOOKUP(AF854,TPCalibEq300!$AZ$2:$BB$55,3,),IF(AND(I854="TDP",S854&lt;=300),VLOOKUP(AF854,TPCalibEq300!$AZ$2:$BB$55,3,)))</f>
        <v>0</v>
      </c>
      <c r="AS854" s="10" t="b">
        <f>IF(AND(I854="TP",S854&lt;=500),VLOOKUP(AF854,TPCalibEq500!$AZ$2:$BB$56,3,),IF(AND(I854="TDP",S854&lt;=500),VLOOKUP(AF854,TPCalibEq500!$AZ$2:$BB$56,3,)))</f>
        <v>0</v>
      </c>
      <c r="AT854" s="10" t="b">
        <f>IF(AND(I854="TN",S854&lt;=2800),VLOOKUP(AF854,TNCalibEq2500!$AZ$2:$BB$56,3,),IF(AND(I854="TDN",S854&lt;=2800),VLOOKUP(AF854,TNCalibEq2500!$AZ$2:$BB$56,3,)))</f>
        <v>0</v>
      </c>
      <c r="AU854" s="10" t="b">
        <f>IF(I854="TP",VLOOKUP(AF854,TPCalibEqFull!$AZ$2:$BB$56,3),IF(I854="TDP",VLOOKUP(AF854,TPCalibEqFull!$AZ$2:$BB$56,3),IF(I854="TDN",VLOOKUP(AF854,TNCalibEqFull!$AZ$1:$BB$56,3),IF(I854="TN",VLOOKUP(AF854,TNCalibEqFull!$AZ$1:$BB$56,3),FALSE))))</f>
        <v>0</v>
      </c>
      <c r="AV854" s="10" t="str">
        <f t="shared" si="99"/>
        <v>0120 08:57:00-HST-0-C-1-SW-UKN</v>
      </c>
    </row>
    <row r="855" spans="1:48" s="10" customFormat="1" x14ac:dyDescent="0.55000000000000004">
      <c r="A855" s="32">
        <v>44943</v>
      </c>
      <c r="B855" s="33">
        <v>0.36736111111111108</v>
      </c>
      <c r="C855" s="10" t="s">
        <v>998</v>
      </c>
      <c r="D855" s="10">
        <v>0</v>
      </c>
      <c r="E855" s="10" t="s">
        <v>190</v>
      </c>
      <c r="F855" s="10">
        <v>1</v>
      </c>
      <c r="G855" s="10" t="s">
        <v>231</v>
      </c>
      <c r="H855" s="10" t="s">
        <v>322</v>
      </c>
      <c r="I855" s="10" t="s">
        <v>75</v>
      </c>
      <c r="J855" s="10">
        <v>15</v>
      </c>
      <c r="K855" s="12">
        <v>44950</v>
      </c>
      <c r="L855" s="33">
        <v>0.48082175925925924</v>
      </c>
      <c r="M855" s="10">
        <v>1</v>
      </c>
      <c r="N855" s="10" t="s">
        <v>76</v>
      </c>
      <c r="O855" s="10">
        <v>0.40699999999999997</v>
      </c>
      <c r="P855" s="10">
        <v>3.7400000000000003E-2</v>
      </c>
      <c r="Q855" s="10">
        <v>26.2</v>
      </c>
      <c r="R855" s="10" t="s">
        <v>77</v>
      </c>
      <c r="S855" s="34">
        <f t="shared" si="95"/>
        <v>26.2</v>
      </c>
      <c r="T855" s="10" t="s">
        <v>1047</v>
      </c>
      <c r="U855" s="34" t="str">
        <f t="shared" si="96"/>
        <v/>
      </c>
      <c r="V855" s="31" t="str">
        <f>IF(H855="CHK",VLOOKUP(I855,QCCHK,3,),IF(H855="GUP",VLOOKUP(E855,QCGUP,2,),IF(AND(H855="ATP",OR(I855="TN",I855="TDN",I855="TNO2-3",I855="NO2-3")),VLOOKUP(E855,QCREC_N,2,),IF(AND(H855="NIC",OR(I855="TN",I855="TDN",I855="TNO2-3",I855="NO2-3")),VLOOKUP(E855,QCNIC_N,2,),IF(AND(H855="UREA",OR(I855="TN",I855="TDN",I855="TNO2-3",I855="NO2-3")),VLOOKUP(E855,QCUREA_N,2,),IF(H855="PER",VLOOKUP(I855,QCPER,MATCH(E855,QCACTUAL!$J$25:$AA$25,0),),IF(H855="SPK",VLOOKUP(I855,QCSPK,3,),IF(AND(H855="ATP",OR(I855="TP",I855="TDP")),VLOOKUP(E855,QCATP_P,2,),""))))))))</f>
        <v/>
      </c>
      <c r="W855" s="31" t="str">
        <f t="shared" si="97"/>
        <v>TRUE</v>
      </c>
      <c r="X855" s="31" t="str">
        <f t="shared" si="98"/>
        <v/>
      </c>
      <c r="Y855" s="10" t="s">
        <v>1040</v>
      </c>
      <c r="Z855" s="10" t="s">
        <v>910</v>
      </c>
      <c r="AL855" s="10" t="str">
        <f t="shared" si="93"/>
        <v>FALSE</v>
      </c>
      <c r="AM855" s="10" t="str">
        <f t="shared" si="93"/>
        <v>FALSE</v>
      </c>
      <c r="AN855" s="10" t="str">
        <f t="shared" si="93"/>
        <v>FALSE</v>
      </c>
      <c r="AO855" s="10" t="str">
        <f t="shared" si="94"/>
        <v>FALSE</v>
      </c>
      <c r="AP855" s="10" t="str">
        <f t="shared" si="94"/>
        <v>FALSE</v>
      </c>
      <c r="AQ855" s="10" t="b">
        <f>IF(AND(I855="TP",S855&lt;=150),VLOOKUP(AF855,TPCalibEq150!$AZ$2:$BB$55,3,),IF(AND(I855="TDP",S855&lt;=150),VLOOKUP(AF855,TPCalibEq150!$AZ$2:$BB$55,3,)))</f>
        <v>0</v>
      </c>
      <c r="AR855" s="10" t="b">
        <f>IF(AND(I855="TP",S855&lt;=300),VLOOKUP(AF855,TPCalibEq300!$AZ$2:$BB$55,3,),IF(AND(I855="TDP",S855&lt;=300),VLOOKUP(AF855,TPCalibEq300!$AZ$2:$BB$55,3,)))</f>
        <v>0</v>
      </c>
      <c r="AS855" s="10" t="b">
        <f>IF(AND(I855="TP",S855&lt;=500),VLOOKUP(AF855,TPCalibEq500!$AZ$2:$BB$56,3,),IF(AND(I855="TDP",S855&lt;=500),VLOOKUP(AF855,TPCalibEq500!$AZ$2:$BB$56,3,)))</f>
        <v>0</v>
      </c>
      <c r="AT855" s="10" t="b">
        <f>IF(AND(I855="TN",S855&lt;=2800),VLOOKUP(AF855,TNCalibEq2500!$AZ$2:$BB$56,3,),IF(AND(I855="TDN",S855&lt;=2800),VLOOKUP(AF855,TNCalibEq2500!$AZ$2:$BB$56,3,)))</f>
        <v>0</v>
      </c>
      <c r="AU855" s="10" t="b">
        <f>IF(I855="TP",VLOOKUP(AF855,TPCalibEqFull!$AZ$2:$BB$56,3),IF(I855="TDP",VLOOKUP(AF855,TPCalibEqFull!$AZ$2:$BB$56,3),IF(I855="TDN",VLOOKUP(AF855,TNCalibEqFull!$AZ$1:$BB$56,3),IF(I855="TN",VLOOKUP(AF855,TNCalibEqFull!$AZ$1:$BB$56,3),FALSE))))</f>
        <v>0</v>
      </c>
      <c r="AV855" s="10" t="str">
        <f t="shared" si="99"/>
        <v>0117 08:49:00-ELW-0-C-1-SW-UKN</v>
      </c>
    </row>
    <row r="856" spans="1:48" s="10" customFormat="1" x14ac:dyDescent="0.55000000000000004">
      <c r="A856" s="32">
        <v>44943</v>
      </c>
      <c r="B856" s="33">
        <v>0.37708333333333338</v>
      </c>
      <c r="C856" s="10" t="s">
        <v>260</v>
      </c>
      <c r="D856" s="10">
        <v>0</v>
      </c>
      <c r="E856" s="10" t="s">
        <v>190</v>
      </c>
      <c r="F856" s="10">
        <v>1</v>
      </c>
      <c r="G856" s="10" t="s">
        <v>231</v>
      </c>
      <c r="H856" s="10" t="s">
        <v>322</v>
      </c>
      <c r="I856" s="10" t="s">
        <v>75</v>
      </c>
      <c r="J856" s="10">
        <v>16</v>
      </c>
      <c r="K856" s="12">
        <v>44950</v>
      </c>
      <c r="L856" s="33">
        <v>0.48165509259259259</v>
      </c>
      <c r="M856" s="10">
        <v>1</v>
      </c>
      <c r="N856" s="10" t="s">
        <v>76</v>
      </c>
      <c r="O856" s="10">
        <v>0.33600000000000002</v>
      </c>
      <c r="P856" s="10">
        <v>2.92E-2</v>
      </c>
      <c r="Q856" s="10">
        <v>21.6</v>
      </c>
      <c r="R856" s="10" t="s">
        <v>77</v>
      </c>
      <c r="S856" s="34">
        <f t="shared" si="95"/>
        <v>21.6</v>
      </c>
      <c r="T856" s="10" t="s">
        <v>1047</v>
      </c>
      <c r="U856" s="34" t="str">
        <f t="shared" si="96"/>
        <v/>
      </c>
      <c r="V856" s="31" t="str">
        <f>IF(H856="CHK",VLOOKUP(I856,QCCHK,3,),IF(H856="GUP",VLOOKUP(E856,QCGUP,2,),IF(AND(H856="ATP",OR(I856="TN",I856="TDN",I856="TNO2-3",I856="NO2-3")),VLOOKUP(E856,QCREC_N,2,),IF(AND(H856="NIC",OR(I856="TN",I856="TDN",I856="TNO2-3",I856="NO2-3")),VLOOKUP(E856,QCNIC_N,2,),IF(AND(H856="UREA",OR(I856="TN",I856="TDN",I856="TNO2-3",I856="NO2-3")),VLOOKUP(E856,QCUREA_N,2,),IF(H856="PER",VLOOKUP(I856,QCPER,MATCH(E856,QCACTUAL!$J$25:$AA$25,0),),IF(H856="SPK",VLOOKUP(I856,QCSPK,3,),IF(AND(H856="ATP",OR(I856="TP",I856="TDP")),VLOOKUP(E856,QCATP_P,2,),""))))))))</f>
        <v/>
      </c>
      <c r="W856" s="31" t="str">
        <f t="shared" si="97"/>
        <v>TRUE</v>
      </c>
      <c r="X856" s="31" t="str">
        <f t="shared" si="98"/>
        <v/>
      </c>
      <c r="Y856" s="10" t="s">
        <v>1040</v>
      </c>
      <c r="Z856" s="10" t="s">
        <v>910</v>
      </c>
      <c r="AL856" s="10" t="str">
        <f t="shared" si="93"/>
        <v>FALSE</v>
      </c>
      <c r="AM856" s="10" t="str">
        <f t="shared" si="93"/>
        <v>FALSE</v>
      </c>
      <c r="AN856" s="10" t="str">
        <f t="shared" si="93"/>
        <v>FALSE</v>
      </c>
      <c r="AO856" s="10" t="str">
        <f t="shared" si="94"/>
        <v>FALSE</v>
      </c>
      <c r="AP856" s="10" t="str">
        <f t="shared" si="94"/>
        <v>FALSE</v>
      </c>
      <c r="AQ856" s="10" t="b">
        <f>IF(AND(I856="TP",S856&lt;=150),VLOOKUP(AF856,TPCalibEq150!$AZ$2:$BB$55,3,),IF(AND(I856="TDP",S856&lt;=150),VLOOKUP(AF856,TPCalibEq150!$AZ$2:$BB$55,3,)))</f>
        <v>0</v>
      </c>
      <c r="AR856" s="10" t="b">
        <f>IF(AND(I856="TP",S856&lt;=300),VLOOKUP(AF856,TPCalibEq300!$AZ$2:$BB$55,3,),IF(AND(I856="TDP",S856&lt;=300),VLOOKUP(AF856,TPCalibEq300!$AZ$2:$BB$55,3,)))</f>
        <v>0</v>
      </c>
      <c r="AS856" s="10" t="b">
        <f>IF(AND(I856="TP",S856&lt;=500),VLOOKUP(AF856,TPCalibEq500!$AZ$2:$BB$56,3,),IF(AND(I856="TDP",S856&lt;=500),VLOOKUP(AF856,TPCalibEq500!$AZ$2:$BB$56,3,)))</f>
        <v>0</v>
      </c>
      <c r="AT856" s="10" t="b">
        <f>IF(AND(I856="TN",S856&lt;=2800),VLOOKUP(AF856,TNCalibEq2500!$AZ$2:$BB$56,3,),IF(AND(I856="TDN",S856&lt;=2800),VLOOKUP(AF856,TNCalibEq2500!$AZ$2:$BB$56,3,)))</f>
        <v>0</v>
      </c>
      <c r="AU856" s="10" t="b">
        <f>IF(I856="TP",VLOOKUP(AF856,TPCalibEqFull!$AZ$2:$BB$56,3),IF(I856="TDP",VLOOKUP(AF856,TPCalibEqFull!$AZ$2:$BB$56,3),IF(I856="TDN",VLOOKUP(AF856,TNCalibEqFull!$AZ$1:$BB$56,3),IF(I856="TN",VLOOKUP(AF856,TNCalibEqFull!$AZ$1:$BB$56,3),FALSE))))</f>
        <v>0</v>
      </c>
      <c r="AV856" s="10" t="str">
        <f t="shared" si="99"/>
        <v>0117 09:03:00-EFC-0-C-1-SW-UKN</v>
      </c>
    </row>
    <row r="857" spans="1:48" s="10" customFormat="1" x14ac:dyDescent="0.55000000000000004">
      <c r="A857" s="32">
        <v>44943</v>
      </c>
      <c r="B857" s="33">
        <v>0.39097222222222222</v>
      </c>
      <c r="C857" s="10" t="s">
        <v>543</v>
      </c>
      <c r="D857" s="10">
        <v>0</v>
      </c>
      <c r="E857" s="10" t="s">
        <v>190</v>
      </c>
      <c r="F857" s="10">
        <v>1</v>
      </c>
      <c r="G857" s="10" t="s">
        <v>231</v>
      </c>
      <c r="H857" s="10" t="s">
        <v>322</v>
      </c>
      <c r="I857" s="10" t="s">
        <v>75</v>
      </c>
      <c r="J857" s="10">
        <v>17</v>
      </c>
      <c r="K857" s="12">
        <v>44950</v>
      </c>
      <c r="L857" s="33">
        <v>0.48247685185185185</v>
      </c>
      <c r="M857" s="10">
        <v>1</v>
      </c>
      <c r="N857" s="10" t="s">
        <v>76</v>
      </c>
      <c r="O857" s="10">
        <v>4.99E-2</v>
      </c>
      <c r="P857" s="10">
        <v>4.5399999999999998E-3</v>
      </c>
      <c r="Q857" s="10">
        <v>3.21</v>
      </c>
      <c r="R857" s="10" t="s">
        <v>77</v>
      </c>
      <c r="S857" s="34">
        <f t="shared" si="95"/>
        <v>3.21</v>
      </c>
      <c r="T857" s="10" t="s">
        <v>1047</v>
      </c>
      <c r="U857" s="34" t="str">
        <f t="shared" si="96"/>
        <v/>
      </c>
      <c r="V857" s="31" t="str">
        <f>IF(H857="CHK",VLOOKUP(I857,QCCHK,3,),IF(H857="GUP",VLOOKUP(E857,QCGUP,2,),IF(AND(H857="ATP",OR(I857="TN",I857="TDN",I857="TNO2-3",I857="NO2-3")),VLOOKUP(E857,QCREC_N,2,),IF(AND(H857="NIC",OR(I857="TN",I857="TDN",I857="TNO2-3",I857="NO2-3")),VLOOKUP(E857,QCNIC_N,2,),IF(AND(H857="UREA",OR(I857="TN",I857="TDN",I857="TNO2-3",I857="NO2-3")),VLOOKUP(E857,QCUREA_N,2,),IF(H857="PER",VLOOKUP(I857,QCPER,MATCH(E857,QCACTUAL!$J$25:$AA$25,0),),IF(H857="SPK",VLOOKUP(I857,QCSPK,3,),IF(AND(H857="ATP",OR(I857="TP",I857="TDP")),VLOOKUP(E857,QCATP_P,2,),""))))))))</f>
        <v/>
      </c>
      <c r="W857" s="31" t="str">
        <f t="shared" si="97"/>
        <v>TRUE</v>
      </c>
      <c r="X857" s="31" t="str">
        <f t="shared" si="98"/>
        <v/>
      </c>
      <c r="Y857" s="10" t="s">
        <v>1040</v>
      </c>
      <c r="Z857" s="10" t="s">
        <v>910</v>
      </c>
      <c r="AL857" s="10" t="str">
        <f t="shared" si="93"/>
        <v>FALSE</v>
      </c>
      <c r="AM857" s="10" t="str">
        <f t="shared" si="93"/>
        <v>FALSE</v>
      </c>
      <c r="AN857" s="10" t="str">
        <f t="shared" si="93"/>
        <v>FALSE</v>
      </c>
      <c r="AO857" s="10" t="str">
        <f t="shared" si="94"/>
        <v>FALSE</v>
      </c>
      <c r="AP857" s="10" t="str">
        <f t="shared" si="94"/>
        <v>FALSE</v>
      </c>
      <c r="AQ857" s="10" t="b">
        <f>IF(AND(I857="TP",S857&lt;=150),VLOOKUP(AF857,TPCalibEq150!$AZ$2:$BB$55,3,),IF(AND(I857="TDP",S857&lt;=150),VLOOKUP(AF857,TPCalibEq150!$AZ$2:$BB$55,3,)))</f>
        <v>0</v>
      </c>
      <c r="AR857" s="10" t="b">
        <f>IF(AND(I857="TP",S857&lt;=300),VLOOKUP(AF857,TPCalibEq300!$AZ$2:$BB$55,3,),IF(AND(I857="TDP",S857&lt;=300),VLOOKUP(AF857,TPCalibEq300!$AZ$2:$BB$55,3,)))</f>
        <v>0</v>
      </c>
      <c r="AS857" s="10" t="b">
        <f>IF(AND(I857="TP",S857&lt;=500),VLOOKUP(AF857,TPCalibEq500!$AZ$2:$BB$56,3,),IF(AND(I857="TDP",S857&lt;=500),VLOOKUP(AF857,TPCalibEq500!$AZ$2:$BB$56,3,)))</f>
        <v>0</v>
      </c>
      <c r="AT857" s="10" t="b">
        <f>IF(AND(I857="TN",S857&lt;=2800),VLOOKUP(AF857,TNCalibEq2500!$AZ$2:$BB$56,3,),IF(AND(I857="TDN",S857&lt;=2800),VLOOKUP(AF857,TNCalibEq2500!$AZ$2:$BB$56,3,)))</f>
        <v>0</v>
      </c>
      <c r="AU857" s="10" t="b">
        <f>IF(I857="TP",VLOOKUP(AF857,TPCalibEqFull!$AZ$2:$BB$56,3),IF(I857="TDP",VLOOKUP(AF857,TPCalibEqFull!$AZ$2:$BB$56,3),IF(I857="TDN",VLOOKUP(AF857,TNCalibEqFull!$AZ$1:$BB$56,3),IF(I857="TN",VLOOKUP(AF857,TNCalibEqFull!$AZ$1:$BB$56,3),FALSE))))</f>
        <v>0</v>
      </c>
      <c r="AV857" s="10" t="str">
        <f t="shared" si="99"/>
        <v>0117 09:23:00-SAR-0-C-1-SW-UKN</v>
      </c>
    </row>
    <row r="858" spans="1:48" s="10" customFormat="1" x14ac:dyDescent="0.55000000000000004">
      <c r="A858" s="32">
        <v>44943</v>
      </c>
      <c r="B858" s="33">
        <v>0.40486111111111112</v>
      </c>
      <c r="C858" s="10" t="s">
        <v>361</v>
      </c>
      <c r="D858" s="10">
        <v>0</v>
      </c>
      <c r="E858" s="10" t="s">
        <v>190</v>
      </c>
      <c r="F858" s="10">
        <v>1</v>
      </c>
      <c r="G858" s="10" t="s">
        <v>231</v>
      </c>
      <c r="H858" s="10" t="s">
        <v>322</v>
      </c>
      <c r="I858" s="10" t="s">
        <v>75</v>
      </c>
      <c r="J858" s="10">
        <v>18</v>
      </c>
      <c r="K858" s="12">
        <v>44950</v>
      </c>
      <c r="L858" s="33">
        <v>0.48329861111111111</v>
      </c>
      <c r="M858" s="10">
        <v>1</v>
      </c>
      <c r="N858" s="10" t="s">
        <v>76</v>
      </c>
      <c r="O858" s="10">
        <v>3.1399999999999997E-2</v>
      </c>
      <c r="P858" s="10">
        <v>3.0799999999999998E-3</v>
      </c>
      <c r="Q858" s="10">
        <v>2.02</v>
      </c>
      <c r="R858" s="10" t="s">
        <v>77</v>
      </c>
      <c r="S858" s="34">
        <f t="shared" si="95"/>
        <v>2.02</v>
      </c>
      <c r="T858" s="10" t="s">
        <v>1047</v>
      </c>
      <c r="U858" s="34" t="str">
        <f t="shared" si="96"/>
        <v/>
      </c>
      <c r="V858" s="31" t="str">
        <f>IF(H858="CHK",VLOOKUP(I858,QCCHK,3,),IF(H858="GUP",VLOOKUP(E858,QCGUP,2,),IF(AND(H858="ATP",OR(I858="TN",I858="TDN",I858="TNO2-3",I858="NO2-3")),VLOOKUP(E858,QCREC_N,2,),IF(AND(H858="NIC",OR(I858="TN",I858="TDN",I858="TNO2-3",I858="NO2-3")),VLOOKUP(E858,QCNIC_N,2,),IF(AND(H858="UREA",OR(I858="TN",I858="TDN",I858="TNO2-3",I858="NO2-3")),VLOOKUP(E858,QCUREA_N,2,),IF(H858="PER",VLOOKUP(I858,QCPER,MATCH(E858,QCACTUAL!$J$25:$AA$25,0),),IF(H858="SPK",VLOOKUP(I858,QCSPK,3,),IF(AND(H858="ATP",OR(I858="TP",I858="TDP")),VLOOKUP(E858,QCATP_P,2,),""))))))))</f>
        <v/>
      </c>
      <c r="W858" s="31" t="str">
        <f t="shared" si="97"/>
        <v>TRUE</v>
      </c>
      <c r="X858" s="31" t="str">
        <f t="shared" si="98"/>
        <v/>
      </c>
      <c r="Y858" s="10" t="s">
        <v>1040</v>
      </c>
      <c r="Z858" s="10" t="s">
        <v>910</v>
      </c>
      <c r="AL858" s="10" t="str">
        <f t="shared" si="93"/>
        <v>FALSE</v>
      </c>
      <c r="AM858" s="10" t="str">
        <f t="shared" si="93"/>
        <v>FALSE</v>
      </c>
      <c r="AN858" s="10" t="str">
        <f t="shared" si="93"/>
        <v>FALSE</v>
      </c>
      <c r="AO858" s="10" t="str">
        <f t="shared" si="94"/>
        <v>FALSE</v>
      </c>
      <c r="AP858" s="10" t="str">
        <f t="shared" si="94"/>
        <v>FALSE</v>
      </c>
      <c r="AQ858" s="10" t="b">
        <f>IF(AND(I858="TP",S858&lt;=150),VLOOKUP(AF858,TPCalibEq150!$AZ$2:$BB$55,3,),IF(AND(I858="TDP",S858&lt;=150),VLOOKUP(AF858,TPCalibEq150!$AZ$2:$BB$55,3,)))</f>
        <v>0</v>
      </c>
      <c r="AR858" s="10" t="b">
        <f>IF(AND(I858="TP",S858&lt;=300),VLOOKUP(AF858,TPCalibEq300!$AZ$2:$BB$55,3,),IF(AND(I858="TDP",S858&lt;=300),VLOOKUP(AF858,TPCalibEq300!$AZ$2:$BB$55,3,)))</f>
        <v>0</v>
      </c>
      <c r="AS858" s="10" t="b">
        <f>IF(AND(I858="TP",S858&lt;=500),VLOOKUP(AF858,TPCalibEq500!$AZ$2:$BB$56,3,),IF(AND(I858="TDP",S858&lt;=500),VLOOKUP(AF858,TPCalibEq500!$AZ$2:$BB$56,3,)))</f>
        <v>0</v>
      </c>
      <c r="AT858" s="10" t="b">
        <f>IF(AND(I858="TN",S858&lt;=2800),VLOOKUP(AF858,TNCalibEq2500!$AZ$2:$BB$56,3,),IF(AND(I858="TDN",S858&lt;=2800),VLOOKUP(AF858,TNCalibEq2500!$AZ$2:$BB$56,3,)))</f>
        <v>0</v>
      </c>
      <c r="AU858" s="10" t="b">
        <f>IF(I858="TP",VLOOKUP(AF858,TPCalibEqFull!$AZ$2:$BB$56,3),IF(I858="TDP",VLOOKUP(AF858,TPCalibEqFull!$AZ$2:$BB$56,3),IF(I858="TDN",VLOOKUP(AF858,TNCalibEqFull!$AZ$1:$BB$56,3),IF(I858="TN",VLOOKUP(AF858,TNCalibEqFull!$AZ$1:$BB$56,3),FALSE))))</f>
        <v>0</v>
      </c>
      <c r="AV858" s="10" t="str">
        <f t="shared" si="99"/>
        <v>0117 09:43:00-USR-0-C-1-SW-UKN</v>
      </c>
    </row>
    <row r="859" spans="1:48" s="10" customFormat="1" x14ac:dyDescent="0.55000000000000004">
      <c r="A859" s="32">
        <v>44943</v>
      </c>
      <c r="B859" s="33">
        <v>0.42152777777777778</v>
      </c>
      <c r="C859" s="10" t="s">
        <v>351</v>
      </c>
      <c r="D859" s="10">
        <v>0</v>
      </c>
      <c r="E859" s="10" t="s">
        <v>190</v>
      </c>
      <c r="F859" s="10">
        <v>1</v>
      </c>
      <c r="G859" s="10" t="s">
        <v>231</v>
      </c>
      <c r="H859" s="10" t="s">
        <v>322</v>
      </c>
      <c r="I859" s="10" t="s">
        <v>75</v>
      </c>
      <c r="J859" s="10">
        <v>19</v>
      </c>
      <c r="K859" s="12">
        <v>44950</v>
      </c>
      <c r="L859" s="33">
        <v>0.48412037037037042</v>
      </c>
      <c r="M859" s="10">
        <v>1</v>
      </c>
      <c r="N859" s="10" t="s">
        <v>76</v>
      </c>
      <c r="O859" s="10">
        <v>0.17299999999999999</v>
      </c>
      <c r="P859" s="10">
        <v>1.55E-2</v>
      </c>
      <c r="Q859" s="10">
        <v>11.1</v>
      </c>
      <c r="R859" s="10" t="s">
        <v>77</v>
      </c>
      <c r="S859" s="34">
        <f t="shared" si="95"/>
        <v>11.1</v>
      </c>
      <c r="T859" s="10" t="s">
        <v>1047</v>
      </c>
      <c r="U859" s="34" t="str">
        <f t="shared" si="96"/>
        <v/>
      </c>
      <c r="V859" s="31" t="str">
        <f>IF(H859="CHK",VLOOKUP(I859,QCCHK,3,),IF(H859="GUP",VLOOKUP(E859,QCGUP,2,),IF(AND(H859="ATP",OR(I859="TN",I859="TDN",I859="TNO2-3",I859="NO2-3")),VLOOKUP(E859,QCREC_N,2,),IF(AND(H859="NIC",OR(I859="TN",I859="TDN",I859="TNO2-3",I859="NO2-3")),VLOOKUP(E859,QCNIC_N,2,),IF(AND(H859="UREA",OR(I859="TN",I859="TDN",I859="TNO2-3",I859="NO2-3")),VLOOKUP(E859,QCUREA_N,2,),IF(H859="PER",VLOOKUP(I859,QCPER,MATCH(E859,QCACTUAL!$J$25:$AA$25,0),),IF(H859="SPK",VLOOKUP(I859,QCSPK,3,),IF(AND(H859="ATP",OR(I859="TP",I859="TDP")),VLOOKUP(E859,QCATP_P,2,),""))))))))</f>
        <v/>
      </c>
      <c r="W859" s="31" t="str">
        <f t="shared" si="97"/>
        <v>TRUE</v>
      </c>
      <c r="X859" s="31" t="str">
        <f t="shared" si="98"/>
        <v/>
      </c>
      <c r="Y859" s="10" t="s">
        <v>1040</v>
      </c>
      <c r="Z859" s="10" t="s">
        <v>910</v>
      </c>
      <c r="AL859" s="10" t="str">
        <f t="shared" si="93"/>
        <v>FALSE</v>
      </c>
      <c r="AM859" s="10" t="str">
        <f t="shared" si="93"/>
        <v>FALSE</v>
      </c>
      <c r="AN859" s="10" t="str">
        <f t="shared" si="93"/>
        <v>FALSE</v>
      </c>
      <c r="AO859" s="10" t="str">
        <f t="shared" si="94"/>
        <v>FALSE</v>
      </c>
      <c r="AP859" s="10" t="str">
        <f t="shared" si="94"/>
        <v>FALSE</v>
      </c>
      <c r="AQ859" s="10" t="b">
        <f>IF(AND(I859="TP",S859&lt;=150),VLOOKUP(AF859,TPCalibEq150!$AZ$2:$BB$55,3,),IF(AND(I859="TDP",S859&lt;=150),VLOOKUP(AF859,TPCalibEq150!$AZ$2:$BB$55,3,)))</f>
        <v>0</v>
      </c>
      <c r="AR859" s="10" t="b">
        <f>IF(AND(I859="TP",S859&lt;=300),VLOOKUP(AF859,TPCalibEq300!$AZ$2:$BB$55,3,),IF(AND(I859="TDP",S859&lt;=300),VLOOKUP(AF859,TPCalibEq300!$AZ$2:$BB$55,3,)))</f>
        <v>0</v>
      </c>
      <c r="AS859" s="10" t="b">
        <f>IF(AND(I859="TP",S859&lt;=500),VLOOKUP(AF859,TPCalibEq500!$AZ$2:$BB$56,3,),IF(AND(I859="TDP",S859&lt;=500),VLOOKUP(AF859,TPCalibEq500!$AZ$2:$BB$56,3,)))</f>
        <v>0</v>
      </c>
      <c r="AT859" s="10" t="b">
        <f>IF(AND(I859="TN",S859&lt;=2800),VLOOKUP(AF859,TNCalibEq2500!$AZ$2:$BB$56,3,),IF(AND(I859="TDN",S859&lt;=2800),VLOOKUP(AF859,TNCalibEq2500!$AZ$2:$BB$56,3,)))</f>
        <v>0</v>
      </c>
      <c r="AU859" s="10" t="b">
        <f>IF(I859="TP",VLOOKUP(AF859,TPCalibEqFull!$AZ$2:$BB$56,3),IF(I859="TDP",VLOOKUP(AF859,TPCalibEqFull!$AZ$2:$BB$56,3),IF(I859="TDN",VLOOKUP(AF859,TNCalibEqFull!$AZ$1:$BB$56,3),IF(I859="TN",VLOOKUP(AF859,TNCalibEqFull!$AZ$1:$BB$56,3),FALSE))))</f>
        <v>0</v>
      </c>
      <c r="AV859" s="10" t="str">
        <f t="shared" si="99"/>
        <v>0117 10:07:00-SHC-0-C-1-SW-UKN</v>
      </c>
    </row>
    <row r="860" spans="1:48" s="10" customFormat="1" x14ac:dyDescent="0.55000000000000004">
      <c r="A860" s="32">
        <v>44943</v>
      </c>
      <c r="B860" s="33">
        <v>0.43472222222222223</v>
      </c>
      <c r="C860" s="10" t="s">
        <v>355</v>
      </c>
      <c r="D860" s="10">
        <v>0</v>
      </c>
      <c r="E860" s="10" t="s">
        <v>190</v>
      </c>
      <c r="F860" s="10">
        <v>1</v>
      </c>
      <c r="G860" s="10" t="s">
        <v>231</v>
      </c>
      <c r="H860" s="10" t="s">
        <v>322</v>
      </c>
      <c r="I860" s="10" t="s">
        <v>75</v>
      </c>
      <c r="J860" s="10">
        <v>20</v>
      </c>
      <c r="K860" s="12">
        <v>44950</v>
      </c>
      <c r="L860" s="33">
        <v>0.48493055555555559</v>
      </c>
      <c r="M860" s="10">
        <v>1</v>
      </c>
      <c r="N860" s="10" t="s">
        <v>76</v>
      </c>
      <c r="O860" s="10">
        <v>0.42599999999999999</v>
      </c>
      <c r="P860" s="10">
        <v>3.9300000000000002E-2</v>
      </c>
      <c r="Q860" s="10">
        <v>27.3</v>
      </c>
      <c r="R860" s="10" t="s">
        <v>77</v>
      </c>
      <c r="S860" s="34">
        <f t="shared" si="95"/>
        <v>27.3</v>
      </c>
      <c r="T860" s="10" t="s">
        <v>1047</v>
      </c>
      <c r="U860" s="34" t="str">
        <f t="shared" si="96"/>
        <v/>
      </c>
      <c r="V860" s="31" t="str">
        <f>IF(H860="CHK",VLOOKUP(I860,QCCHK,3,),IF(H860="GUP",VLOOKUP(E860,QCGUP,2,),IF(AND(H860="ATP",OR(I860="TN",I860="TDN",I860="TNO2-3",I860="NO2-3")),VLOOKUP(E860,QCREC_N,2,),IF(AND(H860="NIC",OR(I860="TN",I860="TDN",I860="TNO2-3",I860="NO2-3")),VLOOKUP(E860,QCNIC_N,2,),IF(AND(H860="UREA",OR(I860="TN",I860="TDN",I860="TNO2-3",I860="NO2-3")),VLOOKUP(E860,QCUREA_N,2,),IF(H860="PER",VLOOKUP(I860,QCPER,MATCH(E860,QCACTUAL!$J$25:$AA$25,0),),IF(H860="SPK",VLOOKUP(I860,QCSPK,3,),IF(AND(H860="ATP",OR(I860="TP",I860="TDP")),VLOOKUP(E860,QCATP_P,2,),""))))))))</f>
        <v/>
      </c>
      <c r="W860" s="31" t="str">
        <f t="shared" si="97"/>
        <v>TRUE</v>
      </c>
      <c r="X860" s="31" t="str">
        <f t="shared" si="98"/>
        <v/>
      </c>
      <c r="Y860" s="10" t="s">
        <v>1040</v>
      </c>
      <c r="Z860" s="10" t="s">
        <v>910</v>
      </c>
      <c r="AL860" s="10" t="str">
        <f t="shared" si="93"/>
        <v>FALSE</v>
      </c>
      <c r="AM860" s="10" t="str">
        <f t="shared" si="93"/>
        <v>FALSE</v>
      </c>
      <c r="AN860" s="10" t="str">
        <f t="shared" si="93"/>
        <v>FALSE</v>
      </c>
      <c r="AO860" s="10" t="str">
        <f t="shared" si="94"/>
        <v>FALSE</v>
      </c>
      <c r="AP860" s="10" t="str">
        <f t="shared" si="94"/>
        <v>FALSE</v>
      </c>
      <c r="AQ860" s="10" t="b">
        <f>IF(AND(I860="TP",S860&lt;=150),VLOOKUP(AF860,TPCalibEq150!$AZ$2:$BB$55,3,),IF(AND(I860="TDP",S860&lt;=150),VLOOKUP(AF860,TPCalibEq150!$AZ$2:$BB$55,3,)))</f>
        <v>0</v>
      </c>
      <c r="AR860" s="10" t="b">
        <f>IF(AND(I860="TP",S860&lt;=300),VLOOKUP(AF860,TPCalibEq300!$AZ$2:$BB$55,3,),IF(AND(I860="TDP",S860&lt;=300),VLOOKUP(AF860,TPCalibEq300!$AZ$2:$BB$55,3,)))</f>
        <v>0</v>
      </c>
      <c r="AS860" s="10" t="b">
        <f>IF(AND(I860="TP",S860&lt;=500),VLOOKUP(AF860,TPCalibEq500!$AZ$2:$BB$56,3,),IF(AND(I860="TDP",S860&lt;=500),VLOOKUP(AF860,TPCalibEq500!$AZ$2:$BB$56,3,)))</f>
        <v>0</v>
      </c>
      <c r="AT860" s="10" t="b">
        <f>IF(AND(I860="TN",S860&lt;=2800),VLOOKUP(AF860,TNCalibEq2500!$AZ$2:$BB$56,3,),IF(AND(I860="TDN",S860&lt;=2800),VLOOKUP(AF860,TNCalibEq2500!$AZ$2:$BB$56,3,)))</f>
        <v>0</v>
      </c>
      <c r="AU860" s="10" t="b">
        <f>IF(I860="TP",VLOOKUP(AF860,TPCalibEqFull!$AZ$2:$BB$56,3),IF(I860="TDP",VLOOKUP(AF860,TPCalibEqFull!$AZ$2:$BB$56,3),IF(I860="TDN",VLOOKUP(AF860,TNCalibEqFull!$AZ$1:$BB$56,3),IF(I860="TN",VLOOKUP(AF860,TNCalibEqFull!$AZ$1:$BB$56,3),FALSE))))</f>
        <v>0</v>
      </c>
      <c r="AV860" s="10" t="str">
        <f t="shared" si="99"/>
        <v>0117 10:26:00-SLT-0-C-1-SW-UKN</v>
      </c>
    </row>
    <row r="861" spans="1:48" s="10" customFormat="1" x14ac:dyDescent="0.55000000000000004">
      <c r="A861" s="32">
        <v>44943</v>
      </c>
      <c r="B861" s="33">
        <v>0.4604166666666667</v>
      </c>
      <c r="C861" s="10" t="s">
        <v>310</v>
      </c>
      <c r="D861" s="10">
        <v>0</v>
      </c>
      <c r="E861" s="10" t="s">
        <v>190</v>
      </c>
      <c r="F861" s="10">
        <v>1</v>
      </c>
      <c r="G861" s="10" t="s">
        <v>231</v>
      </c>
      <c r="H861" s="10" t="s">
        <v>322</v>
      </c>
      <c r="I861" s="10" t="s">
        <v>75</v>
      </c>
      <c r="J861" s="10">
        <v>21</v>
      </c>
      <c r="K861" s="12">
        <v>44950</v>
      </c>
      <c r="L861" s="33">
        <v>0.48575231481481485</v>
      </c>
      <c r="M861" s="10">
        <v>1</v>
      </c>
      <c r="N861" s="10" t="s">
        <v>76</v>
      </c>
      <c r="O861" s="10">
        <v>0.60799999999999998</v>
      </c>
      <c r="P861" s="10">
        <v>5.7200000000000001E-2</v>
      </c>
      <c r="Q861" s="10">
        <v>39.1</v>
      </c>
      <c r="R861" s="10" t="s">
        <v>77</v>
      </c>
      <c r="S861" s="34">
        <f t="shared" si="95"/>
        <v>39.1</v>
      </c>
      <c r="T861" s="10" t="s">
        <v>1047</v>
      </c>
      <c r="U861" s="34" t="str">
        <f t="shared" si="96"/>
        <v/>
      </c>
      <c r="V861" s="31" t="str">
        <f>IF(H861="CHK",VLOOKUP(I861,QCCHK,3,),IF(H861="GUP",VLOOKUP(E861,QCGUP,2,),IF(AND(H861="ATP",OR(I861="TN",I861="TDN",I861="TNO2-3",I861="NO2-3")),VLOOKUP(E861,QCREC_N,2,),IF(AND(H861="NIC",OR(I861="TN",I861="TDN",I861="TNO2-3",I861="NO2-3")),VLOOKUP(E861,QCNIC_N,2,),IF(AND(H861="UREA",OR(I861="TN",I861="TDN",I861="TNO2-3",I861="NO2-3")),VLOOKUP(E861,QCUREA_N,2,),IF(H861="PER",VLOOKUP(I861,QCPER,MATCH(E861,QCACTUAL!$J$25:$AA$25,0),),IF(H861="SPK",VLOOKUP(I861,QCSPK,3,),IF(AND(H861="ATP",OR(I861="TP",I861="TDP")),VLOOKUP(E861,QCATP_P,2,),""))))))))</f>
        <v/>
      </c>
      <c r="W861" s="31" t="str">
        <f t="shared" si="97"/>
        <v>TRUE</v>
      </c>
      <c r="X861" s="31" t="str">
        <f t="shared" si="98"/>
        <v/>
      </c>
      <c r="Y861" s="10" t="s">
        <v>1040</v>
      </c>
      <c r="Z861" s="10" t="s">
        <v>910</v>
      </c>
      <c r="AL861" s="10" t="str">
        <f t="shared" si="93"/>
        <v>FALSE</v>
      </c>
      <c r="AM861" s="10" t="str">
        <f t="shared" si="93"/>
        <v>FALSE</v>
      </c>
      <c r="AN861" s="10" t="str">
        <f t="shared" si="93"/>
        <v>FALSE</v>
      </c>
      <c r="AO861" s="10" t="str">
        <f t="shared" si="94"/>
        <v>FALSE</v>
      </c>
      <c r="AP861" s="10" t="str">
        <f t="shared" si="94"/>
        <v>FALSE</v>
      </c>
      <c r="AQ861" s="10" t="b">
        <f>IF(AND(I861="TP",S861&lt;=150),VLOOKUP(AF861,TPCalibEq150!$AZ$2:$BB$55,3,),IF(AND(I861="TDP",S861&lt;=150),VLOOKUP(AF861,TPCalibEq150!$AZ$2:$BB$55,3,)))</f>
        <v>0</v>
      </c>
      <c r="AR861" s="10" t="b">
        <f>IF(AND(I861="TP",S861&lt;=300),VLOOKUP(AF861,TPCalibEq300!$AZ$2:$BB$55,3,),IF(AND(I861="TDP",S861&lt;=300),VLOOKUP(AF861,TPCalibEq300!$AZ$2:$BB$55,3,)))</f>
        <v>0</v>
      </c>
      <c r="AS861" s="10" t="b">
        <f>IF(AND(I861="TP",S861&lt;=500),VLOOKUP(AF861,TPCalibEq500!$AZ$2:$BB$56,3,),IF(AND(I861="TDP",S861&lt;=500),VLOOKUP(AF861,TPCalibEq500!$AZ$2:$BB$56,3,)))</f>
        <v>0</v>
      </c>
      <c r="AT861" s="10" t="b">
        <f>IF(AND(I861="TN",S861&lt;=2800),VLOOKUP(AF861,TNCalibEq2500!$AZ$2:$BB$56,3,),IF(AND(I861="TDN",S861&lt;=2800),VLOOKUP(AF861,TNCalibEq2500!$AZ$2:$BB$56,3,)))</f>
        <v>0</v>
      </c>
      <c r="AU861" s="10" t="b">
        <f>IF(I861="TP",VLOOKUP(AF861,TPCalibEqFull!$AZ$2:$BB$56,3),IF(I861="TDP",VLOOKUP(AF861,TPCalibEqFull!$AZ$2:$BB$56,3),IF(I861="TDN",VLOOKUP(AF861,TNCalibEqFull!$AZ$1:$BB$56,3),IF(I861="TN",VLOOKUP(AF861,TNCalibEqFull!$AZ$1:$BB$56,3),FALSE))))</f>
        <v>0</v>
      </c>
      <c r="AV861" s="10" t="str">
        <f t="shared" si="99"/>
        <v>0117 11:03:00-ELI-0-C-1-SW-UKN</v>
      </c>
    </row>
    <row r="862" spans="1:48" s="10" customFormat="1" x14ac:dyDescent="0.55000000000000004">
      <c r="A862" s="32">
        <v>44943</v>
      </c>
      <c r="B862" s="33">
        <v>0.47013888888888888</v>
      </c>
      <c r="C862" s="10" t="s">
        <v>999</v>
      </c>
      <c r="D862" s="10">
        <v>0</v>
      </c>
      <c r="E862" s="10" t="s">
        <v>190</v>
      </c>
      <c r="F862" s="10">
        <v>1</v>
      </c>
      <c r="G862" s="10" t="s">
        <v>231</v>
      </c>
      <c r="H862" s="10" t="s">
        <v>322</v>
      </c>
      <c r="I862" s="10" t="s">
        <v>75</v>
      </c>
      <c r="J862" s="10">
        <v>22</v>
      </c>
      <c r="K862" s="12">
        <v>44950</v>
      </c>
      <c r="L862" s="33">
        <v>0.48657407407407405</v>
      </c>
      <c r="M862" s="10">
        <v>1</v>
      </c>
      <c r="N862" s="10" t="s">
        <v>76</v>
      </c>
      <c r="O862" s="10">
        <v>0.61799999999999999</v>
      </c>
      <c r="P862" s="10">
        <v>5.9400000000000001E-2</v>
      </c>
      <c r="Q862" s="10">
        <v>39.700000000000003</v>
      </c>
      <c r="R862" s="10" t="s">
        <v>77</v>
      </c>
      <c r="S862" s="34">
        <f t="shared" si="95"/>
        <v>39.700000000000003</v>
      </c>
      <c r="T862" s="10" t="s">
        <v>1047</v>
      </c>
      <c r="U862" s="34" t="str">
        <f t="shared" si="96"/>
        <v/>
      </c>
      <c r="V862" s="31" t="str">
        <f>IF(H862="CHK",VLOOKUP(I862,QCCHK,3,),IF(H862="GUP",VLOOKUP(E862,QCGUP,2,),IF(AND(H862="ATP",OR(I862="TN",I862="TDN",I862="TNO2-3",I862="NO2-3")),VLOOKUP(E862,QCREC_N,2,),IF(AND(H862="NIC",OR(I862="TN",I862="TDN",I862="TNO2-3",I862="NO2-3")),VLOOKUP(E862,QCNIC_N,2,),IF(AND(H862="UREA",OR(I862="TN",I862="TDN",I862="TNO2-3",I862="NO2-3")),VLOOKUP(E862,QCUREA_N,2,),IF(H862="PER",VLOOKUP(I862,QCPER,MATCH(E862,QCACTUAL!$J$25:$AA$25,0),),IF(H862="SPK",VLOOKUP(I862,QCSPK,3,),IF(AND(H862="ATP",OR(I862="TP",I862="TDP")),VLOOKUP(E862,QCATP_P,2,),""))))))))</f>
        <v/>
      </c>
      <c r="W862" s="31" t="str">
        <f t="shared" si="97"/>
        <v>TRUE</v>
      </c>
      <c r="X862" s="31" t="str">
        <f t="shared" si="98"/>
        <v/>
      </c>
      <c r="Y862" s="10" t="s">
        <v>1040</v>
      </c>
      <c r="Z862" s="10" t="s">
        <v>910</v>
      </c>
      <c r="AL862" s="10" t="str">
        <f t="shared" si="93"/>
        <v>FALSE</v>
      </c>
      <c r="AM862" s="10" t="str">
        <f t="shared" si="93"/>
        <v>FALSE</v>
      </c>
      <c r="AN862" s="10" t="str">
        <f t="shared" si="93"/>
        <v>FALSE</v>
      </c>
      <c r="AO862" s="10" t="str">
        <f t="shared" si="94"/>
        <v>FALSE</v>
      </c>
      <c r="AP862" s="10" t="str">
        <f t="shared" si="94"/>
        <v>FALSE</v>
      </c>
      <c r="AQ862" s="10" t="b">
        <f>IF(AND(I862="TP",S862&lt;=150),VLOOKUP(AF862,TPCalibEq150!$AZ$2:$BB$55,3,),IF(AND(I862="TDP",S862&lt;=150),VLOOKUP(AF862,TPCalibEq150!$AZ$2:$BB$55,3,)))</f>
        <v>0</v>
      </c>
      <c r="AR862" s="10" t="b">
        <f>IF(AND(I862="TP",S862&lt;=300),VLOOKUP(AF862,TPCalibEq300!$AZ$2:$BB$55,3,),IF(AND(I862="TDP",S862&lt;=300),VLOOKUP(AF862,TPCalibEq300!$AZ$2:$BB$55,3,)))</f>
        <v>0</v>
      </c>
      <c r="AS862" s="10" t="b">
        <f>IF(AND(I862="TP",S862&lt;=500),VLOOKUP(AF862,TPCalibEq500!$AZ$2:$BB$56,3,),IF(AND(I862="TDP",S862&lt;=500),VLOOKUP(AF862,TPCalibEq500!$AZ$2:$BB$56,3,)))</f>
        <v>0</v>
      </c>
      <c r="AT862" s="10" t="b">
        <f>IF(AND(I862="TN",S862&lt;=2800),VLOOKUP(AF862,TNCalibEq2500!$AZ$2:$BB$56,3,),IF(AND(I862="TDN",S862&lt;=2800),VLOOKUP(AF862,TNCalibEq2500!$AZ$2:$BB$56,3,)))</f>
        <v>0</v>
      </c>
      <c r="AU862" s="10" t="b">
        <f>IF(I862="TP",VLOOKUP(AF862,TPCalibEqFull!$AZ$2:$BB$56,3),IF(I862="TDP",VLOOKUP(AF862,TPCalibEqFull!$AZ$2:$BB$56,3),IF(I862="TDN",VLOOKUP(AF862,TNCalibEqFull!$AZ$1:$BB$56,3),IF(I862="TN",VLOOKUP(AF862,TNCalibEqFull!$AZ$1:$BB$56,3),FALSE))))</f>
        <v>0</v>
      </c>
      <c r="AV862" s="10" t="str">
        <f t="shared" si="99"/>
        <v>0117 11:17:00-EAW-0-C-1-SW-UKN</v>
      </c>
    </row>
    <row r="863" spans="1:48" s="10" customFormat="1" x14ac:dyDescent="0.55000000000000004">
      <c r="A863" s="32">
        <v>44943</v>
      </c>
      <c r="B863" s="33">
        <v>0.48125000000000001</v>
      </c>
      <c r="C863" s="10" t="s">
        <v>613</v>
      </c>
      <c r="D863" s="10">
        <v>0</v>
      </c>
      <c r="E863" s="10" t="s">
        <v>190</v>
      </c>
      <c r="F863" s="10">
        <v>1</v>
      </c>
      <c r="G863" s="10" t="s">
        <v>231</v>
      </c>
      <c r="H863" s="10" t="s">
        <v>322</v>
      </c>
      <c r="I863" s="10" t="s">
        <v>75</v>
      </c>
      <c r="J863" s="10">
        <v>23</v>
      </c>
      <c r="K863" s="12">
        <v>44950</v>
      </c>
      <c r="L863" s="33">
        <v>0.48739583333333331</v>
      </c>
      <c r="M863" s="10">
        <v>1</v>
      </c>
      <c r="N863" s="10" t="s">
        <v>76</v>
      </c>
      <c r="O863" s="10">
        <v>0.158</v>
      </c>
      <c r="P863" s="10">
        <v>1.41E-2</v>
      </c>
      <c r="Q863" s="10">
        <v>10.1</v>
      </c>
      <c r="R863" s="10" t="s">
        <v>77</v>
      </c>
      <c r="S863" s="34">
        <f t="shared" si="95"/>
        <v>10.1</v>
      </c>
      <c r="T863" s="10" t="s">
        <v>1047</v>
      </c>
      <c r="U863" s="34" t="str">
        <f t="shared" si="96"/>
        <v/>
      </c>
      <c r="V863" s="31" t="str">
        <f>IF(H863="CHK",VLOOKUP(I863,QCCHK,3,),IF(H863="GUP",VLOOKUP(E863,QCGUP,2,),IF(AND(H863="ATP",OR(I863="TN",I863="TDN",I863="TNO2-3",I863="NO2-3")),VLOOKUP(E863,QCREC_N,2,),IF(AND(H863="NIC",OR(I863="TN",I863="TDN",I863="TNO2-3",I863="NO2-3")),VLOOKUP(E863,QCNIC_N,2,),IF(AND(H863="UREA",OR(I863="TN",I863="TDN",I863="TNO2-3",I863="NO2-3")),VLOOKUP(E863,QCUREA_N,2,),IF(H863="PER",VLOOKUP(I863,QCPER,MATCH(E863,QCACTUAL!$J$25:$AA$25,0),),IF(H863="SPK",VLOOKUP(I863,QCSPK,3,),IF(AND(H863="ATP",OR(I863="TP",I863="TDP")),VLOOKUP(E863,QCATP_P,2,),""))))))))</f>
        <v/>
      </c>
      <c r="W863" s="31" t="str">
        <f t="shared" si="97"/>
        <v>TRUE</v>
      </c>
      <c r="X863" s="31" t="str">
        <f t="shared" si="98"/>
        <v/>
      </c>
      <c r="Y863" s="10" t="s">
        <v>1040</v>
      </c>
      <c r="Z863" s="10" t="s">
        <v>910</v>
      </c>
      <c r="AL863" s="10" t="str">
        <f t="shared" si="93"/>
        <v>FALSE</v>
      </c>
      <c r="AM863" s="10" t="str">
        <f t="shared" si="93"/>
        <v>FALSE</v>
      </c>
      <c r="AN863" s="10" t="str">
        <f t="shared" si="93"/>
        <v>FALSE</v>
      </c>
      <c r="AO863" s="10" t="str">
        <f t="shared" si="94"/>
        <v>FALSE</v>
      </c>
      <c r="AP863" s="10" t="str">
        <f t="shared" si="94"/>
        <v>FALSE</v>
      </c>
      <c r="AQ863" s="10" t="b">
        <f>IF(AND(I863="TP",S863&lt;=150),VLOOKUP(AF863,TPCalibEq150!$AZ$2:$BB$55,3,),IF(AND(I863="TDP",S863&lt;=150),VLOOKUP(AF863,TPCalibEq150!$AZ$2:$BB$55,3,)))</f>
        <v>0</v>
      </c>
      <c r="AR863" s="10" t="b">
        <f>IF(AND(I863="TP",S863&lt;=300),VLOOKUP(AF863,TPCalibEq300!$AZ$2:$BB$55,3,),IF(AND(I863="TDP",S863&lt;=300),VLOOKUP(AF863,TPCalibEq300!$AZ$2:$BB$55,3,)))</f>
        <v>0</v>
      </c>
      <c r="AS863" s="10" t="b">
        <f>IF(AND(I863="TP",S863&lt;=500),VLOOKUP(AF863,TPCalibEq500!$AZ$2:$BB$56,3,),IF(AND(I863="TDP",S863&lt;=500),VLOOKUP(AF863,TPCalibEq500!$AZ$2:$BB$56,3,)))</f>
        <v>0</v>
      </c>
      <c r="AT863" s="10" t="b">
        <f>IF(AND(I863="TN",S863&lt;=2800),VLOOKUP(AF863,TNCalibEq2500!$AZ$2:$BB$56,3,),IF(AND(I863="TDN",S863&lt;=2800),VLOOKUP(AF863,TNCalibEq2500!$AZ$2:$BB$56,3,)))</f>
        <v>0</v>
      </c>
      <c r="AU863" s="10" t="b">
        <f>IF(I863="TP",VLOOKUP(AF863,TPCalibEqFull!$AZ$2:$BB$56,3),IF(I863="TDP",VLOOKUP(AF863,TPCalibEqFull!$AZ$2:$BB$56,3),IF(I863="TDN",VLOOKUP(AF863,TNCalibEqFull!$AZ$1:$BB$56,3),IF(I863="TN",VLOOKUP(AF863,TNCalibEqFull!$AZ$1:$BB$56,3),FALSE))))</f>
        <v>0</v>
      </c>
      <c r="AV863" s="10" t="str">
        <f t="shared" si="99"/>
        <v>0117 11:33:00-FVC-0-C-1-SW-UKN</v>
      </c>
    </row>
    <row r="864" spans="1:48" s="10" customFormat="1" x14ac:dyDescent="0.55000000000000004">
      <c r="A864" s="32">
        <v>44943</v>
      </c>
      <c r="B864" s="33">
        <v>0.48125000000000001</v>
      </c>
      <c r="C864" s="10" t="s">
        <v>613</v>
      </c>
      <c r="D864" s="10">
        <v>0</v>
      </c>
      <c r="E864" s="10" t="s">
        <v>190</v>
      </c>
      <c r="F864" s="10">
        <v>2</v>
      </c>
      <c r="G864" s="10" t="s">
        <v>231</v>
      </c>
      <c r="H864" s="10" t="s">
        <v>322</v>
      </c>
      <c r="I864" s="10" t="s">
        <v>75</v>
      </c>
      <c r="J864" s="10">
        <v>24</v>
      </c>
      <c r="K864" s="12">
        <v>44950</v>
      </c>
      <c r="L864" s="33">
        <v>0.48820601851851847</v>
      </c>
      <c r="M864" s="10">
        <v>1</v>
      </c>
      <c r="N864" s="10" t="s">
        <v>76</v>
      </c>
      <c r="O864" s="10">
        <v>0.184</v>
      </c>
      <c r="P864" s="10">
        <v>1.52E-2</v>
      </c>
      <c r="Q864" s="10">
        <v>11.8</v>
      </c>
      <c r="R864" s="10" t="s">
        <v>77</v>
      </c>
      <c r="S864" s="34">
        <f t="shared" si="95"/>
        <v>11.8</v>
      </c>
      <c r="T864" s="10" t="s">
        <v>1047</v>
      </c>
      <c r="U864" s="34" t="str">
        <f t="shared" si="96"/>
        <v/>
      </c>
      <c r="V864" s="31" t="str">
        <f>IF(H864="CHK",VLOOKUP(I864,QCCHK,3,),IF(H864="GUP",VLOOKUP(E864,QCGUP,2,),IF(AND(H864="ATP",OR(I864="TN",I864="TDN",I864="TNO2-3",I864="NO2-3")),VLOOKUP(E864,QCREC_N,2,),IF(AND(H864="NIC",OR(I864="TN",I864="TDN",I864="TNO2-3",I864="NO2-3")),VLOOKUP(E864,QCNIC_N,2,),IF(AND(H864="UREA",OR(I864="TN",I864="TDN",I864="TNO2-3",I864="NO2-3")),VLOOKUP(E864,QCUREA_N,2,),IF(H864="PER",VLOOKUP(I864,QCPER,MATCH(E864,QCACTUAL!$J$25:$AA$25,0),),IF(H864="SPK",VLOOKUP(I864,QCSPK,3,),IF(AND(H864="ATP",OR(I864="TP",I864="TDP")),VLOOKUP(E864,QCATP_P,2,),""))))))))</f>
        <v/>
      </c>
      <c r="W864" s="31" t="str">
        <f t="shared" si="97"/>
        <v>TRUE</v>
      </c>
      <c r="X864" s="31" t="str">
        <f t="shared" si="98"/>
        <v/>
      </c>
      <c r="Y864" s="10" t="s">
        <v>1040</v>
      </c>
      <c r="Z864" s="10" t="s">
        <v>910</v>
      </c>
      <c r="AL864" s="10" t="str">
        <f t="shared" si="93"/>
        <v>FALSE</v>
      </c>
      <c r="AM864" s="10" t="str">
        <f t="shared" si="93"/>
        <v>FALSE</v>
      </c>
      <c r="AN864" s="10" t="str">
        <f t="shared" si="93"/>
        <v>FALSE</v>
      </c>
      <c r="AO864" s="10" t="str">
        <f t="shared" si="94"/>
        <v>FALSE</v>
      </c>
      <c r="AP864" s="10" t="str">
        <f t="shared" si="94"/>
        <v>FALSE</v>
      </c>
      <c r="AQ864" s="10" t="b">
        <f>IF(AND(I864="TP",S864&lt;=150),VLOOKUP(AF864,TPCalibEq150!$AZ$2:$BB$55,3,),IF(AND(I864="TDP",S864&lt;=150),VLOOKUP(AF864,TPCalibEq150!$AZ$2:$BB$55,3,)))</f>
        <v>0</v>
      </c>
      <c r="AR864" s="10" t="b">
        <f>IF(AND(I864="TP",S864&lt;=300),VLOOKUP(AF864,TPCalibEq300!$AZ$2:$BB$55,3,),IF(AND(I864="TDP",S864&lt;=300),VLOOKUP(AF864,TPCalibEq300!$AZ$2:$BB$55,3,)))</f>
        <v>0</v>
      </c>
      <c r="AS864" s="10" t="b">
        <f>IF(AND(I864="TP",S864&lt;=500),VLOOKUP(AF864,TPCalibEq500!$AZ$2:$BB$56,3,),IF(AND(I864="TDP",S864&lt;=500),VLOOKUP(AF864,TPCalibEq500!$AZ$2:$BB$56,3,)))</f>
        <v>0</v>
      </c>
      <c r="AT864" s="10" t="b">
        <f>IF(AND(I864="TN",S864&lt;=2800),VLOOKUP(AF864,TNCalibEq2500!$AZ$2:$BB$56,3,),IF(AND(I864="TDN",S864&lt;=2800),VLOOKUP(AF864,TNCalibEq2500!$AZ$2:$BB$56,3,)))</f>
        <v>0</v>
      </c>
      <c r="AU864" s="10" t="b">
        <f>IF(I864="TP",VLOOKUP(AF864,TPCalibEqFull!$AZ$2:$BB$56,3),IF(I864="TDP",VLOOKUP(AF864,TPCalibEqFull!$AZ$2:$BB$56,3),IF(I864="TDN",VLOOKUP(AF864,TNCalibEqFull!$AZ$1:$BB$56,3),IF(I864="TN",VLOOKUP(AF864,TNCalibEqFull!$AZ$1:$BB$56,3),FALSE))))</f>
        <v>0</v>
      </c>
      <c r="AV864" s="10" t="str">
        <f t="shared" si="99"/>
        <v>0117 11:33:00-FVC-0-C-2-SW-UKN</v>
      </c>
    </row>
    <row r="865" spans="1:48" s="10" customFormat="1" x14ac:dyDescent="0.55000000000000004">
      <c r="A865" s="32">
        <v>44943</v>
      </c>
      <c r="B865" s="33">
        <v>0.48125000000000001</v>
      </c>
      <c r="C865" s="10" t="s">
        <v>613</v>
      </c>
      <c r="D865" s="10">
        <v>0</v>
      </c>
      <c r="E865" s="10" t="s">
        <v>190</v>
      </c>
      <c r="F865" s="10">
        <v>2</v>
      </c>
      <c r="G865" s="10" t="s">
        <v>231</v>
      </c>
      <c r="H865" s="10" t="s">
        <v>233</v>
      </c>
      <c r="I865" s="10" t="s">
        <v>75</v>
      </c>
      <c r="J865" s="10">
        <v>24</v>
      </c>
      <c r="K865" s="12">
        <v>44950</v>
      </c>
      <c r="L865" s="33">
        <v>0.48901620370370374</v>
      </c>
      <c r="M865" s="10">
        <v>1</v>
      </c>
      <c r="N865" s="10" t="s">
        <v>76</v>
      </c>
      <c r="O865" s="10">
        <v>0.154</v>
      </c>
      <c r="P865" s="10">
        <v>1.41E-2</v>
      </c>
      <c r="Q865" s="10">
        <v>9.92</v>
      </c>
      <c r="R865" s="10" t="s">
        <v>77</v>
      </c>
      <c r="S865" s="34">
        <f t="shared" si="95"/>
        <v>9.92</v>
      </c>
      <c r="T865" s="10" t="s">
        <v>1047</v>
      </c>
      <c r="U865" s="34">
        <f t="shared" si="96"/>
        <v>17.311233885819529</v>
      </c>
      <c r="V865" s="31" t="str">
        <f>IF(H865="CHK",VLOOKUP(I865,QCCHK,3,),IF(H865="GUP",VLOOKUP(E865,QCGUP,2,),IF(AND(H865="ATP",OR(I865="TN",I865="TDN",I865="TNO2-3",I865="NO2-3")),VLOOKUP(E865,QCREC_N,2,),IF(AND(H865="NIC",OR(I865="TN",I865="TDN",I865="TNO2-3",I865="NO2-3")),VLOOKUP(E865,QCNIC_N,2,),IF(AND(H865="UREA",OR(I865="TN",I865="TDN",I865="TNO2-3",I865="NO2-3")),VLOOKUP(E865,QCUREA_N,2,),IF(H865="PER",VLOOKUP(I865,QCPER,MATCH(E865,QCACTUAL!$J$25:$AA$25,0),),IF(H865="SPK",VLOOKUP(I865,QCSPK,3,),IF(AND(H865="ATP",OR(I865="TP",I865="TDP")),VLOOKUP(E865,QCATP_P,2,),""))))))))</f>
        <v/>
      </c>
      <c r="W865" s="31" t="str">
        <f t="shared" si="97"/>
        <v>TRUE</v>
      </c>
      <c r="X865" s="31" t="str">
        <f t="shared" si="98"/>
        <v>((ABS(rep1-rep2))/((rep1+rep2)/2)*100</v>
      </c>
      <c r="Y865" s="10" t="s">
        <v>1040</v>
      </c>
      <c r="Z865" s="10" t="s">
        <v>910</v>
      </c>
      <c r="AL865" s="10" t="str">
        <f t="shared" si="93"/>
        <v>FALSE</v>
      </c>
      <c r="AM865" s="10" t="str">
        <f t="shared" si="93"/>
        <v>FALSE</v>
      </c>
      <c r="AN865" s="10" t="str">
        <f t="shared" si="93"/>
        <v>FALSE</v>
      </c>
      <c r="AO865" s="10" t="str">
        <f t="shared" si="94"/>
        <v>FALSE</v>
      </c>
      <c r="AP865" s="10" t="str">
        <f t="shared" si="94"/>
        <v>FALSE</v>
      </c>
      <c r="AQ865" s="10" t="b">
        <f>IF(AND(I865="TP",S865&lt;=150),VLOOKUP(AF865,TPCalibEq150!$AZ$2:$BB$55,3,),IF(AND(I865="TDP",S865&lt;=150),VLOOKUP(AF865,TPCalibEq150!$AZ$2:$BB$55,3,)))</f>
        <v>0</v>
      </c>
      <c r="AR865" s="10" t="b">
        <f>IF(AND(I865="TP",S865&lt;=300),VLOOKUP(AF865,TPCalibEq300!$AZ$2:$BB$55,3,),IF(AND(I865="TDP",S865&lt;=300),VLOOKUP(AF865,TPCalibEq300!$AZ$2:$BB$55,3,)))</f>
        <v>0</v>
      </c>
      <c r="AS865" s="10" t="b">
        <f>IF(AND(I865="TP",S865&lt;=500),VLOOKUP(AF865,TPCalibEq500!$AZ$2:$BB$56,3,),IF(AND(I865="TDP",S865&lt;=500),VLOOKUP(AF865,TPCalibEq500!$AZ$2:$BB$56,3,)))</f>
        <v>0</v>
      </c>
      <c r="AT865" s="10" t="b">
        <f>IF(AND(I865="TN",S865&lt;=2800),VLOOKUP(AF865,TNCalibEq2500!$AZ$2:$BB$56,3,),IF(AND(I865="TDN",S865&lt;=2800),VLOOKUP(AF865,TNCalibEq2500!$AZ$2:$BB$56,3,)))</f>
        <v>0</v>
      </c>
      <c r="AU865" s="10" t="b">
        <f>IF(I865="TP",VLOOKUP(AF865,TPCalibEqFull!$AZ$2:$BB$56,3),IF(I865="TDP",VLOOKUP(AF865,TPCalibEqFull!$AZ$2:$BB$56,3),IF(I865="TDN",VLOOKUP(AF865,TNCalibEqFull!$AZ$1:$BB$56,3),IF(I865="TN",VLOOKUP(AF865,TNCalibEqFull!$AZ$1:$BB$56,3),FALSE))))</f>
        <v>0</v>
      </c>
      <c r="AV865" s="10" t="str">
        <f t="shared" si="99"/>
        <v>0117 11:33:00-FVC-0-C-2-SW-DUP</v>
      </c>
    </row>
    <row r="866" spans="1:48" s="10" customFormat="1" x14ac:dyDescent="0.55000000000000004">
      <c r="A866" s="32">
        <v>44943</v>
      </c>
      <c r="B866" s="33">
        <v>0.48125000000000001</v>
      </c>
      <c r="C866" s="10" t="s">
        <v>613</v>
      </c>
      <c r="D866" s="10">
        <v>0</v>
      </c>
      <c r="E866" s="10" t="s">
        <v>190</v>
      </c>
      <c r="F866" s="10">
        <v>2</v>
      </c>
      <c r="G866" s="10" t="s">
        <v>231</v>
      </c>
      <c r="H866" s="10" t="s">
        <v>314</v>
      </c>
      <c r="I866" s="10" t="s">
        <v>75</v>
      </c>
      <c r="J866" s="10">
        <v>58</v>
      </c>
      <c r="K866" s="12">
        <v>44950</v>
      </c>
      <c r="L866" s="33">
        <v>0.48982638888888891</v>
      </c>
      <c r="M866" s="10">
        <v>1</v>
      </c>
      <c r="N866" s="10" t="s">
        <v>76</v>
      </c>
      <c r="O866" s="10">
        <v>9.83</v>
      </c>
      <c r="P866" s="10">
        <v>0.96199999999999997</v>
      </c>
      <c r="Q866" s="10">
        <v>637</v>
      </c>
      <c r="R866" s="10" t="s">
        <v>77</v>
      </c>
      <c r="S866" s="34">
        <f t="shared" si="95"/>
        <v>637</v>
      </c>
      <c r="T866" s="10" t="s">
        <v>1047</v>
      </c>
      <c r="U866" s="34">
        <f t="shared" si="96"/>
        <v>100.33280000000001</v>
      </c>
      <c r="V866" s="31">
        <f>IF(H866="CHK",VLOOKUP(I866,QCCHK,3,),IF(H866="GUP",VLOOKUP(E866,QCGUP,2,),IF(AND(H866="ATP",OR(I866="TN",I866="TDN",I866="TNO2-3",I866="NO2-3")),VLOOKUP(E866,QCREC_N,2,),IF(AND(H866="NIC",OR(I866="TN",I866="TDN",I866="TNO2-3",I866="NO2-3")),VLOOKUP(E866,QCNIC_N,2,),IF(AND(H866="UREA",OR(I866="TN",I866="TDN",I866="TNO2-3",I866="NO2-3")),VLOOKUP(E866,QCUREA_N,2,),IF(H866="PER",VLOOKUP(I866,QCPER,MATCH(E866,QCACTUAL!$J$25:$AA$25,0),),IF(H866="SPK",VLOOKUP(I866,QCSPK,3,),IF(AND(H866="ATP",OR(I866="TP",I866="TDP")),VLOOKUP(E866,QCATP_P,2,),""))))))))</f>
        <v>625</v>
      </c>
      <c r="W866" s="31" t="str">
        <f t="shared" si="97"/>
        <v>TRUE</v>
      </c>
      <c r="X866" s="31" t="str">
        <f t="shared" si="98"/>
        <v>([spikedunkn]-[unkn])/[spike]*100</v>
      </c>
      <c r="Y866" s="10" t="s">
        <v>1040</v>
      </c>
      <c r="Z866" s="10" t="s">
        <v>910</v>
      </c>
      <c r="AL866" s="10" t="str">
        <f t="shared" si="93"/>
        <v>FALSE</v>
      </c>
      <c r="AM866" s="10" t="str">
        <f t="shared" si="93"/>
        <v>FALSE</v>
      </c>
      <c r="AN866" s="10" t="str">
        <f t="shared" si="93"/>
        <v>FALSE</v>
      </c>
      <c r="AO866" s="10" t="str">
        <f t="shared" si="94"/>
        <v>FALSE</v>
      </c>
      <c r="AP866" s="10" t="str">
        <f t="shared" si="94"/>
        <v>FALSE</v>
      </c>
      <c r="AQ866" s="10" t="b">
        <f>IF(AND(I866="TP",S866&lt;=150),VLOOKUP(AF866,TPCalibEq150!$AZ$2:$BB$55,3,),IF(AND(I866="TDP",S866&lt;=150),VLOOKUP(AF866,TPCalibEq150!$AZ$2:$BB$55,3,)))</f>
        <v>0</v>
      </c>
      <c r="AR866" s="10" t="b">
        <f>IF(AND(I866="TP",S866&lt;=300),VLOOKUP(AF866,TPCalibEq300!$AZ$2:$BB$55,3,),IF(AND(I866="TDP",S866&lt;=300),VLOOKUP(AF866,TPCalibEq300!$AZ$2:$BB$55,3,)))</f>
        <v>0</v>
      </c>
      <c r="AS866" s="10" t="b">
        <f>IF(AND(I866="TP",S866&lt;=500),VLOOKUP(AF866,TPCalibEq500!$AZ$2:$BB$56,3,),IF(AND(I866="TDP",S866&lt;=500),VLOOKUP(AF866,TPCalibEq500!$AZ$2:$BB$56,3,)))</f>
        <v>0</v>
      </c>
      <c r="AT866" s="10" t="b">
        <f>IF(AND(I866="TN",S866&lt;=2800),VLOOKUP(AF866,TNCalibEq2500!$AZ$2:$BB$56,3,),IF(AND(I866="TDN",S866&lt;=2800),VLOOKUP(AF866,TNCalibEq2500!$AZ$2:$BB$56,3,)))</f>
        <v>0</v>
      </c>
      <c r="AU866" s="10" t="b">
        <f>IF(I866="TP",VLOOKUP(AF866,TPCalibEqFull!$AZ$2:$BB$56,3),IF(I866="TDP",VLOOKUP(AF866,TPCalibEqFull!$AZ$2:$BB$56,3),IF(I866="TDN",VLOOKUP(AF866,TNCalibEqFull!$AZ$1:$BB$56,3),IF(I866="TN",VLOOKUP(AF866,TNCalibEqFull!$AZ$1:$BB$56,3),FALSE))))</f>
        <v>0</v>
      </c>
      <c r="AV866" s="10" t="str">
        <f t="shared" si="99"/>
        <v>0117 11:33:00-FVC-0-C-2-SW-SPK</v>
      </c>
    </row>
    <row r="867" spans="1:48" s="10" customFormat="1" x14ac:dyDescent="0.55000000000000004">
      <c r="A867" s="32">
        <v>44950</v>
      </c>
      <c r="B867" s="33">
        <v>0.375</v>
      </c>
      <c r="C867" s="10" t="s">
        <v>70</v>
      </c>
      <c r="D867" s="10" t="s">
        <v>71</v>
      </c>
      <c r="E867" s="10" t="s">
        <v>901</v>
      </c>
      <c r="F867" s="10">
        <v>1</v>
      </c>
      <c r="G867" s="10" t="s">
        <v>73</v>
      </c>
      <c r="H867" s="10" t="s">
        <v>207</v>
      </c>
      <c r="I867" s="10" t="s">
        <v>75</v>
      </c>
      <c r="J867" s="10">
        <v>199</v>
      </c>
      <c r="K867" s="12">
        <v>44950</v>
      </c>
      <c r="L867" s="33">
        <v>0.49064814814814817</v>
      </c>
      <c r="M867" s="10">
        <v>1</v>
      </c>
      <c r="N867" s="10" t="s">
        <v>76</v>
      </c>
      <c r="O867" s="10">
        <v>4.63</v>
      </c>
      <c r="P867" s="10">
        <v>0.45300000000000001</v>
      </c>
      <c r="Q867" s="10">
        <v>298</v>
      </c>
      <c r="R867" s="10" t="s">
        <v>77</v>
      </c>
      <c r="S867" s="34">
        <f t="shared" si="95"/>
        <v>298</v>
      </c>
      <c r="T867" s="10" t="s">
        <v>1047</v>
      </c>
      <c r="U867" s="34">
        <f t="shared" si="96"/>
        <v>99.333333333333329</v>
      </c>
      <c r="V867" s="31">
        <f>IF(H867="CHK",VLOOKUP(I867,QCCHK,3,),IF(H867="GUP",VLOOKUP(E867,QCGUP,2,),IF(AND(H867="ATP",OR(I867="TN",I867="TDN",I867="TNO2-3",I867="NO2-3")),VLOOKUP(E867,QCREC_N,2,),IF(AND(H867="NIC",OR(I867="TN",I867="TDN",I867="TNO2-3",I867="NO2-3")),VLOOKUP(E867,QCNIC_N,2,),IF(AND(H867="UREA",OR(I867="TN",I867="TDN",I867="TNO2-3",I867="NO2-3")),VLOOKUP(E867,QCUREA_N,2,),IF(H867="PER",VLOOKUP(I867,QCPER,MATCH(E867,QCACTUAL!$J$25:$AA$25,0),),IF(H867="SPK",VLOOKUP(I867,QCSPK,3,),IF(AND(H867="ATP",OR(I867="TP",I867="TDP")),VLOOKUP(E867,QCATP_P,2,),""))))))))</f>
        <v>300</v>
      </c>
      <c r="W867" s="31" t="str">
        <f t="shared" si="97"/>
        <v>TRUE</v>
      </c>
      <c r="X867" s="31" t="str">
        <f t="shared" si="98"/>
        <v>[chk]/[actual]*100</v>
      </c>
      <c r="Y867" s="10" t="s">
        <v>1040</v>
      </c>
      <c r="AL867" s="10" t="str">
        <f t="shared" si="93"/>
        <v>FALSE</v>
      </c>
      <c r="AM867" s="10" t="str">
        <f t="shared" si="93"/>
        <v>FALSE</v>
      </c>
      <c r="AN867" s="10" t="str">
        <f t="shared" si="93"/>
        <v>FALSE</v>
      </c>
      <c r="AO867" s="10" t="str">
        <f t="shared" si="94"/>
        <v>FALSE</v>
      </c>
      <c r="AP867" s="10" t="str">
        <f t="shared" si="94"/>
        <v>FALSE</v>
      </c>
      <c r="AQ867" s="10" t="b">
        <f>IF(AND(I867="TP",S867&lt;=150),VLOOKUP(AF867,TPCalibEq150!$AZ$2:$BB$55,3,),IF(AND(I867="TDP",S867&lt;=150),VLOOKUP(AF867,TPCalibEq150!$AZ$2:$BB$55,3,)))</f>
        <v>0</v>
      </c>
      <c r="AR867" s="10" t="b">
        <f>IF(AND(I867="TP",S867&lt;=300),VLOOKUP(AF867,TPCalibEq300!$AZ$2:$BB$55,3,),IF(AND(I867="TDP",S867&lt;=300),VLOOKUP(AF867,TPCalibEq300!$AZ$2:$BB$55,3,)))</f>
        <v>0</v>
      </c>
      <c r="AS867" s="10" t="b">
        <f>IF(AND(I867="TP",S867&lt;=500),VLOOKUP(AF867,TPCalibEq500!$AZ$2:$BB$56,3,),IF(AND(I867="TDP",S867&lt;=500),VLOOKUP(AF867,TPCalibEq500!$AZ$2:$BB$56,3,)))</f>
        <v>0</v>
      </c>
      <c r="AT867" s="10" t="b">
        <f>IF(AND(I867="TN",S867&lt;=2800),VLOOKUP(AF867,TNCalibEq2500!$AZ$2:$BB$56,3,),IF(AND(I867="TDN",S867&lt;=2800),VLOOKUP(AF867,TNCalibEq2500!$AZ$2:$BB$56,3,)))</f>
        <v>0</v>
      </c>
      <c r="AU867" s="10" t="b">
        <f>IF(I867="TP",VLOOKUP(AF867,TPCalibEqFull!$AZ$2:$BB$56,3),IF(I867="TDP",VLOOKUP(AF867,TPCalibEqFull!$AZ$2:$BB$56,3),IF(I867="TDN",VLOOKUP(AF867,TNCalibEqFull!$AZ$1:$BB$56,3),IF(I867="TN",VLOOKUP(AF867,TNCalibEqFull!$AZ$1:$BB$56,3),FALSE))))</f>
        <v>0</v>
      </c>
      <c r="AV867" s="10" t="str">
        <f t="shared" si="99"/>
        <v>0124 09:00:00-QAC-STD-D-1-DI-CHK</v>
      </c>
    </row>
    <row r="868" spans="1:48" s="10" customFormat="1" x14ac:dyDescent="0.55000000000000004">
      <c r="A868" s="32">
        <v>44943</v>
      </c>
      <c r="B868" s="33">
        <v>0.48888888888888887</v>
      </c>
      <c r="C868" s="10" t="s">
        <v>250</v>
      </c>
      <c r="D868" s="10">
        <v>0</v>
      </c>
      <c r="E868" s="10" t="s">
        <v>190</v>
      </c>
      <c r="F868" s="10">
        <v>1</v>
      </c>
      <c r="G868" s="10" t="s">
        <v>231</v>
      </c>
      <c r="H868" s="10" t="s">
        <v>322</v>
      </c>
      <c r="I868" s="10" t="s">
        <v>75</v>
      </c>
      <c r="J868" s="10">
        <v>25</v>
      </c>
      <c r="K868" s="12">
        <v>44950</v>
      </c>
      <c r="L868" s="33">
        <v>0.49146990740740742</v>
      </c>
      <c r="M868" s="10">
        <v>1</v>
      </c>
      <c r="N868" s="10" t="s">
        <v>76</v>
      </c>
      <c r="O868" s="10">
        <v>0.81200000000000006</v>
      </c>
      <c r="P868" s="10">
        <v>7.7700000000000005E-2</v>
      </c>
      <c r="Q868" s="10">
        <v>52.2</v>
      </c>
      <c r="R868" s="10" t="s">
        <v>77</v>
      </c>
      <c r="S868" s="34">
        <f t="shared" si="95"/>
        <v>52.2</v>
      </c>
      <c r="T868" s="10" t="s">
        <v>1047</v>
      </c>
      <c r="U868" s="34" t="str">
        <f t="shared" si="96"/>
        <v/>
      </c>
      <c r="V868" s="31" t="str">
        <f>IF(H868="CHK",VLOOKUP(I868,QCCHK,3,),IF(H868="GUP",VLOOKUP(E868,QCGUP,2,),IF(AND(H868="ATP",OR(I868="TN",I868="TDN",I868="TNO2-3",I868="NO2-3")),VLOOKUP(E868,QCREC_N,2,),IF(AND(H868="NIC",OR(I868="TN",I868="TDN",I868="TNO2-3",I868="NO2-3")),VLOOKUP(E868,QCNIC_N,2,),IF(AND(H868="UREA",OR(I868="TN",I868="TDN",I868="TNO2-3",I868="NO2-3")),VLOOKUP(E868,QCUREA_N,2,),IF(H868="PER",VLOOKUP(I868,QCPER,MATCH(E868,QCACTUAL!$J$25:$AA$25,0),),IF(H868="SPK",VLOOKUP(I868,QCSPK,3,),IF(AND(H868="ATP",OR(I868="TP",I868="TDP")),VLOOKUP(E868,QCATP_P,2,),""))))))))</f>
        <v/>
      </c>
      <c r="W868" s="31" t="str">
        <f t="shared" si="97"/>
        <v>TRUE</v>
      </c>
      <c r="X868" s="31" t="str">
        <f t="shared" si="98"/>
        <v/>
      </c>
      <c r="Y868" s="10" t="s">
        <v>1040</v>
      </c>
      <c r="Z868" s="10" t="s">
        <v>910</v>
      </c>
      <c r="AL868" s="10" t="str">
        <f t="shared" si="93"/>
        <v>FALSE</v>
      </c>
      <c r="AM868" s="10" t="str">
        <f t="shared" si="93"/>
        <v>FALSE</v>
      </c>
      <c r="AN868" s="10" t="str">
        <f t="shared" si="93"/>
        <v>FALSE</v>
      </c>
      <c r="AO868" s="10" t="str">
        <f t="shared" si="94"/>
        <v>FALSE</v>
      </c>
      <c r="AP868" s="10" t="str">
        <f t="shared" si="94"/>
        <v>FALSE</v>
      </c>
      <c r="AQ868" s="10" t="b">
        <f>IF(AND(I868="TP",S868&lt;=150),VLOOKUP(AF868,TPCalibEq150!$AZ$2:$BB$55,3,),IF(AND(I868="TDP",S868&lt;=150),VLOOKUP(AF868,TPCalibEq150!$AZ$2:$BB$55,3,)))</f>
        <v>0</v>
      </c>
      <c r="AR868" s="10" t="b">
        <f>IF(AND(I868="TP",S868&lt;=300),VLOOKUP(AF868,TPCalibEq300!$AZ$2:$BB$55,3,),IF(AND(I868="TDP",S868&lt;=300),VLOOKUP(AF868,TPCalibEq300!$AZ$2:$BB$55,3,)))</f>
        <v>0</v>
      </c>
      <c r="AS868" s="10" t="b">
        <f>IF(AND(I868="TP",S868&lt;=500),VLOOKUP(AF868,TPCalibEq500!$AZ$2:$BB$56,3,),IF(AND(I868="TDP",S868&lt;=500),VLOOKUP(AF868,TPCalibEq500!$AZ$2:$BB$56,3,)))</f>
        <v>0</v>
      </c>
      <c r="AT868" s="10" t="b">
        <f>IF(AND(I868="TN",S868&lt;=2800),VLOOKUP(AF868,TNCalibEq2500!$AZ$2:$BB$56,3,),IF(AND(I868="TDN",S868&lt;=2800),VLOOKUP(AF868,TNCalibEq2500!$AZ$2:$BB$56,3,)))</f>
        <v>0</v>
      </c>
      <c r="AU868" s="10" t="b">
        <f>IF(I868="TP",VLOOKUP(AF868,TPCalibEqFull!$AZ$2:$BB$56,3),IF(I868="TDP",VLOOKUP(AF868,TPCalibEqFull!$AZ$2:$BB$56,3),IF(I868="TDN",VLOOKUP(AF868,TNCalibEqFull!$AZ$1:$BB$56,3),IF(I868="TN",VLOOKUP(AF868,TNCalibEqFull!$AZ$1:$BB$56,3),FALSE))))</f>
        <v>0</v>
      </c>
      <c r="AV868" s="10" t="str">
        <f t="shared" si="99"/>
        <v>0117 11:44:00-EFB-0-C-1-SW-UKN</v>
      </c>
    </row>
    <row r="869" spans="1:48" s="10" customFormat="1" x14ac:dyDescent="0.55000000000000004">
      <c r="A869" s="32">
        <v>44943</v>
      </c>
      <c r="B869" s="33">
        <v>0.49791666666666662</v>
      </c>
      <c r="C869" s="10" t="s">
        <v>326</v>
      </c>
      <c r="D869" s="10">
        <v>0</v>
      </c>
      <c r="E869" s="10" t="s">
        <v>190</v>
      </c>
      <c r="F869" s="10">
        <v>1</v>
      </c>
      <c r="G869" s="10" t="s">
        <v>231</v>
      </c>
      <c r="H869" s="10" t="s">
        <v>322</v>
      </c>
      <c r="I869" s="10" t="s">
        <v>75</v>
      </c>
      <c r="J869" s="10">
        <v>26</v>
      </c>
      <c r="K869" s="12">
        <v>44950</v>
      </c>
      <c r="L869" s="33">
        <v>0.49226851851851849</v>
      </c>
      <c r="M869" s="10">
        <v>1</v>
      </c>
      <c r="N869" s="10" t="s">
        <v>76</v>
      </c>
      <c r="O869" s="10">
        <v>0.26600000000000001</v>
      </c>
      <c r="P869" s="10">
        <v>2.4400000000000002E-2</v>
      </c>
      <c r="Q869" s="10">
        <v>17.100000000000001</v>
      </c>
      <c r="R869" s="10" t="s">
        <v>77</v>
      </c>
      <c r="S869" s="34">
        <f t="shared" si="95"/>
        <v>17.100000000000001</v>
      </c>
      <c r="T869" s="10" t="s">
        <v>1047</v>
      </c>
      <c r="U869" s="34" t="str">
        <f t="shared" si="96"/>
        <v/>
      </c>
      <c r="V869" s="31" t="str">
        <f>IF(H869="CHK",VLOOKUP(I869,QCCHK,3,),IF(H869="GUP",VLOOKUP(E869,QCGUP,2,),IF(AND(H869="ATP",OR(I869="TN",I869="TDN",I869="TNO2-3",I869="NO2-3")),VLOOKUP(E869,QCREC_N,2,),IF(AND(H869="NIC",OR(I869="TN",I869="TDN",I869="TNO2-3",I869="NO2-3")),VLOOKUP(E869,QCNIC_N,2,),IF(AND(H869="UREA",OR(I869="TN",I869="TDN",I869="TNO2-3",I869="NO2-3")),VLOOKUP(E869,QCUREA_N,2,),IF(H869="PER",VLOOKUP(I869,QCPER,MATCH(E869,QCACTUAL!$J$25:$AA$25,0),),IF(H869="SPK",VLOOKUP(I869,QCSPK,3,),IF(AND(H869="ATP",OR(I869="TP",I869="TDP")),VLOOKUP(E869,QCATP_P,2,),""))))))))</f>
        <v/>
      </c>
      <c r="W869" s="31" t="str">
        <f t="shared" si="97"/>
        <v>TRUE</v>
      </c>
      <c r="X869" s="31" t="str">
        <f t="shared" si="98"/>
        <v/>
      </c>
      <c r="Y869" s="10" t="s">
        <v>1040</v>
      </c>
      <c r="Z869" s="10" t="s">
        <v>910</v>
      </c>
      <c r="AL869" s="10" t="str">
        <f t="shared" si="93"/>
        <v>FALSE</v>
      </c>
      <c r="AM869" s="10" t="str">
        <f t="shared" si="93"/>
        <v>FALSE</v>
      </c>
      <c r="AN869" s="10" t="str">
        <f t="shared" si="93"/>
        <v>FALSE</v>
      </c>
      <c r="AO869" s="10" t="str">
        <f t="shared" si="94"/>
        <v>FALSE</v>
      </c>
      <c r="AP869" s="10" t="str">
        <f t="shared" si="94"/>
        <v>FALSE</v>
      </c>
      <c r="AQ869" s="10" t="b">
        <f>IF(AND(I869="TP",S869&lt;=150),VLOOKUP(AF869,TPCalibEq150!$AZ$2:$BB$55,3,),IF(AND(I869="TDP",S869&lt;=150),VLOOKUP(AF869,TPCalibEq150!$AZ$2:$BB$55,3,)))</f>
        <v>0</v>
      </c>
      <c r="AR869" s="10" t="b">
        <f>IF(AND(I869="TP",S869&lt;=300),VLOOKUP(AF869,TPCalibEq300!$AZ$2:$BB$55,3,),IF(AND(I869="TDP",S869&lt;=300),VLOOKUP(AF869,TPCalibEq300!$AZ$2:$BB$55,3,)))</f>
        <v>0</v>
      </c>
      <c r="AS869" s="10" t="b">
        <f>IF(AND(I869="TP",S869&lt;=500),VLOOKUP(AF869,TPCalibEq500!$AZ$2:$BB$56,3,),IF(AND(I869="TDP",S869&lt;=500),VLOOKUP(AF869,TPCalibEq500!$AZ$2:$BB$56,3,)))</f>
        <v>0</v>
      </c>
      <c r="AT869" s="10" t="b">
        <f>IF(AND(I869="TN",S869&lt;=2800),VLOOKUP(AF869,TNCalibEq2500!$AZ$2:$BB$56,3,),IF(AND(I869="TDN",S869&lt;=2800),VLOOKUP(AF869,TNCalibEq2500!$AZ$2:$BB$56,3,)))</f>
        <v>0</v>
      </c>
      <c r="AU869" s="10" t="b">
        <f>IF(I869="TP",VLOOKUP(AF869,TPCalibEqFull!$AZ$2:$BB$56,3),IF(I869="TDP",VLOOKUP(AF869,TPCalibEqFull!$AZ$2:$BB$56,3),IF(I869="TDN",VLOOKUP(AF869,TNCalibEqFull!$AZ$1:$BB$56,3),IF(I869="TN",VLOOKUP(AF869,TNCalibEqFull!$AZ$1:$BB$56,3),FALSE))))</f>
        <v>0</v>
      </c>
      <c r="AV869" s="10" t="str">
        <f t="shared" si="99"/>
        <v>0117 11:57:00-GRR-0-C-1-SW-UKN</v>
      </c>
    </row>
    <row r="870" spans="1:48" s="10" customFormat="1" x14ac:dyDescent="0.55000000000000004">
      <c r="A870" s="32">
        <v>44943</v>
      </c>
      <c r="B870" s="33">
        <v>0.50763888888888886</v>
      </c>
      <c r="C870" s="10" t="s">
        <v>416</v>
      </c>
      <c r="D870" s="10">
        <v>0</v>
      </c>
      <c r="E870" s="10" t="s">
        <v>190</v>
      </c>
      <c r="F870" s="10">
        <v>1</v>
      </c>
      <c r="G870" s="10" t="s">
        <v>231</v>
      </c>
      <c r="H870" s="10" t="s">
        <v>322</v>
      </c>
      <c r="I870" s="10" t="s">
        <v>75</v>
      </c>
      <c r="J870" s="10">
        <v>27</v>
      </c>
      <c r="K870" s="12">
        <v>44950</v>
      </c>
      <c r="L870" s="33">
        <v>0.49309027777777775</v>
      </c>
      <c r="M870" s="10">
        <v>1</v>
      </c>
      <c r="N870" s="10" t="s">
        <v>76</v>
      </c>
      <c r="O870" s="10">
        <v>1.06</v>
      </c>
      <c r="P870" s="10">
        <v>9.8599999999999993E-2</v>
      </c>
      <c r="Q870" s="10">
        <v>68.2</v>
      </c>
      <c r="R870" s="10" t="s">
        <v>77</v>
      </c>
      <c r="S870" s="34">
        <f t="shared" si="95"/>
        <v>68.2</v>
      </c>
      <c r="T870" s="10" t="s">
        <v>1047</v>
      </c>
      <c r="U870" s="34" t="str">
        <f t="shared" si="96"/>
        <v/>
      </c>
      <c r="V870" s="31" t="str">
        <f>IF(H870="CHK",VLOOKUP(I870,QCCHK,3,),IF(H870="GUP",VLOOKUP(E870,QCGUP,2,),IF(AND(H870="ATP",OR(I870="TN",I870="TDN",I870="TNO2-3",I870="NO2-3")),VLOOKUP(E870,QCREC_N,2,),IF(AND(H870="NIC",OR(I870="TN",I870="TDN",I870="TNO2-3",I870="NO2-3")),VLOOKUP(E870,QCNIC_N,2,),IF(AND(H870="UREA",OR(I870="TN",I870="TDN",I870="TNO2-3",I870="NO2-3")),VLOOKUP(E870,QCUREA_N,2,),IF(H870="PER",VLOOKUP(I870,QCPER,MATCH(E870,QCACTUAL!$J$25:$AA$25,0),),IF(H870="SPK",VLOOKUP(I870,QCSPK,3,),IF(AND(H870="ATP",OR(I870="TP",I870="TDP")),VLOOKUP(E870,QCATP_P,2,),""))))))))</f>
        <v/>
      </c>
      <c r="W870" s="31" t="str">
        <f t="shared" si="97"/>
        <v>TRUE</v>
      </c>
      <c r="X870" s="31" t="str">
        <f t="shared" si="98"/>
        <v/>
      </c>
      <c r="Y870" s="10" t="s">
        <v>1040</v>
      </c>
      <c r="Z870" s="10" t="s">
        <v>910</v>
      </c>
      <c r="AL870" s="10" t="str">
        <f t="shared" si="93"/>
        <v>FALSE</v>
      </c>
      <c r="AM870" s="10" t="str">
        <f t="shared" si="93"/>
        <v>FALSE</v>
      </c>
      <c r="AN870" s="10" t="str">
        <f t="shared" si="93"/>
        <v>FALSE</v>
      </c>
      <c r="AO870" s="10" t="str">
        <f t="shared" si="94"/>
        <v>FALSE</v>
      </c>
      <c r="AP870" s="10" t="str">
        <f t="shared" si="94"/>
        <v>FALSE</v>
      </c>
      <c r="AQ870" s="10" t="b">
        <f>IF(AND(I870="TP",S870&lt;=150),VLOOKUP(AF870,TPCalibEq150!$AZ$2:$BB$55,3,),IF(AND(I870="TDP",S870&lt;=150),VLOOKUP(AF870,TPCalibEq150!$AZ$2:$BB$55,3,)))</f>
        <v>0</v>
      </c>
      <c r="AR870" s="10" t="b">
        <f>IF(AND(I870="TP",S870&lt;=300),VLOOKUP(AF870,TPCalibEq300!$AZ$2:$BB$55,3,),IF(AND(I870="TDP",S870&lt;=300),VLOOKUP(AF870,TPCalibEq300!$AZ$2:$BB$55,3,)))</f>
        <v>0</v>
      </c>
      <c r="AS870" s="10" t="b">
        <f>IF(AND(I870="TP",S870&lt;=500),VLOOKUP(AF870,TPCalibEq500!$AZ$2:$BB$56,3,),IF(AND(I870="TDP",S870&lt;=500),VLOOKUP(AF870,TPCalibEq500!$AZ$2:$BB$56,3,)))</f>
        <v>0</v>
      </c>
      <c r="AT870" s="10" t="b">
        <f>IF(AND(I870="TN",S870&lt;=2800),VLOOKUP(AF870,TNCalibEq2500!$AZ$2:$BB$56,3,),IF(AND(I870="TDN",S870&lt;=2800),VLOOKUP(AF870,TNCalibEq2500!$AZ$2:$BB$56,3,)))</f>
        <v>0</v>
      </c>
      <c r="AU870" s="10" t="b">
        <f>IF(I870="TP",VLOOKUP(AF870,TPCalibEqFull!$AZ$2:$BB$56,3),IF(I870="TDP",VLOOKUP(AF870,TPCalibEqFull!$AZ$2:$BB$56,3),IF(I870="TDN",VLOOKUP(AF870,TNCalibEqFull!$AZ$1:$BB$56,3),IF(I870="TN",VLOOKUP(AF870,TNCalibEqFull!$AZ$1:$BB$56,3),FALSE))))</f>
        <v>0</v>
      </c>
      <c r="AV870" s="10" t="str">
        <f t="shared" si="99"/>
        <v>0117 12:11:00-CWL-0-C-1-SW-UKN</v>
      </c>
    </row>
    <row r="871" spans="1:48" s="10" customFormat="1" x14ac:dyDescent="0.55000000000000004">
      <c r="A871" s="32">
        <v>44943</v>
      </c>
      <c r="B871" s="33">
        <v>0.51874999999999993</v>
      </c>
      <c r="C871" s="10" t="s">
        <v>445</v>
      </c>
      <c r="D871" s="10">
        <v>0</v>
      </c>
      <c r="E871" s="10" t="s">
        <v>190</v>
      </c>
      <c r="F871" s="10">
        <v>1</v>
      </c>
      <c r="G871" s="10" t="s">
        <v>231</v>
      </c>
      <c r="H871" s="10" t="s">
        <v>322</v>
      </c>
      <c r="I871" s="10" t="s">
        <v>75</v>
      </c>
      <c r="J871" s="10">
        <v>28</v>
      </c>
      <c r="K871" s="12">
        <v>44950</v>
      </c>
      <c r="L871" s="33">
        <v>0.49390046296296292</v>
      </c>
      <c r="M871" s="10">
        <v>1</v>
      </c>
      <c r="N871" s="10" t="s">
        <v>76</v>
      </c>
      <c r="O871" s="10">
        <v>3.07</v>
      </c>
      <c r="P871" s="10">
        <v>0.29799999999999999</v>
      </c>
      <c r="Q871" s="10">
        <v>198</v>
      </c>
      <c r="R871" s="10" t="s">
        <v>77</v>
      </c>
      <c r="S871" s="34">
        <f t="shared" si="95"/>
        <v>198</v>
      </c>
      <c r="T871" s="10" t="s">
        <v>1047</v>
      </c>
      <c r="U871" s="34" t="str">
        <f t="shared" si="96"/>
        <v/>
      </c>
      <c r="V871" s="31" t="str">
        <f>IF(H871="CHK",VLOOKUP(I871,QCCHK,3,),IF(H871="GUP",VLOOKUP(E871,QCGUP,2,),IF(AND(H871="ATP",OR(I871="TN",I871="TDN",I871="TNO2-3",I871="NO2-3")),VLOOKUP(E871,QCREC_N,2,),IF(AND(H871="NIC",OR(I871="TN",I871="TDN",I871="TNO2-3",I871="NO2-3")),VLOOKUP(E871,QCNIC_N,2,),IF(AND(H871="UREA",OR(I871="TN",I871="TDN",I871="TNO2-3",I871="NO2-3")),VLOOKUP(E871,QCUREA_N,2,),IF(H871="PER",VLOOKUP(I871,QCPER,MATCH(E871,QCACTUAL!$J$25:$AA$25,0),),IF(H871="SPK",VLOOKUP(I871,QCSPK,3,),IF(AND(H871="ATP",OR(I871="TP",I871="TDP")),VLOOKUP(E871,QCATP_P,2,),""))))))))</f>
        <v/>
      </c>
      <c r="W871" s="31" t="str">
        <f t="shared" si="97"/>
        <v>TRUE</v>
      </c>
      <c r="X871" s="31" t="str">
        <f t="shared" si="98"/>
        <v/>
      </c>
      <c r="Y871" s="10" t="s">
        <v>1040</v>
      </c>
      <c r="Z871" s="10" t="s">
        <v>910</v>
      </c>
      <c r="AL871" s="10" t="str">
        <f t="shared" si="93"/>
        <v>FALSE</v>
      </c>
      <c r="AM871" s="10" t="str">
        <f t="shared" si="93"/>
        <v>FALSE</v>
      </c>
      <c r="AN871" s="10" t="str">
        <f t="shared" si="93"/>
        <v>FALSE</v>
      </c>
      <c r="AO871" s="10" t="str">
        <f t="shared" si="94"/>
        <v>FALSE</v>
      </c>
      <c r="AP871" s="10" t="str">
        <f t="shared" si="94"/>
        <v>FALSE</v>
      </c>
      <c r="AQ871" s="10" t="b">
        <f>IF(AND(I871="TP",S871&lt;=150),VLOOKUP(AF871,TPCalibEq150!$AZ$2:$BB$55,3,),IF(AND(I871="TDP",S871&lt;=150),VLOOKUP(AF871,TPCalibEq150!$AZ$2:$BB$55,3,)))</f>
        <v>0</v>
      </c>
      <c r="AR871" s="10" t="b">
        <f>IF(AND(I871="TP",S871&lt;=300),VLOOKUP(AF871,TPCalibEq300!$AZ$2:$BB$55,3,),IF(AND(I871="TDP",S871&lt;=300),VLOOKUP(AF871,TPCalibEq300!$AZ$2:$BB$55,3,)))</f>
        <v>0</v>
      </c>
      <c r="AS871" s="10" t="b">
        <f>IF(AND(I871="TP",S871&lt;=500),VLOOKUP(AF871,TPCalibEq500!$AZ$2:$BB$56,3,),IF(AND(I871="TDP",S871&lt;=500),VLOOKUP(AF871,TPCalibEq500!$AZ$2:$BB$56,3,)))</f>
        <v>0</v>
      </c>
      <c r="AT871" s="10" t="b">
        <f>IF(AND(I871="TN",S871&lt;=2800),VLOOKUP(AF871,TNCalibEq2500!$AZ$2:$BB$56,3,),IF(AND(I871="TDN",S871&lt;=2800),VLOOKUP(AF871,TNCalibEq2500!$AZ$2:$BB$56,3,)))</f>
        <v>0</v>
      </c>
      <c r="AU871" s="10" t="b">
        <f>IF(I871="TP",VLOOKUP(AF871,TPCalibEqFull!$AZ$2:$BB$56,3),IF(I871="TDP",VLOOKUP(AF871,TPCalibEqFull!$AZ$2:$BB$56,3),IF(I871="TDN",VLOOKUP(AF871,TNCalibEqFull!$AZ$1:$BB$56,3),IF(I871="TN",VLOOKUP(AF871,TNCalibEqFull!$AZ$1:$BB$56,3),FALSE))))</f>
        <v>0</v>
      </c>
      <c r="AV871" s="10" t="str">
        <f t="shared" si="99"/>
        <v>0117 12:27:00-NWT-0-C-1-SW-UKN</v>
      </c>
    </row>
    <row r="872" spans="1:48" s="10" customFormat="1" x14ac:dyDescent="0.55000000000000004">
      <c r="A872" s="32">
        <v>44943</v>
      </c>
      <c r="B872" s="33">
        <v>0.51874999999999993</v>
      </c>
      <c r="C872" s="10" t="s">
        <v>445</v>
      </c>
      <c r="D872" s="10">
        <v>0</v>
      </c>
      <c r="E872" s="10" t="s">
        <v>190</v>
      </c>
      <c r="F872" s="10">
        <v>1</v>
      </c>
      <c r="G872" s="10" t="s">
        <v>231</v>
      </c>
      <c r="H872" s="10" t="s">
        <v>233</v>
      </c>
      <c r="I872" s="10" t="s">
        <v>75</v>
      </c>
      <c r="J872" s="10">
        <v>28</v>
      </c>
      <c r="K872" s="12">
        <v>44950</v>
      </c>
      <c r="L872" s="33">
        <v>0.49471064814814819</v>
      </c>
      <c r="M872" s="10">
        <v>1</v>
      </c>
      <c r="N872" s="10" t="s">
        <v>76</v>
      </c>
      <c r="O872" s="10">
        <v>3.04</v>
      </c>
      <c r="P872" s="10">
        <v>0.29299999999999998</v>
      </c>
      <c r="Q872" s="10">
        <v>196</v>
      </c>
      <c r="R872" s="10" t="s">
        <v>77</v>
      </c>
      <c r="S872" s="34">
        <f t="shared" si="95"/>
        <v>196</v>
      </c>
      <c r="T872" s="10" t="s">
        <v>1047</v>
      </c>
      <c r="U872" s="34">
        <f t="shared" si="96"/>
        <v>1.015228426395939</v>
      </c>
      <c r="V872" s="31" t="str">
        <f>IF(H872="CHK",VLOOKUP(I872,QCCHK,3,),IF(H872="GUP",VLOOKUP(E872,QCGUP,2,),IF(AND(H872="ATP",OR(I872="TN",I872="TDN",I872="TNO2-3",I872="NO2-3")),VLOOKUP(E872,QCREC_N,2,),IF(AND(H872="NIC",OR(I872="TN",I872="TDN",I872="TNO2-3",I872="NO2-3")),VLOOKUP(E872,QCNIC_N,2,),IF(AND(H872="UREA",OR(I872="TN",I872="TDN",I872="TNO2-3",I872="NO2-3")),VLOOKUP(E872,QCUREA_N,2,),IF(H872="PER",VLOOKUP(I872,QCPER,MATCH(E872,QCACTUAL!$J$25:$AA$25,0),),IF(H872="SPK",VLOOKUP(I872,QCSPK,3,),IF(AND(H872="ATP",OR(I872="TP",I872="TDP")),VLOOKUP(E872,QCATP_P,2,),""))))))))</f>
        <v/>
      </c>
      <c r="W872" s="31" t="str">
        <f t="shared" si="97"/>
        <v>TRUE</v>
      </c>
      <c r="X872" s="31" t="str">
        <f t="shared" si="98"/>
        <v>((ABS(rep1-rep2))/((rep1+rep2)/2)*100</v>
      </c>
      <c r="Y872" s="10" t="s">
        <v>1040</v>
      </c>
      <c r="Z872" s="10" t="s">
        <v>910</v>
      </c>
      <c r="AL872" s="10" t="str">
        <f t="shared" si="93"/>
        <v>FALSE</v>
      </c>
      <c r="AM872" s="10" t="str">
        <f t="shared" si="93"/>
        <v>FALSE</v>
      </c>
      <c r="AN872" s="10" t="str">
        <f t="shared" si="93"/>
        <v>FALSE</v>
      </c>
      <c r="AO872" s="10" t="str">
        <f t="shared" si="94"/>
        <v>FALSE</v>
      </c>
      <c r="AP872" s="10" t="str">
        <f t="shared" si="94"/>
        <v>FALSE</v>
      </c>
      <c r="AQ872" s="10" t="b">
        <f>IF(AND(I872="TP",S872&lt;=150),VLOOKUP(AF872,TPCalibEq150!$AZ$2:$BB$55,3,),IF(AND(I872="TDP",S872&lt;=150),VLOOKUP(AF872,TPCalibEq150!$AZ$2:$BB$55,3,)))</f>
        <v>0</v>
      </c>
      <c r="AR872" s="10" t="b">
        <f>IF(AND(I872="TP",S872&lt;=300),VLOOKUP(AF872,TPCalibEq300!$AZ$2:$BB$55,3,),IF(AND(I872="TDP",S872&lt;=300),VLOOKUP(AF872,TPCalibEq300!$AZ$2:$BB$55,3,)))</f>
        <v>0</v>
      </c>
      <c r="AS872" s="10" t="b">
        <f>IF(AND(I872="TP",S872&lt;=500),VLOOKUP(AF872,TPCalibEq500!$AZ$2:$BB$56,3,),IF(AND(I872="TDP",S872&lt;=500),VLOOKUP(AF872,TPCalibEq500!$AZ$2:$BB$56,3,)))</f>
        <v>0</v>
      </c>
      <c r="AT872" s="10" t="b">
        <f>IF(AND(I872="TN",S872&lt;=2800),VLOOKUP(AF872,TNCalibEq2500!$AZ$2:$BB$56,3,),IF(AND(I872="TDN",S872&lt;=2800),VLOOKUP(AF872,TNCalibEq2500!$AZ$2:$BB$56,3,)))</f>
        <v>0</v>
      </c>
      <c r="AU872" s="10" t="b">
        <f>IF(I872="TP",VLOOKUP(AF872,TPCalibEqFull!$AZ$2:$BB$56,3),IF(I872="TDP",VLOOKUP(AF872,TPCalibEqFull!$AZ$2:$BB$56,3),IF(I872="TDN",VLOOKUP(AF872,TNCalibEqFull!$AZ$1:$BB$56,3),IF(I872="TN",VLOOKUP(AF872,TNCalibEqFull!$AZ$1:$BB$56,3),FALSE))))</f>
        <v>0</v>
      </c>
      <c r="AV872" s="10" t="str">
        <f t="shared" si="99"/>
        <v>0117 12:27:00-NWT-0-C-1-SW-DUP</v>
      </c>
    </row>
    <row r="873" spans="1:48" s="10" customFormat="1" x14ac:dyDescent="0.55000000000000004">
      <c r="A873" s="32">
        <v>44943</v>
      </c>
      <c r="B873" s="33">
        <v>0.51874999999999993</v>
      </c>
      <c r="C873" s="10" t="s">
        <v>445</v>
      </c>
      <c r="D873" s="10">
        <v>0</v>
      </c>
      <c r="E873" s="10" t="s">
        <v>190</v>
      </c>
      <c r="F873" s="10">
        <v>1</v>
      </c>
      <c r="G873" s="10" t="s">
        <v>231</v>
      </c>
      <c r="H873" s="10" t="s">
        <v>314</v>
      </c>
      <c r="I873" s="10" t="s">
        <v>75</v>
      </c>
      <c r="J873" s="10">
        <v>59</v>
      </c>
      <c r="K873" s="12">
        <v>44950</v>
      </c>
      <c r="L873" s="33">
        <v>0.4955092592592592</v>
      </c>
      <c r="M873" s="10">
        <v>1</v>
      </c>
      <c r="N873" s="10" t="s">
        <v>76</v>
      </c>
      <c r="O873" s="10">
        <v>14.6</v>
      </c>
      <c r="P873" s="10">
        <v>1.42</v>
      </c>
      <c r="Q873" s="10">
        <v>946</v>
      </c>
      <c r="R873" s="10" t="s">
        <v>77</v>
      </c>
      <c r="S873" s="34">
        <f t="shared" si="95"/>
        <v>946</v>
      </c>
      <c r="T873" s="10" t="s">
        <v>1047</v>
      </c>
      <c r="U873" s="34">
        <f t="shared" si="96"/>
        <v>120</v>
      </c>
      <c r="V873" s="31">
        <f>IF(H873="CHK",VLOOKUP(I873,QCCHK,3,),IF(H873="GUP",VLOOKUP(E873,QCGUP,2,),IF(AND(H873="ATP",OR(I873="TN",I873="TDN",I873="TNO2-3",I873="NO2-3")),VLOOKUP(E873,QCREC_N,2,),IF(AND(H873="NIC",OR(I873="TN",I873="TDN",I873="TNO2-3",I873="NO2-3")),VLOOKUP(E873,QCNIC_N,2,),IF(AND(H873="UREA",OR(I873="TN",I873="TDN",I873="TNO2-3",I873="NO2-3")),VLOOKUP(E873,QCUREA_N,2,),IF(H873="PER",VLOOKUP(I873,QCPER,MATCH(E873,QCACTUAL!$J$25:$AA$25,0),),IF(H873="SPK",VLOOKUP(I873,QCSPK,3,),IF(AND(H873="ATP",OR(I873="TP",I873="TDP")),VLOOKUP(E873,QCATP_P,2,),""))))))))</f>
        <v>625</v>
      </c>
      <c r="W873" s="31" t="str">
        <f t="shared" si="97"/>
        <v>TRUE</v>
      </c>
      <c r="X873" s="31" t="str">
        <f t="shared" si="98"/>
        <v>([spikedunkn]-[unkn])/[spike]*100</v>
      </c>
      <c r="Y873" s="10" t="s">
        <v>1040</v>
      </c>
      <c r="Z873" s="10" t="s">
        <v>910</v>
      </c>
      <c r="AL873" s="10" t="str">
        <f t="shared" si="93"/>
        <v>FALSE</v>
      </c>
      <c r="AM873" s="10" t="str">
        <f t="shared" si="93"/>
        <v>FALSE</v>
      </c>
      <c r="AN873" s="10" t="str">
        <f t="shared" si="93"/>
        <v>FALSE</v>
      </c>
      <c r="AO873" s="10" t="str">
        <f t="shared" si="94"/>
        <v>FALSE</v>
      </c>
      <c r="AP873" s="10" t="str">
        <f t="shared" si="94"/>
        <v>FALSE</v>
      </c>
      <c r="AQ873" s="10" t="b">
        <f>IF(AND(I873="TP",S873&lt;=150),VLOOKUP(AF873,TPCalibEq150!$AZ$2:$BB$55,3,),IF(AND(I873="TDP",S873&lt;=150),VLOOKUP(AF873,TPCalibEq150!$AZ$2:$BB$55,3,)))</f>
        <v>0</v>
      </c>
      <c r="AR873" s="10" t="b">
        <f>IF(AND(I873="TP",S873&lt;=300),VLOOKUP(AF873,TPCalibEq300!$AZ$2:$BB$55,3,),IF(AND(I873="TDP",S873&lt;=300),VLOOKUP(AF873,TPCalibEq300!$AZ$2:$BB$55,3,)))</f>
        <v>0</v>
      </c>
      <c r="AS873" s="10" t="b">
        <f>IF(AND(I873="TP",S873&lt;=500),VLOOKUP(AF873,TPCalibEq500!$AZ$2:$BB$56,3,),IF(AND(I873="TDP",S873&lt;=500),VLOOKUP(AF873,TPCalibEq500!$AZ$2:$BB$56,3,)))</f>
        <v>0</v>
      </c>
      <c r="AT873" s="10" t="b">
        <f>IF(AND(I873="TN",S873&lt;=2800),VLOOKUP(AF873,TNCalibEq2500!$AZ$2:$BB$56,3,),IF(AND(I873="TDN",S873&lt;=2800),VLOOKUP(AF873,TNCalibEq2500!$AZ$2:$BB$56,3,)))</f>
        <v>0</v>
      </c>
      <c r="AU873" s="10" t="b">
        <f>IF(I873="TP",VLOOKUP(AF873,TPCalibEqFull!$AZ$2:$BB$56,3),IF(I873="TDP",VLOOKUP(AF873,TPCalibEqFull!$AZ$2:$BB$56,3),IF(I873="TDN",VLOOKUP(AF873,TNCalibEqFull!$AZ$1:$BB$56,3),IF(I873="TN",VLOOKUP(AF873,TNCalibEqFull!$AZ$1:$BB$56,3),FALSE))))</f>
        <v>0</v>
      </c>
      <c r="AV873" s="10" t="str">
        <f t="shared" si="99"/>
        <v>0117 12:27:00-NWT-0-C-1-SW-SPK</v>
      </c>
    </row>
    <row r="874" spans="1:48" s="10" customFormat="1" x14ac:dyDescent="0.55000000000000004">
      <c r="A874" s="32">
        <v>44950</v>
      </c>
      <c r="B874" s="33">
        <v>0.375</v>
      </c>
      <c r="C874" s="10" t="s">
        <v>70</v>
      </c>
      <c r="D874" s="10" t="s">
        <v>71</v>
      </c>
      <c r="E874" s="10" t="s">
        <v>901</v>
      </c>
      <c r="F874" s="10">
        <v>1</v>
      </c>
      <c r="G874" s="10" t="s">
        <v>73</v>
      </c>
      <c r="H874" s="10" t="s">
        <v>207</v>
      </c>
      <c r="I874" s="10" t="s">
        <v>75</v>
      </c>
      <c r="J874" s="10">
        <v>200</v>
      </c>
      <c r="K874" s="12">
        <v>44950</v>
      </c>
      <c r="L874" s="33">
        <v>0.49634259259259261</v>
      </c>
      <c r="M874" s="10">
        <v>1</v>
      </c>
      <c r="N874" s="10" t="s">
        <v>76</v>
      </c>
      <c r="O874" s="10">
        <v>4.6900000000000004</v>
      </c>
      <c r="P874" s="10">
        <v>0.45700000000000002</v>
      </c>
      <c r="Q874" s="10">
        <v>303</v>
      </c>
      <c r="R874" s="10" t="s">
        <v>77</v>
      </c>
      <c r="S874" s="34">
        <f t="shared" si="95"/>
        <v>303</v>
      </c>
      <c r="T874" s="10" t="s">
        <v>1047</v>
      </c>
      <c r="U874" s="34">
        <f t="shared" si="96"/>
        <v>101</v>
      </c>
      <c r="V874" s="31">
        <f>IF(H874="CHK",VLOOKUP(I874,QCCHK,3,),IF(H874="GUP",VLOOKUP(E874,QCGUP,2,),IF(AND(H874="ATP",OR(I874="TN",I874="TDN",I874="TNO2-3",I874="NO2-3")),VLOOKUP(E874,QCREC_N,2,),IF(AND(H874="NIC",OR(I874="TN",I874="TDN",I874="TNO2-3",I874="NO2-3")),VLOOKUP(E874,QCNIC_N,2,),IF(AND(H874="UREA",OR(I874="TN",I874="TDN",I874="TNO2-3",I874="NO2-3")),VLOOKUP(E874,QCUREA_N,2,),IF(H874="PER",VLOOKUP(I874,QCPER,MATCH(E874,QCACTUAL!$J$25:$AA$25,0),),IF(H874="SPK",VLOOKUP(I874,QCSPK,3,),IF(AND(H874="ATP",OR(I874="TP",I874="TDP")),VLOOKUP(E874,QCATP_P,2,),""))))))))</f>
        <v>300</v>
      </c>
      <c r="W874" s="31" t="str">
        <f t="shared" si="97"/>
        <v>TRUE</v>
      </c>
      <c r="X874" s="31" t="str">
        <f t="shared" si="98"/>
        <v>[chk]/[actual]*100</v>
      </c>
      <c r="Y874" s="10" t="s">
        <v>1040</v>
      </c>
      <c r="AL874" s="10" t="str">
        <f t="shared" si="93"/>
        <v>FALSE</v>
      </c>
      <c r="AM874" s="10" t="str">
        <f t="shared" si="93"/>
        <v>FALSE</v>
      </c>
      <c r="AN874" s="10" t="str">
        <f t="shared" si="93"/>
        <v>FALSE</v>
      </c>
      <c r="AO874" s="10" t="str">
        <f t="shared" si="94"/>
        <v>FALSE</v>
      </c>
      <c r="AP874" s="10" t="str">
        <f t="shared" si="94"/>
        <v>FALSE</v>
      </c>
      <c r="AQ874" s="10" t="b">
        <f>IF(AND(I874="TP",S874&lt;=150),VLOOKUP(AF874,TPCalibEq150!$AZ$2:$BB$55,3,),IF(AND(I874="TDP",S874&lt;=150),VLOOKUP(AF874,TPCalibEq150!$AZ$2:$BB$55,3,)))</f>
        <v>0</v>
      </c>
      <c r="AR874" s="10" t="b">
        <f>IF(AND(I874="TP",S874&lt;=300),VLOOKUP(AF874,TPCalibEq300!$AZ$2:$BB$55,3,),IF(AND(I874="TDP",S874&lt;=300),VLOOKUP(AF874,TPCalibEq300!$AZ$2:$BB$55,3,)))</f>
        <v>0</v>
      </c>
      <c r="AS874" s="10" t="b">
        <f>IF(AND(I874="TP",S874&lt;=500),VLOOKUP(AF874,TPCalibEq500!$AZ$2:$BB$56,3,),IF(AND(I874="TDP",S874&lt;=500),VLOOKUP(AF874,TPCalibEq500!$AZ$2:$BB$56,3,)))</f>
        <v>0</v>
      </c>
      <c r="AT874" s="10" t="b">
        <f>IF(AND(I874="TN",S874&lt;=2800),VLOOKUP(AF874,TNCalibEq2500!$AZ$2:$BB$56,3,),IF(AND(I874="TDN",S874&lt;=2800),VLOOKUP(AF874,TNCalibEq2500!$AZ$2:$BB$56,3,)))</f>
        <v>0</v>
      </c>
      <c r="AU874" s="10" t="b">
        <f>IF(I874="TP",VLOOKUP(AF874,TPCalibEqFull!$AZ$2:$BB$56,3),IF(I874="TDP",VLOOKUP(AF874,TPCalibEqFull!$AZ$2:$BB$56,3),IF(I874="TDN",VLOOKUP(AF874,TNCalibEqFull!$AZ$1:$BB$56,3),IF(I874="TN",VLOOKUP(AF874,TNCalibEqFull!$AZ$1:$BB$56,3),FALSE))))</f>
        <v>0</v>
      </c>
      <c r="AV874" s="10" t="str">
        <f t="shared" si="99"/>
        <v>0124 09:00:00-QAC-STD-D-1-DI-CHK</v>
      </c>
    </row>
    <row r="875" spans="1:48" s="10" customFormat="1" x14ac:dyDescent="0.55000000000000004">
      <c r="A875" s="32">
        <v>44937</v>
      </c>
      <c r="B875" s="33">
        <v>0.24027777777777778</v>
      </c>
      <c r="C875" s="10" t="s">
        <v>279</v>
      </c>
      <c r="D875" s="10">
        <v>0</v>
      </c>
      <c r="E875" s="10" t="s">
        <v>911</v>
      </c>
      <c r="F875" s="10">
        <v>1</v>
      </c>
      <c r="G875" s="10" t="s">
        <v>231</v>
      </c>
      <c r="H875" s="10" t="s">
        <v>322</v>
      </c>
      <c r="I875" s="10" t="s">
        <v>75</v>
      </c>
      <c r="J875" s="10">
        <v>29</v>
      </c>
      <c r="K875" s="12">
        <v>44950</v>
      </c>
      <c r="L875" s="33">
        <v>0.49714120370370374</v>
      </c>
      <c r="M875" s="10">
        <v>1</v>
      </c>
      <c r="N875" s="10" t="s">
        <v>76</v>
      </c>
      <c r="O875" s="10">
        <v>0.125</v>
      </c>
      <c r="P875" s="10">
        <v>1.09E-2</v>
      </c>
      <c r="Q875" s="10">
        <v>8.0500000000000007</v>
      </c>
      <c r="R875" s="10" t="s">
        <v>77</v>
      </c>
      <c r="S875" s="34">
        <f t="shared" si="95"/>
        <v>8.0500000000000007</v>
      </c>
      <c r="T875" s="10" t="s">
        <v>1047</v>
      </c>
      <c r="U875" s="34" t="str">
        <f t="shared" si="96"/>
        <v/>
      </c>
      <c r="V875" s="31" t="str">
        <f>IF(H875="CHK",VLOOKUP(I875,QCCHK,3,),IF(H875="GUP",VLOOKUP(E875,QCGUP,2,),IF(AND(H875="ATP",OR(I875="TN",I875="TDN",I875="TNO2-3",I875="NO2-3")),VLOOKUP(E875,QCREC_N,2,),IF(AND(H875="NIC",OR(I875="TN",I875="TDN",I875="TNO2-3",I875="NO2-3")),VLOOKUP(E875,QCNIC_N,2,),IF(AND(H875="UREA",OR(I875="TN",I875="TDN",I875="TNO2-3",I875="NO2-3")),VLOOKUP(E875,QCUREA_N,2,),IF(H875="PER",VLOOKUP(I875,QCPER,MATCH(E875,QCACTUAL!$J$25:$AA$25,0),),IF(H875="SPK",VLOOKUP(I875,QCSPK,3,),IF(AND(H875="ATP",OR(I875="TP",I875="TDP")),VLOOKUP(E875,QCATP_P,2,),""))))))))</f>
        <v/>
      </c>
      <c r="W875" s="31" t="str">
        <f t="shared" si="97"/>
        <v>TRUE</v>
      </c>
      <c r="X875" s="31" t="str">
        <f t="shared" si="98"/>
        <v/>
      </c>
      <c r="Y875" s="10" t="s">
        <v>1040</v>
      </c>
      <c r="Z875" s="10" t="s">
        <v>910</v>
      </c>
      <c r="AL875" s="10" t="str">
        <f t="shared" si="93"/>
        <v>FALSE</v>
      </c>
      <c r="AM875" s="10" t="str">
        <f t="shared" si="93"/>
        <v>FALSE</v>
      </c>
      <c r="AN875" s="10" t="str">
        <f t="shared" si="93"/>
        <v>FALSE</v>
      </c>
      <c r="AO875" s="10" t="str">
        <f t="shared" si="94"/>
        <v>FALSE</v>
      </c>
      <c r="AP875" s="10" t="str">
        <f t="shared" si="94"/>
        <v>FALSE</v>
      </c>
      <c r="AQ875" s="10" t="b">
        <f>IF(AND(I875="TP",S875&lt;=150),VLOOKUP(AF875,TPCalibEq150!$AZ$2:$BB$55,3,),IF(AND(I875="TDP",S875&lt;=150),VLOOKUP(AF875,TPCalibEq150!$AZ$2:$BB$55,3,)))</f>
        <v>0</v>
      </c>
      <c r="AR875" s="10" t="b">
        <f>IF(AND(I875="TP",S875&lt;=300),VLOOKUP(AF875,TPCalibEq300!$AZ$2:$BB$55,3,),IF(AND(I875="TDP",S875&lt;=300),VLOOKUP(AF875,TPCalibEq300!$AZ$2:$BB$55,3,)))</f>
        <v>0</v>
      </c>
      <c r="AS875" s="10" t="b">
        <f>IF(AND(I875="TP",S875&lt;=500),VLOOKUP(AF875,TPCalibEq500!$AZ$2:$BB$56,3,),IF(AND(I875="TDP",S875&lt;=500),VLOOKUP(AF875,TPCalibEq500!$AZ$2:$BB$56,3,)))</f>
        <v>0</v>
      </c>
      <c r="AT875" s="10" t="b">
        <f>IF(AND(I875="TN",S875&lt;=2800),VLOOKUP(AF875,TNCalibEq2500!$AZ$2:$BB$56,3,),IF(AND(I875="TDN",S875&lt;=2800),VLOOKUP(AF875,TNCalibEq2500!$AZ$2:$BB$56,3,)))</f>
        <v>0</v>
      </c>
      <c r="AU875" s="10" t="b">
        <f>IF(I875="TP",VLOOKUP(AF875,TPCalibEqFull!$AZ$2:$BB$56,3),IF(I875="TDP",VLOOKUP(AF875,TPCalibEqFull!$AZ$2:$BB$56,3),IF(I875="TDN",VLOOKUP(AF875,TNCalibEqFull!$AZ$1:$BB$56,3),IF(I875="TN",VLOOKUP(AF875,TNCalibEqFull!$AZ$1:$BB$56,3),FALSE))))</f>
        <v>0</v>
      </c>
      <c r="AV875" s="10" t="str">
        <f t="shared" si="99"/>
        <v>0111 05:46:00-EFK-0-FIL-1-SW-UKN</v>
      </c>
    </row>
    <row r="876" spans="1:48" s="10" customFormat="1" x14ac:dyDescent="0.55000000000000004">
      <c r="A876" s="32">
        <v>44937</v>
      </c>
      <c r="B876" s="33">
        <v>0.24513888888888888</v>
      </c>
      <c r="C876" s="10" t="s">
        <v>333</v>
      </c>
      <c r="D876" s="10">
        <v>0</v>
      </c>
      <c r="E876" s="10" t="s">
        <v>911</v>
      </c>
      <c r="F876" s="10">
        <v>1</v>
      </c>
      <c r="G876" s="10" t="s">
        <v>231</v>
      </c>
      <c r="H876" s="10" t="s">
        <v>322</v>
      </c>
      <c r="I876" s="10" t="s">
        <v>75</v>
      </c>
      <c r="J876" s="10">
        <v>30</v>
      </c>
      <c r="K876" s="12">
        <v>44950</v>
      </c>
      <c r="L876" s="33">
        <v>0.4979513888888889</v>
      </c>
      <c r="M876" s="10">
        <v>1</v>
      </c>
      <c r="N876" s="10" t="s">
        <v>76</v>
      </c>
      <c r="O876" s="10">
        <v>6.5500000000000003E-2</v>
      </c>
      <c r="P876" s="10">
        <v>6.3299999999999997E-3</v>
      </c>
      <c r="Q876" s="10">
        <v>4.21</v>
      </c>
      <c r="R876" s="10" t="s">
        <v>77</v>
      </c>
      <c r="S876" s="34">
        <f t="shared" si="95"/>
        <v>4.21</v>
      </c>
      <c r="T876" s="10" t="s">
        <v>1047</v>
      </c>
      <c r="U876" s="34" t="str">
        <f t="shared" si="96"/>
        <v/>
      </c>
      <c r="V876" s="31" t="str">
        <f>IF(H876="CHK",VLOOKUP(I876,QCCHK,3,),IF(H876="GUP",VLOOKUP(E876,QCGUP,2,),IF(AND(H876="ATP",OR(I876="TN",I876="TDN",I876="TNO2-3",I876="NO2-3")),VLOOKUP(E876,QCREC_N,2,),IF(AND(H876="NIC",OR(I876="TN",I876="TDN",I876="TNO2-3",I876="NO2-3")),VLOOKUP(E876,QCNIC_N,2,),IF(AND(H876="UREA",OR(I876="TN",I876="TDN",I876="TNO2-3",I876="NO2-3")),VLOOKUP(E876,QCUREA_N,2,),IF(H876="PER",VLOOKUP(I876,QCPER,MATCH(E876,QCACTUAL!$J$25:$AA$25,0),),IF(H876="SPK",VLOOKUP(I876,QCSPK,3,),IF(AND(H876="ATP",OR(I876="TP",I876="TDP")),VLOOKUP(E876,QCATP_P,2,),""))))))))</f>
        <v/>
      </c>
      <c r="W876" s="31" t="str">
        <f t="shared" si="97"/>
        <v>TRUE</v>
      </c>
      <c r="X876" s="31" t="str">
        <f t="shared" si="98"/>
        <v/>
      </c>
      <c r="Y876" s="10" t="s">
        <v>1040</v>
      </c>
      <c r="Z876" s="10" t="s">
        <v>910</v>
      </c>
      <c r="AL876" s="10" t="str">
        <f t="shared" si="93"/>
        <v>FALSE</v>
      </c>
      <c r="AM876" s="10" t="str">
        <f t="shared" si="93"/>
        <v>FALSE</v>
      </c>
      <c r="AN876" s="10" t="str">
        <f t="shared" si="93"/>
        <v>FALSE</v>
      </c>
      <c r="AO876" s="10" t="str">
        <f t="shared" si="94"/>
        <v>FALSE</v>
      </c>
      <c r="AP876" s="10" t="str">
        <f t="shared" si="94"/>
        <v>FALSE</v>
      </c>
      <c r="AQ876" s="10" t="b">
        <f>IF(AND(I876="TP",S876&lt;=150),VLOOKUP(AF876,TPCalibEq150!$AZ$2:$BB$55,3,),IF(AND(I876="TDP",S876&lt;=150),VLOOKUP(AF876,TPCalibEq150!$AZ$2:$BB$55,3,)))</f>
        <v>0</v>
      </c>
      <c r="AR876" s="10" t="b">
        <f>IF(AND(I876="TP",S876&lt;=300),VLOOKUP(AF876,TPCalibEq300!$AZ$2:$BB$55,3,),IF(AND(I876="TDP",S876&lt;=300),VLOOKUP(AF876,TPCalibEq300!$AZ$2:$BB$55,3,)))</f>
        <v>0</v>
      </c>
      <c r="AS876" s="10" t="b">
        <f>IF(AND(I876="TP",S876&lt;=500),VLOOKUP(AF876,TPCalibEq500!$AZ$2:$BB$56,3,),IF(AND(I876="TDP",S876&lt;=500),VLOOKUP(AF876,TPCalibEq500!$AZ$2:$BB$56,3,)))</f>
        <v>0</v>
      </c>
      <c r="AT876" s="10" t="b">
        <f>IF(AND(I876="TN",S876&lt;=2800),VLOOKUP(AF876,TNCalibEq2500!$AZ$2:$BB$56,3,),IF(AND(I876="TDN",S876&lt;=2800),VLOOKUP(AF876,TNCalibEq2500!$AZ$2:$BB$56,3,)))</f>
        <v>0</v>
      </c>
      <c r="AU876" s="10" t="b">
        <f>IF(I876="TP",VLOOKUP(AF876,TPCalibEqFull!$AZ$2:$BB$56,3),IF(I876="TDP",VLOOKUP(AF876,TPCalibEqFull!$AZ$2:$BB$56,3),IF(I876="TDN",VLOOKUP(AF876,TNCalibEqFull!$AZ$1:$BB$56,3),IF(I876="TN",VLOOKUP(AF876,TNCalibEqFull!$AZ$1:$BB$56,3),FALSE))))</f>
        <v>0</v>
      </c>
      <c r="AV876" s="10" t="str">
        <f t="shared" si="99"/>
        <v>0111 05:53:00-HST-0-FIL-1-SW-UKN</v>
      </c>
    </row>
    <row r="877" spans="1:48" s="10" customFormat="1" x14ac:dyDescent="0.55000000000000004">
      <c r="A877" s="32">
        <v>44938</v>
      </c>
      <c r="B877" s="33">
        <v>0.43958333333333338</v>
      </c>
      <c r="C877" s="10" t="s">
        <v>279</v>
      </c>
      <c r="D877" s="10">
        <v>0</v>
      </c>
      <c r="E877" s="10" t="s">
        <v>911</v>
      </c>
      <c r="F877" s="10">
        <v>1</v>
      </c>
      <c r="G877" s="10" t="s">
        <v>231</v>
      </c>
      <c r="H877" s="10" t="s">
        <v>322</v>
      </c>
      <c r="I877" s="10" t="s">
        <v>75</v>
      </c>
      <c r="J877" s="10">
        <v>31</v>
      </c>
      <c r="K877" s="12">
        <v>44950</v>
      </c>
      <c r="L877" s="33">
        <v>0.49877314814814816</v>
      </c>
      <c r="M877" s="10">
        <v>1</v>
      </c>
      <c r="N877" s="10" t="s">
        <v>76</v>
      </c>
      <c r="O877" s="10">
        <v>0.20899999999999999</v>
      </c>
      <c r="P877" s="10">
        <v>1.8599999999999998E-2</v>
      </c>
      <c r="Q877" s="10">
        <v>13.4</v>
      </c>
      <c r="R877" s="10" t="s">
        <v>77</v>
      </c>
      <c r="S877" s="34">
        <f t="shared" si="95"/>
        <v>13.4</v>
      </c>
      <c r="T877" s="10" t="s">
        <v>1047</v>
      </c>
      <c r="U877" s="34" t="str">
        <f t="shared" si="96"/>
        <v/>
      </c>
      <c r="V877" s="31" t="str">
        <f>IF(H877="CHK",VLOOKUP(I877,QCCHK,3,),IF(H877="GUP",VLOOKUP(E877,QCGUP,2,),IF(AND(H877="ATP",OR(I877="TN",I877="TDN",I877="TNO2-3",I877="NO2-3")),VLOOKUP(E877,QCREC_N,2,),IF(AND(H877="NIC",OR(I877="TN",I877="TDN",I877="TNO2-3",I877="NO2-3")),VLOOKUP(E877,QCNIC_N,2,),IF(AND(H877="UREA",OR(I877="TN",I877="TDN",I877="TNO2-3",I877="NO2-3")),VLOOKUP(E877,QCUREA_N,2,),IF(H877="PER",VLOOKUP(I877,QCPER,MATCH(E877,QCACTUAL!$J$25:$AA$25,0),),IF(H877="SPK",VLOOKUP(I877,QCSPK,3,),IF(AND(H877="ATP",OR(I877="TP",I877="TDP")),VLOOKUP(E877,QCATP_P,2,),""))))))))</f>
        <v/>
      </c>
      <c r="W877" s="31" t="str">
        <f t="shared" si="97"/>
        <v>TRUE</v>
      </c>
      <c r="X877" s="31" t="str">
        <f t="shared" si="98"/>
        <v/>
      </c>
      <c r="Y877" s="10" t="s">
        <v>1040</v>
      </c>
      <c r="Z877" s="10" t="s">
        <v>910</v>
      </c>
      <c r="AL877" s="10" t="str">
        <f t="shared" si="93"/>
        <v>FALSE</v>
      </c>
      <c r="AM877" s="10" t="str">
        <f t="shared" si="93"/>
        <v>FALSE</v>
      </c>
      <c r="AN877" s="10" t="str">
        <f t="shared" si="93"/>
        <v>FALSE</v>
      </c>
      <c r="AO877" s="10" t="str">
        <f t="shared" si="94"/>
        <v>FALSE</v>
      </c>
      <c r="AP877" s="10" t="str">
        <f t="shared" si="94"/>
        <v>FALSE</v>
      </c>
      <c r="AQ877" s="10" t="b">
        <f>IF(AND(I877="TP",S877&lt;=150),VLOOKUP(AF877,TPCalibEq150!$AZ$2:$BB$55,3,),IF(AND(I877="TDP",S877&lt;=150),VLOOKUP(AF877,TPCalibEq150!$AZ$2:$BB$55,3,)))</f>
        <v>0</v>
      </c>
      <c r="AR877" s="10" t="b">
        <f>IF(AND(I877="TP",S877&lt;=300),VLOOKUP(AF877,TPCalibEq300!$AZ$2:$BB$55,3,),IF(AND(I877="TDP",S877&lt;=300),VLOOKUP(AF877,TPCalibEq300!$AZ$2:$BB$55,3,)))</f>
        <v>0</v>
      </c>
      <c r="AS877" s="10" t="b">
        <f>IF(AND(I877="TP",S877&lt;=500),VLOOKUP(AF877,TPCalibEq500!$AZ$2:$BB$56,3,),IF(AND(I877="TDP",S877&lt;=500),VLOOKUP(AF877,TPCalibEq500!$AZ$2:$BB$56,3,)))</f>
        <v>0</v>
      </c>
      <c r="AT877" s="10" t="b">
        <f>IF(AND(I877="TN",S877&lt;=2800),VLOOKUP(AF877,TNCalibEq2500!$AZ$2:$BB$56,3,),IF(AND(I877="TDN",S877&lt;=2800),VLOOKUP(AF877,TNCalibEq2500!$AZ$2:$BB$56,3,)))</f>
        <v>0</v>
      </c>
      <c r="AU877" s="10" t="b">
        <f>IF(I877="TP",VLOOKUP(AF877,TPCalibEqFull!$AZ$2:$BB$56,3),IF(I877="TDP",VLOOKUP(AF877,TPCalibEqFull!$AZ$2:$BB$56,3),IF(I877="TDN",VLOOKUP(AF877,TNCalibEqFull!$AZ$1:$BB$56,3),IF(I877="TN",VLOOKUP(AF877,TNCalibEqFull!$AZ$1:$BB$56,3),FALSE))))</f>
        <v>0</v>
      </c>
      <c r="AV877" s="10" t="str">
        <f t="shared" si="99"/>
        <v>0112 10:33:00-EFK-0-FIL-1-SW-UKN</v>
      </c>
    </row>
    <row r="878" spans="1:48" s="10" customFormat="1" x14ac:dyDescent="0.55000000000000004">
      <c r="A878" s="32">
        <v>44938</v>
      </c>
      <c r="B878" s="33">
        <v>0.4548611111111111</v>
      </c>
      <c r="C878" s="10" t="s">
        <v>333</v>
      </c>
      <c r="D878" s="10">
        <v>0</v>
      </c>
      <c r="E878" s="10" t="s">
        <v>911</v>
      </c>
      <c r="F878" s="10">
        <v>1</v>
      </c>
      <c r="G878" s="10" t="s">
        <v>231</v>
      </c>
      <c r="H878" s="10" t="s">
        <v>322</v>
      </c>
      <c r="I878" s="10" t="s">
        <v>75</v>
      </c>
      <c r="J878" s="10">
        <v>32</v>
      </c>
      <c r="K878" s="12">
        <v>44950</v>
      </c>
      <c r="L878" s="33">
        <v>0.49959490740740736</v>
      </c>
      <c r="M878" s="10">
        <v>1</v>
      </c>
      <c r="N878" s="10" t="s">
        <v>76</v>
      </c>
      <c r="O878" s="10">
        <v>0.495</v>
      </c>
      <c r="P878" s="10">
        <v>4.6199999999999998E-2</v>
      </c>
      <c r="Q878" s="10">
        <v>31.8</v>
      </c>
      <c r="R878" s="10" t="s">
        <v>77</v>
      </c>
      <c r="S878" s="34">
        <f t="shared" si="95"/>
        <v>31.8</v>
      </c>
      <c r="T878" s="10" t="s">
        <v>1047</v>
      </c>
      <c r="U878" s="34" t="str">
        <f t="shared" si="96"/>
        <v/>
      </c>
      <c r="V878" s="31" t="str">
        <f>IF(H878="CHK",VLOOKUP(I878,QCCHK,3,),IF(H878="GUP",VLOOKUP(E878,QCGUP,2,),IF(AND(H878="ATP",OR(I878="TN",I878="TDN",I878="TNO2-3",I878="NO2-3")),VLOOKUP(E878,QCREC_N,2,),IF(AND(H878="NIC",OR(I878="TN",I878="TDN",I878="TNO2-3",I878="NO2-3")),VLOOKUP(E878,QCNIC_N,2,),IF(AND(H878="UREA",OR(I878="TN",I878="TDN",I878="TNO2-3",I878="NO2-3")),VLOOKUP(E878,QCUREA_N,2,),IF(H878="PER",VLOOKUP(I878,QCPER,MATCH(E878,QCACTUAL!$J$25:$AA$25,0),),IF(H878="SPK",VLOOKUP(I878,QCSPK,3,),IF(AND(H878="ATP",OR(I878="TP",I878="TDP")),VLOOKUP(E878,QCATP_P,2,),""))))))))</f>
        <v/>
      </c>
      <c r="W878" s="31" t="str">
        <f t="shared" si="97"/>
        <v>TRUE</v>
      </c>
      <c r="X878" s="31" t="str">
        <f t="shared" si="98"/>
        <v/>
      </c>
      <c r="Y878" s="10" t="s">
        <v>1040</v>
      </c>
      <c r="Z878" s="10" t="s">
        <v>910</v>
      </c>
      <c r="AL878" s="10" t="str">
        <f t="shared" si="93"/>
        <v>FALSE</v>
      </c>
      <c r="AM878" s="10" t="str">
        <f t="shared" si="93"/>
        <v>FALSE</v>
      </c>
      <c r="AN878" s="10" t="str">
        <f t="shared" si="93"/>
        <v>FALSE</v>
      </c>
      <c r="AO878" s="10" t="str">
        <f t="shared" si="94"/>
        <v>FALSE</v>
      </c>
      <c r="AP878" s="10" t="str">
        <f t="shared" si="94"/>
        <v>FALSE</v>
      </c>
      <c r="AQ878" s="10" t="b">
        <f>IF(AND(I878="TP",S878&lt;=150),VLOOKUP(AF878,TPCalibEq150!$AZ$2:$BB$55,3,),IF(AND(I878="TDP",S878&lt;=150),VLOOKUP(AF878,TPCalibEq150!$AZ$2:$BB$55,3,)))</f>
        <v>0</v>
      </c>
      <c r="AR878" s="10" t="b">
        <f>IF(AND(I878="TP",S878&lt;=300),VLOOKUP(AF878,TPCalibEq300!$AZ$2:$BB$55,3,),IF(AND(I878="TDP",S878&lt;=300),VLOOKUP(AF878,TPCalibEq300!$AZ$2:$BB$55,3,)))</f>
        <v>0</v>
      </c>
      <c r="AS878" s="10" t="b">
        <f>IF(AND(I878="TP",S878&lt;=500),VLOOKUP(AF878,TPCalibEq500!$AZ$2:$BB$56,3,),IF(AND(I878="TDP",S878&lt;=500),VLOOKUP(AF878,TPCalibEq500!$AZ$2:$BB$56,3,)))</f>
        <v>0</v>
      </c>
      <c r="AT878" s="10" t="b">
        <f>IF(AND(I878="TN",S878&lt;=2800),VLOOKUP(AF878,TNCalibEq2500!$AZ$2:$BB$56,3,),IF(AND(I878="TDN",S878&lt;=2800),VLOOKUP(AF878,TNCalibEq2500!$AZ$2:$BB$56,3,)))</f>
        <v>0</v>
      </c>
      <c r="AU878" s="10" t="b">
        <f>IF(I878="TP",VLOOKUP(AF878,TPCalibEqFull!$AZ$2:$BB$56,3),IF(I878="TDP",VLOOKUP(AF878,TPCalibEqFull!$AZ$2:$BB$56,3),IF(I878="TDN",VLOOKUP(AF878,TNCalibEqFull!$AZ$1:$BB$56,3),IF(I878="TN",VLOOKUP(AF878,TNCalibEqFull!$AZ$1:$BB$56,3),FALSE))))</f>
        <v>0</v>
      </c>
      <c r="AV878" s="10" t="str">
        <f t="shared" si="99"/>
        <v>0112 10:55:00-HST-0-FIL-1-SW-UKN</v>
      </c>
    </row>
    <row r="879" spans="1:48" s="10" customFormat="1" x14ac:dyDescent="0.55000000000000004">
      <c r="A879" s="32">
        <v>44939</v>
      </c>
      <c r="B879" s="33">
        <v>0.4916666666666667</v>
      </c>
      <c r="C879" s="10" t="s">
        <v>279</v>
      </c>
      <c r="D879" s="10">
        <v>0</v>
      </c>
      <c r="E879" s="10" t="s">
        <v>911</v>
      </c>
      <c r="F879" s="10">
        <v>1</v>
      </c>
      <c r="G879" s="10" t="s">
        <v>231</v>
      </c>
      <c r="H879" s="10" t="s">
        <v>322</v>
      </c>
      <c r="I879" s="10" t="s">
        <v>75</v>
      </c>
      <c r="J879" s="10">
        <v>33</v>
      </c>
      <c r="K879" s="12">
        <v>44950</v>
      </c>
      <c r="L879" s="33">
        <v>0.50042824074074077</v>
      </c>
      <c r="M879" s="10">
        <v>1</v>
      </c>
      <c r="N879" s="10" t="s">
        <v>76</v>
      </c>
      <c r="O879" s="10">
        <v>1.39</v>
      </c>
      <c r="P879" s="10">
        <v>0.13500000000000001</v>
      </c>
      <c r="Q879" s="10">
        <v>89.2</v>
      </c>
      <c r="R879" s="10" t="s">
        <v>77</v>
      </c>
      <c r="S879" s="34">
        <f t="shared" si="95"/>
        <v>89.2</v>
      </c>
      <c r="T879" s="10" t="s">
        <v>1047</v>
      </c>
      <c r="U879" s="34" t="str">
        <f t="shared" si="96"/>
        <v/>
      </c>
      <c r="V879" s="31" t="str">
        <f>IF(H879="CHK",VLOOKUP(I879,QCCHK,3,),IF(H879="GUP",VLOOKUP(E879,QCGUP,2,),IF(AND(H879="ATP",OR(I879="TN",I879="TDN",I879="TNO2-3",I879="NO2-3")),VLOOKUP(E879,QCREC_N,2,),IF(AND(H879="NIC",OR(I879="TN",I879="TDN",I879="TNO2-3",I879="NO2-3")),VLOOKUP(E879,QCNIC_N,2,),IF(AND(H879="UREA",OR(I879="TN",I879="TDN",I879="TNO2-3",I879="NO2-3")),VLOOKUP(E879,QCUREA_N,2,),IF(H879="PER",VLOOKUP(I879,QCPER,MATCH(E879,QCACTUAL!$J$25:$AA$25,0),),IF(H879="SPK",VLOOKUP(I879,QCSPK,3,),IF(AND(H879="ATP",OR(I879="TP",I879="TDP")),VLOOKUP(E879,QCATP_P,2,),""))))))))</f>
        <v/>
      </c>
      <c r="W879" s="31" t="str">
        <f t="shared" si="97"/>
        <v>TRUE</v>
      </c>
      <c r="X879" s="31" t="str">
        <f t="shared" si="98"/>
        <v/>
      </c>
      <c r="Y879" s="10" t="s">
        <v>1040</v>
      </c>
      <c r="Z879" s="10" t="s">
        <v>910</v>
      </c>
      <c r="AL879" s="10" t="str">
        <f t="shared" si="93"/>
        <v>FALSE</v>
      </c>
      <c r="AM879" s="10" t="str">
        <f t="shared" si="93"/>
        <v>FALSE</v>
      </c>
      <c r="AN879" s="10" t="str">
        <f t="shared" si="93"/>
        <v>FALSE</v>
      </c>
      <c r="AO879" s="10" t="str">
        <f t="shared" si="94"/>
        <v>FALSE</v>
      </c>
      <c r="AP879" s="10" t="str">
        <f t="shared" si="94"/>
        <v>FALSE</v>
      </c>
      <c r="AQ879" s="10" t="b">
        <f>IF(AND(I879="TP",S879&lt;=150),VLOOKUP(AF879,TPCalibEq150!$AZ$2:$BB$55,3,),IF(AND(I879="TDP",S879&lt;=150),VLOOKUP(AF879,TPCalibEq150!$AZ$2:$BB$55,3,)))</f>
        <v>0</v>
      </c>
      <c r="AR879" s="10" t="b">
        <f>IF(AND(I879="TP",S879&lt;=300),VLOOKUP(AF879,TPCalibEq300!$AZ$2:$BB$55,3,),IF(AND(I879="TDP",S879&lt;=300),VLOOKUP(AF879,TPCalibEq300!$AZ$2:$BB$55,3,)))</f>
        <v>0</v>
      </c>
      <c r="AS879" s="10" t="b">
        <f>IF(AND(I879="TP",S879&lt;=500),VLOOKUP(AF879,TPCalibEq500!$AZ$2:$BB$56,3,),IF(AND(I879="TDP",S879&lt;=500),VLOOKUP(AF879,TPCalibEq500!$AZ$2:$BB$56,3,)))</f>
        <v>0</v>
      </c>
      <c r="AT879" s="10" t="b">
        <f>IF(AND(I879="TN",S879&lt;=2800),VLOOKUP(AF879,TNCalibEq2500!$AZ$2:$BB$56,3,),IF(AND(I879="TDN",S879&lt;=2800),VLOOKUP(AF879,TNCalibEq2500!$AZ$2:$BB$56,3,)))</f>
        <v>0</v>
      </c>
      <c r="AU879" s="10" t="b">
        <f>IF(I879="TP",VLOOKUP(AF879,TPCalibEqFull!$AZ$2:$BB$56,3),IF(I879="TDP",VLOOKUP(AF879,TPCalibEqFull!$AZ$2:$BB$56,3),IF(I879="TDN",VLOOKUP(AF879,TNCalibEqFull!$AZ$1:$BB$56,3),IF(I879="TN",VLOOKUP(AF879,TNCalibEqFull!$AZ$1:$BB$56,3),FALSE))))</f>
        <v>0</v>
      </c>
      <c r="AV879" s="10" t="str">
        <f t="shared" si="99"/>
        <v>0113 11:48:00-EFK-0-FIL-1-SW-UKN</v>
      </c>
    </row>
    <row r="880" spans="1:48" s="10" customFormat="1" x14ac:dyDescent="0.55000000000000004">
      <c r="A880" s="32">
        <v>44939</v>
      </c>
      <c r="B880" s="33">
        <v>0.49444444444444446</v>
      </c>
      <c r="C880" s="10" t="s">
        <v>333</v>
      </c>
      <c r="D880" s="10">
        <v>0</v>
      </c>
      <c r="E880" s="10" t="s">
        <v>911</v>
      </c>
      <c r="F880" s="10">
        <v>1</v>
      </c>
      <c r="G880" s="10" t="s">
        <v>231</v>
      </c>
      <c r="H880" s="10" t="s">
        <v>322</v>
      </c>
      <c r="I880" s="10" t="s">
        <v>75</v>
      </c>
      <c r="J880" s="10">
        <v>34</v>
      </c>
      <c r="K880" s="12">
        <v>44950</v>
      </c>
      <c r="L880" s="33">
        <v>0.50124999999999997</v>
      </c>
      <c r="M880" s="10">
        <v>1</v>
      </c>
      <c r="N880" s="10" t="s">
        <v>76</v>
      </c>
      <c r="O880" s="10">
        <v>0.27400000000000002</v>
      </c>
      <c r="P880" s="10">
        <v>2.5399999999999999E-2</v>
      </c>
      <c r="Q880" s="10">
        <v>17.600000000000001</v>
      </c>
      <c r="R880" s="10" t="s">
        <v>77</v>
      </c>
      <c r="S880" s="34">
        <f t="shared" si="95"/>
        <v>17.600000000000001</v>
      </c>
      <c r="T880" s="10" t="s">
        <v>1047</v>
      </c>
      <c r="U880" s="34" t="str">
        <f t="shared" si="96"/>
        <v/>
      </c>
      <c r="V880" s="31" t="str">
        <f>IF(H880="CHK",VLOOKUP(I880,QCCHK,3,),IF(H880="GUP",VLOOKUP(E880,QCGUP,2,),IF(AND(H880="ATP",OR(I880="TN",I880="TDN",I880="TNO2-3",I880="NO2-3")),VLOOKUP(E880,QCREC_N,2,),IF(AND(H880="NIC",OR(I880="TN",I880="TDN",I880="TNO2-3",I880="NO2-3")),VLOOKUP(E880,QCNIC_N,2,),IF(AND(H880="UREA",OR(I880="TN",I880="TDN",I880="TNO2-3",I880="NO2-3")),VLOOKUP(E880,QCUREA_N,2,),IF(H880="PER",VLOOKUP(I880,QCPER,MATCH(E880,QCACTUAL!$J$25:$AA$25,0),),IF(H880="SPK",VLOOKUP(I880,QCSPK,3,),IF(AND(H880="ATP",OR(I880="TP",I880="TDP")),VLOOKUP(E880,QCATP_P,2,),""))))))))</f>
        <v/>
      </c>
      <c r="W880" s="31" t="str">
        <f t="shared" si="97"/>
        <v>TRUE</v>
      </c>
      <c r="X880" s="31" t="str">
        <f t="shared" si="98"/>
        <v/>
      </c>
      <c r="Y880" s="10" t="s">
        <v>1040</v>
      </c>
      <c r="Z880" s="10" t="s">
        <v>910</v>
      </c>
      <c r="AL880" s="10" t="str">
        <f t="shared" si="93"/>
        <v>FALSE</v>
      </c>
      <c r="AM880" s="10" t="str">
        <f t="shared" si="93"/>
        <v>FALSE</v>
      </c>
      <c r="AN880" s="10" t="str">
        <f t="shared" si="93"/>
        <v>FALSE</v>
      </c>
      <c r="AO880" s="10" t="str">
        <f t="shared" si="94"/>
        <v>FALSE</v>
      </c>
      <c r="AP880" s="10" t="str">
        <f t="shared" si="94"/>
        <v>FALSE</v>
      </c>
      <c r="AQ880" s="10" t="b">
        <f>IF(AND(I880="TP",S880&lt;=150),VLOOKUP(AF880,TPCalibEq150!$AZ$2:$BB$55,3,),IF(AND(I880="TDP",S880&lt;=150),VLOOKUP(AF880,TPCalibEq150!$AZ$2:$BB$55,3,)))</f>
        <v>0</v>
      </c>
      <c r="AR880" s="10" t="b">
        <f>IF(AND(I880="TP",S880&lt;=300),VLOOKUP(AF880,TPCalibEq300!$AZ$2:$BB$55,3,),IF(AND(I880="TDP",S880&lt;=300),VLOOKUP(AF880,TPCalibEq300!$AZ$2:$BB$55,3,)))</f>
        <v>0</v>
      </c>
      <c r="AS880" s="10" t="b">
        <f>IF(AND(I880="TP",S880&lt;=500),VLOOKUP(AF880,TPCalibEq500!$AZ$2:$BB$56,3,),IF(AND(I880="TDP",S880&lt;=500),VLOOKUP(AF880,TPCalibEq500!$AZ$2:$BB$56,3,)))</f>
        <v>0</v>
      </c>
      <c r="AT880" s="10" t="b">
        <f>IF(AND(I880="TN",S880&lt;=2800),VLOOKUP(AF880,TNCalibEq2500!$AZ$2:$BB$56,3,),IF(AND(I880="TDN",S880&lt;=2800),VLOOKUP(AF880,TNCalibEq2500!$AZ$2:$BB$56,3,)))</f>
        <v>0</v>
      </c>
      <c r="AU880" s="10" t="b">
        <f>IF(I880="TP",VLOOKUP(AF880,TPCalibEqFull!$AZ$2:$BB$56,3),IF(I880="TDP",VLOOKUP(AF880,TPCalibEqFull!$AZ$2:$BB$56,3),IF(I880="TDN",VLOOKUP(AF880,TNCalibEqFull!$AZ$1:$BB$56,3),IF(I880="TN",VLOOKUP(AF880,TNCalibEqFull!$AZ$1:$BB$56,3),FALSE))))</f>
        <v>0</v>
      </c>
      <c r="AV880" s="10" t="str">
        <f t="shared" si="99"/>
        <v>0113 11:52:00-HST-0-FIL-1-SW-UKN</v>
      </c>
    </row>
    <row r="881" spans="1:48" s="10" customFormat="1" x14ac:dyDescent="0.55000000000000004">
      <c r="A881" s="32">
        <v>44943</v>
      </c>
      <c r="B881" s="33">
        <v>0.32291666666666669</v>
      </c>
      <c r="C881" s="10" t="s">
        <v>279</v>
      </c>
      <c r="D881" s="10">
        <v>0</v>
      </c>
      <c r="E881" s="10" t="s">
        <v>911</v>
      </c>
      <c r="F881" s="10">
        <v>1</v>
      </c>
      <c r="G881" s="10" t="s">
        <v>231</v>
      </c>
      <c r="H881" s="10" t="s">
        <v>322</v>
      </c>
      <c r="I881" s="10" t="s">
        <v>75</v>
      </c>
      <c r="J881" s="10">
        <v>35</v>
      </c>
      <c r="K881" s="12">
        <v>44950</v>
      </c>
      <c r="L881" s="33">
        <v>0.50206018518518525</v>
      </c>
      <c r="M881" s="10">
        <v>1</v>
      </c>
      <c r="N881" s="10" t="s">
        <v>76</v>
      </c>
      <c r="O881" s="10">
        <v>0.76500000000000001</v>
      </c>
      <c r="P881" s="10">
        <v>7.4999999999999997E-2</v>
      </c>
      <c r="Q881" s="10">
        <v>49.2</v>
      </c>
      <c r="R881" s="10" t="s">
        <v>77</v>
      </c>
      <c r="S881" s="34">
        <f t="shared" si="95"/>
        <v>49.2</v>
      </c>
      <c r="T881" s="10" t="s">
        <v>1047</v>
      </c>
      <c r="U881" s="34" t="str">
        <f t="shared" si="96"/>
        <v/>
      </c>
      <c r="V881" s="31" t="str">
        <f>IF(H881="CHK",VLOOKUP(I881,QCCHK,3,),IF(H881="GUP",VLOOKUP(E881,QCGUP,2,),IF(AND(H881="ATP",OR(I881="TN",I881="TDN",I881="TNO2-3",I881="NO2-3")),VLOOKUP(E881,QCREC_N,2,),IF(AND(H881="NIC",OR(I881="TN",I881="TDN",I881="TNO2-3",I881="NO2-3")),VLOOKUP(E881,QCNIC_N,2,),IF(AND(H881="UREA",OR(I881="TN",I881="TDN",I881="TNO2-3",I881="NO2-3")),VLOOKUP(E881,QCUREA_N,2,),IF(H881="PER",VLOOKUP(I881,QCPER,MATCH(E881,QCACTUAL!$J$25:$AA$25,0),),IF(H881="SPK",VLOOKUP(I881,QCSPK,3,),IF(AND(H881="ATP",OR(I881="TP",I881="TDP")),VLOOKUP(E881,QCATP_P,2,),""))))))))</f>
        <v/>
      </c>
      <c r="W881" s="31" t="str">
        <f t="shared" si="97"/>
        <v>TRUE</v>
      </c>
      <c r="X881" s="31" t="str">
        <f t="shared" si="98"/>
        <v/>
      </c>
      <c r="Y881" s="10" t="s">
        <v>1040</v>
      </c>
      <c r="Z881" s="10" t="s">
        <v>910</v>
      </c>
      <c r="AL881" s="10" t="str">
        <f t="shared" si="93"/>
        <v>FALSE</v>
      </c>
      <c r="AM881" s="10" t="str">
        <f t="shared" si="93"/>
        <v>FALSE</v>
      </c>
      <c r="AN881" s="10" t="str">
        <f t="shared" si="93"/>
        <v>FALSE</v>
      </c>
      <c r="AO881" s="10" t="str">
        <f t="shared" si="94"/>
        <v>FALSE</v>
      </c>
      <c r="AP881" s="10" t="str">
        <f t="shared" si="94"/>
        <v>FALSE</v>
      </c>
      <c r="AQ881" s="10" t="b">
        <f>IF(AND(I881="TP",S881&lt;=150),VLOOKUP(AF881,TPCalibEq150!$AZ$2:$BB$55,3,),IF(AND(I881="TDP",S881&lt;=150),VLOOKUP(AF881,TPCalibEq150!$AZ$2:$BB$55,3,)))</f>
        <v>0</v>
      </c>
      <c r="AR881" s="10" t="b">
        <f>IF(AND(I881="TP",S881&lt;=300),VLOOKUP(AF881,TPCalibEq300!$AZ$2:$BB$55,3,),IF(AND(I881="TDP",S881&lt;=300),VLOOKUP(AF881,TPCalibEq300!$AZ$2:$BB$55,3,)))</f>
        <v>0</v>
      </c>
      <c r="AS881" s="10" t="b">
        <f>IF(AND(I881="TP",S881&lt;=500),VLOOKUP(AF881,TPCalibEq500!$AZ$2:$BB$56,3,),IF(AND(I881="TDP",S881&lt;=500),VLOOKUP(AF881,TPCalibEq500!$AZ$2:$BB$56,3,)))</f>
        <v>0</v>
      </c>
      <c r="AT881" s="10" t="b">
        <f>IF(AND(I881="TN",S881&lt;=2800),VLOOKUP(AF881,TNCalibEq2500!$AZ$2:$BB$56,3,),IF(AND(I881="TDN",S881&lt;=2800),VLOOKUP(AF881,TNCalibEq2500!$AZ$2:$BB$56,3,)))</f>
        <v>0</v>
      </c>
      <c r="AU881" s="10" t="b">
        <f>IF(I881="TP",VLOOKUP(AF881,TPCalibEqFull!$AZ$2:$BB$56,3),IF(I881="TDP",VLOOKUP(AF881,TPCalibEqFull!$AZ$2:$BB$56,3),IF(I881="TDN",VLOOKUP(AF881,TNCalibEqFull!$AZ$1:$BB$56,3),IF(I881="TN",VLOOKUP(AF881,TNCalibEqFull!$AZ$1:$BB$56,3),FALSE))))</f>
        <v>0</v>
      </c>
      <c r="AV881" s="10" t="str">
        <f t="shared" si="99"/>
        <v>0117 07:45:00-EFK-0-FIL-1-SW-UKN</v>
      </c>
    </row>
    <row r="882" spans="1:48" s="10" customFormat="1" x14ac:dyDescent="0.55000000000000004">
      <c r="A882" s="32">
        <v>44943</v>
      </c>
      <c r="B882" s="33">
        <v>0.32083333333333336</v>
      </c>
      <c r="C882" s="10" t="s">
        <v>333</v>
      </c>
      <c r="D882" s="10">
        <v>0</v>
      </c>
      <c r="E882" s="10" t="s">
        <v>911</v>
      </c>
      <c r="F882" s="10">
        <v>1</v>
      </c>
      <c r="G882" s="10" t="s">
        <v>231</v>
      </c>
      <c r="H882" s="10" t="s">
        <v>322</v>
      </c>
      <c r="I882" s="10" t="s">
        <v>75</v>
      </c>
      <c r="J882" s="10">
        <v>36</v>
      </c>
      <c r="K882" s="12">
        <v>44950</v>
      </c>
      <c r="L882" s="33">
        <v>0.50288194444444445</v>
      </c>
      <c r="M882" s="10">
        <v>1</v>
      </c>
      <c r="N882" s="10" t="s">
        <v>76</v>
      </c>
      <c r="O882" s="10">
        <v>0.24199999999999999</v>
      </c>
      <c r="P882" s="10">
        <v>2.1299999999999999E-2</v>
      </c>
      <c r="Q882" s="10">
        <v>15.6</v>
      </c>
      <c r="R882" s="10" t="s">
        <v>77</v>
      </c>
      <c r="S882" s="34">
        <f t="shared" si="95"/>
        <v>15.6</v>
      </c>
      <c r="T882" s="10" t="s">
        <v>1047</v>
      </c>
      <c r="U882" s="34" t="str">
        <f t="shared" si="96"/>
        <v/>
      </c>
      <c r="V882" s="31" t="str">
        <f>IF(H882="CHK",VLOOKUP(I882,QCCHK,3,),IF(H882="GUP",VLOOKUP(E882,QCGUP,2,),IF(AND(H882="ATP",OR(I882="TN",I882="TDN",I882="TNO2-3",I882="NO2-3")),VLOOKUP(E882,QCREC_N,2,),IF(AND(H882="NIC",OR(I882="TN",I882="TDN",I882="TNO2-3",I882="NO2-3")),VLOOKUP(E882,QCNIC_N,2,),IF(AND(H882="UREA",OR(I882="TN",I882="TDN",I882="TNO2-3",I882="NO2-3")),VLOOKUP(E882,QCUREA_N,2,),IF(H882="PER",VLOOKUP(I882,QCPER,MATCH(E882,QCACTUAL!$J$25:$AA$25,0),),IF(H882="SPK",VLOOKUP(I882,QCSPK,3,),IF(AND(H882="ATP",OR(I882="TP",I882="TDP")),VLOOKUP(E882,QCATP_P,2,),""))))))))</f>
        <v/>
      </c>
      <c r="W882" s="31" t="str">
        <f t="shared" si="97"/>
        <v>TRUE</v>
      </c>
      <c r="X882" s="31" t="str">
        <f t="shared" si="98"/>
        <v/>
      </c>
      <c r="Y882" s="10" t="s">
        <v>1040</v>
      </c>
      <c r="Z882" s="10" t="s">
        <v>910</v>
      </c>
      <c r="AL882" s="10" t="str">
        <f t="shared" si="93"/>
        <v>FALSE</v>
      </c>
      <c r="AM882" s="10" t="str">
        <f t="shared" si="93"/>
        <v>FALSE</v>
      </c>
      <c r="AN882" s="10" t="str">
        <f t="shared" si="93"/>
        <v>FALSE</v>
      </c>
      <c r="AO882" s="10" t="str">
        <f t="shared" si="94"/>
        <v>FALSE</v>
      </c>
      <c r="AP882" s="10" t="str">
        <f t="shared" si="94"/>
        <v>FALSE</v>
      </c>
      <c r="AQ882" s="10" t="b">
        <f>IF(AND(I882="TP",S882&lt;=150),VLOOKUP(AF882,TPCalibEq150!$AZ$2:$BB$55,3,),IF(AND(I882="TDP",S882&lt;=150),VLOOKUP(AF882,TPCalibEq150!$AZ$2:$BB$55,3,)))</f>
        <v>0</v>
      </c>
      <c r="AR882" s="10" t="b">
        <f>IF(AND(I882="TP",S882&lt;=300),VLOOKUP(AF882,TPCalibEq300!$AZ$2:$BB$55,3,),IF(AND(I882="TDP",S882&lt;=300),VLOOKUP(AF882,TPCalibEq300!$AZ$2:$BB$55,3,)))</f>
        <v>0</v>
      </c>
      <c r="AS882" s="10" t="b">
        <f>IF(AND(I882="TP",S882&lt;=500),VLOOKUP(AF882,TPCalibEq500!$AZ$2:$BB$56,3,),IF(AND(I882="TDP",S882&lt;=500),VLOOKUP(AF882,TPCalibEq500!$AZ$2:$BB$56,3,)))</f>
        <v>0</v>
      </c>
      <c r="AT882" s="10" t="b">
        <f>IF(AND(I882="TN",S882&lt;=2800),VLOOKUP(AF882,TNCalibEq2500!$AZ$2:$BB$56,3,),IF(AND(I882="TDN",S882&lt;=2800),VLOOKUP(AF882,TNCalibEq2500!$AZ$2:$BB$56,3,)))</f>
        <v>0</v>
      </c>
      <c r="AU882" s="10" t="b">
        <f>IF(I882="TP",VLOOKUP(AF882,TPCalibEqFull!$AZ$2:$BB$56,3),IF(I882="TDP",VLOOKUP(AF882,TPCalibEqFull!$AZ$2:$BB$56,3),IF(I882="TDN",VLOOKUP(AF882,TNCalibEqFull!$AZ$1:$BB$56,3),IF(I882="TN",VLOOKUP(AF882,TNCalibEqFull!$AZ$1:$BB$56,3),FALSE))))</f>
        <v>0</v>
      </c>
      <c r="AV882" s="10" t="str">
        <f t="shared" si="99"/>
        <v>0117 07:42:00-HST-0-FIL-1-SW-UKN</v>
      </c>
    </row>
    <row r="883" spans="1:48" s="10" customFormat="1" x14ac:dyDescent="0.55000000000000004">
      <c r="A883" s="32">
        <v>44944</v>
      </c>
      <c r="B883" s="33">
        <v>0.36249999999999999</v>
      </c>
      <c r="C883" s="10" t="s">
        <v>279</v>
      </c>
      <c r="D883" s="10">
        <v>0</v>
      </c>
      <c r="E883" s="10" t="s">
        <v>911</v>
      </c>
      <c r="F883" s="10">
        <v>1</v>
      </c>
      <c r="G883" s="10" t="s">
        <v>231</v>
      </c>
      <c r="H883" s="10" t="s">
        <v>322</v>
      </c>
      <c r="I883" s="10" t="s">
        <v>75</v>
      </c>
      <c r="J883" s="10">
        <v>37</v>
      </c>
      <c r="K883" s="12">
        <v>44950</v>
      </c>
      <c r="L883" s="33">
        <v>0.50369212962962961</v>
      </c>
      <c r="M883" s="10">
        <v>1</v>
      </c>
      <c r="N883" s="10" t="s">
        <v>76</v>
      </c>
      <c r="O883" s="10">
        <v>0.223</v>
      </c>
      <c r="P883" s="10">
        <v>2.01E-2</v>
      </c>
      <c r="Q883" s="10">
        <v>14.3</v>
      </c>
      <c r="R883" s="10" t="s">
        <v>77</v>
      </c>
      <c r="S883" s="34">
        <f t="shared" si="95"/>
        <v>14.3</v>
      </c>
      <c r="T883" s="10" t="s">
        <v>1047</v>
      </c>
      <c r="U883" s="34" t="str">
        <f t="shared" si="96"/>
        <v/>
      </c>
      <c r="V883" s="31" t="str">
        <f>IF(H883="CHK",VLOOKUP(I883,QCCHK,3,),IF(H883="GUP",VLOOKUP(E883,QCGUP,2,),IF(AND(H883="ATP",OR(I883="TN",I883="TDN",I883="TNO2-3",I883="NO2-3")),VLOOKUP(E883,QCREC_N,2,),IF(AND(H883="NIC",OR(I883="TN",I883="TDN",I883="TNO2-3",I883="NO2-3")),VLOOKUP(E883,QCNIC_N,2,),IF(AND(H883="UREA",OR(I883="TN",I883="TDN",I883="TNO2-3",I883="NO2-3")),VLOOKUP(E883,QCUREA_N,2,),IF(H883="PER",VLOOKUP(I883,QCPER,MATCH(E883,QCACTUAL!$J$25:$AA$25,0),),IF(H883="SPK",VLOOKUP(I883,QCSPK,3,),IF(AND(H883="ATP",OR(I883="TP",I883="TDP")),VLOOKUP(E883,QCATP_P,2,),""))))))))</f>
        <v/>
      </c>
      <c r="W883" s="31" t="str">
        <f t="shared" si="97"/>
        <v>TRUE</v>
      </c>
      <c r="X883" s="31" t="str">
        <f t="shared" si="98"/>
        <v/>
      </c>
      <c r="Y883" s="10" t="s">
        <v>1040</v>
      </c>
      <c r="Z883" s="10" t="s">
        <v>910</v>
      </c>
      <c r="AL883" s="10" t="str">
        <f t="shared" si="93"/>
        <v>FALSE</v>
      </c>
      <c r="AM883" s="10" t="str">
        <f t="shared" si="93"/>
        <v>FALSE</v>
      </c>
      <c r="AN883" s="10" t="str">
        <f t="shared" si="93"/>
        <v>FALSE</v>
      </c>
      <c r="AO883" s="10" t="str">
        <f t="shared" si="94"/>
        <v>FALSE</v>
      </c>
      <c r="AP883" s="10" t="str">
        <f t="shared" si="94"/>
        <v>FALSE</v>
      </c>
      <c r="AQ883" s="10" t="b">
        <f>IF(AND(I883="TP",S883&lt;=150),VLOOKUP(AF883,TPCalibEq150!$AZ$2:$BB$55,3,),IF(AND(I883="TDP",S883&lt;=150),VLOOKUP(AF883,TPCalibEq150!$AZ$2:$BB$55,3,)))</f>
        <v>0</v>
      </c>
      <c r="AR883" s="10" t="b">
        <f>IF(AND(I883="TP",S883&lt;=300),VLOOKUP(AF883,TPCalibEq300!$AZ$2:$BB$55,3,),IF(AND(I883="TDP",S883&lt;=300),VLOOKUP(AF883,TPCalibEq300!$AZ$2:$BB$55,3,)))</f>
        <v>0</v>
      </c>
      <c r="AS883" s="10" t="b">
        <f>IF(AND(I883="TP",S883&lt;=500),VLOOKUP(AF883,TPCalibEq500!$AZ$2:$BB$56,3,),IF(AND(I883="TDP",S883&lt;=500),VLOOKUP(AF883,TPCalibEq500!$AZ$2:$BB$56,3,)))</f>
        <v>0</v>
      </c>
      <c r="AT883" s="10" t="b">
        <f>IF(AND(I883="TN",S883&lt;=2800),VLOOKUP(AF883,TNCalibEq2500!$AZ$2:$BB$56,3,),IF(AND(I883="TDN",S883&lt;=2800),VLOOKUP(AF883,TNCalibEq2500!$AZ$2:$BB$56,3,)))</f>
        <v>0</v>
      </c>
      <c r="AU883" s="10" t="b">
        <f>IF(I883="TP",VLOOKUP(AF883,TPCalibEqFull!$AZ$2:$BB$56,3),IF(I883="TDP",VLOOKUP(AF883,TPCalibEqFull!$AZ$2:$BB$56,3),IF(I883="TDN",VLOOKUP(AF883,TNCalibEqFull!$AZ$1:$BB$56,3),IF(I883="TN",VLOOKUP(AF883,TNCalibEqFull!$AZ$1:$BB$56,3),FALSE))))</f>
        <v>0</v>
      </c>
      <c r="AV883" s="10" t="str">
        <f t="shared" si="99"/>
        <v>0118 08:42:00-EFK-0-FIL-1-SW-UKN</v>
      </c>
    </row>
    <row r="884" spans="1:48" s="10" customFormat="1" x14ac:dyDescent="0.55000000000000004">
      <c r="A884" s="32">
        <v>44944</v>
      </c>
      <c r="B884" s="33">
        <v>0.36805555555555558</v>
      </c>
      <c r="C884" s="10" t="s">
        <v>333</v>
      </c>
      <c r="D884" s="10">
        <v>0</v>
      </c>
      <c r="E884" s="10" t="s">
        <v>911</v>
      </c>
      <c r="F884" s="10">
        <v>1</v>
      </c>
      <c r="G884" s="10" t="s">
        <v>231</v>
      </c>
      <c r="H884" s="10" t="s">
        <v>322</v>
      </c>
      <c r="I884" s="10" t="s">
        <v>75</v>
      </c>
      <c r="J884" s="10">
        <v>38</v>
      </c>
      <c r="K884" s="12">
        <v>44950</v>
      </c>
      <c r="L884" s="33">
        <v>0.50451388888888882</v>
      </c>
      <c r="M884" s="10">
        <v>1</v>
      </c>
      <c r="N884" s="10" t="s">
        <v>76</v>
      </c>
      <c r="O884" s="10">
        <v>0.127</v>
      </c>
      <c r="P884" s="10">
        <v>1.09E-2</v>
      </c>
      <c r="Q884" s="10">
        <v>8.18</v>
      </c>
      <c r="R884" s="10" t="s">
        <v>77</v>
      </c>
      <c r="S884" s="34">
        <f t="shared" si="95"/>
        <v>8.18</v>
      </c>
      <c r="T884" s="10" t="s">
        <v>1047</v>
      </c>
      <c r="U884" s="34" t="str">
        <f t="shared" si="96"/>
        <v/>
      </c>
      <c r="V884" s="31" t="str">
        <f>IF(H884="CHK",VLOOKUP(I884,QCCHK,3,),IF(H884="GUP",VLOOKUP(E884,QCGUP,2,),IF(AND(H884="ATP",OR(I884="TN",I884="TDN",I884="TNO2-3",I884="NO2-3")),VLOOKUP(E884,QCREC_N,2,),IF(AND(H884="NIC",OR(I884="TN",I884="TDN",I884="TNO2-3",I884="NO2-3")),VLOOKUP(E884,QCNIC_N,2,),IF(AND(H884="UREA",OR(I884="TN",I884="TDN",I884="TNO2-3",I884="NO2-3")),VLOOKUP(E884,QCUREA_N,2,),IF(H884="PER",VLOOKUP(I884,QCPER,MATCH(E884,QCACTUAL!$J$25:$AA$25,0),),IF(H884="SPK",VLOOKUP(I884,QCSPK,3,),IF(AND(H884="ATP",OR(I884="TP",I884="TDP")),VLOOKUP(E884,QCATP_P,2,),""))))))))</f>
        <v/>
      </c>
      <c r="W884" s="31" t="str">
        <f t="shared" si="97"/>
        <v>TRUE</v>
      </c>
      <c r="X884" s="31" t="str">
        <f t="shared" si="98"/>
        <v/>
      </c>
      <c r="Y884" s="10" t="s">
        <v>1040</v>
      </c>
      <c r="Z884" s="10" t="s">
        <v>910</v>
      </c>
      <c r="AL884" s="10" t="str">
        <f t="shared" si="93"/>
        <v>FALSE</v>
      </c>
      <c r="AM884" s="10" t="str">
        <f t="shared" si="93"/>
        <v>FALSE</v>
      </c>
      <c r="AN884" s="10" t="str">
        <f t="shared" si="93"/>
        <v>FALSE</v>
      </c>
      <c r="AO884" s="10" t="str">
        <f t="shared" si="94"/>
        <v>FALSE</v>
      </c>
      <c r="AP884" s="10" t="str">
        <f t="shared" si="94"/>
        <v>FALSE</v>
      </c>
      <c r="AQ884" s="10" t="b">
        <f>IF(AND(I884="TP",S884&lt;=150),VLOOKUP(AF884,TPCalibEq150!$AZ$2:$BB$55,3,),IF(AND(I884="TDP",S884&lt;=150),VLOOKUP(AF884,TPCalibEq150!$AZ$2:$BB$55,3,)))</f>
        <v>0</v>
      </c>
      <c r="AR884" s="10" t="b">
        <f>IF(AND(I884="TP",S884&lt;=300),VLOOKUP(AF884,TPCalibEq300!$AZ$2:$BB$55,3,),IF(AND(I884="TDP",S884&lt;=300),VLOOKUP(AF884,TPCalibEq300!$AZ$2:$BB$55,3,)))</f>
        <v>0</v>
      </c>
      <c r="AS884" s="10" t="b">
        <f>IF(AND(I884="TP",S884&lt;=500),VLOOKUP(AF884,TPCalibEq500!$AZ$2:$BB$56,3,),IF(AND(I884="TDP",S884&lt;=500),VLOOKUP(AF884,TPCalibEq500!$AZ$2:$BB$56,3,)))</f>
        <v>0</v>
      </c>
      <c r="AT884" s="10" t="b">
        <f>IF(AND(I884="TN",S884&lt;=2800),VLOOKUP(AF884,TNCalibEq2500!$AZ$2:$BB$56,3,),IF(AND(I884="TDN",S884&lt;=2800),VLOOKUP(AF884,TNCalibEq2500!$AZ$2:$BB$56,3,)))</f>
        <v>0</v>
      </c>
      <c r="AU884" s="10" t="b">
        <f>IF(I884="TP",VLOOKUP(AF884,TPCalibEqFull!$AZ$2:$BB$56,3),IF(I884="TDP",VLOOKUP(AF884,TPCalibEqFull!$AZ$2:$BB$56,3),IF(I884="TDN",VLOOKUP(AF884,TNCalibEqFull!$AZ$1:$BB$56,3),IF(I884="TN",VLOOKUP(AF884,TNCalibEqFull!$AZ$1:$BB$56,3),FALSE))))</f>
        <v>0</v>
      </c>
      <c r="AV884" s="10" t="str">
        <f t="shared" si="99"/>
        <v>0118 08:50:00-HST-0-FIL-1-SW-UKN</v>
      </c>
    </row>
    <row r="885" spans="1:48" s="10" customFormat="1" x14ac:dyDescent="0.55000000000000004">
      <c r="A885" s="32">
        <v>44944</v>
      </c>
      <c r="B885" s="33">
        <v>0.36805555555555558</v>
      </c>
      <c r="C885" s="10" t="s">
        <v>333</v>
      </c>
      <c r="D885" s="10">
        <v>0</v>
      </c>
      <c r="E885" s="10" t="s">
        <v>911</v>
      </c>
      <c r="F885" s="10">
        <v>1</v>
      </c>
      <c r="G885" s="10" t="s">
        <v>231</v>
      </c>
      <c r="H885" s="10" t="s">
        <v>233</v>
      </c>
      <c r="I885" s="10" t="s">
        <v>75</v>
      </c>
      <c r="J885" s="10">
        <v>38</v>
      </c>
      <c r="K885" s="12">
        <v>44950</v>
      </c>
      <c r="L885" s="33">
        <v>0.50533564814814813</v>
      </c>
      <c r="M885" s="10">
        <v>1</v>
      </c>
      <c r="N885" s="10" t="s">
        <v>76</v>
      </c>
      <c r="O885" s="10">
        <v>0.14099999999999999</v>
      </c>
      <c r="P885" s="10">
        <v>1.24E-2</v>
      </c>
      <c r="Q885" s="10">
        <v>9.06</v>
      </c>
      <c r="R885" s="10" t="s">
        <v>77</v>
      </c>
      <c r="S885" s="34">
        <f t="shared" si="95"/>
        <v>9.06</v>
      </c>
      <c r="T885" s="10" t="s">
        <v>1047</v>
      </c>
      <c r="U885" s="34">
        <f t="shared" si="96"/>
        <v>10.208816705336435</v>
      </c>
      <c r="V885" s="31" t="str">
        <f>IF(H885="CHK",VLOOKUP(I885,QCCHK,3,),IF(H885="GUP",VLOOKUP(E885,QCGUP,2,),IF(AND(H885="ATP",OR(I885="TN",I885="TDN",I885="TNO2-3",I885="NO2-3")),VLOOKUP(E885,QCREC_N,2,),IF(AND(H885="NIC",OR(I885="TN",I885="TDN",I885="TNO2-3",I885="NO2-3")),VLOOKUP(E885,QCNIC_N,2,),IF(AND(H885="UREA",OR(I885="TN",I885="TDN",I885="TNO2-3",I885="NO2-3")),VLOOKUP(E885,QCUREA_N,2,),IF(H885="PER",VLOOKUP(I885,QCPER,MATCH(E885,QCACTUAL!$J$25:$AA$25,0),),IF(H885="SPK",VLOOKUP(I885,QCSPK,3,),IF(AND(H885="ATP",OR(I885="TP",I885="TDP")),VLOOKUP(E885,QCATP_P,2,),""))))))))</f>
        <v/>
      </c>
      <c r="W885" s="31" t="str">
        <f t="shared" si="97"/>
        <v>TRUE</v>
      </c>
      <c r="X885" s="31" t="str">
        <f t="shared" si="98"/>
        <v>((ABS(rep1-rep2))/((rep1+rep2)/2)*100</v>
      </c>
      <c r="Y885" s="10" t="s">
        <v>1040</v>
      </c>
      <c r="Z885" s="10" t="s">
        <v>910</v>
      </c>
      <c r="AL885" s="10" t="str">
        <f t="shared" si="93"/>
        <v>FALSE</v>
      </c>
      <c r="AM885" s="10" t="str">
        <f t="shared" si="93"/>
        <v>FALSE</v>
      </c>
      <c r="AN885" s="10" t="str">
        <f t="shared" si="93"/>
        <v>FALSE</v>
      </c>
      <c r="AO885" s="10" t="str">
        <f t="shared" si="94"/>
        <v>FALSE</v>
      </c>
      <c r="AP885" s="10" t="str">
        <f t="shared" si="94"/>
        <v>FALSE</v>
      </c>
      <c r="AQ885" s="10" t="b">
        <f>IF(AND(I885="TP",S885&lt;=150),VLOOKUP(AF885,TPCalibEq150!$AZ$2:$BB$55,3,),IF(AND(I885="TDP",S885&lt;=150),VLOOKUP(AF885,TPCalibEq150!$AZ$2:$BB$55,3,)))</f>
        <v>0</v>
      </c>
      <c r="AR885" s="10" t="b">
        <f>IF(AND(I885="TP",S885&lt;=300),VLOOKUP(AF885,TPCalibEq300!$AZ$2:$BB$55,3,),IF(AND(I885="TDP",S885&lt;=300),VLOOKUP(AF885,TPCalibEq300!$AZ$2:$BB$55,3,)))</f>
        <v>0</v>
      </c>
      <c r="AS885" s="10" t="b">
        <f>IF(AND(I885="TP",S885&lt;=500),VLOOKUP(AF885,TPCalibEq500!$AZ$2:$BB$56,3,),IF(AND(I885="TDP",S885&lt;=500),VLOOKUP(AF885,TPCalibEq500!$AZ$2:$BB$56,3,)))</f>
        <v>0</v>
      </c>
      <c r="AT885" s="10" t="b">
        <f>IF(AND(I885="TN",S885&lt;=2800),VLOOKUP(AF885,TNCalibEq2500!$AZ$2:$BB$56,3,),IF(AND(I885="TDN",S885&lt;=2800),VLOOKUP(AF885,TNCalibEq2500!$AZ$2:$BB$56,3,)))</f>
        <v>0</v>
      </c>
      <c r="AU885" s="10" t="b">
        <f>IF(I885="TP",VLOOKUP(AF885,TPCalibEqFull!$AZ$2:$BB$56,3),IF(I885="TDP",VLOOKUP(AF885,TPCalibEqFull!$AZ$2:$BB$56,3),IF(I885="TDN",VLOOKUP(AF885,TNCalibEqFull!$AZ$1:$BB$56,3),IF(I885="TN",VLOOKUP(AF885,TNCalibEqFull!$AZ$1:$BB$56,3),FALSE))))</f>
        <v>0</v>
      </c>
      <c r="AV885" s="10" t="str">
        <f t="shared" si="99"/>
        <v>0118 08:50:00-HST-0-FIL-1-SW-DUP</v>
      </c>
    </row>
    <row r="886" spans="1:48" s="10" customFormat="1" x14ac:dyDescent="0.55000000000000004">
      <c r="A886" s="32">
        <v>44944</v>
      </c>
      <c r="B886" s="33">
        <v>0.36805555555555558</v>
      </c>
      <c r="C886" s="10" t="s">
        <v>912</v>
      </c>
      <c r="D886" s="10">
        <v>0</v>
      </c>
      <c r="E886" s="10" t="s">
        <v>911</v>
      </c>
      <c r="F886" s="10">
        <v>1</v>
      </c>
      <c r="G886" s="10" t="s">
        <v>231</v>
      </c>
      <c r="H886" s="10" t="s">
        <v>314</v>
      </c>
      <c r="I886" s="10" t="s">
        <v>75</v>
      </c>
      <c r="J886" s="10">
        <v>60</v>
      </c>
      <c r="K886" s="12">
        <v>44950</v>
      </c>
      <c r="L886" s="33">
        <v>0.50614583333333341</v>
      </c>
      <c r="M886" s="10">
        <v>1</v>
      </c>
      <c r="N886" s="10" t="s">
        <v>76</v>
      </c>
      <c r="O886" s="10">
        <v>8.69</v>
      </c>
      <c r="P886" s="10">
        <v>0.85099999999999998</v>
      </c>
      <c r="Q886" s="10">
        <v>562</v>
      </c>
      <c r="R886" s="10" t="s">
        <v>77</v>
      </c>
      <c r="S886" s="34">
        <f t="shared" si="95"/>
        <v>562</v>
      </c>
      <c r="T886" s="10" t="s">
        <v>1047</v>
      </c>
      <c r="U886" s="34">
        <f t="shared" si="96"/>
        <v>88.470399999999998</v>
      </c>
      <c r="V886" s="31">
        <f>IF(H886="CHK",VLOOKUP(I886,QCCHK,3,),IF(H886="GUP",VLOOKUP(E886,QCGUP,2,),IF(AND(H886="ATP",OR(I886="TN",I886="TDN",I886="TNO2-3",I886="NO2-3")),VLOOKUP(E886,QCREC_N,2,),IF(AND(H886="NIC",OR(I886="TN",I886="TDN",I886="TNO2-3",I886="NO2-3")),VLOOKUP(E886,QCNIC_N,2,),IF(AND(H886="UREA",OR(I886="TN",I886="TDN",I886="TNO2-3",I886="NO2-3")),VLOOKUP(E886,QCUREA_N,2,),IF(H886="PER",VLOOKUP(I886,QCPER,MATCH(E886,QCACTUAL!$J$25:$AA$25,0),),IF(H886="SPK",VLOOKUP(I886,QCSPK,3,),IF(AND(H886="ATP",OR(I886="TP",I886="TDP")),VLOOKUP(E886,QCATP_P,2,),""))))))))</f>
        <v>625</v>
      </c>
      <c r="W886" s="31" t="str">
        <f t="shared" si="97"/>
        <v>TRUE</v>
      </c>
      <c r="X886" s="31" t="str">
        <f t="shared" si="98"/>
        <v>([spikedunkn]-[unkn])/[spike]*100</v>
      </c>
      <c r="Y886" s="10" t="s">
        <v>1040</v>
      </c>
      <c r="Z886" s="10" t="s">
        <v>910</v>
      </c>
      <c r="AL886" s="10" t="str">
        <f t="shared" si="93"/>
        <v>FALSE</v>
      </c>
      <c r="AM886" s="10" t="str">
        <f t="shared" si="93"/>
        <v>FALSE</v>
      </c>
      <c r="AN886" s="10" t="str">
        <f t="shared" si="93"/>
        <v>FALSE</v>
      </c>
      <c r="AO886" s="10" t="str">
        <f t="shared" si="94"/>
        <v>FALSE</v>
      </c>
      <c r="AP886" s="10" t="str">
        <f t="shared" si="94"/>
        <v>FALSE</v>
      </c>
      <c r="AQ886" s="10" t="b">
        <f>IF(AND(I886="TP",S886&lt;=150),VLOOKUP(AF886,TPCalibEq150!$AZ$2:$BB$55,3,),IF(AND(I886="TDP",S886&lt;=150),VLOOKUP(AF886,TPCalibEq150!$AZ$2:$BB$55,3,)))</f>
        <v>0</v>
      </c>
      <c r="AR886" s="10" t="b">
        <f>IF(AND(I886="TP",S886&lt;=300),VLOOKUP(AF886,TPCalibEq300!$AZ$2:$BB$55,3,),IF(AND(I886="TDP",S886&lt;=300),VLOOKUP(AF886,TPCalibEq300!$AZ$2:$BB$55,3,)))</f>
        <v>0</v>
      </c>
      <c r="AS886" s="10" t="b">
        <f>IF(AND(I886="TP",S886&lt;=500),VLOOKUP(AF886,TPCalibEq500!$AZ$2:$BB$56,3,),IF(AND(I886="TDP",S886&lt;=500),VLOOKUP(AF886,TPCalibEq500!$AZ$2:$BB$56,3,)))</f>
        <v>0</v>
      </c>
      <c r="AT886" s="10" t="b">
        <f>IF(AND(I886="TN",S886&lt;=2800),VLOOKUP(AF886,TNCalibEq2500!$AZ$2:$BB$56,3,),IF(AND(I886="TDN",S886&lt;=2800),VLOOKUP(AF886,TNCalibEq2500!$AZ$2:$BB$56,3,)))</f>
        <v>0</v>
      </c>
      <c r="AU886" s="10" t="b">
        <f>IF(I886="TP",VLOOKUP(AF886,TPCalibEqFull!$AZ$2:$BB$56,3),IF(I886="TDP",VLOOKUP(AF886,TPCalibEqFull!$AZ$2:$BB$56,3),IF(I886="TDN",VLOOKUP(AF886,TNCalibEqFull!$AZ$1:$BB$56,3),IF(I886="TN",VLOOKUP(AF886,TNCalibEqFull!$AZ$1:$BB$56,3),FALSE))))</f>
        <v>0</v>
      </c>
      <c r="AV886" s="10" t="str">
        <f t="shared" si="99"/>
        <v>0118 08:50:00-HST -0-FIL-1-SW-SPK</v>
      </c>
    </row>
    <row r="887" spans="1:48" s="10" customFormat="1" x14ac:dyDescent="0.55000000000000004">
      <c r="A887" s="32">
        <v>44950</v>
      </c>
      <c r="B887" s="33">
        <v>0.375</v>
      </c>
      <c r="C887" s="10" t="s">
        <v>70</v>
      </c>
      <c r="D887" s="10" t="s">
        <v>71</v>
      </c>
      <c r="E887" s="10" t="s">
        <v>901</v>
      </c>
      <c r="F887" s="10">
        <v>1</v>
      </c>
      <c r="G887" s="10" t="s">
        <v>73</v>
      </c>
      <c r="H887" s="10" t="s">
        <v>207</v>
      </c>
      <c r="I887" s="10" t="s">
        <v>75</v>
      </c>
      <c r="J887" s="10">
        <v>200</v>
      </c>
      <c r="K887" s="12">
        <v>44950</v>
      </c>
      <c r="L887" s="33">
        <v>0.50696759259259261</v>
      </c>
      <c r="M887" s="10">
        <v>1</v>
      </c>
      <c r="N887" s="10" t="s">
        <v>76</v>
      </c>
      <c r="O887" s="10">
        <v>4.67</v>
      </c>
      <c r="P887" s="10">
        <v>0.45500000000000002</v>
      </c>
      <c r="Q887" s="10">
        <v>301</v>
      </c>
      <c r="R887" s="10" t="s">
        <v>77</v>
      </c>
      <c r="S887" s="34">
        <f t="shared" si="95"/>
        <v>301</v>
      </c>
      <c r="T887" s="10" t="s">
        <v>1047</v>
      </c>
      <c r="U887" s="34">
        <f t="shared" si="96"/>
        <v>100.33333333333334</v>
      </c>
      <c r="V887" s="31">
        <f>IF(H887="CHK",VLOOKUP(I887,QCCHK,3,),IF(H887="GUP",VLOOKUP(E887,QCGUP,2,),IF(AND(H887="ATP",OR(I887="TN",I887="TDN",I887="TNO2-3",I887="NO2-3")),VLOOKUP(E887,QCREC_N,2,),IF(AND(H887="NIC",OR(I887="TN",I887="TDN",I887="TNO2-3",I887="NO2-3")),VLOOKUP(E887,QCNIC_N,2,),IF(AND(H887="UREA",OR(I887="TN",I887="TDN",I887="TNO2-3",I887="NO2-3")),VLOOKUP(E887,QCUREA_N,2,),IF(H887="PER",VLOOKUP(I887,QCPER,MATCH(E887,QCACTUAL!$J$25:$AA$25,0),),IF(H887="SPK",VLOOKUP(I887,QCSPK,3,),IF(AND(H887="ATP",OR(I887="TP",I887="TDP")),VLOOKUP(E887,QCATP_P,2,),""))))))))</f>
        <v>300</v>
      </c>
      <c r="W887" s="31" t="str">
        <f t="shared" si="97"/>
        <v>TRUE</v>
      </c>
      <c r="X887" s="31" t="str">
        <f t="shared" si="98"/>
        <v>[chk]/[actual]*100</v>
      </c>
      <c r="Y887" s="10" t="s">
        <v>1040</v>
      </c>
      <c r="AL887" s="10" t="str">
        <f t="shared" si="93"/>
        <v>FALSE</v>
      </c>
      <c r="AM887" s="10" t="str">
        <f t="shared" si="93"/>
        <v>FALSE</v>
      </c>
      <c r="AN887" s="10" t="str">
        <f t="shared" si="93"/>
        <v>FALSE</v>
      </c>
      <c r="AO887" s="10" t="str">
        <f t="shared" si="94"/>
        <v>FALSE</v>
      </c>
      <c r="AP887" s="10" t="str">
        <f t="shared" si="94"/>
        <v>FALSE</v>
      </c>
      <c r="AQ887" s="10" t="b">
        <f>IF(AND(I887="TP",S887&lt;=150),VLOOKUP(AF887,TPCalibEq150!$AZ$2:$BB$55,3,),IF(AND(I887="TDP",S887&lt;=150),VLOOKUP(AF887,TPCalibEq150!$AZ$2:$BB$55,3,)))</f>
        <v>0</v>
      </c>
      <c r="AR887" s="10" t="b">
        <f>IF(AND(I887="TP",S887&lt;=300),VLOOKUP(AF887,TPCalibEq300!$AZ$2:$BB$55,3,),IF(AND(I887="TDP",S887&lt;=300),VLOOKUP(AF887,TPCalibEq300!$AZ$2:$BB$55,3,)))</f>
        <v>0</v>
      </c>
      <c r="AS887" s="10" t="b">
        <f>IF(AND(I887="TP",S887&lt;=500),VLOOKUP(AF887,TPCalibEq500!$AZ$2:$BB$56,3,),IF(AND(I887="TDP",S887&lt;=500),VLOOKUP(AF887,TPCalibEq500!$AZ$2:$BB$56,3,)))</f>
        <v>0</v>
      </c>
      <c r="AT887" s="10" t="b">
        <f>IF(AND(I887="TN",S887&lt;=2800),VLOOKUP(AF887,TNCalibEq2500!$AZ$2:$BB$56,3,),IF(AND(I887="TDN",S887&lt;=2800),VLOOKUP(AF887,TNCalibEq2500!$AZ$2:$BB$56,3,)))</f>
        <v>0</v>
      </c>
      <c r="AU887" s="10" t="b">
        <f>IF(I887="TP",VLOOKUP(AF887,TPCalibEqFull!$AZ$2:$BB$56,3),IF(I887="TDP",VLOOKUP(AF887,TPCalibEqFull!$AZ$2:$BB$56,3),IF(I887="TDN",VLOOKUP(AF887,TNCalibEqFull!$AZ$1:$BB$56,3),IF(I887="TN",VLOOKUP(AF887,TNCalibEqFull!$AZ$1:$BB$56,3),FALSE))))</f>
        <v>0</v>
      </c>
      <c r="AV887" s="10" t="str">
        <f t="shared" si="99"/>
        <v>0124 09:00:00-QAC-STD-D-1-DI-CHK</v>
      </c>
    </row>
    <row r="888" spans="1:48" s="10" customFormat="1" x14ac:dyDescent="0.55000000000000004">
      <c r="A888" s="32">
        <v>44945</v>
      </c>
      <c r="B888" s="33">
        <v>0.56041666666666667</v>
      </c>
      <c r="C888" s="10" t="s">
        <v>279</v>
      </c>
      <c r="D888" s="10">
        <v>0</v>
      </c>
      <c r="E888" s="10" t="s">
        <v>911</v>
      </c>
      <c r="F888" s="10">
        <v>1</v>
      </c>
      <c r="G888" s="10" t="s">
        <v>231</v>
      </c>
      <c r="H888" s="10" t="s">
        <v>322</v>
      </c>
      <c r="I888" s="10" t="s">
        <v>75</v>
      </c>
      <c r="J888" s="10">
        <v>39</v>
      </c>
      <c r="K888" s="12">
        <v>44950</v>
      </c>
      <c r="L888" s="33">
        <v>0.50777777777777777</v>
      </c>
      <c r="M888" s="10">
        <v>1</v>
      </c>
      <c r="N888" s="10" t="s">
        <v>76</v>
      </c>
      <c r="O888" s="10">
        <v>0.79700000000000004</v>
      </c>
      <c r="P888" s="10">
        <v>7.6899999999999996E-2</v>
      </c>
      <c r="Q888" s="10">
        <v>51.2</v>
      </c>
      <c r="R888" s="10" t="s">
        <v>77</v>
      </c>
      <c r="S888" s="34">
        <f t="shared" si="95"/>
        <v>51.2</v>
      </c>
      <c r="T888" s="10" t="s">
        <v>1047</v>
      </c>
      <c r="U888" s="34" t="str">
        <f t="shared" si="96"/>
        <v/>
      </c>
      <c r="V888" s="31" t="str">
        <f>IF(H888="CHK",VLOOKUP(I888,QCCHK,3,),IF(H888="GUP",VLOOKUP(E888,QCGUP,2,),IF(AND(H888="ATP",OR(I888="TN",I888="TDN",I888="TNO2-3",I888="NO2-3")),VLOOKUP(E888,QCREC_N,2,),IF(AND(H888="NIC",OR(I888="TN",I888="TDN",I888="TNO2-3",I888="NO2-3")),VLOOKUP(E888,QCNIC_N,2,),IF(AND(H888="UREA",OR(I888="TN",I888="TDN",I888="TNO2-3",I888="NO2-3")),VLOOKUP(E888,QCUREA_N,2,),IF(H888="PER",VLOOKUP(I888,QCPER,MATCH(E888,QCACTUAL!$J$25:$AA$25,0),),IF(H888="SPK",VLOOKUP(I888,QCSPK,3,),IF(AND(H888="ATP",OR(I888="TP",I888="TDP")),VLOOKUP(E888,QCATP_P,2,),""))))))))</f>
        <v/>
      </c>
      <c r="W888" s="31" t="str">
        <f t="shared" si="97"/>
        <v>TRUE</v>
      </c>
      <c r="X888" s="31" t="str">
        <f t="shared" si="98"/>
        <v/>
      </c>
      <c r="Y888" s="10" t="s">
        <v>1040</v>
      </c>
      <c r="Z888" s="10" t="s">
        <v>910</v>
      </c>
      <c r="AL888" s="10" t="str">
        <f t="shared" ref="AL888:AN951" si="100">IF($O888="", "", IF(AQ888&lt;&gt;"", SUBSTITUTE(SUBSTITUTE(AQ888, "x", "*"&amp;$O888&amp;"^", 1), "x", "*"&amp;$O888, 1), ""))</f>
        <v>FALSE</v>
      </c>
      <c r="AM888" s="10" t="str">
        <f t="shared" si="100"/>
        <v>FALSE</v>
      </c>
      <c r="AN888" s="10" t="str">
        <f t="shared" si="100"/>
        <v>FALSE</v>
      </c>
      <c r="AO888" s="10" t="str">
        <f t="shared" ref="AO888:AP951" si="101">IF($O888="", "FALSE", IF(AT888&lt;&gt;"FALSE", SUBSTITUTE(SUBSTITUTE(AT888, "x", "*"&amp;$O888&amp;"^", 1), "x", "*"&amp;$O888, 1), ""))</f>
        <v>FALSE</v>
      </c>
      <c r="AP888" s="10" t="str">
        <f t="shared" si="101"/>
        <v>FALSE</v>
      </c>
      <c r="AQ888" s="10" t="b">
        <f>IF(AND(I888="TP",S888&lt;=150),VLOOKUP(AF888,TPCalibEq150!$AZ$2:$BB$55,3,),IF(AND(I888="TDP",S888&lt;=150),VLOOKUP(AF888,TPCalibEq150!$AZ$2:$BB$55,3,)))</f>
        <v>0</v>
      </c>
      <c r="AR888" s="10" t="b">
        <f>IF(AND(I888="TP",S888&lt;=300),VLOOKUP(AF888,TPCalibEq300!$AZ$2:$BB$55,3,),IF(AND(I888="TDP",S888&lt;=300),VLOOKUP(AF888,TPCalibEq300!$AZ$2:$BB$55,3,)))</f>
        <v>0</v>
      </c>
      <c r="AS888" s="10" t="b">
        <f>IF(AND(I888="TP",S888&lt;=500),VLOOKUP(AF888,TPCalibEq500!$AZ$2:$BB$56,3,),IF(AND(I888="TDP",S888&lt;=500),VLOOKUP(AF888,TPCalibEq500!$AZ$2:$BB$56,3,)))</f>
        <v>0</v>
      </c>
      <c r="AT888" s="10" t="b">
        <f>IF(AND(I888="TN",S888&lt;=2800),VLOOKUP(AF888,TNCalibEq2500!$AZ$2:$BB$56,3,),IF(AND(I888="TDN",S888&lt;=2800),VLOOKUP(AF888,TNCalibEq2500!$AZ$2:$BB$56,3,)))</f>
        <v>0</v>
      </c>
      <c r="AU888" s="10" t="b">
        <f>IF(I888="TP",VLOOKUP(AF888,TPCalibEqFull!$AZ$2:$BB$56,3),IF(I888="TDP",VLOOKUP(AF888,TPCalibEqFull!$AZ$2:$BB$56,3),IF(I888="TDN",VLOOKUP(AF888,TNCalibEqFull!$AZ$1:$BB$56,3),IF(I888="TN",VLOOKUP(AF888,TNCalibEqFull!$AZ$1:$BB$56,3),FALSE))))</f>
        <v>0</v>
      </c>
      <c r="AV888" s="10" t="str">
        <f t="shared" si="99"/>
        <v>0119 13:27:00-EFK-0-FIL-1-SW-UKN</v>
      </c>
    </row>
    <row r="889" spans="1:48" s="10" customFormat="1" x14ac:dyDescent="0.55000000000000004">
      <c r="A889" s="32">
        <v>44945</v>
      </c>
      <c r="B889" s="33">
        <v>0.56736111111111109</v>
      </c>
      <c r="C889" s="10" t="s">
        <v>333</v>
      </c>
      <c r="D889" s="10">
        <v>0</v>
      </c>
      <c r="E889" s="10" t="s">
        <v>911</v>
      </c>
      <c r="F889" s="10">
        <v>1</v>
      </c>
      <c r="G889" s="10" t="s">
        <v>231</v>
      </c>
      <c r="H889" s="10" t="s">
        <v>322</v>
      </c>
      <c r="I889" s="10" t="s">
        <v>75</v>
      </c>
      <c r="J889" s="10">
        <v>40</v>
      </c>
      <c r="K889" s="12">
        <v>44950</v>
      </c>
      <c r="L889" s="33">
        <v>0.50858796296296294</v>
      </c>
      <c r="M889" s="10">
        <v>1</v>
      </c>
      <c r="N889" s="10" t="s">
        <v>76</v>
      </c>
      <c r="O889" s="10">
        <v>0.26400000000000001</v>
      </c>
      <c r="P889" s="10">
        <v>2.3900000000000001E-2</v>
      </c>
      <c r="Q889" s="10">
        <v>17</v>
      </c>
      <c r="R889" s="10" t="s">
        <v>77</v>
      </c>
      <c r="S889" s="34">
        <f t="shared" si="95"/>
        <v>17</v>
      </c>
      <c r="T889" s="10" t="s">
        <v>1047</v>
      </c>
      <c r="U889" s="34" t="str">
        <f t="shared" si="96"/>
        <v/>
      </c>
      <c r="V889" s="31" t="str">
        <f>IF(H889="CHK",VLOOKUP(I889,QCCHK,3,),IF(H889="GUP",VLOOKUP(E889,QCGUP,2,),IF(AND(H889="ATP",OR(I889="TN",I889="TDN",I889="TNO2-3",I889="NO2-3")),VLOOKUP(E889,QCREC_N,2,),IF(AND(H889="NIC",OR(I889="TN",I889="TDN",I889="TNO2-3",I889="NO2-3")),VLOOKUP(E889,QCNIC_N,2,),IF(AND(H889="UREA",OR(I889="TN",I889="TDN",I889="TNO2-3",I889="NO2-3")),VLOOKUP(E889,QCUREA_N,2,),IF(H889="PER",VLOOKUP(I889,QCPER,MATCH(E889,QCACTUAL!$J$25:$AA$25,0),),IF(H889="SPK",VLOOKUP(I889,QCSPK,3,),IF(AND(H889="ATP",OR(I889="TP",I889="TDP")),VLOOKUP(E889,QCATP_P,2,),""))))))))</f>
        <v/>
      </c>
      <c r="W889" s="31" t="str">
        <f t="shared" si="97"/>
        <v>TRUE</v>
      </c>
      <c r="X889" s="31" t="str">
        <f t="shared" si="98"/>
        <v/>
      </c>
      <c r="Y889" s="10" t="s">
        <v>1040</v>
      </c>
      <c r="Z889" s="10" t="s">
        <v>910</v>
      </c>
      <c r="AL889" s="10" t="str">
        <f t="shared" si="100"/>
        <v>FALSE</v>
      </c>
      <c r="AM889" s="10" t="str">
        <f t="shared" si="100"/>
        <v>FALSE</v>
      </c>
      <c r="AN889" s="10" t="str">
        <f t="shared" si="100"/>
        <v>FALSE</v>
      </c>
      <c r="AO889" s="10" t="str">
        <f t="shared" si="101"/>
        <v>FALSE</v>
      </c>
      <c r="AP889" s="10" t="str">
        <f t="shared" si="101"/>
        <v>FALSE</v>
      </c>
      <c r="AQ889" s="10" t="b">
        <f>IF(AND(I889="TP",S889&lt;=150),VLOOKUP(AF889,TPCalibEq150!$AZ$2:$BB$55,3,),IF(AND(I889="TDP",S889&lt;=150),VLOOKUP(AF889,TPCalibEq150!$AZ$2:$BB$55,3,)))</f>
        <v>0</v>
      </c>
      <c r="AR889" s="10" t="b">
        <f>IF(AND(I889="TP",S889&lt;=300),VLOOKUP(AF889,TPCalibEq300!$AZ$2:$BB$55,3,),IF(AND(I889="TDP",S889&lt;=300),VLOOKUP(AF889,TPCalibEq300!$AZ$2:$BB$55,3,)))</f>
        <v>0</v>
      </c>
      <c r="AS889" s="10" t="b">
        <f>IF(AND(I889="TP",S889&lt;=500),VLOOKUP(AF889,TPCalibEq500!$AZ$2:$BB$56,3,),IF(AND(I889="TDP",S889&lt;=500),VLOOKUP(AF889,TPCalibEq500!$AZ$2:$BB$56,3,)))</f>
        <v>0</v>
      </c>
      <c r="AT889" s="10" t="b">
        <f>IF(AND(I889="TN",S889&lt;=2800),VLOOKUP(AF889,TNCalibEq2500!$AZ$2:$BB$56,3,),IF(AND(I889="TDN",S889&lt;=2800),VLOOKUP(AF889,TNCalibEq2500!$AZ$2:$BB$56,3,)))</f>
        <v>0</v>
      </c>
      <c r="AU889" s="10" t="b">
        <f>IF(I889="TP",VLOOKUP(AF889,TPCalibEqFull!$AZ$2:$BB$56,3),IF(I889="TDP",VLOOKUP(AF889,TPCalibEqFull!$AZ$2:$BB$56,3),IF(I889="TDN",VLOOKUP(AF889,TNCalibEqFull!$AZ$1:$BB$56,3),IF(I889="TN",VLOOKUP(AF889,TNCalibEqFull!$AZ$1:$BB$56,3),FALSE))))</f>
        <v>0</v>
      </c>
      <c r="AV889" s="10" t="str">
        <f t="shared" si="99"/>
        <v>0119 13:37:00-HST-0-FIL-1-SW-UKN</v>
      </c>
    </row>
    <row r="890" spans="1:48" s="10" customFormat="1" x14ac:dyDescent="0.55000000000000004">
      <c r="A890" s="32">
        <v>44946</v>
      </c>
      <c r="B890" s="33">
        <v>0.37013888888888885</v>
      </c>
      <c r="C890" s="10" t="s">
        <v>279</v>
      </c>
      <c r="D890" s="10">
        <v>0</v>
      </c>
      <c r="E890" s="10" t="s">
        <v>911</v>
      </c>
      <c r="F890" s="10">
        <v>1</v>
      </c>
      <c r="G890" s="10" t="s">
        <v>231</v>
      </c>
      <c r="H890" s="10" t="s">
        <v>322</v>
      </c>
      <c r="I890" s="10" t="s">
        <v>75</v>
      </c>
      <c r="J890" s="10">
        <v>41</v>
      </c>
      <c r="K890" s="12">
        <v>44950</v>
      </c>
      <c r="L890" s="33">
        <v>0.5093981481481481</v>
      </c>
      <c r="M890" s="10">
        <v>1</v>
      </c>
      <c r="N890" s="10" t="s">
        <v>76</v>
      </c>
      <c r="O890" s="10">
        <v>0.98599999999999999</v>
      </c>
      <c r="P890" s="10">
        <v>9.4899999999999998E-2</v>
      </c>
      <c r="Q890" s="10">
        <v>63.4</v>
      </c>
      <c r="R890" s="10" t="s">
        <v>77</v>
      </c>
      <c r="S890" s="34">
        <f t="shared" si="95"/>
        <v>63.4</v>
      </c>
      <c r="T890" s="10" t="s">
        <v>1047</v>
      </c>
      <c r="U890" s="34" t="str">
        <f t="shared" si="96"/>
        <v/>
      </c>
      <c r="V890" s="31" t="str">
        <f>IF(H890="CHK",VLOOKUP(I890,QCCHK,3,),IF(H890="GUP",VLOOKUP(E890,QCGUP,2,),IF(AND(H890="ATP",OR(I890="TN",I890="TDN",I890="TNO2-3",I890="NO2-3")),VLOOKUP(E890,QCREC_N,2,),IF(AND(H890="NIC",OR(I890="TN",I890="TDN",I890="TNO2-3",I890="NO2-3")),VLOOKUP(E890,QCNIC_N,2,),IF(AND(H890="UREA",OR(I890="TN",I890="TDN",I890="TNO2-3",I890="NO2-3")),VLOOKUP(E890,QCUREA_N,2,),IF(H890="PER",VLOOKUP(I890,QCPER,MATCH(E890,QCACTUAL!$J$25:$AA$25,0),),IF(H890="SPK",VLOOKUP(I890,QCSPK,3,),IF(AND(H890="ATP",OR(I890="TP",I890="TDP")),VLOOKUP(E890,QCATP_P,2,),""))))))))</f>
        <v/>
      </c>
      <c r="W890" s="31" t="str">
        <f t="shared" si="97"/>
        <v>TRUE</v>
      </c>
      <c r="X890" s="31" t="str">
        <f t="shared" si="98"/>
        <v/>
      </c>
      <c r="Y890" s="10" t="s">
        <v>1040</v>
      </c>
      <c r="Z890" s="10" t="s">
        <v>910</v>
      </c>
      <c r="AL890" s="10" t="str">
        <f t="shared" si="100"/>
        <v>FALSE</v>
      </c>
      <c r="AM890" s="10" t="str">
        <f t="shared" si="100"/>
        <v>FALSE</v>
      </c>
      <c r="AN890" s="10" t="str">
        <f t="shared" si="100"/>
        <v>FALSE</v>
      </c>
      <c r="AO890" s="10" t="str">
        <f t="shared" si="101"/>
        <v>FALSE</v>
      </c>
      <c r="AP890" s="10" t="str">
        <f t="shared" si="101"/>
        <v>FALSE</v>
      </c>
      <c r="AQ890" s="10" t="b">
        <f>IF(AND(I890="TP",S890&lt;=150),VLOOKUP(AF890,TPCalibEq150!$AZ$2:$BB$55,3,),IF(AND(I890="TDP",S890&lt;=150),VLOOKUP(AF890,TPCalibEq150!$AZ$2:$BB$55,3,)))</f>
        <v>0</v>
      </c>
      <c r="AR890" s="10" t="b">
        <f>IF(AND(I890="TP",S890&lt;=300),VLOOKUP(AF890,TPCalibEq300!$AZ$2:$BB$55,3,),IF(AND(I890="TDP",S890&lt;=300),VLOOKUP(AF890,TPCalibEq300!$AZ$2:$BB$55,3,)))</f>
        <v>0</v>
      </c>
      <c r="AS890" s="10" t="b">
        <f>IF(AND(I890="TP",S890&lt;=500),VLOOKUP(AF890,TPCalibEq500!$AZ$2:$BB$56,3,),IF(AND(I890="TDP",S890&lt;=500),VLOOKUP(AF890,TPCalibEq500!$AZ$2:$BB$56,3,)))</f>
        <v>0</v>
      </c>
      <c r="AT890" s="10" t="b">
        <f>IF(AND(I890="TN",S890&lt;=2800),VLOOKUP(AF890,TNCalibEq2500!$AZ$2:$BB$56,3,),IF(AND(I890="TDN",S890&lt;=2800),VLOOKUP(AF890,TNCalibEq2500!$AZ$2:$BB$56,3,)))</f>
        <v>0</v>
      </c>
      <c r="AU890" s="10" t="b">
        <f>IF(I890="TP",VLOOKUP(AF890,TPCalibEqFull!$AZ$2:$BB$56,3),IF(I890="TDP",VLOOKUP(AF890,TPCalibEqFull!$AZ$2:$BB$56,3),IF(I890="TDN",VLOOKUP(AF890,TNCalibEqFull!$AZ$1:$BB$56,3),IF(I890="TN",VLOOKUP(AF890,TNCalibEqFull!$AZ$1:$BB$56,3),FALSE))))</f>
        <v>0</v>
      </c>
      <c r="AV890" s="10" t="str">
        <f t="shared" si="99"/>
        <v>0120 08:53:00-EFK-0-FIL-1-SW-UKN</v>
      </c>
    </row>
    <row r="891" spans="1:48" s="10" customFormat="1" x14ac:dyDescent="0.55000000000000004">
      <c r="A891" s="32">
        <v>44946</v>
      </c>
      <c r="B891" s="33">
        <v>0.37291666666666662</v>
      </c>
      <c r="C891" s="10" t="s">
        <v>333</v>
      </c>
      <c r="D891" s="10">
        <v>0</v>
      </c>
      <c r="E891" s="10" t="s">
        <v>911</v>
      </c>
      <c r="F891" s="10">
        <v>1</v>
      </c>
      <c r="G891" s="10" t="s">
        <v>231</v>
      </c>
      <c r="H891" s="10" t="s">
        <v>322</v>
      </c>
      <c r="I891" s="10" t="s">
        <v>75</v>
      </c>
      <c r="J891" s="10">
        <v>42</v>
      </c>
      <c r="K891" s="12">
        <v>44950</v>
      </c>
      <c r="L891" s="33">
        <v>0.51020833333333326</v>
      </c>
      <c r="M891" s="10">
        <v>1</v>
      </c>
      <c r="N891" s="10" t="s">
        <v>76</v>
      </c>
      <c r="O891" s="10">
        <v>0.14000000000000001</v>
      </c>
      <c r="P891" s="10">
        <v>1.37E-2</v>
      </c>
      <c r="Q891" s="10">
        <v>8.9700000000000006</v>
      </c>
      <c r="R891" s="10" t="s">
        <v>77</v>
      </c>
      <c r="S891" s="34">
        <f t="shared" si="95"/>
        <v>8.9700000000000006</v>
      </c>
      <c r="T891" s="10" t="s">
        <v>1047</v>
      </c>
      <c r="U891" s="34" t="str">
        <f t="shared" si="96"/>
        <v/>
      </c>
      <c r="V891" s="31" t="str">
        <f>IF(H891="CHK",VLOOKUP(I891,QCCHK,3,),IF(H891="GUP",VLOOKUP(E891,QCGUP,2,),IF(AND(H891="ATP",OR(I891="TN",I891="TDN",I891="TNO2-3",I891="NO2-3")),VLOOKUP(E891,QCREC_N,2,),IF(AND(H891="NIC",OR(I891="TN",I891="TDN",I891="TNO2-3",I891="NO2-3")),VLOOKUP(E891,QCNIC_N,2,),IF(AND(H891="UREA",OR(I891="TN",I891="TDN",I891="TNO2-3",I891="NO2-3")),VLOOKUP(E891,QCUREA_N,2,),IF(H891="PER",VLOOKUP(I891,QCPER,MATCH(E891,QCACTUAL!$J$25:$AA$25,0),),IF(H891="SPK",VLOOKUP(I891,QCSPK,3,),IF(AND(H891="ATP",OR(I891="TP",I891="TDP")),VLOOKUP(E891,QCATP_P,2,),""))))))))</f>
        <v/>
      </c>
      <c r="W891" s="31" t="str">
        <f t="shared" si="97"/>
        <v>TRUE</v>
      </c>
      <c r="X891" s="31" t="str">
        <f t="shared" si="98"/>
        <v/>
      </c>
      <c r="Y891" s="10" t="s">
        <v>1040</v>
      </c>
      <c r="Z891" s="10" t="s">
        <v>910</v>
      </c>
      <c r="AL891" s="10" t="str">
        <f t="shared" si="100"/>
        <v>FALSE</v>
      </c>
      <c r="AM891" s="10" t="str">
        <f t="shared" si="100"/>
        <v>FALSE</v>
      </c>
      <c r="AN891" s="10" t="str">
        <f t="shared" si="100"/>
        <v>FALSE</v>
      </c>
      <c r="AO891" s="10" t="str">
        <f t="shared" si="101"/>
        <v>FALSE</v>
      </c>
      <c r="AP891" s="10" t="str">
        <f t="shared" si="101"/>
        <v>FALSE</v>
      </c>
      <c r="AQ891" s="10" t="b">
        <f>IF(AND(I891="TP",S891&lt;=150),VLOOKUP(AF891,TPCalibEq150!$AZ$2:$BB$55,3,),IF(AND(I891="TDP",S891&lt;=150),VLOOKUP(AF891,TPCalibEq150!$AZ$2:$BB$55,3,)))</f>
        <v>0</v>
      </c>
      <c r="AR891" s="10" t="b">
        <f>IF(AND(I891="TP",S891&lt;=300),VLOOKUP(AF891,TPCalibEq300!$AZ$2:$BB$55,3,),IF(AND(I891="TDP",S891&lt;=300),VLOOKUP(AF891,TPCalibEq300!$AZ$2:$BB$55,3,)))</f>
        <v>0</v>
      </c>
      <c r="AS891" s="10" t="b">
        <f>IF(AND(I891="TP",S891&lt;=500),VLOOKUP(AF891,TPCalibEq500!$AZ$2:$BB$56,3,),IF(AND(I891="TDP",S891&lt;=500),VLOOKUP(AF891,TPCalibEq500!$AZ$2:$BB$56,3,)))</f>
        <v>0</v>
      </c>
      <c r="AT891" s="10" t="b">
        <f>IF(AND(I891="TN",S891&lt;=2800),VLOOKUP(AF891,TNCalibEq2500!$AZ$2:$BB$56,3,),IF(AND(I891="TDN",S891&lt;=2800),VLOOKUP(AF891,TNCalibEq2500!$AZ$2:$BB$56,3,)))</f>
        <v>0</v>
      </c>
      <c r="AU891" s="10" t="b">
        <f>IF(I891="TP",VLOOKUP(AF891,TPCalibEqFull!$AZ$2:$BB$56,3),IF(I891="TDP",VLOOKUP(AF891,TPCalibEqFull!$AZ$2:$BB$56,3),IF(I891="TDN",VLOOKUP(AF891,TNCalibEqFull!$AZ$1:$BB$56,3),IF(I891="TN",VLOOKUP(AF891,TNCalibEqFull!$AZ$1:$BB$56,3),FALSE))))</f>
        <v>0</v>
      </c>
      <c r="AV891" s="10" t="str">
        <f t="shared" si="99"/>
        <v>0120 08:57:00-HST-0-FIL-1-SW-UKN</v>
      </c>
    </row>
    <row r="892" spans="1:48" s="10" customFormat="1" x14ac:dyDescent="0.55000000000000004">
      <c r="A892" s="32">
        <v>44943</v>
      </c>
      <c r="B892" s="33">
        <v>0.36736111111111108</v>
      </c>
      <c r="C892" s="10" t="s">
        <v>998</v>
      </c>
      <c r="D892" s="10">
        <v>0</v>
      </c>
      <c r="E892" s="10" t="s">
        <v>911</v>
      </c>
      <c r="F892" s="10">
        <v>1</v>
      </c>
      <c r="G892" s="10" t="s">
        <v>231</v>
      </c>
      <c r="H892" s="10" t="s">
        <v>322</v>
      </c>
      <c r="I892" s="10" t="s">
        <v>75</v>
      </c>
      <c r="J892" s="10">
        <v>43</v>
      </c>
      <c r="K892" s="12">
        <v>44950</v>
      </c>
      <c r="L892" s="33">
        <v>0.51101851851851854</v>
      </c>
      <c r="M892" s="10">
        <v>1</v>
      </c>
      <c r="N892" s="10" t="s">
        <v>76</v>
      </c>
      <c r="O892" s="10">
        <v>0.436</v>
      </c>
      <c r="P892" s="10">
        <v>4.1399999999999999E-2</v>
      </c>
      <c r="Q892" s="10">
        <v>28</v>
      </c>
      <c r="R892" s="10" t="s">
        <v>77</v>
      </c>
      <c r="S892" s="34">
        <f t="shared" si="95"/>
        <v>28</v>
      </c>
      <c r="T892" s="10" t="s">
        <v>1047</v>
      </c>
      <c r="U892" s="34" t="str">
        <f t="shared" si="96"/>
        <v/>
      </c>
      <c r="V892" s="31" t="str">
        <f>IF(H892="CHK",VLOOKUP(I892,QCCHK,3,),IF(H892="GUP",VLOOKUP(E892,QCGUP,2,),IF(AND(H892="ATP",OR(I892="TN",I892="TDN",I892="TNO2-3",I892="NO2-3")),VLOOKUP(E892,QCREC_N,2,),IF(AND(H892="NIC",OR(I892="TN",I892="TDN",I892="TNO2-3",I892="NO2-3")),VLOOKUP(E892,QCNIC_N,2,),IF(AND(H892="UREA",OR(I892="TN",I892="TDN",I892="TNO2-3",I892="NO2-3")),VLOOKUP(E892,QCUREA_N,2,),IF(H892="PER",VLOOKUP(I892,QCPER,MATCH(E892,QCACTUAL!$J$25:$AA$25,0),),IF(H892="SPK",VLOOKUP(I892,QCSPK,3,),IF(AND(H892="ATP",OR(I892="TP",I892="TDP")),VLOOKUP(E892,QCATP_P,2,),""))))))))</f>
        <v/>
      </c>
      <c r="W892" s="31" t="str">
        <f t="shared" si="97"/>
        <v>TRUE</v>
      </c>
      <c r="X892" s="31" t="str">
        <f t="shared" si="98"/>
        <v/>
      </c>
      <c r="Y892" s="10" t="s">
        <v>1040</v>
      </c>
      <c r="Z892" s="10" t="s">
        <v>910</v>
      </c>
      <c r="AL892" s="10" t="str">
        <f t="shared" si="100"/>
        <v>FALSE</v>
      </c>
      <c r="AM892" s="10" t="str">
        <f t="shared" si="100"/>
        <v>FALSE</v>
      </c>
      <c r="AN892" s="10" t="str">
        <f t="shared" si="100"/>
        <v>FALSE</v>
      </c>
      <c r="AO892" s="10" t="str">
        <f t="shared" si="101"/>
        <v>FALSE</v>
      </c>
      <c r="AP892" s="10" t="str">
        <f t="shared" si="101"/>
        <v>FALSE</v>
      </c>
      <c r="AQ892" s="10" t="b">
        <f>IF(AND(I892="TP",S892&lt;=150),VLOOKUP(AF892,TPCalibEq150!$AZ$2:$BB$55,3,),IF(AND(I892="TDP",S892&lt;=150),VLOOKUP(AF892,TPCalibEq150!$AZ$2:$BB$55,3,)))</f>
        <v>0</v>
      </c>
      <c r="AR892" s="10" t="b">
        <f>IF(AND(I892="TP",S892&lt;=300),VLOOKUP(AF892,TPCalibEq300!$AZ$2:$BB$55,3,),IF(AND(I892="TDP",S892&lt;=300),VLOOKUP(AF892,TPCalibEq300!$AZ$2:$BB$55,3,)))</f>
        <v>0</v>
      </c>
      <c r="AS892" s="10" t="b">
        <f>IF(AND(I892="TP",S892&lt;=500),VLOOKUP(AF892,TPCalibEq500!$AZ$2:$BB$56,3,),IF(AND(I892="TDP",S892&lt;=500),VLOOKUP(AF892,TPCalibEq500!$AZ$2:$BB$56,3,)))</f>
        <v>0</v>
      </c>
      <c r="AT892" s="10" t="b">
        <f>IF(AND(I892="TN",S892&lt;=2800),VLOOKUP(AF892,TNCalibEq2500!$AZ$2:$BB$56,3,),IF(AND(I892="TDN",S892&lt;=2800),VLOOKUP(AF892,TNCalibEq2500!$AZ$2:$BB$56,3,)))</f>
        <v>0</v>
      </c>
      <c r="AU892" s="10" t="b">
        <f>IF(I892="TP",VLOOKUP(AF892,TPCalibEqFull!$AZ$2:$BB$56,3),IF(I892="TDP",VLOOKUP(AF892,TPCalibEqFull!$AZ$2:$BB$56,3),IF(I892="TDN",VLOOKUP(AF892,TNCalibEqFull!$AZ$1:$BB$56,3),IF(I892="TN",VLOOKUP(AF892,TNCalibEqFull!$AZ$1:$BB$56,3),FALSE))))</f>
        <v>0</v>
      </c>
      <c r="AV892" s="10" t="str">
        <f t="shared" si="99"/>
        <v>0117 08:49:00-ELW-0-FIL-1-SW-UKN</v>
      </c>
    </row>
    <row r="893" spans="1:48" s="10" customFormat="1" x14ac:dyDescent="0.55000000000000004">
      <c r="A893" s="32">
        <v>44943</v>
      </c>
      <c r="B893" s="33">
        <v>0.37708333333333338</v>
      </c>
      <c r="C893" s="10" t="s">
        <v>260</v>
      </c>
      <c r="D893" s="10">
        <v>0</v>
      </c>
      <c r="E893" s="10" t="s">
        <v>911</v>
      </c>
      <c r="F893" s="10">
        <v>1</v>
      </c>
      <c r="G893" s="10" t="s">
        <v>231</v>
      </c>
      <c r="H893" s="10" t="s">
        <v>322</v>
      </c>
      <c r="I893" s="10" t="s">
        <v>75</v>
      </c>
      <c r="J893" s="10">
        <v>44</v>
      </c>
      <c r="K893" s="12">
        <v>44950</v>
      </c>
      <c r="L893" s="33">
        <v>0.5118287037037037</v>
      </c>
      <c r="M893" s="10">
        <v>1</v>
      </c>
      <c r="N893" s="10" t="s">
        <v>76</v>
      </c>
      <c r="O893" s="10">
        <v>0.42099999999999999</v>
      </c>
      <c r="P893" s="10">
        <v>4.07E-2</v>
      </c>
      <c r="Q893" s="10">
        <v>27.1</v>
      </c>
      <c r="R893" s="10" t="s">
        <v>77</v>
      </c>
      <c r="S893" s="34">
        <f t="shared" si="95"/>
        <v>27.1</v>
      </c>
      <c r="T893" s="10" t="s">
        <v>1047</v>
      </c>
      <c r="U893" s="34" t="str">
        <f t="shared" si="96"/>
        <v/>
      </c>
      <c r="V893" s="31" t="str">
        <f>IF(H893="CHK",VLOOKUP(I893,QCCHK,3,),IF(H893="GUP",VLOOKUP(E893,QCGUP,2,),IF(AND(H893="ATP",OR(I893="TN",I893="TDN",I893="TNO2-3",I893="NO2-3")),VLOOKUP(E893,QCREC_N,2,),IF(AND(H893="NIC",OR(I893="TN",I893="TDN",I893="TNO2-3",I893="NO2-3")),VLOOKUP(E893,QCNIC_N,2,),IF(AND(H893="UREA",OR(I893="TN",I893="TDN",I893="TNO2-3",I893="NO2-3")),VLOOKUP(E893,QCUREA_N,2,),IF(H893="PER",VLOOKUP(I893,QCPER,MATCH(E893,QCACTUAL!$J$25:$AA$25,0),),IF(H893="SPK",VLOOKUP(I893,QCSPK,3,),IF(AND(H893="ATP",OR(I893="TP",I893="TDP")),VLOOKUP(E893,QCATP_P,2,),""))))))))</f>
        <v/>
      </c>
      <c r="W893" s="31" t="str">
        <f t="shared" si="97"/>
        <v>TRUE</v>
      </c>
      <c r="X893" s="31" t="str">
        <f t="shared" si="98"/>
        <v/>
      </c>
      <c r="Y893" s="10" t="s">
        <v>1040</v>
      </c>
      <c r="Z893" s="10" t="s">
        <v>910</v>
      </c>
      <c r="AL893" s="10" t="str">
        <f t="shared" si="100"/>
        <v>FALSE</v>
      </c>
      <c r="AM893" s="10" t="str">
        <f t="shared" si="100"/>
        <v>FALSE</v>
      </c>
      <c r="AN893" s="10" t="str">
        <f t="shared" si="100"/>
        <v>FALSE</v>
      </c>
      <c r="AO893" s="10" t="str">
        <f t="shared" si="101"/>
        <v>FALSE</v>
      </c>
      <c r="AP893" s="10" t="str">
        <f t="shared" si="101"/>
        <v>FALSE</v>
      </c>
      <c r="AQ893" s="10" t="b">
        <f>IF(AND(I893="TP",S893&lt;=150),VLOOKUP(AF893,TPCalibEq150!$AZ$2:$BB$55,3,),IF(AND(I893="TDP",S893&lt;=150),VLOOKUP(AF893,TPCalibEq150!$AZ$2:$BB$55,3,)))</f>
        <v>0</v>
      </c>
      <c r="AR893" s="10" t="b">
        <f>IF(AND(I893="TP",S893&lt;=300),VLOOKUP(AF893,TPCalibEq300!$AZ$2:$BB$55,3,),IF(AND(I893="TDP",S893&lt;=300),VLOOKUP(AF893,TPCalibEq300!$AZ$2:$BB$55,3,)))</f>
        <v>0</v>
      </c>
      <c r="AS893" s="10" t="b">
        <f>IF(AND(I893="TP",S893&lt;=500),VLOOKUP(AF893,TPCalibEq500!$AZ$2:$BB$56,3,),IF(AND(I893="TDP",S893&lt;=500),VLOOKUP(AF893,TPCalibEq500!$AZ$2:$BB$56,3,)))</f>
        <v>0</v>
      </c>
      <c r="AT893" s="10" t="b">
        <f>IF(AND(I893="TN",S893&lt;=2800),VLOOKUP(AF893,TNCalibEq2500!$AZ$2:$BB$56,3,),IF(AND(I893="TDN",S893&lt;=2800),VLOOKUP(AF893,TNCalibEq2500!$AZ$2:$BB$56,3,)))</f>
        <v>0</v>
      </c>
      <c r="AU893" s="10" t="b">
        <f>IF(I893="TP",VLOOKUP(AF893,TPCalibEqFull!$AZ$2:$BB$56,3),IF(I893="TDP",VLOOKUP(AF893,TPCalibEqFull!$AZ$2:$BB$56,3),IF(I893="TDN",VLOOKUP(AF893,TNCalibEqFull!$AZ$1:$BB$56,3),IF(I893="TN",VLOOKUP(AF893,TNCalibEqFull!$AZ$1:$BB$56,3),FALSE))))</f>
        <v>0</v>
      </c>
      <c r="AV893" s="10" t="str">
        <f t="shared" si="99"/>
        <v>0117 09:03:00-EFC-0-FIL-1-SW-UKN</v>
      </c>
    </row>
    <row r="894" spans="1:48" s="10" customFormat="1" x14ac:dyDescent="0.55000000000000004">
      <c r="A894" s="32">
        <v>44943</v>
      </c>
      <c r="B894" s="33">
        <v>0.39097222222222222</v>
      </c>
      <c r="C894" s="10" t="s">
        <v>543</v>
      </c>
      <c r="D894" s="10">
        <v>0</v>
      </c>
      <c r="E894" s="10" t="s">
        <v>911</v>
      </c>
      <c r="F894" s="10">
        <v>1</v>
      </c>
      <c r="G894" s="10" t="s">
        <v>231</v>
      </c>
      <c r="H894" s="10" t="s">
        <v>322</v>
      </c>
      <c r="I894" s="10" t="s">
        <v>75</v>
      </c>
      <c r="J894" s="10">
        <v>45</v>
      </c>
      <c r="K894" s="12">
        <v>44950</v>
      </c>
      <c r="L894" s="33">
        <v>0.51262731481481483</v>
      </c>
      <c r="M894" s="10">
        <v>1</v>
      </c>
      <c r="N894" s="10" t="s">
        <v>76</v>
      </c>
      <c r="O894" s="10">
        <v>9.01E-2</v>
      </c>
      <c r="P894" s="10">
        <v>7.6400000000000001E-3</v>
      </c>
      <c r="Q894" s="10">
        <v>5.78</v>
      </c>
      <c r="R894" s="10" t="s">
        <v>77</v>
      </c>
      <c r="S894" s="34">
        <f t="shared" si="95"/>
        <v>5.78</v>
      </c>
      <c r="T894" s="10" t="s">
        <v>1047</v>
      </c>
      <c r="U894" s="34" t="str">
        <f t="shared" si="96"/>
        <v/>
      </c>
      <c r="V894" s="31" t="str">
        <f>IF(H894="CHK",VLOOKUP(I894,QCCHK,3,),IF(H894="GUP",VLOOKUP(E894,QCGUP,2,),IF(AND(H894="ATP",OR(I894="TN",I894="TDN",I894="TNO2-3",I894="NO2-3")),VLOOKUP(E894,QCREC_N,2,),IF(AND(H894="NIC",OR(I894="TN",I894="TDN",I894="TNO2-3",I894="NO2-3")),VLOOKUP(E894,QCNIC_N,2,),IF(AND(H894="UREA",OR(I894="TN",I894="TDN",I894="TNO2-3",I894="NO2-3")),VLOOKUP(E894,QCUREA_N,2,),IF(H894="PER",VLOOKUP(I894,QCPER,MATCH(E894,QCACTUAL!$J$25:$AA$25,0),),IF(H894="SPK",VLOOKUP(I894,QCSPK,3,),IF(AND(H894="ATP",OR(I894="TP",I894="TDP")),VLOOKUP(E894,QCATP_P,2,),""))))))))</f>
        <v/>
      </c>
      <c r="W894" s="31" t="str">
        <f t="shared" si="97"/>
        <v>TRUE</v>
      </c>
      <c r="X894" s="31" t="str">
        <f t="shared" si="98"/>
        <v/>
      </c>
      <c r="Y894" s="10" t="s">
        <v>1040</v>
      </c>
      <c r="Z894" s="10" t="s">
        <v>910</v>
      </c>
      <c r="AL894" s="10" t="str">
        <f t="shared" si="100"/>
        <v>FALSE</v>
      </c>
      <c r="AM894" s="10" t="str">
        <f t="shared" si="100"/>
        <v>FALSE</v>
      </c>
      <c r="AN894" s="10" t="str">
        <f t="shared" si="100"/>
        <v>FALSE</v>
      </c>
      <c r="AO894" s="10" t="str">
        <f t="shared" si="101"/>
        <v>FALSE</v>
      </c>
      <c r="AP894" s="10" t="str">
        <f t="shared" si="101"/>
        <v>FALSE</v>
      </c>
      <c r="AQ894" s="10" t="b">
        <f>IF(AND(I894="TP",S894&lt;=150),VLOOKUP(AF894,TPCalibEq150!$AZ$2:$BB$55,3,),IF(AND(I894="TDP",S894&lt;=150),VLOOKUP(AF894,TPCalibEq150!$AZ$2:$BB$55,3,)))</f>
        <v>0</v>
      </c>
      <c r="AR894" s="10" t="b">
        <f>IF(AND(I894="TP",S894&lt;=300),VLOOKUP(AF894,TPCalibEq300!$AZ$2:$BB$55,3,),IF(AND(I894="TDP",S894&lt;=300),VLOOKUP(AF894,TPCalibEq300!$AZ$2:$BB$55,3,)))</f>
        <v>0</v>
      </c>
      <c r="AS894" s="10" t="b">
        <f>IF(AND(I894="TP",S894&lt;=500),VLOOKUP(AF894,TPCalibEq500!$AZ$2:$BB$56,3,),IF(AND(I894="TDP",S894&lt;=500),VLOOKUP(AF894,TPCalibEq500!$AZ$2:$BB$56,3,)))</f>
        <v>0</v>
      </c>
      <c r="AT894" s="10" t="b">
        <f>IF(AND(I894="TN",S894&lt;=2800),VLOOKUP(AF894,TNCalibEq2500!$AZ$2:$BB$56,3,),IF(AND(I894="TDN",S894&lt;=2800),VLOOKUP(AF894,TNCalibEq2500!$AZ$2:$BB$56,3,)))</f>
        <v>0</v>
      </c>
      <c r="AU894" s="10" t="b">
        <f>IF(I894="TP",VLOOKUP(AF894,TPCalibEqFull!$AZ$2:$BB$56,3),IF(I894="TDP",VLOOKUP(AF894,TPCalibEqFull!$AZ$2:$BB$56,3),IF(I894="TDN",VLOOKUP(AF894,TNCalibEqFull!$AZ$1:$BB$56,3),IF(I894="TN",VLOOKUP(AF894,TNCalibEqFull!$AZ$1:$BB$56,3),FALSE))))</f>
        <v>0</v>
      </c>
      <c r="AV894" s="10" t="str">
        <f t="shared" si="99"/>
        <v>0117 09:23:00-SAR-0-FIL-1-SW-UKN</v>
      </c>
    </row>
    <row r="895" spans="1:48" s="10" customFormat="1" x14ac:dyDescent="0.55000000000000004">
      <c r="A895" s="32">
        <v>44943</v>
      </c>
      <c r="B895" s="33">
        <v>0.40486111111111112</v>
      </c>
      <c r="C895" s="10" t="s">
        <v>361</v>
      </c>
      <c r="D895" s="10">
        <v>0</v>
      </c>
      <c r="E895" s="10" t="s">
        <v>911</v>
      </c>
      <c r="F895" s="10">
        <v>1</v>
      </c>
      <c r="G895" s="10" t="s">
        <v>231</v>
      </c>
      <c r="H895" s="10" t="s">
        <v>322</v>
      </c>
      <c r="I895" s="10" t="s">
        <v>75</v>
      </c>
      <c r="J895" s="10">
        <v>46</v>
      </c>
      <c r="K895" s="12">
        <v>44950</v>
      </c>
      <c r="L895" s="33">
        <v>0.51346064814814818</v>
      </c>
      <c r="M895" s="10">
        <v>1</v>
      </c>
      <c r="N895" s="10" t="s">
        <v>76</v>
      </c>
      <c r="O895" s="10">
        <v>0.11700000000000001</v>
      </c>
      <c r="P895" s="10">
        <v>9.2800000000000001E-3</v>
      </c>
      <c r="Q895" s="10">
        <v>7.49</v>
      </c>
      <c r="R895" s="10" t="s">
        <v>77</v>
      </c>
      <c r="S895" s="34">
        <f t="shared" si="95"/>
        <v>7.49</v>
      </c>
      <c r="T895" s="10" t="s">
        <v>1047</v>
      </c>
      <c r="U895" s="34" t="str">
        <f t="shared" si="96"/>
        <v/>
      </c>
      <c r="V895" s="31" t="str">
        <f>IF(H895="CHK",VLOOKUP(I895,QCCHK,3,),IF(H895="GUP",VLOOKUP(E895,QCGUP,2,),IF(AND(H895="ATP",OR(I895="TN",I895="TDN",I895="TNO2-3",I895="NO2-3")),VLOOKUP(E895,QCREC_N,2,),IF(AND(H895="NIC",OR(I895="TN",I895="TDN",I895="TNO2-3",I895="NO2-3")),VLOOKUP(E895,QCNIC_N,2,),IF(AND(H895="UREA",OR(I895="TN",I895="TDN",I895="TNO2-3",I895="NO2-3")),VLOOKUP(E895,QCUREA_N,2,),IF(H895="PER",VLOOKUP(I895,QCPER,MATCH(E895,QCACTUAL!$J$25:$AA$25,0),),IF(H895="SPK",VLOOKUP(I895,QCSPK,3,),IF(AND(H895="ATP",OR(I895="TP",I895="TDP")),VLOOKUP(E895,QCATP_P,2,),""))))))))</f>
        <v/>
      </c>
      <c r="W895" s="31" t="str">
        <f t="shared" si="97"/>
        <v>TRUE</v>
      </c>
      <c r="X895" s="31" t="str">
        <f t="shared" si="98"/>
        <v/>
      </c>
      <c r="Y895" s="10" t="s">
        <v>1040</v>
      </c>
      <c r="Z895" s="10" t="s">
        <v>910</v>
      </c>
      <c r="AL895" s="10" t="str">
        <f t="shared" si="100"/>
        <v>FALSE</v>
      </c>
      <c r="AM895" s="10" t="str">
        <f t="shared" si="100"/>
        <v>FALSE</v>
      </c>
      <c r="AN895" s="10" t="str">
        <f t="shared" si="100"/>
        <v>FALSE</v>
      </c>
      <c r="AO895" s="10" t="str">
        <f t="shared" si="101"/>
        <v>FALSE</v>
      </c>
      <c r="AP895" s="10" t="str">
        <f t="shared" si="101"/>
        <v>FALSE</v>
      </c>
      <c r="AQ895" s="10" t="b">
        <f>IF(AND(I895="TP",S895&lt;=150),VLOOKUP(AF895,TPCalibEq150!$AZ$2:$BB$55,3,),IF(AND(I895="TDP",S895&lt;=150),VLOOKUP(AF895,TPCalibEq150!$AZ$2:$BB$55,3,)))</f>
        <v>0</v>
      </c>
      <c r="AR895" s="10" t="b">
        <f>IF(AND(I895="TP",S895&lt;=300),VLOOKUP(AF895,TPCalibEq300!$AZ$2:$BB$55,3,),IF(AND(I895="TDP",S895&lt;=300),VLOOKUP(AF895,TPCalibEq300!$AZ$2:$BB$55,3,)))</f>
        <v>0</v>
      </c>
      <c r="AS895" s="10" t="b">
        <f>IF(AND(I895="TP",S895&lt;=500),VLOOKUP(AF895,TPCalibEq500!$AZ$2:$BB$56,3,),IF(AND(I895="TDP",S895&lt;=500),VLOOKUP(AF895,TPCalibEq500!$AZ$2:$BB$56,3,)))</f>
        <v>0</v>
      </c>
      <c r="AT895" s="10" t="b">
        <f>IF(AND(I895="TN",S895&lt;=2800),VLOOKUP(AF895,TNCalibEq2500!$AZ$2:$BB$56,3,),IF(AND(I895="TDN",S895&lt;=2800),VLOOKUP(AF895,TNCalibEq2500!$AZ$2:$BB$56,3,)))</f>
        <v>0</v>
      </c>
      <c r="AU895" s="10" t="b">
        <f>IF(I895="TP",VLOOKUP(AF895,TPCalibEqFull!$AZ$2:$BB$56,3),IF(I895="TDP",VLOOKUP(AF895,TPCalibEqFull!$AZ$2:$BB$56,3),IF(I895="TDN",VLOOKUP(AF895,TNCalibEqFull!$AZ$1:$BB$56,3),IF(I895="TN",VLOOKUP(AF895,TNCalibEqFull!$AZ$1:$BB$56,3),FALSE))))</f>
        <v>0</v>
      </c>
      <c r="AV895" s="10" t="str">
        <f t="shared" si="99"/>
        <v>0117 09:43:00-USR-0-FIL-1-SW-UKN</v>
      </c>
    </row>
    <row r="896" spans="1:48" s="10" customFormat="1" x14ac:dyDescent="0.55000000000000004">
      <c r="A896" s="32">
        <v>44943</v>
      </c>
      <c r="B896" s="33">
        <v>0.42152777777777778</v>
      </c>
      <c r="C896" s="10" t="s">
        <v>351</v>
      </c>
      <c r="D896" s="10">
        <v>0</v>
      </c>
      <c r="E896" s="10" t="s">
        <v>911</v>
      </c>
      <c r="F896" s="10">
        <v>1</v>
      </c>
      <c r="G896" s="10" t="s">
        <v>231</v>
      </c>
      <c r="H896" s="10" t="s">
        <v>322</v>
      </c>
      <c r="I896" s="10" t="s">
        <v>75</v>
      </c>
      <c r="J896" s="10">
        <v>47</v>
      </c>
      <c r="K896" s="12">
        <v>44950</v>
      </c>
      <c r="L896" s="33">
        <v>0.51428240740740738</v>
      </c>
      <c r="M896" s="10">
        <v>1</v>
      </c>
      <c r="N896" s="10" t="s">
        <v>76</v>
      </c>
      <c r="O896" s="10">
        <v>0.25700000000000001</v>
      </c>
      <c r="P896" s="10">
        <v>2.7900000000000001E-2</v>
      </c>
      <c r="Q896" s="10">
        <v>16.5</v>
      </c>
      <c r="R896" s="10" t="s">
        <v>77</v>
      </c>
      <c r="S896" s="34">
        <f t="shared" si="95"/>
        <v>16.5</v>
      </c>
      <c r="T896" s="10" t="s">
        <v>1047</v>
      </c>
      <c r="U896" s="34" t="str">
        <f t="shared" si="96"/>
        <v/>
      </c>
      <c r="V896" s="31" t="str">
        <f>IF(H896="CHK",VLOOKUP(I896,QCCHK,3,),IF(H896="GUP",VLOOKUP(E896,QCGUP,2,),IF(AND(H896="ATP",OR(I896="TN",I896="TDN",I896="TNO2-3",I896="NO2-3")),VLOOKUP(E896,QCREC_N,2,),IF(AND(H896="NIC",OR(I896="TN",I896="TDN",I896="TNO2-3",I896="NO2-3")),VLOOKUP(E896,QCNIC_N,2,),IF(AND(H896="UREA",OR(I896="TN",I896="TDN",I896="TNO2-3",I896="NO2-3")),VLOOKUP(E896,QCUREA_N,2,),IF(H896="PER",VLOOKUP(I896,QCPER,MATCH(E896,QCACTUAL!$J$25:$AA$25,0),),IF(H896="SPK",VLOOKUP(I896,QCSPK,3,),IF(AND(H896="ATP",OR(I896="TP",I896="TDP")),VLOOKUP(E896,QCATP_P,2,),""))))))))</f>
        <v/>
      </c>
      <c r="W896" s="31" t="str">
        <f t="shared" si="97"/>
        <v>TRUE</v>
      </c>
      <c r="X896" s="31" t="str">
        <f t="shared" si="98"/>
        <v/>
      </c>
      <c r="Y896" s="10" t="s">
        <v>1040</v>
      </c>
      <c r="Z896" s="10" t="s">
        <v>910</v>
      </c>
      <c r="AL896" s="10" t="str">
        <f t="shared" si="100"/>
        <v>FALSE</v>
      </c>
      <c r="AM896" s="10" t="str">
        <f t="shared" si="100"/>
        <v>FALSE</v>
      </c>
      <c r="AN896" s="10" t="str">
        <f t="shared" si="100"/>
        <v>FALSE</v>
      </c>
      <c r="AO896" s="10" t="str">
        <f t="shared" si="101"/>
        <v>FALSE</v>
      </c>
      <c r="AP896" s="10" t="str">
        <f t="shared" si="101"/>
        <v>FALSE</v>
      </c>
      <c r="AQ896" s="10" t="b">
        <f>IF(AND(I896="TP",S896&lt;=150),VLOOKUP(AF896,TPCalibEq150!$AZ$2:$BB$55,3,),IF(AND(I896="TDP",S896&lt;=150),VLOOKUP(AF896,TPCalibEq150!$AZ$2:$BB$55,3,)))</f>
        <v>0</v>
      </c>
      <c r="AR896" s="10" t="b">
        <f>IF(AND(I896="TP",S896&lt;=300),VLOOKUP(AF896,TPCalibEq300!$AZ$2:$BB$55,3,),IF(AND(I896="TDP",S896&lt;=300),VLOOKUP(AF896,TPCalibEq300!$AZ$2:$BB$55,3,)))</f>
        <v>0</v>
      </c>
      <c r="AS896" s="10" t="b">
        <f>IF(AND(I896="TP",S896&lt;=500),VLOOKUP(AF896,TPCalibEq500!$AZ$2:$BB$56,3,),IF(AND(I896="TDP",S896&lt;=500),VLOOKUP(AF896,TPCalibEq500!$AZ$2:$BB$56,3,)))</f>
        <v>0</v>
      </c>
      <c r="AT896" s="10" t="b">
        <f>IF(AND(I896="TN",S896&lt;=2800),VLOOKUP(AF896,TNCalibEq2500!$AZ$2:$BB$56,3,),IF(AND(I896="TDN",S896&lt;=2800),VLOOKUP(AF896,TNCalibEq2500!$AZ$2:$BB$56,3,)))</f>
        <v>0</v>
      </c>
      <c r="AU896" s="10" t="b">
        <f>IF(I896="TP",VLOOKUP(AF896,TPCalibEqFull!$AZ$2:$BB$56,3),IF(I896="TDP",VLOOKUP(AF896,TPCalibEqFull!$AZ$2:$BB$56,3),IF(I896="TDN",VLOOKUP(AF896,TNCalibEqFull!$AZ$1:$BB$56,3),IF(I896="TN",VLOOKUP(AF896,TNCalibEqFull!$AZ$1:$BB$56,3),FALSE))))</f>
        <v>0</v>
      </c>
      <c r="AV896" s="10" t="str">
        <f t="shared" si="99"/>
        <v>0117 10:07:00-SHC-0-FIL-1-SW-UKN</v>
      </c>
    </row>
    <row r="897" spans="1:48" s="10" customFormat="1" x14ac:dyDescent="0.55000000000000004">
      <c r="A897" s="32">
        <v>44943</v>
      </c>
      <c r="B897" s="33">
        <v>0.43472222222222223</v>
      </c>
      <c r="C897" s="10" t="s">
        <v>355</v>
      </c>
      <c r="D897" s="10">
        <v>0</v>
      </c>
      <c r="E897" s="10" t="s">
        <v>911</v>
      </c>
      <c r="F897" s="10">
        <v>1</v>
      </c>
      <c r="G897" s="10" t="s">
        <v>231</v>
      </c>
      <c r="H897" s="10" t="s">
        <v>322</v>
      </c>
      <c r="I897" s="10" t="s">
        <v>75</v>
      </c>
      <c r="J897" s="10">
        <v>48</v>
      </c>
      <c r="K897" s="12">
        <v>44950</v>
      </c>
      <c r="L897" s="33">
        <v>0.5151041666666667</v>
      </c>
      <c r="M897" s="10">
        <v>1</v>
      </c>
      <c r="N897" s="10" t="s">
        <v>76</v>
      </c>
      <c r="O897" s="10">
        <v>0.41699999999999998</v>
      </c>
      <c r="P897" s="10">
        <v>4.0899999999999999E-2</v>
      </c>
      <c r="Q897" s="10">
        <v>26.8</v>
      </c>
      <c r="R897" s="10" t="s">
        <v>77</v>
      </c>
      <c r="S897" s="34">
        <f t="shared" si="95"/>
        <v>26.8</v>
      </c>
      <c r="T897" s="10" t="s">
        <v>1047</v>
      </c>
      <c r="U897" s="34" t="str">
        <f t="shared" si="96"/>
        <v/>
      </c>
      <c r="V897" s="31" t="str">
        <f>IF(H897="CHK",VLOOKUP(I897,QCCHK,3,),IF(H897="GUP",VLOOKUP(E897,QCGUP,2,),IF(AND(H897="ATP",OR(I897="TN",I897="TDN",I897="TNO2-3",I897="NO2-3")),VLOOKUP(E897,QCREC_N,2,),IF(AND(H897="NIC",OR(I897="TN",I897="TDN",I897="TNO2-3",I897="NO2-3")),VLOOKUP(E897,QCNIC_N,2,),IF(AND(H897="UREA",OR(I897="TN",I897="TDN",I897="TNO2-3",I897="NO2-3")),VLOOKUP(E897,QCUREA_N,2,),IF(H897="PER",VLOOKUP(I897,QCPER,MATCH(E897,QCACTUAL!$J$25:$AA$25,0),),IF(H897="SPK",VLOOKUP(I897,QCSPK,3,),IF(AND(H897="ATP",OR(I897="TP",I897="TDP")),VLOOKUP(E897,QCATP_P,2,),""))))))))</f>
        <v/>
      </c>
      <c r="W897" s="31" t="str">
        <f t="shared" si="97"/>
        <v>TRUE</v>
      </c>
      <c r="X897" s="31" t="str">
        <f t="shared" si="98"/>
        <v/>
      </c>
      <c r="Y897" s="10" t="s">
        <v>1040</v>
      </c>
      <c r="Z897" s="10" t="s">
        <v>910</v>
      </c>
      <c r="AL897" s="10" t="str">
        <f t="shared" si="100"/>
        <v>FALSE</v>
      </c>
      <c r="AM897" s="10" t="str">
        <f t="shared" si="100"/>
        <v>FALSE</v>
      </c>
      <c r="AN897" s="10" t="str">
        <f t="shared" si="100"/>
        <v>FALSE</v>
      </c>
      <c r="AO897" s="10" t="str">
        <f t="shared" si="101"/>
        <v>FALSE</v>
      </c>
      <c r="AP897" s="10" t="str">
        <f t="shared" si="101"/>
        <v>FALSE</v>
      </c>
      <c r="AQ897" s="10" t="b">
        <f>IF(AND(I897="TP",S897&lt;=150),VLOOKUP(AF897,TPCalibEq150!$AZ$2:$BB$55,3,),IF(AND(I897="TDP",S897&lt;=150),VLOOKUP(AF897,TPCalibEq150!$AZ$2:$BB$55,3,)))</f>
        <v>0</v>
      </c>
      <c r="AR897" s="10" t="b">
        <f>IF(AND(I897="TP",S897&lt;=300),VLOOKUP(AF897,TPCalibEq300!$AZ$2:$BB$55,3,),IF(AND(I897="TDP",S897&lt;=300),VLOOKUP(AF897,TPCalibEq300!$AZ$2:$BB$55,3,)))</f>
        <v>0</v>
      </c>
      <c r="AS897" s="10" t="b">
        <f>IF(AND(I897="TP",S897&lt;=500),VLOOKUP(AF897,TPCalibEq500!$AZ$2:$BB$56,3,),IF(AND(I897="TDP",S897&lt;=500),VLOOKUP(AF897,TPCalibEq500!$AZ$2:$BB$56,3,)))</f>
        <v>0</v>
      </c>
      <c r="AT897" s="10" t="b">
        <f>IF(AND(I897="TN",S897&lt;=2800),VLOOKUP(AF897,TNCalibEq2500!$AZ$2:$BB$56,3,),IF(AND(I897="TDN",S897&lt;=2800),VLOOKUP(AF897,TNCalibEq2500!$AZ$2:$BB$56,3,)))</f>
        <v>0</v>
      </c>
      <c r="AU897" s="10" t="b">
        <f>IF(I897="TP",VLOOKUP(AF897,TPCalibEqFull!$AZ$2:$BB$56,3),IF(I897="TDP",VLOOKUP(AF897,TPCalibEqFull!$AZ$2:$BB$56,3),IF(I897="TDN",VLOOKUP(AF897,TNCalibEqFull!$AZ$1:$BB$56,3),IF(I897="TN",VLOOKUP(AF897,TNCalibEqFull!$AZ$1:$BB$56,3),FALSE))))</f>
        <v>0</v>
      </c>
      <c r="AV897" s="10" t="str">
        <f t="shared" si="99"/>
        <v>0117 10:26:00-SLT-0-FIL-1-SW-UKN</v>
      </c>
    </row>
    <row r="898" spans="1:48" s="10" customFormat="1" x14ac:dyDescent="0.55000000000000004">
      <c r="A898" s="32">
        <v>44943</v>
      </c>
      <c r="B898" s="33">
        <v>0.4604166666666667</v>
      </c>
      <c r="C898" s="10" t="s">
        <v>310</v>
      </c>
      <c r="D898" s="10">
        <v>0</v>
      </c>
      <c r="E898" s="10" t="s">
        <v>911</v>
      </c>
      <c r="F898" s="10">
        <v>1</v>
      </c>
      <c r="G898" s="10" t="s">
        <v>231</v>
      </c>
      <c r="H898" s="10" t="s">
        <v>322</v>
      </c>
      <c r="I898" s="10" t="s">
        <v>75</v>
      </c>
      <c r="J898" s="10">
        <v>49</v>
      </c>
      <c r="K898" s="12">
        <v>44950</v>
      </c>
      <c r="L898" s="33">
        <v>0.5159259259259259</v>
      </c>
      <c r="M898" s="10">
        <v>1</v>
      </c>
      <c r="N898" s="10" t="s">
        <v>76</v>
      </c>
      <c r="O898" s="10">
        <v>0.57499999999999996</v>
      </c>
      <c r="P898" s="10">
        <v>6.0400000000000002E-2</v>
      </c>
      <c r="Q898" s="10">
        <v>37</v>
      </c>
      <c r="R898" s="10" t="s">
        <v>77</v>
      </c>
      <c r="S898" s="34">
        <f t="shared" ref="S898:S961" si="102">IF(OR(AND(I898&lt;&gt;"TP", I898&lt;&gt;"TDP",I898&lt;&gt;"TN", I898&lt;&gt;"TDN"),H898="CAL"), Q898*M898, IF(OR(AND(I898="TN", Q898&gt;2500), AND(I898="TDN", Q898&gt;2500)),MAX(Q898, AK898)*M898, IF(OR(AND(I898="TN", Q898&lt;=2500), AND(I898="TDN", Q898&lt;=2500)),MAX(Q898, AJ898,AK898)*M898, IF(OR(AND(I898="TP",Q898&gt;500), AND(I898="TDP", Q898&gt;500)),MAX(Q898,AK898)*M898,IF(OR(AND(I898="TP",Q898&lt;=150), AND(I898="TDP", Q898&lt;=150)),MAX(Q898,AG898:AI898,AK898)*M898,IF(OR(AND(I898="TP",Q898&lt;=300), AND(I898="TDP", Q898&lt;=300)),MAX(Q898,AH898,AI898,AK898)*M898,IF(OR(AND(I898="TP",Q898&lt;=500), AND(I898="TDP", Q898&lt;=500)),MAX(Q898,AI898,AK898)*M898,"")))))))</f>
        <v>37</v>
      </c>
      <c r="T898" s="10" t="s">
        <v>1047</v>
      </c>
      <c r="U898" s="34" t="str">
        <f t="shared" ref="U898:U961" si="103">IF(OR(H898="CHK",H898="ATP",H898="GUP",H898="PER", H898="NIC", H898="UREA"),(S898/V898*100),IF(H898="DUP",((ABS(S898-S897))/((S897+S898)/2))*100,IF(H898="SPK",((S898-S897)/V898*100),IF(OR(H898="LAB",H898="FLD",H898="ESF"),S898,""))))</f>
        <v/>
      </c>
      <c r="V898" s="31" t="str">
        <f>IF(H898="CHK",VLOOKUP(I898,QCCHK,3,),IF(H898="GUP",VLOOKUP(E898,QCGUP,2,),IF(AND(H898="ATP",OR(I898="TN",I898="TDN",I898="TNO2-3",I898="NO2-3")),VLOOKUP(E898,QCREC_N,2,),IF(AND(H898="NIC",OR(I898="TN",I898="TDN",I898="TNO2-3",I898="NO2-3")),VLOOKUP(E898,QCNIC_N,2,),IF(AND(H898="UREA",OR(I898="TN",I898="TDN",I898="TNO2-3",I898="NO2-3")),VLOOKUP(E898,QCUREA_N,2,),IF(H898="PER",VLOOKUP(I898,QCPER,MATCH(E898,QCACTUAL!$J$25:$AA$25,0),),IF(H898="SPK",VLOOKUP(I898,QCSPK,3,),IF(AND(H898="ATP",OR(I898="TP",I898="TDP")),VLOOKUP(E898,QCATP_P,2,),""))))))))</f>
        <v/>
      </c>
      <c r="W898" s="31" t="str">
        <f t="shared" ref="W898:W961" si="104">IF(AND(OR(H898="PER",H898="ATP",H898="GUP",H898="CHK",H898="SPK", H898="NIC"),OR(U898&gt;125,U898&lt;75)),"FALSE",IF(AND(H898="DUP",OR(U898&gt;25, U898&lt;-25)),"FALSE",IF(AND(OR(H898="LAB",H898="FLD",H898="ESF"),U898&gt;15),"FALSE","TRUE")))</f>
        <v>TRUE</v>
      </c>
      <c r="X898" s="31" t="str">
        <f t="shared" ref="X898:X961" si="105">IF(ISNA(VLOOKUP(H898,QCEQUATIONS,2,)),"",(VLOOKUP(H898,QCEQUATIONS,2,)))</f>
        <v/>
      </c>
      <c r="Y898" s="10" t="s">
        <v>1040</v>
      </c>
      <c r="Z898" s="10" t="s">
        <v>910</v>
      </c>
      <c r="AL898" s="10" t="str">
        <f t="shared" si="100"/>
        <v>FALSE</v>
      </c>
      <c r="AM898" s="10" t="str">
        <f t="shared" si="100"/>
        <v>FALSE</v>
      </c>
      <c r="AN898" s="10" t="str">
        <f t="shared" si="100"/>
        <v>FALSE</v>
      </c>
      <c r="AO898" s="10" t="str">
        <f t="shared" si="101"/>
        <v>FALSE</v>
      </c>
      <c r="AP898" s="10" t="str">
        <f t="shared" si="101"/>
        <v>FALSE</v>
      </c>
      <c r="AQ898" s="10" t="b">
        <f>IF(AND(I898="TP",S898&lt;=150),VLOOKUP(AF898,TPCalibEq150!$AZ$2:$BB$55,3,),IF(AND(I898="TDP",S898&lt;=150),VLOOKUP(AF898,TPCalibEq150!$AZ$2:$BB$55,3,)))</f>
        <v>0</v>
      </c>
      <c r="AR898" s="10" t="b">
        <f>IF(AND(I898="TP",S898&lt;=300),VLOOKUP(AF898,TPCalibEq300!$AZ$2:$BB$55,3,),IF(AND(I898="TDP",S898&lt;=300),VLOOKUP(AF898,TPCalibEq300!$AZ$2:$BB$55,3,)))</f>
        <v>0</v>
      </c>
      <c r="AS898" s="10" t="b">
        <f>IF(AND(I898="TP",S898&lt;=500),VLOOKUP(AF898,TPCalibEq500!$AZ$2:$BB$56,3,),IF(AND(I898="TDP",S898&lt;=500),VLOOKUP(AF898,TPCalibEq500!$AZ$2:$BB$56,3,)))</f>
        <v>0</v>
      </c>
      <c r="AT898" s="10" t="b">
        <f>IF(AND(I898="TN",S898&lt;=2800),VLOOKUP(AF898,TNCalibEq2500!$AZ$2:$BB$56,3,),IF(AND(I898="TDN",S898&lt;=2800),VLOOKUP(AF898,TNCalibEq2500!$AZ$2:$BB$56,3,)))</f>
        <v>0</v>
      </c>
      <c r="AU898" s="10" t="b">
        <f>IF(I898="TP",VLOOKUP(AF898,TPCalibEqFull!$AZ$2:$BB$56,3),IF(I898="TDP",VLOOKUP(AF898,TPCalibEqFull!$AZ$2:$BB$56,3),IF(I898="TDN",VLOOKUP(AF898,TNCalibEqFull!$AZ$1:$BB$56,3),IF(I898="TN",VLOOKUP(AF898,TNCalibEqFull!$AZ$1:$BB$56,3),FALSE))))</f>
        <v>0</v>
      </c>
      <c r="AV898" s="10" t="str">
        <f t="shared" ref="AV898:AV961" si="106">TEXT(A898, "MMDD")&amp;" "&amp;TEXT(B898, "HH:MM:SS")&amp;"-"&amp;C898&amp;"-"&amp;D898&amp;"-"&amp;E898&amp;"-"&amp;F898&amp;"-"&amp;G898&amp;"-"&amp;H898</f>
        <v>0117 11:03:00-ELI-0-FIL-1-SW-UKN</v>
      </c>
    </row>
    <row r="899" spans="1:48" s="10" customFormat="1" x14ac:dyDescent="0.55000000000000004">
      <c r="A899" s="32">
        <v>44943</v>
      </c>
      <c r="B899" s="33">
        <v>0.47013888888888888</v>
      </c>
      <c r="C899" s="10" t="s">
        <v>999</v>
      </c>
      <c r="D899" s="10">
        <v>0</v>
      </c>
      <c r="E899" s="10" t="s">
        <v>911</v>
      </c>
      <c r="F899" s="10">
        <v>1</v>
      </c>
      <c r="G899" s="10" t="s">
        <v>231</v>
      </c>
      <c r="H899" s="10" t="s">
        <v>322</v>
      </c>
      <c r="I899" s="10" t="s">
        <v>75</v>
      </c>
      <c r="J899" s="10">
        <v>50</v>
      </c>
      <c r="K899" s="12">
        <v>44950</v>
      </c>
      <c r="L899" s="33">
        <v>0.51674768518518521</v>
      </c>
      <c r="M899" s="10">
        <v>1</v>
      </c>
      <c r="N899" s="10" t="s">
        <v>76</v>
      </c>
      <c r="O899" s="10">
        <v>0.53100000000000003</v>
      </c>
      <c r="P899" s="10">
        <v>5.0500000000000003E-2</v>
      </c>
      <c r="Q899" s="10">
        <v>34.1</v>
      </c>
      <c r="R899" s="10" t="s">
        <v>77</v>
      </c>
      <c r="S899" s="34">
        <f t="shared" si="102"/>
        <v>34.1</v>
      </c>
      <c r="T899" s="10" t="s">
        <v>1047</v>
      </c>
      <c r="U899" s="34" t="str">
        <f t="shared" si="103"/>
        <v/>
      </c>
      <c r="V899" s="31" t="str">
        <f>IF(H899="CHK",VLOOKUP(I899,QCCHK,3,),IF(H899="GUP",VLOOKUP(E899,QCGUP,2,),IF(AND(H899="ATP",OR(I899="TN",I899="TDN",I899="TNO2-3",I899="NO2-3")),VLOOKUP(E899,QCREC_N,2,),IF(AND(H899="NIC",OR(I899="TN",I899="TDN",I899="TNO2-3",I899="NO2-3")),VLOOKUP(E899,QCNIC_N,2,),IF(AND(H899="UREA",OR(I899="TN",I899="TDN",I899="TNO2-3",I899="NO2-3")),VLOOKUP(E899,QCUREA_N,2,),IF(H899="PER",VLOOKUP(I899,QCPER,MATCH(E899,QCACTUAL!$J$25:$AA$25,0),),IF(H899="SPK",VLOOKUP(I899,QCSPK,3,),IF(AND(H899="ATP",OR(I899="TP",I899="TDP")),VLOOKUP(E899,QCATP_P,2,),""))))))))</f>
        <v/>
      </c>
      <c r="W899" s="31" t="str">
        <f t="shared" si="104"/>
        <v>TRUE</v>
      </c>
      <c r="X899" s="31" t="str">
        <f t="shared" si="105"/>
        <v/>
      </c>
      <c r="Y899" s="10" t="s">
        <v>1040</v>
      </c>
      <c r="Z899" s="10" t="s">
        <v>910</v>
      </c>
      <c r="AL899" s="10" t="str">
        <f t="shared" si="100"/>
        <v>FALSE</v>
      </c>
      <c r="AM899" s="10" t="str">
        <f t="shared" si="100"/>
        <v>FALSE</v>
      </c>
      <c r="AN899" s="10" t="str">
        <f t="shared" si="100"/>
        <v>FALSE</v>
      </c>
      <c r="AO899" s="10" t="str">
        <f t="shared" si="101"/>
        <v>FALSE</v>
      </c>
      <c r="AP899" s="10" t="str">
        <f t="shared" si="101"/>
        <v>FALSE</v>
      </c>
      <c r="AQ899" s="10" t="b">
        <f>IF(AND(I899="TP",S899&lt;=150),VLOOKUP(AF899,TPCalibEq150!$AZ$2:$BB$55,3,),IF(AND(I899="TDP",S899&lt;=150),VLOOKUP(AF899,TPCalibEq150!$AZ$2:$BB$55,3,)))</f>
        <v>0</v>
      </c>
      <c r="AR899" s="10" t="b">
        <f>IF(AND(I899="TP",S899&lt;=300),VLOOKUP(AF899,TPCalibEq300!$AZ$2:$BB$55,3,),IF(AND(I899="TDP",S899&lt;=300),VLOOKUP(AF899,TPCalibEq300!$AZ$2:$BB$55,3,)))</f>
        <v>0</v>
      </c>
      <c r="AS899" s="10" t="b">
        <f>IF(AND(I899="TP",S899&lt;=500),VLOOKUP(AF899,TPCalibEq500!$AZ$2:$BB$56,3,),IF(AND(I899="TDP",S899&lt;=500),VLOOKUP(AF899,TPCalibEq500!$AZ$2:$BB$56,3,)))</f>
        <v>0</v>
      </c>
      <c r="AT899" s="10" t="b">
        <f>IF(AND(I899="TN",S899&lt;=2800),VLOOKUP(AF899,TNCalibEq2500!$AZ$2:$BB$56,3,),IF(AND(I899="TDN",S899&lt;=2800),VLOOKUP(AF899,TNCalibEq2500!$AZ$2:$BB$56,3,)))</f>
        <v>0</v>
      </c>
      <c r="AU899" s="10" t="b">
        <f>IF(I899="TP",VLOOKUP(AF899,TPCalibEqFull!$AZ$2:$BB$56,3),IF(I899="TDP",VLOOKUP(AF899,TPCalibEqFull!$AZ$2:$BB$56,3),IF(I899="TDN",VLOOKUP(AF899,TNCalibEqFull!$AZ$1:$BB$56,3),IF(I899="TN",VLOOKUP(AF899,TNCalibEqFull!$AZ$1:$BB$56,3),FALSE))))</f>
        <v>0</v>
      </c>
      <c r="AV899" s="10" t="str">
        <f t="shared" si="106"/>
        <v>0117 11:17:00-EAW-0-FIL-1-SW-UKN</v>
      </c>
    </row>
    <row r="900" spans="1:48" s="10" customFormat="1" x14ac:dyDescent="0.55000000000000004">
      <c r="A900" s="32">
        <v>44943</v>
      </c>
      <c r="B900" s="33">
        <v>0.48125000000000001</v>
      </c>
      <c r="C900" s="10" t="s">
        <v>613</v>
      </c>
      <c r="D900" s="10">
        <v>0</v>
      </c>
      <c r="E900" s="10" t="s">
        <v>911</v>
      </c>
      <c r="F900" s="10">
        <v>1</v>
      </c>
      <c r="G900" s="10" t="s">
        <v>231</v>
      </c>
      <c r="H900" s="10" t="s">
        <v>322</v>
      </c>
      <c r="I900" s="10" t="s">
        <v>75</v>
      </c>
      <c r="J900" s="10">
        <v>51</v>
      </c>
      <c r="K900" s="12">
        <v>44950</v>
      </c>
      <c r="L900" s="33">
        <v>0.51755787037037038</v>
      </c>
      <c r="M900" s="10">
        <v>1</v>
      </c>
      <c r="N900" s="10" t="s">
        <v>76</v>
      </c>
      <c r="O900" s="10">
        <v>0.18099999999999999</v>
      </c>
      <c r="P900" s="10">
        <v>1.6500000000000001E-2</v>
      </c>
      <c r="Q900" s="10">
        <v>11.6</v>
      </c>
      <c r="R900" s="10" t="s">
        <v>77</v>
      </c>
      <c r="S900" s="34">
        <f t="shared" si="102"/>
        <v>11.6</v>
      </c>
      <c r="T900" s="10" t="s">
        <v>1047</v>
      </c>
      <c r="U900" s="34" t="str">
        <f t="shared" si="103"/>
        <v/>
      </c>
      <c r="V900" s="31" t="str">
        <f>IF(H900="CHK",VLOOKUP(I900,QCCHK,3,),IF(H900="GUP",VLOOKUP(E900,QCGUP,2,),IF(AND(H900="ATP",OR(I900="TN",I900="TDN",I900="TNO2-3",I900="NO2-3")),VLOOKUP(E900,QCREC_N,2,),IF(AND(H900="NIC",OR(I900="TN",I900="TDN",I900="TNO2-3",I900="NO2-3")),VLOOKUP(E900,QCNIC_N,2,),IF(AND(H900="UREA",OR(I900="TN",I900="TDN",I900="TNO2-3",I900="NO2-3")),VLOOKUP(E900,QCUREA_N,2,),IF(H900="PER",VLOOKUP(I900,QCPER,MATCH(E900,QCACTUAL!$J$25:$AA$25,0),),IF(H900="SPK",VLOOKUP(I900,QCSPK,3,),IF(AND(H900="ATP",OR(I900="TP",I900="TDP")),VLOOKUP(E900,QCATP_P,2,),""))))))))</f>
        <v/>
      </c>
      <c r="W900" s="31" t="str">
        <f t="shared" si="104"/>
        <v>TRUE</v>
      </c>
      <c r="X900" s="31" t="str">
        <f t="shared" si="105"/>
        <v/>
      </c>
      <c r="Y900" s="10" t="s">
        <v>1040</v>
      </c>
      <c r="Z900" s="10" t="s">
        <v>910</v>
      </c>
      <c r="AL900" s="10" t="str">
        <f t="shared" si="100"/>
        <v>FALSE</v>
      </c>
      <c r="AM900" s="10" t="str">
        <f t="shared" si="100"/>
        <v>FALSE</v>
      </c>
      <c r="AN900" s="10" t="str">
        <f t="shared" si="100"/>
        <v>FALSE</v>
      </c>
      <c r="AO900" s="10" t="str">
        <f t="shared" si="101"/>
        <v>FALSE</v>
      </c>
      <c r="AP900" s="10" t="str">
        <f t="shared" si="101"/>
        <v>FALSE</v>
      </c>
      <c r="AQ900" s="10" t="b">
        <f>IF(AND(I900="TP",S900&lt;=150),VLOOKUP(AF900,TPCalibEq150!$AZ$2:$BB$55,3,),IF(AND(I900="TDP",S900&lt;=150),VLOOKUP(AF900,TPCalibEq150!$AZ$2:$BB$55,3,)))</f>
        <v>0</v>
      </c>
      <c r="AR900" s="10" t="b">
        <f>IF(AND(I900="TP",S900&lt;=300),VLOOKUP(AF900,TPCalibEq300!$AZ$2:$BB$55,3,),IF(AND(I900="TDP",S900&lt;=300),VLOOKUP(AF900,TPCalibEq300!$AZ$2:$BB$55,3,)))</f>
        <v>0</v>
      </c>
      <c r="AS900" s="10" t="b">
        <f>IF(AND(I900="TP",S900&lt;=500),VLOOKUP(AF900,TPCalibEq500!$AZ$2:$BB$56,3,),IF(AND(I900="TDP",S900&lt;=500),VLOOKUP(AF900,TPCalibEq500!$AZ$2:$BB$56,3,)))</f>
        <v>0</v>
      </c>
      <c r="AT900" s="10" t="b">
        <f>IF(AND(I900="TN",S900&lt;=2800),VLOOKUP(AF900,TNCalibEq2500!$AZ$2:$BB$56,3,),IF(AND(I900="TDN",S900&lt;=2800),VLOOKUP(AF900,TNCalibEq2500!$AZ$2:$BB$56,3,)))</f>
        <v>0</v>
      </c>
      <c r="AU900" s="10" t="b">
        <f>IF(I900="TP",VLOOKUP(AF900,TPCalibEqFull!$AZ$2:$BB$56,3),IF(I900="TDP",VLOOKUP(AF900,TPCalibEqFull!$AZ$2:$BB$56,3),IF(I900="TDN",VLOOKUP(AF900,TNCalibEqFull!$AZ$1:$BB$56,3),IF(I900="TN",VLOOKUP(AF900,TNCalibEqFull!$AZ$1:$BB$56,3),FALSE))))</f>
        <v>0</v>
      </c>
      <c r="AV900" s="10" t="str">
        <f t="shared" si="106"/>
        <v>0117 11:33:00-FVC-0-FIL-1-SW-UKN</v>
      </c>
    </row>
    <row r="901" spans="1:48" s="10" customFormat="1" x14ac:dyDescent="0.55000000000000004">
      <c r="A901" s="32">
        <v>44943</v>
      </c>
      <c r="B901" s="33">
        <v>0.48125000000000001</v>
      </c>
      <c r="C901" s="10" t="s">
        <v>613</v>
      </c>
      <c r="D901" s="10">
        <v>0</v>
      </c>
      <c r="E901" s="10" t="s">
        <v>911</v>
      </c>
      <c r="F901" s="10">
        <v>2</v>
      </c>
      <c r="G901" s="10" t="s">
        <v>231</v>
      </c>
      <c r="H901" s="10" t="s">
        <v>322</v>
      </c>
      <c r="I901" s="10" t="s">
        <v>75</v>
      </c>
      <c r="J901" s="10">
        <v>52</v>
      </c>
      <c r="K901" s="12">
        <v>44950</v>
      </c>
      <c r="L901" s="33">
        <v>0.51837962962962958</v>
      </c>
      <c r="M901" s="10">
        <v>1</v>
      </c>
      <c r="N901" s="10" t="s">
        <v>76</v>
      </c>
      <c r="O901" s="10">
        <v>0.17299999999999999</v>
      </c>
      <c r="P901" s="10">
        <v>1.5299999999999999E-2</v>
      </c>
      <c r="Q901" s="10">
        <v>11.1</v>
      </c>
      <c r="R901" s="10" t="s">
        <v>77</v>
      </c>
      <c r="S901" s="34">
        <f t="shared" si="102"/>
        <v>11.1</v>
      </c>
      <c r="T901" s="10" t="s">
        <v>1047</v>
      </c>
      <c r="U901" s="34" t="str">
        <f t="shared" si="103"/>
        <v/>
      </c>
      <c r="V901" s="31" t="str">
        <f>IF(H901="CHK",VLOOKUP(I901,QCCHK,3,),IF(H901="GUP",VLOOKUP(E901,QCGUP,2,),IF(AND(H901="ATP",OR(I901="TN",I901="TDN",I901="TNO2-3",I901="NO2-3")),VLOOKUP(E901,QCREC_N,2,),IF(AND(H901="NIC",OR(I901="TN",I901="TDN",I901="TNO2-3",I901="NO2-3")),VLOOKUP(E901,QCNIC_N,2,),IF(AND(H901="UREA",OR(I901="TN",I901="TDN",I901="TNO2-3",I901="NO2-3")),VLOOKUP(E901,QCUREA_N,2,),IF(H901="PER",VLOOKUP(I901,QCPER,MATCH(E901,QCACTUAL!$J$25:$AA$25,0),),IF(H901="SPK",VLOOKUP(I901,QCSPK,3,),IF(AND(H901="ATP",OR(I901="TP",I901="TDP")),VLOOKUP(E901,QCATP_P,2,),""))))))))</f>
        <v/>
      </c>
      <c r="W901" s="31" t="str">
        <f t="shared" si="104"/>
        <v>TRUE</v>
      </c>
      <c r="X901" s="31" t="str">
        <f t="shared" si="105"/>
        <v/>
      </c>
      <c r="Y901" s="10" t="s">
        <v>1040</v>
      </c>
      <c r="Z901" s="10" t="s">
        <v>910</v>
      </c>
      <c r="AL901" s="10" t="str">
        <f t="shared" si="100"/>
        <v>FALSE</v>
      </c>
      <c r="AM901" s="10" t="str">
        <f t="shared" si="100"/>
        <v>FALSE</v>
      </c>
      <c r="AN901" s="10" t="str">
        <f t="shared" si="100"/>
        <v>FALSE</v>
      </c>
      <c r="AO901" s="10" t="str">
        <f t="shared" si="101"/>
        <v>FALSE</v>
      </c>
      <c r="AP901" s="10" t="str">
        <f t="shared" si="101"/>
        <v>FALSE</v>
      </c>
      <c r="AQ901" s="10" t="b">
        <f>IF(AND(I901="TP",S901&lt;=150),VLOOKUP(AF901,TPCalibEq150!$AZ$2:$BB$55,3,),IF(AND(I901="TDP",S901&lt;=150),VLOOKUP(AF901,TPCalibEq150!$AZ$2:$BB$55,3,)))</f>
        <v>0</v>
      </c>
      <c r="AR901" s="10" t="b">
        <f>IF(AND(I901="TP",S901&lt;=300),VLOOKUP(AF901,TPCalibEq300!$AZ$2:$BB$55,3,),IF(AND(I901="TDP",S901&lt;=300),VLOOKUP(AF901,TPCalibEq300!$AZ$2:$BB$55,3,)))</f>
        <v>0</v>
      </c>
      <c r="AS901" s="10" t="b">
        <f>IF(AND(I901="TP",S901&lt;=500),VLOOKUP(AF901,TPCalibEq500!$AZ$2:$BB$56,3,),IF(AND(I901="TDP",S901&lt;=500),VLOOKUP(AF901,TPCalibEq500!$AZ$2:$BB$56,3,)))</f>
        <v>0</v>
      </c>
      <c r="AT901" s="10" t="b">
        <f>IF(AND(I901="TN",S901&lt;=2800),VLOOKUP(AF901,TNCalibEq2500!$AZ$2:$BB$56,3,),IF(AND(I901="TDN",S901&lt;=2800),VLOOKUP(AF901,TNCalibEq2500!$AZ$2:$BB$56,3,)))</f>
        <v>0</v>
      </c>
      <c r="AU901" s="10" t="b">
        <f>IF(I901="TP",VLOOKUP(AF901,TPCalibEqFull!$AZ$2:$BB$56,3),IF(I901="TDP",VLOOKUP(AF901,TPCalibEqFull!$AZ$2:$BB$56,3),IF(I901="TDN",VLOOKUP(AF901,TNCalibEqFull!$AZ$1:$BB$56,3),IF(I901="TN",VLOOKUP(AF901,TNCalibEqFull!$AZ$1:$BB$56,3),FALSE))))</f>
        <v>0</v>
      </c>
      <c r="AV901" s="10" t="str">
        <f t="shared" si="106"/>
        <v>0117 11:33:00-FVC-0-FIL-2-SW-UKN</v>
      </c>
    </row>
    <row r="902" spans="1:48" s="10" customFormat="1" x14ac:dyDescent="0.55000000000000004">
      <c r="A902" s="32">
        <v>44943</v>
      </c>
      <c r="B902" s="33">
        <v>0.48125000000000001</v>
      </c>
      <c r="C902" s="10" t="s">
        <v>613</v>
      </c>
      <c r="D902" s="10">
        <v>0</v>
      </c>
      <c r="E902" s="10" t="s">
        <v>911</v>
      </c>
      <c r="F902" s="10">
        <v>2</v>
      </c>
      <c r="G902" s="10" t="s">
        <v>231</v>
      </c>
      <c r="H902" s="10" t="s">
        <v>233</v>
      </c>
      <c r="I902" s="10" t="s">
        <v>75</v>
      </c>
      <c r="J902" s="10">
        <v>52</v>
      </c>
      <c r="K902" s="12">
        <v>44950</v>
      </c>
      <c r="L902" s="33">
        <v>0.51920138888888889</v>
      </c>
      <c r="M902" s="10">
        <v>1</v>
      </c>
      <c r="N902" s="10" t="s">
        <v>76</v>
      </c>
      <c r="O902" s="10">
        <v>0.182</v>
      </c>
      <c r="P902" s="10">
        <v>1.6400000000000001E-2</v>
      </c>
      <c r="Q902" s="10">
        <v>11.7</v>
      </c>
      <c r="R902" s="10" t="s">
        <v>77</v>
      </c>
      <c r="S902" s="34">
        <f t="shared" si="102"/>
        <v>11.7</v>
      </c>
      <c r="T902" s="10" t="s">
        <v>1047</v>
      </c>
      <c r="U902" s="34">
        <f t="shared" si="103"/>
        <v>5.2631578947368398</v>
      </c>
      <c r="V902" s="31" t="str">
        <f>IF(H902="CHK",VLOOKUP(I902,QCCHK,3,),IF(H902="GUP",VLOOKUP(E902,QCGUP,2,),IF(AND(H902="ATP",OR(I902="TN",I902="TDN",I902="TNO2-3",I902="NO2-3")),VLOOKUP(E902,QCREC_N,2,),IF(AND(H902="NIC",OR(I902="TN",I902="TDN",I902="TNO2-3",I902="NO2-3")),VLOOKUP(E902,QCNIC_N,2,),IF(AND(H902="UREA",OR(I902="TN",I902="TDN",I902="TNO2-3",I902="NO2-3")),VLOOKUP(E902,QCUREA_N,2,),IF(H902="PER",VLOOKUP(I902,QCPER,MATCH(E902,QCACTUAL!$J$25:$AA$25,0),),IF(H902="SPK",VLOOKUP(I902,QCSPK,3,),IF(AND(H902="ATP",OR(I902="TP",I902="TDP")),VLOOKUP(E902,QCATP_P,2,),""))))))))</f>
        <v/>
      </c>
      <c r="W902" s="31" t="str">
        <f t="shared" si="104"/>
        <v>TRUE</v>
      </c>
      <c r="X902" s="31" t="str">
        <f t="shared" si="105"/>
        <v>((ABS(rep1-rep2))/((rep1+rep2)/2)*100</v>
      </c>
      <c r="Y902" s="10" t="s">
        <v>1040</v>
      </c>
      <c r="Z902" s="10" t="s">
        <v>910</v>
      </c>
      <c r="AL902" s="10" t="str">
        <f t="shared" si="100"/>
        <v>FALSE</v>
      </c>
      <c r="AM902" s="10" t="str">
        <f t="shared" si="100"/>
        <v>FALSE</v>
      </c>
      <c r="AN902" s="10" t="str">
        <f t="shared" si="100"/>
        <v>FALSE</v>
      </c>
      <c r="AO902" s="10" t="str">
        <f t="shared" si="101"/>
        <v>FALSE</v>
      </c>
      <c r="AP902" s="10" t="str">
        <f t="shared" si="101"/>
        <v>FALSE</v>
      </c>
      <c r="AQ902" s="10" t="b">
        <f>IF(AND(I902="TP",S902&lt;=150),VLOOKUP(AF902,TPCalibEq150!$AZ$2:$BB$55,3,),IF(AND(I902="TDP",S902&lt;=150),VLOOKUP(AF902,TPCalibEq150!$AZ$2:$BB$55,3,)))</f>
        <v>0</v>
      </c>
      <c r="AR902" s="10" t="b">
        <f>IF(AND(I902="TP",S902&lt;=300),VLOOKUP(AF902,TPCalibEq300!$AZ$2:$BB$55,3,),IF(AND(I902="TDP",S902&lt;=300),VLOOKUP(AF902,TPCalibEq300!$AZ$2:$BB$55,3,)))</f>
        <v>0</v>
      </c>
      <c r="AS902" s="10" t="b">
        <f>IF(AND(I902="TP",S902&lt;=500),VLOOKUP(AF902,TPCalibEq500!$AZ$2:$BB$56,3,),IF(AND(I902="TDP",S902&lt;=500),VLOOKUP(AF902,TPCalibEq500!$AZ$2:$BB$56,3,)))</f>
        <v>0</v>
      </c>
      <c r="AT902" s="10" t="b">
        <f>IF(AND(I902="TN",S902&lt;=2800),VLOOKUP(AF902,TNCalibEq2500!$AZ$2:$BB$56,3,),IF(AND(I902="TDN",S902&lt;=2800),VLOOKUP(AF902,TNCalibEq2500!$AZ$2:$BB$56,3,)))</f>
        <v>0</v>
      </c>
      <c r="AU902" s="10" t="b">
        <f>IF(I902="TP",VLOOKUP(AF902,TPCalibEqFull!$AZ$2:$BB$56,3),IF(I902="TDP",VLOOKUP(AF902,TPCalibEqFull!$AZ$2:$BB$56,3),IF(I902="TDN",VLOOKUP(AF902,TNCalibEqFull!$AZ$1:$BB$56,3),IF(I902="TN",VLOOKUP(AF902,TNCalibEqFull!$AZ$1:$BB$56,3),FALSE))))</f>
        <v>0</v>
      </c>
      <c r="AV902" s="10" t="str">
        <f t="shared" si="106"/>
        <v>0117 11:33:00-FVC-0-FIL-2-SW-DUP</v>
      </c>
    </row>
    <row r="903" spans="1:48" s="10" customFormat="1" x14ac:dyDescent="0.55000000000000004">
      <c r="A903" s="32">
        <v>44943</v>
      </c>
      <c r="B903" s="33">
        <v>0.48125000000000001</v>
      </c>
      <c r="C903" s="10" t="s">
        <v>613</v>
      </c>
      <c r="D903" s="10">
        <v>0</v>
      </c>
      <c r="E903" s="10" t="s">
        <v>911</v>
      </c>
      <c r="F903" s="10">
        <v>2</v>
      </c>
      <c r="G903" s="10" t="s">
        <v>231</v>
      </c>
      <c r="H903" s="10" t="s">
        <v>314</v>
      </c>
      <c r="I903" s="10" t="s">
        <v>75</v>
      </c>
      <c r="J903" s="10">
        <v>61</v>
      </c>
      <c r="K903" s="12">
        <v>44950</v>
      </c>
      <c r="L903" s="33">
        <v>0.52002314814814821</v>
      </c>
      <c r="M903" s="10">
        <v>1</v>
      </c>
      <c r="N903" s="10" t="s">
        <v>76</v>
      </c>
      <c r="O903" s="10">
        <v>10.4</v>
      </c>
      <c r="P903" s="10">
        <v>1.03</v>
      </c>
      <c r="Q903" s="10">
        <v>676</v>
      </c>
      <c r="R903" s="10" t="s">
        <v>77</v>
      </c>
      <c r="S903" s="34">
        <f t="shared" si="102"/>
        <v>676</v>
      </c>
      <c r="T903" s="10" t="s">
        <v>1047</v>
      </c>
      <c r="U903" s="34">
        <f t="shared" si="103"/>
        <v>106.28799999999998</v>
      </c>
      <c r="V903" s="31">
        <f>IF(H903="CHK",VLOOKUP(I903,QCCHK,3,),IF(H903="GUP",VLOOKUP(E903,QCGUP,2,),IF(AND(H903="ATP",OR(I903="TN",I903="TDN",I903="TNO2-3",I903="NO2-3")),VLOOKUP(E903,QCREC_N,2,),IF(AND(H903="NIC",OR(I903="TN",I903="TDN",I903="TNO2-3",I903="NO2-3")),VLOOKUP(E903,QCNIC_N,2,),IF(AND(H903="UREA",OR(I903="TN",I903="TDN",I903="TNO2-3",I903="NO2-3")),VLOOKUP(E903,QCUREA_N,2,),IF(H903="PER",VLOOKUP(I903,QCPER,MATCH(E903,QCACTUAL!$J$25:$AA$25,0),),IF(H903="SPK",VLOOKUP(I903,QCSPK,3,),IF(AND(H903="ATP",OR(I903="TP",I903="TDP")),VLOOKUP(E903,QCATP_P,2,),""))))))))</f>
        <v>625</v>
      </c>
      <c r="W903" s="31" t="str">
        <f t="shared" si="104"/>
        <v>TRUE</v>
      </c>
      <c r="X903" s="31" t="str">
        <f t="shared" si="105"/>
        <v>([spikedunkn]-[unkn])/[spike]*100</v>
      </c>
      <c r="Y903" s="10" t="s">
        <v>1040</v>
      </c>
      <c r="Z903" s="10" t="s">
        <v>910</v>
      </c>
      <c r="AL903" s="10" t="str">
        <f t="shared" si="100"/>
        <v>FALSE</v>
      </c>
      <c r="AM903" s="10" t="str">
        <f t="shared" si="100"/>
        <v>FALSE</v>
      </c>
      <c r="AN903" s="10" t="str">
        <f t="shared" si="100"/>
        <v>FALSE</v>
      </c>
      <c r="AO903" s="10" t="str">
        <f t="shared" si="101"/>
        <v>FALSE</v>
      </c>
      <c r="AP903" s="10" t="str">
        <f t="shared" si="101"/>
        <v>FALSE</v>
      </c>
      <c r="AQ903" s="10" t="b">
        <f>IF(AND(I903="TP",S903&lt;=150),VLOOKUP(AF903,TPCalibEq150!$AZ$2:$BB$55,3,),IF(AND(I903="TDP",S903&lt;=150),VLOOKUP(AF903,TPCalibEq150!$AZ$2:$BB$55,3,)))</f>
        <v>0</v>
      </c>
      <c r="AR903" s="10" t="b">
        <f>IF(AND(I903="TP",S903&lt;=300),VLOOKUP(AF903,TPCalibEq300!$AZ$2:$BB$55,3,),IF(AND(I903="TDP",S903&lt;=300),VLOOKUP(AF903,TPCalibEq300!$AZ$2:$BB$55,3,)))</f>
        <v>0</v>
      </c>
      <c r="AS903" s="10" t="b">
        <f>IF(AND(I903="TP",S903&lt;=500),VLOOKUP(AF903,TPCalibEq500!$AZ$2:$BB$56,3,),IF(AND(I903="TDP",S903&lt;=500),VLOOKUP(AF903,TPCalibEq500!$AZ$2:$BB$56,3,)))</f>
        <v>0</v>
      </c>
      <c r="AT903" s="10" t="b">
        <f>IF(AND(I903="TN",S903&lt;=2800),VLOOKUP(AF903,TNCalibEq2500!$AZ$2:$BB$56,3,),IF(AND(I903="TDN",S903&lt;=2800),VLOOKUP(AF903,TNCalibEq2500!$AZ$2:$BB$56,3,)))</f>
        <v>0</v>
      </c>
      <c r="AU903" s="10" t="b">
        <f>IF(I903="TP",VLOOKUP(AF903,TPCalibEqFull!$AZ$2:$BB$56,3),IF(I903="TDP",VLOOKUP(AF903,TPCalibEqFull!$AZ$2:$BB$56,3),IF(I903="TDN",VLOOKUP(AF903,TNCalibEqFull!$AZ$1:$BB$56,3),IF(I903="TN",VLOOKUP(AF903,TNCalibEqFull!$AZ$1:$BB$56,3),FALSE))))</f>
        <v>0</v>
      </c>
      <c r="AV903" s="10" t="str">
        <f t="shared" si="106"/>
        <v>0117 11:33:00-FVC-0-FIL-2-SW-SPK</v>
      </c>
    </row>
    <row r="904" spans="1:48" s="10" customFormat="1" x14ac:dyDescent="0.55000000000000004">
      <c r="A904" s="32">
        <v>44950</v>
      </c>
      <c r="B904" s="33">
        <v>0.375</v>
      </c>
      <c r="C904" s="10" t="s">
        <v>70</v>
      </c>
      <c r="D904" s="10" t="s">
        <v>71</v>
      </c>
      <c r="E904" s="10" t="s">
        <v>901</v>
      </c>
      <c r="F904" s="10">
        <v>1</v>
      </c>
      <c r="G904" s="10" t="s">
        <v>73</v>
      </c>
      <c r="H904" s="10" t="s">
        <v>207</v>
      </c>
      <c r="I904" s="10" t="s">
        <v>75</v>
      </c>
      <c r="J904" s="10">
        <v>201</v>
      </c>
      <c r="K904" s="12">
        <v>44950</v>
      </c>
      <c r="L904" s="33">
        <v>0.52084490740740741</v>
      </c>
      <c r="M904" s="10">
        <v>1</v>
      </c>
      <c r="N904" s="10" t="s">
        <v>76</v>
      </c>
      <c r="O904" s="10">
        <v>4.66</v>
      </c>
      <c r="P904" s="10">
        <v>0.45400000000000001</v>
      </c>
      <c r="Q904" s="10">
        <v>301</v>
      </c>
      <c r="R904" s="10" t="s">
        <v>77</v>
      </c>
      <c r="S904" s="34">
        <f t="shared" si="102"/>
        <v>301</v>
      </c>
      <c r="T904" s="10" t="s">
        <v>1047</v>
      </c>
      <c r="U904" s="34">
        <f t="shared" si="103"/>
        <v>100.33333333333334</v>
      </c>
      <c r="V904" s="31">
        <f>IF(H904="CHK",VLOOKUP(I904,QCCHK,3,),IF(H904="GUP",VLOOKUP(E904,QCGUP,2,),IF(AND(H904="ATP",OR(I904="TN",I904="TDN",I904="TNO2-3",I904="NO2-3")),VLOOKUP(E904,QCREC_N,2,),IF(AND(H904="NIC",OR(I904="TN",I904="TDN",I904="TNO2-3",I904="NO2-3")),VLOOKUP(E904,QCNIC_N,2,),IF(AND(H904="UREA",OR(I904="TN",I904="TDN",I904="TNO2-3",I904="NO2-3")),VLOOKUP(E904,QCUREA_N,2,),IF(H904="PER",VLOOKUP(I904,QCPER,MATCH(E904,QCACTUAL!$J$25:$AA$25,0),),IF(H904="SPK",VLOOKUP(I904,QCSPK,3,),IF(AND(H904="ATP",OR(I904="TP",I904="TDP")),VLOOKUP(E904,QCATP_P,2,),""))))))))</f>
        <v>300</v>
      </c>
      <c r="W904" s="31" t="str">
        <f t="shared" si="104"/>
        <v>TRUE</v>
      </c>
      <c r="X904" s="31" t="str">
        <f t="shared" si="105"/>
        <v>[chk]/[actual]*100</v>
      </c>
      <c r="Y904" s="10" t="s">
        <v>1040</v>
      </c>
      <c r="AL904" s="10" t="str">
        <f t="shared" si="100"/>
        <v>FALSE</v>
      </c>
      <c r="AM904" s="10" t="str">
        <f t="shared" si="100"/>
        <v>FALSE</v>
      </c>
      <c r="AN904" s="10" t="str">
        <f t="shared" si="100"/>
        <v>FALSE</v>
      </c>
      <c r="AO904" s="10" t="str">
        <f t="shared" si="101"/>
        <v>FALSE</v>
      </c>
      <c r="AP904" s="10" t="str">
        <f t="shared" si="101"/>
        <v>FALSE</v>
      </c>
      <c r="AQ904" s="10" t="b">
        <f>IF(AND(I904="TP",S904&lt;=150),VLOOKUP(AF904,TPCalibEq150!$AZ$2:$BB$55,3,),IF(AND(I904="TDP",S904&lt;=150),VLOOKUP(AF904,TPCalibEq150!$AZ$2:$BB$55,3,)))</f>
        <v>0</v>
      </c>
      <c r="AR904" s="10" t="b">
        <f>IF(AND(I904="TP",S904&lt;=300),VLOOKUP(AF904,TPCalibEq300!$AZ$2:$BB$55,3,),IF(AND(I904="TDP",S904&lt;=300),VLOOKUP(AF904,TPCalibEq300!$AZ$2:$BB$55,3,)))</f>
        <v>0</v>
      </c>
      <c r="AS904" s="10" t="b">
        <f>IF(AND(I904="TP",S904&lt;=500),VLOOKUP(AF904,TPCalibEq500!$AZ$2:$BB$56,3,),IF(AND(I904="TDP",S904&lt;=500),VLOOKUP(AF904,TPCalibEq500!$AZ$2:$BB$56,3,)))</f>
        <v>0</v>
      </c>
      <c r="AT904" s="10" t="b">
        <f>IF(AND(I904="TN",S904&lt;=2800),VLOOKUP(AF904,TNCalibEq2500!$AZ$2:$BB$56,3,),IF(AND(I904="TDN",S904&lt;=2800),VLOOKUP(AF904,TNCalibEq2500!$AZ$2:$BB$56,3,)))</f>
        <v>0</v>
      </c>
      <c r="AU904" s="10" t="b">
        <f>IF(I904="TP",VLOOKUP(AF904,TPCalibEqFull!$AZ$2:$BB$56,3),IF(I904="TDP",VLOOKUP(AF904,TPCalibEqFull!$AZ$2:$BB$56,3),IF(I904="TDN",VLOOKUP(AF904,TNCalibEqFull!$AZ$1:$BB$56,3),IF(I904="TN",VLOOKUP(AF904,TNCalibEqFull!$AZ$1:$BB$56,3),FALSE))))</f>
        <v>0</v>
      </c>
      <c r="AV904" s="10" t="str">
        <f t="shared" si="106"/>
        <v>0124 09:00:00-QAC-STD-D-1-DI-CHK</v>
      </c>
    </row>
    <row r="905" spans="1:48" s="10" customFormat="1" x14ac:dyDescent="0.55000000000000004">
      <c r="A905" s="32">
        <v>44943</v>
      </c>
      <c r="B905" s="33">
        <v>0.48888888888888887</v>
      </c>
      <c r="C905" s="10" t="s">
        <v>250</v>
      </c>
      <c r="D905" s="10">
        <v>0</v>
      </c>
      <c r="E905" s="10" t="s">
        <v>911</v>
      </c>
      <c r="F905" s="10">
        <v>1</v>
      </c>
      <c r="G905" s="10" t="s">
        <v>231</v>
      </c>
      <c r="H905" s="10" t="s">
        <v>322</v>
      </c>
      <c r="I905" s="10" t="s">
        <v>75</v>
      </c>
      <c r="J905" s="10">
        <v>53</v>
      </c>
      <c r="K905" s="12">
        <v>44950</v>
      </c>
      <c r="L905" s="33">
        <v>0.52166666666666661</v>
      </c>
      <c r="M905" s="10">
        <v>1</v>
      </c>
      <c r="N905" s="10" t="s">
        <v>76</v>
      </c>
      <c r="O905" s="10">
        <v>0.76200000000000001</v>
      </c>
      <c r="P905" s="10">
        <v>7.3499999999999996E-2</v>
      </c>
      <c r="Q905" s="10">
        <v>49</v>
      </c>
      <c r="R905" s="10" t="s">
        <v>77</v>
      </c>
      <c r="S905" s="34">
        <f t="shared" si="102"/>
        <v>49</v>
      </c>
      <c r="T905" s="10" t="s">
        <v>1047</v>
      </c>
      <c r="U905" s="34" t="str">
        <f t="shared" si="103"/>
        <v/>
      </c>
      <c r="V905" s="31" t="str">
        <f>IF(H905="CHK",VLOOKUP(I905,QCCHK,3,),IF(H905="GUP",VLOOKUP(E905,QCGUP,2,),IF(AND(H905="ATP",OR(I905="TN",I905="TDN",I905="TNO2-3",I905="NO2-3")),VLOOKUP(E905,QCREC_N,2,),IF(AND(H905="NIC",OR(I905="TN",I905="TDN",I905="TNO2-3",I905="NO2-3")),VLOOKUP(E905,QCNIC_N,2,),IF(AND(H905="UREA",OR(I905="TN",I905="TDN",I905="TNO2-3",I905="NO2-3")),VLOOKUP(E905,QCUREA_N,2,),IF(H905="PER",VLOOKUP(I905,QCPER,MATCH(E905,QCACTUAL!$J$25:$AA$25,0),),IF(H905="SPK",VLOOKUP(I905,QCSPK,3,),IF(AND(H905="ATP",OR(I905="TP",I905="TDP")),VLOOKUP(E905,QCATP_P,2,),""))))))))</f>
        <v/>
      </c>
      <c r="W905" s="31" t="str">
        <f t="shared" si="104"/>
        <v>TRUE</v>
      </c>
      <c r="X905" s="31" t="str">
        <f t="shared" si="105"/>
        <v/>
      </c>
      <c r="Y905" s="10" t="s">
        <v>1040</v>
      </c>
      <c r="Z905" s="10" t="s">
        <v>910</v>
      </c>
      <c r="AL905" s="10" t="str">
        <f t="shared" si="100"/>
        <v>FALSE</v>
      </c>
      <c r="AM905" s="10" t="str">
        <f t="shared" si="100"/>
        <v>FALSE</v>
      </c>
      <c r="AN905" s="10" t="str">
        <f t="shared" si="100"/>
        <v>FALSE</v>
      </c>
      <c r="AO905" s="10" t="str">
        <f t="shared" si="101"/>
        <v>FALSE</v>
      </c>
      <c r="AP905" s="10" t="str">
        <f t="shared" si="101"/>
        <v>FALSE</v>
      </c>
      <c r="AQ905" s="10" t="b">
        <f>IF(AND(I905="TP",S905&lt;=150),VLOOKUP(AF905,TPCalibEq150!$AZ$2:$BB$55,3,),IF(AND(I905="TDP",S905&lt;=150),VLOOKUP(AF905,TPCalibEq150!$AZ$2:$BB$55,3,)))</f>
        <v>0</v>
      </c>
      <c r="AR905" s="10" t="b">
        <f>IF(AND(I905="TP",S905&lt;=300),VLOOKUP(AF905,TPCalibEq300!$AZ$2:$BB$55,3,),IF(AND(I905="TDP",S905&lt;=300),VLOOKUP(AF905,TPCalibEq300!$AZ$2:$BB$55,3,)))</f>
        <v>0</v>
      </c>
      <c r="AS905" s="10" t="b">
        <f>IF(AND(I905="TP",S905&lt;=500),VLOOKUP(AF905,TPCalibEq500!$AZ$2:$BB$56,3,),IF(AND(I905="TDP",S905&lt;=500),VLOOKUP(AF905,TPCalibEq500!$AZ$2:$BB$56,3,)))</f>
        <v>0</v>
      </c>
      <c r="AT905" s="10" t="b">
        <f>IF(AND(I905="TN",S905&lt;=2800),VLOOKUP(AF905,TNCalibEq2500!$AZ$2:$BB$56,3,),IF(AND(I905="TDN",S905&lt;=2800),VLOOKUP(AF905,TNCalibEq2500!$AZ$2:$BB$56,3,)))</f>
        <v>0</v>
      </c>
      <c r="AU905" s="10" t="b">
        <f>IF(I905="TP",VLOOKUP(AF905,TPCalibEqFull!$AZ$2:$BB$56,3),IF(I905="TDP",VLOOKUP(AF905,TPCalibEqFull!$AZ$2:$BB$56,3),IF(I905="TDN",VLOOKUP(AF905,TNCalibEqFull!$AZ$1:$BB$56,3),IF(I905="TN",VLOOKUP(AF905,TNCalibEqFull!$AZ$1:$BB$56,3),FALSE))))</f>
        <v>0</v>
      </c>
      <c r="AV905" s="10" t="str">
        <f t="shared" si="106"/>
        <v>0117 11:44:00-EFB-0-FIL-1-SW-UKN</v>
      </c>
    </row>
    <row r="906" spans="1:48" s="10" customFormat="1" x14ac:dyDescent="0.55000000000000004">
      <c r="A906" s="32">
        <v>44943</v>
      </c>
      <c r="B906" s="33">
        <v>0.49791666666666662</v>
      </c>
      <c r="C906" s="10" t="s">
        <v>326</v>
      </c>
      <c r="D906" s="10">
        <v>0</v>
      </c>
      <c r="E906" s="10" t="s">
        <v>911</v>
      </c>
      <c r="F906" s="10">
        <v>1</v>
      </c>
      <c r="G906" s="10" t="s">
        <v>231</v>
      </c>
      <c r="H906" s="10" t="s">
        <v>322</v>
      </c>
      <c r="I906" s="10" t="s">
        <v>75</v>
      </c>
      <c r="J906" s="10">
        <v>54</v>
      </c>
      <c r="K906" s="12">
        <v>44950</v>
      </c>
      <c r="L906" s="33">
        <v>0.52247685185185189</v>
      </c>
      <c r="M906" s="10">
        <v>1</v>
      </c>
      <c r="N906" s="10" t="s">
        <v>76</v>
      </c>
      <c r="O906" s="10">
        <v>0.29699999999999999</v>
      </c>
      <c r="P906" s="10">
        <v>2.7699999999999999E-2</v>
      </c>
      <c r="Q906" s="10">
        <v>19.100000000000001</v>
      </c>
      <c r="R906" s="10" t="s">
        <v>77</v>
      </c>
      <c r="S906" s="34">
        <f t="shared" si="102"/>
        <v>19.100000000000001</v>
      </c>
      <c r="T906" s="10" t="s">
        <v>1047</v>
      </c>
      <c r="U906" s="34" t="str">
        <f t="shared" si="103"/>
        <v/>
      </c>
      <c r="V906" s="31" t="str">
        <f>IF(H906="CHK",VLOOKUP(I906,QCCHK,3,),IF(H906="GUP",VLOOKUP(E906,QCGUP,2,),IF(AND(H906="ATP",OR(I906="TN",I906="TDN",I906="TNO2-3",I906="NO2-3")),VLOOKUP(E906,QCREC_N,2,),IF(AND(H906="NIC",OR(I906="TN",I906="TDN",I906="TNO2-3",I906="NO2-3")),VLOOKUP(E906,QCNIC_N,2,),IF(AND(H906="UREA",OR(I906="TN",I906="TDN",I906="TNO2-3",I906="NO2-3")),VLOOKUP(E906,QCUREA_N,2,),IF(H906="PER",VLOOKUP(I906,QCPER,MATCH(E906,QCACTUAL!$J$25:$AA$25,0),),IF(H906="SPK",VLOOKUP(I906,QCSPK,3,),IF(AND(H906="ATP",OR(I906="TP",I906="TDP")),VLOOKUP(E906,QCATP_P,2,),""))))))))</f>
        <v/>
      </c>
      <c r="W906" s="31" t="str">
        <f t="shared" si="104"/>
        <v>TRUE</v>
      </c>
      <c r="X906" s="31" t="str">
        <f t="shared" si="105"/>
        <v/>
      </c>
      <c r="Y906" s="10" t="s">
        <v>1040</v>
      </c>
      <c r="Z906" s="10" t="s">
        <v>910</v>
      </c>
      <c r="AL906" s="10" t="str">
        <f t="shared" si="100"/>
        <v>FALSE</v>
      </c>
      <c r="AM906" s="10" t="str">
        <f t="shared" si="100"/>
        <v>FALSE</v>
      </c>
      <c r="AN906" s="10" t="str">
        <f t="shared" si="100"/>
        <v>FALSE</v>
      </c>
      <c r="AO906" s="10" t="str">
        <f t="shared" si="101"/>
        <v>FALSE</v>
      </c>
      <c r="AP906" s="10" t="str">
        <f t="shared" si="101"/>
        <v>FALSE</v>
      </c>
      <c r="AQ906" s="10" t="b">
        <f>IF(AND(I906="TP",S906&lt;=150),VLOOKUP(AF906,TPCalibEq150!$AZ$2:$BB$55,3,),IF(AND(I906="TDP",S906&lt;=150),VLOOKUP(AF906,TPCalibEq150!$AZ$2:$BB$55,3,)))</f>
        <v>0</v>
      </c>
      <c r="AR906" s="10" t="b">
        <f>IF(AND(I906="TP",S906&lt;=300),VLOOKUP(AF906,TPCalibEq300!$AZ$2:$BB$55,3,),IF(AND(I906="TDP",S906&lt;=300),VLOOKUP(AF906,TPCalibEq300!$AZ$2:$BB$55,3,)))</f>
        <v>0</v>
      </c>
      <c r="AS906" s="10" t="b">
        <f>IF(AND(I906="TP",S906&lt;=500),VLOOKUP(AF906,TPCalibEq500!$AZ$2:$BB$56,3,),IF(AND(I906="TDP",S906&lt;=500),VLOOKUP(AF906,TPCalibEq500!$AZ$2:$BB$56,3,)))</f>
        <v>0</v>
      </c>
      <c r="AT906" s="10" t="b">
        <f>IF(AND(I906="TN",S906&lt;=2800),VLOOKUP(AF906,TNCalibEq2500!$AZ$2:$BB$56,3,),IF(AND(I906="TDN",S906&lt;=2800),VLOOKUP(AF906,TNCalibEq2500!$AZ$2:$BB$56,3,)))</f>
        <v>0</v>
      </c>
      <c r="AU906" s="10" t="b">
        <f>IF(I906="TP",VLOOKUP(AF906,TPCalibEqFull!$AZ$2:$BB$56,3),IF(I906="TDP",VLOOKUP(AF906,TPCalibEqFull!$AZ$2:$BB$56,3),IF(I906="TDN",VLOOKUP(AF906,TNCalibEqFull!$AZ$1:$BB$56,3),IF(I906="TN",VLOOKUP(AF906,TNCalibEqFull!$AZ$1:$BB$56,3),FALSE))))</f>
        <v>0</v>
      </c>
      <c r="AV906" s="10" t="str">
        <f t="shared" si="106"/>
        <v>0117 11:57:00-GRR-0-FIL-1-SW-UKN</v>
      </c>
    </row>
    <row r="907" spans="1:48" s="10" customFormat="1" x14ac:dyDescent="0.55000000000000004">
      <c r="A907" s="32">
        <v>44943</v>
      </c>
      <c r="B907" s="33">
        <v>0.50763888888888886</v>
      </c>
      <c r="C907" s="10" t="s">
        <v>416</v>
      </c>
      <c r="D907" s="10">
        <v>0</v>
      </c>
      <c r="E907" s="10" t="s">
        <v>911</v>
      </c>
      <c r="F907" s="10">
        <v>1</v>
      </c>
      <c r="G907" s="10" t="s">
        <v>231</v>
      </c>
      <c r="H907" s="10" t="s">
        <v>322</v>
      </c>
      <c r="I907" s="10" t="s">
        <v>75</v>
      </c>
      <c r="J907" s="10">
        <v>55</v>
      </c>
      <c r="K907" s="12">
        <v>44950</v>
      </c>
      <c r="L907" s="33">
        <v>0.52328703703703705</v>
      </c>
      <c r="M907" s="10">
        <v>1</v>
      </c>
      <c r="N907" s="10" t="s">
        <v>76</v>
      </c>
      <c r="O907" s="10">
        <v>0.90400000000000003</v>
      </c>
      <c r="P907" s="10">
        <v>8.2199999999999995E-2</v>
      </c>
      <c r="Q907" s="10">
        <v>58.1</v>
      </c>
      <c r="R907" s="10" t="s">
        <v>77</v>
      </c>
      <c r="S907" s="34">
        <f t="shared" si="102"/>
        <v>58.1</v>
      </c>
      <c r="T907" s="10" t="s">
        <v>1047</v>
      </c>
      <c r="U907" s="34" t="str">
        <f t="shared" si="103"/>
        <v/>
      </c>
      <c r="V907" s="31" t="str">
        <f>IF(H907="CHK",VLOOKUP(I907,QCCHK,3,),IF(H907="GUP",VLOOKUP(E907,QCGUP,2,),IF(AND(H907="ATP",OR(I907="TN",I907="TDN",I907="TNO2-3",I907="NO2-3")),VLOOKUP(E907,QCREC_N,2,),IF(AND(H907="NIC",OR(I907="TN",I907="TDN",I907="TNO2-3",I907="NO2-3")),VLOOKUP(E907,QCNIC_N,2,),IF(AND(H907="UREA",OR(I907="TN",I907="TDN",I907="TNO2-3",I907="NO2-3")),VLOOKUP(E907,QCUREA_N,2,),IF(H907="PER",VLOOKUP(I907,QCPER,MATCH(E907,QCACTUAL!$J$25:$AA$25,0),),IF(H907="SPK",VLOOKUP(I907,QCSPK,3,),IF(AND(H907="ATP",OR(I907="TP",I907="TDP")),VLOOKUP(E907,QCATP_P,2,),""))))))))</f>
        <v/>
      </c>
      <c r="W907" s="31" t="str">
        <f t="shared" si="104"/>
        <v>TRUE</v>
      </c>
      <c r="X907" s="31" t="str">
        <f t="shared" si="105"/>
        <v/>
      </c>
      <c r="Y907" s="10" t="s">
        <v>1040</v>
      </c>
      <c r="Z907" s="10" t="s">
        <v>910</v>
      </c>
      <c r="AL907" s="10" t="str">
        <f t="shared" si="100"/>
        <v>FALSE</v>
      </c>
      <c r="AM907" s="10" t="str">
        <f t="shared" si="100"/>
        <v>FALSE</v>
      </c>
      <c r="AN907" s="10" t="str">
        <f t="shared" si="100"/>
        <v>FALSE</v>
      </c>
      <c r="AO907" s="10" t="str">
        <f t="shared" si="101"/>
        <v>FALSE</v>
      </c>
      <c r="AP907" s="10" t="str">
        <f t="shared" si="101"/>
        <v>FALSE</v>
      </c>
      <c r="AQ907" s="10" t="b">
        <f>IF(AND(I907="TP",S907&lt;=150),VLOOKUP(AF907,TPCalibEq150!$AZ$2:$BB$55,3,),IF(AND(I907="TDP",S907&lt;=150),VLOOKUP(AF907,TPCalibEq150!$AZ$2:$BB$55,3,)))</f>
        <v>0</v>
      </c>
      <c r="AR907" s="10" t="b">
        <f>IF(AND(I907="TP",S907&lt;=300),VLOOKUP(AF907,TPCalibEq300!$AZ$2:$BB$55,3,),IF(AND(I907="TDP",S907&lt;=300),VLOOKUP(AF907,TPCalibEq300!$AZ$2:$BB$55,3,)))</f>
        <v>0</v>
      </c>
      <c r="AS907" s="10" t="b">
        <f>IF(AND(I907="TP",S907&lt;=500),VLOOKUP(AF907,TPCalibEq500!$AZ$2:$BB$56,3,),IF(AND(I907="TDP",S907&lt;=500),VLOOKUP(AF907,TPCalibEq500!$AZ$2:$BB$56,3,)))</f>
        <v>0</v>
      </c>
      <c r="AT907" s="10" t="b">
        <f>IF(AND(I907="TN",S907&lt;=2800),VLOOKUP(AF907,TNCalibEq2500!$AZ$2:$BB$56,3,),IF(AND(I907="TDN",S907&lt;=2800),VLOOKUP(AF907,TNCalibEq2500!$AZ$2:$BB$56,3,)))</f>
        <v>0</v>
      </c>
      <c r="AU907" s="10" t="b">
        <f>IF(I907="TP",VLOOKUP(AF907,TPCalibEqFull!$AZ$2:$BB$56,3),IF(I907="TDP",VLOOKUP(AF907,TPCalibEqFull!$AZ$2:$BB$56,3),IF(I907="TDN",VLOOKUP(AF907,TNCalibEqFull!$AZ$1:$BB$56,3),IF(I907="TN",VLOOKUP(AF907,TNCalibEqFull!$AZ$1:$BB$56,3),FALSE))))</f>
        <v>0</v>
      </c>
      <c r="AV907" s="10" t="str">
        <f t="shared" si="106"/>
        <v>0117 12:11:00-CWL-0-FIL-1-SW-UKN</v>
      </c>
    </row>
    <row r="908" spans="1:48" s="10" customFormat="1" x14ac:dyDescent="0.55000000000000004">
      <c r="A908" s="32">
        <v>44943</v>
      </c>
      <c r="B908" s="33">
        <v>0.51874999999999993</v>
      </c>
      <c r="C908" s="10" t="s">
        <v>445</v>
      </c>
      <c r="D908" s="10">
        <v>0</v>
      </c>
      <c r="E908" s="10" t="s">
        <v>911</v>
      </c>
      <c r="F908" s="10">
        <v>1</v>
      </c>
      <c r="G908" s="10" t="s">
        <v>231</v>
      </c>
      <c r="H908" s="10" t="s">
        <v>322</v>
      </c>
      <c r="I908" s="10" t="s">
        <v>75</v>
      </c>
      <c r="J908" s="10">
        <v>56</v>
      </c>
      <c r="K908" s="12">
        <v>44950</v>
      </c>
      <c r="L908" s="33">
        <v>0.52409722222222221</v>
      </c>
      <c r="M908" s="10">
        <v>1</v>
      </c>
      <c r="N908" s="10" t="s">
        <v>76</v>
      </c>
      <c r="O908" s="10">
        <v>2.84</v>
      </c>
      <c r="P908" s="10">
        <v>0.27700000000000002</v>
      </c>
      <c r="Q908" s="10">
        <v>183</v>
      </c>
      <c r="R908" s="10" t="s">
        <v>77</v>
      </c>
      <c r="S908" s="34">
        <f t="shared" si="102"/>
        <v>183</v>
      </c>
      <c r="T908" s="10" t="s">
        <v>1047</v>
      </c>
      <c r="U908" s="34" t="str">
        <f t="shared" si="103"/>
        <v/>
      </c>
      <c r="V908" s="31" t="str">
        <f>IF(H908="CHK",VLOOKUP(I908,QCCHK,3,),IF(H908="GUP",VLOOKUP(E908,QCGUP,2,),IF(AND(H908="ATP",OR(I908="TN",I908="TDN",I908="TNO2-3",I908="NO2-3")),VLOOKUP(E908,QCREC_N,2,),IF(AND(H908="NIC",OR(I908="TN",I908="TDN",I908="TNO2-3",I908="NO2-3")),VLOOKUP(E908,QCNIC_N,2,),IF(AND(H908="UREA",OR(I908="TN",I908="TDN",I908="TNO2-3",I908="NO2-3")),VLOOKUP(E908,QCUREA_N,2,),IF(H908="PER",VLOOKUP(I908,QCPER,MATCH(E908,QCACTUAL!$J$25:$AA$25,0),),IF(H908="SPK",VLOOKUP(I908,QCSPK,3,),IF(AND(H908="ATP",OR(I908="TP",I908="TDP")),VLOOKUP(E908,QCATP_P,2,),""))))))))</f>
        <v/>
      </c>
      <c r="W908" s="31" t="str">
        <f t="shared" si="104"/>
        <v>TRUE</v>
      </c>
      <c r="X908" s="31" t="str">
        <f t="shared" si="105"/>
        <v/>
      </c>
      <c r="Y908" s="10" t="s">
        <v>1040</v>
      </c>
      <c r="Z908" s="10" t="s">
        <v>910</v>
      </c>
      <c r="AL908" s="10" t="str">
        <f t="shared" si="100"/>
        <v>FALSE</v>
      </c>
      <c r="AM908" s="10" t="str">
        <f t="shared" si="100"/>
        <v>FALSE</v>
      </c>
      <c r="AN908" s="10" t="str">
        <f t="shared" si="100"/>
        <v>FALSE</v>
      </c>
      <c r="AO908" s="10" t="str">
        <f t="shared" si="101"/>
        <v>FALSE</v>
      </c>
      <c r="AP908" s="10" t="str">
        <f t="shared" si="101"/>
        <v>FALSE</v>
      </c>
      <c r="AQ908" s="10" t="b">
        <f>IF(AND(I908="TP",S908&lt;=150),VLOOKUP(AF908,TPCalibEq150!$AZ$2:$BB$55,3,),IF(AND(I908="TDP",S908&lt;=150),VLOOKUP(AF908,TPCalibEq150!$AZ$2:$BB$55,3,)))</f>
        <v>0</v>
      </c>
      <c r="AR908" s="10" t="b">
        <f>IF(AND(I908="TP",S908&lt;=300),VLOOKUP(AF908,TPCalibEq300!$AZ$2:$BB$55,3,),IF(AND(I908="TDP",S908&lt;=300),VLOOKUP(AF908,TPCalibEq300!$AZ$2:$BB$55,3,)))</f>
        <v>0</v>
      </c>
      <c r="AS908" s="10" t="b">
        <f>IF(AND(I908="TP",S908&lt;=500),VLOOKUP(AF908,TPCalibEq500!$AZ$2:$BB$56,3,),IF(AND(I908="TDP",S908&lt;=500),VLOOKUP(AF908,TPCalibEq500!$AZ$2:$BB$56,3,)))</f>
        <v>0</v>
      </c>
      <c r="AT908" s="10" t="b">
        <f>IF(AND(I908="TN",S908&lt;=2800),VLOOKUP(AF908,TNCalibEq2500!$AZ$2:$BB$56,3,),IF(AND(I908="TDN",S908&lt;=2800),VLOOKUP(AF908,TNCalibEq2500!$AZ$2:$BB$56,3,)))</f>
        <v>0</v>
      </c>
      <c r="AU908" s="10" t="b">
        <f>IF(I908="TP",VLOOKUP(AF908,TPCalibEqFull!$AZ$2:$BB$56,3),IF(I908="TDP",VLOOKUP(AF908,TPCalibEqFull!$AZ$2:$BB$56,3),IF(I908="TDN",VLOOKUP(AF908,TNCalibEqFull!$AZ$1:$BB$56,3),IF(I908="TN",VLOOKUP(AF908,TNCalibEqFull!$AZ$1:$BB$56,3),FALSE))))</f>
        <v>0</v>
      </c>
      <c r="AV908" s="10" t="str">
        <f t="shared" si="106"/>
        <v>0117 12:27:00-NWT-0-FIL-1-SW-UKN</v>
      </c>
    </row>
    <row r="909" spans="1:48" s="10" customFormat="1" x14ac:dyDescent="0.55000000000000004">
      <c r="A909" s="32">
        <v>44943</v>
      </c>
      <c r="B909" s="33">
        <v>0.51874999999999993</v>
      </c>
      <c r="C909" s="10" t="s">
        <v>445</v>
      </c>
      <c r="D909" s="10">
        <v>0</v>
      </c>
      <c r="E909" s="10" t="s">
        <v>911</v>
      </c>
      <c r="F909" s="10">
        <v>1</v>
      </c>
      <c r="G909" s="10" t="s">
        <v>231</v>
      </c>
      <c r="H909" s="10" t="s">
        <v>233</v>
      </c>
      <c r="I909" s="10" t="s">
        <v>75</v>
      </c>
      <c r="J909" s="10">
        <v>56</v>
      </c>
      <c r="K909" s="12">
        <v>44950</v>
      </c>
      <c r="L909" s="33">
        <v>0.52490740740740738</v>
      </c>
      <c r="M909" s="10">
        <v>1</v>
      </c>
      <c r="N909" s="10" t="s">
        <v>76</v>
      </c>
      <c r="O909" s="10">
        <v>2.84</v>
      </c>
      <c r="P909" s="10">
        <v>0.27600000000000002</v>
      </c>
      <c r="Q909" s="10">
        <v>183</v>
      </c>
      <c r="R909" s="10" t="s">
        <v>77</v>
      </c>
      <c r="S909" s="34">
        <f t="shared" si="102"/>
        <v>183</v>
      </c>
      <c r="T909" s="10" t="s">
        <v>1047</v>
      </c>
      <c r="U909" s="34">
        <f t="shared" si="103"/>
        <v>0</v>
      </c>
      <c r="V909" s="31" t="str">
        <f>IF(H909="CHK",VLOOKUP(I909,QCCHK,3,),IF(H909="GUP",VLOOKUP(E909,QCGUP,2,),IF(AND(H909="ATP",OR(I909="TN",I909="TDN",I909="TNO2-3",I909="NO2-3")),VLOOKUP(E909,QCREC_N,2,),IF(AND(H909="NIC",OR(I909="TN",I909="TDN",I909="TNO2-3",I909="NO2-3")),VLOOKUP(E909,QCNIC_N,2,),IF(AND(H909="UREA",OR(I909="TN",I909="TDN",I909="TNO2-3",I909="NO2-3")),VLOOKUP(E909,QCUREA_N,2,),IF(H909="PER",VLOOKUP(I909,QCPER,MATCH(E909,QCACTUAL!$J$25:$AA$25,0),),IF(H909="SPK",VLOOKUP(I909,QCSPK,3,),IF(AND(H909="ATP",OR(I909="TP",I909="TDP")),VLOOKUP(E909,QCATP_P,2,),""))))))))</f>
        <v/>
      </c>
      <c r="W909" s="31" t="str">
        <f t="shared" si="104"/>
        <v>TRUE</v>
      </c>
      <c r="X909" s="31" t="str">
        <f t="shared" si="105"/>
        <v>((ABS(rep1-rep2))/((rep1+rep2)/2)*100</v>
      </c>
      <c r="Y909" s="10" t="s">
        <v>1040</v>
      </c>
      <c r="Z909" s="10" t="s">
        <v>910</v>
      </c>
      <c r="AL909" s="10" t="str">
        <f t="shared" si="100"/>
        <v>FALSE</v>
      </c>
      <c r="AM909" s="10" t="str">
        <f t="shared" si="100"/>
        <v>FALSE</v>
      </c>
      <c r="AN909" s="10" t="str">
        <f t="shared" si="100"/>
        <v>FALSE</v>
      </c>
      <c r="AO909" s="10" t="str">
        <f t="shared" si="101"/>
        <v>FALSE</v>
      </c>
      <c r="AP909" s="10" t="str">
        <f t="shared" si="101"/>
        <v>FALSE</v>
      </c>
      <c r="AQ909" s="10" t="b">
        <f>IF(AND(I909="TP",S909&lt;=150),VLOOKUP(AF909,TPCalibEq150!$AZ$2:$BB$55,3,),IF(AND(I909="TDP",S909&lt;=150),VLOOKUP(AF909,TPCalibEq150!$AZ$2:$BB$55,3,)))</f>
        <v>0</v>
      </c>
      <c r="AR909" s="10" t="b">
        <f>IF(AND(I909="TP",S909&lt;=300),VLOOKUP(AF909,TPCalibEq300!$AZ$2:$BB$55,3,),IF(AND(I909="TDP",S909&lt;=300),VLOOKUP(AF909,TPCalibEq300!$AZ$2:$BB$55,3,)))</f>
        <v>0</v>
      </c>
      <c r="AS909" s="10" t="b">
        <f>IF(AND(I909="TP",S909&lt;=500),VLOOKUP(AF909,TPCalibEq500!$AZ$2:$BB$56,3,),IF(AND(I909="TDP",S909&lt;=500),VLOOKUP(AF909,TPCalibEq500!$AZ$2:$BB$56,3,)))</f>
        <v>0</v>
      </c>
      <c r="AT909" s="10" t="b">
        <f>IF(AND(I909="TN",S909&lt;=2800),VLOOKUP(AF909,TNCalibEq2500!$AZ$2:$BB$56,3,),IF(AND(I909="TDN",S909&lt;=2800),VLOOKUP(AF909,TNCalibEq2500!$AZ$2:$BB$56,3,)))</f>
        <v>0</v>
      </c>
      <c r="AU909" s="10" t="b">
        <f>IF(I909="TP",VLOOKUP(AF909,TPCalibEqFull!$AZ$2:$BB$56,3),IF(I909="TDP",VLOOKUP(AF909,TPCalibEqFull!$AZ$2:$BB$56,3),IF(I909="TDN",VLOOKUP(AF909,TNCalibEqFull!$AZ$1:$BB$56,3),IF(I909="TN",VLOOKUP(AF909,TNCalibEqFull!$AZ$1:$BB$56,3),FALSE))))</f>
        <v>0</v>
      </c>
      <c r="AV909" s="10" t="str">
        <f t="shared" si="106"/>
        <v>0117 12:27:00-NWT-0-FIL-1-SW-DUP</v>
      </c>
    </row>
    <row r="910" spans="1:48" s="10" customFormat="1" x14ac:dyDescent="0.55000000000000004">
      <c r="A910" s="32">
        <v>44943</v>
      </c>
      <c r="B910" s="33">
        <v>0.51874999999999993</v>
      </c>
      <c r="C910" s="10" t="s">
        <v>445</v>
      </c>
      <c r="D910" s="10">
        <v>0</v>
      </c>
      <c r="E910" s="10" t="s">
        <v>911</v>
      </c>
      <c r="F910" s="10">
        <v>1</v>
      </c>
      <c r="G910" s="10" t="s">
        <v>231</v>
      </c>
      <c r="H910" s="10" t="s">
        <v>314</v>
      </c>
      <c r="I910" s="10" t="s">
        <v>75</v>
      </c>
      <c r="J910" s="10">
        <v>62</v>
      </c>
      <c r="K910" s="12">
        <v>44950</v>
      </c>
      <c r="L910" s="33">
        <v>0.52574074074074073</v>
      </c>
      <c r="M910" s="10">
        <v>1</v>
      </c>
      <c r="N910" s="10" t="s">
        <v>76</v>
      </c>
      <c r="O910" s="10">
        <v>14.3</v>
      </c>
      <c r="P910" s="10">
        <v>1.39</v>
      </c>
      <c r="Q910" s="10">
        <v>929</v>
      </c>
      <c r="R910" s="10" t="s">
        <v>77</v>
      </c>
      <c r="S910" s="34">
        <f t="shared" si="102"/>
        <v>929</v>
      </c>
      <c r="T910" s="10" t="s">
        <v>1047</v>
      </c>
      <c r="U910" s="34">
        <f t="shared" si="103"/>
        <v>119.36</v>
      </c>
      <c r="V910" s="31">
        <f>IF(H910="CHK",VLOOKUP(I910,QCCHK,3,),IF(H910="GUP",VLOOKUP(E910,QCGUP,2,),IF(AND(H910="ATP",OR(I910="TN",I910="TDN",I910="TNO2-3",I910="NO2-3")),VLOOKUP(E910,QCREC_N,2,),IF(AND(H910="NIC",OR(I910="TN",I910="TDN",I910="TNO2-3",I910="NO2-3")),VLOOKUP(E910,QCNIC_N,2,),IF(AND(H910="UREA",OR(I910="TN",I910="TDN",I910="TNO2-3",I910="NO2-3")),VLOOKUP(E910,QCUREA_N,2,),IF(H910="PER",VLOOKUP(I910,QCPER,MATCH(E910,QCACTUAL!$J$25:$AA$25,0),),IF(H910="SPK",VLOOKUP(I910,QCSPK,3,),IF(AND(H910="ATP",OR(I910="TP",I910="TDP")),VLOOKUP(E910,QCATP_P,2,),""))))))))</f>
        <v>625</v>
      </c>
      <c r="W910" s="31" t="str">
        <f t="shared" si="104"/>
        <v>TRUE</v>
      </c>
      <c r="X910" s="31" t="str">
        <f t="shared" si="105"/>
        <v>([spikedunkn]-[unkn])/[spike]*100</v>
      </c>
      <c r="Y910" s="10" t="s">
        <v>1040</v>
      </c>
      <c r="Z910" s="10" t="s">
        <v>910</v>
      </c>
      <c r="AL910" s="10" t="str">
        <f t="shared" si="100"/>
        <v>FALSE</v>
      </c>
      <c r="AM910" s="10" t="str">
        <f t="shared" si="100"/>
        <v>FALSE</v>
      </c>
      <c r="AN910" s="10" t="str">
        <f t="shared" si="100"/>
        <v>FALSE</v>
      </c>
      <c r="AO910" s="10" t="str">
        <f t="shared" si="101"/>
        <v>FALSE</v>
      </c>
      <c r="AP910" s="10" t="str">
        <f t="shared" si="101"/>
        <v>FALSE</v>
      </c>
      <c r="AQ910" s="10" t="b">
        <f>IF(AND(I910="TP",S910&lt;=150),VLOOKUP(AF910,TPCalibEq150!$AZ$2:$BB$55,3,),IF(AND(I910="TDP",S910&lt;=150),VLOOKUP(AF910,TPCalibEq150!$AZ$2:$BB$55,3,)))</f>
        <v>0</v>
      </c>
      <c r="AR910" s="10" t="b">
        <f>IF(AND(I910="TP",S910&lt;=300),VLOOKUP(AF910,TPCalibEq300!$AZ$2:$BB$55,3,),IF(AND(I910="TDP",S910&lt;=300),VLOOKUP(AF910,TPCalibEq300!$AZ$2:$BB$55,3,)))</f>
        <v>0</v>
      </c>
      <c r="AS910" s="10" t="b">
        <f>IF(AND(I910="TP",S910&lt;=500),VLOOKUP(AF910,TPCalibEq500!$AZ$2:$BB$56,3,),IF(AND(I910="TDP",S910&lt;=500),VLOOKUP(AF910,TPCalibEq500!$AZ$2:$BB$56,3,)))</f>
        <v>0</v>
      </c>
      <c r="AT910" s="10" t="b">
        <f>IF(AND(I910="TN",S910&lt;=2800),VLOOKUP(AF910,TNCalibEq2500!$AZ$2:$BB$56,3,),IF(AND(I910="TDN",S910&lt;=2800),VLOOKUP(AF910,TNCalibEq2500!$AZ$2:$BB$56,3,)))</f>
        <v>0</v>
      </c>
      <c r="AU910" s="10" t="b">
        <f>IF(I910="TP",VLOOKUP(AF910,TPCalibEqFull!$AZ$2:$BB$56,3),IF(I910="TDP",VLOOKUP(AF910,TPCalibEqFull!$AZ$2:$BB$56,3),IF(I910="TDN",VLOOKUP(AF910,TNCalibEqFull!$AZ$1:$BB$56,3),IF(I910="TN",VLOOKUP(AF910,TNCalibEqFull!$AZ$1:$BB$56,3),FALSE))))</f>
        <v>0</v>
      </c>
      <c r="AV910" s="10" t="str">
        <f t="shared" si="106"/>
        <v>0117 12:27:00-NWT-0-FIL-1-SW-SPK</v>
      </c>
    </row>
    <row r="911" spans="1:48" s="10" customFormat="1" x14ac:dyDescent="0.55000000000000004">
      <c r="A911" s="32">
        <v>44950</v>
      </c>
      <c r="B911" s="33">
        <v>0.375</v>
      </c>
      <c r="C911" s="10" t="s">
        <v>70</v>
      </c>
      <c r="D911" s="10" t="s">
        <v>71</v>
      </c>
      <c r="E911" s="10" t="s">
        <v>901</v>
      </c>
      <c r="F911" s="10">
        <v>1</v>
      </c>
      <c r="G911" s="10" t="s">
        <v>73</v>
      </c>
      <c r="H911" s="10" t="s">
        <v>207</v>
      </c>
      <c r="I911" s="10" t="s">
        <v>75</v>
      </c>
      <c r="J911" s="10">
        <v>201</v>
      </c>
      <c r="K911" s="12">
        <v>44950</v>
      </c>
      <c r="L911" s="33">
        <v>0.52656249999999993</v>
      </c>
      <c r="M911" s="10">
        <v>1</v>
      </c>
      <c r="N911" s="10" t="s">
        <v>76</v>
      </c>
      <c r="O911" s="10">
        <v>4.7</v>
      </c>
      <c r="P911" s="10">
        <v>0.45600000000000002</v>
      </c>
      <c r="Q911" s="10">
        <v>303</v>
      </c>
      <c r="R911" s="10" t="s">
        <v>77</v>
      </c>
      <c r="S911" s="34">
        <f t="shared" si="102"/>
        <v>303</v>
      </c>
      <c r="T911" s="10" t="s">
        <v>1047</v>
      </c>
      <c r="U911" s="34">
        <f t="shared" si="103"/>
        <v>101</v>
      </c>
      <c r="V911" s="31">
        <f>IF(H911="CHK",VLOOKUP(I911,QCCHK,3,),IF(H911="GUP",VLOOKUP(E911,QCGUP,2,),IF(AND(H911="ATP",OR(I911="TN",I911="TDN",I911="TNO2-3",I911="NO2-3")),VLOOKUP(E911,QCREC_N,2,),IF(AND(H911="NIC",OR(I911="TN",I911="TDN",I911="TNO2-3",I911="NO2-3")),VLOOKUP(E911,QCNIC_N,2,),IF(AND(H911="UREA",OR(I911="TN",I911="TDN",I911="TNO2-3",I911="NO2-3")),VLOOKUP(E911,QCUREA_N,2,),IF(H911="PER",VLOOKUP(I911,QCPER,MATCH(E911,QCACTUAL!$J$25:$AA$25,0),),IF(H911="SPK",VLOOKUP(I911,QCSPK,3,),IF(AND(H911="ATP",OR(I911="TP",I911="TDP")),VLOOKUP(E911,QCATP_P,2,),""))))))))</f>
        <v>300</v>
      </c>
      <c r="W911" s="31" t="str">
        <f t="shared" si="104"/>
        <v>TRUE</v>
      </c>
      <c r="X911" s="31" t="str">
        <f t="shared" si="105"/>
        <v>[chk]/[actual]*100</v>
      </c>
      <c r="Y911" s="10" t="s">
        <v>1040</v>
      </c>
      <c r="AL911" s="10" t="str">
        <f t="shared" si="100"/>
        <v>FALSE</v>
      </c>
      <c r="AM911" s="10" t="str">
        <f t="shared" si="100"/>
        <v>FALSE</v>
      </c>
      <c r="AN911" s="10" t="str">
        <f t="shared" si="100"/>
        <v>FALSE</v>
      </c>
      <c r="AO911" s="10" t="str">
        <f t="shared" si="101"/>
        <v>FALSE</v>
      </c>
      <c r="AP911" s="10" t="str">
        <f t="shared" si="101"/>
        <v>FALSE</v>
      </c>
      <c r="AQ911" s="10" t="b">
        <f>IF(AND(I911="TP",S911&lt;=150),VLOOKUP(AF911,TPCalibEq150!$AZ$2:$BB$55,3,),IF(AND(I911="TDP",S911&lt;=150),VLOOKUP(AF911,TPCalibEq150!$AZ$2:$BB$55,3,)))</f>
        <v>0</v>
      </c>
      <c r="AR911" s="10" t="b">
        <f>IF(AND(I911="TP",S911&lt;=300),VLOOKUP(AF911,TPCalibEq300!$AZ$2:$BB$55,3,),IF(AND(I911="TDP",S911&lt;=300),VLOOKUP(AF911,TPCalibEq300!$AZ$2:$BB$55,3,)))</f>
        <v>0</v>
      </c>
      <c r="AS911" s="10" t="b">
        <f>IF(AND(I911="TP",S911&lt;=500),VLOOKUP(AF911,TPCalibEq500!$AZ$2:$BB$56,3,),IF(AND(I911="TDP",S911&lt;=500),VLOOKUP(AF911,TPCalibEq500!$AZ$2:$BB$56,3,)))</f>
        <v>0</v>
      </c>
      <c r="AT911" s="10" t="b">
        <f>IF(AND(I911="TN",S911&lt;=2800),VLOOKUP(AF911,TNCalibEq2500!$AZ$2:$BB$56,3,),IF(AND(I911="TDN",S911&lt;=2800),VLOOKUP(AF911,TNCalibEq2500!$AZ$2:$BB$56,3,)))</f>
        <v>0</v>
      </c>
      <c r="AU911" s="10" t="b">
        <f>IF(I911="TP",VLOOKUP(AF911,TPCalibEqFull!$AZ$2:$BB$56,3),IF(I911="TDP",VLOOKUP(AF911,TPCalibEqFull!$AZ$2:$BB$56,3),IF(I911="TDN",VLOOKUP(AF911,TNCalibEqFull!$AZ$1:$BB$56,3),IF(I911="TN",VLOOKUP(AF911,TNCalibEqFull!$AZ$1:$BB$56,3),FALSE))))</f>
        <v>0</v>
      </c>
      <c r="AV911" s="10" t="str">
        <f t="shared" si="106"/>
        <v>0124 09:00:00-QAC-STD-D-1-DI-CHK</v>
      </c>
    </row>
    <row r="912" spans="1:48" s="10" customFormat="1" x14ac:dyDescent="0.55000000000000004">
      <c r="A912" s="32">
        <v>44950</v>
      </c>
      <c r="B912" s="33">
        <v>0.375</v>
      </c>
      <c r="C912" s="10" t="s">
        <v>70</v>
      </c>
      <c r="D912" s="10" t="s">
        <v>71</v>
      </c>
      <c r="E912" s="10" t="s">
        <v>72</v>
      </c>
      <c r="F912" s="10">
        <v>1</v>
      </c>
      <c r="G912" s="10" t="s">
        <v>73</v>
      </c>
      <c r="H912" s="10" t="s">
        <v>74</v>
      </c>
      <c r="I912" s="10" t="s">
        <v>285</v>
      </c>
      <c r="J912" s="10">
        <v>181</v>
      </c>
      <c r="K912" s="12">
        <v>44950</v>
      </c>
      <c r="L912" s="33">
        <v>0.45131944444444444</v>
      </c>
      <c r="M912" s="10">
        <v>1</v>
      </c>
      <c r="N912" s="10" t="s">
        <v>211</v>
      </c>
      <c r="O912" s="10">
        <v>1.2E-2</v>
      </c>
      <c r="P912" s="10">
        <v>1.0399999999999999E-3</v>
      </c>
      <c r="Q912" s="10">
        <v>0</v>
      </c>
      <c r="R912" s="10" t="s">
        <v>913</v>
      </c>
      <c r="S912" s="34">
        <f t="shared" si="102"/>
        <v>0</v>
      </c>
      <c r="T912" s="10" t="s">
        <v>914</v>
      </c>
      <c r="U912" s="34" t="str">
        <f t="shared" si="103"/>
        <v/>
      </c>
      <c r="V912" s="31" t="str">
        <f>IF(H912="CHK",VLOOKUP(I912,QCCHK,3,),IF(H912="GUP",VLOOKUP(E912,QCGUP,2,),IF(AND(H912="ATP",OR(I912="TN",I912="TDN",I912="TNO2-3",I912="NO2-3")),VLOOKUP(E912,QCREC_N,2,),IF(AND(H912="NIC",OR(I912="TN",I912="TDN",I912="TNO2-3",I912="NO2-3")),VLOOKUP(E912,QCNIC_N,2,),IF(AND(H912="UREA",OR(I912="TN",I912="TDN",I912="TNO2-3",I912="NO2-3")),VLOOKUP(E912,QCUREA_N,2,),IF(H912="PER",VLOOKUP(I912,QCPER,MATCH(E912,QCACTUAL!$J$25:$AA$25,0),),IF(H912="SPK",VLOOKUP(I912,QCSPK,3,),IF(AND(H912="ATP",OR(I912="TP",I912="TDP")),VLOOKUP(E912,QCATP_P,2,),""))))))))</f>
        <v/>
      </c>
      <c r="W912" s="31" t="str">
        <f t="shared" si="104"/>
        <v>TRUE</v>
      </c>
      <c r="X912" s="31" t="str">
        <f t="shared" si="105"/>
        <v/>
      </c>
      <c r="Y912" s="10" t="s">
        <v>1040</v>
      </c>
      <c r="AL912" s="10" t="str">
        <f t="shared" si="100"/>
        <v>FALSE</v>
      </c>
      <c r="AM912" s="10" t="str">
        <f t="shared" si="100"/>
        <v>FALSE</v>
      </c>
      <c r="AN912" s="10" t="str">
        <f t="shared" si="100"/>
        <v>FALSE</v>
      </c>
      <c r="AO912" s="10" t="str">
        <f t="shared" si="101"/>
        <v>FALSE</v>
      </c>
      <c r="AP912" s="10" t="str">
        <f t="shared" si="101"/>
        <v>FALSE</v>
      </c>
      <c r="AQ912" s="10" t="b">
        <f>IF(AND(I912="TP",S912&lt;=150),VLOOKUP(AF912,TPCalibEq150!$AZ$2:$BB$55,3,),IF(AND(I912="TDP",S912&lt;=150),VLOOKUP(AF912,TPCalibEq150!$AZ$2:$BB$55,3,)))</f>
        <v>0</v>
      </c>
      <c r="AR912" s="10" t="b">
        <f>IF(AND(I912="TP",S912&lt;=300),VLOOKUP(AF912,TPCalibEq300!$AZ$2:$BB$55,3,),IF(AND(I912="TDP",S912&lt;=300),VLOOKUP(AF912,TPCalibEq300!$AZ$2:$BB$55,3,)))</f>
        <v>0</v>
      </c>
      <c r="AS912" s="10" t="b">
        <f>IF(AND(I912="TP",S912&lt;=500),VLOOKUP(AF912,TPCalibEq500!$AZ$2:$BB$56,3,),IF(AND(I912="TDP",S912&lt;=500),VLOOKUP(AF912,TPCalibEq500!$AZ$2:$BB$56,3,)))</f>
        <v>0</v>
      </c>
      <c r="AT912" s="10" t="b">
        <f>IF(AND(I912="TN",S912&lt;=2800),VLOOKUP(AF912,TNCalibEq2500!$AZ$2:$BB$56,3,),IF(AND(I912="TDN",S912&lt;=2800),VLOOKUP(AF912,TNCalibEq2500!$AZ$2:$BB$56,3,)))</f>
        <v>0</v>
      </c>
      <c r="AU912" s="10" t="b">
        <f>IF(I912="TP",VLOOKUP(AF912,TPCalibEqFull!$AZ$2:$BB$56,3),IF(I912="TDP",VLOOKUP(AF912,TPCalibEqFull!$AZ$2:$BB$56,3),IF(I912="TDN",VLOOKUP(AF912,TNCalibEqFull!$AZ$1:$BB$56,3),IF(I912="TN",VLOOKUP(AF912,TNCalibEqFull!$AZ$1:$BB$56,3),FALSE))))</f>
        <v>0</v>
      </c>
      <c r="AV912" s="10" t="str">
        <f t="shared" si="106"/>
        <v>0124 09:00:00-QAC-STD-H-1-DI-CAL</v>
      </c>
    </row>
    <row r="913" spans="1:48" s="10" customFormat="1" x14ac:dyDescent="0.55000000000000004">
      <c r="A913" s="32">
        <v>44950</v>
      </c>
      <c r="B913" s="33">
        <v>0.375</v>
      </c>
      <c r="C913" s="10" t="s">
        <v>70</v>
      </c>
      <c r="D913" s="10" t="s">
        <v>71</v>
      </c>
      <c r="E913" s="10" t="s">
        <v>908</v>
      </c>
      <c r="F913" s="10">
        <v>1</v>
      </c>
      <c r="G913" s="10" t="s">
        <v>73</v>
      </c>
      <c r="H913" s="10" t="s">
        <v>74</v>
      </c>
      <c r="I913" s="10" t="s">
        <v>285</v>
      </c>
      <c r="J913" s="10">
        <v>182</v>
      </c>
      <c r="K913" s="12">
        <v>44950</v>
      </c>
      <c r="L913" s="33">
        <v>0.45216435185185189</v>
      </c>
      <c r="M913" s="10">
        <v>1</v>
      </c>
      <c r="N913" s="10" t="s">
        <v>211</v>
      </c>
      <c r="O913" s="10">
        <v>5.8400000000000001E-2</v>
      </c>
      <c r="P913" s="10">
        <v>5.9800000000000001E-3</v>
      </c>
      <c r="Q913" s="10">
        <v>5</v>
      </c>
      <c r="R913" s="10" t="s">
        <v>913</v>
      </c>
      <c r="S913" s="34">
        <f t="shared" si="102"/>
        <v>5</v>
      </c>
      <c r="T913" s="10" t="s">
        <v>1048</v>
      </c>
      <c r="U913" s="34" t="str">
        <f t="shared" si="103"/>
        <v/>
      </c>
      <c r="V913" s="31" t="str">
        <f>IF(H913="CHK",VLOOKUP(I913,QCCHK,3,),IF(H913="GUP",VLOOKUP(E913,QCGUP,2,),IF(AND(H913="ATP",OR(I913="TN",I913="TDN",I913="TNO2-3",I913="NO2-3")),VLOOKUP(E913,QCREC_N,2,),IF(AND(H913="NIC",OR(I913="TN",I913="TDN",I913="TNO2-3",I913="NO2-3")),VLOOKUP(E913,QCNIC_N,2,),IF(AND(H913="UREA",OR(I913="TN",I913="TDN",I913="TNO2-3",I913="NO2-3")),VLOOKUP(E913,QCUREA_N,2,),IF(H913="PER",VLOOKUP(I913,QCPER,MATCH(E913,QCACTUAL!$J$25:$AA$25,0),),IF(H913="SPK",VLOOKUP(I913,QCSPK,3,),IF(AND(H913="ATP",OR(I913="TP",I913="TDP")),VLOOKUP(E913,QCATP_P,2,),""))))))))</f>
        <v/>
      </c>
      <c r="W913" s="31" t="str">
        <f t="shared" si="104"/>
        <v>TRUE</v>
      </c>
      <c r="X913" s="31" t="str">
        <f t="shared" si="105"/>
        <v/>
      </c>
      <c r="Y913" s="10" t="s">
        <v>1040</v>
      </c>
      <c r="AL913" s="10" t="str">
        <f t="shared" si="100"/>
        <v>FALSE</v>
      </c>
      <c r="AM913" s="10" t="str">
        <f t="shared" si="100"/>
        <v>FALSE</v>
      </c>
      <c r="AN913" s="10" t="str">
        <f t="shared" si="100"/>
        <v>FALSE</v>
      </c>
      <c r="AO913" s="10" t="str">
        <f t="shared" si="101"/>
        <v>FALSE</v>
      </c>
      <c r="AP913" s="10" t="str">
        <f t="shared" si="101"/>
        <v>FALSE</v>
      </c>
      <c r="AQ913" s="10" t="b">
        <f>IF(AND(I913="TP",S913&lt;=150),VLOOKUP(AF913,TPCalibEq150!$AZ$2:$BB$55,3,),IF(AND(I913="TDP",S913&lt;=150),VLOOKUP(AF913,TPCalibEq150!$AZ$2:$BB$55,3,)))</f>
        <v>0</v>
      </c>
      <c r="AR913" s="10" t="b">
        <f>IF(AND(I913="TP",S913&lt;=300),VLOOKUP(AF913,TPCalibEq300!$AZ$2:$BB$55,3,),IF(AND(I913="TDP",S913&lt;=300),VLOOKUP(AF913,TPCalibEq300!$AZ$2:$BB$55,3,)))</f>
        <v>0</v>
      </c>
      <c r="AS913" s="10" t="b">
        <f>IF(AND(I913="TP",S913&lt;=500),VLOOKUP(AF913,TPCalibEq500!$AZ$2:$BB$56,3,),IF(AND(I913="TDP",S913&lt;=500),VLOOKUP(AF913,TPCalibEq500!$AZ$2:$BB$56,3,)))</f>
        <v>0</v>
      </c>
      <c r="AT913" s="10" t="b">
        <f>IF(AND(I913="TN",S913&lt;=2800),VLOOKUP(AF913,TNCalibEq2500!$AZ$2:$BB$56,3,),IF(AND(I913="TDN",S913&lt;=2800),VLOOKUP(AF913,TNCalibEq2500!$AZ$2:$BB$56,3,)))</f>
        <v>0</v>
      </c>
      <c r="AU913" s="10" t="b">
        <f>IF(I913="TP",VLOOKUP(AF913,TPCalibEqFull!$AZ$2:$BB$56,3),IF(I913="TDP",VLOOKUP(AF913,TPCalibEqFull!$AZ$2:$BB$56,3),IF(I913="TDN",VLOOKUP(AF913,TNCalibEqFull!$AZ$1:$BB$56,3),IF(I913="TN",VLOOKUP(AF913,TNCalibEqFull!$AZ$1:$BB$56,3),FALSE))))</f>
        <v>0</v>
      </c>
      <c r="AV913" s="10" t="str">
        <f t="shared" si="106"/>
        <v>0124 09:00:00-QAC-STD-G-1-DI-CAL</v>
      </c>
    </row>
    <row r="914" spans="1:48" s="10" customFormat="1" x14ac:dyDescent="0.55000000000000004">
      <c r="A914" s="32">
        <v>44950</v>
      </c>
      <c r="B914" s="33">
        <v>0.375</v>
      </c>
      <c r="C914" s="10" t="s">
        <v>70</v>
      </c>
      <c r="D914" s="10" t="s">
        <v>71</v>
      </c>
      <c r="E914" s="10" t="s">
        <v>550</v>
      </c>
      <c r="F914" s="10">
        <v>1</v>
      </c>
      <c r="G914" s="10" t="s">
        <v>73</v>
      </c>
      <c r="H914" s="10" t="s">
        <v>74</v>
      </c>
      <c r="I914" s="10" t="s">
        <v>285</v>
      </c>
      <c r="J914" s="10">
        <v>183</v>
      </c>
      <c r="K914" s="12">
        <v>44950</v>
      </c>
      <c r="L914" s="33">
        <v>0.45299768518518518</v>
      </c>
      <c r="M914" s="10">
        <v>1</v>
      </c>
      <c r="N914" s="10" t="s">
        <v>211</v>
      </c>
      <c r="O914" s="10">
        <v>7.4300000000000005E-2</v>
      </c>
      <c r="P914" s="10">
        <v>8.26E-3</v>
      </c>
      <c r="Q914" s="10">
        <v>15</v>
      </c>
      <c r="R914" s="10" t="s">
        <v>913</v>
      </c>
      <c r="S914" s="34">
        <f t="shared" si="102"/>
        <v>15</v>
      </c>
      <c r="T914" s="10" t="s">
        <v>1049</v>
      </c>
      <c r="U914" s="34" t="str">
        <f t="shared" si="103"/>
        <v/>
      </c>
      <c r="V914" s="31" t="str">
        <f>IF(H914="CHK",VLOOKUP(I914,QCCHK,3,),IF(H914="GUP",VLOOKUP(E914,QCGUP,2,),IF(AND(H914="ATP",OR(I914="TN",I914="TDN",I914="TNO2-3",I914="NO2-3")),VLOOKUP(E914,QCREC_N,2,),IF(AND(H914="NIC",OR(I914="TN",I914="TDN",I914="TNO2-3",I914="NO2-3")),VLOOKUP(E914,QCNIC_N,2,),IF(AND(H914="UREA",OR(I914="TN",I914="TDN",I914="TNO2-3",I914="NO2-3")),VLOOKUP(E914,QCUREA_N,2,),IF(H914="PER",VLOOKUP(I914,QCPER,MATCH(E914,QCACTUAL!$J$25:$AA$25,0),),IF(H914="SPK",VLOOKUP(I914,QCSPK,3,),IF(AND(H914="ATP",OR(I914="TP",I914="TDP")),VLOOKUP(E914,QCATP_P,2,),""))))))))</f>
        <v/>
      </c>
      <c r="W914" s="31" t="str">
        <f t="shared" si="104"/>
        <v>TRUE</v>
      </c>
      <c r="X914" s="31" t="str">
        <f t="shared" si="105"/>
        <v/>
      </c>
      <c r="Y914" s="10" t="s">
        <v>1040</v>
      </c>
      <c r="AL914" s="10" t="str">
        <f t="shared" si="100"/>
        <v>FALSE</v>
      </c>
      <c r="AM914" s="10" t="str">
        <f t="shared" si="100"/>
        <v>FALSE</v>
      </c>
      <c r="AN914" s="10" t="str">
        <f t="shared" si="100"/>
        <v>FALSE</v>
      </c>
      <c r="AO914" s="10" t="str">
        <f t="shared" si="101"/>
        <v>FALSE</v>
      </c>
      <c r="AP914" s="10" t="str">
        <f t="shared" si="101"/>
        <v>FALSE</v>
      </c>
      <c r="AQ914" s="10" t="b">
        <f>IF(AND(I914="TP",S914&lt;=150),VLOOKUP(AF914,TPCalibEq150!$AZ$2:$BB$55,3,),IF(AND(I914="TDP",S914&lt;=150),VLOOKUP(AF914,TPCalibEq150!$AZ$2:$BB$55,3,)))</f>
        <v>0</v>
      </c>
      <c r="AR914" s="10" t="b">
        <f>IF(AND(I914="TP",S914&lt;=300),VLOOKUP(AF914,TPCalibEq300!$AZ$2:$BB$55,3,),IF(AND(I914="TDP",S914&lt;=300),VLOOKUP(AF914,TPCalibEq300!$AZ$2:$BB$55,3,)))</f>
        <v>0</v>
      </c>
      <c r="AS914" s="10" t="b">
        <f>IF(AND(I914="TP",S914&lt;=500),VLOOKUP(AF914,TPCalibEq500!$AZ$2:$BB$56,3,),IF(AND(I914="TDP",S914&lt;=500),VLOOKUP(AF914,TPCalibEq500!$AZ$2:$BB$56,3,)))</f>
        <v>0</v>
      </c>
      <c r="AT914" s="10" t="b">
        <f>IF(AND(I914="TN",S914&lt;=2800),VLOOKUP(AF914,TNCalibEq2500!$AZ$2:$BB$56,3,),IF(AND(I914="TDN",S914&lt;=2800),VLOOKUP(AF914,TNCalibEq2500!$AZ$2:$BB$56,3,)))</f>
        <v>0</v>
      </c>
      <c r="AU914" s="10" t="b">
        <f>IF(I914="TP",VLOOKUP(AF914,TPCalibEqFull!$AZ$2:$BB$56,3),IF(I914="TDP",VLOOKUP(AF914,TPCalibEqFull!$AZ$2:$BB$56,3),IF(I914="TDN",VLOOKUP(AF914,TNCalibEqFull!$AZ$1:$BB$56,3),IF(I914="TN",VLOOKUP(AF914,TNCalibEqFull!$AZ$1:$BB$56,3),FALSE))))</f>
        <v>0</v>
      </c>
      <c r="AV914" s="10" t="str">
        <f t="shared" si="106"/>
        <v>0124 09:00:00-QAC-STD-F-1-DI-CAL</v>
      </c>
    </row>
    <row r="915" spans="1:48" s="10" customFormat="1" x14ac:dyDescent="0.55000000000000004">
      <c r="A915" s="32">
        <v>44950</v>
      </c>
      <c r="B915" s="33">
        <v>0.375</v>
      </c>
      <c r="C915" s="10" t="s">
        <v>70</v>
      </c>
      <c r="D915" s="10" t="s">
        <v>71</v>
      </c>
      <c r="E915" s="10" t="s">
        <v>909</v>
      </c>
      <c r="F915" s="10">
        <v>1</v>
      </c>
      <c r="G915" s="10" t="s">
        <v>73</v>
      </c>
      <c r="H915" s="10" t="s">
        <v>74</v>
      </c>
      <c r="I915" s="10" t="s">
        <v>285</v>
      </c>
      <c r="J915" s="10">
        <v>184</v>
      </c>
      <c r="K915" s="12">
        <v>44950</v>
      </c>
      <c r="L915" s="33">
        <v>0.45383101851851854</v>
      </c>
      <c r="M915" s="10">
        <v>1</v>
      </c>
      <c r="N915" s="10" t="s">
        <v>211</v>
      </c>
      <c r="O915" s="10">
        <v>9.7799999999999998E-2</v>
      </c>
      <c r="P915" s="10">
        <v>1.11E-2</v>
      </c>
      <c r="Q915" s="10">
        <v>20</v>
      </c>
      <c r="R915" s="10" t="s">
        <v>913</v>
      </c>
      <c r="S915" s="34">
        <f t="shared" si="102"/>
        <v>20</v>
      </c>
      <c r="T915" s="10" t="s">
        <v>1050</v>
      </c>
      <c r="U915" s="34" t="str">
        <f t="shared" si="103"/>
        <v/>
      </c>
      <c r="V915" s="31" t="str">
        <f>IF(H915="CHK",VLOOKUP(I915,QCCHK,3,),IF(H915="GUP",VLOOKUP(E915,QCGUP,2,),IF(AND(H915="ATP",OR(I915="TN",I915="TDN",I915="TNO2-3",I915="NO2-3")),VLOOKUP(E915,QCREC_N,2,),IF(AND(H915="NIC",OR(I915="TN",I915="TDN",I915="TNO2-3",I915="NO2-3")),VLOOKUP(E915,QCNIC_N,2,),IF(AND(H915="UREA",OR(I915="TN",I915="TDN",I915="TNO2-3",I915="NO2-3")),VLOOKUP(E915,QCUREA_N,2,),IF(H915="PER",VLOOKUP(I915,QCPER,MATCH(E915,QCACTUAL!$J$25:$AA$25,0),),IF(H915="SPK",VLOOKUP(I915,QCSPK,3,),IF(AND(H915="ATP",OR(I915="TP",I915="TDP")),VLOOKUP(E915,QCATP_P,2,),""))))))))</f>
        <v/>
      </c>
      <c r="W915" s="31" t="str">
        <f t="shared" si="104"/>
        <v>TRUE</v>
      </c>
      <c r="X915" s="31" t="str">
        <f t="shared" si="105"/>
        <v/>
      </c>
      <c r="Y915" s="10" t="s">
        <v>1040</v>
      </c>
      <c r="AL915" s="10" t="str">
        <f t="shared" si="100"/>
        <v>FALSE</v>
      </c>
      <c r="AM915" s="10" t="str">
        <f t="shared" si="100"/>
        <v>FALSE</v>
      </c>
      <c r="AN915" s="10" t="str">
        <f t="shared" si="100"/>
        <v>FALSE</v>
      </c>
      <c r="AO915" s="10" t="str">
        <f t="shared" si="101"/>
        <v>FALSE</v>
      </c>
      <c r="AP915" s="10" t="str">
        <f t="shared" si="101"/>
        <v>FALSE</v>
      </c>
      <c r="AQ915" s="10" t="b">
        <f>IF(AND(I915="TP",S915&lt;=150),VLOOKUP(AF915,TPCalibEq150!$AZ$2:$BB$55,3,),IF(AND(I915="TDP",S915&lt;=150),VLOOKUP(AF915,TPCalibEq150!$AZ$2:$BB$55,3,)))</f>
        <v>0</v>
      </c>
      <c r="AR915" s="10" t="b">
        <f>IF(AND(I915="TP",S915&lt;=300),VLOOKUP(AF915,TPCalibEq300!$AZ$2:$BB$55,3,),IF(AND(I915="TDP",S915&lt;=300),VLOOKUP(AF915,TPCalibEq300!$AZ$2:$BB$55,3,)))</f>
        <v>0</v>
      </c>
      <c r="AS915" s="10" t="b">
        <f>IF(AND(I915="TP",S915&lt;=500),VLOOKUP(AF915,TPCalibEq500!$AZ$2:$BB$56,3,),IF(AND(I915="TDP",S915&lt;=500),VLOOKUP(AF915,TPCalibEq500!$AZ$2:$BB$56,3,)))</f>
        <v>0</v>
      </c>
      <c r="AT915" s="10" t="b">
        <f>IF(AND(I915="TN",S915&lt;=2800),VLOOKUP(AF915,TNCalibEq2500!$AZ$2:$BB$56,3,),IF(AND(I915="TDN",S915&lt;=2800),VLOOKUP(AF915,TNCalibEq2500!$AZ$2:$BB$56,3,)))</f>
        <v>0</v>
      </c>
      <c r="AU915" s="10" t="b">
        <f>IF(I915="TP",VLOOKUP(AF915,TPCalibEqFull!$AZ$2:$BB$56,3),IF(I915="TDP",VLOOKUP(AF915,TPCalibEqFull!$AZ$2:$BB$56,3),IF(I915="TDN",VLOOKUP(AF915,TNCalibEqFull!$AZ$1:$BB$56,3),IF(I915="TN",VLOOKUP(AF915,TNCalibEqFull!$AZ$1:$BB$56,3),FALSE))))</f>
        <v>0</v>
      </c>
      <c r="AV915" s="10" t="str">
        <f t="shared" si="106"/>
        <v>0124 09:00:00-QAC-STD-E-1-DI-CAL</v>
      </c>
    </row>
    <row r="916" spans="1:48" s="10" customFormat="1" x14ac:dyDescent="0.55000000000000004">
      <c r="A916" s="32">
        <v>44950</v>
      </c>
      <c r="B916" s="33">
        <v>0.375</v>
      </c>
      <c r="C916" s="10" t="s">
        <v>70</v>
      </c>
      <c r="D916" s="10" t="s">
        <v>71</v>
      </c>
      <c r="E916" s="10" t="s">
        <v>901</v>
      </c>
      <c r="F916" s="10">
        <v>1</v>
      </c>
      <c r="G916" s="10" t="s">
        <v>73</v>
      </c>
      <c r="H916" s="10" t="s">
        <v>74</v>
      </c>
      <c r="I916" s="10" t="s">
        <v>285</v>
      </c>
      <c r="J916" s="10">
        <v>185</v>
      </c>
      <c r="K916" s="12">
        <v>44950</v>
      </c>
      <c r="L916" s="33">
        <v>0.45465277777777779</v>
      </c>
      <c r="M916" s="10">
        <v>1</v>
      </c>
      <c r="N916" s="10" t="s">
        <v>211</v>
      </c>
      <c r="O916" s="10">
        <v>0.35599999999999998</v>
      </c>
      <c r="P916" s="10">
        <v>4.2000000000000003E-2</v>
      </c>
      <c r="Q916" s="10">
        <v>75</v>
      </c>
      <c r="R916" s="10" t="s">
        <v>913</v>
      </c>
      <c r="S916" s="34">
        <f t="shared" si="102"/>
        <v>75</v>
      </c>
      <c r="T916" s="10" t="s">
        <v>1051</v>
      </c>
      <c r="U916" s="34" t="str">
        <f t="shared" si="103"/>
        <v/>
      </c>
      <c r="V916" s="31" t="str">
        <f>IF(H916="CHK",VLOOKUP(I916,QCCHK,3,),IF(H916="GUP",VLOOKUP(E916,QCGUP,2,),IF(AND(H916="ATP",OR(I916="TN",I916="TDN",I916="TNO2-3",I916="NO2-3")),VLOOKUP(E916,QCREC_N,2,),IF(AND(H916="NIC",OR(I916="TN",I916="TDN",I916="TNO2-3",I916="NO2-3")),VLOOKUP(E916,QCNIC_N,2,),IF(AND(H916="UREA",OR(I916="TN",I916="TDN",I916="TNO2-3",I916="NO2-3")),VLOOKUP(E916,QCUREA_N,2,),IF(H916="PER",VLOOKUP(I916,QCPER,MATCH(E916,QCACTUAL!$J$25:$AA$25,0),),IF(H916="SPK",VLOOKUP(I916,QCSPK,3,),IF(AND(H916="ATP",OR(I916="TP",I916="TDP")),VLOOKUP(E916,QCATP_P,2,),""))))))))</f>
        <v/>
      </c>
      <c r="W916" s="31" t="str">
        <f t="shared" si="104"/>
        <v>TRUE</v>
      </c>
      <c r="X916" s="31" t="str">
        <f t="shared" si="105"/>
        <v/>
      </c>
      <c r="Y916" s="10" t="s">
        <v>1040</v>
      </c>
      <c r="AL916" s="10" t="str">
        <f t="shared" si="100"/>
        <v>FALSE</v>
      </c>
      <c r="AM916" s="10" t="str">
        <f t="shared" si="100"/>
        <v>FALSE</v>
      </c>
      <c r="AN916" s="10" t="str">
        <f t="shared" si="100"/>
        <v>FALSE</v>
      </c>
      <c r="AO916" s="10" t="str">
        <f t="shared" si="101"/>
        <v>FALSE</v>
      </c>
      <c r="AP916" s="10" t="str">
        <f t="shared" si="101"/>
        <v>FALSE</v>
      </c>
      <c r="AQ916" s="10" t="b">
        <f>IF(AND(I916="TP",S916&lt;=150),VLOOKUP(AF916,TPCalibEq150!$AZ$2:$BB$55,3,),IF(AND(I916="TDP",S916&lt;=150),VLOOKUP(AF916,TPCalibEq150!$AZ$2:$BB$55,3,)))</f>
        <v>0</v>
      </c>
      <c r="AR916" s="10" t="b">
        <f>IF(AND(I916="TP",S916&lt;=300),VLOOKUP(AF916,TPCalibEq300!$AZ$2:$BB$55,3,),IF(AND(I916="TDP",S916&lt;=300),VLOOKUP(AF916,TPCalibEq300!$AZ$2:$BB$55,3,)))</f>
        <v>0</v>
      </c>
      <c r="AS916" s="10" t="b">
        <f>IF(AND(I916="TP",S916&lt;=500),VLOOKUP(AF916,TPCalibEq500!$AZ$2:$BB$56,3,),IF(AND(I916="TDP",S916&lt;=500),VLOOKUP(AF916,TPCalibEq500!$AZ$2:$BB$56,3,)))</f>
        <v>0</v>
      </c>
      <c r="AT916" s="10" t="b">
        <f>IF(AND(I916="TN",S916&lt;=2800),VLOOKUP(AF916,TNCalibEq2500!$AZ$2:$BB$56,3,),IF(AND(I916="TDN",S916&lt;=2800),VLOOKUP(AF916,TNCalibEq2500!$AZ$2:$BB$56,3,)))</f>
        <v>0</v>
      </c>
      <c r="AU916" s="10" t="b">
        <f>IF(I916="TP",VLOOKUP(AF916,TPCalibEqFull!$AZ$2:$BB$56,3),IF(I916="TDP",VLOOKUP(AF916,TPCalibEqFull!$AZ$2:$BB$56,3),IF(I916="TDN",VLOOKUP(AF916,TNCalibEqFull!$AZ$1:$BB$56,3),IF(I916="TN",VLOOKUP(AF916,TNCalibEqFull!$AZ$1:$BB$56,3),FALSE))))</f>
        <v>0</v>
      </c>
      <c r="AV916" s="10" t="str">
        <f t="shared" si="106"/>
        <v>0124 09:00:00-QAC-STD-D-1-DI-CAL</v>
      </c>
    </row>
    <row r="917" spans="1:48" s="10" customFormat="1" x14ac:dyDescent="0.55000000000000004">
      <c r="A917" s="32">
        <v>44950</v>
      </c>
      <c r="B917" s="33">
        <v>0.375</v>
      </c>
      <c r="C917" s="10" t="s">
        <v>70</v>
      </c>
      <c r="D917" s="10" t="s">
        <v>71</v>
      </c>
      <c r="E917" s="10" t="s">
        <v>190</v>
      </c>
      <c r="F917" s="10">
        <v>1</v>
      </c>
      <c r="G917" s="10" t="s">
        <v>73</v>
      </c>
      <c r="H917" s="10" t="s">
        <v>74</v>
      </c>
      <c r="I917" s="10" t="s">
        <v>285</v>
      </c>
      <c r="J917" s="10">
        <v>186</v>
      </c>
      <c r="K917" s="12">
        <v>44950</v>
      </c>
      <c r="L917" s="33">
        <v>0.45547453703703705</v>
      </c>
      <c r="M917" s="10">
        <v>1</v>
      </c>
      <c r="N917" s="10" t="s">
        <v>211</v>
      </c>
      <c r="O917" s="10">
        <v>0.72299999999999998</v>
      </c>
      <c r="P917" s="10">
        <v>8.5699999999999998E-2</v>
      </c>
      <c r="Q917" s="10">
        <v>150</v>
      </c>
      <c r="R917" s="10" t="s">
        <v>913</v>
      </c>
      <c r="S917" s="34">
        <f t="shared" si="102"/>
        <v>150</v>
      </c>
      <c r="T917" s="10" t="s">
        <v>1051</v>
      </c>
      <c r="U917" s="34" t="str">
        <f t="shared" si="103"/>
        <v/>
      </c>
      <c r="V917" s="31" t="str">
        <f>IF(H917="CHK",VLOOKUP(I917,QCCHK,3,),IF(H917="GUP",VLOOKUP(E917,QCGUP,2,),IF(AND(H917="ATP",OR(I917="TN",I917="TDN",I917="TNO2-3",I917="NO2-3")),VLOOKUP(E917,QCREC_N,2,),IF(AND(H917="NIC",OR(I917="TN",I917="TDN",I917="TNO2-3",I917="NO2-3")),VLOOKUP(E917,QCNIC_N,2,),IF(AND(H917="UREA",OR(I917="TN",I917="TDN",I917="TNO2-3",I917="NO2-3")),VLOOKUP(E917,QCUREA_N,2,),IF(H917="PER",VLOOKUP(I917,QCPER,MATCH(E917,QCACTUAL!$J$25:$AA$25,0),),IF(H917="SPK",VLOOKUP(I917,QCSPK,3,),IF(AND(H917="ATP",OR(I917="TP",I917="TDP")),VLOOKUP(E917,QCATP_P,2,),""))))))))</f>
        <v/>
      </c>
      <c r="W917" s="31" t="str">
        <f t="shared" si="104"/>
        <v>TRUE</v>
      </c>
      <c r="X917" s="31" t="str">
        <f t="shared" si="105"/>
        <v/>
      </c>
      <c r="Y917" s="10" t="s">
        <v>1040</v>
      </c>
      <c r="AL917" s="10" t="str">
        <f t="shared" si="100"/>
        <v>FALSE</v>
      </c>
      <c r="AM917" s="10" t="str">
        <f t="shared" si="100"/>
        <v>FALSE</v>
      </c>
      <c r="AN917" s="10" t="str">
        <f t="shared" si="100"/>
        <v>FALSE</v>
      </c>
      <c r="AO917" s="10" t="str">
        <f t="shared" si="101"/>
        <v>FALSE</v>
      </c>
      <c r="AP917" s="10" t="str">
        <f t="shared" si="101"/>
        <v>FALSE</v>
      </c>
      <c r="AQ917" s="10" t="b">
        <f>IF(AND(I917="TP",S917&lt;=150),VLOOKUP(AF917,TPCalibEq150!$AZ$2:$BB$55,3,),IF(AND(I917="TDP",S917&lt;=150),VLOOKUP(AF917,TPCalibEq150!$AZ$2:$BB$55,3,)))</f>
        <v>0</v>
      </c>
      <c r="AR917" s="10" t="b">
        <f>IF(AND(I917="TP",S917&lt;=300),VLOOKUP(AF917,TPCalibEq300!$AZ$2:$BB$55,3,),IF(AND(I917="TDP",S917&lt;=300),VLOOKUP(AF917,TPCalibEq300!$AZ$2:$BB$55,3,)))</f>
        <v>0</v>
      </c>
      <c r="AS917" s="10" t="b">
        <f>IF(AND(I917="TP",S917&lt;=500),VLOOKUP(AF917,TPCalibEq500!$AZ$2:$BB$56,3,),IF(AND(I917="TDP",S917&lt;=500),VLOOKUP(AF917,TPCalibEq500!$AZ$2:$BB$56,3,)))</f>
        <v>0</v>
      </c>
      <c r="AT917" s="10" t="b">
        <f>IF(AND(I917="TN",S917&lt;=2800),VLOOKUP(AF917,TNCalibEq2500!$AZ$2:$BB$56,3,),IF(AND(I917="TDN",S917&lt;=2800),VLOOKUP(AF917,TNCalibEq2500!$AZ$2:$BB$56,3,)))</f>
        <v>0</v>
      </c>
      <c r="AU917" s="10" t="b">
        <f>IF(I917="TP",VLOOKUP(AF917,TPCalibEqFull!$AZ$2:$BB$56,3),IF(I917="TDP",VLOOKUP(AF917,TPCalibEqFull!$AZ$2:$BB$56,3),IF(I917="TDN",VLOOKUP(AF917,TNCalibEqFull!$AZ$1:$BB$56,3),IF(I917="TN",VLOOKUP(AF917,TNCalibEqFull!$AZ$1:$BB$56,3),FALSE))))</f>
        <v>0</v>
      </c>
      <c r="AV917" s="10" t="str">
        <f t="shared" si="106"/>
        <v>0124 09:00:00-QAC-STD-C-1-DI-CAL</v>
      </c>
    </row>
    <row r="918" spans="1:48" s="10" customFormat="1" x14ac:dyDescent="0.55000000000000004">
      <c r="A918" s="32">
        <v>44950</v>
      </c>
      <c r="B918" s="33">
        <v>0.375</v>
      </c>
      <c r="C918" s="10" t="s">
        <v>70</v>
      </c>
      <c r="D918" s="10" t="s">
        <v>71</v>
      </c>
      <c r="E918" s="10" t="s">
        <v>583</v>
      </c>
      <c r="F918" s="10">
        <v>1</v>
      </c>
      <c r="G918" s="10" t="s">
        <v>73</v>
      </c>
      <c r="H918" s="10" t="s">
        <v>74</v>
      </c>
      <c r="I918" s="10" t="s">
        <v>285</v>
      </c>
      <c r="J918" s="10">
        <v>187</v>
      </c>
      <c r="K918" s="12">
        <v>44950</v>
      </c>
      <c r="L918" s="33">
        <v>0.45630787037037041</v>
      </c>
      <c r="M918" s="10">
        <v>1</v>
      </c>
      <c r="N918" s="10" t="s">
        <v>211</v>
      </c>
      <c r="O918" s="10">
        <v>1.44</v>
      </c>
      <c r="P918" s="10">
        <v>0.17499999999999999</v>
      </c>
      <c r="Q918" s="10">
        <v>300</v>
      </c>
      <c r="R918" s="10" t="s">
        <v>913</v>
      </c>
      <c r="S918" s="34">
        <f t="shared" si="102"/>
        <v>300</v>
      </c>
      <c r="T918" s="10" t="s">
        <v>1052</v>
      </c>
      <c r="U918" s="34" t="str">
        <f t="shared" si="103"/>
        <v/>
      </c>
      <c r="V918" s="31" t="str">
        <f>IF(H918="CHK",VLOOKUP(I918,QCCHK,3,),IF(H918="GUP",VLOOKUP(E918,QCGUP,2,),IF(AND(H918="ATP",OR(I918="TN",I918="TDN",I918="TNO2-3",I918="NO2-3")),VLOOKUP(E918,QCREC_N,2,),IF(AND(H918="NIC",OR(I918="TN",I918="TDN",I918="TNO2-3",I918="NO2-3")),VLOOKUP(E918,QCNIC_N,2,),IF(AND(H918="UREA",OR(I918="TN",I918="TDN",I918="TNO2-3",I918="NO2-3")),VLOOKUP(E918,QCUREA_N,2,),IF(H918="PER",VLOOKUP(I918,QCPER,MATCH(E918,QCACTUAL!$J$25:$AA$25,0),),IF(H918="SPK",VLOOKUP(I918,QCSPK,3,),IF(AND(H918="ATP",OR(I918="TP",I918="TDP")),VLOOKUP(E918,QCATP_P,2,),""))))))))</f>
        <v/>
      </c>
      <c r="W918" s="31" t="str">
        <f t="shared" si="104"/>
        <v>TRUE</v>
      </c>
      <c r="X918" s="31" t="str">
        <f t="shared" si="105"/>
        <v/>
      </c>
      <c r="Y918" s="10" t="s">
        <v>1040</v>
      </c>
      <c r="AL918" s="10" t="str">
        <f t="shared" si="100"/>
        <v>FALSE</v>
      </c>
      <c r="AM918" s="10" t="str">
        <f t="shared" si="100"/>
        <v>FALSE</v>
      </c>
      <c r="AN918" s="10" t="str">
        <f t="shared" si="100"/>
        <v>FALSE</v>
      </c>
      <c r="AO918" s="10" t="str">
        <f t="shared" si="101"/>
        <v>FALSE</v>
      </c>
      <c r="AP918" s="10" t="str">
        <f t="shared" si="101"/>
        <v>FALSE</v>
      </c>
      <c r="AQ918" s="10" t="b">
        <f>IF(AND(I918="TP",S918&lt;=150),VLOOKUP(AF918,TPCalibEq150!$AZ$2:$BB$55,3,),IF(AND(I918="TDP",S918&lt;=150),VLOOKUP(AF918,TPCalibEq150!$AZ$2:$BB$55,3,)))</f>
        <v>0</v>
      </c>
      <c r="AR918" s="10" t="b">
        <f>IF(AND(I918="TP",S918&lt;=300),VLOOKUP(AF918,TPCalibEq300!$AZ$2:$BB$55,3,),IF(AND(I918="TDP",S918&lt;=300),VLOOKUP(AF918,TPCalibEq300!$AZ$2:$BB$55,3,)))</f>
        <v>0</v>
      </c>
      <c r="AS918" s="10" t="b">
        <f>IF(AND(I918="TP",S918&lt;=500),VLOOKUP(AF918,TPCalibEq500!$AZ$2:$BB$56,3,),IF(AND(I918="TDP",S918&lt;=500),VLOOKUP(AF918,TPCalibEq500!$AZ$2:$BB$56,3,)))</f>
        <v>0</v>
      </c>
      <c r="AT918" s="10" t="b">
        <f>IF(AND(I918="TN",S918&lt;=2800),VLOOKUP(AF918,TNCalibEq2500!$AZ$2:$BB$56,3,),IF(AND(I918="TDN",S918&lt;=2800),VLOOKUP(AF918,TNCalibEq2500!$AZ$2:$BB$56,3,)))</f>
        <v>0</v>
      </c>
      <c r="AU918" s="10" t="b">
        <f>IF(I918="TP",VLOOKUP(AF918,TPCalibEqFull!$AZ$2:$BB$56,3),IF(I918="TDP",VLOOKUP(AF918,TPCalibEqFull!$AZ$2:$BB$56,3),IF(I918="TDN",VLOOKUP(AF918,TNCalibEqFull!$AZ$1:$BB$56,3),IF(I918="TN",VLOOKUP(AF918,TNCalibEqFull!$AZ$1:$BB$56,3),FALSE))))</f>
        <v>0</v>
      </c>
      <c r="AV918" s="10" t="str">
        <f t="shared" si="106"/>
        <v>0124 09:00:00-QAC-STD-B-1-DI-CAL</v>
      </c>
    </row>
    <row r="919" spans="1:48" s="10" customFormat="1" x14ac:dyDescent="0.55000000000000004">
      <c r="A919" s="32">
        <v>44950</v>
      </c>
      <c r="B919" s="33">
        <v>0.375</v>
      </c>
      <c r="C919" s="10" t="s">
        <v>70</v>
      </c>
      <c r="D919" s="10" t="s">
        <v>71</v>
      </c>
      <c r="E919" s="10" t="s">
        <v>866</v>
      </c>
      <c r="F919" s="10">
        <v>1</v>
      </c>
      <c r="G919" s="10" t="s">
        <v>73</v>
      </c>
      <c r="H919" s="10" t="s">
        <v>74</v>
      </c>
      <c r="I919" s="10" t="s">
        <v>285</v>
      </c>
      <c r="J919" s="10">
        <v>188</v>
      </c>
      <c r="K919" s="12">
        <v>44950</v>
      </c>
      <c r="L919" s="33">
        <v>0.45712962962962966</v>
      </c>
      <c r="M919" s="10">
        <v>1</v>
      </c>
      <c r="N919" s="10" t="s">
        <v>211</v>
      </c>
      <c r="O919" s="10">
        <v>2.41</v>
      </c>
      <c r="P919" s="10">
        <v>0.29099999999999998</v>
      </c>
      <c r="Q919" s="10">
        <v>500</v>
      </c>
      <c r="R919" s="10" t="s">
        <v>913</v>
      </c>
      <c r="S919" s="34">
        <f t="shared" si="102"/>
        <v>500</v>
      </c>
      <c r="T919" s="10" t="s">
        <v>1052</v>
      </c>
      <c r="U919" s="34" t="str">
        <f t="shared" si="103"/>
        <v/>
      </c>
      <c r="V919" s="31" t="str">
        <f>IF(H919="CHK",VLOOKUP(I919,QCCHK,3,),IF(H919="GUP",VLOOKUP(E919,QCGUP,2,),IF(AND(H919="ATP",OR(I919="TN",I919="TDN",I919="TNO2-3",I919="NO2-3")),VLOOKUP(E919,QCREC_N,2,),IF(AND(H919="NIC",OR(I919="TN",I919="TDN",I919="TNO2-3",I919="NO2-3")),VLOOKUP(E919,QCNIC_N,2,),IF(AND(H919="UREA",OR(I919="TN",I919="TDN",I919="TNO2-3",I919="NO2-3")),VLOOKUP(E919,QCUREA_N,2,),IF(H919="PER",VLOOKUP(I919,QCPER,MATCH(E919,QCACTUAL!$J$25:$AA$25,0),),IF(H919="SPK",VLOOKUP(I919,QCSPK,3,),IF(AND(H919="ATP",OR(I919="TP",I919="TDP")),VLOOKUP(E919,QCATP_P,2,),""))))))))</f>
        <v/>
      </c>
      <c r="W919" s="31" t="str">
        <f t="shared" si="104"/>
        <v>TRUE</v>
      </c>
      <c r="X919" s="31" t="str">
        <f t="shared" si="105"/>
        <v/>
      </c>
      <c r="Y919" s="10" t="s">
        <v>1040</v>
      </c>
      <c r="AL919" s="10" t="str">
        <f t="shared" si="100"/>
        <v>FALSE</v>
      </c>
      <c r="AM919" s="10" t="str">
        <f t="shared" si="100"/>
        <v>FALSE</v>
      </c>
      <c r="AN919" s="10" t="str">
        <f t="shared" si="100"/>
        <v>FALSE</v>
      </c>
      <c r="AO919" s="10" t="str">
        <f t="shared" si="101"/>
        <v>FALSE</v>
      </c>
      <c r="AP919" s="10" t="str">
        <f t="shared" si="101"/>
        <v>FALSE</v>
      </c>
      <c r="AQ919" s="10" t="b">
        <f>IF(AND(I919="TP",S919&lt;=150),VLOOKUP(AF919,TPCalibEq150!$AZ$2:$BB$55,3,),IF(AND(I919="TDP",S919&lt;=150),VLOOKUP(AF919,TPCalibEq150!$AZ$2:$BB$55,3,)))</f>
        <v>0</v>
      </c>
      <c r="AR919" s="10" t="b">
        <f>IF(AND(I919="TP",S919&lt;=300),VLOOKUP(AF919,TPCalibEq300!$AZ$2:$BB$55,3,),IF(AND(I919="TDP",S919&lt;=300),VLOOKUP(AF919,TPCalibEq300!$AZ$2:$BB$55,3,)))</f>
        <v>0</v>
      </c>
      <c r="AS919" s="10" t="b">
        <f>IF(AND(I919="TP",S919&lt;=500),VLOOKUP(AF919,TPCalibEq500!$AZ$2:$BB$56,3,),IF(AND(I919="TDP",S919&lt;=500),VLOOKUP(AF919,TPCalibEq500!$AZ$2:$BB$56,3,)))</f>
        <v>0</v>
      </c>
      <c r="AT919" s="10" t="b">
        <f>IF(AND(I919="TN",S919&lt;=2800),VLOOKUP(AF919,TNCalibEq2500!$AZ$2:$BB$56,3,),IF(AND(I919="TDN",S919&lt;=2800),VLOOKUP(AF919,TNCalibEq2500!$AZ$2:$BB$56,3,)))</f>
        <v>0</v>
      </c>
      <c r="AU919" s="10" t="b">
        <f>IF(I919="TP",VLOOKUP(AF919,TPCalibEqFull!$AZ$2:$BB$56,3),IF(I919="TDP",VLOOKUP(AF919,TPCalibEqFull!$AZ$2:$BB$56,3),IF(I919="TDN",VLOOKUP(AF919,TNCalibEqFull!$AZ$1:$BB$56,3),IF(I919="TN",VLOOKUP(AF919,TNCalibEqFull!$AZ$1:$BB$56,3),FALSE))))</f>
        <v>0</v>
      </c>
      <c r="AV919" s="10" t="str">
        <f t="shared" si="106"/>
        <v>0124 09:00:00-QAC-STD-A-1-DI-CAL</v>
      </c>
    </row>
    <row r="920" spans="1:48" s="10" customFormat="1" x14ac:dyDescent="0.55000000000000004">
      <c r="A920" s="32">
        <v>44950</v>
      </c>
      <c r="B920" s="33">
        <v>0.375</v>
      </c>
      <c r="C920" s="10" t="s">
        <v>70</v>
      </c>
      <c r="D920" s="10" t="s">
        <v>241</v>
      </c>
      <c r="E920" s="10" t="s">
        <v>866</v>
      </c>
      <c r="F920" s="10">
        <v>1</v>
      </c>
      <c r="G920" s="10" t="s">
        <v>73</v>
      </c>
      <c r="H920" s="10" t="s">
        <v>283</v>
      </c>
      <c r="I920" s="10" t="s">
        <v>285</v>
      </c>
      <c r="J920" s="10">
        <v>198</v>
      </c>
      <c r="K920" s="12">
        <v>44950</v>
      </c>
      <c r="L920" s="33">
        <v>0.45876157407407409</v>
      </c>
      <c r="M920" s="10">
        <v>1</v>
      </c>
      <c r="N920" s="10" t="s">
        <v>211</v>
      </c>
      <c r="O920" s="10">
        <v>1.2500000000000001E-2</v>
      </c>
      <c r="P920" s="10">
        <v>8.2899999999999998E-4</v>
      </c>
      <c r="Q920" s="10">
        <v>2.6</v>
      </c>
      <c r="R920" s="10" t="s">
        <v>913</v>
      </c>
      <c r="S920" s="34">
        <f t="shared" si="102"/>
        <v>2.6</v>
      </c>
      <c r="T920" s="10" t="s">
        <v>1052</v>
      </c>
      <c r="U920" s="34">
        <f t="shared" si="103"/>
        <v>2.6</v>
      </c>
      <c r="V920" s="31" t="str">
        <f>IF(H920="CHK",VLOOKUP(I920,QCCHK,3,),IF(H920="GUP",VLOOKUP(E920,QCGUP,2,),IF(AND(H920="ATP",OR(I920="TN",I920="TDN",I920="TNO2-3",I920="NO2-3")),VLOOKUP(E920,QCREC_N,2,),IF(AND(H920="NIC",OR(I920="TN",I920="TDN",I920="TNO2-3",I920="NO2-3")),VLOOKUP(E920,QCNIC_N,2,),IF(AND(H920="UREA",OR(I920="TN",I920="TDN",I920="TNO2-3",I920="NO2-3")),VLOOKUP(E920,QCUREA_N,2,),IF(H920="PER",VLOOKUP(I920,QCPER,MATCH(E920,QCACTUAL!$J$25:$AA$25,0),),IF(H920="SPK",VLOOKUP(I920,QCSPK,3,),IF(AND(H920="ATP",OR(I920="TP",I920="TDP")),VLOOKUP(E920,QCATP_P,2,),""))))))))</f>
        <v/>
      </c>
      <c r="W920" s="31" t="str">
        <f t="shared" si="104"/>
        <v>TRUE</v>
      </c>
      <c r="X920" s="31" t="str">
        <f t="shared" si="105"/>
        <v>nominal concentration</v>
      </c>
      <c r="Y920" s="10" t="s">
        <v>1040</v>
      </c>
      <c r="AL920" s="10" t="str">
        <f t="shared" si="100"/>
        <v>FALSE</v>
      </c>
      <c r="AM920" s="10" t="str">
        <f t="shared" si="100"/>
        <v>FALSE</v>
      </c>
      <c r="AN920" s="10" t="str">
        <f t="shared" si="100"/>
        <v>FALSE</v>
      </c>
      <c r="AO920" s="10" t="str">
        <f t="shared" si="101"/>
        <v>FALSE</v>
      </c>
      <c r="AP920" s="10" t="str">
        <f t="shared" si="101"/>
        <v>FALSE</v>
      </c>
      <c r="AQ920" s="10" t="b">
        <f>IF(AND(I920="TP",S920&lt;=150),VLOOKUP(AF920,TPCalibEq150!$AZ$2:$BB$55,3,),IF(AND(I920="TDP",S920&lt;=150),VLOOKUP(AF920,TPCalibEq150!$AZ$2:$BB$55,3,)))</f>
        <v>0</v>
      </c>
      <c r="AR920" s="10" t="b">
        <f>IF(AND(I920="TP",S920&lt;=300),VLOOKUP(AF920,TPCalibEq300!$AZ$2:$BB$55,3,),IF(AND(I920="TDP",S920&lt;=300),VLOOKUP(AF920,TPCalibEq300!$AZ$2:$BB$55,3,)))</f>
        <v>0</v>
      </c>
      <c r="AS920" s="10" t="b">
        <f>IF(AND(I920="TP",S920&lt;=500),VLOOKUP(AF920,TPCalibEq500!$AZ$2:$BB$56,3,),IF(AND(I920="TDP",S920&lt;=500),VLOOKUP(AF920,TPCalibEq500!$AZ$2:$BB$56,3,)))</f>
        <v>0</v>
      </c>
      <c r="AT920" s="10" t="b">
        <f>IF(AND(I920="TN",S920&lt;=2800),VLOOKUP(AF920,TNCalibEq2500!$AZ$2:$BB$56,3,),IF(AND(I920="TDN",S920&lt;=2800),VLOOKUP(AF920,TNCalibEq2500!$AZ$2:$BB$56,3,)))</f>
        <v>0</v>
      </c>
      <c r="AU920" s="10" t="b">
        <f>IF(I920="TP",VLOOKUP(AF920,TPCalibEqFull!$AZ$2:$BB$56,3),IF(I920="TDP",VLOOKUP(AF920,TPCalibEqFull!$AZ$2:$BB$56,3),IF(I920="TDN",VLOOKUP(AF920,TNCalibEqFull!$AZ$1:$BB$56,3),IF(I920="TN",VLOOKUP(AF920,TNCalibEqFull!$AZ$1:$BB$56,3),FALSE))))</f>
        <v>0</v>
      </c>
      <c r="AV920" s="10" t="str">
        <f t="shared" si="106"/>
        <v>0124 09:00:00-QAC-BLK-A-1-DI-LAB</v>
      </c>
    </row>
    <row r="921" spans="1:48" s="10" customFormat="1" x14ac:dyDescent="0.55000000000000004">
      <c r="A921" s="32">
        <v>44950</v>
      </c>
      <c r="B921" s="33">
        <v>0.375</v>
      </c>
      <c r="C921" s="10" t="s">
        <v>70</v>
      </c>
      <c r="D921" s="10" t="s">
        <v>241</v>
      </c>
      <c r="E921" s="10" t="s">
        <v>866</v>
      </c>
      <c r="F921" s="10">
        <v>1</v>
      </c>
      <c r="G921" s="10" t="s">
        <v>73</v>
      </c>
      <c r="H921" s="10" t="s">
        <v>314</v>
      </c>
      <c r="I921" s="10" t="s">
        <v>285</v>
      </c>
      <c r="J921" s="10">
        <v>225</v>
      </c>
      <c r="K921" s="12">
        <v>44950</v>
      </c>
      <c r="L921" s="33">
        <v>0.45958333333333329</v>
      </c>
      <c r="M921" s="10">
        <v>1</v>
      </c>
      <c r="N921" s="10" t="s">
        <v>211</v>
      </c>
      <c r="O921" s="10">
        <v>0.748</v>
      </c>
      <c r="P921" s="10">
        <v>8.9300000000000004E-2</v>
      </c>
      <c r="Q921" s="10">
        <v>155</v>
      </c>
      <c r="R921" s="10" t="s">
        <v>913</v>
      </c>
      <c r="S921" s="34">
        <f t="shared" si="102"/>
        <v>155</v>
      </c>
      <c r="T921" s="10" t="s">
        <v>1052</v>
      </c>
      <c r="U921" s="34">
        <f t="shared" si="103"/>
        <v>97.536000000000001</v>
      </c>
      <c r="V921" s="31">
        <f>IF(H921="CHK",VLOOKUP(I921,QCCHK,3,),IF(H921="GUP",VLOOKUP(E921,QCGUP,2,),IF(AND(H921="ATP",OR(I921="TN",I921="TDN",I921="TNO2-3",I921="NO2-3")),VLOOKUP(E921,QCREC_N,2,),IF(AND(H921="NIC",OR(I921="TN",I921="TDN",I921="TNO2-3",I921="NO2-3")),VLOOKUP(E921,QCNIC_N,2,),IF(AND(H921="UREA",OR(I921="TN",I921="TDN",I921="TNO2-3",I921="NO2-3")),VLOOKUP(E921,QCUREA_N,2,),IF(H921="PER",VLOOKUP(I921,QCPER,MATCH(E921,QCACTUAL!$J$25:$AA$25,0),),IF(H921="SPK",VLOOKUP(I921,QCSPK,3,),IF(AND(H921="ATP",OR(I921="TP",I921="TDP")),VLOOKUP(E921,QCATP_P,2,),""))))))))</f>
        <v>156.25</v>
      </c>
      <c r="W921" s="31" t="str">
        <f t="shared" si="104"/>
        <v>TRUE</v>
      </c>
      <c r="X921" s="31" t="str">
        <f t="shared" si="105"/>
        <v>([spikedunkn]-[unkn])/[spike]*100</v>
      </c>
      <c r="Y921" s="10" t="s">
        <v>1040</v>
      </c>
      <c r="AL921" s="10" t="str">
        <f t="shared" si="100"/>
        <v>FALSE</v>
      </c>
      <c r="AM921" s="10" t="str">
        <f t="shared" si="100"/>
        <v>FALSE</v>
      </c>
      <c r="AN921" s="10" t="str">
        <f t="shared" si="100"/>
        <v>FALSE</v>
      </c>
      <c r="AO921" s="10" t="str">
        <f t="shared" si="101"/>
        <v>FALSE</v>
      </c>
      <c r="AP921" s="10" t="str">
        <f t="shared" si="101"/>
        <v>FALSE</v>
      </c>
      <c r="AQ921" s="10" t="b">
        <f>IF(AND(I921="TP",S921&lt;=150),VLOOKUP(AF921,TPCalibEq150!$AZ$2:$BB$55,3,),IF(AND(I921="TDP",S921&lt;=150),VLOOKUP(AF921,TPCalibEq150!$AZ$2:$BB$55,3,)))</f>
        <v>0</v>
      </c>
      <c r="AR921" s="10" t="b">
        <f>IF(AND(I921="TP",S921&lt;=300),VLOOKUP(AF921,TPCalibEq300!$AZ$2:$BB$55,3,),IF(AND(I921="TDP",S921&lt;=300),VLOOKUP(AF921,TPCalibEq300!$AZ$2:$BB$55,3,)))</f>
        <v>0</v>
      </c>
      <c r="AS921" s="10" t="b">
        <f>IF(AND(I921="TP",S921&lt;=500),VLOOKUP(AF921,TPCalibEq500!$AZ$2:$BB$56,3,),IF(AND(I921="TDP",S921&lt;=500),VLOOKUP(AF921,TPCalibEq500!$AZ$2:$BB$56,3,)))</f>
        <v>0</v>
      </c>
      <c r="AT921" s="10" t="b">
        <f>IF(AND(I921="TN",S921&lt;=2800),VLOOKUP(AF921,TNCalibEq2500!$AZ$2:$BB$56,3,),IF(AND(I921="TDN",S921&lt;=2800),VLOOKUP(AF921,TNCalibEq2500!$AZ$2:$BB$56,3,)))</f>
        <v>0</v>
      </c>
      <c r="AU921" s="10" t="b">
        <f>IF(I921="TP",VLOOKUP(AF921,TPCalibEqFull!$AZ$2:$BB$56,3),IF(I921="TDP",VLOOKUP(AF921,TPCalibEqFull!$AZ$2:$BB$56,3),IF(I921="TDN",VLOOKUP(AF921,TNCalibEqFull!$AZ$1:$BB$56,3),IF(I921="TN",VLOOKUP(AF921,TNCalibEqFull!$AZ$1:$BB$56,3),FALSE))))</f>
        <v>0</v>
      </c>
      <c r="AV921" s="10" t="str">
        <f t="shared" si="106"/>
        <v>0124 09:00:00-QAC-BLK-A-1-DI-SPK</v>
      </c>
    </row>
    <row r="922" spans="1:48" s="10" customFormat="1" x14ac:dyDescent="0.55000000000000004">
      <c r="A922" s="32">
        <v>44950</v>
      </c>
      <c r="B922" s="33">
        <v>0.375</v>
      </c>
      <c r="C922" s="10" t="s">
        <v>70</v>
      </c>
      <c r="D922" s="10" t="s">
        <v>71</v>
      </c>
      <c r="E922" s="10" t="s">
        <v>948</v>
      </c>
      <c r="F922" s="10">
        <v>1</v>
      </c>
      <c r="G922" s="10" t="s">
        <v>73</v>
      </c>
      <c r="H922" s="10" t="s">
        <v>299</v>
      </c>
      <c r="I922" s="10" t="s">
        <v>285</v>
      </c>
      <c r="J922" s="10">
        <v>197</v>
      </c>
      <c r="K922" s="12">
        <v>44950</v>
      </c>
      <c r="L922" s="33">
        <v>0.4604050925925926</v>
      </c>
      <c r="M922" s="10">
        <v>1</v>
      </c>
      <c r="N922" s="10" t="s">
        <v>211</v>
      </c>
      <c r="O922" s="10">
        <v>1.61</v>
      </c>
      <c r="P922" s="10">
        <v>0.19600000000000001</v>
      </c>
      <c r="Q922" s="10">
        <v>335</v>
      </c>
      <c r="R922" s="10" t="s">
        <v>913</v>
      </c>
      <c r="S922" s="34">
        <f t="shared" si="102"/>
        <v>335</v>
      </c>
      <c r="T922" s="10" t="s">
        <v>1052</v>
      </c>
      <c r="U922" s="34">
        <f t="shared" si="103"/>
        <v>94.632768361581924</v>
      </c>
      <c r="V922" s="31">
        <f>IF(H922="CHK",VLOOKUP(I922,QCCHK,3,),IF(H922="GUP",VLOOKUP(E922,QCGUP,2,),IF(AND(H922="ATP",OR(I922="TN",I922="TDN",I922="TNO2-3",I922="NO2-3")),VLOOKUP(E922,QCREC_N,2,),IF(AND(H922="NIC",OR(I922="TN",I922="TDN",I922="TNO2-3",I922="NO2-3")),VLOOKUP(E922,QCNIC_N,2,),IF(AND(H922="UREA",OR(I922="TN",I922="TDN",I922="TNO2-3",I922="NO2-3")),VLOOKUP(E922,QCUREA_N,2,),IF(H922="PER",VLOOKUP(I922,QCPER,MATCH(E922,QCACTUAL!$J$25:$AA$25,0),),IF(H922="SPK",VLOOKUP(I922,QCSPK,3,),IF(AND(H922="ATP",OR(I922="TP",I922="TDP")),VLOOKUP(E922,QCATP_P,2,),""))))))))</f>
        <v>354</v>
      </c>
      <c r="W922" s="31" t="str">
        <f t="shared" si="104"/>
        <v>TRUE</v>
      </c>
      <c r="X922" s="31" t="str">
        <f t="shared" si="105"/>
        <v>[per]/[actual]*100</v>
      </c>
      <c r="Y922" s="10" t="s">
        <v>1040</v>
      </c>
      <c r="AL922" s="10" t="str">
        <f t="shared" si="100"/>
        <v>FALSE</v>
      </c>
      <c r="AM922" s="10" t="str">
        <f t="shared" si="100"/>
        <v>FALSE</v>
      </c>
      <c r="AN922" s="10" t="str">
        <f t="shared" si="100"/>
        <v>FALSE</v>
      </c>
      <c r="AO922" s="10" t="str">
        <f t="shared" si="101"/>
        <v>FALSE</v>
      </c>
      <c r="AP922" s="10" t="str">
        <f t="shared" si="101"/>
        <v>FALSE</v>
      </c>
      <c r="AQ922" s="10" t="b">
        <f>IF(AND(I922="TP",S922&lt;=150),VLOOKUP(AF922,TPCalibEq150!$AZ$2:$BB$55,3,),IF(AND(I922="TDP",S922&lt;=150),VLOOKUP(AF922,TPCalibEq150!$AZ$2:$BB$55,3,)))</f>
        <v>0</v>
      </c>
      <c r="AR922" s="10" t="b">
        <f>IF(AND(I922="TP",S922&lt;=300),VLOOKUP(AF922,TPCalibEq300!$AZ$2:$BB$55,3,),IF(AND(I922="TDP",S922&lt;=300),VLOOKUP(AF922,TPCalibEq300!$AZ$2:$BB$55,3,)))</f>
        <v>0</v>
      </c>
      <c r="AS922" s="10" t="b">
        <f>IF(AND(I922="TP",S922&lt;=500),VLOOKUP(AF922,TPCalibEq500!$AZ$2:$BB$56,3,),IF(AND(I922="TDP",S922&lt;=500),VLOOKUP(AF922,TPCalibEq500!$AZ$2:$BB$56,3,)))</f>
        <v>0</v>
      </c>
      <c r="AT922" s="10" t="b">
        <f>IF(AND(I922="TN",S922&lt;=2800),VLOOKUP(AF922,TNCalibEq2500!$AZ$2:$BB$56,3,),IF(AND(I922="TDN",S922&lt;=2800),VLOOKUP(AF922,TNCalibEq2500!$AZ$2:$BB$56,3,)))</f>
        <v>0</v>
      </c>
      <c r="AU922" s="10" t="b">
        <f>IF(I922="TP",VLOOKUP(AF922,TPCalibEqFull!$AZ$2:$BB$56,3),IF(I922="TDP",VLOOKUP(AF922,TPCalibEqFull!$AZ$2:$BB$56,3),IF(I922="TDN",VLOOKUP(AF922,TNCalibEqFull!$AZ$1:$BB$56,3),IF(I922="TN",VLOOKUP(AF922,TNCalibEqFull!$AZ$1:$BB$56,3),FALSE))))</f>
        <v>0</v>
      </c>
      <c r="AV922" s="10" t="str">
        <f t="shared" si="106"/>
        <v>0124 09:00:00-QAC-STD-22A-1-DI-PER</v>
      </c>
    </row>
    <row r="923" spans="1:48" s="10" customFormat="1" x14ac:dyDescent="0.55000000000000004">
      <c r="A923" s="32">
        <v>44950</v>
      </c>
      <c r="B923" s="33">
        <v>0.375</v>
      </c>
      <c r="C923" s="10" t="s">
        <v>70</v>
      </c>
      <c r="D923" s="10" t="s">
        <v>71</v>
      </c>
      <c r="E923" s="10" t="s">
        <v>1060</v>
      </c>
      <c r="F923" s="10">
        <v>1</v>
      </c>
      <c r="G923" s="10" t="s">
        <v>73</v>
      </c>
      <c r="H923" s="10" t="s">
        <v>299</v>
      </c>
      <c r="I923" s="10" t="s">
        <v>285</v>
      </c>
      <c r="J923" s="10">
        <v>196</v>
      </c>
      <c r="K923" s="12">
        <v>44950</v>
      </c>
      <c r="L923" s="33">
        <v>0.4612384259259259</v>
      </c>
      <c r="M923" s="10">
        <v>1</v>
      </c>
      <c r="N923" s="10" t="s">
        <v>211</v>
      </c>
      <c r="O923" s="10">
        <v>1.01</v>
      </c>
      <c r="P923" s="10">
        <v>0.121</v>
      </c>
      <c r="Q923" s="10">
        <v>209</v>
      </c>
      <c r="R923" s="10" t="s">
        <v>913</v>
      </c>
      <c r="S923" s="34">
        <f t="shared" si="102"/>
        <v>209</v>
      </c>
      <c r="T923" s="10" t="s">
        <v>1052</v>
      </c>
      <c r="U923" s="34">
        <f t="shared" si="103"/>
        <v>104.5</v>
      </c>
      <c r="V923" s="31">
        <f>IF(H923="CHK",VLOOKUP(I923,QCCHK,3,),IF(H923="GUP",VLOOKUP(E923,QCGUP,2,),IF(AND(H923="ATP",OR(I923="TN",I923="TDN",I923="TNO2-3",I923="NO2-3")),VLOOKUP(E923,QCREC_N,2,),IF(AND(H923="NIC",OR(I923="TN",I923="TDN",I923="TNO2-3",I923="NO2-3")),VLOOKUP(E923,QCNIC_N,2,),IF(AND(H923="UREA",OR(I923="TN",I923="TDN",I923="TNO2-3",I923="NO2-3")),VLOOKUP(E923,QCUREA_N,2,),IF(H923="PER",VLOOKUP(I923,QCPER,MATCH(E923,QCACTUAL!$J$25:$AA$25,0),),IF(H923="SPK",VLOOKUP(I923,QCSPK,3,),IF(AND(H923="ATP",OR(I923="TP",I923="TDP")),VLOOKUP(E923,QCATP_P,2,),""))))))))</f>
        <v>200</v>
      </c>
      <c r="W923" s="31" t="str">
        <f t="shared" si="104"/>
        <v>TRUE</v>
      </c>
      <c r="X923" s="31" t="str">
        <f t="shared" si="105"/>
        <v>[per]/[actual]*100</v>
      </c>
      <c r="Y923" s="10" t="s">
        <v>1040</v>
      </c>
      <c r="AL923" s="10" t="str">
        <f t="shared" si="100"/>
        <v>FALSE</v>
      </c>
      <c r="AM923" s="10" t="str">
        <f t="shared" si="100"/>
        <v>FALSE</v>
      </c>
      <c r="AN923" s="10" t="str">
        <f t="shared" si="100"/>
        <v>FALSE</v>
      </c>
      <c r="AO923" s="10" t="str">
        <f t="shared" si="101"/>
        <v>FALSE</v>
      </c>
      <c r="AP923" s="10" t="str">
        <f t="shared" si="101"/>
        <v>FALSE</v>
      </c>
      <c r="AQ923" s="10" t="b">
        <f>IF(AND(I923="TP",S923&lt;=150),VLOOKUP(AF923,TPCalibEq150!$AZ$2:$BB$55,3,),IF(AND(I923="TDP",S923&lt;=150),VLOOKUP(AF923,TPCalibEq150!$AZ$2:$BB$55,3,)))</f>
        <v>0</v>
      </c>
      <c r="AR923" s="10" t="b">
        <f>IF(AND(I923="TP",S923&lt;=300),VLOOKUP(AF923,TPCalibEq300!$AZ$2:$BB$55,3,),IF(AND(I923="TDP",S923&lt;=300),VLOOKUP(AF923,TPCalibEq300!$AZ$2:$BB$55,3,)))</f>
        <v>0</v>
      </c>
      <c r="AS923" s="10" t="b">
        <f>IF(AND(I923="TP",S923&lt;=500),VLOOKUP(AF923,TPCalibEq500!$AZ$2:$BB$56,3,),IF(AND(I923="TDP",S923&lt;=500),VLOOKUP(AF923,TPCalibEq500!$AZ$2:$BB$56,3,)))</f>
        <v>0</v>
      </c>
      <c r="AT923" s="10" t="b">
        <f>IF(AND(I923="TN",S923&lt;=2800),VLOOKUP(AF923,TNCalibEq2500!$AZ$2:$BB$56,3,),IF(AND(I923="TDN",S923&lt;=2800),VLOOKUP(AF923,TNCalibEq2500!$AZ$2:$BB$56,3,)))</f>
        <v>0</v>
      </c>
      <c r="AU923" s="10" t="b">
        <f>IF(I923="TP",VLOOKUP(AF923,TPCalibEqFull!$AZ$2:$BB$56,3),IF(I923="TDP",VLOOKUP(AF923,TPCalibEqFull!$AZ$2:$BB$56,3),IF(I923="TDN",VLOOKUP(AF923,TNCalibEqFull!$AZ$1:$BB$56,3),IF(I923="TN",VLOOKUP(AF923,TNCalibEqFull!$AZ$1:$BB$56,3),FALSE))))</f>
        <v>0</v>
      </c>
      <c r="AV923" s="10" t="str">
        <f t="shared" si="106"/>
        <v>0124 09:00:00-QAC-STD-22B-1-DI-PER</v>
      </c>
    </row>
    <row r="924" spans="1:48" s="10" customFormat="1" x14ac:dyDescent="0.55000000000000004">
      <c r="A924" s="32">
        <v>45247</v>
      </c>
      <c r="B924" s="33">
        <v>0.25</v>
      </c>
      <c r="C924" s="10" t="s">
        <v>70</v>
      </c>
      <c r="D924" s="10" t="s">
        <v>241</v>
      </c>
      <c r="E924" s="10" t="s">
        <v>866</v>
      </c>
      <c r="F924" s="10">
        <v>1</v>
      </c>
      <c r="G924" s="10" t="s">
        <v>73</v>
      </c>
      <c r="H924" s="10" t="s">
        <v>264</v>
      </c>
      <c r="I924" s="10" t="s">
        <v>285</v>
      </c>
      <c r="J924" s="10">
        <v>63</v>
      </c>
      <c r="K924" s="12">
        <v>44950</v>
      </c>
      <c r="L924" s="33">
        <v>0.46369212962962963</v>
      </c>
      <c r="M924" s="10">
        <v>1</v>
      </c>
      <c r="N924" s="10" t="s">
        <v>211</v>
      </c>
      <c r="O924" s="10">
        <v>1.1599999999999999E-2</v>
      </c>
      <c r="P924" s="10">
        <v>5.5800000000000001E-4</v>
      </c>
      <c r="Q924" s="10">
        <v>2.4</v>
      </c>
      <c r="R924" s="10" t="s">
        <v>913</v>
      </c>
      <c r="S924" s="34">
        <f t="shared" si="102"/>
        <v>2.4</v>
      </c>
      <c r="T924" s="10" t="s">
        <v>1052</v>
      </c>
      <c r="U924" s="34">
        <f t="shared" si="103"/>
        <v>2.4</v>
      </c>
      <c r="V924" s="31" t="str">
        <f>IF(H924="CHK",VLOOKUP(I924,QCCHK,3,),IF(H924="GUP",VLOOKUP(E924,QCGUP,2,),IF(AND(H924="ATP",OR(I924="TN",I924="TDN",I924="TNO2-3",I924="NO2-3")),VLOOKUP(E924,QCREC_N,2,),IF(AND(H924="NIC",OR(I924="TN",I924="TDN",I924="TNO2-3",I924="NO2-3")),VLOOKUP(E924,QCNIC_N,2,),IF(AND(H924="UREA",OR(I924="TN",I924="TDN",I924="TNO2-3",I924="NO2-3")),VLOOKUP(E924,QCUREA_N,2,),IF(H924="PER",VLOOKUP(I924,QCPER,MATCH(E924,QCACTUAL!$J$25:$AA$25,0),),IF(H924="SPK",VLOOKUP(I924,QCSPK,3,),IF(AND(H924="ATP",OR(I924="TP",I924="TDP")),VLOOKUP(E924,QCATP_P,2,),""))))))))</f>
        <v/>
      </c>
      <c r="W924" s="31" t="str">
        <f t="shared" si="104"/>
        <v>TRUE</v>
      </c>
      <c r="X924" s="31" t="str">
        <f t="shared" si="105"/>
        <v>nominal concentration</v>
      </c>
      <c r="Y924" s="10" t="s">
        <v>1040</v>
      </c>
      <c r="Z924" s="10" t="s">
        <v>910</v>
      </c>
      <c r="AL924" s="10" t="str">
        <f t="shared" si="100"/>
        <v>FALSE</v>
      </c>
      <c r="AM924" s="10" t="str">
        <f t="shared" si="100"/>
        <v>FALSE</v>
      </c>
      <c r="AN924" s="10" t="str">
        <f t="shared" si="100"/>
        <v>FALSE</v>
      </c>
      <c r="AO924" s="10" t="str">
        <f t="shared" si="101"/>
        <v>FALSE</v>
      </c>
      <c r="AP924" s="10" t="str">
        <f t="shared" si="101"/>
        <v>FALSE</v>
      </c>
      <c r="AQ924" s="10" t="b">
        <f>IF(AND(I924="TP",S924&lt;=150),VLOOKUP(AF924,TPCalibEq150!$AZ$2:$BB$55,3,),IF(AND(I924="TDP",S924&lt;=150),VLOOKUP(AF924,TPCalibEq150!$AZ$2:$BB$55,3,)))</f>
        <v>0</v>
      </c>
      <c r="AR924" s="10" t="b">
        <f>IF(AND(I924="TP",S924&lt;=300),VLOOKUP(AF924,TPCalibEq300!$AZ$2:$BB$55,3,),IF(AND(I924="TDP",S924&lt;=300),VLOOKUP(AF924,TPCalibEq300!$AZ$2:$BB$55,3,)))</f>
        <v>0</v>
      </c>
      <c r="AS924" s="10" t="b">
        <f>IF(AND(I924="TP",S924&lt;=500),VLOOKUP(AF924,TPCalibEq500!$AZ$2:$BB$56,3,),IF(AND(I924="TDP",S924&lt;=500),VLOOKUP(AF924,TPCalibEq500!$AZ$2:$BB$56,3,)))</f>
        <v>0</v>
      </c>
      <c r="AT924" s="10" t="b">
        <f>IF(AND(I924="TN",S924&lt;=2800),VLOOKUP(AF924,TNCalibEq2500!$AZ$2:$BB$56,3,),IF(AND(I924="TDN",S924&lt;=2800),VLOOKUP(AF924,TNCalibEq2500!$AZ$2:$BB$56,3,)))</f>
        <v>0</v>
      </c>
      <c r="AU924" s="10" t="b">
        <f>IF(I924="TP",VLOOKUP(AF924,TPCalibEqFull!$AZ$2:$BB$56,3),IF(I924="TDP",VLOOKUP(AF924,TPCalibEqFull!$AZ$2:$BB$56,3),IF(I924="TDN",VLOOKUP(AF924,TNCalibEqFull!$AZ$1:$BB$56,3),IF(I924="TN",VLOOKUP(AF924,TNCalibEqFull!$AZ$1:$BB$56,3),FALSE))))</f>
        <v>0</v>
      </c>
      <c r="AV924" s="10" t="str">
        <f t="shared" si="106"/>
        <v>1117 06:00:00-QAC-BLK-A-1-DI-FLD</v>
      </c>
    </row>
    <row r="925" spans="1:48" s="10" customFormat="1" x14ac:dyDescent="0.55000000000000004">
      <c r="A925" s="32">
        <v>45248</v>
      </c>
      <c r="B925" s="33">
        <v>0.3833333333333333</v>
      </c>
      <c r="C925" s="10" t="s">
        <v>70</v>
      </c>
      <c r="D925" s="10" t="s">
        <v>241</v>
      </c>
      <c r="E925" s="10" t="s">
        <v>866</v>
      </c>
      <c r="F925" s="10">
        <v>1</v>
      </c>
      <c r="G925" s="10" t="s">
        <v>73</v>
      </c>
      <c r="H925" s="10" t="s">
        <v>245</v>
      </c>
      <c r="I925" s="10" t="s">
        <v>285</v>
      </c>
      <c r="J925" s="10">
        <v>64</v>
      </c>
      <c r="K925" s="12">
        <v>44950</v>
      </c>
      <c r="L925" s="33">
        <v>0.4645023148148148</v>
      </c>
      <c r="M925" s="10">
        <v>1</v>
      </c>
      <c r="N925" s="10" t="s">
        <v>211</v>
      </c>
      <c r="O925" s="10">
        <v>5.79E-3</v>
      </c>
      <c r="P925" s="10">
        <v>5.8600000000000004E-4</v>
      </c>
      <c r="Q925" s="10">
        <v>1.2</v>
      </c>
      <c r="R925" s="10" t="s">
        <v>913</v>
      </c>
      <c r="S925" s="34">
        <f t="shared" si="102"/>
        <v>1.2</v>
      </c>
      <c r="T925" s="10" t="s">
        <v>1052</v>
      </c>
      <c r="U925" s="34">
        <f t="shared" si="103"/>
        <v>1.2</v>
      </c>
      <c r="V925" s="31" t="str">
        <f>IF(H925="CHK",VLOOKUP(I925,QCCHK,3,),IF(H925="GUP",VLOOKUP(E925,QCGUP,2,),IF(AND(H925="ATP",OR(I925="TN",I925="TDN",I925="TNO2-3",I925="NO2-3")),VLOOKUP(E925,QCREC_N,2,),IF(AND(H925="NIC",OR(I925="TN",I925="TDN",I925="TNO2-3",I925="NO2-3")),VLOOKUP(E925,QCNIC_N,2,),IF(AND(H925="UREA",OR(I925="TN",I925="TDN",I925="TNO2-3",I925="NO2-3")),VLOOKUP(E925,QCUREA_N,2,),IF(H925="PER",VLOOKUP(I925,QCPER,MATCH(E925,QCACTUAL!$J$25:$AA$25,0),),IF(H925="SPK",VLOOKUP(I925,QCSPK,3,),IF(AND(H925="ATP",OR(I925="TP",I925="TDP")),VLOOKUP(E925,QCATP_P,2,),""))))))))</f>
        <v/>
      </c>
      <c r="W925" s="31" t="str">
        <f t="shared" si="104"/>
        <v>TRUE</v>
      </c>
      <c r="X925" s="31" t="str">
        <f t="shared" si="105"/>
        <v>nominal concentration</v>
      </c>
      <c r="Y925" s="10" t="s">
        <v>1040</v>
      </c>
      <c r="Z925" s="10" t="s">
        <v>910</v>
      </c>
      <c r="AL925" s="10" t="str">
        <f t="shared" si="100"/>
        <v>FALSE</v>
      </c>
      <c r="AM925" s="10" t="str">
        <f t="shared" si="100"/>
        <v>FALSE</v>
      </c>
      <c r="AN925" s="10" t="str">
        <f t="shared" si="100"/>
        <v>FALSE</v>
      </c>
      <c r="AO925" s="10" t="str">
        <f t="shared" si="101"/>
        <v>FALSE</v>
      </c>
      <c r="AP925" s="10" t="str">
        <f t="shared" si="101"/>
        <v>FALSE</v>
      </c>
      <c r="AQ925" s="10" t="b">
        <f>IF(AND(I925="TP",S925&lt;=150),VLOOKUP(AF925,TPCalibEq150!$AZ$2:$BB$55,3,),IF(AND(I925="TDP",S925&lt;=150),VLOOKUP(AF925,TPCalibEq150!$AZ$2:$BB$55,3,)))</f>
        <v>0</v>
      </c>
      <c r="AR925" s="10" t="b">
        <f>IF(AND(I925="TP",S925&lt;=300),VLOOKUP(AF925,TPCalibEq300!$AZ$2:$BB$55,3,),IF(AND(I925="TDP",S925&lt;=300),VLOOKUP(AF925,TPCalibEq300!$AZ$2:$BB$55,3,)))</f>
        <v>0</v>
      </c>
      <c r="AS925" s="10" t="b">
        <f>IF(AND(I925="TP",S925&lt;=500),VLOOKUP(AF925,TPCalibEq500!$AZ$2:$BB$56,3,),IF(AND(I925="TDP",S925&lt;=500),VLOOKUP(AF925,TPCalibEq500!$AZ$2:$BB$56,3,)))</f>
        <v>0</v>
      </c>
      <c r="AT925" s="10" t="b">
        <f>IF(AND(I925="TN",S925&lt;=2800),VLOOKUP(AF925,TNCalibEq2500!$AZ$2:$BB$56,3,),IF(AND(I925="TDN",S925&lt;=2800),VLOOKUP(AF925,TNCalibEq2500!$AZ$2:$BB$56,3,)))</f>
        <v>0</v>
      </c>
      <c r="AU925" s="10" t="b">
        <f>IF(I925="TP",VLOOKUP(AF925,TPCalibEqFull!$AZ$2:$BB$56,3),IF(I925="TDP",VLOOKUP(AF925,TPCalibEqFull!$AZ$2:$BB$56,3),IF(I925="TDN",VLOOKUP(AF925,TNCalibEqFull!$AZ$1:$BB$56,3),IF(I925="TN",VLOOKUP(AF925,TNCalibEqFull!$AZ$1:$BB$56,3),FALSE))))</f>
        <v>0</v>
      </c>
      <c r="AV925" s="10" t="str">
        <f t="shared" si="106"/>
        <v>1118 09:12:00-QAC-BLK-A-1-DI-ESF</v>
      </c>
    </row>
    <row r="926" spans="1:48" s="10" customFormat="1" x14ac:dyDescent="0.55000000000000004">
      <c r="A926" s="32">
        <v>45247</v>
      </c>
      <c r="B926" s="33">
        <v>0.25</v>
      </c>
      <c r="C926" s="10" t="s">
        <v>70</v>
      </c>
      <c r="D926" s="10" t="s">
        <v>241</v>
      </c>
      <c r="E926" s="10" t="s">
        <v>911</v>
      </c>
      <c r="F926" s="10">
        <v>1</v>
      </c>
      <c r="G926" s="10" t="s">
        <v>73</v>
      </c>
      <c r="H926" s="10" t="s">
        <v>264</v>
      </c>
      <c r="I926" s="10" t="s">
        <v>285</v>
      </c>
      <c r="J926" s="10">
        <v>65</v>
      </c>
      <c r="K926" s="12">
        <v>44950</v>
      </c>
      <c r="L926" s="33">
        <v>0.46532407407407406</v>
      </c>
      <c r="M926" s="10">
        <v>1</v>
      </c>
      <c r="N926" s="10" t="s">
        <v>211</v>
      </c>
      <c r="O926" s="10">
        <v>1.0800000000000001E-2</v>
      </c>
      <c r="P926" s="10">
        <v>8.5499999999999997E-4</v>
      </c>
      <c r="Q926" s="10">
        <v>2.25</v>
      </c>
      <c r="R926" s="10" t="s">
        <v>913</v>
      </c>
      <c r="S926" s="34">
        <f t="shared" si="102"/>
        <v>2.25</v>
      </c>
      <c r="T926" s="10" t="s">
        <v>1052</v>
      </c>
      <c r="U926" s="34">
        <f t="shared" si="103"/>
        <v>2.25</v>
      </c>
      <c r="V926" s="31" t="str">
        <f>IF(H926="CHK",VLOOKUP(I926,QCCHK,3,),IF(H926="GUP",VLOOKUP(E926,QCGUP,2,),IF(AND(H926="ATP",OR(I926="TN",I926="TDN",I926="TNO2-3",I926="NO2-3")),VLOOKUP(E926,QCREC_N,2,),IF(AND(H926="NIC",OR(I926="TN",I926="TDN",I926="TNO2-3",I926="NO2-3")),VLOOKUP(E926,QCNIC_N,2,),IF(AND(H926="UREA",OR(I926="TN",I926="TDN",I926="TNO2-3",I926="NO2-3")),VLOOKUP(E926,QCUREA_N,2,),IF(H926="PER",VLOOKUP(I926,QCPER,MATCH(E926,QCACTUAL!$J$25:$AA$25,0),),IF(H926="SPK",VLOOKUP(I926,QCSPK,3,),IF(AND(H926="ATP",OR(I926="TP",I926="TDP")),VLOOKUP(E926,QCATP_P,2,),""))))))))</f>
        <v/>
      </c>
      <c r="W926" s="31" t="str">
        <f t="shared" si="104"/>
        <v>TRUE</v>
      </c>
      <c r="X926" s="31" t="str">
        <f t="shared" si="105"/>
        <v>nominal concentration</v>
      </c>
      <c r="Y926" s="10" t="s">
        <v>1040</v>
      </c>
      <c r="Z926" s="10" t="s">
        <v>910</v>
      </c>
      <c r="AL926" s="10" t="str">
        <f t="shared" si="100"/>
        <v>FALSE</v>
      </c>
      <c r="AM926" s="10" t="str">
        <f t="shared" si="100"/>
        <v>FALSE</v>
      </c>
      <c r="AN926" s="10" t="str">
        <f t="shared" si="100"/>
        <v>FALSE</v>
      </c>
      <c r="AO926" s="10" t="str">
        <f t="shared" si="101"/>
        <v>FALSE</v>
      </c>
      <c r="AP926" s="10" t="str">
        <f t="shared" si="101"/>
        <v>FALSE</v>
      </c>
      <c r="AQ926" s="10" t="b">
        <f>IF(AND(I926="TP",S926&lt;=150),VLOOKUP(AF926,TPCalibEq150!$AZ$2:$BB$55,3,),IF(AND(I926="TDP",S926&lt;=150),VLOOKUP(AF926,TPCalibEq150!$AZ$2:$BB$55,3,)))</f>
        <v>0</v>
      </c>
      <c r="AR926" s="10" t="b">
        <f>IF(AND(I926="TP",S926&lt;=300),VLOOKUP(AF926,TPCalibEq300!$AZ$2:$BB$55,3,),IF(AND(I926="TDP",S926&lt;=300),VLOOKUP(AF926,TPCalibEq300!$AZ$2:$BB$55,3,)))</f>
        <v>0</v>
      </c>
      <c r="AS926" s="10" t="b">
        <f>IF(AND(I926="TP",S926&lt;=500),VLOOKUP(AF926,TPCalibEq500!$AZ$2:$BB$56,3,),IF(AND(I926="TDP",S926&lt;=500),VLOOKUP(AF926,TPCalibEq500!$AZ$2:$BB$56,3,)))</f>
        <v>0</v>
      </c>
      <c r="AT926" s="10" t="b">
        <f>IF(AND(I926="TN",S926&lt;=2800),VLOOKUP(AF926,TNCalibEq2500!$AZ$2:$BB$56,3,),IF(AND(I926="TDN",S926&lt;=2800),VLOOKUP(AF926,TNCalibEq2500!$AZ$2:$BB$56,3,)))</f>
        <v>0</v>
      </c>
      <c r="AU926" s="10" t="b">
        <f>IF(I926="TP",VLOOKUP(AF926,TPCalibEqFull!$AZ$2:$BB$56,3),IF(I926="TDP",VLOOKUP(AF926,TPCalibEqFull!$AZ$2:$BB$56,3),IF(I926="TDN",VLOOKUP(AF926,TNCalibEqFull!$AZ$1:$BB$56,3),IF(I926="TN",VLOOKUP(AF926,TNCalibEqFull!$AZ$1:$BB$56,3),FALSE))))</f>
        <v>0</v>
      </c>
      <c r="AV926" s="10" t="str">
        <f t="shared" si="106"/>
        <v>1117 06:00:00-QAC-BLK-FIL-1-DI-FLD</v>
      </c>
    </row>
    <row r="927" spans="1:48" s="10" customFormat="1" x14ac:dyDescent="0.55000000000000004">
      <c r="A927" s="32">
        <v>45248</v>
      </c>
      <c r="B927" s="33">
        <v>0.3833333333333333</v>
      </c>
      <c r="C927" s="10" t="s">
        <v>70</v>
      </c>
      <c r="D927" s="10" t="s">
        <v>241</v>
      </c>
      <c r="E927" s="10" t="s">
        <v>911</v>
      </c>
      <c r="F927" s="10">
        <v>1</v>
      </c>
      <c r="G927" s="10" t="s">
        <v>73</v>
      </c>
      <c r="H927" s="10" t="s">
        <v>245</v>
      </c>
      <c r="I927" s="10" t="s">
        <v>285</v>
      </c>
      <c r="J927" s="10">
        <v>66</v>
      </c>
      <c r="K927" s="12">
        <v>44950</v>
      </c>
      <c r="L927" s="33">
        <v>0.46614583333333331</v>
      </c>
      <c r="M927" s="10">
        <v>1</v>
      </c>
      <c r="N927" s="10" t="s">
        <v>211</v>
      </c>
      <c r="O927" s="10">
        <v>1.6400000000000001E-2</v>
      </c>
      <c r="P927" s="10">
        <v>1.08E-3</v>
      </c>
      <c r="Q927" s="10">
        <v>3.4</v>
      </c>
      <c r="R927" s="10" t="s">
        <v>913</v>
      </c>
      <c r="S927" s="34">
        <f t="shared" si="102"/>
        <v>3.4</v>
      </c>
      <c r="T927" s="10" t="s">
        <v>1052</v>
      </c>
      <c r="U927" s="34">
        <f t="shared" si="103"/>
        <v>3.4</v>
      </c>
      <c r="V927" s="31" t="str">
        <f>IF(H927="CHK",VLOOKUP(I927,QCCHK,3,),IF(H927="GUP",VLOOKUP(E927,QCGUP,2,),IF(AND(H927="ATP",OR(I927="TN",I927="TDN",I927="TNO2-3",I927="NO2-3")),VLOOKUP(E927,QCREC_N,2,),IF(AND(H927="NIC",OR(I927="TN",I927="TDN",I927="TNO2-3",I927="NO2-3")),VLOOKUP(E927,QCNIC_N,2,),IF(AND(H927="UREA",OR(I927="TN",I927="TDN",I927="TNO2-3",I927="NO2-3")),VLOOKUP(E927,QCUREA_N,2,),IF(H927="PER",VLOOKUP(I927,QCPER,MATCH(E927,QCACTUAL!$J$25:$AA$25,0),),IF(H927="SPK",VLOOKUP(I927,QCSPK,3,),IF(AND(H927="ATP",OR(I927="TP",I927="TDP")),VLOOKUP(E927,QCATP_P,2,),""))))))))</f>
        <v/>
      </c>
      <c r="W927" s="31" t="str">
        <f t="shared" si="104"/>
        <v>TRUE</v>
      </c>
      <c r="X927" s="31" t="str">
        <f t="shared" si="105"/>
        <v>nominal concentration</v>
      </c>
      <c r="Y927" s="10" t="s">
        <v>1040</v>
      </c>
      <c r="Z927" s="10" t="s">
        <v>910</v>
      </c>
      <c r="AL927" s="10" t="str">
        <f t="shared" si="100"/>
        <v>FALSE</v>
      </c>
      <c r="AM927" s="10" t="str">
        <f t="shared" si="100"/>
        <v>FALSE</v>
      </c>
      <c r="AN927" s="10" t="str">
        <f t="shared" si="100"/>
        <v>FALSE</v>
      </c>
      <c r="AO927" s="10" t="str">
        <f t="shared" si="101"/>
        <v>FALSE</v>
      </c>
      <c r="AP927" s="10" t="str">
        <f t="shared" si="101"/>
        <v>FALSE</v>
      </c>
      <c r="AQ927" s="10" t="b">
        <f>IF(AND(I927="TP",S927&lt;=150),VLOOKUP(AF927,TPCalibEq150!$AZ$2:$BB$55,3,),IF(AND(I927="TDP",S927&lt;=150),VLOOKUP(AF927,TPCalibEq150!$AZ$2:$BB$55,3,)))</f>
        <v>0</v>
      </c>
      <c r="AR927" s="10" t="b">
        <f>IF(AND(I927="TP",S927&lt;=300),VLOOKUP(AF927,TPCalibEq300!$AZ$2:$BB$55,3,),IF(AND(I927="TDP",S927&lt;=300),VLOOKUP(AF927,TPCalibEq300!$AZ$2:$BB$55,3,)))</f>
        <v>0</v>
      </c>
      <c r="AS927" s="10" t="b">
        <f>IF(AND(I927="TP",S927&lt;=500),VLOOKUP(AF927,TPCalibEq500!$AZ$2:$BB$56,3,),IF(AND(I927="TDP",S927&lt;=500),VLOOKUP(AF927,TPCalibEq500!$AZ$2:$BB$56,3,)))</f>
        <v>0</v>
      </c>
      <c r="AT927" s="10" t="b">
        <f>IF(AND(I927="TN",S927&lt;=2800),VLOOKUP(AF927,TNCalibEq2500!$AZ$2:$BB$56,3,),IF(AND(I927="TDN",S927&lt;=2800),VLOOKUP(AF927,TNCalibEq2500!$AZ$2:$BB$56,3,)))</f>
        <v>0</v>
      </c>
      <c r="AU927" s="10" t="b">
        <f>IF(I927="TP",VLOOKUP(AF927,TPCalibEqFull!$AZ$2:$BB$56,3),IF(I927="TDP",VLOOKUP(AF927,TPCalibEqFull!$AZ$2:$BB$56,3),IF(I927="TDN",VLOOKUP(AF927,TNCalibEqFull!$AZ$1:$BB$56,3),IF(I927="TN",VLOOKUP(AF927,TNCalibEqFull!$AZ$1:$BB$56,3),FALSE))))</f>
        <v>0</v>
      </c>
      <c r="AV927" s="10" t="str">
        <f t="shared" si="106"/>
        <v>1118 09:12:00-QAC-BLK-FIL-1-DI-ESF</v>
      </c>
    </row>
    <row r="928" spans="1:48" s="10" customFormat="1" x14ac:dyDescent="0.55000000000000004">
      <c r="A928" s="32">
        <v>44937</v>
      </c>
      <c r="B928" s="33">
        <v>0.24027777777777778</v>
      </c>
      <c r="C928" s="10" t="s">
        <v>279</v>
      </c>
      <c r="D928" s="10">
        <v>0</v>
      </c>
      <c r="E928" s="10" t="s">
        <v>190</v>
      </c>
      <c r="F928" s="10">
        <v>1</v>
      </c>
      <c r="G928" s="10" t="s">
        <v>231</v>
      </c>
      <c r="H928" s="10" t="s">
        <v>322</v>
      </c>
      <c r="I928" s="10" t="s">
        <v>285</v>
      </c>
      <c r="J928" s="10">
        <v>1</v>
      </c>
      <c r="K928" s="12">
        <v>44950</v>
      </c>
      <c r="L928" s="33">
        <v>0.46696759259259263</v>
      </c>
      <c r="M928" s="10">
        <v>1</v>
      </c>
      <c r="N928" s="10" t="s">
        <v>211</v>
      </c>
      <c r="O928" s="10">
        <v>0.37</v>
      </c>
      <c r="P928" s="10">
        <v>4.2799999999999998E-2</v>
      </c>
      <c r="Q928" s="10">
        <v>76.7</v>
      </c>
      <c r="R928" s="10" t="s">
        <v>913</v>
      </c>
      <c r="S928" s="34">
        <f t="shared" si="102"/>
        <v>76.7</v>
      </c>
      <c r="T928" s="10" t="s">
        <v>1052</v>
      </c>
      <c r="U928" s="34" t="str">
        <f t="shared" si="103"/>
        <v/>
      </c>
      <c r="V928" s="31" t="str">
        <f>IF(H928="CHK",VLOOKUP(I928,QCCHK,3,),IF(H928="GUP",VLOOKUP(E928,QCGUP,2,),IF(AND(H928="ATP",OR(I928="TN",I928="TDN",I928="TNO2-3",I928="NO2-3")),VLOOKUP(E928,QCREC_N,2,),IF(AND(H928="NIC",OR(I928="TN",I928="TDN",I928="TNO2-3",I928="NO2-3")),VLOOKUP(E928,QCNIC_N,2,),IF(AND(H928="UREA",OR(I928="TN",I928="TDN",I928="TNO2-3",I928="NO2-3")),VLOOKUP(E928,QCUREA_N,2,),IF(H928="PER",VLOOKUP(I928,QCPER,MATCH(E928,QCACTUAL!$J$25:$AA$25,0),),IF(H928="SPK",VLOOKUP(I928,QCSPK,3,),IF(AND(H928="ATP",OR(I928="TP",I928="TDP")),VLOOKUP(E928,QCATP_P,2,),""))))))))</f>
        <v/>
      </c>
      <c r="W928" s="31" t="str">
        <f t="shared" si="104"/>
        <v>TRUE</v>
      </c>
      <c r="X928" s="31" t="str">
        <f t="shared" si="105"/>
        <v/>
      </c>
      <c r="Y928" s="10" t="s">
        <v>1040</v>
      </c>
      <c r="Z928" s="10" t="s">
        <v>910</v>
      </c>
      <c r="AL928" s="10" t="str">
        <f t="shared" si="100"/>
        <v>FALSE</v>
      </c>
      <c r="AM928" s="10" t="str">
        <f t="shared" si="100"/>
        <v>FALSE</v>
      </c>
      <c r="AN928" s="10" t="str">
        <f t="shared" si="100"/>
        <v>FALSE</v>
      </c>
      <c r="AO928" s="10" t="str">
        <f t="shared" si="101"/>
        <v>FALSE</v>
      </c>
      <c r="AP928" s="10" t="str">
        <f t="shared" si="101"/>
        <v>FALSE</v>
      </c>
      <c r="AQ928" s="10" t="b">
        <f>IF(AND(I928="TP",S928&lt;=150),VLOOKUP(AF928,TPCalibEq150!$AZ$2:$BB$55,3,),IF(AND(I928="TDP",S928&lt;=150),VLOOKUP(AF928,TPCalibEq150!$AZ$2:$BB$55,3,)))</f>
        <v>0</v>
      </c>
      <c r="AR928" s="10" t="b">
        <f>IF(AND(I928="TP",S928&lt;=300),VLOOKUP(AF928,TPCalibEq300!$AZ$2:$BB$55,3,),IF(AND(I928="TDP",S928&lt;=300),VLOOKUP(AF928,TPCalibEq300!$AZ$2:$BB$55,3,)))</f>
        <v>0</v>
      </c>
      <c r="AS928" s="10" t="b">
        <f>IF(AND(I928="TP",S928&lt;=500),VLOOKUP(AF928,TPCalibEq500!$AZ$2:$BB$56,3,),IF(AND(I928="TDP",S928&lt;=500),VLOOKUP(AF928,TPCalibEq500!$AZ$2:$BB$56,3,)))</f>
        <v>0</v>
      </c>
      <c r="AT928" s="10" t="b">
        <f>IF(AND(I928="TN",S928&lt;=2800),VLOOKUP(AF928,TNCalibEq2500!$AZ$2:$BB$56,3,),IF(AND(I928="TDN",S928&lt;=2800),VLOOKUP(AF928,TNCalibEq2500!$AZ$2:$BB$56,3,)))</f>
        <v>0</v>
      </c>
      <c r="AU928" s="10" t="b">
        <f>IF(I928="TP",VLOOKUP(AF928,TPCalibEqFull!$AZ$2:$BB$56,3),IF(I928="TDP",VLOOKUP(AF928,TPCalibEqFull!$AZ$2:$BB$56,3),IF(I928="TDN",VLOOKUP(AF928,TNCalibEqFull!$AZ$1:$BB$56,3),IF(I928="TN",VLOOKUP(AF928,TNCalibEqFull!$AZ$1:$BB$56,3),FALSE))))</f>
        <v>0</v>
      </c>
      <c r="AV928" s="10" t="str">
        <f t="shared" si="106"/>
        <v>0111 05:46:00-EFK-0-C-1-SW-UKN</v>
      </c>
    </row>
    <row r="929" spans="1:48" s="10" customFormat="1" x14ac:dyDescent="0.55000000000000004">
      <c r="A929" s="32">
        <v>44937</v>
      </c>
      <c r="B929" s="33">
        <v>0.24513888888888888</v>
      </c>
      <c r="C929" s="10" t="s">
        <v>333</v>
      </c>
      <c r="D929" s="10">
        <v>0</v>
      </c>
      <c r="E929" s="10" t="s">
        <v>190</v>
      </c>
      <c r="F929" s="10">
        <v>1</v>
      </c>
      <c r="G929" s="10" t="s">
        <v>231</v>
      </c>
      <c r="H929" s="10" t="s">
        <v>322</v>
      </c>
      <c r="I929" s="10" t="s">
        <v>285</v>
      </c>
      <c r="J929" s="10">
        <v>2</v>
      </c>
      <c r="K929" s="12">
        <v>44950</v>
      </c>
      <c r="L929" s="33">
        <v>0.46778935185185189</v>
      </c>
      <c r="M929" s="10">
        <v>1</v>
      </c>
      <c r="N929" s="10" t="s">
        <v>211</v>
      </c>
      <c r="O929" s="10">
        <v>0.20599999999999999</v>
      </c>
      <c r="P929" s="10">
        <v>2.3199999999999998E-2</v>
      </c>
      <c r="Q929" s="10">
        <v>42.7</v>
      </c>
      <c r="R929" s="10" t="s">
        <v>913</v>
      </c>
      <c r="S929" s="34">
        <f t="shared" si="102"/>
        <v>42.7</v>
      </c>
      <c r="T929" s="10" t="s">
        <v>1052</v>
      </c>
      <c r="U929" s="34" t="str">
        <f t="shared" si="103"/>
        <v/>
      </c>
      <c r="V929" s="31" t="str">
        <f>IF(H929="CHK",VLOOKUP(I929,QCCHK,3,),IF(H929="GUP",VLOOKUP(E929,QCGUP,2,),IF(AND(H929="ATP",OR(I929="TN",I929="TDN",I929="TNO2-3",I929="NO2-3")),VLOOKUP(E929,QCREC_N,2,),IF(AND(H929="NIC",OR(I929="TN",I929="TDN",I929="TNO2-3",I929="NO2-3")),VLOOKUP(E929,QCNIC_N,2,),IF(AND(H929="UREA",OR(I929="TN",I929="TDN",I929="TNO2-3",I929="NO2-3")),VLOOKUP(E929,QCUREA_N,2,),IF(H929="PER",VLOOKUP(I929,QCPER,MATCH(E929,QCACTUAL!$J$25:$AA$25,0),),IF(H929="SPK",VLOOKUP(I929,QCSPK,3,),IF(AND(H929="ATP",OR(I929="TP",I929="TDP")),VLOOKUP(E929,QCATP_P,2,),""))))))))</f>
        <v/>
      </c>
      <c r="W929" s="31" t="str">
        <f t="shared" si="104"/>
        <v>TRUE</v>
      </c>
      <c r="X929" s="31" t="str">
        <f t="shared" si="105"/>
        <v/>
      </c>
      <c r="Y929" s="10" t="s">
        <v>1040</v>
      </c>
      <c r="Z929" s="10" t="s">
        <v>910</v>
      </c>
      <c r="AL929" s="10" t="str">
        <f t="shared" si="100"/>
        <v>FALSE</v>
      </c>
      <c r="AM929" s="10" t="str">
        <f t="shared" si="100"/>
        <v>FALSE</v>
      </c>
      <c r="AN929" s="10" t="str">
        <f t="shared" si="100"/>
        <v>FALSE</v>
      </c>
      <c r="AO929" s="10" t="str">
        <f t="shared" si="101"/>
        <v>FALSE</v>
      </c>
      <c r="AP929" s="10" t="str">
        <f t="shared" si="101"/>
        <v>FALSE</v>
      </c>
      <c r="AQ929" s="10" t="b">
        <f>IF(AND(I929="TP",S929&lt;=150),VLOOKUP(AF929,TPCalibEq150!$AZ$2:$BB$55,3,),IF(AND(I929="TDP",S929&lt;=150),VLOOKUP(AF929,TPCalibEq150!$AZ$2:$BB$55,3,)))</f>
        <v>0</v>
      </c>
      <c r="AR929" s="10" t="b">
        <f>IF(AND(I929="TP",S929&lt;=300),VLOOKUP(AF929,TPCalibEq300!$AZ$2:$BB$55,3,),IF(AND(I929="TDP",S929&lt;=300),VLOOKUP(AF929,TPCalibEq300!$AZ$2:$BB$55,3,)))</f>
        <v>0</v>
      </c>
      <c r="AS929" s="10" t="b">
        <f>IF(AND(I929="TP",S929&lt;=500),VLOOKUP(AF929,TPCalibEq500!$AZ$2:$BB$56,3,),IF(AND(I929="TDP",S929&lt;=500),VLOOKUP(AF929,TPCalibEq500!$AZ$2:$BB$56,3,)))</f>
        <v>0</v>
      </c>
      <c r="AT929" s="10" t="b">
        <f>IF(AND(I929="TN",S929&lt;=2800),VLOOKUP(AF929,TNCalibEq2500!$AZ$2:$BB$56,3,),IF(AND(I929="TDN",S929&lt;=2800),VLOOKUP(AF929,TNCalibEq2500!$AZ$2:$BB$56,3,)))</f>
        <v>0</v>
      </c>
      <c r="AU929" s="10" t="b">
        <f>IF(I929="TP",VLOOKUP(AF929,TPCalibEqFull!$AZ$2:$BB$56,3),IF(I929="TDP",VLOOKUP(AF929,TPCalibEqFull!$AZ$2:$BB$56,3),IF(I929="TDN",VLOOKUP(AF929,TNCalibEqFull!$AZ$1:$BB$56,3),IF(I929="TN",VLOOKUP(AF929,TNCalibEqFull!$AZ$1:$BB$56,3),FALSE))))</f>
        <v>0</v>
      </c>
      <c r="AV929" s="10" t="str">
        <f t="shared" si="106"/>
        <v>0111 05:53:00-HST-0-C-1-SW-UKN</v>
      </c>
    </row>
    <row r="930" spans="1:48" s="10" customFormat="1" x14ac:dyDescent="0.55000000000000004">
      <c r="A930" s="32">
        <v>44938</v>
      </c>
      <c r="B930" s="33">
        <v>0.43958333333333338</v>
      </c>
      <c r="C930" s="10" t="s">
        <v>279</v>
      </c>
      <c r="D930" s="10">
        <v>0</v>
      </c>
      <c r="E930" s="10" t="s">
        <v>190</v>
      </c>
      <c r="F930" s="10">
        <v>1</v>
      </c>
      <c r="G930" s="10" t="s">
        <v>231</v>
      </c>
      <c r="H930" s="10" t="s">
        <v>322</v>
      </c>
      <c r="I930" s="10" t="s">
        <v>285</v>
      </c>
      <c r="J930" s="10">
        <v>3</v>
      </c>
      <c r="K930" s="12">
        <v>44950</v>
      </c>
      <c r="L930" s="33">
        <v>0.46861111111111109</v>
      </c>
      <c r="M930" s="10">
        <v>1</v>
      </c>
      <c r="N930" s="10" t="s">
        <v>211</v>
      </c>
      <c r="O930" s="10">
        <v>0.433</v>
      </c>
      <c r="P930" s="10">
        <v>5.1299999999999998E-2</v>
      </c>
      <c r="Q930" s="10">
        <v>89.9</v>
      </c>
      <c r="R930" s="10" t="s">
        <v>913</v>
      </c>
      <c r="S930" s="34">
        <f t="shared" si="102"/>
        <v>89.9</v>
      </c>
      <c r="T930" s="10" t="s">
        <v>1052</v>
      </c>
      <c r="U930" s="34" t="str">
        <f t="shared" si="103"/>
        <v/>
      </c>
      <c r="V930" s="31" t="str">
        <f>IF(H930="CHK",VLOOKUP(I930,QCCHK,3,),IF(H930="GUP",VLOOKUP(E930,QCGUP,2,),IF(AND(H930="ATP",OR(I930="TN",I930="TDN",I930="TNO2-3",I930="NO2-3")),VLOOKUP(E930,QCREC_N,2,),IF(AND(H930="NIC",OR(I930="TN",I930="TDN",I930="TNO2-3",I930="NO2-3")),VLOOKUP(E930,QCNIC_N,2,),IF(AND(H930="UREA",OR(I930="TN",I930="TDN",I930="TNO2-3",I930="NO2-3")),VLOOKUP(E930,QCUREA_N,2,),IF(H930="PER",VLOOKUP(I930,QCPER,MATCH(E930,QCACTUAL!$J$25:$AA$25,0),),IF(H930="SPK",VLOOKUP(I930,QCSPK,3,),IF(AND(H930="ATP",OR(I930="TP",I930="TDP")),VLOOKUP(E930,QCATP_P,2,),""))))))))</f>
        <v/>
      </c>
      <c r="W930" s="31" t="str">
        <f t="shared" si="104"/>
        <v>TRUE</v>
      </c>
      <c r="X930" s="31" t="str">
        <f t="shared" si="105"/>
        <v/>
      </c>
      <c r="Y930" s="10" t="s">
        <v>1040</v>
      </c>
      <c r="Z930" s="10" t="s">
        <v>910</v>
      </c>
      <c r="AL930" s="10" t="str">
        <f t="shared" si="100"/>
        <v>FALSE</v>
      </c>
      <c r="AM930" s="10" t="str">
        <f t="shared" si="100"/>
        <v>FALSE</v>
      </c>
      <c r="AN930" s="10" t="str">
        <f t="shared" si="100"/>
        <v>FALSE</v>
      </c>
      <c r="AO930" s="10" t="str">
        <f t="shared" si="101"/>
        <v>FALSE</v>
      </c>
      <c r="AP930" s="10" t="str">
        <f t="shared" si="101"/>
        <v>FALSE</v>
      </c>
      <c r="AQ930" s="10" t="b">
        <f>IF(AND(I930="TP",S930&lt;=150),VLOOKUP(AF930,TPCalibEq150!$AZ$2:$BB$55,3,),IF(AND(I930="TDP",S930&lt;=150),VLOOKUP(AF930,TPCalibEq150!$AZ$2:$BB$55,3,)))</f>
        <v>0</v>
      </c>
      <c r="AR930" s="10" t="b">
        <f>IF(AND(I930="TP",S930&lt;=300),VLOOKUP(AF930,TPCalibEq300!$AZ$2:$BB$55,3,),IF(AND(I930="TDP",S930&lt;=300),VLOOKUP(AF930,TPCalibEq300!$AZ$2:$BB$55,3,)))</f>
        <v>0</v>
      </c>
      <c r="AS930" s="10" t="b">
        <f>IF(AND(I930="TP",S930&lt;=500),VLOOKUP(AF930,TPCalibEq500!$AZ$2:$BB$56,3,),IF(AND(I930="TDP",S930&lt;=500),VLOOKUP(AF930,TPCalibEq500!$AZ$2:$BB$56,3,)))</f>
        <v>0</v>
      </c>
      <c r="AT930" s="10" t="b">
        <f>IF(AND(I930="TN",S930&lt;=2800),VLOOKUP(AF930,TNCalibEq2500!$AZ$2:$BB$56,3,),IF(AND(I930="TDN",S930&lt;=2800),VLOOKUP(AF930,TNCalibEq2500!$AZ$2:$BB$56,3,)))</f>
        <v>0</v>
      </c>
      <c r="AU930" s="10" t="b">
        <f>IF(I930="TP",VLOOKUP(AF930,TPCalibEqFull!$AZ$2:$BB$56,3),IF(I930="TDP",VLOOKUP(AF930,TPCalibEqFull!$AZ$2:$BB$56,3),IF(I930="TDN",VLOOKUP(AF930,TNCalibEqFull!$AZ$1:$BB$56,3),IF(I930="TN",VLOOKUP(AF930,TNCalibEqFull!$AZ$1:$BB$56,3),FALSE))))</f>
        <v>0</v>
      </c>
      <c r="AV930" s="10" t="str">
        <f t="shared" si="106"/>
        <v>0112 10:33:00-EFK-0-C-1-SW-UKN</v>
      </c>
    </row>
    <row r="931" spans="1:48" s="10" customFormat="1" x14ac:dyDescent="0.55000000000000004">
      <c r="A931" s="32">
        <v>44938</v>
      </c>
      <c r="B931" s="33">
        <v>0.4548611111111111</v>
      </c>
      <c r="C931" s="10" t="s">
        <v>333</v>
      </c>
      <c r="D931" s="10">
        <v>0</v>
      </c>
      <c r="E931" s="10" t="s">
        <v>190</v>
      </c>
      <c r="F931" s="10">
        <v>1</v>
      </c>
      <c r="G931" s="10" t="s">
        <v>231</v>
      </c>
      <c r="H931" s="10" t="s">
        <v>322</v>
      </c>
      <c r="I931" s="10" t="s">
        <v>285</v>
      </c>
      <c r="J931" s="10">
        <v>4</v>
      </c>
      <c r="K931" s="12">
        <v>44950</v>
      </c>
      <c r="L931" s="33">
        <v>0.46943287037037035</v>
      </c>
      <c r="M931" s="10">
        <v>1</v>
      </c>
      <c r="N931" s="10" t="s">
        <v>211</v>
      </c>
      <c r="O931" s="10">
        <v>0.72699999999999998</v>
      </c>
      <c r="P931" s="10">
        <v>8.7599999999999997E-2</v>
      </c>
      <c r="Q931" s="10">
        <v>151</v>
      </c>
      <c r="R931" s="10" t="s">
        <v>913</v>
      </c>
      <c r="S931" s="34">
        <f t="shared" si="102"/>
        <v>151</v>
      </c>
      <c r="T931" s="10" t="s">
        <v>1052</v>
      </c>
      <c r="U931" s="34" t="str">
        <f t="shared" si="103"/>
        <v/>
      </c>
      <c r="V931" s="31" t="str">
        <f>IF(H931="CHK",VLOOKUP(I931,QCCHK,3,),IF(H931="GUP",VLOOKUP(E931,QCGUP,2,),IF(AND(H931="ATP",OR(I931="TN",I931="TDN",I931="TNO2-3",I931="NO2-3")),VLOOKUP(E931,QCREC_N,2,),IF(AND(H931="NIC",OR(I931="TN",I931="TDN",I931="TNO2-3",I931="NO2-3")),VLOOKUP(E931,QCNIC_N,2,),IF(AND(H931="UREA",OR(I931="TN",I931="TDN",I931="TNO2-3",I931="NO2-3")),VLOOKUP(E931,QCUREA_N,2,),IF(H931="PER",VLOOKUP(I931,QCPER,MATCH(E931,QCACTUAL!$J$25:$AA$25,0),),IF(H931="SPK",VLOOKUP(I931,QCSPK,3,),IF(AND(H931="ATP",OR(I931="TP",I931="TDP")),VLOOKUP(E931,QCATP_P,2,),""))))))))</f>
        <v/>
      </c>
      <c r="W931" s="31" t="str">
        <f t="shared" si="104"/>
        <v>TRUE</v>
      </c>
      <c r="X931" s="31" t="str">
        <f t="shared" si="105"/>
        <v/>
      </c>
      <c r="Y931" s="10" t="s">
        <v>1040</v>
      </c>
      <c r="Z931" s="10" t="s">
        <v>910</v>
      </c>
      <c r="AL931" s="10" t="str">
        <f t="shared" si="100"/>
        <v>FALSE</v>
      </c>
      <c r="AM931" s="10" t="str">
        <f t="shared" si="100"/>
        <v>FALSE</v>
      </c>
      <c r="AN931" s="10" t="str">
        <f t="shared" si="100"/>
        <v>FALSE</v>
      </c>
      <c r="AO931" s="10" t="str">
        <f t="shared" si="101"/>
        <v>FALSE</v>
      </c>
      <c r="AP931" s="10" t="str">
        <f t="shared" si="101"/>
        <v>FALSE</v>
      </c>
      <c r="AQ931" s="10" t="b">
        <f>IF(AND(I931="TP",S931&lt;=150),VLOOKUP(AF931,TPCalibEq150!$AZ$2:$BB$55,3,),IF(AND(I931="TDP",S931&lt;=150),VLOOKUP(AF931,TPCalibEq150!$AZ$2:$BB$55,3,)))</f>
        <v>0</v>
      </c>
      <c r="AR931" s="10" t="b">
        <f>IF(AND(I931="TP",S931&lt;=300),VLOOKUP(AF931,TPCalibEq300!$AZ$2:$BB$55,3,),IF(AND(I931="TDP",S931&lt;=300),VLOOKUP(AF931,TPCalibEq300!$AZ$2:$BB$55,3,)))</f>
        <v>0</v>
      </c>
      <c r="AS931" s="10" t="b">
        <f>IF(AND(I931="TP",S931&lt;=500),VLOOKUP(AF931,TPCalibEq500!$AZ$2:$BB$56,3,),IF(AND(I931="TDP",S931&lt;=500),VLOOKUP(AF931,TPCalibEq500!$AZ$2:$BB$56,3,)))</f>
        <v>0</v>
      </c>
      <c r="AT931" s="10" t="b">
        <f>IF(AND(I931="TN",S931&lt;=2800),VLOOKUP(AF931,TNCalibEq2500!$AZ$2:$BB$56,3,),IF(AND(I931="TDN",S931&lt;=2800),VLOOKUP(AF931,TNCalibEq2500!$AZ$2:$BB$56,3,)))</f>
        <v>0</v>
      </c>
      <c r="AU931" s="10" t="b">
        <f>IF(I931="TP",VLOOKUP(AF931,TPCalibEqFull!$AZ$2:$BB$56,3),IF(I931="TDP",VLOOKUP(AF931,TPCalibEqFull!$AZ$2:$BB$56,3),IF(I931="TDN",VLOOKUP(AF931,TNCalibEqFull!$AZ$1:$BB$56,3),IF(I931="TN",VLOOKUP(AF931,TNCalibEqFull!$AZ$1:$BB$56,3),FALSE))))</f>
        <v>0</v>
      </c>
      <c r="AV931" s="10" t="str">
        <f t="shared" si="106"/>
        <v>0112 10:55:00-HST-0-C-1-SW-UKN</v>
      </c>
    </row>
    <row r="932" spans="1:48" s="10" customFormat="1" x14ac:dyDescent="0.55000000000000004">
      <c r="A932" s="32">
        <v>44939</v>
      </c>
      <c r="B932" s="33">
        <v>0.4916666666666667</v>
      </c>
      <c r="C932" s="10" t="s">
        <v>279</v>
      </c>
      <c r="D932" s="10">
        <v>0</v>
      </c>
      <c r="E932" s="10" t="s">
        <v>190</v>
      </c>
      <c r="F932" s="10">
        <v>1</v>
      </c>
      <c r="G932" s="10" t="s">
        <v>231</v>
      </c>
      <c r="H932" s="10" t="s">
        <v>322</v>
      </c>
      <c r="I932" s="10" t="s">
        <v>285</v>
      </c>
      <c r="J932" s="10">
        <v>5</v>
      </c>
      <c r="K932" s="12">
        <v>44950</v>
      </c>
      <c r="L932" s="33">
        <v>0.47025462962962966</v>
      </c>
      <c r="M932" s="10">
        <v>1</v>
      </c>
      <c r="N932" s="10" t="s">
        <v>211</v>
      </c>
      <c r="O932" s="10">
        <v>0.71099999999999997</v>
      </c>
      <c r="P932" s="10">
        <v>8.4400000000000003E-2</v>
      </c>
      <c r="Q932" s="10">
        <v>148</v>
      </c>
      <c r="R932" s="10" t="s">
        <v>913</v>
      </c>
      <c r="S932" s="34">
        <f t="shared" si="102"/>
        <v>148</v>
      </c>
      <c r="T932" s="10" t="s">
        <v>1052</v>
      </c>
      <c r="U932" s="34" t="str">
        <f t="shared" si="103"/>
        <v/>
      </c>
      <c r="V932" s="31" t="str">
        <f>IF(H932="CHK",VLOOKUP(I932,QCCHK,3,),IF(H932="GUP",VLOOKUP(E932,QCGUP,2,),IF(AND(H932="ATP",OR(I932="TN",I932="TDN",I932="TNO2-3",I932="NO2-3")),VLOOKUP(E932,QCREC_N,2,),IF(AND(H932="NIC",OR(I932="TN",I932="TDN",I932="TNO2-3",I932="NO2-3")),VLOOKUP(E932,QCNIC_N,2,),IF(AND(H932="UREA",OR(I932="TN",I932="TDN",I932="TNO2-3",I932="NO2-3")),VLOOKUP(E932,QCUREA_N,2,),IF(H932="PER",VLOOKUP(I932,QCPER,MATCH(E932,QCACTUAL!$J$25:$AA$25,0),),IF(H932="SPK",VLOOKUP(I932,QCSPK,3,),IF(AND(H932="ATP",OR(I932="TP",I932="TDP")),VLOOKUP(E932,QCATP_P,2,),""))))))))</f>
        <v/>
      </c>
      <c r="W932" s="31" t="str">
        <f t="shared" si="104"/>
        <v>TRUE</v>
      </c>
      <c r="X932" s="31" t="str">
        <f t="shared" si="105"/>
        <v/>
      </c>
      <c r="Y932" s="10" t="s">
        <v>1040</v>
      </c>
      <c r="Z932" s="10" t="s">
        <v>910</v>
      </c>
      <c r="AL932" s="10" t="str">
        <f t="shared" si="100"/>
        <v>FALSE</v>
      </c>
      <c r="AM932" s="10" t="str">
        <f t="shared" si="100"/>
        <v>FALSE</v>
      </c>
      <c r="AN932" s="10" t="str">
        <f t="shared" si="100"/>
        <v>FALSE</v>
      </c>
      <c r="AO932" s="10" t="str">
        <f t="shared" si="101"/>
        <v>FALSE</v>
      </c>
      <c r="AP932" s="10" t="str">
        <f t="shared" si="101"/>
        <v>FALSE</v>
      </c>
      <c r="AQ932" s="10" t="b">
        <f>IF(AND(I932="TP",S932&lt;=150),VLOOKUP(AF932,TPCalibEq150!$AZ$2:$BB$55,3,),IF(AND(I932="TDP",S932&lt;=150),VLOOKUP(AF932,TPCalibEq150!$AZ$2:$BB$55,3,)))</f>
        <v>0</v>
      </c>
      <c r="AR932" s="10" t="b">
        <f>IF(AND(I932="TP",S932&lt;=300),VLOOKUP(AF932,TPCalibEq300!$AZ$2:$BB$55,3,),IF(AND(I932="TDP",S932&lt;=300),VLOOKUP(AF932,TPCalibEq300!$AZ$2:$BB$55,3,)))</f>
        <v>0</v>
      </c>
      <c r="AS932" s="10" t="b">
        <f>IF(AND(I932="TP",S932&lt;=500),VLOOKUP(AF932,TPCalibEq500!$AZ$2:$BB$56,3,),IF(AND(I932="TDP",S932&lt;=500),VLOOKUP(AF932,TPCalibEq500!$AZ$2:$BB$56,3,)))</f>
        <v>0</v>
      </c>
      <c r="AT932" s="10" t="b">
        <f>IF(AND(I932="TN",S932&lt;=2800),VLOOKUP(AF932,TNCalibEq2500!$AZ$2:$BB$56,3,),IF(AND(I932="TDN",S932&lt;=2800),VLOOKUP(AF932,TNCalibEq2500!$AZ$2:$BB$56,3,)))</f>
        <v>0</v>
      </c>
      <c r="AU932" s="10" t="b">
        <f>IF(I932="TP",VLOOKUP(AF932,TPCalibEqFull!$AZ$2:$BB$56,3),IF(I932="TDP",VLOOKUP(AF932,TPCalibEqFull!$AZ$2:$BB$56,3),IF(I932="TDN",VLOOKUP(AF932,TNCalibEqFull!$AZ$1:$BB$56,3),IF(I932="TN",VLOOKUP(AF932,TNCalibEqFull!$AZ$1:$BB$56,3),FALSE))))</f>
        <v>0</v>
      </c>
      <c r="AV932" s="10" t="str">
        <f t="shared" si="106"/>
        <v>0113 11:48:00-EFK-0-C-1-SW-UKN</v>
      </c>
    </row>
    <row r="933" spans="1:48" s="10" customFormat="1" x14ac:dyDescent="0.55000000000000004">
      <c r="A933" s="32">
        <v>44939</v>
      </c>
      <c r="B933" s="33">
        <v>0.49444444444444446</v>
      </c>
      <c r="C933" s="10" t="s">
        <v>333</v>
      </c>
      <c r="D933" s="10">
        <v>0</v>
      </c>
      <c r="E933" s="10" t="s">
        <v>190</v>
      </c>
      <c r="F933" s="10">
        <v>1</v>
      </c>
      <c r="G933" s="10" t="s">
        <v>231</v>
      </c>
      <c r="H933" s="10" t="s">
        <v>322</v>
      </c>
      <c r="I933" s="10" t="s">
        <v>285</v>
      </c>
      <c r="J933" s="10">
        <v>6</v>
      </c>
      <c r="K933" s="12">
        <v>44950</v>
      </c>
      <c r="L933" s="33">
        <v>0.47107638888888892</v>
      </c>
      <c r="M933" s="10">
        <v>1</v>
      </c>
      <c r="N933" s="10" t="s">
        <v>211</v>
      </c>
      <c r="O933" s="10">
        <v>0.50800000000000001</v>
      </c>
      <c r="P933" s="10">
        <v>5.96E-2</v>
      </c>
      <c r="Q933" s="10">
        <v>105</v>
      </c>
      <c r="R933" s="10" t="s">
        <v>913</v>
      </c>
      <c r="S933" s="34">
        <f t="shared" si="102"/>
        <v>105</v>
      </c>
      <c r="T933" s="10" t="s">
        <v>1052</v>
      </c>
      <c r="U933" s="34" t="str">
        <f t="shared" si="103"/>
        <v/>
      </c>
      <c r="V933" s="31" t="str">
        <f>IF(H933="CHK",VLOOKUP(I933,QCCHK,3,),IF(H933="GUP",VLOOKUP(E933,QCGUP,2,),IF(AND(H933="ATP",OR(I933="TN",I933="TDN",I933="TNO2-3",I933="NO2-3")),VLOOKUP(E933,QCREC_N,2,),IF(AND(H933="NIC",OR(I933="TN",I933="TDN",I933="TNO2-3",I933="NO2-3")),VLOOKUP(E933,QCNIC_N,2,),IF(AND(H933="UREA",OR(I933="TN",I933="TDN",I933="TNO2-3",I933="NO2-3")),VLOOKUP(E933,QCUREA_N,2,),IF(H933="PER",VLOOKUP(I933,QCPER,MATCH(E933,QCACTUAL!$J$25:$AA$25,0),),IF(H933="SPK",VLOOKUP(I933,QCSPK,3,),IF(AND(H933="ATP",OR(I933="TP",I933="TDP")),VLOOKUP(E933,QCATP_P,2,),""))))))))</f>
        <v/>
      </c>
      <c r="W933" s="31" t="str">
        <f t="shared" si="104"/>
        <v>TRUE</v>
      </c>
      <c r="X933" s="31" t="str">
        <f t="shared" si="105"/>
        <v/>
      </c>
      <c r="Y933" s="10" t="s">
        <v>1040</v>
      </c>
      <c r="Z933" s="10" t="s">
        <v>910</v>
      </c>
      <c r="AL933" s="10" t="str">
        <f t="shared" si="100"/>
        <v>FALSE</v>
      </c>
      <c r="AM933" s="10" t="str">
        <f t="shared" si="100"/>
        <v>FALSE</v>
      </c>
      <c r="AN933" s="10" t="str">
        <f t="shared" si="100"/>
        <v>FALSE</v>
      </c>
      <c r="AO933" s="10" t="str">
        <f t="shared" si="101"/>
        <v>FALSE</v>
      </c>
      <c r="AP933" s="10" t="str">
        <f t="shared" si="101"/>
        <v>FALSE</v>
      </c>
      <c r="AQ933" s="10" t="b">
        <f>IF(AND(I933="TP",S933&lt;=150),VLOOKUP(AF933,TPCalibEq150!$AZ$2:$BB$55,3,),IF(AND(I933="TDP",S933&lt;=150),VLOOKUP(AF933,TPCalibEq150!$AZ$2:$BB$55,3,)))</f>
        <v>0</v>
      </c>
      <c r="AR933" s="10" t="b">
        <f>IF(AND(I933="TP",S933&lt;=300),VLOOKUP(AF933,TPCalibEq300!$AZ$2:$BB$55,3,),IF(AND(I933="TDP",S933&lt;=300),VLOOKUP(AF933,TPCalibEq300!$AZ$2:$BB$55,3,)))</f>
        <v>0</v>
      </c>
      <c r="AS933" s="10" t="b">
        <f>IF(AND(I933="TP",S933&lt;=500),VLOOKUP(AF933,TPCalibEq500!$AZ$2:$BB$56,3,),IF(AND(I933="TDP",S933&lt;=500),VLOOKUP(AF933,TPCalibEq500!$AZ$2:$BB$56,3,)))</f>
        <v>0</v>
      </c>
      <c r="AT933" s="10" t="b">
        <f>IF(AND(I933="TN",S933&lt;=2800),VLOOKUP(AF933,TNCalibEq2500!$AZ$2:$BB$56,3,),IF(AND(I933="TDN",S933&lt;=2800),VLOOKUP(AF933,TNCalibEq2500!$AZ$2:$BB$56,3,)))</f>
        <v>0</v>
      </c>
      <c r="AU933" s="10" t="b">
        <f>IF(I933="TP",VLOOKUP(AF933,TPCalibEqFull!$AZ$2:$BB$56,3),IF(I933="TDP",VLOOKUP(AF933,TPCalibEqFull!$AZ$2:$BB$56,3),IF(I933="TDN",VLOOKUP(AF933,TNCalibEqFull!$AZ$1:$BB$56,3),IF(I933="TN",VLOOKUP(AF933,TNCalibEqFull!$AZ$1:$BB$56,3),FALSE))))</f>
        <v>0</v>
      </c>
      <c r="AV933" s="10" t="str">
        <f t="shared" si="106"/>
        <v>0113 11:52:00-HST-0-C-1-SW-UKN</v>
      </c>
    </row>
    <row r="934" spans="1:48" s="10" customFormat="1" x14ac:dyDescent="0.55000000000000004">
      <c r="A934" s="32">
        <v>44943</v>
      </c>
      <c r="B934" s="33">
        <v>0.32291666666666669</v>
      </c>
      <c r="C934" s="10" t="s">
        <v>279</v>
      </c>
      <c r="D934" s="10">
        <v>0</v>
      </c>
      <c r="E934" s="10" t="s">
        <v>190</v>
      </c>
      <c r="F934" s="10">
        <v>1</v>
      </c>
      <c r="G934" s="10" t="s">
        <v>231</v>
      </c>
      <c r="H934" s="10" t="s">
        <v>322</v>
      </c>
      <c r="I934" s="10" t="s">
        <v>285</v>
      </c>
      <c r="J934" s="10">
        <v>7</v>
      </c>
      <c r="K934" s="12">
        <v>44950</v>
      </c>
      <c r="L934" s="33">
        <v>0.47188657407407408</v>
      </c>
      <c r="M934" s="10">
        <v>1</v>
      </c>
      <c r="N934" s="10" t="s">
        <v>211</v>
      </c>
      <c r="O934" s="10">
        <v>0.46300000000000002</v>
      </c>
      <c r="P934" s="10">
        <v>5.4699999999999999E-2</v>
      </c>
      <c r="Q934" s="10">
        <v>96.1</v>
      </c>
      <c r="R934" s="10" t="s">
        <v>913</v>
      </c>
      <c r="S934" s="34">
        <f t="shared" si="102"/>
        <v>96.1</v>
      </c>
      <c r="T934" s="10" t="s">
        <v>1052</v>
      </c>
      <c r="U934" s="34" t="str">
        <f t="shared" si="103"/>
        <v/>
      </c>
      <c r="V934" s="31" t="str">
        <f>IF(H934="CHK",VLOOKUP(I934,QCCHK,3,),IF(H934="GUP",VLOOKUP(E934,QCGUP,2,),IF(AND(H934="ATP",OR(I934="TN",I934="TDN",I934="TNO2-3",I934="NO2-3")),VLOOKUP(E934,QCREC_N,2,),IF(AND(H934="NIC",OR(I934="TN",I934="TDN",I934="TNO2-3",I934="NO2-3")),VLOOKUP(E934,QCNIC_N,2,),IF(AND(H934="UREA",OR(I934="TN",I934="TDN",I934="TNO2-3",I934="NO2-3")),VLOOKUP(E934,QCUREA_N,2,),IF(H934="PER",VLOOKUP(I934,QCPER,MATCH(E934,QCACTUAL!$J$25:$AA$25,0),),IF(H934="SPK",VLOOKUP(I934,QCSPK,3,),IF(AND(H934="ATP",OR(I934="TP",I934="TDP")),VLOOKUP(E934,QCATP_P,2,),""))))))))</f>
        <v/>
      </c>
      <c r="W934" s="31" t="str">
        <f t="shared" si="104"/>
        <v>TRUE</v>
      </c>
      <c r="X934" s="31" t="str">
        <f t="shared" si="105"/>
        <v/>
      </c>
      <c r="Y934" s="10" t="s">
        <v>1040</v>
      </c>
      <c r="Z934" s="10" t="s">
        <v>910</v>
      </c>
      <c r="AL934" s="10" t="str">
        <f t="shared" si="100"/>
        <v>FALSE</v>
      </c>
      <c r="AM934" s="10" t="str">
        <f t="shared" si="100"/>
        <v>FALSE</v>
      </c>
      <c r="AN934" s="10" t="str">
        <f t="shared" si="100"/>
        <v>FALSE</v>
      </c>
      <c r="AO934" s="10" t="str">
        <f t="shared" si="101"/>
        <v>FALSE</v>
      </c>
      <c r="AP934" s="10" t="str">
        <f t="shared" si="101"/>
        <v>FALSE</v>
      </c>
      <c r="AQ934" s="10" t="b">
        <f>IF(AND(I934="TP",S934&lt;=150),VLOOKUP(AF934,TPCalibEq150!$AZ$2:$BB$55,3,),IF(AND(I934="TDP",S934&lt;=150),VLOOKUP(AF934,TPCalibEq150!$AZ$2:$BB$55,3,)))</f>
        <v>0</v>
      </c>
      <c r="AR934" s="10" t="b">
        <f>IF(AND(I934="TP",S934&lt;=300),VLOOKUP(AF934,TPCalibEq300!$AZ$2:$BB$55,3,),IF(AND(I934="TDP",S934&lt;=300),VLOOKUP(AF934,TPCalibEq300!$AZ$2:$BB$55,3,)))</f>
        <v>0</v>
      </c>
      <c r="AS934" s="10" t="b">
        <f>IF(AND(I934="TP",S934&lt;=500),VLOOKUP(AF934,TPCalibEq500!$AZ$2:$BB$56,3,),IF(AND(I934="TDP",S934&lt;=500),VLOOKUP(AF934,TPCalibEq500!$AZ$2:$BB$56,3,)))</f>
        <v>0</v>
      </c>
      <c r="AT934" s="10" t="b">
        <f>IF(AND(I934="TN",S934&lt;=2800),VLOOKUP(AF934,TNCalibEq2500!$AZ$2:$BB$56,3,),IF(AND(I934="TDN",S934&lt;=2800),VLOOKUP(AF934,TNCalibEq2500!$AZ$2:$BB$56,3,)))</f>
        <v>0</v>
      </c>
      <c r="AU934" s="10" t="b">
        <f>IF(I934="TP",VLOOKUP(AF934,TPCalibEqFull!$AZ$2:$BB$56,3),IF(I934="TDP",VLOOKUP(AF934,TPCalibEqFull!$AZ$2:$BB$56,3),IF(I934="TDN",VLOOKUP(AF934,TNCalibEqFull!$AZ$1:$BB$56,3),IF(I934="TN",VLOOKUP(AF934,TNCalibEqFull!$AZ$1:$BB$56,3),FALSE))))</f>
        <v>0</v>
      </c>
      <c r="AV934" s="10" t="str">
        <f t="shared" si="106"/>
        <v>0117 07:45:00-EFK-0-C-1-SW-UKN</v>
      </c>
    </row>
    <row r="935" spans="1:48" s="10" customFormat="1" x14ac:dyDescent="0.55000000000000004">
      <c r="A935" s="32">
        <v>44943</v>
      </c>
      <c r="B935" s="33">
        <v>0.32083333333333336</v>
      </c>
      <c r="C935" s="10" t="s">
        <v>333</v>
      </c>
      <c r="D935" s="10">
        <v>0</v>
      </c>
      <c r="E935" s="10" t="s">
        <v>190</v>
      </c>
      <c r="F935" s="10">
        <v>1</v>
      </c>
      <c r="G935" s="10" t="s">
        <v>231</v>
      </c>
      <c r="H935" s="10" t="s">
        <v>322</v>
      </c>
      <c r="I935" s="10" t="s">
        <v>285</v>
      </c>
      <c r="J935" s="10">
        <v>8</v>
      </c>
      <c r="K935" s="12">
        <v>44950</v>
      </c>
      <c r="L935" s="33">
        <v>0.47270833333333334</v>
      </c>
      <c r="M935" s="10">
        <v>1</v>
      </c>
      <c r="N935" s="10" t="s">
        <v>211</v>
      </c>
      <c r="O935" s="10">
        <v>0.27300000000000002</v>
      </c>
      <c r="P935" s="10">
        <v>3.1099999999999999E-2</v>
      </c>
      <c r="Q935" s="10">
        <v>56.7</v>
      </c>
      <c r="R935" s="10" t="s">
        <v>913</v>
      </c>
      <c r="S935" s="34">
        <f t="shared" si="102"/>
        <v>56.7</v>
      </c>
      <c r="T935" s="10" t="s">
        <v>1052</v>
      </c>
      <c r="U935" s="34" t="str">
        <f t="shared" si="103"/>
        <v/>
      </c>
      <c r="V935" s="31" t="str">
        <f>IF(H935="CHK",VLOOKUP(I935,QCCHK,3,),IF(H935="GUP",VLOOKUP(E935,QCGUP,2,),IF(AND(H935="ATP",OR(I935="TN",I935="TDN",I935="TNO2-3",I935="NO2-3")),VLOOKUP(E935,QCREC_N,2,),IF(AND(H935="NIC",OR(I935="TN",I935="TDN",I935="TNO2-3",I935="NO2-3")),VLOOKUP(E935,QCNIC_N,2,),IF(AND(H935="UREA",OR(I935="TN",I935="TDN",I935="TNO2-3",I935="NO2-3")),VLOOKUP(E935,QCUREA_N,2,),IF(H935="PER",VLOOKUP(I935,QCPER,MATCH(E935,QCACTUAL!$J$25:$AA$25,0),),IF(H935="SPK",VLOOKUP(I935,QCSPK,3,),IF(AND(H935="ATP",OR(I935="TP",I935="TDP")),VLOOKUP(E935,QCATP_P,2,),""))))))))</f>
        <v/>
      </c>
      <c r="W935" s="31" t="str">
        <f t="shared" si="104"/>
        <v>TRUE</v>
      </c>
      <c r="X935" s="31" t="str">
        <f t="shared" si="105"/>
        <v/>
      </c>
      <c r="Y935" s="10" t="s">
        <v>1040</v>
      </c>
      <c r="Z935" s="10" t="s">
        <v>910</v>
      </c>
      <c r="AL935" s="10" t="str">
        <f t="shared" si="100"/>
        <v>FALSE</v>
      </c>
      <c r="AM935" s="10" t="str">
        <f t="shared" si="100"/>
        <v>FALSE</v>
      </c>
      <c r="AN935" s="10" t="str">
        <f t="shared" si="100"/>
        <v>FALSE</v>
      </c>
      <c r="AO935" s="10" t="str">
        <f t="shared" si="101"/>
        <v>FALSE</v>
      </c>
      <c r="AP935" s="10" t="str">
        <f t="shared" si="101"/>
        <v>FALSE</v>
      </c>
      <c r="AQ935" s="10" t="b">
        <f>IF(AND(I935="TP",S935&lt;=150),VLOOKUP(AF935,TPCalibEq150!$AZ$2:$BB$55,3,),IF(AND(I935="TDP",S935&lt;=150),VLOOKUP(AF935,TPCalibEq150!$AZ$2:$BB$55,3,)))</f>
        <v>0</v>
      </c>
      <c r="AR935" s="10" t="b">
        <f>IF(AND(I935="TP",S935&lt;=300),VLOOKUP(AF935,TPCalibEq300!$AZ$2:$BB$55,3,),IF(AND(I935="TDP",S935&lt;=300),VLOOKUP(AF935,TPCalibEq300!$AZ$2:$BB$55,3,)))</f>
        <v>0</v>
      </c>
      <c r="AS935" s="10" t="b">
        <f>IF(AND(I935="TP",S935&lt;=500),VLOOKUP(AF935,TPCalibEq500!$AZ$2:$BB$56,3,),IF(AND(I935="TDP",S935&lt;=500),VLOOKUP(AF935,TPCalibEq500!$AZ$2:$BB$56,3,)))</f>
        <v>0</v>
      </c>
      <c r="AT935" s="10" t="b">
        <f>IF(AND(I935="TN",S935&lt;=2800),VLOOKUP(AF935,TNCalibEq2500!$AZ$2:$BB$56,3,),IF(AND(I935="TDN",S935&lt;=2800),VLOOKUP(AF935,TNCalibEq2500!$AZ$2:$BB$56,3,)))</f>
        <v>0</v>
      </c>
      <c r="AU935" s="10" t="b">
        <f>IF(I935="TP",VLOOKUP(AF935,TPCalibEqFull!$AZ$2:$BB$56,3),IF(I935="TDP",VLOOKUP(AF935,TPCalibEqFull!$AZ$2:$BB$56,3),IF(I935="TDN",VLOOKUP(AF935,TNCalibEqFull!$AZ$1:$BB$56,3),IF(I935="TN",VLOOKUP(AF935,TNCalibEqFull!$AZ$1:$BB$56,3),FALSE))))</f>
        <v>0</v>
      </c>
      <c r="AV935" s="10" t="str">
        <f t="shared" si="106"/>
        <v>0117 07:42:00-HST-0-C-1-SW-UKN</v>
      </c>
    </row>
    <row r="936" spans="1:48" s="10" customFormat="1" x14ac:dyDescent="0.55000000000000004">
      <c r="A936" s="32">
        <v>44944</v>
      </c>
      <c r="B936" s="33">
        <v>0.36249999999999999</v>
      </c>
      <c r="C936" s="10" t="s">
        <v>279</v>
      </c>
      <c r="D936" s="10">
        <v>0</v>
      </c>
      <c r="E936" s="10" t="s">
        <v>190</v>
      </c>
      <c r="F936" s="10">
        <v>1</v>
      </c>
      <c r="G936" s="10" t="s">
        <v>231</v>
      </c>
      <c r="H936" s="10" t="s">
        <v>322</v>
      </c>
      <c r="I936" s="10" t="s">
        <v>285</v>
      </c>
      <c r="J936" s="10">
        <v>9</v>
      </c>
      <c r="K936" s="12">
        <v>44950</v>
      </c>
      <c r="L936" s="33">
        <v>0.47351851851851851</v>
      </c>
      <c r="M936" s="10">
        <v>1</v>
      </c>
      <c r="N936" s="10" t="s">
        <v>211</v>
      </c>
      <c r="O936" s="10">
        <v>0.42199999999999999</v>
      </c>
      <c r="P936" s="10">
        <v>0.05</v>
      </c>
      <c r="Q936" s="10">
        <v>87.6</v>
      </c>
      <c r="R936" s="10" t="s">
        <v>913</v>
      </c>
      <c r="S936" s="34">
        <f t="shared" si="102"/>
        <v>87.6</v>
      </c>
      <c r="T936" s="10" t="s">
        <v>1052</v>
      </c>
      <c r="U936" s="34" t="str">
        <f t="shared" si="103"/>
        <v/>
      </c>
      <c r="V936" s="31" t="str">
        <f>IF(H936="CHK",VLOOKUP(I936,QCCHK,3,),IF(H936="GUP",VLOOKUP(E936,QCGUP,2,),IF(AND(H936="ATP",OR(I936="TN",I936="TDN",I936="TNO2-3",I936="NO2-3")),VLOOKUP(E936,QCREC_N,2,),IF(AND(H936="NIC",OR(I936="TN",I936="TDN",I936="TNO2-3",I936="NO2-3")),VLOOKUP(E936,QCNIC_N,2,),IF(AND(H936="UREA",OR(I936="TN",I936="TDN",I936="TNO2-3",I936="NO2-3")),VLOOKUP(E936,QCUREA_N,2,),IF(H936="PER",VLOOKUP(I936,QCPER,MATCH(E936,QCACTUAL!$J$25:$AA$25,0),),IF(H936="SPK",VLOOKUP(I936,QCSPK,3,),IF(AND(H936="ATP",OR(I936="TP",I936="TDP")),VLOOKUP(E936,QCATP_P,2,),""))))))))</f>
        <v/>
      </c>
      <c r="W936" s="31" t="str">
        <f t="shared" si="104"/>
        <v>TRUE</v>
      </c>
      <c r="X936" s="31" t="str">
        <f t="shared" si="105"/>
        <v/>
      </c>
      <c r="Y936" s="10" t="s">
        <v>1040</v>
      </c>
      <c r="Z936" s="10" t="s">
        <v>910</v>
      </c>
      <c r="AL936" s="10" t="str">
        <f t="shared" si="100"/>
        <v>FALSE</v>
      </c>
      <c r="AM936" s="10" t="str">
        <f t="shared" si="100"/>
        <v>FALSE</v>
      </c>
      <c r="AN936" s="10" t="str">
        <f t="shared" si="100"/>
        <v>FALSE</v>
      </c>
      <c r="AO936" s="10" t="str">
        <f t="shared" si="101"/>
        <v>FALSE</v>
      </c>
      <c r="AP936" s="10" t="str">
        <f t="shared" si="101"/>
        <v>FALSE</v>
      </c>
      <c r="AQ936" s="10" t="b">
        <f>IF(AND(I936="TP",S936&lt;=150),VLOOKUP(AF936,TPCalibEq150!$AZ$2:$BB$55,3,),IF(AND(I936="TDP",S936&lt;=150),VLOOKUP(AF936,TPCalibEq150!$AZ$2:$BB$55,3,)))</f>
        <v>0</v>
      </c>
      <c r="AR936" s="10" t="b">
        <f>IF(AND(I936="TP",S936&lt;=300),VLOOKUP(AF936,TPCalibEq300!$AZ$2:$BB$55,3,),IF(AND(I936="TDP",S936&lt;=300),VLOOKUP(AF936,TPCalibEq300!$AZ$2:$BB$55,3,)))</f>
        <v>0</v>
      </c>
      <c r="AS936" s="10" t="b">
        <f>IF(AND(I936="TP",S936&lt;=500),VLOOKUP(AF936,TPCalibEq500!$AZ$2:$BB$56,3,),IF(AND(I936="TDP",S936&lt;=500),VLOOKUP(AF936,TPCalibEq500!$AZ$2:$BB$56,3,)))</f>
        <v>0</v>
      </c>
      <c r="AT936" s="10" t="b">
        <f>IF(AND(I936="TN",S936&lt;=2800),VLOOKUP(AF936,TNCalibEq2500!$AZ$2:$BB$56,3,),IF(AND(I936="TDN",S936&lt;=2800),VLOOKUP(AF936,TNCalibEq2500!$AZ$2:$BB$56,3,)))</f>
        <v>0</v>
      </c>
      <c r="AU936" s="10" t="b">
        <f>IF(I936="TP",VLOOKUP(AF936,TPCalibEqFull!$AZ$2:$BB$56,3),IF(I936="TDP",VLOOKUP(AF936,TPCalibEqFull!$AZ$2:$BB$56,3),IF(I936="TDN",VLOOKUP(AF936,TNCalibEqFull!$AZ$1:$BB$56,3),IF(I936="TN",VLOOKUP(AF936,TNCalibEqFull!$AZ$1:$BB$56,3),FALSE))))</f>
        <v>0</v>
      </c>
      <c r="AV936" s="10" t="str">
        <f t="shared" si="106"/>
        <v>0118 08:42:00-EFK-0-C-1-SW-UKN</v>
      </c>
    </row>
    <row r="937" spans="1:48" s="10" customFormat="1" x14ac:dyDescent="0.55000000000000004">
      <c r="A937" s="32">
        <v>44944</v>
      </c>
      <c r="B937" s="33">
        <v>0.36805555555555558</v>
      </c>
      <c r="C937" s="10" t="s">
        <v>333</v>
      </c>
      <c r="D937" s="10">
        <v>0</v>
      </c>
      <c r="E937" s="10" t="s">
        <v>190</v>
      </c>
      <c r="F937" s="10">
        <v>1</v>
      </c>
      <c r="G937" s="10" t="s">
        <v>231</v>
      </c>
      <c r="H937" s="10" t="s">
        <v>322</v>
      </c>
      <c r="I937" s="10" t="s">
        <v>285</v>
      </c>
      <c r="J937" s="10">
        <v>10</v>
      </c>
      <c r="K937" s="12">
        <v>44950</v>
      </c>
      <c r="L937" s="33">
        <v>0.47432870370370367</v>
      </c>
      <c r="M937" s="10">
        <v>1</v>
      </c>
      <c r="N937" s="10" t="s">
        <v>211</v>
      </c>
      <c r="O937" s="10">
        <v>0.23899999999999999</v>
      </c>
      <c r="P937" s="10">
        <v>2.7199999999999998E-2</v>
      </c>
      <c r="Q937" s="10">
        <v>49.6</v>
      </c>
      <c r="R937" s="10" t="s">
        <v>913</v>
      </c>
      <c r="S937" s="34">
        <f t="shared" si="102"/>
        <v>49.6</v>
      </c>
      <c r="T937" s="10" t="s">
        <v>1052</v>
      </c>
      <c r="U937" s="34" t="str">
        <f t="shared" si="103"/>
        <v/>
      </c>
      <c r="V937" s="31" t="str">
        <f>IF(H937="CHK",VLOOKUP(I937,QCCHK,3,),IF(H937="GUP",VLOOKUP(E937,QCGUP,2,),IF(AND(H937="ATP",OR(I937="TN",I937="TDN",I937="TNO2-3",I937="NO2-3")),VLOOKUP(E937,QCREC_N,2,),IF(AND(H937="NIC",OR(I937="TN",I937="TDN",I937="TNO2-3",I937="NO2-3")),VLOOKUP(E937,QCNIC_N,2,),IF(AND(H937="UREA",OR(I937="TN",I937="TDN",I937="TNO2-3",I937="NO2-3")),VLOOKUP(E937,QCUREA_N,2,),IF(H937="PER",VLOOKUP(I937,QCPER,MATCH(E937,QCACTUAL!$J$25:$AA$25,0),),IF(H937="SPK",VLOOKUP(I937,QCSPK,3,),IF(AND(H937="ATP",OR(I937="TP",I937="TDP")),VLOOKUP(E937,QCATP_P,2,),""))))))))</f>
        <v/>
      </c>
      <c r="W937" s="31" t="str">
        <f t="shared" si="104"/>
        <v>TRUE</v>
      </c>
      <c r="X937" s="31" t="str">
        <f t="shared" si="105"/>
        <v/>
      </c>
      <c r="Y937" s="10" t="s">
        <v>1040</v>
      </c>
      <c r="Z937" s="10" t="s">
        <v>910</v>
      </c>
      <c r="AL937" s="10" t="str">
        <f t="shared" si="100"/>
        <v>FALSE</v>
      </c>
      <c r="AM937" s="10" t="str">
        <f t="shared" si="100"/>
        <v>FALSE</v>
      </c>
      <c r="AN937" s="10" t="str">
        <f t="shared" si="100"/>
        <v>FALSE</v>
      </c>
      <c r="AO937" s="10" t="str">
        <f t="shared" si="101"/>
        <v>FALSE</v>
      </c>
      <c r="AP937" s="10" t="str">
        <f t="shared" si="101"/>
        <v>FALSE</v>
      </c>
      <c r="AQ937" s="10" t="b">
        <f>IF(AND(I937="TP",S937&lt;=150),VLOOKUP(AF937,TPCalibEq150!$AZ$2:$BB$55,3,),IF(AND(I937="TDP",S937&lt;=150),VLOOKUP(AF937,TPCalibEq150!$AZ$2:$BB$55,3,)))</f>
        <v>0</v>
      </c>
      <c r="AR937" s="10" t="b">
        <f>IF(AND(I937="TP",S937&lt;=300),VLOOKUP(AF937,TPCalibEq300!$AZ$2:$BB$55,3,),IF(AND(I937="TDP",S937&lt;=300),VLOOKUP(AF937,TPCalibEq300!$AZ$2:$BB$55,3,)))</f>
        <v>0</v>
      </c>
      <c r="AS937" s="10" t="b">
        <f>IF(AND(I937="TP",S937&lt;=500),VLOOKUP(AF937,TPCalibEq500!$AZ$2:$BB$56,3,),IF(AND(I937="TDP",S937&lt;=500),VLOOKUP(AF937,TPCalibEq500!$AZ$2:$BB$56,3,)))</f>
        <v>0</v>
      </c>
      <c r="AT937" s="10" t="b">
        <f>IF(AND(I937="TN",S937&lt;=2800),VLOOKUP(AF937,TNCalibEq2500!$AZ$2:$BB$56,3,),IF(AND(I937="TDN",S937&lt;=2800),VLOOKUP(AF937,TNCalibEq2500!$AZ$2:$BB$56,3,)))</f>
        <v>0</v>
      </c>
      <c r="AU937" s="10" t="b">
        <f>IF(I937="TP",VLOOKUP(AF937,TPCalibEqFull!$AZ$2:$BB$56,3),IF(I937="TDP",VLOOKUP(AF937,TPCalibEqFull!$AZ$2:$BB$56,3),IF(I937="TDN",VLOOKUP(AF937,TNCalibEqFull!$AZ$1:$BB$56,3),IF(I937="TN",VLOOKUP(AF937,TNCalibEqFull!$AZ$1:$BB$56,3),FALSE))))</f>
        <v>0</v>
      </c>
      <c r="AV937" s="10" t="str">
        <f t="shared" si="106"/>
        <v>0118 08:50:00-HST-0-C-1-SW-UKN</v>
      </c>
    </row>
    <row r="938" spans="1:48" s="10" customFormat="1" x14ac:dyDescent="0.55000000000000004">
      <c r="A938" s="32">
        <v>44944</v>
      </c>
      <c r="B938" s="33">
        <v>0.36805555555555558</v>
      </c>
      <c r="C938" s="10" t="s">
        <v>333</v>
      </c>
      <c r="D938" s="10">
        <v>0</v>
      </c>
      <c r="E938" s="10" t="s">
        <v>190</v>
      </c>
      <c r="F938" s="10">
        <v>1</v>
      </c>
      <c r="G938" s="10" t="s">
        <v>231</v>
      </c>
      <c r="H938" s="10" t="s">
        <v>233</v>
      </c>
      <c r="I938" s="10" t="s">
        <v>285</v>
      </c>
      <c r="J938" s="10">
        <v>10</v>
      </c>
      <c r="K938" s="12">
        <v>44950</v>
      </c>
      <c r="L938" s="33">
        <v>0.47513888888888883</v>
      </c>
      <c r="M938" s="10">
        <v>1</v>
      </c>
      <c r="N938" s="10" t="s">
        <v>211</v>
      </c>
      <c r="O938" s="10">
        <v>0.219</v>
      </c>
      <c r="P938" s="10">
        <v>2.5399999999999999E-2</v>
      </c>
      <c r="Q938" s="10">
        <v>45.5</v>
      </c>
      <c r="R938" s="10" t="s">
        <v>913</v>
      </c>
      <c r="S938" s="34">
        <f t="shared" si="102"/>
        <v>45.5</v>
      </c>
      <c r="T938" s="10" t="s">
        <v>1052</v>
      </c>
      <c r="U938" s="34">
        <f t="shared" si="103"/>
        <v>8.6225026288117803</v>
      </c>
      <c r="V938" s="31" t="str">
        <f>IF(H938="CHK",VLOOKUP(I938,QCCHK,3,),IF(H938="GUP",VLOOKUP(E938,QCGUP,2,),IF(AND(H938="ATP",OR(I938="TN",I938="TDN",I938="TNO2-3",I938="NO2-3")),VLOOKUP(E938,QCREC_N,2,),IF(AND(H938="NIC",OR(I938="TN",I938="TDN",I938="TNO2-3",I938="NO2-3")),VLOOKUP(E938,QCNIC_N,2,),IF(AND(H938="UREA",OR(I938="TN",I938="TDN",I938="TNO2-3",I938="NO2-3")),VLOOKUP(E938,QCUREA_N,2,),IF(H938="PER",VLOOKUP(I938,QCPER,MATCH(E938,QCACTUAL!$J$25:$AA$25,0),),IF(H938="SPK",VLOOKUP(I938,QCSPK,3,),IF(AND(H938="ATP",OR(I938="TP",I938="TDP")),VLOOKUP(E938,QCATP_P,2,),""))))))))</f>
        <v/>
      </c>
      <c r="W938" s="31" t="str">
        <f t="shared" si="104"/>
        <v>TRUE</v>
      </c>
      <c r="X938" s="31" t="str">
        <f t="shared" si="105"/>
        <v>((ABS(rep1-rep2))/((rep1+rep2)/2)*100</v>
      </c>
      <c r="Y938" s="10" t="s">
        <v>1040</v>
      </c>
      <c r="Z938" s="10" t="s">
        <v>910</v>
      </c>
      <c r="AL938" s="10" t="str">
        <f t="shared" si="100"/>
        <v>FALSE</v>
      </c>
      <c r="AM938" s="10" t="str">
        <f t="shared" si="100"/>
        <v>FALSE</v>
      </c>
      <c r="AN938" s="10" t="str">
        <f t="shared" si="100"/>
        <v>FALSE</v>
      </c>
      <c r="AO938" s="10" t="str">
        <f t="shared" si="101"/>
        <v>FALSE</v>
      </c>
      <c r="AP938" s="10" t="str">
        <f t="shared" si="101"/>
        <v>FALSE</v>
      </c>
      <c r="AQ938" s="10" t="b">
        <f>IF(AND(I938="TP",S938&lt;=150),VLOOKUP(AF938,TPCalibEq150!$AZ$2:$BB$55,3,),IF(AND(I938="TDP",S938&lt;=150),VLOOKUP(AF938,TPCalibEq150!$AZ$2:$BB$55,3,)))</f>
        <v>0</v>
      </c>
      <c r="AR938" s="10" t="b">
        <f>IF(AND(I938="TP",S938&lt;=300),VLOOKUP(AF938,TPCalibEq300!$AZ$2:$BB$55,3,),IF(AND(I938="TDP",S938&lt;=300),VLOOKUP(AF938,TPCalibEq300!$AZ$2:$BB$55,3,)))</f>
        <v>0</v>
      </c>
      <c r="AS938" s="10" t="b">
        <f>IF(AND(I938="TP",S938&lt;=500),VLOOKUP(AF938,TPCalibEq500!$AZ$2:$BB$56,3,),IF(AND(I938="TDP",S938&lt;=500),VLOOKUP(AF938,TPCalibEq500!$AZ$2:$BB$56,3,)))</f>
        <v>0</v>
      </c>
      <c r="AT938" s="10" t="b">
        <f>IF(AND(I938="TN",S938&lt;=2800),VLOOKUP(AF938,TNCalibEq2500!$AZ$2:$BB$56,3,),IF(AND(I938="TDN",S938&lt;=2800),VLOOKUP(AF938,TNCalibEq2500!$AZ$2:$BB$56,3,)))</f>
        <v>0</v>
      </c>
      <c r="AU938" s="10" t="b">
        <f>IF(I938="TP",VLOOKUP(AF938,TPCalibEqFull!$AZ$2:$BB$56,3),IF(I938="TDP",VLOOKUP(AF938,TPCalibEqFull!$AZ$2:$BB$56,3),IF(I938="TDN",VLOOKUP(AF938,TNCalibEqFull!$AZ$1:$BB$56,3),IF(I938="TN",VLOOKUP(AF938,TNCalibEqFull!$AZ$1:$BB$56,3),FALSE))))</f>
        <v>0</v>
      </c>
      <c r="AV938" s="10" t="str">
        <f t="shared" si="106"/>
        <v>0118 08:50:00-HST-0-C-1-SW-DUP</v>
      </c>
    </row>
    <row r="939" spans="1:48" s="10" customFormat="1" x14ac:dyDescent="0.55000000000000004">
      <c r="A939" s="32">
        <v>44944</v>
      </c>
      <c r="B939" s="33">
        <v>0.36805555555555558</v>
      </c>
      <c r="C939" s="10" t="s">
        <v>912</v>
      </c>
      <c r="D939" s="10">
        <v>0</v>
      </c>
      <c r="E939" s="10" t="s">
        <v>190</v>
      </c>
      <c r="F939" s="10">
        <v>1</v>
      </c>
      <c r="G939" s="10" t="s">
        <v>231</v>
      </c>
      <c r="H939" s="10" t="s">
        <v>314</v>
      </c>
      <c r="I939" s="10" t="s">
        <v>285</v>
      </c>
      <c r="J939" s="10">
        <v>57</v>
      </c>
      <c r="K939" s="12">
        <v>44950</v>
      </c>
      <c r="L939" s="33">
        <v>0.47594907407407411</v>
      </c>
      <c r="M939" s="10">
        <v>1</v>
      </c>
      <c r="N939" s="10" t="s">
        <v>211</v>
      </c>
      <c r="O939" s="10">
        <v>1.04</v>
      </c>
      <c r="P939" s="10">
        <v>0.123</v>
      </c>
      <c r="Q939" s="10">
        <v>215</v>
      </c>
      <c r="R939" s="10" t="s">
        <v>913</v>
      </c>
      <c r="S939" s="34">
        <f t="shared" si="102"/>
        <v>215</v>
      </c>
      <c r="T939" s="10" t="s">
        <v>1052</v>
      </c>
      <c r="U939" s="34">
        <f t="shared" si="103"/>
        <v>108.48</v>
      </c>
      <c r="V939" s="31">
        <f>IF(H939="CHK",VLOOKUP(I939,QCCHK,3,),IF(H939="GUP",VLOOKUP(E939,QCGUP,2,),IF(AND(H939="ATP",OR(I939="TN",I939="TDN",I939="TNO2-3",I939="NO2-3")),VLOOKUP(E939,QCREC_N,2,),IF(AND(H939="NIC",OR(I939="TN",I939="TDN",I939="TNO2-3",I939="NO2-3")),VLOOKUP(E939,QCNIC_N,2,),IF(AND(H939="UREA",OR(I939="TN",I939="TDN",I939="TNO2-3",I939="NO2-3")),VLOOKUP(E939,QCUREA_N,2,),IF(H939="PER",VLOOKUP(I939,QCPER,MATCH(E939,QCACTUAL!$J$25:$AA$25,0),),IF(H939="SPK",VLOOKUP(I939,QCSPK,3,),IF(AND(H939="ATP",OR(I939="TP",I939="TDP")),VLOOKUP(E939,QCATP_P,2,),""))))))))</f>
        <v>156.25</v>
      </c>
      <c r="W939" s="31" t="str">
        <f t="shared" si="104"/>
        <v>TRUE</v>
      </c>
      <c r="X939" s="31" t="str">
        <f t="shared" si="105"/>
        <v>([spikedunkn]-[unkn])/[spike]*100</v>
      </c>
      <c r="Y939" s="10" t="s">
        <v>1040</v>
      </c>
      <c r="Z939" s="10" t="s">
        <v>910</v>
      </c>
      <c r="AL939" s="10" t="str">
        <f t="shared" si="100"/>
        <v>FALSE</v>
      </c>
      <c r="AM939" s="10" t="str">
        <f t="shared" si="100"/>
        <v>FALSE</v>
      </c>
      <c r="AN939" s="10" t="str">
        <f t="shared" si="100"/>
        <v>FALSE</v>
      </c>
      <c r="AO939" s="10" t="str">
        <f t="shared" si="101"/>
        <v>FALSE</v>
      </c>
      <c r="AP939" s="10" t="str">
        <f t="shared" si="101"/>
        <v>FALSE</v>
      </c>
      <c r="AQ939" s="10" t="b">
        <f>IF(AND(I939="TP",S939&lt;=150),VLOOKUP(AF939,TPCalibEq150!$AZ$2:$BB$55,3,),IF(AND(I939="TDP",S939&lt;=150),VLOOKUP(AF939,TPCalibEq150!$AZ$2:$BB$55,3,)))</f>
        <v>0</v>
      </c>
      <c r="AR939" s="10" t="b">
        <f>IF(AND(I939="TP",S939&lt;=300),VLOOKUP(AF939,TPCalibEq300!$AZ$2:$BB$55,3,),IF(AND(I939="TDP",S939&lt;=300),VLOOKUP(AF939,TPCalibEq300!$AZ$2:$BB$55,3,)))</f>
        <v>0</v>
      </c>
      <c r="AS939" s="10" t="b">
        <f>IF(AND(I939="TP",S939&lt;=500),VLOOKUP(AF939,TPCalibEq500!$AZ$2:$BB$56,3,),IF(AND(I939="TDP",S939&lt;=500),VLOOKUP(AF939,TPCalibEq500!$AZ$2:$BB$56,3,)))</f>
        <v>0</v>
      </c>
      <c r="AT939" s="10" t="b">
        <f>IF(AND(I939="TN",S939&lt;=2800),VLOOKUP(AF939,TNCalibEq2500!$AZ$2:$BB$56,3,),IF(AND(I939="TDN",S939&lt;=2800),VLOOKUP(AF939,TNCalibEq2500!$AZ$2:$BB$56,3,)))</f>
        <v>0</v>
      </c>
      <c r="AU939" s="10" t="b">
        <f>IF(I939="TP",VLOOKUP(AF939,TPCalibEqFull!$AZ$2:$BB$56,3),IF(I939="TDP",VLOOKUP(AF939,TPCalibEqFull!$AZ$2:$BB$56,3),IF(I939="TDN",VLOOKUP(AF939,TNCalibEqFull!$AZ$1:$BB$56,3),IF(I939="TN",VLOOKUP(AF939,TNCalibEqFull!$AZ$1:$BB$56,3),FALSE))))</f>
        <v>0</v>
      </c>
      <c r="AV939" s="10" t="str">
        <f t="shared" si="106"/>
        <v>0118 08:50:00-HST -0-C-1-SW-SPK</v>
      </c>
    </row>
    <row r="940" spans="1:48" s="10" customFormat="1" x14ac:dyDescent="0.55000000000000004">
      <c r="A940" s="32">
        <v>44950</v>
      </c>
      <c r="B940" s="33">
        <v>0.375</v>
      </c>
      <c r="C940" s="10" t="s">
        <v>70</v>
      </c>
      <c r="D940" s="10" t="s">
        <v>71</v>
      </c>
      <c r="E940" s="10" t="s">
        <v>901</v>
      </c>
      <c r="F940" s="10">
        <v>1</v>
      </c>
      <c r="G940" s="10" t="s">
        <v>73</v>
      </c>
      <c r="H940" s="10" t="s">
        <v>207</v>
      </c>
      <c r="I940" s="10" t="s">
        <v>285</v>
      </c>
      <c r="J940" s="10">
        <v>199</v>
      </c>
      <c r="K940" s="12">
        <v>44950</v>
      </c>
      <c r="L940" s="33">
        <v>0.4767824074074074</v>
      </c>
      <c r="M940" s="10">
        <v>1</v>
      </c>
      <c r="N940" s="10" t="s">
        <v>211</v>
      </c>
      <c r="O940" s="10">
        <v>0.36699999999999999</v>
      </c>
      <c r="P940" s="10">
        <v>4.2900000000000001E-2</v>
      </c>
      <c r="Q940" s="10">
        <v>76.3</v>
      </c>
      <c r="R940" s="10" t="s">
        <v>913</v>
      </c>
      <c r="S940" s="34">
        <f t="shared" si="102"/>
        <v>76.3</v>
      </c>
      <c r="T940" s="10" t="s">
        <v>1052</v>
      </c>
      <c r="U940" s="34">
        <f t="shared" si="103"/>
        <v>101.73333333333332</v>
      </c>
      <c r="V940" s="31">
        <f>IF(H940="CHK",VLOOKUP(I940,QCCHK,3,),IF(H940="GUP",VLOOKUP(E940,QCGUP,2,),IF(AND(H940="ATP",OR(I940="TN",I940="TDN",I940="TNO2-3",I940="NO2-3")),VLOOKUP(E940,QCREC_N,2,),IF(AND(H940="NIC",OR(I940="TN",I940="TDN",I940="TNO2-3",I940="NO2-3")),VLOOKUP(E940,QCNIC_N,2,),IF(AND(H940="UREA",OR(I940="TN",I940="TDN",I940="TNO2-3",I940="NO2-3")),VLOOKUP(E940,QCUREA_N,2,),IF(H940="PER",VLOOKUP(I940,QCPER,MATCH(E940,QCACTUAL!$J$25:$AA$25,0),),IF(H940="SPK",VLOOKUP(I940,QCSPK,3,),IF(AND(H940="ATP",OR(I940="TP",I940="TDP")),VLOOKUP(E940,QCATP_P,2,),""))))))))</f>
        <v>75</v>
      </c>
      <c r="W940" s="31" t="str">
        <f t="shared" si="104"/>
        <v>TRUE</v>
      </c>
      <c r="X940" s="31" t="str">
        <f t="shared" si="105"/>
        <v>[chk]/[actual]*100</v>
      </c>
      <c r="Y940" s="10" t="s">
        <v>1040</v>
      </c>
      <c r="AL940" s="10" t="str">
        <f t="shared" si="100"/>
        <v>FALSE</v>
      </c>
      <c r="AM940" s="10" t="str">
        <f t="shared" si="100"/>
        <v>FALSE</v>
      </c>
      <c r="AN940" s="10" t="str">
        <f t="shared" si="100"/>
        <v>FALSE</v>
      </c>
      <c r="AO940" s="10" t="str">
        <f t="shared" si="101"/>
        <v>FALSE</v>
      </c>
      <c r="AP940" s="10" t="str">
        <f t="shared" si="101"/>
        <v>FALSE</v>
      </c>
      <c r="AQ940" s="10" t="b">
        <f>IF(AND(I940="TP",S940&lt;=150),VLOOKUP(AF940,TPCalibEq150!$AZ$2:$BB$55,3,),IF(AND(I940="TDP",S940&lt;=150),VLOOKUP(AF940,TPCalibEq150!$AZ$2:$BB$55,3,)))</f>
        <v>0</v>
      </c>
      <c r="AR940" s="10" t="b">
        <f>IF(AND(I940="TP",S940&lt;=300),VLOOKUP(AF940,TPCalibEq300!$AZ$2:$BB$55,3,),IF(AND(I940="TDP",S940&lt;=300),VLOOKUP(AF940,TPCalibEq300!$AZ$2:$BB$55,3,)))</f>
        <v>0</v>
      </c>
      <c r="AS940" s="10" t="b">
        <f>IF(AND(I940="TP",S940&lt;=500),VLOOKUP(AF940,TPCalibEq500!$AZ$2:$BB$56,3,),IF(AND(I940="TDP",S940&lt;=500),VLOOKUP(AF940,TPCalibEq500!$AZ$2:$BB$56,3,)))</f>
        <v>0</v>
      </c>
      <c r="AT940" s="10" t="b">
        <f>IF(AND(I940="TN",S940&lt;=2800),VLOOKUP(AF940,TNCalibEq2500!$AZ$2:$BB$56,3,),IF(AND(I940="TDN",S940&lt;=2800),VLOOKUP(AF940,TNCalibEq2500!$AZ$2:$BB$56,3,)))</f>
        <v>0</v>
      </c>
      <c r="AU940" s="10" t="b">
        <f>IF(I940="TP",VLOOKUP(AF940,TPCalibEqFull!$AZ$2:$BB$56,3),IF(I940="TDP",VLOOKUP(AF940,TPCalibEqFull!$AZ$2:$BB$56,3),IF(I940="TDN",VLOOKUP(AF940,TNCalibEqFull!$AZ$1:$BB$56,3),IF(I940="TN",VLOOKUP(AF940,TNCalibEqFull!$AZ$1:$BB$56,3),FALSE))))</f>
        <v>0</v>
      </c>
      <c r="AV940" s="10" t="str">
        <f t="shared" si="106"/>
        <v>0124 09:00:00-QAC-STD-D-1-DI-CHK</v>
      </c>
    </row>
    <row r="941" spans="1:48" s="10" customFormat="1" x14ac:dyDescent="0.55000000000000004">
      <c r="A941" s="32">
        <v>44945</v>
      </c>
      <c r="B941" s="33">
        <v>0.56041666666666667</v>
      </c>
      <c r="C941" s="10" t="s">
        <v>279</v>
      </c>
      <c r="D941" s="10">
        <v>0</v>
      </c>
      <c r="E941" s="10" t="s">
        <v>190</v>
      </c>
      <c r="F941" s="10">
        <v>1</v>
      </c>
      <c r="G941" s="10" t="s">
        <v>231</v>
      </c>
      <c r="H941" s="10" t="s">
        <v>322</v>
      </c>
      <c r="I941" s="10" t="s">
        <v>285</v>
      </c>
      <c r="J941" s="10">
        <v>11</v>
      </c>
      <c r="K941" s="12">
        <v>44950</v>
      </c>
      <c r="L941" s="33">
        <v>0.47759259259259257</v>
      </c>
      <c r="M941" s="10">
        <v>1</v>
      </c>
      <c r="N941" s="10" t="s">
        <v>211</v>
      </c>
      <c r="O941" s="10">
        <v>0.53800000000000003</v>
      </c>
      <c r="P941" s="10">
        <v>6.4699999999999994E-2</v>
      </c>
      <c r="Q941" s="10">
        <v>112</v>
      </c>
      <c r="R941" s="10" t="s">
        <v>913</v>
      </c>
      <c r="S941" s="34">
        <f t="shared" si="102"/>
        <v>112</v>
      </c>
      <c r="T941" s="10" t="s">
        <v>1052</v>
      </c>
      <c r="U941" s="34" t="str">
        <f t="shared" si="103"/>
        <v/>
      </c>
      <c r="V941" s="31" t="str">
        <f>IF(H941="CHK",VLOOKUP(I941,QCCHK,3,),IF(H941="GUP",VLOOKUP(E941,QCGUP,2,),IF(AND(H941="ATP",OR(I941="TN",I941="TDN",I941="TNO2-3",I941="NO2-3")),VLOOKUP(E941,QCREC_N,2,),IF(AND(H941="NIC",OR(I941="TN",I941="TDN",I941="TNO2-3",I941="NO2-3")),VLOOKUP(E941,QCNIC_N,2,),IF(AND(H941="UREA",OR(I941="TN",I941="TDN",I941="TNO2-3",I941="NO2-3")),VLOOKUP(E941,QCUREA_N,2,),IF(H941="PER",VLOOKUP(I941,QCPER,MATCH(E941,QCACTUAL!$J$25:$AA$25,0),),IF(H941="SPK",VLOOKUP(I941,QCSPK,3,),IF(AND(H941="ATP",OR(I941="TP",I941="TDP")),VLOOKUP(E941,QCATP_P,2,),""))))))))</f>
        <v/>
      </c>
      <c r="W941" s="31" t="str">
        <f t="shared" si="104"/>
        <v>TRUE</v>
      </c>
      <c r="X941" s="31" t="str">
        <f t="shared" si="105"/>
        <v/>
      </c>
      <c r="Y941" s="10" t="s">
        <v>1040</v>
      </c>
      <c r="Z941" s="10" t="s">
        <v>910</v>
      </c>
      <c r="AL941" s="10" t="str">
        <f t="shared" si="100"/>
        <v>FALSE</v>
      </c>
      <c r="AM941" s="10" t="str">
        <f t="shared" si="100"/>
        <v>FALSE</v>
      </c>
      <c r="AN941" s="10" t="str">
        <f t="shared" si="100"/>
        <v>FALSE</v>
      </c>
      <c r="AO941" s="10" t="str">
        <f t="shared" si="101"/>
        <v>FALSE</v>
      </c>
      <c r="AP941" s="10" t="str">
        <f t="shared" si="101"/>
        <v>FALSE</v>
      </c>
      <c r="AQ941" s="10" t="b">
        <f>IF(AND(I941="TP",S941&lt;=150),VLOOKUP(AF941,TPCalibEq150!$AZ$2:$BB$55,3,),IF(AND(I941="TDP",S941&lt;=150),VLOOKUP(AF941,TPCalibEq150!$AZ$2:$BB$55,3,)))</f>
        <v>0</v>
      </c>
      <c r="AR941" s="10" t="b">
        <f>IF(AND(I941="TP",S941&lt;=300),VLOOKUP(AF941,TPCalibEq300!$AZ$2:$BB$55,3,),IF(AND(I941="TDP",S941&lt;=300),VLOOKUP(AF941,TPCalibEq300!$AZ$2:$BB$55,3,)))</f>
        <v>0</v>
      </c>
      <c r="AS941" s="10" t="b">
        <f>IF(AND(I941="TP",S941&lt;=500),VLOOKUP(AF941,TPCalibEq500!$AZ$2:$BB$56,3,),IF(AND(I941="TDP",S941&lt;=500),VLOOKUP(AF941,TPCalibEq500!$AZ$2:$BB$56,3,)))</f>
        <v>0</v>
      </c>
      <c r="AT941" s="10" t="b">
        <f>IF(AND(I941="TN",S941&lt;=2800),VLOOKUP(AF941,TNCalibEq2500!$AZ$2:$BB$56,3,),IF(AND(I941="TDN",S941&lt;=2800),VLOOKUP(AF941,TNCalibEq2500!$AZ$2:$BB$56,3,)))</f>
        <v>0</v>
      </c>
      <c r="AU941" s="10" t="b">
        <f>IF(I941="TP",VLOOKUP(AF941,TPCalibEqFull!$AZ$2:$BB$56,3),IF(I941="TDP",VLOOKUP(AF941,TPCalibEqFull!$AZ$2:$BB$56,3),IF(I941="TDN",VLOOKUP(AF941,TNCalibEqFull!$AZ$1:$BB$56,3),IF(I941="TN",VLOOKUP(AF941,TNCalibEqFull!$AZ$1:$BB$56,3),FALSE))))</f>
        <v>0</v>
      </c>
      <c r="AV941" s="10" t="str">
        <f t="shared" si="106"/>
        <v>0119 13:27:00-EFK-0-C-1-SW-UKN</v>
      </c>
    </row>
    <row r="942" spans="1:48" s="10" customFormat="1" x14ac:dyDescent="0.55000000000000004">
      <c r="A942" s="32">
        <v>44945</v>
      </c>
      <c r="B942" s="33">
        <v>0.56736111111111109</v>
      </c>
      <c r="C942" s="10" t="s">
        <v>333</v>
      </c>
      <c r="D942" s="10">
        <v>0</v>
      </c>
      <c r="E942" s="10" t="s">
        <v>190</v>
      </c>
      <c r="F942" s="10">
        <v>1</v>
      </c>
      <c r="G942" s="10" t="s">
        <v>231</v>
      </c>
      <c r="H942" s="10" t="s">
        <v>322</v>
      </c>
      <c r="I942" s="10" t="s">
        <v>285</v>
      </c>
      <c r="J942" s="10">
        <v>12</v>
      </c>
      <c r="K942" s="12">
        <v>44950</v>
      </c>
      <c r="L942" s="33">
        <v>0.47840277777777779</v>
      </c>
      <c r="M942" s="10">
        <v>1</v>
      </c>
      <c r="N942" s="10" t="s">
        <v>211</v>
      </c>
      <c r="O942" s="10">
        <v>0.41</v>
      </c>
      <c r="P942" s="10">
        <v>4.7600000000000003E-2</v>
      </c>
      <c r="Q942" s="10">
        <v>85</v>
      </c>
      <c r="R942" s="10" t="s">
        <v>913</v>
      </c>
      <c r="S942" s="34">
        <f t="shared" si="102"/>
        <v>85</v>
      </c>
      <c r="T942" s="10" t="s">
        <v>1052</v>
      </c>
      <c r="U942" s="34" t="str">
        <f t="shared" si="103"/>
        <v/>
      </c>
      <c r="V942" s="31" t="str">
        <f>IF(H942="CHK",VLOOKUP(I942,QCCHK,3,),IF(H942="GUP",VLOOKUP(E942,QCGUP,2,),IF(AND(H942="ATP",OR(I942="TN",I942="TDN",I942="TNO2-3",I942="NO2-3")),VLOOKUP(E942,QCREC_N,2,),IF(AND(H942="NIC",OR(I942="TN",I942="TDN",I942="TNO2-3",I942="NO2-3")),VLOOKUP(E942,QCNIC_N,2,),IF(AND(H942="UREA",OR(I942="TN",I942="TDN",I942="TNO2-3",I942="NO2-3")),VLOOKUP(E942,QCUREA_N,2,),IF(H942="PER",VLOOKUP(I942,QCPER,MATCH(E942,QCACTUAL!$J$25:$AA$25,0),),IF(H942="SPK",VLOOKUP(I942,QCSPK,3,),IF(AND(H942="ATP",OR(I942="TP",I942="TDP")),VLOOKUP(E942,QCATP_P,2,),""))))))))</f>
        <v/>
      </c>
      <c r="W942" s="31" t="str">
        <f t="shared" si="104"/>
        <v>TRUE</v>
      </c>
      <c r="X942" s="31" t="str">
        <f t="shared" si="105"/>
        <v/>
      </c>
      <c r="Y942" s="10" t="s">
        <v>1040</v>
      </c>
      <c r="Z942" s="10" t="s">
        <v>910</v>
      </c>
      <c r="AL942" s="10" t="str">
        <f t="shared" si="100"/>
        <v>FALSE</v>
      </c>
      <c r="AM942" s="10" t="str">
        <f t="shared" si="100"/>
        <v>FALSE</v>
      </c>
      <c r="AN942" s="10" t="str">
        <f t="shared" si="100"/>
        <v>FALSE</v>
      </c>
      <c r="AO942" s="10" t="str">
        <f t="shared" si="101"/>
        <v>FALSE</v>
      </c>
      <c r="AP942" s="10" t="str">
        <f t="shared" si="101"/>
        <v>FALSE</v>
      </c>
      <c r="AQ942" s="10" t="b">
        <f>IF(AND(I942="TP",S942&lt;=150),VLOOKUP(AF942,TPCalibEq150!$AZ$2:$BB$55,3,),IF(AND(I942="TDP",S942&lt;=150),VLOOKUP(AF942,TPCalibEq150!$AZ$2:$BB$55,3,)))</f>
        <v>0</v>
      </c>
      <c r="AR942" s="10" t="b">
        <f>IF(AND(I942="TP",S942&lt;=300),VLOOKUP(AF942,TPCalibEq300!$AZ$2:$BB$55,3,),IF(AND(I942="TDP",S942&lt;=300),VLOOKUP(AF942,TPCalibEq300!$AZ$2:$BB$55,3,)))</f>
        <v>0</v>
      </c>
      <c r="AS942" s="10" t="b">
        <f>IF(AND(I942="TP",S942&lt;=500),VLOOKUP(AF942,TPCalibEq500!$AZ$2:$BB$56,3,),IF(AND(I942="TDP",S942&lt;=500),VLOOKUP(AF942,TPCalibEq500!$AZ$2:$BB$56,3,)))</f>
        <v>0</v>
      </c>
      <c r="AT942" s="10" t="b">
        <f>IF(AND(I942="TN",S942&lt;=2800),VLOOKUP(AF942,TNCalibEq2500!$AZ$2:$BB$56,3,),IF(AND(I942="TDN",S942&lt;=2800),VLOOKUP(AF942,TNCalibEq2500!$AZ$2:$BB$56,3,)))</f>
        <v>0</v>
      </c>
      <c r="AU942" s="10" t="b">
        <f>IF(I942="TP",VLOOKUP(AF942,TPCalibEqFull!$AZ$2:$BB$56,3),IF(I942="TDP",VLOOKUP(AF942,TPCalibEqFull!$AZ$2:$BB$56,3),IF(I942="TDN",VLOOKUP(AF942,TNCalibEqFull!$AZ$1:$BB$56,3),IF(I942="TN",VLOOKUP(AF942,TNCalibEqFull!$AZ$1:$BB$56,3),FALSE))))</f>
        <v>0</v>
      </c>
      <c r="AV942" s="10" t="str">
        <f t="shared" si="106"/>
        <v>0119 13:37:00-HST-0-C-1-SW-UKN</v>
      </c>
    </row>
    <row r="943" spans="1:48" s="10" customFormat="1" x14ac:dyDescent="0.55000000000000004">
      <c r="A943" s="32">
        <v>44946</v>
      </c>
      <c r="B943" s="33">
        <v>0.37013888888888885</v>
      </c>
      <c r="C943" s="10" t="s">
        <v>279</v>
      </c>
      <c r="D943" s="10">
        <v>0</v>
      </c>
      <c r="E943" s="10" t="s">
        <v>190</v>
      </c>
      <c r="F943" s="10">
        <v>1</v>
      </c>
      <c r="G943" s="10" t="s">
        <v>231</v>
      </c>
      <c r="H943" s="10" t="s">
        <v>322</v>
      </c>
      <c r="I943" s="10" t="s">
        <v>285</v>
      </c>
      <c r="J943" s="10">
        <v>13</v>
      </c>
      <c r="K943" s="12">
        <v>44950</v>
      </c>
      <c r="L943" s="33">
        <v>0.47921296296296295</v>
      </c>
      <c r="M943" s="10">
        <v>1</v>
      </c>
      <c r="N943" s="10" t="s">
        <v>211</v>
      </c>
      <c r="O943" s="10">
        <v>0.42199999999999999</v>
      </c>
      <c r="P943" s="10">
        <v>0.05</v>
      </c>
      <c r="Q943" s="10">
        <v>87.6</v>
      </c>
      <c r="R943" s="10" t="s">
        <v>913</v>
      </c>
      <c r="S943" s="34">
        <f t="shared" si="102"/>
        <v>87.6</v>
      </c>
      <c r="T943" s="10" t="s">
        <v>1052</v>
      </c>
      <c r="U943" s="34" t="str">
        <f t="shared" si="103"/>
        <v/>
      </c>
      <c r="V943" s="31" t="str">
        <f>IF(H943="CHK",VLOOKUP(I943,QCCHK,3,),IF(H943="GUP",VLOOKUP(E943,QCGUP,2,),IF(AND(H943="ATP",OR(I943="TN",I943="TDN",I943="TNO2-3",I943="NO2-3")),VLOOKUP(E943,QCREC_N,2,),IF(AND(H943="NIC",OR(I943="TN",I943="TDN",I943="TNO2-3",I943="NO2-3")),VLOOKUP(E943,QCNIC_N,2,),IF(AND(H943="UREA",OR(I943="TN",I943="TDN",I943="TNO2-3",I943="NO2-3")),VLOOKUP(E943,QCUREA_N,2,),IF(H943="PER",VLOOKUP(I943,QCPER,MATCH(E943,QCACTUAL!$J$25:$AA$25,0),),IF(H943="SPK",VLOOKUP(I943,QCSPK,3,),IF(AND(H943="ATP",OR(I943="TP",I943="TDP")),VLOOKUP(E943,QCATP_P,2,),""))))))))</f>
        <v/>
      </c>
      <c r="W943" s="31" t="str">
        <f t="shared" si="104"/>
        <v>TRUE</v>
      </c>
      <c r="X943" s="31" t="str">
        <f t="shared" si="105"/>
        <v/>
      </c>
      <c r="Y943" s="10" t="s">
        <v>1040</v>
      </c>
      <c r="Z943" s="10" t="s">
        <v>910</v>
      </c>
      <c r="AL943" s="10" t="str">
        <f t="shared" si="100"/>
        <v>FALSE</v>
      </c>
      <c r="AM943" s="10" t="str">
        <f t="shared" si="100"/>
        <v>FALSE</v>
      </c>
      <c r="AN943" s="10" t="str">
        <f t="shared" si="100"/>
        <v>FALSE</v>
      </c>
      <c r="AO943" s="10" t="str">
        <f t="shared" si="101"/>
        <v>FALSE</v>
      </c>
      <c r="AP943" s="10" t="str">
        <f t="shared" si="101"/>
        <v>FALSE</v>
      </c>
      <c r="AQ943" s="10" t="b">
        <f>IF(AND(I943="TP",S943&lt;=150),VLOOKUP(AF943,TPCalibEq150!$AZ$2:$BB$55,3,),IF(AND(I943="TDP",S943&lt;=150),VLOOKUP(AF943,TPCalibEq150!$AZ$2:$BB$55,3,)))</f>
        <v>0</v>
      </c>
      <c r="AR943" s="10" t="b">
        <f>IF(AND(I943="TP",S943&lt;=300),VLOOKUP(AF943,TPCalibEq300!$AZ$2:$BB$55,3,),IF(AND(I943="TDP",S943&lt;=300),VLOOKUP(AF943,TPCalibEq300!$AZ$2:$BB$55,3,)))</f>
        <v>0</v>
      </c>
      <c r="AS943" s="10" t="b">
        <f>IF(AND(I943="TP",S943&lt;=500),VLOOKUP(AF943,TPCalibEq500!$AZ$2:$BB$56,3,),IF(AND(I943="TDP",S943&lt;=500),VLOOKUP(AF943,TPCalibEq500!$AZ$2:$BB$56,3,)))</f>
        <v>0</v>
      </c>
      <c r="AT943" s="10" t="b">
        <f>IF(AND(I943="TN",S943&lt;=2800),VLOOKUP(AF943,TNCalibEq2500!$AZ$2:$BB$56,3,),IF(AND(I943="TDN",S943&lt;=2800),VLOOKUP(AF943,TNCalibEq2500!$AZ$2:$BB$56,3,)))</f>
        <v>0</v>
      </c>
      <c r="AU943" s="10" t="b">
        <f>IF(I943="TP",VLOOKUP(AF943,TPCalibEqFull!$AZ$2:$BB$56,3),IF(I943="TDP",VLOOKUP(AF943,TPCalibEqFull!$AZ$2:$BB$56,3),IF(I943="TDN",VLOOKUP(AF943,TNCalibEqFull!$AZ$1:$BB$56,3),IF(I943="TN",VLOOKUP(AF943,TNCalibEqFull!$AZ$1:$BB$56,3),FALSE))))</f>
        <v>0</v>
      </c>
      <c r="AV943" s="10" t="str">
        <f t="shared" si="106"/>
        <v>0120 08:53:00-EFK-0-C-1-SW-UKN</v>
      </c>
    </row>
    <row r="944" spans="1:48" s="10" customFormat="1" x14ac:dyDescent="0.55000000000000004">
      <c r="A944" s="32">
        <v>44946</v>
      </c>
      <c r="B944" s="33">
        <v>0.37291666666666662</v>
      </c>
      <c r="C944" s="10" t="s">
        <v>333</v>
      </c>
      <c r="D944" s="10">
        <v>0</v>
      </c>
      <c r="E944" s="10" t="s">
        <v>190</v>
      </c>
      <c r="F944" s="10">
        <v>1</v>
      </c>
      <c r="G944" s="10" t="s">
        <v>231</v>
      </c>
      <c r="H944" s="10" t="s">
        <v>322</v>
      </c>
      <c r="I944" s="10" t="s">
        <v>285</v>
      </c>
      <c r="J944" s="10">
        <v>14</v>
      </c>
      <c r="K944" s="12">
        <v>44950</v>
      </c>
      <c r="L944" s="33">
        <v>0.48002314814814812</v>
      </c>
      <c r="M944" s="10">
        <v>1</v>
      </c>
      <c r="N944" s="10" t="s">
        <v>211</v>
      </c>
      <c r="O944" s="10">
        <v>0.28599999999999998</v>
      </c>
      <c r="P944" s="10">
        <v>3.2599999999999997E-2</v>
      </c>
      <c r="Q944" s="10">
        <v>59.4</v>
      </c>
      <c r="R944" s="10" t="s">
        <v>913</v>
      </c>
      <c r="S944" s="34">
        <f t="shared" si="102"/>
        <v>59.4</v>
      </c>
      <c r="T944" s="10" t="s">
        <v>1052</v>
      </c>
      <c r="U944" s="34" t="str">
        <f t="shared" si="103"/>
        <v/>
      </c>
      <c r="V944" s="31" t="str">
        <f>IF(H944="CHK",VLOOKUP(I944,QCCHK,3,),IF(H944="GUP",VLOOKUP(E944,QCGUP,2,),IF(AND(H944="ATP",OR(I944="TN",I944="TDN",I944="TNO2-3",I944="NO2-3")),VLOOKUP(E944,QCREC_N,2,),IF(AND(H944="NIC",OR(I944="TN",I944="TDN",I944="TNO2-3",I944="NO2-3")),VLOOKUP(E944,QCNIC_N,2,),IF(AND(H944="UREA",OR(I944="TN",I944="TDN",I944="TNO2-3",I944="NO2-3")),VLOOKUP(E944,QCUREA_N,2,),IF(H944="PER",VLOOKUP(I944,QCPER,MATCH(E944,QCACTUAL!$J$25:$AA$25,0),),IF(H944="SPK",VLOOKUP(I944,QCSPK,3,),IF(AND(H944="ATP",OR(I944="TP",I944="TDP")),VLOOKUP(E944,QCATP_P,2,),""))))))))</f>
        <v/>
      </c>
      <c r="W944" s="31" t="str">
        <f t="shared" si="104"/>
        <v>TRUE</v>
      </c>
      <c r="X944" s="31" t="str">
        <f t="shared" si="105"/>
        <v/>
      </c>
      <c r="Y944" s="10" t="s">
        <v>1040</v>
      </c>
      <c r="Z944" s="10" t="s">
        <v>910</v>
      </c>
      <c r="AL944" s="10" t="str">
        <f t="shared" si="100"/>
        <v>FALSE</v>
      </c>
      <c r="AM944" s="10" t="str">
        <f t="shared" si="100"/>
        <v>FALSE</v>
      </c>
      <c r="AN944" s="10" t="str">
        <f t="shared" si="100"/>
        <v>FALSE</v>
      </c>
      <c r="AO944" s="10" t="str">
        <f t="shared" si="101"/>
        <v>FALSE</v>
      </c>
      <c r="AP944" s="10" t="str">
        <f t="shared" si="101"/>
        <v>FALSE</v>
      </c>
      <c r="AQ944" s="10" t="b">
        <f>IF(AND(I944="TP",S944&lt;=150),VLOOKUP(AF944,TPCalibEq150!$AZ$2:$BB$55,3,),IF(AND(I944="TDP",S944&lt;=150),VLOOKUP(AF944,TPCalibEq150!$AZ$2:$BB$55,3,)))</f>
        <v>0</v>
      </c>
      <c r="AR944" s="10" t="b">
        <f>IF(AND(I944="TP",S944&lt;=300),VLOOKUP(AF944,TPCalibEq300!$AZ$2:$BB$55,3,),IF(AND(I944="TDP",S944&lt;=300),VLOOKUP(AF944,TPCalibEq300!$AZ$2:$BB$55,3,)))</f>
        <v>0</v>
      </c>
      <c r="AS944" s="10" t="b">
        <f>IF(AND(I944="TP",S944&lt;=500),VLOOKUP(AF944,TPCalibEq500!$AZ$2:$BB$56,3,),IF(AND(I944="TDP",S944&lt;=500),VLOOKUP(AF944,TPCalibEq500!$AZ$2:$BB$56,3,)))</f>
        <v>0</v>
      </c>
      <c r="AT944" s="10" t="b">
        <f>IF(AND(I944="TN",S944&lt;=2800),VLOOKUP(AF944,TNCalibEq2500!$AZ$2:$BB$56,3,),IF(AND(I944="TDN",S944&lt;=2800),VLOOKUP(AF944,TNCalibEq2500!$AZ$2:$BB$56,3,)))</f>
        <v>0</v>
      </c>
      <c r="AU944" s="10" t="b">
        <f>IF(I944="TP",VLOOKUP(AF944,TPCalibEqFull!$AZ$2:$BB$56,3),IF(I944="TDP",VLOOKUP(AF944,TPCalibEqFull!$AZ$2:$BB$56,3),IF(I944="TDN",VLOOKUP(AF944,TNCalibEqFull!$AZ$1:$BB$56,3),IF(I944="TN",VLOOKUP(AF944,TNCalibEqFull!$AZ$1:$BB$56,3),FALSE))))</f>
        <v>0</v>
      </c>
      <c r="AV944" s="10" t="str">
        <f t="shared" si="106"/>
        <v>0120 08:57:00-HST-0-C-1-SW-UKN</v>
      </c>
    </row>
    <row r="945" spans="1:48" s="10" customFormat="1" x14ac:dyDescent="0.55000000000000004">
      <c r="A945" s="32">
        <v>44943</v>
      </c>
      <c r="B945" s="33">
        <v>0.36736111111111108</v>
      </c>
      <c r="C945" s="10" t="s">
        <v>998</v>
      </c>
      <c r="D945" s="10">
        <v>0</v>
      </c>
      <c r="E945" s="10" t="s">
        <v>190</v>
      </c>
      <c r="F945" s="10">
        <v>1</v>
      </c>
      <c r="G945" s="10" t="s">
        <v>231</v>
      </c>
      <c r="H945" s="10" t="s">
        <v>322</v>
      </c>
      <c r="I945" s="10" t="s">
        <v>285</v>
      </c>
      <c r="J945" s="10">
        <v>15</v>
      </c>
      <c r="K945" s="12">
        <v>44950</v>
      </c>
      <c r="L945" s="33">
        <v>0.48082175925925924</v>
      </c>
      <c r="M945" s="10">
        <v>1</v>
      </c>
      <c r="N945" s="10" t="s">
        <v>211</v>
      </c>
      <c r="O945" s="10">
        <v>0.63600000000000001</v>
      </c>
      <c r="P945" s="10">
        <v>7.4999999999999997E-2</v>
      </c>
      <c r="Q945" s="10">
        <v>132</v>
      </c>
      <c r="R945" s="10" t="s">
        <v>913</v>
      </c>
      <c r="S945" s="34">
        <f t="shared" si="102"/>
        <v>132</v>
      </c>
      <c r="T945" s="10" t="s">
        <v>1052</v>
      </c>
      <c r="U945" s="34" t="str">
        <f t="shared" si="103"/>
        <v/>
      </c>
      <c r="V945" s="31" t="str">
        <f>IF(H945="CHK",VLOOKUP(I945,QCCHK,3,),IF(H945="GUP",VLOOKUP(E945,QCGUP,2,),IF(AND(H945="ATP",OR(I945="TN",I945="TDN",I945="TNO2-3",I945="NO2-3")),VLOOKUP(E945,QCREC_N,2,),IF(AND(H945="NIC",OR(I945="TN",I945="TDN",I945="TNO2-3",I945="NO2-3")),VLOOKUP(E945,QCNIC_N,2,),IF(AND(H945="UREA",OR(I945="TN",I945="TDN",I945="TNO2-3",I945="NO2-3")),VLOOKUP(E945,QCUREA_N,2,),IF(H945="PER",VLOOKUP(I945,QCPER,MATCH(E945,QCACTUAL!$J$25:$AA$25,0),),IF(H945="SPK",VLOOKUP(I945,QCSPK,3,),IF(AND(H945="ATP",OR(I945="TP",I945="TDP")),VLOOKUP(E945,QCATP_P,2,),""))))))))</f>
        <v/>
      </c>
      <c r="W945" s="31" t="str">
        <f t="shared" si="104"/>
        <v>TRUE</v>
      </c>
      <c r="X945" s="31" t="str">
        <f t="shared" si="105"/>
        <v/>
      </c>
      <c r="Y945" s="10" t="s">
        <v>1040</v>
      </c>
      <c r="Z945" s="10" t="s">
        <v>910</v>
      </c>
      <c r="AL945" s="10" t="str">
        <f t="shared" si="100"/>
        <v>FALSE</v>
      </c>
      <c r="AM945" s="10" t="str">
        <f t="shared" si="100"/>
        <v>FALSE</v>
      </c>
      <c r="AN945" s="10" t="str">
        <f t="shared" si="100"/>
        <v>FALSE</v>
      </c>
      <c r="AO945" s="10" t="str">
        <f t="shared" si="101"/>
        <v>FALSE</v>
      </c>
      <c r="AP945" s="10" t="str">
        <f t="shared" si="101"/>
        <v>FALSE</v>
      </c>
      <c r="AQ945" s="10" t="b">
        <f>IF(AND(I945="TP",S945&lt;=150),VLOOKUP(AF945,TPCalibEq150!$AZ$2:$BB$55,3,),IF(AND(I945="TDP",S945&lt;=150),VLOOKUP(AF945,TPCalibEq150!$AZ$2:$BB$55,3,)))</f>
        <v>0</v>
      </c>
      <c r="AR945" s="10" t="b">
        <f>IF(AND(I945="TP",S945&lt;=300),VLOOKUP(AF945,TPCalibEq300!$AZ$2:$BB$55,3,),IF(AND(I945="TDP",S945&lt;=300),VLOOKUP(AF945,TPCalibEq300!$AZ$2:$BB$55,3,)))</f>
        <v>0</v>
      </c>
      <c r="AS945" s="10" t="b">
        <f>IF(AND(I945="TP",S945&lt;=500),VLOOKUP(AF945,TPCalibEq500!$AZ$2:$BB$56,3,),IF(AND(I945="TDP",S945&lt;=500),VLOOKUP(AF945,TPCalibEq500!$AZ$2:$BB$56,3,)))</f>
        <v>0</v>
      </c>
      <c r="AT945" s="10" t="b">
        <f>IF(AND(I945="TN",S945&lt;=2800),VLOOKUP(AF945,TNCalibEq2500!$AZ$2:$BB$56,3,),IF(AND(I945="TDN",S945&lt;=2800),VLOOKUP(AF945,TNCalibEq2500!$AZ$2:$BB$56,3,)))</f>
        <v>0</v>
      </c>
      <c r="AU945" s="10" t="b">
        <f>IF(I945="TP",VLOOKUP(AF945,TPCalibEqFull!$AZ$2:$BB$56,3),IF(I945="TDP",VLOOKUP(AF945,TPCalibEqFull!$AZ$2:$BB$56,3),IF(I945="TDN",VLOOKUP(AF945,TNCalibEqFull!$AZ$1:$BB$56,3),IF(I945="TN",VLOOKUP(AF945,TNCalibEqFull!$AZ$1:$BB$56,3),FALSE))))</f>
        <v>0</v>
      </c>
      <c r="AV945" s="10" t="str">
        <f t="shared" si="106"/>
        <v>0117 08:49:00-ELW-0-C-1-SW-UKN</v>
      </c>
    </row>
    <row r="946" spans="1:48" s="10" customFormat="1" x14ac:dyDescent="0.55000000000000004">
      <c r="A946" s="32">
        <v>44943</v>
      </c>
      <c r="B946" s="33">
        <v>0.37708333333333338</v>
      </c>
      <c r="C946" s="10" t="s">
        <v>260</v>
      </c>
      <c r="D946" s="10">
        <v>0</v>
      </c>
      <c r="E946" s="10" t="s">
        <v>190</v>
      </c>
      <c r="F946" s="10">
        <v>1</v>
      </c>
      <c r="G946" s="10" t="s">
        <v>231</v>
      </c>
      <c r="H946" s="10" t="s">
        <v>322</v>
      </c>
      <c r="I946" s="10" t="s">
        <v>285</v>
      </c>
      <c r="J946" s="10">
        <v>16</v>
      </c>
      <c r="K946" s="12">
        <v>44950</v>
      </c>
      <c r="L946" s="33">
        <v>0.48165509259259259</v>
      </c>
      <c r="M946" s="10">
        <v>1</v>
      </c>
      <c r="N946" s="10" t="s">
        <v>211</v>
      </c>
      <c r="O946" s="10">
        <v>0.57699999999999996</v>
      </c>
      <c r="P946" s="10">
        <v>6.7900000000000002E-2</v>
      </c>
      <c r="Q946" s="10">
        <v>120</v>
      </c>
      <c r="R946" s="10" t="s">
        <v>913</v>
      </c>
      <c r="S946" s="34">
        <f t="shared" si="102"/>
        <v>120</v>
      </c>
      <c r="T946" s="10" t="s">
        <v>1052</v>
      </c>
      <c r="U946" s="34" t="str">
        <f t="shared" si="103"/>
        <v/>
      </c>
      <c r="V946" s="31" t="str">
        <f>IF(H946="CHK",VLOOKUP(I946,QCCHK,3,),IF(H946="GUP",VLOOKUP(E946,QCGUP,2,),IF(AND(H946="ATP",OR(I946="TN",I946="TDN",I946="TNO2-3",I946="NO2-3")),VLOOKUP(E946,QCREC_N,2,),IF(AND(H946="NIC",OR(I946="TN",I946="TDN",I946="TNO2-3",I946="NO2-3")),VLOOKUP(E946,QCNIC_N,2,),IF(AND(H946="UREA",OR(I946="TN",I946="TDN",I946="TNO2-3",I946="NO2-3")),VLOOKUP(E946,QCUREA_N,2,),IF(H946="PER",VLOOKUP(I946,QCPER,MATCH(E946,QCACTUAL!$J$25:$AA$25,0),),IF(H946="SPK",VLOOKUP(I946,QCSPK,3,),IF(AND(H946="ATP",OR(I946="TP",I946="TDP")),VLOOKUP(E946,QCATP_P,2,),""))))))))</f>
        <v/>
      </c>
      <c r="W946" s="31" t="str">
        <f t="shared" si="104"/>
        <v>TRUE</v>
      </c>
      <c r="X946" s="31" t="str">
        <f t="shared" si="105"/>
        <v/>
      </c>
      <c r="Y946" s="10" t="s">
        <v>1040</v>
      </c>
      <c r="Z946" s="10" t="s">
        <v>910</v>
      </c>
      <c r="AL946" s="10" t="str">
        <f t="shared" si="100"/>
        <v>FALSE</v>
      </c>
      <c r="AM946" s="10" t="str">
        <f t="shared" si="100"/>
        <v>FALSE</v>
      </c>
      <c r="AN946" s="10" t="str">
        <f t="shared" si="100"/>
        <v>FALSE</v>
      </c>
      <c r="AO946" s="10" t="str">
        <f t="shared" si="101"/>
        <v>FALSE</v>
      </c>
      <c r="AP946" s="10" t="str">
        <f t="shared" si="101"/>
        <v>FALSE</v>
      </c>
      <c r="AQ946" s="10" t="b">
        <f>IF(AND(I946="TP",S946&lt;=150),VLOOKUP(AF946,TPCalibEq150!$AZ$2:$BB$55,3,),IF(AND(I946="TDP",S946&lt;=150),VLOOKUP(AF946,TPCalibEq150!$AZ$2:$BB$55,3,)))</f>
        <v>0</v>
      </c>
      <c r="AR946" s="10" t="b">
        <f>IF(AND(I946="TP",S946&lt;=300),VLOOKUP(AF946,TPCalibEq300!$AZ$2:$BB$55,3,),IF(AND(I946="TDP",S946&lt;=300),VLOOKUP(AF946,TPCalibEq300!$AZ$2:$BB$55,3,)))</f>
        <v>0</v>
      </c>
      <c r="AS946" s="10" t="b">
        <f>IF(AND(I946="TP",S946&lt;=500),VLOOKUP(AF946,TPCalibEq500!$AZ$2:$BB$56,3,),IF(AND(I946="TDP",S946&lt;=500),VLOOKUP(AF946,TPCalibEq500!$AZ$2:$BB$56,3,)))</f>
        <v>0</v>
      </c>
      <c r="AT946" s="10" t="b">
        <f>IF(AND(I946="TN",S946&lt;=2800),VLOOKUP(AF946,TNCalibEq2500!$AZ$2:$BB$56,3,),IF(AND(I946="TDN",S946&lt;=2800),VLOOKUP(AF946,TNCalibEq2500!$AZ$2:$BB$56,3,)))</f>
        <v>0</v>
      </c>
      <c r="AU946" s="10" t="b">
        <f>IF(I946="TP",VLOOKUP(AF946,TPCalibEqFull!$AZ$2:$BB$56,3),IF(I946="TDP",VLOOKUP(AF946,TPCalibEqFull!$AZ$2:$BB$56,3),IF(I946="TDN",VLOOKUP(AF946,TNCalibEqFull!$AZ$1:$BB$56,3),IF(I946="TN",VLOOKUP(AF946,TNCalibEqFull!$AZ$1:$BB$56,3),FALSE))))</f>
        <v>0</v>
      </c>
      <c r="AV946" s="10" t="str">
        <f t="shared" si="106"/>
        <v>0117 09:03:00-EFC-0-C-1-SW-UKN</v>
      </c>
    </row>
    <row r="947" spans="1:48" s="10" customFormat="1" x14ac:dyDescent="0.55000000000000004">
      <c r="A947" s="32">
        <v>44943</v>
      </c>
      <c r="B947" s="33">
        <v>0.39097222222222222</v>
      </c>
      <c r="C947" s="10" t="s">
        <v>543</v>
      </c>
      <c r="D947" s="10">
        <v>0</v>
      </c>
      <c r="E947" s="10" t="s">
        <v>190</v>
      </c>
      <c r="F947" s="10">
        <v>1</v>
      </c>
      <c r="G947" s="10" t="s">
        <v>231</v>
      </c>
      <c r="H947" s="10" t="s">
        <v>322</v>
      </c>
      <c r="I947" s="10" t="s">
        <v>285</v>
      </c>
      <c r="J947" s="10">
        <v>17</v>
      </c>
      <c r="K947" s="12">
        <v>44950</v>
      </c>
      <c r="L947" s="33">
        <v>0.48247685185185185</v>
      </c>
      <c r="M947" s="10">
        <v>1</v>
      </c>
      <c r="N947" s="10" t="s">
        <v>211</v>
      </c>
      <c r="O947" s="10">
        <v>9.2600000000000002E-2</v>
      </c>
      <c r="P947" s="10">
        <v>9.8799999999999999E-3</v>
      </c>
      <c r="Q947" s="10">
        <v>19.2</v>
      </c>
      <c r="R947" s="10" t="s">
        <v>913</v>
      </c>
      <c r="S947" s="34">
        <f t="shared" si="102"/>
        <v>19.2</v>
      </c>
      <c r="T947" s="10" t="s">
        <v>1052</v>
      </c>
      <c r="U947" s="34" t="str">
        <f t="shared" si="103"/>
        <v/>
      </c>
      <c r="V947" s="31" t="str">
        <f>IF(H947="CHK",VLOOKUP(I947,QCCHK,3,),IF(H947="GUP",VLOOKUP(E947,QCGUP,2,),IF(AND(H947="ATP",OR(I947="TN",I947="TDN",I947="TNO2-3",I947="NO2-3")),VLOOKUP(E947,QCREC_N,2,),IF(AND(H947="NIC",OR(I947="TN",I947="TDN",I947="TNO2-3",I947="NO2-3")),VLOOKUP(E947,QCNIC_N,2,),IF(AND(H947="UREA",OR(I947="TN",I947="TDN",I947="TNO2-3",I947="NO2-3")),VLOOKUP(E947,QCUREA_N,2,),IF(H947="PER",VLOOKUP(I947,QCPER,MATCH(E947,QCACTUAL!$J$25:$AA$25,0),),IF(H947="SPK",VLOOKUP(I947,QCSPK,3,),IF(AND(H947="ATP",OR(I947="TP",I947="TDP")),VLOOKUP(E947,QCATP_P,2,),""))))))))</f>
        <v/>
      </c>
      <c r="W947" s="31" t="str">
        <f t="shared" si="104"/>
        <v>TRUE</v>
      </c>
      <c r="X947" s="31" t="str">
        <f t="shared" si="105"/>
        <v/>
      </c>
      <c r="Y947" s="10" t="s">
        <v>1040</v>
      </c>
      <c r="Z947" s="10" t="s">
        <v>910</v>
      </c>
      <c r="AL947" s="10" t="str">
        <f t="shared" si="100"/>
        <v>FALSE</v>
      </c>
      <c r="AM947" s="10" t="str">
        <f t="shared" si="100"/>
        <v>FALSE</v>
      </c>
      <c r="AN947" s="10" t="str">
        <f t="shared" si="100"/>
        <v>FALSE</v>
      </c>
      <c r="AO947" s="10" t="str">
        <f t="shared" si="101"/>
        <v>FALSE</v>
      </c>
      <c r="AP947" s="10" t="str">
        <f t="shared" si="101"/>
        <v>FALSE</v>
      </c>
      <c r="AQ947" s="10" t="b">
        <f>IF(AND(I947="TP",S947&lt;=150),VLOOKUP(AF947,TPCalibEq150!$AZ$2:$BB$55,3,),IF(AND(I947="TDP",S947&lt;=150),VLOOKUP(AF947,TPCalibEq150!$AZ$2:$BB$55,3,)))</f>
        <v>0</v>
      </c>
      <c r="AR947" s="10" t="b">
        <f>IF(AND(I947="TP",S947&lt;=300),VLOOKUP(AF947,TPCalibEq300!$AZ$2:$BB$55,3,),IF(AND(I947="TDP",S947&lt;=300),VLOOKUP(AF947,TPCalibEq300!$AZ$2:$BB$55,3,)))</f>
        <v>0</v>
      </c>
      <c r="AS947" s="10" t="b">
        <f>IF(AND(I947="TP",S947&lt;=500),VLOOKUP(AF947,TPCalibEq500!$AZ$2:$BB$56,3,),IF(AND(I947="TDP",S947&lt;=500),VLOOKUP(AF947,TPCalibEq500!$AZ$2:$BB$56,3,)))</f>
        <v>0</v>
      </c>
      <c r="AT947" s="10" t="b">
        <f>IF(AND(I947="TN",S947&lt;=2800),VLOOKUP(AF947,TNCalibEq2500!$AZ$2:$BB$56,3,),IF(AND(I947="TDN",S947&lt;=2800),VLOOKUP(AF947,TNCalibEq2500!$AZ$2:$BB$56,3,)))</f>
        <v>0</v>
      </c>
      <c r="AU947" s="10" t="b">
        <f>IF(I947="TP",VLOOKUP(AF947,TPCalibEqFull!$AZ$2:$BB$56,3),IF(I947="TDP",VLOOKUP(AF947,TPCalibEqFull!$AZ$2:$BB$56,3),IF(I947="TDN",VLOOKUP(AF947,TNCalibEqFull!$AZ$1:$BB$56,3),IF(I947="TN",VLOOKUP(AF947,TNCalibEqFull!$AZ$1:$BB$56,3),FALSE))))</f>
        <v>0</v>
      </c>
      <c r="AV947" s="10" t="str">
        <f t="shared" si="106"/>
        <v>0117 09:23:00-SAR-0-C-1-SW-UKN</v>
      </c>
    </row>
    <row r="948" spans="1:48" s="10" customFormat="1" x14ac:dyDescent="0.55000000000000004">
      <c r="A948" s="32">
        <v>44943</v>
      </c>
      <c r="B948" s="33">
        <v>0.40486111111111112</v>
      </c>
      <c r="C948" s="10" t="s">
        <v>361</v>
      </c>
      <c r="D948" s="10">
        <v>0</v>
      </c>
      <c r="E948" s="10" t="s">
        <v>190</v>
      </c>
      <c r="F948" s="10">
        <v>1</v>
      </c>
      <c r="G948" s="10" t="s">
        <v>231</v>
      </c>
      <c r="H948" s="10" t="s">
        <v>322</v>
      </c>
      <c r="I948" s="10" t="s">
        <v>285</v>
      </c>
      <c r="J948" s="10">
        <v>18</v>
      </c>
      <c r="K948" s="12">
        <v>44950</v>
      </c>
      <c r="L948" s="33">
        <v>0.48329861111111111</v>
      </c>
      <c r="M948" s="10">
        <v>1</v>
      </c>
      <c r="N948" s="10" t="s">
        <v>211</v>
      </c>
      <c r="O948" s="10">
        <v>7.9500000000000001E-2</v>
      </c>
      <c r="P948" s="10">
        <v>8.3199999999999993E-3</v>
      </c>
      <c r="Q948" s="10">
        <v>16.5</v>
      </c>
      <c r="R948" s="10" t="s">
        <v>913</v>
      </c>
      <c r="S948" s="34">
        <f t="shared" si="102"/>
        <v>16.5</v>
      </c>
      <c r="T948" s="10" t="s">
        <v>1052</v>
      </c>
      <c r="U948" s="34" t="str">
        <f t="shared" si="103"/>
        <v/>
      </c>
      <c r="V948" s="31" t="str">
        <f>IF(H948="CHK",VLOOKUP(I948,QCCHK,3,),IF(H948="GUP",VLOOKUP(E948,QCGUP,2,),IF(AND(H948="ATP",OR(I948="TN",I948="TDN",I948="TNO2-3",I948="NO2-3")),VLOOKUP(E948,QCREC_N,2,),IF(AND(H948="NIC",OR(I948="TN",I948="TDN",I948="TNO2-3",I948="NO2-3")),VLOOKUP(E948,QCNIC_N,2,),IF(AND(H948="UREA",OR(I948="TN",I948="TDN",I948="TNO2-3",I948="NO2-3")),VLOOKUP(E948,QCUREA_N,2,),IF(H948="PER",VLOOKUP(I948,QCPER,MATCH(E948,QCACTUAL!$J$25:$AA$25,0),),IF(H948="SPK",VLOOKUP(I948,QCSPK,3,),IF(AND(H948="ATP",OR(I948="TP",I948="TDP")),VLOOKUP(E948,QCATP_P,2,),""))))))))</f>
        <v/>
      </c>
      <c r="W948" s="31" t="str">
        <f t="shared" si="104"/>
        <v>TRUE</v>
      </c>
      <c r="X948" s="31" t="str">
        <f t="shared" si="105"/>
        <v/>
      </c>
      <c r="Y948" s="10" t="s">
        <v>1040</v>
      </c>
      <c r="Z948" s="10" t="s">
        <v>910</v>
      </c>
      <c r="AL948" s="10" t="str">
        <f t="shared" si="100"/>
        <v>FALSE</v>
      </c>
      <c r="AM948" s="10" t="str">
        <f t="shared" si="100"/>
        <v>FALSE</v>
      </c>
      <c r="AN948" s="10" t="str">
        <f t="shared" si="100"/>
        <v>FALSE</v>
      </c>
      <c r="AO948" s="10" t="str">
        <f t="shared" si="101"/>
        <v>FALSE</v>
      </c>
      <c r="AP948" s="10" t="str">
        <f t="shared" si="101"/>
        <v>FALSE</v>
      </c>
      <c r="AQ948" s="10" t="b">
        <f>IF(AND(I948="TP",S948&lt;=150),VLOOKUP(AF948,TPCalibEq150!$AZ$2:$BB$55,3,),IF(AND(I948="TDP",S948&lt;=150),VLOOKUP(AF948,TPCalibEq150!$AZ$2:$BB$55,3,)))</f>
        <v>0</v>
      </c>
      <c r="AR948" s="10" t="b">
        <f>IF(AND(I948="TP",S948&lt;=300),VLOOKUP(AF948,TPCalibEq300!$AZ$2:$BB$55,3,),IF(AND(I948="TDP",S948&lt;=300),VLOOKUP(AF948,TPCalibEq300!$AZ$2:$BB$55,3,)))</f>
        <v>0</v>
      </c>
      <c r="AS948" s="10" t="b">
        <f>IF(AND(I948="TP",S948&lt;=500),VLOOKUP(AF948,TPCalibEq500!$AZ$2:$BB$56,3,),IF(AND(I948="TDP",S948&lt;=500),VLOOKUP(AF948,TPCalibEq500!$AZ$2:$BB$56,3,)))</f>
        <v>0</v>
      </c>
      <c r="AT948" s="10" t="b">
        <f>IF(AND(I948="TN",S948&lt;=2800),VLOOKUP(AF948,TNCalibEq2500!$AZ$2:$BB$56,3,),IF(AND(I948="TDN",S948&lt;=2800),VLOOKUP(AF948,TNCalibEq2500!$AZ$2:$BB$56,3,)))</f>
        <v>0</v>
      </c>
      <c r="AU948" s="10" t="b">
        <f>IF(I948="TP",VLOOKUP(AF948,TPCalibEqFull!$AZ$2:$BB$56,3),IF(I948="TDP",VLOOKUP(AF948,TPCalibEqFull!$AZ$2:$BB$56,3),IF(I948="TDN",VLOOKUP(AF948,TNCalibEqFull!$AZ$1:$BB$56,3),IF(I948="TN",VLOOKUP(AF948,TNCalibEqFull!$AZ$1:$BB$56,3),FALSE))))</f>
        <v>0</v>
      </c>
      <c r="AV948" s="10" t="str">
        <f t="shared" si="106"/>
        <v>0117 09:43:00-USR-0-C-1-SW-UKN</v>
      </c>
    </row>
    <row r="949" spans="1:48" s="10" customFormat="1" x14ac:dyDescent="0.55000000000000004">
      <c r="A949" s="32">
        <v>44943</v>
      </c>
      <c r="B949" s="33">
        <v>0.42152777777777778</v>
      </c>
      <c r="C949" s="10" t="s">
        <v>351</v>
      </c>
      <c r="D949" s="10">
        <v>0</v>
      </c>
      <c r="E949" s="10" t="s">
        <v>190</v>
      </c>
      <c r="F949" s="10">
        <v>1</v>
      </c>
      <c r="G949" s="10" t="s">
        <v>231</v>
      </c>
      <c r="H949" s="10" t="s">
        <v>322</v>
      </c>
      <c r="I949" s="10" t="s">
        <v>285</v>
      </c>
      <c r="J949" s="10">
        <v>19</v>
      </c>
      <c r="K949" s="12">
        <v>44950</v>
      </c>
      <c r="L949" s="33">
        <v>0.48412037037037042</v>
      </c>
      <c r="M949" s="10">
        <v>1</v>
      </c>
      <c r="N949" s="10" t="s">
        <v>211</v>
      </c>
      <c r="O949" s="10">
        <v>6.3799999999999996E-2</v>
      </c>
      <c r="P949" s="10">
        <v>6.8700000000000002E-3</v>
      </c>
      <c r="Q949" s="10">
        <v>13.2</v>
      </c>
      <c r="R949" s="10" t="s">
        <v>913</v>
      </c>
      <c r="S949" s="34">
        <f t="shared" si="102"/>
        <v>13.2</v>
      </c>
      <c r="T949" s="10" t="s">
        <v>1052</v>
      </c>
      <c r="U949" s="34" t="str">
        <f t="shared" si="103"/>
        <v/>
      </c>
      <c r="V949" s="31" t="str">
        <f>IF(H949="CHK",VLOOKUP(I949,QCCHK,3,),IF(H949="GUP",VLOOKUP(E949,QCGUP,2,),IF(AND(H949="ATP",OR(I949="TN",I949="TDN",I949="TNO2-3",I949="NO2-3")),VLOOKUP(E949,QCREC_N,2,),IF(AND(H949="NIC",OR(I949="TN",I949="TDN",I949="TNO2-3",I949="NO2-3")),VLOOKUP(E949,QCNIC_N,2,),IF(AND(H949="UREA",OR(I949="TN",I949="TDN",I949="TNO2-3",I949="NO2-3")),VLOOKUP(E949,QCUREA_N,2,),IF(H949="PER",VLOOKUP(I949,QCPER,MATCH(E949,QCACTUAL!$J$25:$AA$25,0),),IF(H949="SPK",VLOOKUP(I949,QCSPK,3,),IF(AND(H949="ATP",OR(I949="TP",I949="TDP")),VLOOKUP(E949,QCATP_P,2,),""))))))))</f>
        <v/>
      </c>
      <c r="W949" s="31" t="str">
        <f t="shared" si="104"/>
        <v>TRUE</v>
      </c>
      <c r="X949" s="31" t="str">
        <f t="shared" si="105"/>
        <v/>
      </c>
      <c r="Y949" s="10" t="s">
        <v>1040</v>
      </c>
      <c r="Z949" s="10" t="s">
        <v>910</v>
      </c>
      <c r="AL949" s="10" t="str">
        <f t="shared" si="100"/>
        <v>FALSE</v>
      </c>
      <c r="AM949" s="10" t="str">
        <f t="shared" si="100"/>
        <v>FALSE</v>
      </c>
      <c r="AN949" s="10" t="str">
        <f t="shared" si="100"/>
        <v>FALSE</v>
      </c>
      <c r="AO949" s="10" t="str">
        <f t="shared" si="101"/>
        <v>FALSE</v>
      </c>
      <c r="AP949" s="10" t="str">
        <f t="shared" si="101"/>
        <v>FALSE</v>
      </c>
      <c r="AQ949" s="10" t="b">
        <f>IF(AND(I949="TP",S949&lt;=150),VLOOKUP(AF949,TPCalibEq150!$AZ$2:$BB$55,3,),IF(AND(I949="TDP",S949&lt;=150),VLOOKUP(AF949,TPCalibEq150!$AZ$2:$BB$55,3,)))</f>
        <v>0</v>
      </c>
      <c r="AR949" s="10" t="b">
        <f>IF(AND(I949="TP",S949&lt;=300),VLOOKUP(AF949,TPCalibEq300!$AZ$2:$BB$55,3,),IF(AND(I949="TDP",S949&lt;=300),VLOOKUP(AF949,TPCalibEq300!$AZ$2:$BB$55,3,)))</f>
        <v>0</v>
      </c>
      <c r="AS949" s="10" t="b">
        <f>IF(AND(I949="TP",S949&lt;=500),VLOOKUP(AF949,TPCalibEq500!$AZ$2:$BB$56,3,),IF(AND(I949="TDP",S949&lt;=500),VLOOKUP(AF949,TPCalibEq500!$AZ$2:$BB$56,3,)))</f>
        <v>0</v>
      </c>
      <c r="AT949" s="10" t="b">
        <f>IF(AND(I949="TN",S949&lt;=2800),VLOOKUP(AF949,TNCalibEq2500!$AZ$2:$BB$56,3,),IF(AND(I949="TDN",S949&lt;=2800),VLOOKUP(AF949,TNCalibEq2500!$AZ$2:$BB$56,3,)))</f>
        <v>0</v>
      </c>
      <c r="AU949" s="10" t="b">
        <f>IF(I949="TP",VLOOKUP(AF949,TPCalibEqFull!$AZ$2:$BB$56,3),IF(I949="TDP",VLOOKUP(AF949,TPCalibEqFull!$AZ$2:$BB$56,3),IF(I949="TDN",VLOOKUP(AF949,TNCalibEqFull!$AZ$1:$BB$56,3),IF(I949="TN",VLOOKUP(AF949,TNCalibEqFull!$AZ$1:$BB$56,3),FALSE))))</f>
        <v>0</v>
      </c>
      <c r="AV949" s="10" t="str">
        <f t="shared" si="106"/>
        <v>0117 10:07:00-SHC-0-C-1-SW-UKN</v>
      </c>
    </row>
    <row r="950" spans="1:48" s="10" customFormat="1" x14ac:dyDescent="0.55000000000000004">
      <c r="A950" s="32">
        <v>44943</v>
      </c>
      <c r="B950" s="33">
        <v>0.43472222222222223</v>
      </c>
      <c r="C950" s="10" t="s">
        <v>355</v>
      </c>
      <c r="D950" s="10">
        <v>0</v>
      </c>
      <c r="E950" s="10" t="s">
        <v>190</v>
      </c>
      <c r="F950" s="10">
        <v>1</v>
      </c>
      <c r="G950" s="10" t="s">
        <v>231</v>
      </c>
      <c r="H950" s="10" t="s">
        <v>322</v>
      </c>
      <c r="I950" s="10" t="s">
        <v>285</v>
      </c>
      <c r="J950" s="10">
        <v>20</v>
      </c>
      <c r="K950" s="12">
        <v>44950</v>
      </c>
      <c r="L950" s="33">
        <v>0.48493055555555559</v>
      </c>
      <c r="M950" s="10">
        <v>1</v>
      </c>
      <c r="N950" s="10" t="s">
        <v>211</v>
      </c>
      <c r="O950" s="10">
        <v>7.9699999999999993E-2</v>
      </c>
      <c r="P950" s="10">
        <v>8.5400000000000007E-3</v>
      </c>
      <c r="Q950" s="10">
        <v>16.5</v>
      </c>
      <c r="R950" s="10" t="s">
        <v>913</v>
      </c>
      <c r="S950" s="34">
        <f t="shared" si="102"/>
        <v>16.5</v>
      </c>
      <c r="T950" s="10" t="s">
        <v>1052</v>
      </c>
      <c r="U950" s="34" t="str">
        <f t="shared" si="103"/>
        <v/>
      </c>
      <c r="V950" s="31" t="str">
        <f>IF(H950="CHK",VLOOKUP(I950,QCCHK,3,),IF(H950="GUP",VLOOKUP(E950,QCGUP,2,),IF(AND(H950="ATP",OR(I950="TN",I950="TDN",I950="TNO2-3",I950="NO2-3")),VLOOKUP(E950,QCREC_N,2,),IF(AND(H950="NIC",OR(I950="TN",I950="TDN",I950="TNO2-3",I950="NO2-3")),VLOOKUP(E950,QCNIC_N,2,),IF(AND(H950="UREA",OR(I950="TN",I950="TDN",I950="TNO2-3",I950="NO2-3")),VLOOKUP(E950,QCUREA_N,2,),IF(H950="PER",VLOOKUP(I950,QCPER,MATCH(E950,QCACTUAL!$J$25:$AA$25,0),),IF(H950="SPK",VLOOKUP(I950,QCSPK,3,),IF(AND(H950="ATP",OR(I950="TP",I950="TDP")),VLOOKUP(E950,QCATP_P,2,),""))))))))</f>
        <v/>
      </c>
      <c r="W950" s="31" t="str">
        <f t="shared" si="104"/>
        <v>TRUE</v>
      </c>
      <c r="X950" s="31" t="str">
        <f t="shared" si="105"/>
        <v/>
      </c>
      <c r="Y950" s="10" t="s">
        <v>1040</v>
      </c>
      <c r="Z950" s="10" t="s">
        <v>910</v>
      </c>
      <c r="AL950" s="10" t="str">
        <f t="shared" si="100"/>
        <v>FALSE</v>
      </c>
      <c r="AM950" s="10" t="str">
        <f t="shared" si="100"/>
        <v>FALSE</v>
      </c>
      <c r="AN950" s="10" t="str">
        <f t="shared" si="100"/>
        <v>FALSE</v>
      </c>
      <c r="AO950" s="10" t="str">
        <f t="shared" si="101"/>
        <v>FALSE</v>
      </c>
      <c r="AP950" s="10" t="str">
        <f t="shared" si="101"/>
        <v>FALSE</v>
      </c>
      <c r="AQ950" s="10" t="b">
        <f>IF(AND(I950="TP",S950&lt;=150),VLOOKUP(AF950,TPCalibEq150!$AZ$2:$BB$55,3,),IF(AND(I950="TDP",S950&lt;=150),VLOOKUP(AF950,TPCalibEq150!$AZ$2:$BB$55,3,)))</f>
        <v>0</v>
      </c>
      <c r="AR950" s="10" t="b">
        <f>IF(AND(I950="TP",S950&lt;=300),VLOOKUP(AF950,TPCalibEq300!$AZ$2:$BB$55,3,),IF(AND(I950="TDP",S950&lt;=300),VLOOKUP(AF950,TPCalibEq300!$AZ$2:$BB$55,3,)))</f>
        <v>0</v>
      </c>
      <c r="AS950" s="10" t="b">
        <f>IF(AND(I950="TP",S950&lt;=500),VLOOKUP(AF950,TPCalibEq500!$AZ$2:$BB$56,3,),IF(AND(I950="TDP",S950&lt;=500),VLOOKUP(AF950,TPCalibEq500!$AZ$2:$BB$56,3,)))</f>
        <v>0</v>
      </c>
      <c r="AT950" s="10" t="b">
        <f>IF(AND(I950="TN",S950&lt;=2800),VLOOKUP(AF950,TNCalibEq2500!$AZ$2:$BB$56,3,),IF(AND(I950="TDN",S950&lt;=2800),VLOOKUP(AF950,TNCalibEq2500!$AZ$2:$BB$56,3,)))</f>
        <v>0</v>
      </c>
      <c r="AU950" s="10" t="b">
        <f>IF(I950="TP",VLOOKUP(AF950,TPCalibEqFull!$AZ$2:$BB$56,3),IF(I950="TDP",VLOOKUP(AF950,TPCalibEqFull!$AZ$2:$BB$56,3),IF(I950="TDN",VLOOKUP(AF950,TNCalibEqFull!$AZ$1:$BB$56,3),IF(I950="TN",VLOOKUP(AF950,TNCalibEqFull!$AZ$1:$BB$56,3),FALSE))))</f>
        <v>0</v>
      </c>
      <c r="AV950" s="10" t="str">
        <f t="shared" si="106"/>
        <v>0117 10:26:00-SLT-0-C-1-SW-UKN</v>
      </c>
    </row>
    <row r="951" spans="1:48" s="10" customFormat="1" x14ac:dyDescent="0.55000000000000004">
      <c r="A951" s="32">
        <v>44943</v>
      </c>
      <c r="B951" s="33">
        <v>0.4604166666666667</v>
      </c>
      <c r="C951" s="10" t="s">
        <v>310</v>
      </c>
      <c r="D951" s="10">
        <v>0</v>
      </c>
      <c r="E951" s="10" t="s">
        <v>190</v>
      </c>
      <c r="F951" s="10">
        <v>1</v>
      </c>
      <c r="G951" s="10" t="s">
        <v>231</v>
      </c>
      <c r="H951" s="10" t="s">
        <v>322</v>
      </c>
      <c r="I951" s="10" t="s">
        <v>285</v>
      </c>
      <c r="J951" s="10">
        <v>21</v>
      </c>
      <c r="K951" s="12">
        <v>44950</v>
      </c>
      <c r="L951" s="33">
        <v>0.48575231481481485</v>
      </c>
      <c r="M951" s="10">
        <v>1</v>
      </c>
      <c r="N951" s="10" t="s">
        <v>211</v>
      </c>
      <c r="O951" s="10">
        <v>0.48399999999999999</v>
      </c>
      <c r="P951" s="10">
        <v>5.62E-2</v>
      </c>
      <c r="Q951" s="10">
        <v>100</v>
      </c>
      <c r="R951" s="10" t="s">
        <v>913</v>
      </c>
      <c r="S951" s="34">
        <f t="shared" si="102"/>
        <v>100</v>
      </c>
      <c r="T951" s="10" t="s">
        <v>1052</v>
      </c>
      <c r="U951" s="34" t="str">
        <f t="shared" si="103"/>
        <v/>
      </c>
      <c r="V951" s="31" t="str">
        <f>IF(H951="CHK",VLOOKUP(I951,QCCHK,3,),IF(H951="GUP",VLOOKUP(E951,QCGUP,2,),IF(AND(H951="ATP",OR(I951="TN",I951="TDN",I951="TNO2-3",I951="NO2-3")),VLOOKUP(E951,QCREC_N,2,),IF(AND(H951="NIC",OR(I951="TN",I951="TDN",I951="TNO2-3",I951="NO2-3")),VLOOKUP(E951,QCNIC_N,2,),IF(AND(H951="UREA",OR(I951="TN",I951="TDN",I951="TNO2-3",I951="NO2-3")),VLOOKUP(E951,QCUREA_N,2,),IF(H951="PER",VLOOKUP(I951,QCPER,MATCH(E951,QCACTUAL!$J$25:$AA$25,0),),IF(H951="SPK",VLOOKUP(I951,QCSPK,3,),IF(AND(H951="ATP",OR(I951="TP",I951="TDP")),VLOOKUP(E951,QCATP_P,2,),""))))))))</f>
        <v/>
      </c>
      <c r="W951" s="31" t="str">
        <f t="shared" si="104"/>
        <v>TRUE</v>
      </c>
      <c r="X951" s="31" t="str">
        <f t="shared" si="105"/>
        <v/>
      </c>
      <c r="Y951" s="10" t="s">
        <v>1040</v>
      </c>
      <c r="Z951" s="10" t="s">
        <v>910</v>
      </c>
      <c r="AL951" s="10" t="str">
        <f t="shared" si="100"/>
        <v>FALSE</v>
      </c>
      <c r="AM951" s="10" t="str">
        <f t="shared" si="100"/>
        <v>FALSE</v>
      </c>
      <c r="AN951" s="10" t="str">
        <f t="shared" si="100"/>
        <v>FALSE</v>
      </c>
      <c r="AO951" s="10" t="str">
        <f t="shared" si="101"/>
        <v>FALSE</v>
      </c>
      <c r="AP951" s="10" t="str">
        <f t="shared" si="101"/>
        <v>FALSE</v>
      </c>
      <c r="AQ951" s="10" t="b">
        <f>IF(AND(I951="TP",S951&lt;=150),VLOOKUP(AF951,TPCalibEq150!$AZ$2:$BB$55,3,),IF(AND(I951="TDP",S951&lt;=150),VLOOKUP(AF951,TPCalibEq150!$AZ$2:$BB$55,3,)))</f>
        <v>0</v>
      </c>
      <c r="AR951" s="10" t="b">
        <f>IF(AND(I951="TP",S951&lt;=300),VLOOKUP(AF951,TPCalibEq300!$AZ$2:$BB$55,3,),IF(AND(I951="TDP",S951&lt;=300),VLOOKUP(AF951,TPCalibEq300!$AZ$2:$BB$55,3,)))</f>
        <v>0</v>
      </c>
      <c r="AS951" s="10" t="b">
        <f>IF(AND(I951="TP",S951&lt;=500),VLOOKUP(AF951,TPCalibEq500!$AZ$2:$BB$56,3,),IF(AND(I951="TDP",S951&lt;=500),VLOOKUP(AF951,TPCalibEq500!$AZ$2:$BB$56,3,)))</f>
        <v>0</v>
      </c>
      <c r="AT951" s="10" t="b">
        <f>IF(AND(I951="TN",S951&lt;=2800),VLOOKUP(AF951,TNCalibEq2500!$AZ$2:$BB$56,3,),IF(AND(I951="TDN",S951&lt;=2800),VLOOKUP(AF951,TNCalibEq2500!$AZ$2:$BB$56,3,)))</f>
        <v>0</v>
      </c>
      <c r="AU951" s="10" t="b">
        <f>IF(I951="TP",VLOOKUP(AF951,TPCalibEqFull!$AZ$2:$BB$56,3),IF(I951="TDP",VLOOKUP(AF951,TPCalibEqFull!$AZ$2:$BB$56,3),IF(I951="TDN",VLOOKUP(AF951,TNCalibEqFull!$AZ$1:$BB$56,3),IF(I951="TN",VLOOKUP(AF951,TNCalibEqFull!$AZ$1:$BB$56,3),FALSE))))</f>
        <v>0</v>
      </c>
      <c r="AV951" s="10" t="str">
        <f t="shared" si="106"/>
        <v>0117 11:03:00-ELI-0-C-1-SW-UKN</v>
      </c>
    </row>
    <row r="952" spans="1:48" s="10" customFormat="1" x14ac:dyDescent="0.55000000000000004">
      <c r="A952" s="32">
        <v>44943</v>
      </c>
      <c r="B952" s="33">
        <v>0.47013888888888888</v>
      </c>
      <c r="C952" s="10" t="s">
        <v>999</v>
      </c>
      <c r="D952" s="10">
        <v>0</v>
      </c>
      <c r="E952" s="10" t="s">
        <v>190</v>
      </c>
      <c r="F952" s="10">
        <v>1</v>
      </c>
      <c r="G952" s="10" t="s">
        <v>231</v>
      </c>
      <c r="H952" s="10" t="s">
        <v>322</v>
      </c>
      <c r="I952" s="10" t="s">
        <v>285</v>
      </c>
      <c r="J952" s="10">
        <v>22</v>
      </c>
      <c r="K952" s="12">
        <v>44950</v>
      </c>
      <c r="L952" s="33">
        <v>0.48657407407407405</v>
      </c>
      <c r="M952" s="10">
        <v>1</v>
      </c>
      <c r="N952" s="10" t="s">
        <v>211</v>
      </c>
      <c r="O952" s="10">
        <v>0.41</v>
      </c>
      <c r="P952" s="10">
        <v>4.7199999999999999E-2</v>
      </c>
      <c r="Q952" s="10">
        <v>85.1</v>
      </c>
      <c r="R952" s="10" t="s">
        <v>913</v>
      </c>
      <c r="S952" s="34">
        <f t="shared" si="102"/>
        <v>85.1</v>
      </c>
      <c r="T952" s="10" t="s">
        <v>1052</v>
      </c>
      <c r="U952" s="34" t="str">
        <f t="shared" si="103"/>
        <v/>
      </c>
      <c r="V952" s="31" t="str">
        <f>IF(H952="CHK",VLOOKUP(I952,QCCHK,3,),IF(H952="GUP",VLOOKUP(E952,QCGUP,2,),IF(AND(H952="ATP",OR(I952="TN",I952="TDN",I952="TNO2-3",I952="NO2-3")),VLOOKUP(E952,QCREC_N,2,),IF(AND(H952="NIC",OR(I952="TN",I952="TDN",I952="TNO2-3",I952="NO2-3")),VLOOKUP(E952,QCNIC_N,2,),IF(AND(H952="UREA",OR(I952="TN",I952="TDN",I952="TNO2-3",I952="NO2-3")),VLOOKUP(E952,QCUREA_N,2,),IF(H952="PER",VLOOKUP(I952,QCPER,MATCH(E952,QCACTUAL!$J$25:$AA$25,0),),IF(H952="SPK",VLOOKUP(I952,QCSPK,3,),IF(AND(H952="ATP",OR(I952="TP",I952="TDP")),VLOOKUP(E952,QCATP_P,2,),""))))))))</f>
        <v/>
      </c>
      <c r="W952" s="31" t="str">
        <f t="shared" si="104"/>
        <v>TRUE</v>
      </c>
      <c r="X952" s="31" t="str">
        <f t="shared" si="105"/>
        <v/>
      </c>
      <c r="Y952" s="10" t="s">
        <v>1040</v>
      </c>
      <c r="Z952" s="10" t="s">
        <v>910</v>
      </c>
      <c r="AL952" s="10" t="str">
        <f t="shared" ref="AL952:AN1015" si="107">IF($O952="", "", IF(AQ952&lt;&gt;"", SUBSTITUTE(SUBSTITUTE(AQ952, "x", "*"&amp;$O952&amp;"^", 1), "x", "*"&amp;$O952, 1), ""))</f>
        <v>FALSE</v>
      </c>
      <c r="AM952" s="10" t="str">
        <f t="shared" si="107"/>
        <v>FALSE</v>
      </c>
      <c r="AN952" s="10" t="str">
        <f t="shared" si="107"/>
        <v>FALSE</v>
      </c>
      <c r="AO952" s="10" t="str">
        <f t="shared" ref="AO952:AP1015" si="108">IF($O952="", "FALSE", IF(AT952&lt;&gt;"FALSE", SUBSTITUTE(SUBSTITUTE(AT952, "x", "*"&amp;$O952&amp;"^", 1), "x", "*"&amp;$O952, 1), ""))</f>
        <v>FALSE</v>
      </c>
      <c r="AP952" s="10" t="str">
        <f t="shared" si="108"/>
        <v>FALSE</v>
      </c>
      <c r="AQ952" s="10" t="b">
        <f>IF(AND(I952="TP",S952&lt;=150),VLOOKUP(AF952,TPCalibEq150!$AZ$2:$BB$55,3,),IF(AND(I952="TDP",S952&lt;=150),VLOOKUP(AF952,TPCalibEq150!$AZ$2:$BB$55,3,)))</f>
        <v>0</v>
      </c>
      <c r="AR952" s="10" t="b">
        <f>IF(AND(I952="TP",S952&lt;=300),VLOOKUP(AF952,TPCalibEq300!$AZ$2:$BB$55,3,),IF(AND(I952="TDP",S952&lt;=300),VLOOKUP(AF952,TPCalibEq300!$AZ$2:$BB$55,3,)))</f>
        <v>0</v>
      </c>
      <c r="AS952" s="10" t="b">
        <f>IF(AND(I952="TP",S952&lt;=500),VLOOKUP(AF952,TPCalibEq500!$AZ$2:$BB$56,3,),IF(AND(I952="TDP",S952&lt;=500),VLOOKUP(AF952,TPCalibEq500!$AZ$2:$BB$56,3,)))</f>
        <v>0</v>
      </c>
      <c r="AT952" s="10" t="b">
        <f>IF(AND(I952="TN",S952&lt;=2800),VLOOKUP(AF952,TNCalibEq2500!$AZ$2:$BB$56,3,),IF(AND(I952="TDN",S952&lt;=2800),VLOOKUP(AF952,TNCalibEq2500!$AZ$2:$BB$56,3,)))</f>
        <v>0</v>
      </c>
      <c r="AU952" s="10" t="b">
        <f>IF(I952="TP",VLOOKUP(AF952,TPCalibEqFull!$AZ$2:$BB$56,3),IF(I952="TDP",VLOOKUP(AF952,TPCalibEqFull!$AZ$2:$BB$56,3),IF(I952="TDN",VLOOKUP(AF952,TNCalibEqFull!$AZ$1:$BB$56,3),IF(I952="TN",VLOOKUP(AF952,TNCalibEqFull!$AZ$1:$BB$56,3),FALSE))))</f>
        <v>0</v>
      </c>
      <c r="AV952" s="10" t="str">
        <f t="shared" si="106"/>
        <v>0117 11:17:00-EAW-0-C-1-SW-UKN</v>
      </c>
    </row>
    <row r="953" spans="1:48" s="10" customFormat="1" x14ac:dyDescent="0.55000000000000004">
      <c r="A953" s="32">
        <v>44943</v>
      </c>
      <c r="B953" s="33">
        <v>0.48125000000000001</v>
      </c>
      <c r="C953" s="10" t="s">
        <v>613</v>
      </c>
      <c r="D953" s="10">
        <v>0</v>
      </c>
      <c r="E953" s="10" t="s">
        <v>190</v>
      </c>
      <c r="F953" s="10">
        <v>1</v>
      </c>
      <c r="G953" s="10" t="s">
        <v>231</v>
      </c>
      <c r="H953" s="10" t="s">
        <v>322</v>
      </c>
      <c r="I953" s="10" t="s">
        <v>285</v>
      </c>
      <c r="J953" s="10">
        <v>23</v>
      </c>
      <c r="K953" s="12">
        <v>44950</v>
      </c>
      <c r="L953" s="33">
        <v>0.48739583333333331</v>
      </c>
      <c r="M953" s="10">
        <v>1</v>
      </c>
      <c r="N953" s="10" t="s">
        <v>211</v>
      </c>
      <c r="O953" s="10">
        <v>0.64900000000000002</v>
      </c>
      <c r="P953" s="10">
        <v>7.6100000000000001E-2</v>
      </c>
      <c r="Q953" s="10">
        <v>135</v>
      </c>
      <c r="R953" s="10" t="s">
        <v>913</v>
      </c>
      <c r="S953" s="34">
        <f t="shared" si="102"/>
        <v>135</v>
      </c>
      <c r="T953" s="10" t="s">
        <v>1052</v>
      </c>
      <c r="U953" s="34" t="str">
        <f t="shared" si="103"/>
        <v/>
      </c>
      <c r="V953" s="31" t="str">
        <f>IF(H953="CHK",VLOOKUP(I953,QCCHK,3,),IF(H953="GUP",VLOOKUP(E953,QCGUP,2,),IF(AND(H953="ATP",OR(I953="TN",I953="TDN",I953="TNO2-3",I953="NO2-3")),VLOOKUP(E953,QCREC_N,2,),IF(AND(H953="NIC",OR(I953="TN",I953="TDN",I953="TNO2-3",I953="NO2-3")),VLOOKUP(E953,QCNIC_N,2,),IF(AND(H953="UREA",OR(I953="TN",I953="TDN",I953="TNO2-3",I953="NO2-3")),VLOOKUP(E953,QCUREA_N,2,),IF(H953="PER",VLOOKUP(I953,QCPER,MATCH(E953,QCACTUAL!$J$25:$AA$25,0),),IF(H953="SPK",VLOOKUP(I953,QCSPK,3,),IF(AND(H953="ATP",OR(I953="TP",I953="TDP")),VLOOKUP(E953,QCATP_P,2,),""))))))))</f>
        <v/>
      </c>
      <c r="W953" s="31" t="str">
        <f t="shared" si="104"/>
        <v>TRUE</v>
      </c>
      <c r="X953" s="31" t="str">
        <f t="shared" si="105"/>
        <v/>
      </c>
      <c r="Y953" s="10" t="s">
        <v>1040</v>
      </c>
      <c r="Z953" s="10" t="s">
        <v>910</v>
      </c>
      <c r="AL953" s="10" t="str">
        <f t="shared" si="107"/>
        <v>FALSE</v>
      </c>
      <c r="AM953" s="10" t="str">
        <f t="shared" si="107"/>
        <v>FALSE</v>
      </c>
      <c r="AN953" s="10" t="str">
        <f t="shared" si="107"/>
        <v>FALSE</v>
      </c>
      <c r="AO953" s="10" t="str">
        <f t="shared" si="108"/>
        <v>FALSE</v>
      </c>
      <c r="AP953" s="10" t="str">
        <f t="shared" si="108"/>
        <v>FALSE</v>
      </c>
      <c r="AQ953" s="10" t="b">
        <f>IF(AND(I953="TP",S953&lt;=150),VLOOKUP(AF953,TPCalibEq150!$AZ$2:$BB$55,3,),IF(AND(I953="TDP",S953&lt;=150),VLOOKUP(AF953,TPCalibEq150!$AZ$2:$BB$55,3,)))</f>
        <v>0</v>
      </c>
      <c r="AR953" s="10" t="b">
        <f>IF(AND(I953="TP",S953&lt;=300),VLOOKUP(AF953,TPCalibEq300!$AZ$2:$BB$55,3,),IF(AND(I953="TDP",S953&lt;=300),VLOOKUP(AF953,TPCalibEq300!$AZ$2:$BB$55,3,)))</f>
        <v>0</v>
      </c>
      <c r="AS953" s="10" t="b">
        <f>IF(AND(I953="TP",S953&lt;=500),VLOOKUP(AF953,TPCalibEq500!$AZ$2:$BB$56,3,),IF(AND(I953="TDP",S953&lt;=500),VLOOKUP(AF953,TPCalibEq500!$AZ$2:$BB$56,3,)))</f>
        <v>0</v>
      </c>
      <c r="AT953" s="10" t="b">
        <f>IF(AND(I953="TN",S953&lt;=2800),VLOOKUP(AF953,TNCalibEq2500!$AZ$2:$BB$56,3,),IF(AND(I953="TDN",S953&lt;=2800),VLOOKUP(AF953,TNCalibEq2500!$AZ$2:$BB$56,3,)))</f>
        <v>0</v>
      </c>
      <c r="AU953" s="10" t="b">
        <f>IF(I953="TP",VLOOKUP(AF953,TPCalibEqFull!$AZ$2:$BB$56,3),IF(I953="TDP",VLOOKUP(AF953,TPCalibEqFull!$AZ$2:$BB$56,3),IF(I953="TDN",VLOOKUP(AF953,TNCalibEqFull!$AZ$1:$BB$56,3),IF(I953="TN",VLOOKUP(AF953,TNCalibEqFull!$AZ$1:$BB$56,3),FALSE))))</f>
        <v>0</v>
      </c>
      <c r="AV953" s="10" t="str">
        <f t="shared" si="106"/>
        <v>0117 11:33:00-FVC-0-C-1-SW-UKN</v>
      </c>
    </row>
    <row r="954" spans="1:48" s="10" customFormat="1" x14ac:dyDescent="0.55000000000000004">
      <c r="A954" s="32">
        <v>44943</v>
      </c>
      <c r="B954" s="33">
        <v>0.48125000000000001</v>
      </c>
      <c r="C954" s="10" t="s">
        <v>613</v>
      </c>
      <c r="D954" s="10">
        <v>0</v>
      </c>
      <c r="E954" s="10" t="s">
        <v>190</v>
      </c>
      <c r="F954" s="10">
        <v>2</v>
      </c>
      <c r="G954" s="10" t="s">
        <v>231</v>
      </c>
      <c r="H954" s="10" t="s">
        <v>322</v>
      </c>
      <c r="I954" s="10" t="s">
        <v>285</v>
      </c>
      <c r="J954" s="10">
        <v>24</v>
      </c>
      <c r="K954" s="12">
        <v>44950</v>
      </c>
      <c r="L954" s="33">
        <v>0.48820601851851847</v>
      </c>
      <c r="M954" s="10">
        <v>1</v>
      </c>
      <c r="N954" s="10" t="s">
        <v>211</v>
      </c>
      <c r="O954" s="10">
        <v>0.70899999999999996</v>
      </c>
      <c r="P954" s="10">
        <v>8.3599999999999994E-2</v>
      </c>
      <c r="Q954" s="10">
        <v>147</v>
      </c>
      <c r="R954" s="10" t="s">
        <v>913</v>
      </c>
      <c r="S954" s="34">
        <f t="shared" si="102"/>
        <v>147</v>
      </c>
      <c r="T954" s="10" t="s">
        <v>1052</v>
      </c>
      <c r="U954" s="34" t="str">
        <f t="shared" si="103"/>
        <v/>
      </c>
      <c r="V954" s="31" t="str">
        <f>IF(H954="CHK",VLOOKUP(I954,QCCHK,3,),IF(H954="GUP",VLOOKUP(E954,QCGUP,2,),IF(AND(H954="ATP",OR(I954="TN",I954="TDN",I954="TNO2-3",I954="NO2-3")),VLOOKUP(E954,QCREC_N,2,),IF(AND(H954="NIC",OR(I954="TN",I954="TDN",I954="TNO2-3",I954="NO2-3")),VLOOKUP(E954,QCNIC_N,2,),IF(AND(H954="UREA",OR(I954="TN",I954="TDN",I954="TNO2-3",I954="NO2-3")),VLOOKUP(E954,QCUREA_N,2,),IF(H954="PER",VLOOKUP(I954,QCPER,MATCH(E954,QCACTUAL!$J$25:$AA$25,0),),IF(H954="SPK",VLOOKUP(I954,QCSPK,3,),IF(AND(H954="ATP",OR(I954="TP",I954="TDP")),VLOOKUP(E954,QCATP_P,2,),""))))))))</f>
        <v/>
      </c>
      <c r="W954" s="31" t="str">
        <f t="shared" si="104"/>
        <v>TRUE</v>
      </c>
      <c r="X954" s="31" t="str">
        <f t="shared" si="105"/>
        <v/>
      </c>
      <c r="Y954" s="10" t="s">
        <v>1040</v>
      </c>
      <c r="Z954" s="10" t="s">
        <v>910</v>
      </c>
      <c r="AL954" s="10" t="str">
        <f t="shared" si="107"/>
        <v>FALSE</v>
      </c>
      <c r="AM954" s="10" t="str">
        <f t="shared" si="107"/>
        <v>FALSE</v>
      </c>
      <c r="AN954" s="10" t="str">
        <f t="shared" si="107"/>
        <v>FALSE</v>
      </c>
      <c r="AO954" s="10" t="str">
        <f t="shared" si="108"/>
        <v>FALSE</v>
      </c>
      <c r="AP954" s="10" t="str">
        <f t="shared" si="108"/>
        <v>FALSE</v>
      </c>
      <c r="AQ954" s="10" t="b">
        <f>IF(AND(I954="TP",S954&lt;=150),VLOOKUP(AF954,TPCalibEq150!$AZ$2:$BB$55,3,),IF(AND(I954="TDP",S954&lt;=150),VLOOKUP(AF954,TPCalibEq150!$AZ$2:$BB$55,3,)))</f>
        <v>0</v>
      </c>
      <c r="AR954" s="10" t="b">
        <f>IF(AND(I954="TP",S954&lt;=300),VLOOKUP(AF954,TPCalibEq300!$AZ$2:$BB$55,3,),IF(AND(I954="TDP",S954&lt;=300),VLOOKUP(AF954,TPCalibEq300!$AZ$2:$BB$55,3,)))</f>
        <v>0</v>
      </c>
      <c r="AS954" s="10" t="b">
        <f>IF(AND(I954="TP",S954&lt;=500),VLOOKUP(AF954,TPCalibEq500!$AZ$2:$BB$56,3,),IF(AND(I954="TDP",S954&lt;=500),VLOOKUP(AF954,TPCalibEq500!$AZ$2:$BB$56,3,)))</f>
        <v>0</v>
      </c>
      <c r="AT954" s="10" t="b">
        <f>IF(AND(I954="TN",S954&lt;=2800),VLOOKUP(AF954,TNCalibEq2500!$AZ$2:$BB$56,3,),IF(AND(I954="TDN",S954&lt;=2800),VLOOKUP(AF954,TNCalibEq2500!$AZ$2:$BB$56,3,)))</f>
        <v>0</v>
      </c>
      <c r="AU954" s="10" t="b">
        <f>IF(I954="TP",VLOOKUP(AF954,TPCalibEqFull!$AZ$2:$BB$56,3),IF(I954="TDP",VLOOKUP(AF954,TPCalibEqFull!$AZ$2:$BB$56,3),IF(I954="TDN",VLOOKUP(AF954,TNCalibEqFull!$AZ$1:$BB$56,3),IF(I954="TN",VLOOKUP(AF954,TNCalibEqFull!$AZ$1:$BB$56,3),FALSE))))</f>
        <v>0</v>
      </c>
      <c r="AV954" s="10" t="str">
        <f t="shared" si="106"/>
        <v>0117 11:33:00-FVC-0-C-2-SW-UKN</v>
      </c>
    </row>
    <row r="955" spans="1:48" s="10" customFormat="1" x14ac:dyDescent="0.55000000000000004">
      <c r="A955" s="32">
        <v>44943</v>
      </c>
      <c r="B955" s="33">
        <v>0.48125000000000001</v>
      </c>
      <c r="C955" s="10" t="s">
        <v>613</v>
      </c>
      <c r="D955" s="10">
        <v>0</v>
      </c>
      <c r="E955" s="10" t="s">
        <v>190</v>
      </c>
      <c r="F955" s="10">
        <v>2</v>
      </c>
      <c r="G955" s="10" t="s">
        <v>231</v>
      </c>
      <c r="H955" s="10" t="s">
        <v>233</v>
      </c>
      <c r="I955" s="10" t="s">
        <v>285</v>
      </c>
      <c r="J955" s="10">
        <v>24</v>
      </c>
      <c r="K955" s="12">
        <v>44950</v>
      </c>
      <c r="L955" s="33">
        <v>0.48901620370370374</v>
      </c>
      <c r="M955" s="10">
        <v>1</v>
      </c>
      <c r="N955" s="10" t="s">
        <v>211</v>
      </c>
      <c r="O955" s="10">
        <v>0.52400000000000002</v>
      </c>
      <c r="P955" s="10">
        <v>6.1800000000000001E-2</v>
      </c>
      <c r="Q955" s="10">
        <v>109</v>
      </c>
      <c r="R955" s="10" t="s">
        <v>913</v>
      </c>
      <c r="S955" s="34">
        <f t="shared" si="102"/>
        <v>109</v>
      </c>
      <c r="T955" s="10" t="s">
        <v>1052</v>
      </c>
      <c r="U955" s="34">
        <f t="shared" si="103"/>
        <v>29.6875</v>
      </c>
      <c r="V955" s="31" t="str">
        <f>IF(H955="CHK",VLOOKUP(I955,QCCHK,3,),IF(H955="GUP",VLOOKUP(E955,QCGUP,2,),IF(AND(H955="ATP",OR(I955="TN",I955="TDN",I955="TNO2-3",I955="NO2-3")),VLOOKUP(E955,QCREC_N,2,),IF(AND(H955="NIC",OR(I955="TN",I955="TDN",I955="TNO2-3",I955="NO2-3")),VLOOKUP(E955,QCNIC_N,2,),IF(AND(H955="UREA",OR(I955="TN",I955="TDN",I955="TNO2-3",I955="NO2-3")),VLOOKUP(E955,QCUREA_N,2,),IF(H955="PER",VLOOKUP(I955,QCPER,MATCH(E955,QCACTUAL!$J$25:$AA$25,0),),IF(H955="SPK",VLOOKUP(I955,QCSPK,3,),IF(AND(H955="ATP",OR(I955="TP",I955="TDP")),VLOOKUP(E955,QCATP_P,2,),""))))))))</f>
        <v/>
      </c>
      <c r="W955" s="31" t="str">
        <f t="shared" si="104"/>
        <v>FALSE</v>
      </c>
      <c r="X955" s="31" t="str">
        <f t="shared" si="105"/>
        <v>((ABS(rep1-rep2))/((rep1+rep2)/2)*100</v>
      </c>
      <c r="Y955" s="10" t="s">
        <v>1040</v>
      </c>
      <c r="Z955" s="10" t="s">
        <v>910</v>
      </c>
      <c r="AL955" s="10" t="str">
        <f t="shared" si="107"/>
        <v>FALSE</v>
      </c>
      <c r="AM955" s="10" t="str">
        <f t="shared" si="107"/>
        <v>FALSE</v>
      </c>
      <c r="AN955" s="10" t="str">
        <f t="shared" si="107"/>
        <v>FALSE</v>
      </c>
      <c r="AO955" s="10" t="str">
        <f t="shared" si="108"/>
        <v>FALSE</v>
      </c>
      <c r="AP955" s="10" t="str">
        <f t="shared" si="108"/>
        <v>FALSE</v>
      </c>
      <c r="AQ955" s="10" t="b">
        <f>IF(AND(I955="TP",S955&lt;=150),VLOOKUP(AF955,TPCalibEq150!$AZ$2:$BB$55,3,),IF(AND(I955="TDP",S955&lt;=150),VLOOKUP(AF955,TPCalibEq150!$AZ$2:$BB$55,3,)))</f>
        <v>0</v>
      </c>
      <c r="AR955" s="10" t="b">
        <f>IF(AND(I955="TP",S955&lt;=300),VLOOKUP(AF955,TPCalibEq300!$AZ$2:$BB$55,3,),IF(AND(I955="TDP",S955&lt;=300),VLOOKUP(AF955,TPCalibEq300!$AZ$2:$BB$55,3,)))</f>
        <v>0</v>
      </c>
      <c r="AS955" s="10" t="b">
        <f>IF(AND(I955="TP",S955&lt;=500),VLOOKUP(AF955,TPCalibEq500!$AZ$2:$BB$56,3,),IF(AND(I955="TDP",S955&lt;=500),VLOOKUP(AF955,TPCalibEq500!$AZ$2:$BB$56,3,)))</f>
        <v>0</v>
      </c>
      <c r="AT955" s="10" t="b">
        <f>IF(AND(I955="TN",S955&lt;=2800),VLOOKUP(AF955,TNCalibEq2500!$AZ$2:$BB$56,3,),IF(AND(I955="TDN",S955&lt;=2800),VLOOKUP(AF955,TNCalibEq2500!$AZ$2:$BB$56,3,)))</f>
        <v>0</v>
      </c>
      <c r="AU955" s="10" t="b">
        <f>IF(I955="TP",VLOOKUP(AF955,TPCalibEqFull!$AZ$2:$BB$56,3),IF(I955="TDP",VLOOKUP(AF955,TPCalibEqFull!$AZ$2:$BB$56,3),IF(I955="TDN",VLOOKUP(AF955,TNCalibEqFull!$AZ$1:$BB$56,3),IF(I955="TN",VLOOKUP(AF955,TNCalibEqFull!$AZ$1:$BB$56,3),FALSE))))</f>
        <v>0</v>
      </c>
      <c r="AV955" s="10" t="str">
        <f t="shared" si="106"/>
        <v>0117 11:33:00-FVC-0-C-2-SW-DUP</v>
      </c>
    </row>
    <row r="956" spans="1:48" s="10" customFormat="1" x14ac:dyDescent="0.55000000000000004">
      <c r="A956" s="32">
        <v>44943</v>
      </c>
      <c r="B956" s="33">
        <v>0.48125000000000001</v>
      </c>
      <c r="C956" s="10" t="s">
        <v>613</v>
      </c>
      <c r="D956" s="10">
        <v>0</v>
      </c>
      <c r="E956" s="10" t="s">
        <v>190</v>
      </c>
      <c r="F956" s="10">
        <v>2</v>
      </c>
      <c r="G956" s="10" t="s">
        <v>231</v>
      </c>
      <c r="H956" s="10" t="s">
        <v>314</v>
      </c>
      <c r="I956" s="10" t="s">
        <v>285</v>
      </c>
      <c r="J956" s="10">
        <v>58</v>
      </c>
      <c r="K956" s="12">
        <v>44950</v>
      </c>
      <c r="L956" s="33">
        <v>0.48982638888888891</v>
      </c>
      <c r="M956" s="10">
        <v>1</v>
      </c>
      <c r="N956" s="10" t="s">
        <v>211</v>
      </c>
      <c r="O956" s="10">
        <v>1.42</v>
      </c>
      <c r="P956" s="10">
        <v>0.16900000000000001</v>
      </c>
      <c r="Q956" s="10">
        <v>295</v>
      </c>
      <c r="R956" s="10" t="s">
        <v>913</v>
      </c>
      <c r="S956" s="34">
        <f t="shared" si="102"/>
        <v>295</v>
      </c>
      <c r="T956" s="10" t="s">
        <v>1052</v>
      </c>
      <c r="U956" s="34">
        <f t="shared" si="103"/>
        <v>119.03999999999999</v>
      </c>
      <c r="V956" s="31">
        <f>IF(H956="CHK",VLOOKUP(I956,QCCHK,3,),IF(H956="GUP",VLOOKUP(E956,QCGUP,2,),IF(AND(H956="ATP",OR(I956="TN",I956="TDN",I956="TNO2-3",I956="NO2-3")),VLOOKUP(E956,QCREC_N,2,),IF(AND(H956="NIC",OR(I956="TN",I956="TDN",I956="TNO2-3",I956="NO2-3")),VLOOKUP(E956,QCNIC_N,2,),IF(AND(H956="UREA",OR(I956="TN",I956="TDN",I956="TNO2-3",I956="NO2-3")),VLOOKUP(E956,QCUREA_N,2,),IF(H956="PER",VLOOKUP(I956,QCPER,MATCH(E956,QCACTUAL!$J$25:$AA$25,0),),IF(H956="SPK",VLOOKUP(I956,QCSPK,3,),IF(AND(H956="ATP",OR(I956="TP",I956="TDP")),VLOOKUP(E956,QCATP_P,2,),""))))))))</f>
        <v>156.25</v>
      </c>
      <c r="W956" s="31" t="str">
        <f t="shared" si="104"/>
        <v>TRUE</v>
      </c>
      <c r="X956" s="31" t="str">
        <f t="shared" si="105"/>
        <v>([spikedunkn]-[unkn])/[spike]*100</v>
      </c>
      <c r="Y956" s="10" t="s">
        <v>1040</v>
      </c>
      <c r="Z956" s="10" t="s">
        <v>910</v>
      </c>
      <c r="AL956" s="10" t="str">
        <f t="shared" si="107"/>
        <v>FALSE</v>
      </c>
      <c r="AM956" s="10" t="str">
        <f t="shared" si="107"/>
        <v>FALSE</v>
      </c>
      <c r="AN956" s="10" t="str">
        <f t="shared" si="107"/>
        <v>FALSE</v>
      </c>
      <c r="AO956" s="10" t="str">
        <f t="shared" si="108"/>
        <v>FALSE</v>
      </c>
      <c r="AP956" s="10" t="str">
        <f t="shared" si="108"/>
        <v>FALSE</v>
      </c>
      <c r="AQ956" s="10" t="b">
        <f>IF(AND(I956="TP",S956&lt;=150),VLOOKUP(AF956,TPCalibEq150!$AZ$2:$BB$55,3,),IF(AND(I956="TDP",S956&lt;=150),VLOOKUP(AF956,TPCalibEq150!$AZ$2:$BB$55,3,)))</f>
        <v>0</v>
      </c>
      <c r="AR956" s="10" t="b">
        <f>IF(AND(I956="TP",S956&lt;=300),VLOOKUP(AF956,TPCalibEq300!$AZ$2:$BB$55,3,),IF(AND(I956="TDP",S956&lt;=300),VLOOKUP(AF956,TPCalibEq300!$AZ$2:$BB$55,3,)))</f>
        <v>0</v>
      </c>
      <c r="AS956" s="10" t="b">
        <f>IF(AND(I956="TP",S956&lt;=500),VLOOKUP(AF956,TPCalibEq500!$AZ$2:$BB$56,3,),IF(AND(I956="TDP",S956&lt;=500),VLOOKUP(AF956,TPCalibEq500!$AZ$2:$BB$56,3,)))</f>
        <v>0</v>
      </c>
      <c r="AT956" s="10" t="b">
        <f>IF(AND(I956="TN",S956&lt;=2800),VLOOKUP(AF956,TNCalibEq2500!$AZ$2:$BB$56,3,),IF(AND(I956="TDN",S956&lt;=2800),VLOOKUP(AF956,TNCalibEq2500!$AZ$2:$BB$56,3,)))</f>
        <v>0</v>
      </c>
      <c r="AU956" s="10" t="b">
        <f>IF(I956="TP",VLOOKUP(AF956,TPCalibEqFull!$AZ$2:$BB$56,3),IF(I956="TDP",VLOOKUP(AF956,TPCalibEqFull!$AZ$2:$BB$56,3),IF(I956="TDN",VLOOKUP(AF956,TNCalibEqFull!$AZ$1:$BB$56,3),IF(I956="TN",VLOOKUP(AF956,TNCalibEqFull!$AZ$1:$BB$56,3),FALSE))))</f>
        <v>0</v>
      </c>
      <c r="AV956" s="10" t="str">
        <f t="shared" si="106"/>
        <v>0117 11:33:00-FVC-0-C-2-SW-SPK</v>
      </c>
    </row>
    <row r="957" spans="1:48" s="10" customFormat="1" x14ac:dyDescent="0.55000000000000004">
      <c r="A957" s="32">
        <v>44950</v>
      </c>
      <c r="B957" s="33">
        <v>0.375</v>
      </c>
      <c r="C957" s="10" t="s">
        <v>70</v>
      </c>
      <c r="D957" s="10" t="s">
        <v>71</v>
      </c>
      <c r="E957" s="10" t="s">
        <v>901</v>
      </c>
      <c r="F957" s="10">
        <v>1</v>
      </c>
      <c r="G957" s="10" t="s">
        <v>73</v>
      </c>
      <c r="H957" s="10" t="s">
        <v>207</v>
      </c>
      <c r="I957" s="10" t="s">
        <v>285</v>
      </c>
      <c r="J957" s="10">
        <v>199</v>
      </c>
      <c r="K957" s="12">
        <v>44950</v>
      </c>
      <c r="L957" s="33">
        <v>0.49064814814814817</v>
      </c>
      <c r="M957" s="10">
        <v>1</v>
      </c>
      <c r="N957" s="10" t="s">
        <v>211</v>
      </c>
      <c r="O957" s="10">
        <v>0.371</v>
      </c>
      <c r="P957" s="10">
        <v>4.2999999999999997E-2</v>
      </c>
      <c r="Q957" s="10">
        <v>77</v>
      </c>
      <c r="R957" s="10" t="s">
        <v>913</v>
      </c>
      <c r="S957" s="34">
        <f t="shared" si="102"/>
        <v>77</v>
      </c>
      <c r="T957" s="10" t="s">
        <v>1052</v>
      </c>
      <c r="U957" s="34">
        <f t="shared" si="103"/>
        <v>102.66666666666666</v>
      </c>
      <c r="V957" s="31">
        <f>IF(H957="CHK",VLOOKUP(I957,QCCHK,3,),IF(H957="GUP",VLOOKUP(E957,QCGUP,2,),IF(AND(H957="ATP",OR(I957="TN",I957="TDN",I957="TNO2-3",I957="NO2-3")),VLOOKUP(E957,QCREC_N,2,),IF(AND(H957="NIC",OR(I957="TN",I957="TDN",I957="TNO2-3",I957="NO2-3")),VLOOKUP(E957,QCNIC_N,2,),IF(AND(H957="UREA",OR(I957="TN",I957="TDN",I957="TNO2-3",I957="NO2-3")),VLOOKUP(E957,QCUREA_N,2,),IF(H957="PER",VLOOKUP(I957,QCPER,MATCH(E957,QCACTUAL!$J$25:$AA$25,0),),IF(H957="SPK",VLOOKUP(I957,QCSPK,3,),IF(AND(H957="ATP",OR(I957="TP",I957="TDP")),VLOOKUP(E957,QCATP_P,2,),""))))))))</f>
        <v>75</v>
      </c>
      <c r="W957" s="31" t="str">
        <f t="shared" si="104"/>
        <v>TRUE</v>
      </c>
      <c r="X957" s="31" t="str">
        <f t="shared" si="105"/>
        <v>[chk]/[actual]*100</v>
      </c>
      <c r="Y957" s="10" t="s">
        <v>1040</v>
      </c>
      <c r="AL957" s="10" t="str">
        <f t="shared" si="107"/>
        <v>FALSE</v>
      </c>
      <c r="AM957" s="10" t="str">
        <f t="shared" si="107"/>
        <v>FALSE</v>
      </c>
      <c r="AN957" s="10" t="str">
        <f t="shared" si="107"/>
        <v>FALSE</v>
      </c>
      <c r="AO957" s="10" t="str">
        <f t="shared" si="108"/>
        <v>FALSE</v>
      </c>
      <c r="AP957" s="10" t="str">
        <f t="shared" si="108"/>
        <v>FALSE</v>
      </c>
      <c r="AQ957" s="10" t="b">
        <f>IF(AND(I957="TP",S957&lt;=150),VLOOKUP(AF957,TPCalibEq150!$AZ$2:$BB$55,3,),IF(AND(I957="TDP",S957&lt;=150),VLOOKUP(AF957,TPCalibEq150!$AZ$2:$BB$55,3,)))</f>
        <v>0</v>
      </c>
      <c r="AR957" s="10" t="b">
        <f>IF(AND(I957="TP",S957&lt;=300),VLOOKUP(AF957,TPCalibEq300!$AZ$2:$BB$55,3,),IF(AND(I957="TDP",S957&lt;=300),VLOOKUP(AF957,TPCalibEq300!$AZ$2:$BB$55,3,)))</f>
        <v>0</v>
      </c>
      <c r="AS957" s="10" t="b">
        <f>IF(AND(I957="TP",S957&lt;=500),VLOOKUP(AF957,TPCalibEq500!$AZ$2:$BB$56,3,),IF(AND(I957="TDP",S957&lt;=500),VLOOKUP(AF957,TPCalibEq500!$AZ$2:$BB$56,3,)))</f>
        <v>0</v>
      </c>
      <c r="AT957" s="10" t="b">
        <f>IF(AND(I957="TN",S957&lt;=2800),VLOOKUP(AF957,TNCalibEq2500!$AZ$2:$BB$56,3,),IF(AND(I957="TDN",S957&lt;=2800),VLOOKUP(AF957,TNCalibEq2500!$AZ$2:$BB$56,3,)))</f>
        <v>0</v>
      </c>
      <c r="AU957" s="10" t="b">
        <f>IF(I957="TP",VLOOKUP(AF957,TPCalibEqFull!$AZ$2:$BB$56,3),IF(I957="TDP",VLOOKUP(AF957,TPCalibEqFull!$AZ$2:$BB$56,3),IF(I957="TDN",VLOOKUP(AF957,TNCalibEqFull!$AZ$1:$BB$56,3),IF(I957="TN",VLOOKUP(AF957,TNCalibEqFull!$AZ$1:$BB$56,3),FALSE))))</f>
        <v>0</v>
      </c>
      <c r="AV957" s="10" t="str">
        <f t="shared" si="106"/>
        <v>0124 09:00:00-QAC-STD-D-1-DI-CHK</v>
      </c>
    </row>
    <row r="958" spans="1:48" s="10" customFormat="1" x14ac:dyDescent="0.55000000000000004">
      <c r="A958" s="32">
        <v>44943</v>
      </c>
      <c r="B958" s="33">
        <v>0.48888888888888887</v>
      </c>
      <c r="C958" s="10" t="s">
        <v>250</v>
      </c>
      <c r="D958" s="10">
        <v>0</v>
      </c>
      <c r="E958" s="10" t="s">
        <v>190</v>
      </c>
      <c r="F958" s="10">
        <v>1</v>
      </c>
      <c r="G958" s="10" t="s">
        <v>231</v>
      </c>
      <c r="H958" s="10" t="s">
        <v>322</v>
      </c>
      <c r="I958" s="10" t="s">
        <v>285</v>
      </c>
      <c r="J958" s="10">
        <v>25</v>
      </c>
      <c r="K958" s="12">
        <v>44950</v>
      </c>
      <c r="L958" s="33">
        <v>0.49146990740740742</v>
      </c>
      <c r="M958" s="10">
        <v>1</v>
      </c>
      <c r="N958" s="10" t="s">
        <v>211</v>
      </c>
      <c r="O958" s="10">
        <v>0.37</v>
      </c>
      <c r="P958" s="10">
        <v>4.2999999999999997E-2</v>
      </c>
      <c r="Q958" s="10">
        <v>76.900000000000006</v>
      </c>
      <c r="R958" s="10" t="s">
        <v>913</v>
      </c>
      <c r="S958" s="34">
        <f t="shared" si="102"/>
        <v>76.900000000000006</v>
      </c>
      <c r="T958" s="10" t="s">
        <v>1052</v>
      </c>
      <c r="U958" s="34" t="str">
        <f t="shared" si="103"/>
        <v/>
      </c>
      <c r="V958" s="31" t="str">
        <f>IF(H958="CHK",VLOOKUP(I958,QCCHK,3,),IF(H958="GUP",VLOOKUP(E958,QCGUP,2,),IF(AND(H958="ATP",OR(I958="TN",I958="TDN",I958="TNO2-3",I958="NO2-3")),VLOOKUP(E958,QCREC_N,2,),IF(AND(H958="NIC",OR(I958="TN",I958="TDN",I958="TNO2-3",I958="NO2-3")),VLOOKUP(E958,QCNIC_N,2,),IF(AND(H958="UREA",OR(I958="TN",I958="TDN",I958="TNO2-3",I958="NO2-3")),VLOOKUP(E958,QCUREA_N,2,),IF(H958="PER",VLOOKUP(I958,QCPER,MATCH(E958,QCACTUAL!$J$25:$AA$25,0),),IF(H958="SPK",VLOOKUP(I958,QCSPK,3,),IF(AND(H958="ATP",OR(I958="TP",I958="TDP")),VLOOKUP(E958,QCATP_P,2,),""))))))))</f>
        <v/>
      </c>
      <c r="W958" s="31" t="str">
        <f t="shared" si="104"/>
        <v>TRUE</v>
      </c>
      <c r="X958" s="31" t="str">
        <f t="shared" si="105"/>
        <v/>
      </c>
      <c r="Y958" s="10" t="s">
        <v>1040</v>
      </c>
      <c r="Z958" s="10" t="s">
        <v>910</v>
      </c>
      <c r="AL958" s="10" t="str">
        <f t="shared" si="107"/>
        <v>FALSE</v>
      </c>
      <c r="AM958" s="10" t="str">
        <f t="shared" si="107"/>
        <v>FALSE</v>
      </c>
      <c r="AN958" s="10" t="str">
        <f t="shared" si="107"/>
        <v>FALSE</v>
      </c>
      <c r="AO958" s="10" t="str">
        <f t="shared" si="108"/>
        <v>FALSE</v>
      </c>
      <c r="AP958" s="10" t="str">
        <f t="shared" si="108"/>
        <v>FALSE</v>
      </c>
      <c r="AQ958" s="10" t="b">
        <f>IF(AND(I958="TP",S958&lt;=150),VLOOKUP(AF958,TPCalibEq150!$AZ$2:$BB$55,3,),IF(AND(I958="TDP",S958&lt;=150),VLOOKUP(AF958,TPCalibEq150!$AZ$2:$BB$55,3,)))</f>
        <v>0</v>
      </c>
      <c r="AR958" s="10" t="b">
        <f>IF(AND(I958="TP",S958&lt;=300),VLOOKUP(AF958,TPCalibEq300!$AZ$2:$BB$55,3,),IF(AND(I958="TDP",S958&lt;=300),VLOOKUP(AF958,TPCalibEq300!$AZ$2:$BB$55,3,)))</f>
        <v>0</v>
      </c>
      <c r="AS958" s="10" t="b">
        <f>IF(AND(I958="TP",S958&lt;=500),VLOOKUP(AF958,TPCalibEq500!$AZ$2:$BB$56,3,),IF(AND(I958="TDP",S958&lt;=500),VLOOKUP(AF958,TPCalibEq500!$AZ$2:$BB$56,3,)))</f>
        <v>0</v>
      </c>
      <c r="AT958" s="10" t="b">
        <f>IF(AND(I958="TN",S958&lt;=2800),VLOOKUP(AF958,TNCalibEq2500!$AZ$2:$BB$56,3,),IF(AND(I958="TDN",S958&lt;=2800),VLOOKUP(AF958,TNCalibEq2500!$AZ$2:$BB$56,3,)))</f>
        <v>0</v>
      </c>
      <c r="AU958" s="10" t="b">
        <f>IF(I958="TP",VLOOKUP(AF958,TPCalibEqFull!$AZ$2:$BB$56,3),IF(I958="TDP",VLOOKUP(AF958,TPCalibEqFull!$AZ$2:$BB$56,3),IF(I958="TDN",VLOOKUP(AF958,TNCalibEqFull!$AZ$1:$BB$56,3),IF(I958="TN",VLOOKUP(AF958,TNCalibEqFull!$AZ$1:$BB$56,3),FALSE))))</f>
        <v>0</v>
      </c>
      <c r="AV958" s="10" t="str">
        <f t="shared" si="106"/>
        <v>0117 11:44:00-EFB-0-C-1-SW-UKN</v>
      </c>
    </row>
    <row r="959" spans="1:48" s="10" customFormat="1" x14ac:dyDescent="0.55000000000000004">
      <c r="A959" s="32">
        <v>44943</v>
      </c>
      <c r="B959" s="33">
        <v>0.49791666666666662</v>
      </c>
      <c r="C959" s="10" t="s">
        <v>326</v>
      </c>
      <c r="D959" s="10">
        <v>0</v>
      </c>
      <c r="E959" s="10" t="s">
        <v>190</v>
      </c>
      <c r="F959" s="10">
        <v>1</v>
      </c>
      <c r="G959" s="10" t="s">
        <v>231</v>
      </c>
      <c r="H959" s="10" t="s">
        <v>322</v>
      </c>
      <c r="I959" s="10" t="s">
        <v>285</v>
      </c>
      <c r="J959" s="10">
        <v>26</v>
      </c>
      <c r="K959" s="12">
        <v>44950</v>
      </c>
      <c r="L959" s="33">
        <v>0.49226851851851849</v>
      </c>
      <c r="M959" s="10">
        <v>1</v>
      </c>
      <c r="N959" s="10" t="s">
        <v>211</v>
      </c>
      <c r="O959" s="10">
        <v>0.27</v>
      </c>
      <c r="P959" s="10">
        <v>3.1199999999999999E-2</v>
      </c>
      <c r="Q959" s="10">
        <v>56.1</v>
      </c>
      <c r="R959" s="10" t="s">
        <v>913</v>
      </c>
      <c r="S959" s="34">
        <f t="shared" si="102"/>
        <v>56.1</v>
      </c>
      <c r="T959" s="10" t="s">
        <v>1052</v>
      </c>
      <c r="U959" s="34" t="str">
        <f t="shared" si="103"/>
        <v/>
      </c>
      <c r="V959" s="31" t="str">
        <f>IF(H959="CHK",VLOOKUP(I959,QCCHK,3,),IF(H959="GUP",VLOOKUP(E959,QCGUP,2,),IF(AND(H959="ATP",OR(I959="TN",I959="TDN",I959="TNO2-3",I959="NO2-3")),VLOOKUP(E959,QCREC_N,2,),IF(AND(H959="NIC",OR(I959="TN",I959="TDN",I959="TNO2-3",I959="NO2-3")),VLOOKUP(E959,QCNIC_N,2,),IF(AND(H959="UREA",OR(I959="TN",I959="TDN",I959="TNO2-3",I959="NO2-3")),VLOOKUP(E959,QCUREA_N,2,),IF(H959="PER",VLOOKUP(I959,QCPER,MATCH(E959,QCACTUAL!$J$25:$AA$25,0),),IF(H959="SPK",VLOOKUP(I959,QCSPK,3,),IF(AND(H959="ATP",OR(I959="TP",I959="TDP")),VLOOKUP(E959,QCATP_P,2,),""))))))))</f>
        <v/>
      </c>
      <c r="W959" s="31" t="str">
        <f t="shared" si="104"/>
        <v>TRUE</v>
      </c>
      <c r="X959" s="31" t="str">
        <f t="shared" si="105"/>
        <v/>
      </c>
      <c r="Y959" s="10" t="s">
        <v>1040</v>
      </c>
      <c r="Z959" s="10" t="s">
        <v>910</v>
      </c>
      <c r="AL959" s="10" t="str">
        <f t="shared" si="107"/>
        <v>FALSE</v>
      </c>
      <c r="AM959" s="10" t="str">
        <f t="shared" si="107"/>
        <v>FALSE</v>
      </c>
      <c r="AN959" s="10" t="str">
        <f t="shared" si="107"/>
        <v>FALSE</v>
      </c>
      <c r="AO959" s="10" t="str">
        <f t="shared" si="108"/>
        <v>FALSE</v>
      </c>
      <c r="AP959" s="10" t="str">
        <f t="shared" si="108"/>
        <v>FALSE</v>
      </c>
      <c r="AQ959" s="10" t="b">
        <f>IF(AND(I959="TP",S959&lt;=150),VLOOKUP(AF959,TPCalibEq150!$AZ$2:$BB$55,3,),IF(AND(I959="TDP",S959&lt;=150),VLOOKUP(AF959,TPCalibEq150!$AZ$2:$BB$55,3,)))</f>
        <v>0</v>
      </c>
      <c r="AR959" s="10" t="b">
        <f>IF(AND(I959="TP",S959&lt;=300),VLOOKUP(AF959,TPCalibEq300!$AZ$2:$BB$55,3,),IF(AND(I959="TDP",S959&lt;=300),VLOOKUP(AF959,TPCalibEq300!$AZ$2:$BB$55,3,)))</f>
        <v>0</v>
      </c>
      <c r="AS959" s="10" t="b">
        <f>IF(AND(I959="TP",S959&lt;=500),VLOOKUP(AF959,TPCalibEq500!$AZ$2:$BB$56,3,),IF(AND(I959="TDP",S959&lt;=500),VLOOKUP(AF959,TPCalibEq500!$AZ$2:$BB$56,3,)))</f>
        <v>0</v>
      </c>
      <c r="AT959" s="10" t="b">
        <f>IF(AND(I959="TN",S959&lt;=2800),VLOOKUP(AF959,TNCalibEq2500!$AZ$2:$BB$56,3,),IF(AND(I959="TDN",S959&lt;=2800),VLOOKUP(AF959,TNCalibEq2500!$AZ$2:$BB$56,3,)))</f>
        <v>0</v>
      </c>
      <c r="AU959" s="10" t="b">
        <f>IF(I959="TP",VLOOKUP(AF959,TPCalibEqFull!$AZ$2:$BB$56,3),IF(I959="TDP",VLOOKUP(AF959,TPCalibEqFull!$AZ$2:$BB$56,3),IF(I959="TDN",VLOOKUP(AF959,TNCalibEqFull!$AZ$1:$BB$56,3),IF(I959="TN",VLOOKUP(AF959,TNCalibEqFull!$AZ$1:$BB$56,3),FALSE))))</f>
        <v>0</v>
      </c>
      <c r="AV959" s="10" t="str">
        <f t="shared" si="106"/>
        <v>0117 11:57:00-GRR-0-C-1-SW-UKN</v>
      </c>
    </row>
    <row r="960" spans="1:48" s="10" customFormat="1" x14ac:dyDescent="0.55000000000000004">
      <c r="A960" s="32">
        <v>44943</v>
      </c>
      <c r="B960" s="33">
        <v>0.50763888888888886</v>
      </c>
      <c r="C960" s="10" t="s">
        <v>416</v>
      </c>
      <c r="D960" s="10">
        <v>0</v>
      </c>
      <c r="E960" s="10" t="s">
        <v>190</v>
      </c>
      <c r="F960" s="10">
        <v>1</v>
      </c>
      <c r="G960" s="10" t="s">
        <v>231</v>
      </c>
      <c r="H960" s="10" t="s">
        <v>322</v>
      </c>
      <c r="I960" s="10" t="s">
        <v>285</v>
      </c>
      <c r="J960" s="10">
        <v>27</v>
      </c>
      <c r="K960" s="12">
        <v>44950</v>
      </c>
      <c r="L960" s="33">
        <v>0.49309027777777775</v>
      </c>
      <c r="M960" s="10">
        <v>1</v>
      </c>
      <c r="N960" s="10" t="s">
        <v>211</v>
      </c>
      <c r="O960" s="10">
        <v>1.58</v>
      </c>
      <c r="P960" s="10">
        <v>0.188</v>
      </c>
      <c r="Q960" s="10">
        <v>328</v>
      </c>
      <c r="R960" s="10" t="s">
        <v>913</v>
      </c>
      <c r="S960" s="34">
        <f t="shared" si="102"/>
        <v>328</v>
      </c>
      <c r="T960" s="10" t="s">
        <v>1052</v>
      </c>
      <c r="U960" s="34" t="str">
        <f t="shared" si="103"/>
        <v/>
      </c>
      <c r="V960" s="31" t="str">
        <f>IF(H960="CHK",VLOOKUP(I960,QCCHK,3,),IF(H960="GUP",VLOOKUP(E960,QCGUP,2,),IF(AND(H960="ATP",OR(I960="TN",I960="TDN",I960="TNO2-3",I960="NO2-3")),VLOOKUP(E960,QCREC_N,2,),IF(AND(H960="NIC",OR(I960="TN",I960="TDN",I960="TNO2-3",I960="NO2-3")),VLOOKUP(E960,QCNIC_N,2,),IF(AND(H960="UREA",OR(I960="TN",I960="TDN",I960="TNO2-3",I960="NO2-3")),VLOOKUP(E960,QCUREA_N,2,),IF(H960="PER",VLOOKUP(I960,QCPER,MATCH(E960,QCACTUAL!$J$25:$AA$25,0),),IF(H960="SPK",VLOOKUP(I960,QCSPK,3,),IF(AND(H960="ATP",OR(I960="TP",I960="TDP")),VLOOKUP(E960,QCATP_P,2,),""))))))))</f>
        <v/>
      </c>
      <c r="W960" s="31" t="str">
        <f t="shared" si="104"/>
        <v>TRUE</v>
      </c>
      <c r="X960" s="31" t="str">
        <f t="shared" si="105"/>
        <v/>
      </c>
      <c r="Y960" s="10" t="s">
        <v>1040</v>
      </c>
      <c r="Z960" s="10" t="s">
        <v>910</v>
      </c>
      <c r="AL960" s="10" t="str">
        <f t="shared" si="107"/>
        <v>FALSE</v>
      </c>
      <c r="AM960" s="10" t="str">
        <f t="shared" si="107"/>
        <v>FALSE</v>
      </c>
      <c r="AN960" s="10" t="str">
        <f t="shared" si="107"/>
        <v>FALSE</v>
      </c>
      <c r="AO960" s="10" t="str">
        <f t="shared" si="108"/>
        <v>FALSE</v>
      </c>
      <c r="AP960" s="10" t="str">
        <f t="shared" si="108"/>
        <v>FALSE</v>
      </c>
      <c r="AQ960" s="10" t="b">
        <f>IF(AND(I960="TP",S960&lt;=150),VLOOKUP(AF960,TPCalibEq150!$AZ$2:$BB$55,3,),IF(AND(I960="TDP",S960&lt;=150),VLOOKUP(AF960,TPCalibEq150!$AZ$2:$BB$55,3,)))</f>
        <v>0</v>
      </c>
      <c r="AR960" s="10" t="b">
        <f>IF(AND(I960="TP",S960&lt;=300),VLOOKUP(AF960,TPCalibEq300!$AZ$2:$BB$55,3,),IF(AND(I960="TDP",S960&lt;=300),VLOOKUP(AF960,TPCalibEq300!$AZ$2:$BB$55,3,)))</f>
        <v>0</v>
      </c>
      <c r="AS960" s="10" t="b">
        <f>IF(AND(I960="TP",S960&lt;=500),VLOOKUP(AF960,TPCalibEq500!$AZ$2:$BB$56,3,),IF(AND(I960="TDP",S960&lt;=500),VLOOKUP(AF960,TPCalibEq500!$AZ$2:$BB$56,3,)))</f>
        <v>0</v>
      </c>
      <c r="AT960" s="10" t="b">
        <f>IF(AND(I960="TN",S960&lt;=2800),VLOOKUP(AF960,TNCalibEq2500!$AZ$2:$BB$56,3,),IF(AND(I960="TDN",S960&lt;=2800),VLOOKUP(AF960,TNCalibEq2500!$AZ$2:$BB$56,3,)))</f>
        <v>0</v>
      </c>
      <c r="AU960" s="10" t="b">
        <f>IF(I960="TP",VLOOKUP(AF960,TPCalibEqFull!$AZ$2:$BB$56,3),IF(I960="TDP",VLOOKUP(AF960,TPCalibEqFull!$AZ$2:$BB$56,3),IF(I960="TDN",VLOOKUP(AF960,TNCalibEqFull!$AZ$1:$BB$56,3),IF(I960="TN",VLOOKUP(AF960,TNCalibEqFull!$AZ$1:$BB$56,3),FALSE))))</f>
        <v>0</v>
      </c>
      <c r="AV960" s="10" t="str">
        <f t="shared" si="106"/>
        <v>0117 12:11:00-CWL-0-C-1-SW-UKN</v>
      </c>
    </row>
    <row r="961" spans="1:48" s="10" customFormat="1" x14ac:dyDescent="0.55000000000000004">
      <c r="A961" s="32">
        <v>44943</v>
      </c>
      <c r="B961" s="33">
        <v>0.51874999999999993</v>
      </c>
      <c r="C961" s="10" t="s">
        <v>445</v>
      </c>
      <c r="D961" s="10">
        <v>0</v>
      </c>
      <c r="E961" s="10" t="s">
        <v>190</v>
      </c>
      <c r="F961" s="10">
        <v>1</v>
      </c>
      <c r="G961" s="10" t="s">
        <v>231</v>
      </c>
      <c r="H961" s="10" t="s">
        <v>322</v>
      </c>
      <c r="I961" s="10" t="s">
        <v>285</v>
      </c>
      <c r="J961" s="10">
        <v>28</v>
      </c>
      <c r="K961" s="12">
        <v>44950</v>
      </c>
      <c r="L961" s="33">
        <v>0.49390046296296292</v>
      </c>
      <c r="M961" s="10">
        <v>1</v>
      </c>
      <c r="N961" s="10" t="s">
        <v>211</v>
      </c>
      <c r="O961" s="10">
        <v>0.879</v>
      </c>
      <c r="P961" s="10">
        <v>0.104</v>
      </c>
      <c r="Q961" s="10">
        <v>182</v>
      </c>
      <c r="R961" s="10" t="s">
        <v>913</v>
      </c>
      <c r="S961" s="34">
        <f t="shared" si="102"/>
        <v>182</v>
      </c>
      <c r="T961" s="10" t="s">
        <v>1052</v>
      </c>
      <c r="U961" s="34" t="str">
        <f t="shared" si="103"/>
        <v/>
      </c>
      <c r="V961" s="31" t="str">
        <f>IF(H961="CHK",VLOOKUP(I961,QCCHK,3,),IF(H961="GUP",VLOOKUP(E961,QCGUP,2,),IF(AND(H961="ATP",OR(I961="TN",I961="TDN",I961="TNO2-3",I961="NO2-3")),VLOOKUP(E961,QCREC_N,2,),IF(AND(H961="NIC",OR(I961="TN",I961="TDN",I961="TNO2-3",I961="NO2-3")),VLOOKUP(E961,QCNIC_N,2,),IF(AND(H961="UREA",OR(I961="TN",I961="TDN",I961="TNO2-3",I961="NO2-3")),VLOOKUP(E961,QCUREA_N,2,),IF(H961="PER",VLOOKUP(I961,QCPER,MATCH(E961,QCACTUAL!$J$25:$AA$25,0),),IF(H961="SPK",VLOOKUP(I961,QCSPK,3,),IF(AND(H961="ATP",OR(I961="TP",I961="TDP")),VLOOKUP(E961,QCATP_P,2,),""))))))))</f>
        <v/>
      </c>
      <c r="W961" s="31" t="str">
        <f t="shared" si="104"/>
        <v>TRUE</v>
      </c>
      <c r="X961" s="31" t="str">
        <f t="shared" si="105"/>
        <v/>
      </c>
      <c r="Y961" s="10" t="s">
        <v>1040</v>
      </c>
      <c r="Z961" s="10" t="s">
        <v>910</v>
      </c>
      <c r="AL961" s="10" t="str">
        <f t="shared" si="107"/>
        <v>FALSE</v>
      </c>
      <c r="AM961" s="10" t="str">
        <f t="shared" si="107"/>
        <v>FALSE</v>
      </c>
      <c r="AN961" s="10" t="str">
        <f t="shared" si="107"/>
        <v>FALSE</v>
      </c>
      <c r="AO961" s="10" t="str">
        <f t="shared" si="108"/>
        <v>FALSE</v>
      </c>
      <c r="AP961" s="10" t="str">
        <f t="shared" si="108"/>
        <v>FALSE</v>
      </c>
      <c r="AQ961" s="10" t="b">
        <f>IF(AND(I961="TP",S961&lt;=150),VLOOKUP(AF961,TPCalibEq150!$AZ$2:$BB$55,3,),IF(AND(I961="TDP",S961&lt;=150),VLOOKUP(AF961,TPCalibEq150!$AZ$2:$BB$55,3,)))</f>
        <v>0</v>
      </c>
      <c r="AR961" s="10" t="b">
        <f>IF(AND(I961="TP",S961&lt;=300),VLOOKUP(AF961,TPCalibEq300!$AZ$2:$BB$55,3,),IF(AND(I961="TDP",S961&lt;=300),VLOOKUP(AF961,TPCalibEq300!$AZ$2:$BB$55,3,)))</f>
        <v>0</v>
      </c>
      <c r="AS961" s="10" t="b">
        <f>IF(AND(I961="TP",S961&lt;=500),VLOOKUP(AF961,TPCalibEq500!$AZ$2:$BB$56,3,),IF(AND(I961="TDP",S961&lt;=500),VLOOKUP(AF961,TPCalibEq500!$AZ$2:$BB$56,3,)))</f>
        <v>0</v>
      </c>
      <c r="AT961" s="10" t="b">
        <f>IF(AND(I961="TN",S961&lt;=2800),VLOOKUP(AF961,TNCalibEq2500!$AZ$2:$BB$56,3,),IF(AND(I961="TDN",S961&lt;=2800),VLOOKUP(AF961,TNCalibEq2500!$AZ$2:$BB$56,3,)))</f>
        <v>0</v>
      </c>
      <c r="AU961" s="10" t="b">
        <f>IF(I961="TP",VLOOKUP(AF961,TPCalibEqFull!$AZ$2:$BB$56,3),IF(I961="TDP",VLOOKUP(AF961,TPCalibEqFull!$AZ$2:$BB$56,3),IF(I961="TDN",VLOOKUP(AF961,TNCalibEqFull!$AZ$1:$BB$56,3),IF(I961="TN",VLOOKUP(AF961,TNCalibEqFull!$AZ$1:$BB$56,3),FALSE))))</f>
        <v>0</v>
      </c>
      <c r="AV961" s="10" t="str">
        <f t="shared" si="106"/>
        <v>0117 12:27:00-NWT-0-C-1-SW-UKN</v>
      </c>
    </row>
    <row r="962" spans="1:48" s="10" customFormat="1" x14ac:dyDescent="0.55000000000000004">
      <c r="A962" s="32">
        <v>44943</v>
      </c>
      <c r="B962" s="33">
        <v>0.51874999999999993</v>
      </c>
      <c r="C962" s="10" t="s">
        <v>445</v>
      </c>
      <c r="D962" s="10">
        <v>0</v>
      </c>
      <c r="E962" s="10" t="s">
        <v>190</v>
      </c>
      <c r="F962" s="10">
        <v>1</v>
      </c>
      <c r="G962" s="10" t="s">
        <v>231</v>
      </c>
      <c r="H962" s="10" t="s">
        <v>233</v>
      </c>
      <c r="I962" s="10" t="s">
        <v>285</v>
      </c>
      <c r="J962" s="10">
        <v>28</v>
      </c>
      <c r="K962" s="12">
        <v>44950</v>
      </c>
      <c r="L962" s="33">
        <v>0.49471064814814819</v>
      </c>
      <c r="M962" s="10">
        <v>1</v>
      </c>
      <c r="N962" s="10" t="s">
        <v>211</v>
      </c>
      <c r="O962" s="10">
        <v>0.80600000000000005</v>
      </c>
      <c r="P962" s="10">
        <v>9.5100000000000004E-2</v>
      </c>
      <c r="Q962" s="10">
        <v>167</v>
      </c>
      <c r="R962" s="10" t="s">
        <v>913</v>
      </c>
      <c r="S962" s="34">
        <f t="shared" ref="S962:S1025" si="109">IF(OR(AND(I962&lt;&gt;"TP", I962&lt;&gt;"TDP",I962&lt;&gt;"TN", I962&lt;&gt;"TDN"),H962="CAL"), Q962*M962, IF(OR(AND(I962="TN", Q962&gt;2500), AND(I962="TDN", Q962&gt;2500)),MAX(Q962, AK962)*M962, IF(OR(AND(I962="TN", Q962&lt;=2500), AND(I962="TDN", Q962&lt;=2500)),MAX(Q962, AJ962,AK962)*M962, IF(OR(AND(I962="TP",Q962&gt;500), AND(I962="TDP", Q962&gt;500)),MAX(Q962,AK962)*M962,IF(OR(AND(I962="TP",Q962&lt;=150), AND(I962="TDP", Q962&lt;=150)),MAX(Q962,AG962:AI962,AK962)*M962,IF(OR(AND(I962="TP",Q962&lt;=300), AND(I962="TDP", Q962&lt;=300)),MAX(Q962,AH962,AI962,AK962)*M962,IF(OR(AND(I962="TP",Q962&lt;=500), AND(I962="TDP", Q962&lt;=500)),MAX(Q962,AI962,AK962)*M962,"")))))))</f>
        <v>167</v>
      </c>
      <c r="T962" s="10" t="s">
        <v>1052</v>
      </c>
      <c r="U962" s="34">
        <f t="shared" ref="U962:U1025" si="110">IF(OR(H962="CHK",H962="ATP",H962="GUP",H962="PER", H962="NIC", H962="UREA"),(S962/V962*100),IF(H962="DUP",((ABS(S962-S961))/((S961+S962)/2))*100,IF(H962="SPK",((S962-S961)/V962*100),IF(OR(H962="LAB",H962="FLD",H962="ESF"),S962,""))))</f>
        <v>8.5959885386819472</v>
      </c>
      <c r="V962" s="31" t="str">
        <f>IF(H962="CHK",VLOOKUP(I962,QCCHK,3,),IF(H962="GUP",VLOOKUP(E962,QCGUP,2,),IF(AND(H962="ATP",OR(I962="TN",I962="TDN",I962="TNO2-3",I962="NO2-3")),VLOOKUP(E962,QCREC_N,2,),IF(AND(H962="NIC",OR(I962="TN",I962="TDN",I962="TNO2-3",I962="NO2-3")),VLOOKUP(E962,QCNIC_N,2,),IF(AND(H962="UREA",OR(I962="TN",I962="TDN",I962="TNO2-3",I962="NO2-3")),VLOOKUP(E962,QCUREA_N,2,),IF(H962="PER",VLOOKUP(I962,QCPER,MATCH(E962,QCACTUAL!$J$25:$AA$25,0),),IF(H962="SPK",VLOOKUP(I962,QCSPK,3,),IF(AND(H962="ATP",OR(I962="TP",I962="TDP")),VLOOKUP(E962,QCATP_P,2,),""))))))))</f>
        <v/>
      </c>
      <c r="W962" s="31" t="str">
        <f t="shared" ref="W962:W1025" si="111">IF(AND(OR(H962="PER",H962="ATP",H962="GUP",H962="CHK",H962="SPK", H962="NIC"),OR(U962&gt;125,U962&lt;75)),"FALSE",IF(AND(H962="DUP",OR(U962&gt;25, U962&lt;-25)),"FALSE",IF(AND(OR(H962="LAB",H962="FLD",H962="ESF"),U962&gt;15),"FALSE","TRUE")))</f>
        <v>TRUE</v>
      </c>
      <c r="X962" s="31" t="str">
        <f t="shared" ref="X962:X1025" si="112">IF(ISNA(VLOOKUP(H962,QCEQUATIONS,2,)),"",(VLOOKUP(H962,QCEQUATIONS,2,)))</f>
        <v>((ABS(rep1-rep2))/((rep1+rep2)/2)*100</v>
      </c>
      <c r="Y962" s="10" t="s">
        <v>1040</v>
      </c>
      <c r="Z962" s="10" t="s">
        <v>910</v>
      </c>
      <c r="AL962" s="10" t="str">
        <f t="shared" si="107"/>
        <v>FALSE</v>
      </c>
      <c r="AM962" s="10" t="str">
        <f t="shared" si="107"/>
        <v>FALSE</v>
      </c>
      <c r="AN962" s="10" t="str">
        <f t="shared" si="107"/>
        <v>FALSE</v>
      </c>
      <c r="AO962" s="10" t="str">
        <f t="shared" si="108"/>
        <v>FALSE</v>
      </c>
      <c r="AP962" s="10" t="str">
        <f t="shared" si="108"/>
        <v>FALSE</v>
      </c>
      <c r="AQ962" s="10" t="b">
        <f>IF(AND(I962="TP",S962&lt;=150),VLOOKUP(AF962,TPCalibEq150!$AZ$2:$BB$55,3,),IF(AND(I962="TDP",S962&lt;=150),VLOOKUP(AF962,TPCalibEq150!$AZ$2:$BB$55,3,)))</f>
        <v>0</v>
      </c>
      <c r="AR962" s="10" t="b">
        <f>IF(AND(I962="TP",S962&lt;=300),VLOOKUP(AF962,TPCalibEq300!$AZ$2:$BB$55,3,),IF(AND(I962="TDP",S962&lt;=300),VLOOKUP(AF962,TPCalibEq300!$AZ$2:$BB$55,3,)))</f>
        <v>0</v>
      </c>
      <c r="AS962" s="10" t="b">
        <f>IF(AND(I962="TP",S962&lt;=500),VLOOKUP(AF962,TPCalibEq500!$AZ$2:$BB$56,3,),IF(AND(I962="TDP",S962&lt;=500),VLOOKUP(AF962,TPCalibEq500!$AZ$2:$BB$56,3,)))</f>
        <v>0</v>
      </c>
      <c r="AT962" s="10" t="b">
        <f>IF(AND(I962="TN",S962&lt;=2800),VLOOKUP(AF962,TNCalibEq2500!$AZ$2:$BB$56,3,),IF(AND(I962="TDN",S962&lt;=2800),VLOOKUP(AF962,TNCalibEq2500!$AZ$2:$BB$56,3,)))</f>
        <v>0</v>
      </c>
      <c r="AU962" s="10" t="b">
        <f>IF(I962="TP",VLOOKUP(AF962,TPCalibEqFull!$AZ$2:$BB$56,3),IF(I962="TDP",VLOOKUP(AF962,TPCalibEqFull!$AZ$2:$BB$56,3),IF(I962="TDN",VLOOKUP(AF962,TNCalibEqFull!$AZ$1:$BB$56,3),IF(I962="TN",VLOOKUP(AF962,TNCalibEqFull!$AZ$1:$BB$56,3),FALSE))))</f>
        <v>0</v>
      </c>
      <c r="AV962" s="10" t="str">
        <f t="shared" ref="AV962:AV1025" si="113">TEXT(A962, "MMDD")&amp;" "&amp;TEXT(B962, "HH:MM:SS")&amp;"-"&amp;C962&amp;"-"&amp;D962&amp;"-"&amp;E962&amp;"-"&amp;F962&amp;"-"&amp;G962&amp;"-"&amp;H962</f>
        <v>0117 12:27:00-NWT-0-C-1-SW-DUP</v>
      </c>
    </row>
    <row r="963" spans="1:48" s="10" customFormat="1" x14ac:dyDescent="0.55000000000000004">
      <c r="A963" s="32">
        <v>44943</v>
      </c>
      <c r="B963" s="33">
        <v>0.51874999999999993</v>
      </c>
      <c r="C963" s="10" t="s">
        <v>445</v>
      </c>
      <c r="D963" s="10">
        <v>0</v>
      </c>
      <c r="E963" s="10" t="s">
        <v>190</v>
      </c>
      <c r="F963" s="10">
        <v>1</v>
      </c>
      <c r="G963" s="10" t="s">
        <v>231</v>
      </c>
      <c r="H963" s="10" t="s">
        <v>314</v>
      </c>
      <c r="I963" s="10" t="s">
        <v>285</v>
      </c>
      <c r="J963" s="10">
        <v>59</v>
      </c>
      <c r="K963" s="12">
        <v>44950</v>
      </c>
      <c r="L963" s="33">
        <v>0.4955092592592592</v>
      </c>
      <c r="M963" s="10">
        <v>1</v>
      </c>
      <c r="N963" s="10" t="s">
        <v>211</v>
      </c>
      <c r="O963" s="10">
        <v>1.78</v>
      </c>
      <c r="P963" s="10">
        <v>0.21199999999999999</v>
      </c>
      <c r="Q963" s="10">
        <v>369</v>
      </c>
      <c r="R963" s="10" t="s">
        <v>913</v>
      </c>
      <c r="S963" s="34">
        <f t="shared" si="109"/>
        <v>369</v>
      </c>
      <c r="T963" s="10" t="s">
        <v>1052</v>
      </c>
      <c r="U963" s="34">
        <f t="shared" si="110"/>
        <v>129.28</v>
      </c>
      <c r="V963" s="31">
        <f>IF(H963="CHK",VLOOKUP(I963,QCCHK,3,),IF(H963="GUP",VLOOKUP(E963,QCGUP,2,),IF(AND(H963="ATP",OR(I963="TN",I963="TDN",I963="TNO2-3",I963="NO2-3")),VLOOKUP(E963,QCREC_N,2,),IF(AND(H963="NIC",OR(I963="TN",I963="TDN",I963="TNO2-3",I963="NO2-3")),VLOOKUP(E963,QCNIC_N,2,),IF(AND(H963="UREA",OR(I963="TN",I963="TDN",I963="TNO2-3",I963="NO2-3")),VLOOKUP(E963,QCUREA_N,2,),IF(H963="PER",VLOOKUP(I963,QCPER,MATCH(E963,QCACTUAL!$J$25:$AA$25,0),),IF(H963="SPK",VLOOKUP(I963,QCSPK,3,),IF(AND(H963="ATP",OR(I963="TP",I963="TDP")),VLOOKUP(E963,QCATP_P,2,),""))))))))</f>
        <v>156.25</v>
      </c>
      <c r="W963" s="31" t="str">
        <f t="shared" si="111"/>
        <v>FALSE</v>
      </c>
      <c r="X963" s="31" t="str">
        <f t="shared" si="112"/>
        <v>([spikedunkn]-[unkn])/[spike]*100</v>
      </c>
      <c r="Y963" s="10" t="s">
        <v>1040</v>
      </c>
      <c r="Z963" s="10" t="s">
        <v>910</v>
      </c>
      <c r="AL963" s="10" t="str">
        <f t="shared" si="107"/>
        <v>FALSE</v>
      </c>
      <c r="AM963" s="10" t="str">
        <f t="shared" si="107"/>
        <v>FALSE</v>
      </c>
      <c r="AN963" s="10" t="str">
        <f t="shared" si="107"/>
        <v>FALSE</v>
      </c>
      <c r="AO963" s="10" t="str">
        <f t="shared" si="108"/>
        <v>FALSE</v>
      </c>
      <c r="AP963" s="10" t="str">
        <f t="shared" si="108"/>
        <v>FALSE</v>
      </c>
      <c r="AQ963" s="10" t="b">
        <f>IF(AND(I963="TP",S963&lt;=150),VLOOKUP(AF963,TPCalibEq150!$AZ$2:$BB$55,3,),IF(AND(I963="TDP",S963&lt;=150),VLOOKUP(AF963,TPCalibEq150!$AZ$2:$BB$55,3,)))</f>
        <v>0</v>
      </c>
      <c r="AR963" s="10" t="b">
        <f>IF(AND(I963="TP",S963&lt;=300),VLOOKUP(AF963,TPCalibEq300!$AZ$2:$BB$55,3,),IF(AND(I963="TDP",S963&lt;=300),VLOOKUP(AF963,TPCalibEq300!$AZ$2:$BB$55,3,)))</f>
        <v>0</v>
      </c>
      <c r="AS963" s="10" t="b">
        <f>IF(AND(I963="TP",S963&lt;=500),VLOOKUP(AF963,TPCalibEq500!$AZ$2:$BB$56,3,),IF(AND(I963="TDP",S963&lt;=500),VLOOKUP(AF963,TPCalibEq500!$AZ$2:$BB$56,3,)))</f>
        <v>0</v>
      </c>
      <c r="AT963" s="10" t="b">
        <f>IF(AND(I963="TN",S963&lt;=2800),VLOOKUP(AF963,TNCalibEq2500!$AZ$2:$BB$56,3,),IF(AND(I963="TDN",S963&lt;=2800),VLOOKUP(AF963,TNCalibEq2500!$AZ$2:$BB$56,3,)))</f>
        <v>0</v>
      </c>
      <c r="AU963" s="10" t="b">
        <f>IF(I963="TP",VLOOKUP(AF963,TPCalibEqFull!$AZ$2:$BB$56,3),IF(I963="TDP",VLOOKUP(AF963,TPCalibEqFull!$AZ$2:$BB$56,3),IF(I963="TDN",VLOOKUP(AF963,TNCalibEqFull!$AZ$1:$BB$56,3),IF(I963="TN",VLOOKUP(AF963,TNCalibEqFull!$AZ$1:$BB$56,3),FALSE))))</f>
        <v>0</v>
      </c>
      <c r="AV963" s="10" t="str">
        <f t="shared" si="113"/>
        <v>0117 12:27:00-NWT-0-C-1-SW-SPK</v>
      </c>
    </row>
    <row r="964" spans="1:48" s="10" customFormat="1" x14ac:dyDescent="0.55000000000000004">
      <c r="A964" s="32">
        <v>44950</v>
      </c>
      <c r="B964" s="33">
        <v>0.375</v>
      </c>
      <c r="C964" s="10" t="s">
        <v>70</v>
      </c>
      <c r="D964" s="10" t="s">
        <v>71</v>
      </c>
      <c r="E964" s="10" t="s">
        <v>901</v>
      </c>
      <c r="F964" s="10">
        <v>1</v>
      </c>
      <c r="G964" s="10" t="s">
        <v>73</v>
      </c>
      <c r="H964" s="10" t="s">
        <v>207</v>
      </c>
      <c r="I964" s="10" t="s">
        <v>285</v>
      </c>
      <c r="J964" s="10">
        <v>200</v>
      </c>
      <c r="K964" s="12">
        <v>44950</v>
      </c>
      <c r="L964" s="33">
        <v>0.49634259259259261</v>
      </c>
      <c r="M964" s="10">
        <v>1</v>
      </c>
      <c r="N964" s="10" t="s">
        <v>211</v>
      </c>
      <c r="O964" s="10">
        <v>0.375</v>
      </c>
      <c r="P964" s="10">
        <v>4.3400000000000001E-2</v>
      </c>
      <c r="Q964" s="10">
        <v>77.900000000000006</v>
      </c>
      <c r="R964" s="10" t="s">
        <v>913</v>
      </c>
      <c r="S964" s="34">
        <f t="shared" si="109"/>
        <v>77.900000000000006</v>
      </c>
      <c r="T964" s="10" t="s">
        <v>1052</v>
      </c>
      <c r="U964" s="34">
        <f t="shared" si="110"/>
        <v>103.86666666666669</v>
      </c>
      <c r="V964" s="31">
        <f>IF(H964="CHK",VLOOKUP(I964,QCCHK,3,),IF(H964="GUP",VLOOKUP(E964,QCGUP,2,),IF(AND(H964="ATP",OR(I964="TN",I964="TDN",I964="TNO2-3",I964="NO2-3")),VLOOKUP(E964,QCREC_N,2,),IF(AND(H964="NIC",OR(I964="TN",I964="TDN",I964="TNO2-3",I964="NO2-3")),VLOOKUP(E964,QCNIC_N,2,),IF(AND(H964="UREA",OR(I964="TN",I964="TDN",I964="TNO2-3",I964="NO2-3")),VLOOKUP(E964,QCUREA_N,2,),IF(H964="PER",VLOOKUP(I964,QCPER,MATCH(E964,QCACTUAL!$J$25:$AA$25,0),),IF(H964="SPK",VLOOKUP(I964,QCSPK,3,),IF(AND(H964="ATP",OR(I964="TP",I964="TDP")),VLOOKUP(E964,QCATP_P,2,),""))))))))</f>
        <v>75</v>
      </c>
      <c r="W964" s="31" t="str">
        <f t="shared" si="111"/>
        <v>TRUE</v>
      </c>
      <c r="X964" s="31" t="str">
        <f t="shared" si="112"/>
        <v>[chk]/[actual]*100</v>
      </c>
      <c r="Y964" s="10" t="s">
        <v>1040</v>
      </c>
      <c r="AL964" s="10" t="str">
        <f t="shared" si="107"/>
        <v>FALSE</v>
      </c>
      <c r="AM964" s="10" t="str">
        <f t="shared" si="107"/>
        <v>FALSE</v>
      </c>
      <c r="AN964" s="10" t="str">
        <f t="shared" si="107"/>
        <v>FALSE</v>
      </c>
      <c r="AO964" s="10" t="str">
        <f t="shared" si="108"/>
        <v>FALSE</v>
      </c>
      <c r="AP964" s="10" t="str">
        <f t="shared" si="108"/>
        <v>FALSE</v>
      </c>
      <c r="AQ964" s="10" t="b">
        <f>IF(AND(I964="TP",S964&lt;=150),VLOOKUP(AF964,TPCalibEq150!$AZ$2:$BB$55,3,),IF(AND(I964="TDP",S964&lt;=150),VLOOKUP(AF964,TPCalibEq150!$AZ$2:$BB$55,3,)))</f>
        <v>0</v>
      </c>
      <c r="AR964" s="10" t="b">
        <f>IF(AND(I964="TP",S964&lt;=300),VLOOKUP(AF964,TPCalibEq300!$AZ$2:$BB$55,3,),IF(AND(I964="TDP",S964&lt;=300),VLOOKUP(AF964,TPCalibEq300!$AZ$2:$BB$55,3,)))</f>
        <v>0</v>
      </c>
      <c r="AS964" s="10" t="b">
        <f>IF(AND(I964="TP",S964&lt;=500),VLOOKUP(AF964,TPCalibEq500!$AZ$2:$BB$56,3,),IF(AND(I964="TDP",S964&lt;=500),VLOOKUP(AF964,TPCalibEq500!$AZ$2:$BB$56,3,)))</f>
        <v>0</v>
      </c>
      <c r="AT964" s="10" t="b">
        <f>IF(AND(I964="TN",S964&lt;=2800),VLOOKUP(AF964,TNCalibEq2500!$AZ$2:$BB$56,3,),IF(AND(I964="TDN",S964&lt;=2800),VLOOKUP(AF964,TNCalibEq2500!$AZ$2:$BB$56,3,)))</f>
        <v>0</v>
      </c>
      <c r="AU964" s="10" t="b">
        <f>IF(I964="TP",VLOOKUP(AF964,TPCalibEqFull!$AZ$2:$BB$56,3),IF(I964="TDP",VLOOKUP(AF964,TPCalibEqFull!$AZ$2:$BB$56,3),IF(I964="TDN",VLOOKUP(AF964,TNCalibEqFull!$AZ$1:$BB$56,3),IF(I964="TN",VLOOKUP(AF964,TNCalibEqFull!$AZ$1:$BB$56,3),FALSE))))</f>
        <v>0</v>
      </c>
      <c r="AV964" s="10" t="str">
        <f t="shared" si="113"/>
        <v>0124 09:00:00-QAC-STD-D-1-DI-CHK</v>
      </c>
    </row>
    <row r="965" spans="1:48" s="10" customFormat="1" x14ac:dyDescent="0.55000000000000004">
      <c r="A965" s="32">
        <v>44937</v>
      </c>
      <c r="B965" s="33">
        <v>0.24027777777777778</v>
      </c>
      <c r="C965" s="10" t="s">
        <v>279</v>
      </c>
      <c r="D965" s="10">
        <v>0</v>
      </c>
      <c r="E965" s="10" t="s">
        <v>911</v>
      </c>
      <c r="F965" s="10">
        <v>1</v>
      </c>
      <c r="G965" s="10" t="s">
        <v>231</v>
      </c>
      <c r="H965" s="10" t="s">
        <v>322</v>
      </c>
      <c r="I965" s="10" t="s">
        <v>285</v>
      </c>
      <c r="J965" s="10">
        <v>29</v>
      </c>
      <c r="K965" s="12">
        <v>44950</v>
      </c>
      <c r="L965" s="33">
        <v>0.49714120370370374</v>
      </c>
      <c r="M965" s="10">
        <v>1</v>
      </c>
      <c r="N965" s="10" t="s">
        <v>211</v>
      </c>
      <c r="O965" s="10">
        <v>0.27800000000000002</v>
      </c>
      <c r="P965" s="10">
        <v>3.15E-2</v>
      </c>
      <c r="Q965" s="10">
        <v>57.8</v>
      </c>
      <c r="R965" s="10" t="s">
        <v>913</v>
      </c>
      <c r="S965" s="34">
        <f t="shared" si="109"/>
        <v>57.8</v>
      </c>
      <c r="T965" s="10" t="s">
        <v>1052</v>
      </c>
      <c r="U965" s="34" t="str">
        <f t="shared" si="110"/>
        <v/>
      </c>
      <c r="V965" s="31" t="str">
        <f>IF(H965="CHK",VLOOKUP(I965,QCCHK,3,),IF(H965="GUP",VLOOKUP(E965,QCGUP,2,),IF(AND(H965="ATP",OR(I965="TN",I965="TDN",I965="TNO2-3",I965="NO2-3")),VLOOKUP(E965,QCREC_N,2,),IF(AND(H965="NIC",OR(I965="TN",I965="TDN",I965="TNO2-3",I965="NO2-3")),VLOOKUP(E965,QCNIC_N,2,),IF(AND(H965="UREA",OR(I965="TN",I965="TDN",I965="TNO2-3",I965="NO2-3")),VLOOKUP(E965,QCUREA_N,2,),IF(H965="PER",VLOOKUP(I965,QCPER,MATCH(E965,QCACTUAL!$J$25:$AA$25,0),),IF(H965="SPK",VLOOKUP(I965,QCSPK,3,),IF(AND(H965="ATP",OR(I965="TP",I965="TDP")),VLOOKUP(E965,QCATP_P,2,),""))))))))</f>
        <v/>
      </c>
      <c r="W965" s="31" t="str">
        <f t="shared" si="111"/>
        <v>TRUE</v>
      </c>
      <c r="X965" s="31" t="str">
        <f t="shared" si="112"/>
        <v/>
      </c>
      <c r="Y965" s="10" t="s">
        <v>1040</v>
      </c>
      <c r="Z965" s="10" t="s">
        <v>910</v>
      </c>
      <c r="AL965" s="10" t="str">
        <f t="shared" si="107"/>
        <v>FALSE</v>
      </c>
      <c r="AM965" s="10" t="str">
        <f t="shared" si="107"/>
        <v>FALSE</v>
      </c>
      <c r="AN965" s="10" t="str">
        <f t="shared" si="107"/>
        <v>FALSE</v>
      </c>
      <c r="AO965" s="10" t="str">
        <f t="shared" si="108"/>
        <v>FALSE</v>
      </c>
      <c r="AP965" s="10" t="str">
        <f t="shared" si="108"/>
        <v>FALSE</v>
      </c>
      <c r="AQ965" s="10" t="b">
        <f>IF(AND(I965="TP",S965&lt;=150),VLOOKUP(AF965,TPCalibEq150!$AZ$2:$BB$55,3,),IF(AND(I965="TDP",S965&lt;=150),VLOOKUP(AF965,TPCalibEq150!$AZ$2:$BB$55,3,)))</f>
        <v>0</v>
      </c>
      <c r="AR965" s="10" t="b">
        <f>IF(AND(I965="TP",S965&lt;=300),VLOOKUP(AF965,TPCalibEq300!$AZ$2:$BB$55,3,),IF(AND(I965="TDP",S965&lt;=300),VLOOKUP(AF965,TPCalibEq300!$AZ$2:$BB$55,3,)))</f>
        <v>0</v>
      </c>
      <c r="AS965" s="10" t="b">
        <f>IF(AND(I965="TP",S965&lt;=500),VLOOKUP(AF965,TPCalibEq500!$AZ$2:$BB$56,3,),IF(AND(I965="TDP",S965&lt;=500),VLOOKUP(AF965,TPCalibEq500!$AZ$2:$BB$56,3,)))</f>
        <v>0</v>
      </c>
      <c r="AT965" s="10" t="b">
        <f>IF(AND(I965="TN",S965&lt;=2800),VLOOKUP(AF965,TNCalibEq2500!$AZ$2:$BB$56,3,),IF(AND(I965="TDN",S965&lt;=2800),VLOOKUP(AF965,TNCalibEq2500!$AZ$2:$BB$56,3,)))</f>
        <v>0</v>
      </c>
      <c r="AU965" s="10" t="b">
        <f>IF(I965="TP",VLOOKUP(AF965,TPCalibEqFull!$AZ$2:$BB$56,3),IF(I965="TDP",VLOOKUP(AF965,TPCalibEqFull!$AZ$2:$BB$56,3),IF(I965="TDN",VLOOKUP(AF965,TNCalibEqFull!$AZ$1:$BB$56,3),IF(I965="TN",VLOOKUP(AF965,TNCalibEqFull!$AZ$1:$BB$56,3),FALSE))))</f>
        <v>0</v>
      </c>
      <c r="AV965" s="10" t="str">
        <f t="shared" si="113"/>
        <v>0111 05:46:00-EFK-0-FIL-1-SW-UKN</v>
      </c>
    </row>
    <row r="966" spans="1:48" s="10" customFormat="1" x14ac:dyDescent="0.55000000000000004">
      <c r="A966" s="32">
        <v>44937</v>
      </c>
      <c r="B966" s="33">
        <v>0.24513888888888888</v>
      </c>
      <c r="C966" s="10" t="s">
        <v>333</v>
      </c>
      <c r="D966" s="10">
        <v>0</v>
      </c>
      <c r="E966" s="10" t="s">
        <v>911</v>
      </c>
      <c r="F966" s="10">
        <v>1</v>
      </c>
      <c r="G966" s="10" t="s">
        <v>231</v>
      </c>
      <c r="H966" s="10" t="s">
        <v>322</v>
      </c>
      <c r="I966" s="10" t="s">
        <v>285</v>
      </c>
      <c r="J966" s="10">
        <v>30</v>
      </c>
      <c r="K966" s="12">
        <v>44950</v>
      </c>
      <c r="L966" s="33">
        <v>0.4979513888888889</v>
      </c>
      <c r="M966" s="10">
        <v>1</v>
      </c>
      <c r="N966" s="10" t="s">
        <v>211</v>
      </c>
      <c r="O966" s="10">
        <v>0.21099999999999999</v>
      </c>
      <c r="P966" s="10">
        <v>2.3400000000000001E-2</v>
      </c>
      <c r="Q966" s="10">
        <v>43.9</v>
      </c>
      <c r="R966" s="10" t="s">
        <v>913</v>
      </c>
      <c r="S966" s="34">
        <f t="shared" si="109"/>
        <v>43.9</v>
      </c>
      <c r="T966" s="10" t="s">
        <v>1052</v>
      </c>
      <c r="U966" s="34" t="str">
        <f t="shared" si="110"/>
        <v/>
      </c>
      <c r="V966" s="31" t="str">
        <f>IF(H966="CHK",VLOOKUP(I966,QCCHK,3,),IF(H966="GUP",VLOOKUP(E966,QCGUP,2,),IF(AND(H966="ATP",OR(I966="TN",I966="TDN",I966="TNO2-3",I966="NO2-3")),VLOOKUP(E966,QCREC_N,2,),IF(AND(H966="NIC",OR(I966="TN",I966="TDN",I966="TNO2-3",I966="NO2-3")),VLOOKUP(E966,QCNIC_N,2,),IF(AND(H966="UREA",OR(I966="TN",I966="TDN",I966="TNO2-3",I966="NO2-3")),VLOOKUP(E966,QCUREA_N,2,),IF(H966="PER",VLOOKUP(I966,QCPER,MATCH(E966,QCACTUAL!$J$25:$AA$25,0),),IF(H966="SPK",VLOOKUP(I966,QCSPK,3,),IF(AND(H966="ATP",OR(I966="TP",I966="TDP")),VLOOKUP(E966,QCATP_P,2,),""))))))))</f>
        <v/>
      </c>
      <c r="W966" s="31" t="str">
        <f t="shared" si="111"/>
        <v>TRUE</v>
      </c>
      <c r="X966" s="31" t="str">
        <f t="shared" si="112"/>
        <v/>
      </c>
      <c r="Y966" s="10" t="s">
        <v>1040</v>
      </c>
      <c r="Z966" s="10" t="s">
        <v>910</v>
      </c>
      <c r="AL966" s="10" t="str">
        <f t="shared" si="107"/>
        <v>FALSE</v>
      </c>
      <c r="AM966" s="10" t="str">
        <f t="shared" si="107"/>
        <v>FALSE</v>
      </c>
      <c r="AN966" s="10" t="str">
        <f t="shared" si="107"/>
        <v>FALSE</v>
      </c>
      <c r="AO966" s="10" t="str">
        <f t="shared" si="108"/>
        <v>FALSE</v>
      </c>
      <c r="AP966" s="10" t="str">
        <f t="shared" si="108"/>
        <v>FALSE</v>
      </c>
      <c r="AQ966" s="10" t="b">
        <f>IF(AND(I966="TP",S966&lt;=150),VLOOKUP(AF966,TPCalibEq150!$AZ$2:$BB$55,3,),IF(AND(I966="TDP",S966&lt;=150),VLOOKUP(AF966,TPCalibEq150!$AZ$2:$BB$55,3,)))</f>
        <v>0</v>
      </c>
      <c r="AR966" s="10" t="b">
        <f>IF(AND(I966="TP",S966&lt;=300),VLOOKUP(AF966,TPCalibEq300!$AZ$2:$BB$55,3,),IF(AND(I966="TDP",S966&lt;=300),VLOOKUP(AF966,TPCalibEq300!$AZ$2:$BB$55,3,)))</f>
        <v>0</v>
      </c>
      <c r="AS966" s="10" t="b">
        <f>IF(AND(I966="TP",S966&lt;=500),VLOOKUP(AF966,TPCalibEq500!$AZ$2:$BB$56,3,),IF(AND(I966="TDP",S966&lt;=500),VLOOKUP(AF966,TPCalibEq500!$AZ$2:$BB$56,3,)))</f>
        <v>0</v>
      </c>
      <c r="AT966" s="10" t="b">
        <f>IF(AND(I966="TN",S966&lt;=2800),VLOOKUP(AF966,TNCalibEq2500!$AZ$2:$BB$56,3,),IF(AND(I966="TDN",S966&lt;=2800),VLOOKUP(AF966,TNCalibEq2500!$AZ$2:$BB$56,3,)))</f>
        <v>0</v>
      </c>
      <c r="AU966" s="10" t="b">
        <f>IF(I966="TP",VLOOKUP(AF966,TPCalibEqFull!$AZ$2:$BB$56,3),IF(I966="TDP",VLOOKUP(AF966,TPCalibEqFull!$AZ$2:$BB$56,3),IF(I966="TDN",VLOOKUP(AF966,TNCalibEqFull!$AZ$1:$BB$56,3),IF(I966="TN",VLOOKUP(AF966,TNCalibEqFull!$AZ$1:$BB$56,3),FALSE))))</f>
        <v>0</v>
      </c>
      <c r="AV966" s="10" t="str">
        <f t="shared" si="113"/>
        <v>0111 05:53:00-HST-0-FIL-1-SW-UKN</v>
      </c>
    </row>
    <row r="967" spans="1:48" s="10" customFormat="1" x14ac:dyDescent="0.55000000000000004">
      <c r="A967" s="32">
        <v>44938</v>
      </c>
      <c r="B967" s="33">
        <v>0.43958333333333338</v>
      </c>
      <c r="C967" s="10" t="s">
        <v>279</v>
      </c>
      <c r="D967" s="10">
        <v>0</v>
      </c>
      <c r="E967" s="10" t="s">
        <v>911</v>
      </c>
      <c r="F967" s="10">
        <v>1</v>
      </c>
      <c r="G967" s="10" t="s">
        <v>231</v>
      </c>
      <c r="H967" s="10" t="s">
        <v>322</v>
      </c>
      <c r="I967" s="10" t="s">
        <v>285</v>
      </c>
      <c r="J967" s="10">
        <v>31</v>
      </c>
      <c r="K967" s="12">
        <v>44950</v>
      </c>
      <c r="L967" s="33">
        <v>0.49877314814814816</v>
      </c>
      <c r="M967" s="10">
        <v>1</v>
      </c>
      <c r="N967" s="10" t="s">
        <v>211</v>
      </c>
      <c r="O967" s="10">
        <v>0.38600000000000001</v>
      </c>
      <c r="P967" s="10">
        <v>4.4200000000000003E-2</v>
      </c>
      <c r="Q967" s="10">
        <v>80.2</v>
      </c>
      <c r="R967" s="10" t="s">
        <v>913</v>
      </c>
      <c r="S967" s="34">
        <f t="shared" si="109"/>
        <v>80.2</v>
      </c>
      <c r="T967" s="10" t="s">
        <v>1052</v>
      </c>
      <c r="U967" s="34" t="str">
        <f t="shared" si="110"/>
        <v/>
      </c>
      <c r="V967" s="31" t="str">
        <f>IF(H967="CHK",VLOOKUP(I967,QCCHK,3,),IF(H967="GUP",VLOOKUP(E967,QCGUP,2,),IF(AND(H967="ATP",OR(I967="TN",I967="TDN",I967="TNO2-3",I967="NO2-3")),VLOOKUP(E967,QCREC_N,2,),IF(AND(H967="NIC",OR(I967="TN",I967="TDN",I967="TNO2-3",I967="NO2-3")),VLOOKUP(E967,QCNIC_N,2,),IF(AND(H967="UREA",OR(I967="TN",I967="TDN",I967="TNO2-3",I967="NO2-3")),VLOOKUP(E967,QCUREA_N,2,),IF(H967="PER",VLOOKUP(I967,QCPER,MATCH(E967,QCACTUAL!$J$25:$AA$25,0),),IF(H967="SPK",VLOOKUP(I967,QCSPK,3,),IF(AND(H967="ATP",OR(I967="TP",I967="TDP")),VLOOKUP(E967,QCATP_P,2,),""))))))))</f>
        <v/>
      </c>
      <c r="W967" s="31" t="str">
        <f t="shared" si="111"/>
        <v>TRUE</v>
      </c>
      <c r="X967" s="31" t="str">
        <f t="shared" si="112"/>
        <v/>
      </c>
      <c r="Y967" s="10" t="s">
        <v>1040</v>
      </c>
      <c r="Z967" s="10" t="s">
        <v>910</v>
      </c>
      <c r="AL967" s="10" t="str">
        <f t="shared" si="107"/>
        <v>FALSE</v>
      </c>
      <c r="AM967" s="10" t="str">
        <f t="shared" si="107"/>
        <v>FALSE</v>
      </c>
      <c r="AN967" s="10" t="str">
        <f t="shared" si="107"/>
        <v>FALSE</v>
      </c>
      <c r="AO967" s="10" t="str">
        <f t="shared" si="108"/>
        <v>FALSE</v>
      </c>
      <c r="AP967" s="10" t="str">
        <f t="shared" si="108"/>
        <v>FALSE</v>
      </c>
      <c r="AQ967" s="10" t="b">
        <f>IF(AND(I967="TP",S967&lt;=150),VLOOKUP(AF967,TPCalibEq150!$AZ$2:$BB$55,3,),IF(AND(I967="TDP",S967&lt;=150),VLOOKUP(AF967,TPCalibEq150!$AZ$2:$BB$55,3,)))</f>
        <v>0</v>
      </c>
      <c r="AR967" s="10" t="b">
        <f>IF(AND(I967="TP",S967&lt;=300),VLOOKUP(AF967,TPCalibEq300!$AZ$2:$BB$55,3,),IF(AND(I967="TDP",S967&lt;=300),VLOOKUP(AF967,TPCalibEq300!$AZ$2:$BB$55,3,)))</f>
        <v>0</v>
      </c>
      <c r="AS967" s="10" t="b">
        <f>IF(AND(I967="TP",S967&lt;=500),VLOOKUP(AF967,TPCalibEq500!$AZ$2:$BB$56,3,),IF(AND(I967="TDP",S967&lt;=500),VLOOKUP(AF967,TPCalibEq500!$AZ$2:$BB$56,3,)))</f>
        <v>0</v>
      </c>
      <c r="AT967" s="10" t="b">
        <f>IF(AND(I967="TN",S967&lt;=2800),VLOOKUP(AF967,TNCalibEq2500!$AZ$2:$BB$56,3,),IF(AND(I967="TDN",S967&lt;=2800),VLOOKUP(AF967,TNCalibEq2500!$AZ$2:$BB$56,3,)))</f>
        <v>0</v>
      </c>
      <c r="AU967" s="10" t="b">
        <f>IF(I967="TP",VLOOKUP(AF967,TPCalibEqFull!$AZ$2:$BB$56,3),IF(I967="TDP",VLOOKUP(AF967,TPCalibEqFull!$AZ$2:$BB$56,3),IF(I967="TDN",VLOOKUP(AF967,TNCalibEqFull!$AZ$1:$BB$56,3),IF(I967="TN",VLOOKUP(AF967,TNCalibEqFull!$AZ$1:$BB$56,3),FALSE))))</f>
        <v>0</v>
      </c>
      <c r="AV967" s="10" t="str">
        <f t="shared" si="113"/>
        <v>0112 10:33:00-EFK-0-FIL-1-SW-UKN</v>
      </c>
    </row>
    <row r="968" spans="1:48" s="10" customFormat="1" x14ac:dyDescent="0.55000000000000004">
      <c r="A968" s="32">
        <v>44938</v>
      </c>
      <c r="B968" s="33">
        <v>0.4548611111111111</v>
      </c>
      <c r="C968" s="10" t="s">
        <v>333</v>
      </c>
      <c r="D968" s="10">
        <v>0</v>
      </c>
      <c r="E968" s="10" t="s">
        <v>911</v>
      </c>
      <c r="F968" s="10">
        <v>1</v>
      </c>
      <c r="G968" s="10" t="s">
        <v>231</v>
      </c>
      <c r="H968" s="10" t="s">
        <v>322</v>
      </c>
      <c r="I968" s="10" t="s">
        <v>285</v>
      </c>
      <c r="J968" s="10">
        <v>32</v>
      </c>
      <c r="K968" s="12">
        <v>44950</v>
      </c>
      <c r="L968" s="33">
        <v>0.49959490740740736</v>
      </c>
      <c r="M968" s="10">
        <v>1</v>
      </c>
      <c r="N968" s="10" t="s">
        <v>211</v>
      </c>
      <c r="O968" s="10">
        <v>0.59799999999999998</v>
      </c>
      <c r="P968" s="10">
        <v>6.8599999999999994E-2</v>
      </c>
      <c r="Q968" s="10">
        <v>124</v>
      </c>
      <c r="R968" s="10" t="s">
        <v>913</v>
      </c>
      <c r="S968" s="34">
        <f t="shared" si="109"/>
        <v>124</v>
      </c>
      <c r="T968" s="10" t="s">
        <v>1052</v>
      </c>
      <c r="U968" s="34" t="str">
        <f t="shared" si="110"/>
        <v/>
      </c>
      <c r="V968" s="31" t="str">
        <f>IF(H968="CHK",VLOOKUP(I968,QCCHK,3,),IF(H968="GUP",VLOOKUP(E968,QCGUP,2,),IF(AND(H968="ATP",OR(I968="TN",I968="TDN",I968="TNO2-3",I968="NO2-3")),VLOOKUP(E968,QCREC_N,2,),IF(AND(H968="NIC",OR(I968="TN",I968="TDN",I968="TNO2-3",I968="NO2-3")),VLOOKUP(E968,QCNIC_N,2,),IF(AND(H968="UREA",OR(I968="TN",I968="TDN",I968="TNO2-3",I968="NO2-3")),VLOOKUP(E968,QCUREA_N,2,),IF(H968="PER",VLOOKUP(I968,QCPER,MATCH(E968,QCACTUAL!$J$25:$AA$25,0),),IF(H968="SPK",VLOOKUP(I968,QCSPK,3,),IF(AND(H968="ATP",OR(I968="TP",I968="TDP")),VLOOKUP(E968,QCATP_P,2,),""))))))))</f>
        <v/>
      </c>
      <c r="W968" s="31" t="str">
        <f t="shared" si="111"/>
        <v>TRUE</v>
      </c>
      <c r="X968" s="31" t="str">
        <f t="shared" si="112"/>
        <v/>
      </c>
      <c r="Y968" s="10" t="s">
        <v>1040</v>
      </c>
      <c r="Z968" s="10" t="s">
        <v>910</v>
      </c>
      <c r="AL968" s="10" t="str">
        <f t="shared" si="107"/>
        <v>FALSE</v>
      </c>
      <c r="AM968" s="10" t="str">
        <f t="shared" si="107"/>
        <v>FALSE</v>
      </c>
      <c r="AN968" s="10" t="str">
        <f t="shared" si="107"/>
        <v>FALSE</v>
      </c>
      <c r="AO968" s="10" t="str">
        <f t="shared" si="108"/>
        <v>FALSE</v>
      </c>
      <c r="AP968" s="10" t="str">
        <f t="shared" si="108"/>
        <v>FALSE</v>
      </c>
      <c r="AQ968" s="10" t="b">
        <f>IF(AND(I968="TP",S968&lt;=150),VLOOKUP(AF968,TPCalibEq150!$AZ$2:$BB$55,3,),IF(AND(I968="TDP",S968&lt;=150),VLOOKUP(AF968,TPCalibEq150!$AZ$2:$BB$55,3,)))</f>
        <v>0</v>
      </c>
      <c r="AR968" s="10" t="b">
        <f>IF(AND(I968="TP",S968&lt;=300),VLOOKUP(AF968,TPCalibEq300!$AZ$2:$BB$55,3,),IF(AND(I968="TDP",S968&lt;=300),VLOOKUP(AF968,TPCalibEq300!$AZ$2:$BB$55,3,)))</f>
        <v>0</v>
      </c>
      <c r="AS968" s="10" t="b">
        <f>IF(AND(I968="TP",S968&lt;=500),VLOOKUP(AF968,TPCalibEq500!$AZ$2:$BB$56,3,),IF(AND(I968="TDP",S968&lt;=500),VLOOKUP(AF968,TPCalibEq500!$AZ$2:$BB$56,3,)))</f>
        <v>0</v>
      </c>
      <c r="AT968" s="10" t="b">
        <f>IF(AND(I968="TN",S968&lt;=2800),VLOOKUP(AF968,TNCalibEq2500!$AZ$2:$BB$56,3,),IF(AND(I968="TDN",S968&lt;=2800),VLOOKUP(AF968,TNCalibEq2500!$AZ$2:$BB$56,3,)))</f>
        <v>0</v>
      </c>
      <c r="AU968" s="10" t="b">
        <f>IF(I968="TP",VLOOKUP(AF968,TPCalibEqFull!$AZ$2:$BB$56,3),IF(I968="TDP",VLOOKUP(AF968,TPCalibEqFull!$AZ$2:$BB$56,3),IF(I968="TDN",VLOOKUP(AF968,TNCalibEqFull!$AZ$1:$BB$56,3),IF(I968="TN",VLOOKUP(AF968,TNCalibEqFull!$AZ$1:$BB$56,3),FALSE))))</f>
        <v>0</v>
      </c>
      <c r="AV968" s="10" t="str">
        <f t="shared" si="113"/>
        <v>0112 10:55:00-HST-0-FIL-1-SW-UKN</v>
      </c>
    </row>
    <row r="969" spans="1:48" s="10" customFormat="1" x14ac:dyDescent="0.55000000000000004">
      <c r="A969" s="32">
        <v>44939</v>
      </c>
      <c r="B969" s="33">
        <v>0.4916666666666667</v>
      </c>
      <c r="C969" s="10" t="s">
        <v>279</v>
      </c>
      <c r="D969" s="10">
        <v>0</v>
      </c>
      <c r="E969" s="10" t="s">
        <v>911</v>
      </c>
      <c r="F969" s="10">
        <v>1</v>
      </c>
      <c r="G969" s="10" t="s">
        <v>231</v>
      </c>
      <c r="H969" s="10" t="s">
        <v>322</v>
      </c>
      <c r="I969" s="10" t="s">
        <v>285</v>
      </c>
      <c r="J969" s="10">
        <v>33</v>
      </c>
      <c r="K969" s="12">
        <v>44950</v>
      </c>
      <c r="L969" s="33">
        <v>0.50042824074074077</v>
      </c>
      <c r="M969" s="10">
        <v>1</v>
      </c>
      <c r="N969" s="10" t="s">
        <v>211</v>
      </c>
      <c r="O969" s="10">
        <v>0.56699999999999995</v>
      </c>
      <c r="P969" s="10">
        <v>6.5000000000000002E-2</v>
      </c>
      <c r="Q969" s="10">
        <v>118</v>
      </c>
      <c r="R969" s="10" t="s">
        <v>913</v>
      </c>
      <c r="S969" s="34">
        <f t="shared" si="109"/>
        <v>118</v>
      </c>
      <c r="T969" s="10" t="s">
        <v>1052</v>
      </c>
      <c r="U969" s="34" t="str">
        <f t="shared" si="110"/>
        <v/>
      </c>
      <c r="V969" s="31" t="str">
        <f>IF(H969="CHK",VLOOKUP(I969,QCCHK,3,),IF(H969="GUP",VLOOKUP(E969,QCGUP,2,),IF(AND(H969="ATP",OR(I969="TN",I969="TDN",I969="TNO2-3",I969="NO2-3")),VLOOKUP(E969,QCREC_N,2,),IF(AND(H969="NIC",OR(I969="TN",I969="TDN",I969="TNO2-3",I969="NO2-3")),VLOOKUP(E969,QCNIC_N,2,),IF(AND(H969="UREA",OR(I969="TN",I969="TDN",I969="TNO2-3",I969="NO2-3")),VLOOKUP(E969,QCUREA_N,2,),IF(H969="PER",VLOOKUP(I969,QCPER,MATCH(E969,QCACTUAL!$J$25:$AA$25,0),),IF(H969="SPK",VLOOKUP(I969,QCSPK,3,),IF(AND(H969="ATP",OR(I969="TP",I969="TDP")),VLOOKUP(E969,QCATP_P,2,),""))))))))</f>
        <v/>
      </c>
      <c r="W969" s="31" t="str">
        <f t="shared" si="111"/>
        <v>TRUE</v>
      </c>
      <c r="X969" s="31" t="str">
        <f t="shared" si="112"/>
        <v/>
      </c>
      <c r="Y969" s="10" t="s">
        <v>1040</v>
      </c>
      <c r="Z969" s="10" t="s">
        <v>910</v>
      </c>
      <c r="AL969" s="10" t="str">
        <f t="shared" si="107"/>
        <v>FALSE</v>
      </c>
      <c r="AM969" s="10" t="str">
        <f t="shared" si="107"/>
        <v>FALSE</v>
      </c>
      <c r="AN969" s="10" t="str">
        <f t="shared" si="107"/>
        <v>FALSE</v>
      </c>
      <c r="AO969" s="10" t="str">
        <f t="shared" si="108"/>
        <v>FALSE</v>
      </c>
      <c r="AP969" s="10" t="str">
        <f t="shared" si="108"/>
        <v>FALSE</v>
      </c>
      <c r="AQ969" s="10" t="b">
        <f>IF(AND(I969="TP",S969&lt;=150),VLOOKUP(AF969,TPCalibEq150!$AZ$2:$BB$55,3,),IF(AND(I969="TDP",S969&lt;=150),VLOOKUP(AF969,TPCalibEq150!$AZ$2:$BB$55,3,)))</f>
        <v>0</v>
      </c>
      <c r="AR969" s="10" t="b">
        <f>IF(AND(I969="TP",S969&lt;=300),VLOOKUP(AF969,TPCalibEq300!$AZ$2:$BB$55,3,),IF(AND(I969="TDP",S969&lt;=300),VLOOKUP(AF969,TPCalibEq300!$AZ$2:$BB$55,3,)))</f>
        <v>0</v>
      </c>
      <c r="AS969" s="10" t="b">
        <f>IF(AND(I969="TP",S969&lt;=500),VLOOKUP(AF969,TPCalibEq500!$AZ$2:$BB$56,3,),IF(AND(I969="TDP",S969&lt;=500),VLOOKUP(AF969,TPCalibEq500!$AZ$2:$BB$56,3,)))</f>
        <v>0</v>
      </c>
      <c r="AT969" s="10" t="b">
        <f>IF(AND(I969="TN",S969&lt;=2800),VLOOKUP(AF969,TNCalibEq2500!$AZ$2:$BB$56,3,),IF(AND(I969="TDN",S969&lt;=2800),VLOOKUP(AF969,TNCalibEq2500!$AZ$2:$BB$56,3,)))</f>
        <v>0</v>
      </c>
      <c r="AU969" s="10" t="b">
        <f>IF(I969="TP",VLOOKUP(AF969,TPCalibEqFull!$AZ$2:$BB$56,3),IF(I969="TDP",VLOOKUP(AF969,TPCalibEqFull!$AZ$2:$BB$56,3),IF(I969="TDN",VLOOKUP(AF969,TNCalibEqFull!$AZ$1:$BB$56,3),IF(I969="TN",VLOOKUP(AF969,TNCalibEqFull!$AZ$1:$BB$56,3),FALSE))))</f>
        <v>0</v>
      </c>
      <c r="AV969" s="10" t="str">
        <f t="shared" si="113"/>
        <v>0113 11:48:00-EFK-0-FIL-1-SW-UKN</v>
      </c>
    </row>
    <row r="970" spans="1:48" s="10" customFormat="1" x14ac:dyDescent="0.55000000000000004">
      <c r="A970" s="32">
        <v>44939</v>
      </c>
      <c r="B970" s="33">
        <v>0.49444444444444446</v>
      </c>
      <c r="C970" s="10" t="s">
        <v>333</v>
      </c>
      <c r="D970" s="10">
        <v>0</v>
      </c>
      <c r="E970" s="10" t="s">
        <v>911</v>
      </c>
      <c r="F970" s="10">
        <v>1</v>
      </c>
      <c r="G970" s="10" t="s">
        <v>231</v>
      </c>
      <c r="H970" s="10" t="s">
        <v>322</v>
      </c>
      <c r="I970" s="10" t="s">
        <v>285</v>
      </c>
      <c r="J970" s="10">
        <v>34</v>
      </c>
      <c r="K970" s="12">
        <v>44950</v>
      </c>
      <c r="L970" s="33">
        <v>0.50124999999999997</v>
      </c>
      <c r="M970" s="10">
        <v>1</v>
      </c>
      <c r="N970" s="10" t="s">
        <v>211</v>
      </c>
      <c r="O970" s="10">
        <v>0.45800000000000002</v>
      </c>
      <c r="P970" s="10">
        <v>5.21E-2</v>
      </c>
      <c r="Q970" s="10">
        <v>95.1</v>
      </c>
      <c r="R970" s="10" t="s">
        <v>913</v>
      </c>
      <c r="S970" s="34">
        <f t="shared" si="109"/>
        <v>95.1</v>
      </c>
      <c r="T970" s="10" t="s">
        <v>1052</v>
      </c>
      <c r="U970" s="34" t="str">
        <f t="shared" si="110"/>
        <v/>
      </c>
      <c r="V970" s="31" t="str">
        <f>IF(H970="CHK",VLOOKUP(I970,QCCHK,3,),IF(H970="GUP",VLOOKUP(E970,QCGUP,2,),IF(AND(H970="ATP",OR(I970="TN",I970="TDN",I970="TNO2-3",I970="NO2-3")),VLOOKUP(E970,QCREC_N,2,),IF(AND(H970="NIC",OR(I970="TN",I970="TDN",I970="TNO2-3",I970="NO2-3")),VLOOKUP(E970,QCNIC_N,2,),IF(AND(H970="UREA",OR(I970="TN",I970="TDN",I970="TNO2-3",I970="NO2-3")),VLOOKUP(E970,QCUREA_N,2,),IF(H970="PER",VLOOKUP(I970,QCPER,MATCH(E970,QCACTUAL!$J$25:$AA$25,0),),IF(H970="SPK",VLOOKUP(I970,QCSPK,3,),IF(AND(H970="ATP",OR(I970="TP",I970="TDP")),VLOOKUP(E970,QCATP_P,2,),""))))))))</f>
        <v/>
      </c>
      <c r="W970" s="31" t="str">
        <f t="shared" si="111"/>
        <v>TRUE</v>
      </c>
      <c r="X970" s="31" t="str">
        <f t="shared" si="112"/>
        <v/>
      </c>
      <c r="Y970" s="10" t="s">
        <v>1040</v>
      </c>
      <c r="Z970" s="10" t="s">
        <v>910</v>
      </c>
      <c r="AL970" s="10" t="str">
        <f t="shared" si="107"/>
        <v>FALSE</v>
      </c>
      <c r="AM970" s="10" t="str">
        <f t="shared" si="107"/>
        <v>FALSE</v>
      </c>
      <c r="AN970" s="10" t="str">
        <f t="shared" si="107"/>
        <v>FALSE</v>
      </c>
      <c r="AO970" s="10" t="str">
        <f t="shared" si="108"/>
        <v>FALSE</v>
      </c>
      <c r="AP970" s="10" t="str">
        <f t="shared" si="108"/>
        <v>FALSE</v>
      </c>
      <c r="AQ970" s="10" t="b">
        <f>IF(AND(I970="TP",S970&lt;=150),VLOOKUP(AF970,TPCalibEq150!$AZ$2:$BB$55,3,),IF(AND(I970="TDP",S970&lt;=150),VLOOKUP(AF970,TPCalibEq150!$AZ$2:$BB$55,3,)))</f>
        <v>0</v>
      </c>
      <c r="AR970" s="10" t="b">
        <f>IF(AND(I970="TP",S970&lt;=300),VLOOKUP(AF970,TPCalibEq300!$AZ$2:$BB$55,3,),IF(AND(I970="TDP",S970&lt;=300),VLOOKUP(AF970,TPCalibEq300!$AZ$2:$BB$55,3,)))</f>
        <v>0</v>
      </c>
      <c r="AS970" s="10" t="b">
        <f>IF(AND(I970="TP",S970&lt;=500),VLOOKUP(AF970,TPCalibEq500!$AZ$2:$BB$56,3,),IF(AND(I970="TDP",S970&lt;=500),VLOOKUP(AF970,TPCalibEq500!$AZ$2:$BB$56,3,)))</f>
        <v>0</v>
      </c>
      <c r="AT970" s="10" t="b">
        <f>IF(AND(I970="TN",S970&lt;=2800),VLOOKUP(AF970,TNCalibEq2500!$AZ$2:$BB$56,3,),IF(AND(I970="TDN",S970&lt;=2800),VLOOKUP(AF970,TNCalibEq2500!$AZ$2:$BB$56,3,)))</f>
        <v>0</v>
      </c>
      <c r="AU970" s="10" t="b">
        <f>IF(I970="TP",VLOOKUP(AF970,TPCalibEqFull!$AZ$2:$BB$56,3),IF(I970="TDP",VLOOKUP(AF970,TPCalibEqFull!$AZ$2:$BB$56,3),IF(I970="TDN",VLOOKUP(AF970,TNCalibEqFull!$AZ$1:$BB$56,3),IF(I970="TN",VLOOKUP(AF970,TNCalibEqFull!$AZ$1:$BB$56,3),FALSE))))</f>
        <v>0</v>
      </c>
      <c r="AV970" s="10" t="str">
        <f t="shared" si="113"/>
        <v>0113 11:52:00-HST-0-FIL-1-SW-UKN</v>
      </c>
    </row>
    <row r="971" spans="1:48" s="10" customFormat="1" x14ac:dyDescent="0.55000000000000004">
      <c r="A971" s="32">
        <v>44943</v>
      </c>
      <c r="B971" s="33">
        <v>0.32291666666666669</v>
      </c>
      <c r="C971" s="10" t="s">
        <v>279</v>
      </c>
      <c r="D971" s="10">
        <v>0</v>
      </c>
      <c r="E971" s="10" t="s">
        <v>911</v>
      </c>
      <c r="F971" s="10">
        <v>1</v>
      </c>
      <c r="G971" s="10" t="s">
        <v>231</v>
      </c>
      <c r="H971" s="10" t="s">
        <v>322</v>
      </c>
      <c r="I971" s="10" t="s">
        <v>285</v>
      </c>
      <c r="J971" s="10">
        <v>35</v>
      </c>
      <c r="K971" s="12">
        <v>44950</v>
      </c>
      <c r="L971" s="33">
        <v>0.50206018518518525</v>
      </c>
      <c r="M971" s="10">
        <v>1</v>
      </c>
      <c r="N971" s="10" t="s">
        <v>211</v>
      </c>
      <c r="O971" s="10">
        <v>0.47799999999999998</v>
      </c>
      <c r="P971" s="10">
        <v>5.4899999999999997E-2</v>
      </c>
      <c r="Q971" s="10">
        <v>99.3</v>
      </c>
      <c r="R971" s="10" t="s">
        <v>913</v>
      </c>
      <c r="S971" s="34">
        <f t="shared" si="109"/>
        <v>99.3</v>
      </c>
      <c r="T971" s="10" t="s">
        <v>1052</v>
      </c>
      <c r="U971" s="34" t="str">
        <f t="shared" si="110"/>
        <v/>
      </c>
      <c r="V971" s="31" t="str">
        <f>IF(H971="CHK",VLOOKUP(I971,QCCHK,3,),IF(H971="GUP",VLOOKUP(E971,QCGUP,2,),IF(AND(H971="ATP",OR(I971="TN",I971="TDN",I971="TNO2-3",I971="NO2-3")),VLOOKUP(E971,QCREC_N,2,),IF(AND(H971="NIC",OR(I971="TN",I971="TDN",I971="TNO2-3",I971="NO2-3")),VLOOKUP(E971,QCNIC_N,2,),IF(AND(H971="UREA",OR(I971="TN",I971="TDN",I971="TNO2-3",I971="NO2-3")),VLOOKUP(E971,QCUREA_N,2,),IF(H971="PER",VLOOKUP(I971,QCPER,MATCH(E971,QCACTUAL!$J$25:$AA$25,0),),IF(H971="SPK",VLOOKUP(I971,QCSPK,3,),IF(AND(H971="ATP",OR(I971="TP",I971="TDP")),VLOOKUP(E971,QCATP_P,2,),""))))))))</f>
        <v/>
      </c>
      <c r="W971" s="31" t="str">
        <f t="shared" si="111"/>
        <v>TRUE</v>
      </c>
      <c r="X971" s="31" t="str">
        <f t="shared" si="112"/>
        <v/>
      </c>
      <c r="Y971" s="10" t="s">
        <v>1040</v>
      </c>
      <c r="Z971" s="10" t="s">
        <v>910</v>
      </c>
      <c r="AL971" s="10" t="str">
        <f t="shared" si="107"/>
        <v>FALSE</v>
      </c>
      <c r="AM971" s="10" t="str">
        <f t="shared" si="107"/>
        <v>FALSE</v>
      </c>
      <c r="AN971" s="10" t="str">
        <f t="shared" si="107"/>
        <v>FALSE</v>
      </c>
      <c r="AO971" s="10" t="str">
        <f t="shared" si="108"/>
        <v>FALSE</v>
      </c>
      <c r="AP971" s="10" t="str">
        <f t="shared" si="108"/>
        <v>FALSE</v>
      </c>
      <c r="AQ971" s="10" t="b">
        <f>IF(AND(I971="TP",S971&lt;=150),VLOOKUP(AF971,TPCalibEq150!$AZ$2:$BB$55,3,),IF(AND(I971="TDP",S971&lt;=150),VLOOKUP(AF971,TPCalibEq150!$AZ$2:$BB$55,3,)))</f>
        <v>0</v>
      </c>
      <c r="AR971" s="10" t="b">
        <f>IF(AND(I971="TP",S971&lt;=300),VLOOKUP(AF971,TPCalibEq300!$AZ$2:$BB$55,3,),IF(AND(I971="TDP",S971&lt;=300),VLOOKUP(AF971,TPCalibEq300!$AZ$2:$BB$55,3,)))</f>
        <v>0</v>
      </c>
      <c r="AS971" s="10" t="b">
        <f>IF(AND(I971="TP",S971&lt;=500),VLOOKUP(AF971,TPCalibEq500!$AZ$2:$BB$56,3,),IF(AND(I971="TDP",S971&lt;=500),VLOOKUP(AF971,TPCalibEq500!$AZ$2:$BB$56,3,)))</f>
        <v>0</v>
      </c>
      <c r="AT971" s="10" t="b">
        <f>IF(AND(I971="TN",S971&lt;=2800),VLOOKUP(AF971,TNCalibEq2500!$AZ$2:$BB$56,3,),IF(AND(I971="TDN",S971&lt;=2800),VLOOKUP(AF971,TNCalibEq2500!$AZ$2:$BB$56,3,)))</f>
        <v>0</v>
      </c>
      <c r="AU971" s="10" t="b">
        <f>IF(I971="TP",VLOOKUP(AF971,TPCalibEqFull!$AZ$2:$BB$56,3),IF(I971="TDP",VLOOKUP(AF971,TPCalibEqFull!$AZ$2:$BB$56,3),IF(I971="TDN",VLOOKUP(AF971,TNCalibEqFull!$AZ$1:$BB$56,3),IF(I971="TN",VLOOKUP(AF971,TNCalibEqFull!$AZ$1:$BB$56,3),FALSE))))</f>
        <v>0</v>
      </c>
      <c r="AV971" s="10" t="str">
        <f t="shared" si="113"/>
        <v>0117 07:45:00-EFK-0-FIL-1-SW-UKN</v>
      </c>
    </row>
    <row r="972" spans="1:48" s="10" customFormat="1" x14ac:dyDescent="0.55000000000000004">
      <c r="A972" s="32">
        <v>44943</v>
      </c>
      <c r="B972" s="33">
        <v>0.32083333333333336</v>
      </c>
      <c r="C972" s="10" t="s">
        <v>333</v>
      </c>
      <c r="D972" s="10">
        <v>0</v>
      </c>
      <c r="E972" s="10" t="s">
        <v>911</v>
      </c>
      <c r="F972" s="10">
        <v>1</v>
      </c>
      <c r="G972" s="10" t="s">
        <v>231</v>
      </c>
      <c r="H972" s="10" t="s">
        <v>322</v>
      </c>
      <c r="I972" s="10" t="s">
        <v>285</v>
      </c>
      <c r="J972" s="10">
        <v>36</v>
      </c>
      <c r="K972" s="12">
        <v>44950</v>
      </c>
      <c r="L972" s="33">
        <v>0.50288194444444445</v>
      </c>
      <c r="M972" s="10">
        <v>1</v>
      </c>
      <c r="N972" s="10" t="s">
        <v>211</v>
      </c>
      <c r="O972" s="10">
        <v>0.247</v>
      </c>
      <c r="P972" s="10">
        <v>2.7400000000000001E-2</v>
      </c>
      <c r="Q972" s="10">
        <v>51.3</v>
      </c>
      <c r="R972" s="10" t="s">
        <v>913</v>
      </c>
      <c r="S972" s="34">
        <f t="shared" si="109"/>
        <v>51.3</v>
      </c>
      <c r="T972" s="10" t="s">
        <v>1052</v>
      </c>
      <c r="U972" s="34" t="str">
        <f t="shared" si="110"/>
        <v/>
      </c>
      <c r="V972" s="31" t="str">
        <f>IF(H972="CHK",VLOOKUP(I972,QCCHK,3,),IF(H972="GUP",VLOOKUP(E972,QCGUP,2,),IF(AND(H972="ATP",OR(I972="TN",I972="TDN",I972="TNO2-3",I972="NO2-3")),VLOOKUP(E972,QCREC_N,2,),IF(AND(H972="NIC",OR(I972="TN",I972="TDN",I972="TNO2-3",I972="NO2-3")),VLOOKUP(E972,QCNIC_N,2,),IF(AND(H972="UREA",OR(I972="TN",I972="TDN",I972="TNO2-3",I972="NO2-3")),VLOOKUP(E972,QCUREA_N,2,),IF(H972="PER",VLOOKUP(I972,QCPER,MATCH(E972,QCACTUAL!$J$25:$AA$25,0),),IF(H972="SPK",VLOOKUP(I972,QCSPK,3,),IF(AND(H972="ATP",OR(I972="TP",I972="TDP")),VLOOKUP(E972,QCATP_P,2,),""))))))))</f>
        <v/>
      </c>
      <c r="W972" s="31" t="str">
        <f t="shared" si="111"/>
        <v>TRUE</v>
      </c>
      <c r="X972" s="31" t="str">
        <f t="shared" si="112"/>
        <v/>
      </c>
      <c r="Y972" s="10" t="s">
        <v>1040</v>
      </c>
      <c r="Z972" s="10" t="s">
        <v>910</v>
      </c>
      <c r="AL972" s="10" t="str">
        <f t="shared" si="107"/>
        <v>FALSE</v>
      </c>
      <c r="AM972" s="10" t="str">
        <f t="shared" si="107"/>
        <v>FALSE</v>
      </c>
      <c r="AN972" s="10" t="str">
        <f t="shared" si="107"/>
        <v>FALSE</v>
      </c>
      <c r="AO972" s="10" t="str">
        <f t="shared" si="108"/>
        <v>FALSE</v>
      </c>
      <c r="AP972" s="10" t="str">
        <f t="shared" si="108"/>
        <v>FALSE</v>
      </c>
      <c r="AQ972" s="10" t="b">
        <f>IF(AND(I972="TP",S972&lt;=150),VLOOKUP(AF972,TPCalibEq150!$AZ$2:$BB$55,3,),IF(AND(I972="TDP",S972&lt;=150),VLOOKUP(AF972,TPCalibEq150!$AZ$2:$BB$55,3,)))</f>
        <v>0</v>
      </c>
      <c r="AR972" s="10" t="b">
        <f>IF(AND(I972="TP",S972&lt;=300),VLOOKUP(AF972,TPCalibEq300!$AZ$2:$BB$55,3,),IF(AND(I972="TDP",S972&lt;=300),VLOOKUP(AF972,TPCalibEq300!$AZ$2:$BB$55,3,)))</f>
        <v>0</v>
      </c>
      <c r="AS972" s="10" t="b">
        <f>IF(AND(I972="TP",S972&lt;=500),VLOOKUP(AF972,TPCalibEq500!$AZ$2:$BB$56,3,),IF(AND(I972="TDP",S972&lt;=500),VLOOKUP(AF972,TPCalibEq500!$AZ$2:$BB$56,3,)))</f>
        <v>0</v>
      </c>
      <c r="AT972" s="10" t="b">
        <f>IF(AND(I972="TN",S972&lt;=2800),VLOOKUP(AF972,TNCalibEq2500!$AZ$2:$BB$56,3,),IF(AND(I972="TDN",S972&lt;=2800),VLOOKUP(AF972,TNCalibEq2500!$AZ$2:$BB$56,3,)))</f>
        <v>0</v>
      </c>
      <c r="AU972" s="10" t="b">
        <f>IF(I972="TP",VLOOKUP(AF972,TPCalibEqFull!$AZ$2:$BB$56,3),IF(I972="TDP",VLOOKUP(AF972,TPCalibEqFull!$AZ$2:$BB$56,3),IF(I972="TDN",VLOOKUP(AF972,TNCalibEqFull!$AZ$1:$BB$56,3),IF(I972="TN",VLOOKUP(AF972,TNCalibEqFull!$AZ$1:$BB$56,3),FALSE))))</f>
        <v>0</v>
      </c>
      <c r="AV972" s="10" t="str">
        <f t="shared" si="113"/>
        <v>0117 07:42:00-HST-0-FIL-1-SW-UKN</v>
      </c>
    </row>
    <row r="973" spans="1:48" s="10" customFormat="1" x14ac:dyDescent="0.55000000000000004">
      <c r="A973" s="32">
        <v>44944</v>
      </c>
      <c r="B973" s="33">
        <v>0.36249999999999999</v>
      </c>
      <c r="C973" s="10" t="s">
        <v>279</v>
      </c>
      <c r="D973" s="10">
        <v>0</v>
      </c>
      <c r="E973" s="10" t="s">
        <v>911</v>
      </c>
      <c r="F973" s="10">
        <v>1</v>
      </c>
      <c r="G973" s="10" t="s">
        <v>231</v>
      </c>
      <c r="H973" s="10" t="s">
        <v>322</v>
      </c>
      <c r="I973" s="10" t="s">
        <v>285</v>
      </c>
      <c r="J973" s="10">
        <v>37</v>
      </c>
      <c r="K973" s="12">
        <v>44950</v>
      </c>
      <c r="L973" s="33">
        <v>0.50369212962962961</v>
      </c>
      <c r="M973" s="10">
        <v>1</v>
      </c>
      <c r="N973" s="10" t="s">
        <v>211</v>
      </c>
      <c r="O973" s="10">
        <v>0.36199999999999999</v>
      </c>
      <c r="P973" s="10">
        <v>4.1300000000000003E-2</v>
      </c>
      <c r="Q973" s="10">
        <v>75.2</v>
      </c>
      <c r="R973" s="10" t="s">
        <v>913</v>
      </c>
      <c r="S973" s="34">
        <f t="shared" si="109"/>
        <v>75.2</v>
      </c>
      <c r="T973" s="10" t="s">
        <v>1052</v>
      </c>
      <c r="U973" s="34" t="str">
        <f t="shared" si="110"/>
        <v/>
      </c>
      <c r="V973" s="31" t="str">
        <f>IF(H973="CHK",VLOOKUP(I973,QCCHK,3,),IF(H973="GUP",VLOOKUP(E973,QCGUP,2,),IF(AND(H973="ATP",OR(I973="TN",I973="TDN",I973="TNO2-3",I973="NO2-3")),VLOOKUP(E973,QCREC_N,2,),IF(AND(H973="NIC",OR(I973="TN",I973="TDN",I973="TNO2-3",I973="NO2-3")),VLOOKUP(E973,QCNIC_N,2,),IF(AND(H973="UREA",OR(I973="TN",I973="TDN",I973="TNO2-3",I973="NO2-3")),VLOOKUP(E973,QCUREA_N,2,),IF(H973="PER",VLOOKUP(I973,QCPER,MATCH(E973,QCACTUAL!$J$25:$AA$25,0),),IF(H973="SPK",VLOOKUP(I973,QCSPK,3,),IF(AND(H973="ATP",OR(I973="TP",I973="TDP")),VLOOKUP(E973,QCATP_P,2,),""))))))))</f>
        <v/>
      </c>
      <c r="W973" s="31" t="str">
        <f t="shared" si="111"/>
        <v>TRUE</v>
      </c>
      <c r="X973" s="31" t="str">
        <f t="shared" si="112"/>
        <v/>
      </c>
      <c r="Y973" s="10" t="s">
        <v>1040</v>
      </c>
      <c r="Z973" s="10" t="s">
        <v>910</v>
      </c>
      <c r="AL973" s="10" t="str">
        <f t="shared" si="107"/>
        <v>FALSE</v>
      </c>
      <c r="AM973" s="10" t="str">
        <f t="shared" si="107"/>
        <v>FALSE</v>
      </c>
      <c r="AN973" s="10" t="str">
        <f t="shared" si="107"/>
        <v>FALSE</v>
      </c>
      <c r="AO973" s="10" t="str">
        <f t="shared" si="108"/>
        <v>FALSE</v>
      </c>
      <c r="AP973" s="10" t="str">
        <f t="shared" si="108"/>
        <v>FALSE</v>
      </c>
      <c r="AQ973" s="10" t="b">
        <f>IF(AND(I973="TP",S973&lt;=150),VLOOKUP(AF973,TPCalibEq150!$AZ$2:$BB$55,3,),IF(AND(I973="TDP",S973&lt;=150),VLOOKUP(AF973,TPCalibEq150!$AZ$2:$BB$55,3,)))</f>
        <v>0</v>
      </c>
      <c r="AR973" s="10" t="b">
        <f>IF(AND(I973="TP",S973&lt;=300),VLOOKUP(AF973,TPCalibEq300!$AZ$2:$BB$55,3,),IF(AND(I973="TDP",S973&lt;=300),VLOOKUP(AF973,TPCalibEq300!$AZ$2:$BB$55,3,)))</f>
        <v>0</v>
      </c>
      <c r="AS973" s="10" t="b">
        <f>IF(AND(I973="TP",S973&lt;=500),VLOOKUP(AF973,TPCalibEq500!$AZ$2:$BB$56,3,),IF(AND(I973="TDP",S973&lt;=500),VLOOKUP(AF973,TPCalibEq500!$AZ$2:$BB$56,3,)))</f>
        <v>0</v>
      </c>
      <c r="AT973" s="10" t="b">
        <f>IF(AND(I973="TN",S973&lt;=2800),VLOOKUP(AF973,TNCalibEq2500!$AZ$2:$BB$56,3,),IF(AND(I973="TDN",S973&lt;=2800),VLOOKUP(AF973,TNCalibEq2500!$AZ$2:$BB$56,3,)))</f>
        <v>0</v>
      </c>
      <c r="AU973" s="10" t="b">
        <f>IF(I973="TP",VLOOKUP(AF973,TPCalibEqFull!$AZ$2:$BB$56,3),IF(I973="TDP",VLOOKUP(AF973,TPCalibEqFull!$AZ$2:$BB$56,3),IF(I973="TDN",VLOOKUP(AF973,TNCalibEqFull!$AZ$1:$BB$56,3),IF(I973="TN",VLOOKUP(AF973,TNCalibEqFull!$AZ$1:$BB$56,3),FALSE))))</f>
        <v>0</v>
      </c>
      <c r="AV973" s="10" t="str">
        <f t="shared" si="113"/>
        <v>0118 08:42:00-EFK-0-FIL-1-SW-UKN</v>
      </c>
    </row>
    <row r="974" spans="1:48" s="10" customFormat="1" x14ac:dyDescent="0.55000000000000004">
      <c r="A974" s="32">
        <v>44944</v>
      </c>
      <c r="B974" s="33">
        <v>0.36805555555555558</v>
      </c>
      <c r="C974" s="10" t="s">
        <v>333</v>
      </c>
      <c r="D974" s="10">
        <v>0</v>
      </c>
      <c r="E974" s="10" t="s">
        <v>911</v>
      </c>
      <c r="F974" s="10">
        <v>1</v>
      </c>
      <c r="G974" s="10" t="s">
        <v>231</v>
      </c>
      <c r="H974" s="10" t="s">
        <v>322</v>
      </c>
      <c r="I974" s="10" t="s">
        <v>285</v>
      </c>
      <c r="J974" s="10">
        <v>38</v>
      </c>
      <c r="K974" s="12">
        <v>44950</v>
      </c>
      <c r="L974" s="33">
        <v>0.50451388888888882</v>
      </c>
      <c r="M974" s="10">
        <v>1</v>
      </c>
      <c r="N974" s="10" t="s">
        <v>211</v>
      </c>
      <c r="O974" s="10">
        <v>0.22700000000000001</v>
      </c>
      <c r="P974" s="10">
        <v>2.47E-2</v>
      </c>
      <c r="Q974" s="10">
        <v>47.1</v>
      </c>
      <c r="R974" s="10" t="s">
        <v>913</v>
      </c>
      <c r="S974" s="34">
        <f t="shared" si="109"/>
        <v>47.1</v>
      </c>
      <c r="T974" s="10" t="s">
        <v>1052</v>
      </c>
      <c r="U974" s="34" t="str">
        <f t="shared" si="110"/>
        <v/>
      </c>
      <c r="V974" s="31" t="str">
        <f>IF(H974="CHK",VLOOKUP(I974,QCCHK,3,),IF(H974="GUP",VLOOKUP(E974,QCGUP,2,),IF(AND(H974="ATP",OR(I974="TN",I974="TDN",I974="TNO2-3",I974="NO2-3")),VLOOKUP(E974,QCREC_N,2,),IF(AND(H974="NIC",OR(I974="TN",I974="TDN",I974="TNO2-3",I974="NO2-3")),VLOOKUP(E974,QCNIC_N,2,),IF(AND(H974="UREA",OR(I974="TN",I974="TDN",I974="TNO2-3",I974="NO2-3")),VLOOKUP(E974,QCUREA_N,2,),IF(H974="PER",VLOOKUP(I974,QCPER,MATCH(E974,QCACTUAL!$J$25:$AA$25,0),),IF(H974="SPK",VLOOKUP(I974,QCSPK,3,),IF(AND(H974="ATP",OR(I974="TP",I974="TDP")),VLOOKUP(E974,QCATP_P,2,),""))))))))</f>
        <v/>
      </c>
      <c r="W974" s="31" t="str">
        <f t="shared" si="111"/>
        <v>TRUE</v>
      </c>
      <c r="X974" s="31" t="str">
        <f t="shared" si="112"/>
        <v/>
      </c>
      <c r="Y974" s="10" t="s">
        <v>1040</v>
      </c>
      <c r="Z974" s="10" t="s">
        <v>910</v>
      </c>
      <c r="AL974" s="10" t="str">
        <f t="shared" si="107"/>
        <v>FALSE</v>
      </c>
      <c r="AM974" s="10" t="str">
        <f t="shared" si="107"/>
        <v>FALSE</v>
      </c>
      <c r="AN974" s="10" t="str">
        <f t="shared" si="107"/>
        <v>FALSE</v>
      </c>
      <c r="AO974" s="10" t="str">
        <f t="shared" si="108"/>
        <v>FALSE</v>
      </c>
      <c r="AP974" s="10" t="str">
        <f t="shared" si="108"/>
        <v>FALSE</v>
      </c>
      <c r="AQ974" s="10" t="b">
        <f>IF(AND(I974="TP",S974&lt;=150),VLOOKUP(AF974,TPCalibEq150!$AZ$2:$BB$55,3,),IF(AND(I974="TDP",S974&lt;=150),VLOOKUP(AF974,TPCalibEq150!$AZ$2:$BB$55,3,)))</f>
        <v>0</v>
      </c>
      <c r="AR974" s="10" t="b">
        <f>IF(AND(I974="TP",S974&lt;=300),VLOOKUP(AF974,TPCalibEq300!$AZ$2:$BB$55,3,),IF(AND(I974="TDP",S974&lt;=300),VLOOKUP(AF974,TPCalibEq300!$AZ$2:$BB$55,3,)))</f>
        <v>0</v>
      </c>
      <c r="AS974" s="10" t="b">
        <f>IF(AND(I974="TP",S974&lt;=500),VLOOKUP(AF974,TPCalibEq500!$AZ$2:$BB$56,3,),IF(AND(I974="TDP",S974&lt;=500),VLOOKUP(AF974,TPCalibEq500!$AZ$2:$BB$56,3,)))</f>
        <v>0</v>
      </c>
      <c r="AT974" s="10" t="b">
        <f>IF(AND(I974="TN",S974&lt;=2800),VLOOKUP(AF974,TNCalibEq2500!$AZ$2:$BB$56,3,),IF(AND(I974="TDN",S974&lt;=2800),VLOOKUP(AF974,TNCalibEq2500!$AZ$2:$BB$56,3,)))</f>
        <v>0</v>
      </c>
      <c r="AU974" s="10" t="b">
        <f>IF(I974="TP",VLOOKUP(AF974,TPCalibEqFull!$AZ$2:$BB$56,3),IF(I974="TDP",VLOOKUP(AF974,TPCalibEqFull!$AZ$2:$BB$56,3),IF(I974="TDN",VLOOKUP(AF974,TNCalibEqFull!$AZ$1:$BB$56,3),IF(I974="TN",VLOOKUP(AF974,TNCalibEqFull!$AZ$1:$BB$56,3),FALSE))))</f>
        <v>0</v>
      </c>
      <c r="AV974" s="10" t="str">
        <f t="shared" si="113"/>
        <v>0118 08:50:00-HST-0-FIL-1-SW-UKN</v>
      </c>
    </row>
    <row r="975" spans="1:48" s="10" customFormat="1" x14ac:dyDescent="0.55000000000000004">
      <c r="A975" s="32">
        <v>44944</v>
      </c>
      <c r="B975" s="33">
        <v>0.36805555555555558</v>
      </c>
      <c r="C975" s="10" t="s">
        <v>333</v>
      </c>
      <c r="D975" s="10">
        <v>0</v>
      </c>
      <c r="E975" s="10" t="s">
        <v>911</v>
      </c>
      <c r="F975" s="10">
        <v>1</v>
      </c>
      <c r="G975" s="10" t="s">
        <v>231</v>
      </c>
      <c r="H975" s="10" t="s">
        <v>233</v>
      </c>
      <c r="I975" s="10" t="s">
        <v>285</v>
      </c>
      <c r="J975" s="10">
        <v>38</v>
      </c>
      <c r="K975" s="12">
        <v>44950</v>
      </c>
      <c r="L975" s="33">
        <v>0.50533564814814813</v>
      </c>
      <c r="M975" s="10">
        <v>1</v>
      </c>
      <c r="N975" s="10" t="s">
        <v>211</v>
      </c>
      <c r="O975" s="10">
        <v>0.20599999999999999</v>
      </c>
      <c r="P975" s="10">
        <v>2.2800000000000001E-2</v>
      </c>
      <c r="Q975" s="10">
        <v>42.7</v>
      </c>
      <c r="R975" s="10" t="s">
        <v>913</v>
      </c>
      <c r="S975" s="34">
        <f t="shared" si="109"/>
        <v>42.7</v>
      </c>
      <c r="T975" s="10" t="s">
        <v>1052</v>
      </c>
      <c r="U975" s="34">
        <f t="shared" si="110"/>
        <v>9.7995545657015537</v>
      </c>
      <c r="V975" s="31" t="str">
        <f>IF(H975="CHK",VLOOKUP(I975,QCCHK,3,),IF(H975="GUP",VLOOKUP(E975,QCGUP,2,),IF(AND(H975="ATP",OR(I975="TN",I975="TDN",I975="TNO2-3",I975="NO2-3")),VLOOKUP(E975,QCREC_N,2,),IF(AND(H975="NIC",OR(I975="TN",I975="TDN",I975="TNO2-3",I975="NO2-3")),VLOOKUP(E975,QCNIC_N,2,),IF(AND(H975="UREA",OR(I975="TN",I975="TDN",I975="TNO2-3",I975="NO2-3")),VLOOKUP(E975,QCUREA_N,2,),IF(H975="PER",VLOOKUP(I975,QCPER,MATCH(E975,QCACTUAL!$J$25:$AA$25,0),),IF(H975="SPK",VLOOKUP(I975,QCSPK,3,),IF(AND(H975="ATP",OR(I975="TP",I975="TDP")),VLOOKUP(E975,QCATP_P,2,),""))))))))</f>
        <v/>
      </c>
      <c r="W975" s="31" t="str">
        <f t="shared" si="111"/>
        <v>TRUE</v>
      </c>
      <c r="X975" s="31" t="str">
        <f t="shared" si="112"/>
        <v>((ABS(rep1-rep2))/((rep1+rep2)/2)*100</v>
      </c>
      <c r="Y975" s="10" t="s">
        <v>1040</v>
      </c>
      <c r="Z975" s="10" t="s">
        <v>910</v>
      </c>
      <c r="AL975" s="10" t="str">
        <f t="shared" si="107"/>
        <v>FALSE</v>
      </c>
      <c r="AM975" s="10" t="str">
        <f t="shared" si="107"/>
        <v>FALSE</v>
      </c>
      <c r="AN975" s="10" t="str">
        <f t="shared" si="107"/>
        <v>FALSE</v>
      </c>
      <c r="AO975" s="10" t="str">
        <f t="shared" si="108"/>
        <v>FALSE</v>
      </c>
      <c r="AP975" s="10" t="str">
        <f t="shared" si="108"/>
        <v>FALSE</v>
      </c>
      <c r="AQ975" s="10" t="b">
        <f>IF(AND(I975="TP",S975&lt;=150),VLOOKUP(AF975,TPCalibEq150!$AZ$2:$BB$55,3,),IF(AND(I975="TDP",S975&lt;=150),VLOOKUP(AF975,TPCalibEq150!$AZ$2:$BB$55,3,)))</f>
        <v>0</v>
      </c>
      <c r="AR975" s="10" t="b">
        <f>IF(AND(I975="TP",S975&lt;=300),VLOOKUP(AF975,TPCalibEq300!$AZ$2:$BB$55,3,),IF(AND(I975="TDP",S975&lt;=300),VLOOKUP(AF975,TPCalibEq300!$AZ$2:$BB$55,3,)))</f>
        <v>0</v>
      </c>
      <c r="AS975" s="10" t="b">
        <f>IF(AND(I975="TP",S975&lt;=500),VLOOKUP(AF975,TPCalibEq500!$AZ$2:$BB$56,3,),IF(AND(I975="TDP",S975&lt;=500),VLOOKUP(AF975,TPCalibEq500!$AZ$2:$BB$56,3,)))</f>
        <v>0</v>
      </c>
      <c r="AT975" s="10" t="b">
        <f>IF(AND(I975="TN",S975&lt;=2800),VLOOKUP(AF975,TNCalibEq2500!$AZ$2:$BB$56,3,),IF(AND(I975="TDN",S975&lt;=2800),VLOOKUP(AF975,TNCalibEq2500!$AZ$2:$BB$56,3,)))</f>
        <v>0</v>
      </c>
      <c r="AU975" s="10" t="b">
        <f>IF(I975="TP",VLOOKUP(AF975,TPCalibEqFull!$AZ$2:$BB$56,3),IF(I975="TDP",VLOOKUP(AF975,TPCalibEqFull!$AZ$2:$BB$56,3),IF(I975="TDN",VLOOKUP(AF975,TNCalibEqFull!$AZ$1:$BB$56,3),IF(I975="TN",VLOOKUP(AF975,TNCalibEqFull!$AZ$1:$BB$56,3),FALSE))))</f>
        <v>0</v>
      </c>
      <c r="AV975" s="10" t="str">
        <f t="shared" si="113"/>
        <v>0118 08:50:00-HST-0-FIL-1-SW-DUP</v>
      </c>
    </row>
    <row r="976" spans="1:48" s="10" customFormat="1" x14ac:dyDescent="0.55000000000000004">
      <c r="A976" s="32">
        <v>44944</v>
      </c>
      <c r="B976" s="33">
        <v>0.36805555555555558</v>
      </c>
      <c r="C976" s="10" t="s">
        <v>912</v>
      </c>
      <c r="D976" s="10">
        <v>0</v>
      </c>
      <c r="E976" s="10" t="s">
        <v>911</v>
      </c>
      <c r="F976" s="10">
        <v>1</v>
      </c>
      <c r="G976" s="10" t="s">
        <v>231</v>
      </c>
      <c r="H976" s="10" t="s">
        <v>314</v>
      </c>
      <c r="I976" s="10" t="s">
        <v>285</v>
      </c>
      <c r="J976" s="10">
        <v>60</v>
      </c>
      <c r="K976" s="12">
        <v>44950</v>
      </c>
      <c r="L976" s="33">
        <v>0.50614583333333341</v>
      </c>
      <c r="M976" s="10">
        <v>1</v>
      </c>
      <c r="N976" s="10" t="s">
        <v>211</v>
      </c>
      <c r="O976" s="10">
        <v>0.93200000000000005</v>
      </c>
      <c r="P976" s="10">
        <v>0.109</v>
      </c>
      <c r="Q976" s="10">
        <v>193</v>
      </c>
      <c r="R976" s="10" t="s">
        <v>913</v>
      </c>
      <c r="S976" s="34">
        <f t="shared" si="109"/>
        <v>193</v>
      </c>
      <c r="T976" s="10" t="s">
        <v>1052</v>
      </c>
      <c r="U976" s="34">
        <f t="shared" si="110"/>
        <v>96.192000000000007</v>
      </c>
      <c r="V976" s="31">
        <f>IF(H976="CHK",VLOOKUP(I976,QCCHK,3,),IF(H976="GUP",VLOOKUP(E976,QCGUP,2,),IF(AND(H976="ATP",OR(I976="TN",I976="TDN",I976="TNO2-3",I976="NO2-3")),VLOOKUP(E976,QCREC_N,2,),IF(AND(H976="NIC",OR(I976="TN",I976="TDN",I976="TNO2-3",I976="NO2-3")),VLOOKUP(E976,QCNIC_N,2,),IF(AND(H976="UREA",OR(I976="TN",I976="TDN",I976="TNO2-3",I976="NO2-3")),VLOOKUP(E976,QCUREA_N,2,),IF(H976="PER",VLOOKUP(I976,QCPER,MATCH(E976,QCACTUAL!$J$25:$AA$25,0),),IF(H976="SPK",VLOOKUP(I976,QCSPK,3,),IF(AND(H976="ATP",OR(I976="TP",I976="TDP")),VLOOKUP(E976,QCATP_P,2,),""))))))))</f>
        <v>156.25</v>
      </c>
      <c r="W976" s="31" t="str">
        <f t="shared" si="111"/>
        <v>TRUE</v>
      </c>
      <c r="X976" s="31" t="str">
        <f t="shared" si="112"/>
        <v>([spikedunkn]-[unkn])/[spike]*100</v>
      </c>
      <c r="Y976" s="10" t="s">
        <v>1040</v>
      </c>
      <c r="Z976" s="10" t="s">
        <v>910</v>
      </c>
      <c r="AL976" s="10" t="str">
        <f t="shared" si="107"/>
        <v>FALSE</v>
      </c>
      <c r="AM976" s="10" t="str">
        <f t="shared" si="107"/>
        <v>FALSE</v>
      </c>
      <c r="AN976" s="10" t="str">
        <f t="shared" si="107"/>
        <v>FALSE</v>
      </c>
      <c r="AO976" s="10" t="str">
        <f t="shared" si="108"/>
        <v>FALSE</v>
      </c>
      <c r="AP976" s="10" t="str">
        <f t="shared" si="108"/>
        <v>FALSE</v>
      </c>
      <c r="AQ976" s="10" t="b">
        <f>IF(AND(I976="TP",S976&lt;=150),VLOOKUP(AF976,TPCalibEq150!$AZ$2:$BB$55,3,),IF(AND(I976="TDP",S976&lt;=150),VLOOKUP(AF976,TPCalibEq150!$AZ$2:$BB$55,3,)))</f>
        <v>0</v>
      </c>
      <c r="AR976" s="10" t="b">
        <f>IF(AND(I976="TP",S976&lt;=300),VLOOKUP(AF976,TPCalibEq300!$AZ$2:$BB$55,3,),IF(AND(I976="TDP",S976&lt;=300),VLOOKUP(AF976,TPCalibEq300!$AZ$2:$BB$55,3,)))</f>
        <v>0</v>
      </c>
      <c r="AS976" s="10" t="b">
        <f>IF(AND(I976="TP",S976&lt;=500),VLOOKUP(AF976,TPCalibEq500!$AZ$2:$BB$56,3,),IF(AND(I976="TDP",S976&lt;=500),VLOOKUP(AF976,TPCalibEq500!$AZ$2:$BB$56,3,)))</f>
        <v>0</v>
      </c>
      <c r="AT976" s="10" t="b">
        <f>IF(AND(I976="TN",S976&lt;=2800),VLOOKUP(AF976,TNCalibEq2500!$AZ$2:$BB$56,3,),IF(AND(I976="TDN",S976&lt;=2800),VLOOKUP(AF976,TNCalibEq2500!$AZ$2:$BB$56,3,)))</f>
        <v>0</v>
      </c>
      <c r="AU976" s="10" t="b">
        <f>IF(I976="TP",VLOOKUP(AF976,TPCalibEqFull!$AZ$2:$BB$56,3),IF(I976="TDP",VLOOKUP(AF976,TPCalibEqFull!$AZ$2:$BB$56,3),IF(I976="TDN",VLOOKUP(AF976,TNCalibEqFull!$AZ$1:$BB$56,3),IF(I976="TN",VLOOKUP(AF976,TNCalibEqFull!$AZ$1:$BB$56,3),FALSE))))</f>
        <v>0</v>
      </c>
      <c r="AV976" s="10" t="str">
        <f t="shared" si="113"/>
        <v>0118 08:50:00-HST -0-FIL-1-SW-SPK</v>
      </c>
    </row>
    <row r="977" spans="1:48" s="10" customFormat="1" x14ac:dyDescent="0.55000000000000004">
      <c r="A977" s="32">
        <v>44950</v>
      </c>
      <c r="B977" s="33">
        <v>0.375</v>
      </c>
      <c r="C977" s="10" t="s">
        <v>70</v>
      </c>
      <c r="D977" s="10" t="s">
        <v>71</v>
      </c>
      <c r="E977" s="10" t="s">
        <v>901</v>
      </c>
      <c r="F977" s="10">
        <v>1</v>
      </c>
      <c r="G977" s="10" t="s">
        <v>73</v>
      </c>
      <c r="H977" s="10" t="s">
        <v>207</v>
      </c>
      <c r="I977" s="10" t="s">
        <v>285</v>
      </c>
      <c r="J977" s="10">
        <v>200</v>
      </c>
      <c r="K977" s="12">
        <v>44950</v>
      </c>
      <c r="L977" s="33">
        <v>0.50696759259259261</v>
      </c>
      <c r="M977" s="10">
        <v>1</v>
      </c>
      <c r="N977" s="10" t="s">
        <v>211</v>
      </c>
      <c r="O977" s="10">
        <v>0.36899999999999999</v>
      </c>
      <c r="P977" s="10">
        <v>4.24E-2</v>
      </c>
      <c r="Q977" s="10">
        <v>76.599999999999994</v>
      </c>
      <c r="R977" s="10" t="s">
        <v>913</v>
      </c>
      <c r="S977" s="34">
        <f t="shared" si="109"/>
        <v>76.599999999999994</v>
      </c>
      <c r="T977" s="10" t="s">
        <v>1052</v>
      </c>
      <c r="U977" s="34">
        <f t="shared" si="110"/>
        <v>102.13333333333333</v>
      </c>
      <c r="V977" s="31">
        <f>IF(H977="CHK",VLOOKUP(I977,QCCHK,3,),IF(H977="GUP",VLOOKUP(E977,QCGUP,2,),IF(AND(H977="ATP",OR(I977="TN",I977="TDN",I977="TNO2-3",I977="NO2-3")),VLOOKUP(E977,QCREC_N,2,),IF(AND(H977="NIC",OR(I977="TN",I977="TDN",I977="TNO2-3",I977="NO2-3")),VLOOKUP(E977,QCNIC_N,2,),IF(AND(H977="UREA",OR(I977="TN",I977="TDN",I977="TNO2-3",I977="NO2-3")),VLOOKUP(E977,QCUREA_N,2,),IF(H977="PER",VLOOKUP(I977,QCPER,MATCH(E977,QCACTUAL!$J$25:$AA$25,0),),IF(H977="SPK",VLOOKUP(I977,QCSPK,3,),IF(AND(H977="ATP",OR(I977="TP",I977="TDP")),VLOOKUP(E977,QCATP_P,2,),""))))))))</f>
        <v>75</v>
      </c>
      <c r="W977" s="31" t="str">
        <f t="shared" si="111"/>
        <v>TRUE</v>
      </c>
      <c r="X977" s="31" t="str">
        <f t="shared" si="112"/>
        <v>[chk]/[actual]*100</v>
      </c>
      <c r="Y977" s="10" t="s">
        <v>1040</v>
      </c>
      <c r="AL977" s="10" t="str">
        <f t="shared" si="107"/>
        <v>FALSE</v>
      </c>
      <c r="AM977" s="10" t="str">
        <f t="shared" si="107"/>
        <v>FALSE</v>
      </c>
      <c r="AN977" s="10" t="str">
        <f t="shared" si="107"/>
        <v>FALSE</v>
      </c>
      <c r="AO977" s="10" t="str">
        <f t="shared" si="108"/>
        <v>FALSE</v>
      </c>
      <c r="AP977" s="10" t="str">
        <f t="shared" si="108"/>
        <v>FALSE</v>
      </c>
      <c r="AQ977" s="10" t="b">
        <f>IF(AND(I977="TP",S977&lt;=150),VLOOKUP(AF977,TPCalibEq150!$AZ$2:$BB$55,3,),IF(AND(I977="TDP",S977&lt;=150),VLOOKUP(AF977,TPCalibEq150!$AZ$2:$BB$55,3,)))</f>
        <v>0</v>
      </c>
      <c r="AR977" s="10" t="b">
        <f>IF(AND(I977="TP",S977&lt;=300),VLOOKUP(AF977,TPCalibEq300!$AZ$2:$BB$55,3,),IF(AND(I977="TDP",S977&lt;=300),VLOOKUP(AF977,TPCalibEq300!$AZ$2:$BB$55,3,)))</f>
        <v>0</v>
      </c>
      <c r="AS977" s="10" t="b">
        <f>IF(AND(I977="TP",S977&lt;=500),VLOOKUP(AF977,TPCalibEq500!$AZ$2:$BB$56,3,),IF(AND(I977="TDP",S977&lt;=500),VLOOKUP(AF977,TPCalibEq500!$AZ$2:$BB$56,3,)))</f>
        <v>0</v>
      </c>
      <c r="AT977" s="10" t="b">
        <f>IF(AND(I977="TN",S977&lt;=2800),VLOOKUP(AF977,TNCalibEq2500!$AZ$2:$BB$56,3,),IF(AND(I977="TDN",S977&lt;=2800),VLOOKUP(AF977,TNCalibEq2500!$AZ$2:$BB$56,3,)))</f>
        <v>0</v>
      </c>
      <c r="AU977" s="10" t="b">
        <f>IF(I977="TP",VLOOKUP(AF977,TPCalibEqFull!$AZ$2:$BB$56,3),IF(I977="TDP",VLOOKUP(AF977,TPCalibEqFull!$AZ$2:$BB$56,3),IF(I977="TDN",VLOOKUP(AF977,TNCalibEqFull!$AZ$1:$BB$56,3),IF(I977="TN",VLOOKUP(AF977,TNCalibEqFull!$AZ$1:$BB$56,3),FALSE))))</f>
        <v>0</v>
      </c>
      <c r="AV977" s="10" t="str">
        <f t="shared" si="113"/>
        <v>0124 09:00:00-QAC-STD-D-1-DI-CHK</v>
      </c>
    </row>
    <row r="978" spans="1:48" s="10" customFormat="1" x14ac:dyDescent="0.55000000000000004">
      <c r="A978" s="32">
        <v>44945</v>
      </c>
      <c r="B978" s="33">
        <v>0.56041666666666667</v>
      </c>
      <c r="C978" s="10" t="s">
        <v>279</v>
      </c>
      <c r="D978" s="10">
        <v>0</v>
      </c>
      <c r="E978" s="10" t="s">
        <v>911</v>
      </c>
      <c r="F978" s="10">
        <v>1</v>
      </c>
      <c r="G978" s="10" t="s">
        <v>231</v>
      </c>
      <c r="H978" s="10" t="s">
        <v>322</v>
      </c>
      <c r="I978" s="10" t="s">
        <v>285</v>
      </c>
      <c r="J978" s="10">
        <v>39</v>
      </c>
      <c r="K978" s="12">
        <v>44950</v>
      </c>
      <c r="L978" s="33">
        <v>0.50777777777777777</v>
      </c>
      <c r="M978" s="10">
        <v>1</v>
      </c>
      <c r="N978" s="10" t="s">
        <v>211</v>
      </c>
      <c r="O978" s="10">
        <v>0.43</v>
      </c>
      <c r="P978" s="10">
        <v>4.9299999999999997E-2</v>
      </c>
      <c r="Q978" s="10">
        <v>89.3</v>
      </c>
      <c r="R978" s="10" t="s">
        <v>913</v>
      </c>
      <c r="S978" s="34">
        <f t="shared" si="109"/>
        <v>89.3</v>
      </c>
      <c r="T978" s="10" t="s">
        <v>1052</v>
      </c>
      <c r="U978" s="34" t="str">
        <f t="shared" si="110"/>
        <v/>
      </c>
      <c r="V978" s="31" t="str">
        <f>IF(H978="CHK",VLOOKUP(I978,QCCHK,3,),IF(H978="GUP",VLOOKUP(E978,QCGUP,2,),IF(AND(H978="ATP",OR(I978="TN",I978="TDN",I978="TNO2-3",I978="NO2-3")),VLOOKUP(E978,QCREC_N,2,),IF(AND(H978="NIC",OR(I978="TN",I978="TDN",I978="TNO2-3",I978="NO2-3")),VLOOKUP(E978,QCNIC_N,2,),IF(AND(H978="UREA",OR(I978="TN",I978="TDN",I978="TNO2-3",I978="NO2-3")),VLOOKUP(E978,QCUREA_N,2,),IF(H978="PER",VLOOKUP(I978,QCPER,MATCH(E978,QCACTUAL!$J$25:$AA$25,0),),IF(H978="SPK",VLOOKUP(I978,QCSPK,3,),IF(AND(H978="ATP",OR(I978="TP",I978="TDP")),VLOOKUP(E978,QCATP_P,2,),""))))))))</f>
        <v/>
      </c>
      <c r="W978" s="31" t="str">
        <f t="shared" si="111"/>
        <v>TRUE</v>
      </c>
      <c r="X978" s="31" t="str">
        <f t="shared" si="112"/>
        <v/>
      </c>
      <c r="Y978" s="10" t="s">
        <v>1040</v>
      </c>
      <c r="Z978" s="10" t="s">
        <v>910</v>
      </c>
      <c r="AL978" s="10" t="str">
        <f t="shared" si="107"/>
        <v>FALSE</v>
      </c>
      <c r="AM978" s="10" t="str">
        <f t="shared" si="107"/>
        <v>FALSE</v>
      </c>
      <c r="AN978" s="10" t="str">
        <f t="shared" si="107"/>
        <v>FALSE</v>
      </c>
      <c r="AO978" s="10" t="str">
        <f t="shared" si="108"/>
        <v>FALSE</v>
      </c>
      <c r="AP978" s="10" t="str">
        <f t="shared" si="108"/>
        <v>FALSE</v>
      </c>
      <c r="AQ978" s="10" t="b">
        <f>IF(AND(I978="TP",S978&lt;=150),VLOOKUP(AF978,TPCalibEq150!$AZ$2:$BB$55,3,),IF(AND(I978="TDP",S978&lt;=150),VLOOKUP(AF978,TPCalibEq150!$AZ$2:$BB$55,3,)))</f>
        <v>0</v>
      </c>
      <c r="AR978" s="10" t="b">
        <f>IF(AND(I978="TP",S978&lt;=300),VLOOKUP(AF978,TPCalibEq300!$AZ$2:$BB$55,3,),IF(AND(I978="TDP",S978&lt;=300),VLOOKUP(AF978,TPCalibEq300!$AZ$2:$BB$55,3,)))</f>
        <v>0</v>
      </c>
      <c r="AS978" s="10" t="b">
        <f>IF(AND(I978="TP",S978&lt;=500),VLOOKUP(AF978,TPCalibEq500!$AZ$2:$BB$56,3,),IF(AND(I978="TDP",S978&lt;=500),VLOOKUP(AF978,TPCalibEq500!$AZ$2:$BB$56,3,)))</f>
        <v>0</v>
      </c>
      <c r="AT978" s="10" t="b">
        <f>IF(AND(I978="TN",S978&lt;=2800),VLOOKUP(AF978,TNCalibEq2500!$AZ$2:$BB$56,3,),IF(AND(I978="TDN",S978&lt;=2800),VLOOKUP(AF978,TNCalibEq2500!$AZ$2:$BB$56,3,)))</f>
        <v>0</v>
      </c>
      <c r="AU978" s="10" t="b">
        <f>IF(I978="TP",VLOOKUP(AF978,TPCalibEqFull!$AZ$2:$BB$56,3),IF(I978="TDP",VLOOKUP(AF978,TPCalibEqFull!$AZ$2:$BB$56,3),IF(I978="TDN",VLOOKUP(AF978,TNCalibEqFull!$AZ$1:$BB$56,3),IF(I978="TN",VLOOKUP(AF978,TNCalibEqFull!$AZ$1:$BB$56,3),FALSE))))</f>
        <v>0</v>
      </c>
      <c r="AV978" s="10" t="str">
        <f t="shared" si="113"/>
        <v>0119 13:27:00-EFK-0-FIL-1-SW-UKN</v>
      </c>
    </row>
    <row r="979" spans="1:48" s="10" customFormat="1" x14ac:dyDescent="0.55000000000000004">
      <c r="A979" s="32">
        <v>44945</v>
      </c>
      <c r="B979" s="33">
        <v>0.56736111111111109</v>
      </c>
      <c r="C979" s="10" t="s">
        <v>333</v>
      </c>
      <c r="D979" s="10">
        <v>0</v>
      </c>
      <c r="E979" s="10" t="s">
        <v>911</v>
      </c>
      <c r="F979" s="10">
        <v>1</v>
      </c>
      <c r="G979" s="10" t="s">
        <v>231</v>
      </c>
      <c r="H979" s="10" t="s">
        <v>322</v>
      </c>
      <c r="I979" s="10" t="s">
        <v>285</v>
      </c>
      <c r="J979" s="10">
        <v>40</v>
      </c>
      <c r="K979" s="12">
        <v>44950</v>
      </c>
      <c r="L979" s="33">
        <v>0.50858796296296294</v>
      </c>
      <c r="M979" s="10">
        <v>1</v>
      </c>
      <c r="N979" s="10" t="s">
        <v>211</v>
      </c>
      <c r="O979" s="10">
        <v>0.39700000000000002</v>
      </c>
      <c r="P979" s="10">
        <v>4.4900000000000002E-2</v>
      </c>
      <c r="Q979" s="10">
        <v>82.4</v>
      </c>
      <c r="R979" s="10" t="s">
        <v>913</v>
      </c>
      <c r="S979" s="34">
        <f t="shared" si="109"/>
        <v>82.4</v>
      </c>
      <c r="T979" s="10" t="s">
        <v>1052</v>
      </c>
      <c r="U979" s="34" t="str">
        <f t="shared" si="110"/>
        <v/>
      </c>
      <c r="V979" s="31" t="str">
        <f>IF(H979="CHK",VLOOKUP(I979,QCCHK,3,),IF(H979="GUP",VLOOKUP(E979,QCGUP,2,),IF(AND(H979="ATP",OR(I979="TN",I979="TDN",I979="TNO2-3",I979="NO2-3")),VLOOKUP(E979,QCREC_N,2,),IF(AND(H979="NIC",OR(I979="TN",I979="TDN",I979="TNO2-3",I979="NO2-3")),VLOOKUP(E979,QCNIC_N,2,),IF(AND(H979="UREA",OR(I979="TN",I979="TDN",I979="TNO2-3",I979="NO2-3")),VLOOKUP(E979,QCUREA_N,2,),IF(H979="PER",VLOOKUP(I979,QCPER,MATCH(E979,QCACTUAL!$J$25:$AA$25,0),),IF(H979="SPK",VLOOKUP(I979,QCSPK,3,),IF(AND(H979="ATP",OR(I979="TP",I979="TDP")),VLOOKUP(E979,QCATP_P,2,),""))))))))</f>
        <v/>
      </c>
      <c r="W979" s="31" t="str">
        <f t="shared" si="111"/>
        <v>TRUE</v>
      </c>
      <c r="X979" s="31" t="str">
        <f t="shared" si="112"/>
        <v/>
      </c>
      <c r="Y979" s="10" t="s">
        <v>1040</v>
      </c>
      <c r="Z979" s="10" t="s">
        <v>910</v>
      </c>
      <c r="AL979" s="10" t="str">
        <f t="shared" si="107"/>
        <v>FALSE</v>
      </c>
      <c r="AM979" s="10" t="str">
        <f t="shared" si="107"/>
        <v>FALSE</v>
      </c>
      <c r="AN979" s="10" t="str">
        <f t="shared" si="107"/>
        <v>FALSE</v>
      </c>
      <c r="AO979" s="10" t="str">
        <f t="shared" si="108"/>
        <v>FALSE</v>
      </c>
      <c r="AP979" s="10" t="str">
        <f t="shared" si="108"/>
        <v>FALSE</v>
      </c>
      <c r="AQ979" s="10" t="b">
        <f>IF(AND(I979="TP",S979&lt;=150),VLOOKUP(AF979,TPCalibEq150!$AZ$2:$BB$55,3,),IF(AND(I979="TDP",S979&lt;=150),VLOOKUP(AF979,TPCalibEq150!$AZ$2:$BB$55,3,)))</f>
        <v>0</v>
      </c>
      <c r="AR979" s="10" t="b">
        <f>IF(AND(I979="TP",S979&lt;=300),VLOOKUP(AF979,TPCalibEq300!$AZ$2:$BB$55,3,),IF(AND(I979="TDP",S979&lt;=300),VLOOKUP(AF979,TPCalibEq300!$AZ$2:$BB$55,3,)))</f>
        <v>0</v>
      </c>
      <c r="AS979" s="10" t="b">
        <f>IF(AND(I979="TP",S979&lt;=500),VLOOKUP(AF979,TPCalibEq500!$AZ$2:$BB$56,3,),IF(AND(I979="TDP",S979&lt;=500),VLOOKUP(AF979,TPCalibEq500!$AZ$2:$BB$56,3,)))</f>
        <v>0</v>
      </c>
      <c r="AT979" s="10" t="b">
        <f>IF(AND(I979="TN",S979&lt;=2800),VLOOKUP(AF979,TNCalibEq2500!$AZ$2:$BB$56,3,),IF(AND(I979="TDN",S979&lt;=2800),VLOOKUP(AF979,TNCalibEq2500!$AZ$2:$BB$56,3,)))</f>
        <v>0</v>
      </c>
      <c r="AU979" s="10" t="b">
        <f>IF(I979="TP",VLOOKUP(AF979,TPCalibEqFull!$AZ$2:$BB$56,3),IF(I979="TDP",VLOOKUP(AF979,TPCalibEqFull!$AZ$2:$BB$56,3),IF(I979="TDN",VLOOKUP(AF979,TNCalibEqFull!$AZ$1:$BB$56,3),IF(I979="TN",VLOOKUP(AF979,TNCalibEqFull!$AZ$1:$BB$56,3),FALSE))))</f>
        <v>0</v>
      </c>
      <c r="AV979" s="10" t="str">
        <f t="shared" si="113"/>
        <v>0119 13:37:00-HST-0-FIL-1-SW-UKN</v>
      </c>
    </row>
    <row r="980" spans="1:48" s="10" customFormat="1" x14ac:dyDescent="0.55000000000000004">
      <c r="A980" s="32">
        <v>44946</v>
      </c>
      <c r="B980" s="33">
        <v>0.37013888888888885</v>
      </c>
      <c r="C980" s="10" t="s">
        <v>279</v>
      </c>
      <c r="D980" s="10">
        <v>0</v>
      </c>
      <c r="E980" s="10" t="s">
        <v>911</v>
      </c>
      <c r="F980" s="10">
        <v>1</v>
      </c>
      <c r="G980" s="10" t="s">
        <v>231</v>
      </c>
      <c r="H980" s="10" t="s">
        <v>322</v>
      </c>
      <c r="I980" s="10" t="s">
        <v>285</v>
      </c>
      <c r="J980" s="10">
        <v>41</v>
      </c>
      <c r="K980" s="12">
        <v>44950</v>
      </c>
      <c r="L980" s="33">
        <v>0.5093981481481481</v>
      </c>
      <c r="M980" s="10">
        <v>1</v>
      </c>
      <c r="N980" s="10" t="s">
        <v>211</v>
      </c>
      <c r="O980" s="10">
        <v>0.41499999999999998</v>
      </c>
      <c r="P980" s="10">
        <v>4.7199999999999999E-2</v>
      </c>
      <c r="Q980" s="10">
        <v>86.2</v>
      </c>
      <c r="R980" s="10" t="s">
        <v>913</v>
      </c>
      <c r="S980" s="34">
        <f t="shared" si="109"/>
        <v>86.2</v>
      </c>
      <c r="T980" s="10" t="s">
        <v>1052</v>
      </c>
      <c r="U980" s="34" t="str">
        <f t="shared" si="110"/>
        <v/>
      </c>
      <c r="V980" s="31" t="str">
        <f>IF(H980="CHK",VLOOKUP(I980,QCCHK,3,),IF(H980="GUP",VLOOKUP(E980,QCGUP,2,),IF(AND(H980="ATP",OR(I980="TN",I980="TDN",I980="TNO2-3",I980="NO2-3")),VLOOKUP(E980,QCREC_N,2,),IF(AND(H980="NIC",OR(I980="TN",I980="TDN",I980="TNO2-3",I980="NO2-3")),VLOOKUP(E980,QCNIC_N,2,),IF(AND(H980="UREA",OR(I980="TN",I980="TDN",I980="TNO2-3",I980="NO2-3")),VLOOKUP(E980,QCUREA_N,2,),IF(H980="PER",VLOOKUP(I980,QCPER,MATCH(E980,QCACTUAL!$J$25:$AA$25,0),),IF(H980="SPK",VLOOKUP(I980,QCSPK,3,),IF(AND(H980="ATP",OR(I980="TP",I980="TDP")),VLOOKUP(E980,QCATP_P,2,),""))))))))</f>
        <v/>
      </c>
      <c r="W980" s="31" t="str">
        <f t="shared" si="111"/>
        <v>TRUE</v>
      </c>
      <c r="X980" s="31" t="str">
        <f t="shared" si="112"/>
        <v/>
      </c>
      <c r="Y980" s="10" t="s">
        <v>1040</v>
      </c>
      <c r="Z980" s="10" t="s">
        <v>910</v>
      </c>
      <c r="AL980" s="10" t="str">
        <f t="shared" si="107"/>
        <v>FALSE</v>
      </c>
      <c r="AM980" s="10" t="str">
        <f t="shared" si="107"/>
        <v>FALSE</v>
      </c>
      <c r="AN980" s="10" t="str">
        <f t="shared" si="107"/>
        <v>FALSE</v>
      </c>
      <c r="AO980" s="10" t="str">
        <f t="shared" si="108"/>
        <v>FALSE</v>
      </c>
      <c r="AP980" s="10" t="str">
        <f t="shared" si="108"/>
        <v>FALSE</v>
      </c>
      <c r="AQ980" s="10" t="b">
        <f>IF(AND(I980="TP",S980&lt;=150),VLOOKUP(AF980,TPCalibEq150!$AZ$2:$BB$55,3,),IF(AND(I980="TDP",S980&lt;=150),VLOOKUP(AF980,TPCalibEq150!$AZ$2:$BB$55,3,)))</f>
        <v>0</v>
      </c>
      <c r="AR980" s="10" t="b">
        <f>IF(AND(I980="TP",S980&lt;=300),VLOOKUP(AF980,TPCalibEq300!$AZ$2:$BB$55,3,),IF(AND(I980="TDP",S980&lt;=300),VLOOKUP(AF980,TPCalibEq300!$AZ$2:$BB$55,3,)))</f>
        <v>0</v>
      </c>
      <c r="AS980" s="10" t="b">
        <f>IF(AND(I980="TP",S980&lt;=500),VLOOKUP(AF980,TPCalibEq500!$AZ$2:$BB$56,3,),IF(AND(I980="TDP",S980&lt;=500),VLOOKUP(AF980,TPCalibEq500!$AZ$2:$BB$56,3,)))</f>
        <v>0</v>
      </c>
      <c r="AT980" s="10" t="b">
        <f>IF(AND(I980="TN",S980&lt;=2800),VLOOKUP(AF980,TNCalibEq2500!$AZ$2:$BB$56,3,),IF(AND(I980="TDN",S980&lt;=2800),VLOOKUP(AF980,TNCalibEq2500!$AZ$2:$BB$56,3,)))</f>
        <v>0</v>
      </c>
      <c r="AU980" s="10" t="b">
        <f>IF(I980="TP",VLOOKUP(AF980,TPCalibEqFull!$AZ$2:$BB$56,3),IF(I980="TDP",VLOOKUP(AF980,TPCalibEqFull!$AZ$2:$BB$56,3),IF(I980="TDN",VLOOKUP(AF980,TNCalibEqFull!$AZ$1:$BB$56,3),IF(I980="TN",VLOOKUP(AF980,TNCalibEqFull!$AZ$1:$BB$56,3),FALSE))))</f>
        <v>0</v>
      </c>
      <c r="AV980" s="10" t="str">
        <f t="shared" si="113"/>
        <v>0120 08:53:00-EFK-0-FIL-1-SW-UKN</v>
      </c>
    </row>
    <row r="981" spans="1:48" s="10" customFormat="1" x14ac:dyDescent="0.55000000000000004">
      <c r="A981" s="32">
        <v>44946</v>
      </c>
      <c r="B981" s="33">
        <v>0.37291666666666662</v>
      </c>
      <c r="C981" s="10" t="s">
        <v>333</v>
      </c>
      <c r="D981" s="10">
        <v>0</v>
      </c>
      <c r="E981" s="10" t="s">
        <v>911</v>
      </c>
      <c r="F981" s="10">
        <v>1</v>
      </c>
      <c r="G981" s="10" t="s">
        <v>231</v>
      </c>
      <c r="H981" s="10" t="s">
        <v>322</v>
      </c>
      <c r="I981" s="10" t="s">
        <v>285</v>
      </c>
      <c r="J981" s="10">
        <v>42</v>
      </c>
      <c r="K981" s="12">
        <v>44950</v>
      </c>
      <c r="L981" s="33">
        <v>0.51020833333333326</v>
      </c>
      <c r="M981" s="10">
        <v>1</v>
      </c>
      <c r="N981" s="10" t="s">
        <v>211</v>
      </c>
      <c r="O981" s="10">
        <v>0.26</v>
      </c>
      <c r="P981" s="10">
        <v>2.9000000000000001E-2</v>
      </c>
      <c r="Q981" s="10">
        <v>53.9</v>
      </c>
      <c r="R981" s="10" t="s">
        <v>913</v>
      </c>
      <c r="S981" s="34">
        <f t="shared" si="109"/>
        <v>53.9</v>
      </c>
      <c r="T981" s="10" t="s">
        <v>1052</v>
      </c>
      <c r="U981" s="34" t="str">
        <f t="shared" si="110"/>
        <v/>
      </c>
      <c r="V981" s="31" t="str">
        <f>IF(H981="CHK",VLOOKUP(I981,QCCHK,3,),IF(H981="GUP",VLOOKUP(E981,QCGUP,2,),IF(AND(H981="ATP",OR(I981="TN",I981="TDN",I981="TNO2-3",I981="NO2-3")),VLOOKUP(E981,QCREC_N,2,),IF(AND(H981="NIC",OR(I981="TN",I981="TDN",I981="TNO2-3",I981="NO2-3")),VLOOKUP(E981,QCNIC_N,2,),IF(AND(H981="UREA",OR(I981="TN",I981="TDN",I981="TNO2-3",I981="NO2-3")),VLOOKUP(E981,QCUREA_N,2,),IF(H981="PER",VLOOKUP(I981,QCPER,MATCH(E981,QCACTUAL!$J$25:$AA$25,0),),IF(H981="SPK",VLOOKUP(I981,QCSPK,3,),IF(AND(H981="ATP",OR(I981="TP",I981="TDP")),VLOOKUP(E981,QCATP_P,2,),""))))))))</f>
        <v/>
      </c>
      <c r="W981" s="31" t="str">
        <f t="shared" si="111"/>
        <v>TRUE</v>
      </c>
      <c r="X981" s="31" t="str">
        <f t="shared" si="112"/>
        <v/>
      </c>
      <c r="Y981" s="10" t="s">
        <v>1040</v>
      </c>
      <c r="Z981" s="10" t="s">
        <v>910</v>
      </c>
      <c r="AL981" s="10" t="str">
        <f t="shared" si="107"/>
        <v>FALSE</v>
      </c>
      <c r="AM981" s="10" t="str">
        <f t="shared" si="107"/>
        <v>FALSE</v>
      </c>
      <c r="AN981" s="10" t="str">
        <f t="shared" si="107"/>
        <v>FALSE</v>
      </c>
      <c r="AO981" s="10" t="str">
        <f t="shared" si="108"/>
        <v>FALSE</v>
      </c>
      <c r="AP981" s="10" t="str">
        <f t="shared" si="108"/>
        <v>FALSE</v>
      </c>
      <c r="AQ981" s="10" t="b">
        <f>IF(AND(I981="TP",S981&lt;=150),VLOOKUP(AF981,TPCalibEq150!$AZ$2:$BB$55,3,),IF(AND(I981="TDP",S981&lt;=150),VLOOKUP(AF981,TPCalibEq150!$AZ$2:$BB$55,3,)))</f>
        <v>0</v>
      </c>
      <c r="AR981" s="10" t="b">
        <f>IF(AND(I981="TP",S981&lt;=300),VLOOKUP(AF981,TPCalibEq300!$AZ$2:$BB$55,3,),IF(AND(I981="TDP",S981&lt;=300),VLOOKUP(AF981,TPCalibEq300!$AZ$2:$BB$55,3,)))</f>
        <v>0</v>
      </c>
      <c r="AS981" s="10" t="b">
        <f>IF(AND(I981="TP",S981&lt;=500),VLOOKUP(AF981,TPCalibEq500!$AZ$2:$BB$56,3,),IF(AND(I981="TDP",S981&lt;=500),VLOOKUP(AF981,TPCalibEq500!$AZ$2:$BB$56,3,)))</f>
        <v>0</v>
      </c>
      <c r="AT981" s="10" t="b">
        <f>IF(AND(I981="TN",S981&lt;=2800),VLOOKUP(AF981,TNCalibEq2500!$AZ$2:$BB$56,3,),IF(AND(I981="TDN",S981&lt;=2800),VLOOKUP(AF981,TNCalibEq2500!$AZ$2:$BB$56,3,)))</f>
        <v>0</v>
      </c>
      <c r="AU981" s="10" t="b">
        <f>IF(I981="TP",VLOOKUP(AF981,TPCalibEqFull!$AZ$2:$BB$56,3),IF(I981="TDP",VLOOKUP(AF981,TPCalibEqFull!$AZ$2:$BB$56,3),IF(I981="TDN",VLOOKUP(AF981,TNCalibEqFull!$AZ$1:$BB$56,3),IF(I981="TN",VLOOKUP(AF981,TNCalibEqFull!$AZ$1:$BB$56,3),FALSE))))</f>
        <v>0</v>
      </c>
      <c r="AV981" s="10" t="str">
        <f t="shared" si="113"/>
        <v>0120 08:57:00-HST-0-FIL-1-SW-UKN</v>
      </c>
    </row>
    <row r="982" spans="1:48" s="10" customFormat="1" x14ac:dyDescent="0.55000000000000004">
      <c r="A982" s="32">
        <v>44943</v>
      </c>
      <c r="B982" s="33">
        <v>0.36736111111111108</v>
      </c>
      <c r="C982" s="10" t="s">
        <v>998</v>
      </c>
      <c r="D982" s="10">
        <v>0</v>
      </c>
      <c r="E982" s="10" t="s">
        <v>911</v>
      </c>
      <c r="F982" s="10">
        <v>1</v>
      </c>
      <c r="G982" s="10" t="s">
        <v>231</v>
      </c>
      <c r="H982" s="10" t="s">
        <v>322</v>
      </c>
      <c r="I982" s="10" t="s">
        <v>285</v>
      </c>
      <c r="J982" s="10">
        <v>43</v>
      </c>
      <c r="K982" s="12">
        <v>44950</v>
      </c>
      <c r="L982" s="33">
        <v>0.51101851851851854</v>
      </c>
      <c r="M982" s="10">
        <v>1</v>
      </c>
      <c r="N982" s="10" t="s">
        <v>211</v>
      </c>
      <c r="O982" s="10">
        <v>0.501</v>
      </c>
      <c r="P982" s="10">
        <v>5.7599999999999998E-2</v>
      </c>
      <c r="Q982" s="10">
        <v>104</v>
      </c>
      <c r="R982" s="10" t="s">
        <v>913</v>
      </c>
      <c r="S982" s="34">
        <f t="shared" si="109"/>
        <v>104</v>
      </c>
      <c r="T982" s="10" t="s">
        <v>1052</v>
      </c>
      <c r="U982" s="34" t="str">
        <f t="shared" si="110"/>
        <v/>
      </c>
      <c r="V982" s="31" t="str">
        <f>IF(H982="CHK",VLOOKUP(I982,QCCHK,3,),IF(H982="GUP",VLOOKUP(E982,QCGUP,2,),IF(AND(H982="ATP",OR(I982="TN",I982="TDN",I982="TNO2-3",I982="NO2-3")),VLOOKUP(E982,QCREC_N,2,),IF(AND(H982="NIC",OR(I982="TN",I982="TDN",I982="TNO2-3",I982="NO2-3")),VLOOKUP(E982,QCNIC_N,2,),IF(AND(H982="UREA",OR(I982="TN",I982="TDN",I982="TNO2-3",I982="NO2-3")),VLOOKUP(E982,QCUREA_N,2,),IF(H982="PER",VLOOKUP(I982,QCPER,MATCH(E982,QCACTUAL!$J$25:$AA$25,0),),IF(H982="SPK",VLOOKUP(I982,QCSPK,3,),IF(AND(H982="ATP",OR(I982="TP",I982="TDP")),VLOOKUP(E982,QCATP_P,2,),""))))))))</f>
        <v/>
      </c>
      <c r="W982" s="31" t="str">
        <f t="shared" si="111"/>
        <v>TRUE</v>
      </c>
      <c r="X982" s="31" t="str">
        <f t="shared" si="112"/>
        <v/>
      </c>
      <c r="Y982" s="10" t="s">
        <v>1040</v>
      </c>
      <c r="Z982" s="10" t="s">
        <v>910</v>
      </c>
      <c r="AL982" s="10" t="str">
        <f t="shared" si="107"/>
        <v>FALSE</v>
      </c>
      <c r="AM982" s="10" t="str">
        <f t="shared" si="107"/>
        <v>FALSE</v>
      </c>
      <c r="AN982" s="10" t="str">
        <f t="shared" si="107"/>
        <v>FALSE</v>
      </c>
      <c r="AO982" s="10" t="str">
        <f t="shared" si="108"/>
        <v>FALSE</v>
      </c>
      <c r="AP982" s="10" t="str">
        <f t="shared" si="108"/>
        <v>FALSE</v>
      </c>
      <c r="AQ982" s="10" t="b">
        <f>IF(AND(I982="TP",S982&lt;=150),VLOOKUP(AF982,TPCalibEq150!$AZ$2:$BB$55,3,),IF(AND(I982="TDP",S982&lt;=150),VLOOKUP(AF982,TPCalibEq150!$AZ$2:$BB$55,3,)))</f>
        <v>0</v>
      </c>
      <c r="AR982" s="10" t="b">
        <f>IF(AND(I982="TP",S982&lt;=300),VLOOKUP(AF982,TPCalibEq300!$AZ$2:$BB$55,3,),IF(AND(I982="TDP",S982&lt;=300),VLOOKUP(AF982,TPCalibEq300!$AZ$2:$BB$55,3,)))</f>
        <v>0</v>
      </c>
      <c r="AS982" s="10" t="b">
        <f>IF(AND(I982="TP",S982&lt;=500),VLOOKUP(AF982,TPCalibEq500!$AZ$2:$BB$56,3,),IF(AND(I982="TDP",S982&lt;=500),VLOOKUP(AF982,TPCalibEq500!$AZ$2:$BB$56,3,)))</f>
        <v>0</v>
      </c>
      <c r="AT982" s="10" t="b">
        <f>IF(AND(I982="TN",S982&lt;=2800),VLOOKUP(AF982,TNCalibEq2500!$AZ$2:$BB$56,3,),IF(AND(I982="TDN",S982&lt;=2800),VLOOKUP(AF982,TNCalibEq2500!$AZ$2:$BB$56,3,)))</f>
        <v>0</v>
      </c>
      <c r="AU982" s="10" t="b">
        <f>IF(I982="TP",VLOOKUP(AF982,TPCalibEqFull!$AZ$2:$BB$56,3),IF(I982="TDP",VLOOKUP(AF982,TPCalibEqFull!$AZ$2:$BB$56,3),IF(I982="TDN",VLOOKUP(AF982,TNCalibEqFull!$AZ$1:$BB$56,3),IF(I982="TN",VLOOKUP(AF982,TNCalibEqFull!$AZ$1:$BB$56,3),FALSE))))</f>
        <v>0</v>
      </c>
      <c r="AV982" s="10" t="str">
        <f t="shared" si="113"/>
        <v>0117 08:49:00-ELW-0-FIL-1-SW-UKN</v>
      </c>
    </row>
    <row r="983" spans="1:48" s="10" customFormat="1" x14ac:dyDescent="0.55000000000000004">
      <c r="A983" s="32">
        <v>44943</v>
      </c>
      <c r="B983" s="33">
        <v>0.37708333333333338</v>
      </c>
      <c r="C983" s="10" t="s">
        <v>260</v>
      </c>
      <c r="D983" s="10">
        <v>0</v>
      </c>
      <c r="E983" s="10" t="s">
        <v>911</v>
      </c>
      <c r="F983" s="10">
        <v>1</v>
      </c>
      <c r="G983" s="10" t="s">
        <v>231</v>
      </c>
      <c r="H983" s="10" t="s">
        <v>322</v>
      </c>
      <c r="I983" s="10" t="s">
        <v>285</v>
      </c>
      <c r="J983" s="10">
        <v>44</v>
      </c>
      <c r="K983" s="12">
        <v>44950</v>
      </c>
      <c r="L983" s="33">
        <v>0.5118287037037037</v>
      </c>
      <c r="M983" s="10">
        <v>1</v>
      </c>
      <c r="N983" s="10" t="s">
        <v>211</v>
      </c>
      <c r="O983" s="10">
        <v>0.53</v>
      </c>
      <c r="P983" s="10">
        <v>6.0699999999999997E-2</v>
      </c>
      <c r="Q983" s="10">
        <v>110</v>
      </c>
      <c r="R983" s="10" t="s">
        <v>913</v>
      </c>
      <c r="S983" s="34">
        <f t="shared" si="109"/>
        <v>110</v>
      </c>
      <c r="T983" s="10" t="s">
        <v>1052</v>
      </c>
      <c r="U983" s="34" t="str">
        <f t="shared" si="110"/>
        <v/>
      </c>
      <c r="V983" s="31" t="str">
        <f>IF(H983="CHK",VLOOKUP(I983,QCCHK,3,),IF(H983="GUP",VLOOKUP(E983,QCGUP,2,),IF(AND(H983="ATP",OR(I983="TN",I983="TDN",I983="TNO2-3",I983="NO2-3")),VLOOKUP(E983,QCREC_N,2,),IF(AND(H983="NIC",OR(I983="TN",I983="TDN",I983="TNO2-3",I983="NO2-3")),VLOOKUP(E983,QCNIC_N,2,),IF(AND(H983="UREA",OR(I983="TN",I983="TDN",I983="TNO2-3",I983="NO2-3")),VLOOKUP(E983,QCUREA_N,2,),IF(H983="PER",VLOOKUP(I983,QCPER,MATCH(E983,QCACTUAL!$J$25:$AA$25,0),),IF(H983="SPK",VLOOKUP(I983,QCSPK,3,),IF(AND(H983="ATP",OR(I983="TP",I983="TDP")),VLOOKUP(E983,QCATP_P,2,),""))))))))</f>
        <v/>
      </c>
      <c r="W983" s="31" t="str">
        <f t="shared" si="111"/>
        <v>TRUE</v>
      </c>
      <c r="X983" s="31" t="str">
        <f t="shared" si="112"/>
        <v/>
      </c>
      <c r="Y983" s="10" t="s">
        <v>1040</v>
      </c>
      <c r="Z983" s="10" t="s">
        <v>910</v>
      </c>
      <c r="AL983" s="10" t="str">
        <f t="shared" si="107"/>
        <v>FALSE</v>
      </c>
      <c r="AM983" s="10" t="str">
        <f t="shared" si="107"/>
        <v>FALSE</v>
      </c>
      <c r="AN983" s="10" t="str">
        <f t="shared" si="107"/>
        <v>FALSE</v>
      </c>
      <c r="AO983" s="10" t="str">
        <f t="shared" si="108"/>
        <v>FALSE</v>
      </c>
      <c r="AP983" s="10" t="str">
        <f t="shared" si="108"/>
        <v>FALSE</v>
      </c>
      <c r="AQ983" s="10" t="b">
        <f>IF(AND(I983="TP",S983&lt;=150),VLOOKUP(AF983,TPCalibEq150!$AZ$2:$BB$55,3,),IF(AND(I983="TDP",S983&lt;=150),VLOOKUP(AF983,TPCalibEq150!$AZ$2:$BB$55,3,)))</f>
        <v>0</v>
      </c>
      <c r="AR983" s="10" t="b">
        <f>IF(AND(I983="TP",S983&lt;=300),VLOOKUP(AF983,TPCalibEq300!$AZ$2:$BB$55,3,),IF(AND(I983="TDP",S983&lt;=300),VLOOKUP(AF983,TPCalibEq300!$AZ$2:$BB$55,3,)))</f>
        <v>0</v>
      </c>
      <c r="AS983" s="10" t="b">
        <f>IF(AND(I983="TP",S983&lt;=500),VLOOKUP(AF983,TPCalibEq500!$AZ$2:$BB$56,3,),IF(AND(I983="TDP",S983&lt;=500),VLOOKUP(AF983,TPCalibEq500!$AZ$2:$BB$56,3,)))</f>
        <v>0</v>
      </c>
      <c r="AT983" s="10" t="b">
        <f>IF(AND(I983="TN",S983&lt;=2800),VLOOKUP(AF983,TNCalibEq2500!$AZ$2:$BB$56,3,),IF(AND(I983="TDN",S983&lt;=2800),VLOOKUP(AF983,TNCalibEq2500!$AZ$2:$BB$56,3,)))</f>
        <v>0</v>
      </c>
      <c r="AU983" s="10" t="b">
        <f>IF(I983="TP",VLOOKUP(AF983,TPCalibEqFull!$AZ$2:$BB$56,3),IF(I983="TDP",VLOOKUP(AF983,TPCalibEqFull!$AZ$2:$BB$56,3),IF(I983="TDN",VLOOKUP(AF983,TNCalibEqFull!$AZ$1:$BB$56,3),IF(I983="TN",VLOOKUP(AF983,TNCalibEqFull!$AZ$1:$BB$56,3),FALSE))))</f>
        <v>0</v>
      </c>
      <c r="AV983" s="10" t="str">
        <f t="shared" si="113"/>
        <v>0117 09:03:00-EFC-0-FIL-1-SW-UKN</v>
      </c>
    </row>
    <row r="984" spans="1:48" s="10" customFormat="1" x14ac:dyDescent="0.55000000000000004">
      <c r="A984" s="32">
        <v>44943</v>
      </c>
      <c r="B984" s="33">
        <v>0.39097222222222222</v>
      </c>
      <c r="C984" s="10" t="s">
        <v>543</v>
      </c>
      <c r="D984" s="10">
        <v>0</v>
      </c>
      <c r="E984" s="10" t="s">
        <v>911</v>
      </c>
      <c r="F984" s="10">
        <v>1</v>
      </c>
      <c r="G984" s="10" t="s">
        <v>231</v>
      </c>
      <c r="H984" s="10" t="s">
        <v>322</v>
      </c>
      <c r="I984" s="10" t="s">
        <v>285</v>
      </c>
      <c r="J984" s="10">
        <v>45</v>
      </c>
      <c r="K984" s="12">
        <v>44950</v>
      </c>
      <c r="L984" s="33">
        <v>0.51262731481481483</v>
      </c>
      <c r="M984" s="10">
        <v>1</v>
      </c>
      <c r="N984" s="10" t="s">
        <v>211</v>
      </c>
      <c r="O984" s="10">
        <v>8.6800000000000002E-2</v>
      </c>
      <c r="P984" s="10">
        <v>9.2899999999999996E-3</v>
      </c>
      <c r="Q984" s="10">
        <v>18</v>
      </c>
      <c r="R984" s="10" t="s">
        <v>913</v>
      </c>
      <c r="S984" s="34">
        <f t="shared" si="109"/>
        <v>18</v>
      </c>
      <c r="T984" s="10" t="s">
        <v>1052</v>
      </c>
      <c r="U984" s="34" t="str">
        <f t="shared" si="110"/>
        <v/>
      </c>
      <c r="V984" s="31" t="str">
        <f>IF(H984="CHK",VLOOKUP(I984,QCCHK,3,),IF(H984="GUP",VLOOKUP(E984,QCGUP,2,),IF(AND(H984="ATP",OR(I984="TN",I984="TDN",I984="TNO2-3",I984="NO2-3")),VLOOKUP(E984,QCREC_N,2,),IF(AND(H984="NIC",OR(I984="TN",I984="TDN",I984="TNO2-3",I984="NO2-3")),VLOOKUP(E984,QCNIC_N,2,),IF(AND(H984="UREA",OR(I984="TN",I984="TDN",I984="TNO2-3",I984="NO2-3")),VLOOKUP(E984,QCUREA_N,2,),IF(H984="PER",VLOOKUP(I984,QCPER,MATCH(E984,QCACTUAL!$J$25:$AA$25,0),),IF(H984="SPK",VLOOKUP(I984,QCSPK,3,),IF(AND(H984="ATP",OR(I984="TP",I984="TDP")),VLOOKUP(E984,QCATP_P,2,),""))))))))</f>
        <v/>
      </c>
      <c r="W984" s="31" t="str">
        <f t="shared" si="111"/>
        <v>TRUE</v>
      </c>
      <c r="X984" s="31" t="str">
        <f t="shared" si="112"/>
        <v/>
      </c>
      <c r="Y984" s="10" t="s">
        <v>1040</v>
      </c>
      <c r="Z984" s="10" t="s">
        <v>910</v>
      </c>
      <c r="AL984" s="10" t="str">
        <f t="shared" si="107"/>
        <v>FALSE</v>
      </c>
      <c r="AM984" s="10" t="str">
        <f t="shared" si="107"/>
        <v>FALSE</v>
      </c>
      <c r="AN984" s="10" t="str">
        <f t="shared" si="107"/>
        <v>FALSE</v>
      </c>
      <c r="AO984" s="10" t="str">
        <f t="shared" si="108"/>
        <v>FALSE</v>
      </c>
      <c r="AP984" s="10" t="str">
        <f t="shared" si="108"/>
        <v>FALSE</v>
      </c>
      <c r="AQ984" s="10" t="b">
        <f>IF(AND(I984="TP",S984&lt;=150),VLOOKUP(AF984,TPCalibEq150!$AZ$2:$BB$55,3,),IF(AND(I984="TDP",S984&lt;=150),VLOOKUP(AF984,TPCalibEq150!$AZ$2:$BB$55,3,)))</f>
        <v>0</v>
      </c>
      <c r="AR984" s="10" t="b">
        <f>IF(AND(I984="TP",S984&lt;=300),VLOOKUP(AF984,TPCalibEq300!$AZ$2:$BB$55,3,),IF(AND(I984="TDP",S984&lt;=300),VLOOKUP(AF984,TPCalibEq300!$AZ$2:$BB$55,3,)))</f>
        <v>0</v>
      </c>
      <c r="AS984" s="10" t="b">
        <f>IF(AND(I984="TP",S984&lt;=500),VLOOKUP(AF984,TPCalibEq500!$AZ$2:$BB$56,3,),IF(AND(I984="TDP",S984&lt;=500),VLOOKUP(AF984,TPCalibEq500!$AZ$2:$BB$56,3,)))</f>
        <v>0</v>
      </c>
      <c r="AT984" s="10" t="b">
        <f>IF(AND(I984="TN",S984&lt;=2800),VLOOKUP(AF984,TNCalibEq2500!$AZ$2:$BB$56,3,),IF(AND(I984="TDN",S984&lt;=2800),VLOOKUP(AF984,TNCalibEq2500!$AZ$2:$BB$56,3,)))</f>
        <v>0</v>
      </c>
      <c r="AU984" s="10" t="b">
        <f>IF(I984="TP",VLOOKUP(AF984,TPCalibEqFull!$AZ$2:$BB$56,3),IF(I984="TDP",VLOOKUP(AF984,TPCalibEqFull!$AZ$2:$BB$56,3),IF(I984="TDN",VLOOKUP(AF984,TNCalibEqFull!$AZ$1:$BB$56,3),IF(I984="TN",VLOOKUP(AF984,TNCalibEqFull!$AZ$1:$BB$56,3),FALSE))))</f>
        <v>0</v>
      </c>
      <c r="AV984" s="10" t="str">
        <f t="shared" si="113"/>
        <v>0117 09:23:00-SAR-0-FIL-1-SW-UKN</v>
      </c>
    </row>
    <row r="985" spans="1:48" s="10" customFormat="1" x14ac:dyDescent="0.55000000000000004">
      <c r="A985" s="32">
        <v>44943</v>
      </c>
      <c r="B985" s="33">
        <v>0.40486111111111112</v>
      </c>
      <c r="C985" s="10" t="s">
        <v>361</v>
      </c>
      <c r="D985" s="10">
        <v>0</v>
      </c>
      <c r="E985" s="10" t="s">
        <v>911</v>
      </c>
      <c r="F985" s="10">
        <v>1</v>
      </c>
      <c r="G985" s="10" t="s">
        <v>231</v>
      </c>
      <c r="H985" s="10" t="s">
        <v>322</v>
      </c>
      <c r="I985" s="10" t="s">
        <v>285</v>
      </c>
      <c r="J985" s="10">
        <v>46</v>
      </c>
      <c r="K985" s="12">
        <v>44950</v>
      </c>
      <c r="L985" s="33">
        <v>0.51346064814814818</v>
      </c>
      <c r="M985" s="10">
        <v>1</v>
      </c>
      <c r="N985" s="10" t="s">
        <v>211</v>
      </c>
      <c r="O985" s="10">
        <v>7.3099999999999998E-2</v>
      </c>
      <c r="P985" s="10">
        <v>7.6699999999999997E-3</v>
      </c>
      <c r="Q985" s="10">
        <v>15.2</v>
      </c>
      <c r="R985" s="10" t="s">
        <v>913</v>
      </c>
      <c r="S985" s="34">
        <f t="shared" si="109"/>
        <v>15.2</v>
      </c>
      <c r="T985" s="10" t="s">
        <v>1052</v>
      </c>
      <c r="U985" s="34" t="str">
        <f t="shared" si="110"/>
        <v/>
      </c>
      <c r="V985" s="31" t="str">
        <f>IF(H985="CHK",VLOOKUP(I985,QCCHK,3,),IF(H985="GUP",VLOOKUP(E985,QCGUP,2,),IF(AND(H985="ATP",OR(I985="TN",I985="TDN",I985="TNO2-3",I985="NO2-3")),VLOOKUP(E985,QCREC_N,2,),IF(AND(H985="NIC",OR(I985="TN",I985="TDN",I985="TNO2-3",I985="NO2-3")),VLOOKUP(E985,QCNIC_N,2,),IF(AND(H985="UREA",OR(I985="TN",I985="TDN",I985="TNO2-3",I985="NO2-3")),VLOOKUP(E985,QCUREA_N,2,),IF(H985="PER",VLOOKUP(I985,QCPER,MATCH(E985,QCACTUAL!$J$25:$AA$25,0),),IF(H985="SPK",VLOOKUP(I985,QCSPK,3,),IF(AND(H985="ATP",OR(I985="TP",I985="TDP")),VLOOKUP(E985,QCATP_P,2,),""))))))))</f>
        <v/>
      </c>
      <c r="W985" s="31" t="str">
        <f t="shared" si="111"/>
        <v>TRUE</v>
      </c>
      <c r="X985" s="31" t="str">
        <f t="shared" si="112"/>
        <v/>
      </c>
      <c r="Y985" s="10" t="s">
        <v>1040</v>
      </c>
      <c r="Z985" s="10" t="s">
        <v>910</v>
      </c>
      <c r="AL985" s="10" t="str">
        <f t="shared" si="107"/>
        <v>FALSE</v>
      </c>
      <c r="AM985" s="10" t="str">
        <f t="shared" si="107"/>
        <v>FALSE</v>
      </c>
      <c r="AN985" s="10" t="str">
        <f t="shared" si="107"/>
        <v>FALSE</v>
      </c>
      <c r="AO985" s="10" t="str">
        <f t="shared" si="108"/>
        <v>FALSE</v>
      </c>
      <c r="AP985" s="10" t="str">
        <f t="shared" si="108"/>
        <v>FALSE</v>
      </c>
      <c r="AQ985" s="10" t="b">
        <f>IF(AND(I985="TP",S985&lt;=150),VLOOKUP(AF985,TPCalibEq150!$AZ$2:$BB$55,3,),IF(AND(I985="TDP",S985&lt;=150),VLOOKUP(AF985,TPCalibEq150!$AZ$2:$BB$55,3,)))</f>
        <v>0</v>
      </c>
      <c r="AR985" s="10" t="b">
        <f>IF(AND(I985="TP",S985&lt;=300),VLOOKUP(AF985,TPCalibEq300!$AZ$2:$BB$55,3,),IF(AND(I985="TDP",S985&lt;=300),VLOOKUP(AF985,TPCalibEq300!$AZ$2:$BB$55,3,)))</f>
        <v>0</v>
      </c>
      <c r="AS985" s="10" t="b">
        <f>IF(AND(I985="TP",S985&lt;=500),VLOOKUP(AF985,TPCalibEq500!$AZ$2:$BB$56,3,),IF(AND(I985="TDP",S985&lt;=500),VLOOKUP(AF985,TPCalibEq500!$AZ$2:$BB$56,3,)))</f>
        <v>0</v>
      </c>
      <c r="AT985" s="10" t="b">
        <f>IF(AND(I985="TN",S985&lt;=2800),VLOOKUP(AF985,TNCalibEq2500!$AZ$2:$BB$56,3,),IF(AND(I985="TDN",S985&lt;=2800),VLOOKUP(AF985,TNCalibEq2500!$AZ$2:$BB$56,3,)))</f>
        <v>0</v>
      </c>
      <c r="AU985" s="10" t="b">
        <f>IF(I985="TP",VLOOKUP(AF985,TPCalibEqFull!$AZ$2:$BB$56,3),IF(I985="TDP",VLOOKUP(AF985,TPCalibEqFull!$AZ$2:$BB$56,3),IF(I985="TDN",VLOOKUP(AF985,TNCalibEqFull!$AZ$1:$BB$56,3),IF(I985="TN",VLOOKUP(AF985,TNCalibEqFull!$AZ$1:$BB$56,3),FALSE))))</f>
        <v>0</v>
      </c>
      <c r="AV985" s="10" t="str">
        <f t="shared" si="113"/>
        <v>0117 09:43:00-USR-0-FIL-1-SW-UKN</v>
      </c>
    </row>
    <row r="986" spans="1:48" s="10" customFormat="1" x14ac:dyDescent="0.55000000000000004">
      <c r="A986" s="32">
        <v>44943</v>
      </c>
      <c r="B986" s="33">
        <v>0.42152777777777778</v>
      </c>
      <c r="C986" s="10" t="s">
        <v>351</v>
      </c>
      <c r="D986" s="10">
        <v>0</v>
      </c>
      <c r="E986" s="10" t="s">
        <v>911</v>
      </c>
      <c r="F986" s="10">
        <v>1</v>
      </c>
      <c r="G986" s="10" t="s">
        <v>231</v>
      </c>
      <c r="H986" s="10" t="s">
        <v>322</v>
      </c>
      <c r="I986" s="10" t="s">
        <v>285</v>
      </c>
      <c r="J986" s="10">
        <v>47</v>
      </c>
      <c r="K986" s="12">
        <v>44950</v>
      </c>
      <c r="L986" s="33">
        <v>0.51428240740740738</v>
      </c>
      <c r="M986" s="10">
        <v>1</v>
      </c>
      <c r="N986" s="10" t="s">
        <v>211</v>
      </c>
      <c r="O986" s="10">
        <v>7.6300000000000007E-2</v>
      </c>
      <c r="P986" s="10">
        <v>7.8499999999999993E-3</v>
      </c>
      <c r="Q986" s="10">
        <v>15.8</v>
      </c>
      <c r="R986" s="10" t="s">
        <v>913</v>
      </c>
      <c r="S986" s="34">
        <f t="shared" si="109"/>
        <v>15.8</v>
      </c>
      <c r="T986" s="10" t="s">
        <v>1052</v>
      </c>
      <c r="U986" s="34" t="str">
        <f t="shared" si="110"/>
        <v/>
      </c>
      <c r="V986" s="31" t="str">
        <f>IF(H986="CHK",VLOOKUP(I986,QCCHK,3,),IF(H986="GUP",VLOOKUP(E986,QCGUP,2,),IF(AND(H986="ATP",OR(I986="TN",I986="TDN",I986="TNO2-3",I986="NO2-3")),VLOOKUP(E986,QCREC_N,2,),IF(AND(H986="NIC",OR(I986="TN",I986="TDN",I986="TNO2-3",I986="NO2-3")),VLOOKUP(E986,QCNIC_N,2,),IF(AND(H986="UREA",OR(I986="TN",I986="TDN",I986="TNO2-3",I986="NO2-3")),VLOOKUP(E986,QCUREA_N,2,),IF(H986="PER",VLOOKUP(I986,QCPER,MATCH(E986,QCACTUAL!$J$25:$AA$25,0),),IF(H986="SPK",VLOOKUP(I986,QCSPK,3,),IF(AND(H986="ATP",OR(I986="TP",I986="TDP")),VLOOKUP(E986,QCATP_P,2,),""))))))))</f>
        <v/>
      </c>
      <c r="W986" s="31" t="str">
        <f t="shared" si="111"/>
        <v>TRUE</v>
      </c>
      <c r="X986" s="31" t="str">
        <f t="shared" si="112"/>
        <v/>
      </c>
      <c r="Y986" s="10" t="s">
        <v>1040</v>
      </c>
      <c r="Z986" s="10" t="s">
        <v>910</v>
      </c>
      <c r="AL986" s="10" t="str">
        <f t="shared" si="107"/>
        <v>FALSE</v>
      </c>
      <c r="AM986" s="10" t="str">
        <f t="shared" si="107"/>
        <v>FALSE</v>
      </c>
      <c r="AN986" s="10" t="str">
        <f t="shared" si="107"/>
        <v>FALSE</v>
      </c>
      <c r="AO986" s="10" t="str">
        <f t="shared" si="108"/>
        <v>FALSE</v>
      </c>
      <c r="AP986" s="10" t="str">
        <f t="shared" si="108"/>
        <v>FALSE</v>
      </c>
      <c r="AQ986" s="10" t="b">
        <f>IF(AND(I986="TP",S986&lt;=150),VLOOKUP(AF986,TPCalibEq150!$AZ$2:$BB$55,3,),IF(AND(I986="TDP",S986&lt;=150),VLOOKUP(AF986,TPCalibEq150!$AZ$2:$BB$55,3,)))</f>
        <v>0</v>
      </c>
      <c r="AR986" s="10" t="b">
        <f>IF(AND(I986="TP",S986&lt;=300),VLOOKUP(AF986,TPCalibEq300!$AZ$2:$BB$55,3,),IF(AND(I986="TDP",S986&lt;=300),VLOOKUP(AF986,TPCalibEq300!$AZ$2:$BB$55,3,)))</f>
        <v>0</v>
      </c>
      <c r="AS986" s="10" t="b">
        <f>IF(AND(I986="TP",S986&lt;=500),VLOOKUP(AF986,TPCalibEq500!$AZ$2:$BB$56,3,),IF(AND(I986="TDP",S986&lt;=500),VLOOKUP(AF986,TPCalibEq500!$AZ$2:$BB$56,3,)))</f>
        <v>0</v>
      </c>
      <c r="AT986" s="10" t="b">
        <f>IF(AND(I986="TN",S986&lt;=2800),VLOOKUP(AF986,TNCalibEq2500!$AZ$2:$BB$56,3,),IF(AND(I986="TDN",S986&lt;=2800),VLOOKUP(AF986,TNCalibEq2500!$AZ$2:$BB$56,3,)))</f>
        <v>0</v>
      </c>
      <c r="AU986" s="10" t="b">
        <f>IF(I986="TP",VLOOKUP(AF986,TPCalibEqFull!$AZ$2:$BB$56,3),IF(I986="TDP",VLOOKUP(AF986,TPCalibEqFull!$AZ$2:$BB$56,3),IF(I986="TDN",VLOOKUP(AF986,TNCalibEqFull!$AZ$1:$BB$56,3),IF(I986="TN",VLOOKUP(AF986,TNCalibEqFull!$AZ$1:$BB$56,3),FALSE))))</f>
        <v>0</v>
      </c>
      <c r="AV986" s="10" t="str">
        <f t="shared" si="113"/>
        <v>0117 10:07:00-SHC-0-FIL-1-SW-UKN</v>
      </c>
    </row>
    <row r="987" spans="1:48" s="10" customFormat="1" x14ac:dyDescent="0.55000000000000004">
      <c r="A987" s="32">
        <v>44943</v>
      </c>
      <c r="B987" s="33">
        <v>0.43472222222222223</v>
      </c>
      <c r="C987" s="10" t="s">
        <v>355</v>
      </c>
      <c r="D987" s="10">
        <v>0</v>
      </c>
      <c r="E987" s="10" t="s">
        <v>911</v>
      </c>
      <c r="F987" s="10">
        <v>1</v>
      </c>
      <c r="G987" s="10" t="s">
        <v>231</v>
      </c>
      <c r="H987" s="10" t="s">
        <v>322</v>
      </c>
      <c r="I987" s="10" t="s">
        <v>285</v>
      </c>
      <c r="J987" s="10">
        <v>48</v>
      </c>
      <c r="K987" s="12">
        <v>44950</v>
      </c>
      <c r="L987" s="33">
        <v>0.5151041666666667</v>
      </c>
      <c r="M987" s="10">
        <v>1</v>
      </c>
      <c r="N987" s="10" t="s">
        <v>211</v>
      </c>
      <c r="O987" s="10">
        <v>6.6600000000000006E-2</v>
      </c>
      <c r="P987" s="10">
        <v>7.4200000000000004E-3</v>
      </c>
      <c r="Q987" s="10">
        <v>13.8</v>
      </c>
      <c r="R987" s="10" t="s">
        <v>913</v>
      </c>
      <c r="S987" s="34">
        <f t="shared" si="109"/>
        <v>13.8</v>
      </c>
      <c r="T987" s="10" t="s">
        <v>1052</v>
      </c>
      <c r="U987" s="34" t="str">
        <f t="shared" si="110"/>
        <v/>
      </c>
      <c r="V987" s="31" t="str">
        <f>IF(H987="CHK",VLOOKUP(I987,QCCHK,3,),IF(H987="GUP",VLOOKUP(E987,QCGUP,2,),IF(AND(H987="ATP",OR(I987="TN",I987="TDN",I987="TNO2-3",I987="NO2-3")),VLOOKUP(E987,QCREC_N,2,),IF(AND(H987="NIC",OR(I987="TN",I987="TDN",I987="TNO2-3",I987="NO2-3")),VLOOKUP(E987,QCNIC_N,2,),IF(AND(H987="UREA",OR(I987="TN",I987="TDN",I987="TNO2-3",I987="NO2-3")),VLOOKUP(E987,QCUREA_N,2,),IF(H987="PER",VLOOKUP(I987,QCPER,MATCH(E987,QCACTUAL!$J$25:$AA$25,0),),IF(H987="SPK",VLOOKUP(I987,QCSPK,3,),IF(AND(H987="ATP",OR(I987="TP",I987="TDP")),VLOOKUP(E987,QCATP_P,2,),""))))))))</f>
        <v/>
      </c>
      <c r="W987" s="31" t="str">
        <f t="shared" si="111"/>
        <v>TRUE</v>
      </c>
      <c r="X987" s="31" t="str">
        <f t="shared" si="112"/>
        <v/>
      </c>
      <c r="Y987" s="10" t="s">
        <v>1040</v>
      </c>
      <c r="Z987" s="10" t="s">
        <v>910</v>
      </c>
      <c r="AL987" s="10" t="str">
        <f t="shared" si="107"/>
        <v>FALSE</v>
      </c>
      <c r="AM987" s="10" t="str">
        <f t="shared" si="107"/>
        <v>FALSE</v>
      </c>
      <c r="AN987" s="10" t="str">
        <f t="shared" si="107"/>
        <v>FALSE</v>
      </c>
      <c r="AO987" s="10" t="str">
        <f t="shared" si="108"/>
        <v>FALSE</v>
      </c>
      <c r="AP987" s="10" t="str">
        <f t="shared" si="108"/>
        <v>FALSE</v>
      </c>
      <c r="AQ987" s="10" t="b">
        <f>IF(AND(I987="TP",S987&lt;=150),VLOOKUP(AF987,TPCalibEq150!$AZ$2:$BB$55,3,),IF(AND(I987="TDP",S987&lt;=150),VLOOKUP(AF987,TPCalibEq150!$AZ$2:$BB$55,3,)))</f>
        <v>0</v>
      </c>
      <c r="AR987" s="10" t="b">
        <f>IF(AND(I987="TP",S987&lt;=300),VLOOKUP(AF987,TPCalibEq300!$AZ$2:$BB$55,3,),IF(AND(I987="TDP",S987&lt;=300),VLOOKUP(AF987,TPCalibEq300!$AZ$2:$BB$55,3,)))</f>
        <v>0</v>
      </c>
      <c r="AS987" s="10" t="b">
        <f>IF(AND(I987="TP",S987&lt;=500),VLOOKUP(AF987,TPCalibEq500!$AZ$2:$BB$56,3,),IF(AND(I987="TDP",S987&lt;=500),VLOOKUP(AF987,TPCalibEq500!$AZ$2:$BB$56,3,)))</f>
        <v>0</v>
      </c>
      <c r="AT987" s="10" t="b">
        <f>IF(AND(I987="TN",S987&lt;=2800),VLOOKUP(AF987,TNCalibEq2500!$AZ$2:$BB$56,3,),IF(AND(I987="TDN",S987&lt;=2800),VLOOKUP(AF987,TNCalibEq2500!$AZ$2:$BB$56,3,)))</f>
        <v>0</v>
      </c>
      <c r="AU987" s="10" t="b">
        <f>IF(I987="TP",VLOOKUP(AF987,TPCalibEqFull!$AZ$2:$BB$56,3),IF(I987="TDP",VLOOKUP(AF987,TPCalibEqFull!$AZ$2:$BB$56,3),IF(I987="TDN",VLOOKUP(AF987,TNCalibEqFull!$AZ$1:$BB$56,3),IF(I987="TN",VLOOKUP(AF987,TNCalibEqFull!$AZ$1:$BB$56,3),FALSE))))</f>
        <v>0</v>
      </c>
      <c r="AV987" s="10" t="str">
        <f t="shared" si="113"/>
        <v>0117 10:26:00-SLT-0-FIL-1-SW-UKN</v>
      </c>
    </row>
    <row r="988" spans="1:48" s="10" customFormat="1" x14ac:dyDescent="0.55000000000000004">
      <c r="A988" s="32">
        <v>44943</v>
      </c>
      <c r="B988" s="33">
        <v>0.4604166666666667</v>
      </c>
      <c r="C988" s="10" t="s">
        <v>310</v>
      </c>
      <c r="D988" s="10">
        <v>0</v>
      </c>
      <c r="E988" s="10" t="s">
        <v>911</v>
      </c>
      <c r="F988" s="10">
        <v>1</v>
      </c>
      <c r="G988" s="10" t="s">
        <v>231</v>
      </c>
      <c r="H988" s="10" t="s">
        <v>322</v>
      </c>
      <c r="I988" s="10" t="s">
        <v>285</v>
      </c>
      <c r="J988" s="10">
        <v>49</v>
      </c>
      <c r="K988" s="12">
        <v>44950</v>
      </c>
      <c r="L988" s="33">
        <v>0.5159259259259259</v>
      </c>
      <c r="M988" s="10">
        <v>1</v>
      </c>
      <c r="N988" s="10" t="s">
        <v>211</v>
      </c>
      <c r="O988" s="10">
        <v>0.376</v>
      </c>
      <c r="P988" s="10">
        <v>4.2500000000000003E-2</v>
      </c>
      <c r="Q988" s="10">
        <v>78.099999999999994</v>
      </c>
      <c r="R988" s="10" t="s">
        <v>913</v>
      </c>
      <c r="S988" s="34">
        <f t="shared" si="109"/>
        <v>78.099999999999994</v>
      </c>
      <c r="T988" s="10" t="s">
        <v>1052</v>
      </c>
      <c r="U988" s="34" t="str">
        <f t="shared" si="110"/>
        <v/>
      </c>
      <c r="V988" s="31" t="str">
        <f>IF(H988="CHK",VLOOKUP(I988,QCCHK,3,),IF(H988="GUP",VLOOKUP(E988,QCGUP,2,),IF(AND(H988="ATP",OR(I988="TN",I988="TDN",I988="TNO2-3",I988="NO2-3")),VLOOKUP(E988,QCREC_N,2,),IF(AND(H988="NIC",OR(I988="TN",I988="TDN",I988="TNO2-3",I988="NO2-3")),VLOOKUP(E988,QCNIC_N,2,),IF(AND(H988="UREA",OR(I988="TN",I988="TDN",I988="TNO2-3",I988="NO2-3")),VLOOKUP(E988,QCUREA_N,2,),IF(H988="PER",VLOOKUP(I988,QCPER,MATCH(E988,QCACTUAL!$J$25:$AA$25,0),),IF(H988="SPK",VLOOKUP(I988,QCSPK,3,),IF(AND(H988="ATP",OR(I988="TP",I988="TDP")),VLOOKUP(E988,QCATP_P,2,),""))))))))</f>
        <v/>
      </c>
      <c r="W988" s="31" t="str">
        <f t="shared" si="111"/>
        <v>TRUE</v>
      </c>
      <c r="X988" s="31" t="str">
        <f t="shared" si="112"/>
        <v/>
      </c>
      <c r="Y988" s="10" t="s">
        <v>1040</v>
      </c>
      <c r="Z988" s="10" t="s">
        <v>910</v>
      </c>
      <c r="AL988" s="10" t="str">
        <f t="shared" si="107"/>
        <v>FALSE</v>
      </c>
      <c r="AM988" s="10" t="str">
        <f t="shared" si="107"/>
        <v>FALSE</v>
      </c>
      <c r="AN988" s="10" t="str">
        <f t="shared" si="107"/>
        <v>FALSE</v>
      </c>
      <c r="AO988" s="10" t="str">
        <f t="shared" si="108"/>
        <v>FALSE</v>
      </c>
      <c r="AP988" s="10" t="str">
        <f t="shared" si="108"/>
        <v>FALSE</v>
      </c>
      <c r="AQ988" s="10" t="b">
        <f>IF(AND(I988="TP",S988&lt;=150),VLOOKUP(AF988,TPCalibEq150!$AZ$2:$BB$55,3,),IF(AND(I988="TDP",S988&lt;=150),VLOOKUP(AF988,TPCalibEq150!$AZ$2:$BB$55,3,)))</f>
        <v>0</v>
      </c>
      <c r="AR988" s="10" t="b">
        <f>IF(AND(I988="TP",S988&lt;=300),VLOOKUP(AF988,TPCalibEq300!$AZ$2:$BB$55,3,),IF(AND(I988="TDP",S988&lt;=300),VLOOKUP(AF988,TPCalibEq300!$AZ$2:$BB$55,3,)))</f>
        <v>0</v>
      </c>
      <c r="AS988" s="10" t="b">
        <f>IF(AND(I988="TP",S988&lt;=500),VLOOKUP(AF988,TPCalibEq500!$AZ$2:$BB$56,3,),IF(AND(I988="TDP",S988&lt;=500),VLOOKUP(AF988,TPCalibEq500!$AZ$2:$BB$56,3,)))</f>
        <v>0</v>
      </c>
      <c r="AT988" s="10" t="b">
        <f>IF(AND(I988="TN",S988&lt;=2800),VLOOKUP(AF988,TNCalibEq2500!$AZ$2:$BB$56,3,),IF(AND(I988="TDN",S988&lt;=2800),VLOOKUP(AF988,TNCalibEq2500!$AZ$2:$BB$56,3,)))</f>
        <v>0</v>
      </c>
      <c r="AU988" s="10" t="b">
        <f>IF(I988="TP",VLOOKUP(AF988,TPCalibEqFull!$AZ$2:$BB$56,3),IF(I988="TDP",VLOOKUP(AF988,TPCalibEqFull!$AZ$2:$BB$56,3),IF(I988="TDN",VLOOKUP(AF988,TNCalibEqFull!$AZ$1:$BB$56,3),IF(I988="TN",VLOOKUP(AF988,TNCalibEqFull!$AZ$1:$BB$56,3),FALSE))))</f>
        <v>0</v>
      </c>
      <c r="AV988" s="10" t="str">
        <f t="shared" si="113"/>
        <v>0117 11:03:00-ELI-0-FIL-1-SW-UKN</v>
      </c>
    </row>
    <row r="989" spans="1:48" s="10" customFormat="1" x14ac:dyDescent="0.55000000000000004">
      <c r="A989" s="32">
        <v>44943</v>
      </c>
      <c r="B989" s="33">
        <v>0.47013888888888888</v>
      </c>
      <c r="C989" s="10" t="s">
        <v>999</v>
      </c>
      <c r="D989" s="10">
        <v>0</v>
      </c>
      <c r="E989" s="10" t="s">
        <v>911</v>
      </c>
      <c r="F989" s="10">
        <v>1</v>
      </c>
      <c r="G989" s="10" t="s">
        <v>231</v>
      </c>
      <c r="H989" s="10" t="s">
        <v>322</v>
      </c>
      <c r="I989" s="10" t="s">
        <v>285</v>
      </c>
      <c r="J989" s="10">
        <v>50</v>
      </c>
      <c r="K989" s="12">
        <v>44950</v>
      </c>
      <c r="L989" s="33">
        <v>0.51674768518518521</v>
      </c>
      <c r="M989" s="10">
        <v>1</v>
      </c>
      <c r="N989" s="10" t="s">
        <v>211</v>
      </c>
      <c r="O989" s="10">
        <v>0.29299999999999998</v>
      </c>
      <c r="P989" s="10">
        <v>3.3000000000000002E-2</v>
      </c>
      <c r="Q989" s="10">
        <v>60.9</v>
      </c>
      <c r="R989" s="10" t="s">
        <v>913</v>
      </c>
      <c r="S989" s="34">
        <f t="shared" si="109"/>
        <v>60.9</v>
      </c>
      <c r="T989" s="10" t="s">
        <v>1052</v>
      </c>
      <c r="U989" s="34" t="str">
        <f t="shared" si="110"/>
        <v/>
      </c>
      <c r="V989" s="31" t="str">
        <f>IF(H989="CHK",VLOOKUP(I989,QCCHK,3,),IF(H989="GUP",VLOOKUP(E989,QCGUP,2,),IF(AND(H989="ATP",OR(I989="TN",I989="TDN",I989="TNO2-3",I989="NO2-3")),VLOOKUP(E989,QCREC_N,2,),IF(AND(H989="NIC",OR(I989="TN",I989="TDN",I989="TNO2-3",I989="NO2-3")),VLOOKUP(E989,QCNIC_N,2,),IF(AND(H989="UREA",OR(I989="TN",I989="TDN",I989="TNO2-3",I989="NO2-3")),VLOOKUP(E989,QCUREA_N,2,),IF(H989="PER",VLOOKUP(I989,QCPER,MATCH(E989,QCACTUAL!$J$25:$AA$25,0),),IF(H989="SPK",VLOOKUP(I989,QCSPK,3,),IF(AND(H989="ATP",OR(I989="TP",I989="TDP")),VLOOKUP(E989,QCATP_P,2,),""))))))))</f>
        <v/>
      </c>
      <c r="W989" s="31" t="str">
        <f t="shared" si="111"/>
        <v>TRUE</v>
      </c>
      <c r="X989" s="31" t="str">
        <f t="shared" si="112"/>
        <v/>
      </c>
      <c r="Y989" s="10" t="s">
        <v>1040</v>
      </c>
      <c r="Z989" s="10" t="s">
        <v>910</v>
      </c>
      <c r="AL989" s="10" t="str">
        <f t="shared" si="107"/>
        <v>FALSE</v>
      </c>
      <c r="AM989" s="10" t="str">
        <f t="shared" si="107"/>
        <v>FALSE</v>
      </c>
      <c r="AN989" s="10" t="str">
        <f t="shared" si="107"/>
        <v>FALSE</v>
      </c>
      <c r="AO989" s="10" t="str">
        <f t="shared" si="108"/>
        <v>FALSE</v>
      </c>
      <c r="AP989" s="10" t="str">
        <f t="shared" si="108"/>
        <v>FALSE</v>
      </c>
      <c r="AQ989" s="10" t="b">
        <f>IF(AND(I989="TP",S989&lt;=150),VLOOKUP(AF989,TPCalibEq150!$AZ$2:$BB$55,3,),IF(AND(I989="TDP",S989&lt;=150),VLOOKUP(AF989,TPCalibEq150!$AZ$2:$BB$55,3,)))</f>
        <v>0</v>
      </c>
      <c r="AR989" s="10" t="b">
        <f>IF(AND(I989="TP",S989&lt;=300),VLOOKUP(AF989,TPCalibEq300!$AZ$2:$BB$55,3,),IF(AND(I989="TDP",S989&lt;=300),VLOOKUP(AF989,TPCalibEq300!$AZ$2:$BB$55,3,)))</f>
        <v>0</v>
      </c>
      <c r="AS989" s="10" t="b">
        <f>IF(AND(I989="TP",S989&lt;=500),VLOOKUP(AF989,TPCalibEq500!$AZ$2:$BB$56,3,),IF(AND(I989="TDP",S989&lt;=500),VLOOKUP(AF989,TPCalibEq500!$AZ$2:$BB$56,3,)))</f>
        <v>0</v>
      </c>
      <c r="AT989" s="10" t="b">
        <f>IF(AND(I989="TN",S989&lt;=2800),VLOOKUP(AF989,TNCalibEq2500!$AZ$2:$BB$56,3,),IF(AND(I989="TDN",S989&lt;=2800),VLOOKUP(AF989,TNCalibEq2500!$AZ$2:$BB$56,3,)))</f>
        <v>0</v>
      </c>
      <c r="AU989" s="10" t="b">
        <f>IF(I989="TP",VLOOKUP(AF989,TPCalibEqFull!$AZ$2:$BB$56,3),IF(I989="TDP",VLOOKUP(AF989,TPCalibEqFull!$AZ$2:$BB$56,3),IF(I989="TDN",VLOOKUP(AF989,TNCalibEqFull!$AZ$1:$BB$56,3),IF(I989="TN",VLOOKUP(AF989,TNCalibEqFull!$AZ$1:$BB$56,3),FALSE))))</f>
        <v>0</v>
      </c>
      <c r="AV989" s="10" t="str">
        <f t="shared" si="113"/>
        <v>0117 11:17:00-EAW-0-FIL-1-SW-UKN</v>
      </c>
    </row>
    <row r="990" spans="1:48" s="10" customFormat="1" x14ac:dyDescent="0.55000000000000004">
      <c r="A990" s="32">
        <v>44943</v>
      </c>
      <c r="B990" s="33">
        <v>0.48125000000000001</v>
      </c>
      <c r="C990" s="10" t="s">
        <v>613</v>
      </c>
      <c r="D990" s="10">
        <v>0</v>
      </c>
      <c r="E990" s="10" t="s">
        <v>911</v>
      </c>
      <c r="F990" s="10">
        <v>1</v>
      </c>
      <c r="G990" s="10" t="s">
        <v>231</v>
      </c>
      <c r="H990" s="10" t="s">
        <v>322</v>
      </c>
      <c r="I990" s="10" t="s">
        <v>285</v>
      </c>
      <c r="J990" s="10">
        <v>51</v>
      </c>
      <c r="K990" s="12">
        <v>44950</v>
      </c>
      <c r="L990" s="33">
        <v>0.51755787037037038</v>
      </c>
      <c r="M990" s="10">
        <v>1</v>
      </c>
      <c r="N990" s="10" t="s">
        <v>211</v>
      </c>
      <c r="O990" s="10">
        <v>0.48</v>
      </c>
      <c r="P990" s="10">
        <v>5.4899999999999997E-2</v>
      </c>
      <c r="Q990" s="10">
        <v>99.7</v>
      </c>
      <c r="R990" s="10" t="s">
        <v>913</v>
      </c>
      <c r="S990" s="34">
        <f t="shared" si="109"/>
        <v>99.7</v>
      </c>
      <c r="T990" s="10" t="s">
        <v>1052</v>
      </c>
      <c r="U990" s="34" t="str">
        <f t="shared" si="110"/>
        <v/>
      </c>
      <c r="V990" s="31" t="str">
        <f>IF(H990="CHK",VLOOKUP(I990,QCCHK,3,),IF(H990="GUP",VLOOKUP(E990,QCGUP,2,),IF(AND(H990="ATP",OR(I990="TN",I990="TDN",I990="TNO2-3",I990="NO2-3")),VLOOKUP(E990,QCREC_N,2,),IF(AND(H990="NIC",OR(I990="TN",I990="TDN",I990="TNO2-3",I990="NO2-3")),VLOOKUP(E990,QCNIC_N,2,),IF(AND(H990="UREA",OR(I990="TN",I990="TDN",I990="TNO2-3",I990="NO2-3")),VLOOKUP(E990,QCUREA_N,2,),IF(H990="PER",VLOOKUP(I990,QCPER,MATCH(E990,QCACTUAL!$J$25:$AA$25,0),),IF(H990="SPK",VLOOKUP(I990,QCSPK,3,),IF(AND(H990="ATP",OR(I990="TP",I990="TDP")),VLOOKUP(E990,QCATP_P,2,),""))))))))</f>
        <v/>
      </c>
      <c r="W990" s="31" t="str">
        <f t="shared" si="111"/>
        <v>TRUE</v>
      </c>
      <c r="X990" s="31" t="str">
        <f t="shared" si="112"/>
        <v/>
      </c>
      <c r="Y990" s="10" t="s">
        <v>1040</v>
      </c>
      <c r="Z990" s="10" t="s">
        <v>910</v>
      </c>
      <c r="AL990" s="10" t="str">
        <f t="shared" si="107"/>
        <v>FALSE</v>
      </c>
      <c r="AM990" s="10" t="str">
        <f t="shared" si="107"/>
        <v>FALSE</v>
      </c>
      <c r="AN990" s="10" t="str">
        <f t="shared" si="107"/>
        <v>FALSE</v>
      </c>
      <c r="AO990" s="10" t="str">
        <f t="shared" si="108"/>
        <v>FALSE</v>
      </c>
      <c r="AP990" s="10" t="str">
        <f t="shared" si="108"/>
        <v>FALSE</v>
      </c>
      <c r="AQ990" s="10" t="b">
        <f>IF(AND(I990="TP",S990&lt;=150),VLOOKUP(AF990,TPCalibEq150!$AZ$2:$BB$55,3,),IF(AND(I990="TDP",S990&lt;=150),VLOOKUP(AF990,TPCalibEq150!$AZ$2:$BB$55,3,)))</f>
        <v>0</v>
      </c>
      <c r="AR990" s="10" t="b">
        <f>IF(AND(I990="TP",S990&lt;=300),VLOOKUP(AF990,TPCalibEq300!$AZ$2:$BB$55,3,),IF(AND(I990="TDP",S990&lt;=300),VLOOKUP(AF990,TPCalibEq300!$AZ$2:$BB$55,3,)))</f>
        <v>0</v>
      </c>
      <c r="AS990" s="10" t="b">
        <f>IF(AND(I990="TP",S990&lt;=500),VLOOKUP(AF990,TPCalibEq500!$AZ$2:$BB$56,3,),IF(AND(I990="TDP",S990&lt;=500),VLOOKUP(AF990,TPCalibEq500!$AZ$2:$BB$56,3,)))</f>
        <v>0</v>
      </c>
      <c r="AT990" s="10" t="b">
        <f>IF(AND(I990="TN",S990&lt;=2800),VLOOKUP(AF990,TNCalibEq2500!$AZ$2:$BB$56,3,),IF(AND(I990="TDN",S990&lt;=2800),VLOOKUP(AF990,TNCalibEq2500!$AZ$2:$BB$56,3,)))</f>
        <v>0</v>
      </c>
      <c r="AU990" s="10" t="b">
        <f>IF(I990="TP",VLOOKUP(AF990,TPCalibEqFull!$AZ$2:$BB$56,3),IF(I990="TDP",VLOOKUP(AF990,TPCalibEqFull!$AZ$2:$BB$56,3),IF(I990="TDN",VLOOKUP(AF990,TNCalibEqFull!$AZ$1:$BB$56,3),IF(I990="TN",VLOOKUP(AF990,TNCalibEqFull!$AZ$1:$BB$56,3),FALSE))))</f>
        <v>0</v>
      </c>
      <c r="AV990" s="10" t="str">
        <f t="shared" si="113"/>
        <v>0117 11:33:00-FVC-0-FIL-1-SW-UKN</v>
      </c>
    </row>
    <row r="991" spans="1:48" s="10" customFormat="1" x14ac:dyDescent="0.55000000000000004">
      <c r="A991" s="32">
        <v>44943</v>
      </c>
      <c r="B991" s="33">
        <v>0.48125000000000001</v>
      </c>
      <c r="C991" s="10" t="s">
        <v>613</v>
      </c>
      <c r="D991" s="10">
        <v>0</v>
      </c>
      <c r="E991" s="10" t="s">
        <v>911</v>
      </c>
      <c r="F991" s="10">
        <v>2</v>
      </c>
      <c r="G991" s="10" t="s">
        <v>231</v>
      </c>
      <c r="H991" s="10" t="s">
        <v>322</v>
      </c>
      <c r="I991" s="10" t="s">
        <v>285</v>
      </c>
      <c r="J991" s="10">
        <v>52</v>
      </c>
      <c r="K991" s="12">
        <v>44950</v>
      </c>
      <c r="L991" s="33">
        <v>0.51837962962962958</v>
      </c>
      <c r="M991" s="10">
        <v>1</v>
      </c>
      <c r="N991" s="10" t="s">
        <v>211</v>
      </c>
      <c r="O991" s="10">
        <v>0.59199999999999997</v>
      </c>
      <c r="P991" s="10">
        <v>6.8099999999999994E-2</v>
      </c>
      <c r="Q991" s="10">
        <v>123</v>
      </c>
      <c r="R991" s="10" t="s">
        <v>913</v>
      </c>
      <c r="S991" s="34">
        <f t="shared" si="109"/>
        <v>123</v>
      </c>
      <c r="T991" s="10" t="s">
        <v>1052</v>
      </c>
      <c r="U991" s="34" t="str">
        <f t="shared" si="110"/>
        <v/>
      </c>
      <c r="V991" s="31" t="str">
        <f>IF(H991="CHK",VLOOKUP(I991,QCCHK,3,),IF(H991="GUP",VLOOKUP(E991,QCGUP,2,),IF(AND(H991="ATP",OR(I991="TN",I991="TDN",I991="TNO2-3",I991="NO2-3")),VLOOKUP(E991,QCREC_N,2,),IF(AND(H991="NIC",OR(I991="TN",I991="TDN",I991="TNO2-3",I991="NO2-3")),VLOOKUP(E991,QCNIC_N,2,),IF(AND(H991="UREA",OR(I991="TN",I991="TDN",I991="TNO2-3",I991="NO2-3")),VLOOKUP(E991,QCUREA_N,2,),IF(H991="PER",VLOOKUP(I991,QCPER,MATCH(E991,QCACTUAL!$J$25:$AA$25,0),),IF(H991="SPK",VLOOKUP(I991,QCSPK,3,),IF(AND(H991="ATP",OR(I991="TP",I991="TDP")),VLOOKUP(E991,QCATP_P,2,),""))))))))</f>
        <v/>
      </c>
      <c r="W991" s="31" t="str">
        <f t="shared" si="111"/>
        <v>TRUE</v>
      </c>
      <c r="X991" s="31" t="str">
        <f t="shared" si="112"/>
        <v/>
      </c>
      <c r="Y991" s="10" t="s">
        <v>1040</v>
      </c>
      <c r="Z991" s="10" t="s">
        <v>910</v>
      </c>
      <c r="AL991" s="10" t="str">
        <f t="shared" si="107"/>
        <v>FALSE</v>
      </c>
      <c r="AM991" s="10" t="str">
        <f t="shared" si="107"/>
        <v>FALSE</v>
      </c>
      <c r="AN991" s="10" t="str">
        <f t="shared" si="107"/>
        <v>FALSE</v>
      </c>
      <c r="AO991" s="10" t="str">
        <f t="shared" si="108"/>
        <v>FALSE</v>
      </c>
      <c r="AP991" s="10" t="str">
        <f t="shared" si="108"/>
        <v>FALSE</v>
      </c>
      <c r="AQ991" s="10" t="b">
        <f>IF(AND(I991="TP",S991&lt;=150),VLOOKUP(AF991,TPCalibEq150!$AZ$2:$BB$55,3,),IF(AND(I991="TDP",S991&lt;=150),VLOOKUP(AF991,TPCalibEq150!$AZ$2:$BB$55,3,)))</f>
        <v>0</v>
      </c>
      <c r="AR991" s="10" t="b">
        <f>IF(AND(I991="TP",S991&lt;=300),VLOOKUP(AF991,TPCalibEq300!$AZ$2:$BB$55,3,),IF(AND(I991="TDP",S991&lt;=300),VLOOKUP(AF991,TPCalibEq300!$AZ$2:$BB$55,3,)))</f>
        <v>0</v>
      </c>
      <c r="AS991" s="10" t="b">
        <f>IF(AND(I991="TP",S991&lt;=500),VLOOKUP(AF991,TPCalibEq500!$AZ$2:$BB$56,3,),IF(AND(I991="TDP",S991&lt;=500),VLOOKUP(AF991,TPCalibEq500!$AZ$2:$BB$56,3,)))</f>
        <v>0</v>
      </c>
      <c r="AT991" s="10" t="b">
        <f>IF(AND(I991="TN",S991&lt;=2800),VLOOKUP(AF991,TNCalibEq2500!$AZ$2:$BB$56,3,),IF(AND(I991="TDN",S991&lt;=2800),VLOOKUP(AF991,TNCalibEq2500!$AZ$2:$BB$56,3,)))</f>
        <v>0</v>
      </c>
      <c r="AU991" s="10" t="b">
        <f>IF(I991="TP",VLOOKUP(AF991,TPCalibEqFull!$AZ$2:$BB$56,3),IF(I991="TDP",VLOOKUP(AF991,TPCalibEqFull!$AZ$2:$BB$56,3),IF(I991="TDN",VLOOKUP(AF991,TNCalibEqFull!$AZ$1:$BB$56,3),IF(I991="TN",VLOOKUP(AF991,TNCalibEqFull!$AZ$1:$BB$56,3),FALSE))))</f>
        <v>0</v>
      </c>
      <c r="AV991" s="10" t="str">
        <f t="shared" si="113"/>
        <v>0117 11:33:00-FVC-0-FIL-2-SW-UKN</v>
      </c>
    </row>
    <row r="992" spans="1:48" s="10" customFormat="1" x14ac:dyDescent="0.55000000000000004">
      <c r="A992" s="32">
        <v>44943</v>
      </c>
      <c r="B992" s="33">
        <v>0.48125000000000001</v>
      </c>
      <c r="C992" s="10" t="s">
        <v>613</v>
      </c>
      <c r="D992" s="10">
        <v>0</v>
      </c>
      <c r="E992" s="10" t="s">
        <v>911</v>
      </c>
      <c r="F992" s="10">
        <v>2</v>
      </c>
      <c r="G992" s="10" t="s">
        <v>231</v>
      </c>
      <c r="H992" s="10" t="s">
        <v>233</v>
      </c>
      <c r="I992" s="10" t="s">
        <v>285</v>
      </c>
      <c r="J992" s="10">
        <v>52</v>
      </c>
      <c r="K992" s="12">
        <v>44950</v>
      </c>
      <c r="L992" s="33">
        <v>0.51920138888888889</v>
      </c>
      <c r="M992" s="10">
        <v>1</v>
      </c>
      <c r="N992" s="10" t="s">
        <v>211</v>
      </c>
      <c r="O992" s="10">
        <v>0.58799999999999997</v>
      </c>
      <c r="P992" s="10">
        <v>6.7400000000000002E-2</v>
      </c>
      <c r="Q992" s="10">
        <v>122</v>
      </c>
      <c r="R992" s="10" t="s">
        <v>913</v>
      </c>
      <c r="S992" s="34">
        <f t="shared" si="109"/>
        <v>122</v>
      </c>
      <c r="T992" s="10" t="s">
        <v>1052</v>
      </c>
      <c r="U992" s="34">
        <f t="shared" si="110"/>
        <v>0.81632653061224492</v>
      </c>
      <c r="V992" s="31" t="str">
        <f>IF(H992="CHK",VLOOKUP(I992,QCCHK,3,),IF(H992="GUP",VLOOKUP(E992,QCGUP,2,),IF(AND(H992="ATP",OR(I992="TN",I992="TDN",I992="TNO2-3",I992="NO2-3")),VLOOKUP(E992,QCREC_N,2,),IF(AND(H992="NIC",OR(I992="TN",I992="TDN",I992="TNO2-3",I992="NO2-3")),VLOOKUP(E992,QCNIC_N,2,),IF(AND(H992="UREA",OR(I992="TN",I992="TDN",I992="TNO2-3",I992="NO2-3")),VLOOKUP(E992,QCUREA_N,2,),IF(H992="PER",VLOOKUP(I992,QCPER,MATCH(E992,QCACTUAL!$J$25:$AA$25,0),),IF(H992="SPK",VLOOKUP(I992,QCSPK,3,),IF(AND(H992="ATP",OR(I992="TP",I992="TDP")),VLOOKUP(E992,QCATP_P,2,),""))))))))</f>
        <v/>
      </c>
      <c r="W992" s="31" t="str">
        <f t="shared" si="111"/>
        <v>TRUE</v>
      </c>
      <c r="X992" s="31" t="str">
        <f t="shared" si="112"/>
        <v>((ABS(rep1-rep2))/((rep1+rep2)/2)*100</v>
      </c>
      <c r="Y992" s="10" t="s">
        <v>1040</v>
      </c>
      <c r="Z992" s="10" t="s">
        <v>910</v>
      </c>
      <c r="AL992" s="10" t="str">
        <f t="shared" si="107"/>
        <v>FALSE</v>
      </c>
      <c r="AM992" s="10" t="str">
        <f t="shared" si="107"/>
        <v>FALSE</v>
      </c>
      <c r="AN992" s="10" t="str">
        <f t="shared" si="107"/>
        <v>FALSE</v>
      </c>
      <c r="AO992" s="10" t="str">
        <f t="shared" si="108"/>
        <v>FALSE</v>
      </c>
      <c r="AP992" s="10" t="str">
        <f t="shared" si="108"/>
        <v>FALSE</v>
      </c>
      <c r="AQ992" s="10" t="b">
        <f>IF(AND(I992="TP",S992&lt;=150),VLOOKUP(AF992,TPCalibEq150!$AZ$2:$BB$55,3,),IF(AND(I992="TDP",S992&lt;=150),VLOOKUP(AF992,TPCalibEq150!$AZ$2:$BB$55,3,)))</f>
        <v>0</v>
      </c>
      <c r="AR992" s="10" t="b">
        <f>IF(AND(I992="TP",S992&lt;=300),VLOOKUP(AF992,TPCalibEq300!$AZ$2:$BB$55,3,),IF(AND(I992="TDP",S992&lt;=300),VLOOKUP(AF992,TPCalibEq300!$AZ$2:$BB$55,3,)))</f>
        <v>0</v>
      </c>
      <c r="AS992" s="10" t="b">
        <f>IF(AND(I992="TP",S992&lt;=500),VLOOKUP(AF992,TPCalibEq500!$AZ$2:$BB$56,3,),IF(AND(I992="TDP",S992&lt;=500),VLOOKUP(AF992,TPCalibEq500!$AZ$2:$BB$56,3,)))</f>
        <v>0</v>
      </c>
      <c r="AT992" s="10" t="b">
        <f>IF(AND(I992="TN",S992&lt;=2800),VLOOKUP(AF992,TNCalibEq2500!$AZ$2:$BB$56,3,),IF(AND(I992="TDN",S992&lt;=2800),VLOOKUP(AF992,TNCalibEq2500!$AZ$2:$BB$56,3,)))</f>
        <v>0</v>
      </c>
      <c r="AU992" s="10" t="b">
        <f>IF(I992="TP",VLOOKUP(AF992,TPCalibEqFull!$AZ$2:$BB$56,3),IF(I992="TDP",VLOOKUP(AF992,TPCalibEqFull!$AZ$2:$BB$56,3),IF(I992="TDN",VLOOKUP(AF992,TNCalibEqFull!$AZ$1:$BB$56,3),IF(I992="TN",VLOOKUP(AF992,TNCalibEqFull!$AZ$1:$BB$56,3),FALSE))))</f>
        <v>0</v>
      </c>
      <c r="AV992" s="10" t="str">
        <f t="shared" si="113"/>
        <v>0117 11:33:00-FVC-0-FIL-2-SW-DUP</v>
      </c>
    </row>
    <row r="993" spans="1:48" s="10" customFormat="1" x14ac:dyDescent="0.55000000000000004">
      <c r="A993" s="32">
        <v>44943</v>
      </c>
      <c r="B993" s="33">
        <v>0.48125000000000001</v>
      </c>
      <c r="C993" s="10" t="s">
        <v>613</v>
      </c>
      <c r="D993" s="10">
        <v>0</v>
      </c>
      <c r="E993" s="10" t="s">
        <v>911</v>
      </c>
      <c r="F993" s="10">
        <v>2</v>
      </c>
      <c r="G993" s="10" t="s">
        <v>231</v>
      </c>
      <c r="H993" s="10" t="s">
        <v>314</v>
      </c>
      <c r="I993" s="10" t="s">
        <v>285</v>
      </c>
      <c r="J993" s="10">
        <v>61</v>
      </c>
      <c r="K993" s="12">
        <v>44950</v>
      </c>
      <c r="L993" s="33">
        <v>0.52002314814814821</v>
      </c>
      <c r="M993" s="10">
        <v>1</v>
      </c>
      <c r="N993" s="10" t="s">
        <v>211</v>
      </c>
      <c r="O993" s="10">
        <v>1.35</v>
      </c>
      <c r="P993" s="10">
        <v>0.158</v>
      </c>
      <c r="Q993" s="10">
        <v>280</v>
      </c>
      <c r="R993" s="10" t="s">
        <v>913</v>
      </c>
      <c r="S993" s="34">
        <f t="shared" si="109"/>
        <v>280</v>
      </c>
      <c r="T993" s="10" t="s">
        <v>1052</v>
      </c>
      <c r="U993" s="34">
        <f t="shared" si="110"/>
        <v>101.12</v>
      </c>
      <c r="V993" s="31">
        <f>IF(H993="CHK",VLOOKUP(I993,QCCHK,3,),IF(H993="GUP",VLOOKUP(E993,QCGUP,2,),IF(AND(H993="ATP",OR(I993="TN",I993="TDN",I993="TNO2-3",I993="NO2-3")),VLOOKUP(E993,QCREC_N,2,),IF(AND(H993="NIC",OR(I993="TN",I993="TDN",I993="TNO2-3",I993="NO2-3")),VLOOKUP(E993,QCNIC_N,2,),IF(AND(H993="UREA",OR(I993="TN",I993="TDN",I993="TNO2-3",I993="NO2-3")),VLOOKUP(E993,QCUREA_N,2,),IF(H993="PER",VLOOKUP(I993,QCPER,MATCH(E993,QCACTUAL!$J$25:$AA$25,0),),IF(H993="SPK",VLOOKUP(I993,QCSPK,3,),IF(AND(H993="ATP",OR(I993="TP",I993="TDP")),VLOOKUP(E993,QCATP_P,2,),""))))))))</f>
        <v>156.25</v>
      </c>
      <c r="W993" s="31" t="str">
        <f t="shared" si="111"/>
        <v>TRUE</v>
      </c>
      <c r="X993" s="31" t="str">
        <f t="shared" si="112"/>
        <v>([spikedunkn]-[unkn])/[spike]*100</v>
      </c>
      <c r="Y993" s="10" t="s">
        <v>1040</v>
      </c>
      <c r="Z993" s="10" t="s">
        <v>910</v>
      </c>
      <c r="AL993" s="10" t="str">
        <f t="shared" si="107"/>
        <v>FALSE</v>
      </c>
      <c r="AM993" s="10" t="str">
        <f t="shared" si="107"/>
        <v>FALSE</v>
      </c>
      <c r="AN993" s="10" t="str">
        <f t="shared" si="107"/>
        <v>FALSE</v>
      </c>
      <c r="AO993" s="10" t="str">
        <f t="shared" si="108"/>
        <v>FALSE</v>
      </c>
      <c r="AP993" s="10" t="str">
        <f t="shared" si="108"/>
        <v>FALSE</v>
      </c>
      <c r="AQ993" s="10" t="b">
        <f>IF(AND(I993="TP",S993&lt;=150),VLOOKUP(AF993,TPCalibEq150!$AZ$2:$BB$55,3,),IF(AND(I993="TDP",S993&lt;=150),VLOOKUP(AF993,TPCalibEq150!$AZ$2:$BB$55,3,)))</f>
        <v>0</v>
      </c>
      <c r="AR993" s="10" t="b">
        <f>IF(AND(I993="TP",S993&lt;=300),VLOOKUP(AF993,TPCalibEq300!$AZ$2:$BB$55,3,),IF(AND(I993="TDP",S993&lt;=300),VLOOKUP(AF993,TPCalibEq300!$AZ$2:$BB$55,3,)))</f>
        <v>0</v>
      </c>
      <c r="AS993" s="10" t="b">
        <f>IF(AND(I993="TP",S993&lt;=500),VLOOKUP(AF993,TPCalibEq500!$AZ$2:$BB$56,3,),IF(AND(I993="TDP",S993&lt;=500),VLOOKUP(AF993,TPCalibEq500!$AZ$2:$BB$56,3,)))</f>
        <v>0</v>
      </c>
      <c r="AT993" s="10" t="b">
        <f>IF(AND(I993="TN",S993&lt;=2800),VLOOKUP(AF993,TNCalibEq2500!$AZ$2:$BB$56,3,),IF(AND(I993="TDN",S993&lt;=2800),VLOOKUP(AF993,TNCalibEq2500!$AZ$2:$BB$56,3,)))</f>
        <v>0</v>
      </c>
      <c r="AU993" s="10" t="b">
        <f>IF(I993="TP",VLOOKUP(AF993,TPCalibEqFull!$AZ$2:$BB$56,3),IF(I993="TDP",VLOOKUP(AF993,TPCalibEqFull!$AZ$2:$BB$56,3),IF(I993="TDN",VLOOKUP(AF993,TNCalibEqFull!$AZ$1:$BB$56,3),IF(I993="TN",VLOOKUP(AF993,TNCalibEqFull!$AZ$1:$BB$56,3),FALSE))))</f>
        <v>0</v>
      </c>
      <c r="AV993" s="10" t="str">
        <f t="shared" si="113"/>
        <v>0117 11:33:00-FVC-0-FIL-2-SW-SPK</v>
      </c>
    </row>
    <row r="994" spans="1:48" s="10" customFormat="1" x14ac:dyDescent="0.55000000000000004">
      <c r="A994" s="32">
        <v>44950</v>
      </c>
      <c r="B994" s="33">
        <v>0.375</v>
      </c>
      <c r="C994" s="10" t="s">
        <v>70</v>
      </c>
      <c r="D994" s="10" t="s">
        <v>71</v>
      </c>
      <c r="E994" s="10" t="s">
        <v>901</v>
      </c>
      <c r="F994" s="10">
        <v>1</v>
      </c>
      <c r="G994" s="10" t="s">
        <v>73</v>
      </c>
      <c r="H994" s="10" t="s">
        <v>207</v>
      </c>
      <c r="I994" s="10" t="s">
        <v>285</v>
      </c>
      <c r="J994" s="10">
        <v>201</v>
      </c>
      <c r="K994" s="12">
        <v>44950</v>
      </c>
      <c r="L994" s="33">
        <v>0.52084490740740741</v>
      </c>
      <c r="M994" s="10">
        <v>1</v>
      </c>
      <c r="N994" s="10" t="s">
        <v>211</v>
      </c>
      <c r="O994" s="10">
        <v>0.36899999999999999</v>
      </c>
      <c r="P994" s="10">
        <v>4.2500000000000003E-2</v>
      </c>
      <c r="Q994" s="10">
        <v>76.599999999999994</v>
      </c>
      <c r="R994" s="10" t="s">
        <v>913</v>
      </c>
      <c r="S994" s="34">
        <f t="shared" si="109"/>
        <v>76.599999999999994</v>
      </c>
      <c r="T994" s="10" t="s">
        <v>1052</v>
      </c>
      <c r="U994" s="34">
        <f t="shared" si="110"/>
        <v>102.13333333333333</v>
      </c>
      <c r="V994" s="31">
        <f>IF(H994="CHK",VLOOKUP(I994,QCCHK,3,),IF(H994="GUP",VLOOKUP(E994,QCGUP,2,),IF(AND(H994="ATP",OR(I994="TN",I994="TDN",I994="TNO2-3",I994="NO2-3")),VLOOKUP(E994,QCREC_N,2,),IF(AND(H994="NIC",OR(I994="TN",I994="TDN",I994="TNO2-3",I994="NO2-3")),VLOOKUP(E994,QCNIC_N,2,),IF(AND(H994="UREA",OR(I994="TN",I994="TDN",I994="TNO2-3",I994="NO2-3")),VLOOKUP(E994,QCUREA_N,2,),IF(H994="PER",VLOOKUP(I994,QCPER,MATCH(E994,QCACTUAL!$J$25:$AA$25,0),),IF(H994="SPK",VLOOKUP(I994,QCSPK,3,),IF(AND(H994="ATP",OR(I994="TP",I994="TDP")),VLOOKUP(E994,QCATP_P,2,),""))))))))</f>
        <v>75</v>
      </c>
      <c r="W994" s="31" t="str">
        <f t="shared" si="111"/>
        <v>TRUE</v>
      </c>
      <c r="X994" s="31" t="str">
        <f t="shared" si="112"/>
        <v>[chk]/[actual]*100</v>
      </c>
      <c r="Y994" s="10" t="s">
        <v>1040</v>
      </c>
      <c r="AL994" s="10" t="str">
        <f t="shared" si="107"/>
        <v>FALSE</v>
      </c>
      <c r="AM994" s="10" t="str">
        <f t="shared" si="107"/>
        <v>FALSE</v>
      </c>
      <c r="AN994" s="10" t="str">
        <f t="shared" si="107"/>
        <v>FALSE</v>
      </c>
      <c r="AO994" s="10" t="str">
        <f t="shared" si="108"/>
        <v>FALSE</v>
      </c>
      <c r="AP994" s="10" t="str">
        <f t="shared" si="108"/>
        <v>FALSE</v>
      </c>
      <c r="AQ994" s="10" t="b">
        <f>IF(AND(I994="TP",S994&lt;=150),VLOOKUP(AF994,TPCalibEq150!$AZ$2:$BB$55,3,),IF(AND(I994="TDP",S994&lt;=150),VLOOKUP(AF994,TPCalibEq150!$AZ$2:$BB$55,3,)))</f>
        <v>0</v>
      </c>
      <c r="AR994" s="10" t="b">
        <f>IF(AND(I994="TP",S994&lt;=300),VLOOKUP(AF994,TPCalibEq300!$AZ$2:$BB$55,3,),IF(AND(I994="TDP",S994&lt;=300),VLOOKUP(AF994,TPCalibEq300!$AZ$2:$BB$55,3,)))</f>
        <v>0</v>
      </c>
      <c r="AS994" s="10" t="b">
        <f>IF(AND(I994="TP",S994&lt;=500),VLOOKUP(AF994,TPCalibEq500!$AZ$2:$BB$56,3,),IF(AND(I994="TDP",S994&lt;=500),VLOOKUP(AF994,TPCalibEq500!$AZ$2:$BB$56,3,)))</f>
        <v>0</v>
      </c>
      <c r="AT994" s="10" t="b">
        <f>IF(AND(I994="TN",S994&lt;=2800),VLOOKUP(AF994,TNCalibEq2500!$AZ$2:$BB$56,3,),IF(AND(I994="TDN",S994&lt;=2800),VLOOKUP(AF994,TNCalibEq2500!$AZ$2:$BB$56,3,)))</f>
        <v>0</v>
      </c>
      <c r="AU994" s="10" t="b">
        <f>IF(I994="TP",VLOOKUP(AF994,TPCalibEqFull!$AZ$2:$BB$56,3),IF(I994="TDP",VLOOKUP(AF994,TPCalibEqFull!$AZ$2:$BB$56,3),IF(I994="TDN",VLOOKUP(AF994,TNCalibEqFull!$AZ$1:$BB$56,3),IF(I994="TN",VLOOKUP(AF994,TNCalibEqFull!$AZ$1:$BB$56,3),FALSE))))</f>
        <v>0</v>
      </c>
      <c r="AV994" s="10" t="str">
        <f t="shared" si="113"/>
        <v>0124 09:00:00-QAC-STD-D-1-DI-CHK</v>
      </c>
    </row>
    <row r="995" spans="1:48" s="10" customFormat="1" x14ac:dyDescent="0.55000000000000004">
      <c r="A995" s="32">
        <v>44943</v>
      </c>
      <c r="B995" s="33">
        <v>0.48888888888888887</v>
      </c>
      <c r="C995" s="10" t="s">
        <v>250</v>
      </c>
      <c r="D995" s="10">
        <v>0</v>
      </c>
      <c r="E995" s="10" t="s">
        <v>911</v>
      </c>
      <c r="F995" s="10">
        <v>1</v>
      </c>
      <c r="G995" s="10" t="s">
        <v>231</v>
      </c>
      <c r="H995" s="10" t="s">
        <v>322</v>
      </c>
      <c r="I995" s="10" t="s">
        <v>285</v>
      </c>
      <c r="J995" s="10">
        <v>53</v>
      </c>
      <c r="K995" s="12">
        <v>44950</v>
      </c>
      <c r="L995" s="33">
        <v>0.52166666666666661</v>
      </c>
      <c r="M995" s="10">
        <v>1</v>
      </c>
      <c r="N995" s="10" t="s">
        <v>211</v>
      </c>
      <c r="O995" s="10">
        <v>0.32500000000000001</v>
      </c>
      <c r="P995" s="10">
        <v>3.6700000000000003E-2</v>
      </c>
      <c r="Q995" s="10">
        <v>67.400000000000006</v>
      </c>
      <c r="R995" s="10" t="s">
        <v>913</v>
      </c>
      <c r="S995" s="34">
        <f t="shared" si="109"/>
        <v>67.400000000000006</v>
      </c>
      <c r="T995" s="10" t="s">
        <v>1052</v>
      </c>
      <c r="U995" s="34" t="str">
        <f t="shared" si="110"/>
        <v/>
      </c>
      <c r="V995" s="31" t="str">
        <f>IF(H995="CHK",VLOOKUP(I995,QCCHK,3,),IF(H995="GUP",VLOOKUP(E995,QCGUP,2,),IF(AND(H995="ATP",OR(I995="TN",I995="TDN",I995="TNO2-3",I995="NO2-3")),VLOOKUP(E995,QCREC_N,2,),IF(AND(H995="NIC",OR(I995="TN",I995="TDN",I995="TNO2-3",I995="NO2-3")),VLOOKUP(E995,QCNIC_N,2,),IF(AND(H995="UREA",OR(I995="TN",I995="TDN",I995="TNO2-3",I995="NO2-3")),VLOOKUP(E995,QCUREA_N,2,),IF(H995="PER",VLOOKUP(I995,QCPER,MATCH(E995,QCACTUAL!$J$25:$AA$25,0),),IF(H995="SPK",VLOOKUP(I995,QCSPK,3,),IF(AND(H995="ATP",OR(I995="TP",I995="TDP")),VLOOKUP(E995,QCATP_P,2,),""))))))))</f>
        <v/>
      </c>
      <c r="W995" s="31" t="str">
        <f t="shared" si="111"/>
        <v>TRUE</v>
      </c>
      <c r="X995" s="31" t="str">
        <f t="shared" si="112"/>
        <v/>
      </c>
      <c r="Y995" s="10" t="s">
        <v>1040</v>
      </c>
      <c r="Z995" s="10" t="s">
        <v>910</v>
      </c>
      <c r="AL995" s="10" t="str">
        <f t="shared" si="107"/>
        <v>FALSE</v>
      </c>
      <c r="AM995" s="10" t="str">
        <f t="shared" si="107"/>
        <v>FALSE</v>
      </c>
      <c r="AN995" s="10" t="str">
        <f t="shared" si="107"/>
        <v>FALSE</v>
      </c>
      <c r="AO995" s="10" t="str">
        <f t="shared" si="108"/>
        <v>FALSE</v>
      </c>
      <c r="AP995" s="10" t="str">
        <f t="shared" si="108"/>
        <v>FALSE</v>
      </c>
      <c r="AQ995" s="10" t="b">
        <f>IF(AND(I995="TP",S995&lt;=150),VLOOKUP(AF995,TPCalibEq150!$AZ$2:$BB$55,3,),IF(AND(I995="TDP",S995&lt;=150),VLOOKUP(AF995,TPCalibEq150!$AZ$2:$BB$55,3,)))</f>
        <v>0</v>
      </c>
      <c r="AR995" s="10" t="b">
        <f>IF(AND(I995="TP",S995&lt;=300),VLOOKUP(AF995,TPCalibEq300!$AZ$2:$BB$55,3,),IF(AND(I995="TDP",S995&lt;=300),VLOOKUP(AF995,TPCalibEq300!$AZ$2:$BB$55,3,)))</f>
        <v>0</v>
      </c>
      <c r="AS995" s="10" t="b">
        <f>IF(AND(I995="TP",S995&lt;=500),VLOOKUP(AF995,TPCalibEq500!$AZ$2:$BB$56,3,),IF(AND(I995="TDP",S995&lt;=500),VLOOKUP(AF995,TPCalibEq500!$AZ$2:$BB$56,3,)))</f>
        <v>0</v>
      </c>
      <c r="AT995" s="10" t="b">
        <f>IF(AND(I995="TN",S995&lt;=2800),VLOOKUP(AF995,TNCalibEq2500!$AZ$2:$BB$56,3,),IF(AND(I995="TDN",S995&lt;=2800),VLOOKUP(AF995,TNCalibEq2500!$AZ$2:$BB$56,3,)))</f>
        <v>0</v>
      </c>
      <c r="AU995" s="10" t="b">
        <f>IF(I995="TP",VLOOKUP(AF995,TPCalibEqFull!$AZ$2:$BB$56,3),IF(I995="TDP",VLOOKUP(AF995,TPCalibEqFull!$AZ$2:$BB$56,3),IF(I995="TDN",VLOOKUP(AF995,TNCalibEqFull!$AZ$1:$BB$56,3),IF(I995="TN",VLOOKUP(AF995,TNCalibEqFull!$AZ$1:$BB$56,3),FALSE))))</f>
        <v>0</v>
      </c>
      <c r="AV995" s="10" t="str">
        <f t="shared" si="113"/>
        <v>0117 11:44:00-EFB-0-FIL-1-SW-UKN</v>
      </c>
    </row>
    <row r="996" spans="1:48" s="10" customFormat="1" x14ac:dyDescent="0.55000000000000004">
      <c r="A996" s="32">
        <v>44943</v>
      </c>
      <c r="B996" s="33">
        <v>0.49791666666666662</v>
      </c>
      <c r="C996" s="10" t="s">
        <v>326</v>
      </c>
      <c r="D996" s="10">
        <v>0</v>
      </c>
      <c r="E996" s="10" t="s">
        <v>911</v>
      </c>
      <c r="F996" s="10">
        <v>1</v>
      </c>
      <c r="G996" s="10" t="s">
        <v>231</v>
      </c>
      <c r="H996" s="10" t="s">
        <v>322</v>
      </c>
      <c r="I996" s="10" t="s">
        <v>285</v>
      </c>
      <c r="J996" s="10">
        <v>54</v>
      </c>
      <c r="K996" s="12">
        <v>44950</v>
      </c>
      <c r="L996" s="33">
        <v>0.52247685185185189</v>
      </c>
      <c r="M996" s="10">
        <v>1</v>
      </c>
      <c r="N996" s="10" t="s">
        <v>211</v>
      </c>
      <c r="O996" s="10">
        <v>0.23799999999999999</v>
      </c>
      <c r="P996" s="10">
        <v>2.6499999999999999E-2</v>
      </c>
      <c r="Q996" s="10">
        <v>49.5</v>
      </c>
      <c r="R996" s="10" t="s">
        <v>913</v>
      </c>
      <c r="S996" s="34">
        <f t="shared" si="109"/>
        <v>49.5</v>
      </c>
      <c r="T996" s="10" t="s">
        <v>1052</v>
      </c>
      <c r="U996" s="34" t="str">
        <f t="shared" si="110"/>
        <v/>
      </c>
      <c r="V996" s="31" t="str">
        <f>IF(H996="CHK",VLOOKUP(I996,QCCHK,3,),IF(H996="GUP",VLOOKUP(E996,QCGUP,2,),IF(AND(H996="ATP",OR(I996="TN",I996="TDN",I996="TNO2-3",I996="NO2-3")),VLOOKUP(E996,QCREC_N,2,),IF(AND(H996="NIC",OR(I996="TN",I996="TDN",I996="TNO2-3",I996="NO2-3")),VLOOKUP(E996,QCNIC_N,2,),IF(AND(H996="UREA",OR(I996="TN",I996="TDN",I996="TNO2-3",I996="NO2-3")),VLOOKUP(E996,QCUREA_N,2,),IF(H996="PER",VLOOKUP(I996,QCPER,MATCH(E996,QCACTUAL!$J$25:$AA$25,0),),IF(H996="SPK",VLOOKUP(I996,QCSPK,3,),IF(AND(H996="ATP",OR(I996="TP",I996="TDP")),VLOOKUP(E996,QCATP_P,2,),""))))))))</f>
        <v/>
      </c>
      <c r="W996" s="31" t="str">
        <f t="shared" si="111"/>
        <v>TRUE</v>
      </c>
      <c r="X996" s="31" t="str">
        <f t="shared" si="112"/>
        <v/>
      </c>
      <c r="Y996" s="10" t="s">
        <v>1040</v>
      </c>
      <c r="Z996" s="10" t="s">
        <v>910</v>
      </c>
      <c r="AL996" s="10" t="str">
        <f t="shared" si="107"/>
        <v>FALSE</v>
      </c>
      <c r="AM996" s="10" t="str">
        <f t="shared" si="107"/>
        <v>FALSE</v>
      </c>
      <c r="AN996" s="10" t="str">
        <f t="shared" si="107"/>
        <v>FALSE</v>
      </c>
      <c r="AO996" s="10" t="str">
        <f t="shared" si="108"/>
        <v>FALSE</v>
      </c>
      <c r="AP996" s="10" t="str">
        <f t="shared" si="108"/>
        <v>FALSE</v>
      </c>
      <c r="AQ996" s="10" t="b">
        <f>IF(AND(I996="TP",S996&lt;=150),VLOOKUP(AF996,TPCalibEq150!$AZ$2:$BB$55,3,),IF(AND(I996="TDP",S996&lt;=150),VLOOKUP(AF996,TPCalibEq150!$AZ$2:$BB$55,3,)))</f>
        <v>0</v>
      </c>
      <c r="AR996" s="10" t="b">
        <f>IF(AND(I996="TP",S996&lt;=300),VLOOKUP(AF996,TPCalibEq300!$AZ$2:$BB$55,3,),IF(AND(I996="TDP",S996&lt;=300),VLOOKUP(AF996,TPCalibEq300!$AZ$2:$BB$55,3,)))</f>
        <v>0</v>
      </c>
      <c r="AS996" s="10" t="b">
        <f>IF(AND(I996="TP",S996&lt;=500),VLOOKUP(AF996,TPCalibEq500!$AZ$2:$BB$56,3,),IF(AND(I996="TDP",S996&lt;=500),VLOOKUP(AF996,TPCalibEq500!$AZ$2:$BB$56,3,)))</f>
        <v>0</v>
      </c>
      <c r="AT996" s="10" t="b">
        <f>IF(AND(I996="TN",S996&lt;=2800),VLOOKUP(AF996,TNCalibEq2500!$AZ$2:$BB$56,3,),IF(AND(I996="TDN",S996&lt;=2800),VLOOKUP(AF996,TNCalibEq2500!$AZ$2:$BB$56,3,)))</f>
        <v>0</v>
      </c>
      <c r="AU996" s="10" t="b">
        <f>IF(I996="TP",VLOOKUP(AF996,TPCalibEqFull!$AZ$2:$BB$56,3),IF(I996="TDP",VLOOKUP(AF996,TPCalibEqFull!$AZ$2:$BB$56,3),IF(I996="TDN",VLOOKUP(AF996,TNCalibEqFull!$AZ$1:$BB$56,3),IF(I996="TN",VLOOKUP(AF996,TNCalibEqFull!$AZ$1:$BB$56,3),FALSE))))</f>
        <v>0</v>
      </c>
      <c r="AV996" s="10" t="str">
        <f t="shared" si="113"/>
        <v>0117 11:57:00-GRR-0-FIL-1-SW-UKN</v>
      </c>
    </row>
    <row r="997" spans="1:48" s="10" customFormat="1" x14ac:dyDescent="0.55000000000000004">
      <c r="A997" s="32">
        <v>44943</v>
      </c>
      <c r="B997" s="33">
        <v>0.50763888888888886</v>
      </c>
      <c r="C997" s="10" t="s">
        <v>416</v>
      </c>
      <c r="D997" s="10">
        <v>0</v>
      </c>
      <c r="E997" s="10" t="s">
        <v>911</v>
      </c>
      <c r="F997" s="10">
        <v>1</v>
      </c>
      <c r="G997" s="10" t="s">
        <v>231</v>
      </c>
      <c r="H997" s="10" t="s">
        <v>322</v>
      </c>
      <c r="I997" s="10" t="s">
        <v>285</v>
      </c>
      <c r="J997" s="10">
        <v>55</v>
      </c>
      <c r="K997" s="12">
        <v>44950</v>
      </c>
      <c r="L997" s="33">
        <v>0.52328703703703705</v>
      </c>
      <c r="M997" s="10">
        <v>1</v>
      </c>
      <c r="N997" s="10" t="s">
        <v>211</v>
      </c>
      <c r="O997" s="10">
        <v>1.28</v>
      </c>
      <c r="P997" s="10">
        <v>0.15</v>
      </c>
      <c r="Q997" s="10">
        <v>267</v>
      </c>
      <c r="R997" s="10" t="s">
        <v>913</v>
      </c>
      <c r="S997" s="34">
        <f t="shared" si="109"/>
        <v>267</v>
      </c>
      <c r="T997" s="10" t="s">
        <v>1052</v>
      </c>
      <c r="U997" s="34" t="str">
        <f t="shared" si="110"/>
        <v/>
      </c>
      <c r="V997" s="31" t="str">
        <f>IF(H997="CHK",VLOOKUP(I997,QCCHK,3,),IF(H997="GUP",VLOOKUP(E997,QCGUP,2,),IF(AND(H997="ATP",OR(I997="TN",I997="TDN",I997="TNO2-3",I997="NO2-3")),VLOOKUP(E997,QCREC_N,2,),IF(AND(H997="NIC",OR(I997="TN",I997="TDN",I997="TNO2-3",I997="NO2-3")),VLOOKUP(E997,QCNIC_N,2,),IF(AND(H997="UREA",OR(I997="TN",I997="TDN",I997="TNO2-3",I997="NO2-3")),VLOOKUP(E997,QCUREA_N,2,),IF(H997="PER",VLOOKUP(I997,QCPER,MATCH(E997,QCACTUAL!$J$25:$AA$25,0),),IF(H997="SPK",VLOOKUP(I997,QCSPK,3,),IF(AND(H997="ATP",OR(I997="TP",I997="TDP")),VLOOKUP(E997,QCATP_P,2,),""))))))))</f>
        <v/>
      </c>
      <c r="W997" s="31" t="str">
        <f t="shared" si="111"/>
        <v>TRUE</v>
      </c>
      <c r="X997" s="31" t="str">
        <f t="shared" si="112"/>
        <v/>
      </c>
      <c r="Y997" s="10" t="s">
        <v>1040</v>
      </c>
      <c r="Z997" s="10" t="s">
        <v>910</v>
      </c>
      <c r="AL997" s="10" t="str">
        <f t="shared" si="107"/>
        <v>FALSE</v>
      </c>
      <c r="AM997" s="10" t="str">
        <f t="shared" si="107"/>
        <v>FALSE</v>
      </c>
      <c r="AN997" s="10" t="str">
        <f t="shared" si="107"/>
        <v>FALSE</v>
      </c>
      <c r="AO997" s="10" t="str">
        <f t="shared" si="108"/>
        <v>FALSE</v>
      </c>
      <c r="AP997" s="10" t="str">
        <f t="shared" si="108"/>
        <v>FALSE</v>
      </c>
      <c r="AQ997" s="10" t="b">
        <f>IF(AND(I997="TP",S997&lt;=150),VLOOKUP(AF997,TPCalibEq150!$AZ$2:$BB$55,3,),IF(AND(I997="TDP",S997&lt;=150),VLOOKUP(AF997,TPCalibEq150!$AZ$2:$BB$55,3,)))</f>
        <v>0</v>
      </c>
      <c r="AR997" s="10" t="b">
        <f>IF(AND(I997="TP",S997&lt;=300),VLOOKUP(AF997,TPCalibEq300!$AZ$2:$BB$55,3,),IF(AND(I997="TDP",S997&lt;=300),VLOOKUP(AF997,TPCalibEq300!$AZ$2:$BB$55,3,)))</f>
        <v>0</v>
      </c>
      <c r="AS997" s="10" t="b">
        <f>IF(AND(I997="TP",S997&lt;=500),VLOOKUP(AF997,TPCalibEq500!$AZ$2:$BB$56,3,),IF(AND(I997="TDP",S997&lt;=500),VLOOKUP(AF997,TPCalibEq500!$AZ$2:$BB$56,3,)))</f>
        <v>0</v>
      </c>
      <c r="AT997" s="10" t="b">
        <f>IF(AND(I997="TN",S997&lt;=2800),VLOOKUP(AF997,TNCalibEq2500!$AZ$2:$BB$56,3,),IF(AND(I997="TDN",S997&lt;=2800),VLOOKUP(AF997,TNCalibEq2500!$AZ$2:$BB$56,3,)))</f>
        <v>0</v>
      </c>
      <c r="AU997" s="10" t="b">
        <f>IF(I997="TP",VLOOKUP(AF997,TPCalibEqFull!$AZ$2:$BB$56,3),IF(I997="TDP",VLOOKUP(AF997,TPCalibEqFull!$AZ$2:$BB$56,3),IF(I997="TDN",VLOOKUP(AF997,TNCalibEqFull!$AZ$1:$BB$56,3),IF(I997="TN",VLOOKUP(AF997,TNCalibEqFull!$AZ$1:$BB$56,3),FALSE))))</f>
        <v>0</v>
      </c>
      <c r="AV997" s="10" t="str">
        <f t="shared" si="113"/>
        <v>0117 12:11:00-CWL-0-FIL-1-SW-UKN</v>
      </c>
    </row>
    <row r="998" spans="1:48" s="10" customFormat="1" x14ac:dyDescent="0.55000000000000004">
      <c r="A998" s="32">
        <v>44943</v>
      </c>
      <c r="B998" s="33">
        <v>0.51874999999999993</v>
      </c>
      <c r="C998" s="10" t="s">
        <v>445</v>
      </c>
      <c r="D998" s="10">
        <v>0</v>
      </c>
      <c r="E998" s="10" t="s">
        <v>911</v>
      </c>
      <c r="F998" s="10">
        <v>1</v>
      </c>
      <c r="G998" s="10" t="s">
        <v>231</v>
      </c>
      <c r="H998" s="10" t="s">
        <v>322</v>
      </c>
      <c r="I998" s="10" t="s">
        <v>285</v>
      </c>
      <c r="J998" s="10">
        <v>56</v>
      </c>
      <c r="K998" s="12">
        <v>44950</v>
      </c>
      <c r="L998" s="33">
        <v>0.52409722222222221</v>
      </c>
      <c r="M998" s="10">
        <v>1</v>
      </c>
      <c r="N998" s="10" t="s">
        <v>211</v>
      </c>
      <c r="O998" s="10">
        <v>0.78400000000000003</v>
      </c>
      <c r="P998" s="10">
        <v>9.0300000000000005E-2</v>
      </c>
      <c r="Q998" s="10">
        <v>163</v>
      </c>
      <c r="R998" s="10" t="s">
        <v>913</v>
      </c>
      <c r="S998" s="34">
        <f t="shared" si="109"/>
        <v>163</v>
      </c>
      <c r="T998" s="10" t="s">
        <v>1052</v>
      </c>
      <c r="U998" s="34" t="str">
        <f t="shared" si="110"/>
        <v/>
      </c>
      <c r="V998" s="31" t="str">
        <f>IF(H998="CHK",VLOOKUP(I998,QCCHK,3,),IF(H998="GUP",VLOOKUP(E998,QCGUP,2,),IF(AND(H998="ATP",OR(I998="TN",I998="TDN",I998="TNO2-3",I998="NO2-3")),VLOOKUP(E998,QCREC_N,2,),IF(AND(H998="NIC",OR(I998="TN",I998="TDN",I998="TNO2-3",I998="NO2-3")),VLOOKUP(E998,QCNIC_N,2,),IF(AND(H998="UREA",OR(I998="TN",I998="TDN",I998="TNO2-3",I998="NO2-3")),VLOOKUP(E998,QCUREA_N,2,),IF(H998="PER",VLOOKUP(I998,QCPER,MATCH(E998,QCACTUAL!$J$25:$AA$25,0),),IF(H998="SPK",VLOOKUP(I998,QCSPK,3,),IF(AND(H998="ATP",OR(I998="TP",I998="TDP")),VLOOKUP(E998,QCATP_P,2,),""))))))))</f>
        <v/>
      </c>
      <c r="W998" s="31" t="str">
        <f t="shared" si="111"/>
        <v>TRUE</v>
      </c>
      <c r="X998" s="31" t="str">
        <f t="shared" si="112"/>
        <v/>
      </c>
      <c r="Y998" s="10" t="s">
        <v>1040</v>
      </c>
      <c r="Z998" s="10" t="s">
        <v>910</v>
      </c>
      <c r="AL998" s="10" t="str">
        <f t="shared" si="107"/>
        <v>FALSE</v>
      </c>
      <c r="AM998" s="10" t="str">
        <f t="shared" si="107"/>
        <v>FALSE</v>
      </c>
      <c r="AN998" s="10" t="str">
        <f t="shared" si="107"/>
        <v>FALSE</v>
      </c>
      <c r="AO998" s="10" t="str">
        <f t="shared" si="108"/>
        <v>FALSE</v>
      </c>
      <c r="AP998" s="10" t="str">
        <f t="shared" si="108"/>
        <v>FALSE</v>
      </c>
      <c r="AQ998" s="10" t="b">
        <f>IF(AND(I998="TP",S998&lt;=150),VLOOKUP(AF998,TPCalibEq150!$AZ$2:$BB$55,3,),IF(AND(I998="TDP",S998&lt;=150),VLOOKUP(AF998,TPCalibEq150!$AZ$2:$BB$55,3,)))</f>
        <v>0</v>
      </c>
      <c r="AR998" s="10" t="b">
        <f>IF(AND(I998="TP",S998&lt;=300),VLOOKUP(AF998,TPCalibEq300!$AZ$2:$BB$55,3,),IF(AND(I998="TDP",S998&lt;=300),VLOOKUP(AF998,TPCalibEq300!$AZ$2:$BB$55,3,)))</f>
        <v>0</v>
      </c>
      <c r="AS998" s="10" t="b">
        <f>IF(AND(I998="TP",S998&lt;=500),VLOOKUP(AF998,TPCalibEq500!$AZ$2:$BB$56,3,),IF(AND(I998="TDP",S998&lt;=500),VLOOKUP(AF998,TPCalibEq500!$AZ$2:$BB$56,3,)))</f>
        <v>0</v>
      </c>
      <c r="AT998" s="10" t="b">
        <f>IF(AND(I998="TN",S998&lt;=2800),VLOOKUP(AF998,TNCalibEq2500!$AZ$2:$BB$56,3,),IF(AND(I998="TDN",S998&lt;=2800),VLOOKUP(AF998,TNCalibEq2500!$AZ$2:$BB$56,3,)))</f>
        <v>0</v>
      </c>
      <c r="AU998" s="10" t="b">
        <f>IF(I998="TP",VLOOKUP(AF998,TPCalibEqFull!$AZ$2:$BB$56,3),IF(I998="TDP",VLOOKUP(AF998,TPCalibEqFull!$AZ$2:$BB$56,3),IF(I998="TDN",VLOOKUP(AF998,TNCalibEqFull!$AZ$1:$BB$56,3),IF(I998="TN",VLOOKUP(AF998,TNCalibEqFull!$AZ$1:$BB$56,3),FALSE))))</f>
        <v>0</v>
      </c>
      <c r="AV998" s="10" t="str">
        <f t="shared" si="113"/>
        <v>0117 12:27:00-NWT-0-FIL-1-SW-UKN</v>
      </c>
    </row>
    <row r="999" spans="1:48" s="10" customFormat="1" x14ac:dyDescent="0.55000000000000004">
      <c r="A999" s="32">
        <v>44943</v>
      </c>
      <c r="B999" s="33">
        <v>0.51874999999999993</v>
      </c>
      <c r="C999" s="10" t="s">
        <v>445</v>
      </c>
      <c r="D999" s="10">
        <v>0</v>
      </c>
      <c r="E999" s="10" t="s">
        <v>911</v>
      </c>
      <c r="F999" s="10">
        <v>1</v>
      </c>
      <c r="G999" s="10" t="s">
        <v>231</v>
      </c>
      <c r="H999" s="10" t="s">
        <v>233</v>
      </c>
      <c r="I999" s="10" t="s">
        <v>285</v>
      </c>
      <c r="J999" s="10">
        <v>56</v>
      </c>
      <c r="K999" s="12">
        <v>44950</v>
      </c>
      <c r="L999" s="33">
        <v>0.52490740740740738</v>
      </c>
      <c r="M999" s="10">
        <v>1</v>
      </c>
      <c r="N999" s="10" t="s">
        <v>211</v>
      </c>
      <c r="O999" s="10">
        <v>0.77100000000000002</v>
      </c>
      <c r="P999" s="10">
        <v>8.8999999999999996E-2</v>
      </c>
      <c r="Q999" s="10">
        <v>160</v>
      </c>
      <c r="R999" s="10" t="s">
        <v>913</v>
      </c>
      <c r="S999" s="34">
        <f t="shared" si="109"/>
        <v>160</v>
      </c>
      <c r="T999" s="10" t="s">
        <v>1052</v>
      </c>
      <c r="U999" s="34">
        <f t="shared" si="110"/>
        <v>1.8575851393188854</v>
      </c>
      <c r="V999" s="31" t="str">
        <f>IF(H999="CHK",VLOOKUP(I999,QCCHK,3,),IF(H999="GUP",VLOOKUP(E999,QCGUP,2,),IF(AND(H999="ATP",OR(I999="TN",I999="TDN",I999="TNO2-3",I999="NO2-3")),VLOOKUP(E999,QCREC_N,2,),IF(AND(H999="NIC",OR(I999="TN",I999="TDN",I999="TNO2-3",I999="NO2-3")),VLOOKUP(E999,QCNIC_N,2,),IF(AND(H999="UREA",OR(I999="TN",I999="TDN",I999="TNO2-3",I999="NO2-3")),VLOOKUP(E999,QCUREA_N,2,),IF(H999="PER",VLOOKUP(I999,QCPER,MATCH(E999,QCACTUAL!$J$25:$AA$25,0),),IF(H999="SPK",VLOOKUP(I999,QCSPK,3,),IF(AND(H999="ATP",OR(I999="TP",I999="TDP")),VLOOKUP(E999,QCATP_P,2,),""))))))))</f>
        <v/>
      </c>
      <c r="W999" s="31" t="str">
        <f t="shared" si="111"/>
        <v>TRUE</v>
      </c>
      <c r="X999" s="31" t="str">
        <f t="shared" si="112"/>
        <v>((ABS(rep1-rep2))/((rep1+rep2)/2)*100</v>
      </c>
      <c r="Y999" s="10" t="s">
        <v>1040</v>
      </c>
      <c r="Z999" s="10" t="s">
        <v>910</v>
      </c>
      <c r="AL999" s="10" t="str">
        <f t="shared" si="107"/>
        <v>FALSE</v>
      </c>
      <c r="AM999" s="10" t="str">
        <f t="shared" si="107"/>
        <v>FALSE</v>
      </c>
      <c r="AN999" s="10" t="str">
        <f t="shared" si="107"/>
        <v>FALSE</v>
      </c>
      <c r="AO999" s="10" t="str">
        <f t="shared" si="108"/>
        <v>FALSE</v>
      </c>
      <c r="AP999" s="10" t="str">
        <f t="shared" si="108"/>
        <v>FALSE</v>
      </c>
      <c r="AQ999" s="10" t="b">
        <f>IF(AND(I999="TP",S999&lt;=150),VLOOKUP(AF999,TPCalibEq150!$AZ$2:$BB$55,3,),IF(AND(I999="TDP",S999&lt;=150),VLOOKUP(AF999,TPCalibEq150!$AZ$2:$BB$55,3,)))</f>
        <v>0</v>
      </c>
      <c r="AR999" s="10" t="b">
        <f>IF(AND(I999="TP",S999&lt;=300),VLOOKUP(AF999,TPCalibEq300!$AZ$2:$BB$55,3,),IF(AND(I999="TDP",S999&lt;=300),VLOOKUP(AF999,TPCalibEq300!$AZ$2:$BB$55,3,)))</f>
        <v>0</v>
      </c>
      <c r="AS999" s="10" t="b">
        <f>IF(AND(I999="TP",S999&lt;=500),VLOOKUP(AF999,TPCalibEq500!$AZ$2:$BB$56,3,),IF(AND(I999="TDP",S999&lt;=500),VLOOKUP(AF999,TPCalibEq500!$AZ$2:$BB$56,3,)))</f>
        <v>0</v>
      </c>
      <c r="AT999" s="10" t="b">
        <f>IF(AND(I999="TN",S999&lt;=2800),VLOOKUP(AF999,TNCalibEq2500!$AZ$2:$BB$56,3,),IF(AND(I999="TDN",S999&lt;=2800),VLOOKUP(AF999,TNCalibEq2500!$AZ$2:$BB$56,3,)))</f>
        <v>0</v>
      </c>
      <c r="AU999" s="10" t="b">
        <f>IF(I999="TP",VLOOKUP(AF999,TPCalibEqFull!$AZ$2:$BB$56,3),IF(I999="TDP",VLOOKUP(AF999,TPCalibEqFull!$AZ$2:$BB$56,3),IF(I999="TDN",VLOOKUP(AF999,TNCalibEqFull!$AZ$1:$BB$56,3),IF(I999="TN",VLOOKUP(AF999,TNCalibEqFull!$AZ$1:$BB$56,3),FALSE))))</f>
        <v>0</v>
      </c>
      <c r="AV999" s="10" t="str">
        <f t="shared" si="113"/>
        <v>0117 12:27:00-NWT-0-FIL-1-SW-DUP</v>
      </c>
    </row>
    <row r="1000" spans="1:48" s="10" customFormat="1" x14ac:dyDescent="0.55000000000000004">
      <c r="A1000" s="32">
        <v>44943</v>
      </c>
      <c r="B1000" s="33">
        <v>0.51874999999999993</v>
      </c>
      <c r="C1000" s="10" t="s">
        <v>445</v>
      </c>
      <c r="D1000" s="10">
        <v>0</v>
      </c>
      <c r="E1000" s="10" t="s">
        <v>911</v>
      </c>
      <c r="F1000" s="10">
        <v>1</v>
      </c>
      <c r="G1000" s="10" t="s">
        <v>231</v>
      </c>
      <c r="H1000" s="10" t="s">
        <v>314</v>
      </c>
      <c r="I1000" s="10" t="s">
        <v>285</v>
      </c>
      <c r="J1000" s="10">
        <v>62</v>
      </c>
      <c r="K1000" s="12">
        <v>44950</v>
      </c>
      <c r="L1000" s="33">
        <v>0.52574074074074073</v>
      </c>
      <c r="M1000" s="10">
        <v>1</v>
      </c>
      <c r="N1000" s="10" t="s">
        <v>211</v>
      </c>
      <c r="O1000" s="10">
        <v>1.61</v>
      </c>
      <c r="P1000" s="10">
        <v>0.189</v>
      </c>
      <c r="Q1000" s="10">
        <v>334</v>
      </c>
      <c r="R1000" s="10" t="s">
        <v>913</v>
      </c>
      <c r="S1000" s="34">
        <f t="shared" si="109"/>
        <v>334</v>
      </c>
      <c r="T1000" s="10" t="s">
        <v>1052</v>
      </c>
      <c r="U1000" s="34">
        <f t="shared" si="110"/>
        <v>111.35999999999999</v>
      </c>
      <c r="V1000" s="31">
        <f>IF(H1000="CHK",VLOOKUP(I1000,QCCHK,3,),IF(H1000="GUP",VLOOKUP(E1000,QCGUP,2,),IF(AND(H1000="ATP",OR(I1000="TN",I1000="TDN",I1000="TNO2-3",I1000="NO2-3")),VLOOKUP(E1000,QCREC_N,2,),IF(AND(H1000="NIC",OR(I1000="TN",I1000="TDN",I1000="TNO2-3",I1000="NO2-3")),VLOOKUP(E1000,QCNIC_N,2,),IF(AND(H1000="UREA",OR(I1000="TN",I1000="TDN",I1000="TNO2-3",I1000="NO2-3")),VLOOKUP(E1000,QCUREA_N,2,),IF(H1000="PER",VLOOKUP(I1000,QCPER,MATCH(E1000,QCACTUAL!$J$25:$AA$25,0),),IF(H1000="SPK",VLOOKUP(I1000,QCSPK,3,),IF(AND(H1000="ATP",OR(I1000="TP",I1000="TDP")),VLOOKUP(E1000,QCATP_P,2,),""))))))))</f>
        <v>156.25</v>
      </c>
      <c r="W1000" s="31" t="str">
        <f t="shared" si="111"/>
        <v>TRUE</v>
      </c>
      <c r="X1000" s="31" t="str">
        <f t="shared" si="112"/>
        <v>([spikedunkn]-[unkn])/[spike]*100</v>
      </c>
      <c r="Y1000" s="10" t="s">
        <v>1040</v>
      </c>
      <c r="Z1000" s="10" t="s">
        <v>910</v>
      </c>
      <c r="AL1000" s="10" t="str">
        <f t="shared" si="107"/>
        <v>FALSE</v>
      </c>
      <c r="AM1000" s="10" t="str">
        <f t="shared" si="107"/>
        <v>FALSE</v>
      </c>
      <c r="AN1000" s="10" t="str">
        <f t="shared" si="107"/>
        <v>FALSE</v>
      </c>
      <c r="AO1000" s="10" t="str">
        <f t="shared" si="108"/>
        <v>FALSE</v>
      </c>
      <c r="AP1000" s="10" t="str">
        <f t="shared" si="108"/>
        <v>FALSE</v>
      </c>
      <c r="AQ1000" s="10" t="b">
        <f>IF(AND(I1000="TP",S1000&lt;=150),VLOOKUP(AF1000,TPCalibEq150!$AZ$2:$BB$55,3,),IF(AND(I1000="TDP",S1000&lt;=150),VLOOKUP(AF1000,TPCalibEq150!$AZ$2:$BB$55,3,)))</f>
        <v>0</v>
      </c>
      <c r="AR1000" s="10" t="b">
        <f>IF(AND(I1000="TP",S1000&lt;=300),VLOOKUP(AF1000,TPCalibEq300!$AZ$2:$BB$55,3,),IF(AND(I1000="TDP",S1000&lt;=300),VLOOKUP(AF1000,TPCalibEq300!$AZ$2:$BB$55,3,)))</f>
        <v>0</v>
      </c>
      <c r="AS1000" s="10" t="b">
        <f>IF(AND(I1000="TP",S1000&lt;=500),VLOOKUP(AF1000,TPCalibEq500!$AZ$2:$BB$56,3,),IF(AND(I1000="TDP",S1000&lt;=500),VLOOKUP(AF1000,TPCalibEq500!$AZ$2:$BB$56,3,)))</f>
        <v>0</v>
      </c>
      <c r="AT1000" s="10" t="b">
        <f>IF(AND(I1000="TN",S1000&lt;=2800),VLOOKUP(AF1000,TNCalibEq2500!$AZ$2:$BB$56,3,),IF(AND(I1000="TDN",S1000&lt;=2800),VLOOKUP(AF1000,TNCalibEq2500!$AZ$2:$BB$56,3,)))</f>
        <v>0</v>
      </c>
      <c r="AU1000" s="10" t="b">
        <f>IF(I1000="TP",VLOOKUP(AF1000,TPCalibEqFull!$AZ$2:$BB$56,3),IF(I1000="TDP",VLOOKUP(AF1000,TPCalibEqFull!$AZ$2:$BB$56,3),IF(I1000="TDN",VLOOKUP(AF1000,TNCalibEqFull!$AZ$1:$BB$56,3),IF(I1000="TN",VLOOKUP(AF1000,TNCalibEqFull!$AZ$1:$BB$56,3),FALSE))))</f>
        <v>0</v>
      </c>
      <c r="AV1000" s="10" t="str">
        <f t="shared" si="113"/>
        <v>0117 12:27:00-NWT-0-FIL-1-SW-SPK</v>
      </c>
    </row>
    <row r="1001" spans="1:48" s="10" customFormat="1" x14ac:dyDescent="0.55000000000000004">
      <c r="A1001" s="32">
        <v>44950</v>
      </c>
      <c r="B1001" s="33">
        <v>0.375</v>
      </c>
      <c r="C1001" s="10" t="s">
        <v>70</v>
      </c>
      <c r="D1001" s="10" t="s">
        <v>71</v>
      </c>
      <c r="E1001" s="10" t="s">
        <v>901</v>
      </c>
      <c r="F1001" s="10">
        <v>1</v>
      </c>
      <c r="G1001" s="10" t="s">
        <v>73</v>
      </c>
      <c r="H1001" s="10" t="s">
        <v>207</v>
      </c>
      <c r="I1001" s="10" t="s">
        <v>285</v>
      </c>
      <c r="J1001" s="10">
        <v>201</v>
      </c>
      <c r="K1001" s="12">
        <v>44950</v>
      </c>
      <c r="L1001" s="33">
        <v>0.52656249999999993</v>
      </c>
      <c r="M1001" s="10">
        <v>1</v>
      </c>
      <c r="N1001" s="10" t="s">
        <v>211</v>
      </c>
      <c r="O1001" s="10">
        <v>0.374</v>
      </c>
      <c r="P1001" s="10">
        <v>4.2599999999999999E-2</v>
      </c>
      <c r="Q1001" s="10">
        <v>77.7</v>
      </c>
      <c r="R1001" s="10" t="s">
        <v>913</v>
      </c>
      <c r="S1001" s="34">
        <f t="shared" si="109"/>
        <v>77.7</v>
      </c>
      <c r="T1001" s="10" t="s">
        <v>1052</v>
      </c>
      <c r="U1001" s="34">
        <f t="shared" si="110"/>
        <v>103.60000000000001</v>
      </c>
      <c r="V1001" s="31">
        <f>IF(H1001="CHK",VLOOKUP(I1001,QCCHK,3,),IF(H1001="GUP",VLOOKUP(E1001,QCGUP,2,),IF(AND(H1001="ATP",OR(I1001="TN",I1001="TDN",I1001="TNO2-3",I1001="NO2-3")),VLOOKUP(E1001,QCREC_N,2,),IF(AND(H1001="NIC",OR(I1001="TN",I1001="TDN",I1001="TNO2-3",I1001="NO2-3")),VLOOKUP(E1001,QCNIC_N,2,),IF(AND(H1001="UREA",OR(I1001="TN",I1001="TDN",I1001="TNO2-3",I1001="NO2-3")),VLOOKUP(E1001,QCUREA_N,2,),IF(H1001="PER",VLOOKUP(I1001,QCPER,MATCH(E1001,QCACTUAL!$J$25:$AA$25,0),),IF(H1001="SPK",VLOOKUP(I1001,QCSPK,3,),IF(AND(H1001="ATP",OR(I1001="TP",I1001="TDP")),VLOOKUP(E1001,QCATP_P,2,),""))))))))</f>
        <v>75</v>
      </c>
      <c r="W1001" s="31" t="str">
        <f t="shared" si="111"/>
        <v>TRUE</v>
      </c>
      <c r="X1001" s="31" t="str">
        <f t="shared" si="112"/>
        <v>[chk]/[actual]*100</v>
      </c>
      <c r="Y1001" s="10" t="s">
        <v>1040</v>
      </c>
      <c r="AL1001" s="10" t="str">
        <f t="shared" si="107"/>
        <v>FALSE</v>
      </c>
      <c r="AM1001" s="10" t="str">
        <f t="shared" si="107"/>
        <v>FALSE</v>
      </c>
      <c r="AN1001" s="10" t="str">
        <f t="shared" si="107"/>
        <v>FALSE</v>
      </c>
      <c r="AO1001" s="10" t="str">
        <f t="shared" si="108"/>
        <v>FALSE</v>
      </c>
      <c r="AP1001" s="10" t="str">
        <f t="shared" si="108"/>
        <v>FALSE</v>
      </c>
      <c r="AQ1001" s="10" t="b">
        <f>IF(AND(I1001="TP",S1001&lt;=150),VLOOKUP(AF1001,TPCalibEq150!$AZ$2:$BB$55,3,),IF(AND(I1001="TDP",S1001&lt;=150),VLOOKUP(AF1001,TPCalibEq150!$AZ$2:$BB$55,3,)))</f>
        <v>0</v>
      </c>
      <c r="AR1001" s="10" t="b">
        <f>IF(AND(I1001="TP",S1001&lt;=300),VLOOKUP(AF1001,TPCalibEq300!$AZ$2:$BB$55,3,),IF(AND(I1001="TDP",S1001&lt;=300),VLOOKUP(AF1001,TPCalibEq300!$AZ$2:$BB$55,3,)))</f>
        <v>0</v>
      </c>
      <c r="AS1001" s="10" t="b">
        <f>IF(AND(I1001="TP",S1001&lt;=500),VLOOKUP(AF1001,TPCalibEq500!$AZ$2:$BB$56,3,),IF(AND(I1001="TDP",S1001&lt;=500),VLOOKUP(AF1001,TPCalibEq500!$AZ$2:$BB$56,3,)))</f>
        <v>0</v>
      </c>
      <c r="AT1001" s="10" t="b">
        <f>IF(AND(I1001="TN",S1001&lt;=2800),VLOOKUP(AF1001,TNCalibEq2500!$AZ$2:$BB$56,3,),IF(AND(I1001="TDN",S1001&lt;=2800),VLOOKUP(AF1001,TNCalibEq2500!$AZ$2:$BB$56,3,)))</f>
        <v>0</v>
      </c>
      <c r="AU1001" s="10" t="b">
        <f>IF(I1001="TP",VLOOKUP(AF1001,TPCalibEqFull!$AZ$2:$BB$56,3),IF(I1001="TDP",VLOOKUP(AF1001,TPCalibEqFull!$AZ$2:$BB$56,3),IF(I1001="TDN",VLOOKUP(AF1001,TNCalibEqFull!$AZ$1:$BB$56,3),IF(I1001="TN",VLOOKUP(AF1001,TNCalibEqFull!$AZ$1:$BB$56,3),FALSE))))</f>
        <v>0</v>
      </c>
      <c r="AV1001" s="10" t="str">
        <f t="shared" si="113"/>
        <v>0124 09:00:00-QAC-STD-D-1-DI-CHK</v>
      </c>
    </row>
    <row r="1002" spans="1:48" s="10" customFormat="1" x14ac:dyDescent="0.55000000000000004">
      <c r="A1002" s="32">
        <v>44950</v>
      </c>
      <c r="B1002" s="33">
        <v>0.375</v>
      </c>
      <c r="C1002" s="10" t="s">
        <v>70</v>
      </c>
      <c r="D1002" s="10" t="s">
        <v>71</v>
      </c>
      <c r="E1002" s="10" t="s">
        <v>72</v>
      </c>
      <c r="F1002" s="10">
        <v>1</v>
      </c>
      <c r="G1002" s="10" t="s">
        <v>73</v>
      </c>
      <c r="H1002" s="10" t="s">
        <v>74</v>
      </c>
      <c r="I1002" s="10" t="s">
        <v>256</v>
      </c>
      <c r="J1002" s="10">
        <v>181</v>
      </c>
      <c r="K1002" s="12">
        <v>44950</v>
      </c>
      <c r="L1002" s="33">
        <v>0.45131944444444444</v>
      </c>
      <c r="M1002" s="10">
        <v>1</v>
      </c>
      <c r="N1002" s="10" t="s">
        <v>169</v>
      </c>
      <c r="O1002" s="10">
        <v>2.9399999999999999E-2</v>
      </c>
      <c r="P1002" s="10">
        <v>1.6900000000000001E-3</v>
      </c>
      <c r="Q1002" s="10">
        <v>0</v>
      </c>
      <c r="R1002" s="10" t="s">
        <v>77</v>
      </c>
      <c r="S1002" s="34">
        <f t="shared" si="109"/>
        <v>0</v>
      </c>
      <c r="T1002" s="10" t="s">
        <v>914</v>
      </c>
      <c r="U1002" s="34" t="str">
        <f t="shared" si="110"/>
        <v/>
      </c>
      <c r="V1002" s="31" t="str">
        <f>IF(H1002="CHK",VLOOKUP(I1002,QCCHK,3,),IF(H1002="GUP",VLOOKUP(E1002,QCGUP,2,),IF(AND(H1002="ATP",OR(I1002="TN",I1002="TDN",I1002="TNO2-3",I1002="NO2-3")),VLOOKUP(E1002,QCREC_N,2,),IF(AND(H1002="NIC",OR(I1002="TN",I1002="TDN",I1002="TNO2-3",I1002="NO2-3")),VLOOKUP(E1002,QCNIC_N,2,),IF(AND(H1002="UREA",OR(I1002="TN",I1002="TDN",I1002="TNO2-3",I1002="NO2-3")),VLOOKUP(E1002,QCUREA_N,2,),IF(H1002="PER",VLOOKUP(I1002,QCPER,MATCH(E1002,QCACTUAL!$J$25:$AA$25,0),),IF(H1002="SPK",VLOOKUP(I1002,QCSPK,3,),IF(AND(H1002="ATP",OR(I1002="TP",I1002="TDP")),VLOOKUP(E1002,QCATP_P,2,),""))))))))</f>
        <v/>
      </c>
      <c r="W1002" s="31" t="str">
        <f t="shared" si="111"/>
        <v>TRUE</v>
      </c>
      <c r="X1002" s="31" t="str">
        <f t="shared" si="112"/>
        <v/>
      </c>
      <c r="Y1002" s="10" t="s">
        <v>1040</v>
      </c>
      <c r="AL1002" s="10" t="str">
        <f t="shared" si="107"/>
        <v>FALSE</v>
      </c>
      <c r="AM1002" s="10" t="str">
        <f t="shared" si="107"/>
        <v>FALSE</v>
      </c>
      <c r="AN1002" s="10" t="str">
        <f t="shared" si="107"/>
        <v>FALSE</v>
      </c>
      <c r="AO1002" s="10" t="str">
        <f t="shared" si="108"/>
        <v>FALSE</v>
      </c>
      <c r="AP1002" s="10" t="str">
        <f t="shared" si="108"/>
        <v>FALSE</v>
      </c>
      <c r="AQ1002" s="10" t="b">
        <f>IF(AND(I1002="TP",S1002&lt;=150),VLOOKUP(AF1002,TPCalibEq150!$AZ$2:$BB$55,3,),IF(AND(I1002="TDP",S1002&lt;=150),VLOOKUP(AF1002,TPCalibEq150!$AZ$2:$BB$55,3,)))</f>
        <v>0</v>
      </c>
      <c r="AR1002" s="10" t="b">
        <f>IF(AND(I1002="TP",S1002&lt;=300),VLOOKUP(AF1002,TPCalibEq300!$AZ$2:$BB$55,3,),IF(AND(I1002="TDP",S1002&lt;=300),VLOOKUP(AF1002,TPCalibEq300!$AZ$2:$BB$55,3,)))</f>
        <v>0</v>
      </c>
      <c r="AS1002" s="10" t="b">
        <f>IF(AND(I1002="TP",S1002&lt;=500),VLOOKUP(AF1002,TPCalibEq500!$AZ$2:$BB$56,3,),IF(AND(I1002="TDP",S1002&lt;=500),VLOOKUP(AF1002,TPCalibEq500!$AZ$2:$BB$56,3,)))</f>
        <v>0</v>
      </c>
      <c r="AT1002" s="10" t="b">
        <f>IF(AND(I1002="TN",S1002&lt;=2800),VLOOKUP(AF1002,TNCalibEq2500!$AZ$2:$BB$56,3,),IF(AND(I1002="TDN",S1002&lt;=2800),VLOOKUP(AF1002,TNCalibEq2500!$AZ$2:$BB$56,3,)))</f>
        <v>0</v>
      </c>
      <c r="AU1002" s="10" t="b">
        <f>IF(I1002="TP",VLOOKUP(AF1002,TPCalibEqFull!$AZ$2:$BB$56,3),IF(I1002="TDP",VLOOKUP(AF1002,TPCalibEqFull!$AZ$2:$BB$56,3),IF(I1002="TDN",VLOOKUP(AF1002,TNCalibEqFull!$AZ$1:$BB$56,3),IF(I1002="TN",VLOOKUP(AF1002,TNCalibEqFull!$AZ$1:$BB$56,3),FALSE))))</f>
        <v>0</v>
      </c>
      <c r="AV1002" s="10" t="str">
        <f t="shared" si="113"/>
        <v>0124 09:00:00-QAC-STD-H-1-DI-CAL</v>
      </c>
    </row>
    <row r="1003" spans="1:48" s="10" customFormat="1" x14ac:dyDescent="0.55000000000000004">
      <c r="A1003" s="32">
        <v>44950</v>
      </c>
      <c r="B1003" s="33">
        <v>0.375</v>
      </c>
      <c r="C1003" s="10" t="s">
        <v>70</v>
      </c>
      <c r="D1003" s="10" t="s">
        <v>71</v>
      </c>
      <c r="E1003" s="10" t="s">
        <v>908</v>
      </c>
      <c r="F1003" s="10">
        <v>1</v>
      </c>
      <c r="G1003" s="10" t="s">
        <v>73</v>
      </c>
      <c r="H1003" s="10" t="s">
        <v>74</v>
      </c>
      <c r="I1003" s="10" t="s">
        <v>256</v>
      </c>
      <c r="J1003" s="10">
        <v>182</v>
      </c>
      <c r="K1003" s="12">
        <v>44950</v>
      </c>
      <c r="L1003" s="33">
        <v>0.45216435185185189</v>
      </c>
      <c r="M1003" s="10">
        <v>1</v>
      </c>
      <c r="N1003" s="10" t="s">
        <v>169</v>
      </c>
      <c r="O1003" s="10">
        <v>0.16200000000000001</v>
      </c>
      <c r="P1003" s="10">
        <v>9.1500000000000001E-3</v>
      </c>
      <c r="Q1003" s="10">
        <v>20</v>
      </c>
      <c r="R1003" s="10" t="s">
        <v>77</v>
      </c>
      <c r="S1003" s="34">
        <f t="shared" si="109"/>
        <v>20</v>
      </c>
      <c r="T1003" s="10" t="s">
        <v>1053</v>
      </c>
      <c r="U1003" s="34" t="str">
        <f t="shared" si="110"/>
        <v/>
      </c>
      <c r="V1003" s="31" t="str">
        <f>IF(H1003="CHK",VLOOKUP(I1003,QCCHK,3,),IF(H1003="GUP",VLOOKUP(E1003,QCGUP,2,),IF(AND(H1003="ATP",OR(I1003="TN",I1003="TDN",I1003="TNO2-3",I1003="NO2-3")),VLOOKUP(E1003,QCREC_N,2,),IF(AND(H1003="NIC",OR(I1003="TN",I1003="TDN",I1003="TNO2-3",I1003="NO2-3")),VLOOKUP(E1003,QCNIC_N,2,),IF(AND(H1003="UREA",OR(I1003="TN",I1003="TDN",I1003="TNO2-3",I1003="NO2-3")),VLOOKUP(E1003,QCUREA_N,2,),IF(H1003="PER",VLOOKUP(I1003,QCPER,MATCH(E1003,QCACTUAL!$J$25:$AA$25,0),),IF(H1003="SPK",VLOOKUP(I1003,QCSPK,3,),IF(AND(H1003="ATP",OR(I1003="TP",I1003="TDP")),VLOOKUP(E1003,QCATP_P,2,),""))))))))</f>
        <v/>
      </c>
      <c r="W1003" s="31" t="str">
        <f t="shared" si="111"/>
        <v>TRUE</v>
      </c>
      <c r="X1003" s="31" t="str">
        <f t="shared" si="112"/>
        <v/>
      </c>
      <c r="Y1003" s="10" t="s">
        <v>1040</v>
      </c>
      <c r="AL1003" s="10" t="str">
        <f t="shared" si="107"/>
        <v>FALSE</v>
      </c>
      <c r="AM1003" s="10" t="str">
        <f t="shared" si="107"/>
        <v>FALSE</v>
      </c>
      <c r="AN1003" s="10" t="str">
        <f t="shared" si="107"/>
        <v>FALSE</v>
      </c>
      <c r="AO1003" s="10" t="str">
        <f t="shared" si="108"/>
        <v>FALSE</v>
      </c>
      <c r="AP1003" s="10" t="str">
        <f t="shared" si="108"/>
        <v>FALSE</v>
      </c>
      <c r="AQ1003" s="10" t="b">
        <f>IF(AND(I1003="TP",S1003&lt;=150),VLOOKUP(AF1003,TPCalibEq150!$AZ$2:$BB$55,3,),IF(AND(I1003="TDP",S1003&lt;=150),VLOOKUP(AF1003,TPCalibEq150!$AZ$2:$BB$55,3,)))</f>
        <v>0</v>
      </c>
      <c r="AR1003" s="10" t="b">
        <f>IF(AND(I1003="TP",S1003&lt;=300),VLOOKUP(AF1003,TPCalibEq300!$AZ$2:$BB$55,3,),IF(AND(I1003="TDP",S1003&lt;=300),VLOOKUP(AF1003,TPCalibEq300!$AZ$2:$BB$55,3,)))</f>
        <v>0</v>
      </c>
      <c r="AS1003" s="10" t="b">
        <f>IF(AND(I1003="TP",S1003&lt;=500),VLOOKUP(AF1003,TPCalibEq500!$AZ$2:$BB$56,3,),IF(AND(I1003="TDP",S1003&lt;=500),VLOOKUP(AF1003,TPCalibEq500!$AZ$2:$BB$56,3,)))</f>
        <v>0</v>
      </c>
      <c r="AT1003" s="10" t="b">
        <f>IF(AND(I1003="TN",S1003&lt;=2800),VLOOKUP(AF1003,TNCalibEq2500!$AZ$2:$BB$56,3,),IF(AND(I1003="TDN",S1003&lt;=2800),VLOOKUP(AF1003,TNCalibEq2500!$AZ$2:$BB$56,3,)))</f>
        <v>0</v>
      </c>
      <c r="AU1003" s="10" t="b">
        <f>IF(I1003="TP",VLOOKUP(AF1003,TPCalibEqFull!$AZ$2:$BB$56,3),IF(I1003="TDP",VLOOKUP(AF1003,TPCalibEqFull!$AZ$2:$BB$56,3),IF(I1003="TDN",VLOOKUP(AF1003,TNCalibEqFull!$AZ$1:$BB$56,3),IF(I1003="TN",VLOOKUP(AF1003,TNCalibEqFull!$AZ$1:$BB$56,3),FALSE))))</f>
        <v>0</v>
      </c>
      <c r="AV1003" s="10" t="str">
        <f t="shared" si="113"/>
        <v>0124 09:00:00-QAC-STD-G-1-DI-CAL</v>
      </c>
    </row>
    <row r="1004" spans="1:48" s="10" customFormat="1" x14ac:dyDescent="0.55000000000000004">
      <c r="A1004" s="32">
        <v>44950</v>
      </c>
      <c r="B1004" s="33">
        <v>0.375</v>
      </c>
      <c r="C1004" s="10" t="s">
        <v>70</v>
      </c>
      <c r="D1004" s="10" t="s">
        <v>71</v>
      </c>
      <c r="E1004" s="10" t="s">
        <v>550</v>
      </c>
      <c r="F1004" s="10">
        <v>1</v>
      </c>
      <c r="G1004" s="10" t="s">
        <v>73</v>
      </c>
      <c r="H1004" s="10" t="s">
        <v>74</v>
      </c>
      <c r="I1004" s="10" t="s">
        <v>256</v>
      </c>
      <c r="J1004" s="10">
        <v>183</v>
      </c>
      <c r="K1004" s="12">
        <v>44950</v>
      </c>
      <c r="L1004" s="33">
        <v>0.45299768518518518</v>
      </c>
      <c r="M1004" s="10">
        <v>1</v>
      </c>
      <c r="N1004" s="10" t="s">
        <v>169</v>
      </c>
      <c r="O1004" s="10">
        <v>0.41599999999999998</v>
      </c>
      <c r="P1004" s="10">
        <v>2.4299999999999999E-2</v>
      </c>
      <c r="Q1004" s="10">
        <v>60</v>
      </c>
      <c r="R1004" s="10" t="s">
        <v>77</v>
      </c>
      <c r="S1004" s="34">
        <f t="shared" si="109"/>
        <v>60</v>
      </c>
      <c r="T1004" s="10" t="s">
        <v>1054</v>
      </c>
      <c r="U1004" s="34" t="str">
        <f t="shared" si="110"/>
        <v/>
      </c>
      <c r="V1004" s="31" t="str">
        <f>IF(H1004="CHK",VLOOKUP(I1004,QCCHK,3,),IF(H1004="GUP",VLOOKUP(E1004,QCGUP,2,),IF(AND(H1004="ATP",OR(I1004="TN",I1004="TDN",I1004="TNO2-3",I1004="NO2-3")),VLOOKUP(E1004,QCREC_N,2,),IF(AND(H1004="NIC",OR(I1004="TN",I1004="TDN",I1004="TNO2-3",I1004="NO2-3")),VLOOKUP(E1004,QCNIC_N,2,),IF(AND(H1004="UREA",OR(I1004="TN",I1004="TDN",I1004="TNO2-3",I1004="NO2-3")),VLOOKUP(E1004,QCUREA_N,2,),IF(H1004="PER",VLOOKUP(I1004,QCPER,MATCH(E1004,QCACTUAL!$J$25:$AA$25,0),),IF(H1004="SPK",VLOOKUP(I1004,QCSPK,3,),IF(AND(H1004="ATP",OR(I1004="TP",I1004="TDP")),VLOOKUP(E1004,QCATP_P,2,),""))))))))</f>
        <v/>
      </c>
      <c r="W1004" s="31" t="str">
        <f t="shared" si="111"/>
        <v>TRUE</v>
      </c>
      <c r="X1004" s="31" t="str">
        <f t="shared" si="112"/>
        <v/>
      </c>
      <c r="Y1004" s="10" t="s">
        <v>1040</v>
      </c>
      <c r="AL1004" s="10" t="str">
        <f t="shared" si="107"/>
        <v>FALSE</v>
      </c>
      <c r="AM1004" s="10" t="str">
        <f t="shared" si="107"/>
        <v>FALSE</v>
      </c>
      <c r="AN1004" s="10" t="str">
        <f t="shared" si="107"/>
        <v>FALSE</v>
      </c>
      <c r="AO1004" s="10" t="str">
        <f t="shared" si="108"/>
        <v>FALSE</v>
      </c>
      <c r="AP1004" s="10" t="str">
        <f t="shared" si="108"/>
        <v>FALSE</v>
      </c>
      <c r="AQ1004" s="10" t="b">
        <f>IF(AND(I1004="TP",S1004&lt;=150),VLOOKUP(AF1004,TPCalibEq150!$AZ$2:$BB$55,3,),IF(AND(I1004="TDP",S1004&lt;=150),VLOOKUP(AF1004,TPCalibEq150!$AZ$2:$BB$55,3,)))</f>
        <v>0</v>
      </c>
      <c r="AR1004" s="10" t="b">
        <f>IF(AND(I1004="TP",S1004&lt;=300),VLOOKUP(AF1004,TPCalibEq300!$AZ$2:$BB$55,3,),IF(AND(I1004="TDP",S1004&lt;=300),VLOOKUP(AF1004,TPCalibEq300!$AZ$2:$BB$55,3,)))</f>
        <v>0</v>
      </c>
      <c r="AS1004" s="10" t="b">
        <f>IF(AND(I1004="TP",S1004&lt;=500),VLOOKUP(AF1004,TPCalibEq500!$AZ$2:$BB$56,3,),IF(AND(I1004="TDP",S1004&lt;=500),VLOOKUP(AF1004,TPCalibEq500!$AZ$2:$BB$56,3,)))</f>
        <v>0</v>
      </c>
      <c r="AT1004" s="10" t="b">
        <f>IF(AND(I1004="TN",S1004&lt;=2800),VLOOKUP(AF1004,TNCalibEq2500!$AZ$2:$BB$56,3,),IF(AND(I1004="TDN",S1004&lt;=2800),VLOOKUP(AF1004,TNCalibEq2500!$AZ$2:$BB$56,3,)))</f>
        <v>0</v>
      </c>
      <c r="AU1004" s="10" t="b">
        <f>IF(I1004="TP",VLOOKUP(AF1004,TPCalibEqFull!$AZ$2:$BB$56,3),IF(I1004="TDP",VLOOKUP(AF1004,TPCalibEqFull!$AZ$2:$BB$56,3),IF(I1004="TDN",VLOOKUP(AF1004,TNCalibEqFull!$AZ$1:$BB$56,3),IF(I1004="TN",VLOOKUP(AF1004,TNCalibEqFull!$AZ$1:$BB$56,3),FALSE))))</f>
        <v>0</v>
      </c>
      <c r="AV1004" s="10" t="str">
        <f t="shared" si="113"/>
        <v>0124 09:00:00-QAC-STD-F-1-DI-CAL</v>
      </c>
    </row>
    <row r="1005" spans="1:48" s="10" customFormat="1" x14ac:dyDescent="0.55000000000000004">
      <c r="A1005" s="32">
        <v>44950</v>
      </c>
      <c r="B1005" s="33">
        <v>0.375</v>
      </c>
      <c r="C1005" s="10" t="s">
        <v>70</v>
      </c>
      <c r="D1005" s="10" t="s">
        <v>71</v>
      </c>
      <c r="E1005" s="10" t="s">
        <v>909</v>
      </c>
      <c r="F1005" s="10">
        <v>1</v>
      </c>
      <c r="G1005" s="10" t="s">
        <v>73</v>
      </c>
      <c r="H1005" s="10" t="s">
        <v>74</v>
      </c>
      <c r="I1005" s="10" t="s">
        <v>256</v>
      </c>
      <c r="J1005" s="10">
        <v>184</v>
      </c>
      <c r="K1005" s="12">
        <v>44950</v>
      </c>
      <c r="L1005" s="33">
        <v>0.45383101851851854</v>
      </c>
      <c r="M1005" s="10">
        <v>1</v>
      </c>
      <c r="N1005" s="10" t="s">
        <v>169</v>
      </c>
      <c r="O1005" s="10">
        <v>0.56100000000000005</v>
      </c>
      <c r="P1005" s="10">
        <v>3.2000000000000001E-2</v>
      </c>
      <c r="Q1005" s="10">
        <v>80</v>
      </c>
      <c r="R1005" s="10" t="s">
        <v>77</v>
      </c>
      <c r="S1005" s="34">
        <f t="shared" si="109"/>
        <v>80</v>
      </c>
      <c r="T1005" s="10" t="s">
        <v>1055</v>
      </c>
      <c r="U1005" s="34" t="str">
        <f t="shared" si="110"/>
        <v/>
      </c>
      <c r="V1005" s="31" t="str">
        <f>IF(H1005="CHK",VLOOKUP(I1005,QCCHK,3,),IF(H1005="GUP",VLOOKUP(E1005,QCGUP,2,),IF(AND(H1005="ATP",OR(I1005="TN",I1005="TDN",I1005="TNO2-3",I1005="NO2-3")),VLOOKUP(E1005,QCREC_N,2,),IF(AND(H1005="NIC",OR(I1005="TN",I1005="TDN",I1005="TNO2-3",I1005="NO2-3")),VLOOKUP(E1005,QCNIC_N,2,),IF(AND(H1005="UREA",OR(I1005="TN",I1005="TDN",I1005="TNO2-3",I1005="NO2-3")),VLOOKUP(E1005,QCUREA_N,2,),IF(H1005="PER",VLOOKUP(I1005,QCPER,MATCH(E1005,QCACTUAL!$J$25:$AA$25,0),),IF(H1005="SPK",VLOOKUP(I1005,QCSPK,3,),IF(AND(H1005="ATP",OR(I1005="TP",I1005="TDP")),VLOOKUP(E1005,QCATP_P,2,),""))))))))</f>
        <v/>
      </c>
      <c r="W1005" s="31" t="str">
        <f t="shared" si="111"/>
        <v>TRUE</v>
      </c>
      <c r="X1005" s="31" t="str">
        <f t="shared" si="112"/>
        <v/>
      </c>
      <c r="Y1005" s="10" t="s">
        <v>1040</v>
      </c>
      <c r="AL1005" s="10" t="str">
        <f t="shared" si="107"/>
        <v>FALSE</v>
      </c>
      <c r="AM1005" s="10" t="str">
        <f t="shared" si="107"/>
        <v>FALSE</v>
      </c>
      <c r="AN1005" s="10" t="str">
        <f t="shared" si="107"/>
        <v>FALSE</v>
      </c>
      <c r="AO1005" s="10" t="str">
        <f t="shared" si="108"/>
        <v>FALSE</v>
      </c>
      <c r="AP1005" s="10" t="str">
        <f t="shared" si="108"/>
        <v>FALSE</v>
      </c>
      <c r="AQ1005" s="10" t="b">
        <f>IF(AND(I1005="TP",S1005&lt;=150),VLOOKUP(AF1005,TPCalibEq150!$AZ$2:$BB$55,3,),IF(AND(I1005="TDP",S1005&lt;=150),VLOOKUP(AF1005,TPCalibEq150!$AZ$2:$BB$55,3,)))</f>
        <v>0</v>
      </c>
      <c r="AR1005" s="10" t="b">
        <f>IF(AND(I1005="TP",S1005&lt;=300),VLOOKUP(AF1005,TPCalibEq300!$AZ$2:$BB$55,3,),IF(AND(I1005="TDP",S1005&lt;=300),VLOOKUP(AF1005,TPCalibEq300!$AZ$2:$BB$55,3,)))</f>
        <v>0</v>
      </c>
      <c r="AS1005" s="10" t="b">
        <f>IF(AND(I1005="TP",S1005&lt;=500),VLOOKUP(AF1005,TPCalibEq500!$AZ$2:$BB$56,3,),IF(AND(I1005="TDP",S1005&lt;=500),VLOOKUP(AF1005,TPCalibEq500!$AZ$2:$BB$56,3,)))</f>
        <v>0</v>
      </c>
      <c r="AT1005" s="10" t="b">
        <f>IF(AND(I1005="TN",S1005&lt;=2800),VLOOKUP(AF1005,TNCalibEq2500!$AZ$2:$BB$56,3,),IF(AND(I1005="TDN",S1005&lt;=2800),VLOOKUP(AF1005,TNCalibEq2500!$AZ$2:$BB$56,3,)))</f>
        <v>0</v>
      </c>
      <c r="AU1005" s="10" t="b">
        <f>IF(I1005="TP",VLOOKUP(AF1005,TPCalibEqFull!$AZ$2:$BB$56,3),IF(I1005="TDP",VLOOKUP(AF1005,TPCalibEqFull!$AZ$2:$BB$56,3),IF(I1005="TDN",VLOOKUP(AF1005,TNCalibEqFull!$AZ$1:$BB$56,3),IF(I1005="TN",VLOOKUP(AF1005,TNCalibEqFull!$AZ$1:$BB$56,3),FALSE))))</f>
        <v>0</v>
      </c>
      <c r="AV1005" s="10" t="str">
        <f t="shared" si="113"/>
        <v>0124 09:00:00-QAC-STD-E-1-DI-CAL</v>
      </c>
    </row>
    <row r="1006" spans="1:48" s="10" customFormat="1" x14ac:dyDescent="0.55000000000000004">
      <c r="A1006" s="32">
        <v>44950</v>
      </c>
      <c r="B1006" s="33">
        <v>0.375</v>
      </c>
      <c r="C1006" s="10" t="s">
        <v>70</v>
      </c>
      <c r="D1006" s="10" t="s">
        <v>71</v>
      </c>
      <c r="E1006" s="10" t="s">
        <v>901</v>
      </c>
      <c r="F1006" s="10">
        <v>1</v>
      </c>
      <c r="G1006" s="10" t="s">
        <v>73</v>
      </c>
      <c r="H1006" s="10" t="s">
        <v>74</v>
      </c>
      <c r="I1006" s="10" t="s">
        <v>256</v>
      </c>
      <c r="J1006" s="10">
        <v>185</v>
      </c>
      <c r="K1006" s="12">
        <v>44950</v>
      </c>
      <c r="L1006" s="33">
        <v>0.45465277777777779</v>
      </c>
      <c r="M1006" s="10">
        <v>1</v>
      </c>
      <c r="N1006" s="10" t="s">
        <v>169</v>
      </c>
      <c r="O1006" s="10">
        <v>1.99</v>
      </c>
      <c r="P1006" s="10">
        <v>0.11700000000000001</v>
      </c>
      <c r="Q1006" s="10">
        <v>300</v>
      </c>
      <c r="R1006" s="10" t="s">
        <v>77</v>
      </c>
      <c r="S1006" s="34">
        <f t="shared" si="109"/>
        <v>300</v>
      </c>
      <c r="T1006" s="10" t="s">
        <v>1056</v>
      </c>
      <c r="U1006" s="34" t="str">
        <f t="shared" si="110"/>
        <v/>
      </c>
      <c r="V1006" s="31" t="str">
        <f>IF(H1006="CHK",VLOOKUP(I1006,QCCHK,3,),IF(H1006="GUP",VLOOKUP(E1006,QCGUP,2,),IF(AND(H1006="ATP",OR(I1006="TN",I1006="TDN",I1006="TNO2-3",I1006="NO2-3")),VLOOKUP(E1006,QCREC_N,2,),IF(AND(H1006="NIC",OR(I1006="TN",I1006="TDN",I1006="TNO2-3",I1006="NO2-3")),VLOOKUP(E1006,QCNIC_N,2,),IF(AND(H1006="UREA",OR(I1006="TN",I1006="TDN",I1006="TNO2-3",I1006="NO2-3")),VLOOKUP(E1006,QCUREA_N,2,),IF(H1006="PER",VLOOKUP(I1006,QCPER,MATCH(E1006,QCACTUAL!$J$25:$AA$25,0),),IF(H1006="SPK",VLOOKUP(I1006,QCSPK,3,),IF(AND(H1006="ATP",OR(I1006="TP",I1006="TDP")),VLOOKUP(E1006,QCATP_P,2,),""))))))))</f>
        <v/>
      </c>
      <c r="W1006" s="31" t="str">
        <f t="shared" si="111"/>
        <v>TRUE</v>
      </c>
      <c r="X1006" s="31" t="str">
        <f t="shared" si="112"/>
        <v/>
      </c>
      <c r="Y1006" s="10" t="s">
        <v>1040</v>
      </c>
      <c r="AL1006" s="10" t="str">
        <f t="shared" si="107"/>
        <v>FALSE</v>
      </c>
      <c r="AM1006" s="10" t="str">
        <f t="shared" si="107"/>
        <v>FALSE</v>
      </c>
      <c r="AN1006" s="10" t="str">
        <f t="shared" si="107"/>
        <v>FALSE</v>
      </c>
      <c r="AO1006" s="10" t="str">
        <f t="shared" si="108"/>
        <v>FALSE</v>
      </c>
      <c r="AP1006" s="10" t="str">
        <f t="shared" si="108"/>
        <v>FALSE</v>
      </c>
      <c r="AQ1006" s="10" t="b">
        <f>IF(AND(I1006="TP",S1006&lt;=150),VLOOKUP(AF1006,TPCalibEq150!$AZ$2:$BB$55,3,),IF(AND(I1006="TDP",S1006&lt;=150),VLOOKUP(AF1006,TPCalibEq150!$AZ$2:$BB$55,3,)))</f>
        <v>0</v>
      </c>
      <c r="AR1006" s="10" t="b">
        <f>IF(AND(I1006="TP",S1006&lt;=300),VLOOKUP(AF1006,TPCalibEq300!$AZ$2:$BB$55,3,),IF(AND(I1006="TDP",S1006&lt;=300),VLOOKUP(AF1006,TPCalibEq300!$AZ$2:$BB$55,3,)))</f>
        <v>0</v>
      </c>
      <c r="AS1006" s="10" t="b">
        <f>IF(AND(I1006="TP",S1006&lt;=500),VLOOKUP(AF1006,TPCalibEq500!$AZ$2:$BB$56,3,),IF(AND(I1006="TDP",S1006&lt;=500),VLOOKUP(AF1006,TPCalibEq500!$AZ$2:$BB$56,3,)))</f>
        <v>0</v>
      </c>
      <c r="AT1006" s="10" t="b">
        <f>IF(AND(I1006="TN",S1006&lt;=2800),VLOOKUP(AF1006,TNCalibEq2500!$AZ$2:$BB$56,3,),IF(AND(I1006="TDN",S1006&lt;=2800),VLOOKUP(AF1006,TNCalibEq2500!$AZ$2:$BB$56,3,)))</f>
        <v>0</v>
      </c>
      <c r="AU1006" s="10" t="b">
        <f>IF(I1006="TP",VLOOKUP(AF1006,TPCalibEqFull!$AZ$2:$BB$56,3),IF(I1006="TDP",VLOOKUP(AF1006,TPCalibEqFull!$AZ$2:$BB$56,3),IF(I1006="TDN",VLOOKUP(AF1006,TNCalibEqFull!$AZ$1:$BB$56,3),IF(I1006="TN",VLOOKUP(AF1006,TNCalibEqFull!$AZ$1:$BB$56,3),FALSE))))</f>
        <v>0</v>
      </c>
      <c r="AV1006" s="10" t="str">
        <f t="shared" si="113"/>
        <v>0124 09:00:00-QAC-STD-D-1-DI-CAL</v>
      </c>
    </row>
    <row r="1007" spans="1:48" s="10" customFormat="1" x14ac:dyDescent="0.55000000000000004">
      <c r="A1007" s="32">
        <v>44950</v>
      </c>
      <c r="B1007" s="33">
        <v>0.375</v>
      </c>
      <c r="C1007" s="10" t="s">
        <v>70</v>
      </c>
      <c r="D1007" s="10" t="s">
        <v>71</v>
      </c>
      <c r="E1007" s="10" t="s">
        <v>190</v>
      </c>
      <c r="F1007" s="10">
        <v>1</v>
      </c>
      <c r="G1007" s="10" t="s">
        <v>73</v>
      </c>
      <c r="H1007" s="10" t="s">
        <v>74</v>
      </c>
      <c r="I1007" s="10" t="s">
        <v>256</v>
      </c>
      <c r="J1007" s="10">
        <v>186</v>
      </c>
      <c r="K1007" s="12">
        <v>44950</v>
      </c>
      <c r="L1007" s="33">
        <v>0.45547453703703705</v>
      </c>
      <c r="M1007" s="10">
        <v>1</v>
      </c>
      <c r="N1007" s="10" t="s">
        <v>169</v>
      </c>
      <c r="O1007" s="10">
        <v>3.95</v>
      </c>
      <c r="P1007" s="10">
        <v>0.23200000000000001</v>
      </c>
      <c r="Q1007" s="10">
        <v>600</v>
      </c>
      <c r="R1007" s="10" t="s">
        <v>77</v>
      </c>
      <c r="S1007" s="34">
        <f t="shared" si="109"/>
        <v>600</v>
      </c>
      <c r="T1007" s="10" t="s">
        <v>936</v>
      </c>
      <c r="U1007" s="34" t="str">
        <f t="shared" si="110"/>
        <v/>
      </c>
      <c r="V1007" s="31" t="str">
        <f>IF(H1007="CHK",VLOOKUP(I1007,QCCHK,3,),IF(H1007="GUP",VLOOKUP(E1007,QCGUP,2,),IF(AND(H1007="ATP",OR(I1007="TN",I1007="TDN",I1007="TNO2-3",I1007="NO2-3")),VLOOKUP(E1007,QCREC_N,2,),IF(AND(H1007="NIC",OR(I1007="TN",I1007="TDN",I1007="TNO2-3",I1007="NO2-3")),VLOOKUP(E1007,QCNIC_N,2,),IF(AND(H1007="UREA",OR(I1007="TN",I1007="TDN",I1007="TNO2-3",I1007="NO2-3")),VLOOKUP(E1007,QCUREA_N,2,),IF(H1007="PER",VLOOKUP(I1007,QCPER,MATCH(E1007,QCACTUAL!$J$25:$AA$25,0),),IF(H1007="SPK",VLOOKUP(I1007,QCSPK,3,),IF(AND(H1007="ATP",OR(I1007="TP",I1007="TDP")),VLOOKUP(E1007,QCATP_P,2,),""))))))))</f>
        <v/>
      </c>
      <c r="W1007" s="31" t="str">
        <f t="shared" si="111"/>
        <v>TRUE</v>
      </c>
      <c r="X1007" s="31" t="str">
        <f t="shared" si="112"/>
        <v/>
      </c>
      <c r="Y1007" s="10" t="s">
        <v>1040</v>
      </c>
      <c r="AL1007" s="10" t="str">
        <f t="shared" si="107"/>
        <v>FALSE</v>
      </c>
      <c r="AM1007" s="10" t="str">
        <f t="shared" si="107"/>
        <v>FALSE</v>
      </c>
      <c r="AN1007" s="10" t="str">
        <f t="shared" si="107"/>
        <v>FALSE</v>
      </c>
      <c r="AO1007" s="10" t="str">
        <f t="shared" si="108"/>
        <v>FALSE</v>
      </c>
      <c r="AP1007" s="10" t="str">
        <f t="shared" si="108"/>
        <v>FALSE</v>
      </c>
      <c r="AQ1007" s="10" t="b">
        <f>IF(AND(I1007="TP",S1007&lt;=150),VLOOKUP(AF1007,TPCalibEq150!$AZ$2:$BB$55,3,),IF(AND(I1007="TDP",S1007&lt;=150),VLOOKUP(AF1007,TPCalibEq150!$AZ$2:$BB$55,3,)))</f>
        <v>0</v>
      </c>
      <c r="AR1007" s="10" t="b">
        <f>IF(AND(I1007="TP",S1007&lt;=300),VLOOKUP(AF1007,TPCalibEq300!$AZ$2:$BB$55,3,),IF(AND(I1007="TDP",S1007&lt;=300),VLOOKUP(AF1007,TPCalibEq300!$AZ$2:$BB$55,3,)))</f>
        <v>0</v>
      </c>
      <c r="AS1007" s="10" t="b">
        <f>IF(AND(I1007="TP",S1007&lt;=500),VLOOKUP(AF1007,TPCalibEq500!$AZ$2:$BB$56,3,),IF(AND(I1007="TDP",S1007&lt;=500),VLOOKUP(AF1007,TPCalibEq500!$AZ$2:$BB$56,3,)))</f>
        <v>0</v>
      </c>
      <c r="AT1007" s="10" t="b">
        <f>IF(AND(I1007="TN",S1007&lt;=2800),VLOOKUP(AF1007,TNCalibEq2500!$AZ$2:$BB$56,3,),IF(AND(I1007="TDN",S1007&lt;=2800),VLOOKUP(AF1007,TNCalibEq2500!$AZ$2:$BB$56,3,)))</f>
        <v>0</v>
      </c>
      <c r="AU1007" s="10" t="b">
        <f>IF(I1007="TP",VLOOKUP(AF1007,TPCalibEqFull!$AZ$2:$BB$56,3),IF(I1007="TDP",VLOOKUP(AF1007,TPCalibEqFull!$AZ$2:$BB$56,3),IF(I1007="TDN",VLOOKUP(AF1007,TNCalibEqFull!$AZ$1:$BB$56,3),IF(I1007="TN",VLOOKUP(AF1007,TNCalibEqFull!$AZ$1:$BB$56,3),FALSE))))</f>
        <v>0</v>
      </c>
      <c r="AV1007" s="10" t="str">
        <f t="shared" si="113"/>
        <v>0124 09:00:00-QAC-STD-C-1-DI-CAL</v>
      </c>
    </row>
    <row r="1008" spans="1:48" s="10" customFormat="1" x14ac:dyDescent="0.55000000000000004">
      <c r="A1008" s="32">
        <v>44950</v>
      </c>
      <c r="B1008" s="33">
        <v>0.375</v>
      </c>
      <c r="C1008" s="10" t="s">
        <v>70</v>
      </c>
      <c r="D1008" s="10" t="s">
        <v>71</v>
      </c>
      <c r="E1008" s="10" t="s">
        <v>583</v>
      </c>
      <c r="F1008" s="10">
        <v>1</v>
      </c>
      <c r="G1008" s="10" t="s">
        <v>73</v>
      </c>
      <c r="H1008" s="10" t="s">
        <v>74</v>
      </c>
      <c r="I1008" s="10" t="s">
        <v>256</v>
      </c>
      <c r="J1008" s="10">
        <v>187</v>
      </c>
      <c r="K1008" s="12">
        <v>44950</v>
      </c>
      <c r="L1008" s="33">
        <v>0.45630787037037041</v>
      </c>
      <c r="M1008" s="10">
        <v>1</v>
      </c>
      <c r="N1008" s="10" t="s">
        <v>169</v>
      </c>
      <c r="O1008" s="10">
        <v>7.9</v>
      </c>
      <c r="P1008" s="10">
        <v>0.46400000000000002</v>
      </c>
      <c r="Q1008" s="10">
        <v>1200</v>
      </c>
      <c r="R1008" s="10" t="s">
        <v>77</v>
      </c>
      <c r="S1008" s="34">
        <f t="shared" si="109"/>
        <v>1200</v>
      </c>
      <c r="T1008" s="10" t="s">
        <v>1057</v>
      </c>
      <c r="U1008" s="34" t="str">
        <f t="shared" si="110"/>
        <v/>
      </c>
      <c r="V1008" s="31" t="str">
        <f>IF(H1008="CHK",VLOOKUP(I1008,QCCHK,3,),IF(H1008="GUP",VLOOKUP(E1008,QCGUP,2,),IF(AND(H1008="ATP",OR(I1008="TN",I1008="TDN",I1008="TNO2-3",I1008="NO2-3")),VLOOKUP(E1008,QCREC_N,2,),IF(AND(H1008="NIC",OR(I1008="TN",I1008="TDN",I1008="TNO2-3",I1008="NO2-3")),VLOOKUP(E1008,QCNIC_N,2,),IF(AND(H1008="UREA",OR(I1008="TN",I1008="TDN",I1008="TNO2-3",I1008="NO2-3")),VLOOKUP(E1008,QCUREA_N,2,),IF(H1008="PER",VLOOKUP(I1008,QCPER,MATCH(E1008,QCACTUAL!$J$25:$AA$25,0),),IF(H1008="SPK",VLOOKUP(I1008,QCSPK,3,),IF(AND(H1008="ATP",OR(I1008="TP",I1008="TDP")),VLOOKUP(E1008,QCATP_P,2,),""))))))))</f>
        <v/>
      </c>
      <c r="W1008" s="31" t="str">
        <f t="shared" si="111"/>
        <v>TRUE</v>
      </c>
      <c r="X1008" s="31" t="str">
        <f t="shared" si="112"/>
        <v/>
      </c>
      <c r="Y1008" s="10" t="s">
        <v>1040</v>
      </c>
      <c r="AL1008" s="10" t="str">
        <f t="shared" si="107"/>
        <v>FALSE</v>
      </c>
      <c r="AM1008" s="10" t="str">
        <f t="shared" si="107"/>
        <v>FALSE</v>
      </c>
      <c r="AN1008" s="10" t="str">
        <f t="shared" si="107"/>
        <v>FALSE</v>
      </c>
      <c r="AO1008" s="10" t="str">
        <f t="shared" si="108"/>
        <v>FALSE</v>
      </c>
      <c r="AP1008" s="10" t="str">
        <f t="shared" si="108"/>
        <v>FALSE</v>
      </c>
      <c r="AQ1008" s="10" t="b">
        <f>IF(AND(I1008="TP",S1008&lt;=150),VLOOKUP(AF1008,TPCalibEq150!$AZ$2:$BB$55,3,),IF(AND(I1008="TDP",S1008&lt;=150),VLOOKUP(AF1008,TPCalibEq150!$AZ$2:$BB$55,3,)))</f>
        <v>0</v>
      </c>
      <c r="AR1008" s="10" t="b">
        <f>IF(AND(I1008="TP",S1008&lt;=300),VLOOKUP(AF1008,TPCalibEq300!$AZ$2:$BB$55,3,),IF(AND(I1008="TDP",S1008&lt;=300),VLOOKUP(AF1008,TPCalibEq300!$AZ$2:$BB$55,3,)))</f>
        <v>0</v>
      </c>
      <c r="AS1008" s="10" t="b">
        <f>IF(AND(I1008="TP",S1008&lt;=500),VLOOKUP(AF1008,TPCalibEq500!$AZ$2:$BB$56,3,),IF(AND(I1008="TDP",S1008&lt;=500),VLOOKUP(AF1008,TPCalibEq500!$AZ$2:$BB$56,3,)))</f>
        <v>0</v>
      </c>
      <c r="AT1008" s="10" t="b">
        <f>IF(AND(I1008="TN",S1008&lt;=2800),VLOOKUP(AF1008,TNCalibEq2500!$AZ$2:$BB$56,3,),IF(AND(I1008="TDN",S1008&lt;=2800),VLOOKUP(AF1008,TNCalibEq2500!$AZ$2:$BB$56,3,)))</f>
        <v>0</v>
      </c>
      <c r="AU1008" s="10" t="b">
        <f>IF(I1008="TP",VLOOKUP(AF1008,TPCalibEqFull!$AZ$2:$BB$56,3),IF(I1008="TDP",VLOOKUP(AF1008,TPCalibEqFull!$AZ$2:$BB$56,3),IF(I1008="TDN",VLOOKUP(AF1008,TNCalibEqFull!$AZ$1:$BB$56,3),IF(I1008="TN",VLOOKUP(AF1008,TNCalibEqFull!$AZ$1:$BB$56,3),FALSE))))</f>
        <v>0</v>
      </c>
      <c r="AV1008" s="10" t="str">
        <f t="shared" si="113"/>
        <v>0124 09:00:00-QAC-STD-B-1-DI-CAL</v>
      </c>
    </row>
    <row r="1009" spans="1:48" s="10" customFormat="1" x14ac:dyDescent="0.55000000000000004">
      <c r="A1009" s="32">
        <v>44950</v>
      </c>
      <c r="B1009" s="33">
        <v>0.375</v>
      </c>
      <c r="C1009" s="10" t="s">
        <v>70</v>
      </c>
      <c r="D1009" s="10" t="s">
        <v>71</v>
      </c>
      <c r="E1009" s="10" t="s">
        <v>866</v>
      </c>
      <c r="F1009" s="10">
        <v>1</v>
      </c>
      <c r="G1009" s="10" t="s">
        <v>73</v>
      </c>
      <c r="H1009" s="10" t="s">
        <v>74</v>
      </c>
      <c r="I1009" s="10" t="s">
        <v>256</v>
      </c>
      <c r="J1009" s="10">
        <v>188</v>
      </c>
      <c r="K1009" s="12">
        <v>44950</v>
      </c>
      <c r="L1009" s="33">
        <v>0.45712962962962966</v>
      </c>
      <c r="M1009" s="10">
        <v>1</v>
      </c>
      <c r="N1009" s="10" t="s">
        <v>169</v>
      </c>
      <c r="O1009" s="10">
        <v>13</v>
      </c>
      <c r="P1009" s="10">
        <v>0.76200000000000001</v>
      </c>
      <c r="Q1009" s="10">
        <v>2000</v>
      </c>
      <c r="R1009" s="10" t="s">
        <v>77</v>
      </c>
      <c r="S1009" s="34">
        <f t="shared" si="109"/>
        <v>2000</v>
      </c>
      <c r="T1009" s="10" t="s">
        <v>1058</v>
      </c>
      <c r="U1009" s="34" t="str">
        <f t="shared" si="110"/>
        <v/>
      </c>
      <c r="V1009" s="31" t="str">
        <f>IF(H1009="CHK",VLOOKUP(I1009,QCCHK,3,),IF(H1009="GUP",VLOOKUP(E1009,QCGUP,2,),IF(AND(H1009="ATP",OR(I1009="TN",I1009="TDN",I1009="TNO2-3",I1009="NO2-3")),VLOOKUP(E1009,QCREC_N,2,),IF(AND(H1009="NIC",OR(I1009="TN",I1009="TDN",I1009="TNO2-3",I1009="NO2-3")),VLOOKUP(E1009,QCNIC_N,2,),IF(AND(H1009="UREA",OR(I1009="TN",I1009="TDN",I1009="TNO2-3",I1009="NO2-3")),VLOOKUP(E1009,QCUREA_N,2,),IF(H1009="PER",VLOOKUP(I1009,QCPER,MATCH(E1009,QCACTUAL!$J$25:$AA$25,0),),IF(H1009="SPK",VLOOKUP(I1009,QCSPK,3,),IF(AND(H1009="ATP",OR(I1009="TP",I1009="TDP")),VLOOKUP(E1009,QCATP_P,2,),""))))))))</f>
        <v/>
      </c>
      <c r="W1009" s="31" t="str">
        <f t="shared" si="111"/>
        <v>TRUE</v>
      </c>
      <c r="X1009" s="31" t="str">
        <f t="shared" si="112"/>
        <v/>
      </c>
      <c r="Y1009" s="10" t="s">
        <v>1040</v>
      </c>
      <c r="AL1009" s="10" t="str">
        <f t="shared" si="107"/>
        <v>FALSE</v>
      </c>
      <c r="AM1009" s="10" t="str">
        <f t="shared" si="107"/>
        <v>FALSE</v>
      </c>
      <c r="AN1009" s="10" t="str">
        <f t="shared" si="107"/>
        <v>FALSE</v>
      </c>
      <c r="AO1009" s="10" t="str">
        <f t="shared" si="108"/>
        <v>FALSE</v>
      </c>
      <c r="AP1009" s="10" t="str">
        <f t="shared" si="108"/>
        <v>FALSE</v>
      </c>
      <c r="AQ1009" s="10" t="b">
        <f>IF(AND(I1009="TP",S1009&lt;=150),VLOOKUP(AF1009,TPCalibEq150!$AZ$2:$BB$55,3,),IF(AND(I1009="TDP",S1009&lt;=150),VLOOKUP(AF1009,TPCalibEq150!$AZ$2:$BB$55,3,)))</f>
        <v>0</v>
      </c>
      <c r="AR1009" s="10" t="b">
        <f>IF(AND(I1009="TP",S1009&lt;=300),VLOOKUP(AF1009,TPCalibEq300!$AZ$2:$BB$55,3,),IF(AND(I1009="TDP",S1009&lt;=300),VLOOKUP(AF1009,TPCalibEq300!$AZ$2:$BB$55,3,)))</f>
        <v>0</v>
      </c>
      <c r="AS1009" s="10" t="b">
        <f>IF(AND(I1009="TP",S1009&lt;=500),VLOOKUP(AF1009,TPCalibEq500!$AZ$2:$BB$56,3,),IF(AND(I1009="TDP",S1009&lt;=500),VLOOKUP(AF1009,TPCalibEq500!$AZ$2:$BB$56,3,)))</f>
        <v>0</v>
      </c>
      <c r="AT1009" s="10" t="b">
        <f>IF(AND(I1009="TN",S1009&lt;=2800),VLOOKUP(AF1009,TNCalibEq2500!$AZ$2:$BB$56,3,),IF(AND(I1009="TDN",S1009&lt;=2800),VLOOKUP(AF1009,TNCalibEq2500!$AZ$2:$BB$56,3,)))</f>
        <v>0</v>
      </c>
      <c r="AU1009" s="10" t="b">
        <f>IF(I1009="TP",VLOOKUP(AF1009,TPCalibEqFull!$AZ$2:$BB$56,3),IF(I1009="TDP",VLOOKUP(AF1009,TPCalibEqFull!$AZ$2:$BB$56,3),IF(I1009="TDN",VLOOKUP(AF1009,TNCalibEqFull!$AZ$1:$BB$56,3),IF(I1009="TN",VLOOKUP(AF1009,TNCalibEqFull!$AZ$1:$BB$56,3),FALSE))))</f>
        <v>0</v>
      </c>
      <c r="AV1009" s="10" t="str">
        <f t="shared" si="113"/>
        <v>0124 09:00:00-QAC-STD-A-1-DI-CAL</v>
      </c>
    </row>
    <row r="1010" spans="1:48" s="10" customFormat="1" x14ac:dyDescent="0.55000000000000004">
      <c r="A1010" s="32">
        <v>44950</v>
      </c>
      <c r="B1010" s="33">
        <v>0.375</v>
      </c>
      <c r="C1010" s="10" t="s">
        <v>70</v>
      </c>
      <c r="D1010" s="10" t="s">
        <v>241</v>
      </c>
      <c r="E1010" s="10" t="s">
        <v>866</v>
      </c>
      <c r="F1010" s="10">
        <v>1</v>
      </c>
      <c r="G1010" s="10" t="s">
        <v>73</v>
      </c>
      <c r="H1010" s="10" t="s">
        <v>283</v>
      </c>
      <c r="I1010" s="10" t="s">
        <v>256</v>
      </c>
      <c r="J1010" s="10">
        <v>198</v>
      </c>
      <c r="K1010" s="12">
        <v>44950</v>
      </c>
      <c r="L1010" s="33">
        <v>0.45876157407407409</v>
      </c>
      <c r="M1010" s="10">
        <v>1</v>
      </c>
      <c r="N1010" s="10" t="s">
        <v>169</v>
      </c>
      <c r="O1010" s="10">
        <v>1.7000000000000001E-2</v>
      </c>
      <c r="P1010" s="10">
        <v>1.83E-3</v>
      </c>
      <c r="Q1010" s="10">
        <v>2.6</v>
      </c>
      <c r="R1010" s="10" t="s">
        <v>77</v>
      </c>
      <c r="S1010" s="34">
        <f t="shared" si="109"/>
        <v>2.6</v>
      </c>
      <c r="T1010" s="10" t="s">
        <v>1058</v>
      </c>
      <c r="U1010" s="34">
        <f t="shared" si="110"/>
        <v>2.6</v>
      </c>
      <c r="V1010" s="31" t="str">
        <f>IF(H1010="CHK",VLOOKUP(I1010,QCCHK,3,),IF(H1010="GUP",VLOOKUP(E1010,QCGUP,2,),IF(AND(H1010="ATP",OR(I1010="TN",I1010="TDN",I1010="TNO2-3",I1010="NO2-3")),VLOOKUP(E1010,QCREC_N,2,),IF(AND(H1010="NIC",OR(I1010="TN",I1010="TDN",I1010="TNO2-3",I1010="NO2-3")),VLOOKUP(E1010,QCNIC_N,2,),IF(AND(H1010="UREA",OR(I1010="TN",I1010="TDN",I1010="TNO2-3",I1010="NO2-3")),VLOOKUP(E1010,QCUREA_N,2,),IF(H1010="PER",VLOOKUP(I1010,QCPER,MATCH(E1010,QCACTUAL!$J$25:$AA$25,0),),IF(H1010="SPK",VLOOKUP(I1010,QCSPK,3,),IF(AND(H1010="ATP",OR(I1010="TP",I1010="TDP")),VLOOKUP(E1010,QCATP_P,2,),""))))))))</f>
        <v/>
      </c>
      <c r="W1010" s="31" t="str">
        <f t="shared" si="111"/>
        <v>TRUE</v>
      </c>
      <c r="X1010" s="31" t="str">
        <f t="shared" si="112"/>
        <v>nominal concentration</v>
      </c>
      <c r="Y1010" s="10" t="s">
        <v>1040</v>
      </c>
      <c r="AL1010" s="10" t="str">
        <f t="shared" si="107"/>
        <v>FALSE</v>
      </c>
      <c r="AM1010" s="10" t="str">
        <f t="shared" si="107"/>
        <v>FALSE</v>
      </c>
      <c r="AN1010" s="10" t="str">
        <f t="shared" si="107"/>
        <v>FALSE</v>
      </c>
      <c r="AO1010" s="10" t="str">
        <f t="shared" si="108"/>
        <v>FALSE</v>
      </c>
      <c r="AP1010" s="10" t="str">
        <f t="shared" si="108"/>
        <v>FALSE</v>
      </c>
      <c r="AQ1010" s="10" t="b">
        <f>IF(AND(I1010="TP",S1010&lt;=150),VLOOKUP(AF1010,TPCalibEq150!$AZ$2:$BB$55,3,),IF(AND(I1010="TDP",S1010&lt;=150),VLOOKUP(AF1010,TPCalibEq150!$AZ$2:$BB$55,3,)))</f>
        <v>0</v>
      </c>
      <c r="AR1010" s="10" t="b">
        <f>IF(AND(I1010="TP",S1010&lt;=300),VLOOKUP(AF1010,TPCalibEq300!$AZ$2:$BB$55,3,),IF(AND(I1010="TDP",S1010&lt;=300),VLOOKUP(AF1010,TPCalibEq300!$AZ$2:$BB$55,3,)))</f>
        <v>0</v>
      </c>
      <c r="AS1010" s="10" t="b">
        <f>IF(AND(I1010="TP",S1010&lt;=500),VLOOKUP(AF1010,TPCalibEq500!$AZ$2:$BB$56,3,),IF(AND(I1010="TDP",S1010&lt;=500),VLOOKUP(AF1010,TPCalibEq500!$AZ$2:$BB$56,3,)))</f>
        <v>0</v>
      </c>
      <c r="AT1010" s="10" t="b">
        <f>IF(AND(I1010="TN",S1010&lt;=2800),VLOOKUP(AF1010,TNCalibEq2500!$AZ$2:$BB$56,3,),IF(AND(I1010="TDN",S1010&lt;=2800),VLOOKUP(AF1010,TNCalibEq2500!$AZ$2:$BB$56,3,)))</f>
        <v>0</v>
      </c>
      <c r="AU1010" s="10" t="b">
        <f>IF(I1010="TP",VLOOKUP(AF1010,TPCalibEqFull!$AZ$2:$BB$56,3),IF(I1010="TDP",VLOOKUP(AF1010,TPCalibEqFull!$AZ$2:$BB$56,3),IF(I1010="TDN",VLOOKUP(AF1010,TNCalibEqFull!$AZ$1:$BB$56,3),IF(I1010="TN",VLOOKUP(AF1010,TNCalibEqFull!$AZ$1:$BB$56,3),FALSE))))</f>
        <v>0</v>
      </c>
      <c r="AV1010" s="10" t="str">
        <f t="shared" si="113"/>
        <v>0124 09:00:00-QAC-BLK-A-1-DI-LAB</v>
      </c>
    </row>
    <row r="1011" spans="1:48" s="10" customFormat="1" x14ac:dyDescent="0.55000000000000004">
      <c r="A1011" s="32">
        <v>44950</v>
      </c>
      <c r="B1011" s="33">
        <v>0.375</v>
      </c>
      <c r="C1011" s="10" t="s">
        <v>70</v>
      </c>
      <c r="D1011" s="10" t="s">
        <v>241</v>
      </c>
      <c r="E1011" s="10" t="s">
        <v>866</v>
      </c>
      <c r="F1011" s="10">
        <v>1</v>
      </c>
      <c r="G1011" s="10" t="s">
        <v>73</v>
      </c>
      <c r="H1011" s="10" t="s">
        <v>314</v>
      </c>
      <c r="I1011" s="10" t="s">
        <v>256</v>
      </c>
      <c r="J1011" s="10">
        <v>225</v>
      </c>
      <c r="K1011" s="12">
        <v>44950</v>
      </c>
      <c r="L1011" s="33">
        <v>0.45958333333333329</v>
      </c>
      <c r="M1011" s="10">
        <v>1</v>
      </c>
      <c r="N1011" s="10" t="s">
        <v>169</v>
      </c>
      <c r="O1011" s="10">
        <v>4.13</v>
      </c>
      <c r="P1011" s="10">
        <v>0.24199999999999999</v>
      </c>
      <c r="Q1011" s="10">
        <v>631</v>
      </c>
      <c r="R1011" s="10" t="s">
        <v>77</v>
      </c>
      <c r="S1011" s="34">
        <f t="shared" si="109"/>
        <v>631</v>
      </c>
      <c r="T1011" s="10" t="s">
        <v>1058</v>
      </c>
      <c r="U1011" s="34">
        <f t="shared" si="110"/>
        <v>100.54399999999998</v>
      </c>
      <c r="V1011" s="31">
        <f>IF(H1011="CHK",VLOOKUP(I1011,QCCHK,3,),IF(H1011="GUP",VLOOKUP(E1011,QCGUP,2,),IF(AND(H1011="ATP",OR(I1011="TN",I1011="TDN",I1011="TNO2-3",I1011="NO2-3")),VLOOKUP(E1011,QCREC_N,2,),IF(AND(H1011="NIC",OR(I1011="TN",I1011="TDN",I1011="TNO2-3",I1011="NO2-3")),VLOOKUP(E1011,QCNIC_N,2,),IF(AND(H1011="UREA",OR(I1011="TN",I1011="TDN",I1011="TNO2-3",I1011="NO2-3")),VLOOKUP(E1011,QCUREA_N,2,),IF(H1011="PER",VLOOKUP(I1011,QCPER,MATCH(E1011,QCACTUAL!$J$25:$AA$25,0),),IF(H1011="SPK",VLOOKUP(I1011,QCSPK,3,),IF(AND(H1011="ATP",OR(I1011="TP",I1011="TDP")),VLOOKUP(E1011,QCATP_P,2,),""))))))))</f>
        <v>625</v>
      </c>
      <c r="W1011" s="31" t="str">
        <f t="shared" si="111"/>
        <v>TRUE</v>
      </c>
      <c r="X1011" s="31" t="str">
        <f t="shared" si="112"/>
        <v>([spikedunkn]-[unkn])/[spike]*100</v>
      </c>
      <c r="Y1011" s="10" t="s">
        <v>1040</v>
      </c>
      <c r="AL1011" s="10" t="str">
        <f t="shared" si="107"/>
        <v>FALSE</v>
      </c>
      <c r="AM1011" s="10" t="str">
        <f t="shared" si="107"/>
        <v>FALSE</v>
      </c>
      <c r="AN1011" s="10" t="str">
        <f t="shared" si="107"/>
        <v>FALSE</v>
      </c>
      <c r="AO1011" s="10" t="str">
        <f t="shared" si="108"/>
        <v>FALSE</v>
      </c>
      <c r="AP1011" s="10" t="str">
        <f t="shared" si="108"/>
        <v>FALSE</v>
      </c>
      <c r="AQ1011" s="10" t="b">
        <f>IF(AND(I1011="TP",S1011&lt;=150),VLOOKUP(AF1011,TPCalibEq150!$AZ$2:$BB$55,3,),IF(AND(I1011="TDP",S1011&lt;=150),VLOOKUP(AF1011,TPCalibEq150!$AZ$2:$BB$55,3,)))</f>
        <v>0</v>
      </c>
      <c r="AR1011" s="10" t="b">
        <f>IF(AND(I1011="TP",S1011&lt;=300),VLOOKUP(AF1011,TPCalibEq300!$AZ$2:$BB$55,3,),IF(AND(I1011="TDP",S1011&lt;=300),VLOOKUP(AF1011,TPCalibEq300!$AZ$2:$BB$55,3,)))</f>
        <v>0</v>
      </c>
      <c r="AS1011" s="10" t="b">
        <f>IF(AND(I1011="TP",S1011&lt;=500),VLOOKUP(AF1011,TPCalibEq500!$AZ$2:$BB$56,3,),IF(AND(I1011="TDP",S1011&lt;=500),VLOOKUP(AF1011,TPCalibEq500!$AZ$2:$BB$56,3,)))</f>
        <v>0</v>
      </c>
      <c r="AT1011" s="10" t="b">
        <f>IF(AND(I1011="TN",S1011&lt;=2800),VLOOKUP(AF1011,TNCalibEq2500!$AZ$2:$BB$56,3,),IF(AND(I1011="TDN",S1011&lt;=2800),VLOOKUP(AF1011,TNCalibEq2500!$AZ$2:$BB$56,3,)))</f>
        <v>0</v>
      </c>
      <c r="AU1011" s="10" t="b">
        <f>IF(I1011="TP",VLOOKUP(AF1011,TPCalibEqFull!$AZ$2:$BB$56,3),IF(I1011="TDP",VLOOKUP(AF1011,TPCalibEqFull!$AZ$2:$BB$56,3),IF(I1011="TDN",VLOOKUP(AF1011,TNCalibEqFull!$AZ$1:$BB$56,3),IF(I1011="TN",VLOOKUP(AF1011,TNCalibEqFull!$AZ$1:$BB$56,3),FALSE))))</f>
        <v>0</v>
      </c>
      <c r="AV1011" s="10" t="str">
        <f t="shared" si="113"/>
        <v>0124 09:00:00-QAC-BLK-A-1-DI-SPK</v>
      </c>
    </row>
    <row r="1012" spans="1:48" s="10" customFormat="1" x14ac:dyDescent="0.55000000000000004">
      <c r="A1012" s="32">
        <v>44950</v>
      </c>
      <c r="B1012" s="33">
        <v>0.375</v>
      </c>
      <c r="C1012" s="10" t="s">
        <v>70</v>
      </c>
      <c r="D1012" s="10" t="s">
        <v>71</v>
      </c>
      <c r="E1012" s="10" t="s">
        <v>316</v>
      </c>
      <c r="F1012" s="10">
        <v>1</v>
      </c>
      <c r="G1012" s="10" t="s">
        <v>73</v>
      </c>
      <c r="H1012" s="10" t="s">
        <v>74</v>
      </c>
      <c r="I1012" s="10" t="s">
        <v>256</v>
      </c>
      <c r="J1012" s="10">
        <v>189</v>
      </c>
      <c r="K1012" s="12">
        <v>44950</v>
      </c>
      <c r="L1012" s="33">
        <v>0.46206018518518516</v>
      </c>
      <c r="M1012" s="10">
        <v>1</v>
      </c>
      <c r="N1012" s="10" t="s">
        <v>169</v>
      </c>
      <c r="O1012" s="10">
        <v>8.26</v>
      </c>
      <c r="P1012" s="10">
        <v>0.47699999999999998</v>
      </c>
      <c r="Q1012" s="10">
        <v>1260</v>
      </c>
      <c r="R1012" s="10" t="s">
        <v>77</v>
      </c>
      <c r="S1012" s="34">
        <f t="shared" si="109"/>
        <v>1260</v>
      </c>
      <c r="T1012" s="10" t="s">
        <v>1058</v>
      </c>
      <c r="U1012" s="34" t="str">
        <f t="shared" si="110"/>
        <v/>
      </c>
      <c r="V1012" s="31" t="str">
        <f>IF(H1012="CHK",VLOOKUP(I1012,QCCHK,3,),IF(H1012="GUP",VLOOKUP(E1012,QCGUP,2,),IF(AND(H1012="ATP",OR(I1012="TN",I1012="TDN",I1012="TNO2-3",I1012="NO2-3")),VLOOKUP(E1012,QCREC_N,2,),IF(AND(H1012="NIC",OR(I1012="TN",I1012="TDN",I1012="TNO2-3",I1012="NO2-3")),VLOOKUP(E1012,QCNIC_N,2,),IF(AND(H1012="UREA",OR(I1012="TN",I1012="TDN",I1012="TNO2-3",I1012="NO2-3")),VLOOKUP(E1012,QCUREA_N,2,),IF(H1012="PER",VLOOKUP(I1012,QCPER,MATCH(E1012,QCACTUAL!$J$25:$AA$25,0),),IF(H1012="SPK",VLOOKUP(I1012,QCSPK,3,),IF(AND(H1012="ATP",OR(I1012="TP",I1012="TDP")),VLOOKUP(E1012,QCATP_P,2,),""))))))))</f>
        <v/>
      </c>
      <c r="W1012" s="31" t="str">
        <f t="shared" si="111"/>
        <v>TRUE</v>
      </c>
      <c r="X1012" s="31" t="str">
        <f t="shared" si="112"/>
        <v/>
      </c>
      <c r="Y1012" s="10" t="s">
        <v>1040</v>
      </c>
      <c r="AL1012" s="10" t="str">
        <f t="shared" si="107"/>
        <v>FALSE</v>
      </c>
      <c r="AM1012" s="10" t="str">
        <f t="shared" si="107"/>
        <v>FALSE</v>
      </c>
      <c r="AN1012" s="10" t="str">
        <f t="shared" si="107"/>
        <v>FALSE</v>
      </c>
      <c r="AO1012" s="10" t="str">
        <f t="shared" si="108"/>
        <v>FALSE</v>
      </c>
      <c r="AP1012" s="10" t="str">
        <f t="shared" si="108"/>
        <v>FALSE</v>
      </c>
      <c r="AQ1012" s="10" t="b">
        <f>IF(AND(I1012="TP",S1012&lt;=150),VLOOKUP(AF1012,TPCalibEq150!$AZ$2:$BB$55,3,),IF(AND(I1012="TDP",S1012&lt;=150),VLOOKUP(AF1012,TPCalibEq150!$AZ$2:$BB$55,3,)))</f>
        <v>0</v>
      </c>
      <c r="AR1012" s="10" t="b">
        <f>IF(AND(I1012="TP",S1012&lt;=300),VLOOKUP(AF1012,TPCalibEq300!$AZ$2:$BB$55,3,),IF(AND(I1012="TDP",S1012&lt;=300),VLOOKUP(AF1012,TPCalibEq300!$AZ$2:$BB$55,3,)))</f>
        <v>0</v>
      </c>
      <c r="AS1012" s="10" t="b">
        <f>IF(AND(I1012="TP",S1012&lt;=500),VLOOKUP(AF1012,TPCalibEq500!$AZ$2:$BB$56,3,),IF(AND(I1012="TDP",S1012&lt;=500),VLOOKUP(AF1012,TPCalibEq500!$AZ$2:$BB$56,3,)))</f>
        <v>0</v>
      </c>
      <c r="AT1012" s="10" t="b">
        <f>IF(AND(I1012="TN",S1012&lt;=2800),VLOOKUP(AF1012,TNCalibEq2500!$AZ$2:$BB$56,3,),IF(AND(I1012="TDN",S1012&lt;=2800),VLOOKUP(AF1012,TNCalibEq2500!$AZ$2:$BB$56,3,)))</f>
        <v>0</v>
      </c>
      <c r="AU1012" s="10" t="b">
        <f>IF(I1012="TP",VLOOKUP(AF1012,TPCalibEqFull!$AZ$2:$BB$56,3),IF(I1012="TDP",VLOOKUP(AF1012,TPCalibEqFull!$AZ$2:$BB$56,3),IF(I1012="TDN",VLOOKUP(AF1012,TNCalibEqFull!$AZ$1:$BB$56,3),IF(I1012="TN",VLOOKUP(AF1012,TNCalibEqFull!$AZ$1:$BB$56,3),FALSE))))</f>
        <v>0</v>
      </c>
      <c r="AV1012" s="10" t="str">
        <f t="shared" si="113"/>
        <v>0124 09:00:00-QAC-STD-NO2-1-DI-CAL</v>
      </c>
    </row>
    <row r="1013" spans="1:48" s="10" customFormat="1" x14ac:dyDescent="0.55000000000000004">
      <c r="A1013" s="32">
        <v>45247</v>
      </c>
      <c r="B1013" s="33">
        <v>0.25</v>
      </c>
      <c r="C1013" s="10" t="s">
        <v>70</v>
      </c>
      <c r="D1013" s="10" t="s">
        <v>241</v>
      </c>
      <c r="E1013" s="10" t="s">
        <v>866</v>
      </c>
      <c r="F1013" s="10">
        <v>1</v>
      </c>
      <c r="G1013" s="10" t="s">
        <v>73</v>
      </c>
      <c r="H1013" s="10" t="s">
        <v>264</v>
      </c>
      <c r="I1013" s="10" t="s">
        <v>256</v>
      </c>
      <c r="J1013" s="10">
        <v>63</v>
      </c>
      <c r="K1013" s="12">
        <v>44950</v>
      </c>
      <c r="L1013" s="33">
        <v>0.46369212962962963</v>
      </c>
      <c r="M1013" s="10">
        <v>1</v>
      </c>
      <c r="N1013" s="10" t="s">
        <v>169</v>
      </c>
      <c r="O1013" s="10">
        <v>6.7200000000000003E-3</v>
      </c>
      <c r="P1013" s="10">
        <v>9.2000000000000003E-4</v>
      </c>
      <c r="Q1013" s="10">
        <v>1.03</v>
      </c>
      <c r="R1013" s="10" t="s">
        <v>77</v>
      </c>
      <c r="S1013" s="34">
        <f t="shared" si="109"/>
        <v>1.03</v>
      </c>
      <c r="T1013" s="10" t="s">
        <v>1058</v>
      </c>
      <c r="U1013" s="34">
        <f t="shared" si="110"/>
        <v>1.03</v>
      </c>
      <c r="V1013" s="31" t="str">
        <f>IF(H1013="CHK",VLOOKUP(I1013,QCCHK,3,),IF(H1013="GUP",VLOOKUP(E1013,QCGUP,2,),IF(AND(H1013="ATP",OR(I1013="TN",I1013="TDN",I1013="TNO2-3",I1013="NO2-3")),VLOOKUP(E1013,QCREC_N,2,),IF(AND(H1013="NIC",OR(I1013="TN",I1013="TDN",I1013="TNO2-3",I1013="NO2-3")),VLOOKUP(E1013,QCNIC_N,2,),IF(AND(H1013="UREA",OR(I1013="TN",I1013="TDN",I1013="TNO2-3",I1013="NO2-3")),VLOOKUP(E1013,QCUREA_N,2,),IF(H1013="PER",VLOOKUP(I1013,QCPER,MATCH(E1013,QCACTUAL!$J$25:$AA$25,0),),IF(H1013="SPK",VLOOKUP(I1013,QCSPK,3,),IF(AND(H1013="ATP",OR(I1013="TP",I1013="TDP")),VLOOKUP(E1013,QCATP_P,2,),""))))))))</f>
        <v/>
      </c>
      <c r="W1013" s="31" t="str">
        <f t="shared" si="111"/>
        <v>TRUE</v>
      </c>
      <c r="X1013" s="31" t="str">
        <f t="shared" si="112"/>
        <v>nominal concentration</v>
      </c>
      <c r="Y1013" s="10" t="s">
        <v>1040</v>
      </c>
      <c r="Z1013" s="10" t="s">
        <v>910</v>
      </c>
      <c r="AL1013" s="10" t="str">
        <f t="shared" si="107"/>
        <v>FALSE</v>
      </c>
      <c r="AM1013" s="10" t="str">
        <f t="shared" si="107"/>
        <v>FALSE</v>
      </c>
      <c r="AN1013" s="10" t="str">
        <f t="shared" si="107"/>
        <v>FALSE</v>
      </c>
      <c r="AO1013" s="10" t="str">
        <f t="shared" si="108"/>
        <v>FALSE</v>
      </c>
      <c r="AP1013" s="10" t="str">
        <f t="shared" si="108"/>
        <v>FALSE</v>
      </c>
      <c r="AQ1013" s="10" t="b">
        <f>IF(AND(I1013="TP",S1013&lt;=150),VLOOKUP(AF1013,TPCalibEq150!$AZ$2:$BB$55,3,),IF(AND(I1013="TDP",S1013&lt;=150),VLOOKUP(AF1013,TPCalibEq150!$AZ$2:$BB$55,3,)))</f>
        <v>0</v>
      </c>
      <c r="AR1013" s="10" t="b">
        <f>IF(AND(I1013="TP",S1013&lt;=300),VLOOKUP(AF1013,TPCalibEq300!$AZ$2:$BB$55,3,),IF(AND(I1013="TDP",S1013&lt;=300),VLOOKUP(AF1013,TPCalibEq300!$AZ$2:$BB$55,3,)))</f>
        <v>0</v>
      </c>
      <c r="AS1013" s="10" t="b">
        <f>IF(AND(I1013="TP",S1013&lt;=500),VLOOKUP(AF1013,TPCalibEq500!$AZ$2:$BB$56,3,),IF(AND(I1013="TDP",S1013&lt;=500),VLOOKUP(AF1013,TPCalibEq500!$AZ$2:$BB$56,3,)))</f>
        <v>0</v>
      </c>
      <c r="AT1013" s="10" t="b">
        <f>IF(AND(I1013="TN",S1013&lt;=2800),VLOOKUP(AF1013,TNCalibEq2500!$AZ$2:$BB$56,3,),IF(AND(I1013="TDN",S1013&lt;=2800),VLOOKUP(AF1013,TNCalibEq2500!$AZ$2:$BB$56,3,)))</f>
        <v>0</v>
      </c>
      <c r="AU1013" s="10" t="b">
        <f>IF(I1013="TP",VLOOKUP(AF1013,TPCalibEqFull!$AZ$2:$BB$56,3),IF(I1013="TDP",VLOOKUP(AF1013,TPCalibEqFull!$AZ$2:$BB$56,3),IF(I1013="TDN",VLOOKUP(AF1013,TNCalibEqFull!$AZ$1:$BB$56,3),IF(I1013="TN",VLOOKUP(AF1013,TNCalibEqFull!$AZ$1:$BB$56,3),FALSE))))</f>
        <v>0</v>
      </c>
      <c r="AV1013" s="10" t="str">
        <f t="shared" si="113"/>
        <v>1117 06:00:00-QAC-BLK-A-1-DI-FLD</v>
      </c>
    </row>
    <row r="1014" spans="1:48" s="10" customFormat="1" x14ac:dyDescent="0.55000000000000004">
      <c r="A1014" s="32">
        <v>45248</v>
      </c>
      <c r="B1014" s="33">
        <v>0.3833333333333333</v>
      </c>
      <c r="C1014" s="10" t="s">
        <v>70</v>
      </c>
      <c r="D1014" s="10" t="s">
        <v>241</v>
      </c>
      <c r="E1014" s="10" t="s">
        <v>866</v>
      </c>
      <c r="F1014" s="10">
        <v>1</v>
      </c>
      <c r="G1014" s="10" t="s">
        <v>73</v>
      </c>
      <c r="H1014" s="10" t="s">
        <v>245</v>
      </c>
      <c r="I1014" s="10" t="s">
        <v>256</v>
      </c>
      <c r="J1014" s="10">
        <v>64</v>
      </c>
      <c r="K1014" s="12">
        <v>44950</v>
      </c>
      <c r="L1014" s="33">
        <v>0.4645023148148148</v>
      </c>
      <c r="M1014" s="10">
        <v>1</v>
      </c>
      <c r="N1014" s="10" t="s">
        <v>169</v>
      </c>
      <c r="O1014" s="10">
        <v>0.02</v>
      </c>
      <c r="P1014" s="10">
        <v>1.4E-3</v>
      </c>
      <c r="Q1014" s="10">
        <v>3.06</v>
      </c>
      <c r="R1014" s="10" t="s">
        <v>77</v>
      </c>
      <c r="S1014" s="34">
        <f t="shared" si="109"/>
        <v>3.06</v>
      </c>
      <c r="T1014" s="10" t="s">
        <v>1058</v>
      </c>
      <c r="U1014" s="34">
        <f t="shared" si="110"/>
        <v>3.06</v>
      </c>
      <c r="V1014" s="31" t="str">
        <f>IF(H1014="CHK",VLOOKUP(I1014,QCCHK,3,),IF(H1014="GUP",VLOOKUP(E1014,QCGUP,2,),IF(AND(H1014="ATP",OR(I1014="TN",I1014="TDN",I1014="TNO2-3",I1014="NO2-3")),VLOOKUP(E1014,QCREC_N,2,),IF(AND(H1014="NIC",OR(I1014="TN",I1014="TDN",I1014="TNO2-3",I1014="NO2-3")),VLOOKUP(E1014,QCNIC_N,2,),IF(AND(H1014="UREA",OR(I1014="TN",I1014="TDN",I1014="TNO2-3",I1014="NO2-3")),VLOOKUP(E1014,QCUREA_N,2,),IF(H1014="PER",VLOOKUP(I1014,QCPER,MATCH(E1014,QCACTUAL!$J$25:$AA$25,0),),IF(H1014="SPK",VLOOKUP(I1014,QCSPK,3,),IF(AND(H1014="ATP",OR(I1014="TP",I1014="TDP")),VLOOKUP(E1014,QCATP_P,2,),""))))))))</f>
        <v/>
      </c>
      <c r="W1014" s="31" t="str">
        <f t="shared" si="111"/>
        <v>TRUE</v>
      </c>
      <c r="X1014" s="31" t="str">
        <f t="shared" si="112"/>
        <v>nominal concentration</v>
      </c>
      <c r="Y1014" s="10" t="s">
        <v>1040</v>
      </c>
      <c r="Z1014" s="10" t="s">
        <v>910</v>
      </c>
      <c r="AL1014" s="10" t="str">
        <f t="shared" si="107"/>
        <v>FALSE</v>
      </c>
      <c r="AM1014" s="10" t="str">
        <f t="shared" si="107"/>
        <v>FALSE</v>
      </c>
      <c r="AN1014" s="10" t="str">
        <f t="shared" si="107"/>
        <v>FALSE</v>
      </c>
      <c r="AO1014" s="10" t="str">
        <f t="shared" si="108"/>
        <v>FALSE</v>
      </c>
      <c r="AP1014" s="10" t="str">
        <f t="shared" si="108"/>
        <v>FALSE</v>
      </c>
      <c r="AQ1014" s="10" t="b">
        <f>IF(AND(I1014="TP",S1014&lt;=150),VLOOKUP(AF1014,TPCalibEq150!$AZ$2:$BB$55,3,),IF(AND(I1014="TDP",S1014&lt;=150),VLOOKUP(AF1014,TPCalibEq150!$AZ$2:$BB$55,3,)))</f>
        <v>0</v>
      </c>
      <c r="AR1014" s="10" t="b">
        <f>IF(AND(I1014="TP",S1014&lt;=300),VLOOKUP(AF1014,TPCalibEq300!$AZ$2:$BB$55,3,),IF(AND(I1014="TDP",S1014&lt;=300),VLOOKUP(AF1014,TPCalibEq300!$AZ$2:$BB$55,3,)))</f>
        <v>0</v>
      </c>
      <c r="AS1014" s="10" t="b">
        <f>IF(AND(I1014="TP",S1014&lt;=500),VLOOKUP(AF1014,TPCalibEq500!$AZ$2:$BB$56,3,),IF(AND(I1014="TDP",S1014&lt;=500),VLOOKUP(AF1014,TPCalibEq500!$AZ$2:$BB$56,3,)))</f>
        <v>0</v>
      </c>
      <c r="AT1014" s="10" t="b">
        <f>IF(AND(I1014="TN",S1014&lt;=2800),VLOOKUP(AF1014,TNCalibEq2500!$AZ$2:$BB$56,3,),IF(AND(I1014="TDN",S1014&lt;=2800),VLOOKUP(AF1014,TNCalibEq2500!$AZ$2:$BB$56,3,)))</f>
        <v>0</v>
      </c>
      <c r="AU1014" s="10" t="b">
        <f>IF(I1014="TP",VLOOKUP(AF1014,TPCalibEqFull!$AZ$2:$BB$56,3),IF(I1014="TDP",VLOOKUP(AF1014,TPCalibEqFull!$AZ$2:$BB$56,3),IF(I1014="TDN",VLOOKUP(AF1014,TNCalibEqFull!$AZ$1:$BB$56,3),IF(I1014="TN",VLOOKUP(AF1014,TNCalibEqFull!$AZ$1:$BB$56,3),FALSE))))</f>
        <v>0</v>
      </c>
      <c r="AV1014" s="10" t="str">
        <f t="shared" si="113"/>
        <v>1118 09:12:00-QAC-BLK-A-1-DI-ESF</v>
      </c>
    </row>
    <row r="1015" spans="1:48" s="10" customFormat="1" x14ac:dyDescent="0.55000000000000004">
      <c r="A1015" s="32">
        <v>45247</v>
      </c>
      <c r="B1015" s="33">
        <v>0.25</v>
      </c>
      <c r="C1015" s="10" t="s">
        <v>70</v>
      </c>
      <c r="D1015" s="10" t="s">
        <v>241</v>
      </c>
      <c r="E1015" s="10" t="s">
        <v>911</v>
      </c>
      <c r="F1015" s="10">
        <v>1</v>
      </c>
      <c r="G1015" s="10" t="s">
        <v>73</v>
      </c>
      <c r="H1015" s="10" t="s">
        <v>264</v>
      </c>
      <c r="I1015" s="10" t="s">
        <v>256</v>
      </c>
      <c r="J1015" s="10">
        <v>65</v>
      </c>
      <c r="K1015" s="12">
        <v>44950</v>
      </c>
      <c r="L1015" s="33">
        <v>0.46532407407407406</v>
      </c>
      <c r="M1015" s="10">
        <v>1</v>
      </c>
      <c r="N1015" s="10" t="s">
        <v>169</v>
      </c>
      <c r="O1015" s="10">
        <v>2.81E-2</v>
      </c>
      <c r="P1015" s="10">
        <v>1.1299999999999999E-3</v>
      </c>
      <c r="Q1015" s="10">
        <v>4.29</v>
      </c>
      <c r="R1015" s="10" t="s">
        <v>77</v>
      </c>
      <c r="S1015" s="34">
        <f t="shared" si="109"/>
        <v>4.29</v>
      </c>
      <c r="T1015" s="10" t="s">
        <v>1058</v>
      </c>
      <c r="U1015" s="34">
        <f t="shared" si="110"/>
        <v>4.29</v>
      </c>
      <c r="V1015" s="31" t="str">
        <f>IF(H1015="CHK",VLOOKUP(I1015,QCCHK,3,),IF(H1015="GUP",VLOOKUP(E1015,QCGUP,2,),IF(AND(H1015="ATP",OR(I1015="TN",I1015="TDN",I1015="TNO2-3",I1015="NO2-3")),VLOOKUP(E1015,QCREC_N,2,),IF(AND(H1015="NIC",OR(I1015="TN",I1015="TDN",I1015="TNO2-3",I1015="NO2-3")),VLOOKUP(E1015,QCNIC_N,2,),IF(AND(H1015="UREA",OR(I1015="TN",I1015="TDN",I1015="TNO2-3",I1015="NO2-3")),VLOOKUP(E1015,QCUREA_N,2,),IF(H1015="PER",VLOOKUP(I1015,QCPER,MATCH(E1015,QCACTUAL!$J$25:$AA$25,0),),IF(H1015="SPK",VLOOKUP(I1015,QCSPK,3,),IF(AND(H1015="ATP",OR(I1015="TP",I1015="TDP")),VLOOKUP(E1015,QCATP_P,2,),""))))))))</f>
        <v/>
      </c>
      <c r="W1015" s="31" t="str">
        <f t="shared" si="111"/>
        <v>TRUE</v>
      </c>
      <c r="X1015" s="31" t="str">
        <f t="shared" si="112"/>
        <v>nominal concentration</v>
      </c>
      <c r="Y1015" s="10" t="s">
        <v>1040</v>
      </c>
      <c r="Z1015" s="10" t="s">
        <v>910</v>
      </c>
      <c r="AL1015" s="10" t="str">
        <f t="shared" si="107"/>
        <v>FALSE</v>
      </c>
      <c r="AM1015" s="10" t="str">
        <f t="shared" si="107"/>
        <v>FALSE</v>
      </c>
      <c r="AN1015" s="10" t="str">
        <f t="shared" si="107"/>
        <v>FALSE</v>
      </c>
      <c r="AO1015" s="10" t="str">
        <f t="shared" si="108"/>
        <v>FALSE</v>
      </c>
      <c r="AP1015" s="10" t="str">
        <f t="shared" si="108"/>
        <v>FALSE</v>
      </c>
      <c r="AQ1015" s="10" t="b">
        <f>IF(AND(I1015="TP",S1015&lt;=150),VLOOKUP(AF1015,TPCalibEq150!$AZ$2:$BB$55,3,),IF(AND(I1015="TDP",S1015&lt;=150),VLOOKUP(AF1015,TPCalibEq150!$AZ$2:$BB$55,3,)))</f>
        <v>0</v>
      </c>
      <c r="AR1015" s="10" t="b">
        <f>IF(AND(I1015="TP",S1015&lt;=300),VLOOKUP(AF1015,TPCalibEq300!$AZ$2:$BB$55,3,),IF(AND(I1015="TDP",S1015&lt;=300),VLOOKUP(AF1015,TPCalibEq300!$AZ$2:$BB$55,3,)))</f>
        <v>0</v>
      </c>
      <c r="AS1015" s="10" t="b">
        <f>IF(AND(I1015="TP",S1015&lt;=500),VLOOKUP(AF1015,TPCalibEq500!$AZ$2:$BB$56,3,),IF(AND(I1015="TDP",S1015&lt;=500),VLOOKUP(AF1015,TPCalibEq500!$AZ$2:$BB$56,3,)))</f>
        <v>0</v>
      </c>
      <c r="AT1015" s="10" t="b">
        <f>IF(AND(I1015="TN",S1015&lt;=2800),VLOOKUP(AF1015,TNCalibEq2500!$AZ$2:$BB$56,3,),IF(AND(I1015="TDN",S1015&lt;=2800),VLOOKUP(AF1015,TNCalibEq2500!$AZ$2:$BB$56,3,)))</f>
        <v>0</v>
      </c>
      <c r="AU1015" s="10" t="b">
        <f>IF(I1015="TP",VLOOKUP(AF1015,TPCalibEqFull!$AZ$2:$BB$56,3),IF(I1015="TDP",VLOOKUP(AF1015,TPCalibEqFull!$AZ$2:$BB$56,3),IF(I1015="TDN",VLOOKUP(AF1015,TNCalibEqFull!$AZ$1:$BB$56,3),IF(I1015="TN",VLOOKUP(AF1015,TNCalibEqFull!$AZ$1:$BB$56,3),FALSE))))</f>
        <v>0</v>
      </c>
      <c r="AV1015" s="10" t="str">
        <f t="shared" si="113"/>
        <v>1117 06:00:00-QAC-BLK-FIL-1-DI-FLD</v>
      </c>
    </row>
    <row r="1016" spans="1:48" s="10" customFormat="1" x14ac:dyDescent="0.55000000000000004">
      <c r="A1016" s="32">
        <v>45248</v>
      </c>
      <c r="B1016" s="33">
        <v>0.3833333333333333</v>
      </c>
      <c r="C1016" s="10" t="s">
        <v>70</v>
      </c>
      <c r="D1016" s="10" t="s">
        <v>241</v>
      </c>
      <c r="E1016" s="10" t="s">
        <v>911</v>
      </c>
      <c r="F1016" s="10">
        <v>1</v>
      </c>
      <c r="G1016" s="10" t="s">
        <v>73</v>
      </c>
      <c r="H1016" s="10" t="s">
        <v>245</v>
      </c>
      <c r="I1016" s="10" t="s">
        <v>256</v>
      </c>
      <c r="J1016" s="10">
        <v>66</v>
      </c>
      <c r="K1016" s="12">
        <v>44950</v>
      </c>
      <c r="L1016" s="33">
        <v>0.46614583333333331</v>
      </c>
      <c r="M1016" s="10">
        <v>1</v>
      </c>
      <c r="N1016" s="10" t="s">
        <v>169</v>
      </c>
      <c r="O1016" s="10">
        <v>1.7899999999999999E-2</v>
      </c>
      <c r="P1016" s="10">
        <v>1.14E-3</v>
      </c>
      <c r="Q1016" s="10">
        <v>2.74</v>
      </c>
      <c r="R1016" s="10" t="s">
        <v>77</v>
      </c>
      <c r="S1016" s="34">
        <f t="shared" si="109"/>
        <v>2.74</v>
      </c>
      <c r="T1016" s="10" t="s">
        <v>1058</v>
      </c>
      <c r="U1016" s="34">
        <f t="shared" si="110"/>
        <v>2.74</v>
      </c>
      <c r="V1016" s="31" t="str">
        <f>IF(H1016="CHK",VLOOKUP(I1016,QCCHK,3,),IF(H1016="GUP",VLOOKUP(E1016,QCGUP,2,),IF(AND(H1016="ATP",OR(I1016="TN",I1016="TDN",I1016="TNO2-3",I1016="NO2-3")),VLOOKUP(E1016,QCREC_N,2,),IF(AND(H1016="NIC",OR(I1016="TN",I1016="TDN",I1016="TNO2-3",I1016="NO2-3")),VLOOKUP(E1016,QCNIC_N,2,),IF(AND(H1016="UREA",OR(I1016="TN",I1016="TDN",I1016="TNO2-3",I1016="NO2-3")),VLOOKUP(E1016,QCUREA_N,2,),IF(H1016="PER",VLOOKUP(I1016,QCPER,MATCH(E1016,QCACTUAL!$J$25:$AA$25,0),),IF(H1016="SPK",VLOOKUP(I1016,QCSPK,3,),IF(AND(H1016="ATP",OR(I1016="TP",I1016="TDP")),VLOOKUP(E1016,QCATP_P,2,),""))))))))</f>
        <v/>
      </c>
      <c r="W1016" s="31" t="str">
        <f t="shared" si="111"/>
        <v>TRUE</v>
      </c>
      <c r="X1016" s="31" t="str">
        <f t="shared" si="112"/>
        <v>nominal concentration</v>
      </c>
      <c r="Y1016" s="10" t="s">
        <v>1040</v>
      </c>
      <c r="Z1016" s="10" t="s">
        <v>910</v>
      </c>
      <c r="AL1016" s="10" t="str">
        <f t="shared" ref="AL1016:AN1079" si="114">IF($O1016="", "", IF(AQ1016&lt;&gt;"", SUBSTITUTE(SUBSTITUTE(AQ1016, "x", "*"&amp;$O1016&amp;"^", 1), "x", "*"&amp;$O1016, 1), ""))</f>
        <v>FALSE</v>
      </c>
      <c r="AM1016" s="10" t="str">
        <f t="shared" si="114"/>
        <v>FALSE</v>
      </c>
      <c r="AN1016" s="10" t="str">
        <f t="shared" si="114"/>
        <v>FALSE</v>
      </c>
      <c r="AO1016" s="10" t="str">
        <f t="shared" ref="AO1016:AP1079" si="115">IF($O1016="", "FALSE", IF(AT1016&lt;&gt;"FALSE", SUBSTITUTE(SUBSTITUTE(AT1016, "x", "*"&amp;$O1016&amp;"^", 1), "x", "*"&amp;$O1016, 1), ""))</f>
        <v>FALSE</v>
      </c>
      <c r="AP1016" s="10" t="str">
        <f t="shared" si="115"/>
        <v>FALSE</v>
      </c>
      <c r="AQ1016" s="10" t="b">
        <f>IF(AND(I1016="TP",S1016&lt;=150),VLOOKUP(AF1016,TPCalibEq150!$AZ$2:$BB$55,3,),IF(AND(I1016="TDP",S1016&lt;=150),VLOOKUP(AF1016,TPCalibEq150!$AZ$2:$BB$55,3,)))</f>
        <v>0</v>
      </c>
      <c r="AR1016" s="10" t="b">
        <f>IF(AND(I1016="TP",S1016&lt;=300),VLOOKUP(AF1016,TPCalibEq300!$AZ$2:$BB$55,3,),IF(AND(I1016="TDP",S1016&lt;=300),VLOOKUP(AF1016,TPCalibEq300!$AZ$2:$BB$55,3,)))</f>
        <v>0</v>
      </c>
      <c r="AS1016" s="10" t="b">
        <f>IF(AND(I1016="TP",S1016&lt;=500),VLOOKUP(AF1016,TPCalibEq500!$AZ$2:$BB$56,3,),IF(AND(I1016="TDP",S1016&lt;=500),VLOOKUP(AF1016,TPCalibEq500!$AZ$2:$BB$56,3,)))</f>
        <v>0</v>
      </c>
      <c r="AT1016" s="10" t="b">
        <f>IF(AND(I1016="TN",S1016&lt;=2800),VLOOKUP(AF1016,TNCalibEq2500!$AZ$2:$BB$56,3,),IF(AND(I1016="TDN",S1016&lt;=2800),VLOOKUP(AF1016,TNCalibEq2500!$AZ$2:$BB$56,3,)))</f>
        <v>0</v>
      </c>
      <c r="AU1016" s="10" t="b">
        <f>IF(I1016="TP",VLOOKUP(AF1016,TPCalibEqFull!$AZ$2:$BB$56,3),IF(I1016="TDP",VLOOKUP(AF1016,TPCalibEqFull!$AZ$2:$BB$56,3),IF(I1016="TDN",VLOOKUP(AF1016,TNCalibEqFull!$AZ$1:$BB$56,3),IF(I1016="TN",VLOOKUP(AF1016,TNCalibEqFull!$AZ$1:$BB$56,3),FALSE))))</f>
        <v>0</v>
      </c>
      <c r="AV1016" s="10" t="str">
        <f t="shared" si="113"/>
        <v>1118 09:12:00-QAC-BLK-FIL-1-DI-ESF</v>
      </c>
    </row>
    <row r="1017" spans="1:48" s="10" customFormat="1" x14ac:dyDescent="0.55000000000000004">
      <c r="A1017" s="32">
        <v>44937</v>
      </c>
      <c r="B1017" s="33">
        <v>0.24027777777777778</v>
      </c>
      <c r="C1017" s="10" t="s">
        <v>279</v>
      </c>
      <c r="D1017" s="10">
        <v>0</v>
      </c>
      <c r="E1017" s="10" t="s">
        <v>190</v>
      </c>
      <c r="F1017" s="10">
        <v>1</v>
      </c>
      <c r="G1017" s="10" t="s">
        <v>231</v>
      </c>
      <c r="H1017" s="10" t="s">
        <v>322</v>
      </c>
      <c r="I1017" s="10" t="s">
        <v>256</v>
      </c>
      <c r="J1017" s="10">
        <v>1</v>
      </c>
      <c r="K1017" s="12">
        <v>44950</v>
      </c>
      <c r="L1017" s="33">
        <v>0.46696759259259263</v>
      </c>
      <c r="M1017" s="10">
        <v>1</v>
      </c>
      <c r="N1017" s="10" t="s">
        <v>169</v>
      </c>
      <c r="O1017" s="10">
        <v>4.78</v>
      </c>
      <c r="P1017" s="10">
        <v>0.27200000000000002</v>
      </c>
      <c r="Q1017" s="10">
        <v>730</v>
      </c>
      <c r="R1017" s="10" t="s">
        <v>77</v>
      </c>
      <c r="S1017" s="34">
        <f t="shared" si="109"/>
        <v>730</v>
      </c>
      <c r="T1017" s="10" t="s">
        <v>1058</v>
      </c>
      <c r="U1017" s="34" t="str">
        <f t="shared" si="110"/>
        <v/>
      </c>
      <c r="V1017" s="31" t="str">
        <f>IF(H1017="CHK",VLOOKUP(I1017,QCCHK,3,),IF(H1017="GUP",VLOOKUP(E1017,QCGUP,2,),IF(AND(H1017="ATP",OR(I1017="TN",I1017="TDN",I1017="TNO2-3",I1017="NO2-3")),VLOOKUP(E1017,QCREC_N,2,),IF(AND(H1017="NIC",OR(I1017="TN",I1017="TDN",I1017="TNO2-3",I1017="NO2-3")),VLOOKUP(E1017,QCNIC_N,2,),IF(AND(H1017="UREA",OR(I1017="TN",I1017="TDN",I1017="TNO2-3",I1017="NO2-3")),VLOOKUP(E1017,QCUREA_N,2,),IF(H1017="PER",VLOOKUP(I1017,QCPER,MATCH(E1017,QCACTUAL!$J$25:$AA$25,0),),IF(H1017="SPK",VLOOKUP(I1017,QCSPK,3,),IF(AND(H1017="ATP",OR(I1017="TP",I1017="TDP")),VLOOKUP(E1017,QCATP_P,2,),""))))))))</f>
        <v/>
      </c>
      <c r="W1017" s="31" t="str">
        <f t="shared" si="111"/>
        <v>TRUE</v>
      </c>
      <c r="X1017" s="31" t="str">
        <f t="shared" si="112"/>
        <v/>
      </c>
      <c r="Y1017" s="10" t="s">
        <v>1040</v>
      </c>
      <c r="Z1017" s="10" t="s">
        <v>910</v>
      </c>
      <c r="AL1017" s="10" t="str">
        <f t="shared" si="114"/>
        <v>FALSE</v>
      </c>
      <c r="AM1017" s="10" t="str">
        <f t="shared" si="114"/>
        <v>FALSE</v>
      </c>
      <c r="AN1017" s="10" t="str">
        <f t="shared" si="114"/>
        <v>FALSE</v>
      </c>
      <c r="AO1017" s="10" t="str">
        <f t="shared" si="115"/>
        <v>FALSE</v>
      </c>
      <c r="AP1017" s="10" t="str">
        <f t="shared" si="115"/>
        <v>FALSE</v>
      </c>
      <c r="AQ1017" s="10" t="b">
        <f>IF(AND(I1017="TP",S1017&lt;=150),VLOOKUP(AF1017,TPCalibEq150!$AZ$2:$BB$55,3,),IF(AND(I1017="TDP",S1017&lt;=150),VLOOKUP(AF1017,TPCalibEq150!$AZ$2:$BB$55,3,)))</f>
        <v>0</v>
      </c>
      <c r="AR1017" s="10" t="b">
        <f>IF(AND(I1017="TP",S1017&lt;=300),VLOOKUP(AF1017,TPCalibEq300!$AZ$2:$BB$55,3,),IF(AND(I1017="TDP",S1017&lt;=300),VLOOKUP(AF1017,TPCalibEq300!$AZ$2:$BB$55,3,)))</f>
        <v>0</v>
      </c>
      <c r="AS1017" s="10" t="b">
        <f>IF(AND(I1017="TP",S1017&lt;=500),VLOOKUP(AF1017,TPCalibEq500!$AZ$2:$BB$56,3,),IF(AND(I1017="TDP",S1017&lt;=500),VLOOKUP(AF1017,TPCalibEq500!$AZ$2:$BB$56,3,)))</f>
        <v>0</v>
      </c>
      <c r="AT1017" s="10" t="b">
        <f>IF(AND(I1017="TN",S1017&lt;=2800),VLOOKUP(AF1017,TNCalibEq2500!$AZ$2:$BB$56,3,),IF(AND(I1017="TDN",S1017&lt;=2800),VLOOKUP(AF1017,TNCalibEq2500!$AZ$2:$BB$56,3,)))</f>
        <v>0</v>
      </c>
      <c r="AU1017" s="10" t="b">
        <f>IF(I1017="TP",VLOOKUP(AF1017,TPCalibEqFull!$AZ$2:$BB$56,3),IF(I1017="TDP",VLOOKUP(AF1017,TPCalibEqFull!$AZ$2:$BB$56,3),IF(I1017="TDN",VLOOKUP(AF1017,TNCalibEqFull!$AZ$1:$BB$56,3),IF(I1017="TN",VLOOKUP(AF1017,TNCalibEqFull!$AZ$1:$BB$56,3),FALSE))))</f>
        <v>0</v>
      </c>
      <c r="AV1017" s="10" t="str">
        <f t="shared" si="113"/>
        <v>0111 05:46:00-EFK-0-C-1-SW-UKN</v>
      </c>
    </row>
    <row r="1018" spans="1:48" s="10" customFormat="1" x14ac:dyDescent="0.55000000000000004">
      <c r="A1018" s="32">
        <v>44937</v>
      </c>
      <c r="B1018" s="33">
        <v>0.24513888888888888</v>
      </c>
      <c r="C1018" s="10" t="s">
        <v>333</v>
      </c>
      <c r="D1018" s="10">
        <v>0</v>
      </c>
      <c r="E1018" s="10" t="s">
        <v>190</v>
      </c>
      <c r="F1018" s="10">
        <v>1</v>
      </c>
      <c r="G1018" s="10" t="s">
        <v>231</v>
      </c>
      <c r="H1018" s="10" t="s">
        <v>322</v>
      </c>
      <c r="I1018" s="10" t="s">
        <v>256</v>
      </c>
      <c r="J1018" s="10">
        <v>2</v>
      </c>
      <c r="K1018" s="12">
        <v>44950</v>
      </c>
      <c r="L1018" s="33">
        <v>0.46778935185185189</v>
      </c>
      <c r="M1018" s="10">
        <v>1</v>
      </c>
      <c r="N1018" s="10" t="s">
        <v>169</v>
      </c>
      <c r="O1018" s="10">
        <v>6.32</v>
      </c>
      <c r="P1018" s="10">
        <v>0.36</v>
      </c>
      <c r="Q1018" s="10">
        <v>966</v>
      </c>
      <c r="R1018" s="10" t="s">
        <v>77</v>
      </c>
      <c r="S1018" s="34">
        <f t="shared" si="109"/>
        <v>966</v>
      </c>
      <c r="T1018" s="10" t="s">
        <v>1058</v>
      </c>
      <c r="U1018" s="34" t="str">
        <f t="shared" si="110"/>
        <v/>
      </c>
      <c r="V1018" s="31" t="str">
        <f>IF(H1018="CHK",VLOOKUP(I1018,QCCHK,3,),IF(H1018="GUP",VLOOKUP(E1018,QCGUP,2,),IF(AND(H1018="ATP",OR(I1018="TN",I1018="TDN",I1018="TNO2-3",I1018="NO2-3")),VLOOKUP(E1018,QCREC_N,2,),IF(AND(H1018="NIC",OR(I1018="TN",I1018="TDN",I1018="TNO2-3",I1018="NO2-3")),VLOOKUP(E1018,QCNIC_N,2,),IF(AND(H1018="UREA",OR(I1018="TN",I1018="TDN",I1018="TNO2-3",I1018="NO2-3")),VLOOKUP(E1018,QCUREA_N,2,),IF(H1018="PER",VLOOKUP(I1018,QCPER,MATCH(E1018,QCACTUAL!$J$25:$AA$25,0),),IF(H1018="SPK",VLOOKUP(I1018,QCSPK,3,),IF(AND(H1018="ATP",OR(I1018="TP",I1018="TDP")),VLOOKUP(E1018,QCATP_P,2,),""))))))))</f>
        <v/>
      </c>
      <c r="W1018" s="31" t="str">
        <f t="shared" si="111"/>
        <v>TRUE</v>
      </c>
      <c r="X1018" s="31" t="str">
        <f t="shared" si="112"/>
        <v/>
      </c>
      <c r="Y1018" s="10" t="s">
        <v>1040</v>
      </c>
      <c r="Z1018" s="10" t="s">
        <v>910</v>
      </c>
      <c r="AL1018" s="10" t="str">
        <f t="shared" si="114"/>
        <v>FALSE</v>
      </c>
      <c r="AM1018" s="10" t="str">
        <f t="shared" si="114"/>
        <v>FALSE</v>
      </c>
      <c r="AN1018" s="10" t="str">
        <f t="shared" si="114"/>
        <v>FALSE</v>
      </c>
      <c r="AO1018" s="10" t="str">
        <f t="shared" si="115"/>
        <v>FALSE</v>
      </c>
      <c r="AP1018" s="10" t="str">
        <f t="shared" si="115"/>
        <v>FALSE</v>
      </c>
      <c r="AQ1018" s="10" t="b">
        <f>IF(AND(I1018="TP",S1018&lt;=150),VLOOKUP(AF1018,TPCalibEq150!$AZ$2:$BB$55,3,),IF(AND(I1018="TDP",S1018&lt;=150),VLOOKUP(AF1018,TPCalibEq150!$AZ$2:$BB$55,3,)))</f>
        <v>0</v>
      </c>
      <c r="AR1018" s="10" t="b">
        <f>IF(AND(I1018="TP",S1018&lt;=300),VLOOKUP(AF1018,TPCalibEq300!$AZ$2:$BB$55,3,),IF(AND(I1018="TDP",S1018&lt;=300),VLOOKUP(AF1018,TPCalibEq300!$AZ$2:$BB$55,3,)))</f>
        <v>0</v>
      </c>
      <c r="AS1018" s="10" t="b">
        <f>IF(AND(I1018="TP",S1018&lt;=500),VLOOKUP(AF1018,TPCalibEq500!$AZ$2:$BB$56,3,),IF(AND(I1018="TDP",S1018&lt;=500),VLOOKUP(AF1018,TPCalibEq500!$AZ$2:$BB$56,3,)))</f>
        <v>0</v>
      </c>
      <c r="AT1018" s="10" t="b">
        <f>IF(AND(I1018="TN",S1018&lt;=2800),VLOOKUP(AF1018,TNCalibEq2500!$AZ$2:$BB$56,3,),IF(AND(I1018="TDN",S1018&lt;=2800),VLOOKUP(AF1018,TNCalibEq2500!$AZ$2:$BB$56,3,)))</f>
        <v>0</v>
      </c>
      <c r="AU1018" s="10" t="b">
        <f>IF(I1018="TP",VLOOKUP(AF1018,TPCalibEqFull!$AZ$2:$BB$56,3),IF(I1018="TDP",VLOOKUP(AF1018,TPCalibEqFull!$AZ$2:$BB$56,3),IF(I1018="TDN",VLOOKUP(AF1018,TNCalibEqFull!$AZ$1:$BB$56,3),IF(I1018="TN",VLOOKUP(AF1018,TNCalibEqFull!$AZ$1:$BB$56,3),FALSE))))</f>
        <v>0</v>
      </c>
      <c r="AV1018" s="10" t="str">
        <f t="shared" si="113"/>
        <v>0111 05:53:00-HST-0-C-1-SW-UKN</v>
      </c>
    </row>
    <row r="1019" spans="1:48" s="10" customFormat="1" x14ac:dyDescent="0.55000000000000004">
      <c r="A1019" s="32">
        <v>44938</v>
      </c>
      <c r="B1019" s="33">
        <v>0.43958333333333338</v>
      </c>
      <c r="C1019" s="10" t="s">
        <v>279</v>
      </c>
      <c r="D1019" s="10">
        <v>0</v>
      </c>
      <c r="E1019" s="10" t="s">
        <v>190</v>
      </c>
      <c r="F1019" s="10">
        <v>1</v>
      </c>
      <c r="G1019" s="10" t="s">
        <v>231</v>
      </c>
      <c r="H1019" s="10" t="s">
        <v>322</v>
      </c>
      <c r="I1019" s="10" t="s">
        <v>256</v>
      </c>
      <c r="J1019" s="10">
        <v>3</v>
      </c>
      <c r="K1019" s="12">
        <v>44950</v>
      </c>
      <c r="L1019" s="33">
        <v>0.46861111111111109</v>
      </c>
      <c r="M1019" s="10">
        <v>1</v>
      </c>
      <c r="N1019" s="10" t="s">
        <v>169</v>
      </c>
      <c r="O1019" s="10">
        <v>5.92</v>
      </c>
      <c r="P1019" s="10">
        <v>0.33800000000000002</v>
      </c>
      <c r="Q1019" s="10">
        <v>905</v>
      </c>
      <c r="R1019" s="10" t="s">
        <v>77</v>
      </c>
      <c r="S1019" s="34">
        <f t="shared" si="109"/>
        <v>905</v>
      </c>
      <c r="T1019" s="10" t="s">
        <v>1058</v>
      </c>
      <c r="U1019" s="34" t="str">
        <f t="shared" si="110"/>
        <v/>
      </c>
      <c r="V1019" s="31" t="str">
        <f>IF(H1019="CHK",VLOOKUP(I1019,QCCHK,3,),IF(H1019="GUP",VLOOKUP(E1019,QCGUP,2,),IF(AND(H1019="ATP",OR(I1019="TN",I1019="TDN",I1019="TNO2-3",I1019="NO2-3")),VLOOKUP(E1019,QCREC_N,2,),IF(AND(H1019="NIC",OR(I1019="TN",I1019="TDN",I1019="TNO2-3",I1019="NO2-3")),VLOOKUP(E1019,QCNIC_N,2,),IF(AND(H1019="UREA",OR(I1019="TN",I1019="TDN",I1019="TNO2-3",I1019="NO2-3")),VLOOKUP(E1019,QCUREA_N,2,),IF(H1019="PER",VLOOKUP(I1019,QCPER,MATCH(E1019,QCACTUAL!$J$25:$AA$25,0),),IF(H1019="SPK",VLOOKUP(I1019,QCSPK,3,),IF(AND(H1019="ATP",OR(I1019="TP",I1019="TDP")),VLOOKUP(E1019,QCATP_P,2,),""))))))))</f>
        <v/>
      </c>
      <c r="W1019" s="31" t="str">
        <f t="shared" si="111"/>
        <v>TRUE</v>
      </c>
      <c r="X1019" s="31" t="str">
        <f t="shared" si="112"/>
        <v/>
      </c>
      <c r="Y1019" s="10" t="s">
        <v>1040</v>
      </c>
      <c r="Z1019" s="10" t="s">
        <v>910</v>
      </c>
      <c r="AL1019" s="10" t="str">
        <f t="shared" si="114"/>
        <v>FALSE</v>
      </c>
      <c r="AM1019" s="10" t="str">
        <f t="shared" si="114"/>
        <v>FALSE</v>
      </c>
      <c r="AN1019" s="10" t="str">
        <f t="shared" si="114"/>
        <v>FALSE</v>
      </c>
      <c r="AO1019" s="10" t="str">
        <f t="shared" si="115"/>
        <v>FALSE</v>
      </c>
      <c r="AP1019" s="10" t="str">
        <f t="shared" si="115"/>
        <v>FALSE</v>
      </c>
      <c r="AQ1019" s="10" t="b">
        <f>IF(AND(I1019="TP",S1019&lt;=150),VLOOKUP(AF1019,TPCalibEq150!$AZ$2:$BB$55,3,),IF(AND(I1019="TDP",S1019&lt;=150),VLOOKUP(AF1019,TPCalibEq150!$AZ$2:$BB$55,3,)))</f>
        <v>0</v>
      </c>
      <c r="AR1019" s="10" t="b">
        <f>IF(AND(I1019="TP",S1019&lt;=300),VLOOKUP(AF1019,TPCalibEq300!$AZ$2:$BB$55,3,),IF(AND(I1019="TDP",S1019&lt;=300),VLOOKUP(AF1019,TPCalibEq300!$AZ$2:$BB$55,3,)))</f>
        <v>0</v>
      </c>
      <c r="AS1019" s="10" t="b">
        <f>IF(AND(I1019="TP",S1019&lt;=500),VLOOKUP(AF1019,TPCalibEq500!$AZ$2:$BB$56,3,),IF(AND(I1019="TDP",S1019&lt;=500),VLOOKUP(AF1019,TPCalibEq500!$AZ$2:$BB$56,3,)))</f>
        <v>0</v>
      </c>
      <c r="AT1019" s="10" t="b">
        <f>IF(AND(I1019="TN",S1019&lt;=2800),VLOOKUP(AF1019,TNCalibEq2500!$AZ$2:$BB$56,3,),IF(AND(I1019="TDN",S1019&lt;=2800),VLOOKUP(AF1019,TNCalibEq2500!$AZ$2:$BB$56,3,)))</f>
        <v>0</v>
      </c>
      <c r="AU1019" s="10" t="b">
        <f>IF(I1019="TP",VLOOKUP(AF1019,TPCalibEqFull!$AZ$2:$BB$56,3),IF(I1019="TDP",VLOOKUP(AF1019,TPCalibEqFull!$AZ$2:$BB$56,3),IF(I1019="TDN",VLOOKUP(AF1019,TNCalibEqFull!$AZ$1:$BB$56,3),IF(I1019="TN",VLOOKUP(AF1019,TNCalibEqFull!$AZ$1:$BB$56,3),FALSE))))</f>
        <v>0</v>
      </c>
      <c r="AV1019" s="10" t="str">
        <f t="shared" si="113"/>
        <v>0112 10:33:00-EFK-0-C-1-SW-UKN</v>
      </c>
    </row>
    <row r="1020" spans="1:48" s="10" customFormat="1" x14ac:dyDescent="0.55000000000000004">
      <c r="A1020" s="32">
        <v>44938</v>
      </c>
      <c r="B1020" s="33">
        <v>0.4548611111111111</v>
      </c>
      <c r="C1020" s="10" t="s">
        <v>333</v>
      </c>
      <c r="D1020" s="10">
        <v>0</v>
      </c>
      <c r="E1020" s="10" t="s">
        <v>190</v>
      </c>
      <c r="F1020" s="10">
        <v>1</v>
      </c>
      <c r="G1020" s="10" t="s">
        <v>231</v>
      </c>
      <c r="H1020" s="10" t="s">
        <v>322</v>
      </c>
      <c r="I1020" s="10" t="s">
        <v>256</v>
      </c>
      <c r="J1020" s="10">
        <v>4</v>
      </c>
      <c r="K1020" s="12">
        <v>44950</v>
      </c>
      <c r="L1020" s="33">
        <v>0.46943287037037035</v>
      </c>
      <c r="M1020" s="10">
        <v>1</v>
      </c>
      <c r="N1020" s="10" t="s">
        <v>169</v>
      </c>
      <c r="O1020" s="10">
        <v>3.73</v>
      </c>
      <c r="P1020" s="10">
        <v>0.21299999999999999</v>
      </c>
      <c r="Q1020" s="10">
        <v>569</v>
      </c>
      <c r="R1020" s="10" t="s">
        <v>77</v>
      </c>
      <c r="S1020" s="34">
        <f t="shared" si="109"/>
        <v>569</v>
      </c>
      <c r="T1020" s="10" t="s">
        <v>1058</v>
      </c>
      <c r="U1020" s="34" t="str">
        <f t="shared" si="110"/>
        <v/>
      </c>
      <c r="V1020" s="31" t="str">
        <f>IF(H1020="CHK",VLOOKUP(I1020,QCCHK,3,),IF(H1020="GUP",VLOOKUP(E1020,QCGUP,2,),IF(AND(H1020="ATP",OR(I1020="TN",I1020="TDN",I1020="TNO2-3",I1020="NO2-3")),VLOOKUP(E1020,QCREC_N,2,),IF(AND(H1020="NIC",OR(I1020="TN",I1020="TDN",I1020="TNO2-3",I1020="NO2-3")),VLOOKUP(E1020,QCNIC_N,2,),IF(AND(H1020="UREA",OR(I1020="TN",I1020="TDN",I1020="TNO2-3",I1020="NO2-3")),VLOOKUP(E1020,QCUREA_N,2,),IF(H1020="PER",VLOOKUP(I1020,QCPER,MATCH(E1020,QCACTUAL!$J$25:$AA$25,0),),IF(H1020="SPK",VLOOKUP(I1020,QCSPK,3,),IF(AND(H1020="ATP",OR(I1020="TP",I1020="TDP")),VLOOKUP(E1020,QCATP_P,2,),""))))))))</f>
        <v/>
      </c>
      <c r="W1020" s="31" t="str">
        <f t="shared" si="111"/>
        <v>TRUE</v>
      </c>
      <c r="X1020" s="31" t="str">
        <f t="shared" si="112"/>
        <v/>
      </c>
      <c r="Y1020" s="10" t="s">
        <v>1040</v>
      </c>
      <c r="Z1020" s="10" t="s">
        <v>910</v>
      </c>
      <c r="AL1020" s="10" t="str">
        <f t="shared" si="114"/>
        <v>FALSE</v>
      </c>
      <c r="AM1020" s="10" t="str">
        <f t="shared" si="114"/>
        <v>FALSE</v>
      </c>
      <c r="AN1020" s="10" t="str">
        <f t="shared" si="114"/>
        <v>FALSE</v>
      </c>
      <c r="AO1020" s="10" t="str">
        <f t="shared" si="115"/>
        <v>FALSE</v>
      </c>
      <c r="AP1020" s="10" t="str">
        <f t="shared" si="115"/>
        <v>FALSE</v>
      </c>
      <c r="AQ1020" s="10" t="b">
        <f>IF(AND(I1020="TP",S1020&lt;=150),VLOOKUP(AF1020,TPCalibEq150!$AZ$2:$BB$55,3,),IF(AND(I1020="TDP",S1020&lt;=150),VLOOKUP(AF1020,TPCalibEq150!$AZ$2:$BB$55,3,)))</f>
        <v>0</v>
      </c>
      <c r="AR1020" s="10" t="b">
        <f>IF(AND(I1020="TP",S1020&lt;=300),VLOOKUP(AF1020,TPCalibEq300!$AZ$2:$BB$55,3,),IF(AND(I1020="TDP",S1020&lt;=300),VLOOKUP(AF1020,TPCalibEq300!$AZ$2:$BB$55,3,)))</f>
        <v>0</v>
      </c>
      <c r="AS1020" s="10" t="b">
        <f>IF(AND(I1020="TP",S1020&lt;=500),VLOOKUP(AF1020,TPCalibEq500!$AZ$2:$BB$56,3,),IF(AND(I1020="TDP",S1020&lt;=500),VLOOKUP(AF1020,TPCalibEq500!$AZ$2:$BB$56,3,)))</f>
        <v>0</v>
      </c>
      <c r="AT1020" s="10" t="b">
        <f>IF(AND(I1020="TN",S1020&lt;=2800),VLOOKUP(AF1020,TNCalibEq2500!$AZ$2:$BB$56,3,),IF(AND(I1020="TDN",S1020&lt;=2800),VLOOKUP(AF1020,TNCalibEq2500!$AZ$2:$BB$56,3,)))</f>
        <v>0</v>
      </c>
      <c r="AU1020" s="10" t="b">
        <f>IF(I1020="TP",VLOOKUP(AF1020,TPCalibEqFull!$AZ$2:$BB$56,3),IF(I1020="TDP",VLOOKUP(AF1020,TPCalibEqFull!$AZ$2:$BB$56,3),IF(I1020="TDN",VLOOKUP(AF1020,TNCalibEqFull!$AZ$1:$BB$56,3),IF(I1020="TN",VLOOKUP(AF1020,TNCalibEqFull!$AZ$1:$BB$56,3),FALSE))))</f>
        <v>0</v>
      </c>
      <c r="AV1020" s="10" t="str">
        <f t="shared" si="113"/>
        <v>0112 10:55:00-HST-0-C-1-SW-UKN</v>
      </c>
    </row>
    <row r="1021" spans="1:48" s="10" customFormat="1" x14ac:dyDescent="0.55000000000000004">
      <c r="A1021" s="32">
        <v>44939</v>
      </c>
      <c r="B1021" s="33">
        <v>0.4916666666666667</v>
      </c>
      <c r="C1021" s="10" t="s">
        <v>279</v>
      </c>
      <c r="D1021" s="10">
        <v>0</v>
      </c>
      <c r="E1021" s="10" t="s">
        <v>190</v>
      </c>
      <c r="F1021" s="10">
        <v>1</v>
      </c>
      <c r="G1021" s="10" t="s">
        <v>231</v>
      </c>
      <c r="H1021" s="10" t="s">
        <v>322</v>
      </c>
      <c r="I1021" s="10" t="s">
        <v>256</v>
      </c>
      <c r="J1021" s="10">
        <v>5</v>
      </c>
      <c r="K1021" s="12">
        <v>44950</v>
      </c>
      <c r="L1021" s="33">
        <v>0.47025462962962966</v>
      </c>
      <c r="M1021" s="10">
        <v>1</v>
      </c>
      <c r="N1021" s="10" t="s">
        <v>169</v>
      </c>
      <c r="O1021" s="10">
        <v>3.2</v>
      </c>
      <c r="P1021" s="10">
        <v>0.183</v>
      </c>
      <c r="Q1021" s="10">
        <v>489</v>
      </c>
      <c r="R1021" s="10" t="s">
        <v>77</v>
      </c>
      <c r="S1021" s="34">
        <f t="shared" si="109"/>
        <v>489</v>
      </c>
      <c r="T1021" s="10" t="s">
        <v>1058</v>
      </c>
      <c r="U1021" s="34" t="str">
        <f t="shared" si="110"/>
        <v/>
      </c>
      <c r="V1021" s="31" t="str">
        <f>IF(H1021="CHK",VLOOKUP(I1021,QCCHK,3,),IF(H1021="GUP",VLOOKUP(E1021,QCGUP,2,),IF(AND(H1021="ATP",OR(I1021="TN",I1021="TDN",I1021="TNO2-3",I1021="NO2-3")),VLOOKUP(E1021,QCREC_N,2,),IF(AND(H1021="NIC",OR(I1021="TN",I1021="TDN",I1021="TNO2-3",I1021="NO2-3")),VLOOKUP(E1021,QCNIC_N,2,),IF(AND(H1021="UREA",OR(I1021="TN",I1021="TDN",I1021="TNO2-3",I1021="NO2-3")),VLOOKUP(E1021,QCUREA_N,2,),IF(H1021="PER",VLOOKUP(I1021,QCPER,MATCH(E1021,QCACTUAL!$J$25:$AA$25,0),),IF(H1021="SPK",VLOOKUP(I1021,QCSPK,3,),IF(AND(H1021="ATP",OR(I1021="TP",I1021="TDP")),VLOOKUP(E1021,QCATP_P,2,),""))))))))</f>
        <v/>
      </c>
      <c r="W1021" s="31" t="str">
        <f t="shared" si="111"/>
        <v>TRUE</v>
      </c>
      <c r="X1021" s="31" t="str">
        <f t="shared" si="112"/>
        <v/>
      </c>
      <c r="Y1021" s="10" t="s">
        <v>1040</v>
      </c>
      <c r="Z1021" s="10" t="s">
        <v>910</v>
      </c>
      <c r="AL1021" s="10" t="str">
        <f t="shared" si="114"/>
        <v>FALSE</v>
      </c>
      <c r="AM1021" s="10" t="str">
        <f t="shared" si="114"/>
        <v>FALSE</v>
      </c>
      <c r="AN1021" s="10" t="str">
        <f t="shared" si="114"/>
        <v>FALSE</v>
      </c>
      <c r="AO1021" s="10" t="str">
        <f t="shared" si="115"/>
        <v>FALSE</v>
      </c>
      <c r="AP1021" s="10" t="str">
        <f t="shared" si="115"/>
        <v>FALSE</v>
      </c>
      <c r="AQ1021" s="10" t="b">
        <f>IF(AND(I1021="TP",S1021&lt;=150),VLOOKUP(AF1021,TPCalibEq150!$AZ$2:$BB$55,3,),IF(AND(I1021="TDP",S1021&lt;=150),VLOOKUP(AF1021,TPCalibEq150!$AZ$2:$BB$55,3,)))</f>
        <v>0</v>
      </c>
      <c r="AR1021" s="10" t="b">
        <f>IF(AND(I1021="TP",S1021&lt;=300),VLOOKUP(AF1021,TPCalibEq300!$AZ$2:$BB$55,3,),IF(AND(I1021="TDP",S1021&lt;=300),VLOOKUP(AF1021,TPCalibEq300!$AZ$2:$BB$55,3,)))</f>
        <v>0</v>
      </c>
      <c r="AS1021" s="10" t="b">
        <f>IF(AND(I1021="TP",S1021&lt;=500),VLOOKUP(AF1021,TPCalibEq500!$AZ$2:$BB$56,3,),IF(AND(I1021="TDP",S1021&lt;=500),VLOOKUP(AF1021,TPCalibEq500!$AZ$2:$BB$56,3,)))</f>
        <v>0</v>
      </c>
      <c r="AT1021" s="10" t="b">
        <f>IF(AND(I1021="TN",S1021&lt;=2800),VLOOKUP(AF1021,TNCalibEq2500!$AZ$2:$BB$56,3,),IF(AND(I1021="TDN",S1021&lt;=2800),VLOOKUP(AF1021,TNCalibEq2500!$AZ$2:$BB$56,3,)))</f>
        <v>0</v>
      </c>
      <c r="AU1021" s="10" t="b">
        <f>IF(I1021="TP",VLOOKUP(AF1021,TPCalibEqFull!$AZ$2:$BB$56,3),IF(I1021="TDP",VLOOKUP(AF1021,TPCalibEqFull!$AZ$2:$BB$56,3),IF(I1021="TDN",VLOOKUP(AF1021,TNCalibEqFull!$AZ$1:$BB$56,3),IF(I1021="TN",VLOOKUP(AF1021,TNCalibEqFull!$AZ$1:$BB$56,3),FALSE))))</f>
        <v>0</v>
      </c>
      <c r="AV1021" s="10" t="str">
        <f t="shared" si="113"/>
        <v>0113 11:48:00-EFK-0-C-1-SW-UKN</v>
      </c>
    </row>
    <row r="1022" spans="1:48" s="10" customFormat="1" x14ac:dyDescent="0.55000000000000004">
      <c r="A1022" s="32">
        <v>44939</v>
      </c>
      <c r="B1022" s="33">
        <v>0.49444444444444446</v>
      </c>
      <c r="C1022" s="10" t="s">
        <v>333</v>
      </c>
      <c r="D1022" s="10">
        <v>0</v>
      </c>
      <c r="E1022" s="10" t="s">
        <v>190</v>
      </c>
      <c r="F1022" s="10">
        <v>1</v>
      </c>
      <c r="G1022" s="10" t="s">
        <v>231</v>
      </c>
      <c r="H1022" s="10" t="s">
        <v>322</v>
      </c>
      <c r="I1022" s="10" t="s">
        <v>256</v>
      </c>
      <c r="J1022" s="10">
        <v>6</v>
      </c>
      <c r="K1022" s="12">
        <v>44950</v>
      </c>
      <c r="L1022" s="33">
        <v>0.47107638888888892</v>
      </c>
      <c r="M1022" s="10">
        <v>1</v>
      </c>
      <c r="N1022" s="10" t="s">
        <v>169</v>
      </c>
      <c r="O1022" s="10">
        <v>6.41</v>
      </c>
      <c r="P1022" s="10">
        <v>0.36399999999999999</v>
      </c>
      <c r="Q1022" s="10">
        <v>980</v>
      </c>
      <c r="R1022" s="10" t="s">
        <v>77</v>
      </c>
      <c r="S1022" s="34">
        <f t="shared" si="109"/>
        <v>980</v>
      </c>
      <c r="T1022" s="10" t="s">
        <v>1058</v>
      </c>
      <c r="U1022" s="34" t="str">
        <f t="shared" si="110"/>
        <v/>
      </c>
      <c r="V1022" s="31" t="str">
        <f>IF(H1022="CHK",VLOOKUP(I1022,QCCHK,3,),IF(H1022="GUP",VLOOKUP(E1022,QCGUP,2,),IF(AND(H1022="ATP",OR(I1022="TN",I1022="TDN",I1022="TNO2-3",I1022="NO2-3")),VLOOKUP(E1022,QCREC_N,2,),IF(AND(H1022="NIC",OR(I1022="TN",I1022="TDN",I1022="TNO2-3",I1022="NO2-3")),VLOOKUP(E1022,QCNIC_N,2,),IF(AND(H1022="UREA",OR(I1022="TN",I1022="TDN",I1022="TNO2-3",I1022="NO2-3")),VLOOKUP(E1022,QCUREA_N,2,),IF(H1022="PER",VLOOKUP(I1022,QCPER,MATCH(E1022,QCACTUAL!$J$25:$AA$25,0),),IF(H1022="SPK",VLOOKUP(I1022,QCSPK,3,),IF(AND(H1022="ATP",OR(I1022="TP",I1022="TDP")),VLOOKUP(E1022,QCATP_P,2,),""))))))))</f>
        <v/>
      </c>
      <c r="W1022" s="31" t="str">
        <f t="shared" si="111"/>
        <v>TRUE</v>
      </c>
      <c r="X1022" s="31" t="str">
        <f t="shared" si="112"/>
        <v/>
      </c>
      <c r="Y1022" s="10" t="s">
        <v>1040</v>
      </c>
      <c r="Z1022" s="10" t="s">
        <v>910</v>
      </c>
      <c r="AL1022" s="10" t="str">
        <f t="shared" si="114"/>
        <v>FALSE</v>
      </c>
      <c r="AM1022" s="10" t="str">
        <f t="shared" si="114"/>
        <v>FALSE</v>
      </c>
      <c r="AN1022" s="10" t="str">
        <f t="shared" si="114"/>
        <v>FALSE</v>
      </c>
      <c r="AO1022" s="10" t="str">
        <f t="shared" si="115"/>
        <v>FALSE</v>
      </c>
      <c r="AP1022" s="10" t="str">
        <f t="shared" si="115"/>
        <v>FALSE</v>
      </c>
      <c r="AQ1022" s="10" t="b">
        <f>IF(AND(I1022="TP",S1022&lt;=150),VLOOKUP(AF1022,TPCalibEq150!$AZ$2:$BB$55,3,),IF(AND(I1022="TDP",S1022&lt;=150),VLOOKUP(AF1022,TPCalibEq150!$AZ$2:$BB$55,3,)))</f>
        <v>0</v>
      </c>
      <c r="AR1022" s="10" t="b">
        <f>IF(AND(I1022="TP",S1022&lt;=300),VLOOKUP(AF1022,TPCalibEq300!$AZ$2:$BB$55,3,),IF(AND(I1022="TDP",S1022&lt;=300),VLOOKUP(AF1022,TPCalibEq300!$AZ$2:$BB$55,3,)))</f>
        <v>0</v>
      </c>
      <c r="AS1022" s="10" t="b">
        <f>IF(AND(I1022="TP",S1022&lt;=500),VLOOKUP(AF1022,TPCalibEq500!$AZ$2:$BB$56,3,),IF(AND(I1022="TDP",S1022&lt;=500),VLOOKUP(AF1022,TPCalibEq500!$AZ$2:$BB$56,3,)))</f>
        <v>0</v>
      </c>
      <c r="AT1022" s="10" t="b">
        <f>IF(AND(I1022="TN",S1022&lt;=2800),VLOOKUP(AF1022,TNCalibEq2500!$AZ$2:$BB$56,3,),IF(AND(I1022="TDN",S1022&lt;=2800),VLOOKUP(AF1022,TNCalibEq2500!$AZ$2:$BB$56,3,)))</f>
        <v>0</v>
      </c>
      <c r="AU1022" s="10" t="b">
        <f>IF(I1022="TP",VLOOKUP(AF1022,TPCalibEqFull!$AZ$2:$BB$56,3),IF(I1022="TDP",VLOOKUP(AF1022,TPCalibEqFull!$AZ$2:$BB$56,3),IF(I1022="TDN",VLOOKUP(AF1022,TNCalibEqFull!$AZ$1:$BB$56,3),IF(I1022="TN",VLOOKUP(AF1022,TNCalibEqFull!$AZ$1:$BB$56,3),FALSE))))</f>
        <v>0</v>
      </c>
      <c r="AV1022" s="10" t="str">
        <f t="shared" si="113"/>
        <v>0113 11:52:00-HST-0-C-1-SW-UKN</v>
      </c>
    </row>
    <row r="1023" spans="1:48" s="10" customFormat="1" x14ac:dyDescent="0.55000000000000004">
      <c r="A1023" s="32">
        <v>44943</v>
      </c>
      <c r="B1023" s="33">
        <v>0.32291666666666669</v>
      </c>
      <c r="C1023" s="10" t="s">
        <v>279</v>
      </c>
      <c r="D1023" s="10">
        <v>0</v>
      </c>
      <c r="E1023" s="10" t="s">
        <v>190</v>
      </c>
      <c r="F1023" s="10">
        <v>1</v>
      </c>
      <c r="G1023" s="10" t="s">
        <v>231</v>
      </c>
      <c r="H1023" s="10" t="s">
        <v>322</v>
      </c>
      <c r="I1023" s="10" t="s">
        <v>256</v>
      </c>
      <c r="J1023" s="10">
        <v>7</v>
      </c>
      <c r="K1023" s="12">
        <v>44950</v>
      </c>
      <c r="L1023" s="33">
        <v>0.47188657407407408</v>
      </c>
      <c r="M1023" s="10">
        <v>1</v>
      </c>
      <c r="N1023" s="10" t="s">
        <v>169</v>
      </c>
      <c r="O1023" s="10">
        <v>5.15</v>
      </c>
      <c r="P1023" s="10">
        <v>0.29399999999999998</v>
      </c>
      <c r="Q1023" s="10">
        <v>787</v>
      </c>
      <c r="R1023" s="10" t="s">
        <v>77</v>
      </c>
      <c r="S1023" s="34">
        <f t="shared" si="109"/>
        <v>787</v>
      </c>
      <c r="T1023" s="10" t="s">
        <v>1058</v>
      </c>
      <c r="U1023" s="34" t="str">
        <f t="shared" si="110"/>
        <v/>
      </c>
      <c r="V1023" s="31" t="str">
        <f>IF(H1023="CHK",VLOOKUP(I1023,QCCHK,3,),IF(H1023="GUP",VLOOKUP(E1023,QCGUP,2,),IF(AND(H1023="ATP",OR(I1023="TN",I1023="TDN",I1023="TNO2-3",I1023="NO2-3")),VLOOKUP(E1023,QCREC_N,2,),IF(AND(H1023="NIC",OR(I1023="TN",I1023="TDN",I1023="TNO2-3",I1023="NO2-3")),VLOOKUP(E1023,QCNIC_N,2,),IF(AND(H1023="UREA",OR(I1023="TN",I1023="TDN",I1023="TNO2-3",I1023="NO2-3")),VLOOKUP(E1023,QCUREA_N,2,),IF(H1023="PER",VLOOKUP(I1023,QCPER,MATCH(E1023,QCACTUAL!$J$25:$AA$25,0),),IF(H1023="SPK",VLOOKUP(I1023,QCSPK,3,),IF(AND(H1023="ATP",OR(I1023="TP",I1023="TDP")),VLOOKUP(E1023,QCATP_P,2,),""))))))))</f>
        <v/>
      </c>
      <c r="W1023" s="31" t="str">
        <f t="shared" si="111"/>
        <v>TRUE</v>
      </c>
      <c r="X1023" s="31" t="str">
        <f t="shared" si="112"/>
        <v/>
      </c>
      <c r="Y1023" s="10" t="s">
        <v>1040</v>
      </c>
      <c r="Z1023" s="10" t="s">
        <v>910</v>
      </c>
      <c r="AL1023" s="10" t="str">
        <f t="shared" si="114"/>
        <v>FALSE</v>
      </c>
      <c r="AM1023" s="10" t="str">
        <f t="shared" si="114"/>
        <v>FALSE</v>
      </c>
      <c r="AN1023" s="10" t="str">
        <f t="shared" si="114"/>
        <v>FALSE</v>
      </c>
      <c r="AO1023" s="10" t="str">
        <f t="shared" si="115"/>
        <v>FALSE</v>
      </c>
      <c r="AP1023" s="10" t="str">
        <f t="shared" si="115"/>
        <v>FALSE</v>
      </c>
      <c r="AQ1023" s="10" t="b">
        <f>IF(AND(I1023="TP",S1023&lt;=150),VLOOKUP(AF1023,TPCalibEq150!$AZ$2:$BB$55,3,),IF(AND(I1023="TDP",S1023&lt;=150),VLOOKUP(AF1023,TPCalibEq150!$AZ$2:$BB$55,3,)))</f>
        <v>0</v>
      </c>
      <c r="AR1023" s="10" t="b">
        <f>IF(AND(I1023="TP",S1023&lt;=300),VLOOKUP(AF1023,TPCalibEq300!$AZ$2:$BB$55,3,),IF(AND(I1023="TDP",S1023&lt;=300),VLOOKUP(AF1023,TPCalibEq300!$AZ$2:$BB$55,3,)))</f>
        <v>0</v>
      </c>
      <c r="AS1023" s="10" t="b">
        <f>IF(AND(I1023="TP",S1023&lt;=500),VLOOKUP(AF1023,TPCalibEq500!$AZ$2:$BB$56,3,),IF(AND(I1023="TDP",S1023&lt;=500),VLOOKUP(AF1023,TPCalibEq500!$AZ$2:$BB$56,3,)))</f>
        <v>0</v>
      </c>
      <c r="AT1023" s="10" t="b">
        <f>IF(AND(I1023="TN",S1023&lt;=2800),VLOOKUP(AF1023,TNCalibEq2500!$AZ$2:$BB$56,3,),IF(AND(I1023="TDN",S1023&lt;=2800),VLOOKUP(AF1023,TNCalibEq2500!$AZ$2:$BB$56,3,)))</f>
        <v>0</v>
      </c>
      <c r="AU1023" s="10" t="b">
        <f>IF(I1023="TP",VLOOKUP(AF1023,TPCalibEqFull!$AZ$2:$BB$56,3),IF(I1023="TDP",VLOOKUP(AF1023,TPCalibEqFull!$AZ$2:$BB$56,3),IF(I1023="TDN",VLOOKUP(AF1023,TNCalibEqFull!$AZ$1:$BB$56,3),IF(I1023="TN",VLOOKUP(AF1023,TNCalibEqFull!$AZ$1:$BB$56,3),FALSE))))</f>
        <v>0</v>
      </c>
      <c r="AV1023" s="10" t="str">
        <f t="shared" si="113"/>
        <v>0117 07:45:00-EFK-0-C-1-SW-UKN</v>
      </c>
    </row>
    <row r="1024" spans="1:48" s="10" customFormat="1" x14ac:dyDescent="0.55000000000000004">
      <c r="A1024" s="32">
        <v>44943</v>
      </c>
      <c r="B1024" s="33">
        <v>0.32083333333333336</v>
      </c>
      <c r="C1024" s="10" t="s">
        <v>333</v>
      </c>
      <c r="D1024" s="10">
        <v>0</v>
      </c>
      <c r="E1024" s="10" t="s">
        <v>190</v>
      </c>
      <c r="F1024" s="10">
        <v>1</v>
      </c>
      <c r="G1024" s="10" t="s">
        <v>231</v>
      </c>
      <c r="H1024" s="10" t="s">
        <v>322</v>
      </c>
      <c r="I1024" s="10" t="s">
        <v>256</v>
      </c>
      <c r="J1024" s="10">
        <v>8</v>
      </c>
      <c r="K1024" s="12">
        <v>44950</v>
      </c>
      <c r="L1024" s="33">
        <v>0.47270833333333334</v>
      </c>
      <c r="M1024" s="10">
        <v>1</v>
      </c>
      <c r="N1024" s="10" t="s">
        <v>169</v>
      </c>
      <c r="O1024" s="10">
        <v>7.19</v>
      </c>
      <c r="P1024" s="10">
        <v>0.40899999999999997</v>
      </c>
      <c r="Q1024" s="10">
        <v>1100</v>
      </c>
      <c r="R1024" s="10" t="s">
        <v>77</v>
      </c>
      <c r="S1024" s="34">
        <f t="shared" si="109"/>
        <v>1100</v>
      </c>
      <c r="T1024" s="10" t="s">
        <v>1058</v>
      </c>
      <c r="U1024" s="34" t="str">
        <f t="shared" si="110"/>
        <v/>
      </c>
      <c r="V1024" s="31" t="str">
        <f>IF(H1024="CHK",VLOOKUP(I1024,QCCHK,3,),IF(H1024="GUP",VLOOKUP(E1024,QCGUP,2,),IF(AND(H1024="ATP",OR(I1024="TN",I1024="TDN",I1024="TNO2-3",I1024="NO2-3")),VLOOKUP(E1024,QCREC_N,2,),IF(AND(H1024="NIC",OR(I1024="TN",I1024="TDN",I1024="TNO2-3",I1024="NO2-3")),VLOOKUP(E1024,QCNIC_N,2,),IF(AND(H1024="UREA",OR(I1024="TN",I1024="TDN",I1024="TNO2-3",I1024="NO2-3")),VLOOKUP(E1024,QCUREA_N,2,),IF(H1024="PER",VLOOKUP(I1024,QCPER,MATCH(E1024,QCACTUAL!$J$25:$AA$25,0),),IF(H1024="SPK",VLOOKUP(I1024,QCSPK,3,),IF(AND(H1024="ATP",OR(I1024="TP",I1024="TDP")),VLOOKUP(E1024,QCATP_P,2,),""))))))))</f>
        <v/>
      </c>
      <c r="W1024" s="31" t="str">
        <f t="shared" si="111"/>
        <v>TRUE</v>
      </c>
      <c r="X1024" s="31" t="str">
        <f t="shared" si="112"/>
        <v/>
      </c>
      <c r="Y1024" s="10" t="s">
        <v>1040</v>
      </c>
      <c r="Z1024" s="10" t="s">
        <v>910</v>
      </c>
      <c r="AL1024" s="10" t="str">
        <f t="shared" si="114"/>
        <v>FALSE</v>
      </c>
      <c r="AM1024" s="10" t="str">
        <f t="shared" si="114"/>
        <v>FALSE</v>
      </c>
      <c r="AN1024" s="10" t="str">
        <f t="shared" si="114"/>
        <v>FALSE</v>
      </c>
      <c r="AO1024" s="10" t="str">
        <f t="shared" si="115"/>
        <v>FALSE</v>
      </c>
      <c r="AP1024" s="10" t="str">
        <f t="shared" si="115"/>
        <v>FALSE</v>
      </c>
      <c r="AQ1024" s="10" t="b">
        <f>IF(AND(I1024="TP",S1024&lt;=150),VLOOKUP(AF1024,TPCalibEq150!$AZ$2:$BB$55,3,),IF(AND(I1024="TDP",S1024&lt;=150),VLOOKUP(AF1024,TPCalibEq150!$AZ$2:$BB$55,3,)))</f>
        <v>0</v>
      </c>
      <c r="AR1024" s="10" t="b">
        <f>IF(AND(I1024="TP",S1024&lt;=300),VLOOKUP(AF1024,TPCalibEq300!$AZ$2:$BB$55,3,),IF(AND(I1024="TDP",S1024&lt;=300),VLOOKUP(AF1024,TPCalibEq300!$AZ$2:$BB$55,3,)))</f>
        <v>0</v>
      </c>
      <c r="AS1024" s="10" t="b">
        <f>IF(AND(I1024="TP",S1024&lt;=500),VLOOKUP(AF1024,TPCalibEq500!$AZ$2:$BB$56,3,),IF(AND(I1024="TDP",S1024&lt;=500),VLOOKUP(AF1024,TPCalibEq500!$AZ$2:$BB$56,3,)))</f>
        <v>0</v>
      </c>
      <c r="AT1024" s="10" t="b">
        <f>IF(AND(I1024="TN",S1024&lt;=2800),VLOOKUP(AF1024,TNCalibEq2500!$AZ$2:$BB$56,3,),IF(AND(I1024="TDN",S1024&lt;=2800),VLOOKUP(AF1024,TNCalibEq2500!$AZ$2:$BB$56,3,)))</f>
        <v>0</v>
      </c>
      <c r="AU1024" s="10" t="b">
        <f>IF(I1024="TP",VLOOKUP(AF1024,TPCalibEqFull!$AZ$2:$BB$56,3),IF(I1024="TDP",VLOOKUP(AF1024,TPCalibEqFull!$AZ$2:$BB$56,3),IF(I1024="TDN",VLOOKUP(AF1024,TNCalibEqFull!$AZ$1:$BB$56,3),IF(I1024="TN",VLOOKUP(AF1024,TNCalibEqFull!$AZ$1:$BB$56,3),FALSE))))</f>
        <v>0</v>
      </c>
      <c r="AV1024" s="10" t="str">
        <f t="shared" si="113"/>
        <v>0117 07:42:00-HST-0-C-1-SW-UKN</v>
      </c>
    </row>
    <row r="1025" spans="1:48" s="10" customFormat="1" x14ac:dyDescent="0.55000000000000004">
      <c r="A1025" s="32">
        <v>44944</v>
      </c>
      <c r="B1025" s="33">
        <v>0.36249999999999999</v>
      </c>
      <c r="C1025" s="10" t="s">
        <v>279</v>
      </c>
      <c r="D1025" s="10">
        <v>0</v>
      </c>
      <c r="E1025" s="10" t="s">
        <v>190</v>
      </c>
      <c r="F1025" s="10">
        <v>1</v>
      </c>
      <c r="G1025" s="10" t="s">
        <v>231</v>
      </c>
      <c r="H1025" s="10" t="s">
        <v>322</v>
      </c>
      <c r="I1025" s="10" t="s">
        <v>256</v>
      </c>
      <c r="J1025" s="10">
        <v>9</v>
      </c>
      <c r="K1025" s="12">
        <v>44950</v>
      </c>
      <c r="L1025" s="33">
        <v>0.47351851851851851</v>
      </c>
      <c r="M1025" s="10">
        <v>1</v>
      </c>
      <c r="N1025" s="10" t="s">
        <v>169</v>
      </c>
      <c r="O1025" s="10">
        <v>4.49</v>
      </c>
      <c r="P1025" s="10">
        <v>0.25700000000000001</v>
      </c>
      <c r="Q1025" s="10">
        <v>686</v>
      </c>
      <c r="R1025" s="10" t="s">
        <v>77</v>
      </c>
      <c r="S1025" s="34">
        <f t="shared" si="109"/>
        <v>686</v>
      </c>
      <c r="T1025" s="10" t="s">
        <v>1058</v>
      </c>
      <c r="U1025" s="34" t="str">
        <f t="shared" si="110"/>
        <v/>
      </c>
      <c r="V1025" s="31" t="str">
        <f>IF(H1025="CHK",VLOOKUP(I1025,QCCHK,3,),IF(H1025="GUP",VLOOKUP(E1025,QCGUP,2,),IF(AND(H1025="ATP",OR(I1025="TN",I1025="TDN",I1025="TNO2-3",I1025="NO2-3")),VLOOKUP(E1025,QCREC_N,2,),IF(AND(H1025="NIC",OR(I1025="TN",I1025="TDN",I1025="TNO2-3",I1025="NO2-3")),VLOOKUP(E1025,QCNIC_N,2,),IF(AND(H1025="UREA",OR(I1025="TN",I1025="TDN",I1025="TNO2-3",I1025="NO2-3")),VLOOKUP(E1025,QCUREA_N,2,),IF(H1025="PER",VLOOKUP(I1025,QCPER,MATCH(E1025,QCACTUAL!$J$25:$AA$25,0),),IF(H1025="SPK",VLOOKUP(I1025,QCSPK,3,),IF(AND(H1025="ATP",OR(I1025="TP",I1025="TDP")),VLOOKUP(E1025,QCATP_P,2,),""))))))))</f>
        <v/>
      </c>
      <c r="W1025" s="31" t="str">
        <f t="shared" si="111"/>
        <v>TRUE</v>
      </c>
      <c r="X1025" s="31" t="str">
        <f t="shared" si="112"/>
        <v/>
      </c>
      <c r="Y1025" s="10" t="s">
        <v>1040</v>
      </c>
      <c r="Z1025" s="10" t="s">
        <v>910</v>
      </c>
      <c r="AL1025" s="10" t="str">
        <f t="shared" si="114"/>
        <v>FALSE</v>
      </c>
      <c r="AM1025" s="10" t="str">
        <f t="shared" si="114"/>
        <v>FALSE</v>
      </c>
      <c r="AN1025" s="10" t="str">
        <f t="shared" si="114"/>
        <v>FALSE</v>
      </c>
      <c r="AO1025" s="10" t="str">
        <f t="shared" si="115"/>
        <v>FALSE</v>
      </c>
      <c r="AP1025" s="10" t="str">
        <f t="shared" si="115"/>
        <v>FALSE</v>
      </c>
      <c r="AQ1025" s="10" t="b">
        <f>IF(AND(I1025="TP",S1025&lt;=150),VLOOKUP(AF1025,TPCalibEq150!$AZ$2:$BB$55,3,),IF(AND(I1025="TDP",S1025&lt;=150),VLOOKUP(AF1025,TPCalibEq150!$AZ$2:$BB$55,3,)))</f>
        <v>0</v>
      </c>
      <c r="AR1025" s="10" t="b">
        <f>IF(AND(I1025="TP",S1025&lt;=300),VLOOKUP(AF1025,TPCalibEq300!$AZ$2:$BB$55,3,),IF(AND(I1025="TDP",S1025&lt;=300),VLOOKUP(AF1025,TPCalibEq300!$AZ$2:$BB$55,3,)))</f>
        <v>0</v>
      </c>
      <c r="AS1025" s="10" t="b">
        <f>IF(AND(I1025="TP",S1025&lt;=500),VLOOKUP(AF1025,TPCalibEq500!$AZ$2:$BB$56,3,),IF(AND(I1025="TDP",S1025&lt;=500),VLOOKUP(AF1025,TPCalibEq500!$AZ$2:$BB$56,3,)))</f>
        <v>0</v>
      </c>
      <c r="AT1025" s="10" t="b">
        <f>IF(AND(I1025="TN",S1025&lt;=2800),VLOOKUP(AF1025,TNCalibEq2500!$AZ$2:$BB$56,3,),IF(AND(I1025="TDN",S1025&lt;=2800),VLOOKUP(AF1025,TNCalibEq2500!$AZ$2:$BB$56,3,)))</f>
        <v>0</v>
      </c>
      <c r="AU1025" s="10" t="b">
        <f>IF(I1025="TP",VLOOKUP(AF1025,TPCalibEqFull!$AZ$2:$BB$56,3),IF(I1025="TDP",VLOOKUP(AF1025,TPCalibEqFull!$AZ$2:$BB$56,3),IF(I1025="TDN",VLOOKUP(AF1025,TNCalibEqFull!$AZ$1:$BB$56,3),IF(I1025="TN",VLOOKUP(AF1025,TNCalibEqFull!$AZ$1:$BB$56,3),FALSE))))</f>
        <v>0</v>
      </c>
      <c r="AV1025" s="10" t="str">
        <f t="shared" si="113"/>
        <v>0118 08:42:00-EFK-0-C-1-SW-UKN</v>
      </c>
    </row>
    <row r="1026" spans="1:48" s="10" customFormat="1" x14ac:dyDescent="0.55000000000000004">
      <c r="A1026" s="32">
        <v>44944</v>
      </c>
      <c r="B1026" s="33">
        <v>0.36805555555555558</v>
      </c>
      <c r="C1026" s="10" t="s">
        <v>333</v>
      </c>
      <c r="D1026" s="10">
        <v>0</v>
      </c>
      <c r="E1026" s="10" t="s">
        <v>190</v>
      </c>
      <c r="F1026" s="10">
        <v>1</v>
      </c>
      <c r="G1026" s="10" t="s">
        <v>231</v>
      </c>
      <c r="H1026" s="10" t="s">
        <v>322</v>
      </c>
      <c r="I1026" s="10" t="s">
        <v>256</v>
      </c>
      <c r="J1026" s="10">
        <v>10</v>
      </c>
      <c r="K1026" s="12">
        <v>44950</v>
      </c>
      <c r="L1026" s="33">
        <v>0.47432870370370367</v>
      </c>
      <c r="M1026" s="10">
        <v>1</v>
      </c>
      <c r="N1026" s="10" t="s">
        <v>169</v>
      </c>
      <c r="O1026" s="10">
        <v>6.4</v>
      </c>
      <c r="P1026" s="10">
        <v>0.36399999999999999</v>
      </c>
      <c r="Q1026" s="10">
        <v>977</v>
      </c>
      <c r="R1026" s="10" t="s">
        <v>77</v>
      </c>
      <c r="S1026" s="34">
        <f t="shared" ref="S1026:S1089" si="116">IF(OR(AND(I1026&lt;&gt;"TP", I1026&lt;&gt;"TDP",I1026&lt;&gt;"TN", I1026&lt;&gt;"TDN"),H1026="CAL"), Q1026*M1026, IF(OR(AND(I1026="TN", Q1026&gt;2500), AND(I1026="TDN", Q1026&gt;2500)),MAX(Q1026, AK1026)*M1026, IF(OR(AND(I1026="TN", Q1026&lt;=2500), AND(I1026="TDN", Q1026&lt;=2500)),MAX(Q1026, AJ1026,AK1026)*M1026, IF(OR(AND(I1026="TP",Q1026&gt;500), AND(I1026="TDP", Q1026&gt;500)),MAX(Q1026,AK1026)*M1026,IF(OR(AND(I1026="TP",Q1026&lt;=150), AND(I1026="TDP", Q1026&lt;=150)),MAX(Q1026,AG1026:AI1026,AK1026)*M1026,IF(OR(AND(I1026="TP",Q1026&lt;=300), AND(I1026="TDP", Q1026&lt;=300)),MAX(Q1026,AH1026,AI1026,AK1026)*M1026,IF(OR(AND(I1026="TP",Q1026&lt;=500), AND(I1026="TDP", Q1026&lt;=500)),MAX(Q1026,AI1026,AK1026)*M1026,"")))))))</f>
        <v>977</v>
      </c>
      <c r="T1026" s="10" t="s">
        <v>1058</v>
      </c>
      <c r="U1026" s="34" t="str">
        <f t="shared" ref="U1026:U1089" si="117">IF(OR(H1026="CHK",H1026="ATP",H1026="GUP",H1026="PER", H1026="NIC", H1026="UREA"),(S1026/V1026*100),IF(H1026="DUP",((ABS(S1026-S1025))/((S1025+S1026)/2))*100,IF(H1026="SPK",((S1026-S1025)/V1026*100),IF(OR(H1026="LAB",H1026="FLD",H1026="ESF"),S1026,""))))</f>
        <v/>
      </c>
      <c r="V1026" s="31" t="str">
        <f>IF(H1026="CHK",VLOOKUP(I1026,QCCHK,3,),IF(H1026="GUP",VLOOKUP(E1026,QCGUP,2,),IF(AND(H1026="ATP",OR(I1026="TN",I1026="TDN",I1026="TNO2-3",I1026="NO2-3")),VLOOKUP(E1026,QCREC_N,2,),IF(AND(H1026="NIC",OR(I1026="TN",I1026="TDN",I1026="TNO2-3",I1026="NO2-3")),VLOOKUP(E1026,QCNIC_N,2,),IF(AND(H1026="UREA",OR(I1026="TN",I1026="TDN",I1026="TNO2-3",I1026="NO2-3")),VLOOKUP(E1026,QCUREA_N,2,),IF(H1026="PER",VLOOKUP(I1026,QCPER,MATCH(E1026,QCACTUAL!$J$25:$AA$25,0),),IF(H1026="SPK",VLOOKUP(I1026,QCSPK,3,),IF(AND(H1026="ATP",OR(I1026="TP",I1026="TDP")),VLOOKUP(E1026,QCATP_P,2,),""))))))))</f>
        <v/>
      </c>
      <c r="W1026" s="31" t="str">
        <f t="shared" ref="W1026:W1089" si="118">IF(AND(OR(H1026="PER",H1026="ATP",H1026="GUP",H1026="CHK",H1026="SPK", H1026="NIC"),OR(U1026&gt;125,U1026&lt;75)),"FALSE",IF(AND(H1026="DUP",OR(U1026&gt;25, U1026&lt;-25)),"FALSE",IF(AND(OR(H1026="LAB",H1026="FLD",H1026="ESF"),U1026&gt;15),"FALSE","TRUE")))</f>
        <v>TRUE</v>
      </c>
      <c r="X1026" s="31" t="str">
        <f t="shared" ref="X1026:X1089" si="119">IF(ISNA(VLOOKUP(H1026,QCEQUATIONS,2,)),"",(VLOOKUP(H1026,QCEQUATIONS,2,)))</f>
        <v/>
      </c>
      <c r="Y1026" s="10" t="s">
        <v>1040</v>
      </c>
      <c r="Z1026" s="10" t="s">
        <v>910</v>
      </c>
      <c r="AL1026" s="10" t="str">
        <f t="shared" si="114"/>
        <v>FALSE</v>
      </c>
      <c r="AM1026" s="10" t="str">
        <f t="shared" si="114"/>
        <v>FALSE</v>
      </c>
      <c r="AN1026" s="10" t="str">
        <f t="shared" si="114"/>
        <v>FALSE</v>
      </c>
      <c r="AO1026" s="10" t="str">
        <f t="shared" si="115"/>
        <v>FALSE</v>
      </c>
      <c r="AP1026" s="10" t="str">
        <f t="shared" si="115"/>
        <v>FALSE</v>
      </c>
      <c r="AQ1026" s="10" t="b">
        <f>IF(AND(I1026="TP",S1026&lt;=150),VLOOKUP(AF1026,TPCalibEq150!$AZ$2:$BB$55,3,),IF(AND(I1026="TDP",S1026&lt;=150),VLOOKUP(AF1026,TPCalibEq150!$AZ$2:$BB$55,3,)))</f>
        <v>0</v>
      </c>
      <c r="AR1026" s="10" t="b">
        <f>IF(AND(I1026="TP",S1026&lt;=300),VLOOKUP(AF1026,TPCalibEq300!$AZ$2:$BB$55,3,),IF(AND(I1026="TDP",S1026&lt;=300),VLOOKUP(AF1026,TPCalibEq300!$AZ$2:$BB$55,3,)))</f>
        <v>0</v>
      </c>
      <c r="AS1026" s="10" t="b">
        <f>IF(AND(I1026="TP",S1026&lt;=500),VLOOKUP(AF1026,TPCalibEq500!$AZ$2:$BB$56,3,),IF(AND(I1026="TDP",S1026&lt;=500),VLOOKUP(AF1026,TPCalibEq500!$AZ$2:$BB$56,3,)))</f>
        <v>0</v>
      </c>
      <c r="AT1026" s="10" t="b">
        <f>IF(AND(I1026="TN",S1026&lt;=2800),VLOOKUP(AF1026,TNCalibEq2500!$AZ$2:$BB$56,3,),IF(AND(I1026="TDN",S1026&lt;=2800),VLOOKUP(AF1026,TNCalibEq2500!$AZ$2:$BB$56,3,)))</f>
        <v>0</v>
      </c>
      <c r="AU1026" s="10" t="b">
        <f>IF(I1026="TP",VLOOKUP(AF1026,TPCalibEqFull!$AZ$2:$BB$56,3),IF(I1026="TDP",VLOOKUP(AF1026,TPCalibEqFull!$AZ$2:$BB$56,3),IF(I1026="TDN",VLOOKUP(AF1026,TNCalibEqFull!$AZ$1:$BB$56,3),IF(I1026="TN",VLOOKUP(AF1026,TNCalibEqFull!$AZ$1:$BB$56,3),FALSE))))</f>
        <v>0</v>
      </c>
      <c r="AV1026" s="10" t="str">
        <f t="shared" ref="AV1026:AV1089" si="120">TEXT(A1026, "MMDD")&amp;" "&amp;TEXT(B1026, "HH:MM:SS")&amp;"-"&amp;C1026&amp;"-"&amp;D1026&amp;"-"&amp;E1026&amp;"-"&amp;F1026&amp;"-"&amp;G1026&amp;"-"&amp;H1026</f>
        <v>0118 08:50:00-HST-0-C-1-SW-UKN</v>
      </c>
    </row>
    <row r="1027" spans="1:48" s="10" customFormat="1" x14ac:dyDescent="0.55000000000000004">
      <c r="A1027" s="32">
        <v>44944</v>
      </c>
      <c r="B1027" s="33">
        <v>0.36805555555555558</v>
      </c>
      <c r="C1027" s="10" t="s">
        <v>333</v>
      </c>
      <c r="D1027" s="10">
        <v>0</v>
      </c>
      <c r="E1027" s="10" t="s">
        <v>190</v>
      </c>
      <c r="F1027" s="10">
        <v>1</v>
      </c>
      <c r="G1027" s="10" t="s">
        <v>231</v>
      </c>
      <c r="H1027" s="10" t="s">
        <v>233</v>
      </c>
      <c r="I1027" s="10" t="s">
        <v>256</v>
      </c>
      <c r="J1027" s="10">
        <v>10</v>
      </c>
      <c r="K1027" s="12">
        <v>44950</v>
      </c>
      <c r="L1027" s="33">
        <v>0.47513888888888883</v>
      </c>
      <c r="M1027" s="10">
        <v>1</v>
      </c>
      <c r="N1027" s="10" t="s">
        <v>169</v>
      </c>
      <c r="O1027" s="10">
        <v>5.91</v>
      </c>
      <c r="P1027" s="10">
        <v>0.33700000000000002</v>
      </c>
      <c r="Q1027" s="10">
        <v>903</v>
      </c>
      <c r="R1027" s="10" t="s">
        <v>77</v>
      </c>
      <c r="S1027" s="34">
        <f t="shared" si="116"/>
        <v>903</v>
      </c>
      <c r="T1027" s="10" t="s">
        <v>1058</v>
      </c>
      <c r="U1027" s="34">
        <f t="shared" si="117"/>
        <v>7.8723404255319149</v>
      </c>
      <c r="V1027" s="31" t="str">
        <f>IF(H1027="CHK",VLOOKUP(I1027,QCCHK,3,),IF(H1027="GUP",VLOOKUP(E1027,QCGUP,2,),IF(AND(H1027="ATP",OR(I1027="TN",I1027="TDN",I1027="TNO2-3",I1027="NO2-3")),VLOOKUP(E1027,QCREC_N,2,),IF(AND(H1027="NIC",OR(I1027="TN",I1027="TDN",I1027="TNO2-3",I1027="NO2-3")),VLOOKUP(E1027,QCNIC_N,2,),IF(AND(H1027="UREA",OR(I1027="TN",I1027="TDN",I1027="TNO2-3",I1027="NO2-3")),VLOOKUP(E1027,QCUREA_N,2,),IF(H1027="PER",VLOOKUP(I1027,QCPER,MATCH(E1027,QCACTUAL!$J$25:$AA$25,0),),IF(H1027="SPK",VLOOKUP(I1027,QCSPK,3,),IF(AND(H1027="ATP",OR(I1027="TP",I1027="TDP")),VLOOKUP(E1027,QCATP_P,2,),""))))))))</f>
        <v/>
      </c>
      <c r="W1027" s="31" t="str">
        <f t="shared" si="118"/>
        <v>TRUE</v>
      </c>
      <c r="X1027" s="31" t="str">
        <f t="shared" si="119"/>
        <v>((ABS(rep1-rep2))/((rep1+rep2)/2)*100</v>
      </c>
      <c r="Y1027" s="10" t="s">
        <v>1040</v>
      </c>
      <c r="Z1027" s="10" t="s">
        <v>910</v>
      </c>
      <c r="AL1027" s="10" t="str">
        <f t="shared" si="114"/>
        <v>FALSE</v>
      </c>
      <c r="AM1027" s="10" t="str">
        <f t="shared" si="114"/>
        <v>FALSE</v>
      </c>
      <c r="AN1027" s="10" t="str">
        <f t="shared" si="114"/>
        <v>FALSE</v>
      </c>
      <c r="AO1027" s="10" t="str">
        <f t="shared" si="115"/>
        <v>FALSE</v>
      </c>
      <c r="AP1027" s="10" t="str">
        <f t="shared" si="115"/>
        <v>FALSE</v>
      </c>
      <c r="AQ1027" s="10" t="b">
        <f>IF(AND(I1027="TP",S1027&lt;=150),VLOOKUP(AF1027,TPCalibEq150!$AZ$2:$BB$55,3,),IF(AND(I1027="TDP",S1027&lt;=150),VLOOKUP(AF1027,TPCalibEq150!$AZ$2:$BB$55,3,)))</f>
        <v>0</v>
      </c>
      <c r="AR1027" s="10" t="b">
        <f>IF(AND(I1027="TP",S1027&lt;=300),VLOOKUP(AF1027,TPCalibEq300!$AZ$2:$BB$55,3,),IF(AND(I1027="TDP",S1027&lt;=300),VLOOKUP(AF1027,TPCalibEq300!$AZ$2:$BB$55,3,)))</f>
        <v>0</v>
      </c>
      <c r="AS1027" s="10" t="b">
        <f>IF(AND(I1027="TP",S1027&lt;=500),VLOOKUP(AF1027,TPCalibEq500!$AZ$2:$BB$56,3,),IF(AND(I1027="TDP",S1027&lt;=500),VLOOKUP(AF1027,TPCalibEq500!$AZ$2:$BB$56,3,)))</f>
        <v>0</v>
      </c>
      <c r="AT1027" s="10" t="b">
        <f>IF(AND(I1027="TN",S1027&lt;=2800),VLOOKUP(AF1027,TNCalibEq2500!$AZ$2:$BB$56,3,),IF(AND(I1027="TDN",S1027&lt;=2800),VLOOKUP(AF1027,TNCalibEq2500!$AZ$2:$BB$56,3,)))</f>
        <v>0</v>
      </c>
      <c r="AU1027" s="10" t="b">
        <f>IF(I1027="TP",VLOOKUP(AF1027,TPCalibEqFull!$AZ$2:$BB$56,3),IF(I1027="TDP",VLOOKUP(AF1027,TPCalibEqFull!$AZ$2:$BB$56,3),IF(I1027="TDN",VLOOKUP(AF1027,TNCalibEqFull!$AZ$1:$BB$56,3),IF(I1027="TN",VLOOKUP(AF1027,TNCalibEqFull!$AZ$1:$BB$56,3),FALSE))))</f>
        <v>0</v>
      </c>
      <c r="AV1027" s="10" t="str">
        <f t="shared" si="120"/>
        <v>0118 08:50:00-HST-0-C-1-SW-DUP</v>
      </c>
    </row>
    <row r="1028" spans="1:48" s="10" customFormat="1" x14ac:dyDescent="0.55000000000000004">
      <c r="A1028" s="32">
        <v>44944</v>
      </c>
      <c r="B1028" s="33">
        <v>0.36805555555555558</v>
      </c>
      <c r="C1028" s="10" t="s">
        <v>912</v>
      </c>
      <c r="D1028" s="10">
        <v>0</v>
      </c>
      <c r="E1028" s="10" t="s">
        <v>190</v>
      </c>
      <c r="F1028" s="10">
        <v>1</v>
      </c>
      <c r="G1028" s="10" t="s">
        <v>231</v>
      </c>
      <c r="H1028" s="10" t="s">
        <v>314</v>
      </c>
      <c r="I1028" s="10" t="s">
        <v>256</v>
      </c>
      <c r="J1028" s="10">
        <v>57</v>
      </c>
      <c r="K1028" s="12">
        <v>44950</v>
      </c>
      <c r="L1028" s="33">
        <v>0.47594907407407411</v>
      </c>
      <c r="M1028" s="10">
        <v>1</v>
      </c>
      <c r="N1028" s="10" t="s">
        <v>169</v>
      </c>
      <c r="O1028" s="10">
        <v>10.6</v>
      </c>
      <c r="P1028" s="10">
        <v>0.60399999999999998</v>
      </c>
      <c r="Q1028" s="10">
        <v>1620</v>
      </c>
      <c r="R1028" s="10" t="s">
        <v>77</v>
      </c>
      <c r="S1028" s="34">
        <f t="shared" si="116"/>
        <v>1620</v>
      </c>
      <c r="T1028" s="10" t="s">
        <v>1058</v>
      </c>
      <c r="U1028" s="34">
        <f t="shared" si="117"/>
        <v>114.72</v>
      </c>
      <c r="V1028" s="31">
        <f>IF(H1028="CHK",VLOOKUP(I1028,QCCHK,3,),IF(H1028="GUP",VLOOKUP(E1028,QCGUP,2,),IF(AND(H1028="ATP",OR(I1028="TN",I1028="TDN",I1028="TNO2-3",I1028="NO2-3")),VLOOKUP(E1028,QCREC_N,2,),IF(AND(H1028="NIC",OR(I1028="TN",I1028="TDN",I1028="TNO2-3",I1028="NO2-3")),VLOOKUP(E1028,QCNIC_N,2,),IF(AND(H1028="UREA",OR(I1028="TN",I1028="TDN",I1028="TNO2-3",I1028="NO2-3")),VLOOKUP(E1028,QCUREA_N,2,),IF(H1028="PER",VLOOKUP(I1028,QCPER,MATCH(E1028,QCACTUAL!$J$25:$AA$25,0),),IF(H1028="SPK",VLOOKUP(I1028,QCSPK,3,),IF(AND(H1028="ATP",OR(I1028="TP",I1028="TDP")),VLOOKUP(E1028,QCATP_P,2,),""))))))))</f>
        <v>625</v>
      </c>
      <c r="W1028" s="31" t="str">
        <f t="shared" si="118"/>
        <v>TRUE</v>
      </c>
      <c r="X1028" s="31" t="str">
        <f t="shared" si="119"/>
        <v>([spikedunkn]-[unkn])/[spike]*100</v>
      </c>
      <c r="Y1028" s="10" t="s">
        <v>1040</v>
      </c>
      <c r="Z1028" s="10" t="s">
        <v>910</v>
      </c>
      <c r="AL1028" s="10" t="str">
        <f t="shared" si="114"/>
        <v>FALSE</v>
      </c>
      <c r="AM1028" s="10" t="str">
        <f t="shared" si="114"/>
        <v>FALSE</v>
      </c>
      <c r="AN1028" s="10" t="str">
        <f t="shared" si="114"/>
        <v>FALSE</v>
      </c>
      <c r="AO1028" s="10" t="str">
        <f t="shared" si="115"/>
        <v>FALSE</v>
      </c>
      <c r="AP1028" s="10" t="str">
        <f t="shared" si="115"/>
        <v>FALSE</v>
      </c>
      <c r="AQ1028" s="10" t="b">
        <f>IF(AND(I1028="TP",S1028&lt;=150),VLOOKUP(AF1028,TPCalibEq150!$AZ$2:$BB$55,3,),IF(AND(I1028="TDP",S1028&lt;=150),VLOOKUP(AF1028,TPCalibEq150!$AZ$2:$BB$55,3,)))</f>
        <v>0</v>
      </c>
      <c r="AR1028" s="10" t="b">
        <f>IF(AND(I1028="TP",S1028&lt;=300),VLOOKUP(AF1028,TPCalibEq300!$AZ$2:$BB$55,3,),IF(AND(I1028="TDP",S1028&lt;=300),VLOOKUP(AF1028,TPCalibEq300!$AZ$2:$BB$55,3,)))</f>
        <v>0</v>
      </c>
      <c r="AS1028" s="10" t="b">
        <f>IF(AND(I1028="TP",S1028&lt;=500),VLOOKUP(AF1028,TPCalibEq500!$AZ$2:$BB$56,3,),IF(AND(I1028="TDP",S1028&lt;=500),VLOOKUP(AF1028,TPCalibEq500!$AZ$2:$BB$56,3,)))</f>
        <v>0</v>
      </c>
      <c r="AT1028" s="10" t="b">
        <f>IF(AND(I1028="TN",S1028&lt;=2800),VLOOKUP(AF1028,TNCalibEq2500!$AZ$2:$BB$56,3,),IF(AND(I1028="TDN",S1028&lt;=2800),VLOOKUP(AF1028,TNCalibEq2500!$AZ$2:$BB$56,3,)))</f>
        <v>0</v>
      </c>
      <c r="AU1028" s="10" t="b">
        <f>IF(I1028="TP",VLOOKUP(AF1028,TPCalibEqFull!$AZ$2:$BB$56,3),IF(I1028="TDP",VLOOKUP(AF1028,TPCalibEqFull!$AZ$2:$BB$56,3),IF(I1028="TDN",VLOOKUP(AF1028,TNCalibEqFull!$AZ$1:$BB$56,3),IF(I1028="TN",VLOOKUP(AF1028,TNCalibEqFull!$AZ$1:$BB$56,3),FALSE))))</f>
        <v>0</v>
      </c>
      <c r="AV1028" s="10" t="str">
        <f t="shared" si="120"/>
        <v>0118 08:50:00-HST -0-C-1-SW-SPK</v>
      </c>
    </row>
    <row r="1029" spans="1:48" s="10" customFormat="1" x14ac:dyDescent="0.55000000000000004">
      <c r="A1029" s="32">
        <v>44950</v>
      </c>
      <c r="B1029" s="33">
        <v>0.375</v>
      </c>
      <c r="C1029" s="10" t="s">
        <v>70</v>
      </c>
      <c r="D1029" s="10" t="s">
        <v>71</v>
      </c>
      <c r="E1029" s="10" t="s">
        <v>901</v>
      </c>
      <c r="F1029" s="10">
        <v>1</v>
      </c>
      <c r="G1029" s="10" t="s">
        <v>73</v>
      </c>
      <c r="H1029" s="10" t="s">
        <v>207</v>
      </c>
      <c r="I1029" s="10" t="s">
        <v>256</v>
      </c>
      <c r="J1029" s="10">
        <v>199</v>
      </c>
      <c r="K1029" s="12">
        <v>44950</v>
      </c>
      <c r="L1029" s="33">
        <v>0.4767824074074074</v>
      </c>
      <c r="M1029" s="10">
        <v>1</v>
      </c>
      <c r="N1029" s="10" t="s">
        <v>169</v>
      </c>
      <c r="O1029" s="10">
        <v>1.96</v>
      </c>
      <c r="P1029" s="10">
        <v>0.115</v>
      </c>
      <c r="Q1029" s="10">
        <v>300</v>
      </c>
      <c r="R1029" s="10" t="s">
        <v>77</v>
      </c>
      <c r="S1029" s="34">
        <f t="shared" si="116"/>
        <v>300</v>
      </c>
      <c r="T1029" s="10" t="s">
        <v>1058</v>
      </c>
      <c r="U1029" s="34">
        <f t="shared" si="117"/>
        <v>100</v>
      </c>
      <c r="V1029" s="31">
        <f>IF(H1029="CHK",VLOOKUP(I1029,QCCHK,3,),IF(H1029="GUP",VLOOKUP(E1029,QCGUP,2,),IF(AND(H1029="ATP",OR(I1029="TN",I1029="TDN",I1029="TNO2-3",I1029="NO2-3")),VLOOKUP(E1029,QCREC_N,2,),IF(AND(H1029="NIC",OR(I1029="TN",I1029="TDN",I1029="TNO2-3",I1029="NO2-3")),VLOOKUP(E1029,QCNIC_N,2,),IF(AND(H1029="UREA",OR(I1029="TN",I1029="TDN",I1029="TNO2-3",I1029="NO2-3")),VLOOKUP(E1029,QCUREA_N,2,),IF(H1029="PER",VLOOKUP(I1029,QCPER,MATCH(E1029,QCACTUAL!$J$25:$AA$25,0),),IF(H1029="SPK",VLOOKUP(I1029,QCSPK,3,),IF(AND(H1029="ATP",OR(I1029="TP",I1029="TDP")),VLOOKUP(E1029,QCATP_P,2,),""))))))))</f>
        <v>300</v>
      </c>
      <c r="W1029" s="31" t="str">
        <f t="shared" si="118"/>
        <v>TRUE</v>
      </c>
      <c r="X1029" s="31" t="str">
        <f t="shared" si="119"/>
        <v>[chk]/[actual]*100</v>
      </c>
      <c r="Y1029" s="10" t="s">
        <v>1040</v>
      </c>
      <c r="AL1029" s="10" t="str">
        <f t="shared" si="114"/>
        <v>FALSE</v>
      </c>
      <c r="AM1029" s="10" t="str">
        <f t="shared" si="114"/>
        <v>FALSE</v>
      </c>
      <c r="AN1029" s="10" t="str">
        <f t="shared" si="114"/>
        <v>FALSE</v>
      </c>
      <c r="AO1029" s="10" t="str">
        <f t="shared" si="115"/>
        <v>FALSE</v>
      </c>
      <c r="AP1029" s="10" t="str">
        <f t="shared" si="115"/>
        <v>FALSE</v>
      </c>
      <c r="AQ1029" s="10" t="b">
        <f>IF(AND(I1029="TP",S1029&lt;=150),VLOOKUP(AF1029,TPCalibEq150!$AZ$2:$BB$55,3,),IF(AND(I1029="TDP",S1029&lt;=150),VLOOKUP(AF1029,TPCalibEq150!$AZ$2:$BB$55,3,)))</f>
        <v>0</v>
      </c>
      <c r="AR1029" s="10" t="b">
        <f>IF(AND(I1029="TP",S1029&lt;=300),VLOOKUP(AF1029,TPCalibEq300!$AZ$2:$BB$55,3,),IF(AND(I1029="TDP",S1029&lt;=300),VLOOKUP(AF1029,TPCalibEq300!$AZ$2:$BB$55,3,)))</f>
        <v>0</v>
      </c>
      <c r="AS1029" s="10" t="b">
        <f>IF(AND(I1029="TP",S1029&lt;=500),VLOOKUP(AF1029,TPCalibEq500!$AZ$2:$BB$56,3,),IF(AND(I1029="TDP",S1029&lt;=500),VLOOKUP(AF1029,TPCalibEq500!$AZ$2:$BB$56,3,)))</f>
        <v>0</v>
      </c>
      <c r="AT1029" s="10" t="b">
        <f>IF(AND(I1029="TN",S1029&lt;=2800),VLOOKUP(AF1029,TNCalibEq2500!$AZ$2:$BB$56,3,),IF(AND(I1029="TDN",S1029&lt;=2800),VLOOKUP(AF1029,TNCalibEq2500!$AZ$2:$BB$56,3,)))</f>
        <v>0</v>
      </c>
      <c r="AU1029" s="10" t="b">
        <f>IF(I1029="TP",VLOOKUP(AF1029,TPCalibEqFull!$AZ$2:$BB$56,3),IF(I1029="TDP",VLOOKUP(AF1029,TPCalibEqFull!$AZ$2:$BB$56,3),IF(I1029="TDN",VLOOKUP(AF1029,TNCalibEqFull!$AZ$1:$BB$56,3),IF(I1029="TN",VLOOKUP(AF1029,TNCalibEqFull!$AZ$1:$BB$56,3),FALSE))))</f>
        <v>0</v>
      </c>
      <c r="AV1029" s="10" t="str">
        <f t="shared" si="120"/>
        <v>0124 09:00:00-QAC-STD-D-1-DI-CHK</v>
      </c>
    </row>
    <row r="1030" spans="1:48" s="10" customFormat="1" x14ac:dyDescent="0.55000000000000004">
      <c r="A1030" s="32">
        <v>44945</v>
      </c>
      <c r="B1030" s="33">
        <v>0.56041666666666667</v>
      </c>
      <c r="C1030" s="10" t="s">
        <v>279</v>
      </c>
      <c r="D1030" s="10">
        <v>0</v>
      </c>
      <c r="E1030" s="10" t="s">
        <v>190</v>
      </c>
      <c r="F1030" s="10">
        <v>1</v>
      </c>
      <c r="G1030" s="10" t="s">
        <v>231</v>
      </c>
      <c r="H1030" s="10" t="s">
        <v>322</v>
      </c>
      <c r="I1030" s="10" t="s">
        <v>256</v>
      </c>
      <c r="J1030" s="10">
        <v>11</v>
      </c>
      <c r="K1030" s="12">
        <v>44950</v>
      </c>
      <c r="L1030" s="33">
        <v>0.47759259259259257</v>
      </c>
      <c r="M1030" s="10">
        <v>1</v>
      </c>
      <c r="N1030" s="10" t="s">
        <v>169</v>
      </c>
      <c r="O1030" s="10">
        <v>4.47</v>
      </c>
      <c r="P1030" s="10">
        <v>0.25600000000000001</v>
      </c>
      <c r="Q1030" s="10">
        <v>683</v>
      </c>
      <c r="R1030" s="10" t="s">
        <v>77</v>
      </c>
      <c r="S1030" s="34">
        <f t="shared" si="116"/>
        <v>683</v>
      </c>
      <c r="T1030" s="10" t="s">
        <v>1058</v>
      </c>
      <c r="U1030" s="34" t="str">
        <f t="shared" si="117"/>
        <v/>
      </c>
      <c r="V1030" s="31" t="str">
        <f>IF(H1030="CHK",VLOOKUP(I1030,QCCHK,3,),IF(H1030="GUP",VLOOKUP(E1030,QCGUP,2,),IF(AND(H1030="ATP",OR(I1030="TN",I1030="TDN",I1030="TNO2-3",I1030="NO2-3")),VLOOKUP(E1030,QCREC_N,2,),IF(AND(H1030="NIC",OR(I1030="TN",I1030="TDN",I1030="TNO2-3",I1030="NO2-3")),VLOOKUP(E1030,QCNIC_N,2,),IF(AND(H1030="UREA",OR(I1030="TN",I1030="TDN",I1030="TNO2-3",I1030="NO2-3")),VLOOKUP(E1030,QCUREA_N,2,),IF(H1030="PER",VLOOKUP(I1030,QCPER,MATCH(E1030,QCACTUAL!$J$25:$AA$25,0),),IF(H1030="SPK",VLOOKUP(I1030,QCSPK,3,),IF(AND(H1030="ATP",OR(I1030="TP",I1030="TDP")),VLOOKUP(E1030,QCATP_P,2,),""))))))))</f>
        <v/>
      </c>
      <c r="W1030" s="31" t="str">
        <f t="shared" si="118"/>
        <v>TRUE</v>
      </c>
      <c r="X1030" s="31" t="str">
        <f t="shared" si="119"/>
        <v/>
      </c>
      <c r="Y1030" s="10" t="s">
        <v>1040</v>
      </c>
      <c r="Z1030" s="10" t="s">
        <v>910</v>
      </c>
      <c r="AL1030" s="10" t="str">
        <f t="shared" si="114"/>
        <v>FALSE</v>
      </c>
      <c r="AM1030" s="10" t="str">
        <f t="shared" si="114"/>
        <v>FALSE</v>
      </c>
      <c r="AN1030" s="10" t="str">
        <f t="shared" si="114"/>
        <v>FALSE</v>
      </c>
      <c r="AO1030" s="10" t="str">
        <f t="shared" si="115"/>
        <v>FALSE</v>
      </c>
      <c r="AP1030" s="10" t="str">
        <f t="shared" si="115"/>
        <v>FALSE</v>
      </c>
      <c r="AQ1030" s="10" t="b">
        <f>IF(AND(I1030="TP",S1030&lt;=150),VLOOKUP(AF1030,TPCalibEq150!$AZ$2:$BB$55,3,),IF(AND(I1030="TDP",S1030&lt;=150),VLOOKUP(AF1030,TPCalibEq150!$AZ$2:$BB$55,3,)))</f>
        <v>0</v>
      </c>
      <c r="AR1030" s="10" t="b">
        <f>IF(AND(I1030="TP",S1030&lt;=300),VLOOKUP(AF1030,TPCalibEq300!$AZ$2:$BB$55,3,),IF(AND(I1030="TDP",S1030&lt;=300),VLOOKUP(AF1030,TPCalibEq300!$AZ$2:$BB$55,3,)))</f>
        <v>0</v>
      </c>
      <c r="AS1030" s="10" t="b">
        <f>IF(AND(I1030="TP",S1030&lt;=500),VLOOKUP(AF1030,TPCalibEq500!$AZ$2:$BB$56,3,),IF(AND(I1030="TDP",S1030&lt;=500),VLOOKUP(AF1030,TPCalibEq500!$AZ$2:$BB$56,3,)))</f>
        <v>0</v>
      </c>
      <c r="AT1030" s="10" t="b">
        <f>IF(AND(I1030="TN",S1030&lt;=2800),VLOOKUP(AF1030,TNCalibEq2500!$AZ$2:$BB$56,3,),IF(AND(I1030="TDN",S1030&lt;=2800),VLOOKUP(AF1030,TNCalibEq2500!$AZ$2:$BB$56,3,)))</f>
        <v>0</v>
      </c>
      <c r="AU1030" s="10" t="b">
        <f>IF(I1030="TP",VLOOKUP(AF1030,TPCalibEqFull!$AZ$2:$BB$56,3),IF(I1030="TDP",VLOOKUP(AF1030,TPCalibEqFull!$AZ$2:$BB$56,3),IF(I1030="TDN",VLOOKUP(AF1030,TNCalibEqFull!$AZ$1:$BB$56,3),IF(I1030="TN",VLOOKUP(AF1030,TNCalibEqFull!$AZ$1:$BB$56,3),FALSE))))</f>
        <v>0</v>
      </c>
      <c r="AV1030" s="10" t="str">
        <f t="shared" si="120"/>
        <v>0119 13:27:00-EFK-0-C-1-SW-UKN</v>
      </c>
    </row>
    <row r="1031" spans="1:48" s="10" customFormat="1" x14ac:dyDescent="0.55000000000000004">
      <c r="A1031" s="32">
        <v>44945</v>
      </c>
      <c r="B1031" s="33">
        <v>0.56736111111111109</v>
      </c>
      <c r="C1031" s="10" t="s">
        <v>333</v>
      </c>
      <c r="D1031" s="10">
        <v>0</v>
      </c>
      <c r="E1031" s="10" t="s">
        <v>190</v>
      </c>
      <c r="F1031" s="10">
        <v>1</v>
      </c>
      <c r="G1031" s="10" t="s">
        <v>231</v>
      </c>
      <c r="H1031" s="10" t="s">
        <v>322</v>
      </c>
      <c r="I1031" s="10" t="s">
        <v>256</v>
      </c>
      <c r="J1031" s="10">
        <v>12</v>
      </c>
      <c r="K1031" s="12">
        <v>44950</v>
      </c>
      <c r="L1031" s="33">
        <v>0.47840277777777779</v>
      </c>
      <c r="M1031" s="10">
        <v>1</v>
      </c>
      <c r="N1031" s="10" t="s">
        <v>169</v>
      </c>
      <c r="O1031" s="10">
        <v>5.6</v>
      </c>
      <c r="P1031" s="10">
        <v>0.31900000000000001</v>
      </c>
      <c r="Q1031" s="10">
        <v>856</v>
      </c>
      <c r="R1031" s="10" t="s">
        <v>77</v>
      </c>
      <c r="S1031" s="34">
        <f t="shared" si="116"/>
        <v>856</v>
      </c>
      <c r="T1031" s="10" t="s">
        <v>1058</v>
      </c>
      <c r="U1031" s="34" t="str">
        <f t="shared" si="117"/>
        <v/>
      </c>
      <c r="V1031" s="31" t="str">
        <f>IF(H1031="CHK",VLOOKUP(I1031,QCCHK,3,),IF(H1031="GUP",VLOOKUP(E1031,QCGUP,2,),IF(AND(H1031="ATP",OR(I1031="TN",I1031="TDN",I1031="TNO2-3",I1031="NO2-3")),VLOOKUP(E1031,QCREC_N,2,),IF(AND(H1031="NIC",OR(I1031="TN",I1031="TDN",I1031="TNO2-3",I1031="NO2-3")),VLOOKUP(E1031,QCNIC_N,2,),IF(AND(H1031="UREA",OR(I1031="TN",I1031="TDN",I1031="TNO2-3",I1031="NO2-3")),VLOOKUP(E1031,QCUREA_N,2,),IF(H1031="PER",VLOOKUP(I1031,QCPER,MATCH(E1031,QCACTUAL!$J$25:$AA$25,0),),IF(H1031="SPK",VLOOKUP(I1031,QCSPK,3,),IF(AND(H1031="ATP",OR(I1031="TP",I1031="TDP")),VLOOKUP(E1031,QCATP_P,2,),""))))))))</f>
        <v/>
      </c>
      <c r="W1031" s="31" t="str">
        <f t="shared" si="118"/>
        <v>TRUE</v>
      </c>
      <c r="X1031" s="31" t="str">
        <f t="shared" si="119"/>
        <v/>
      </c>
      <c r="Y1031" s="10" t="s">
        <v>1040</v>
      </c>
      <c r="Z1031" s="10" t="s">
        <v>910</v>
      </c>
      <c r="AL1031" s="10" t="str">
        <f t="shared" si="114"/>
        <v>FALSE</v>
      </c>
      <c r="AM1031" s="10" t="str">
        <f t="shared" si="114"/>
        <v>FALSE</v>
      </c>
      <c r="AN1031" s="10" t="str">
        <f t="shared" si="114"/>
        <v>FALSE</v>
      </c>
      <c r="AO1031" s="10" t="str">
        <f t="shared" si="115"/>
        <v>FALSE</v>
      </c>
      <c r="AP1031" s="10" t="str">
        <f t="shared" si="115"/>
        <v>FALSE</v>
      </c>
      <c r="AQ1031" s="10" t="b">
        <f>IF(AND(I1031="TP",S1031&lt;=150),VLOOKUP(AF1031,TPCalibEq150!$AZ$2:$BB$55,3,),IF(AND(I1031="TDP",S1031&lt;=150),VLOOKUP(AF1031,TPCalibEq150!$AZ$2:$BB$55,3,)))</f>
        <v>0</v>
      </c>
      <c r="AR1031" s="10" t="b">
        <f>IF(AND(I1031="TP",S1031&lt;=300),VLOOKUP(AF1031,TPCalibEq300!$AZ$2:$BB$55,3,),IF(AND(I1031="TDP",S1031&lt;=300),VLOOKUP(AF1031,TPCalibEq300!$AZ$2:$BB$55,3,)))</f>
        <v>0</v>
      </c>
      <c r="AS1031" s="10" t="b">
        <f>IF(AND(I1031="TP",S1031&lt;=500),VLOOKUP(AF1031,TPCalibEq500!$AZ$2:$BB$56,3,),IF(AND(I1031="TDP",S1031&lt;=500),VLOOKUP(AF1031,TPCalibEq500!$AZ$2:$BB$56,3,)))</f>
        <v>0</v>
      </c>
      <c r="AT1031" s="10" t="b">
        <f>IF(AND(I1031="TN",S1031&lt;=2800),VLOOKUP(AF1031,TNCalibEq2500!$AZ$2:$BB$56,3,),IF(AND(I1031="TDN",S1031&lt;=2800),VLOOKUP(AF1031,TNCalibEq2500!$AZ$2:$BB$56,3,)))</f>
        <v>0</v>
      </c>
      <c r="AU1031" s="10" t="b">
        <f>IF(I1031="TP",VLOOKUP(AF1031,TPCalibEqFull!$AZ$2:$BB$56,3),IF(I1031="TDP",VLOOKUP(AF1031,TPCalibEqFull!$AZ$2:$BB$56,3),IF(I1031="TDN",VLOOKUP(AF1031,TNCalibEqFull!$AZ$1:$BB$56,3),IF(I1031="TN",VLOOKUP(AF1031,TNCalibEqFull!$AZ$1:$BB$56,3),FALSE))))</f>
        <v>0</v>
      </c>
      <c r="AV1031" s="10" t="str">
        <f t="shared" si="120"/>
        <v>0119 13:37:00-HST-0-C-1-SW-UKN</v>
      </c>
    </row>
    <row r="1032" spans="1:48" s="10" customFormat="1" x14ac:dyDescent="0.55000000000000004">
      <c r="A1032" s="32">
        <v>44946</v>
      </c>
      <c r="B1032" s="33">
        <v>0.37013888888888885</v>
      </c>
      <c r="C1032" s="10" t="s">
        <v>279</v>
      </c>
      <c r="D1032" s="10">
        <v>0</v>
      </c>
      <c r="E1032" s="10" t="s">
        <v>190</v>
      </c>
      <c r="F1032" s="10">
        <v>1</v>
      </c>
      <c r="G1032" s="10" t="s">
        <v>231</v>
      </c>
      <c r="H1032" s="10" t="s">
        <v>322</v>
      </c>
      <c r="I1032" s="10" t="s">
        <v>256</v>
      </c>
      <c r="J1032" s="10">
        <v>13</v>
      </c>
      <c r="K1032" s="12">
        <v>44950</v>
      </c>
      <c r="L1032" s="33">
        <v>0.47921296296296295</v>
      </c>
      <c r="M1032" s="10">
        <v>1</v>
      </c>
      <c r="N1032" s="10" t="s">
        <v>169</v>
      </c>
      <c r="O1032" s="10">
        <v>4.12</v>
      </c>
      <c r="P1032" s="10">
        <v>0.23699999999999999</v>
      </c>
      <c r="Q1032" s="10">
        <v>629</v>
      </c>
      <c r="R1032" s="10" t="s">
        <v>77</v>
      </c>
      <c r="S1032" s="34">
        <f t="shared" si="116"/>
        <v>629</v>
      </c>
      <c r="T1032" s="10" t="s">
        <v>1058</v>
      </c>
      <c r="U1032" s="34" t="str">
        <f t="shared" si="117"/>
        <v/>
      </c>
      <c r="V1032" s="31" t="str">
        <f>IF(H1032="CHK",VLOOKUP(I1032,QCCHK,3,),IF(H1032="GUP",VLOOKUP(E1032,QCGUP,2,),IF(AND(H1032="ATP",OR(I1032="TN",I1032="TDN",I1032="TNO2-3",I1032="NO2-3")),VLOOKUP(E1032,QCREC_N,2,),IF(AND(H1032="NIC",OR(I1032="TN",I1032="TDN",I1032="TNO2-3",I1032="NO2-3")),VLOOKUP(E1032,QCNIC_N,2,),IF(AND(H1032="UREA",OR(I1032="TN",I1032="TDN",I1032="TNO2-3",I1032="NO2-3")),VLOOKUP(E1032,QCUREA_N,2,),IF(H1032="PER",VLOOKUP(I1032,QCPER,MATCH(E1032,QCACTUAL!$J$25:$AA$25,0),),IF(H1032="SPK",VLOOKUP(I1032,QCSPK,3,),IF(AND(H1032="ATP",OR(I1032="TP",I1032="TDP")),VLOOKUP(E1032,QCATP_P,2,),""))))))))</f>
        <v/>
      </c>
      <c r="W1032" s="31" t="str">
        <f t="shared" si="118"/>
        <v>TRUE</v>
      </c>
      <c r="X1032" s="31" t="str">
        <f t="shared" si="119"/>
        <v/>
      </c>
      <c r="Y1032" s="10" t="s">
        <v>1040</v>
      </c>
      <c r="Z1032" s="10" t="s">
        <v>910</v>
      </c>
      <c r="AL1032" s="10" t="str">
        <f t="shared" si="114"/>
        <v>FALSE</v>
      </c>
      <c r="AM1032" s="10" t="str">
        <f t="shared" si="114"/>
        <v>FALSE</v>
      </c>
      <c r="AN1032" s="10" t="str">
        <f t="shared" si="114"/>
        <v>FALSE</v>
      </c>
      <c r="AO1032" s="10" t="str">
        <f t="shared" si="115"/>
        <v>FALSE</v>
      </c>
      <c r="AP1032" s="10" t="str">
        <f t="shared" si="115"/>
        <v>FALSE</v>
      </c>
      <c r="AQ1032" s="10" t="b">
        <f>IF(AND(I1032="TP",S1032&lt;=150),VLOOKUP(AF1032,TPCalibEq150!$AZ$2:$BB$55,3,),IF(AND(I1032="TDP",S1032&lt;=150),VLOOKUP(AF1032,TPCalibEq150!$AZ$2:$BB$55,3,)))</f>
        <v>0</v>
      </c>
      <c r="AR1032" s="10" t="b">
        <f>IF(AND(I1032="TP",S1032&lt;=300),VLOOKUP(AF1032,TPCalibEq300!$AZ$2:$BB$55,3,),IF(AND(I1032="TDP",S1032&lt;=300),VLOOKUP(AF1032,TPCalibEq300!$AZ$2:$BB$55,3,)))</f>
        <v>0</v>
      </c>
      <c r="AS1032" s="10" t="b">
        <f>IF(AND(I1032="TP",S1032&lt;=500),VLOOKUP(AF1032,TPCalibEq500!$AZ$2:$BB$56,3,),IF(AND(I1032="TDP",S1032&lt;=500),VLOOKUP(AF1032,TPCalibEq500!$AZ$2:$BB$56,3,)))</f>
        <v>0</v>
      </c>
      <c r="AT1032" s="10" t="b">
        <f>IF(AND(I1032="TN",S1032&lt;=2800),VLOOKUP(AF1032,TNCalibEq2500!$AZ$2:$BB$56,3,),IF(AND(I1032="TDN",S1032&lt;=2800),VLOOKUP(AF1032,TNCalibEq2500!$AZ$2:$BB$56,3,)))</f>
        <v>0</v>
      </c>
      <c r="AU1032" s="10" t="b">
        <f>IF(I1032="TP",VLOOKUP(AF1032,TPCalibEqFull!$AZ$2:$BB$56,3),IF(I1032="TDP",VLOOKUP(AF1032,TPCalibEqFull!$AZ$2:$BB$56,3),IF(I1032="TDN",VLOOKUP(AF1032,TNCalibEqFull!$AZ$1:$BB$56,3),IF(I1032="TN",VLOOKUP(AF1032,TNCalibEqFull!$AZ$1:$BB$56,3),FALSE))))</f>
        <v>0</v>
      </c>
      <c r="AV1032" s="10" t="str">
        <f t="shared" si="120"/>
        <v>0120 08:53:00-EFK-0-C-1-SW-UKN</v>
      </c>
    </row>
    <row r="1033" spans="1:48" s="10" customFormat="1" x14ac:dyDescent="0.55000000000000004">
      <c r="A1033" s="32">
        <v>44946</v>
      </c>
      <c r="B1033" s="33">
        <v>0.37291666666666662</v>
      </c>
      <c r="C1033" s="10" t="s">
        <v>333</v>
      </c>
      <c r="D1033" s="10">
        <v>0</v>
      </c>
      <c r="E1033" s="10" t="s">
        <v>190</v>
      </c>
      <c r="F1033" s="10">
        <v>1</v>
      </c>
      <c r="G1033" s="10" t="s">
        <v>231</v>
      </c>
      <c r="H1033" s="10" t="s">
        <v>322</v>
      </c>
      <c r="I1033" s="10" t="s">
        <v>256</v>
      </c>
      <c r="J1033" s="10">
        <v>14</v>
      </c>
      <c r="K1033" s="12">
        <v>44950</v>
      </c>
      <c r="L1033" s="33">
        <v>0.48002314814814812</v>
      </c>
      <c r="M1033" s="10">
        <v>1</v>
      </c>
      <c r="N1033" s="10" t="s">
        <v>169</v>
      </c>
      <c r="O1033" s="10">
        <v>5.74</v>
      </c>
      <c r="P1033" s="10">
        <v>0.32800000000000001</v>
      </c>
      <c r="Q1033" s="10">
        <v>877</v>
      </c>
      <c r="R1033" s="10" t="s">
        <v>77</v>
      </c>
      <c r="S1033" s="34">
        <f t="shared" si="116"/>
        <v>877</v>
      </c>
      <c r="T1033" s="10" t="s">
        <v>1058</v>
      </c>
      <c r="U1033" s="34" t="str">
        <f t="shared" si="117"/>
        <v/>
      </c>
      <c r="V1033" s="31" t="str">
        <f>IF(H1033="CHK",VLOOKUP(I1033,QCCHK,3,),IF(H1033="GUP",VLOOKUP(E1033,QCGUP,2,),IF(AND(H1033="ATP",OR(I1033="TN",I1033="TDN",I1033="TNO2-3",I1033="NO2-3")),VLOOKUP(E1033,QCREC_N,2,),IF(AND(H1033="NIC",OR(I1033="TN",I1033="TDN",I1033="TNO2-3",I1033="NO2-3")),VLOOKUP(E1033,QCNIC_N,2,),IF(AND(H1033="UREA",OR(I1033="TN",I1033="TDN",I1033="TNO2-3",I1033="NO2-3")),VLOOKUP(E1033,QCUREA_N,2,),IF(H1033="PER",VLOOKUP(I1033,QCPER,MATCH(E1033,QCACTUAL!$J$25:$AA$25,0),),IF(H1033="SPK",VLOOKUP(I1033,QCSPK,3,),IF(AND(H1033="ATP",OR(I1033="TP",I1033="TDP")),VLOOKUP(E1033,QCATP_P,2,),""))))))))</f>
        <v/>
      </c>
      <c r="W1033" s="31" t="str">
        <f t="shared" si="118"/>
        <v>TRUE</v>
      </c>
      <c r="X1033" s="31" t="str">
        <f t="shared" si="119"/>
        <v/>
      </c>
      <c r="Y1033" s="10" t="s">
        <v>1040</v>
      </c>
      <c r="Z1033" s="10" t="s">
        <v>910</v>
      </c>
      <c r="AL1033" s="10" t="str">
        <f t="shared" si="114"/>
        <v>FALSE</v>
      </c>
      <c r="AM1033" s="10" t="str">
        <f t="shared" si="114"/>
        <v>FALSE</v>
      </c>
      <c r="AN1033" s="10" t="str">
        <f t="shared" si="114"/>
        <v>FALSE</v>
      </c>
      <c r="AO1033" s="10" t="str">
        <f t="shared" si="115"/>
        <v>FALSE</v>
      </c>
      <c r="AP1033" s="10" t="str">
        <f t="shared" si="115"/>
        <v>FALSE</v>
      </c>
      <c r="AQ1033" s="10" t="b">
        <f>IF(AND(I1033="TP",S1033&lt;=150),VLOOKUP(AF1033,TPCalibEq150!$AZ$2:$BB$55,3,),IF(AND(I1033="TDP",S1033&lt;=150),VLOOKUP(AF1033,TPCalibEq150!$AZ$2:$BB$55,3,)))</f>
        <v>0</v>
      </c>
      <c r="AR1033" s="10" t="b">
        <f>IF(AND(I1033="TP",S1033&lt;=300),VLOOKUP(AF1033,TPCalibEq300!$AZ$2:$BB$55,3,),IF(AND(I1033="TDP",S1033&lt;=300),VLOOKUP(AF1033,TPCalibEq300!$AZ$2:$BB$55,3,)))</f>
        <v>0</v>
      </c>
      <c r="AS1033" s="10" t="b">
        <f>IF(AND(I1033="TP",S1033&lt;=500),VLOOKUP(AF1033,TPCalibEq500!$AZ$2:$BB$56,3,),IF(AND(I1033="TDP",S1033&lt;=500),VLOOKUP(AF1033,TPCalibEq500!$AZ$2:$BB$56,3,)))</f>
        <v>0</v>
      </c>
      <c r="AT1033" s="10" t="b">
        <f>IF(AND(I1033="TN",S1033&lt;=2800),VLOOKUP(AF1033,TNCalibEq2500!$AZ$2:$BB$56,3,),IF(AND(I1033="TDN",S1033&lt;=2800),VLOOKUP(AF1033,TNCalibEq2500!$AZ$2:$BB$56,3,)))</f>
        <v>0</v>
      </c>
      <c r="AU1033" s="10" t="b">
        <f>IF(I1033="TP",VLOOKUP(AF1033,TPCalibEqFull!$AZ$2:$BB$56,3),IF(I1033="TDP",VLOOKUP(AF1033,TPCalibEqFull!$AZ$2:$BB$56,3),IF(I1033="TDN",VLOOKUP(AF1033,TNCalibEqFull!$AZ$1:$BB$56,3),IF(I1033="TN",VLOOKUP(AF1033,TNCalibEqFull!$AZ$1:$BB$56,3),FALSE))))</f>
        <v>0</v>
      </c>
      <c r="AV1033" s="10" t="str">
        <f t="shared" si="120"/>
        <v>0120 08:57:00-HST-0-C-1-SW-UKN</v>
      </c>
    </row>
    <row r="1034" spans="1:48" s="10" customFormat="1" x14ac:dyDescent="0.55000000000000004">
      <c r="A1034" s="32">
        <v>44943</v>
      </c>
      <c r="B1034" s="33">
        <v>0.36736111111111108</v>
      </c>
      <c r="C1034" s="10" t="s">
        <v>998</v>
      </c>
      <c r="D1034" s="10">
        <v>0</v>
      </c>
      <c r="E1034" s="10" t="s">
        <v>190</v>
      </c>
      <c r="F1034" s="10">
        <v>1</v>
      </c>
      <c r="G1034" s="10" t="s">
        <v>231</v>
      </c>
      <c r="H1034" s="10" t="s">
        <v>322</v>
      </c>
      <c r="I1034" s="10" t="s">
        <v>256</v>
      </c>
      <c r="J1034" s="10">
        <v>15</v>
      </c>
      <c r="K1034" s="12">
        <v>44950</v>
      </c>
      <c r="L1034" s="33">
        <v>0.48082175925925924</v>
      </c>
      <c r="M1034" s="10">
        <v>1</v>
      </c>
      <c r="N1034" s="10" t="s">
        <v>169</v>
      </c>
      <c r="O1034" s="10">
        <v>6.06</v>
      </c>
      <c r="P1034" s="10">
        <v>0.34699999999999998</v>
      </c>
      <c r="Q1034" s="10">
        <v>927</v>
      </c>
      <c r="R1034" s="10" t="s">
        <v>77</v>
      </c>
      <c r="S1034" s="34">
        <f t="shared" si="116"/>
        <v>927</v>
      </c>
      <c r="T1034" s="10" t="s">
        <v>1058</v>
      </c>
      <c r="U1034" s="34" t="str">
        <f t="shared" si="117"/>
        <v/>
      </c>
      <c r="V1034" s="31" t="str">
        <f>IF(H1034="CHK",VLOOKUP(I1034,QCCHK,3,),IF(H1034="GUP",VLOOKUP(E1034,QCGUP,2,),IF(AND(H1034="ATP",OR(I1034="TN",I1034="TDN",I1034="TNO2-3",I1034="NO2-3")),VLOOKUP(E1034,QCREC_N,2,),IF(AND(H1034="NIC",OR(I1034="TN",I1034="TDN",I1034="TNO2-3",I1034="NO2-3")),VLOOKUP(E1034,QCNIC_N,2,),IF(AND(H1034="UREA",OR(I1034="TN",I1034="TDN",I1034="TNO2-3",I1034="NO2-3")),VLOOKUP(E1034,QCUREA_N,2,),IF(H1034="PER",VLOOKUP(I1034,QCPER,MATCH(E1034,QCACTUAL!$J$25:$AA$25,0),),IF(H1034="SPK",VLOOKUP(I1034,QCSPK,3,),IF(AND(H1034="ATP",OR(I1034="TP",I1034="TDP")),VLOOKUP(E1034,QCATP_P,2,),""))))))))</f>
        <v/>
      </c>
      <c r="W1034" s="31" t="str">
        <f t="shared" si="118"/>
        <v>TRUE</v>
      </c>
      <c r="X1034" s="31" t="str">
        <f t="shared" si="119"/>
        <v/>
      </c>
      <c r="Y1034" s="10" t="s">
        <v>1040</v>
      </c>
      <c r="Z1034" s="10" t="s">
        <v>910</v>
      </c>
      <c r="AL1034" s="10" t="str">
        <f t="shared" si="114"/>
        <v>FALSE</v>
      </c>
      <c r="AM1034" s="10" t="str">
        <f t="shared" si="114"/>
        <v>FALSE</v>
      </c>
      <c r="AN1034" s="10" t="str">
        <f t="shared" si="114"/>
        <v>FALSE</v>
      </c>
      <c r="AO1034" s="10" t="str">
        <f t="shared" si="115"/>
        <v>FALSE</v>
      </c>
      <c r="AP1034" s="10" t="str">
        <f t="shared" si="115"/>
        <v>FALSE</v>
      </c>
      <c r="AQ1034" s="10" t="b">
        <f>IF(AND(I1034="TP",S1034&lt;=150),VLOOKUP(AF1034,TPCalibEq150!$AZ$2:$BB$55,3,),IF(AND(I1034="TDP",S1034&lt;=150),VLOOKUP(AF1034,TPCalibEq150!$AZ$2:$BB$55,3,)))</f>
        <v>0</v>
      </c>
      <c r="AR1034" s="10" t="b">
        <f>IF(AND(I1034="TP",S1034&lt;=300),VLOOKUP(AF1034,TPCalibEq300!$AZ$2:$BB$55,3,),IF(AND(I1034="TDP",S1034&lt;=300),VLOOKUP(AF1034,TPCalibEq300!$AZ$2:$BB$55,3,)))</f>
        <v>0</v>
      </c>
      <c r="AS1034" s="10" t="b">
        <f>IF(AND(I1034="TP",S1034&lt;=500),VLOOKUP(AF1034,TPCalibEq500!$AZ$2:$BB$56,3,),IF(AND(I1034="TDP",S1034&lt;=500),VLOOKUP(AF1034,TPCalibEq500!$AZ$2:$BB$56,3,)))</f>
        <v>0</v>
      </c>
      <c r="AT1034" s="10" t="b">
        <f>IF(AND(I1034="TN",S1034&lt;=2800),VLOOKUP(AF1034,TNCalibEq2500!$AZ$2:$BB$56,3,),IF(AND(I1034="TDN",S1034&lt;=2800),VLOOKUP(AF1034,TNCalibEq2500!$AZ$2:$BB$56,3,)))</f>
        <v>0</v>
      </c>
      <c r="AU1034" s="10" t="b">
        <f>IF(I1034="TP",VLOOKUP(AF1034,TPCalibEqFull!$AZ$2:$BB$56,3),IF(I1034="TDP",VLOOKUP(AF1034,TPCalibEqFull!$AZ$2:$BB$56,3),IF(I1034="TDN",VLOOKUP(AF1034,TNCalibEqFull!$AZ$1:$BB$56,3),IF(I1034="TN",VLOOKUP(AF1034,TNCalibEqFull!$AZ$1:$BB$56,3),FALSE))))</f>
        <v>0</v>
      </c>
      <c r="AV1034" s="10" t="str">
        <f t="shared" si="120"/>
        <v>0117 08:49:00-ELW-0-C-1-SW-UKN</v>
      </c>
    </row>
    <row r="1035" spans="1:48" s="10" customFormat="1" x14ac:dyDescent="0.55000000000000004">
      <c r="A1035" s="32">
        <v>44943</v>
      </c>
      <c r="B1035" s="33">
        <v>0.37708333333333338</v>
      </c>
      <c r="C1035" s="10" t="s">
        <v>260</v>
      </c>
      <c r="D1035" s="10">
        <v>0</v>
      </c>
      <c r="E1035" s="10" t="s">
        <v>190</v>
      </c>
      <c r="F1035" s="10">
        <v>1</v>
      </c>
      <c r="G1035" s="10" t="s">
        <v>231</v>
      </c>
      <c r="H1035" s="10" t="s">
        <v>322</v>
      </c>
      <c r="I1035" s="10" t="s">
        <v>256</v>
      </c>
      <c r="J1035" s="10">
        <v>16</v>
      </c>
      <c r="K1035" s="12">
        <v>44950</v>
      </c>
      <c r="L1035" s="33">
        <v>0.48165509259259259</v>
      </c>
      <c r="M1035" s="10">
        <v>1</v>
      </c>
      <c r="N1035" s="10" t="s">
        <v>169</v>
      </c>
      <c r="O1035" s="10">
        <v>6.04</v>
      </c>
      <c r="P1035" s="10">
        <v>0.34499999999999997</v>
      </c>
      <c r="Q1035" s="10">
        <v>924</v>
      </c>
      <c r="R1035" s="10" t="s">
        <v>77</v>
      </c>
      <c r="S1035" s="34">
        <f t="shared" si="116"/>
        <v>924</v>
      </c>
      <c r="T1035" s="10" t="s">
        <v>1058</v>
      </c>
      <c r="U1035" s="34" t="str">
        <f t="shared" si="117"/>
        <v/>
      </c>
      <c r="V1035" s="31" t="str">
        <f>IF(H1035="CHK",VLOOKUP(I1035,QCCHK,3,),IF(H1035="GUP",VLOOKUP(E1035,QCGUP,2,),IF(AND(H1035="ATP",OR(I1035="TN",I1035="TDN",I1035="TNO2-3",I1035="NO2-3")),VLOOKUP(E1035,QCREC_N,2,),IF(AND(H1035="NIC",OR(I1035="TN",I1035="TDN",I1035="TNO2-3",I1035="NO2-3")),VLOOKUP(E1035,QCNIC_N,2,),IF(AND(H1035="UREA",OR(I1035="TN",I1035="TDN",I1035="TNO2-3",I1035="NO2-3")),VLOOKUP(E1035,QCUREA_N,2,),IF(H1035="PER",VLOOKUP(I1035,QCPER,MATCH(E1035,QCACTUAL!$J$25:$AA$25,0),),IF(H1035="SPK",VLOOKUP(I1035,QCSPK,3,),IF(AND(H1035="ATP",OR(I1035="TP",I1035="TDP")),VLOOKUP(E1035,QCATP_P,2,),""))))))))</f>
        <v/>
      </c>
      <c r="W1035" s="31" t="str">
        <f t="shared" si="118"/>
        <v>TRUE</v>
      </c>
      <c r="X1035" s="31" t="str">
        <f t="shared" si="119"/>
        <v/>
      </c>
      <c r="Y1035" s="10" t="s">
        <v>1040</v>
      </c>
      <c r="Z1035" s="10" t="s">
        <v>910</v>
      </c>
      <c r="AL1035" s="10" t="str">
        <f t="shared" si="114"/>
        <v>FALSE</v>
      </c>
      <c r="AM1035" s="10" t="str">
        <f t="shared" si="114"/>
        <v>FALSE</v>
      </c>
      <c r="AN1035" s="10" t="str">
        <f t="shared" si="114"/>
        <v>FALSE</v>
      </c>
      <c r="AO1035" s="10" t="str">
        <f t="shared" si="115"/>
        <v>FALSE</v>
      </c>
      <c r="AP1035" s="10" t="str">
        <f t="shared" si="115"/>
        <v>FALSE</v>
      </c>
      <c r="AQ1035" s="10" t="b">
        <f>IF(AND(I1035="TP",S1035&lt;=150),VLOOKUP(AF1035,TPCalibEq150!$AZ$2:$BB$55,3,),IF(AND(I1035="TDP",S1035&lt;=150),VLOOKUP(AF1035,TPCalibEq150!$AZ$2:$BB$55,3,)))</f>
        <v>0</v>
      </c>
      <c r="AR1035" s="10" t="b">
        <f>IF(AND(I1035="TP",S1035&lt;=300),VLOOKUP(AF1035,TPCalibEq300!$AZ$2:$BB$55,3,),IF(AND(I1035="TDP",S1035&lt;=300),VLOOKUP(AF1035,TPCalibEq300!$AZ$2:$BB$55,3,)))</f>
        <v>0</v>
      </c>
      <c r="AS1035" s="10" t="b">
        <f>IF(AND(I1035="TP",S1035&lt;=500),VLOOKUP(AF1035,TPCalibEq500!$AZ$2:$BB$56,3,),IF(AND(I1035="TDP",S1035&lt;=500),VLOOKUP(AF1035,TPCalibEq500!$AZ$2:$BB$56,3,)))</f>
        <v>0</v>
      </c>
      <c r="AT1035" s="10" t="b">
        <f>IF(AND(I1035="TN",S1035&lt;=2800),VLOOKUP(AF1035,TNCalibEq2500!$AZ$2:$BB$56,3,),IF(AND(I1035="TDN",S1035&lt;=2800),VLOOKUP(AF1035,TNCalibEq2500!$AZ$2:$BB$56,3,)))</f>
        <v>0</v>
      </c>
      <c r="AU1035" s="10" t="b">
        <f>IF(I1035="TP",VLOOKUP(AF1035,TPCalibEqFull!$AZ$2:$BB$56,3),IF(I1035="TDP",VLOOKUP(AF1035,TPCalibEqFull!$AZ$2:$BB$56,3),IF(I1035="TDN",VLOOKUP(AF1035,TNCalibEqFull!$AZ$1:$BB$56,3),IF(I1035="TN",VLOOKUP(AF1035,TNCalibEqFull!$AZ$1:$BB$56,3),FALSE))))</f>
        <v>0</v>
      </c>
      <c r="AV1035" s="10" t="str">
        <f t="shared" si="120"/>
        <v>0117 09:03:00-EFC-0-C-1-SW-UKN</v>
      </c>
    </row>
    <row r="1036" spans="1:48" s="10" customFormat="1" x14ac:dyDescent="0.55000000000000004">
      <c r="A1036" s="32">
        <v>44943</v>
      </c>
      <c r="B1036" s="33">
        <v>0.39097222222222222</v>
      </c>
      <c r="C1036" s="10" t="s">
        <v>543</v>
      </c>
      <c r="D1036" s="10">
        <v>0</v>
      </c>
      <c r="E1036" s="10" t="s">
        <v>190</v>
      </c>
      <c r="F1036" s="10">
        <v>1</v>
      </c>
      <c r="G1036" s="10" t="s">
        <v>231</v>
      </c>
      <c r="H1036" s="10" t="s">
        <v>322</v>
      </c>
      <c r="I1036" s="10" t="s">
        <v>256</v>
      </c>
      <c r="J1036" s="10">
        <v>17</v>
      </c>
      <c r="K1036" s="12">
        <v>44950</v>
      </c>
      <c r="L1036" s="33">
        <v>0.48247685185185185</v>
      </c>
      <c r="M1036" s="10">
        <v>1</v>
      </c>
      <c r="N1036" s="10" t="s">
        <v>169</v>
      </c>
      <c r="O1036" s="10">
        <v>3.67</v>
      </c>
      <c r="P1036" s="10">
        <v>0.20799999999999999</v>
      </c>
      <c r="Q1036" s="10">
        <v>560</v>
      </c>
      <c r="R1036" s="10" t="s">
        <v>77</v>
      </c>
      <c r="S1036" s="34">
        <f t="shared" si="116"/>
        <v>560</v>
      </c>
      <c r="T1036" s="10" t="s">
        <v>1058</v>
      </c>
      <c r="U1036" s="34" t="str">
        <f t="shared" si="117"/>
        <v/>
      </c>
      <c r="V1036" s="31" t="str">
        <f>IF(H1036="CHK",VLOOKUP(I1036,QCCHK,3,),IF(H1036="GUP",VLOOKUP(E1036,QCGUP,2,),IF(AND(H1036="ATP",OR(I1036="TN",I1036="TDN",I1036="TNO2-3",I1036="NO2-3")),VLOOKUP(E1036,QCREC_N,2,),IF(AND(H1036="NIC",OR(I1036="TN",I1036="TDN",I1036="TNO2-3",I1036="NO2-3")),VLOOKUP(E1036,QCNIC_N,2,),IF(AND(H1036="UREA",OR(I1036="TN",I1036="TDN",I1036="TNO2-3",I1036="NO2-3")),VLOOKUP(E1036,QCUREA_N,2,),IF(H1036="PER",VLOOKUP(I1036,QCPER,MATCH(E1036,QCACTUAL!$J$25:$AA$25,0),),IF(H1036="SPK",VLOOKUP(I1036,QCSPK,3,),IF(AND(H1036="ATP",OR(I1036="TP",I1036="TDP")),VLOOKUP(E1036,QCATP_P,2,),""))))))))</f>
        <v/>
      </c>
      <c r="W1036" s="31" t="str">
        <f t="shared" si="118"/>
        <v>TRUE</v>
      </c>
      <c r="X1036" s="31" t="str">
        <f t="shared" si="119"/>
        <v/>
      </c>
      <c r="Y1036" s="10" t="s">
        <v>1040</v>
      </c>
      <c r="Z1036" s="10" t="s">
        <v>910</v>
      </c>
      <c r="AL1036" s="10" t="str">
        <f t="shared" si="114"/>
        <v>FALSE</v>
      </c>
      <c r="AM1036" s="10" t="str">
        <f t="shared" si="114"/>
        <v>FALSE</v>
      </c>
      <c r="AN1036" s="10" t="str">
        <f t="shared" si="114"/>
        <v>FALSE</v>
      </c>
      <c r="AO1036" s="10" t="str">
        <f t="shared" si="115"/>
        <v>FALSE</v>
      </c>
      <c r="AP1036" s="10" t="str">
        <f t="shared" si="115"/>
        <v>FALSE</v>
      </c>
      <c r="AQ1036" s="10" t="b">
        <f>IF(AND(I1036="TP",S1036&lt;=150),VLOOKUP(AF1036,TPCalibEq150!$AZ$2:$BB$55,3,),IF(AND(I1036="TDP",S1036&lt;=150),VLOOKUP(AF1036,TPCalibEq150!$AZ$2:$BB$55,3,)))</f>
        <v>0</v>
      </c>
      <c r="AR1036" s="10" t="b">
        <f>IF(AND(I1036="TP",S1036&lt;=300),VLOOKUP(AF1036,TPCalibEq300!$AZ$2:$BB$55,3,),IF(AND(I1036="TDP",S1036&lt;=300),VLOOKUP(AF1036,TPCalibEq300!$AZ$2:$BB$55,3,)))</f>
        <v>0</v>
      </c>
      <c r="AS1036" s="10" t="b">
        <f>IF(AND(I1036="TP",S1036&lt;=500),VLOOKUP(AF1036,TPCalibEq500!$AZ$2:$BB$56,3,),IF(AND(I1036="TDP",S1036&lt;=500),VLOOKUP(AF1036,TPCalibEq500!$AZ$2:$BB$56,3,)))</f>
        <v>0</v>
      </c>
      <c r="AT1036" s="10" t="b">
        <f>IF(AND(I1036="TN",S1036&lt;=2800),VLOOKUP(AF1036,TNCalibEq2500!$AZ$2:$BB$56,3,),IF(AND(I1036="TDN",S1036&lt;=2800),VLOOKUP(AF1036,TNCalibEq2500!$AZ$2:$BB$56,3,)))</f>
        <v>0</v>
      </c>
      <c r="AU1036" s="10" t="b">
        <f>IF(I1036="TP",VLOOKUP(AF1036,TPCalibEqFull!$AZ$2:$BB$56,3),IF(I1036="TDP",VLOOKUP(AF1036,TPCalibEqFull!$AZ$2:$BB$56,3),IF(I1036="TDN",VLOOKUP(AF1036,TNCalibEqFull!$AZ$1:$BB$56,3),IF(I1036="TN",VLOOKUP(AF1036,TNCalibEqFull!$AZ$1:$BB$56,3),FALSE))))</f>
        <v>0</v>
      </c>
      <c r="AV1036" s="10" t="str">
        <f t="shared" si="120"/>
        <v>0117 09:23:00-SAR-0-C-1-SW-UKN</v>
      </c>
    </row>
    <row r="1037" spans="1:48" s="10" customFormat="1" x14ac:dyDescent="0.55000000000000004">
      <c r="A1037" s="32">
        <v>44943</v>
      </c>
      <c r="B1037" s="33">
        <v>0.40486111111111112</v>
      </c>
      <c r="C1037" s="10" t="s">
        <v>361</v>
      </c>
      <c r="D1037" s="10">
        <v>0</v>
      </c>
      <c r="E1037" s="10" t="s">
        <v>190</v>
      </c>
      <c r="F1037" s="10">
        <v>1</v>
      </c>
      <c r="G1037" s="10" t="s">
        <v>231</v>
      </c>
      <c r="H1037" s="10" t="s">
        <v>322</v>
      </c>
      <c r="I1037" s="10" t="s">
        <v>256</v>
      </c>
      <c r="J1037" s="10">
        <v>18</v>
      </c>
      <c r="K1037" s="12">
        <v>44950</v>
      </c>
      <c r="L1037" s="33">
        <v>0.48329861111111111</v>
      </c>
      <c r="M1037" s="10">
        <v>1</v>
      </c>
      <c r="N1037" s="10" t="s">
        <v>169</v>
      </c>
      <c r="O1037" s="10">
        <v>3.79</v>
      </c>
      <c r="P1037" s="10">
        <v>0.215</v>
      </c>
      <c r="Q1037" s="10">
        <v>579</v>
      </c>
      <c r="R1037" s="10" t="s">
        <v>77</v>
      </c>
      <c r="S1037" s="34">
        <f t="shared" si="116"/>
        <v>579</v>
      </c>
      <c r="T1037" s="10" t="s">
        <v>1058</v>
      </c>
      <c r="U1037" s="34" t="str">
        <f t="shared" si="117"/>
        <v/>
      </c>
      <c r="V1037" s="31" t="str">
        <f>IF(H1037="CHK",VLOOKUP(I1037,QCCHK,3,),IF(H1037="GUP",VLOOKUP(E1037,QCGUP,2,),IF(AND(H1037="ATP",OR(I1037="TN",I1037="TDN",I1037="TNO2-3",I1037="NO2-3")),VLOOKUP(E1037,QCREC_N,2,),IF(AND(H1037="NIC",OR(I1037="TN",I1037="TDN",I1037="TNO2-3",I1037="NO2-3")),VLOOKUP(E1037,QCNIC_N,2,),IF(AND(H1037="UREA",OR(I1037="TN",I1037="TDN",I1037="TNO2-3",I1037="NO2-3")),VLOOKUP(E1037,QCUREA_N,2,),IF(H1037="PER",VLOOKUP(I1037,QCPER,MATCH(E1037,QCACTUAL!$J$25:$AA$25,0),),IF(H1037="SPK",VLOOKUP(I1037,QCSPK,3,),IF(AND(H1037="ATP",OR(I1037="TP",I1037="TDP")),VLOOKUP(E1037,QCATP_P,2,),""))))))))</f>
        <v/>
      </c>
      <c r="W1037" s="31" t="str">
        <f t="shared" si="118"/>
        <v>TRUE</v>
      </c>
      <c r="X1037" s="31" t="str">
        <f t="shared" si="119"/>
        <v/>
      </c>
      <c r="Y1037" s="10" t="s">
        <v>1040</v>
      </c>
      <c r="Z1037" s="10" t="s">
        <v>910</v>
      </c>
      <c r="AL1037" s="10" t="str">
        <f t="shared" si="114"/>
        <v>FALSE</v>
      </c>
      <c r="AM1037" s="10" t="str">
        <f t="shared" si="114"/>
        <v>FALSE</v>
      </c>
      <c r="AN1037" s="10" t="str">
        <f t="shared" si="114"/>
        <v>FALSE</v>
      </c>
      <c r="AO1037" s="10" t="str">
        <f t="shared" si="115"/>
        <v>FALSE</v>
      </c>
      <c r="AP1037" s="10" t="str">
        <f t="shared" si="115"/>
        <v>FALSE</v>
      </c>
      <c r="AQ1037" s="10" t="b">
        <f>IF(AND(I1037="TP",S1037&lt;=150),VLOOKUP(AF1037,TPCalibEq150!$AZ$2:$BB$55,3,),IF(AND(I1037="TDP",S1037&lt;=150),VLOOKUP(AF1037,TPCalibEq150!$AZ$2:$BB$55,3,)))</f>
        <v>0</v>
      </c>
      <c r="AR1037" s="10" t="b">
        <f>IF(AND(I1037="TP",S1037&lt;=300),VLOOKUP(AF1037,TPCalibEq300!$AZ$2:$BB$55,3,),IF(AND(I1037="TDP",S1037&lt;=300),VLOOKUP(AF1037,TPCalibEq300!$AZ$2:$BB$55,3,)))</f>
        <v>0</v>
      </c>
      <c r="AS1037" s="10" t="b">
        <f>IF(AND(I1037="TP",S1037&lt;=500),VLOOKUP(AF1037,TPCalibEq500!$AZ$2:$BB$56,3,),IF(AND(I1037="TDP",S1037&lt;=500),VLOOKUP(AF1037,TPCalibEq500!$AZ$2:$BB$56,3,)))</f>
        <v>0</v>
      </c>
      <c r="AT1037" s="10" t="b">
        <f>IF(AND(I1037="TN",S1037&lt;=2800),VLOOKUP(AF1037,TNCalibEq2500!$AZ$2:$BB$56,3,),IF(AND(I1037="TDN",S1037&lt;=2800),VLOOKUP(AF1037,TNCalibEq2500!$AZ$2:$BB$56,3,)))</f>
        <v>0</v>
      </c>
      <c r="AU1037" s="10" t="b">
        <f>IF(I1037="TP",VLOOKUP(AF1037,TPCalibEqFull!$AZ$2:$BB$56,3),IF(I1037="TDP",VLOOKUP(AF1037,TPCalibEqFull!$AZ$2:$BB$56,3),IF(I1037="TDN",VLOOKUP(AF1037,TNCalibEqFull!$AZ$1:$BB$56,3),IF(I1037="TN",VLOOKUP(AF1037,TNCalibEqFull!$AZ$1:$BB$56,3),FALSE))))</f>
        <v>0</v>
      </c>
      <c r="AV1037" s="10" t="str">
        <f t="shared" si="120"/>
        <v>0117 09:43:00-USR-0-C-1-SW-UKN</v>
      </c>
    </row>
    <row r="1038" spans="1:48" s="10" customFormat="1" x14ac:dyDescent="0.55000000000000004">
      <c r="A1038" s="32">
        <v>44943</v>
      </c>
      <c r="B1038" s="33">
        <v>0.42152777777777778</v>
      </c>
      <c r="C1038" s="10" t="s">
        <v>351</v>
      </c>
      <c r="D1038" s="10">
        <v>0</v>
      </c>
      <c r="E1038" s="10" t="s">
        <v>190</v>
      </c>
      <c r="F1038" s="10">
        <v>1</v>
      </c>
      <c r="G1038" s="10" t="s">
        <v>231</v>
      </c>
      <c r="H1038" s="10" t="s">
        <v>322</v>
      </c>
      <c r="I1038" s="10" t="s">
        <v>256</v>
      </c>
      <c r="J1038" s="10">
        <v>19</v>
      </c>
      <c r="K1038" s="12">
        <v>44950</v>
      </c>
      <c r="L1038" s="33">
        <v>0.48412037037037042</v>
      </c>
      <c r="M1038" s="10">
        <v>1</v>
      </c>
      <c r="N1038" s="10" t="s">
        <v>169</v>
      </c>
      <c r="O1038" s="10">
        <v>8.4700000000000006</v>
      </c>
      <c r="P1038" s="10">
        <v>0.48199999999999998</v>
      </c>
      <c r="Q1038" s="10">
        <v>1290</v>
      </c>
      <c r="R1038" s="10" t="s">
        <v>77</v>
      </c>
      <c r="S1038" s="34">
        <f t="shared" si="116"/>
        <v>1290</v>
      </c>
      <c r="T1038" s="10" t="s">
        <v>1058</v>
      </c>
      <c r="U1038" s="34" t="str">
        <f t="shared" si="117"/>
        <v/>
      </c>
      <c r="V1038" s="31" t="str">
        <f>IF(H1038="CHK",VLOOKUP(I1038,QCCHK,3,),IF(H1038="GUP",VLOOKUP(E1038,QCGUP,2,),IF(AND(H1038="ATP",OR(I1038="TN",I1038="TDN",I1038="TNO2-3",I1038="NO2-3")),VLOOKUP(E1038,QCREC_N,2,),IF(AND(H1038="NIC",OR(I1038="TN",I1038="TDN",I1038="TNO2-3",I1038="NO2-3")),VLOOKUP(E1038,QCNIC_N,2,),IF(AND(H1038="UREA",OR(I1038="TN",I1038="TDN",I1038="TNO2-3",I1038="NO2-3")),VLOOKUP(E1038,QCUREA_N,2,),IF(H1038="PER",VLOOKUP(I1038,QCPER,MATCH(E1038,QCACTUAL!$J$25:$AA$25,0),),IF(H1038="SPK",VLOOKUP(I1038,QCSPK,3,),IF(AND(H1038="ATP",OR(I1038="TP",I1038="TDP")),VLOOKUP(E1038,QCATP_P,2,),""))))))))</f>
        <v/>
      </c>
      <c r="W1038" s="31" t="str">
        <f t="shared" si="118"/>
        <v>TRUE</v>
      </c>
      <c r="X1038" s="31" t="str">
        <f t="shared" si="119"/>
        <v/>
      </c>
      <c r="Y1038" s="10" t="s">
        <v>1040</v>
      </c>
      <c r="Z1038" s="10" t="s">
        <v>910</v>
      </c>
      <c r="AL1038" s="10" t="str">
        <f t="shared" si="114"/>
        <v>FALSE</v>
      </c>
      <c r="AM1038" s="10" t="str">
        <f t="shared" si="114"/>
        <v>FALSE</v>
      </c>
      <c r="AN1038" s="10" t="str">
        <f t="shared" si="114"/>
        <v>FALSE</v>
      </c>
      <c r="AO1038" s="10" t="str">
        <f t="shared" si="115"/>
        <v>FALSE</v>
      </c>
      <c r="AP1038" s="10" t="str">
        <f t="shared" si="115"/>
        <v>FALSE</v>
      </c>
      <c r="AQ1038" s="10" t="b">
        <f>IF(AND(I1038="TP",S1038&lt;=150),VLOOKUP(AF1038,TPCalibEq150!$AZ$2:$BB$55,3,),IF(AND(I1038="TDP",S1038&lt;=150),VLOOKUP(AF1038,TPCalibEq150!$AZ$2:$BB$55,3,)))</f>
        <v>0</v>
      </c>
      <c r="AR1038" s="10" t="b">
        <f>IF(AND(I1038="TP",S1038&lt;=300),VLOOKUP(AF1038,TPCalibEq300!$AZ$2:$BB$55,3,),IF(AND(I1038="TDP",S1038&lt;=300),VLOOKUP(AF1038,TPCalibEq300!$AZ$2:$BB$55,3,)))</f>
        <v>0</v>
      </c>
      <c r="AS1038" s="10" t="b">
        <f>IF(AND(I1038="TP",S1038&lt;=500),VLOOKUP(AF1038,TPCalibEq500!$AZ$2:$BB$56,3,),IF(AND(I1038="TDP",S1038&lt;=500),VLOOKUP(AF1038,TPCalibEq500!$AZ$2:$BB$56,3,)))</f>
        <v>0</v>
      </c>
      <c r="AT1038" s="10" t="b">
        <f>IF(AND(I1038="TN",S1038&lt;=2800),VLOOKUP(AF1038,TNCalibEq2500!$AZ$2:$BB$56,3,),IF(AND(I1038="TDN",S1038&lt;=2800),VLOOKUP(AF1038,TNCalibEq2500!$AZ$2:$BB$56,3,)))</f>
        <v>0</v>
      </c>
      <c r="AU1038" s="10" t="b">
        <f>IF(I1038="TP",VLOOKUP(AF1038,TPCalibEqFull!$AZ$2:$BB$56,3),IF(I1038="TDP",VLOOKUP(AF1038,TPCalibEqFull!$AZ$2:$BB$56,3),IF(I1038="TDN",VLOOKUP(AF1038,TNCalibEqFull!$AZ$1:$BB$56,3),IF(I1038="TN",VLOOKUP(AF1038,TNCalibEqFull!$AZ$1:$BB$56,3),FALSE))))</f>
        <v>0</v>
      </c>
      <c r="AV1038" s="10" t="str">
        <f t="shared" si="120"/>
        <v>0117 10:07:00-SHC-0-C-1-SW-UKN</v>
      </c>
    </row>
    <row r="1039" spans="1:48" s="10" customFormat="1" x14ac:dyDescent="0.55000000000000004">
      <c r="A1039" s="32">
        <v>44943</v>
      </c>
      <c r="B1039" s="33">
        <v>0.43472222222222223</v>
      </c>
      <c r="C1039" s="10" t="s">
        <v>355</v>
      </c>
      <c r="D1039" s="10">
        <v>0</v>
      </c>
      <c r="E1039" s="10" t="s">
        <v>190</v>
      </c>
      <c r="F1039" s="10">
        <v>1</v>
      </c>
      <c r="G1039" s="10" t="s">
        <v>231</v>
      </c>
      <c r="H1039" s="10" t="s">
        <v>322</v>
      </c>
      <c r="I1039" s="10" t="s">
        <v>256</v>
      </c>
      <c r="J1039" s="10">
        <v>20</v>
      </c>
      <c r="K1039" s="12">
        <v>44950</v>
      </c>
      <c r="L1039" s="33">
        <v>0.48493055555555559</v>
      </c>
      <c r="M1039" s="10">
        <v>1</v>
      </c>
      <c r="N1039" s="10" t="s">
        <v>169</v>
      </c>
      <c r="O1039" s="10">
        <v>4.8</v>
      </c>
      <c r="P1039" s="10">
        <v>0.27500000000000002</v>
      </c>
      <c r="Q1039" s="10">
        <v>734</v>
      </c>
      <c r="R1039" s="10" t="s">
        <v>77</v>
      </c>
      <c r="S1039" s="34">
        <f t="shared" si="116"/>
        <v>734</v>
      </c>
      <c r="T1039" s="10" t="s">
        <v>1058</v>
      </c>
      <c r="U1039" s="34" t="str">
        <f t="shared" si="117"/>
        <v/>
      </c>
      <c r="V1039" s="31" t="str">
        <f>IF(H1039="CHK",VLOOKUP(I1039,QCCHK,3,),IF(H1039="GUP",VLOOKUP(E1039,QCGUP,2,),IF(AND(H1039="ATP",OR(I1039="TN",I1039="TDN",I1039="TNO2-3",I1039="NO2-3")),VLOOKUP(E1039,QCREC_N,2,),IF(AND(H1039="NIC",OR(I1039="TN",I1039="TDN",I1039="TNO2-3",I1039="NO2-3")),VLOOKUP(E1039,QCNIC_N,2,),IF(AND(H1039="UREA",OR(I1039="TN",I1039="TDN",I1039="TNO2-3",I1039="NO2-3")),VLOOKUP(E1039,QCUREA_N,2,),IF(H1039="PER",VLOOKUP(I1039,QCPER,MATCH(E1039,QCACTUAL!$J$25:$AA$25,0),),IF(H1039="SPK",VLOOKUP(I1039,QCSPK,3,),IF(AND(H1039="ATP",OR(I1039="TP",I1039="TDP")),VLOOKUP(E1039,QCATP_P,2,),""))))))))</f>
        <v/>
      </c>
      <c r="W1039" s="31" t="str">
        <f t="shared" si="118"/>
        <v>TRUE</v>
      </c>
      <c r="X1039" s="31" t="str">
        <f t="shared" si="119"/>
        <v/>
      </c>
      <c r="Y1039" s="10" t="s">
        <v>1040</v>
      </c>
      <c r="Z1039" s="10" t="s">
        <v>910</v>
      </c>
      <c r="AL1039" s="10" t="str">
        <f t="shared" si="114"/>
        <v>FALSE</v>
      </c>
      <c r="AM1039" s="10" t="str">
        <f t="shared" si="114"/>
        <v>FALSE</v>
      </c>
      <c r="AN1039" s="10" t="str">
        <f t="shared" si="114"/>
        <v>FALSE</v>
      </c>
      <c r="AO1039" s="10" t="str">
        <f t="shared" si="115"/>
        <v>FALSE</v>
      </c>
      <c r="AP1039" s="10" t="str">
        <f t="shared" si="115"/>
        <v>FALSE</v>
      </c>
      <c r="AQ1039" s="10" t="b">
        <f>IF(AND(I1039="TP",S1039&lt;=150),VLOOKUP(AF1039,TPCalibEq150!$AZ$2:$BB$55,3,),IF(AND(I1039="TDP",S1039&lt;=150),VLOOKUP(AF1039,TPCalibEq150!$AZ$2:$BB$55,3,)))</f>
        <v>0</v>
      </c>
      <c r="AR1039" s="10" t="b">
        <f>IF(AND(I1039="TP",S1039&lt;=300),VLOOKUP(AF1039,TPCalibEq300!$AZ$2:$BB$55,3,),IF(AND(I1039="TDP",S1039&lt;=300),VLOOKUP(AF1039,TPCalibEq300!$AZ$2:$BB$55,3,)))</f>
        <v>0</v>
      </c>
      <c r="AS1039" s="10" t="b">
        <f>IF(AND(I1039="TP",S1039&lt;=500),VLOOKUP(AF1039,TPCalibEq500!$AZ$2:$BB$56,3,),IF(AND(I1039="TDP",S1039&lt;=500),VLOOKUP(AF1039,TPCalibEq500!$AZ$2:$BB$56,3,)))</f>
        <v>0</v>
      </c>
      <c r="AT1039" s="10" t="b">
        <f>IF(AND(I1039="TN",S1039&lt;=2800),VLOOKUP(AF1039,TNCalibEq2500!$AZ$2:$BB$56,3,),IF(AND(I1039="TDN",S1039&lt;=2800),VLOOKUP(AF1039,TNCalibEq2500!$AZ$2:$BB$56,3,)))</f>
        <v>0</v>
      </c>
      <c r="AU1039" s="10" t="b">
        <f>IF(I1039="TP",VLOOKUP(AF1039,TPCalibEqFull!$AZ$2:$BB$56,3),IF(I1039="TDP",VLOOKUP(AF1039,TPCalibEqFull!$AZ$2:$BB$56,3),IF(I1039="TDN",VLOOKUP(AF1039,TNCalibEqFull!$AZ$1:$BB$56,3),IF(I1039="TN",VLOOKUP(AF1039,TNCalibEqFull!$AZ$1:$BB$56,3),FALSE))))</f>
        <v>0</v>
      </c>
      <c r="AV1039" s="10" t="str">
        <f t="shared" si="120"/>
        <v>0117 10:26:00-SLT-0-C-1-SW-UKN</v>
      </c>
    </row>
    <row r="1040" spans="1:48" s="10" customFormat="1" x14ac:dyDescent="0.55000000000000004">
      <c r="A1040" s="32">
        <v>44943</v>
      </c>
      <c r="B1040" s="33">
        <v>0.4604166666666667</v>
      </c>
      <c r="C1040" s="10" t="s">
        <v>310</v>
      </c>
      <c r="D1040" s="10">
        <v>0</v>
      </c>
      <c r="E1040" s="10" t="s">
        <v>190</v>
      </c>
      <c r="F1040" s="10">
        <v>1</v>
      </c>
      <c r="G1040" s="10" t="s">
        <v>231</v>
      </c>
      <c r="H1040" s="10" t="s">
        <v>322</v>
      </c>
      <c r="I1040" s="10" t="s">
        <v>256</v>
      </c>
      <c r="J1040" s="10">
        <v>21</v>
      </c>
      <c r="K1040" s="12">
        <v>44950</v>
      </c>
      <c r="L1040" s="33">
        <v>0.48575231481481485</v>
      </c>
      <c r="M1040" s="10">
        <v>1</v>
      </c>
      <c r="N1040" s="10" t="s">
        <v>169</v>
      </c>
      <c r="O1040" s="10">
        <v>9.4700000000000006</v>
      </c>
      <c r="P1040" s="10">
        <v>0.54</v>
      </c>
      <c r="Q1040" s="10">
        <v>1450</v>
      </c>
      <c r="R1040" s="10" t="s">
        <v>77</v>
      </c>
      <c r="S1040" s="34">
        <f t="shared" si="116"/>
        <v>1450</v>
      </c>
      <c r="T1040" s="10" t="s">
        <v>1058</v>
      </c>
      <c r="U1040" s="34" t="str">
        <f t="shared" si="117"/>
        <v/>
      </c>
      <c r="V1040" s="31" t="str">
        <f>IF(H1040="CHK",VLOOKUP(I1040,QCCHK,3,),IF(H1040="GUP",VLOOKUP(E1040,QCGUP,2,),IF(AND(H1040="ATP",OR(I1040="TN",I1040="TDN",I1040="TNO2-3",I1040="NO2-3")),VLOOKUP(E1040,QCREC_N,2,),IF(AND(H1040="NIC",OR(I1040="TN",I1040="TDN",I1040="TNO2-3",I1040="NO2-3")),VLOOKUP(E1040,QCNIC_N,2,),IF(AND(H1040="UREA",OR(I1040="TN",I1040="TDN",I1040="TNO2-3",I1040="NO2-3")),VLOOKUP(E1040,QCUREA_N,2,),IF(H1040="PER",VLOOKUP(I1040,QCPER,MATCH(E1040,QCACTUAL!$J$25:$AA$25,0),),IF(H1040="SPK",VLOOKUP(I1040,QCSPK,3,),IF(AND(H1040="ATP",OR(I1040="TP",I1040="TDP")),VLOOKUP(E1040,QCATP_P,2,),""))))))))</f>
        <v/>
      </c>
      <c r="W1040" s="31" t="str">
        <f t="shared" si="118"/>
        <v>TRUE</v>
      </c>
      <c r="X1040" s="31" t="str">
        <f t="shared" si="119"/>
        <v/>
      </c>
      <c r="Y1040" s="10" t="s">
        <v>1040</v>
      </c>
      <c r="Z1040" s="10" t="s">
        <v>910</v>
      </c>
      <c r="AL1040" s="10" t="str">
        <f t="shared" si="114"/>
        <v>FALSE</v>
      </c>
      <c r="AM1040" s="10" t="str">
        <f t="shared" si="114"/>
        <v>FALSE</v>
      </c>
      <c r="AN1040" s="10" t="str">
        <f t="shared" si="114"/>
        <v>FALSE</v>
      </c>
      <c r="AO1040" s="10" t="str">
        <f t="shared" si="115"/>
        <v>FALSE</v>
      </c>
      <c r="AP1040" s="10" t="str">
        <f t="shared" si="115"/>
        <v>FALSE</v>
      </c>
      <c r="AQ1040" s="10" t="b">
        <f>IF(AND(I1040="TP",S1040&lt;=150),VLOOKUP(AF1040,TPCalibEq150!$AZ$2:$BB$55,3,),IF(AND(I1040="TDP",S1040&lt;=150),VLOOKUP(AF1040,TPCalibEq150!$AZ$2:$BB$55,3,)))</f>
        <v>0</v>
      </c>
      <c r="AR1040" s="10" t="b">
        <f>IF(AND(I1040="TP",S1040&lt;=300),VLOOKUP(AF1040,TPCalibEq300!$AZ$2:$BB$55,3,),IF(AND(I1040="TDP",S1040&lt;=300),VLOOKUP(AF1040,TPCalibEq300!$AZ$2:$BB$55,3,)))</f>
        <v>0</v>
      </c>
      <c r="AS1040" s="10" t="b">
        <f>IF(AND(I1040="TP",S1040&lt;=500),VLOOKUP(AF1040,TPCalibEq500!$AZ$2:$BB$56,3,),IF(AND(I1040="TDP",S1040&lt;=500),VLOOKUP(AF1040,TPCalibEq500!$AZ$2:$BB$56,3,)))</f>
        <v>0</v>
      </c>
      <c r="AT1040" s="10" t="b">
        <f>IF(AND(I1040="TN",S1040&lt;=2800),VLOOKUP(AF1040,TNCalibEq2500!$AZ$2:$BB$56,3,),IF(AND(I1040="TDN",S1040&lt;=2800),VLOOKUP(AF1040,TNCalibEq2500!$AZ$2:$BB$56,3,)))</f>
        <v>0</v>
      </c>
      <c r="AU1040" s="10" t="b">
        <f>IF(I1040="TP",VLOOKUP(AF1040,TPCalibEqFull!$AZ$2:$BB$56,3),IF(I1040="TDP",VLOOKUP(AF1040,TPCalibEqFull!$AZ$2:$BB$56,3),IF(I1040="TDN",VLOOKUP(AF1040,TNCalibEqFull!$AZ$1:$BB$56,3),IF(I1040="TN",VLOOKUP(AF1040,TNCalibEqFull!$AZ$1:$BB$56,3),FALSE))))</f>
        <v>0</v>
      </c>
      <c r="AV1040" s="10" t="str">
        <f t="shared" si="120"/>
        <v>0117 11:03:00-ELI-0-C-1-SW-UKN</v>
      </c>
    </row>
    <row r="1041" spans="1:48" s="10" customFormat="1" x14ac:dyDescent="0.55000000000000004">
      <c r="A1041" s="32">
        <v>44943</v>
      </c>
      <c r="B1041" s="33">
        <v>0.47013888888888888</v>
      </c>
      <c r="C1041" s="10" t="s">
        <v>999</v>
      </c>
      <c r="D1041" s="10">
        <v>0</v>
      </c>
      <c r="E1041" s="10" t="s">
        <v>190</v>
      </c>
      <c r="F1041" s="10">
        <v>1</v>
      </c>
      <c r="G1041" s="10" t="s">
        <v>231</v>
      </c>
      <c r="H1041" s="10" t="s">
        <v>322</v>
      </c>
      <c r="I1041" s="10" t="s">
        <v>256</v>
      </c>
      <c r="J1041" s="10">
        <v>22</v>
      </c>
      <c r="K1041" s="12">
        <v>44950</v>
      </c>
      <c r="L1041" s="33">
        <v>0.48657407407407405</v>
      </c>
      <c r="M1041" s="10">
        <v>1</v>
      </c>
      <c r="N1041" s="10" t="s">
        <v>169</v>
      </c>
      <c r="O1041" s="10">
        <v>9.3699999999999992</v>
      </c>
      <c r="P1041" s="10">
        <v>0.53400000000000003</v>
      </c>
      <c r="Q1041" s="10">
        <v>1430</v>
      </c>
      <c r="R1041" s="10" t="s">
        <v>77</v>
      </c>
      <c r="S1041" s="34">
        <f t="shared" si="116"/>
        <v>1430</v>
      </c>
      <c r="T1041" s="10" t="s">
        <v>1058</v>
      </c>
      <c r="U1041" s="34" t="str">
        <f t="shared" si="117"/>
        <v/>
      </c>
      <c r="V1041" s="31" t="str">
        <f>IF(H1041="CHK",VLOOKUP(I1041,QCCHK,3,),IF(H1041="GUP",VLOOKUP(E1041,QCGUP,2,),IF(AND(H1041="ATP",OR(I1041="TN",I1041="TDN",I1041="TNO2-3",I1041="NO2-3")),VLOOKUP(E1041,QCREC_N,2,),IF(AND(H1041="NIC",OR(I1041="TN",I1041="TDN",I1041="TNO2-3",I1041="NO2-3")),VLOOKUP(E1041,QCNIC_N,2,),IF(AND(H1041="UREA",OR(I1041="TN",I1041="TDN",I1041="TNO2-3",I1041="NO2-3")),VLOOKUP(E1041,QCUREA_N,2,),IF(H1041="PER",VLOOKUP(I1041,QCPER,MATCH(E1041,QCACTUAL!$J$25:$AA$25,0),),IF(H1041="SPK",VLOOKUP(I1041,QCSPK,3,),IF(AND(H1041="ATP",OR(I1041="TP",I1041="TDP")),VLOOKUP(E1041,QCATP_P,2,),""))))))))</f>
        <v/>
      </c>
      <c r="W1041" s="31" t="str">
        <f t="shared" si="118"/>
        <v>TRUE</v>
      </c>
      <c r="X1041" s="31" t="str">
        <f t="shared" si="119"/>
        <v/>
      </c>
      <c r="Y1041" s="10" t="s">
        <v>1040</v>
      </c>
      <c r="Z1041" s="10" t="s">
        <v>910</v>
      </c>
      <c r="AL1041" s="10" t="str">
        <f t="shared" si="114"/>
        <v>FALSE</v>
      </c>
      <c r="AM1041" s="10" t="str">
        <f t="shared" si="114"/>
        <v>FALSE</v>
      </c>
      <c r="AN1041" s="10" t="str">
        <f t="shared" si="114"/>
        <v>FALSE</v>
      </c>
      <c r="AO1041" s="10" t="str">
        <f t="shared" si="115"/>
        <v>FALSE</v>
      </c>
      <c r="AP1041" s="10" t="str">
        <f t="shared" si="115"/>
        <v>FALSE</v>
      </c>
      <c r="AQ1041" s="10" t="b">
        <f>IF(AND(I1041="TP",S1041&lt;=150),VLOOKUP(AF1041,TPCalibEq150!$AZ$2:$BB$55,3,),IF(AND(I1041="TDP",S1041&lt;=150),VLOOKUP(AF1041,TPCalibEq150!$AZ$2:$BB$55,3,)))</f>
        <v>0</v>
      </c>
      <c r="AR1041" s="10" t="b">
        <f>IF(AND(I1041="TP",S1041&lt;=300),VLOOKUP(AF1041,TPCalibEq300!$AZ$2:$BB$55,3,),IF(AND(I1041="TDP",S1041&lt;=300),VLOOKUP(AF1041,TPCalibEq300!$AZ$2:$BB$55,3,)))</f>
        <v>0</v>
      </c>
      <c r="AS1041" s="10" t="b">
        <f>IF(AND(I1041="TP",S1041&lt;=500),VLOOKUP(AF1041,TPCalibEq500!$AZ$2:$BB$56,3,),IF(AND(I1041="TDP",S1041&lt;=500),VLOOKUP(AF1041,TPCalibEq500!$AZ$2:$BB$56,3,)))</f>
        <v>0</v>
      </c>
      <c r="AT1041" s="10" t="b">
        <f>IF(AND(I1041="TN",S1041&lt;=2800),VLOOKUP(AF1041,TNCalibEq2500!$AZ$2:$BB$56,3,),IF(AND(I1041="TDN",S1041&lt;=2800),VLOOKUP(AF1041,TNCalibEq2500!$AZ$2:$BB$56,3,)))</f>
        <v>0</v>
      </c>
      <c r="AU1041" s="10" t="b">
        <f>IF(I1041="TP",VLOOKUP(AF1041,TPCalibEqFull!$AZ$2:$BB$56,3),IF(I1041="TDP",VLOOKUP(AF1041,TPCalibEqFull!$AZ$2:$BB$56,3),IF(I1041="TDN",VLOOKUP(AF1041,TNCalibEqFull!$AZ$1:$BB$56,3),IF(I1041="TN",VLOOKUP(AF1041,TNCalibEqFull!$AZ$1:$BB$56,3),FALSE))))</f>
        <v>0</v>
      </c>
      <c r="AV1041" s="10" t="str">
        <f t="shared" si="120"/>
        <v>0117 11:17:00-EAW-0-C-1-SW-UKN</v>
      </c>
    </row>
    <row r="1042" spans="1:48" s="10" customFormat="1" x14ac:dyDescent="0.55000000000000004">
      <c r="A1042" s="32">
        <v>44943</v>
      </c>
      <c r="B1042" s="33">
        <v>0.48125000000000001</v>
      </c>
      <c r="C1042" s="10" t="s">
        <v>613</v>
      </c>
      <c r="D1042" s="10">
        <v>0</v>
      </c>
      <c r="E1042" s="10" t="s">
        <v>190</v>
      </c>
      <c r="F1042" s="10">
        <v>1</v>
      </c>
      <c r="G1042" s="10" t="s">
        <v>231</v>
      </c>
      <c r="H1042" s="10" t="s">
        <v>322</v>
      </c>
      <c r="I1042" s="10" t="s">
        <v>256</v>
      </c>
      <c r="J1042" s="10">
        <v>23</v>
      </c>
      <c r="K1042" s="12">
        <v>44950</v>
      </c>
      <c r="L1042" s="33">
        <v>0.48739583333333331</v>
      </c>
      <c r="M1042" s="10">
        <v>1</v>
      </c>
      <c r="N1042" s="10" t="s">
        <v>169</v>
      </c>
      <c r="O1042" s="10">
        <v>3.87</v>
      </c>
      <c r="P1042" s="10">
        <v>0.222</v>
      </c>
      <c r="Q1042" s="10">
        <v>591</v>
      </c>
      <c r="R1042" s="10" t="s">
        <v>77</v>
      </c>
      <c r="S1042" s="34">
        <f t="shared" si="116"/>
        <v>591</v>
      </c>
      <c r="T1042" s="10" t="s">
        <v>1058</v>
      </c>
      <c r="U1042" s="34" t="str">
        <f t="shared" si="117"/>
        <v/>
      </c>
      <c r="V1042" s="31" t="str">
        <f>IF(H1042="CHK",VLOOKUP(I1042,QCCHK,3,),IF(H1042="GUP",VLOOKUP(E1042,QCGUP,2,),IF(AND(H1042="ATP",OR(I1042="TN",I1042="TDN",I1042="TNO2-3",I1042="NO2-3")),VLOOKUP(E1042,QCREC_N,2,),IF(AND(H1042="NIC",OR(I1042="TN",I1042="TDN",I1042="TNO2-3",I1042="NO2-3")),VLOOKUP(E1042,QCNIC_N,2,),IF(AND(H1042="UREA",OR(I1042="TN",I1042="TDN",I1042="TNO2-3",I1042="NO2-3")),VLOOKUP(E1042,QCUREA_N,2,),IF(H1042="PER",VLOOKUP(I1042,QCPER,MATCH(E1042,QCACTUAL!$J$25:$AA$25,0),),IF(H1042="SPK",VLOOKUP(I1042,QCSPK,3,),IF(AND(H1042="ATP",OR(I1042="TP",I1042="TDP")),VLOOKUP(E1042,QCATP_P,2,),""))))))))</f>
        <v/>
      </c>
      <c r="W1042" s="31" t="str">
        <f t="shared" si="118"/>
        <v>TRUE</v>
      </c>
      <c r="X1042" s="31" t="str">
        <f t="shared" si="119"/>
        <v/>
      </c>
      <c r="Y1042" s="10" t="s">
        <v>1040</v>
      </c>
      <c r="Z1042" s="10" t="s">
        <v>910</v>
      </c>
      <c r="AL1042" s="10" t="str">
        <f t="shared" si="114"/>
        <v>FALSE</v>
      </c>
      <c r="AM1042" s="10" t="str">
        <f t="shared" si="114"/>
        <v>FALSE</v>
      </c>
      <c r="AN1042" s="10" t="str">
        <f t="shared" si="114"/>
        <v>FALSE</v>
      </c>
      <c r="AO1042" s="10" t="str">
        <f t="shared" si="115"/>
        <v>FALSE</v>
      </c>
      <c r="AP1042" s="10" t="str">
        <f t="shared" si="115"/>
        <v>FALSE</v>
      </c>
      <c r="AQ1042" s="10" t="b">
        <f>IF(AND(I1042="TP",S1042&lt;=150),VLOOKUP(AF1042,TPCalibEq150!$AZ$2:$BB$55,3,),IF(AND(I1042="TDP",S1042&lt;=150),VLOOKUP(AF1042,TPCalibEq150!$AZ$2:$BB$55,3,)))</f>
        <v>0</v>
      </c>
      <c r="AR1042" s="10" t="b">
        <f>IF(AND(I1042="TP",S1042&lt;=300),VLOOKUP(AF1042,TPCalibEq300!$AZ$2:$BB$55,3,),IF(AND(I1042="TDP",S1042&lt;=300),VLOOKUP(AF1042,TPCalibEq300!$AZ$2:$BB$55,3,)))</f>
        <v>0</v>
      </c>
      <c r="AS1042" s="10" t="b">
        <f>IF(AND(I1042="TP",S1042&lt;=500),VLOOKUP(AF1042,TPCalibEq500!$AZ$2:$BB$56,3,),IF(AND(I1042="TDP",S1042&lt;=500),VLOOKUP(AF1042,TPCalibEq500!$AZ$2:$BB$56,3,)))</f>
        <v>0</v>
      </c>
      <c r="AT1042" s="10" t="b">
        <f>IF(AND(I1042="TN",S1042&lt;=2800),VLOOKUP(AF1042,TNCalibEq2500!$AZ$2:$BB$56,3,),IF(AND(I1042="TDN",S1042&lt;=2800),VLOOKUP(AF1042,TNCalibEq2500!$AZ$2:$BB$56,3,)))</f>
        <v>0</v>
      </c>
      <c r="AU1042" s="10" t="b">
        <f>IF(I1042="TP",VLOOKUP(AF1042,TPCalibEqFull!$AZ$2:$BB$56,3),IF(I1042="TDP",VLOOKUP(AF1042,TPCalibEqFull!$AZ$2:$BB$56,3),IF(I1042="TDN",VLOOKUP(AF1042,TNCalibEqFull!$AZ$1:$BB$56,3),IF(I1042="TN",VLOOKUP(AF1042,TNCalibEqFull!$AZ$1:$BB$56,3),FALSE))))</f>
        <v>0</v>
      </c>
      <c r="AV1042" s="10" t="str">
        <f t="shared" si="120"/>
        <v>0117 11:33:00-FVC-0-C-1-SW-UKN</v>
      </c>
    </row>
    <row r="1043" spans="1:48" s="10" customFormat="1" x14ac:dyDescent="0.55000000000000004">
      <c r="A1043" s="32">
        <v>44943</v>
      </c>
      <c r="B1043" s="33">
        <v>0.48125000000000001</v>
      </c>
      <c r="C1043" s="10" t="s">
        <v>613</v>
      </c>
      <c r="D1043" s="10">
        <v>0</v>
      </c>
      <c r="E1043" s="10" t="s">
        <v>190</v>
      </c>
      <c r="F1043" s="10">
        <v>2</v>
      </c>
      <c r="G1043" s="10" t="s">
        <v>231</v>
      </c>
      <c r="H1043" s="10" t="s">
        <v>322</v>
      </c>
      <c r="I1043" s="10" t="s">
        <v>256</v>
      </c>
      <c r="J1043" s="10">
        <v>24</v>
      </c>
      <c r="K1043" s="12">
        <v>44950</v>
      </c>
      <c r="L1043" s="33">
        <v>0.48820601851851847</v>
      </c>
      <c r="M1043" s="10">
        <v>1</v>
      </c>
      <c r="N1043" s="10" t="s">
        <v>169</v>
      </c>
      <c r="O1043" s="10">
        <v>3.79</v>
      </c>
      <c r="P1043" s="10">
        <v>0.217</v>
      </c>
      <c r="Q1043" s="10">
        <v>580</v>
      </c>
      <c r="R1043" s="10" t="s">
        <v>77</v>
      </c>
      <c r="S1043" s="34">
        <f t="shared" si="116"/>
        <v>580</v>
      </c>
      <c r="T1043" s="10" t="s">
        <v>1058</v>
      </c>
      <c r="U1043" s="34" t="str">
        <f t="shared" si="117"/>
        <v/>
      </c>
      <c r="V1043" s="31" t="str">
        <f>IF(H1043="CHK",VLOOKUP(I1043,QCCHK,3,),IF(H1043="GUP",VLOOKUP(E1043,QCGUP,2,),IF(AND(H1043="ATP",OR(I1043="TN",I1043="TDN",I1043="TNO2-3",I1043="NO2-3")),VLOOKUP(E1043,QCREC_N,2,),IF(AND(H1043="NIC",OR(I1043="TN",I1043="TDN",I1043="TNO2-3",I1043="NO2-3")),VLOOKUP(E1043,QCNIC_N,2,),IF(AND(H1043="UREA",OR(I1043="TN",I1043="TDN",I1043="TNO2-3",I1043="NO2-3")),VLOOKUP(E1043,QCUREA_N,2,),IF(H1043="PER",VLOOKUP(I1043,QCPER,MATCH(E1043,QCACTUAL!$J$25:$AA$25,0),),IF(H1043="SPK",VLOOKUP(I1043,QCSPK,3,),IF(AND(H1043="ATP",OR(I1043="TP",I1043="TDP")),VLOOKUP(E1043,QCATP_P,2,),""))))))))</f>
        <v/>
      </c>
      <c r="W1043" s="31" t="str">
        <f t="shared" si="118"/>
        <v>TRUE</v>
      </c>
      <c r="X1043" s="31" t="str">
        <f t="shared" si="119"/>
        <v/>
      </c>
      <c r="Y1043" s="10" t="s">
        <v>1040</v>
      </c>
      <c r="Z1043" s="10" t="s">
        <v>910</v>
      </c>
      <c r="AL1043" s="10" t="str">
        <f t="shared" si="114"/>
        <v>FALSE</v>
      </c>
      <c r="AM1043" s="10" t="str">
        <f t="shared" si="114"/>
        <v>FALSE</v>
      </c>
      <c r="AN1043" s="10" t="str">
        <f t="shared" si="114"/>
        <v>FALSE</v>
      </c>
      <c r="AO1043" s="10" t="str">
        <f t="shared" si="115"/>
        <v>FALSE</v>
      </c>
      <c r="AP1043" s="10" t="str">
        <f t="shared" si="115"/>
        <v>FALSE</v>
      </c>
      <c r="AQ1043" s="10" t="b">
        <f>IF(AND(I1043="TP",S1043&lt;=150),VLOOKUP(AF1043,TPCalibEq150!$AZ$2:$BB$55,3,),IF(AND(I1043="TDP",S1043&lt;=150),VLOOKUP(AF1043,TPCalibEq150!$AZ$2:$BB$55,3,)))</f>
        <v>0</v>
      </c>
      <c r="AR1043" s="10" t="b">
        <f>IF(AND(I1043="TP",S1043&lt;=300),VLOOKUP(AF1043,TPCalibEq300!$AZ$2:$BB$55,3,),IF(AND(I1043="TDP",S1043&lt;=300),VLOOKUP(AF1043,TPCalibEq300!$AZ$2:$BB$55,3,)))</f>
        <v>0</v>
      </c>
      <c r="AS1043" s="10" t="b">
        <f>IF(AND(I1043="TP",S1043&lt;=500),VLOOKUP(AF1043,TPCalibEq500!$AZ$2:$BB$56,3,),IF(AND(I1043="TDP",S1043&lt;=500),VLOOKUP(AF1043,TPCalibEq500!$AZ$2:$BB$56,3,)))</f>
        <v>0</v>
      </c>
      <c r="AT1043" s="10" t="b">
        <f>IF(AND(I1043="TN",S1043&lt;=2800),VLOOKUP(AF1043,TNCalibEq2500!$AZ$2:$BB$56,3,),IF(AND(I1043="TDN",S1043&lt;=2800),VLOOKUP(AF1043,TNCalibEq2500!$AZ$2:$BB$56,3,)))</f>
        <v>0</v>
      </c>
      <c r="AU1043" s="10" t="b">
        <f>IF(I1043="TP",VLOOKUP(AF1043,TPCalibEqFull!$AZ$2:$BB$56,3),IF(I1043="TDP",VLOOKUP(AF1043,TPCalibEqFull!$AZ$2:$BB$56,3),IF(I1043="TDN",VLOOKUP(AF1043,TNCalibEqFull!$AZ$1:$BB$56,3),IF(I1043="TN",VLOOKUP(AF1043,TNCalibEqFull!$AZ$1:$BB$56,3),FALSE))))</f>
        <v>0</v>
      </c>
      <c r="AV1043" s="10" t="str">
        <f t="shared" si="120"/>
        <v>0117 11:33:00-FVC-0-C-2-SW-UKN</v>
      </c>
    </row>
    <row r="1044" spans="1:48" s="10" customFormat="1" x14ac:dyDescent="0.55000000000000004">
      <c r="A1044" s="32">
        <v>44943</v>
      </c>
      <c r="B1044" s="33">
        <v>0.48125000000000001</v>
      </c>
      <c r="C1044" s="10" t="s">
        <v>613</v>
      </c>
      <c r="D1044" s="10">
        <v>0</v>
      </c>
      <c r="E1044" s="10" t="s">
        <v>190</v>
      </c>
      <c r="F1044" s="10">
        <v>2</v>
      </c>
      <c r="G1044" s="10" t="s">
        <v>231</v>
      </c>
      <c r="H1044" s="10" t="s">
        <v>233</v>
      </c>
      <c r="I1044" s="10" t="s">
        <v>256</v>
      </c>
      <c r="J1044" s="10">
        <v>24</v>
      </c>
      <c r="K1044" s="12">
        <v>44950</v>
      </c>
      <c r="L1044" s="33">
        <v>0.48901620370370374</v>
      </c>
      <c r="M1044" s="10">
        <v>1</v>
      </c>
      <c r="N1044" s="10" t="s">
        <v>169</v>
      </c>
      <c r="O1044" s="10">
        <v>2.98</v>
      </c>
      <c r="P1044" s="10">
        <v>0.17</v>
      </c>
      <c r="Q1044" s="10">
        <v>455</v>
      </c>
      <c r="R1044" s="10" t="s">
        <v>77</v>
      </c>
      <c r="S1044" s="34">
        <f t="shared" si="116"/>
        <v>455</v>
      </c>
      <c r="T1044" s="10" t="s">
        <v>1058</v>
      </c>
      <c r="U1044" s="34">
        <f t="shared" si="117"/>
        <v>24.154589371980677</v>
      </c>
      <c r="V1044" s="31" t="str">
        <f>IF(H1044="CHK",VLOOKUP(I1044,QCCHK,3,),IF(H1044="GUP",VLOOKUP(E1044,QCGUP,2,),IF(AND(H1044="ATP",OR(I1044="TN",I1044="TDN",I1044="TNO2-3",I1044="NO2-3")),VLOOKUP(E1044,QCREC_N,2,),IF(AND(H1044="NIC",OR(I1044="TN",I1044="TDN",I1044="TNO2-3",I1044="NO2-3")),VLOOKUP(E1044,QCNIC_N,2,),IF(AND(H1044="UREA",OR(I1044="TN",I1044="TDN",I1044="TNO2-3",I1044="NO2-3")),VLOOKUP(E1044,QCUREA_N,2,),IF(H1044="PER",VLOOKUP(I1044,QCPER,MATCH(E1044,QCACTUAL!$J$25:$AA$25,0),),IF(H1044="SPK",VLOOKUP(I1044,QCSPK,3,),IF(AND(H1044="ATP",OR(I1044="TP",I1044="TDP")),VLOOKUP(E1044,QCATP_P,2,),""))))))))</f>
        <v/>
      </c>
      <c r="W1044" s="31" t="str">
        <f t="shared" si="118"/>
        <v>TRUE</v>
      </c>
      <c r="X1044" s="31" t="str">
        <f t="shared" si="119"/>
        <v>((ABS(rep1-rep2))/((rep1+rep2)/2)*100</v>
      </c>
      <c r="Y1044" s="10" t="s">
        <v>1040</v>
      </c>
      <c r="Z1044" s="10" t="s">
        <v>910</v>
      </c>
      <c r="AL1044" s="10" t="str">
        <f t="shared" si="114"/>
        <v>FALSE</v>
      </c>
      <c r="AM1044" s="10" t="str">
        <f t="shared" si="114"/>
        <v>FALSE</v>
      </c>
      <c r="AN1044" s="10" t="str">
        <f t="shared" si="114"/>
        <v>FALSE</v>
      </c>
      <c r="AO1044" s="10" t="str">
        <f t="shared" si="115"/>
        <v>FALSE</v>
      </c>
      <c r="AP1044" s="10" t="str">
        <f t="shared" si="115"/>
        <v>FALSE</v>
      </c>
      <c r="AQ1044" s="10" t="b">
        <f>IF(AND(I1044="TP",S1044&lt;=150),VLOOKUP(AF1044,TPCalibEq150!$AZ$2:$BB$55,3,),IF(AND(I1044="TDP",S1044&lt;=150),VLOOKUP(AF1044,TPCalibEq150!$AZ$2:$BB$55,3,)))</f>
        <v>0</v>
      </c>
      <c r="AR1044" s="10" t="b">
        <f>IF(AND(I1044="TP",S1044&lt;=300),VLOOKUP(AF1044,TPCalibEq300!$AZ$2:$BB$55,3,),IF(AND(I1044="TDP",S1044&lt;=300),VLOOKUP(AF1044,TPCalibEq300!$AZ$2:$BB$55,3,)))</f>
        <v>0</v>
      </c>
      <c r="AS1044" s="10" t="b">
        <f>IF(AND(I1044="TP",S1044&lt;=500),VLOOKUP(AF1044,TPCalibEq500!$AZ$2:$BB$56,3,),IF(AND(I1044="TDP",S1044&lt;=500),VLOOKUP(AF1044,TPCalibEq500!$AZ$2:$BB$56,3,)))</f>
        <v>0</v>
      </c>
      <c r="AT1044" s="10" t="b">
        <f>IF(AND(I1044="TN",S1044&lt;=2800),VLOOKUP(AF1044,TNCalibEq2500!$AZ$2:$BB$56,3,),IF(AND(I1044="TDN",S1044&lt;=2800),VLOOKUP(AF1044,TNCalibEq2500!$AZ$2:$BB$56,3,)))</f>
        <v>0</v>
      </c>
      <c r="AU1044" s="10" t="b">
        <f>IF(I1044="TP",VLOOKUP(AF1044,TPCalibEqFull!$AZ$2:$BB$56,3),IF(I1044="TDP",VLOOKUP(AF1044,TPCalibEqFull!$AZ$2:$BB$56,3),IF(I1044="TDN",VLOOKUP(AF1044,TNCalibEqFull!$AZ$1:$BB$56,3),IF(I1044="TN",VLOOKUP(AF1044,TNCalibEqFull!$AZ$1:$BB$56,3),FALSE))))</f>
        <v>0</v>
      </c>
      <c r="AV1044" s="10" t="str">
        <f t="shared" si="120"/>
        <v>0117 11:33:00-FVC-0-C-2-SW-DUP</v>
      </c>
    </row>
    <row r="1045" spans="1:48" s="10" customFormat="1" x14ac:dyDescent="0.55000000000000004">
      <c r="A1045" s="32">
        <v>44943</v>
      </c>
      <c r="B1045" s="33">
        <v>0.48125000000000001</v>
      </c>
      <c r="C1045" s="10" t="s">
        <v>613</v>
      </c>
      <c r="D1045" s="10">
        <v>0</v>
      </c>
      <c r="E1045" s="10" t="s">
        <v>190</v>
      </c>
      <c r="F1045" s="10">
        <v>2</v>
      </c>
      <c r="G1045" s="10" t="s">
        <v>231</v>
      </c>
      <c r="H1045" s="10" t="s">
        <v>314</v>
      </c>
      <c r="I1045" s="10" t="s">
        <v>256</v>
      </c>
      <c r="J1045" s="10">
        <v>58</v>
      </c>
      <c r="K1045" s="12">
        <v>44950</v>
      </c>
      <c r="L1045" s="33">
        <v>0.48982638888888891</v>
      </c>
      <c r="M1045" s="10">
        <v>1</v>
      </c>
      <c r="N1045" s="10" t="s">
        <v>169</v>
      </c>
      <c r="O1045" s="10">
        <v>7.32</v>
      </c>
      <c r="P1045" s="10">
        <v>0.41699999999999998</v>
      </c>
      <c r="Q1045" s="10">
        <v>1120</v>
      </c>
      <c r="R1045" s="10" t="s">
        <v>77</v>
      </c>
      <c r="S1045" s="34">
        <f t="shared" si="116"/>
        <v>1120</v>
      </c>
      <c r="T1045" s="10" t="s">
        <v>1058</v>
      </c>
      <c r="U1045" s="34">
        <f t="shared" si="117"/>
        <v>106.4</v>
      </c>
      <c r="V1045" s="31">
        <f>IF(H1045="CHK",VLOOKUP(I1045,QCCHK,3,),IF(H1045="GUP",VLOOKUP(E1045,QCGUP,2,),IF(AND(H1045="ATP",OR(I1045="TN",I1045="TDN",I1045="TNO2-3",I1045="NO2-3")),VLOOKUP(E1045,QCREC_N,2,),IF(AND(H1045="NIC",OR(I1045="TN",I1045="TDN",I1045="TNO2-3",I1045="NO2-3")),VLOOKUP(E1045,QCNIC_N,2,),IF(AND(H1045="UREA",OR(I1045="TN",I1045="TDN",I1045="TNO2-3",I1045="NO2-3")),VLOOKUP(E1045,QCUREA_N,2,),IF(H1045="PER",VLOOKUP(I1045,QCPER,MATCH(E1045,QCACTUAL!$J$25:$AA$25,0),),IF(H1045="SPK",VLOOKUP(I1045,QCSPK,3,),IF(AND(H1045="ATP",OR(I1045="TP",I1045="TDP")),VLOOKUP(E1045,QCATP_P,2,),""))))))))</f>
        <v>625</v>
      </c>
      <c r="W1045" s="31" t="str">
        <f t="shared" si="118"/>
        <v>TRUE</v>
      </c>
      <c r="X1045" s="31" t="str">
        <f t="shared" si="119"/>
        <v>([spikedunkn]-[unkn])/[spike]*100</v>
      </c>
      <c r="Y1045" s="10" t="s">
        <v>1040</v>
      </c>
      <c r="Z1045" s="10" t="s">
        <v>910</v>
      </c>
      <c r="AL1045" s="10" t="str">
        <f t="shared" si="114"/>
        <v>FALSE</v>
      </c>
      <c r="AM1045" s="10" t="str">
        <f t="shared" si="114"/>
        <v>FALSE</v>
      </c>
      <c r="AN1045" s="10" t="str">
        <f t="shared" si="114"/>
        <v>FALSE</v>
      </c>
      <c r="AO1045" s="10" t="str">
        <f t="shared" si="115"/>
        <v>FALSE</v>
      </c>
      <c r="AP1045" s="10" t="str">
        <f t="shared" si="115"/>
        <v>FALSE</v>
      </c>
      <c r="AQ1045" s="10" t="b">
        <f>IF(AND(I1045="TP",S1045&lt;=150),VLOOKUP(AF1045,TPCalibEq150!$AZ$2:$BB$55,3,),IF(AND(I1045="TDP",S1045&lt;=150),VLOOKUP(AF1045,TPCalibEq150!$AZ$2:$BB$55,3,)))</f>
        <v>0</v>
      </c>
      <c r="AR1045" s="10" t="b">
        <f>IF(AND(I1045="TP",S1045&lt;=300),VLOOKUP(AF1045,TPCalibEq300!$AZ$2:$BB$55,3,),IF(AND(I1045="TDP",S1045&lt;=300),VLOOKUP(AF1045,TPCalibEq300!$AZ$2:$BB$55,3,)))</f>
        <v>0</v>
      </c>
      <c r="AS1045" s="10" t="b">
        <f>IF(AND(I1045="TP",S1045&lt;=500),VLOOKUP(AF1045,TPCalibEq500!$AZ$2:$BB$56,3,),IF(AND(I1045="TDP",S1045&lt;=500),VLOOKUP(AF1045,TPCalibEq500!$AZ$2:$BB$56,3,)))</f>
        <v>0</v>
      </c>
      <c r="AT1045" s="10" t="b">
        <f>IF(AND(I1045="TN",S1045&lt;=2800),VLOOKUP(AF1045,TNCalibEq2500!$AZ$2:$BB$56,3,),IF(AND(I1045="TDN",S1045&lt;=2800),VLOOKUP(AF1045,TNCalibEq2500!$AZ$2:$BB$56,3,)))</f>
        <v>0</v>
      </c>
      <c r="AU1045" s="10" t="b">
        <f>IF(I1045="TP",VLOOKUP(AF1045,TPCalibEqFull!$AZ$2:$BB$56,3),IF(I1045="TDP",VLOOKUP(AF1045,TPCalibEqFull!$AZ$2:$BB$56,3),IF(I1045="TDN",VLOOKUP(AF1045,TNCalibEqFull!$AZ$1:$BB$56,3),IF(I1045="TN",VLOOKUP(AF1045,TNCalibEqFull!$AZ$1:$BB$56,3),FALSE))))</f>
        <v>0</v>
      </c>
      <c r="AV1045" s="10" t="str">
        <f t="shared" si="120"/>
        <v>0117 11:33:00-FVC-0-C-2-SW-SPK</v>
      </c>
    </row>
    <row r="1046" spans="1:48" s="10" customFormat="1" x14ac:dyDescent="0.55000000000000004">
      <c r="A1046" s="32">
        <v>44950</v>
      </c>
      <c r="B1046" s="33">
        <v>0.375</v>
      </c>
      <c r="C1046" s="10" t="s">
        <v>70</v>
      </c>
      <c r="D1046" s="10" t="s">
        <v>71</v>
      </c>
      <c r="E1046" s="10" t="s">
        <v>901</v>
      </c>
      <c r="F1046" s="10">
        <v>1</v>
      </c>
      <c r="G1046" s="10" t="s">
        <v>73</v>
      </c>
      <c r="H1046" s="10" t="s">
        <v>207</v>
      </c>
      <c r="I1046" s="10" t="s">
        <v>256</v>
      </c>
      <c r="J1046" s="10">
        <v>199</v>
      </c>
      <c r="K1046" s="12">
        <v>44950</v>
      </c>
      <c r="L1046" s="33">
        <v>0.49064814814814817</v>
      </c>
      <c r="M1046" s="10">
        <v>1</v>
      </c>
      <c r="N1046" s="10" t="s">
        <v>169</v>
      </c>
      <c r="O1046" s="10">
        <v>1.97</v>
      </c>
      <c r="P1046" s="10">
        <v>0.115</v>
      </c>
      <c r="Q1046" s="10">
        <v>301</v>
      </c>
      <c r="R1046" s="10" t="s">
        <v>77</v>
      </c>
      <c r="S1046" s="34">
        <f t="shared" si="116"/>
        <v>301</v>
      </c>
      <c r="T1046" s="10" t="s">
        <v>1058</v>
      </c>
      <c r="U1046" s="34">
        <f t="shared" si="117"/>
        <v>100.33333333333334</v>
      </c>
      <c r="V1046" s="31">
        <f>IF(H1046="CHK",VLOOKUP(I1046,QCCHK,3,),IF(H1046="GUP",VLOOKUP(E1046,QCGUP,2,),IF(AND(H1046="ATP",OR(I1046="TN",I1046="TDN",I1046="TNO2-3",I1046="NO2-3")),VLOOKUP(E1046,QCREC_N,2,),IF(AND(H1046="NIC",OR(I1046="TN",I1046="TDN",I1046="TNO2-3",I1046="NO2-3")),VLOOKUP(E1046,QCNIC_N,2,),IF(AND(H1046="UREA",OR(I1046="TN",I1046="TDN",I1046="TNO2-3",I1046="NO2-3")),VLOOKUP(E1046,QCUREA_N,2,),IF(H1046="PER",VLOOKUP(I1046,QCPER,MATCH(E1046,QCACTUAL!$J$25:$AA$25,0),),IF(H1046="SPK",VLOOKUP(I1046,QCSPK,3,),IF(AND(H1046="ATP",OR(I1046="TP",I1046="TDP")),VLOOKUP(E1046,QCATP_P,2,),""))))))))</f>
        <v>300</v>
      </c>
      <c r="W1046" s="31" t="str">
        <f t="shared" si="118"/>
        <v>TRUE</v>
      </c>
      <c r="X1046" s="31" t="str">
        <f t="shared" si="119"/>
        <v>[chk]/[actual]*100</v>
      </c>
      <c r="Y1046" s="10" t="s">
        <v>1040</v>
      </c>
      <c r="AL1046" s="10" t="str">
        <f t="shared" si="114"/>
        <v>FALSE</v>
      </c>
      <c r="AM1046" s="10" t="str">
        <f t="shared" si="114"/>
        <v>FALSE</v>
      </c>
      <c r="AN1046" s="10" t="str">
        <f t="shared" si="114"/>
        <v>FALSE</v>
      </c>
      <c r="AO1046" s="10" t="str">
        <f t="shared" si="115"/>
        <v>FALSE</v>
      </c>
      <c r="AP1046" s="10" t="str">
        <f t="shared" si="115"/>
        <v>FALSE</v>
      </c>
      <c r="AQ1046" s="10" t="b">
        <f>IF(AND(I1046="TP",S1046&lt;=150),VLOOKUP(AF1046,TPCalibEq150!$AZ$2:$BB$55,3,),IF(AND(I1046="TDP",S1046&lt;=150),VLOOKUP(AF1046,TPCalibEq150!$AZ$2:$BB$55,3,)))</f>
        <v>0</v>
      </c>
      <c r="AR1046" s="10" t="b">
        <f>IF(AND(I1046="TP",S1046&lt;=300),VLOOKUP(AF1046,TPCalibEq300!$AZ$2:$BB$55,3,),IF(AND(I1046="TDP",S1046&lt;=300),VLOOKUP(AF1046,TPCalibEq300!$AZ$2:$BB$55,3,)))</f>
        <v>0</v>
      </c>
      <c r="AS1046" s="10" t="b">
        <f>IF(AND(I1046="TP",S1046&lt;=500),VLOOKUP(AF1046,TPCalibEq500!$AZ$2:$BB$56,3,),IF(AND(I1046="TDP",S1046&lt;=500),VLOOKUP(AF1046,TPCalibEq500!$AZ$2:$BB$56,3,)))</f>
        <v>0</v>
      </c>
      <c r="AT1046" s="10" t="b">
        <f>IF(AND(I1046="TN",S1046&lt;=2800),VLOOKUP(AF1046,TNCalibEq2500!$AZ$2:$BB$56,3,),IF(AND(I1046="TDN",S1046&lt;=2800),VLOOKUP(AF1046,TNCalibEq2500!$AZ$2:$BB$56,3,)))</f>
        <v>0</v>
      </c>
      <c r="AU1046" s="10" t="b">
        <f>IF(I1046="TP",VLOOKUP(AF1046,TPCalibEqFull!$AZ$2:$BB$56,3),IF(I1046="TDP",VLOOKUP(AF1046,TPCalibEqFull!$AZ$2:$BB$56,3),IF(I1046="TDN",VLOOKUP(AF1046,TNCalibEqFull!$AZ$1:$BB$56,3),IF(I1046="TN",VLOOKUP(AF1046,TNCalibEqFull!$AZ$1:$BB$56,3),FALSE))))</f>
        <v>0</v>
      </c>
      <c r="AV1046" s="10" t="str">
        <f t="shared" si="120"/>
        <v>0124 09:00:00-QAC-STD-D-1-DI-CHK</v>
      </c>
    </row>
    <row r="1047" spans="1:48" s="10" customFormat="1" x14ac:dyDescent="0.55000000000000004">
      <c r="A1047" s="32">
        <v>44943</v>
      </c>
      <c r="B1047" s="33">
        <v>0.48888888888888887</v>
      </c>
      <c r="C1047" s="10" t="s">
        <v>250</v>
      </c>
      <c r="D1047" s="10">
        <v>0</v>
      </c>
      <c r="E1047" s="10" t="s">
        <v>190</v>
      </c>
      <c r="F1047" s="10">
        <v>1</v>
      </c>
      <c r="G1047" s="10" t="s">
        <v>231</v>
      </c>
      <c r="H1047" s="10" t="s">
        <v>322</v>
      </c>
      <c r="I1047" s="10" t="s">
        <v>256</v>
      </c>
      <c r="J1047" s="10">
        <v>25</v>
      </c>
      <c r="K1047" s="12">
        <v>44950</v>
      </c>
      <c r="L1047" s="33">
        <v>0.49146990740740742</v>
      </c>
      <c r="M1047" s="10">
        <v>1</v>
      </c>
      <c r="N1047" s="10" t="s">
        <v>169</v>
      </c>
      <c r="O1047" s="10">
        <v>9.89</v>
      </c>
      <c r="P1047" s="10">
        <v>0.56299999999999994</v>
      </c>
      <c r="Q1047" s="10">
        <v>1510</v>
      </c>
      <c r="R1047" s="10" t="s">
        <v>77</v>
      </c>
      <c r="S1047" s="34">
        <f t="shared" si="116"/>
        <v>1510</v>
      </c>
      <c r="T1047" s="10" t="s">
        <v>1058</v>
      </c>
      <c r="U1047" s="34" t="str">
        <f t="shared" si="117"/>
        <v/>
      </c>
      <c r="V1047" s="31" t="str">
        <f>IF(H1047="CHK",VLOOKUP(I1047,QCCHK,3,),IF(H1047="GUP",VLOOKUP(E1047,QCGUP,2,),IF(AND(H1047="ATP",OR(I1047="TN",I1047="TDN",I1047="TNO2-3",I1047="NO2-3")),VLOOKUP(E1047,QCREC_N,2,),IF(AND(H1047="NIC",OR(I1047="TN",I1047="TDN",I1047="TNO2-3",I1047="NO2-3")),VLOOKUP(E1047,QCNIC_N,2,),IF(AND(H1047="UREA",OR(I1047="TN",I1047="TDN",I1047="TNO2-3",I1047="NO2-3")),VLOOKUP(E1047,QCUREA_N,2,),IF(H1047="PER",VLOOKUP(I1047,QCPER,MATCH(E1047,QCACTUAL!$J$25:$AA$25,0),),IF(H1047="SPK",VLOOKUP(I1047,QCSPK,3,),IF(AND(H1047="ATP",OR(I1047="TP",I1047="TDP")),VLOOKUP(E1047,QCATP_P,2,),""))))))))</f>
        <v/>
      </c>
      <c r="W1047" s="31" t="str">
        <f t="shared" si="118"/>
        <v>TRUE</v>
      </c>
      <c r="X1047" s="31" t="str">
        <f t="shared" si="119"/>
        <v/>
      </c>
      <c r="Y1047" s="10" t="s">
        <v>1040</v>
      </c>
      <c r="Z1047" s="10" t="s">
        <v>910</v>
      </c>
      <c r="AL1047" s="10" t="str">
        <f t="shared" si="114"/>
        <v>FALSE</v>
      </c>
      <c r="AM1047" s="10" t="str">
        <f t="shared" si="114"/>
        <v>FALSE</v>
      </c>
      <c r="AN1047" s="10" t="str">
        <f t="shared" si="114"/>
        <v>FALSE</v>
      </c>
      <c r="AO1047" s="10" t="str">
        <f t="shared" si="115"/>
        <v>FALSE</v>
      </c>
      <c r="AP1047" s="10" t="str">
        <f t="shared" si="115"/>
        <v>FALSE</v>
      </c>
      <c r="AQ1047" s="10" t="b">
        <f>IF(AND(I1047="TP",S1047&lt;=150),VLOOKUP(AF1047,TPCalibEq150!$AZ$2:$BB$55,3,),IF(AND(I1047="TDP",S1047&lt;=150),VLOOKUP(AF1047,TPCalibEq150!$AZ$2:$BB$55,3,)))</f>
        <v>0</v>
      </c>
      <c r="AR1047" s="10" t="b">
        <f>IF(AND(I1047="TP",S1047&lt;=300),VLOOKUP(AF1047,TPCalibEq300!$AZ$2:$BB$55,3,),IF(AND(I1047="TDP",S1047&lt;=300),VLOOKUP(AF1047,TPCalibEq300!$AZ$2:$BB$55,3,)))</f>
        <v>0</v>
      </c>
      <c r="AS1047" s="10" t="b">
        <f>IF(AND(I1047="TP",S1047&lt;=500),VLOOKUP(AF1047,TPCalibEq500!$AZ$2:$BB$56,3,),IF(AND(I1047="TDP",S1047&lt;=500),VLOOKUP(AF1047,TPCalibEq500!$AZ$2:$BB$56,3,)))</f>
        <v>0</v>
      </c>
      <c r="AT1047" s="10" t="b">
        <f>IF(AND(I1047="TN",S1047&lt;=2800),VLOOKUP(AF1047,TNCalibEq2500!$AZ$2:$BB$56,3,),IF(AND(I1047="TDN",S1047&lt;=2800),VLOOKUP(AF1047,TNCalibEq2500!$AZ$2:$BB$56,3,)))</f>
        <v>0</v>
      </c>
      <c r="AU1047" s="10" t="b">
        <f>IF(I1047="TP",VLOOKUP(AF1047,TPCalibEqFull!$AZ$2:$BB$56,3),IF(I1047="TDP",VLOOKUP(AF1047,TPCalibEqFull!$AZ$2:$BB$56,3),IF(I1047="TDN",VLOOKUP(AF1047,TNCalibEqFull!$AZ$1:$BB$56,3),IF(I1047="TN",VLOOKUP(AF1047,TNCalibEqFull!$AZ$1:$BB$56,3),FALSE))))</f>
        <v>0</v>
      </c>
      <c r="AV1047" s="10" t="str">
        <f t="shared" si="120"/>
        <v>0117 11:44:00-EFB-0-C-1-SW-UKN</v>
      </c>
    </row>
    <row r="1048" spans="1:48" s="10" customFormat="1" x14ac:dyDescent="0.55000000000000004">
      <c r="A1048" s="32">
        <v>44943</v>
      </c>
      <c r="B1048" s="33">
        <v>0.49791666666666662</v>
      </c>
      <c r="C1048" s="10" t="s">
        <v>326</v>
      </c>
      <c r="D1048" s="10">
        <v>0</v>
      </c>
      <c r="E1048" s="10" t="s">
        <v>190</v>
      </c>
      <c r="F1048" s="10">
        <v>1</v>
      </c>
      <c r="G1048" s="10" t="s">
        <v>231</v>
      </c>
      <c r="H1048" s="10" t="s">
        <v>322</v>
      </c>
      <c r="I1048" s="10" t="s">
        <v>256</v>
      </c>
      <c r="J1048" s="10">
        <v>26</v>
      </c>
      <c r="K1048" s="12">
        <v>44950</v>
      </c>
      <c r="L1048" s="33">
        <v>0.49226851851851849</v>
      </c>
      <c r="M1048" s="10">
        <v>1</v>
      </c>
      <c r="N1048" s="10" t="s">
        <v>169</v>
      </c>
      <c r="O1048" s="10">
        <v>4.66</v>
      </c>
      <c r="P1048" s="10">
        <v>0.26700000000000002</v>
      </c>
      <c r="Q1048" s="10">
        <v>713</v>
      </c>
      <c r="R1048" s="10" t="s">
        <v>77</v>
      </c>
      <c r="S1048" s="34">
        <f t="shared" si="116"/>
        <v>713</v>
      </c>
      <c r="T1048" s="10" t="s">
        <v>1058</v>
      </c>
      <c r="U1048" s="34" t="str">
        <f t="shared" si="117"/>
        <v/>
      </c>
      <c r="V1048" s="31" t="str">
        <f>IF(H1048="CHK",VLOOKUP(I1048,QCCHK,3,),IF(H1048="GUP",VLOOKUP(E1048,QCGUP,2,),IF(AND(H1048="ATP",OR(I1048="TN",I1048="TDN",I1048="TNO2-3",I1048="NO2-3")),VLOOKUP(E1048,QCREC_N,2,),IF(AND(H1048="NIC",OR(I1048="TN",I1048="TDN",I1048="TNO2-3",I1048="NO2-3")),VLOOKUP(E1048,QCNIC_N,2,),IF(AND(H1048="UREA",OR(I1048="TN",I1048="TDN",I1048="TNO2-3",I1048="NO2-3")),VLOOKUP(E1048,QCUREA_N,2,),IF(H1048="PER",VLOOKUP(I1048,QCPER,MATCH(E1048,QCACTUAL!$J$25:$AA$25,0),),IF(H1048="SPK",VLOOKUP(I1048,QCSPK,3,),IF(AND(H1048="ATP",OR(I1048="TP",I1048="TDP")),VLOOKUP(E1048,QCATP_P,2,),""))))))))</f>
        <v/>
      </c>
      <c r="W1048" s="31" t="str">
        <f t="shared" si="118"/>
        <v>TRUE</v>
      </c>
      <c r="X1048" s="31" t="str">
        <f t="shared" si="119"/>
        <v/>
      </c>
      <c r="Y1048" s="10" t="s">
        <v>1040</v>
      </c>
      <c r="Z1048" s="10" t="s">
        <v>910</v>
      </c>
      <c r="AL1048" s="10" t="str">
        <f t="shared" si="114"/>
        <v>FALSE</v>
      </c>
      <c r="AM1048" s="10" t="str">
        <f t="shared" si="114"/>
        <v>FALSE</v>
      </c>
      <c r="AN1048" s="10" t="str">
        <f t="shared" si="114"/>
        <v>FALSE</v>
      </c>
      <c r="AO1048" s="10" t="str">
        <f t="shared" si="115"/>
        <v>FALSE</v>
      </c>
      <c r="AP1048" s="10" t="str">
        <f t="shared" si="115"/>
        <v>FALSE</v>
      </c>
      <c r="AQ1048" s="10" t="b">
        <f>IF(AND(I1048="TP",S1048&lt;=150),VLOOKUP(AF1048,TPCalibEq150!$AZ$2:$BB$55,3,),IF(AND(I1048="TDP",S1048&lt;=150),VLOOKUP(AF1048,TPCalibEq150!$AZ$2:$BB$55,3,)))</f>
        <v>0</v>
      </c>
      <c r="AR1048" s="10" t="b">
        <f>IF(AND(I1048="TP",S1048&lt;=300),VLOOKUP(AF1048,TPCalibEq300!$AZ$2:$BB$55,3,),IF(AND(I1048="TDP",S1048&lt;=300),VLOOKUP(AF1048,TPCalibEq300!$AZ$2:$BB$55,3,)))</f>
        <v>0</v>
      </c>
      <c r="AS1048" s="10" t="b">
        <f>IF(AND(I1048="TP",S1048&lt;=500),VLOOKUP(AF1048,TPCalibEq500!$AZ$2:$BB$56,3,),IF(AND(I1048="TDP",S1048&lt;=500),VLOOKUP(AF1048,TPCalibEq500!$AZ$2:$BB$56,3,)))</f>
        <v>0</v>
      </c>
      <c r="AT1048" s="10" t="b">
        <f>IF(AND(I1048="TN",S1048&lt;=2800),VLOOKUP(AF1048,TNCalibEq2500!$AZ$2:$BB$56,3,),IF(AND(I1048="TDN",S1048&lt;=2800),VLOOKUP(AF1048,TNCalibEq2500!$AZ$2:$BB$56,3,)))</f>
        <v>0</v>
      </c>
      <c r="AU1048" s="10" t="b">
        <f>IF(I1048="TP",VLOOKUP(AF1048,TPCalibEqFull!$AZ$2:$BB$56,3),IF(I1048="TDP",VLOOKUP(AF1048,TPCalibEqFull!$AZ$2:$BB$56,3),IF(I1048="TDN",VLOOKUP(AF1048,TNCalibEqFull!$AZ$1:$BB$56,3),IF(I1048="TN",VLOOKUP(AF1048,TNCalibEqFull!$AZ$1:$BB$56,3),FALSE))))</f>
        <v>0</v>
      </c>
      <c r="AV1048" s="10" t="str">
        <f t="shared" si="120"/>
        <v>0117 11:57:00-GRR-0-C-1-SW-UKN</v>
      </c>
    </row>
    <row r="1049" spans="1:48" s="10" customFormat="1" x14ac:dyDescent="0.55000000000000004">
      <c r="A1049" s="32">
        <v>44943</v>
      </c>
      <c r="B1049" s="33">
        <v>0.50763888888888886</v>
      </c>
      <c r="C1049" s="10" t="s">
        <v>416</v>
      </c>
      <c r="D1049" s="10">
        <v>0</v>
      </c>
      <c r="E1049" s="10" t="s">
        <v>190</v>
      </c>
      <c r="F1049" s="10">
        <v>1</v>
      </c>
      <c r="G1049" s="10" t="s">
        <v>231</v>
      </c>
      <c r="H1049" s="10" t="s">
        <v>322</v>
      </c>
      <c r="I1049" s="10" t="s">
        <v>256</v>
      </c>
      <c r="J1049" s="10">
        <v>27</v>
      </c>
      <c r="K1049" s="12">
        <v>44950</v>
      </c>
      <c r="L1049" s="33">
        <v>0.49309027777777775</v>
      </c>
      <c r="M1049" s="10">
        <v>1</v>
      </c>
      <c r="N1049" s="10" t="s">
        <v>169</v>
      </c>
      <c r="O1049" s="10">
        <v>5.55</v>
      </c>
      <c r="P1049" s="10">
        <v>0.318</v>
      </c>
      <c r="Q1049" s="10">
        <v>849</v>
      </c>
      <c r="R1049" s="10" t="s">
        <v>77</v>
      </c>
      <c r="S1049" s="34">
        <f t="shared" si="116"/>
        <v>849</v>
      </c>
      <c r="T1049" s="10" t="s">
        <v>1058</v>
      </c>
      <c r="U1049" s="34" t="str">
        <f t="shared" si="117"/>
        <v/>
      </c>
      <c r="V1049" s="31" t="str">
        <f>IF(H1049="CHK",VLOOKUP(I1049,QCCHK,3,),IF(H1049="GUP",VLOOKUP(E1049,QCGUP,2,),IF(AND(H1049="ATP",OR(I1049="TN",I1049="TDN",I1049="TNO2-3",I1049="NO2-3")),VLOOKUP(E1049,QCREC_N,2,),IF(AND(H1049="NIC",OR(I1049="TN",I1049="TDN",I1049="TNO2-3",I1049="NO2-3")),VLOOKUP(E1049,QCNIC_N,2,),IF(AND(H1049="UREA",OR(I1049="TN",I1049="TDN",I1049="TNO2-3",I1049="NO2-3")),VLOOKUP(E1049,QCUREA_N,2,),IF(H1049="PER",VLOOKUP(I1049,QCPER,MATCH(E1049,QCACTUAL!$J$25:$AA$25,0),),IF(H1049="SPK",VLOOKUP(I1049,QCSPK,3,),IF(AND(H1049="ATP",OR(I1049="TP",I1049="TDP")),VLOOKUP(E1049,QCATP_P,2,),""))))))))</f>
        <v/>
      </c>
      <c r="W1049" s="31" t="str">
        <f t="shared" si="118"/>
        <v>TRUE</v>
      </c>
      <c r="X1049" s="31" t="str">
        <f t="shared" si="119"/>
        <v/>
      </c>
      <c r="Y1049" s="10" t="s">
        <v>1040</v>
      </c>
      <c r="Z1049" s="10" t="s">
        <v>910</v>
      </c>
      <c r="AL1049" s="10" t="str">
        <f t="shared" si="114"/>
        <v>FALSE</v>
      </c>
      <c r="AM1049" s="10" t="str">
        <f t="shared" si="114"/>
        <v>FALSE</v>
      </c>
      <c r="AN1049" s="10" t="str">
        <f t="shared" si="114"/>
        <v>FALSE</v>
      </c>
      <c r="AO1049" s="10" t="str">
        <f t="shared" si="115"/>
        <v>FALSE</v>
      </c>
      <c r="AP1049" s="10" t="str">
        <f t="shared" si="115"/>
        <v>FALSE</v>
      </c>
      <c r="AQ1049" s="10" t="b">
        <f>IF(AND(I1049="TP",S1049&lt;=150),VLOOKUP(AF1049,TPCalibEq150!$AZ$2:$BB$55,3,),IF(AND(I1049="TDP",S1049&lt;=150),VLOOKUP(AF1049,TPCalibEq150!$AZ$2:$BB$55,3,)))</f>
        <v>0</v>
      </c>
      <c r="AR1049" s="10" t="b">
        <f>IF(AND(I1049="TP",S1049&lt;=300),VLOOKUP(AF1049,TPCalibEq300!$AZ$2:$BB$55,3,),IF(AND(I1049="TDP",S1049&lt;=300),VLOOKUP(AF1049,TPCalibEq300!$AZ$2:$BB$55,3,)))</f>
        <v>0</v>
      </c>
      <c r="AS1049" s="10" t="b">
        <f>IF(AND(I1049="TP",S1049&lt;=500),VLOOKUP(AF1049,TPCalibEq500!$AZ$2:$BB$56,3,),IF(AND(I1049="TDP",S1049&lt;=500),VLOOKUP(AF1049,TPCalibEq500!$AZ$2:$BB$56,3,)))</f>
        <v>0</v>
      </c>
      <c r="AT1049" s="10" t="b">
        <f>IF(AND(I1049="TN",S1049&lt;=2800),VLOOKUP(AF1049,TNCalibEq2500!$AZ$2:$BB$56,3,),IF(AND(I1049="TDN",S1049&lt;=2800),VLOOKUP(AF1049,TNCalibEq2500!$AZ$2:$BB$56,3,)))</f>
        <v>0</v>
      </c>
      <c r="AU1049" s="10" t="b">
        <f>IF(I1049="TP",VLOOKUP(AF1049,TPCalibEqFull!$AZ$2:$BB$56,3),IF(I1049="TDP",VLOOKUP(AF1049,TPCalibEqFull!$AZ$2:$BB$56,3),IF(I1049="TDN",VLOOKUP(AF1049,TNCalibEqFull!$AZ$1:$BB$56,3),IF(I1049="TN",VLOOKUP(AF1049,TNCalibEqFull!$AZ$1:$BB$56,3),FALSE))))</f>
        <v>0</v>
      </c>
      <c r="AV1049" s="10" t="str">
        <f t="shared" si="120"/>
        <v>0117 12:11:00-CWL-0-C-1-SW-UKN</v>
      </c>
    </row>
    <row r="1050" spans="1:48" s="10" customFormat="1" x14ac:dyDescent="0.55000000000000004">
      <c r="A1050" s="32">
        <v>44943</v>
      </c>
      <c r="B1050" s="33">
        <v>0.51874999999999993</v>
      </c>
      <c r="C1050" s="10" t="s">
        <v>445</v>
      </c>
      <c r="D1050" s="10">
        <v>0</v>
      </c>
      <c r="E1050" s="10" t="s">
        <v>190</v>
      </c>
      <c r="F1050" s="10">
        <v>1</v>
      </c>
      <c r="G1050" s="10" t="s">
        <v>231</v>
      </c>
      <c r="H1050" s="10" t="s">
        <v>322</v>
      </c>
      <c r="I1050" s="10" t="s">
        <v>256</v>
      </c>
      <c r="J1050" s="10">
        <v>28</v>
      </c>
      <c r="K1050" s="12">
        <v>44950</v>
      </c>
      <c r="L1050" s="33">
        <v>0.49390046296296292</v>
      </c>
      <c r="M1050" s="10">
        <v>1</v>
      </c>
      <c r="N1050" s="10" t="s">
        <v>169</v>
      </c>
      <c r="O1050" s="10">
        <v>3.14</v>
      </c>
      <c r="P1050" s="10">
        <v>0.17899999999999999</v>
      </c>
      <c r="Q1050" s="10">
        <v>480</v>
      </c>
      <c r="R1050" s="10" t="s">
        <v>77</v>
      </c>
      <c r="S1050" s="34">
        <f t="shared" si="116"/>
        <v>480</v>
      </c>
      <c r="T1050" s="10" t="s">
        <v>1058</v>
      </c>
      <c r="U1050" s="34" t="str">
        <f t="shared" si="117"/>
        <v/>
      </c>
      <c r="V1050" s="31" t="str">
        <f>IF(H1050="CHK",VLOOKUP(I1050,QCCHK,3,),IF(H1050="GUP",VLOOKUP(E1050,QCGUP,2,),IF(AND(H1050="ATP",OR(I1050="TN",I1050="TDN",I1050="TNO2-3",I1050="NO2-3")),VLOOKUP(E1050,QCREC_N,2,),IF(AND(H1050="NIC",OR(I1050="TN",I1050="TDN",I1050="TNO2-3",I1050="NO2-3")),VLOOKUP(E1050,QCNIC_N,2,),IF(AND(H1050="UREA",OR(I1050="TN",I1050="TDN",I1050="TNO2-3",I1050="NO2-3")),VLOOKUP(E1050,QCUREA_N,2,),IF(H1050="PER",VLOOKUP(I1050,QCPER,MATCH(E1050,QCACTUAL!$J$25:$AA$25,0),),IF(H1050="SPK",VLOOKUP(I1050,QCSPK,3,),IF(AND(H1050="ATP",OR(I1050="TP",I1050="TDP")),VLOOKUP(E1050,QCATP_P,2,),""))))))))</f>
        <v/>
      </c>
      <c r="W1050" s="31" t="str">
        <f t="shared" si="118"/>
        <v>TRUE</v>
      </c>
      <c r="X1050" s="31" t="str">
        <f t="shared" si="119"/>
        <v/>
      </c>
      <c r="Y1050" s="10" t="s">
        <v>1040</v>
      </c>
      <c r="Z1050" s="10" t="s">
        <v>910</v>
      </c>
      <c r="AL1050" s="10" t="str">
        <f t="shared" si="114"/>
        <v>FALSE</v>
      </c>
      <c r="AM1050" s="10" t="str">
        <f t="shared" si="114"/>
        <v>FALSE</v>
      </c>
      <c r="AN1050" s="10" t="str">
        <f t="shared" si="114"/>
        <v>FALSE</v>
      </c>
      <c r="AO1050" s="10" t="str">
        <f t="shared" si="115"/>
        <v>FALSE</v>
      </c>
      <c r="AP1050" s="10" t="str">
        <f t="shared" si="115"/>
        <v>FALSE</v>
      </c>
      <c r="AQ1050" s="10" t="b">
        <f>IF(AND(I1050="TP",S1050&lt;=150),VLOOKUP(AF1050,TPCalibEq150!$AZ$2:$BB$55,3,),IF(AND(I1050="TDP",S1050&lt;=150),VLOOKUP(AF1050,TPCalibEq150!$AZ$2:$BB$55,3,)))</f>
        <v>0</v>
      </c>
      <c r="AR1050" s="10" t="b">
        <f>IF(AND(I1050="TP",S1050&lt;=300),VLOOKUP(AF1050,TPCalibEq300!$AZ$2:$BB$55,3,),IF(AND(I1050="TDP",S1050&lt;=300),VLOOKUP(AF1050,TPCalibEq300!$AZ$2:$BB$55,3,)))</f>
        <v>0</v>
      </c>
      <c r="AS1050" s="10" t="b">
        <f>IF(AND(I1050="TP",S1050&lt;=500),VLOOKUP(AF1050,TPCalibEq500!$AZ$2:$BB$56,3,),IF(AND(I1050="TDP",S1050&lt;=500),VLOOKUP(AF1050,TPCalibEq500!$AZ$2:$BB$56,3,)))</f>
        <v>0</v>
      </c>
      <c r="AT1050" s="10" t="b">
        <f>IF(AND(I1050="TN",S1050&lt;=2800),VLOOKUP(AF1050,TNCalibEq2500!$AZ$2:$BB$56,3,),IF(AND(I1050="TDN",S1050&lt;=2800),VLOOKUP(AF1050,TNCalibEq2500!$AZ$2:$BB$56,3,)))</f>
        <v>0</v>
      </c>
      <c r="AU1050" s="10" t="b">
        <f>IF(I1050="TP",VLOOKUP(AF1050,TPCalibEqFull!$AZ$2:$BB$56,3),IF(I1050="TDP",VLOOKUP(AF1050,TPCalibEqFull!$AZ$2:$BB$56,3),IF(I1050="TDN",VLOOKUP(AF1050,TNCalibEqFull!$AZ$1:$BB$56,3),IF(I1050="TN",VLOOKUP(AF1050,TNCalibEqFull!$AZ$1:$BB$56,3),FALSE))))</f>
        <v>0</v>
      </c>
      <c r="AV1050" s="10" t="str">
        <f t="shared" si="120"/>
        <v>0117 12:27:00-NWT-0-C-1-SW-UKN</v>
      </c>
    </row>
    <row r="1051" spans="1:48" s="10" customFormat="1" x14ac:dyDescent="0.55000000000000004">
      <c r="A1051" s="32">
        <v>44943</v>
      </c>
      <c r="B1051" s="33">
        <v>0.51874999999999993</v>
      </c>
      <c r="C1051" s="10" t="s">
        <v>445</v>
      </c>
      <c r="D1051" s="10">
        <v>0</v>
      </c>
      <c r="E1051" s="10" t="s">
        <v>190</v>
      </c>
      <c r="F1051" s="10">
        <v>1</v>
      </c>
      <c r="G1051" s="10" t="s">
        <v>231</v>
      </c>
      <c r="H1051" s="10" t="s">
        <v>233</v>
      </c>
      <c r="I1051" s="10" t="s">
        <v>256</v>
      </c>
      <c r="J1051" s="10">
        <v>28</v>
      </c>
      <c r="K1051" s="12">
        <v>44950</v>
      </c>
      <c r="L1051" s="33">
        <v>0.49471064814814819</v>
      </c>
      <c r="M1051" s="10">
        <v>1</v>
      </c>
      <c r="N1051" s="10" t="s">
        <v>169</v>
      </c>
      <c r="O1051" s="10">
        <v>3.07</v>
      </c>
      <c r="P1051" s="10">
        <v>0.17599999999999999</v>
      </c>
      <c r="Q1051" s="10">
        <v>469</v>
      </c>
      <c r="R1051" s="10" t="s">
        <v>77</v>
      </c>
      <c r="S1051" s="34">
        <f t="shared" si="116"/>
        <v>469</v>
      </c>
      <c r="T1051" s="10" t="s">
        <v>1058</v>
      </c>
      <c r="U1051" s="34">
        <f t="shared" si="117"/>
        <v>2.3182297154899896</v>
      </c>
      <c r="V1051" s="31" t="str">
        <f>IF(H1051="CHK",VLOOKUP(I1051,QCCHK,3,),IF(H1051="GUP",VLOOKUP(E1051,QCGUP,2,),IF(AND(H1051="ATP",OR(I1051="TN",I1051="TDN",I1051="TNO2-3",I1051="NO2-3")),VLOOKUP(E1051,QCREC_N,2,),IF(AND(H1051="NIC",OR(I1051="TN",I1051="TDN",I1051="TNO2-3",I1051="NO2-3")),VLOOKUP(E1051,QCNIC_N,2,),IF(AND(H1051="UREA",OR(I1051="TN",I1051="TDN",I1051="TNO2-3",I1051="NO2-3")),VLOOKUP(E1051,QCUREA_N,2,),IF(H1051="PER",VLOOKUP(I1051,QCPER,MATCH(E1051,QCACTUAL!$J$25:$AA$25,0),),IF(H1051="SPK",VLOOKUP(I1051,QCSPK,3,),IF(AND(H1051="ATP",OR(I1051="TP",I1051="TDP")),VLOOKUP(E1051,QCATP_P,2,),""))))))))</f>
        <v/>
      </c>
      <c r="W1051" s="31" t="str">
        <f t="shared" si="118"/>
        <v>TRUE</v>
      </c>
      <c r="X1051" s="31" t="str">
        <f t="shared" si="119"/>
        <v>((ABS(rep1-rep2))/((rep1+rep2)/2)*100</v>
      </c>
      <c r="Y1051" s="10" t="s">
        <v>1040</v>
      </c>
      <c r="Z1051" s="10" t="s">
        <v>910</v>
      </c>
      <c r="AL1051" s="10" t="str">
        <f t="shared" si="114"/>
        <v>FALSE</v>
      </c>
      <c r="AM1051" s="10" t="str">
        <f t="shared" si="114"/>
        <v>FALSE</v>
      </c>
      <c r="AN1051" s="10" t="str">
        <f t="shared" si="114"/>
        <v>FALSE</v>
      </c>
      <c r="AO1051" s="10" t="str">
        <f t="shared" si="115"/>
        <v>FALSE</v>
      </c>
      <c r="AP1051" s="10" t="str">
        <f t="shared" si="115"/>
        <v>FALSE</v>
      </c>
      <c r="AQ1051" s="10" t="b">
        <f>IF(AND(I1051="TP",S1051&lt;=150),VLOOKUP(AF1051,TPCalibEq150!$AZ$2:$BB$55,3,),IF(AND(I1051="TDP",S1051&lt;=150),VLOOKUP(AF1051,TPCalibEq150!$AZ$2:$BB$55,3,)))</f>
        <v>0</v>
      </c>
      <c r="AR1051" s="10" t="b">
        <f>IF(AND(I1051="TP",S1051&lt;=300),VLOOKUP(AF1051,TPCalibEq300!$AZ$2:$BB$55,3,),IF(AND(I1051="TDP",S1051&lt;=300),VLOOKUP(AF1051,TPCalibEq300!$AZ$2:$BB$55,3,)))</f>
        <v>0</v>
      </c>
      <c r="AS1051" s="10" t="b">
        <f>IF(AND(I1051="TP",S1051&lt;=500),VLOOKUP(AF1051,TPCalibEq500!$AZ$2:$BB$56,3,),IF(AND(I1051="TDP",S1051&lt;=500),VLOOKUP(AF1051,TPCalibEq500!$AZ$2:$BB$56,3,)))</f>
        <v>0</v>
      </c>
      <c r="AT1051" s="10" t="b">
        <f>IF(AND(I1051="TN",S1051&lt;=2800),VLOOKUP(AF1051,TNCalibEq2500!$AZ$2:$BB$56,3,),IF(AND(I1051="TDN",S1051&lt;=2800),VLOOKUP(AF1051,TNCalibEq2500!$AZ$2:$BB$56,3,)))</f>
        <v>0</v>
      </c>
      <c r="AU1051" s="10" t="b">
        <f>IF(I1051="TP",VLOOKUP(AF1051,TPCalibEqFull!$AZ$2:$BB$56,3),IF(I1051="TDP",VLOOKUP(AF1051,TPCalibEqFull!$AZ$2:$BB$56,3),IF(I1051="TDN",VLOOKUP(AF1051,TNCalibEqFull!$AZ$1:$BB$56,3),IF(I1051="TN",VLOOKUP(AF1051,TNCalibEqFull!$AZ$1:$BB$56,3),FALSE))))</f>
        <v>0</v>
      </c>
      <c r="AV1051" s="10" t="str">
        <f t="shared" si="120"/>
        <v>0117 12:27:00-NWT-0-C-1-SW-DUP</v>
      </c>
    </row>
    <row r="1052" spans="1:48" s="10" customFormat="1" x14ac:dyDescent="0.55000000000000004">
      <c r="A1052" s="32">
        <v>44943</v>
      </c>
      <c r="B1052" s="33">
        <v>0.51874999999999993</v>
      </c>
      <c r="C1052" s="10" t="s">
        <v>445</v>
      </c>
      <c r="D1052" s="10">
        <v>0</v>
      </c>
      <c r="E1052" s="10" t="s">
        <v>190</v>
      </c>
      <c r="F1052" s="10">
        <v>1</v>
      </c>
      <c r="G1052" s="10" t="s">
        <v>231</v>
      </c>
      <c r="H1052" s="10" t="s">
        <v>314</v>
      </c>
      <c r="I1052" s="10" t="s">
        <v>256</v>
      </c>
      <c r="J1052" s="10">
        <v>59</v>
      </c>
      <c r="K1052" s="12">
        <v>44950</v>
      </c>
      <c r="L1052" s="33">
        <v>0.4955092592592592</v>
      </c>
      <c r="M1052" s="10">
        <v>1</v>
      </c>
      <c r="N1052" s="10" t="s">
        <v>169</v>
      </c>
      <c r="O1052" s="10">
        <v>7.71</v>
      </c>
      <c r="P1052" s="10">
        <v>0.441</v>
      </c>
      <c r="Q1052" s="10">
        <v>1180</v>
      </c>
      <c r="R1052" s="10" t="s">
        <v>77</v>
      </c>
      <c r="S1052" s="34">
        <f t="shared" si="116"/>
        <v>1180</v>
      </c>
      <c r="T1052" s="10" t="s">
        <v>1058</v>
      </c>
      <c r="U1052" s="34">
        <f t="shared" si="117"/>
        <v>113.75999999999999</v>
      </c>
      <c r="V1052" s="31">
        <f>IF(H1052="CHK",VLOOKUP(I1052,QCCHK,3,),IF(H1052="GUP",VLOOKUP(E1052,QCGUP,2,),IF(AND(H1052="ATP",OR(I1052="TN",I1052="TDN",I1052="TNO2-3",I1052="NO2-3")),VLOOKUP(E1052,QCREC_N,2,),IF(AND(H1052="NIC",OR(I1052="TN",I1052="TDN",I1052="TNO2-3",I1052="NO2-3")),VLOOKUP(E1052,QCNIC_N,2,),IF(AND(H1052="UREA",OR(I1052="TN",I1052="TDN",I1052="TNO2-3",I1052="NO2-3")),VLOOKUP(E1052,QCUREA_N,2,),IF(H1052="PER",VLOOKUP(I1052,QCPER,MATCH(E1052,QCACTUAL!$J$25:$AA$25,0),),IF(H1052="SPK",VLOOKUP(I1052,QCSPK,3,),IF(AND(H1052="ATP",OR(I1052="TP",I1052="TDP")),VLOOKUP(E1052,QCATP_P,2,),""))))))))</f>
        <v>625</v>
      </c>
      <c r="W1052" s="31" t="str">
        <f t="shared" si="118"/>
        <v>TRUE</v>
      </c>
      <c r="X1052" s="31" t="str">
        <f t="shared" si="119"/>
        <v>([spikedunkn]-[unkn])/[spike]*100</v>
      </c>
      <c r="Y1052" s="10" t="s">
        <v>1040</v>
      </c>
      <c r="Z1052" s="10" t="s">
        <v>910</v>
      </c>
      <c r="AL1052" s="10" t="str">
        <f t="shared" si="114"/>
        <v>FALSE</v>
      </c>
      <c r="AM1052" s="10" t="str">
        <f t="shared" si="114"/>
        <v>FALSE</v>
      </c>
      <c r="AN1052" s="10" t="str">
        <f t="shared" si="114"/>
        <v>FALSE</v>
      </c>
      <c r="AO1052" s="10" t="str">
        <f t="shared" si="115"/>
        <v>FALSE</v>
      </c>
      <c r="AP1052" s="10" t="str">
        <f t="shared" si="115"/>
        <v>FALSE</v>
      </c>
      <c r="AQ1052" s="10" t="b">
        <f>IF(AND(I1052="TP",S1052&lt;=150),VLOOKUP(AF1052,TPCalibEq150!$AZ$2:$BB$55,3,),IF(AND(I1052="TDP",S1052&lt;=150),VLOOKUP(AF1052,TPCalibEq150!$AZ$2:$BB$55,3,)))</f>
        <v>0</v>
      </c>
      <c r="AR1052" s="10" t="b">
        <f>IF(AND(I1052="TP",S1052&lt;=300),VLOOKUP(AF1052,TPCalibEq300!$AZ$2:$BB$55,3,),IF(AND(I1052="TDP",S1052&lt;=300),VLOOKUP(AF1052,TPCalibEq300!$AZ$2:$BB$55,3,)))</f>
        <v>0</v>
      </c>
      <c r="AS1052" s="10" t="b">
        <f>IF(AND(I1052="TP",S1052&lt;=500),VLOOKUP(AF1052,TPCalibEq500!$AZ$2:$BB$56,3,),IF(AND(I1052="TDP",S1052&lt;=500),VLOOKUP(AF1052,TPCalibEq500!$AZ$2:$BB$56,3,)))</f>
        <v>0</v>
      </c>
      <c r="AT1052" s="10" t="b">
        <f>IF(AND(I1052="TN",S1052&lt;=2800),VLOOKUP(AF1052,TNCalibEq2500!$AZ$2:$BB$56,3,),IF(AND(I1052="TDN",S1052&lt;=2800),VLOOKUP(AF1052,TNCalibEq2500!$AZ$2:$BB$56,3,)))</f>
        <v>0</v>
      </c>
      <c r="AU1052" s="10" t="b">
        <f>IF(I1052="TP",VLOOKUP(AF1052,TPCalibEqFull!$AZ$2:$BB$56,3),IF(I1052="TDP",VLOOKUP(AF1052,TPCalibEqFull!$AZ$2:$BB$56,3),IF(I1052="TDN",VLOOKUP(AF1052,TNCalibEqFull!$AZ$1:$BB$56,3),IF(I1052="TN",VLOOKUP(AF1052,TNCalibEqFull!$AZ$1:$BB$56,3),FALSE))))</f>
        <v>0</v>
      </c>
      <c r="AV1052" s="10" t="str">
        <f t="shared" si="120"/>
        <v>0117 12:27:00-NWT-0-C-1-SW-SPK</v>
      </c>
    </row>
    <row r="1053" spans="1:48" s="10" customFormat="1" x14ac:dyDescent="0.55000000000000004">
      <c r="A1053" s="32">
        <v>44950</v>
      </c>
      <c r="B1053" s="33">
        <v>0.375</v>
      </c>
      <c r="C1053" s="10" t="s">
        <v>70</v>
      </c>
      <c r="D1053" s="10" t="s">
        <v>71</v>
      </c>
      <c r="E1053" s="10" t="s">
        <v>901</v>
      </c>
      <c r="F1053" s="10">
        <v>1</v>
      </c>
      <c r="G1053" s="10" t="s">
        <v>73</v>
      </c>
      <c r="H1053" s="10" t="s">
        <v>207</v>
      </c>
      <c r="I1053" s="10" t="s">
        <v>256</v>
      </c>
      <c r="J1053" s="10">
        <v>200</v>
      </c>
      <c r="K1053" s="12">
        <v>44950</v>
      </c>
      <c r="L1053" s="33">
        <v>0.49634259259259261</v>
      </c>
      <c r="M1053" s="10">
        <v>1</v>
      </c>
      <c r="N1053" s="10" t="s">
        <v>169</v>
      </c>
      <c r="O1053" s="10">
        <v>1.98</v>
      </c>
      <c r="P1053" s="10">
        <v>0.11600000000000001</v>
      </c>
      <c r="Q1053" s="10">
        <v>303</v>
      </c>
      <c r="R1053" s="10" t="s">
        <v>77</v>
      </c>
      <c r="S1053" s="34">
        <f t="shared" si="116"/>
        <v>303</v>
      </c>
      <c r="T1053" s="10" t="s">
        <v>1058</v>
      </c>
      <c r="U1053" s="34">
        <f t="shared" si="117"/>
        <v>101</v>
      </c>
      <c r="V1053" s="31">
        <f>IF(H1053="CHK",VLOOKUP(I1053,QCCHK,3,),IF(H1053="GUP",VLOOKUP(E1053,QCGUP,2,),IF(AND(H1053="ATP",OR(I1053="TN",I1053="TDN",I1053="TNO2-3",I1053="NO2-3")),VLOOKUP(E1053,QCREC_N,2,),IF(AND(H1053="NIC",OR(I1053="TN",I1053="TDN",I1053="TNO2-3",I1053="NO2-3")),VLOOKUP(E1053,QCNIC_N,2,),IF(AND(H1053="UREA",OR(I1053="TN",I1053="TDN",I1053="TNO2-3",I1053="NO2-3")),VLOOKUP(E1053,QCUREA_N,2,),IF(H1053="PER",VLOOKUP(I1053,QCPER,MATCH(E1053,QCACTUAL!$J$25:$AA$25,0),),IF(H1053="SPK",VLOOKUP(I1053,QCSPK,3,),IF(AND(H1053="ATP",OR(I1053="TP",I1053="TDP")),VLOOKUP(E1053,QCATP_P,2,),""))))))))</f>
        <v>300</v>
      </c>
      <c r="W1053" s="31" t="str">
        <f t="shared" si="118"/>
        <v>TRUE</v>
      </c>
      <c r="X1053" s="31" t="str">
        <f t="shared" si="119"/>
        <v>[chk]/[actual]*100</v>
      </c>
      <c r="Y1053" s="10" t="s">
        <v>1040</v>
      </c>
      <c r="AL1053" s="10" t="str">
        <f t="shared" si="114"/>
        <v>FALSE</v>
      </c>
      <c r="AM1053" s="10" t="str">
        <f t="shared" si="114"/>
        <v>FALSE</v>
      </c>
      <c r="AN1053" s="10" t="str">
        <f t="shared" si="114"/>
        <v>FALSE</v>
      </c>
      <c r="AO1053" s="10" t="str">
        <f t="shared" si="115"/>
        <v>FALSE</v>
      </c>
      <c r="AP1053" s="10" t="str">
        <f t="shared" si="115"/>
        <v>FALSE</v>
      </c>
      <c r="AQ1053" s="10" t="b">
        <f>IF(AND(I1053="TP",S1053&lt;=150),VLOOKUP(AF1053,TPCalibEq150!$AZ$2:$BB$55,3,),IF(AND(I1053="TDP",S1053&lt;=150),VLOOKUP(AF1053,TPCalibEq150!$AZ$2:$BB$55,3,)))</f>
        <v>0</v>
      </c>
      <c r="AR1053" s="10" t="b">
        <f>IF(AND(I1053="TP",S1053&lt;=300),VLOOKUP(AF1053,TPCalibEq300!$AZ$2:$BB$55,3,),IF(AND(I1053="TDP",S1053&lt;=300),VLOOKUP(AF1053,TPCalibEq300!$AZ$2:$BB$55,3,)))</f>
        <v>0</v>
      </c>
      <c r="AS1053" s="10" t="b">
        <f>IF(AND(I1053="TP",S1053&lt;=500),VLOOKUP(AF1053,TPCalibEq500!$AZ$2:$BB$56,3,),IF(AND(I1053="TDP",S1053&lt;=500),VLOOKUP(AF1053,TPCalibEq500!$AZ$2:$BB$56,3,)))</f>
        <v>0</v>
      </c>
      <c r="AT1053" s="10" t="b">
        <f>IF(AND(I1053="TN",S1053&lt;=2800),VLOOKUP(AF1053,TNCalibEq2500!$AZ$2:$BB$56,3,),IF(AND(I1053="TDN",S1053&lt;=2800),VLOOKUP(AF1053,TNCalibEq2500!$AZ$2:$BB$56,3,)))</f>
        <v>0</v>
      </c>
      <c r="AU1053" s="10" t="b">
        <f>IF(I1053="TP",VLOOKUP(AF1053,TPCalibEqFull!$AZ$2:$BB$56,3),IF(I1053="TDP",VLOOKUP(AF1053,TPCalibEqFull!$AZ$2:$BB$56,3),IF(I1053="TDN",VLOOKUP(AF1053,TNCalibEqFull!$AZ$1:$BB$56,3),IF(I1053="TN",VLOOKUP(AF1053,TNCalibEqFull!$AZ$1:$BB$56,3),FALSE))))</f>
        <v>0</v>
      </c>
      <c r="AV1053" s="10" t="str">
        <f t="shared" si="120"/>
        <v>0124 09:00:00-QAC-STD-D-1-DI-CHK</v>
      </c>
    </row>
    <row r="1054" spans="1:48" s="10" customFormat="1" x14ac:dyDescent="0.55000000000000004">
      <c r="A1054" s="32">
        <v>44937</v>
      </c>
      <c r="B1054" s="33">
        <v>0.24027777777777778</v>
      </c>
      <c r="C1054" s="10" t="s">
        <v>279</v>
      </c>
      <c r="D1054" s="10">
        <v>0</v>
      </c>
      <c r="E1054" s="10" t="s">
        <v>911</v>
      </c>
      <c r="F1054" s="10">
        <v>1</v>
      </c>
      <c r="G1054" s="10" t="s">
        <v>231</v>
      </c>
      <c r="H1054" s="10" t="s">
        <v>322</v>
      </c>
      <c r="I1054" s="10" t="s">
        <v>256</v>
      </c>
      <c r="J1054" s="10">
        <v>29</v>
      </c>
      <c r="K1054" s="12">
        <v>44950</v>
      </c>
      <c r="L1054" s="33">
        <v>0.49714120370370374</v>
      </c>
      <c r="M1054" s="10">
        <v>1</v>
      </c>
      <c r="N1054" s="10" t="s">
        <v>169</v>
      </c>
      <c r="O1054" s="10">
        <v>4.7699999999999996</v>
      </c>
      <c r="P1054" s="10">
        <v>0.27200000000000002</v>
      </c>
      <c r="Q1054" s="10">
        <v>728</v>
      </c>
      <c r="R1054" s="10" t="s">
        <v>77</v>
      </c>
      <c r="S1054" s="34">
        <f t="shared" si="116"/>
        <v>728</v>
      </c>
      <c r="T1054" s="10" t="s">
        <v>1058</v>
      </c>
      <c r="U1054" s="34" t="str">
        <f t="shared" si="117"/>
        <v/>
      </c>
      <c r="V1054" s="31" t="str">
        <f>IF(H1054="CHK",VLOOKUP(I1054,QCCHK,3,),IF(H1054="GUP",VLOOKUP(E1054,QCGUP,2,),IF(AND(H1054="ATP",OR(I1054="TN",I1054="TDN",I1054="TNO2-3",I1054="NO2-3")),VLOOKUP(E1054,QCREC_N,2,),IF(AND(H1054="NIC",OR(I1054="TN",I1054="TDN",I1054="TNO2-3",I1054="NO2-3")),VLOOKUP(E1054,QCNIC_N,2,),IF(AND(H1054="UREA",OR(I1054="TN",I1054="TDN",I1054="TNO2-3",I1054="NO2-3")),VLOOKUP(E1054,QCUREA_N,2,),IF(H1054="PER",VLOOKUP(I1054,QCPER,MATCH(E1054,QCACTUAL!$J$25:$AA$25,0),),IF(H1054="SPK",VLOOKUP(I1054,QCSPK,3,),IF(AND(H1054="ATP",OR(I1054="TP",I1054="TDP")),VLOOKUP(E1054,QCATP_P,2,),""))))))))</f>
        <v/>
      </c>
      <c r="W1054" s="31" t="str">
        <f t="shared" si="118"/>
        <v>TRUE</v>
      </c>
      <c r="X1054" s="31" t="str">
        <f t="shared" si="119"/>
        <v/>
      </c>
      <c r="Y1054" s="10" t="s">
        <v>1040</v>
      </c>
      <c r="Z1054" s="10" t="s">
        <v>910</v>
      </c>
      <c r="AL1054" s="10" t="str">
        <f t="shared" si="114"/>
        <v>FALSE</v>
      </c>
      <c r="AM1054" s="10" t="str">
        <f t="shared" si="114"/>
        <v>FALSE</v>
      </c>
      <c r="AN1054" s="10" t="str">
        <f t="shared" si="114"/>
        <v>FALSE</v>
      </c>
      <c r="AO1054" s="10" t="str">
        <f t="shared" si="115"/>
        <v>FALSE</v>
      </c>
      <c r="AP1054" s="10" t="str">
        <f t="shared" si="115"/>
        <v>FALSE</v>
      </c>
      <c r="AQ1054" s="10" t="b">
        <f>IF(AND(I1054="TP",S1054&lt;=150),VLOOKUP(AF1054,TPCalibEq150!$AZ$2:$BB$55,3,),IF(AND(I1054="TDP",S1054&lt;=150),VLOOKUP(AF1054,TPCalibEq150!$AZ$2:$BB$55,3,)))</f>
        <v>0</v>
      </c>
      <c r="AR1054" s="10" t="b">
        <f>IF(AND(I1054="TP",S1054&lt;=300),VLOOKUP(AF1054,TPCalibEq300!$AZ$2:$BB$55,3,),IF(AND(I1054="TDP",S1054&lt;=300),VLOOKUP(AF1054,TPCalibEq300!$AZ$2:$BB$55,3,)))</f>
        <v>0</v>
      </c>
      <c r="AS1054" s="10" t="b">
        <f>IF(AND(I1054="TP",S1054&lt;=500),VLOOKUP(AF1054,TPCalibEq500!$AZ$2:$BB$56,3,),IF(AND(I1054="TDP",S1054&lt;=500),VLOOKUP(AF1054,TPCalibEq500!$AZ$2:$BB$56,3,)))</f>
        <v>0</v>
      </c>
      <c r="AT1054" s="10" t="b">
        <f>IF(AND(I1054="TN",S1054&lt;=2800),VLOOKUP(AF1054,TNCalibEq2500!$AZ$2:$BB$56,3,),IF(AND(I1054="TDN",S1054&lt;=2800),VLOOKUP(AF1054,TNCalibEq2500!$AZ$2:$BB$56,3,)))</f>
        <v>0</v>
      </c>
      <c r="AU1054" s="10" t="b">
        <f>IF(I1054="TP",VLOOKUP(AF1054,TPCalibEqFull!$AZ$2:$BB$56,3),IF(I1054="TDP",VLOOKUP(AF1054,TPCalibEqFull!$AZ$2:$BB$56,3),IF(I1054="TDN",VLOOKUP(AF1054,TNCalibEqFull!$AZ$1:$BB$56,3),IF(I1054="TN",VLOOKUP(AF1054,TNCalibEqFull!$AZ$1:$BB$56,3),FALSE))))</f>
        <v>0</v>
      </c>
      <c r="AV1054" s="10" t="str">
        <f t="shared" si="120"/>
        <v>0111 05:46:00-EFK-0-FIL-1-SW-UKN</v>
      </c>
    </row>
    <row r="1055" spans="1:48" s="10" customFormat="1" x14ac:dyDescent="0.55000000000000004">
      <c r="A1055" s="32">
        <v>44937</v>
      </c>
      <c r="B1055" s="33">
        <v>0.24513888888888888</v>
      </c>
      <c r="C1055" s="10" t="s">
        <v>333</v>
      </c>
      <c r="D1055" s="10">
        <v>0</v>
      </c>
      <c r="E1055" s="10" t="s">
        <v>911</v>
      </c>
      <c r="F1055" s="10">
        <v>1</v>
      </c>
      <c r="G1055" s="10" t="s">
        <v>231</v>
      </c>
      <c r="H1055" s="10" t="s">
        <v>322</v>
      </c>
      <c r="I1055" s="10" t="s">
        <v>256</v>
      </c>
      <c r="J1055" s="10">
        <v>30</v>
      </c>
      <c r="K1055" s="12">
        <v>44950</v>
      </c>
      <c r="L1055" s="33">
        <v>0.4979513888888889</v>
      </c>
      <c r="M1055" s="10">
        <v>1</v>
      </c>
      <c r="N1055" s="10" t="s">
        <v>169</v>
      </c>
      <c r="O1055" s="10">
        <v>5.46</v>
      </c>
      <c r="P1055" s="10">
        <v>0.31</v>
      </c>
      <c r="Q1055" s="10">
        <v>834</v>
      </c>
      <c r="R1055" s="10" t="s">
        <v>77</v>
      </c>
      <c r="S1055" s="34">
        <f t="shared" si="116"/>
        <v>834</v>
      </c>
      <c r="T1055" s="10" t="s">
        <v>1058</v>
      </c>
      <c r="U1055" s="34" t="str">
        <f t="shared" si="117"/>
        <v/>
      </c>
      <c r="V1055" s="31" t="str">
        <f>IF(H1055="CHK",VLOOKUP(I1055,QCCHK,3,),IF(H1055="GUP",VLOOKUP(E1055,QCGUP,2,),IF(AND(H1055="ATP",OR(I1055="TN",I1055="TDN",I1055="TNO2-3",I1055="NO2-3")),VLOOKUP(E1055,QCREC_N,2,),IF(AND(H1055="NIC",OR(I1055="TN",I1055="TDN",I1055="TNO2-3",I1055="NO2-3")),VLOOKUP(E1055,QCNIC_N,2,),IF(AND(H1055="UREA",OR(I1055="TN",I1055="TDN",I1055="TNO2-3",I1055="NO2-3")),VLOOKUP(E1055,QCUREA_N,2,),IF(H1055="PER",VLOOKUP(I1055,QCPER,MATCH(E1055,QCACTUAL!$J$25:$AA$25,0),),IF(H1055="SPK",VLOOKUP(I1055,QCSPK,3,),IF(AND(H1055="ATP",OR(I1055="TP",I1055="TDP")),VLOOKUP(E1055,QCATP_P,2,),""))))))))</f>
        <v/>
      </c>
      <c r="W1055" s="31" t="str">
        <f t="shared" si="118"/>
        <v>TRUE</v>
      </c>
      <c r="X1055" s="31" t="str">
        <f t="shared" si="119"/>
        <v/>
      </c>
      <c r="Y1055" s="10" t="s">
        <v>1040</v>
      </c>
      <c r="Z1055" s="10" t="s">
        <v>910</v>
      </c>
      <c r="AL1055" s="10" t="str">
        <f t="shared" si="114"/>
        <v>FALSE</v>
      </c>
      <c r="AM1055" s="10" t="str">
        <f t="shared" si="114"/>
        <v>FALSE</v>
      </c>
      <c r="AN1055" s="10" t="str">
        <f t="shared" si="114"/>
        <v>FALSE</v>
      </c>
      <c r="AO1055" s="10" t="str">
        <f t="shared" si="115"/>
        <v>FALSE</v>
      </c>
      <c r="AP1055" s="10" t="str">
        <f t="shared" si="115"/>
        <v>FALSE</v>
      </c>
      <c r="AQ1055" s="10" t="b">
        <f>IF(AND(I1055="TP",S1055&lt;=150),VLOOKUP(AF1055,TPCalibEq150!$AZ$2:$BB$55,3,),IF(AND(I1055="TDP",S1055&lt;=150),VLOOKUP(AF1055,TPCalibEq150!$AZ$2:$BB$55,3,)))</f>
        <v>0</v>
      </c>
      <c r="AR1055" s="10" t="b">
        <f>IF(AND(I1055="TP",S1055&lt;=300),VLOOKUP(AF1055,TPCalibEq300!$AZ$2:$BB$55,3,),IF(AND(I1055="TDP",S1055&lt;=300),VLOOKUP(AF1055,TPCalibEq300!$AZ$2:$BB$55,3,)))</f>
        <v>0</v>
      </c>
      <c r="AS1055" s="10" t="b">
        <f>IF(AND(I1055="TP",S1055&lt;=500),VLOOKUP(AF1055,TPCalibEq500!$AZ$2:$BB$56,3,),IF(AND(I1055="TDP",S1055&lt;=500),VLOOKUP(AF1055,TPCalibEq500!$AZ$2:$BB$56,3,)))</f>
        <v>0</v>
      </c>
      <c r="AT1055" s="10" t="b">
        <f>IF(AND(I1055="TN",S1055&lt;=2800),VLOOKUP(AF1055,TNCalibEq2500!$AZ$2:$BB$56,3,),IF(AND(I1055="TDN",S1055&lt;=2800),VLOOKUP(AF1055,TNCalibEq2500!$AZ$2:$BB$56,3,)))</f>
        <v>0</v>
      </c>
      <c r="AU1055" s="10" t="b">
        <f>IF(I1055="TP",VLOOKUP(AF1055,TPCalibEqFull!$AZ$2:$BB$56,3),IF(I1055="TDP",VLOOKUP(AF1055,TPCalibEqFull!$AZ$2:$BB$56,3),IF(I1055="TDN",VLOOKUP(AF1055,TNCalibEqFull!$AZ$1:$BB$56,3),IF(I1055="TN",VLOOKUP(AF1055,TNCalibEqFull!$AZ$1:$BB$56,3),FALSE))))</f>
        <v>0</v>
      </c>
      <c r="AV1055" s="10" t="str">
        <f t="shared" si="120"/>
        <v>0111 05:53:00-HST-0-FIL-1-SW-UKN</v>
      </c>
    </row>
    <row r="1056" spans="1:48" s="10" customFormat="1" x14ac:dyDescent="0.55000000000000004">
      <c r="A1056" s="32">
        <v>44938</v>
      </c>
      <c r="B1056" s="33">
        <v>0.43958333333333338</v>
      </c>
      <c r="C1056" s="10" t="s">
        <v>279</v>
      </c>
      <c r="D1056" s="10">
        <v>0</v>
      </c>
      <c r="E1056" s="10" t="s">
        <v>911</v>
      </c>
      <c r="F1056" s="10">
        <v>1</v>
      </c>
      <c r="G1056" s="10" t="s">
        <v>231</v>
      </c>
      <c r="H1056" s="10" t="s">
        <v>322</v>
      </c>
      <c r="I1056" s="10" t="s">
        <v>256</v>
      </c>
      <c r="J1056" s="10">
        <v>31</v>
      </c>
      <c r="K1056" s="12">
        <v>44950</v>
      </c>
      <c r="L1056" s="33">
        <v>0.49877314814814816</v>
      </c>
      <c r="M1056" s="10">
        <v>1</v>
      </c>
      <c r="N1056" s="10" t="s">
        <v>169</v>
      </c>
      <c r="O1056" s="10">
        <v>5.28</v>
      </c>
      <c r="P1056" s="10">
        <v>0.30199999999999999</v>
      </c>
      <c r="Q1056" s="10">
        <v>808</v>
      </c>
      <c r="R1056" s="10" t="s">
        <v>77</v>
      </c>
      <c r="S1056" s="34">
        <f t="shared" si="116"/>
        <v>808</v>
      </c>
      <c r="T1056" s="10" t="s">
        <v>1058</v>
      </c>
      <c r="U1056" s="34" t="str">
        <f t="shared" si="117"/>
        <v/>
      </c>
      <c r="V1056" s="31" t="str">
        <f>IF(H1056="CHK",VLOOKUP(I1056,QCCHK,3,),IF(H1056="GUP",VLOOKUP(E1056,QCGUP,2,),IF(AND(H1056="ATP",OR(I1056="TN",I1056="TDN",I1056="TNO2-3",I1056="NO2-3")),VLOOKUP(E1056,QCREC_N,2,),IF(AND(H1056="NIC",OR(I1056="TN",I1056="TDN",I1056="TNO2-3",I1056="NO2-3")),VLOOKUP(E1056,QCNIC_N,2,),IF(AND(H1056="UREA",OR(I1056="TN",I1056="TDN",I1056="TNO2-3",I1056="NO2-3")),VLOOKUP(E1056,QCUREA_N,2,),IF(H1056="PER",VLOOKUP(I1056,QCPER,MATCH(E1056,QCACTUAL!$J$25:$AA$25,0),),IF(H1056="SPK",VLOOKUP(I1056,QCSPK,3,),IF(AND(H1056="ATP",OR(I1056="TP",I1056="TDP")),VLOOKUP(E1056,QCATP_P,2,),""))))))))</f>
        <v/>
      </c>
      <c r="W1056" s="31" t="str">
        <f t="shared" si="118"/>
        <v>TRUE</v>
      </c>
      <c r="X1056" s="31" t="str">
        <f t="shared" si="119"/>
        <v/>
      </c>
      <c r="Y1056" s="10" t="s">
        <v>1040</v>
      </c>
      <c r="Z1056" s="10" t="s">
        <v>910</v>
      </c>
      <c r="AL1056" s="10" t="str">
        <f t="shared" si="114"/>
        <v>FALSE</v>
      </c>
      <c r="AM1056" s="10" t="str">
        <f t="shared" si="114"/>
        <v>FALSE</v>
      </c>
      <c r="AN1056" s="10" t="str">
        <f t="shared" si="114"/>
        <v>FALSE</v>
      </c>
      <c r="AO1056" s="10" t="str">
        <f t="shared" si="115"/>
        <v>FALSE</v>
      </c>
      <c r="AP1056" s="10" t="str">
        <f t="shared" si="115"/>
        <v>FALSE</v>
      </c>
      <c r="AQ1056" s="10" t="b">
        <f>IF(AND(I1056="TP",S1056&lt;=150),VLOOKUP(AF1056,TPCalibEq150!$AZ$2:$BB$55,3,),IF(AND(I1056="TDP",S1056&lt;=150),VLOOKUP(AF1056,TPCalibEq150!$AZ$2:$BB$55,3,)))</f>
        <v>0</v>
      </c>
      <c r="AR1056" s="10" t="b">
        <f>IF(AND(I1056="TP",S1056&lt;=300),VLOOKUP(AF1056,TPCalibEq300!$AZ$2:$BB$55,3,),IF(AND(I1056="TDP",S1056&lt;=300),VLOOKUP(AF1056,TPCalibEq300!$AZ$2:$BB$55,3,)))</f>
        <v>0</v>
      </c>
      <c r="AS1056" s="10" t="b">
        <f>IF(AND(I1056="TP",S1056&lt;=500),VLOOKUP(AF1056,TPCalibEq500!$AZ$2:$BB$56,3,),IF(AND(I1056="TDP",S1056&lt;=500),VLOOKUP(AF1056,TPCalibEq500!$AZ$2:$BB$56,3,)))</f>
        <v>0</v>
      </c>
      <c r="AT1056" s="10" t="b">
        <f>IF(AND(I1056="TN",S1056&lt;=2800),VLOOKUP(AF1056,TNCalibEq2500!$AZ$2:$BB$56,3,),IF(AND(I1056="TDN",S1056&lt;=2800),VLOOKUP(AF1056,TNCalibEq2500!$AZ$2:$BB$56,3,)))</f>
        <v>0</v>
      </c>
      <c r="AU1056" s="10" t="b">
        <f>IF(I1056="TP",VLOOKUP(AF1056,TPCalibEqFull!$AZ$2:$BB$56,3),IF(I1056="TDP",VLOOKUP(AF1056,TPCalibEqFull!$AZ$2:$BB$56,3),IF(I1056="TDN",VLOOKUP(AF1056,TNCalibEqFull!$AZ$1:$BB$56,3),IF(I1056="TN",VLOOKUP(AF1056,TNCalibEqFull!$AZ$1:$BB$56,3),FALSE))))</f>
        <v>0</v>
      </c>
      <c r="AV1056" s="10" t="str">
        <f t="shared" si="120"/>
        <v>0112 10:33:00-EFK-0-FIL-1-SW-UKN</v>
      </c>
    </row>
    <row r="1057" spans="1:48" s="10" customFormat="1" x14ac:dyDescent="0.55000000000000004">
      <c r="A1057" s="32">
        <v>44938</v>
      </c>
      <c r="B1057" s="33">
        <v>0.4548611111111111</v>
      </c>
      <c r="C1057" s="10" t="s">
        <v>333</v>
      </c>
      <c r="D1057" s="10">
        <v>0</v>
      </c>
      <c r="E1057" s="10" t="s">
        <v>911</v>
      </c>
      <c r="F1057" s="10">
        <v>1</v>
      </c>
      <c r="G1057" s="10" t="s">
        <v>231</v>
      </c>
      <c r="H1057" s="10" t="s">
        <v>322</v>
      </c>
      <c r="I1057" s="10" t="s">
        <v>256</v>
      </c>
      <c r="J1057" s="10">
        <v>32</v>
      </c>
      <c r="K1057" s="12">
        <v>44950</v>
      </c>
      <c r="L1057" s="33">
        <v>0.49959490740740736</v>
      </c>
      <c r="M1057" s="10">
        <v>1</v>
      </c>
      <c r="N1057" s="10" t="s">
        <v>169</v>
      </c>
      <c r="O1057" s="10">
        <v>3.45</v>
      </c>
      <c r="P1057" s="10">
        <v>0.19700000000000001</v>
      </c>
      <c r="Q1057" s="10">
        <v>527</v>
      </c>
      <c r="R1057" s="10" t="s">
        <v>77</v>
      </c>
      <c r="S1057" s="34">
        <f t="shared" si="116"/>
        <v>527</v>
      </c>
      <c r="T1057" s="10" t="s">
        <v>1058</v>
      </c>
      <c r="U1057" s="34" t="str">
        <f t="shared" si="117"/>
        <v/>
      </c>
      <c r="V1057" s="31" t="str">
        <f>IF(H1057="CHK",VLOOKUP(I1057,QCCHK,3,),IF(H1057="GUP",VLOOKUP(E1057,QCGUP,2,),IF(AND(H1057="ATP",OR(I1057="TN",I1057="TDN",I1057="TNO2-3",I1057="NO2-3")),VLOOKUP(E1057,QCREC_N,2,),IF(AND(H1057="NIC",OR(I1057="TN",I1057="TDN",I1057="TNO2-3",I1057="NO2-3")),VLOOKUP(E1057,QCNIC_N,2,),IF(AND(H1057="UREA",OR(I1057="TN",I1057="TDN",I1057="TNO2-3",I1057="NO2-3")),VLOOKUP(E1057,QCUREA_N,2,),IF(H1057="PER",VLOOKUP(I1057,QCPER,MATCH(E1057,QCACTUAL!$J$25:$AA$25,0),),IF(H1057="SPK",VLOOKUP(I1057,QCSPK,3,),IF(AND(H1057="ATP",OR(I1057="TP",I1057="TDP")),VLOOKUP(E1057,QCATP_P,2,),""))))))))</f>
        <v/>
      </c>
      <c r="W1057" s="31" t="str">
        <f t="shared" si="118"/>
        <v>TRUE</v>
      </c>
      <c r="X1057" s="31" t="str">
        <f t="shared" si="119"/>
        <v/>
      </c>
      <c r="Y1057" s="10" t="s">
        <v>1040</v>
      </c>
      <c r="Z1057" s="10" t="s">
        <v>910</v>
      </c>
      <c r="AL1057" s="10" t="str">
        <f t="shared" si="114"/>
        <v>FALSE</v>
      </c>
      <c r="AM1057" s="10" t="str">
        <f t="shared" si="114"/>
        <v>FALSE</v>
      </c>
      <c r="AN1057" s="10" t="str">
        <f t="shared" si="114"/>
        <v>FALSE</v>
      </c>
      <c r="AO1057" s="10" t="str">
        <f t="shared" si="115"/>
        <v>FALSE</v>
      </c>
      <c r="AP1057" s="10" t="str">
        <f t="shared" si="115"/>
        <v>FALSE</v>
      </c>
      <c r="AQ1057" s="10" t="b">
        <f>IF(AND(I1057="TP",S1057&lt;=150),VLOOKUP(AF1057,TPCalibEq150!$AZ$2:$BB$55,3,),IF(AND(I1057="TDP",S1057&lt;=150),VLOOKUP(AF1057,TPCalibEq150!$AZ$2:$BB$55,3,)))</f>
        <v>0</v>
      </c>
      <c r="AR1057" s="10" t="b">
        <f>IF(AND(I1057="TP",S1057&lt;=300),VLOOKUP(AF1057,TPCalibEq300!$AZ$2:$BB$55,3,),IF(AND(I1057="TDP",S1057&lt;=300),VLOOKUP(AF1057,TPCalibEq300!$AZ$2:$BB$55,3,)))</f>
        <v>0</v>
      </c>
      <c r="AS1057" s="10" t="b">
        <f>IF(AND(I1057="TP",S1057&lt;=500),VLOOKUP(AF1057,TPCalibEq500!$AZ$2:$BB$56,3,),IF(AND(I1057="TDP",S1057&lt;=500),VLOOKUP(AF1057,TPCalibEq500!$AZ$2:$BB$56,3,)))</f>
        <v>0</v>
      </c>
      <c r="AT1057" s="10" t="b">
        <f>IF(AND(I1057="TN",S1057&lt;=2800),VLOOKUP(AF1057,TNCalibEq2500!$AZ$2:$BB$56,3,),IF(AND(I1057="TDN",S1057&lt;=2800),VLOOKUP(AF1057,TNCalibEq2500!$AZ$2:$BB$56,3,)))</f>
        <v>0</v>
      </c>
      <c r="AU1057" s="10" t="b">
        <f>IF(I1057="TP",VLOOKUP(AF1057,TPCalibEqFull!$AZ$2:$BB$56,3),IF(I1057="TDP",VLOOKUP(AF1057,TPCalibEqFull!$AZ$2:$BB$56,3),IF(I1057="TDN",VLOOKUP(AF1057,TNCalibEqFull!$AZ$1:$BB$56,3),IF(I1057="TN",VLOOKUP(AF1057,TNCalibEqFull!$AZ$1:$BB$56,3),FALSE))))</f>
        <v>0</v>
      </c>
      <c r="AV1057" s="10" t="str">
        <f t="shared" si="120"/>
        <v>0112 10:55:00-HST-0-FIL-1-SW-UKN</v>
      </c>
    </row>
    <row r="1058" spans="1:48" s="10" customFormat="1" x14ac:dyDescent="0.55000000000000004">
      <c r="A1058" s="32">
        <v>44939</v>
      </c>
      <c r="B1058" s="33">
        <v>0.4916666666666667</v>
      </c>
      <c r="C1058" s="10" t="s">
        <v>279</v>
      </c>
      <c r="D1058" s="10">
        <v>0</v>
      </c>
      <c r="E1058" s="10" t="s">
        <v>911</v>
      </c>
      <c r="F1058" s="10">
        <v>1</v>
      </c>
      <c r="G1058" s="10" t="s">
        <v>231</v>
      </c>
      <c r="H1058" s="10" t="s">
        <v>322</v>
      </c>
      <c r="I1058" s="10" t="s">
        <v>256</v>
      </c>
      <c r="J1058" s="10">
        <v>33</v>
      </c>
      <c r="K1058" s="12">
        <v>44950</v>
      </c>
      <c r="L1058" s="33">
        <v>0.50042824074074077</v>
      </c>
      <c r="M1058" s="10">
        <v>1</v>
      </c>
      <c r="N1058" s="10" t="s">
        <v>169</v>
      </c>
      <c r="O1058" s="10">
        <v>3.17</v>
      </c>
      <c r="P1058" s="10">
        <v>0.18099999999999999</v>
      </c>
      <c r="Q1058" s="10">
        <v>485</v>
      </c>
      <c r="R1058" s="10" t="s">
        <v>77</v>
      </c>
      <c r="S1058" s="34">
        <f t="shared" si="116"/>
        <v>485</v>
      </c>
      <c r="T1058" s="10" t="s">
        <v>1058</v>
      </c>
      <c r="U1058" s="34" t="str">
        <f t="shared" si="117"/>
        <v/>
      </c>
      <c r="V1058" s="31" t="str">
        <f>IF(H1058="CHK",VLOOKUP(I1058,QCCHK,3,),IF(H1058="GUP",VLOOKUP(E1058,QCGUP,2,),IF(AND(H1058="ATP",OR(I1058="TN",I1058="TDN",I1058="TNO2-3",I1058="NO2-3")),VLOOKUP(E1058,QCREC_N,2,),IF(AND(H1058="NIC",OR(I1058="TN",I1058="TDN",I1058="TNO2-3",I1058="NO2-3")),VLOOKUP(E1058,QCNIC_N,2,),IF(AND(H1058="UREA",OR(I1058="TN",I1058="TDN",I1058="TNO2-3",I1058="NO2-3")),VLOOKUP(E1058,QCUREA_N,2,),IF(H1058="PER",VLOOKUP(I1058,QCPER,MATCH(E1058,QCACTUAL!$J$25:$AA$25,0),),IF(H1058="SPK",VLOOKUP(I1058,QCSPK,3,),IF(AND(H1058="ATP",OR(I1058="TP",I1058="TDP")),VLOOKUP(E1058,QCATP_P,2,),""))))))))</f>
        <v/>
      </c>
      <c r="W1058" s="31" t="str">
        <f t="shared" si="118"/>
        <v>TRUE</v>
      </c>
      <c r="X1058" s="31" t="str">
        <f t="shared" si="119"/>
        <v/>
      </c>
      <c r="Y1058" s="10" t="s">
        <v>1040</v>
      </c>
      <c r="Z1058" s="10" t="s">
        <v>910</v>
      </c>
      <c r="AL1058" s="10" t="str">
        <f t="shared" si="114"/>
        <v>FALSE</v>
      </c>
      <c r="AM1058" s="10" t="str">
        <f t="shared" si="114"/>
        <v>FALSE</v>
      </c>
      <c r="AN1058" s="10" t="str">
        <f t="shared" si="114"/>
        <v>FALSE</v>
      </c>
      <c r="AO1058" s="10" t="str">
        <f t="shared" si="115"/>
        <v>FALSE</v>
      </c>
      <c r="AP1058" s="10" t="str">
        <f t="shared" si="115"/>
        <v>FALSE</v>
      </c>
      <c r="AQ1058" s="10" t="b">
        <f>IF(AND(I1058="TP",S1058&lt;=150),VLOOKUP(AF1058,TPCalibEq150!$AZ$2:$BB$55,3,),IF(AND(I1058="TDP",S1058&lt;=150),VLOOKUP(AF1058,TPCalibEq150!$AZ$2:$BB$55,3,)))</f>
        <v>0</v>
      </c>
      <c r="AR1058" s="10" t="b">
        <f>IF(AND(I1058="TP",S1058&lt;=300),VLOOKUP(AF1058,TPCalibEq300!$AZ$2:$BB$55,3,),IF(AND(I1058="TDP",S1058&lt;=300),VLOOKUP(AF1058,TPCalibEq300!$AZ$2:$BB$55,3,)))</f>
        <v>0</v>
      </c>
      <c r="AS1058" s="10" t="b">
        <f>IF(AND(I1058="TP",S1058&lt;=500),VLOOKUP(AF1058,TPCalibEq500!$AZ$2:$BB$56,3,),IF(AND(I1058="TDP",S1058&lt;=500),VLOOKUP(AF1058,TPCalibEq500!$AZ$2:$BB$56,3,)))</f>
        <v>0</v>
      </c>
      <c r="AT1058" s="10" t="b">
        <f>IF(AND(I1058="TN",S1058&lt;=2800),VLOOKUP(AF1058,TNCalibEq2500!$AZ$2:$BB$56,3,),IF(AND(I1058="TDN",S1058&lt;=2800),VLOOKUP(AF1058,TNCalibEq2500!$AZ$2:$BB$56,3,)))</f>
        <v>0</v>
      </c>
      <c r="AU1058" s="10" t="b">
        <f>IF(I1058="TP",VLOOKUP(AF1058,TPCalibEqFull!$AZ$2:$BB$56,3),IF(I1058="TDP",VLOOKUP(AF1058,TPCalibEqFull!$AZ$2:$BB$56,3),IF(I1058="TDN",VLOOKUP(AF1058,TNCalibEqFull!$AZ$1:$BB$56,3),IF(I1058="TN",VLOOKUP(AF1058,TNCalibEqFull!$AZ$1:$BB$56,3),FALSE))))</f>
        <v>0</v>
      </c>
      <c r="AV1058" s="10" t="str">
        <f t="shared" si="120"/>
        <v>0113 11:48:00-EFK-0-FIL-1-SW-UKN</v>
      </c>
    </row>
    <row r="1059" spans="1:48" s="10" customFormat="1" x14ac:dyDescent="0.55000000000000004">
      <c r="A1059" s="32">
        <v>44939</v>
      </c>
      <c r="B1059" s="33">
        <v>0.49444444444444446</v>
      </c>
      <c r="C1059" s="10" t="s">
        <v>333</v>
      </c>
      <c r="D1059" s="10">
        <v>0</v>
      </c>
      <c r="E1059" s="10" t="s">
        <v>911</v>
      </c>
      <c r="F1059" s="10">
        <v>1</v>
      </c>
      <c r="G1059" s="10" t="s">
        <v>231</v>
      </c>
      <c r="H1059" s="10" t="s">
        <v>322</v>
      </c>
      <c r="I1059" s="10" t="s">
        <v>256</v>
      </c>
      <c r="J1059" s="10">
        <v>34</v>
      </c>
      <c r="K1059" s="12">
        <v>44950</v>
      </c>
      <c r="L1059" s="33">
        <v>0.50124999999999997</v>
      </c>
      <c r="M1059" s="10">
        <v>1</v>
      </c>
      <c r="N1059" s="10" t="s">
        <v>169</v>
      </c>
      <c r="O1059" s="10">
        <v>8.69</v>
      </c>
      <c r="P1059" s="10">
        <v>0.49399999999999999</v>
      </c>
      <c r="Q1059" s="10">
        <v>1330</v>
      </c>
      <c r="R1059" s="10" t="s">
        <v>77</v>
      </c>
      <c r="S1059" s="34">
        <f t="shared" si="116"/>
        <v>1330</v>
      </c>
      <c r="T1059" s="10" t="s">
        <v>1058</v>
      </c>
      <c r="U1059" s="34" t="str">
        <f t="shared" si="117"/>
        <v/>
      </c>
      <c r="V1059" s="31" t="str">
        <f>IF(H1059="CHK",VLOOKUP(I1059,QCCHK,3,),IF(H1059="GUP",VLOOKUP(E1059,QCGUP,2,),IF(AND(H1059="ATP",OR(I1059="TN",I1059="TDN",I1059="TNO2-3",I1059="NO2-3")),VLOOKUP(E1059,QCREC_N,2,),IF(AND(H1059="NIC",OR(I1059="TN",I1059="TDN",I1059="TNO2-3",I1059="NO2-3")),VLOOKUP(E1059,QCNIC_N,2,),IF(AND(H1059="UREA",OR(I1059="TN",I1059="TDN",I1059="TNO2-3",I1059="NO2-3")),VLOOKUP(E1059,QCUREA_N,2,),IF(H1059="PER",VLOOKUP(I1059,QCPER,MATCH(E1059,QCACTUAL!$J$25:$AA$25,0),),IF(H1059="SPK",VLOOKUP(I1059,QCSPK,3,),IF(AND(H1059="ATP",OR(I1059="TP",I1059="TDP")),VLOOKUP(E1059,QCATP_P,2,),""))))))))</f>
        <v/>
      </c>
      <c r="W1059" s="31" t="str">
        <f t="shared" si="118"/>
        <v>TRUE</v>
      </c>
      <c r="X1059" s="31" t="str">
        <f t="shared" si="119"/>
        <v/>
      </c>
      <c r="Y1059" s="10" t="s">
        <v>1040</v>
      </c>
      <c r="Z1059" s="10" t="s">
        <v>910</v>
      </c>
      <c r="AL1059" s="10" t="str">
        <f t="shared" si="114"/>
        <v>FALSE</v>
      </c>
      <c r="AM1059" s="10" t="str">
        <f t="shared" si="114"/>
        <v>FALSE</v>
      </c>
      <c r="AN1059" s="10" t="str">
        <f t="shared" si="114"/>
        <v>FALSE</v>
      </c>
      <c r="AO1059" s="10" t="str">
        <f t="shared" si="115"/>
        <v>FALSE</v>
      </c>
      <c r="AP1059" s="10" t="str">
        <f t="shared" si="115"/>
        <v>FALSE</v>
      </c>
      <c r="AQ1059" s="10" t="b">
        <f>IF(AND(I1059="TP",S1059&lt;=150),VLOOKUP(AF1059,TPCalibEq150!$AZ$2:$BB$55,3,),IF(AND(I1059="TDP",S1059&lt;=150),VLOOKUP(AF1059,TPCalibEq150!$AZ$2:$BB$55,3,)))</f>
        <v>0</v>
      </c>
      <c r="AR1059" s="10" t="b">
        <f>IF(AND(I1059="TP",S1059&lt;=300),VLOOKUP(AF1059,TPCalibEq300!$AZ$2:$BB$55,3,),IF(AND(I1059="TDP",S1059&lt;=300),VLOOKUP(AF1059,TPCalibEq300!$AZ$2:$BB$55,3,)))</f>
        <v>0</v>
      </c>
      <c r="AS1059" s="10" t="b">
        <f>IF(AND(I1059="TP",S1059&lt;=500),VLOOKUP(AF1059,TPCalibEq500!$AZ$2:$BB$56,3,),IF(AND(I1059="TDP",S1059&lt;=500),VLOOKUP(AF1059,TPCalibEq500!$AZ$2:$BB$56,3,)))</f>
        <v>0</v>
      </c>
      <c r="AT1059" s="10" t="b">
        <f>IF(AND(I1059="TN",S1059&lt;=2800),VLOOKUP(AF1059,TNCalibEq2500!$AZ$2:$BB$56,3,),IF(AND(I1059="TDN",S1059&lt;=2800),VLOOKUP(AF1059,TNCalibEq2500!$AZ$2:$BB$56,3,)))</f>
        <v>0</v>
      </c>
      <c r="AU1059" s="10" t="b">
        <f>IF(I1059="TP",VLOOKUP(AF1059,TPCalibEqFull!$AZ$2:$BB$56,3),IF(I1059="TDP",VLOOKUP(AF1059,TPCalibEqFull!$AZ$2:$BB$56,3),IF(I1059="TDN",VLOOKUP(AF1059,TNCalibEqFull!$AZ$1:$BB$56,3),IF(I1059="TN",VLOOKUP(AF1059,TNCalibEqFull!$AZ$1:$BB$56,3),FALSE))))</f>
        <v>0</v>
      </c>
      <c r="AV1059" s="10" t="str">
        <f t="shared" si="120"/>
        <v>0113 11:52:00-HST-0-FIL-1-SW-UKN</v>
      </c>
    </row>
    <row r="1060" spans="1:48" s="10" customFormat="1" x14ac:dyDescent="0.55000000000000004">
      <c r="A1060" s="32">
        <v>44943</v>
      </c>
      <c r="B1060" s="33">
        <v>0.32291666666666669</v>
      </c>
      <c r="C1060" s="10" t="s">
        <v>279</v>
      </c>
      <c r="D1060" s="10">
        <v>0</v>
      </c>
      <c r="E1060" s="10" t="s">
        <v>911</v>
      </c>
      <c r="F1060" s="10">
        <v>1</v>
      </c>
      <c r="G1060" s="10" t="s">
        <v>231</v>
      </c>
      <c r="H1060" s="10" t="s">
        <v>322</v>
      </c>
      <c r="I1060" s="10" t="s">
        <v>256</v>
      </c>
      <c r="J1060" s="10">
        <v>35</v>
      </c>
      <c r="K1060" s="12">
        <v>44950</v>
      </c>
      <c r="L1060" s="33">
        <v>0.50206018518518525</v>
      </c>
      <c r="M1060" s="10">
        <v>1</v>
      </c>
      <c r="N1060" s="10" t="s">
        <v>169</v>
      </c>
      <c r="O1060" s="10">
        <v>7.92</v>
      </c>
      <c r="P1060" s="10">
        <v>0.45300000000000001</v>
      </c>
      <c r="Q1060" s="10">
        <v>1210</v>
      </c>
      <c r="R1060" s="10" t="s">
        <v>77</v>
      </c>
      <c r="S1060" s="34">
        <f t="shared" si="116"/>
        <v>1210</v>
      </c>
      <c r="T1060" s="10" t="s">
        <v>1058</v>
      </c>
      <c r="U1060" s="34" t="str">
        <f t="shared" si="117"/>
        <v/>
      </c>
      <c r="V1060" s="31" t="str">
        <f>IF(H1060="CHK",VLOOKUP(I1060,QCCHK,3,),IF(H1060="GUP",VLOOKUP(E1060,QCGUP,2,),IF(AND(H1060="ATP",OR(I1060="TN",I1060="TDN",I1060="TNO2-3",I1060="NO2-3")),VLOOKUP(E1060,QCREC_N,2,),IF(AND(H1060="NIC",OR(I1060="TN",I1060="TDN",I1060="TNO2-3",I1060="NO2-3")),VLOOKUP(E1060,QCNIC_N,2,),IF(AND(H1060="UREA",OR(I1060="TN",I1060="TDN",I1060="TNO2-3",I1060="NO2-3")),VLOOKUP(E1060,QCUREA_N,2,),IF(H1060="PER",VLOOKUP(I1060,QCPER,MATCH(E1060,QCACTUAL!$J$25:$AA$25,0),),IF(H1060="SPK",VLOOKUP(I1060,QCSPK,3,),IF(AND(H1060="ATP",OR(I1060="TP",I1060="TDP")),VLOOKUP(E1060,QCATP_P,2,),""))))))))</f>
        <v/>
      </c>
      <c r="W1060" s="31" t="str">
        <f t="shared" si="118"/>
        <v>TRUE</v>
      </c>
      <c r="X1060" s="31" t="str">
        <f t="shared" si="119"/>
        <v/>
      </c>
      <c r="Y1060" s="10" t="s">
        <v>1040</v>
      </c>
      <c r="Z1060" s="10" t="s">
        <v>910</v>
      </c>
      <c r="AL1060" s="10" t="str">
        <f t="shared" si="114"/>
        <v>FALSE</v>
      </c>
      <c r="AM1060" s="10" t="str">
        <f t="shared" si="114"/>
        <v>FALSE</v>
      </c>
      <c r="AN1060" s="10" t="str">
        <f t="shared" si="114"/>
        <v>FALSE</v>
      </c>
      <c r="AO1060" s="10" t="str">
        <f t="shared" si="115"/>
        <v>FALSE</v>
      </c>
      <c r="AP1060" s="10" t="str">
        <f t="shared" si="115"/>
        <v>FALSE</v>
      </c>
      <c r="AQ1060" s="10" t="b">
        <f>IF(AND(I1060="TP",S1060&lt;=150),VLOOKUP(AF1060,TPCalibEq150!$AZ$2:$BB$55,3,),IF(AND(I1060="TDP",S1060&lt;=150),VLOOKUP(AF1060,TPCalibEq150!$AZ$2:$BB$55,3,)))</f>
        <v>0</v>
      </c>
      <c r="AR1060" s="10" t="b">
        <f>IF(AND(I1060="TP",S1060&lt;=300),VLOOKUP(AF1060,TPCalibEq300!$AZ$2:$BB$55,3,),IF(AND(I1060="TDP",S1060&lt;=300),VLOOKUP(AF1060,TPCalibEq300!$AZ$2:$BB$55,3,)))</f>
        <v>0</v>
      </c>
      <c r="AS1060" s="10" t="b">
        <f>IF(AND(I1060="TP",S1060&lt;=500),VLOOKUP(AF1060,TPCalibEq500!$AZ$2:$BB$56,3,),IF(AND(I1060="TDP",S1060&lt;=500),VLOOKUP(AF1060,TPCalibEq500!$AZ$2:$BB$56,3,)))</f>
        <v>0</v>
      </c>
      <c r="AT1060" s="10" t="b">
        <f>IF(AND(I1060="TN",S1060&lt;=2800),VLOOKUP(AF1060,TNCalibEq2500!$AZ$2:$BB$56,3,),IF(AND(I1060="TDN",S1060&lt;=2800),VLOOKUP(AF1060,TNCalibEq2500!$AZ$2:$BB$56,3,)))</f>
        <v>0</v>
      </c>
      <c r="AU1060" s="10" t="b">
        <f>IF(I1060="TP",VLOOKUP(AF1060,TPCalibEqFull!$AZ$2:$BB$56,3),IF(I1060="TDP",VLOOKUP(AF1060,TPCalibEqFull!$AZ$2:$BB$56,3),IF(I1060="TDN",VLOOKUP(AF1060,TNCalibEqFull!$AZ$1:$BB$56,3),IF(I1060="TN",VLOOKUP(AF1060,TNCalibEqFull!$AZ$1:$BB$56,3),FALSE))))</f>
        <v>0</v>
      </c>
      <c r="AV1060" s="10" t="str">
        <f t="shared" si="120"/>
        <v>0117 07:45:00-EFK-0-FIL-1-SW-UKN</v>
      </c>
    </row>
    <row r="1061" spans="1:48" s="10" customFormat="1" x14ac:dyDescent="0.55000000000000004">
      <c r="A1061" s="32">
        <v>44943</v>
      </c>
      <c r="B1061" s="33">
        <v>0.32083333333333336</v>
      </c>
      <c r="C1061" s="10" t="s">
        <v>333</v>
      </c>
      <c r="D1061" s="10">
        <v>0</v>
      </c>
      <c r="E1061" s="10" t="s">
        <v>911</v>
      </c>
      <c r="F1061" s="10">
        <v>1</v>
      </c>
      <c r="G1061" s="10" t="s">
        <v>231</v>
      </c>
      <c r="H1061" s="10" t="s">
        <v>322</v>
      </c>
      <c r="I1061" s="10" t="s">
        <v>256</v>
      </c>
      <c r="J1061" s="10">
        <v>36</v>
      </c>
      <c r="K1061" s="12">
        <v>44950</v>
      </c>
      <c r="L1061" s="33">
        <v>0.50288194444444445</v>
      </c>
      <c r="M1061" s="10">
        <v>1</v>
      </c>
      <c r="N1061" s="10" t="s">
        <v>169</v>
      </c>
      <c r="O1061" s="10">
        <v>8.81</v>
      </c>
      <c r="P1061" s="10">
        <v>0.502</v>
      </c>
      <c r="Q1061" s="10">
        <v>1350</v>
      </c>
      <c r="R1061" s="10" t="s">
        <v>77</v>
      </c>
      <c r="S1061" s="34">
        <f t="shared" si="116"/>
        <v>1350</v>
      </c>
      <c r="T1061" s="10" t="s">
        <v>1058</v>
      </c>
      <c r="U1061" s="34" t="str">
        <f t="shared" si="117"/>
        <v/>
      </c>
      <c r="V1061" s="31" t="str">
        <f>IF(H1061="CHK",VLOOKUP(I1061,QCCHK,3,),IF(H1061="GUP",VLOOKUP(E1061,QCGUP,2,),IF(AND(H1061="ATP",OR(I1061="TN",I1061="TDN",I1061="TNO2-3",I1061="NO2-3")),VLOOKUP(E1061,QCREC_N,2,),IF(AND(H1061="NIC",OR(I1061="TN",I1061="TDN",I1061="TNO2-3",I1061="NO2-3")),VLOOKUP(E1061,QCNIC_N,2,),IF(AND(H1061="UREA",OR(I1061="TN",I1061="TDN",I1061="TNO2-3",I1061="NO2-3")),VLOOKUP(E1061,QCUREA_N,2,),IF(H1061="PER",VLOOKUP(I1061,QCPER,MATCH(E1061,QCACTUAL!$J$25:$AA$25,0),),IF(H1061="SPK",VLOOKUP(I1061,QCSPK,3,),IF(AND(H1061="ATP",OR(I1061="TP",I1061="TDP")),VLOOKUP(E1061,QCATP_P,2,),""))))))))</f>
        <v/>
      </c>
      <c r="W1061" s="31" t="str">
        <f t="shared" si="118"/>
        <v>TRUE</v>
      </c>
      <c r="X1061" s="31" t="str">
        <f t="shared" si="119"/>
        <v/>
      </c>
      <c r="Y1061" s="10" t="s">
        <v>1040</v>
      </c>
      <c r="Z1061" s="10" t="s">
        <v>910</v>
      </c>
      <c r="AL1061" s="10" t="str">
        <f t="shared" si="114"/>
        <v>FALSE</v>
      </c>
      <c r="AM1061" s="10" t="str">
        <f t="shared" si="114"/>
        <v>FALSE</v>
      </c>
      <c r="AN1061" s="10" t="str">
        <f t="shared" si="114"/>
        <v>FALSE</v>
      </c>
      <c r="AO1061" s="10" t="str">
        <f t="shared" si="115"/>
        <v>FALSE</v>
      </c>
      <c r="AP1061" s="10" t="str">
        <f t="shared" si="115"/>
        <v>FALSE</v>
      </c>
      <c r="AQ1061" s="10" t="b">
        <f>IF(AND(I1061="TP",S1061&lt;=150),VLOOKUP(AF1061,TPCalibEq150!$AZ$2:$BB$55,3,),IF(AND(I1061="TDP",S1061&lt;=150),VLOOKUP(AF1061,TPCalibEq150!$AZ$2:$BB$55,3,)))</f>
        <v>0</v>
      </c>
      <c r="AR1061" s="10" t="b">
        <f>IF(AND(I1061="TP",S1061&lt;=300),VLOOKUP(AF1061,TPCalibEq300!$AZ$2:$BB$55,3,),IF(AND(I1061="TDP",S1061&lt;=300),VLOOKUP(AF1061,TPCalibEq300!$AZ$2:$BB$55,3,)))</f>
        <v>0</v>
      </c>
      <c r="AS1061" s="10" t="b">
        <f>IF(AND(I1061="TP",S1061&lt;=500),VLOOKUP(AF1061,TPCalibEq500!$AZ$2:$BB$56,3,),IF(AND(I1061="TDP",S1061&lt;=500),VLOOKUP(AF1061,TPCalibEq500!$AZ$2:$BB$56,3,)))</f>
        <v>0</v>
      </c>
      <c r="AT1061" s="10" t="b">
        <f>IF(AND(I1061="TN",S1061&lt;=2800),VLOOKUP(AF1061,TNCalibEq2500!$AZ$2:$BB$56,3,),IF(AND(I1061="TDN",S1061&lt;=2800),VLOOKUP(AF1061,TNCalibEq2500!$AZ$2:$BB$56,3,)))</f>
        <v>0</v>
      </c>
      <c r="AU1061" s="10" t="b">
        <f>IF(I1061="TP",VLOOKUP(AF1061,TPCalibEqFull!$AZ$2:$BB$56,3),IF(I1061="TDP",VLOOKUP(AF1061,TPCalibEqFull!$AZ$2:$BB$56,3),IF(I1061="TDN",VLOOKUP(AF1061,TNCalibEqFull!$AZ$1:$BB$56,3),IF(I1061="TN",VLOOKUP(AF1061,TNCalibEqFull!$AZ$1:$BB$56,3),FALSE))))</f>
        <v>0</v>
      </c>
      <c r="AV1061" s="10" t="str">
        <f t="shared" si="120"/>
        <v>0117 07:42:00-HST-0-FIL-1-SW-UKN</v>
      </c>
    </row>
    <row r="1062" spans="1:48" s="10" customFormat="1" x14ac:dyDescent="0.55000000000000004">
      <c r="A1062" s="32">
        <v>44944</v>
      </c>
      <c r="B1062" s="33">
        <v>0.36249999999999999</v>
      </c>
      <c r="C1062" s="10" t="s">
        <v>279</v>
      </c>
      <c r="D1062" s="10">
        <v>0</v>
      </c>
      <c r="E1062" s="10" t="s">
        <v>911</v>
      </c>
      <c r="F1062" s="10">
        <v>1</v>
      </c>
      <c r="G1062" s="10" t="s">
        <v>231</v>
      </c>
      <c r="H1062" s="10" t="s">
        <v>322</v>
      </c>
      <c r="I1062" s="10" t="s">
        <v>256</v>
      </c>
      <c r="J1062" s="10">
        <v>37</v>
      </c>
      <c r="K1062" s="12">
        <v>44950</v>
      </c>
      <c r="L1062" s="33">
        <v>0.50369212962962961</v>
      </c>
      <c r="M1062" s="10">
        <v>1</v>
      </c>
      <c r="N1062" s="10" t="s">
        <v>169</v>
      </c>
      <c r="O1062" s="10">
        <v>4.59</v>
      </c>
      <c r="P1062" s="10">
        <v>0.26300000000000001</v>
      </c>
      <c r="Q1062" s="10">
        <v>702</v>
      </c>
      <c r="R1062" s="10" t="s">
        <v>77</v>
      </c>
      <c r="S1062" s="34">
        <f t="shared" si="116"/>
        <v>702</v>
      </c>
      <c r="T1062" s="10" t="s">
        <v>1058</v>
      </c>
      <c r="U1062" s="34" t="str">
        <f t="shared" si="117"/>
        <v/>
      </c>
      <c r="V1062" s="31" t="str">
        <f>IF(H1062="CHK",VLOOKUP(I1062,QCCHK,3,),IF(H1062="GUP",VLOOKUP(E1062,QCGUP,2,),IF(AND(H1062="ATP",OR(I1062="TN",I1062="TDN",I1062="TNO2-3",I1062="NO2-3")),VLOOKUP(E1062,QCREC_N,2,),IF(AND(H1062="NIC",OR(I1062="TN",I1062="TDN",I1062="TNO2-3",I1062="NO2-3")),VLOOKUP(E1062,QCNIC_N,2,),IF(AND(H1062="UREA",OR(I1062="TN",I1062="TDN",I1062="TNO2-3",I1062="NO2-3")),VLOOKUP(E1062,QCUREA_N,2,),IF(H1062="PER",VLOOKUP(I1062,QCPER,MATCH(E1062,QCACTUAL!$J$25:$AA$25,0),),IF(H1062="SPK",VLOOKUP(I1062,QCSPK,3,),IF(AND(H1062="ATP",OR(I1062="TP",I1062="TDP")),VLOOKUP(E1062,QCATP_P,2,),""))))))))</f>
        <v/>
      </c>
      <c r="W1062" s="31" t="str">
        <f t="shared" si="118"/>
        <v>TRUE</v>
      </c>
      <c r="X1062" s="31" t="str">
        <f t="shared" si="119"/>
        <v/>
      </c>
      <c r="Y1062" s="10" t="s">
        <v>1040</v>
      </c>
      <c r="Z1062" s="10" t="s">
        <v>910</v>
      </c>
      <c r="AL1062" s="10" t="str">
        <f t="shared" si="114"/>
        <v>FALSE</v>
      </c>
      <c r="AM1062" s="10" t="str">
        <f t="shared" si="114"/>
        <v>FALSE</v>
      </c>
      <c r="AN1062" s="10" t="str">
        <f t="shared" si="114"/>
        <v>FALSE</v>
      </c>
      <c r="AO1062" s="10" t="str">
        <f t="shared" si="115"/>
        <v>FALSE</v>
      </c>
      <c r="AP1062" s="10" t="str">
        <f t="shared" si="115"/>
        <v>FALSE</v>
      </c>
      <c r="AQ1062" s="10" t="b">
        <f>IF(AND(I1062="TP",S1062&lt;=150),VLOOKUP(AF1062,TPCalibEq150!$AZ$2:$BB$55,3,),IF(AND(I1062="TDP",S1062&lt;=150),VLOOKUP(AF1062,TPCalibEq150!$AZ$2:$BB$55,3,)))</f>
        <v>0</v>
      </c>
      <c r="AR1062" s="10" t="b">
        <f>IF(AND(I1062="TP",S1062&lt;=300),VLOOKUP(AF1062,TPCalibEq300!$AZ$2:$BB$55,3,),IF(AND(I1062="TDP",S1062&lt;=300),VLOOKUP(AF1062,TPCalibEq300!$AZ$2:$BB$55,3,)))</f>
        <v>0</v>
      </c>
      <c r="AS1062" s="10" t="b">
        <f>IF(AND(I1062="TP",S1062&lt;=500),VLOOKUP(AF1062,TPCalibEq500!$AZ$2:$BB$56,3,),IF(AND(I1062="TDP",S1062&lt;=500),VLOOKUP(AF1062,TPCalibEq500!$AZ$2:$BB$56,3,)))</f>
        <v>0</v>
      </c>
      <c r="AT1062" s="10" t="b">
        <f>IF(AND(I1062="TN",S1062&lt;=2800),VLOOKUP(AF1062,TNCalibEq2500!$AZ$2:$BB$56,3,),IF(AND(I1062="TDN",S1062&lt;=2800),VLOOKUP(AF1062,TNCalibEq2500!$AZ$2:$BB$56,3,)))</f>
        <v>0</v>
      </c>
      <c r="AU1062" s="10" t="b">
        <f>IF(I1062="TP",VLOOKUP(AF1062,TPCalibEqFull!$AZ$2:$BB$56,3),IF(I1062="TDP",VLOOKUP(AF1062,TPCalibEqFull!$AZ$2:$BB$56,3),IF(I1062="TDN",VLOOKUP(AF1062,TNCalibEqFull!$AZ$1:$BB$56,3),IF(I1062="TN",VLOOKUP(AF1062,TNCalibEqFull!$AZ$1:$BB$56,3),FALSE))))</f>
        <v>0</v>
      </c>
      <c r="AV1062" s="10" t="str">
        <f t="shared" si="120"/>
        <v>0118 08:42:00-EFK-0-FIL-1-SW-UKN</v>
      </c>
    </row>
    <row r="1063" spans="1:48" s="10" customFormat="1" x14ac:dyDescent="0.55000000000000004">
      <c r="A1063" s="32">
        <v>44944</v>
      </c>
      <c r="B1063" s="33">
        <v>0.36805555555555558</v>
      </c>
      <c r="C1063" s="10" t="s">
        <v>333</v>
      </c>
      <c r="D1063" s="10">
        <v>0</v>
      </c>
      <c r="E1063" s="10" t="s">
        <v>911</v>
      </c>
      <c r="F1063" s="10">
        <v>1</v>
      </c>
      <c r="G1063" s="10" t="s">
        <v>231</v>
      </c>
      <c r="H1063" s="10" t="s">
        <v>322</v>
      </c>
      <c r="I1063" s="10" t="s">
        <v>256</v>
      </c>
      <c r="J1063" s="10">
        <v>38</v>
      </c>
      <c r="K1063" s="12">
        <v>44950</v>
      </c>
      <c r="L1063" s="33">
        <v>0.50451388888888882</v>
      </c>
      <c r="M1063" s="10">
        <v>1</v>
      </c>
      <c r="N1063" s="10" t="s">
        <v>169</v>
      </c>
      <c r="O1063" s="10">
        <v>6.47</v>
      </c>
      <c r="P1063" s="10">
        <v>0.36799999999999999</v>
      </c>
      <c r="Q1063" s="10">
        <v>989</v>
      </c>
      <c r="R1063" s="10" t="s">
        <v>77</v>
      </c>
      <c r="S1063" s="34">
        <f t="shared" si="116"/>
        <v>989</v>
      </c>
      <c r="T1063" s="10" t="s">
        <v>1058</v>
      </c>
      <c r="U1063" s="34" t="str">
        <f t="shared" si="117"/>
        <v/>
      </c>
      <c r="V1063" s="31" t="str">
        <f>IF(H1063="CHK",VLOOKUP(I1063,QCCHK,3,),IF(H1063="GUP",VLOOKUP(E1063,QCGUP,2,),IF(AND(H1063="ATP",OR(I1063="TN",I1063="TDN",I1063="TNO2-3",I1063="NO2-3")),VLOOKUP(E1063,QCREC_N,2,),IF(AND(H1063="NIC",OR(I1063="TN",I1063="TDN",I1063="TNO2-3",I1063="NO2-3")),VLOOKUP(E1063,QCNIC_N,2,),IF(AND(H1063="UREA",OR(I1063="TN",I1063="TDN",I1063="TNO2-3",I1063="NO2-3")),VLOOKUP(E1063,QCUREA_N,2,),IF(H1063="PER",VLOOKUP(I1063,QCPER,MATCH(E1063,QCACTUAL!$J$25:$AA$25,0),),IF(H1063="SPK",VLOOKUP(I1063,QCSPK,3,),IF(AND(H1063="ATP",OR(I1063="TP",I1063="TDP")),VLOOKUP(E1063,QCATP_P,2,),""))))))))</f>
        <v/>
      </c>
      <c r="W1063" s="31" t="str">
        <f t="shared" si="118"/>
        <v>TRUE</v>
      </c>
      <c r="X1063" s="31" t="str">
        <f t="shared" si="119"/>
        <v/>
      </c>
      <c r="Y1063" s="10" t="s">
        <v>1040</v>
      </c>
      <c r="Z1063" s="10" t="s">
        <v>910</v>
      </c>
      <c r="AL1063" s="10" t="str">
        <f t="shared" si="114"/>
        <v>FALSE</v>
      </c>
      <c r="AM1063" s="10" t="str">
        <f t="shared" si="114"/>
        <v>FALSE</v>
      </c>
      <c r="AN1063" s="10" t="str">
        <f t="shared" si="114"/>
        <v>FALSE</v>
      </c>
      <c r="AO1063" s="10" t="str">
        <f t="shared" si="115"/>
        <v>FALSE</v>
      </c>
      <c r="AP1063" s="10" t="str">
        <f t="shared" si="115"/>
        <v>FALSE</v>
      </c>
      <c r="AQ1063" s="10" t="b">
        <f>IF(AND(I1063="TP",S1063&lt;=150),VLOOKUP(AF1063,TPCalibEq150!$AZ$2:$BB$55,3,),IF(AND(I1063="TDP",S1063&lt;=150),VLOOKUP(AF1063,TPCalibEq150!$AZ$2:$BB$55,3,)))</f>
        <v>0</v>
      </c>
      <c r="AR1063" s="10" t="b">
        <f>IF(AND(I1063="TP",S1063&lt;=300),VLOOKUP(AF1063,TPCalibEq300!$AZ$2:$BB$55,3,),IF(AND(I1063="TDP",S1063&lt;=300),VLOOKUP(AF1063,TPCalibEq300!$AZ$2:$BB$55,3,)))</f>
        <v>0</v>
      </c>
      <c r="AS1063" s="10" t="b">
        <f>IF(AND(I1063="TP",S1063&lt;=500),VLOOKUP(AF1063,TPCalibEq500!$AZ$2:$BB$56,3,),IF(AND(I1063="TDP",S1063&lt;=500),VLOOKUP(AF1063,TPCalibEq500!$AZ$2:$BB$56,3,)))</f>
        <v>0</v>
      </c>
      <c r="AT1063" s="10" t="b">
        <f>IF(AND(I1063="TN",S1063&lt;=2800),VLOOKUP(AF1063,TNCalibEq2500!$AZ$2:$BB$56,3,),IF(AND(I1063="TDN",S1063&lt;=2800),VLOOKUP(AF1063,TNCalibEq2500!$AZ$2:$BB$56,3,)))</f>
        <v>0</v>
      </c>
      <c r="AU1063" s="10" t="b">
        <f>IF(I1063="TP",VLOOKUP(AF1063,TPCalibEqFull!$AZ$2:$BB$56,3),IF(I1063="TDP",VLOOKUP(AF1063,TPCalibEqFull!$AZ$2:$BB$56,3),IF(I1063="TDN",VLOOKUP(AF1063,TNCalibEqFull!$AZ$1:$BB$56,3),IF(I1063="TN",VLOOKUP(AF1063,TNCalibEqFull!$AZ$1:$BB$56,3),FALSE))))</f>
        <v>0</v>
      </c>
      <c r="AV1063" s="10" t="str">
        <f t="shared" si="120"/>
        <v>0118 08:50:00-HST-0-FIL-1-SW-UKN</v>
      </c>
    </row>
    <row r="1064" spans="1:48" s="10" customFormat="1" x14ac:dyDescent="0.55000000000000004">
      <c r="A1064" s="32">
        <v>44944</v>
      </c>
      <c r="B1064" s="33">
        <v>0.36805555555555558</v>
      </c>
      <c r="C1064" s="10" t="s">
        <v>333</v>
      </c>
      <c r="D1064" s="10">
        <v>0</v>
      </c>
      <c r="E1064" s="10" t="s">
        <v>911</v>
      </c>
      <c r="F1064" s="10">
        <v>1</v>
      </c>
      <c r="G1064" s="10" t="s">
        <v>231</v>
      </c>
      <c r="H1064" s="10" t="s">
        <v>233</v>
      </c>
      <c r="I1064" s="10" t="s">
        <v>256</v>
      </c>
      <c r="J1064" s="10">
        <v>38</v>
      </c>
      <c r="K1064" s="12">
        <v>44950</v>
      </c>
      <c r="L1064" s="33">
        <v>0.50533564814814813</v>
      </c>
      <c r="M1064" s="10">
        <v>1</v>
      </c>
      <c r="N1064" s="10" t="s">
        <v>169</v>
      </c>
      <c r="O1064" s="10">
        <v>6.06</v>
      </c>
      <c r="P1064" s="10">
        <v>0.34599999999999997</v>
      </c>
      <c r="Q1064" s="10">
        <v>926</v>
      </c>
      <c r="R1064" s="10" t="s">
        <v>77</v>
      </c>
      <c r="S1064" s="34">
        <f t="shared" si="116"/>
        <v>926</v>
      </c>
      <c r="T1064" s="10" t="s">
        <v>1058</v>
      </c>
      <c r="U1064" s="34">
        <f t="shared" si="117"/>
        <v>6.5796344647519582</v>
      </c>
      <c r="V1064" s="31" t="str">
        <f>IF(H1064="CHK",VLOOKUP(I1064,QCCHK,3,),IF(H1064="GUP",VLOOKUP(E1064,QCGUP,2,),IF(AND(H1064="ATP",OR(I1064="TN",I1064="TDN",I1064="TNO2-3",I1064="NO2-3")),VLOOKUP(E1064,QCREC_N,2,),IF(AND(H1064="NIC",OR(I1064="TN",I1064="TDN",I1064="TNO2-3",I1064="NO2-3")),VLOOKUP(E1064,QCNIC_N,2,),IF(AND(H1064="UREA",OR(I1064="TN",I1064="TDN",I1064="TNO2-3",I1064="NO2-3")),VLOOKUP(E1064,QCUREA_N,2,),IF(H1064="PER",VLOOKUP(I1064,QCPER,MATCH(E1064,QCACTUAL!$J$25:$AA$25,0),),IF(H1064="SPK",VLOOKUP(I1064,QCSPK,3,),IF(AND(H1064="ATP",OR(I1064="TP",I1064="TDP")),VLOOKUP(E1064,QCATP_P,2,),""))))))))</f>
        <v/>
      </c>
      <c r="W1064" s="31" t="str">
        <f t="shared" si="118"/>
        <v>TRUE</v>
      </c>
      <c r="X1064" s="31" t="str">
        <f t="shared" si="119"/>
        <v>((ABS(rep1-rep2))/((rep1+rep2)/2)*100</v>
      </c>
      <c r="Y1064" s="10" t="s">
        <v>1040</v>
      </c>
      <c r="Z1064" s="10" t="s">
        <v>910</v>
      </c>
      <c r="AL1064" s="10" t="str">
        <f t="shared" si="114"/>
        <v>FALSE</v>
      </c>
      <c r="AM1064" s="10" t="str">
        <f t="shared" si="114"/>
        <v>FALSE</v>
      </c>
      <c r="AN1064" s="10" t="str">
        <f t="shared" si="114"/>
        <v>FALSE</v>
      </c>
      <c r="AO1064" s="10" t="str">
        <f t="shared" si="115"/>
        <v>FALSE</v>
      </c>
      <c r="AP1064" s="10" t="str">
        <f t="shared" si="115"/>
        <v>FALSE</v>
      </c>
      <c r="AQ1064" s="10" t="b">
        <f>IF(AND(I1064="TP",S1064&lt;=150),VLOOKUP(AF1064,TPCalibEq150!$AZ$2:$BB$55,3,),IF(AND(I1064="TDP",S1064&lt;=150),VLOOKUP(AF1064,TPCalibEq150!$AZ$2:$BB$55,3,)))</f>
        <v>0</v>
      </c>
      <c r="AR1064" s="10" t="b">
        <f>IF(AND(I1064="TP",S1064&lt;=300),VLOOKUP(AF1064,TPCalibEq300!$AZ$2:$BB$55,3,),IF(AND(I1064="TDP",S1064&lt;=300),VLOOKUP(AF1064,TPCalibEq300!$AZ$2:$BB$55,3,)))</f>
        <v>0</v>
      </c>
      <c r="AS1064" s="10" t="b">
        <f>IF(AND(I1064="TP",S1064&lt;=500),VLOOKUP(AF1064,TPCalibEq500!$AZ$2:$BB$56,3,),IF(AND(I1064="TDP",S1064&lt;=500),VLOOKUP(AF1064,TPCalibEq500!$AZ$2:$BB$56,3,)))</f>
        <v>0</v>
      </c>
      <c r="AT1064" s="10" t="b">
        <f>IF(AND(I1064="TN",S1064&lt;=2800),VLOOKUP(AF1064,TNCalibEq2500!$AZ$2:$BB$56,3,),IF(AND(I1064="TDN",S1064&lt;=2800),VLOOKUP(AF1064,TNCalibEq2500!$AZ$2:$BB$56,3,)))</f>
        <v>0</v>
      </c>
      <c r="AU1064" s="10" t="b">
        <f>IF(I1064="TP",VLOOKUP(AF1064,TPCalibEqFull!$AZ$2:$BB$56,3),IF(I1064="TDP",VLOOKUP(AF1064,TPCalibEqFull!$AZ$2:$BB$56,3),IF(I1064="TDN",VLOOKUP(AF1064,TNCalibEqFull!$AZ$1:$BB$56,3),IF(I1064="TN",VLOOKUP(AF1064,TNCalibEqFull!$AZ$1:$BB$56,3),FALSE))))</f>
        <v>0</v>
      </c>
      <c r="AV1064" s="10" t="str">
        <f t="shared" si="120"/>
        <v>0118 08:50:00-HST-0-FIL-1-SW-DUP</v>
      </c>
    </row>
    <row r="1065" spans="1:48" s="10" customFormat="1" x14ac:dyDescent="0.55000000000000004">
      <c r="A1065" s="32">
        <v>44944</v>
      </c>
      <c r="B1065" s="33">
        <v>0.36805555555555558</v>
      </c>
      <c r="C1065" s="10" t="s">
        <v>912</v>
      </c>
      <c r="D1065" s="10">
        <v>0</v>
      </c>
      <c r="E1065" s="10" t="s">
        <v>911</v>
      </c>
      <c r="F1065" s="10">
        <v>1</v>
      </c>
      <c r="G1065" s="10" t="s">
        <v>231</v>
      </c>
      <c r="H1065" s="10" t="s">
        <v>314</v>
      </c>
      <c r="I1065" s="10" t="s">
        <v>256</v>
      </c>
      <c r="J1065" s="10">
        <v>60</v>
      </c>
      <c r="K1065" s="12">
        <v>44950</v>
      </c>
      <c r="L1065" s="33">
        <v>0.50614583333333341</v>
      </c>
      <c r="M1065" s="10">
        <v>1</v>
      </c>
      <c r="N1065" s="10" t="s">
        <v>169</v>
      </c>
      <c r="O1065" s="10">
        <v>9.8800000000000008</v>
      </c>
      <c r="P1065" s="10">
        <v>0.56100000000000005</v>
      </c>
      <c r="Q1065" s="10">
        <v>1510</v>
      </c>
      <c r="R1065" s="10" t="s">
        <v>77</v>
      </c>
      <c r="S1065" s="34">
        <f t="shared" si="116"/>
        <v>1510</v>
      </c>
      <c r="T1065" s="10" t="s">
        <v>1058</v>
      </c>
      <c r="U1065" s="34">
        <f t="shared" si="117"/>
        <v>93.44</v>
      </c>
      <c r="V1065" s="31">
        <f>IF(H1065="CHK",VLOOKUP(I1065,QCCHK,3,),IF(H1065="GUP",VLOOKUP(E1065,QCGUP,2,),IF(AND(H1065="ATP",OR(I1065="TN",I1065="TDN",I1065="TNO2-3",I1065="NO2-3")),VLOOKUP(E1065,QCREC_N,2,),IF(AND(H1065="NIC",OR(I1065="TN",I1065="TDN",I1065="TNO2-3",I1065="NO2-3")),VLOOKUP(E1065,QCNIC_N,2,),IF(AND(H1065="UREA",OR(I1065="TN",I1065="TDN",I1065="TNO2-3",I1065="NO2-3")),VLOOKUP(E1065,QCUREA_N,2,),IF(H1065="PER",VLOOKUP(I1065,QCPER,MATCH(E1065,QCACTUAL!$J$25:$AA$25,0),),IF(H1065="SPK",VLOOKUP(I1065,QCSPK,3,),IF(AND(H1065="ATP",OR(I1065="TP",I1065="TDP")),VLOOKUP(E1065,QCATP_P,2,),""))))))))</f>
        <v>625</v>
      </c>
      <c r="W1065" s="31" t="str">
        <f t="shared" si="118"/>
        <v>TRUE</v>
      </c>
      <c r="X1065" s="31" t="str">
        <f t="shared" si="119"/>
        <v>([spikedunkn]-[unkn])/[spike]*100</v>
      </c>
      <c r="Y1065" s="10" t="s">
        <v>1040</v>
      </c>
      <c r="Z1065" s="10" t="s">
        <v>910</v>
      </c>
      <c r="AL1065" s="10" t="str">
        <f t="shared" si="114"/>
        <v>FALSE</v>
      </c>
      <c r="AM1065" s="10" t="str">
        <f t="shared" si="114"/>
        <v>FALSE</v>
      </c>
      <c r="AN1065" s="10" t="str">
        <f t="shared" si="114"/>
        <v>FALSE</v>
      </c>
      <c r="AO1065" s="10" t="str">
        <f t="shared" si="115"/>
        <v>FALSE</v>
      </c>
      <c r="AP1065" s="10" t="str">
        <f t="shared" si="115"/>
        <v>FALSE</v>
      </c>
      <c r="AQ1065" s="10" t="b">
        <f>IF(AND(I1065="TP",S1065&lt;=150),VLOOKUP(AF1065,TPCalibEq150!$AZ$2:$BB$55,3,),IF(AND(I1065="TDP",S1065&lt;=150),VLOOKUP(AF1065,TPCalibEq150!$AZ$2:$BB$55,3,)))</f>
        <v>0</v>
      </c>
      <c r="AR1065" s="10" t="b">
        <f>IF(AND(I1065="TP",S1065&lt;=300),VLOOKUP(AF1065,TPCalibEq300!$AZ$2:$BB$55,3,),IF(AND(I1065="TDP",S1065&lt;=300),VLOOKUP(AF1065,TPCalibEq300!$AZ$2:$BB$55,3,)))</f>
        <v>0</v>
      </c>
      <c r="AS1065" s="10" t="b">
        <f>IF(AND(I1065="TP",S1065&lt;=500),VLOOKUP(AF1065,TPCalibEq500!$AZ$2:$BB$56,3,),IF(AND(I1065="TDP",S1065&lt;=500),VLOOKUP(AF1065,TPCalibEq500!$AZ$2:$BB$56,3,)))</f>
        <v>0</v>
      </c>
      <c r="AT1065" s="10" t="b">
        <f>IF(AND(I1065="TN",S1065&lt;=2800),VLOOKUP(AF1065,TNCalibEq2500!$AZ$2:$BB$56,3,),IF(AND(I1065="TDN",S1065&lt;=2800),VLOOKUP(AF1065,TNCalibEq2500!$AZ$2:$BB$56,3,)))</f>
        <v>0</v>
      </c>
      <c r="AU1065" s="10" t="b">
        <f>IF(I1065="TP",VLOOKUP(AF1065,TPCalibEqFull!$AZ$2:$BB$56,3),IF(I1065="TDP",VLOOKUP(AF1065,TPCalibEqFull!$AZ$2:$BB$56,3),IF(I1065="TDN",VLOOKUP(AF1065,TNCalibEqFull!$AZ$1:$BB$56,3),IF(I1065="TN",VLOOKUP(AF1065,TNCalibEqFull!$AZ$1:$BB$56,3),FALSE))))</f>
        <v>0</v>
      </c>
      <c r="AV1065" s="10" t="str">
        <f t="shared" si="120"/>
        <v>0118 08:50:00-HST -0-FIL-1-SW-SPK</v>
      </c>
    </row>
    <row r="1066" spans="1:48" s="10" customFormat="1" x14ac:dyDescent="0.55000000000000004">
      <c r="A1066" s="32">
        <v>44950</v>
      </c>
      <c r="B1066" s="33">
        <v>0.375</v>
      </c>
      <c r="C1066" s="10" t="s">
        <v>70</v>
      </c>
      <c r="D1066" s="10" t="s">
        <v>71</v>
      </c>
      <c r="E1066" s="10" t="s">
        <v>901</v>
      </c>
      <c r="F1066" s="10">
        <v>1</v>
      </c>
      <c r="G1066" s="10" t="s">
        <v>73</v>
      </c>
      <c r="H1066" s="10" t="s">
        <v>207</v>
      </c>
      <c r="I1066" s="10" t="s">
        <v>256</v>
      </c>
      <c r="J1066" s="10">
        <v>200</v>
      </c>
      <c r="K1066" s="12">
        <v>44950</v>
      </c>
      <c r="L1066" s="33">
        <v>0.50696759259259261</v>
      </c>
      <c r="M1066" s="10">
        <v>1</v>
      </c>
      <c r="N1066" s="10" t="s">
        <v>169</v>
      </c>
      <c r="O1066" s="10">
        <v>1.98</v>
      </c>
      <c r="P1066" s="10">
        <v>0.11600000000000001</v>
      </c>
      <c r="Q1066" s="10">
        <v>302</v>
      </c>
      <c r="R1066" s="10" t="s">
        <v>77</v>
      </c>
      <c r="S1066" s="34">
        <f t="shared" si="116"/>
        <v>302</v>
      </c>
      <c r="T1066" s="10" t="s">
        <v>1058</v>
      </c>
      <c r="U1066" s="34">
        <f t="shared" si="117"/>
        <v>100.66666666666666</v>
      </c>
      <c r="V1066" s="31">
        <f>IF(H1066="CHK",VLOOKUP(I1066,QCCHK,3,),IF(H1066="GUP",VLOOKUP(E1066,QCGUP,2,),IF(AND(H1066="ATP",OR(I1066="TN",I1066="TDN",I1066="TNO2-3",I1066="NO2-3")),VLOOKUP(E1066,QCREC_N,2,),IF(AND(H1066="NIC",OR(I1066="TN",I1066="TDN",I1066="TNO2-3",I1066="NO2-3")),VLOOKUP(E1066,QCNIC_N,2,),IF(AND(H1066="UREA",OR(I1066="TN",I1066="TDN",I1066="TNO2-3",I1066="NO2-3")),VLOOKUP(E1066,QCUREA_N,2,),IF(H1066="PER",VLOOKUP(I1066,QCPER,MATCH(E1066,QCACTUAL!$J$25:$AA$25,0),),IF(H1066="SPK",VLOOKUP(I1066,QCSPK,3,),IF(AND(H1066="ATP",OR(I1066="TP",I1066="TDP")),VLOOKUP(E1066,QCATP_P,2,),""))))))))</f>
        <v>300</v>
      </c>
      <c r="W1066" s="31" t="str">
        <f t="shared" si="118"/>
        <v>TRUE</v>
      </c>
      <c r="X1066" s="31" t="str">
        <f t="shared" si="119"/>
        <v>[chk]/[actual]*100</v>
      </c>
      <c r="Y1066" s="10" t="s">
        <v>1040</v>
      </c>
      <c r="AL1066" s="10" t="str">
        <f t="shared" si="114"/>
        <v>FALSE</v>
      </c>
      <c r="AM1066" s="10" t="str">
        <f t="shared" si="114"/>
        <v>FALSE</v>
      </c>
      <c r="AN1066" s="10" t="str">
        <f t="shared" si="114"/>
        <v>FALSE</v>
      </c>
      <c r="AO1066" s="10" t="str">
        <f t="shared" si="115"/>
        <v>FALSE</v>
      </c>
      <c r="AP1066" s="10" t="str">
        <f t="shared" si="115"/>
        <v>FALSE</v>
      </c>
      <c r="AQ1066" s="10" t="b">
        <f>IF(AND(I1066="TP",S1066&lt;=150),VLOOKUP(AF1066,TPCalibEq150!$AZ$2:$BB$55,3,),IF(AND(I1066="TDP",S1066&lt;=150),VLOOKUP(AF1066,TPCalibEq150!$AZ$2:$BB$55,3,)))</f>
        <v>0</v>
      </c>
      <c r="AR1066" s="10" t="b">
        <f>IF(AND(I1066="TP",S1066&lt;=300),VLOOKUP(AF1066,TPCalibEq300!$AZ$2:$BB$55,3,),IF(AND(I1066="TDP",S1066&lt;=300),VLOOKUP(AF1066,TPCalibEq300!$AZ$2:$BB$55,3,)))</f>
        <v>0</v>
      </c>
      <c r="AS1066" s="10" t="b">
        <f>IF(AND(I1066="TP",S1066&lt;=500),VLOOKUP(AF1066,TPCalibEq500!$AZ$2:$BB$56,3,),IF(AND(I1066="TDP",S1066&lt;=500),VLOOKUP(AF1066,TPCalibEq500!$AZ$2:$BB$56,3,)))</f>
        <v>0</v>
      </c>
      <c r="AT1066" s="10" t="b">
        <f>IF(AND(I1066="TN",S1066&lt;=2800),VLOOKUP(AF1066,TNCalibEq2500!$AZ$2:$BB$56,3,),IF(AND(I1066="TDN",S1066&lt;=2800),VLOOKUP(AF1066,TNCalibEq2500!$AZ$2:$BB$56,3,)))</f>
        <v>0</v>
      </c>
      <c r="AU1066" s="10" t="b">
        <f>IF(I1066="TP",VLOOKUP(AF1066,TPCalibEqFull!$AZ$2:$BB$56,3),IF(I1066="TDP",VLOOKUP(AF1066,TPCalibEqFull!$AZ$2:$BB$56,3),IF(I1066="TDN",VLOOKUP(AF1066,TNCalibEqFull!$AZ$1:$BB$56,3),IF(I1066="TN",VLOOKUP(AF1066,TNCalibEqFull!$AZ$1:$BB$56,3),FALSE))))</f>
        <v>0</v>
      </c>
      <c r="AV1066" s="10" t="str">
        <f t="shared" si="120"/>
        <v>0124 09:00:00-QAC-STD-D-1-DI-CHK</v>
      </c>
    </row>
    <row r="1067" spans="1:48" s="10" customFormat="1" x14ac:dyDescent="0.55000000000000004">
      <c r="A1067" s="32">
        <v>44945</v>
      </c>
      <c r="B1067" s="33">
        <v>0.56041666666666667</v>
      </c>
      <c r="C1067" s="10" t="s">
        <v>279</v>
      </c>
      <c r="D1067" s="10">
        <v>0</v>
      </c>
      <c r="E1067" s="10" t="s">
        <v>911</v>
      </c>
      <c r="F1067" s="10">
        <v>1</v>
      </c>
      <c r="G1067" s="10" t="s">
        <v>231</v>
      </c>
      <c r="H1067" s="10" t="s">
        <v>322</v>
      </c>
      <c r="I1067" s="10" t="s">
        <v>256</v>
      </c>
      <c r="J1067" s="10">
        <v>39</v>
      </c>
      <c r="K1067" s="12">
        <v>44950</v>
      </c>
      <c r="L1067" s="33">
        <v>0.50777777777777777</v>
      </c>
      <c r="M1067" s="10">
        <v>1</v>
      </c>
      <c r="N1067" s="10" t="s">
        <v>169</v>
      </c>
      <c r="O1067" s="10">
        <v>4.54</v>
      </c>
      <c r="P1067" s="10">
        <v>0.25800000000000001</v>
      </c>
      <c r="Q1067" s="10">
        <v>693</v>
      </c>
      <c r="R1067" s="10" t="s">
        <v>77</v>
      </c>
      <c r="S1067" s="34">
        <f t="shared" si="116"/>
        <v>693</v>
      </c>
      <c r="T1067" s="10" t="s">
        <v>1058</v>
      </c>
      <c r="U1067" s="34" t="str">
        <f t="shared" si="117"/>
        <v/>
      </c>
      <c r="V1067" s="31" t="str">
        <f>IF(H1067="CHK",VLOOKUP(I1067,QCCHK,3,),IF(H1067="GUP",VLOOKUP(E1067,QCGUP,2,),IF(AND(H1067="ATP",OR(I1067="TN",I1067="TDN",I1067="TNO2-3",I1067="NO2-3")),VLOOKUP(E1067,QCREC_N,2,),IF(AND(H1067="NIC",OR(I1067="TN",I1067="TDN",I1067="TNO2-3",I1067="NO2-3")),VLOOKUP(E1067,QCNIC_N,2,),IF(AND(H1067="UREA",OR(I1067="TN",I1067="TDN",I1067="TNO2-3",I1067="NO2-3")),VLOOKUP(E1067,QCUREA_N,2,),IF(H1067="PER",VLOOKUP(I1067,QCPER,MATCH(E1067,QCACTUAL!$J$25:$AA$25,0),),IF(H1067="SPK",VLOOKUP(I1067,QCSPK,3,),IF(AND(H1067="ATP",OR(I1067="TP",I1067="TDP")),VLOOKUP(E1067,QCATP_P,2,),""))))))))</f>
        <v/>
      </c>
      <c r="W1067" s="31" t="str">
        <f t="shared" si="118"/>
        <v>TRUE</v>
      </c>
      <c r="X1067" s="31" t="str">
        <f t="shared" si="119"/>
        <v/>
      </c>
      <c r="Y1067" s="10" t="s">
        <v>1040</v>
      </c>
      <c r="Z1067" s="10" t="s">
        <v>910</v>
      </c>
      <c r="AL1067" s="10" t="str">
        <f t="shared" si="114"/>
        <v>FALSE</v>
      </c>
      <c r="AM1067" s="10" t="str">
        <f t="shared" si="114"/>
        <v>FALSE</v>
      </c>
      <c r="AN1067" s="10" t="str">
        <f t="shared" si="114"/>
        <v>FALSE</v>
      </c>
      <c r="AO1067" s="10" t="str">
        <f t="shared" si="115"/>
        <v>FALSE</v>
      </c>
      <c r="AP1067" s="10" t="str">
        <f t="shared" si="115"/>
        <v>FALSE</v>
      </c>
      <c r="AQ1067" s="10" t="b">
        <f>IF(AND(I1067="TP",S1067&lt;=150),VLOOKUP(AF1067,TPCalibEq150!$AZ$2:$BB$55,3,),IF(AND(I1067="TDP",S1067&lt;=150),VLOOKUP(AF1067,TPCalibEq150!$AZ$2:$BB$55,3,)))</f>
        <v>0</v>
      </c>
      <c r="AR1067" s="10" t="b">
        <f>IF(AND(I1067="TP",S1067&lt;=300),VLOOKUP(AF1067,TPCalibEq300!$AZ$2:$BB$55,3,),IF(AND(I1067="TDP",S1067&lt;=300),VLOOKUP(AF1067,TPCalibEq300!$AZ$2:$BB$55,3,)))</f>
        <v>0</v>
      </c>
      <c r="AS1067" s="10" t="b">
        <f>IF(AND(I1067="TP",S1067&lt;=500),VLOOKUP(AF1067,TPCalibEq500!$AZ$2:$BB$56,3,),IF(AND(I1067="TDP",S1067&lt;=500),VLOOKUP(AF1067,TPCalibEq500!$AZ$2:$BB$56,3,)))</f>
        <v>0</v>
      </c>
      <c r="AT1067" s="10" t="b">
        <f>IF(AND(I1067="TN",S1067&lt;=2800),VLOOKUP(AF1067,TNCalibEq2500!$AZ$2:$BB$56,3,),IF(AND(I1067="TDN",S1067&lt;=2800),VLOOKUP(AF1067,TNCalibEq2500!$AZ$2:$BB$56,3,)))</f>
        <v>0</v>
      </c>
      <c r="AU1067" s="10" t="b">
        <f>IF(I1067="TP",VLOOKUP(AF1067,TPCalibEqFull!$AZ$2:$BB$56,3),IF(I1067="TDP",VLOOKUP(AF1067,TPCalibEqFull!$AZ$2:$BB$56,3),IF(I1067="TDN",VLOOKUP(AF1067,TNCalibEqFull!$AZ$1:$BB$56,3),IF(I1067="TN",VLOOKUP(AF1067,TNCalibEqFull!$AZ$1:$BB$56,3),FALSE))))</f>
        <v>0</v>
      </c>
      <c r="AV1067" s="10" t="str">
        <f t="shared" si="120"/>
        <v>0119 13:27:00-EFK-0-FIL-1-SW-UKN</v>
      </c>
    </row>
    <row r="1068" spans="1:48" s="10" customFormat="1" x14ac:dyDescent="0.55000000000000004">
      <c r="A1068" s="32">
        <v>44945</v>
      </c>
      <c r="B1068" s="33">
        <v>0.56736111111111109</v>
      </c>
      <c r="C1068" s="10" t="s">
        <v>333</v>
      </c>
      <c r="D1068" s="10">
        <v>0</v>
      </c>
      <c r="E1068" s="10" t="s">
        <v>911</v>
      </c>
      <c r="F1068" s="10">
        <v>1</v>
      </c>
      <c r="G1068" s="10" t="s">
        <v>231</v>
      </c>
      <c r="H1068" s="10" t="s">
        <v>322</v>
      </c>
      <c r="I1068" s="10" t="s">
        <v>256</v>
      </c>
      <c r="J1068" s="10">
        <v>40</v>
      </c>
      <c r="K1068" s="12">
        <v>44950</v>
      </c>
      <c r="L1068" s="33">
        <v>0.50858796296296294</v>
      </c>
      <c r="M1068" s="10">
        <v>1</v>
      </c>
      <c r="N1068" s="10" t="s">
        <v>169</v>
      </c>
      <c r="O1068" s="10">
        <v>5.51</v>
      </c>
      <c r="P1068" s="10">
        <v>0.313</v>
      </c>
      <c r="Q1068" s="10">
        <v>842</v>
      </c>
      <c r="R1068" s="10" t="s">
        <v>77</v>
      </c>
      <c r="S1068" s="34">
        <f t="shared" si="116"/>
        <v>842</v>
      </c>
      <c r="T1068" s="10" t="s">
        <v>1058</v>
      </c>
      <c r="U1068" s="34" t="str">
        <f t="shared" si="117"/>
        <v/>
      </c>
      <c r="V1068" s="31" t="str">
        <f>IF(H1068="CHK",VLOOKUP(I1068,QCCHK,3,),IF(H1068="GUP",VLOOKUP(E1068,QCGUP,2,),IF(AND(H1068="ATP",OR(I1068="TN",I1068="TDN",I1068="TNO2-3",I1068="NO2-3")),VLOOKUP(E1068,QCREC_N,2,),IF(AND(H1068="NIC",OR(I1068="TN",I1068="TDN",I1068="TNO2-3",I1068="NO2-3")),VLOOKUP(E1068,QCNIC_N,2,),IF(AND(H1068="UREA",OR(I1068="TN",I1068="TDN",I1068="TNO2-3",I1068="NO2-3")),VLOOKUP(E1068,QCUREA_N,2,),IF(H1068="PER",VLOOKUP(I1068,QCPER,MATCH(E1068,QCACTUAL!$J$25:$AA$25,0),),IF(H1068="SPK",VLOOKUP(I1068,QCSPK,3,),IF(AND(H1068="ATP",OR(I1068="TP",I1068="TDP")),VLOOKUP(E1068,QCATP_P,2,),""))))))))</f>
        <v/>
      </c>
      <c r="W1068" s="31" t="str">
        <f t="shared" si="118"/>
        <v>TRUE</v>
      </c>
      <c r="X1068" s="31" t="str">
        <f t="shared" si="119"/>
        <v/>
      </c>
      <c r="Y1068" s="10" t="s">
        <v>1040</v>
      </c>
      <c r="Z1068" s="10" t="s">
        <v>910</v>
      </c>
      <c r="AL1068" s="10" t="str">
        <f t="shared" si="114"/>
        <v>FALSE</v>
      </c>
      <c r="AM1068" s="10" t="str">
        <f t="shared" si="114"/>
        <v>FALSE</v>
      </c>
      <c r="AN1068" s="10" t="str">
        <f t="shared" si="114"/>
        <v>FALSE</v>
      </c>
      <c r="AO1068" s="10" t="str">
        <f t="shared" si="115"/>
        <v>FALSE</v>
      </c>
      <c r="AP1068" s="10" t="str">
        <f t="shared" si="115"/>
        <v>FALSE</v>
      </c>
      <c r="AQ1068" s="10" t="b">
        <f>IF(AND(I1068="TP",S1068&lt;=150),VLOOKUP(AF1068,TPCalibEq150!$AZ$2:$BB$55,3,),IF(AND(I1068="TDP",S1068&lt;=150),VLOOKUP(AF1068,TPCalibEq150!$AZ$2:$BB$55,3,)))</f>
        <v>0</v>
      </c>
      <c r="AR1068" s="10" t="b">
        <f>IF(AND(I1068="TP",S1068&lt;=300),VLOOKUP(AF1068,TPCalibEq300!$AZ$2:$BB$55,3,),IF(AND(I1068="TDP",S1068&lt;=300),VLOOKUP(AF1068,TPCalibEq300!$AZ$2:$BB$55,3,)))</f>
        <v>0</v>
      </c>
      <c r="AS1068" s="10" t="b">
        <f>IF(AND(I1068="TP",S1068&lt;=500),VLOOKUP(AF1068,TPCalibEq500!$AZ$2:$BB$56,3,),IF(AND(I1068="TDP",S1068&lt;=500),VLOOKUP(AF1068,TPCalibEq500!$AZ$2:$BB$56,3,)))</f>
        <v>0</v>
      </c>
      <c r="AT1068" s="10" t="b">
        <f>IF(AND(I1068="TN",S1068&lt;=2800),VLOOKUP(AF1068,TNCalibEq2500!$AZ$2:$BB$56,3,),IF(AND(I1068="TDN",S1068&lt;=2800),VLOOKUP(AF1068,TNCalibEq2500!$AZ$2:$BB$56,3,)))</f>
        <v>0</v>
      </c>
      <c r="AU1068" s="10" t="b">
        <f>IF(I1068="TP",VLOOKUP(AF1068,TPCalibEqFull!$AZ$2:$BB$56,3),IF(I1068="TDP",VLOOKUP(AF1068,TPCalibEqFull!$AZ$2:$BB$56,3),IF(I1068="TDN",VLOOKUP(AF1068,TNCalibEqFull!$AZ$1:$BB$56,3),IF(I1068="TN",VLOOKUP(AF1068,TNCalibEqFull!$AZ$1:$BB$56,3),FALSE))))</f>
        <v>0</v>
      </c>
      <c r="AV1068" s="10" t="str">
        <f t="shared" si="120"/>
        <v>0119 13:37:00-HST-0-FIL-1-SW-UKN</v>
      </c>
    </row>
    <row r="1069" spans="1:48" s="10" customFormat="1" x14ac:dyDescent="0.55000000000000004">
      <c r="A1069" s="32">
        <v>44946</v>
      </c>
      <c r="B1069" s="33">
        <v>0.37013888888888885</v>
      </c>
      <c r="C1069" s="10" t="s">
        <v>279</v>
      </c>
      <c r="D1069" s="10">
        <v>0</v>
      </c>
      <c r="E1069" s="10" t="s">
        <v>911</v>
      </c>
      <c r="F1069" s="10">
        <v>1</v>
      </c>
      <c r="G1069" s="10" t="s">
        <v>231</v>
      </c>
      <c r="H1069" s="10" t="s">
        <v>322</v>
      </c>
      <c r="I1069" s="10" t="s">
        <v>256</v>
      </c>
      <c r="J1069" s="10">
        <v>41</v>
      </c>
      <c r="K1069" s="12">
        <v>44950</v>
      </c>
      <c r="L1069" s="33">
        <v>0.5093981481481481</v>
      </c>
      <c r="M1069" s="10">
        <v>1</v>
      </c>
      <c r="N1069" s="10" t="s">
        <v>169</v>
      </c>
      <c r="O1069" s="10">
        <v>4.34</v>
      </c>
      <c r="P1069" s="10">
        <v>0.248</v>
      </c>
      <c r="Q1069" s="10">
        <v>663</v>
      </c>
      <c r="R1069" s="10" t="s">
        <v>77</v>
      </c>
      <c r="S1069" s="34">
        <f t="shared" si="116"/>
        <v>663</v>
      </c>
      <c r="T1069" s="10" t="s">
        <v>1058</v>
      </c>
      <c r="U1069" s="34" t="str">
        <f t="shared" si="117"/>
        <v/>
      </c>
      <c r="V1069" s="31" t="str">
        <f>IF(H1069="CHK",VLOOKUP(I1069,QCCHK,3,),IF(H1069="GUP",VLOOKUP(E1069,QCGUP,2,),IF(AND(H1069="ATP",OR(I1069="TN",I1069="TDN",I1069="TNO2-3",I1069="NO2-3")),VLOOKUP(E1069,QCREC_N,2,),IF(AND(H1069="NIC",OR(I1069="TN",I1069="TDN",I1069="TNO2-3",I1069="NO2-3")),VLOOKUP(E1069,QCNIC_N,2,),IF(AND(H1069="UREA",OR(I1069="TN",I1069="TDN",I1069="TNO2-3",I1069="NO2-3")),VLOOKUP(E1069,QCUREA_N,2,),IF(H1069="PER",VLOOKUP(I1069,QCPER,MATCH(E1069,QCACTUAL!$J$25:$AA$25,0),),IF(H1069="SPK",VLOOKUP(I1069,QCSPK,3,),IF(AND(H1069="ATP",OR(I1069="TP",I1069="TDP")),VLOOKUP(E1069,QCATP_P,2,),""))))))))</f>
        <v/>
      </c>
      <c r="W1069" s="31" t="str">
        <f t="shared" si="118"/>
        <v>TRUE</v>
      </c>
      <c r="X1069" s="31" t="str">
        <f t="shared" si="119"/>
        <v/>
      </c>
      <c r="Y1069" s="10" t="s">
        <v>1040</v>
      </c>
      <c r="Z1069" s="10" t="s">
        <v>910</v>
      </c>
      <c r="AL1069" s="10" t="str">
        <f t="shared" si="114"/>
        <v>FALSE</v>
      </c>
      <c r="AM1069" s="10" t="str">
        <f t="shared" si="114"/>
        <v>FALSE</v>
      </c>
      <c r="AN1069" s="10" t="str">
        <f t="shared" si="114"/>
        <v>FALSE</v>
      </c>
      <c r="AO1069" s="10" t="str">
        <f t="shared" si="115"/>
        <v>FALSE</v>
      </c>
      <c r="AP1069" s="10" t="str">
        <f t="shared" si="115"/>
        <v>FALSE</v>
      </c>
      <c r="AQ1069" s="10" t="b">
        <f>IF(AND(I1069="TP",S1069&lt;=150),VLOOKUP(AF1069,TPCalibEq150!$AZ$2:$BB$55,3,),IF(AND(I1069="TDP",S1069&lt;=150),VLOOKUP(AF1069,TPCalibEq150!$AZ$2:$BB$55,3,)))</f>
        <v>0</v>
      </c>
      <c r="AR1069" s="10" t="b">
        <f>IF(AND(I1069="TP",S1069&lt;=300),VLOOKUP(AF1069,TPCalibEq300!$AZ$2:$BB$55,3,),IF(AND(I1069="TDP",S1069&lt;=300),VLOOKUP(AF1069,TPCalibEq300!$AZ$2:$BB$55,3,)))</f>
        <v>0</v>
      </c>
      <c r="AS1069" s="10" t="b">
        <f>IF(AND(I1069="TP",S1069&lt;=500),VLOOKUP(AF1069,TPCalibEq500!$AZ$2:$BB$56,3,),IF(AND(I1069="TDP",S1069&lt;=500),VLOOKUP(AF1069,TPCalibEq500!$AZ$2:$BB$56,3,)))</f>
        <v>0</v>
      </c>
      <c r="AT1069" s="10" t="b">
        <f>IF(AND(I1069="TN",S1069&lt;=2800),VLOOKUP(AF1069,TNCalibEq2500!$AZ$2:$BB$56,3,),IF(AND(I1069="TDN",S1069&lt;=2800),VLOOKUP(AF1069,TNCalibEq2500!$AZ$2:$BB$56,3,)))</f>
        <v>0</v>
      </c>
      <c r="AU1069" s="10" t="b">
        <f>IF(I1069="TP",VLOOKUP(AF1069,TPCalibEqFull!$AZ$2:$BB$56,3),IF(I1069="TDP",VLOOKUP(AF1069,TPCalibEqFull!$AZ$2:$BB$56,3),IF(I1069="TDN",VLOOKUP(AF1069,TNCalibEqFull!$AZ$1:$BB$56,3),IF(I1069="TN",VLOOKUP(AF1069,TNCalibEqFull!$AZ$1:$BB$56,3),FALSE))))</f>
        <v>0</v>
      </c>
      <c r="AV1069" s="10" t="str">
        <f t="shared" si="120"/>
        <v>0120 08:53:00-EFK-0-FIL-1-SW-UKN</v>
      </c>
    </row>
    <row r="1070" spans="1:48" s="10" customFormat="1" x14ac:dyDescent="0.55000000000000004">
      <c r="A1070" s="32">
        <v>44946</v>
      </c>
      <c r="B1070" s="33">
        <v>0.37291666666666662</v>
      </c>
      <c r="C1070" s="10" t="s">
        <v>333</v>
      </c>
      <c r="D1070" s="10">
        <v>0</v>
      </c>
      <c r="E1070" s="10" t="s">
        <v>911</v>
      </c>
      <c r="F1070" s="10">
        <v>1</v>
      </c>
      <c r="G1070" s="10" t="s">
        <v>231</v>
      </c>
      <c r="H1070" s="10" t="s">
        <v>322</v>
      </c>
      <c r="I1070" s="10" t="s">
        <v>256</v>
      </c>
      <c r="J1070" s="10">
        <v>42</v>
      </c>
      <c r="K1070" s="12">
        <v>44950</v>
      </c>
      <c r="L1070" s="33">
        <v>0.51020833333333326</v>
      </c>
      <c r="M1070" s="10">
        <v>1</v>
      </c>
      <c r="N1070" s="10" t="s">
        <v>169</v>
      </c>
      <c r="O1070" s="10">
        <v>5.71</v>
      </c>
      <c r="P1070" s="10">
        <v>0.32500000000000001</v>
      </c>
      <c r="Q1070" s="10">
        <v>872</v>
      </c>
      <c r="R1070" s="10" t="s">
        <v>77</v>
      </c>
      <c r="S1070" s="34">
        <f t="shared" si="116"/>
        <v>872</v>
      </c>
      <c r="T1070" s="10" t="s">
        <v>1058</v>
      </c>
      <c r="U1070" s="34" t="str">
        <f t="shared" si="117"/>
        <v/>
      </c>
      <c r="V1070" s="31" t="str">
        <f>IF(H1070="CHK",VLOOKUP(I1070,QCCHK,3,),IF(H1070="GUP",VLOOKUP(E1070,QCGUP,2,),IF(AND(H1070="ATP",OR(I1070="TN",I1070="TDN",I1070="TNO2-3",I1070="NO2-3")),VLOOKUP(E1070,QCREC_N,2,),IF(AND(H1070="NIC",OR(I1070="TN",I1070="TDN",I1070="TNO2-3",I1070="NO2-3")),VLOOKUP(E1070,QCNIC_N,2,),IF(AND(H1070="UREA",OR(I1070="TN",I1070="TDN",I1070="TNO2-3",I1070="NO2-3")),VLOOKUP(E1070,QCUREA_N,2,),IF(H1070="PER",VLOOKUP(I1070,QCPER,MATCH(E1070,QCACTUAL!$J$25:$AA$25,0),),IF(H1070="SPK",VLOOKUP(I1070,QCSPK,3,),IF(AND(H1070="ATP",OR(I1070="TP",I1070="TDP")),VLOOKUP(E1070,QCATP_P,2,),""))))))))</f>
        <v/>
      </c>
      <c r="W1070" s="31" t="str">
        <f t="shared" si="118"/>
        <v>TRUE</v>
      </c>
      <c r="X1070" s="31" t="str">
        <f t="shared" si="119"/>
        <v/>
      </c>
      <c r="Y1070" s="10" t="s">
        <v>1040</v>
      </c>
      <c r="Z1070" s="10" t="s">
        <v>910</v>
      </c>
      <c r="AL1070" s="10" t="str">
        <f t="shared" si="114"/>
        <v>FALSE</v>
      </c>
      <c r="AM1070" s="10" t="str">
        <f t="shared" si="114"/>
        <v>FALSE</v>
      </c>
      <c r="AN1070" s="10" t="str">
        <f t="shared" si="114"/>
        <v>FALSE</v>
      </c>
      <c r="AO1070" s="10" t="str">
        <f t="shared" si="115"/>
        <v>FALSE</v>
      </c>
      <c r="AP1070" s="10" t="str">
        <f t="shared" si="115"/>
        <v>FALSE</v>
      </c>
      <c r="AQ1070" s="10" t="b">
        <f>IF(AND(I1070="TP",S1070&lt;=150),VLOOKUP(AF1070,TPCalibEq150!$AZ$2:$BB$55,3,),IF(AND(I1070="TDP",S1070&lt;=150),VLOOKUP(AF1070,TPCalibEq150!$AZ$2:$BB$55,3,)))</f>
        <v>0</v>
      </c>
      <c r="AR1070" s="10" t="b">
        <f>IF(AND(I1070="TP",S1070&lt;=300),VLOOKUP(AF1070,TPCalibEq300!$AZ$2:$BB$55,3,),IF(AND(I1070="TDP",S1070&lt;=300),VLOOKUP(AF1070,TPCalibEq300!$AZ$2:$BB$55,3,)))</f>
        <v>0</v>
      </c>
      <c r="AS1070" s="10" t="b">
        <f>IF(AND(I1070="TP",S1070&lt;=500),VLOOKUP(AF1070,TPCalibEq500!$AZ$2:$BB$56,3,),IF(AND(I1070="TDP",S1070&lt;=500),VLOOKUP(AF1070,TPCalibEq500!$AZ$2:$BB$56,3,)))</f>
        <v>0</v>
      </c>
      <c r="AT1070" s="10" t="b">
        <f>IF(AND(I1070="TN",S1070&lt;=2800),VLOOKUP(AF1070,TNCalibEq2500!$AZ$2:$BB$56,3,),IF(AND(I1070="TDN",S1070&lt;=2800),VLOOKUP(AF1070,TNCalibEq2500!$AZ$2:$BB$56,3,)))</f>
        <v>0</v>
      </c>
      <c r="AU1070" s="10" t="b">
        <f>IF(I1070="TP",VLOOKUP(AF1070,TPCalibEqFull!$AZ$2:$BB$56,3),IF(I1070="TDP",VLOOKUP(AF1070,TPCalibEqFull!$AZ$2:$BB$56,3),IF(I1070="TDN",VLOOKUP(AF1070,TNCalibEqFull!$AZ$1:$BB$56,3),IF(I1070="TN",VLOOKUP(AF1070,TNCalibEqFull!$AZ$1:$BB$56,3),FALSE))))</f>
        <v>0</v>
      </c>
      <c r="AV1070" s="10" t="str">
        <f t="shared" si="120"/>
        <v>0120 08:57:00-HST-0-FIL-1-SW-UKN</v>
      </c>
    </row>
    <row r="1071" spans="1:48" s="10" customFormat="1" x14ac:dyDescent="0.55000000000000004">
      <c r="A1071" s="32">
        <v>44943</v>
      </c>
      <c r="B1071" s="33">
        <v>0.36736111111111108</v>
      </c>
      <c r="C1071" s="10" t="s">
        <v>998</v>
      </c>
      <c r="D1071" s="10">
        <v>0</v>
      </c>
      <c r="E1071" s="10" t="s">
        <v>911</v>
      </c>
      <c r="F1071" s="10">
        <v>1</v>
      </c>
      <c r="G1071" s="10" t="s">
        <v>231</v>
      </c>
      <c r="H1071" s="10" t="s">
        <v>322</v>
      </c>
      <c r="I1071" s="10" t="s">
        <v>256</v>
      </c>
      <c r="J1071" s="10">
        <v>43</v>
      </c>
      <c r="K1071" s="12">
        <v>44950</v>
      </c>
      <c r="L1071" s="33">
        <v>0.51101851851851854</v>
      </c>
      <c r="M1071" s="10">
        <v>1</v>
      </c>
      <c r="N1071" s="10" t="s">
        <v>169</v>
      </c>
      <c r="O1071" s="10">
        <v>6.08</v>
      </c>
      <c r="P1071" s="10">
        <v>0.34799999999999998</v>
      </c>
      <c r="Q1071" s="10">
        <v>930</v>
      </c>
      <c r="R1071" s="10" t="s">
        <v>77</v>
      </c>
      <c r="S1071" s="34">
        <f t="shared" si="116"/>
        <v>930</v>
      </c>
      <c r="T1071" s="10" t="s">
        <v>1058</v>
      </c>
      <c r="U1071" s="34" t="str">
        <f t="shared" si="117"/>
        <v/>
      </c>
      <c r="V1071" s="31" t="str">
        <f>IF(H1071="CHK",VLOOKUP(I1071,QCCHK,3,),IF(H1071="GUP",VLOOKUP(E1071,QCGUP,2,),IF(AND(H1071="ATP",OR(I1071="TN",I1071="TDN",I1071="TNO2-3",I1071="NO2-3")),VLOOKUP(E1071,QCREC_N,2,),IF(AND(H1071="NIC",OR(I1071="TN",I1071="TDN",I1071="TNO2-3",I1071="NO2-3")),VLOOKUP(E1071,QCNIC_N,2,),IF(AND(H1071="UREA",OR(I1071="TN",I1071="TDN",I1071="TNO2-3",I1071="NO2-3")),VLOOKUP(E1071,QCUREA_N,2,),IF(H1071="PER",VLOOKUP(I1071,QCPER,MATCH(E1071,QCACTUAL!$J$25:$AA$25,0),),IF(H1071="SPK",VLOOKUP(I1071,QCSPK,3,),IF(AND(H1071="ATP",OR(I1071="TP",I1071="TDP")),VLOOKUP(E1071,QCATP_P,2,),""))))))))</f>
        <v/>
      </c>
      <c r="W1071" s="31" t="str">
        <f t="shared" si="118"/>
        <v>TRUE</v>
      </c>
      <c r="X1071" s="31" t="str">
        <f t="shared" si="119"/>
        <v/>
      </c>
      <c r="Y1071" s="10" t="s">
        <v>1040</v>
      </c>
      <c r="Z1071" s="10" t="s">
        <v>910</v>
      </c>
      <c r="AL1071" s="10" t="str">
        <f t="shared" si="114"/>
        <v>FALSE</v>
      </c>
      <c r="AM1071" s="10" t="str">
        <f t="shared" si="114"/>
        <v>FALSE</v>
      </c>
      <c r="AN1071" s="10" t="str">
        <f t="shared" si="114"/>
        <v>FALSE</v>
      </c>
      <c r="AO1071" s="10" t="str">
        <f t="shared" si="115"/>
        <v>FALSE</v>
      </c>
      <c r="AP1071" s="10" t="str">
        <f t="shared" si="115"/>
        <v>FALSE</v>
      </c>
      <c r="AQ1071" s="10" t="b">
        <f>IF(AND(I1071="TP",S1071&lt;=150),VLOOKUP(AF1071,TPCalibEq150!$AZ$2:$BB$55,3,),IF(AND(I1071="TDP",S1071&lt;=150),VLOOKUP(AF1071,TPCalibEq150!$AZ$2:$BB$55,3,)))</f>
        <v>0</v>
      </c>
      <c r="AR1071" s="10" t="b">
        <f>IF(AND(I1071="TP",S1071&lt;=300),VLOOKUP(AF1071,TPCalibEq300!$AZ$2:$BB$55,3,),IF(AND(I1071="TDP",S1071&lt;=300),VLOOKUP(AF1071,TPCalibEq300!$AZ$2:$BB$55,3,)))</f>
        <v>0</v>
      </c>
      <c r="AS1071" s="10" t="b">
        <f>IF(AND(I1071="TP",S1071&lt;=500),VLOOKUP(AF1071,TPCalibEq500!$AZ$2:$BB$56,3,),IF(AND(I1071="TDP",S1071&lt;=500),VLOOKUP(AF1071,TPCalibEq500!$AZ$2:$BB$56,3,)))</f>
        <v>0</v>
      </c>
      <c r="AT1071" s="10" t="b">
        <f>IF(AND(I1071="TN",S1071&lt;=2800),VLOOKUP(AF1071,TNCalibEq2500!$AZ$2:$BB$56,3,),IF(AND(I1071="TDN",S1071&lt;=2800),VLOOKUP(AF1071,TNCalibEq2500!$AZ$2:$BB$56,3,)))</f>
        <v>0</v>
      </c>
      <c r="AU1071" s="10" t="b">
        <f>IF(I1071="TP",VLOOKUP(AF1071,TPCalibEqFull!$AZ$2:$BB$56,3),IF(I1071="TDP",VLOOKUP(AF1071,TPCalibEqFull!$AZ$2:$BB$56,3),IF(I1071="TDN",VLOOKUP(AF1071,TNCalibEqFull!$AZ$1:$BB$56,3),IF(I1071="TN",VLOOKUP(AF1071,TNCalibEqFull!$AZ$1:$BB$56,3),FALSE))))</f>
        <v>0</v>
      </c>
      <c r="AV1071" s="10" t="str">
        <f t="shared" si="120"/>
        <v>0117 08:49:00-ELW-0-FIL-1-SW-UKN</v>
      </c>
    </row>
    <row r="1072" spans="1:48" s="10" customFormat="1" x14ac:dyDescent="0.55000000000000004">
      <c r="A1072" s="32">
        <v>44943</v>
      </c>
      <c r="B1072" s="33">
        <v>0.37708333333333338</v>
      </c>
      <c r="C1072" s="10" t="s">
        <v>260</v>
      </c>
      <c r="D1072" s="10">
        <v>0</v>
      </c>
      <c r="E1072" s="10" t="s">
        <v>911</v>
      </c>
      <c r="F1072" s="10">
        <v>1</v>
      </c>
      <c r="G1072" s="10" t="s">
        <v>231</v>
      </c>
      <c r="H1072" s="10" t="s">
        <v>322</v>
      </c>
      <c r="I1072" s="10" t="s">
        <v>256</v>
      </c>
      <c r="J1072" s="10">
        <v>44</v>
      </c>
      <c r="K1072" s="12">
        <v>44950</v>
      </c>
      <c r="L1072" s="33">
        <v>0.5118287037037037</v>
      </c>
      <c r="M1072" s="10">
        <v>1</v>
      </c>
      <c r="N1072" s="10" t="s">
        <v>169</v>
      </c>
      <c r="O1072" s="10">
        <v>6.02</v>
      </c>
      <c r="P1072" s="10">
        <v>0.34499999999999997</v>
      </c>
      <c r="Q1072" s="10">
        <v>920</v>
      </c>
      <c r="R1072" s="10" t="s">
        <v>77</v>
      </c>
      <c r="S1072" s="34">
        <f t="shared" si="116"/>
        <v>920</v>
      </c>
      <c r="T1072" s="10" t="s">
        <v>1058</v>
      </c>
      <c r="U1072" s="34" t="str">
        <f t="shared" si="117"/>
        <v/>
      </c>
      <c r="V1072" s="31" t="str">
        <f>IF(H1072="CHK",VLOOKUP(I1072,QCCHK,3,),IF(H1072="GUP",VLOOKUP(E1072,QCGUP,2,),IF(AND(H1072="ATP",OR(I1072="TN",I1072="TDN",I1072="TNO2-3",I1072="NO2-3")),VLOOKUP(E1072,QCREC_N,2,),IF(AND(H1072="NIC",OR(I1072="TN",I1072="TDN",I1072="TNO2-3",I1072="NO2-3")),VLOOKUP(E1072,QCNIC_N,2,),IF(AND(H1072="UREA",OR(I1072="TN",I1072="TDN",I1072="TNO2-3",I1072="NO2-3")),VLOOKUP(E1072,QCUREA_N,2,),IF(H1072="PER",VLOOKUP(I1072,QCPER,MATCH(E1072,QCACTUAL!$J$25:$AA$25,0),),IF(H1072="SPK",VLOOKUP(I1072,QCSPK,3,),IF(AND(H1072="ATP",OR(I1072="TP",I1072="TDP")),VLOOKUP(E1072,QCATP_P,2,),""))))))))</f>
        <v/>
      </c>
      <c r="W1072" s="31" t="str">
        <f t="shared" si="118"/>
        <v>TRUE</v>
      </c>
      <c r="X1072" s="31" t="str">
        <f t="shared" si="119"/>
        <v/>
      </c>
      <c r="Y1072" s="10" t="s">
        <v>1040</v>
      </c>
      <c r="Z1072" s="10" t="s">
        <v>910</v>
      </c>
      <c r="AL1072" s="10" t="str">
        <f t="shared" si="114"/>
        <v>FALSE</v>
      </c>
      <c r="AM1072" s="10" t="str">
        <f t="shared" si="114"/>
        <v>FALSE</v>
      </c>
      <c r="AN1072" s="10" t="str">
        <f t="shared" si="114"/>
        <v>FALSE</v>
      </c>
      <c r="AO1072" s="10" t="str">
        <f t="shared" si="115"/>
        <v>FALSE</v>
      </c>
      <c r="AP1072" s="10" t="str">
        <f t="shared" si="115"/>
        <v>FALSE</v>
      </c>
      <c r="AQ1072" s="10" t="b">
        <f>IF(AND(I1072="TP",S1072&lt;=150),VLOOKUP(AF1072,TPCalibEq150!$AZ$2:$BB$55,3,),IF(AND(I1072="TDP",S1072&lt;=150),VLOOKUP(AF1072,TPCalibEq150!$AZ$2:$BB$55,3,)))</f>
        <v>0</v>
      </c>
      <c r="AR1072" s="10" t="b">
        <f>IF(AND(I1072="TP",S1072&lt;=300),VLOOKUP(AF1072,TPCalibEq300!$AZ$2:$BB$55,3,),IF(AND(I1072="TDP",S1072&lt;=300),VLOOKUP(AF1072,TPCalibEq300!$AZ$2:$BB$55,3,)))</f>
        <v>0</v>
      </c>
      <c r="AS1072" s="10" t="b">
        <f>IF(AND(I1072="TP",S1072&lt;=500),VLOOKUP(AF1072,TPCalibEq500!$AZ$2:$BB$56,3,),IF(AND(I1072="TDP",S1072&lt;=500),VLOOKUP(AF1072,TPCalibEq500!$AZ$2:$BB$56,3,)))</f>
        <v>0</v>
      </c>
      <c r="AT1072" s="10" t="b">
        <f>IF(AND(I1072="TN",S1072&lt;=2800),VLOOKUP(AF1072,TNCalibEq2500!$AZ$2:$BB$56,3,),IF(AND(I1072="TDN",S1072&lt;=2800),VLOOKUP(AF1072,TNCalibEq2500!$AZ$2:$BB$56,3,)))</f>
        <v>0</v>
      </c>
      <c r="AU1072" s="10" t="b">
        <f>IF(I1072="TP",VLOOKUP(AF1072,TPCalibEqFull!$AZ$2:$BB$56,3),IF(I1072="TDP",VLOOKUP(AF1072,TPCalibEqFull!$AZ$2:$BB$56,3),IF(I1072="TDN",VLOOKUP(AF1072,TNCalibEqFull!$AZ$1:$BB$56,3),IF(I1072="TN",VLOOKUP(AF1072,TNCalibEqFull!$AZ$1:$BB$56,3),FALSE))))</f>
        <v>0</v>
      </c>
      <c r="AV1072" s="10" t="str">
        <f t="shared" si="120"/>
        <v>0117 09:03:00-EFC-0-FIL-1-SW-UKN</v>
      </c>
    </row>
    <row r="1073" spans="1:48" s="10" customFormat="1" x14ac:dyDescent="0.55000000000000004">
      <c r="A1073" s="32">
        <v>44943</v>
      </c>
      <c r="B1073" s="33">
        <v>0.39097222222222222</v>
      </c>
      <c r="C1073" s="10" t="s">
        <v>543</v>
      </c>
      <c r="D1073" s="10">
        <v>0</v>
      </c>
      <c r="E1073" s="10" t="s">
        <v>911</v>
      </c>
      <c r="F1073" s="10">
        <v>1</v>
      </c>
      <c r="G1073" s="10" t="s">
        <v>231</v>
      </c>
      <c r="H1073" s="10" t="s">
        <v>322</v>
      </c>
      <c r="I1073" s="10" t="s">
        <v>256</v>
      </c>
      <c r="J1073" s="10">
        <v>45</v>
      </c>
      <c r="K1073" s="12">
        <v>44950</v>
      </c>
      <c r="L1073" s="33">
        <v>0.51262731481481483</v>
      </c>
      <c r="M1073" s="10">
        <v>1</v>
      </c>
      <c r="N1073" s="10" t="s">
        <v>169</v>
      </c>
      <c r="O1073" s="10">
        <v>3.56</v>
      </c>
      <c r="P1073" s="10">
        <v>0.20200000000000001</v>
      </c>
      <c r="Q1073" s="10">
        <v>543</v>
      </c>
      <c r="R1073" s="10" t="s">
        <v>77</v>
      </c>
      <c r="S1073" s="34">
        <f t="shared" si="116"/>
        <v>543</v>
      </c>
      <c r="T1073" s="10" t="s">
        <v>1058</v>
      </c>
      <c r="U1073" s="34" t="str">
        <f t="shared" si="117"/>
        <v/>
      </c>
      <c r="V1073" s="31" t="str">
        <f>IF(H1073="CHK",VLOOKUP(I1073,QCCHK,3,),IF(H1073="GUP",VLOOKUP(E1073,QCGUP,2,),IF(AND(H1073="ATP",OR(I1073="TN",I1073="TDN",I1073="TNO2-3",I1073="NO2-3")),VLOOKUP(E1073,QCREC_N,2,),IF(AND(H1073="NIC",OR(I1073="TN",I1073="TDN",I1073="TNO2-3",I1073="NO2-3")),VLOOKUP(E1073,QCNIC_N,2,),IF(AND(H1073="UREA",OR(I1073="TN",I1073="TDN",I1073="TNO2-3",I1073="NO2-3")),VLOOKUP(E1073,QCUREA_N,2,),IF(H1073="PER",VLOOKUP(I1073,QCPER,MATCH(E1073,QCACTUAL!$J$25:$AA$25,0),),IF(H1073="SPK",VLOOKUP(I1073,QCSPK,3,),IF(AND(H1073="ATP",OR(I1073="TP",I1073="TDP")),VLOOKUP(E1073,QCATP_P,2,),""))))))))</f>
        <v/>
      </c>
      <c r="W1073" s="31" t="str">
        <f t="shared" si="118"/>
        <v>TRUE</v>
      </c>
      <c r="X1073" s="31" t="str">
        <f t="shared" si="119"/>
        <v/>
      </c>
      <c r="Y1073" s="10" t="s">
        <v>1040</v>
      </c>
      <c r="Z1073" s="10" t="s">
        <v>910</v>
      </c>
      <c r="AL1073" s="10" t="str">
        <f t="shared" si="114"/>
        <v>FALSE</v>
      </c>
      <c r="AM1073" s="10" t="str">
        <f t="shared" si="114"/>
        <v>FALSE</v>
      </c>
      <c r="AN1073" s="10" t="str">
        <f t="shared" si="114"/>
        <v>FALSE</v>
      </c>
      <c r="AO1073" s="10" t="str">
        <f t="shared" si="115"/>
        <v>FALSE</v>
      </c>
      <c r="AP1073" s="10" t="str">
        <f t="shared" si="115"/>
        <v>FALSE</v>
      </c>
      <c r="AQ1073" s="10" t="b">
        <f>IF(AND(I1073="TP",S1073&lt;=150),VLOOKUP(AF1073,TPCalibEq150!$AZ$2:$BB$55,3,),IF(AND(I1073="TDP",S1073&lt;=150),VLOOKUP(AF1073,TPCalibEq150!$AZ$2:$BB$55,3,)))</f>
        <v>0</v>
      </c>
      <c r="AR1073" s="10" t="b">
        <f>IF(AND(I1073="TP",S1073&lt;=300),VLOOKUP(AF1073,TPCalibEq300!$AZ$2:$BB$55,3,),IF(AND(I1073="TDP",S1073&lt;=300),VLOOKUP(AF1073,TPCalibEq300!$AZ$2:$BB$55,3,)))</f>
        <v>0</v>
      </c>
      <c r="AS1073" s="10" t="b">
        <f>IF(AND(I1073="TP",S1073&lt;=500),VLOOKUP(AF1073,TPCalibEq500!$AZ$2:$BB$56,3,),IF(AND(I1073="TDP",S1073&lt;=500),VLOOKUP(AF1073,TPCalibEq500!$AZ$2:$BB$56,3,)))</f>
        <v>0</v>
      </c>
      <c r="AT1073" s="10" t="b">
        <f>IF(AND(I1073="TN",S1073&lt;=2800),VLOOKUP(AF1073,TNCalibEq2500!$AZ$2:$BB$56,3,),IF(AND(I1073="TDN",S1073&lt;=2800),VLOOKUP(AF1073,TNCalibEq2500!$AZ$2:$BB$56,3,)))</f>
        <v>0</v>
      </c>
      <c r="AU1073" s="10" t="b">
        <f>IF(I1073="TP",VLOOKUP(AF1073,TPCalibEqFull!$AZ$2:$BB$56,3),IF(I1073="TDP",VLOOKUP(AF1073,TPCalibEqFull!$AZ$2:$BB$56,3),IF(I1073="TDN",VLOOKUP(AF1073,TNCalibEqFull!$AZ$1:$BB$56,3),IF(I1073="TN",VLOOKUP(AF1073,TNCalibEqFull!$AZ$1:$BB$56,3),FALSE))))</f>
        <v>0</v>
      </c>
      <c r="AV1073" s="10" t="str">
        <f t="shared" si="120"/>
        <v>0117 09:23:00-SAR-0-FIL-1-SW-UKN</v>
      </c>
    </row>
    <row r="1074" spans="1:48" s="10" customFormat="1" x14ac:dyDescent="0.55000000000000004">
      <c r="A1074" s="32">
        <v>44943</v>
      </c>
      <c r="B1074" s="33">
        <v>0.40486111111111112</v>
      </c>
      <c r="C1074" s="10" t="s">
        <v>361</v>
      </c>
      <c r="D1074" s="10">
        <v>0</v>
      </c>
      <c r="E1074" s="10" t="s">
        <v>911</v>
      </c>
      <c r="F1074" s="10">
        <v>1</v>
      </c>
      <c r="G1074" s="10" t="s">
        <v>231</v>
      </c>
      <c r="H1074" s="10" t="s">
        <v>322</v>
      </c>
      <c r="I1074" s="10" t="s">
        <v>256</v>
      </c>
      <c r="J1074" s="10">
        <v>46</v>
      </c>
      <c r="K1074" s="12">
        <v>44950</v>
      </c>
      <c r="L1074" s="33">
        <v>0.51346064814814818</v>
      </c>
      <c r="M1074" s="10">
        <v>1</v>
      </c>
      <c r="N1074" s="10" t="s">
        <v>169</v>
      </c>
      <c r="O1074" s="10">
        <v>3.67</v>
      </c>
      <c r="P1074" s="10">
        <v>0.20799999999999999</v>
      </c>
      <c r="Q1074" s="10">
        <v>562</v>
      </c>
      <c r="R1074" s="10" t="s">
        <v>77</v>
      </c>
      <c r="S1074" s="34">
        <f t="shared" si="116"/>
        <v>562</v>
      </c>
      <c r="T1074" s="10" t="s">
        <v>1058</v>
      </c>
      <c r="U1074" s="34" t="str">
        <f t="shared" si="117"/>
        <v/>
      </c>
      <c r="V1074" s="31" t="str">
        <f>IF(H1074="CHK",VLOOKUP(I1074,QCCHK,3,),IF(H1074="GUP",VLOOKUP(E1074,QCGUP,2,),IF(AND(H1074="ATP",OR(I1074="TN",I1074="TDN",I1074="TNO2-3",I1074="NO2-3")),VLOOKUP(E1074,QCREC_N,2,),IF(AND(H1074="NIC",OR(I1074="TN",I1074="TDN",I1074="TNO2-3",I1074="NO2-3")),VLOOKUP(E1074,QCNIC_N,2,),IF(AND(H1074="UREA",OR(I1074="TN",I1074="TDN",I1074="TNO2-3",I1074="NO2-3")),VLOOKUP(E1074,QCUREA_N,2,),IF(H1074="PER",VLOOKUP(I1074,QCPER,MATCH(E1074,QCACTUAL!$J$25:$AA$25,0),),IF(H1074="SPK",VLOOKUP(I1074,QCSPK,3,),IF(AND(H1074="ATP",OR(I1074="TP",I1074="TDP")),VLOOKUP(E1074,QCATP_P,2,),""))))))))</f>
        <v/>
      </c>
      <c r="W1074" s="31" t="str">
        <f t="shared" si="118"/>
        <v>TRUE</v>
      </c>
      <c r="X1074" s="31" t="str">
        <f t="shared" si="119"/>
        <v/>
      </c>
      <c r="Y1074" s="10" t="s">
        <v>1040</v>
      </c>
      <c r="Z1074" s="10" t="s">
        <v>910</v>
      </c>
      <c r="AL1074" s="10" t="str">
        <f t="shared" si="114"/>
        <v>FALSE</v>
      </c>
      <c r="AM1074" s="10" t="str">
        <f t="shared" si="114"/>
        <v>FALSE</v>
      </c>
      <c r="AN1074" s="10" t="str">
        <f t="shared" si="114"/>
        <v>FALSE</v>
      </c>
      <c r="AO1074" s="10" t="str">
        <f t="shared" si="115"/>
        <v>FALSE</v>
      </c>
      <c r="AP1074" s="10" t="str">
        <f t="shared" si="115"/>
        <v>FALSE</v>
      </c>
      <c r="AQ1074" s="10" t="b">
        <f>IF(AND(I1074="TP",S1074&lt;=150),VLOOKUP(AF1074,TPCalibEq150!$AZ$2:$BB$55,3,),IF(AND(I1074="TDP",S1074&lt;=150),VLOOKUP(AF1074,TPCalibEq150!$AZ$2:$BB$55,3,)))</f>
        <v>0</v>
      </c>
      <c r="AR1074" s="10" t="b">
        <f>IF(AND(I1074="TP",S1074&lt;=300),VLOOKUP(AF1074,TPCalibEq300!$AZ$2:$BB$55,3,),IF(AND(I1074="TDP",S1074&lt;=300),VLOOKUP(AF1074,TPCalibEq300!$AZ$2:$BB$55,3,)))</f>
        <v>0</v>
      </c>
      <c r="AS1074" s="10" t="b">
        <f>IF(AND(I1074="TP",S1074&lt;=500),VLOOKUP(AF1074,TPCalibEq500!$AZ$2:$BB$56,3,),IF(AND(I1074="TDP",S1074&lt;=500),VLOOKUP(AF1074,TPCalibEq500!$AZ$2:$BB$56,3,)))</f>
        <v>0</v>
      </c>
      <c r="AT1074" s="10" t="b">
        <f>IF(AND(I1074="TN",S1074&lt;=2800),VLOOKUP(AF1074,TNCalibEq2500!$AZ$2:$BB$56,3,),IF(AND(I1074="TDN",S1074&lt;=2800),VLOOKUP(AF1074,TNCalibEq2500!$AZ$2:$BB$56,3,)))</f>
        <v>0</v>
      </c>
      <c r="AU1074" s="10" t="b">
        <f>IF(I1074="TP",VLOOKUP(AF1074,TPCalibEqFull!$AZ$2:$BB$56,3),IF(I1074="TDP",VLOOKUP(AF1074,TPCalibEqFull!$AZ$2:$BB$56,3),IF(I1074="TDN",VLOOKUP(AF1074,TNCalibEqFull!$AZ$1:$BB$56,3),IF(I1074="TN",VLOOKUP(AF1074,TNCalibEqFull!$AZ$1:$BB$56,3),FALSE))))</f>
        <v>0</v>
      </c>
      <c r="AV1074" s="10" t="str">
        <f t="shared" si="120"/>
        <v>0117 09:43:00-USR-0-FIL-1-SW-UKN</v>
      </c>
    </row>
    <row r="1075" spans="1:48" s="10" customFormat="1" x14ac:dyDescent="0.55000000000000004">
      <c r="A1075" s="32">
        <v>44943</v>
      </c>
      <c r="B1075" s="33">
        <v>0.42152777777777778</v>
      </c>
      <c r="C1075" s="10" t="s">
        <v>351</v>
      </c>
      <c r="D1075" s="10">
        <v>0</v>
      </c>
      <c r="E1075" s="10" t="s">
        <v>911</v>
      </c>
      <c r="F1075" s="10">
        <v>1</v>
      </c>
      <c r="G1075" s="10" t="s">
        <v>231</v>
      </c>
      <c r="H1075" s="10" t="s">
        <v>322</v>
      </c>
      <c r="I1075" s="10" t="s">
        <v>256</v>
      </c>
      <c r="J1075" s="10">
        <v>47</v>
      </c>
      <c r="K1075" s="12">
        <v>44950</v>
      </c>
      <c r="L1075" s="33">
        <v>0.51428240740740738</v>
      </c>
      <c r="M1075" s="10">
        <v>1</v>
      </c>
      <c r="N1075" s="10" t="s">
        <v>169</v>
      </c>
      <c r="O1075" s="10">
        <v>8.01</v>
      </c>
      <c r="P1075" s="10">
        <v>0.45700000000000002</v>
      </c>
      <c r="Q1075" s="10">
        <v>1220</v>
      </c>
      <c r="R1075" s="10" t="s">
        <v>77</v>
      </c>
      <c r="S1075" s="34">
        <f t="shared" si="116"/>
        <v>1220</v>
      </c>
      <c r="T1075" s="10" t="s">
        <v>1058</v>
      </c>
      <c r="U1075" s="34" t="str">
        <f t="shared" si="117"/>
        <v/>
      </c>
      <c r="V1075" s="31" t="str">
        <f>IF(H1075="CHK",VLOOKUP(I1075,QCCHK,3,),IF(H1075="GUP",VLOOKUP(E1075,QCGUP,2,),IF(AND(H1075="ATP",OR(I1075="TN",I1075="TDN",I1075="TNO2-3",I1075="NO2-3")),VLOOKUP(E1075,QCREC_N,2,),IF(AND(H1075="NIC",OR(I1075="TN",I1075="TDN",I1075="TNO2-3",I1075="NO2-3")),VLOOKUP(E1075,QCNIC_N,2,),IF(AND(H1075="UREA",OR(I1075="TN",I1075="TDN",I1075="TNO2-3",I1075="NO2-3")),VLOOKUP(E1075,QCUREA_N,2,),IF(H1075="PER",VLOOKUP(I1075,QCPER,MATCH(E1075,QCACTUAL!$J$25:$AA$25,0),),IF(H1075="SPK",VLOOKUP(I1075,QCSPK,3,),IF(AND(H1075="ATP",OR(I1075="TP",I1075="TDP")),VLOOKUP(E1075,QCATP_P,2,),""))))))))</f>
        <v/>
      </c>
      <c r="W1075" s="31" t="str">
        <f t="shared" si="118"/>
        <v>TRUE</v>
      </c>
      <c r="X1075" s="31" t="str">
        <f t="shared" si="119"/>
        <v/>
      </c>
      <c r="Y1075" s="10" t="s">
        <v>1040</v>
      </c>
      <c r="Z1075" s="10" t="s">
        <v>910</v>
      </c>
      <c r="AL1075" s="10" t="str">
        <f t="shared" si="114"/>
        <v>FALSE</v>
      </c>
      <c r="AM1075" s="10" t="str">
        <f t="shared" si="114"/>
        <v>FALSE</v>
      </c>
      <c r="AN1075" s="10" t="str">
        <f t="shared" si="114"/>
        <v>FALSE</v>
      </c>
      <c r="AO1075" s="10" t="str">
        <f t="shared" si="115"/>
        <v>FALSE</v>
      </c>
      <c r="AP1075" s="10" t="str">
        <f t="shared" si="115"/>
        <v>FALSE</v>
      </c>
      <c r="AQ1075" s="10" t="b">
        <f>IF(AND(I1075="TP",S1075&lt;=150),VLOOKUP(AF1075,TPCalibEq150!$AZ$2:$BB$55,3,),IF(AND(I1075="TDP",S1075&lt;=150),VLOOKUP(AF1075,TPCalibEq150!$AZ$2:$BB$55,3,)))</f>
        <v>0</v>
      </c>
      <c r="AR1075" s="10" t="b">
        <f>IF(AND(I1075="TP",S1075&lt;=300),VLOOKUP(AF1075,TPCalibEq300!$AZ$2:$BB$55,3,),IF(AND(I1075="TDP",S1075&lt;=300),VLOOKUP(AF1075,TPCalibEq300!$AZ$2:$BB$55,3,)))</f>
        <v>0</v>
      </c>
      <c r="AS1075" s="10" t="b">
        <f>IF(AND(I1075="TP",S1075&lt;=500),VLOOKUP(AF1075,TPCalibEq500!$AZ$2:$BB$56,3,),IF(AND(I1075="TDP",S1075&lt;=500),VLOOKUP(AF1075,TPCalibEq500!$AZ$2:$BB$56,3,)))</f>
        <v>0</v>
      </c>
      <c r="AT1075" s="10" t="b">
        <f>IF(AND(I1075="TN",S1075&lt;=2800),VLOOKUP(AF1075,TNCalibEq2500!$AZ$2:$BB$56,3,),IF(AND(I1075="TDN",S1075&lt;=2800),VLOOKUP(AF1075,TNCalibEq2500!$AZ$2:$BB$56,3,)))</f>
        <v>0</v>
      </c>
      <c r="AU1075" s="10" t="b">
        <f>IF(I1075="TP",VLOOKUP(AF1075,TPCalibEqFull!$AZ$2:$BB$56,3),IF(I1075="TDP",VLOOKUP(AF1075,TPCalibEqFull!$AZ$2:$BB$56,3),IF(I1075="TDN",VLOOKUP(AF1075,TNCalibEqFull!$AZ$1:$BB$56,3),IF(I1075="TN",VLOOKUP(AF1075,TNCalibEqFull!$AZ$1:$BB$56,3),FALSE))))</f>
        <v>0</v>
      </c>
      <c r="AV1075" s="10" t="str">
        <f t="shared" si="120"/>
        <v>0117 10:07:00-SHC-0-FIL-1-SW-UKN</v>
      </c>
    </row>
    <row r="1076" spans="1:48" s="10" customFormat="1" x14ac:dyDescent="0.55000000000000004">
      <c r="A1076" s="32">
        <v>44943</v>
      </c>
      <c r="B1076" s="33">
        <v>0.43472222222222223</v>
      </c>
      <c r="C1076" s="10" t="s">
        <v>355</v>
      </c>
      <c r="D1076" s="10">
        <v>0</v>
      </c>
      <c r="E1076" s="10" t="s">
        <v>911</v>
      </c>
      <c r="F1076" s="10">
        <v>1</v>
      </c>
      <c r="G1076" s="10" t="s">
        <v>231</v>
      </c>
      <c r="H1076" s="10" t="s">
        <v>322</v>
      </c>
      <c r="I1076" s="10" t="s">
        <v>256</v>
      </c>
      <c r="J1076" s="10">
        <v>48</v>
      </c>
      <c r="K1076" s="12">
        <v>44950</v>
      </c>
      <c r="L1076" s="33">
        <v>0.5151041666666667</v>
      </c>
      <c r="M1076" s="10">
        <v>1</v>
      </c>
      <c r="N1076" s="10" t="s">
        <v>169</v>
      </c>
      <c r="O1076" s="10">
        <v>3.97</v>
      </c>
      <c r="P1076" s="10">
        <v>0.22700000000000001</v>
      </c>
      <c r="Q1076" s="10">
        <v>607</v>
      </c>
      <c r="R1076" s="10" t="s">
        <v>77</v>
      </c>
      <c r="S1076" s="34">
        <f t="shared" si="116"/>
        <v>607</v>
      </c>
      <c r="T1076" s="10" t="s">
        <v>1058</v>
      </c>
      <c r="U1076" s="34" t="str">
        <f t="shared" si="117"/>
        <v/>
      </c>
      <c r="V1076" s="31" t="str">
        <f>IF(H1076="CHK",VLOOKUP(I1076,QCCHK,3,),IF(H1076="GUP",VLOOKUP(E1076,QCGUP,2,),IF(AND(H1076="ATP",OR(I1076="TN",I1076="TDN",I1076="TNO2-3",I1076="NO2-3")),VLOOKUP(E1076,QCREC_N,2,),IF(AND(H1076="NIC",OR(I1076="TN",I1076="TDN",I1076="TNO2-3",I1076="NO2-3")),VLOOKUP(E1076,QCNIC_N,2,),IF(AND(H1076="UREA",OR(I1076="TN",I1076="TDN",I1076="TNO2-3",I1076="NO2-3")),VLOOKUP(E1076,QCUREA_N,2,),IF(H1076="PER",VLOOKUP(I1076,QCPER,MATCH(E1076,QCACTUAL!$J$25:$AA$25,0),),IF(H1076="SPK",VLOOKUP(I1076,QCSPK,3,),IF(AND(H1076="ATP",OR(I1076="TP",I1076="TDP")),VLOOKUP(E1076,QCATP_P,2,),""))))))))</f>
        <v/>
      </c>
      <c r="W1076" s="31" t="str">
        <f t="shared" si="118"/>
        <v>TRUE</v>
      </c>
      <c r="X1076" s="31" t="str">
        <f t="shared" si="119"/>
        <v/>
      </c>
      <c r="Y1076" s="10" t="s">
        <v>1040</v>
      </c>
      <c r="Z1076" s="10" t="s">
        <v>910</v>
      </c>
      <c r="AL1076" s="10" t="str">
        <f t="shared" si="114"/>
        <v>FALSE</v>
      </c>
      <c r="AM1076" s="10" t="str">
        <f t="shared" si="114"/>
        <v>FALSE</v>
      </c>
      <c r="AN1076" s="10" t="str">
        <f t="shared" si="114"/>
        <v>FALSE</v>
      </c>
      <c r="AO1076" s="10" t="str">
        <f t="shared" si="115"/>
        <v>FALSE</v>
      </c>
      <c r="AP1076" s="10" t="str">
        <f t="shared" si="115"/>
        <v>FALSE</v>
      </c>
      <c r="AQ1076" s="10" t="b">
        <f>IF(AND(I1076="TP",S1076&lt;=150),VLOOKUP(AF1076,TPCalibEq150!$AZ$2:$BB$55,3,),IF(AND(I1076="TDP",S1076&lt;=150),VLOOKUP(AF1076,TPCalibEq150!$AZ$2:$BB$55,3,)))</f>
        <v>0</v>
      </c>
      <c r="AR1076" s="10" t="b">
        <f>IF(AND(I1076="TP",S1076&lt;=300),VLOOKUP(AF1076,TPCalibEq300!$AZ$2:$BB$55,3,),IF(AND(I1076="TDP",S1076&lt;=300),VLOOKUP(AF1076,TPCalibEq300!$AZ$2:$BB$55,3,)))</f>
        <v>0</v>
      </c>
      <c r="AS1076" s="10" t="b">
        <f>IF(AND(I1076="TP",S1076&lt;=500),VLOOKUP(AF1076,TPCalibEq500!$AZ$2:$BB$56,3,),IF(AND(I1076="TDP",S1076&lt;=500),VLOOKUP(AF1076,TPCalibEq500!$AZ$2:$BB$56,3,)))</f>
        <v>0</v>
      </c>
      <c r="AT1076" s="10" t="b">
        <f>IF(AND(I1076="TN",S1076&lt;=2800),VLOOKUP(AF1076,TNCalibEq2500!$AZ$2:$BB$56,3,),IF(AND(I1076="TDN",S1076&lt;=2800),VLOOKUP(AF1076,TNCalibEq2500!$AZ$2:$BB$56,3,)))</f>
        <v>0</v>
      </c>
      <c r="AU1076" s="10" t="b">
        <f>IF(I1076="TP",VLOOKUP(AF1076,TPCalibEqFull!$AZ$2:$BB$56,3),IF(I1076="TDP",VLOOKUP(AF1076,TPCalibEqFull!$AZ$2:$BB$56,3),IF(I1076="TDN",VLOOKUP(AF1076,TNCalibEqFull!$AZ$1:$BB$56,3),IF(I1076="TN",VLOOKUP(AF1076,TNCalibEqFull!$AZ$1:$BB$56,3),FALSE))))</f>
        <v>0</v>
      </c>
      <c r="AV1076" s="10" t="str">
        <f t="shared" si="120"/>
        <v>0117 10:26:00-SLT-0-FIL-1-SW-UKN</v>
      </c>
    </row>
    <row r="1077" spans="1:48" s="10" customFormat="1" x14ac:dyDescent="0.55000000000000004">
      <c r="A1077" s="32">
        <v>44943</v>
      </c>
      <c r="B1077" s="33">
        <v>0.4604166666666667</v>
      </c>
      <c r="C1077" s="10" t="s">
        <v>310</v>
      </c>
      <c r="D1077" s="10">
        <v>0</v>
      </c>
      <c r="E1077" s="10" t="s">
        <v>911</v>
      </c>
      <c r="F1077" s="10">
        <v>1</v>
      </c>
      <c r="G1077" s="10" t="s">
        <v>231</v>
      </c>
      <c r="H1077" s="10" t="s">
        <v>322</v>
      </c>
      <c r="I1077" s="10" t="s">
        <v>256</v>
      </c>
      <c r="J1077" s="10">
        <v>49</v>
      </c>
      <c r="K1077" s="12">
        <v>44950</v>
      </c>
      <c r="L1077" s="33">
        <v>0.5159259259259259</v>
      </c>
      <c r="M1077" s="10">
        <v>1</v>
      </c>
      <c r="N1077" s="10" t="s">
        <v>169</v>
      </c>
      <c r="O1077" s="10">
        <v>7.89</v>
      </c>
      <c r="P1077" s="10">
        <v>0.45</v>
      </c>
      <c r="Q1077" s="10">
        <v>1210</v>
      </c>
      <c r="R1077" s="10" t="s">
        <v>77</v>
      </c>
      <c r="S1077" s="34">
        <f t="shared" si="116"/>
        <v>1210</v>
      </c>
      <c r="T1077" s="10" t="s">
        <v>1058</v>
      </c>
      <c r="U1077" s="34" t="str">
        <f t="shared" si="117"/>
        <v/>
      </c>
      <c r="V1077" s="31" t="str">
        <f>IF(H1077="CHK",VLOOKUP(I1077,QCCHK,3,),IF(H1077="GUP",VLOOKUP(E1077,QCGUP,2,),IF(AND(H1077="ATP",OR(I1077="TN",I1077="TDN",I1077="TNO2-3",I1077="NO2-3")),VLOOKUP(E1077,QCREC_N,2,),IF(AND(H1077="NIC",OR(I1077="TN",I1077="TDN",I1077="TNO2-3",I1077="NO2-3")),VLOOKUP(E1077,QCNIC_N,2,),IF(AND(H1077="UREA",OR(I1077="TN",I1077="TDN",I1077="TNO2-3",I1077="NO2-3")),VLOOKUP(E1077,QCUREA_N,2,),IF(H1077="PER",VLOOKUP(I1077,QCPER,MATCH(E1077,QCACTUAL!$J$25:$AA$25,0),),IF(H1077="SPK",VLOOKUP(I1077,QCSPK,3,),IF(AND(H1077="ATP",OR(I1077="TP",I1077="TDP")),VLOOKUP(E1077,QCATP_P,2,),""))))))))</f>
        <v/>
      </c>
      <c r="W1077" s="31" t="str">
        <f t="shared" si="118"/>
        <v>TRUE</v>
      </c>
      <c r="X1077" s="31" t="str">
        <f t="shared" si="119"/>
        <v/>
      </c>
      <c r="Y1077" s="10" t="s">
        <v>1040</v>
      </c>
      <c r="Z1077" s="10" t="s">
        <v>910</v>
      </c>
      <c r="AL1077" s="10" t="str">
        <f t="shared" si="114"/>
        <v>FALSE</v>
      </c>
      <c r="AM1077" s="10" t="str">
        <f t="shared" si="114"/>
        <v>FALSE</v>
      </c>
      <c r="AN1077" s="10" t="str">
        <f t="shared" si="114"/>
        <v>FALSE</v>
      </c>
      <c r="AO1077" s="10" t="str">
        <f t="shared" si="115"/>
        <v>FALSE</v>
      </c>
      <c r="AP1077" s="10" t="str">
        <f t="shared" si="115"/>
        <v>FALSE</v>
      </c>
      <c r="AQ1077" s="10" t="b">
        <f>IF(AND(I1077="TP",S1077&lt;=150),VLOOKUP(AF1077,TPCalibEq150!$AZ$2:$BB$55,3,),IF(AND(I1077="TDP",S1077&lt;=150),VLOOKUP(AF1077,TPCalibEq150!$AZ$2:$BB$55,3,)))</f>
        <v>0</v>
      </c>
      <c r="AR1077" s="10" t="b">
        <f>IF(AND(I1077="TP",S1077&lt;=300),VLOOKUP(AF1077,TPCalibEq300!$AZ$2:$BB$55,3,),IF(AND(I1077="TDP",S1077&lt;=300),VLOOKUP(AF1077,TPCalibEq300!$AZ$2:$BB$55,3,)))</f>
        <v>0</v>
      </c>
      <c r="AS1077" s="10" t="b">
        <f>IF(AND(I1077="TP",S1077&lt;=500),VLOOKUP(AF1077,TPCalibEq500!$AZ$2:$BB$56,3,),IF(AND(I1077="TDP",S1077&lt;=500),VLOOKUP(AF1077,TPCalibEq500!$AZ$2:$BB$56,3,)))</f>
        <v>0</v>
      </c>
      <c r="AT1077" s="10" t="b">
        <f>IF(AND(I1077="TN",S1077&lt;=2800),VLOOKUP(AF1077,TNCalibEq2500!$AZ$2:$BB$56,3,),IF(AND(I1077="TDN",S1077&lt;=2800),VLOOKUP(AF1077,TNCalibEq2500!$AZ$2:$BB$56,3,)))</f>
        <v>0</v>
      </c>
      <c r="AU1077" s="10" t="b">
        <f>IF(I1077="TP",VLOOKUP(AF1077,TPCalibEqFull!$AZ$2:$BB$56,3),IF(I1077="TDP",VLOOKUP(AF1077,TPCalibEqFull!$AZ$2:$BB$56,3),IF(I1077="TDN",VLOOKUP(AF1077,TNCalibEqFull!$AZ$1:$BB$56,3),IF(I1077="TN",VLOOKUP(AF1077,TNCalibEqFull!$AZ$1:$BB$56,3),FALSE))))</f>
        <v>0</v>
      </c>
      <c r="AV1077" s="10" t="str">
        <f t="shared" si="120"/>
        <v>0117 11:03:00-ELI-0-FIL-1-SW-UKN</v>
      </c>
    </row>
    <row r="1078" spans="1:48" s="10" customFormat="1" x14ac:dyDescent="0.55000000000000004">
      <c r="A1078" s="32">
        <v>44943</v>
      </c>
      <c r="B1078" s="33">
        <v>0.47013888888888888</v>
      </c>
      <c r="C1078" s="10" t="s">
        <v>999</v>
      </c>
      <c r="D1078" s="10">
        <v>0</v>
      </c>
      <c r="E1078" s="10" t="s">
        <v>911</v>
      </c>
      <c r="F1078" s="10">
        <v>1</v>
      </c>
      <c r="G1078" s="10" t="s">
        <v>231</v>
      </c>
      <c r="H1078" s="10" t="s">
        <v>322</v>
      </c>
      <c r="I1078" s="10" t="s">
        <v>256</v>
      </c>
      <c r="J1078" s="10">
        <v>50</v>
      </c>
      <c r="K1078" s="12">
        <v>44950</v>
      </c>
      <c r="L1078" s="33">
        <v>0.51674768518518521</v>
      </c>
      <c r="M1078" s="10">
        <v>1</v>
      </c>
      <c r="N1078" s="10" t="s">
        <v>169</v>
      </c>
      <c r="O1078" s="10">
        <v>7.93</v>
      </c>
      <c r="P1078" s="10">
        <v>0.45300000000000001</v>
      </c>
      <c r="Q1078" s="10">
        <v>1210</v>
      </c>
      <c r="R1078" s="10" t="s">
        <v>77</v>
      </c>
      <c r="S1078" s="34">
        <f t="shared" si="116"/>
        <v>1210</v>
      </c>
      <c r="T1078" s="10" t="s">
        <v>1058</v>
      </c>
      <c r="U1078" s="34" t="str">
        <f t="shared" si="117"/>
        <v/>
      </c>
      <c r="V1078" s="31" t="str">
        <f>IF(H1078="CHK",VLOOKUP(I1078,QCCHK,3,),IF(H1078="GUP",VLOOKUP(E1078,QCGUP,2,),IF(AND(H1078="ATP",OR(I1078="TN",I1078="TDN",I1078="TNO2-3",I1078="NO2-3")),VLOOKUP(E1078,QCREC_N,2,),IF(AND(H1078="NIC",OR(I1078="TN",I1078="TDN",I1078="TNO2-3",I1078="NO2-3")),VLOOKUP(E1078,QCNIC_N,2,),IF(AND(H1078="UREA",OR(I1078="TN",I1078="TDN",I1078="TNO2-3",I1078="NO2-3")),VLOOKUP(E1078,QCUREA_N,2,),IF(H1078="PER",VLOOKUP(I1078,QCPER,MATCH(E1078,QCACTUAL!$J$25:$AA$25,0),),IF(H1078="SPK",VLOOKUP(I1078,QCSPK,3,),IF(AND(H1078="ATP",OR(I1078="TP",I1078="TDP")),VLOOKUP(E1078,QCATP_P,2,),""))))))))</f>
        <v/>
      </c>
      <c r="W1078" s="31" t="str">
        <f t="shared" si="118"/>
        <v>TRUE</v>
      </c>
      <c r="X1078" s="31" t="str">
        <f t="shared" si="119"/>
        <v/>
      </c>
      <c r="Y1078" s="10" t="s">
        <v>1040</v>
      </c>
      <c r="Z1078" s="10" t="s">
        <v>910</v>
      </c>
      <c r="AL1078" s="10" t="str">
        <f t="shared" si="114"/>
        <v>FALSE</v>
      </c>
      <c r="AM1078" s="10" t="str">
        <f t="shared" si="114"/>
        <v>FALSE</v>
      </c>
      <c r="AN1078" s="10" t="str">
        <f t="shared" si="114"/>
        <v>FALSE</v>
      </c>
      <c r="AO1078" s="10" t="str">
        <f t="shared" si="115"/>
        <v>FALSE</v>
      </c>
      <c r="AP1078" s="10" t="str">
        <f t="shared" si="115"/>
        <v>FALSE</v>
      </c>
      <c r="AQ1078" s="10" t="b">
        <f>IF(AND(I1078="TP",S1078&lt;=150),VLOOKUP(AF1078,TPCalibEq150!$AZ$2:$BB$55,3,),IF(AND(I1078="TDP",S1078&lt;=150),VLOOKUP(AF1078,TPCalibEq150!$AZ$2:$BB$55,3,)))</f>
        <v>0</v>
      </c>
      <c r="AR1078" s="10" t="b">
        <f>IF(AND(I1078="TP",S1078&lt;=300),VLOOKUP(AF1078,TPCalibEq300!$AZ$2:$BB$55,3,),IF(AND(I1078="TDP",S1078&lt;=300),VLOOKUP(AF1078,TPCalibEq300!$AZ$2:$BB$55,3,)))</f>
        <v>0</v>
      </c>
      <c r="AS1078" s="10" t="b">
        <f>IF(AND(I1078="TP",S1078&lt;=500),VLOOKUP(AF1078,TPCalibEq500!$AZ$2:$BB$56,3,),IF(AND(I1078="TDP",S1078&lt;=500),VLOOKUP(AF1078,TPCalibEq500!$AZ$2:$BB$56,3,)))</f>
        <v>0</v>
      </c>
      <c r="AT1078" s="10" t="b">
        <f>IF(AND(I1078="TN",S1078&lt;=2800),VLOOKUP(AF1078,TNCalibEq2500!$AZ$2:$BB$56,3,),IF(AND(I1078="TDN",S1078&lt;=2800),VLOOKUP(AF1078,TNCalibEq2500!$AZ$2:$BB$56,3,)))</f>
        <v>0</v>
      </c>
      <c r="AU1078" s="10" t="b">
        <f>IF(I1078="TP",VLOOKUP(AF1078,TPCalibEqFull!$AZ$2:$BB$56,3),IF(I1078="TDP",VLOOKUP(AF1078,TPCalibEqFull!$AZ$2:$BB$56,3),IF(I1078="TDN",VLOOKUP(AF1078,TNCalibEqFull!$AZ$1:$BB$56,3),IF(I1078="TN",VLOOKUP(AF1078,TNCalibEqFull!$AZ$1:$BB$56,3),FALSE))))</f>
        <v>0</v>
      </c>
      <c r="AV1078" s="10" t="str">
        <f t="shared" si="120"/>
        <v>0117 11:17:00-EAW-0-FIL-1-SW-UKN</v>
      </c>
    </row>
    <row r="1079" spans="1:48" s="10" customFormat="1" x14ac:dyDescent="0.55000000000000004">
      <c r="A1079" s="32">
        <v>44943</v>
      </c>
      <c r="B1079" s="33">
        <v>0.48125000000000001</v>
      </c>
      <c r="C1079" s="10" t="s">
        <v>613</v>
      </c>
      <c r="D1079" s="10">
        <v>0</v>
      </c>
      <c r="E1079" s="10" t="s">
        <v>911</v>
      </c>
      <c r="F1079" s="10">
        <v>1</v>
      </c>
      <c r="G1079" s="10" t="s">
        <v>231</v>
      </c>
      <c r="H1079" s="10" t="s">
        <v>322</v>
      </c>
      <c r="I1079" s="10" t="s">
        <v>256</v>
      </c>
      <c r="J1079" s="10">
        <v>51</v>
      </c>
      <c r="K1079" s="12">
        <v>44950</v>
      </c>
      <c r="L1079" s="33">
        <v>0.51755787037037038</v>
      </c>
      <c r="M1079" s="10">
        <v>1</v>
      </c>
      <c r="N1079" s="10" t="s">
        <v>169</v>
      </c>
      <c r="O1079" s="10">
        <v>2.87</v>
      </c>
      <c r="P1079" s="10">
        <v>0.16500000000000001</v>
      </c>
      <c r="Q1079" s="10">
        <v>439</v>
      </c>
      <c r="R1079" s="10" t="s">
        <v>77</v>
      </c>
      <c r="S1079" s="34">
        <f t="shared" si="116"/>
        <v>439</v>
      </c>
      <c r="T1079" s="10" t="s">
        <v>1058</v>
      </c>
      <c r="U1079" s="34" t="str">
        <f t="shared" si="117"/>
        <v/>
      </c>
      <c r="V1079" s="31" t="str">
        <f>IF(H1079="CHK",VLOOKUP(I1079,QCCHK,3,),IF(H1079="GUP",VLOOKUP(E1079,QCGUP,2,),IF(AND(H1079="ATP",OR(I1079="TN",I1079="TDN",I1079="TNO2-3",I1079="NO2-3")),VLOOKUP(E1079,QCREC_N,2,),IF(AND(H1079="NIC",OR(I1079="TN",I1079="TDN",I1079="TNO2-3",I1079="NO2-3")),VLOOKUP(E1079,QCNIC_N,2,),IF(AND(H1079="UREA",OR(I1079="TN",I1079="TDN",I1079="TNO2-3",I1079="NO2-3")),VLOOKUP(E1079,QCUREA_N,2,),IF(H1079="PER",VLOOKUP(I1079,QCPER,MATCH(E1079,QCACTUAL!$J$25:$AA$25,0),),IF(H1079="SPK",VLOOKUP(I1079,QCSPK,3,),IF(AND(H1079="ATP",OR(I1079="TP",I1079="TDP")),VLOOKUP(E1079,QCATP_P,2,),""))))))))</f>
        <v/>
      </c>
      <c r="W1079" s="31" t="str">
        <f t="shared" si="118"/>
        <v>TRUE</v>
      </c>
      <c r="X1079" s="31" t="str">
        <f t="shared" si="119"/>
        <v/>
      </c>
      <c r="Y1079" s="10" t="s">
        <v>1040</v>
      </c>
      <c r="Z1079" s="10" t="s">
        <v>910</v>
      </c>
      <c r="AL1079" s="10" t="str">
        <f t="shared" si="114"/>
        <v>FALSE</v>
      </c>
      <c r="AM1079" s="10" t="str">
        <f t="shared" si="114"/>
        <v>FALSE</v>
      </c>
      <c r="AN1079" s="10" t="str">
        <f t="shared" si="114"/>
        <v>FALSE</v>
      </c>
      <c r="AO1079" s="10" t="str">
        <f t="shared" si="115"/>
        <v>FALSE</v>
      </c>
      <c r="AP1079" s="10" t="str">
        <f t="shared" si="115"/>
        <v>FALSE</v>
      </c>
      <c r="AQ1079" s="10" t="b">
        <f>IF(AND(I1079="TP",S1079&lt;=150),VLOOKUP(AF1079,TPCalibEq150!$AZ$2:$BB$55,3,),IF(AND(I1079="TDP",S1079&lt;=150),VLOOKUP(AF1079,TPCalibEq150!$AZ$2:$BB$55,3,)))</f>
        <v>0</v>
      </c>
      <c r="AR1079" s="10" t="b">
        <f>IF(AND(I1079="TP",S1079&lt;=300),VLOOKUP(AF1079,TPCalibEq300!$AZ$2:$BB$55,3,),IF(AND(I1079="TDP",S1079&lt;=300),VLOOKUP(AF1079,TPCalibEq300!$AZ$2:$BB$55,3,)))</f>
        <v>0</v>
      </c>
      <c r="AS1079" s="10" t="b">
        <f>IF(AND(I1079="TP",S1079&lt;=500),VLOOKUP(AF1079,TPCalibEq500!$AZ$2:$BB$56,3,),IF(AND(I1079="TDP",S1079&lt;=500),VLOOKUP(AF1079,TPCalibEq500!$AZ$2:$BB$56,3,)))</f>
        <v>0</v>
      </c>
      <c r="AT1079" s="10" t="b">
        <f>IF(AND(I1079="TN",S1079&lt;=2800),VLOOKUP(AF1079,TNCalibEq2500!$AZ$2:$BB$56,3,),IF(AND(I1079="TDN",S1079&lt;=2800),VLOOKUP(AF1079,TNCalibEq2500!$AZ$2:$BB$56,3,)))</f>
        <v>0</v>
      </c>
      <c r="AU1079" s="10" t="b">
        <f>IF(I1079="TP",VLOOKUP(AF1079,TPCalibEqFull!$AZ$2:$BB$56,3),IF(I1079="TDP",VLOOKUP(AF1079,TPCalibEqFull!$AZ$2:$BB$56,3),IF(I1079="TDN",VLOOKUP(AF1079,TNCalibEqFull!$AZ$1:$BB$56,3),IF(I1079="TN",VLOOKUP(AF1079,TNCalibEqFull!$AZ$1:$BB$56,3),FALSE))))</f>
        <v>0</v>
      </c>
      <c r="AV1079" s="10" t="str">
        <f t="shared" si="120"/>
        <v>0117 11:33:00-FVC-0-FIL-1-SW-UKN</v>
      </c>
    </row>
    <row r="1080" spans="1:48" s="10" customFormat="1" x14ac:dyDescent="0.55000000000000004">
      <c r="A1080" s="32">
        <v>44943</v>
      </c>
      <c r="B1080" s="33">
        <v>0.48125000000000001</v>
      </c>
      <c r="C1080" s="10" t="s">
        <v>613</v>
      </c>
      <c r="D1080" s="10">
        <v>0</v>
      </c>
      <c r="E1080" s="10" t="s">
        <v>911</v>
      </c>
      <c r="F1080" s="10">
        <v>2</v>
      </c>
      <c r="G1080" s="10" t="s">
        <v>231</v>
      </c>
      <c r="H1080" s="10" t="s">
        <v>322</v>
      </c>
      <c r="I1080" s="10" t="s">
        <v>256</v>
      </c>
      <c r="J1080" s="10">
        <v>52</v>
      </c>
      <c r="K1080" s="12">
        <v>44950</v>
      </c>
      <c r="L1080" s="33">
        <v>0.51837962962962958</v>
      </c>
      <c r="M1080" s="10">
        <v>1</v>
      </c>
      <c r="N1080" s="10" t="s">
        <v>169</v>
      </c>
      <c r="O1080" s="10">
        <v>3.25</v>
      </c>
      <c r="P1080" s="10">
        <v>0.186</v>
      </c>
      <c r="Q1080" s="10">
        <v>497</v>
      </c>
      <c r="R1080" s="10" t="s">
        <v>77</v>
      </c>
      <c r="S1080" s="34">
        <f t="shared" si="116"/>
        <v>497</v>
      </c>
      <c r="T1080" s="10" t="s">
        <v>1058</v>
      </c>
      <c r="U1080" s="34" t="str">
        <f t="shared" si="117"/>
        <v/>
      </c>
      <c r="V1080" s="31" t="str">
        <f>IF(H1080="CHK",VLOOKUP(I1080,QCCHK,3,),IF(H1080="GUP",VLOOKUP(E1080,QCGUP,2,),IF(AND(H1080="ATP",OR(I1080="TN",I1080="TDN",I1080="TNO2-3",I1080="NO2-3")),VLOOKUP(E1080,QCREC_N,2,),IF(AND(H1080="NIC",OR(I1080="TN",I1080="TDN",I1080="TNO2-3",I1080="NO2-3")),VLOOKUP(E1080,QCNIC_N,2,),IF(AND(H1080="UREA",OR(I1080="TN",I1080="TDN",I1080="TNO2-3",I1080="NO2-3")),VLOOKUP(E1080,QCUREA_N,2,),IF(H1080="PER",VLOOKUP(I1080,QCPER,MATCH(E1080,QCACTUAL!$J$25:$AA$25,0),),IF(H1080="SPK",VLOOKUP(I1080,QCSPK,3,),IF(AND(H1080="ATP",OR(I1080="TP",I1080="TDP")),VLOOKUP(E1080,QCATP_P,2,),""))))))))</f>
        <v/>
      </c>
      <c r="W1080" s="31" t="str">
        <f t="shared" si="118"/>
        <v>TRUE</v>
      </c>
      <c r="X1080" s="31" t="str">
        <f t="shared" si="119"/>
        <v/>
      </c>
      <c r="Y1080" s="10" t="s">
        <v>1040</v>
      </c>
      <c r="Z1080" s="10" t="s">
        <v>910</v>
      </c>
      <c r="AL1080" s="10" t="str">
        <f t="shared" ref="AL1080:AN1095" si="121">IF($O1080="", "", IF(AQ1080&lt;&gt;"", SUBSTITUTE(SUBSTITUTE(AQ1080, "x", "*"&amp;$O1080&amp;"^", 1), "x", "*"&amp;$O1080, 1), ""))</f>
        <v>FALSE</v>
      </c>
      <c r="AM1080" s="10" t="str">
        <f t="shared" si="121"/>
        <v>FALSE</v>
      </c>
      <c r="AN1080" s="10" t="str">
        <f t="shared" si="121"/>
        <v>FALSE</v>
      </c>
      <c r="AO1080" s="10" t="str">
        <f t="shared" ref="AO1080:AP1095" si="122">IF($O1080="", "FALSE", IF(AT1080&lt;&gt;"FALSE", SUBSTITUTE(SUBSTITUTE(AT1080, "x", "*"&amp;$O1080&amp;"^", 1), "x", "*"&amp;$O1080, 1), ""))</f>
        <v>FALSE</v>
      </c>
      <c r="AP1080" s="10" t="str">
        <f t="shared" si="122"/>
        <v>FALSE</v>
      </c>
      <c r="AQ1080" s="10" t="b">
        <f>IF(AND(I1080="TP",S1080&lt;=150),VLOOKUP(AF1080,TPCalibEq150!$AZ$2:$BB$55,3,),IF(AND(I1080="TDP",S1080&lt;=150),VLOOKUP(AF1080,TPCalibEq150!$AZ$2:$BB$55,3,)))</f>
        <v>0</v>
      </c>
      <c r="AR1080" s="10" t="b">
        <f>IF(AND(I1080="TP",S1080&lt;=300),VLOOKUP(AF1080,TPCalibEq300!$AZ$2:$BB$55,3,),IF(AND(I1080="TDP",S1080&lt;=300),VLOOKUP(AF1080,TPCalibEq300!$AZ$2:$BB$55,3,)))</f>
        <v>0</v>
      </c>
      <c r="AS1080" s="10" t="b">
        <f>IF(AND(I1080="TP",S1080&lt;=500),VLOOKUP(AF1080,TPCalibEq500!$AZ$2:$BB$56,3,),IF(AND(I1080="TDP",S1080&lt;=500),VLOOKUP(AF1080,TPCalibEq500!$AZ$2:$BB$56,3,)))</f>
        <v>0</v>
      </c>
      <c r="AT1080" s="10" t="b">
        <f>IF(AND(I1080="TN",S1080&lt;=2800),VLOOKUP(AF1080,TNCalibEq2500!$AZ$2:$BB$56,3,),IF(AND(I1080="TDN",S1080&lt;=2800),VLOOKUP(AF1080,TNCalibEq2500!$AZ$2:$BB$56,3,)))</f>
        <v>0</v>
      </c>
      <c r="AU1080" s="10" t="b">
        <f>IF(I1080="TP",VLOOKUP(AF1080,TPCalibEqFull!$AZ$2:$BB$56,3),IF(I1080="TDP",VLOOKUP(AF1080,TPCalibEqFull!$AZ$2:$BB$56,3),IF(I1080="TDN",VLOOKUP(AF1080,TNCalibEqFull!$AZ$1:$BB$56,3),IF(I1080="TN",VLOOKUP(AF1080,TNCalibEqFull!$AZ$1:$BB$56,3),FALSE))))</f>
        <v>0</v>
      </c>
      <c r="AV1080" s="10" t="str">
        <f t="shared" si="120"/>
        <v>0117 11:33:00-FVC-0-FIL-2-SW-UKN</v>
      </c>
    </row>
    <row r="1081" spans="1:48" s="10" customFormat="1" x14ac:dyDescent="0.55000000000000004">
      <c r="A1081" s="32">
        <v>44943</v>
      </c>
      <c r="B1081" s="33">
        <v>0.48125000000000001</v>
      </c>
      <c r="C1081" s="10" t="s">
        <v>613</v>
      </c>
      <c r="D1081" s="10">
        <v>0</v>
      </c>
      <c r="E1081" s="10" t="s">
        <v>911</v>
      </c>
      <c r="F1081" s="10">
        <v>2</v>
      </c>
      <c r="G1081" s="10" t="s">
        <v>231</v>
      </c>
      <c r="H1081" s="10" t="s">
        <v>233</v>
      </c>
      <c r="I1081" s="10" t="s">
        <v>256</v>
      </c>
      <c r="J1081" s="10">
        <v>52</v>
      </c>
      <c r="K1081" s="12">
        <v>44950</v>
      </c>
      <c r="L1081" s="33">
        <v>0.51920138888888889</v>
      </c>
      <c r="M1081" s="10">
        <v>1</v>
      </c>
      <c r="N1081" s="10" t="s">
        <v>169</v>
      </c>
      <c r="O1081" s="10">
        <v>3.26</v>
      </c>
      <c r="P1081" s="10">
        <v>0.186</v>
      </c>
      <c r="Q1081" s="10">
        <v>498</v>
      </c>
      <c r="R1081" s="10" t="s">
        <v>77</v>
      </c>
      <c r="S1081" s="34">
        <f t="shared" si="116"/>
        <v>498</v>
      </c>
      <c r="T1081" s="10" t="s">
        <v>1058</v>
      </c>
      <c r="U1081" s="34">
        <f t="shared" si="117"/>
        <v>0.20100502512562815</v>
      </c>
      <c r="V1081" s="31" t="str">
        <f>IF(H1081="CHK",VLOOKUP(I1081,QCCHK,3,),IF(H1081="GUP",VLOOKUP(E1081,QCGUP,2,),IF(AND(H1081="ATP",OR(I1081="TN",I1081="TDN",I1081="TNO2-3",I1081="NO2-3")),VLOOKUP(E1081,QCREC_N,2,),IF(AND(H1081="NIC",OR(I1081="TN",I1081="TDN",I1081="TNO2-3",I1081="NO2-3")),VLOOKUP(E1081,QCNIC_N,2,),IF(AND(H1081="UREA",OR(I1081="TN",I1081="TDN",I1081="TNO2-3",I1081="NO2-3")),VLOOKUP(E1081,QCUREA_N,2,),IF(H1081="PER",VLOOKUP(I1081,QCPER,MATCH(E1081,QCACTUAL!$J$25:$AA$25,0),),IF(H1081="SPK",VLOOKUP(I1081,QCSPK,3,),IF(AND(H1081="ATP",OR(I1081="TP",I1081="TDP")),VLOOKUP(E1081,QCATP_P,2,),""))))))))</f>
        <v/>
      </c>
      <c r="W1081" s="31" t="str">
        <f t="shared" si="118"/>
        <v>TRUE</v>
      </c>
      <c r="X1081" s="31" t="str">
        <f t="shared" si="119"/>
        <v>((ABS(rep1-rep2))/((rep1+rep2)/2)*100</v>
      </c>
      <c r="Y1081" s="10" t="s">
        <v>1040</v>
      </c>
      <c r="Z1081" s="10" t="s">
        <v>910</v>
      </c>
      <c r="AL1081" s="10" t="str">
        <f t="shared" si="121"/>
        <v>FALSE</v>
      </c>
      <c r="AM1081" s="10" t="str">
        <f t="shared" si="121"/>
        <v>FALSE</v>
      </c>
      <c r="AN1081" s="10" t="str">
        <f t="shared" si="121"/>
        <v>FALSE</v>
      </c>
      <c r="AO1081" s="10" t="str">
        <f t="shared" si="122"/>
        <v>FALSE</v>
      </c>
      <c r="AP1081" s="10" t="str">
        <f t="shared" si="122"/>
        <v>FALSE</v>
      </c>
      <c r="AQ1081" s="10" t="b">
        <f>IF(AND(I1081="TP",S1081&lt;=150),VLOOKUP(AF1081,TPCalibEq150!$AZ$2:$BB$55,3,),IF(AND(I1081="TDP",S1081&lt;=150),VLOOKUP(AF1081,TPCalibEq150!$AZ$2:$BB$55,3,)))</f>
        <v>0</v>
      </c>
      <c r="AR1081" s="10" t="b">
        <f>IF(AND(I1081="TP",S1081&lt;=300),VLOOKUP(AF1081,TPCalibEq300!$AZ$2:$BB$55,3,),IF(AND(I1081="TDP",S1081&lt;=300),VLOOKUP(AF1081,TPCalibEq300!$AZ$2:$BB$55,3,)))</f>
        <v>0</v>
      </c>
      <c r="AS1081" s="10" t="b">
        <f>IF(AND(I1081="TP",S1081&lt;=500),VLOOKUP(AF1081,TPCalibEq500!$AZ$2:$BB$56,3,),IF(AND(I1081="TDP",S1081&lt;=500),VLOOKUP(AF1081,TPCalibEq500!$AZ$2:$BB$56,3,)))</f>
        <v>0</v>
      </c>
      <c r="AT1081" s="10" t="b">
        <f>IF(AND(I1081="TN",S1081&lt;=2800),VLOOKUP(AF1081,TNCalibEq2500!$AZ$2:$BB$56,3,),IF(AND(I1081="TDN",S1081&lt;=2800),VLOOKUP(AF1081,TNCalibEq2500!$AZ$2:$BB$56,3,)))</f>
        <v>0</v>
      </c>
      <c r="AU1081" s="10" t="b">
        <f>IF(I1081="TP",VLOOKUP(AF1081,TPCalibEqFull!$AZ$2:$BB$56,3),IF(I1081="TDP",VLOOKUP(AF1081,TPCalibEqFull!$AZ$2:$BB$56,3),IF(I1081="TDN",VLOOKUP(AF1081,TNCalibEqFull!$AZ$1:$BB$56,3),IF(I1081="TN",VLOOKUP(AF1081,TNCalibEqFull!$AZ$1:$BB$56,3),FALSE))))</f>
        <v>0</v>
      </c>
      <c r="AV1081" s="10" t="str">
        <f t="shared" si="120"/>
        <v>0117 11:33:00-FVC-0-FIL-2-SW-DUP</v>
      </c>
    </row>
    <row r="1082" spans="1:48" s="10" customFormat="1" x14ac:dyDescent="0.55000000000000004">
      <c r="A1082" s="32">
        <v>44943</v>
      </c>
      <c r="B1082" s="33">
        <v>0.48125000000000001</v>
      </c>
      <c r="C1082" s="10" t="s">
        <v>613</v>
      </c>
      <c r="D1082" s="10">
        <v>0</v>
      </c>
      <c r="E1082" s="10" t="s">
        <v>911</v>
      </c>
      <c r="F1082" s="10">
        <v>2</v>
      </c>
      <c r="G1082" s="10" t="s">
        <v>231</v>
      </c>
      <c r="H1082" s="10" t="s">
        <v>314</v>
      </c>
      <c r="I1082" s="10" t="s">
        <v>256</v>
      </c>
      <c r="J1082" s="10">
        <v>61</v>
      </c>
      <c r="K1082" s="12">
        <v>44950</v>
      </c>
      <c r="L1082" s="33">
        <v>0.52002314814814821</v>
      </c>
      <c r="M1082" s="10">
        <v>1</v>
      </c>
      <c r="N1082" s="10" t="s">
        <v>169</v>
      </c>
      <c r="O1082" s="10">
        <v>7.56</v>
      </c>
      <c r="P1082" s="10">
        <v>0.43099999999999999</v>
      </c>
      <c r="Q1082" s="10">
        <v>1150</v>
      </c>
      <c r="R1082" s="10" t="s">
        <v>77</v>
      </c>
      <c r="S1082" s="34">
        <f t="shared" si="116"/>
        <v>1150</v>
      </c>
      <c r="T1082" s="10" t="s">
        <v>1058</v>
      </c>
      <c r="U1082" s="34">
        <f t="shared" si="117"/>
        <v>104.32</v>
      </c>
      <c r="V1082" s="31">
        <f>IF(H1082="CHK",VLOOKUP(I1082,QCCHK,3,),IF(H1082="GUP",VLOOKUP(E1082,QCGUP,2,),IF(AND(H1082="ATP",OR(I1082="TN",I1082="TDN",I1082="TNO2-3",I1082="NO2-3")),VLOOKUP(E1082,QCREC_N,2,),IF(AND(H1082="NIC",OR(I1082="TN",I1082="TDN",I1082="TNO2-3",I1082="NO2-3")),VLOOKUP(E1082,QCNIC_N,2,),IF(AND(H1082="UREA",OR(I1082="TN",I1082="TDN",I1082="TNO2-3",I1082="NO2-3")),VLOOKUP(E1082,QCUREA_N,2,),IF(H1082="PER",VLOOKUP(I1082,QCPER,MATCH(E1082,QCACTUAL!$J$25:$AA$25,0),),IF(H1082="SPK",VLOOKUP(I1082,QCSPK,3,),IF(AND(H1082="ATP",OR(I1082="TP",I1082="TDP")),VLOOKUP(E1082,QCATP_P,2,),""))))))))</f>
        <v>625</v>
      </c>
      <c r="W1082" s="31" t="str">
        <f t="shared" si="118"/>
        <v>TRUE</v>
      </c>
      <c r="X1082" s="31" t="str">
        <f t="shared" si="119"/>
        <v>([spikedunkn]-[unkn])/[spike]*100</v>
      </c>
      <c r="Y1082" s="10" t="s">
        <v>1040</v>
      </c>
      <c r="Z1082" s="10" t="s">
        <v>910</v>
      </c>
      <c r="AL1082" s="10" t="str">
        <f t="shared" si="121"/>
        <v>FALSE</v>
      </c>
      <c r="AM1082" s="10" t="str">
        <f t="shared" si="121"/>
        <v>FALSE</v>
      </c>
      <c r="AN1082" s="10" t="str">
        <f t="shared" si="121"/>
        <v>FALSE</v>
      </c>
      <c r="AO1082" s="10" t="str">
        <f t="shared" si="122"/>
        <v>FALSE</v>
      </c>
      <c r="AP1082" s="10" t="str">
        <f t="shared" si="122"/>
        <v>FALSE</v>
      </c>
      <c r="AQ1082" s="10" t="b">
        <f>IF(AND(I1082="TP",S1082&lt;=150),VLOOKUP(AF1082,TPCalibEq150!$AZ$2:$BB$55,3,),IF(AND(I1082="TDP",S1082&lt;=150),VLOOKUP(AF1082,TPCalibEq150!$AZ$2:$BB$55,3,)))</f>
        <v>0</v>
      </c>
      <c r="AR1082" s="10" t="b">
        <f>IF(AND(I1082="TP",S1082&lt;=300),VLOOKUP(AF1082,TPCalibEq300!$AZ$2:$BB$55,3,),IF(AND(I1082="TDP",S1082&lt;=300),VLOOKUP(AF1082,TPCalibEq300!$AZ$2:$BB$55,3,)))</f>
        <v>0</v>
      </c>
      <c r="AS1082" s="10" t="b">
        <f>IF(AND(I1082="TP",S1082&lt;=500),VLOOKUP(AF1082,TPCalibEq500!$AZ$2:$BB$56,3,),IF(AND(I1082="TDP",S1082&lt;=500),VLOOKUP(AF1082,TPCalibEq500!$AZ$2:$BB$56,3,)))</f>
        <v>0</v>
      </c>
      <c r="AT1082" s="10" t="b">
        <f>IF(AND(I1082="TN",S1082&lt;=2800),VLOOKUP(AF1082,TNCalibEq2500!$AZ$2:$BB$56,3,),IF(AND(I1082="TDN",S1082&lt;=2800),VLOOKUP(AF1082,TNCalibEq2500!$AZ$2:$BB$56,3,)))</f>
        <v>0</v>
      </c>
      <c r="AU1082" s="10" t="b">
        <f>IF(I1082="TP",VLOOKUP(AF1082,TPCalibEqFull!$AZ$2:$BB$56,3),IF(I1082="TDP",VLOOKUP(AF1082,TPCalibEqFull!$AZ$2:$BB$56,3),IF(I1082="TDN",VLOOKUP(AF1082,TNCalibEqFull!$AZ$1:$BB$56,3),IF(I1082="TN",VLOOKUP(AF1082,TNCalibEqFull!$AZ$1:$BB$56,3),FALSE))))</f>
        <v>0</v>
      </c>
      <c r="AV1082" s="10" t="str">
        <f t="shared" si="120"/>
        <v>0117 11:33:00-FVC-0-FIL-2-SW-SPK</v>
      </c>
    </row>
    <row r="1083" spans="1:48" s="10" customFormat="1" x14ac:dyDescent="0.55000000000000004">
      <c r="A1083" s="32">
        <v>44950</v>
      </c>
      <c r="B1083" s="33">
        <v>0.375</v>
      </c>
      <c r="C1083" s="10" t="s">
        <v>70</v>
      </c>
      <c r="D1083" s="10" t="s">
        <v>71</v>
      </c>
      <c r="E1083" s="10" t="s">
        <v>901</v>
      </c>
      <c r="F1083" s="10">
        <v>1</v>
      </c>
      <c r="G1083" s="10" t="s">
        <v>73</v>
      </c>
      <c r="H1083" s="10" t="s">
        <v>207</v>
      </c>
      <c r="I1083" s="10" t="s">
        <v>256</v>
      </c>
      <c r="J1083" s="10">
        <v>201</v>
      </c>
      <c r="K1083" s="12">
        <v>44950</v>
      </c>
      <c r="L1083" s="33">
        <v>0.52084490740740741</v>
      </c>
      <c r="M1083" s="10">
        <v>1</v>
      </c>
      <c r="N1083" s="10" t="s">
        <v>169</v>
      </c>
      <c r="O1083" s="10">
        <v>1.98</v>
      </c>
      <c r="P1083" s="10">
        <v>0.11700000000000001</v>
      </c>
      <c r="Q1083" s="10">
        <v>303</v>
      </c>
      <c r="R1083" s="10" t="s">
        <v>77</v>
      </c>
      <c r="S1083" s="34">
        <f t="shared" si="116"/>
        <v>303</v>
      </c>
      <c r="T1083" s="10" t="s">
        <v>1058</v>
      </c>
      <c r="U1083" s="34">
        <f t="shared" si="117"/>
        <v>101</v>
      </c>
      <c r="V1083" s="31">
        <f>IF(H1083="CHK",VLOOKUP(I1083,QCCHK,3,),IF(H1083="GUP",VLOOKUP(E1083,QCGUP,2,),IF(AND(H1083="ATP",OR(I1083="TN",I1083="TDN",I1083="TNO2-3",I1083="NO2-3")),VLOOKUP(E1083,QCREC_N,2,),IF(AND(H1083="NIC",OR(I1083="TN",I1083="TDN",I1083="TNO2-3",I1083="NO2-3")),VLOOKUP(E1083,QCNIC_N,2,),IF(AND(H1083="UREA",OR(I1083="TN",I1083="TDN",I1083="TNO2-3",I1083="NO2-3")),VLOOKUP(E1083,QCUREA_N,2,),IF(H1083="PER",VLOOKUP(I1083,QCPER,MATCH(E1083,QCACTUAL!$J$25:$AA$25,0),),IF(H1083="SPK",VLOOKUP(I1083,QCSPK,3,),IF(AND(H1083="ATP",OR(I1083="TP",I1083="TDP")),VLOOKUP(E1083,QCATP_P,2,),""))))))))</f>
        <v>300</v>
      </c>
      <c r="W1083" s="31" t="str">
        <f t="shared" si="118"/>
        <v>TRUE</v>
      </c>
      <c r="X1083" s="31" t="str">
        <f t="shared" si="119"/>
        <v>[chk]/[actual]*100</v>
      </c>
      <c r="Y1083" s="10" t="s">
        <v>1040</v>
      </c>
      <c r="AL1083" s="10" t="str">
        <f t="shared" si="121"/>
        <v>FALSE</v>
      </c>
      <c r="AM1083" s="10" t="str">
        <f t="shared" si="121"/>
        <v>FALSE</v>
      </c>
      <c r="AN1083" s="10" t="str">
        <f t="shared" si="121"/>
        <v>FALSE</v>
      </c>
      <c r="AO1083" s="10" t="str">
        <f t="shared" si="122"/>
        <v>FALSE</v>
      </c>
      <c r="AP1083" s="10" t="str">
        <f t="shared" si="122"/>
        <v>FALSE</v>
      </c>
      <c r="AQ1083" s="10" t="b">
        <f>IF(AND(I1083="TP",S1083&lt;=150),VLOOKUP(AF1083,TPCalibEq150!$AZ$2:$BB$55,3,),IF(AND(I1083="TDP",S1083&lt;=150),VLOOKUP(AF1083,TPCalibEq150!$AZ$2:$BB$55,3,)))</f>
        <v>0</v>
      </c>
      <c r="AR1083" s="10" t="b">
        <f>IF(AND(I1083="TP",S1083&lt;=300),VLOOKUP(AF1083,TPCalibEq300!$AZ$2:$BB$55,3,),IF(AND(I1083="TDP",S1083&lt;=300),VLOOKUP(AF1083,TPCalibEq300!$AZ$2:$BB$55,3,)))</f>
        <v>0</v>
      </c>
      <c r="AS1083" s="10" t="b">
        <f>IF(AND(I1083="TP",S1083&lt;=500),VLOOKUP(AF1083,TPCalibEq500!$AZ$2:$BB$56,3,),IF(AND(I1083="TDP",S1083&lt;=500),VLOOKUP(AF1083,TPCalibEq500!$AZ$2:$BB$56,3,)))</f>
        <v>0</v>
      </c>
      <c r="AT1083" s="10" t="b">
        <f>IF(AND(I1083="TN",S1083&lt;=2800),VLOOKUP(AF1083,TNCalibEq2500!$AZ$2:$BB$56,3,),IF(AND(I1083="TDN",S1083&lt;=2800),VLOOKUP(AF1083,TNCalibEq2500!$AZ$2:$BB$56,3,)))</f>
        <v>0</v>
      </c>
      <c r="AU1083" s="10" t="b">
        <f>IF(I1083="TP",VLOOKUP(AF1083,TPCalibEqFull!$AZ$2:$BB$56,3),IF(I1083="TDP",VLOOKUP(AF1083,TPCalibEqFull!$AZ$2:$BB$56,3),IF(I1083="TDN",VLOOKUP(AF1083,TNCalibEqFull!$AZ$1:$BB$56,3),IF(I1083="TN",VLOOKUP(AF1083,TNCalibEqFull!$AZ$1:$BB$56,3),FALSE))))</f>
        <v>0</v>
      </c>
      <c r="AV1083" s="10" t="str">
        <f t="shared" si="120"/>
        <v>0124 09:00:00-QAC-STD-D-1-DI-CHK</v>
      </c>
    </row>
    <row r="1084" spans="1:48" s="10" customFormat="1" x14ac:dyDescent="0.55000000000000004">
      <c r="A1084" s="32">
        <v>44943</v>
      </c>
      <c r="B1084" s="33">
        <v>0.48888888888888887</v>
      </c>
      <c r="C1084" s="10" t="s">
        <v>250</v>
      </c>
      <c r="D1084" s="10">
        <v>0</v>
      </c>
      <c r="E1084" s="10" t="s">
        <v>911</v>
      </c>
      <c r="F1084" s="10">
        <v>1</v>
      </c>
      <c r="G1084" s="10" t="s">
        <v>231</v>
      </c>
      <c r="H1084" s="10" t="s">
        <v>322</v>
      </c>
      <c r="I1084" s="10" t="s">
        <v>256</v>
      </c>
      <c r="J1084" s="10">
        <v>53</v>
      </c>
      <c r="K1084" s="12">
        <v>44950</v>
      </c>
      <c r="L1084" s="33">
        <v>0.52166666666666661</v>
      </c>
      <c r="M1084" s="10">
        <v>1</v>
      </c>
      <c r="N1084" s="10" t="s">
        <v>169</v>
      </c>
      <c r="O1084" s="10">
        <v>8.3699999999999992</v>
      </c>
      <c r="P1084" s="10">
        <v>0.47599999999999998</v>
      </c>
      <c r="Q1084" s="10">
        <v>1280</v>
      </c>
      <c r="R1084" s="10" t="s">
        <v>77</v>
      </c>
      <c r="S1084" s="34">
        <f t="shared" si="116"/>
        <v>1280</v>
      </c>
      <c r="T1084" s="10" t="s">
        <v>1058</v>
      </c>
      <c r="U1084" s="34" t="str">
        <f t="shared" si="117"/>
        <v/>
      </c>
      <c r="V1084" s="31" t="str">
        <f>IF(H1084="CHK",VLOOKUP(I1084,QCCHK,3,),IF(H1084="GUP",VLOOKUP(E1084,QCGUP,2,),IF(AND(H1084="ATP",OR(I1084="TN",I1084="TDN",I1084="TNO2-3",I1084="NO2-3")),VLOOKUP(E1084,QCREC_N,2,),IF(AND(H1084="NIC",OR(I1084="TN",I1084="TDN",I1084="TNO2-3",I1084="NO2-3")),VLOOKUP(E1084,QCNIC_N,2,),IF(AND(H1084="UREA",OR(I1084="TN",I1084="TDN",I1084="TNO2-3",I1084="NO2-3")),VLOOKUP(E1084,QCUREA_N,2,),IF(H1084="PER",VLOOKUP(I1084,QCPER,MATCH(E1084,QCACTUAL!$J$25:$AA$25,0),),IF(H1084="SPK",VLOOKUP(I1084,QCSPK,3,),IF(AND(H1084="ATP",OR(I1084="TP",I1084="TDP")),VLOOKUP(E1084,QCATP_P,2,),""))))))))</f>
        <v/>
      </c>
      <c r="W1084" s="31" t="str">
        <f t="shared" si="118"/>
        <v>TRUE</v>
      </c>
      <c r="X1084" s="31" t="str">
        <f t="shared" si="119"/>
        <v/>
      </c>
      <c r="Y1084" s="10" t="s">
        <v>1040</v>
      </c>
      <c r="Z1084" s="10" t="s">
        <v>910</v>
      </c>
      <c r="AL1084" s="10" t="str">
        <f t="shared" si="121"/>
        <v>FALSE</v>
      </c>
      <c r="AM1084" s="10" t="str">
        <f t="shared" si="121"/>
        <v>FALSE</v>
      </c>
      <c r="AN1084" s="10" t="str">
        <f t="shared" si="121"/>
        <v>FALSE</v>
      </c>
      <c r="AO1084" s="10" t="str">
        <f t="shared" si="122"/>
        <v>FALSE</v>
      </c>
      <c r="AP1084" s="10" t="str">
        <f t="shared" si="122"/>
        <v>FALSE</v>
      </c>
      <c r="AQ1084" s="10" t="b">
        <f>IF(AND(I1084="TP",S1084&lt;=150),VLOOKUP(AF1084,TPCalibEq150!$AZ$2:$BB$55,3,),IF(AND(I1084="TDP",S1084&lt;=150),VLOOKUP(AF1084,TPCalibEq150!$AZ$2:$BB$55,3,)))</f>
        <v>0</v>
      </c>
      <c r="AR1084" s="10" t="b">
        <f>IF(AND(I1084="TP",S1084&lt;=300),VLOOKUP(AF1084,TPCalibEq300!$AZ$2:$BB$55,3,),IF(AND(I1084="TDP",S1084&lt;=300),VLOOKUP(AF1084,TPCalibEq300!$AZ$2:$BB$55,3,)))</f>
        <v>0</v>
      </c>
      <c r="AS1084" s="10" t="b">
        <f>IF(AND(I1084="TP",S1084&lt;=500),VLOOKUP(AF1084,TPCalibEq500!$AZ$2:$BB$56,3,),IF(AND(I1084="TDP",S1084&lt;=500),VLOOKUP(AF1084,TPCalibEq500!$AZ$2:$BB$56,3,)))</f>
        <v>0</v>
      </c>
      <c r="AT1084" s="10" t="b">
        <f>IF(AND(I1084="TN",S1084&lt;=2800),VLOOKUP(AF1084,TNCalibEq2500!$AZ$2:$BB$56,3,),IF(AND(I1084="TDN",S1084&lt;=2800),VLOOKUP(AF1084,TNCalibEq2500!$AZ$2:$BB$56,3,)))</f>
        <v>0</v>
      </c>
      <c r="AU1084" s="10" t="b">
        <f>IF(I1084="TP",VLOOKUP(AF1084,TPCalibEqFull!$AZ$2:$BB$56,3),IF(I1084="TDP",VLOOKUP(AF1084,TPCalibEqFull!$AZ$2:$BB$56,3),IF(I1084="TDN",VLOOKUP(AF1084,TNCalibEqFull!$AZ$1:$BB$56,3),IF(I1084="TN",VLOOKUP(AF1084,TNCalibEqFull!$AZ$1:$BB$56,3),FALSE))))</f>
        <v>0</v>
      </c>
      <c r="AV1084" s="10" t="str">
        <f t="shared" si="120"/>
        <v>0117 11:44:00-EFB-0-FIL-1-SW-UKN</v>
      </c>
    </row>
    <row r="1085" spans="1:48" s="10" customFormat="1" x14ac:dyDescent="0.55000000000000004">
      <c r="A1085" s="32">
        <v>44943</v>
      </c>
      <c r="B1085" s="33">
        <v>0.49791666666666662</v>
      </c>
      <c r="C1085" s="10" t="s">
        <v>326</v>
      </c>
      <c r="D1085" s="10">
        <v>0</v>
      </c>
      <c r="E1085" s="10" t="s">
        <v>911</v>
      </c>
      <c r="F1085" s="10">
        <v>1</v>
      </c>
      <c r="G1085" s="10" t="s">
        <v>231</v>
      </c>
      <c r="H1085" s="10" t="s">
        <v>322</v>
      </c>
      <c r="I1085" s="10" t="s">
        <v>256</v>
      </c>
      <c r="J1085" s="10">
        <v>54</v>
      </c>
      <c r="K1085" s="12">
        <v>44950</v>
      </c>
      <c r="L1085" s="33">
        <v>0.52247685185185189</v>
      </c>
      <c r="M1085" s="10">
        <v>1</v>
      </c>
      <c r="N1085" s="10" t="s">
        <v>169</v>
      </c>
      <c r="O1085" s="10">
        <v>3.97</v>
      </c>
      <c r="P1085" s="10">
        <v>0.22700000000000001</v>
      </c>
      <c r="Q1085" s="10">
        <v>607</v>
      </c>
      <c r="R1085" s="10" t="s">
        <v>77</v>
      </c>
      <c r="S1085" s="34">
        <f t="shared" si="116"/>
        <v>607</v>
      </c>
      <c r="T1085" s="10" t="s">
        <v>1058</v>
      </c>
      <c r="U1085" s="34" t="str">
        <f t="shared" si="117"/>
        <v/>
      </c>
      <c r="V1085" s="31" t="str">
        <f>IF(H1085="CHK",VLOOKUP(I1085,QCCHK,3,),IF(H1085="GUP",VLOOKUP(E1085,QCGUP,2,),IF(AND(H1085="ATP",OR(I1085="TN",I1085="TDN",I1085="TNO2-3",I1085="NO2-3")),VLOOKUP(E1085,QCREC_N,2,),IF(AND(H1085="NIC",OR(I1085="TN",I1085="TDN",I1085="TNO2-3",I1085="NO2-3")),VLOOKUP(E1085,QCNIC_N,2,),IF(AND(H1085="UREA",OR(I1085="TN",I1085="TDN",I1085="TNO2-3",I1085="NO2-3")),VLOOKUP(E1085,QCUREA_N,2,),IF(H1085="PER",VLOOKUP(I1085,QCPER,MATCH(E1085,QCACTUAL!$J$25:$AA$25,0),),IF(H1085="SPK",VLOOKUP(I1085,QCSPK,3,),IF(AND(H1085="ATP",OR(I1085="TP",I1085="TDP")),VLOOKUP(E1085,QCATP_P,2,),""))))))))</f>
        <v/>
      </c>
      <c r="W1085" s="31" t="str">
        <f t="shared" si="118"/>
        <v>TRUE</v>
      </c>
      <c r="X1085" s="31" t="str">
        <f t="shared" si="119"/>
        <v/>
      </c>
      <c r="Y1085" s="10" t="s">
        <v>1040</v>
      </c>
      <c r="Z1085" s="10" t="s">
        <v>910</v>
      </c>
      <c r="AL1085" s="10" t="str">
        <f t="shared" si="121"/>
        <v>FALSE</v>
      </c>
      <c r="AM1085" s="10" t="str">
        <f t="shared" si="121"/>
        <v>FALSE</v>
      </c>
      <c r="AN1085" s="10" t="str">
        <f t="shared" si="121"/>
        <v>FALSE</v>
      </c>
      <c r="AO1085" s="10" t="str">
        <f t="shared" si="122"/>
        <v>FALSE</v>
      </c>
      <c r="AP1085" s="10" t="str">
        <f t="shared" si="122"/>
        <v>FALSE</v>
      </c>
      <c r="AQ1085" s="10" t="b">
        <f>IF(AND(I1085="TP",S1085&lt;=150),VLOOKUP(AF1085,TPCalibEq150!$AZ$2:$BB$55,3,),IF(AND(I1085="TDP",S1085&lt;=150),VLOOKUP(AF1085,TPCalibEq150!$AZ$2:$BB$55,3,)))</f>
        <v>0</v>
      </c>
      <c r="AR1085" s="10" t="b">
        <f>IF(AND(I1085="TP",S1085&lt;=300),VLOOKUP(AF1085,TPCalibEq300!$AZ$2:$BB$55,3,),IF(AND(I1085="TDP",S1085&lt;=300),VLOOKUP(AF1085,TPCalibEq300!$AZ$2:$BB$55,3,)))</f>
        <v>0</v>
      </c>
      <c r="AS1085" s="10" t="b">
        <f>IF(AND(I1085="TP",S1085&lt;=500),VLOOKUP(AF1085,TPCalibEq500!$AZ$2:$BB$56,3,),IF(AND(I1085="TDP",S1085&lt;=500),VLOOKUP(AF1085,TPCalibEq500!$AZ$2:$BB$56,3,)))</f>
        <v>0</v>
      </c>
      <c r="AT1085" s="10" t="b">
        <f>IF(AND(I1085="TN",S1085&lt;=2800),VLOOKUP(AF1085,TNCalibEq2500!$AZ$2:$BB$56,3,),IF(AND(I1085="TDN",S1085&lt;=2800),VLOOKUP(AF1085,TNCalibEq2500!$AZ$2:$BB$56,3,)))</f>
        <v>0</v>
      </c>
      <c r="AU1085" s="10" t="b">
        <f>IF(I1085="TP",VLOOKUP(AF1085,TPCalibEqFull!$AZ$2:$BB$56,3),IF(I1085="TDP",VLOOKUP(AF1085,TPCalibEqFull!$AZ$2:$BB$56,3),IF(I1085="TDN",VLOOKUP(AF1085,TNCalibEqFull!$AZ$1:$BB$56,3),IF(I1085="TN",VLOOKUP(AF1085,TNCalibEqFull!$AZ$1:$BB$56,3),FALSE))))</f>
        <v>0</v>
      </c>
      <c r="AV1085" s="10" t="str">
        <f t="shared" si="120"/>
        <v>0117 11:57:00-GRR-0-FIL-1-SW-UKN</v>
      </c>
    </row>
    <row r="1086" spans="1:48" s="10" customFormat="1" x14ac:dyDescent="0.55000000000000004">
      <c r="A1086" s="32">
        <v>44943</v>
      </c>
      <c r="B1086" s="33">
        <v>0.50763888888888886</v>
      </c>
      <c r="C1086" s="10" t="s">
        <v>416</v>
      </c>
      <c r="D1086" s="10">
        <v>0</v>
      </c>
      <c r="E1086" s="10" t="s">
        <v>911</v>
      </c>
      <c r="F1086" s="10">
        <v>1</v>
      </c>
      <c r="G1086" s="10" t="s">
        <v>231</v>
      </c>
      <c r="H1086" s="10" t="s">
        <v>322</v>
      </c>
      <c r="I1086" s="10" t="s">
        <v>256</v>
      </c>
      <c r="J1086" s="10">
        <v>55</v>
      </c>
      <c r="K1086" s="12">
        <v>44950</v>
      </c>
      <c r="L1086" s="33">
        <v>0.52328703703703705</v>
      </c>
      <c r="M1086" s="10">
        <v>1</v>
      </c>
      <c r="N1086" s="10" t="s">
        <v>169</v>
      </c>
      <c r="O1086" s="10">
        <v>4.18</v>
      </c>
      <c r="P1086" s="10">
        <v>0.23899999999999999</v>
      </c>
      <c r="Q1086" s="10">
        <v>639</v>
      </c>
      <c r="R1086" s="10" t="s">
        <v>77</v>
      </c>
      <c r="S1086" s="34">
        <f t="shared" si="116"/>
        <v>639</v>
      </c>
      <c r="T1086" s="10" t="s">
        <v>1058</v>
      </c>
      <c r="U1086" s="34" t="str">
        <f t="shared" si="117"/>
        <v/>
      </c>
      <c r="V1086" s="31" t="str">
        <f>IF(H1086="CHK",VLOOKUP(I1086,QCCHK,3,),IF(H1086="GUP",VLOOKUP(E1086,QCGUP,2,),IF(AND(H1086="ATP",OR(I1086="TN",I1086="TDN",I1086="TNO2-3",I1086="NO2-3")),VLOOKUP(E1086,QCREC_N,2,),IF(AND(H1086="NIC",OR(I1086="TN",I1086="TDN",I1086="TNO2-3",I1086="NO2-3")),VLOOKUP(E1086,QCNIC_N,2,),IF(AND(H1086="UREA",OR(I1086="TN",I1086="TDN",I1086="TNO2-3",I1086="NO2-3")),VLOOKUP(E1086,QCUREA_N,2,),IF(H1086="PER",VLOOKUP(I1086,QCPER,MATCH(E1086,QCACTUAL!$J$25:$AA$25,0),),IF(H1086="SPK",VLOOKUP(I1086,QCSPK,3,),IF(AND(H1086="ATP",OR(I1086="TP",I1086="TDP")),VLOOKUP(E1086,QCATP_P,2,),""))))))))</f>
        <v/>
      </c>
      <c r="W1086" s="31" t="str">
        <f t="shared" si="118"/>
        <v>TRUE</v>
      </c>
      <c r="X1086" s="31" t="str">
        <f t="shared" si="119"/>
        <v/>
      </c>
      <c r="Y1086" s="10" t="s">
        <v>1040</v>
      </c>
      <c r="Z1086" s="10" t="s">
        <v>910</v>
      </c>
      <c r="AL1086" s="10" t="str">
        <f t="shared" si="121"/>
        <v>FALSE</v>
      </c>
      <c r="AM1086" s="10" t="str">
        <f t="shared" si="121"/>
        <v>FALSE</v>
      </c>
      <c r="AN1086" s="10" t="str">
        <f t="shared" si="121"/>
        <v>FALSE</v>
      </c>
      <c r="AO1086" s="10" t="str">
        <f t="shared" si="122"/>
        <v>FALSE</v>
      </c>
      <c r="AP1086" s="10" t="str">
        <f t="shared" si="122"/>
        <v>FALSE</v>
      </c>
      <c r="AQ1086" s="10" t="b">
        <f>IF(AND(I1086="TP",S1086&lt;=150),VLOOKUP(AF1086,TPCalibEq150!$AZ$2:$BB$55,3,),IF(AND(I1086="TDP",S1086&lt;=150),VLOOKUP(AF1086,TPCalibEq150!$AZ$2:$BB$55,3,)))</f>
        <v>0</v>
      </c>
      <c r="AR1086" s="10" t="b">
        <f>IF(AND(I1086="TP",S1086&lt;=300),VLOOKUP(AF1086,TPCalibEq300!$AZ$2:$BB$55,3,),IF(AND(I1086="TDP",S1086&lt;=300),VLOOKUP(AF1086,TPCalibEq300!$AZ$2:$BB$55,3,)))</f>
        <v>0</v>
      </c>
      <c r="AS1086" s="10" t="b">
        <f>IF(AND(I1086="TP",S1086&lt;=500),VLOOKUP(AF1086,TPCalibEq500!$AZ$2:$BB$56,3,),IF(AND(I1086="TDP",S1086&lt;=500),VLOOKUP(AF1086,TPCalibEq500!$AZ$2:$BB$56,3,)))</f>
        <v>0</v>
      </c>
      <c r="AT1086" s="10" t="b">
        <f>IF(AND(I1086="TN",S1086&lt;=2800),VLOOKUP(AF1086,TNCalibEq2500!$AZ$2:$BB$56,3,),IF(AND(I1086="TDN",S1086&lt;=2800),VLOOKUP(AF1086,TNCalibEq2500!$AZ$2:$BB$56,3,)))</f>
        <v>0</v>
      </c>
      <c r="AU1086" s="10" t="b">
        <f>IF(I1086="TP",VLOOKUP(AF1086,TPCalibEqFull!$AZ$2:$BB$56,3),IF(I1086="TDP",VLOOKUP(AF1086,TPCalibEqFull!$AZ$2:$BB$56,3),IF(I1086="TDN",VLOOKUP(AF1086,TNCalibEqFull!$AZ$1:$BB$56,3),IF(I1086="TN",VLOOKUP(AF1086,TNCalibEqFull!$AZ$1:$BB$56,3),FALSE))))</f>
        <v>0</v>
      </c>
      <c r="AV1086" s="10" t="str">
        <f t="shared" si="120"/>
        <v>0117 12:11:00-CWL-0-FIL-1-SW-UKN</v>
      </c>
    </row>
    <row r="1087" spans="1:48" s="10" customFormat="1" x14ac:dyDescent="0.55000000000000004">
      <c r="A1087" s="32">
        <v>44943</v>
      </c>
      <c r="B1087" s="33">
        <v>0.51874999999999993</v>
      </c>
      <c r="C1087" s="10" t="s">
        <v>445</v>
      </c>
      <c r="D1087" s="10">
        <v>0</v>
      </c>
      <c r="E1087" s="10" t="s">
        <v>911</v>
      </c>
      <c r="F1087" s="10">
        <v>1</v>
      </c>
      <c r="G1087" s="10" t="s">
        <v>231</v>
      </c>
      <c r="H1087" s="10" t="s">
        <v>322</v>
      </c>
      <c r="I1087" s="10" t="s">
        <v>256</v>
      </c>
      <c r="J1087" s="10">
        <v>56</v>
      </c>
      <c r="K1087" s="12">
        <v>44950</v>
      </c>
      <c r="L1087" s="33">
        <v>0.52409722222222221</v>
      </c>
      <c r="M1087" s="10">
        <v>1</v>
      </c>
      <c r="N1087" s="10" t="s">
        <v>169</v>
      </c>
      <c r="O1087" s="10">
        <v>3.1</v>
      </c>
      <c r="P1087" s="10">
        <v>0.17699999999999999</v>
      </c>
      <c r="Q1087" s="10">
        <v>473</v>
      </c>
      <c r="R1087" s="10" t="s">
        <v>77</v>
      </c>
      <c r="S1087" s="34">
        <f t="shared" si="116"/>
        <v>473</v>
      </c>
      <c r="T1087" s="10" t="s">
        <v>1058</v>
      </c>
      <c r="U1087" s="34" t="str">
        <f t="shared" si="117"/>
        <v/>
      </c>
      <c r="V1087" s="31" t="str">
        <f>IF(H1087="CHK",VLOOKUP(I1087,QCCHK,3,),IF(H1087="GUP",VLOOKUP(E1087,QCGUP,2,),IF(AND(H1087="ATP",OR(I1087="TN",I1087="TDN",I1087="TNO2-3",I1087="NO2-3")),VLOOKUP(E1087,QCREC_N,2,),IF(AND(H1087="NIC",OR(I1087="TN",I1087="TDN",I1087="TNO2-3",I1087="NO2-3")),VLOOKUP(E1087,QCNIC_N,2,),IF(AND(H1087="UREA",OR(I1087="TN",I1087="TDN",I1087="TNO2-3",I1087="NO2-3")),VLOOKUP(E1087,QCUREA_N,2,),IF(H1087="PER",VLOOKUP(I1087,QCPER,MATCH(E1087,QCACTUAL!$J$25:$AA$25,0),),IF(H1087="SPK",VLOOKUP(I1087,QCSPK,3,),IF(AND(H1087="ATP",OR(I1087="TP",I1087="TDP")),VLOOKUP(E1087,QCATP_P,2,),""))))))))</f>
        <v/>
      </c>
      <c r="W1087" s="31" t="str">
        <f t="shared" si="118"/>
        <v>TRUE</v>
      </c>
      <c r="X1087" s="31" t="str">
        <f t="shared" si="119"/>
        <v/>
      </c>
      <c r="Y1087" s="10" t="s">
        <v>1040</v>
      </c>
      <c r="Z1087" s="10" t="s">
        <v>910</v>
      </c>
      <c r="AL1087" s="10" t="str">
        <f t="shared" si="121"/>
        <v>FALSE</v>
      </c>
      <c r="AM1087" s="10" t="str">
        <f t="shared" si="121"/>
        <v>FALSE</v>
      </c>
      <c r="AN1087" s="10" t="str">
        <f t="shared" si="121"/>
        <v>FALSE</v>
      </c>
      <c r="AO1087" s="10" t="str">
        <f t="shared" si="122"/>
        <v>FALSE</v>
      </c>
      <c r="AP1087" s="10" t="str">
        <f t="shared" si="122"/>
        <v>FALSE</v>
      </c>
      <c r="AQ1087" s="10" t="b">
        <f>IF(AND(I1087="TP",S1087&lt;=150),VLOOKUP(AF1087,TPCalibEq150!$AZ$2:$BB$55,3,),IF(AND(I1087="TDP",S1087&lt;=150),VLOOKUP(AF1087,TPCalibEq150!$AZ$2:$BB$55,3,)))</f>
        <v>0</v>
      </c>
      <c r="AR1087" s="10" t="b">
        <f>IF(AND(I1087="TP",S1087&lt;=300),VLOOKUP(AF1087,TPCalibEq300!$AZ$2:$BB$55,3,),IF(AND(I1087="TDP",S1087&lt;=300),VLOOKUP(AF1087,TPCalibEq300!$AZ$2:$BB$55,3,)))</f>
        <v>0</v>
      </c>
      <c r="AS1087" s="10" t="b">
        <f>IF(AND(I1087="TP",S1087&lt;=500),VLOOKUP(AF1087,TPCalibEq500!$AZ$2:$BB$56,3,),IF(AND(I1087="TDP",S1087&lt;=500),VLOOKUP(AF1087,TPCalibEq500!$AZ$2:$BB$56,3,)))</f>
        <v>0</v>
      </c>
      <c r="AT1087" s="10" t="b">
        <f>IF(AND(I1087="TN",S1087&lt;=2800),VLOOKUP(AF1087,TNCalibEq2500!$AZ$2:$BB$56,3,),IF(AND(I1087="TDN",S1087&lt;=2800),VLOOKUP(AF1087,TNCalibEq2500!$AZ$2:$BB$56,3,)))</f>
        <v>0</v>
      </c>
      <c r="AU1087" s="10" t="b">
        <f>IF(I1087="TP",VLOOKUP(AF1087,TPCalibEqFull!$AZ$2:$BB$56,3),IF(I1087="TDP",VLOOKUP(AF1087,TPCalibEqFull!$AZ$2:$BB$56,3),IF(I1087="TDN",VLOOKUP(AF1087,TNCalibEqFull!$AZ$1:$BB$56,3),IF(I1087="TN",VLOOKUP(AF1087,TNCalibEqFull!$AZ$1:$BB$56,3),FALSE))))</f>
        <v>0</v>
      </c>
      <c r="AV1087" s="10" t="str">
        <f t="shared" si="120"/>
        <v>0117 12:27:00-NWT-0-FIL-1-SW-UKN</v>
      </c>
    </row>
    <row r="1088" spans="1:48" s="10" customFormat="1" x14ac:dyDescent="0.55000000000000004">
      <c r="A1088" s="32">
        <v>44943</v>
      </c>
      <c r="B1088" s="33">
        <v>0.51874999999999993</v>
      </c>
      <c r="C1088" s="10" t="s">
        <v>445</v>
      </c>
      <c r="D1088" s="10">
        <v>0</v>
      </c>
      <c r="E1088" s="10" t="s">
        <v>911</v>
      </c>
      <c r="F1088" s="10">
        <v>1</v>
      </c>
      <c r="G1088" s="10" t="s">
        <v>231</v>
      </c>
      <c r="H1088" s="10" t="s">
        <v>233</v>
      </c>
      <c r="I1088" s="10" t="s">
        <v>256</v>
      </c>
      <c r="J1088" s="10">
        <v>56</v>
      </c>
      <c r="K1088" s="12">
        <v>44950</v>
      </c>
      <c r="L1088" s="33">
        <v>0.52490740740740738</v>
      </c>
      <c r="M1088" s="10">
        <v>1</v>
      </c>
      <c r="N1088" s="10" t="s">
        <v>169</v>
      </c>
      <c r="O1088" s="10">
        <v>3.07</v>
      </c>
      <c r="P1088" s="10">
        <v>0.17499999999999999</v>
      </c>
      <c r="Q1088" s="10">
        <v>470</v>
      </c>
      <c r="R1088" s="10" t="s">
        <v>77</v>
      </c>
      <c r="S1088" s="34">
        <f t="shared" si="116"/>
        <v>470</v>
      </c>
      <c r="T1088" s="10" t="s">
        <v>1058</v>
      </c>
      <c r="U1088" s="34">
        <f t="shared" si="117"/>
        <v>0.63626723223753978</v>
      </c>
      <c r="V1088" s="31" t="str">
        <f>IF(H1088="CHK",VLOOKUP(I1088,QCCHK,3,),IF(H1088="GUP",VLOOKUP(E1088,QCGUP,2,),IF(AND(H1088="ATP",OR(I1088="TN",I1088="TDN",I1088="TNO2-3",I1088="NO2-3")),VLOOKUP(E1088,QCREC_N,2,),IF(AND(H1088="NIC",OR(I1088="TN",I1088="TDN",I1088="TNO2-3",I1088="NO2-3")),VLOOKUP(E1088,QCNIC_N,2,),IF(AND(H1088="UREA",OR(I1088="TN",I1088="TDN",I1088="TNO2-3",I1088="NO2-3")),VLOOKUP(E1088,QCUREA_N,2,),IF(H1088="PER",VLOOKUP(I1088,QCPER,MATCH(E1088,QCACTUAL!$J$25:$AA$25,0),),IF(H1088="SPK",VLOOKUP(I1088,QCSPK,3,),IF(AND(H1088="ATP",OR(I1088="TP",I1088="TDP")),VLOOKUP(E1088,QCATP_P,2,),""))))))))</f>
        <v/>
      </c>
      <c r="W1088" s="31" t="str">
        <f t="shared" si="118"/>
        <v>TRUE</v>
      </c>
      <c r="X1088" s="31" t="str">
        <f t="shared" si="119"/>
        <v>((ABS(rep1-rep2))/((rep1+rep2)/2)*100</v>
      </c>
      <c r="Y1088" s="10" t="s">
        <v>1040</v>
      </c>
      <c r="Z1088" s="10" t="s">
        <v>910</v>
      </c>
      <c r="AL1088" s="10" t="str">
        <f t="shared" si="121"/>
        <v>FALSE</v>
      </c>
      <c r="AM1088" s="10" t="str">
        <f t="shared" si="121"/>
        <v>FALSE</v>
      </c>
      <c r="AN1088" s="10" t="str">
        <f t="shared" si="121"/>
        <v>FALSE</v>
      </c>
      <c r="AO1088" s="10" t="str">
        <f t="shared" si="122"/>
        <v>FALSE</v>
      </c>
      <c r="AP1088" s="10" t="str">
        <f t="shared" si="122"/>
        <v>FALSE</v>
      </c>
      <c r="AQ1088" s="10" t="b">
        <f>IF(AND(I1088="TP",S1088&lt;=150),VLOOKUP(AF1088,TPCalibEq150!$AZ$2:$BB$55,3,),IF(AND(I1088="TDP",S1088&lt;=150),VLOOKUP(AF1088,TPCalibEq150!$AZ$2:$BB$55,3,)))</f>
        <v>0</v>
      </c>
      <c r="AR1088" s="10" t="b">
        <f>IF(AND(I1088="TP",S1088&lt;=300),VLOOKUP(AF1088,TPCalibEq300!$AZ$2:$BB$55,3,),IF(AND(I1088="TDP",S1088&lt;=300),VLOOKUP(AF1088,TPCalibEq300!$AZ$2:$BB$55,3,)))</f>
        <v>0</v>
      </c>
      <c r="AS1088" s="10" t="b">
        <f>IF(AND(I1088="TP",S1088&lt;=500),VLOOKUP(AF1088,TPCalibEq500!$AZ$2:$BB$56,3,),IF(AND(I1088="TDP",S1088&lt;=500),VLOOKUP(AF1088,TPCalibEq500!$AZ$2:$BB$56,3,)))</f>
        <v>0</v>
      </c>
      <c r="AT1088" s="10" t="b">
        <f>IF(AND(I1088="TN",S1088&lt;=2800),VLOOKUP(AF1088,TNCalibEq2500!$AZ$2:$BB$56,3,),IF(AND(I1088="TDN",S1088&lt;=2800),VLOOKUP(AF1088,TNCalibEq2500!$AZ$2:$BB$56,3,)))</f>
        <v>0</v>
      </c>
      <c r="AU1088" s="10" t="b">
        <f>IF(I1088="TP",VLOOKUP(AF1088,TPCalibEqFull!$AZ$2:$BB$56,3),IF(I1088="TDP",VLOOKUP(AF1088,TPCalibEqFull!$AZ$2:$BB$56,3),IF(I1088="TDN",VLOOKUP(AF1088,TNCalibEqFull!$AZ$1:$BB$56,3),IF(I1088="TN",VLOOKUP(AF1088,TNCalibEqFull!$AZ$1:$BB$56,3),FALSE))))</f>
        <v>0</v>
      </c>
      <c r="AV1088" s="10" t="str">
        <f t="shared" si="120"/>
        <v>0117 12:27:00-NWT-0-FIL-1-SW-DUP</v>
      </c>
    </row>
    <row r="1089" spans="1:48" s="10" customFormat="1" x14ac:dyDescent="0.55000000000000004">
      <c r="A1089" s="32">
        <v>44943</v>
      </c>
      <c r="B1089" s="33">
        <v>0.51874999999999993</v>
      </c>
      <c r="C1089" s="10" t="s">
        <v>445</v>
      </c>
      <c r="D1089" s="10">
        <v>0</v>
      </c>
      <c r="E1089" s="10" t="s">
        <v>911</v>
      </c>
      <c r="F1089" s="10">
        <v>1</v>
      </c>
      <c r="G1089" s="10" t="s">
        <v>231</v>
      </c>
      <c r="H1089" s="10" t="s">
        <v>314</v>
      </c>
      <c r="I1089" s="10" t="s">
        <v>256</v>
      </c>
      <c r="J1089" s="10">
        <v>62</v>
      </c>
      <c r="K1089" s="12">
        <v>44950</v>
      </c>
      <c r="L1089" s="33">
        <v>0.52574074074074073</v>
      </c>
      <c r="M1089" s="10">
        <v>1</v>
      </c>
      <c r="N1089" s="10" t="s">
        <v>169</v>
      </c>
      <c r="O1089" s="10">
        <v>7.68</v>
      </c>
      <c r="P1089" s="10">
        <v>0.439</v>
      </c>
      <c r="Q1089" s="10">
        <v>1170</v>
      </c>
      <c r="R1089" s="10" t="s">
        <v>77</v>
      </c>
      <c r="S1089" s="34">
        <f t="shared" si="116"/>
        <v>1170</v>
      </c>
      <c r="T1089" s="10" t="s">
        <v>1058</v>
      </c>
      <c r="U1089" s="34">
        <f t="shared" si="117"/>
        <v>112.00000000000001</v>
      </c>
      <c r="V1089" s="31">
        <f>IF(H1089="CHK",VLOOKUP(I1089,QCCHK,3,),IF(H1089="GUP",VLOOKUP(E1089,QCGUP,2,),IF(AND(H1089="ATP",OR(I1089="TN",I1089="TDN",I1089="TNO2-3",I1089="NO2-3")),VLOOKUP(E1089,QCREC_N,2,),IF(AND(H1089="NIC",OR(I1089="TN",I1089="TDN",I1089="TNO2-3",I1089="NO2-3")),VLOOKUP(E1089,QCNIC_N,2,),IF(AND(H1089="UREA",OR(I1089="TN",I1089="TDN",I1089="TNO2-3",I1089="NO2-3")),VLOOKUP(E1089,QCUREA_N,2,),IF(H1089="PER",VLOOKUP(I1089,QCPER,MATCH(E1089,QCACTUAL!$J$25:$AA$25,0),),IF(H1089="SPK",VLOOKUP(I1089,QCSPK,3,),IF(AND(H1089="ATP",OR(I1089="TP",I1089="TDP")),VLOOKUP(E1089,QCATP_P,2,),""))))))))</f>
        <v>625</v>
      </c>
      <c r="W1089" s="31" t="str">
        <f t="shared" si="118"/>
        <v>TRUE</v>
      </c>
      <c r="X1089" s="31" t="str">
        <f t="shared" si="119"/>
        <v>([spikedunkn]-[unkn])/[spike]*100</v>
      </c>
      <c r="Y1089" s="10" t="s">
        <v>1040</v>
      </c>
      <c r="Z1089" s="10" t="s">
        <v>910</v>
      </c>
      <c r="AL1089" s="10" t="str">
        <f t="shared" si="121"/>
        <v>FALSE</v>
      </c>
      <c r="AM1089" s="10" t="str">
        <f t="shared" si="121"/>
        <v>FALSE</v>
      </c>
      <c r="AN1089" s="10" t="str">
        <f t="shared" si="121"/>
        <v>FALSE</v>
      </c>
      <c r="AO1089" s="10" t="str">
        <f t="shared" si="122"/>
        <v>FALSE</v>
      </c>
      <c r="AP1089" s="10" t="str">
        <f t="shared" si="122"/>
        <v>FALSE</v>
      </c>
      <c r="AQ1089" s="10" t="b">
        <f>IF(AND(I1089="TP",S1089&lt;=150),VLOOKUP(AF1089,TPCalibEq150!$AZ$2:$BB$55,3,),IF(AND(I1089="TDP",S1089&lt;=150),VLOOKUP(AF1089,TPCalibEq150!$AZ$2:$BB$55,3,)))</f>
        <v>0</v>
      </c>
      <c r="AR1089" s="10" t="b">
        <f>IF(AND(I1089="TP",S1089&lt;=300),VLOOKUP(AF1089,TPCalibEq300!$AZ$2:$BB$55,3,),IF(AND(I1089="TDP",S1089&lt;=300),VLOOKUP(AF1089,TPCalibEq300!$AZ$2:$BB$55,3,)))</f>
        <v>0</v>
      </c>
      <c r="AS1089" s="10" t="b">
        <f>IF(AND(I1089="TP",S1089&lt;=500),VLOOKUP(AF1089,TPCalibEq500!$AZ$2:$BB$56,3,),IF(AND(I1089="TDP",S1089&lt;=500),VLOOKUP(AF1089,TPCalibEq500!$AZ$2:$BB$56,3,)))</f>
        <v>0</v>
      </c>
      <c r="AT1089" s="10" t="b">
        <f>IF(AND(I1089="TN",S1089&lt;=2800),VLOOKUP(AF1089,TNCalibEq2500!$AZ$2:$BB$56,3,),IF(AND(I1089="TDN",S1089&lt;=2800),VLOOKUP(AF1089,TNCalibEq2500!$AZ$2:$BB$56,3,)))</f>
        <v>0</v>
      </c>
      <c r="AU1089" s="10" t="b">
        <f>IF(I1089="TP",VLOOKUP(AF1089,TPCalibEqFull!$AZ$2:$BB$56,3),IF(I1089="TDP",VLOOKUP(AF1089,TPCalibEqFull!$AZ$2:$BB$56,3),IF(I1089="TDN",VLOOKUP(AF1089,TNCalibEqFull!$AZ$1:$BB$56,3),IF(I1089="TN",VLOOKUP(AF1089,TNCalibEqFull!$AZ$1:$BB$56,3),FALSE))))</f>
        <v>0</v>
      </c>
      <c r="AV1089" s="10" t="str">
        <f t="shared" si="120"/>
        <v>0117 12:27:00-NWT-0-FIL-1-SW-SPK</v>
      </c>
    </row>
    <row r="1090" spans="1:48" s="10" customFormat="1" x14ac:dyDescent="0.55000000000000004">
      <c r="A1090" s="32">
        <v>44950</v>
      </c>
      <c r="B1090" s="33">
        <v>0.375</v>
      </c>
      <c r="C1090" s="10" t="s">
        <v>70</v>
      </c>
      <c r="D1090" s="10" t="s">
        <v>71</v>
      </c>
      <c r="E1090" s="10" t="s">
        <v>901</v>
      </c>
      <c r="F1090" s="10">
        <v>1</v>
      </c>
      <c r="G1090" s="10" t="s">
        <v>73</v>
      </c>
      <c r="H1090" s="10" t="s">
        <v>207</v>
      </c>
      <c r="I1090" s="10" t="s">
        <v>256</v>
      </c>
      <c r="J1090" s="10">
        <v>201</v>
      </c>
      <c r="K1090" s="12">
        <v>44950</v>
      </c>
      <c r="L1090" s="33">
        <v>0.52656249999999993</v>
      </c>
      <c r="M1090" s="10">
        <v>1</v>
      </c>
      <c r="N1090" s="10" t="s">
        <v>169</v>
      </c>
      <c r="O1090" s="10">
        <v>1.98</v>
      </c>
      <c r="P1090" s="10">
        <v>0.11600000000000001</v>
      </c>
      <c r="Q1090" s="10">
        <v>303</v>
      </c>
      <c r="R1090" s="10" t="s">
        <v>77</v>
      </c>
      <c r="S1090" s="34">
        <f t="shared" ref="S1090:S1153" si="123">IF(OR(AND(I1090&lt;&gt;"TP", I1090&lt;&gt;"TDP",I1090&lt;&gt;"TN", I1090&lt;&gt;"TDN"),H1090="CAL"), Q1090*M1090, IF(OR(AND(I1090="TN", Q1090&gt;2500), AND(I1090="TDN", Q1090&gt;2500)),MAX(Q1090, AK1090)*M1090, IF(OR(AND(I1090="TN", Q1090&lt;=2500), AND(I1090="TDN", Q1090&lt;=2500)),MAX(Q1090, AJ1090,AK1090)*M1090, IF(OR(AND(I1090="TP",Q1090&gt;500), AND(I1090="TDP", Q1090&gt;500)),MAX(Q1090,AK1090)*M1090,IF(OR(AND(I1090="TP",Q1090&lt;=150), AND(I1090="TDP", Q1090&lt;=150)),MAX(Q1090,AG1090:AI1090,AK1090)*M1090,IF(OR(AND(I1090="TP",Q1090&lt;=300), AND(I1090="TDP", Q1090&lt;=300)),MAX(Q1090,AH1090,AI1090,AK1090)*M1090,IF(OR(AND(I1090="TP",Q1090&lt;=500), AND(I1090="TDP", Q1090&lt;=500)),MAX(Q1090,AI1090,AK1090)*M1090,"")))))))</f>
        <v>303</v>
      </c>
      <c r="T1090" s="10" t="s">
        <v>1058</v>
      </c>
      <c r="U1090" s="34">
        <f t="shared" ref="U1090:U1153" si="124">IF(OR(H1090="CHK",H1090="ATP",H1090="GUP",H1090="PER", H1090="NIC", H1090="UREA"),(S1090/V1090*100),IF(H1090="DUP",((ABS(S1090-S1089))/((S1089+S1090)/2))*100,IF(H1090="SPK",((S1090-S1089)/V1090*100),IF(OR(H1090="LAB",H1090="FLD",H1090="ESF"),S1090,""))))</f>
        <v>101</v>
      </c>
      <c r="V1090" s="31">
        <f>IF(H1090="CHK",VLOOKUP(I1090,QCCHK,3,),IF(H1090="GUP",VLOOKUP(E1090,QCGUP,2,),IF(AND(H1090="ATP",OR(I1090="TN",I1090="TDN",I1090="TNO2-3",I1090="NO2-3")),VLOOKUP(E1090,QCREC_N,2,),IF(AND(H1090="NIC",OR(I1090="TN",I1090="TDN",I1090="TNO2-3",I1090="NO2-3")),VLOOKUP(E1090,QCNIC_N,2,),IF(AND(H1090="UREA",OR(I1090="TN",I1090="TDN",I1090="TNO2-3",I1090="NO2-3")),VLOOKUP(E1090,QCUREA_N,2,),IF(H1090="PER",VLOOKUP(I1090,QCPER,MATCH(E1090,QCACTUAL!$J$25:$AA$25,0),),IF(H1090="SPK",VLOOKUP(I1090,QCSPK,3,),IF(AND(H1090="ATP",OR(I1090="TP",I1090="TDP")),VLOOKUP(E1090,QCATP_P,2,),""))))))))</f>
        <v>300</v>
      </c>
      <c r="W1090" s="31" t="str">
        <f t="shared" ref="W1090:W1153" si="125">IF(AND(OR(H1090="PER",H1090="ATP",H1090="GUP",H1090="CHK",H1090="SPK", H1090="NIC"),OR(U1090&gt;125,U1090&lt;75)),"FALSE",IF(AND(H1090="DUP",OR(U1090&gt;25, U1090&lt;-25)),"FALSE",IF(AND(OR(H1090="LAB",H1090="FLD",H1090="ESF"),U1090&gt;15),"FALSE","TRUE")))</f>
        <v>TRUE</v>
      </c>
      <c r="X1090" s="31" t="str">
        <f t="shared" ref="X1090:X1152" si="126">IF(ISNA(VLOOKUP(H1090,QCEQUATIONS,2,)),"",(VLOOKUP(H1090,QCEQUATIONS,2,)))</f>
        <v>[chk]/[actual]*100</v>
      </c>
      <c r="Y1090" s="10" t="s">
        <v>1040</v>
      </c>
      <c r="AL1090" s="10" t="str">
        <f t="shared" si="121"/>
        <v>FALSE</v>
      </c>
      <c r="AM1090" s="10" t="str">
        <f t="shared" si="121"/>
        <v>FALSE</v>
      </c>
      <c r="AN1090" s="10" t="str">
        <f t="shared" si="121"/>
        <v>FALSE</v>
      </c>
      <c r="AO1090" s="10" t="str">
        <f t="shared" si="122"/>
        <v>FALSE</v>
      </c>
      <c r="AP1090" s="10" t="str">
        <f t="shared" si="122"/>
        <v>FALSE</v>
      </c>
      <c r="AQ1090" s="10" t="b">
        <f>IF(AND(I1090="TP",S1090&lt;=150),VLOOKUP(AF1090,TPCalibEq150!$AZ$2:$BB$55,3,),IF(AND(I1090="TDP",S1090&lt;=150),VLOOKUP(AF1090,TPCalibEq150!$AZ$2:$BB$55,3,)))</f>
        <v>0</v>
      </c>
      <c r="AR1090" s="10" t="b">
        <f>IF(AND(I1090="TP",S1090&lt;=300),VLOOKUP(AF1090,TPCalibEq300!$AZ$2:$BB$55,3,),IF(AND(I1090="TDP",S1090&lt;=300),VLOOKUP(AF1090,TPCalibEq300!$AZ$2:$BB$55,3,)))</f>
        <v>0</v>
      </c>
      <c r="AS1090" s="10" t="b">
        <f>IF(AND(I1090="TP",S1090&lt;=500),VLOOKUP(AF1090,TPCalibEq500!$AZ$2:$BB$56,3,),IF(AND(I1090="TDP",S1090&lt;=500),VLOOKUP(AF1090,TPCalibEq500!$AZ$2:$BB$56,3,)))</f>
        <v>0</v>
      </c>
      <c r="AT1090" s="10" t="b">
        <f>IF(AND(I1090="TN",S1090&lt;=2800),VLOOKUP(AF1090,TNCalibEq2500!$AZ$2:$BB$56,3,),IF(AND(I1090="TDN",S1090&lt;=2800),VLOOKUP(AF1090,TNCalibEq2500!$AZ$2:$BB$56,3,)))</f>
        <v>0</v>
      </c>
      <c r="AU1090" s="10" t="b">
        <f>IF(I1090="TP",VLOOKUP(AF1090,TPCalibEqFull!$AZ$2:$BB$56,3),IF(I1090="TDP",VLOOKUP(AF1090,TPCalibEqFull!$AZ$2:$BB$56,3),IF(I1090="TDN",VLOOKUP(AF1090,TNCalibEqFull!$AZ$1:$BB$56,3),IF(I1090="TN",VLOOKUP(AF1090,TNCalibEqFull!$AZ$1:$BB$56,3),FALSE))))</f>
        <v>0</v>
      </c>
      <c r="AV1090" s="10" t="str">
        <f t="shared" ref="AV1090:AV1153" si="127">TEXT(A1090, "MMDD")&amp;" "&amp;TEXT(B1090, "HH:MM:SS")&amp;"-"&amp;C1090&amp;"-"&amp;D1090&amp;"-"&amp;E1090&amp;"-"&amp;F1090&amp;"-"&amp;G1090&amp;"-"&amp;H1090</f>
        <v>0124 09:00:00-QAC-STD-D-1-DI-CHK</v>
      </c>
    </row>
    <row r="1091" spans="1:48" s="10" customFormat="1" x14ac:dyDescent="0.55000000000000004">
      <c r="A1091" s="32">
        <v>44950</v>
      </c>
      <c r="B1091" s="33">
        <v>0.375</v>
      </c>
      <c r="C1091" s="10" t="s">
        <v>70</v>
      </c>
      <c r="D1091" s="10" t="s">
        <v>71</v>
      </c>
      <c r="E1091" s="10" t="s">
        <v>917</v>
      </c>
      <c r="F1091" s="10">
        <v>1</v>
      </c>
      <c r="G1091" s="10" t="s">
        <v>73</v>
      </c>
      <c r="H1091" s="10" t="s">
        <v>74</v>
      </c>
      <c r="I1091" s="10" t="s">
        <v>235</v>
      </c>
      <c r="J1091" s="10">
        <v>181</v>
      </c>
      <c r="K1091" s="12">
        <v>44950</v>
      </c>
      <c r="L1091" s="33">
        <v>0.58248842592592587</v>
      </c>
      <c r="M1091" s="10">
        <v>1</v>
      </c>
      <c r="N1091" s="10" t="s">
        <v>196</v>
      </c>
      <c r="O1091" s="10">
        <v>0.56200000000000006</v>
      </c>
      <c r="P1091" s="10">
        <v>3.3099999999999997E-2</v>
      </c>
      <c r="Q1091" s="10">
        <v>0</v>
      </c>
      <c r="R1091" s="10" t="s">
        <v>170</v>
      </c>
      <c r="S1091" s="34">
        <f t="shared" si="123"/>
        <v>0</v>
      </c>
      <c r="T1091" s="10" t="s">
        <v>914</v>
      </c>
      <c r="U1091" s="34" t="str">
        <f t="shared" si="124"/>
        <v/>
      </c>
      <c r="V1091" s="31" t="str">
        <f>IF(H1091="CHK",VLOOKUP(I1091,QCCHK,3,),IF(H1091="GUP",VLOOKUP(E1091,QCGUP,2,),IF(AND(H1091="ATP",OR(I1091="TN",I1091="TDN",I1091="TNO2-3",I1091="NO2-3")),VLOOKUP(E1091,QCREC_N,2,),IF(AND(H1091="NIC",OR(I1091="TN",I1091="TDN",I1091="TNO2-3",I1091="NO2-3")),VLOOKUP(E1091,QCNIC_N,2,),IF(AND(H1091="UREA",OR(I1091="TN",I1091="TDN",I1091="TNO2-3",I1091="NO2-3")),VLOOKUP(E1091,QCUREA_N,2,),IF(H1091="PER",VLOOKUP(I1091,QCPER,MATCH(E1091,QCACTUAL!$J$25:$AA$25,0),),IF(H1091="SPK",VLOOKUP(I1091,QCSPK,3,),IF(AND(H1091="ATP",OR(I1091="TP",I1091="TDP")),VLOOKUP(E1091,QCATP_P,2,),""))))))))</f>
        <v/>
      </c>
      <c r="W1091" s="31" t="str">
        <f t="shared" si="125"/>
        <v>TRUE</v>
      </c>
      <c r="X1091" s="31" t="str">
        <f t="shared" si="126"/>
        <v/>
      </c>
      <c r="Y1091" s="10" t="s">
        <v>1061</v>
      </c>
      <c r="AF1091" s="12">
        <v>44950</v>
      </c>
      <c r="AJ1091" s="10">
        <f>-1.2768*0.562^2+222.07*0.562-130.11</f>
        <v>-5.7099296192000111</v>
      </c>
      <c r="AK1091" s="10">
        <f>0.4667*0.562^2+198.27*0.562-98.12</f>
        <v>13.455144394800016</v>
      </c>
      <c r="AL1091" s="10" t="str">
        <f t="shared" si="121"/>
        <v>FALSE</v>
      </c>
      <c r="AM1091" s="10" t="str">
        <f t="shared" si="121"/>
        <v>FALSE</v>
      </c>
      <c r="AN1091" s="10" t="str">
        <f t="shared" si="121"/>
        <v>FALSE</v>
      </c>
      <c r="AO1091" s="10" t="str">
        <f t="shared" si="122"/>
        <v>y=-1.2768*0.562^2+222.07*0.562-130.11</v>
      </c>
      <c r="AP1091" s="10" t="str">
        <f t="shared" si="122"/>
        <v>y=0.4667*0.562^2+198.27*0.562-98.12</v>
      </c>
      <c r="AQ1091" s="10" t="b">
        <f>IF(AND(I1091="TP",S1091&lt;=150),VLOOKUP(AF1091,TPCalibEq150!$AZ$2:$BB$55,3,),IF(AND(I1091="TDP",S1091&lt;=150),VLOOKUP(AF1091,TPCalibEq150!$AZ$2:$BB$55,3,)))</f>
        <v>0</v>
      </c>
      <c r="AR1091" s="10" t="b">
        <f>IF(AND(I1091="TP",S1091&lt;=300),VLOOKUP(AF1091,TPCalibEq300!$AZ$2:$BB$55,3,),IF(AND(I1091="TDP",S1091&lt;=300),VLOOKUP(AF1091,TPCalibEq300!$AZ$2:$BB$55,3,)))</f>
        <v>0</v>
      </c>
      <c r="AS1091" s="10" t="b">
        <f>IF(AND(I1091="TP",S1091&lt;=500),VLOOKUP(AF1091,TPCalibEq500!$AZ$2:$BB$56,3,),IF(AND(I1091="TDP",S1091&lt;=500),VLOOKUP(AF1091,TPCalibEq500!$AZ$2:$BB$56,3,)))</f>
        <v>0</v>
      </c>
      <c r="AT1091" s="10" t="str">
        <f>IF(AND(I1091="TN",S1091&lt;=2800),VLOOKUP(AF1091,TNCalibEq2500!$AZ$2:$BB$56,3,),IF(AND(I1091="TDN",S1091&lt;=2800),VLOOKUP(AF1091,TNCalibEq2500!$AZ$2:$BB$56,3,)))</f>
        <v>y=-1.2768x2+222.07x-130.11</v>
      </c>
      <c r="AU1091" s="10" t="str">
        <f>IF(I1091="TP",VLOOKUP(AF1091,TPCalibEqFull!$AZ$2:$BB$56,3),IF(I1091="TDP",VLOOKUP(AF1091,TPCalibEqFull!$AZ$2:$BB$56,3),IF(I1091="TDN",VLOOKUP(AF1091,TNCalibEqFull!$AZ$1:$BB$56,3),IF(I1091="TN",VLOOKUP(AF1091,TNCalibEqFull!$AZ$1:$BB$56,3),FALSE))))</f>
        <v>y=0.4667x2+198.27x-98.12</v>
      </c>
      <c r="AV1091" s="10" t="str">
        <f t="shared" si="127"/>
        <v>0124 09:00:00-QAC-STD-D.H-1-DI-CAL</v>
      </c>
    </row>
    <row r="1092" spans="1:48" s="10" customFormat="1" x14ac:dyDescent="0.55000000000000004">
      <c r="A1092" s="32">
        <v>44950</v>
      </c>
      <c r="B1092" s="33">
        <v>0.375</v>
      </c>
      <c r="C1092" s="10" t="s">
        <v>70</v>
      </c>
      <c r="D1092" s="10" t="s">
        <v>71</v>
      </c>
      <c r="E1092" s="10" t="s">
        <v>918</v>
      </c>
      <c r="F1092" s="10">
        <v>1</v>
      </c>
      <c r="G1092" s="10" t="s">
        <v>73</v>
      </c>
      <c r="H1092" s="10" t="s">
        <v>74</v>
      </c>
      <c r="I1092" s="10" t="s">
        <v>235</v>
      </c>
      <c r="J1092" s="10">
        <v>182</v>
      </c>
      <c r="K1092" s="12">
        <v>44950</v>
      </c>
      <c r="L1092" s="33">
        <v>0.58317129629629627</v>
      </c>
      <c r="M1092" s="10">
        <v>1</v>
      </c>
      <c r="N1092" s="10" t="s">
        <v>196</v>
      </c>
      <c r="O1092" s="10">
        <v>0.77800000000000002</v>
      </c>
      <c r="P1092" s="10">
        <v>4.6800000000000001E-2</v>
      </c>
      <c r="Q1092" s="10">
        <v>30</v>
      </c>
      <c r="R1092" s="10" t="s">
        <v>170</v>
      </c>
      <c r="S1092" s="34">
        <f t="shared" si="123"/>
        <v>30</v>
      </c>
      <c r="T1092" s="10" t="s">
        <v>1062</v>
      </c>
      <c r="U1092" s="34" t="str">
        <f t="shared" si="124"/>
        <v/>
      </c>
      <c r="V1092" s="31" t="str">
        <f>IF(H1092="CHK",VLOOKUP(I1092,QCCHK,3,),IF(H1092="GUP",VLOOKUP(E1092,QCGUP,2,),IF(AND(H1092="ATP",OR(I1092="TN",I1092="TDN",I1092="TNO2-3",I1092="NO2-3")),VLOOKUP(E1092,QCREC_N,2,),IF(AND(H1092="NIC",OR(I1092="TN",I1092="TDN",I1092="TNO2-3",I1092="NO2-3")),VLOOKUP(E1092,QCNIC_N,2,),IF(AND(H1092="UREA",OR(I1092="TN",I1092="TDN",I1092="TNO2-3",I1092="NO2-3")),VLOOKUP(E1092,QCUREA_N,2,),IF(H1092="PER",VLOOKUP(I1092,QCPER,MATCH(E1092,QCACTUAL!$J$25:$AA$25,0),),IF(H1092="SPK",VLOOKUP(I1092,QCSPK,3,),IF(AND(H1092="ATP",OR(I1092="TP",I1092="TDP")),VLOOKUP(E1092,QCATP_P,2,),""))))))))</f>
        <v/>
      </c>
      <c r="W1092" s="31" t="str">
        <f t="shared" si="125"/>
        <v>TRUE</v>
      </c>
      <c r="X1092" s="31" t="str">
        <f t="shared" si="126"/>
        <v/>
      </c>
      <c r="Y1092" s="10" t="s">
        <v>1061</v>
      </c>
      <c r="AF1092" s="12">
        <v>44950</v>
      </c>
      <c r="AJ1092" s="10">
        <f>-1.2768*0.778^2+222.07*0.778-130.11</f>
        <v>41.887633388799998</v>
      </c>
      <c r="AK1092" s="10">
        <f>0.4667*0.778^2+198.27*0.778-98.12</f>
        <v>56.416546042800007</v>
      </c>
      <c r="AL1092" s="10" t="str">
        <f t="shared" si="121"/>
        <v>FALSE</v>
      </c>
      <c r="AM1092" s="10" t="str">
        <f t="shared" si="121"/>
        <v>FALSE</v>
      </c>
      <c r="AN1092" s="10" t="str">
        <f t="shared" si="121"/>
        <v>FALSE</v>
      </c>
      <c r="AO1092" s="10" t="str">
        <f t="shared" si="122"/>
        <v>y=-1.2768*0.778^2+222.07*0.778-130.11</v>
      </c>
      <c r="AP1092" s="10" t="str">
        <f t="shared" si="122"/>
        <v>y=0.4667*0.778^2+198.27*0.778-98.12</v>
      </c>
      <c r="AQ1092" s="10" t="b">
        <f>IF(AND(I1092="TP",S1092&lt;=150),VLOOKUP(AF1092,TPCalibEq150!$AZ$2:$BB$55,3,),IF(AND(I1092="TDP",S1092&lt;=150),VLOOKUP(AF1092,TPCalibEq150!$AZ$2:$BB$55,3,)))</f>
        <v>0</v>
      </c>
      <c r="AR1092" s="10" t="b">
        <f>IF(AND(I1092="TP",S1092&lt;=300),VLOOKUP(AF1092,TPCalibEq300!$AZ$2:$BB$55,3,),IF(AND(I1092="TDP",S1092&lt;=300),VLOOKUP(AF1092,TPCalibEq300!$AZ$2:$BB$55,3,)))</f>
        <v>0</v>
      </c>
      <c r="AS1092" s="10" t="b">
        <f>IF(AND(I1092="TP",S1092&lt;=500),VLOOKUP(AF1092,TPCalibEq500!$AZ$2:$BB$56,3,),IF(AND(I1092="TDP",S1092&lt;=500),VLOOKUP(AF1092,TPCalibEq500!$AZ$2:$BB$56,3,)))</f>
        <v>0</v>
      </c>
      <c r="AT1092" s="10" t="str">
        <f>IF(AND(I1092="TN",S1092&lt;=2800),VLOOKUP(AF1092,TNCalibEq2500!$AZ$2:$BB$56,3,),IF(AND(I1092="TDN",S1092&lt;=2800),VLOOKUP(AF1092,TNCalibEq2500!$AZ$2:$BB$56,3,)))</f>
        <v>y=-1.2768x2+222.07x-130.11</v>
      </c>
      <c r="AU1092" s="10" t="str">
        <f>IF(I1092="TP",VLOOKUP(AF1092,TPCalibEqFull!$AZ$2:$BB$56,3),IF(I1092="TDP",VLOOKUP(AF1092,TPCalibEqFull!$AZ$2:$BB$56,3),IF(I1092="TDN",VLOOKUP(AF1092,TNCalibEqFull!$AZ$1:$BB$56,3),IF(I1092="TN",VLOOKUP(AF1092,TNCalibEqFull!$AZ$1:$BB$56,3),FALSE))))</f>
        <v>y=0.4667x2+198.27x-98.12</v>
      </c>
      <c r="AV1092" s="10" t="str">
        <f t="shared" si="127"/>
        <v>0124 09:00:00-QAC-STD-D.G-1-DI-CAL</v>
      </c>
    </row>
    <row r="1093" spans="1:48" s="10" customFormat="1" x14ac:dyDescent="0.55000000000000004">
      <c r="A1093" s="32">
        <v>44950</v>
      </c>
      <c r="B1093" s="33">
        <v>0.375</v>
      </c>
      <c r="C1093" s="10" t="s">
        <v>70</v>
      </c>
      <c r="D1093" s="10" t="s">
        <v>71</v>
      </c>
      <c r="E1093" s="10" t="s">
        <v>919</v>
      </c>
      <c r="F1093" s="10">
        <v>1</v>
      </c>
      <c r="G1093" s="10" t="s">
        <v>73</v>
      </c>
      <c r="H1093" s="10" t="s">
        <v>74</v>
      </c>
      <c r="I1093" s="10" t="s">
        <v>235</v>
      </c>
      <c r="J1093" s="10">
        <v>183</v>
      </c>
      <c r="K1093" s="12">
        <v>44950</v>
      </c>
      <c r="L1093" s="33">
        <v>0.58385416666666667</v>
      </c>
      <c r="M1093" s="10">
        <v>1</v>
      </c>
      <c r="N1093" s="10" t="s">
        <v>196</v>
      </c>
      <c r="O1093" s="10">
        <v>1.04</v>
      </c>
      <c r="P1093" s="10">
        <v>6.2600000000000003E-2</v>
      </c>
      <c r="Q1093" s="10">
        <v>125</v>
      </c>
      <c r="R1093" s="10" t="s">
        <v>170</v>
      </c>
      <c r="S1093" s="34">
        <f t="shared" si="123"/>
        <v>125</v>
      </c>
      <c r="T1093" s="10" t="s">
        <v>1063</v>
      </c>
      <c r="U1093" s="34" t="str">
        <f t="shared" si="124"/>
        <v/>
      </c>
      <c r="V1093" s="31" t="str">
        <f>IF(H1093="CHK",VLOOKUP(I1093,QCCHK,3,),IF(H1093="GUP",VLOOKUP(E1093,QCGUP,2,),IF(AND(H1093="ATP",OR(I1093="TN",I1093="TDN",I1093="TNO2-3",I1093="NO2-3")),VLOOKUP(E1093,QCREC_N,2,),IF(AND(H1093="NIC",OR(I1093="TN",I1093="TDN",I1093="TNO2-3",I1093="NO2-3")),VLOOKUP(E1093,QCNIC_N,2,),IF(AND(H1093="UREA",OR(I1093="TN",I1093="TDN",I1093="TNO2-3",I1093="NO2-3")),VLOOKUP(E1093,QCUREA_N,2,),IF(H1093="PER",VLOOKUP(I1093,QCPER,MATCH(E1093,QCACTUAL!$J$25:$AA$25,0),),IF(H1093="SPK",VLOOKUP(I1093,QCSPK,3,),IF(AND(H1093="ATP",OR(I1093="TP",I1093="TDP")),VLOOKUP(E1093,QCATP_P,2,),""))))))))</f>
        <v/>
      </c>
      <c r="W1093" s="31" t="str">
        <f t="shared" si="125"/>
        <v>TRUE</v>
      </c>
      <c r="X1093" s="31" t="str">
        <f t="shared" si="126"/>
        <v/>
      </c>
      <c r="Y1093" s="10" t="s">
        <v>1061</v>
      </c>
      <c r="AF1093" s="12">
        <v>44950</v>
      </c>
      <c r="AJ1093" s="10">
        <f>-1.2768*1.04^2+222.07*1.04-130.11</f>
        <v>99.461813119999988</v>
      </c>
      <c r="AK1093" s="10">
        <f>0.4667*1.04^2+198.27*1.04-98.12</f>
        <v>108.58558272000002</v>
      </c>
      <c r="AL1093" s="10" t="str">
        <f t="shared" si="121"/>
        <v>FALSE</v>
      </c>
      <c r="AM1093" s="10" t="str">
        <f t="shared" si="121"/>
        <v>FALSE</v>
      </c>
      <c r="AN1093" s="10" t="str">
        <f t="shared" si="121"/>
        <v>FALSE</v>
      </c>
      <c r="AO1093" s="10" t="str">
        <f t="shared" si="122"/>
        <v>y=-1.2768*1.04^2+222.07*1.04-130.11</v>
      </c>
      <c r="AP1093" s="10" t="str">
        <f t="shared" si="122"/>
        <v>y=0.4667*1.04^2+198.27*1.04-98.12</v>
      </c>
      <c r="AQ1093" s="10" t="b">
        <f>IF(AND(I1093="TP",S1093&lt;=150),VLOOKUP(AF1093,TPCalibEq150!$AZ$2:$BB$55,3,),IF(AND(I1093="TDP",S1093&lt;=150),VLOOKUP(AF1093,TPCalibEq150!$AZ$2:$BB$55,3,)))</f>
        <v>0</v>
      </c>
      <c r="AR1093" s="10" t="b">
        <f>IF(AND(I1093="TP",S1093&lt;=300),VLOOKUP(AF1093,TPCalibEq300!$AZ$2:$BB$55,3,),IF(AND(I1093="TDP",S1093&lt;=300),VLOOKUP(AF1093,TPCalibEq300!$AZ$2:$BB$55,3,)))</f>
        <v>0</v>
      </c>
      <c r="AS1093" s="10" t="b">
        <f>IF(AND(I1093="TP",S1093&lt;=500),VLOOKUP(AF1093,TPCalibEq500!$AZ$2:$BB$56,3,),IF(AND(I1093="TDP",S1093&lt;=500),VLOOKUP(AF1093,TPCalibEq500!$AZ$2:$BB$56,3,)))</f>
        <v>0</v>
      </c>
      <c r="AT1093" s="10" t="str">
        <f>IF(AND(I1093="TN",S1093&lt;=2800),VLOOKUP(AF1093,TNCalibEq2500!$AZ$2:$BB$56,3,),IF(AND(I1093="TDN",S1093&lt;=2800),VLOOKUP(AF1093,TNCalibEq2500!$AZ$2:$BB$56,3,)))</f>
        <v>y=-1.2768x2+222.07x-130.11</v>
      </c>
      <c r="AU1093" s="10" t="str">
        <f>IF(I1093="TP",VLOOKUP(AF1093,TPCalibEqFull!$AZ$2:$BB$56,3),IF(I1093="TDP",VLOOKUP(AF1093,TPCalibEqFull!$AZ$2:$BB$56,3),IF(I1093="TDN",VLOOKUP(AF1093,TNCalibEqFull!$AZ$1:$BB$56,3),IF(I1093="TN",VLOOKUP(AF1093,TNCalibEqFull!$AZ$1:$BB$56,3),FALSE))))</f>
        <v>y=0.4667x2+198.27x-98.12</v>
      </c>
      <c r="AV1093" s="10" t="str">
        <f t="shared" si="127"/>
        <v>0124 09:00:00-QAC-STD-D.F-1-DI-CAL</v>
      </c>
    </row>
    <row r="1094" spans="1:48" s="10" customFormat="1" x14ac:dyDescent="0.55000000000000004">
      <c r="A1094" s="32">
        <v>44950</v>
      </c>
      <c r="B1094" s="33">
        <v>0.375</v>
      </c>
      <c r="C1094" s="10" t="s">
        <v>70</v>
      </c>
      <c r="D1094" s="10" t="s">
        <v>71</v>
      </c>
      <c r="E1094" s="10" t="s">
        <v>920</v>
      </c>
      <c r="F1094" s="10">
        <v>1</v>
      </c>
      <c r="G1094" s="10" t="s">
        <v>73</v>
      </c>
      <c r="H1094" s="10" t="s">
        <v>74</v>
      </c>
      <c r="I1094" s="10" t="s">
        <v>235</v>
      </c>
      <c r="J1094" s="10">
        <v>184</v>
      </c>
      <c r="K1094" s="12">
        <v>44950</v>
      </c>
      <c r="L1094" s="33">
        <v>0.58452546296296293</v>
      </c>
      <c r="M1094" s="10">
        <v>1</v>
      </c>
      <c r="N1094" s="10" t="s">
        <v>196</v>
      </c>
      <c r="O1094" s="10">
        <v>3.06</v>
      </c>
      <c r="P1094" s="10">
        <v>0.183</v>
      </c>
      <c r="Q1094" s="10">
        <v>500</v>
      </c>
      <c r="R1094" s="10" t="s">
        <v>170</v>
      </c>
      <c r="S1094" s="34">
        <f t="shared" si="123"/>
        <v>500</v>
      </c>
      <c r="T1094" s="10" t="s">
        <v>1064</v>
      </c>
      <c r="U1094" s="34" t="str">
        <f t="shared" si="124"/>
        <v/>
      </c>
      <c r="V1094" s="31" t="str">
        <f>IF(H1094="CHK",VLOOKUP(I1094,QCCHK,3,),IF(H1094="GUP",VLOOKUP(E1094,QCGUP,2,),IF(AND(H1094="ATP",OR(I1094="TN",I1094="TDN",I1094="TNO2-3",I1094="NO2-3")),VLOOKUP(E1094,QCREC_N,2,),IF(AND(H1094="NIC",OR(I1094="TN",I1094="TDN",I1094="TNO2-3",I1094="NO2-3")),VLOOKUP(E1094,QCNIC_N,2,),IF(AND(H1094="UREA",OR(I1094="TN",I1094="TDN",I1094="TNO2-3",I1094="NO2-3")),VLOOKUP(E1094,QCUREA_N,2,),IF(H1094="PER",VLOOKUP(I1094,QCPER,MATCH(E1094,QCACTUAL!$J$25:$AA$25,0),),IF(H1094="SPK",VLOOKUP(I1094,QCSPK,3,),IF(AND(H1094="ATP",OR(I1094="TP",I1094="TDP")),VLOOKUP(E1094,QCATP_P,2,),""))))))))</f>
        <v/>
      </c>
      <c r="W1094" s="31" t="str">
        <f t="shared" si="125"/>
        <v>TRUE</v>
      </c>
      <c r="X1094" s="31" t="str">
        <f t="shared" si="126"/>
        <v/>
      </c>
      <c r="Y1094" s="10" t="s">
        <v>1061</v>
      </c>
      <c r="AF1094" s="12">
        <v>44950</v>
      </c>
      <c r="AJ1094" s="10">
        <f>-1.2768*3.06^2+222.07*3.06-130.11</f>
        <v>537.46875551999995</v>
      </c>
      <c r="AK1094" s="10">
        <f>0.4667*3.06^2+198.27*3.06-98.12</f>
        <v>512.95619212000008</v>
      </c>
      <c r="AL1094" s="10" t="str">
        <f t="shared" si="121"/>
        <v>FALSE</v>
      </c>
      <c r="AM1094" s="10" t="str">
        <f t="shared" si="121"/>
        <v>FALSE</v>
      </c>
      <c r="AN1094" s="10" t="str">
        <f t="shared" si="121"/>
        <v>FALSE</v>
      </c>
      <c r="AO1094" s="10" t="str">
        <f t="shared" si="122"/>
        <v>y=-1.2768*3.06^2+222.07*3.06-130.11</v>
      </c>
      <c r="AP1094" s="10" t="str">
        <f t="shared" si="122"/>
        <v>y=0.4667*3.06^2+198.27*3.06-98.12</v>
      </c>
      <c r="AQ1094" s="10" t="b">
        <f>IF(AND(I1094="TP",S1094&lt;=150),VLOOKUP(AF1094,TPCalibEq150!$AZ$2:$BB$55,3,),IF(AND(I1094="TDP",S1094&lt;=150),VLOOKUP(AF1094,TPCalibEq150!$AZ$2:$BB$55,3,)))</f>
        <v>0</v>
      </c>
      <c r="AR1094" s="10" t="b">
        <f>IF(AND(I1094="TP",S1094&lt;=300),VLOOKUP(AF1094,TPCalibEq300!$AZ$2:$BB$55,3,),IF(AND(I1094="TDP",S1094&lt;=300),VLOOKUP(AF1094,TPCalibEq300!$AZ$2:$BB$55,3,)))</f>
        <v>0</v>
      </c>
      <c r="AS1094" s="10" t="b">
        <f>IF(AND(I1094="TP",S1094&lt;=500),VLOOKUP(AF1094,TPCalibEq500!$AZ$2:$BB$56,3,),IF(AND(I1094="TDP",S1094&lt;=500),VLOOKUP(AF1094,TPCalibEq500!$AZ$2:$BB$56,3,)))</f>
        <v>0</v>
      </c>
      <c r="AT1094" s="10" t="str">
        <f>IF(AND(I1094="TN",S1094&lt;=2800),VLOOKUP(AF1094,TNCalibEq2500!$AZ$2:$BB$56,3,),IF(AND(I1094="TDN",S1094&lt;=2800),VLOOKUP(AF1094,TNCalibEq2500!$AZ$2:$BB$56,3,)))</f>
        <v>y=-1.2768x2+222.07x-130.11</v>
      </c>
      <c r="AU1094" s="10" t="str">
        <f>IF(I1094="TP",VLOOKUP(AF1094,TPCalibEqFull!$AZ$2:$BB$56,3),IF(I1094="TDP",VLOOKUP(AF1094,TPCalibEqFull!$AZ$2:$BB$56,3),IF(I1094="TDN",VLOOKUP(AF1094,TNCalibEqFull!$AZ$1:$BB$56,3),IF(I1094="TN",VLOOKUP(AF1094,TNCalibEqFull!$AZ$1:$BB$56,3),FALSE))))</f>
        <v>y=0.4667x2+198.27x-98.12</v>
      </c>
      <c r="AV1094" s="10" t="str">
        <f t="shared" si="127"/>
        <v>0124 09:00:00-QAC-STD-D.E-1-DI-CAL</v>
      </c>
    </row>
    <row r="1095" spans="1:48" s="10" customFormat="1" x14ac:dyDescent="0.55000000000000004">
      <c r="A1095" s="32">
        <v>44950</v>
      </c>
      <c r="B1095" s="33">
        <v>0.375</v>
      </c>
      <c r="C1095" s="10" t="s">
        <v>70</v>
      </c>
      <c r="D1095" s="10" t="s">
        <v>71</v>
      </c>
      <c r="E1095" s="10" t="s">
        <v>921</v>
      </c>
      <c r="F1095" s="10">
        <v>1</v>
      </c>
      <c r="G1095" s="10" t="s">
        <v>73</v>
      </c>
      <c r="H1095" s="10" t="s">
        <v>74</v>
      </c>
      <c r="I1095" s="10" t="s">
        <v>235</v>
      </c>
      <c r="J1095" s="10">
        <v>185</v>
      </c>
      <c r="K1095" s="12">
        <v>44950</v>
      </c>
      <c r="L1095" s="33">
        <v>0.58519675925925929</v>
      </c>
      <c r="M1095" s="10">
        <v>1</v>
      </c>
      <c r="N1095" s="10" t="s">
        <v>196</v>
      </c>
      <c r="O1095" s="10">
        <v>6.35</v>
      </c>
      <c r="P1095" s="10">
        <v>0.38200000000000001</v>
      </c>
      <c r="Q1095" s="10">
        <v>1250</v>
      </c>
      <c r="R1095" s="10" t="s">
        <v>170</v>
      </c>
      <c r="S1095" s="34">
        <f t="shared" si="123"/>
        <v>1250</v>
      </c>
      <c r="T1095" s="10" t="s">
        <v>1065</v>
      </c>
      <c r="U1095" s="34" t="str">
        <f t="shared" si="124"/>
        <v/>
      </c>
      <c r="V1095" s="31" t="str">
        <f>IF(H1095="CHK",VLOOKUP(I1095,QCCHK,3,),IF(H1095="GUP",VLOOKUP(E1095,QCGUP,2,),IF(AND(H1095="ATP",OR(I1095="TN",I1095="TDN",I1095="TNO2-3",I1095="NO2-3")),VLOOKUP(E1095,QCREC_N,2,),IF(AND(H1095="NIC",OR(I1095="TN",I1095="TDN",I1095="TNO2-3",I1095="NO2-3")),VLOOKUP(E1095,QCNIC_N,2,),IF(AND(H1095="UREA",OR(I1095="TN",I1095="TDN",I1095="TNO2-3",I1095="NO2-3")),VLOOKUP(E1095,QCUREA_N,2,),IF(H1095="PER",VLOOKUP(I1095,QCPER,MATCH(E1095,QCACTUAL!$J$25:$AA$25,0),),IF(H1095="SPK",VLOOKUP(I1095,QCSPK,3,),IF(AND(H1095="ATP",OR(I1095="TP",I1095="TDP")),VLOOKUP(E1095,QCATP_P,2,),""))))))))</f>
        <v/>
      </c>
      <c r="W1095" s="31" t="str">
        <f t="shared" si="125"/>
        <v>TRUE</v>
      </c>
      <c r="X1095" s="31" t="str">
        <f t="shared" si="126"/>
        <v/>
      </c>
      <c r="Y1095" s="10" t="s">
        <v>1061</v>
      </c>
      <c r="AF1095" s="12">
        <v>44950</v>
      </c>
      <c r="AJ1095" s="10">
        <f>-1.2768*6.35^2+222.07*6.35-130.11</f>
        <v>1228.5507319999997</v>
      </c>
      <c r="AK1095" s="10">
        <f>0.4667*6.35^2+198.27*6.35-98.12</f>
        <v>1179.7130107500002</v>
      </c>
      <c r="AL1095" s="10" t="str">
        <f t="shared" si="121"/>
        <v>FALSE</v>
      </c>
      <c r="AM1095" s="10" t="str">
        <f t="shared" si="121"/>
        <v>FALSE</v>
      </c>
      <c r="AN1095" s="10" t="str">
        <f t="shared" si="121"/>
        <v>FALSE</v>
      </c>
      <c r="AO1095" s="10" t="str">
        <f t="shared" si="122"/>
        <v>y=-1.2768*6.35^2+222.07*6.35-130.11</v>
      </c>
      <c r="AP1095" s="10" t="str">
        <f t="shared" si="122"/>
        <v>y=0.4667*6.35^2+198.27*6.35-98.12</v>
      </c>
      <c r="AQ1095" s="10" t="b">
        <f>IF(AND(I1095="TP",S1095&lt;=150),VLOOKUP(AF1095,TPCalibEq150!$AZ$2:$BB$55,3,),IF(AND(I1095="TDP",S1095&lt;=150),VLOOKUP(AF1095,TPCalibEq150!$AZ$2:$BB$55,3,)))</f>
        <v>0</v>
      </c>
      <c r="AR1095" s="10" t="b">
        <f>IF(AND(I1095="TP",S1095&lt;=300),VLOOKUP(AF1095,TPCalibEq300!$AZ$2:$BB$55,3,),IF(AND(I1095="TDP",S1095&lt;=300),VLOOKUP(AF1095,TPCalibEq300!$AZ$2:$BB$55,3,)))</f>
        <v>0</v>
      </c>
      <c r="AS1095" s="10" t="b">
        <f>IF(AND(I1095="TP",S1095&lt;=500),VLOOKUP(AF1095,TPCalibEq500!$AZ$2:$BB$56,3,),IF(AND(I1095="TDP",S1095&lt;=500),VLOOKUP(AF1095,TPCalibEq500!$AZ$2:$BB$56,3,)))</f>
        <v>0</v>
      </c>
      <c r="AT1095" s="10" t="str">
        <f>IF(AND(I1095="TN",S1095&lt;=2800),VLOOKUP(AF1095,TNCalibEq2500!$AZ$2:$BB$56,3,),IF(AND(I1095="TDN",S1095&lt;=2800),VLOOKUP(AF1095,TNCalibEq2500!$AZ$2:$BB$56,3,)))</f>
        <v>y=-1.2768x2+222.07x-130.11</v>
      </c>
      <c r="AU1095" s="10" t="str">
        <f>IF(I1095="TP",VLOOKUP(AF1095,TPCalibEqFull!$AZ$2:$BB$56,3),IF(I1095="TDP",VLOOKUP(AF1095,TPCalibEqFull!$AZ$2:$BB$56,3),IF(I1095="TDN",VLOOKUP(AF1095,TNCalibEqFull!$AZ$1:$BB$56,3),IF(I1095="TN",VLOOKUP(AF1095,TNCalibEqFull!$AZ$1:$BB$56,3),FALSE))))</f>
        <v>y=0.4667x2+198.27x-98.12</v>
      </c>
      <c r="AV1095" s="10" t="str">
        <f t="shared" si="127"/>
        <v>0124 09:00:00-QAC-STD-D.D-1-DI-CAL</v>
      </c>
    </row>
    <row r="1096" spans="1:48" s="10" customFormat="1" x14ac:dyDescent="0.55000000000000004">
      <c r="A1096" s="32">
        <v>44950</v>
      </c>
      <c r="B1096" s="33">
        <v>0.375</v>
      </c>
      <c r="C1096" s="10" t="s">
        <v>70</v>
      </c>
      <c r="D1096" s="10" t="s">
        <v>71</v>
      </c>
      <c r="E1096" s="10" t="s">
        <v>922</v>
      </c>
      <c r="F1096" s="10">
        <v>1</v>
      </c>
      <c r="G1096" s="10" t="s">
        <v>73</v>
      </c>
      <c r="H1096" s="10" t="s">
        <v>74</v>
      </c>
      <c r="I1096" s="10" t="s">
        <v>235</v>
      </c>
      <c r="J1096" s="10">
        <v>186</v>
      </c>
      <c r="K1096" s="12">
        <v>44950</v>
      </c>
      <c r="L1096" s="33">
        <v>0.58587962962962969</v>
      </c>
      <c r="M1096" s="10">
        <v>1</v>
      </c>
      <c r="N1096" s="10" t="s">
        <v>196</v>
      </c>
      <c r="O1096" s="10">
        <v>12.8</v>
      </c>
      <c r="P1096" s="10">
        <v>0.76800000000000002</v>
      </c>
      <c r="Q1096" s="10">
        <v>2500</v>
      </c>
      <c r="R1096" s="10" t="s">
        <v>170</v>
      </c>
      <c r="S1096" s="34">
        <f t="shared" si="123"/>
        <v>2500</v>
      </c>
      <c r="T1096" s="10" t="s">
        <v>1066</v>
      </c>
      <c r="U1096" s="34" t="str">
        <f t="shared" si="124"/>
        <v/>
      </c>
      <c r="V1096" s="31" t="str">
        <f>IF(H1096="CHK",VLOOKUP(I1096,QCCHK,3,),IF(H1096="GUP",VLOOKUP(E1096,QCGUP,2,),IF(AND(H1096="ATP",OR(I1096="TN",I1096="TDN",I1096="TNO2-3",I1096="NO2-3")),VLOOKUP(E1096,QCREC_N,2,),IF(AND(H1096="NIC",OR(I1096="TN",I1096="TDN",I1096="TNO2-3",I1096="NO2-3")),VLOOKUP(E1096,QCNIC_N,2,),IF(AND(H1096="UREA",OR(I1096="TN",I1096="TDN",I1096="TNO2-3",I1096="NO2-3")),VLOOKUP(E1096,QCUREA_N,2,),IF(H1096="PER",VLOOKUP(I1096,QCPER,MATCH(E1096,QCACTUAL!$J$25:$AA$25,0),),IF(H1096="SPK",VLOOKUP(I1096,QCSPK,3,),IF(AND(H1096="ATP",OR(I1096="TP",I1096="TDP")),VLOOKUP(E1096,QCATP_P,2,),""))))))))</f>
        <v/>
      </c>
      <c r="W1096" s="31" t="str">
        <f t="shared" si="125"/>
        <v>TRUE</v>
      </c>
      <c r="X1096" s="31" t="str">
        <f t="shared" si="126"/>
        <v/>
      </c>
      <c r="Y1096" s="10" t="s">
        <v>1061</v>
      </c>
      <c r="AF1096" s="12">
        <v>44950</v>
      </c>
      <c r="AJ1096" s="10">
        <f>-1.2768*12.8^2+222.07*12.8-130.11</f>
        <v>2503.1950879999999</v>
      </c>
      <c r="AK1096" s="10">
        <f>0.4667*12.8^2+198.27*12.8-98.12</f>
        <v>2516.2001280000004</v>
      </c>
      <c r="AL1096" s="10" t="str">
        <f t="shared" ref="AL1096:AN1159" si="128">IF($O1096="", "", IF(AQ1096&lt;&gt;"", SUBSTITUTE(SUBSTITUTE(AQ1096, "x", "*"&amp;$O1096&amp;"^", 1), "x", "*"&amp;$O1096, 1), ""))</f>
        <v>FALSE</v>
      </c>
      <c r="AM1096" s="10" t="str">
        <f t="shared" si="128"/>
        <v>FALSE</v>
      </c>
      <c r="AN1096" s="10" t="str">
        <f t="shared" si="128"/>
        <v>FALSE</v>
      </c>
      <c r="AO1096" s="10" t="str">
        <f t="shared" ref="AO1096:AP1159" si="129">IF($O1096="", "FALSE", IF(AT1096&lt;&gt;"FALSE", SUBSTITUTE(SUBSTITUTE(AT1096, "x", "*"&amp;$O1096&amp;"^", 1), "x", "*"&amp;$O1096, 1), ""))</f>
        <v>y=-1.2768*12.8^2+222.07*12.8-130.11</v>
      </c>
      <c r="AP1096" s="10" t="str">
        <f t="shared" si="129"/>
        <v>y=0.4667*12.8^2+198.27*12.8-98.12</v>
      </c>
      <c r="AQ1096" s="10" t="b">
        <f>IF(AND(I1096="TP",S1096&lt;=150),VLOOKUP(AF1096,TPCalibEq150!$AZ$2:$BB$55,3,),IF(AND(I1096="TDP",S1096&lt;=150),VLOOKUP(AF1096,TPCalibEq150!$AZ$2:$BB$55,3,)))</f>
        <v>0</v>
      </c>
      <c r="AR1096" s="10" t="b">
        <f>IF(AND(I1096="TP",S1096&lt;=300),VLOOKUP(AF1096,TPCalibEq300!$AZ$2:$BB$55,3,),IF(AND(I1096="TDP",S1096&lt;=300),VLOOKUP(AF1096,TPCalibEq300!$AZ$2:$BB$55,3,)))</f>
        <v>0</v>
      </c>
      <c r="AS1096" s="10" t="b">
        <f>IF(AND(I1096="TP",S1096&lt;=500),VLOOKUP(AF1096,TPCalibEq500!$AZ$2:$BB$56,3,),IF(AND(I1096="TDP",S1096&lt;=500),VLOOKUP(AF1096,TPCalibEq500!$AZ$2:$BB$56,3,)))</f>
        <v>0</v>
      </c>
      <c r="AT1096" s="10" t="str">
        <f>IF(AND(I1096="TN",S1096&lt;=2800),VLOOKUP(AF1096,TNCalibEq2500!$AZ$2:$BB$56,3,),IF(AND(I1096="TDN",S1096&lt;=2800),VLOOKUP(AF1096,TNCalibEq2500!$AZ$2:$BB$56,3,)))</f>
        <v>y=-1.2768x2+222.07x-130.11</v>
      </c>
      <c r="AU1096" s="10" t="str">
        <f>IF(I1096="TP",VLOOKUP(AF1096,TPCalibEqFull!$AZ$2:$BB$56,3),IF(I1096="TDP",VLOOKUP(AF1096,TPCalibEqFull!$AZ$2:$BB$56,3),IF(I1096="TDN",VLOOKUP(AF1096,TNCalibEqFull!$AZ$1:$BB$56,3),IF(I1096="TN",VLOOKUP(AF1096,TNCalibEqFull!$AZ$1:$BB$56,3),FALSE))))</f>
        <v>y=0.4667x2+198.27x-98.12</v>
      </c>
      <c r="AV1096" s="10" t="str">
        <f t="shared" si="127"/>
        <v>0124 09:00:00-QAC-STD-D.C-1-DI-CAL</v>
      </c>
    </row>
    <row r="1097" spans="1:48" s="10" customFormat="1" x14ac:dyDescent="0.55000000000000004">
      <c r="A1097" s="32">
        <v>44950</v>
      </c>
      <c r="B1097" s="33">
        <v>0.375</v>
      </c>
      <c r="C1097" s="10" t="s">
        <v>70</v>
      </c>
      <c r="D1097" s="10" t="s">
        <v>71</v>
      </c>
      <c r="E1097" s="10" t="s">
        <v>923</v>
      </c>
      <c r="F1097" s="10">
        <v>1</v>
      </c>
      <c r="G1097" s="10" t="s">
        <v>73</v>
      </c>
      <c r="H1097" s="10" t="s">
        <v>74</v>
      </c>
      <c r="I1097" s="10" t="s">
        <v>235</v>
      </c>
      <c r="J1097" s="10">
        <v>187</v>
      </c>
      <c r="K1097" s="12">
        <v>44950</v>
      </c>
      <c r="L1097" s="33">
        <v>0.58655092592592595</v>
      </c>
      <c r="M1097" s="10">
        <v>1</v>
      </c>
      <c r="N1097" s="10" t="s">
        <v>196</v>
      </c>
      <c r="O1097" s="10">
        <v>18.8</v>
      </c>
      <c r="P1097" s="10">
        <v>1.1200000000000001</v>
      </c>
      <c r="Q1097" s="10">
        <v>3750</v>
      </c>
      <c r="R1097" s="10" t="s">
        <v>170</v>
      </c>
      <c r="S1097" s="34">
        <f t="shared" si="123"/>
        <v>3750</v>
      </c>
      <c r="T1097" s="10" t="s">
        <v>1067</v>
      </c>
      <c r="U1097" s="34" t="str">
        <f t="shared" si="124"/>
        <v/>
      </c>
      <c r="V1097" s="31" t="str">
        <f>IF(H1097="CHK",VLOOKUP(I1097,QCCHK,3,),IF(H1097="GUP",VLOOKUP(E1097,QCGUP,2,),IF(AND(H1097="ATP",OR(I1097="TN",I1097="TDN",I1097="TNO2-3",I1097="NO2-3")),VLOOKUP(E1097,QCREC_N,2,),IF(AND(H1097="NIC",OR(I1097="TN",I1097="TDN",I1097="TNO2-3",I1097="NO2-3")),VLOOKUP(E1097,QCNIC_N,2,),IF(AND(H1097="UREA",OR(I1097="TN",I1097="TDN",I1097="TNO2-3",I1097="NO2-3")),VLOOKUP(E1097,QCUREA_N,2,),IF(H1097="PER",VLOOKUP(I1097,QCPER,MATCH(E1097,QCACTUAL!$J$25:$AA$25,0),),IF(H1097="SPK",VLOOKUP(I1097,QCSPK,3,),IF(AND(H1097="ATP",OR(I1097="TP",I1097="TDP")),VLOOKUP(E1097,QCATP_P,2,),""))))))))</f>
        <v/>
      </c>
      <c r="W1097" s="31" t="str">
        <f t="shared" si="125"/>
        <v>TRUE</v>
      </c>
      <c r="X1097" s="31" t="str">
        <f t="shared" si="126"/>
        <v/>
      </c>
      <c r="Y1097" s="10" t="s">
        <v>1061</v>
      </c>
      <c r="AF1097" s="12">
        <v>44950</v>
      </c>
      <c r="AK1097" s="10">
        <f>0.4667*18.8^2+198.27*18.8-98.12</f>
        <v>3794.3064480000003</v>
      </c>
      <c r="AL1097" s="10" t="str">
        <f t="shared" si="128"/>
        <v>FALSE</v>
      </c>
      <c r="AM1097" s="10" t="str">
        <f t="shared" si="128"/>
        <v>FALSE</v>
      </c>
      <c r="AN1097" s="10" t="str">
        <f t="shared" si="128"/>
        <v>FALSE</v>
      </c>
      <c r="AO1097" s="10" t="str">
        <f t="shared" si="129"/>
        <v>FALSE</v>
      </c>
      <c r="AP1097" s="10" t="str">
        <f t="shared" si="129"/>
        <v>y=0.4667*18.8^2+198.27*18.8-98.12</v>
      </c>
      <c r="AQ1097" s="10" t="b">
        <f>IF(AND(I1097="TP",S1097&lt;=150),VLOOKUP(AF1097,TPCalibEq150!$AZ$2:$BB$55,3,),IF(AND(I1097="TDP",S1097&lt;=150),VLOOKUP(AF1097,TPCalibEq150!$AZ$2:$BB$55,3,)))</f>
        <v>0</v>
      </c>
      <c r="AR1097" s="10" t="b">
        <f>IF(AND(I1097="TP",S1097&lt;=300),VLOOKUP(AF1097,TPCalibEq300!$AZ$2:$BB$55,3,),IF(AND(I1097="TDP",S1097&lt;=300),VLOOKUP(AF1097,TPCalibEq300!$AZ$2:$BB$55,3,)))</f>
        <v>0</v>
      </c>
      <c r="AS1097" s="10" t="b">
        <f>IF(AND(I1097="TP",S1097&lt;=500),VLOOKUP(AF1097,TPCalibEq500!$AZ$2:$BB$56,3,),IF(AND(I1097="TDP",S1097&lt;=500),VLOOKUP(AF1097,TPCalibEq500!$AZ$2:$BB$56,3,)))</f>
        <v>0</v>
      </c>
      <c r="AT1097" s="10" t="b">
        <f>IF(AND(I1097="TN",S1097&lt;=2800),VLOOKUP(AF1097,TNCalibEq2500!$AZ$2:$BB$56,3,),IF(AND(I1097="TDN",S1097&lt;=2800),VLOOKUP(AF1097,TNCalibEq2500!$AZ$2:$BB$56,3,)))</f>
        <v>0</v>
      </c>
      <c r="AU1097" s="10" t="str">
        <f>IF(I1097="TP",VLOOKUP(AF1097,TPCalibEqFull!$AZ$2:$BB$56,3),IF(I1097="TDP",VLOOKUP(AF1097,TPCalibEqFull!$AZ$2:$BB$56,3),IF(I1097="TDN",VLOOKUP(AF1097,TNCalibEqFull!$AZ$1:$BB$56,3),IF(I1097="TN",VLOOKUP(AF1097,TNCalibEqFull!$AZ$1:$BB$56,3),FALSE))))</f>
        <v>y=0.4667x2+198.27x-98.12</v>
      </c>
      <c r="AV1097" s="10" t="str">
        <f t="shared" si="127"/>
        <v>0124 09:00:00-QAC-STD-D.B-1-DI-CAL</v>
      </c>
    </row>
    <row r="1098" spans="1:48" s="10" customFormat="1" x14ac:dyDescent="0.55000000000000004">
      <c r="A1098" s="32">
        <v>44950</v>
      </c>
      <c r="B1098" s="33">
        <v>0.375</v>
      </c>
      <c r="C1098" s="10" t="s">
        <v>70</v>
      </c>
      <c r="D1098" s="10" t="s">
        <v>71</v>
      </c>
      <c r="E1098" s="10" t="s">
        <v>924</v>
      </c>
      <c r="F1098" s="10">
        <v>1</v>
      </c>
      <c r="G1098" s="10" t="s">
        <v>73</v>
      </c>
      <c r="H1098" s="10" t="s">
        <v>74</v>
      </c>
      <c r="I1098" s="10" t="s">
        <v>235</v>
      </c>
      <c r="J1098" s="10">
        <v>188</v>
      </c>
      <c r="K1098" s="12">
        <v>44950</v>
      </c>
      <c r="L1098" s="33">
        <v>0.5872222222222222</v>
      </c>
      <c r="M1098" s="10">
        <v>1</v>
      </c>
      <c r="N1098" s="10" t="s">
        <v>196</v>
      </c>
      <c r="O1098" s="10">
        <v>24.2</v>
      </c>
      <c r="P1098" s="10">
        <v>1.44</v>
      </c>
      <c r="Q1098" s="10">
        <v>5000</v>
      </c>
      <c r="R1098" s="10" t="s">
        <v>170</v>
      </c>
      <c r="S1098" s="34">
        <f t="shared" si="123"/>
        <v>5000</v>
      </c>
      <c r="T1098" s="10" t="s">
        <v>1068</v>
      </c>
      <c r="U1098" s="34" t="str">
        <f t="shared" si="124"/>
        <v/>
      </c>
      <c r="V1098" s="31" t="str">
        <f>IF(H1098="CHK",VLOOKUP(I1098,QCCHK,3,),IF(H1098="GUP",VLOOKUP(E1098,QCGUP,2,),IF(AND(H1098="ATP",OR(I1098="TN",I1098="TDN",I1098="TNO2-3",I1098="NO2-3")),VLOOKUP(E1098,QCREC_N,2,),IF(AND(H1098="NIC",OR(I1098="TN",I1098="TDN",I1098="TNO2-3",I1098="NO2-3")),VLOOKUP(E1098,QCNIC_N,2,),IF(AND(H1098="UREA",OR(I1098="TN",I1098="TDN",I1098="TNO2-3",I1098="NO2-3")),VLOOKUP(E1098,QCUREA_N,2,),IF(H1098="PER",VLOOKUP(I1098,QCPER,MATCH(E1098,QCACTUAL!$J$25:$AA$25,0),),IF(H1098="SPK",VLOOKUP(I1098,QCSPK,3,),IF(AND(H1098="ATP",OR(I1098="TP",I1098="TDP")),VLOOKUP(E1098,QCATP_P,2,),""))))))))</f>
        <v/>
      </c>
      <c r="W1098" s="31" t="str">
        <f t="shared" si="125"/>
        <v>TRUE</v>
      </c>
      <c r="X1098" s="31" t="str">
        <f t="shared" si="126"/>
        <v/>
      </c>
      <c r="Y1098" s="10" t="s">
        <v>1061</v>
      </c>
      <c r="AF1098" s="12">
        <v>44950</v>
      </c>
      <c r="AK1098" s="10">
        <f>0.4667*24.2^2+198.27*24.2-98.12</f>
        <v>4973.3321880000003</v>
      </c>
      <c r="AL1098" s="10" t="str">
        <f t="shared" si="128"/>
        <v>FALSE</v>
      </c>
      <c r="AM1098" s="10" t="str">
        <f t="shared" si="128"/>
        <v>FALSE</v>
      </c>
      <c r="AN1098" s="10" t="str">
        <f t="shared" si="128"/>
        <v>FALSE</v>
      </c>
      <c r="AO1098" s="10" t="str">
        <f t="shared" si="129"/>
        <v>FALSE</v>
      </c>
      <c r="AP1098" s="10" t="str">
        <f t="shared" si="129"/>
        <v>y=0.4667*24.2^2+198.27*24.2-98.12</v>
      </c>
      <c r="AQ1098" s="10" t="b">
        <f>IF(AND(I1098="TP",S1098&lt;=150),VLOOKUP(AF1098,TPCalibEq150!$AZ$2:$BB$55,3,),IF(AND(I1098="TDP",S1098&lt;=150),VLOOKUP(AF1098,TPCalibEq150!$AZ$2:$BB$55,3,)))</f>
        <v>0</v>
      </c>
      <c r="AR1098" s="10" t="b">
        <f>IF(AND(I1098="TP",S1098&lt;=300),VLOOKUP(AF1098,TPCalibEq300!$AZ$2:$BB$55,3,),IF(AND(I1098="TDP",S1098&lt;=300),VLOOKUP(AF1098,TPCalibEq300!$AZ$2:$BB$55,3,)))</f>
        <v>0</v>
      </c>
      <c r="AS1098" s="10" t="b">
        <f>IF(AND(I1098="TP",S1098&lt;=500),VLOOKUP(AF1098,TPCalibEq500!$AZ$2:$BB$56,3,),IF(AND(I1098="TDP",S1098&lt;=500),VLOOKUP(AF1098,TPCalibEq500!$AZ$2:$BB$56,3,)))</f>
        <v>0</v>
      </c>
      <c r="AT1098" s="10" t="b">
        <f>IF(AND(I1098="TN",S1098&lt;=2800),VLOOKUP(AF1098,TNCalibEq2500!$AZ$2:$BB$56,3,),IF(AND(I1098="TDN",S1098&lt;=2800),VLOOKUP(AF1098,TNCalibEq2500!$AZ$2:$BB$56,3,)))</f>
        <v>0</v>
      </c>
      <c r="AU1098" s="10" t="str">
        <f>IF(I1098="TP",VLOOKUP(AF1098,TPCalibEqFull!$AZ$2:$BB$56,3),IF(I1098="TDP",VLOOKUP(AF1098,TPCalibEqFull!$AZ$2:$BB$56,3),IF(I1098="TDN",VLOOKUP(AF1098,TNCalibEqFull!$AZ$1:$BB$56,3),IF(I1098="TN",VLOOKUP(AF1098,TNCalibEqFull!$AZ$1:$BB$56,3),FALSE))))</f>
        <v>y=0.4667x2+198.27x-98.12</v>
      </c>
      <c r="AV1098" s="10" t="str">
        <f t="shared" si="127"/>
        <v>0124 09:00:00-QAC-STD-D.A-1-DI-CAL</v>
      </c>
    </row>
    <row r="1099" spans="1:48" s="10" customFormat="1" x14ac:dyDescent="0.55000000000000004">
      <c r="A1099" s="32">
        <v>44950</v>
      </c>
      <c r="B1099" s="33">
        <v>0.375</v>
      </c>
      <c r="C1099" s="10" t="s">
        <v>70</v>
      </c>
      <c r="D1099" s="10" t="s">
        <v>241</v>
      </c>
      <c r="E1099" s="10" t="s">
        <v>866</v>
      </c>
      <c r="F1099" s="10">
        <v>1</v>
      </c>
      <c r="G1099" s="10" t="s">
        <v>73</v>
      </c>
      <c r="H1099" s="10" t="s">
        <v>283</v>
      </c>
      <c r="I1099" s="10" t="s">
        <v>235</v>
      </c>
      <c r="J1099" s="10">
        <v>198</v>
      </c>
      <c r="K1099" s="12">
        <v>44950</v>
      </c>
      <c r="L1099" s="33">
        <v>0.58855324074074067</v>
      </c>
      <c r="M1099" s="10">
        <v>1</v>
      </c>
      <c r="N1099" s="10" t="s">
        <v>196</v>
      </c>
      <c r="O1099" s="10">
        <v>0.377</v>
      </c>
      <c r="P1099" s="10">
        <v>2.2800000000000001E-2</v>
      </c>
      <c r="Q1099" s="10">
        <v>-42.7</v>
      </c>
      <c r="R1099" s="10" t="s">
        <v>170</v>
      </c>
      <c r="S1099" s="34">
        <f t="shared" si="123"/>
        <v>-23.305878395699992</v>
      </c>
      <c r="T1099" s="10" t="s">
        <v>1068</v>
      </c>
      <c r="U1099" s="34">
        <f t="shared" si="124"/>
        <v>-23.305878395699992</v>
      </c>
      <c r="V1099" s="31" t="str">
        <f>IF(H1099="CHK",VLOOKUP(I1099,QCCHK,3,),IF(H1099="GUP",VLOOKUP(E1099,QCGUP,2,),IF(AND(H1099="ATP",OR(I1099="TN",I1099="TDN",I1099="TNO2-3",I1099="NO2-3")),VLOOKUP(E1099,QCREC_N,2,),IF(AND(H1099="NIC",OR(I1099="TN",I1099="TDN",I1099="TNO2-3",I1099="NO2-3")),VLOOKUP(E1099,QCNIC_N,2,),IF(AND(H1099="UREA",OR(I1099="TN",I1099="TDN",I1099="TNO2-3",I1099="NO2-3")),VLOOKUP(E1099,QCUREA_N,2,),IF(H1099="PER",VLOOKUP(I1099,QCPER,MATCH(E1099,QCACTUAL!$J$25:$AA$25,0),),IF(H1099="SPK",VLOOKUP(I1099,QCSPK,3,),IF(AND(H1099="ATP",OR(I1099="TP",I1099="TDP")),VLOOKUP(E1099,QCATP_P,2,),""))))))))</f>
        <v/>
      </c>
      <c r="W1099" s="31" t="str">
        <f t="shared" si="125"/>
        <v>TRUE</v>
      </c>
      <c r="X1099" s="31" t="str">
        <f t="shared" si="126"/>
        <v>nominal concentration</v>
      </c>
      <c r="Y1099" s="10" t="s">
        <v>1061</v>
      </c>
      <c r="AF1099" s="12">
        <v>44950</v>
      </c>
      <c r="AJ1099" s="10">
        <f>-1.2768*0.377^2+222.07*0.377-130.11</f>
        <v>-46.57108030720002</v>
      </c>
      <c r="AK1099" s="10">
        <f>0.4667*0.377^2+198.27*0.377-98.12</f>
        <v>-23.305878395699992</v>
      </c>
      <c r="AL1099" s="10" t="str">
        <f t="shared" si="128"/>
        <v>FALSE</v>
      </c>
      <c r="AM1099" s="10" t="str">
        <f t="shared" si="128"/>
        <v>FALSE</v>
      </c>
      <c r="AN1099" s="10" t="str">
        <f t="shared" si="128"/>
        <v>FALSE</v>
      </c>
      <c r="AO1099" s="10" t="str">
        <f t="shared" si="129"/>
        <v>y=-1.2768*0.377^2+222.07*0.377-130.11</v>
      </c>
      <c r="AP1099" s="10" t="str">
        <f t="shared" si="129"/>
        <v>y=0.4667*0.377^2+198.27*0.377-98.12</v>
      </c>
      <c r="AQ1099" s="10" t="b">
        <f>IF(AND(I1099="TP",S1099&lt;=150),VLOOKUP(AF1099,TPCalibEq150!$AZ$2:$BB$55,3,),IF(AND(I1099="TDP",S1099&lt;=150),VLOOKUP(AF1099,TPCalibEq150!$AZ$2:$BB$55,3,)))</f>
        <v>0</v>
      </c>
      <c r="AR1099" s="10" t="b">
        <f>IF(AND(I1099="TP",S1099&lt;=300),VLOOKUP(AF1099,TPCalibEq300!$AZ$2:$BB$55,3,),IF(AND(I1099="TDP",S1099&lt;=300),VLOOKUP(AF1099,TPCalibEq300!$AZ$2:$BB$55,3,)))</f>
        <v>0</v>
      </c>
      <c r="AS1099" s="10" t="b">
        <f>IF(AND(I1099="TP",S1099&lt;=500),VLOOKUP(AF1099,TPCalibEq500!$AZ$2:$BB$56,3,),IF(AND(I1099="TDP",S1099&lt;=500),VLOOKUP(AF1099,TPCalibEq500!$AZ$2:$BB$56,3,)))</f>
        <v>0</v>
      </c>
      <c r="AT1099" s="10" t="str">
        <f>IF(AND(I1099="TN",S1099&lt;=2800),VLOOKUP(AF1099,TNCalibEq2500!$AZ$2:$BB$56,3,),IF(AND(I1099="TDN",S1099&lt;=2800),VLOOKUP(AF1099,TNCalibEq2500!$AZ$2:$BB$56,3,)))</f>
        <v>y=-1.2768x2+222.07x-130.11</v>
      </c>
      <c r="AU1099" s="10" t="str">
        <f>IF(I1099="TP",VLOOKUP(AF1099,TPCalibEqFull!$AZ$2:$BB$56,3),IF(I1099="TDP",VLOOKUP(AF1099,TPCalibEqFull!$AZ$2:$BB$56,3),IF(I1099="TDN",VLOOKUP(AF1099,TNCalibEqFull!$AZ$1:$BB$56,3),IF(I1099="TN",VLOOKUP(AF1099,TNCalibEqFull!$AZ$1:$BB$56,3),FALSE))))</f>
        <v>y=0.4667x2+198.27x-98.12</v>
      </c>
      <c r="AV1099" s="10" t="str">
        <f t="shared" si="127"/>
        <v>0124 09:00:00-QAC-BLK-A-1-DI-LAB</v>
      </c>
    </row>
    <row r="1100" spans="1:48" s="10" customFormat="1" x14ac:dyDescent="0.55000000000000004">
      <c r="A1100" s="32">
        <v>44950</v>
      </c>
      <c r="B1100" s="33">
        <v>0.375</v>
      </c>
      <c r="C1100" s="10" t="s">
        <v>70</v>
      </c>
      <c r="D1100" s="10" t="s">
        <v>241</v>
      </c>
      <c r="E1100" s="10" t="s">
        <v>866</v>
      </c>
      <c r="F1100" s="10">
        <v>1</v>
      </c>
      <c r="G1100" s="10" t="s">
        <v>73</v>
      </c>
      <c r="H1100" s="10" t="s">
        <v>314</v>
      </c>
      <c r="I1100" s="10" t="s">
        <v>235</v>
      </c>
      <c r="J1100" s="10">
        <v>225</v>
      </c>
      <c r="K1100" s="12">
        <v>44950</v>
      </c>
      <c r="L1100" s="33">
        <v>0.58922453703703703</v>
      </c>
      <c r="M1100" s="10">
        <v>1</v>
      </c>
      <c r="N1100" s="10" t="s">
        <v>196</v>
      </c>
      <c r="O1100" s="10">
        <v>12.9</v>
      </c>
      <c r="P1100" s="10">
        <v>0.77</v>
      </c>
      <c r="Q1100" s="10">
        <v>2560</v>
      </c>
      <c r="R1100" s="10" t="s">
        <v>170</v>
      </c>
      <c r="S1100" s="34">
        <f t="shared" si="123"/>
        <v>2560</v>
      </c>
      <c r="T1100" s="10" t="s">
        <v>1068</v>
      </c>
      <c r="U1100" s="34">
        <f t="shared" si="124"/>
        <v>103.33223513582799</v>
      </c>
      <c r="V1100" s="31">
        <f>IF(H1100="CHK",VLOOKUP(I1100,QCCHK,3,),IF(H1100="GUP",VLOOKUP(E1100,QCGUP,2,),IF(AND(H1100="ATP",OR(I1100="TN",I1100="TDN",I1100="TNO2-3",I1100="NO2-3")),VLOOKUP(E1100,QCREC_N,2,),IF(AND(H1100="NIC",OR(I1100="TN",I1100="TDN",I1100="TNO2-3",I1100="NO2-3")),VLOOKUP(E1100,QCNIC_N,2,),IF(AND(H1100="UREA",OR(I1100="TN",I1100="TDN",I1100="TNO2-3",I1100="NO2-3")),VLOOKUP(E1100,QCUREA_N,2,),IF(H1100="PER",VLOOKUP(I1100,QCPER,MATCH(E1100,QCACTUAL!$J$25:$AA$25,0),),IF(H1100="SPK",VLOOKUP(I1100,QCSPK,3,),IF(AND(H1100="ATP",OR(I1100="TP",I1100="TDP")),VLOOKUP(E1100,QCATP_P,2,),""))))))))</f>
        <v>2500</v>
      </c>
      <c r="W1100" s="31" t="str">
        <f t="shared" si="125"/>
        <v>TRUE</v>
      </c>
      <c r="X1100" s="31" t="str">
        <f t="shared" si="126"/>
        <v>([spikedunkn]-[unkn])/[spike]*100</v>
      </c>
      <c r="Y1100" s="10" t="s">
        <v>1061</v>
      </c>
      <c r="AF1100" s="12">
        <v>44950</v>
      </c>
      <c r="AJ1100" s="10">
        <f>-1.2768*12.9^2+222.07*12.9-130.11</f>
        <v>2522.1207119999999</v>
      </c>
      <c r="AK1100" s="10">
        <f>0.4667*12.9^2+198.27*12.9-98.12</f>
        <v>2537.2265470000002</v>
      </c>
      <c r="AL1100" s="10" t="str">
        <f t="shared" si="128"/>
        <v>FALSE</v>
      </c>
      <c r="AM1100" s="10" t="str">
        <f t="shared" si="128"/>
        <v>FALSE</v>
      </c>
      <c r="AN1100" s="10" t="str">
        <f t="shared" si="128"/>
        <v>FALSE</v>
      </c>
      <c r="AO1100" s="10" t="str">
        <f t="shared" si="129"/>
        <v>y=-1.2768*12.9^2+222.07*12.9-130.11</v>
      </c>
      <c r="AP1100" s="10" t="str">
        <f t="shared" si="129"/>
        <v>y=0.4667*12.9^2+198.27*12.9-98.12</v>
      </c>
      <c r="AQ1100" s="10" t="b">
        <f>IF(AND(I1100="TP",S1100&lt;=150),VLOOKUP(AF1100,TPCalibEq150!$AZ$2:$BB$55,3,),IF(AND(I1100="TDP",S1100&lt;=150),VLOOKUP(AF1100,TPCalibEq150!$AZ$2:$BB$55,3,)))</f>
        <v>0</v>
      </c>
      <c r="AR1100" s="10" t="b">
        <f>IF(AND(I1100="TP",S1100&lt;=300),VLOOKUP(AF1100,TPCalibEq300!$AZ$2:$BB$55,3,),IF(AND(I1100="TDP",S1100&lt;=300),VLOOKUP(AF1100,TPCalibEq300!$AZ$2:$BB$55,3,)))</f>
        <v>0</v>
      </c>
      <c r="AS1100" s="10" t="b">
        <f>IF(AND(I1100="TP",S1100&lt;=500),VLOOKUP(AF1100,TPCalibEq500!$AZ$2:$BB$56,3,),IF(AND(I1100="TDP",S1100&lt;=500),VLOOKUP(AF1100,TPCalibEq500!$AZ$2:$BB$56,3,)))</f>
        <v>0</v>
      </c>
      <c r="AT1100" s="10" t="str">
        <f>IF(AND(I1100="TN",S1100&lt;=2800),VLOOKUP(AF1100,TNCalibEq2500!$AZ$2:$BB$56,3,),IF(AND(I1100="TDN",S1100&lt;=2800),VLOOKUP(AF1100,TNCalibEq2500!$AZ$2:$BB$56,3,)))</f>
        <v>y=-1.2768x2+222.07x-130.11</v>
      </c>
      <c r="AU1100" s="10" t="str">
        <f>IF(I1100="TP",VLOOKUP(AF1100,TPCalibEqFull!$AZ$2:$BB$56,3),IF(I1100="TDP",VLOOKUP(AF1100,TPCalibEqFull!$AZ$2:$BB$56,3),IF(I1100="TDN",VLOOKUP(AF1100,TNCalibEqFull!$AZ$1:$BB$56,3),IF(I1100="TN",VLOOKUP(AF1100,TNCalibEqFull!$AZ$1:$BB$56,3),FALSE))))</f>
        <v>y=0.4667x2+198.27x-98.12</v>
      </c>
      <c r="AV1100" s="10" t="str">
        <f t="shared" si="127"/>
        <v>0124 09:00:00-QAC-BLK-A-1-DI-SPK</v>
      </c>
    </row>
    <row r="1101" spans="1:48" s="10" customFormat="1" x14ac:dyDescent="0.55000000000000004">
      <c r="A1101" s="32">
        <v>44950</v>
      </c>
      <c r="B1101" s="33">
        <v>0.375</v>
      </c>
      <c r="C1101" s="10" t="s">
        <v>70</v>
      </c>
      <c r="D1101" s="10" t="s">
        <v>71</v>
      </c>
      <c r="E1101" s="10" t="s">
        <v>948</v>
      </c>
      <c r="F1101" s="10">
        <v>1</v>
      </c>
      <c r="G1101" s="10" t="s">
        <v>73</v>
      </c>
      <c r="H1101" s="10" t="s">
        <v>299</v>
      </c>
      <c r="I1101" s="10" t="s">
        <v>235</v>
      </c>
      <c r="J1101" s="10">
        <v>197</v>
      </c>
      <c r="K1101" s="12">
        <v>44950</v>
      </c>
      <c r="L1101" s="33">
        <v>0.5898958333333334</v>
      </c>
      <c r="M1101" s="10">
        <v>1</v>
      </c>
      <c r="N1101" s="10" t="s">
        <v>196</v>
      </c>
      <c r="O1101" s="10">
        <v>9.15</v>
      </c>
      <c r="P1101" s="10">
        <v>0.55200000000000005</v>
      </c>
      <c r="Q1101" s="10">
        <v>1790</v>
      </c>
      <c r="R1101" s="10" t="s">
        <v>170</v>
      </c>
      <c r="S1101" s="34">
        <f t="shared" si="123"/>
        <v>1794.9336119999998</v>
      </c>
      <c r="T1101" s="10" t="s">
        <v>1068</v>
      </c>
      <c r="U1101" s="34">
        <f t="shared" si="124"/>
        <v>95.985754652406413</v>
      </c>
      <c r="V1101" s="31">
        <f>IF(H1101="CHK",VLOOKUP(I1101,QCCHK,3,),IF(H1101="GUP",VLOOKUP(E1101,QCGUP,2,),IF(AND(H1101="ATP",OR(I1101="TN",I1101="TDN",I1101="TNO2-3",I1101="NO2-3")),VLOOKUP(E1101,QCREC_N,2,),IF(AND(H1101="NIC",OR(I1101="TN",I1101="TDN",I1101="TNO2-3",I1101="NO2-3")),VLOOKUP(E1101,QCNIC_N,2,),IF(AND(H1101="UREA",OR(I1101="TN",I1101="TDN",I1101="TNO2-3",I1101="NO2-3")),VLOOKUP(E1101,QCUREA_N,2,),IF(H1101="PER",VLOOKUP(I1101,QCPER,MATCH(E1101,QCACTUAL!$J$25:$AA$25,0),),IF(H1101="SPK",VLOOKUP(I1101,QCSPK,3,),IF(AND(H1101="ATP",OR(I1101="TP",I1101="TDP")),VLOOKUP(E1101,QCATP_P,2,),""))))))))</f>
        <v>1870</v>
      </c>
      <c r="W1101" s="31" t="str">
        <f t="shared" si="125"/>
        <v>TRUE</v>
      </c>
      <c r="X1101" s="31" t="str">
        <f t="shared" si="126"/>
        <v>[per]/[actual]*100</v>
      </c>
      <c r="Y1101" s="10" t="s">
        <v>1061</v>
      </c>
      <c r="AF1101" s="12">
        <v>44950</v>
      </c>
      <c r="AJ1101" s="10">
        <f>-1.2768*9.15^2+222.07*9.15-130.11</f>
        <v>1794.9336119999998</v>
      </c>
      <c r="AK1101" s="10">
        <f>0.4667*9.15^2+198.27*9.15-98.12</f>
        <v>1755.1237907500004</v>
      </c>
      <c r="AL1101" s="10" t="str">
        <f t="shared" si="128"/>
        <v>FALSE</v>
      </c>
      <c r="AM1101" s="10" t="str">
        <f t="shared" si="128"/>
        <v>FALSE</v>
      </c>
      <c r="AN1101" s="10" t="str">
        <f t="shared" si="128"/>
        <v>FALSE</v>
      </c>
      <c r="AO1101" s="10" t="str">
        <f t="shared" si="129"/>
        <v>y=-1.2768*9.15^2+222.07*9.15-130.11</v>
      </c>
      <c r="AP1101" s="10" t="str">
        <f t="shared" si="129"/>
        <v>y=0.4667*9.15^2+198.27*9.15-98.12</v>
      </c>
      <c r="AQ1101" s="10" t="b">
        <f>IF(AND(I1101="TP",S1101&lt;=150),VLOOKUP(AF1101,TPCalibEq150!$AZ$2:$BB$55,3,),IF(AND(I1101="TDP",S1101&lt;=150),VLOOKUP(AF1101,TPCalibEq150!$AZ$2:$BB$55,3,)))</f>
        <v>0</v>
      </c>
      <c r="AR1101" s="10" t="b">
        <f>IF(AND(I1101="TP",S1101&lt;=300),VLOOKUP(AF1101,TPCalibEq300!$AZ$2:$BB$55,3,),IF(AND(I1101="TDP",S1101&lt;=300),VLOOKUP(AF1101,TPCalibEq300!$AZ$2:$BB$55,3,)))</f>
        <v>0</v>
      </c>
      <c r="AS1101" s="10" t="b">
        <f>IF(AND(I1101="TP",S1101&lt;=500),VLOOKUP(AF1101,TPCalibEq500!$AZ$2:$BB$56,3,),IF(AND(I1101="TDP",S1101&lt;=500),VLOOKUP(AF1101,TPCalibEq500!$AZ$2:$BB$56,3,)))</f>
        <v>0</v>
      </c>
      <c r="AT1101" s="10" t="str">
        <f>IF(AND(I1101="TN",S1101&lt;=2800),VLOOKUP(AF1101,TNCalibEq2500!$AZ$2:$BB$56,3,),IF(AND(I1101="TDN",S1101&lt;=2800),VLOOKUP(AF1101,TNCalibEq2500!$AZ$2:$BB$56,3,)))</f>
        <v>y=-1.2768x2+222.07x-130.11</v>
      </c>
      <c r="AU1101" s="10" t="str">
        <f>IF(I1101="TP",VLOOKUP(AF1101,TPCalibEqFull!$AZ$2:$BB$56,3),IF(I1101="TDP",VLOOKUP(AF1101,TPCalibEqFull!$AZ$2:$BB$56,3),IF(I1101="TDN",VLOOKUP(AF1101,TNCalibEqFull!$AZ$1:$BB$56,3),IF(I1101="TN",VLOOKUP(AF1101,TNCalibEqFull!$AZ$1:$BB$56,3),FALSE))))</f>
        <v>y=0.4667x2+198.27x-98.12</v>
      </c>
      <c r="AV1101" s="10" t="str">
        <f t="shared" si="127"/>
        <v>0124 09:00:00-QAC-STD-22A-1-DI-PER</v>
      </c>
    </row>
    <row r="1102" spans="1:48" s="10" customFormat="1" x14ac:dyDescent="0.55000000000000004">
      <c r="A1102" s="32">
        <v>44950</v>
      </c>
      <c r="B1102" s="33">
        <v>0.375</v>
      </c>
      <c r="C1102" s="10" t="s">
        <v>70</v>
      </c>
      <c r="D1102" s="10" t="s">
        <v>305</v>
      </c>
      <c r="E1102" s="10" t="s">
        <v>866</v>
      </c>
      <c r="F1102" s="10">
        <v>1</v>
      </c>
      <c r="G1102" s="10" t="s">
        <v>73</v>
      </c>
      <c r="H1102" s="10" t="s">
        <v>274</v>
      </c>
      <c r="I1102" s="10" t="s">
        <v>235</v>
      </c>
      <c r="J1102" s="10">
        <v>204</v>
      </c>
      <c r="K1102" s="12">
        <v>44950</v>
      </c>
      <c r="L1102" s="33">
        <v>0.59057870370370369</v>
      </c>
      <c r="M1102" s="10">
        <v>1</v>
      </c>
      <c r="N1102" s="10" t="s">
        <v>196</v>
      </c>
      <c r="O1102" s="10">
        <v>4.5</v>
      </c>
      <c r="P1102" s="10">
        <v>0.27100000000000002</v>
      </c>
      <c r="Q1102" s="10">
        <v>819</v>
      </c>
      <c r="R1102" s="10" t="s">
        <v>170</v>
      </c>
      <c r="S1102" s="34">
        <f t="shared" si="123"/>
        <v>843.34979999999996</v>
      </c>
      <c r="T1102" s="10" t="s">
        <v>1068</v>
      </c>
      <c r="U1102" s="34">
        <f t="shared" si="124"/>
        <v>84.334979999999987</v>
      </c>
      <c r="V1102" s="31">
        <f>IF(H1102="CHK",VLOOKUP(I1102,QCCHK,3,),IF(H1102="GUP",VLOOKUP(E1102,QCGUP,2,),IF(AND(H1102="ATP",OR(I1102="TN",I1102="TDN",I1102="TNO2-3",I1102="NO2-3")),VLOOKUP(E1102,QCREC_N,2,),IF(AND(H1102="NIC",OR(I1102="TN",I1102="TDN",I1102="TNO2-3",I1102="NO2-3")),VLOOKUP(E1102,QCNIC_N,2,),IF(AND(H1102="UREA",OR(I1102="TN",I1102="TDN",I1102="TNO2-3",I1102="NO2-3")),VLOOKUP(E1102,QCUREA_N,2,),IF(H1102="PER",VLOOKUP(I1102,QCPER,MATCH(E1102,QCACTUAL!$J$25:$AA$25,0),),IF(H1102="SPK",VLOOKUP(I1102,QCSPK,3,),IF(AND(H1102="ATP",OR(I1102="TP",I1102="TDP")),VLOOKUP(E1102,QCATP_P,2,),""))))))))</f>
        <v>1000</v>
      </c>
      <c r="W1102" s="31" t="str">
        <f t="shared" si="125"/>
        <v>TRUE</v>
      </c>
      <c r="X1102" s="31" t="str">
        <f t="shared" si="126"/>
        <v>[rec]/[actual]*100</v>
      </c>
      <c r="Y1102" s="10" t="s">
        <v>1061</v>
      </c>
      <c r="AF1102" s="12">
        <v>44950</v>
      </c>
      <c r="AJ1102" s="10">
        <f>-1.2768*4.5^2+222.07*4.5-130.11</f>
        <v>843.34979999999996</v>
      </c>
      <c r="AK1102" s="10">
        <f>0.4667*4.5^2+198.27*4.5-98.12</f>
        <v>803.54567500000007</v>
      </c>
      <c r="AL1102" s="10" t="str">
        <f t="shared" si="128"/>
        <v>FALSE</v>
      </c>
      <c r="AM1102" s="10" t="str">
        <f t="shared" si="128"/>
        <v>FALSE</v>
      </c>
      <c r="AN1102" s="10" t="str">
        <f t="shared" si="128"/>
        <v>FALSE</v>
      </c>
      <c r="AO1102" s="10" t="str">
        <f t="shared" si="129"/>
        <v>y=-1.2768*4.5^2+222.07*4.5-130.11</v>
      </c>
      <c r="AP1102" s="10" t="str">
        <f t="shared" si="129"/>
        <v>y=0.4667*4.5^2+198.27*4.5-98.12</v>
      </c>
      <c r="AQ1102" s="10" t="b">
        <f>IF(AND(I1102="TP",S1102&lt;=150),VLOOKUP(AF1102,TPCalibEq150!$AZ$2:$BB$55,3,),IF(AND(I1102="TDP",S1102&lt;=150),VLOOKUP(AF1102,TPCalibEq150!$AZ$2:$BB$55,3,)))</f>
        <v>0</v>
      </c>
      <c r="AR1102" s="10" t="b">
        <f>IF(AND(I1102="TP",S1102&lt;=300),VLOOKUP(AF1102,TPCalibEq300!$AZ$2:$BB$55,3,),IF(AND(I1102="TDP",S1102&lt;=300),VLOOKUP(AF1102,TPCalibEq300!$AZ$2:$BB$55,3,)))</f>
        <v>0</v>
      </c>
      <c r="AS1102" s="10" t="b">
        <f>IF(AND(I1102="TP",S1102&lt;=500),VLOOKUP(AF1102,TPCalibEq500!$AZ$2:$BB$56,3,),IF(AND(I1102="TDP",S1102&lt;=500),VLOOKUP(AF1102,TPCalibEq500!$AZ$2:$BB$56,3,)))</f>
        <v>0</v>
      </c>
      <c r="AT1102" s="10" t="str">
        <f>IF(AND(I1102="TN",S1102&lt;=2800),VLOOKUP(AF1102,TNCalibEq2500!$AZ$2:$BB$56,3,),IF(AND(I1102="TDN",S1102&lt;=2800),VLOOKUP(AF1102,TNCalibEq2500!$AZ$2:$BB$56,3,)))</f>
        <v>y=-1.2768x2+222.07x-130.11</v>
      </c>
      <c r="AU1102" s="10" t="str">
        <f>IF(I1102="TP",VLOOKUP(AF1102,TPCalibEqFull!$AZ$2:$BB$56,3),IF(I1102="TDP",VLOOKUP(AF1102,TPCalibEqFull!$AZ$2:$BB$56,3),IF(I1102="TDN",VLOOKUP(AF1102,TNCalibEqFull!$AZ$1:$BB$56,3),IF(I1102="TN",VLOOKUP(AF1102,TNCalibEqFull!$AZ$1:$BB$56,3),FALSE))))</f>
        <v>y=0.4667x2+198.27x-98.12</v>
      </c>
      <c r="AV1102" s="10" t="str">
        <f t="shared" si="127"/>
        <v>0124 09:00:00-QAC-REC-A-1-DI-GUP</v>
      </c>
    </row>
    <row r="1103" spans="1:48" s="10" customFormat="1" x14ac:dyDescent="0.55000000000000004">
      <c r="A1103" s="32">
        <v>44950</v>
      </c>
      <c r="B1103" s="33">
        <v>0.375</v>
      </c>
      <c r="C1103" s="10" t="s">
        <v>70</v>
      </c>
      <c r="D1103" s="10" t="s">
        <v>305</v>
      </c>
      <c r="E1103" s="10" t="s">
        <v>583</v>
      </c>
      <c r="F1103" s="10">
        <v>1</v>
      </c>
      <c r="G1103" s="10" t="s">
        <v>73</v>
      </c>
      <c r="H1103" s="10" t="s">
        <v>274</v>
      </c>
      <c r="I1103" s="10" t="s">
        <v>235</v>
      </c>
      <c r="J1103" s="10">
        <v>205</v>
      </c>
      <c r="K1103" s="12">
        <v>44950</v>
      </c>
      <c r="L1103" s="33">
        <v>0.59124999999999994</v>
      </c>
      <c r="M1103" s="10">
        <v>1</v>
      </c>
      <c r="N1103" s="10" t="s">
        <v>196</v>
      </c>
      <c r="O1103" s="10">
        <v>1.1000000000000001</v>
      </c>
      <c r="P1103" s="10">
        <v>6.7000000000000004E-2</v>
      </c>
      <c r="Q1103" s="10">
        <v>108</v>
      </c>
      <c r="R1103" s="10" t="s">
        <v>170</v>
      </c>
      <c r="S1103" s="34">
        <f t="shared" si="123"/>
        <v>120.54170700000003</v>
      </c>
      <c r="T1103" s="10" t="s">
        <v>1068</v>
      </c>
      <c r="U1103" s="34">
        <f t="shared" si="124"/>
        <v>60.270853500000008</v>
      </c>
      <c r="V1103" s="31">
        <f>IF(H1103="CHK",VLOOKUP(I1103,QCCHK,3,),IF(H1103="GUP",VLOOKUP(E1103,QCGUP,2,),IF(AND(H1103="ATP",OR(I1103="TN",I1103="TDN",I1103="TNO2-3",I1103="NO2-3")),VLOOKUP(E1103,QCREC_N,2,),IF(AND(H1103="NIC",OR(I1103="TN",I1103="TDN",I1103="TNO2-3",I1103="NO2-3")),VLOOKUP(E1103,QCNIC_N,2,),IF(AND(H1103="UREA",OR(I1103="TN",I1103="TDN",I1103="TNO2-3",I1103="NO2-3")),VLOOKUP(E1103,QCUREA_N,2,),IF(H1103="PER",VLOOKUP(I1103,QCPER,MATCH(E1103,QCACTUAL!$J$25:$AA$25,0),),IF(H1103="SPK",VLOOKUP(I1103,QCSPK,3,),IF(AND(H1103="ATP",OR(I1103="TP",I1103="TDP")),VLOOKUP(E1103,QCATP_P,2,),""))))))))</f>
        <v>200</v>
      </c>
      <c r="W1103" s="31" t="str">
        <f t="shared" si="125"/>
        <v>FALSE</v>
      </c>
      <c r="X1103" s="31" t="str">
        <f t="shared" si="126"/>
        <v>[rec]/[actual]*100</v>
      </c>
      <c r="Y1103" s="10" t="s">
        <v>1061</v>
      </c>
      <c r="AF1103" s="12">
        <v>44950</v>
      </c>
      <c r="AJ1103" s="10">
        <f>-1.2768*1.1^2+222.07*1.1-130.11</f>
        <v>112.622072</v>
      </c>
      <c r="AK1103" s="10">
        <f>0.4667*1.1^2+198.27*1.1-98.12</f>
        <v>120.54170700000003</v>
      </c>
      <c r="AL1103" s="10" t="str">
        <f t="shared" si="128"/>
        <v>FALSE</v>
      </c>
      <c r="AM1103" s="10" t="str">
        <f t="shared" si="128"/>
        <v>FALSE</v>
      </c>
      <c r="AN1103" s="10" t="str">
        <f t="shared" si="128"/>
        <v>FALSE</v>
      </c>
      <c r="AO1103" s="10" t="str">
        <f t="shared" si="129"/>
        <v>y=-1.2768*1.1^2+222.07*1.1-130.11</v>
      </c>
      <c r="AP1103" s="10" t="str">
        <f t="shared" si="129"/>
        <v>y=0.4667*1.1^2+198.27*1.1-98.12</v>
      </c>
      <c r="AQ1103" s="10" t="b">
        <f>IF(AND(I1103="TP",S1103&lt;=150),VLOOKUP(AF1103,TPCalibEq150!$AZ$2:$BB$55,3,),IF(AND(I1103="TDP",S1103&lt;=150),VLOOKUP(AF1103,TPCalibEq150!$AZ$2:$BB$55,3,)))</f>
        <v>0</v>
      </c>
      <c r="AR1103" s="10" t="b">
        <f>IF(AND(I1103="TP",S1103&lt;=300),VLOOKUP(AF1103,TPCalibEq300!$AZ$2:$BB$55,3,),IF(AND(I1103="TDP",S1103&lt;=300),VLOOKUP(AF1103,TPCalibEq300!$AZ$2:$BB$55,3,)))</f>
        <v>0</v>
      </c>
      <c r="AS1103" s="10" t="b">
        <f>IF(AND(I1103="TP",S1103&lt;=500),VLOOKUP(AF1103,TPCalibEq500!$AZ$2:$BB$56,3,),IF(AND(I1103="TDP",S1103&lt;=500),VLOOKUP(AF1103,TPCalibEq500!$AZ$2:$BB$56,3,)))</f>
        <v>0</v>
      </c>
      <c r="AT1103" s="10" t="str">
        <f>IF(AND(I1103="TN",S1103&lt;=2800),VLOOKUP(AF1103,TNCalibEq2500!$AZ$2:$BB$56,3,),IF(AND(I1103="TDN",S1103&lt;=2800),VLOOKUP(AF1103,TNCalibEq2500!$AZ$2:$BB$56,3,)))</f>
        <v>y=-1.2768x2+222.07x-130.11</v>
      </c>
      <c r="AU1103" s="10" t="str">
        <f>IF(I1103="TP",VLOOKUP(AF1103,TPCalibEqFull!$AZ$2:$BB$56,3),IF(I1103="TDP",VLOOKUP(AF1103,TPCalibEqFull!$AZ$2:$BB$56,3),IF(I1103="TDN",VLOOKUP(AF1103,TNCalibEqFull!$AZ$1:$BB$56,3),IF(I1103="TN",VLOOKUP(AF1103,TNCalibEqFull!$AZ$1:$BB$56,3),FALSE))))</f>
        <v>y=0.4667x2+198.27x-98.12</v>
      </c>
      <c r="AV1103" s="10" t="str">
        <f t="shared" si="127"/>
        <v>0124 09:00:00-QAC-REC-B-1-DI-GUP</v>
      </c>
    </row>
    <row r="1104" spans="1:48" s="10" customFormat="1" x14ac:dyDescent="0.55000000000000004">
      <c r="A1104" s="32">
        <v>44950</v>
      </c>
      <c r="B1104" s="33">
        <v>0.375</v>
      </c>
      <c r="C1104" s="10" t="s">
        <v>70</v>
      </c>
      <c r="D1104" s="10" t="s">
        <v>305</v>
      </c>
      <c r="E1104" s="10" t="s">
        <v>190</v>
      </c>
      <c r="F1104" s="10">
        <v>1</v>
      </c>
      <c r="G1104" s="10" t="s">
        <v>73</v>
      </c>
      <c r="H1104" s="10" t="s">
        <v>274</v>
      </c>
      <c r="I1104" s="10" t="s">
        <v>235</v>
      </c>
      <c r="J1104" s="10">
        <v>206</v>
      </c>
      <c r="K1104" s="12">
        <v>44950</v>
      </c>
      <c r="L1104" s="33">
        <v>0.59192129629629631</v>
      </c>
      <c r="M1104" s="10">
        <v>1</v>
      </c>
      <c r="N1104" s="10" t="s">
        <v>196</v>
      </c>
      <c r="O1104" s="10">
        <v>0.76</v>
      </c>
      <c r="P1104" s="10">
        <v>4.5699999999999998E-2</v>
      </c>
      <c r="Q1104" s="10">
        <v>37.200000000000003</v>
      </c>
      <c r="R1104" s="10" t="s">
        <v>170</v>
      </c>
      <c r="S1104" s="34">
        <f t="shared" si="123"/>
        <v>52.834765919999995</v>
      </c>
      <c r="T1104" s="10" t="s">
        <v>1068</v>
      </c>
      <c r="U1104" s="34">
        <f t="shared" si="124"/>
        <v>52.834765919999995</v>
      </c>
      <c r="V1104" s="31">
        <f>IF(H1104="CHK",VLOOKUP(I1104,QCCHK,3,),IF(H1104="GUP",VLOOKUP(E1104,QCGUP,2,),IF(AND(H1104="ATP",OR(I1104="TN",I1104="TDN",I1104="TNO2-3",I1104="NO2-3")),VLOOKUP(E1104,QCREC_N,2,),IF(AND(H1104="NIC",OR(I1104="TN",I1104="TDN",I1104="TNO2-3",I1104="NO2-3")),VLOOKUP(E1104,QCNIC_N,2,),IF(AND(H1104="UREA",OR(I1104="TN",I1104="TDN",I1104="TNO2-3",I1104="NO2-3")),VLOOKUP(E1104,QCUREA_N,2,),IF(H1104="PER",VLOOKUP(I1104,QCPER,MATCH(E1104,QCACTUAL!$J$25:$AA$25,0),),IF(H1104="SPK",VLOOKUP(I1104,QCSPK,3,),IF(AND(H1104="ATP",OR(I1104="TP",I1104="TDP")),VLOOKUP(E1104,QCATP_P,2,),""))))))))</f>
        <v>100</v>
      </c>
      <c r="W1104" s="31" t="str">
        <f t="shared" si="125"/>
        <v>FALSE</v>
      </c>
      <c r="X1104" s="31" t="str">
        <f t="shared" si="126"/>
        <v>[rec]/[actual]*100</v>
      </c>
      <c r="Y1104" s="10" t="s">
        <v>1061</v>
      </c>
      <c r="AF1104" s="12">
        <v>44950</v>
      </c>
      <c r="AJ1104" s="10">
        <f>-1.2768*0.76^2+222.07*0.76-130.11</f>
        <v>37.925720319999982</v>
      </c>
      <c r="AK1104" s="10">
        <f>0.4667*0.76^2+198.27*0.76-98.12</f>
        <v>52.834765919999995</v>
      </c>
      <c r="AL1104" s="10" t="str">
        <f t="shared" si="128"/>
        <v>FALSE</v>
      </c>
      <c r="AM1104" s="10" t="str">
        <f t="shared" si="128"/>
        <v>FALSE</v>
      </c>
      <c r="AN1104" s="10" t="str">
        <f t="shared" si="128"/>
        <v>FALSE</v>
      </c>
      <c r="AO1104" s="10" t="str">
        <f t="shared" si="129"/>
        <v>y=-1.2768*0.76^2+222.07*0.76-130.11</v>
      </c>
      <c r="AP1104" s="10" t="str">
        <f t="shared" si="129"/>
        <v>y=0.4667*0.76^2+198.27*0.76-98.12</v>
      </c>
      <c r="AQ1104" s="10" t="b">
        <f>IF(AND(I1104="TP",S1104&lt;=150),VLOOKUP(AF1104,TPCalibEq150!$AZ$2:$BB$55,3,),IF(AND(I1104="TDP",S1104&lt;=150),VLOOKUP(AF1104,TPCalibEq150!$AZ$2:$BB$55,3,)))</f>
        <v>0</v>
      </c>
      <c r="AR1104" s="10" t="b">
        <f>IF(AND(I1104="TP",S1104&lt;=300),VLOOKUP(AF1104,TPCalibEq300!$AZ$2:$BB$55,3,),IF(AND(I1104="TDP",S1104&lt;=300),VLOOKUP(AF1104,TPCalibEq300!$AZ$2:$BB$55,3,)))</f>
        <v>0</v>
      </c>
      <c r="AS1104" s="10" t="b">
        <f>IF(AND(I1104="TP",S1104&lt;=500),VLOOKUP(AF1104,TPCalibEq500!$AZ$2:$BB$56,3,),IF(AND(I1104="TDP",S1104&lt;=500),VLOOKUP(AF1104,TPCalibEq500!$AZ$2:$BB$56,3,)))</f>
        <v>0</v>
      </c>
      <c r="AT1104" s="10" t="str">
        <f>IF(AND(I1104="TN",S1104&lt;=2800),VLOOKUP(AF1104,TNCalibEq2500!$AZ$2:$BB$56,3,),IF(AND(I1104="TDN",S1104&lt;=2800),VLOOKUP(AF1104,TNCalibEq2500!$AZ$2:$BB$56,3,)))</f>
        <v>y=-1.2768x2+222.07x-130.11</v>
      </c>
      <c r="AU1104" s="10" t="str">
        <f>IF(I1104="TP",VLOOKUP(AF1104,TPCalibEqFull!$AZ$2:$BB$56,3),IF(I1104="TDP",VLOOKUP(AF1104,TPCalibEqFull!$AZ$2:$BB$56,3),IF(I1104="TDN",VLOOKUP(AF1104,TNCalibEqFull!$AZ$1:$BB$56,3),IF(I1104="TN",VLOOKUP(AF1104,TNCalibEqFull!$AZ$1:$BB$56,3),FALSE))))</f>
        <v>y=0.4667x2+198.27x-98.12</v>
      </c>
      <c r="AV1104" s="10" t="str">
        <f t="shared" si="127"/>
        <v>0124 09:00:00-QAC-REC-C-1-DI-GUP</v>
      </c>
    </row>
    <row r="1105" spans="1:48" s="10" customFormat="1" x14ac:dyDescent="0.55000000000000004">
      <c r="A1105" s="32">
        <v>44950</v>
      </c>
      <c r="B1105" s="33">
        <v>0.375</v>
      </c>
      <c r="C1105" s="10" t="s">
        <v>70</v>
      </c>
      <c r="D1105" s="10" t="s">
        <v>305</v>
      </c>
      <c r="E1105" s="10" t="s">
        <v>866</v>
      </c>
      <c r="F1105" s="10">
        <v>1</v>
      </c>
      <c r="G1105" s="10" t="s">
        <v>73</v>
      </c>
      <c r="H1105" s="10" t="s">
        <v>181</v>
      </c>
      <c r="I1105" s="10" t="s">
        <v>235</v>
      </c>
      <c r="J1105" s="10">
        <v>207</v>
      </c>
      <c r="K1105" s="12">
        <v>44950</v>
      </c>
      <c r="L1105" s="33">
        <v>0.59259259259259256</v>
      </c>
      <c r="M1105" s="10">
        <v>1</v>
      </c>
      <c r="N1105" s="10" t="s">
        <v>196</v>
      </c>
      <c r="O1105" s="10">
        <v>3.92</v>
      </c>
      <c r="P1105" s="10">
        <v>0.23499999999999999</v>
      </c>
      <c r="Q1105" s="10">
        <v>698</v>
      </c>
      <c r="R1105" s="10" t="s">
        <v>170</v>
      </c>
      <c r="S1105" s="34">
        <f t="shared" si="123"/>
        <v>720.78458047999993</v>
      </c>
      <c r="T1105" s="10" t="s">
        <v>1068</v>
      </c>
      <c r="U1105" s="34">
        <f t="shared" si="124"/>
        <v>72.078458047999987</v>
      </c>
      <c r="V1105" s="31">
        <f>IF(H1105="CHK",VLOOKUP(I1105,QCCHK,3,),IF(H1105="GUP",VLOOKUP(E1105,QCGUP,2,),IF(AND(H1105="ATP",OR(I1105="TN",I1105="TDN",I1105="TNO2-3",I1105="NO2-3")),VLOOKUP(E1105,QCREC_N,2,),IF(AND(H1105="NIC",OR(I1105="TN",I1105="TDN",I1105="TNO2-3",I1105="NO2-3")),VLOOKUP(E1105,QCNIC_N,2,),IF(AND(H1105="UREA",OR(I1105="TN",I1105="TDN",I1105="TNO2-3",I1105="NO2-3")),VLOOKUP(E1105,QCUREA_N,2,),IF(H1105="PER",VLOOKUP(I1105,QCPER,MATCH(E1105,QCACTUAL!$J$25:$AA$25,0),),IF(H1105="SPK",VLOOKUP(I1105,QCSPK,3,),IF(AND(H1105="ATP",OR(I1105="TP",I1105="TDP")),VLOOKUP(E1105,QCATP_P,2,),""))))))))</f>
        <v>1000</v>
      </c>
      <c r="W1105" s="31" t="str">
        <f t="shared" si="125"/>
        <v>FALSE</v>
      </c>
      <c r="X1105" s="31" t="str">
        <f t="shared" si="126"/>
        <v>[rec]/[actual]*100</v>
      </c>
      <c r="Y1105" s="10" t="s">
        <v>1061</v>
      </c>
      <c r="AF1105" s="12">
        <v>44950</v>
      </c>
      <c r="AJ1105" s="10">
        <f>-1.2768*3.92^2+222.07*3.92-130.11</f>
        <v>720.78458047999993</v>
      </c>
      <c r="AK1105" s="10">
        <f>0.4667*3.92^2+198.27*3.92-98.12</f>
        <v>686.26989887999991</v>
      </c>
      <c r="AL1105" s="10" t="str">
        <f t="shared" si="128"/>
        <v>FALSE</v>
      </c>
      <c r="AM1105" s="10" t="str">
        <f t="shared" si="128"/>
        <v>FALSE</v>
      </c>
      <c r="AN1105" s="10" t="str">
        <f t="shared" si="128"/>
        <v>FALSE</v>
      </c>
      <c r="AO1105" s="10" t="str">
        <f t="shared" si="129"/>
        <v>y=-1.2768*3.92^2+222.07*3.92-130.11</v>
      </c>
      <c r="AP1105" s="10" t="str">
        <f t="shared" si="129"/>
        <v>y=0.4667*3.92^2+198.27*3.92-98.12</v>
      </c>
      <c r="AQ1105" s="10" t="b">
        <f>IF(AND(I1105="TP",S1105&lt;=150),VLOOKUP(AF1105,TPCalibEq150!$AZ$2:$BB$55,3,),IF(AND(I1105="TDP",S1105&lt;=150),VLOOKUP(AF1105,TPCalibEq150!$AZ$2:$BB$55,3,)))</f>
        <v>0</v>
      </c>
      <c r="AR1105" s="10" t="b">
        <f>IF(AND(I1105="TP",S1105&lt;=300),VLOOKUP(AF1105,TPCalibEq300!$AZ$2:$BB$55,3,),IF(AND(I1105="TDP",S1105&lt;=300),VLOOKUP(AF1105,TPCalibEq300!$AZ$2:$BB$55,3,)))</f>
        <v>0</v>
      </c>
      <c r="AS1105" s="10" t="b">
        <f>IF(AND(I1105="TP",S1105&lt;=500),VLOOKUP(AF1105,TPCalibEq500!$AZ$2:$BB$56,3,),IF(AND(I1105="TDP",S1105&lt;=500),VLOOKUP(AF1105,TPCalibEq500!$AZ$2:$BB$56,3,)))</f>
        <v>0</v>
      </c>
      <c r="AT1105" s="10" t="str">
        <f>IF(AND(I1105="TN",S1105&lt;=2800),VLOOKUP(AF1105,TNCalibEq2500!$AZ$2:$BB$56,3,),IF(AND(I1105="TDN",S1105&lt;=2800),VLOOKUP(AF1105,TNCalibEq2500!$AZ$2:$BB$56,3,)))</f>
        <v>y=-1.2768x2+222.07x-130.11</v>
      </c>
      <c r="AU1105" s="10" t="str">
        <f>IF(I1105="TP",VLOOKUP(AF1105,TPCalibEqFull!$AZ$2:$BB$56,3),IF(I1105="TDP",VLOOKUP(AF1105,TPCalibEqFull!$AZ$2:$BB$56,3),IF(I1105="TDN",VLOOKUP(AF1105,TNCalibEqFull!$AZ$1:$BB$56,3),IF(I1105="TN",VLOOKUP(AF1105,TNCalibEqFull!$AZ$1:$BB$56,3),FALSE))))</f>
        <v>y=0.4667x2+198.27x-98.12</v>
      </c>
      <c r="AV1105" s="10" t="str">
        <f t="shared" si="127"/>
        <v>0124 09:00:00-QAC-REC-A-1-DI-ATP</v>
      </c>
    </row>
    <row r="1106" spans="1:48" s="10" customFormat="1" x14ac:dyDescent="0.55000000000000004">
      <c r="A1106" s="32">
        <v>44950</v>
      </c>
      <c r="B1106" s="33">
        <v>0.375</v>
      </c>
      <c r="C1106" s="10" t="s">
        <v>70</v>
      </c>
      <c r="D1106" s="10" t="s">
        <v>305</v>
      </c>
      <c r="E1106" s="10" t="s">
        <v>583</v>
      </c>
      <c r="F1106" s="10">
        <v>1</v>
      </c>
      <c r="G1106" s="10" t="s">
        <v>73</v>
      </c>
      <c r="H1106" s="10" t="s">
        <v>181</v>
      </c>
      <c r="I1106" s="10" t="s">
        <v>235</v>
      </c>
      <c r="J1106" s="10">
        <v>208</v>
      </c>
      <c r="K1106" s="12">
        <v>44950</v>
      </c>
      <c r="L1106" s="33">
        <v>0.59327546296296296</v>
      </c>
      <c r="M1106" s="10">
        <v>1</v>
      </c>
      <c r="N1106" s="10" t="s">
        <v>196</v>
      </c>
      <c r="O1106" s="10">
        <v>1.06</v>
      </c>
      <c r="P1106" s="10">
        <v>6.4000000000000001E-2</v>
      </c>
      <c r="Q1106" s="10">
        <v>98.9</v>
      </c>
      <c r="R1106" s="10" t="s">
        <v>170</v>
      </c>
      <c r="S1106" s="34">
        <f t="shared" si="123"/>
        <v>112.57058412000003</v>
      </c>
      <c r="T1106" s="10" t="s">
        <v>1068</v>
      </c>
      <c r="U1106" s="34">
        <f t="shared" si="124"/>
        <v>56.285292060000017</v>
      </c>
      <c r="V1106" s="31">
        <f>IF(H1106="CHK",VLOOKUP(I1106,QCCHK,3,),IF(H1106="GUP",VLOOKUP(E1106,QCGUP,2,),IF(AND(H1106="ATP",OR(I1106="TN",I1106="TDN",I1106="TNO2-3",I1106="NO2-3")),VLOOKUP(E1106,QCREC_N,2,),IF(AND(H1106="NIC",OR(I1106="TN",I1106="TDN",I1106="TNO2-3",I1106="NO2-3")),VLOOKUP(E1106,QCNIC_N,2,),IF(AND(H1106="UREA",OR(I1106="TN",I1106="TDN",I1106="TNO2-3",I1106="NO2-3")),VLOOKUP(E1106,QCUREA_N,2,),IF(H1106="PER",VLOOKUP(I1106,QCPER,MATCH(E1106,QCACTUAL!$J$25:$AA$25,0),),IF(H1106="SPK",VLOOKUP(I1106,QCSPK,3,),IF(AND(H1106="ATP",OR(I1106="TP",I1106="TDP")),VLOOKUP(E1106,QCATP_P,2,),""))))))))</f>
        <v>200</v>
      </c>
      <c r="W1106" s="31" t="str">
        <f t="shared" si="125"/>
        <v>FALSE</v>
      </c>
      <c r="X1106" s="31" t="str">
        <f t="shared" si="126"/>
        <v>[rec]/[actual]*100</v>
      </c>
      <c r="Y1106" s="10" t="s">
        <v>1061</v>
      </c>
      <c r="AF1106" s="12">
        <v>44950</v>
      </c>
      <c r="AJ1106" s="10">
        <f>-1.2768*1.06^2+222.07*1.06-130.11</f>
        <v>103.84958752</v>
      </c>
      <c r="AK1106" s="10">
        <f>0.4667*1.06^2+198.27*1.06-98.12</f>
        <v>112.57058412000003</v>
      </c>
      <c r="AL1106" s="10" t="str">
        <f t="shared" si="128"/>
        <v>FALSE</v>
      </c>
      <c r="AM1106" s="10" t="str">
        <f t="shared" si="128"/>
        <v>FALSE</v>
      </c>
      <c r="AN1106" s="10" t="str">
        <f t="shared" si="128"/>
        <v>FALSE</v>
      </c>
      <c r="AO1106" s="10" t="str">
        <f t="shared" si="129"/>
        <v>y=-1.2768*1.06^2+222.07*1.06-130.11</v>
      </c>
      <c r="AP1106" s="10" t="str">
        <f t="shared" si="129"/>
        <v>y=0.4667*1.06^2+198.27*1.06-98.12</v>
      </c>
      <c r="AQ1106" s="10" t="b">
        <f>IF(AND(I1106="TP",S1106&lt;=150),VLOOKUP(AF1106,TPCalibEq150!$AZ$2:$BB$55,3,),IF(AND(I1106="TDP",S1106&lt;=150),VLOOKUP(AF1106,TPCalibEq150!$AZ$2:$BB$55,3,)))</f>
        <v>0</v>
      </c>
      <c r="AR1106" s="10" t="b">
        <f>IF(AND(I1106="TP",S1106&lt;=300),VLOOKUP(AF1106,TPCalibEq300!$AZ$2:$BB$55,3,),IF(AND(I1106="TDP",S1106&lt;=300),VLOOKUP(AF1106,TPCalibEq300!$AZ$2:$BB$55,3,)))</f>
        <v>0</v>
      </c>
      <c r="AS1106" s="10" t="b">
        <f>IF(AND(I1106="TP",S1106&lt;=500),VLOOKUP(AF1106,TPCalibEq500!$AZ$2:$BB$56,3,),IF(AND(I1106="TDP",S1106&lt;=500),VLOOKUP(AF1106,TPCalibEq500!$AZ$2:$BB$56,3,)))</f>
        <v>0</v>
      </c>
      <c r="AT1106" s="10" t="str">
        <f>IF(AND(I1106="TN",S1106&lt;=2800),VLOOKUP(AF1106,TNCalibEq2500!$AZ$2:$BB$56,3,),IF(AND(I1106="TDN",S1106&lt;=2800),VLOOKUP(AF1106,TNCalibEq2500!$AZ$2:$BB$56,3,)))</f>
        <v>y=-1.2768x2+222.07x-130.11</v>
      </c>
      <c r="AU1106" s="10" t="str">
        <f>IF(I1106="TP",VLOOKUP(AF1106,TPCalibEqFull!$AZ$2:$BB$56,3),IF(I1106="TDP",VLOOKUP(AF1106,TPCalibEqFull!$AZ$2:$BB$56,3),IF(I1106="TDN",VLOOKUP(AF1106,TNCalibEqFull!$AZ$1:$BB$56,3),IF(I1106="TN",VLOOKUP(AF1106,TNCalibEqFull!$AZ$1:$BB$56,3),FALSE))))</f>
        <v>y=0.4667x2+198.27x-98.12</v>
      </c>
      <c r="AV1106" s="10" t="str">
        <f t="shared" si="127"/>
        <v>0124 09:00:00-QAC-REC-B-1-DI-ATP</v>
      </c>
    </row>
    <row r="1107" spans="1:48" s="10" customFormat="1" x14ac:dyDescent="0.55000000000000004">
      <c r="A1107" s="32">
        <v>44950</v>
      </c>
      <c r="B1107" s="33">
        <v>0.375</v>
      </c>
      <c r="C1107" s="10" t="s">
        <v>70</v>
      </c>
      <c r="D1107" s="10" t="s">
        <v>305</v>
      </c>
      <c r="E1107" s="10" t="s">
        <v>190</v>
      </c>
      <c r="F1107" s="10">
        <v>1</v>
      </c>
      <c r="G1107" s="10" t="s">
        <v>73</v>
      </c>
      <c r="H1107" s="10" t="s">
        <v>181</v>
      </c>
      <c r="I1107" s="10" t="s">
        <v>235</v>
      </c>
      <c r="J1107" s="10">
        <v>209</v>
      </c>
      <c r="K1107" s="12">
        <v>44950</v>
      </c>
      <c r="L1107" s="33">
        <v>0.59394675925925922</v>
      </c>
      <c r="M1107" s="10">
        <v>1</v>
      </c>
      <c r="N1107" s="10" t="s">
        <v>196</v>
      </c>
      <c r="O1107" s="10">
        <v>0.71199999999999997</v>
      </c>
      <c r="P1107" s="10">
        <v>4.2599999999999999E-2</v>
      </c>
      <c r="Q1107" s="10">
        <v>27.2</v>
      </c>
      <c r="R1107" s="10" t="s">
        <v>170</v>
      </c>
      <c r="S1107" s="34">
        <f t="shared" si="123"/>
        <v>43.284830764800006</v>
      </c>
      <c r="T1107" s="10" t="s">
        <v>1068</v>
      </c>
      <c r="U1107" s="34">
        <f t="shared" si="124"/>
        <v>43.284830764800006</v>
      </c>
      <c r="V1107" s="31">
        <f>IF(H1107="CHK",VLOOKUP(I1107,QCCHK,3,),IF(H1107="GUP",VLOOKUP(E1107,QCGUP,2,),IF(AND(H1107="ATP",OR(I1107="TN",I1107="TDN",I1107="TNO2-3",I1107="NO2-3")),VLOOKUP(E1107,QCREC_N,2,),IF(AND(H1107="NIC",OR(I1107="TN",I1107="TDN",I1107="TNO2-3",I1107="NO2-3")),VLOOKUP(E1107,QCNIC_N,2,),IF(AND(H1107="UREA",OR(I1107="TN",I1107="TDN",I1107="TNO2-3",I1107="NO2-3")),VLOOKUP(E1107,QCUREA_N,2,),IF(H1107="PER",VLOOKUP(I1107,QCPER,MATCH(E1107,QCACTUAL!$J$25:$AA$25,0),),IF(H1107="SPK",VLOOKUP(I1107,QCSPK,3,),IF(AND(H1107="ATP",OR(I1107="TP",I1107="TDP")),VLOOKUP(E1107,QCATP_P,2,),""))))))))</f>
        <v>100</v>
      </c>
      <c r="W1107" s="31" t="str">
        <f t="shared" si="125"/>
        <v>FALSE</v>
      </c>
      <c r="X1107" s="31" t="str">
        <f t="shared" si="126"/>
        <v>[rec]/[actual]*100</v>
      </c>
      <c r="Y1107" s="10" t="s">
        <v>1061</v>
      </c>
      <c r="AF1107" s="12">
        <v>44950</v>
      </c>
      <c r="AJ1107" s="10">
        <f>-1.2768*0.712^2+222.07*0.712-130.11</f>
        <v>27.356573900799958</v>
      </c>
      <c r="AK1107" s="10">
        <f>0.4667*0.712^2+198.27*0.712-98.12</f>
        <v>43.284830764800006</v>
      </c>
      <c r="AL1107" s="10" t="str">
        <f t="shared" si="128"/>
        <v>FALSE</v>
      </c>
      <c r="AM1107" s="10" t="str">
        <f t="shared" si="128"/>
        <v>FALSE</v>
      </c>
      <c r="AN1107" s="10" t="str">
        <f t="shared" si="128"/>
        <v>FALSE</v>
      </c>
      <c r="AO1107" s="10" t="str">
        <f t="shared" si="129"/>
        <v>y=-1.2768*0.712^2+222.07*0.712-130.11</v>
      </c>
      <c r="AP1107" s="10" t="str">
        <f t="shared" si="129"/>
        <v>y=0.4667*0.712^2+198.27*0.712-98.12</v>
      </c>
      <c r="AQ1107" s="10" t="b">
        <f>IF(AND(I1107="TP",S1107&lt;=150),VLOOKUP(AF1107,TPCalibEq150!$AZ$2:$BB$55,3,),IF(AND(I1107="TDP",S1107&lt;=150),VLOOKUP(AF1107,TPCalibEq150!$AZ$2:$BB$55,3,)))</f>
        <v>0</v>
      </c>
      <c r="AR1107" s="10" t="b">
        <f>IF(AND(I1107="TP",S1107&lt;=300),VLOOKUP(AF1107,TPCalibEq300!$AZ$2:$BB$55,3,),IF(AND(I1107="TDP",S1107&lt;=300),VLOOKUP(AF1107,TPCalibEq300!$AZ$2:$BB$55,3,)))</f>
        <v>0</v>
      </c>
      <c r="AS1107" s="10" t="b">
        <f>IF(AND(I1107="TP",S1107&lt;=500),VLOOKUP(AF1107,TPCalibEq500!$AZ$2:$BB$56,3,),IF(AND(I1107="TDP",S1107&lt;=500),VLOOKUP(AF1107,TPCalibEq500!$AZ$2:$BB$56,3,)))</f>
        <v>0</v>
      </c>
      <c r="AT1107" s="10" t="str">
        <f>IF(AND(I1107="TN",S1107&lt;=2800),VLOOKUP(AF1107,TNCalibEq2500!$AZ$2:$BB$56,3,),IF(AND(I1107="TDN",S1107&lt;=2800),VLOOKUP(AF1107,TNCalibEq2500!$AZ$2:$BB$56,3,)))</f>
        <v>y=-1.2768x2+222.07x-130.11</v>
      </c>
      <c r="AU1107" s="10" t="str">
        <f>IF(I1107="TP",VLOOKUP(AF1107,TPCalibEqFull!$AZ$2:$BB$56,3),IF(I1107="TDP",VLOOKUP(AF1107,TPCalibEqFull!$AZ$2:$BB$56,3),IF(I1107="TDN",VLOOKUP(AF1107,TNCalibEqFull!$AZ$1:$BB$56,3),IF(I1107="TN",VLOOKUP(AF1107,TNCalibEqFull!$AZ$1:$BB$56,3),FALSE))))</f>
        <v>y=0.4667x2+198.27x-98.12</v>
      </c>
      <c r="AV1107" s="10" t="str">
        <f t="shared" si="127"/>
        <v>0124 09:00:00-QAC-REC-C-1-DI-ATP</v>
      </c>
    </row>
    <row r="1108" spans="1:48" s="10" customFormat="1" x14ac:dyDescent="0.55000000000000004">
      <c r="A1108" s="32">
        <v>44950</v>
      </c>
      <c r="B1108" s="33">
        <v>0.375</v>
      </c>
      <c r="C1108" s="10" t="s">
        <v>70</v>
      </c>
      <c r="D1108" s="10" t="s">
        <v>305</v>
      </c>
      <c r="E1108" s="10" t="s">
        <v>190</v>
      </c>
      <c r="F1108" s="10">
        <v>1</v>
      </c>
      <c r="G1108" s="10" t="s">
        <v>73</v>
      </c>
      <c r="H1108" s="10" t="s">
        <v>856</v>
      </c>
      <c r="I1108" s="10" t="s">
        <v>235</v>
      </c>
      <c r="J1108" s="10">
        <v>210</v>
      </c>
      <c r="K1108" s="12">
        <v>44950</v>
      </c>
      <c r="L1108" s="33">
        <v>0.59461805555555558</v>
      </c>
      <c r="M1108" s="10">
        <v>1</v>
      </c>
      <c r="N1108" s="10" t="s">
        <v>196</v>
      </c>
      <c r="O1108" s="10">
        <v>0.91700000000000004</v>
      </c>
      <c r="P1108" s="10">
        <v>5.3699999999999998E-2</v>
      </c>
      <c r="Q1108" s="10">
        <v>70</v>
      </c>
      <c r="R1108" s="10" t="s">
        <v>170</v>
      </c>
      <c r="S1108" s="34">
        <f t="shared" si="123"/>
        <v>84.086032896299997</v>
      </c>
      <c r="T1108" s="10" t="s">
        <v>1068</v>
      </c>
      <c r="U1108" s="34">
        <f t="shared" si="124"/>
        <v>84.086032896299997</v>
      </c>
      <c r="V1108" s="31">
        <f>IF(H1108="CHK",VLOOKUP(I1108,QCCHK,3,),IF(H1108="GUP",VLOOKUP(E1108,QCGUP,2,),IF(AND(H1108="ATP",OR(I1108="TN",I1108="TDN",I1108="TNO2-3",I1108="NO2-3")),VLOOKUP(E1108,QCREC_N,2,),IF(AND(H1108="NIC",OR(I1108="TN",I1108="TDN",I1108="TNO2-3",I1108="NO2-3")),VLOOKUP(E1108,QCNIC_N,2,),IF(AND(H1108="UREA",OR(I1108="TN",I1108="TDN",I1108="TNO2-3",I1108="NO2-3")),VLOOKUP(E1108,QCUREA_N,2,),IF(H1108="PER",VLOOKUP(I1108,QCPER,MATCH(E1108,QCACTUAL!$J$25:$AA$25,0),),IF(H1108="SPK",VLOOKUP(I1108,QCSPK,3,),IF(AND(H1108="ATP",OR(I1108="TP",I1108="TDP")),VLOOKUP(E1108,QCATP_P,2,),""))))))))</f>
        <v>100</v>
      </c>
      <c r="W1108" s="31" t="str">
        <f t="shared" si="125"/>
        <v>TRUE</v>
      </c>
      <c r="X1108" s="31" t="str">
        <f t="shared" si="126"/>
        <v>[rec]/[actual]*100</v>
      </c>
      <c r="Y1108" s="10" t="s">
        <v>1061</v>
      </c>
      <c r="AF1108" s="12">
        <v>44950</v>
      </c>
      <c r="AJ1108" s="10">
        <f>-1.2768*0.917^2+222.07*0.917-130.11</f>
        <v>72.454542924799995</v>
      </c>
      <c r="AK1108" s="10">
        <f>0.4667*0.917^2+198.27*0.917-98.12</f>
        <v>84.086032896299997</v>
      </c>
      <c r="AL1108" s="10" t="str">
        <f t="shared" si="128"/>
        <v>FALSE</v>
      </c>
      <c r="AM1108" s="10" t="str">
        <f t="shared" si="128"/>
        <v>FALSE</v>
      </c>
      <c r="AN1108" s="10" t="str">
        <f t="shared" si="128"/>
        <v>FALSE</v>
      </c>
      <c r="AO1108" s="10" t="str">
        <f t="shared" si="129"/>
        <v>y=-1.2768*0.917^2+222.07*0.917-130.11</v>
      </c>
      <c r="AP1108" s="10" t="str">
        <f t="shared" si="129"/>
        <v>y=0.4667*0.917^2+198.27*0.917-98.12</v>
      </c>
      <c r="AQ1108" s="10" t="b">
        <f>IF(AND(I1108="TP",S1108&lt;=150),VLOOKUP(AF1108,TPCalibEq150!$AZ$2:$BB$55,3,),IF(AND(I1108="TDP",S1108&lt;=150),VLOOKUP(AF1108,TPCalibEq150!$AZ$2:$BB$55,3,)))</f>
        <v>0</v>
      </c>
      <c r="AR1108" s="10" t="b">
        <f>IF(AND(I1108="TP",S1108&lt;=300),VLOOKUP(AF1108,TPCalibEq300!$AZ$2:$BB$55,3,),IF(AND(I1108="TDP",S1108&lt;=300),VLOOKUP(AF1108,TPCalibEq300!$AZ$2:$BB$55,3,)))</f>
        <v>0</v>
      </c>
      <c r="AS1108" s="10" t="b">
        <f>IF(AND(I1108="TP",S1108&lt;=500),VLOOKUP(AF1108,TPCalibEq500!$AZ$2:$BB$56,3,),IF(AND(I1108="TDP",S1108&lt;=500),VLOOKUP(AF1108,TPCalibEq500!$AZ$2:$BB$56,3,)))</f>
        <v>0</v>
      </c>
      <c r="AT1108" s="10" t="str">
        <f>IF(AND(I1108="TN",S1108&lt;=2800),VLOOKUP(AF1108,TNCalibEq2500!$AZ$2:$BB$56,3,),IF(AND(I1108="TDN",S1108&lt;=2800),VLOOKUP(AF1108,TNCalibEq2500!$AZ$2:$BB$56,3,)))</f>
        <v>y=-1.2768x2+222.07x-130.11</v>
      </c>
      <c r="AU1108" s="10" t="str">
        <f>IF(I1108="TP",VLOOKUP(AF1108,TPCalibEqFull!$AZ$2:$BB$56,3),IF(I1108="TDP",VLOOKUP(AF1108,TPCalibEqFull!$AZ$2:$BB$56,3),IF(I1108="TDN",VLOOKUP(AF1108,TNCalibEqFull!$AZ$1:$BB$56,3),IF(I1108="TN",VLOOKUP(AF1108,TNCalibEqFull!$AZ$1:$BB$56,3),FALSE))))</f>
        <v>y=0.4667x2+198.27x-98.12</v>
      </c>
      <c r="AV1108" s="10" t="str">
        <f t="shared" si="127"/>
        <v>0124 09:00:00-QAC-REC-C-1-DI-NIC</v>
      </c>
    </row>
    <row r="1109" spans="1:48" s="10" customFormat="1" x14ac:dyDescent="0.55000000000000004">
      <c r="A1109" s="32">
        <v>44950</v>
      </c>
      <c r="B1109" s="33">
        <v>0.375</v>
      </c>
      <c r="C1109" s="10" t="s">
        <v>70</v>
      </c>
      <c r="D1109" s="10" t="s">
        <v>305</v>
      </c>
      <c r="E1109" s="10" t="s">
        <v>583</v>
      </c>
      <c r="F1109" s="10">
        <v>1</v>
      </c>
      <c r="G1109" s="10" t="s">
        <v>73</v>
      </c>
      <c r="H1109" s="10" t="s">
        <v>856</v>
      </c>
      <c r="I1109" s="10" t="s">
        <v>235</v>
      </c>
      <c r="J1109" s="10">
        <v>211</v>
      </c>
      <c r="K1109" s="12">
        <v>44950</v>
      </c>
      <c r="L1109" s="33">
        <v>0.59528935185185183</v>
      </c>
      <c r="M1109" s="10">
        <v>1</v>
      </c>
      <c r="N1109" s="10" t="s">
        <v>196</v>
      </c>
      <c r="O1109" s="10">
        <v>0.191</v>
      </c>
      <c r="P1109" s="10">
        <v>1.5699999999999999E-2</v>
      </c>
      <c r="Q1109" s="10">
        <v>-81.7</v>
      </c>
      <c r="R1109" s="10" t="s">
        <v>170</v>
      </c>
      <c r="S1109" s="34">
        <f t="shared" si="123"/>
        <v>-60.2334043173</v>
      </c>
      <c r="T1109" s="10" t="s">
        <v>1068</v>
      </c>
      <c r="U1109" s="34">
        <f t="shared" si="124"/>
        <v>-30.11670215865</v>
      </c>
      <c r="V1109" s="31">
        <f>IF(H1109="CHK",VLOOKUP(I1109,QCCHK,3,),IF(H1109="GUP",VLOOKUP(E1109,QCGUP,2,),IF(AND(H1109="ATP",OR(I1109="TN",I1109="TDN",I1109="TNO2-3",I1109="NO2-3")),VLOOKUP(E1109,QCREC_N,2,),IF(AND(H1109="NIC",OR(I1109="TN",I1109="TDN",I1109="TNO2-3",I1109="NO2-3")),VLOOKUP(E1109,QCNIC_N,2,),IF(AND(H1109="UREA",OR(I1109="TN",I1109="TDN",I1109="TNO2-3",I1109="NO2-3")),VLOOKUP(E1109,QCUREA_N,2,),IF(H1109="PER",VLOOKUP(I1109,QCPER,MATCH(E1109,QCACTUAL!$J$25:$AA$25,0),),IF(H1109="SPK",VLOOKUP(I1109,QCSPK,3,),IF(AND(H1109="ATP",OR(I1109="TP",I1109="TDP")),VLOOKUP(E1109,QCATP_P,2,),""))))))))</f>
        <v>200</v>
      </c>
      <c r="W1109" s="31" t="str">
        <f t="shared" si="125"/>
        <v>FALSE</v>
      </c>
      <c r="X1109" s="31" t="str">
        <f t="shared" si="126"/>
        <v>[rec]/[actual]*100</v>
      </c>
      <c r="Y1109" s="10" t="s">
        <v>1061</v>
      </c>
      <c r="AF1109" s="12">
        <v>44950</v>
      </c>
      <c r="AJ1109" s="10">
        <f>-1.2768*0.191^2+222.07*0.191-130.11</f>
        <v>-87.741208940800021</v>
      </c>
      <c r="AK1109" s="10">
        <f>0.4667*0.191^2+198.27*0.191-98.12</f>
        <v>-60.2334043173</v>
      </c>
      <c r="AL1109" s="10" t="str">
        <f t="shared" si="128"/>
        <v>FALSE</v>
      </c>
      <c r="AM1109" s="10" t="str">
        <f t="shared" si="128"/>
        <v>FALSE</v>
      </c>
      <c r="AN1109" s="10" t="str">
        <f t="shared" si="128"/>
        <v>FALSE</v>
      </c>
      <c r="AO1109" s="10" t="str">
        <f t="shared" si="129"/>
        <v>y=-1.2768*0.191^2+222.07*0.191-130.11</v>
      </c>
      <c r="AP1109" s="10" t="str">
        <f t="shared" si="129"/>
        <v>y=0.4667*0.191^2+198.27*0.191-98.12</v>
      </c>
      <c r="AQ1109" s="10" t="b">
        <f>IF(AND(I1109="TP",S1109&lt;=150),VLOOKUP(AF1109,TPCalibEq150!$AZ$2:$BB$55,3,),IF(AND(I1109="TDP",S1109&lt;=150),VLOOKUP(AF1109,TPCalibEq150!$AZ$2:$BB$55,3,)))</f>
        <v>0</v>
      </c>
      <c r="AR1109" s="10" t="b">
        <f>IF(AND(I1109="TP",S1109&lt;=300),VLOOKUP(AF1109,TPCalibEq300!$AZ$2:$BB$55,3,),IF(AND(I1109="TDP",S1109&lt;=300),VLOOKUP(AF1109,TPCalibEq300!$AZ$2:$BB$55,3,)))</f>
        <v>0</v>
      </c>
      <c r="AS1109" s="10" t="b">
        <f>IF(AND(I1109="TP",S1109&lt;=500),VLOOKUP(AF1109,TPCalibEq500!$AZ$2:$BB$56,3,),IF(AND(I1109="TDP",S1109&lt;=500),VLOOKUP(AF1109,TPCalibEq500!$AZ$2:$BB$56,3,)))</f>
        <v>0</v>
      </c>
      <c r="AT1109" s="10" t="str">
        <f>IF(AND(I1109="TN",S1109&lt;=2800),VLOOKUP(AF1109,TNCalibEq2500!$AZ$2:$BB$56,3,),IF(AND(I1109="TDN",S1109&lt;=2800),VLOOKUP(AF1109,TNCalibEq2500!$AZ$2:$BB$56,3,)))</f>
        <v>y=-1.2768x2+222.07x-130.11</v>
      </c>
      <c r="AU1109" s="10" t="str">
        <f>IF(I1109="TP",VLOOKUP(AF1109,TPCalibEqFull!$AZ$2:$BB$56,3),IF(I1109="TDP",VLOOKUP(AF1109,TPCalibEqFull!$AZ$2:$BB$56,3),IF(I1109="TDN",VLOOKUP(AF1109,TNCalibEqFull!$AZ$1:$BB$56,3),IF(I1109="TN",VLOOKUP(AF1109,TNCalibEqFull!$AZ$1:$BB$56,3),FALSE))))</f>
        <v>y=0.4667x2+198.27x-98.12</v>
      </c>
      <c r="AV1109" s="10" t="str">
        <f t="shared" si="127"/>
        <v>0124 09:00:00-QAC-REC-B-1-DI-NIC</v>
      </c>
    </row>
    <row r="1110" spans="1:48" s="10" customFormat="1" x14ac:dyDescent="0.55000000000000004">
      <c r="A1110" s="32">
        <v>44950</v>
      </c>
      <c r="B1110" s="33">
        <v>0.375</v>
      </c>
      <c r="C1110" s="10" t="s">
        <v>70</v>
      </c>
      <c r="D1110" s="10" t="s">
        <v>305</v>
      </c>
      <c r="E1110" s="10" t="s">
        <v>866</v>
      </c>
      <c r="F1110" s="10">
        <v>1</v>
      </c>
      <c r="G1110" s="10" t="s">
        <v>73</v>
      </c>
      <c r="H1110" s="10" t="s">
        <v>856</v>
      </c>
      <c r="I1110" s="10" t="s">
        <v>235</v>
      </c>
      <c r="J1110" s="10">
        <v>212</v>
      </c>
      <c r="K1110" s="12">
        <v>44950</v>
      </c>
      <c r="L1110" s="33">
        <v>0.59597222222222224</v>
      </c>
      <c r="M1110" s="10">
        <v>1</v>
      </c>
      <c r="N1110" s="10" t="s">
        <v>196</v>
      </c>
      <c r="O1110" s="10">
        <v>5.38</v>
      </c>
      <c r="P1110" s="10">
        <v>0.33400000000000002</v>
      </c>
      <c r="Q1110" s="10">
        <v>1000</v>
      </c>
      <c r="R1110" s="10" t="s">
        <v>170</v>
      </c>
      <c r="S1110" s="34">
        <f t="shared" si="123"/>
        <v>1027.6703900799998</v>
      </c>
      <c r="T1110" s="10" t="s">
        <v>1068</v>
      </c>
      <c r="U1110" s="34">
        <f t="shared" si="124"/>
        <v>102.767039008</v>
      </c>
      <c r="V1110" s="31">
        <f>IF(H1110="CHK",VLOOKUP(I1110,QCCHK,3,),IF(H1110="GUP",VLOOKUP(E1110,QCGUP,2,),IF(AND(H1110="ATP",OR(I1110="TN",I1110="TDN",I1110="TNO2-3",I1110="NO2-3")),VLOOKUP(E1110,QCREC_N,2,),IF(AND(H1110="NIC",OR(I1110="TN",I1110="TDN",I1110="TNO2-3",I1110="NO2-3")),VLOOKUP(E1110,QCNIC_N,2,),IF(AND(H1110="UREA",OR(I1110="TN",I1110="TDN",I1110="TNO2-3",I1110="NO2-3")),VLOOKUP(E1110,QCUREA_N,2,),IF(H1110="PER",VLOOKUP(I1110,QCPER,MATCH(E1110,QCACTUAL!$J$25:$AA$25,0),),IF(H1110="SPK",VLOOKUP(I1110,QCSPK,3,),IF(AND(H1110="ATP",OR(I1110="TP",I1110="TDP")),VLOOKUP(E1110,QCATP_P,2,),""))))))))</f>
        <v>1000</v>
      </c>
      <c r="W1110" s="31" t="str">
        <f t="shared" si="125"/>
        <v>TRUE</v>
      </c>
      <c r="X1110" s="31" t="str">
        <f t="shared" si="126"/>
        <v>[rec]/[actual]*100</v>
      </c>
      <c r="Y1110" s="10" t="s">
        <v>1061</v>
      </c>
      <c r="AF1110" s="12">
        <v>44950</v>
      </c>
      <c r="AJ1110" s="10">
        <f>-1.2768*5.38^2+222.07*5.38-130.11</f>
        <v>1027.6703900799998</v>
      </c>
      <c r="AK1110" s="10">
        <f>0.4667*5.38^2+198.27*5.38-98.12</f>
        <v>982.08095148000018</v>
      </c>
      <c r="AL1110" s="10" t="str">
        <f t="shared" si="128"/>
        <v>FALSE</v>
      </c>
      <c r="AM1110" s="10" t="str">
        <f t="shared" si="128"/>
        <v>FALSE</v>
      </c>
      <c r="AN1110" s="10" t="str">
        <f t="shared" si="128"/>
        <v>FALSE</v>
      </c>
      <c r="AO1110" s="10" t="str">
        <f t="shared" si="129"/>
        <v>y=-1.2768*5.38^2+222.07*5.38-130.11</v>
      </c>
      <c r="AP1110" s="10" t="str">
        <f t="shared" si="129"/>
        <v>y=0.4667*5.38^2+198.27*5.38-98.12</v>
      </c>
      <c r="AQ1110" s="10" t="b">
        <f>IF(AND(I1110="TP",S1110&lt;=150),VLOOKUP(AF1110,TPCalibEq150!$AZ$2:$BB$55,3,),IF(AND(I1110="TDP",S1110&lt;=150),VLOOKUP(AF1110,TPCalibEq150!$AZ$2:$BB$55,3,)))</f>
        <v>0</v>
      </c>
      <c r="AR1110" s="10" t="b">
        <f>IF(AND(I1110="TP",S1110&lt;=300),VLOOKUP(AF1110,TPCalibEq300!$AZ$2:$BB$55,3,),IF(AND(I1110="TDP",S1110&lt;=300),VLOOKUP(AF1110,TPCalibEq300!$AZ$2:$BB$55,3,)))</f>
        <v>0</v>
      </c>
      <c r="AS1110" s="10" t="b">
        <f>IF(AND(I1110="TP",S1110&lt;=500),VLOOKUP(AF1110,TPCalibEq500!$AZ$2:$BB$56,3,),IF(AND(I1110="TDP",S1110&lt;=500),VLOOKUP(AF1110,TPCalibEq500!$AZ$2:$BB$56,3,)))</f>
        <v>0</v>
      </c>
      <c r="AT1110" s="10" t="str">
        <f>IF(AND(I1110="TN",S1110&lt;=2800),VLOOKUP(AF1110,TNCalibEq2500!$AZ$2:$BB$56,3,),IF(AND(I1110="TDN",S1110&lt;=2800),VLOOKUP(AF1110,TNCalibEq2500!$AZ$2:$BB$56,3,)))</f>
        <v>y=-1.2768x2+222.07x-130.11</v>
      </c>
      <c r="AU1110" s="10" t="str">
        <f>IF(I1110="TP",VLOOKUP(AF1110,TPCalibEqFull!$AZ$2:$BB$56,3),IF(I1110="TDP",VLOOKUP(AF1110,TPCalibEqFull!$AZ$2:$BB$56,3),IF(I1110="TDN",VLOOKUP(AF1110,TNCalibEqFull!$AZ$1:$BB$56,3),IF(I1110="TN",VLOOKUP(AF1110,TNCalibEqFull!$AZ$1:$BB$56,3),FALSE))))</f>
        <v>y=0.4667x2+198.27x-98.12</v>
      </c>
      <c r="AV1110" s="10" t="str">
        <f t="shared" si="127"/>
        <v>0124 09:00:00-QAC-REC-A-1-DI-NIC</v>
      </c>
    </row>
    <row r="1111" spans="1:48" s="10" customFormat="1" x14ac:dyDescent="0.55000000000000004">
      <c r="A1111" s="32">
        <v>44950</v>
      </c>
      <c r="B1111" s="33">
        <v>0.375</v>
      </c>
      <c r="C1111" s="10" t="s">
        <v>70</v>
      </c>
      <c r="D1111" s="10" t="s">
        <v>305</v>
      </c>
      <c r="E1111" s="10" t="s">
        <v>901</v>
      </c>
      <c r="F1111" s="10">
        <v>1</v>
      </c>
      <c r="G1111" s="10" t="s">
        <v>73</v>
      </c>
      <c r="H1111" s="10" t="s">
        <v>856</v>
      </c>
      <c r="I1111" s="10" t="s">
        <v>235</v>
      </c>
      <c r="J1111" s="10">
        <v>213</v>
      </c>
      <c r="K1111" s="12">
        <v>44950</v>
      </c>
      <c r="L1111" s="33">
        <v>0.59664351851851849</v>
      </c>
      <c r="M1111" s="10">
        <v>1</v>
      </c>
      <c r="N1111" s="10" t="s">
        <v>196</v>
      </c>
      <c r="O1111" s="10">
        <v>23.6</v>
      </c>
      <c r="P1111" s="10">
        <v>1.44</v>
      </c>
      <c r="Q1111" s="10">
        <v>4810</v>
      </c>
      <c r="R1111" s="10" t="s">
        <v>170</v>
      </c>
      <c r="S1111" s="34">
        <f t="shared" si="123"/>
        <v>4840.9852320000009</v>
      </c>
      <c r="T1111" s="10" t="s">
        <v>1068</v>
      </c>
      <c r="U1111" s="34">
        <f t="shared" si="124"/>
        <v>96.819704640000012</v>
      </c>
      <c r="V1111" s="31">
        <f>IF(H1111="CHK",VLOOKUP(I1111,QCCHK,3,),IF(H1111="GUP",VLOOKUP(E1111,QCGUP,2,),IF(AND(H1111="ATP",OR(I1111="TN",I1111="TDN",I1111="TNO2-3",I1111="NO2-3")),VLOOKUP(E1111,QCREC_N,2,),IF(AND(H1111="NIC",OR(I1111="TN",I1111="TDN",I1111="TNO2-3",I1111="NO2-3")),VLOOKUP(E1111,QCNIC_N,2,),IF(AND(H1111="UREA",OR(I1111="TN",I1111="TDN",I1111="TNO2-3",I1111="NO2-3")),VLOOKUP(E1111,QCUREA_N,2,),IF(H1111="PER",VLOOKUP(I1111,QCPER,MATCH(E1111,QCACTUAL!$J$25:$AA$25,0),),IF(H1111="SPK",VLOOKUP(I1111,QCSPK,3,),IF(AND(H1111="ATP",OR(I1111="TP",I1111="TDP")),VLOOKUP(E1111,QCATP_P,2,),""))))))))</f>
        <v>5000</v>
      </c>
      <c r="W1111" s="31" t="str">
        <f t="shared" si="125"/>
        <v>TRUE</v>
      </c>
      <c r="X1111" s="31" t="str">
        <f t="shared" si="126"/>
        <v>[rec]/[actual]*100</v>
      </c>
      <c r="Y1111" s="10" t="s">
        <v>1061</v>
      </c>
      <c r="AF1111" s="12">
        <v>44950</v>
      </c>
      <c r="AK1111" s="10">
        <f>0.4667*23.6^2+198.27*23.6-98.12</f>
        <v>4840.9852320000009</v>
      </c>
      <c r="AL1111" s="10" t="str">
        <f t="shared" si="128"/>
        <v>FALSE</v>
      </c>
      <c r="AM1111" s="10" t="str">
        <f t="shared" si="128"/>
        <v>FALSE</v>
      </c>
      <c r="AN1111" s="10" t="str">
        <f t="shared" si="128"/>
        <v>FALSE</v>
      </c>
      <c r="AO1111" s="10" t="str">
        <f t="shared" si="129"/>
        <v>FALSE</v>
      </c>
      <c r="AP1111" s="10" t="str">
        <f t="shared" si="129"/>
        <v>y=0.4667*23.6^2+198.27*23.6-98.12</v>
      </c>
      <c r="AQ1111" s="10" t="b">
        <f>IF(AND(I1111="TP",S1111&lt;=150),VLOOKUP(AF1111,TPCalibEq150!$AZ$2:$BB$55,3,),IF(AND(I1111="TDP",S1111&lt;=150),VLOOKUP(AF1111,TPCalibEq150!$AZ$2:$BB$55,3,)))</f>
        <v>0</v>
      </c>
      <c r="AR1111" s="10" t="b">
        <f>IF(AND(I1111="TP",S1111&lt;=300),VLOOKUP(AF1111,TPCalibEq300!$AZ$2:$BB$55,3,),IF(AND(I1111="TDP",S1111&lt;=300),VLOOKUP(AF1111,TPCalibEq300!$AZ$2:$BB$55,3,)))</f>
        <v>0</v>
      </c>
      <c r="AS1111" s="10" t="b">
        <f>IF(AND(I1111="TP",S1111&lt;=500),VLOOKUP(AF1111,TPCalibEq500!$AZ$2:$BB$56,3,),IF(AND(I1111="TDP",S1111&lt;=500),VLOOKUP(AF1111,TPCalibEq500!$AZ$2:$BB$56,3,)))</f>
        <v>0</v>
      </c>
      <c r="AT1111" s="10" t="b">
        <f>IF(AND(I1111="TN",S1111&lt;=2800),VLOOKUP(AF1111,TNCalibEq2500!$AZ$2:$BB$56,3,),IF(AND(I1111="TDN",S1111&lt;=2800),VLOOKUP(AF1111,TNCalibEq2500!$AZ$2:$BB$56,3,)))</f>
        <v>0</v>
      </c>
      <c r="AU1111" s="10" t="str">
        <f>IF(I1111="TP",VLOOKUP(AF1111,TPCalibEqFull!$AZ$2:$BB$56,3),IF(I1111="TDP",VLOOKUP(AF1111,TPCalibEqFull!$AZ$2:$BB$56,3),IF(I1111="TDN",VLOOKUP(AF1111,TNCalibEqFull!$AZ$1:$BB$56,3),IF(I1111="TN",VLOOKUP(AF1111,TNCalibEqFull!$AZ$1:$BB$56,3),FALSE))))</f>
        <v>y=0.4667x2+198.27x-98.12</v>
      </c>
      <c r="AV1111" s="10" t="str">
        <f t="shared" si="127"/>
        <v>0124 09:00:00-QAC-REC-D-1-DI-NIC</v>
      </c>
    </row>
    <row r="1112" spans="1:48" s="10" customFormat="1" x14ac:dyDescent="0.55000000000000004">
      <c r="A1112" s="32">
        <v>45247</v>
      </c>
      <c r="B1112" s="33">
        <v>0.25</v>
      </c>
      <c r="C1112" s="10" t="s">
        <v>70</v>
      </c>
      <c r="D1112" s="10" t="s">
        <v>241</v>
      </c>
      <c r="E1112" s="10" t="s">
        <v>866</v>
      </c>
      <c r="F1112" s="10">
        <v>1</v>
      </c>
      <c r="G1112" s="10" t="s">
        <v>73</v>
      </c>
      <c r="H1112" s="10" t="s">
        <v>264</v>
      </c>
      <c r="I1112" s="10" t="s">
        <v>235</v>
      </c>
      <c r="J1112" s="10">
        <v>63</v>
      </c>
      <c r="K1112" s="12">
        <v>44950</v>
      </c>
      <c r="L1112" s="33">
        <v>0.59797453703703707</v>
      </c>
      <c r="M1112" s="10">
        <v>1</v>
      </c>
      <c r="N1112" s="10" t="s">
        <v>196</v>
      </c>
      <c r="O1112" s="10">
        <v>0.441</v>
      </c>
      <c r="P1112" s="10">
        <v>2.6100000000000002E-2</v>
      </c>
      <c r="Q1112" s="10">
        <v>-29.5</v>
      </c>
      <c r="R1112" s="10" t="s">
        <v>170</v>
      </c>
      <c r="S1112" s="34">
        <f t="shared" si="123"/>
        <v>-10.592165717300006</v>
      </c>
      <c r="T1112" s="10" t="s">
        <v>1068</v>
      </c>
      <c r="U1112" s="34">
        <f t="shared" si="124"/>
        <v>-10.592165717300006</v>
      </c>
      <c r="V1112" s="31" t="str">
        <f>IF(H1112="CHK",VLOOKUP(I1112,QCCHK,3,),IF(H1112="GUP",VLOOKUP(E1112,QCGUP,2,),IF(AND(H1112="ATP",OR(I1112="TN",I1112="TDN",I1112="TNO2-3",I1112="NO2-3")),VLOOKUP(E1112,QCREC_N,2,),IF(AND(H1112="NIC",OR(I1112="TN",I1112="TDN",I1112="TNO2-3",I1112="NO2-3")),VLOOKUP(E1112,QCNIC_N,2,),IF(AND(H1112="UREA",OR(I1112="TN",I1112="TDN",I1112="TNO2-3",I1112="NO2-3")),VLOOKUP(E1112,QCUREA_N,2,),IF(H1112="PER",VLOOKUP(I1112,QCPER,MATCH(E1112,QCACTUAL!$J$25:$AA$25,0),),IF(H1112="SPK",VLOOKUP(I1112,QCSPK,3,),IF(AND(H1112="ATP",OR(I1112="TP",I1112="TDP")),VLOOKUP(E1112,QCATP_P,2,),""))))))))</f>
        <v/>
      </c>
      <c r="W1112" s="31" t="str">
        <f t="shared" si="125"/>
        <v>TRUE</v>
      </c>
      <c r="X1112" s="31" t="str">
        <f t="shared" si="126"/>
        <v>nominal concentration</v>
      </c>
      <c r="Y1112" s="10" t="s">
        <v>1061</v>
      </c>
      <c r="Z1112" s="10" t="s">
        <v>910</v>
      </c>
      <c r="AF1112" s="12">
        <v>44950</v>
      </c>
      <c r="AJ1112" s="10">
        <f>-1.2768*0.441^2+222.07*0.441-130.11</f>
        <v>-32.425443340800015</v>
      </c>
      <c r="AK1112" s="10">
        <f>0.4667*0.441^2+198.27*0.441-98.12</f>
        <v>-10.592165717300006</v>
      </c>
      <c r="AL1112" s="10" t="str">
        <f t="shared" si="128"/>
        <v>FALSE</v>
      </c>
      <c r="AM1112" s="10" t="str">
        <f t="shared" si="128"/>
        <v>FALSE</v>
      </c>
      <c r="AN1112" s="10" t="str">
        <f t="shared" si="128"/>
        <v>FALSE</v>
      </c>
      <c r="AO1112" s="10" t="str">
        <f t="shared" si="129"/>
        <v>y=-1.2768*0.441^2+222.07*0.441-130.11</v>
      </c>
      <c r="AP1112" s="10" t="str">
        <f t="shared" si="129"/>
        <v>y=0.4667*0.441^2+198.27*0.441-98.12</v>
      </c>
      <c r="AQ1112" s="10" t="b">
        <f>IF(AND(I1112="TP",S1112&lt;=150),VLOOKUP(AF1112,TPCalibEq150!$AZ$2:$BB$55,3,),IF(AND(I1112="TDP",S1112&lt;=150),VLOOKUP(AF1112,TPCalibEq150!$AZ$2:$BB$55,3,)))</f>
        <v>0</v>
      </c>
      <c r="AR1112" s="10" t="b">
        <f>IF(AND(I1112="TP",S1112&lt;=300),VLOOKUP(AF1112,TPCalibEq300!$AZ$2:$BB$55,3,),IF(AND(I1112="TDP",S1112&lt;=300),VLOOKUP(AF1112,TPCalibEq300!$AZ$2:$BB$55,3,)))</f>
        <v>0</v>
      </c>
      <c r="AS1112" s="10" t="b">
        <f>IF(AND(I1112="TP",S1112&lt;=500),VLOOKUP(AF1112,TPCalibEq500!$AZ$2:$BB$56,3,),IF(AND(I1112="TDP",S1112&lt;=500),VLOOKUP(AF1112,TPCalibEq500!$AZ$2:$BB$56,3,)))</f>
        <v>0</v>
      </c>
      <c r="AT1112" s="10" t="str">
        <f>IF(AND(I1112="TN",S1112&lt;=2800),VLOOKUP(AF1112,TNCalibEq2500!$AZ$2:$BB$56,3,),IF(AND(I1112="TDN",S1112&lt;=2800),VLOOKUP(AF1112,TNCalibEq2500!$AZ$2:$BB$56,3,)))</f>
        <v>y=-1.2768x2+222.07x-130.11</v>
      </c>
      <c r="AU1112" s="10" t="str">
        <f>IF(I1112="TP",VLOOKUP(AF1112,TPCalibEqFull!$AZ$2:$BB$56,3),IF(I1112="TDP",VLOOKUP(AF1112,TPCalibEqFull!$AZ$2:$BB$56,3),IF(I1112="TDN",VLOOKUP(AF1112,TNCalibEqFull!$AZ$1:$BB$56,3),IF(I1112="TN",VLOOKUP(AF1112,TNCalibEqFull!$AZ$1:$BB$56,3),FALSE))))</f>
        <v>y=0.4667x2+198.27x-98.12</v>
      </c>
      <c r="AV1112" s="10" t="str">
        <f t="shared" si="127"/>
        <v>1117 06:00:00-QAC-BLK-A-1-DI-FLD</v>
      </c>
    </row>
    <row r="1113" spans="1:48" s="10" customFormat="1" x14ac:dyDescent="0.55000000000000004">
      <c r="A1113" s="32">
        <v>45248</v>
      </c>
      <c r="B1113" s="33">
        <v>0.3833333333333333</v>
      </c>
      <c r="C1113" s="10" t="s">
        <v>70</v>
      </c>
      <c r="D1113" s="10" t="s">
        <v>241</v>
      </c>
      <c r="E1113" s="10" t="s">
        <v>866</v>
      </c>
      <c r="F1113" s="10">
        <v>1</v>
      </c>
      <c r="G1113" s="10" t="s">
        <v>73</v>
      </c>
      <c r="H1113" s="10" t="s">
        <v>245</v>
      </c>
      <c r="I1113" s="10" t="s">
        <v>235</v>
      </c>
      <c r="J1113" s="10">
        <v>64</v>
      </c>
      <c r="K1113" s="12">
        <v>44950</v>
      </c>
      <c r="L1113" s="33">
        <v>0.59864583333333332</v>
      </c>
      <c r="M1113" s="10">
        <v>1</v>
      </c>
      <c r="N1113" s="10" t="s">
        <v>196</v>
      </c>
      <c r="O1113" s="10">
        <v>0.35099999999999998</v>
      </c>
      <c r="P1113" s="10">
        <v>2.0500000000000001E-2</v>
      </c>
      <c r="Q1113" s="10">
        <v>-48.1</v>
      </c>
      <c r="R1113" s="10" t="s">
        <v>170</v>
      </c>
      <c r="S1113" s="34">
        <f t="shared" si="123"/>
        <v>-28.46973209330001</v>
      </c>
      <c r="T1113" s="10" t="s">
        <v>1068</v>
      </c>
      <c r="U1113" s="34">
        <f t="shared" si="124"/>
        <v>-28.46973209330001</v>
      </c>
      <c r="V1113" s="31" t="str">
        <f>IF(H1113="CHK",VLOOKUP(I1113,QCCHK,3,),IF(H1113="GUP",VLOOKUP(E1113,QCGUP,2,),IF(AND(H1113="ATP",OR(I1113="TN",I1113="TDN",I1113="TNO2-3",I1113="NO2-3")),VLOOKUP(E1113,QCREC_N,2,),IF(AND(H1113="NIC",OR(I1113="TN",I1113="TDN",I1113="TNO2-3",I1113="NO2-3")),VLOOKUP(E1113,QCNIC_N,2,),IF(AND(H1113="UREA",OR(I1113="TN",I1113="TDN",I1113="TNO2-3",I1113="NO2-3")),VLOOKUP(E1113,QCUREA_N,2,),IF(H1113="PER",VLOOKUP(I1113,QCPER,MATCH(E1113,QCACTUAL!$J$25:$AA$25,0),),IF(H1113="SPK",VLOOKUP(I1113,QCSPK,3,),IF(AND(H1113="ATP",OR(I1113="TP",I1113="TDP")),VLOOKUP(E1113,QCATP_P,2,),""))))))))</f>
        <v/>
      </c>
      <c r="W1113" s="31" t="str">
        <f t="shared" si="125"/>
        <v>TRUE</v>
      </c>
      <c r="X1113" s="31" t="str">
        <f t="shared" si="126"/>
        <v>nominal concentration</v>
      </c>
      <c r="Y1113" s="10" t="s">
        <v>1061</v>
      </c>
      <c r="Z1113" s="10" t="s">
        <v>910</v>
      </c>
      <c r="AF1113" s="12">
        <v>44950</v>
      </c>
      <c r="AJ1113" s="10">
        <f>-1.2768*0.351^2+222.07*0.351-130.11</f>
        <v>-52.320733036800021</v>
      </c>
      <c r="AK1113" s="10">
        <f>0.4667*0.351^2+198.27*0.351-98.12</f>
        <v>-28.46973209330001</v>
      </c>
      <c r="AL1113" s="10" t="str">
        <f t="shared" si="128"/>
        <v>FALSE</v>
      </c>
      <c r="AM1113" s="10" t="str">
        <f t="shared" si="128"/>
        <v>FALSE</v>
      </c>
      <c r="AN1113" s="10" t="str">
        <f t="shared" si="128"/>
        <v>FALSE</v>
      </c>
      <c r="AO1113" s="10" t="str">
        <f t="shared" si="129"/>
        <v>y=-1.2768*0.351^2+222.07*0.351-130.11</v>
      </c>
      <c r="AP1113" s="10" t="str">
        <f t="shared" si="129"/>
        <v>y=0.4667*0.351^2+198.27*0.351-98.12</v>
      </c>
      <c r="AQ1113" s="10" t="b">
        <f>IF(AND(I1113="TP",S1113&lt;=150),VLOOKUP(AF1113,TPCalibEq150!$AZ$2:$BB$55,3,),IF(AND(I1113="TDP",S1113&lt;=150),VLOOKUP(AF1113,TPCalibEq150!$AZ$2:$BB$55,3,)))</f>
        <v>0</v>
      </c>
      <c r="AR1113" s="10" t="b">
        <f>IF(AND(I1113="TP",S1113&lt;=300),VLOOKUP(AF1113,TPCalibEq300!$AZ$2:$BB$55,3,),IF(AND(I1113="TDP",S1113&lt;=300),VLOOKUP(AF1113,TPCalibEq300!$AZ$2:$BB$55,3,)))</f>
        <v>0</v>
      </c>
      <c r="AS1113" s="10" t="b">
        <f>IF(AND(I1113="TP",S1113&lt;=500),VLOOKUP(AF1113,TPCalibEq500!$AZ$2:$BB$56,3,),IF(AND(I1113="TDP",S1113&lt;=500),VLOOKUP(AF1113,TPCalibEq500!$AZ$2:$BB$56,3,)))</f>
        <v>0</v>
      </c>
      <c r="AT1113" s="10" t="str">
        <f>IF(AND(I1113="TN",S1113&lt;=2800),VLOOKUP(AF1113,TNCalibEq2500!$AZ$2:$BB$56,3,),IF(AND(I1113="TDN",S1113&lt;=2800),VLOOKUP(AF1113,TNCalibEq2500!$AZ$2:$BB$56,3,)))</f>
        <v>y=-1.2768x2+222.07x-130.11</v>
      </c>
      <c r="AU1113" s="10" t="str">
        <f>IF(I1113="TP",VLOOKUP(AF1113,TPCalibEqFull!$AZ$2:$BB$56,3),IF(I1113="TDP",VLOOKUP(AF1113,TPCalibEqFull!$AZ$2:$BB$56,3),IF(I1113="TDN",VLOOKUP(AF1113,TNCalibEqFull!$AZ$1:$BB$56,3),IF(I1113="TN",VLOOKUP(AF1113,TNCalibEqFull!$AZ$1:$BB$56,3),FALSE))))</f>
        <v>y=0.4667x2+198.27x-98.12</v>
      </c>
      <c r="AV1113" s="10" t="str">
        <f t="shared" si="127"/>
        <v>1118 09:12:00-QAC-BLK-A-1-DI-ESF</v>
      </c>
    </row>
    <row r="1114" spans="1:48" s="10" customFormat="1" x14ac:dyDescent="0.55000000000000004">
      <c r="A1114" s="32">
        <v>45247</v>
      </c>
      <c r="B1114" s="33">
        <v>0.25</v>
      </c>
      <c r="C1114" s="10" t="s">
        <v>70</v>
      </c>
      <c r="D1114" s="10" t="s">
        <v>241</v>
      </c>
      <c r="E1114" s="10" t="s">
        <v>911</v>
      </c>
      <c r="F1114" s="10">
        <v>1</v>
      </c>
      <c r="G1114" s="10" t="s">
        <v>73</v>
      </c>
      <c r="H1114" s="10" t="s">
        <v>264</v>
      </c>
      <c r="I1114" s="10" t="s">
        <v>224</v>
      </c>
      <c r="J1114" s="10">
        <v>65</v>
      </c>
      <c r="K1114" s="12">
        <v>44950</v>
      </c>
      <c r="L1114" s="33">
        <v>0.59930555555555554</v>
      </c>
      <c r="M1114" s="10">
        <v>1</v>
      </c>
      <c r="N1114" s="10" t="s">
        <v>196</v>
      </c>
      <c r="O1114" s="10">
        <v>0.40100000000000002</v>
      </c>
      <c r="P1114" s="10">
        <v>2.35E-2</v>
      </c>
      <c r="Q1114" s="10">
        <v>-37.700000000000003</v>
      </c>
      <c r="R1114" s="10" t="s">
        <v>170</v>
      </c>
      <c r="S1114" s="34">
        <f t="shared" si="123"/>
        <v>-18.538684173299984</v>
      </c>
      <c r="T1114" s="10" t="s">
        <v>1068</v>
      </c>
      <c r="U1114" s="34">
        <f t="shared" si="124"/>
        <v>-18.538684173299984</v>
      </c>
      <c r="V1114" s="31" t="str">
        <f>IF(H1114="CHK",VLOOKUP(I1114,QCCHK,3,),IF(H1114="GUP",VLOOKUP(E1114,QCGUP,2,),IF(AND(H1114="ATP",OR(I1114="TN",I1114="TDN",I1114="TNO2-3",I1114="NO2-3")),VLOOKUP(E1114,QCREC_N,2,),IF(AND(H1114="NIC",OR(I1114="TN",I1114="TDN",I1114="TNO2-3",I1114="NO2-3")),VLOOKUP(E1114,QCNIC_N,2,),IF(AND(H1114="UREA",OR(I1114="TN",I1114="TDN",I1114="TNO2-3",I1114="NO2-3")),VLOOKUP(E1114,QCUREA_N,2,),IF(H1114="PER",VLOOKUP(I1114,QCPER,MATCH(E1114,QCACTUAL!$J$25:$AA$25,0),),IF(H1114="SPK",VLOOKUP(I1114,QCSPK,3,),IF(AND(H1114="ATP",OR(I1114="TP",I1114="TDP")),VLOOKUP(E1114,QCATP_P,2,),""))))))))</f>
        <v/>
      </c>
      <c r="W1114" s="31" t="str">
        <f t="shared" si="125"/>
        <v>TRUE</v>
      </c>
      <c r="X1114" s="31" t="str">
        <f t="shared" si="126"/>
        <v>nominal concentration</v>
      </c>
      <c r="Y1114" s="10" t="s">
        <v>1061</v>
      </c>
      <c r="Z1114" s="10" t="s">
        <v>910</v>
      </c>
      <c r="AF1114" s="12">
        <v>44950</v>
      </c>
      <c r="AJ1114" s="10">
        <f>-1.2768*0.401^2+222.07*0.401-130.11</f>
        <v>-41.265240716800008</v>
      </c>
      <c r="AK1114" s="10">
        <f>0.4667*0.401^2+198.27*0.401-98.12</f>
        <v>-18.538684173299984</v>
      </c>
      <c r="AL1114" s="10" t="str">
        <f t="shared" si="128"/>
        <v>FALSE</v>
      </c>
      <c r="AM1114" s="10" t="str">
        <f t="shared" si="128"/>
        <v>FALSE</v>
      </c>
      <c r="AN1114" s="10" t="str">
        <f t="shared" si="128"/>
        <v>FALSE</v>
      </c>
      <c r="AO1114" s="10" t="str">
        <f t="shared" si="129"/>
        <v>y=-1.2768*0.401^2+222.07*0.401-130.11</v>
      </c>
      <c r="AP1114" s="10" t="str">
        <f t="shared" si="129"/>
        <v>y=0.4667*0.401^2+198.27*0.401-98.12</v>
      </c>
      <c r="AQ1114" s="10" t="b">
        <f>IF(AND(I1114="TP",S1114&lt;=150),VLOOKUP(AF1114,TPCalibEq150!$AZ$2:$BB$55,3,),IF(AND(I1114="TDP",S1114&lt;=150),VLOOKUP(AF1114,TPCalibEq150!$AZ$2:$BB$55,3,)))</f>
        <v>0</v>
      </c>
      <c r="AR1114" s="10" t="b">
        <f>IF(AND(I1114="TP",S1114&lt;=300),VLOOKUP(AF1114,TPCalibEq300!$AZ$2:$BB$55,3,),IF(AND(I1114="TDP",S1114&lt;=300),VLOOKUP(AF1114,TPCalibEq300!$AZ$2:$BB$55,3,)))</f>
        <v>0</v>
      </c>
      <c r="AS1114" s="10" t="b">
        <f>IF(AND(I1114="TP",S1114&lt;=500),VLOOKUP(AF1114,TPCalibEq500!$AZ$2:$BB$56,3,),IF(AND(I1114="TDP",S1114&lt;=500),VLOOKUP(AF1114,TPCalibEq500!$AZ$2:$BB$56,3,)))</f>
        <v>0</v>
      </c>
      <c r="AT1114" s="10" t="str">
        <f>IF(AND(I1114="TN",S1114&lt;=2800),VLOOKUP(AF1114,TNCalibEq2500!$AZ$2:$BB$56,3,),IF(AND(I1114="TDN",S1114&lt;=2800),VLOOKUP(AF1114,TNCalibEq2500!$AZ$2:$BB$56,3,)))</f>
        <v>y=-1.2768x2+222.07x-130.11</v>
      </c>
      <c r="AU1114" s="10" t="str">
        <f>IF(I1114="TP",VLOOKUP(AF1114,TPCalibEqFull!$AZ$2:$BB$56,3),IF(I1114="TDP",VLOOKUP(AF1114,TPCalibEqFull!$AZ$2:$BB$56,3),IF(I1114="TDN",VLOOKUP(AF1114,TNCalibEqFull!$AZ$1:$BB$56,3),IF(I1114="TN",VLOOKUP(AF1114,TNCalibEqFull!$AZ$1:$BB$56,3),FALSE))))</f>
        <v>y=0.4667x2+198.27x-98.12</v>
      </c>
      <c r="AV1114" s="10" t="str">
        <f t="shared" si="127"/>
        <v>1117 06:00:00-QAC-BLK-FIL-1-DI-FLD</v>
      </c>
    </row>
    <row r="1115" spans="1:48" s="10" customFormat="1" x14ac:dyDescent="0.55000000000000004">
      <c r="A1115" s="32">
        <v>45248</v>
      </c>
      <c r="B1115" s="33">
        <v>0.3833333333333333</v>
      </c>
      <c r="C1115" s="10" t="s">
        <v>70</v>
      </c>
      <c r="D1115" s="10" t="s">
        <v>241</v>
      </c>
      <c r="E1115" s="10" t="s">
        <v>911</v>
      </c>
      <c r="F1115" s="10">
        <v>1</v>
      </c>
      <c r="G1115" s="10" t="s">
        <v>73</v>
      </c>
      <c r="H1115" s="10" t="s">
        <v>245</v>
      </c>
      <c r="I1115" s="10" t="s">
        <v>224</v>
      </c>
      <c r="J1115" s="10">
        <v>66</v>
      </c>
      <c r="K1115" s="12">
        <v>44950</v>
      </c>
      <c r="L1115" s="33">
        <v>0.5999768518518519</v>
      </c>
      <c r="M1115" s="10">
        <v>1</v>
      </c>
      <c r="N1115" s="10" t="s">
        <v>196</v>
      </c>
      <c r="O1115" s="10">
        <v>0.54</v>
      </c>
      <c r="P1115" s="10">
        <v>3.1600000000000003E-2</v>
      </c>
      <c r="Q1115" s="10">
        <v>-8.66</v>
      </c>
      <c r="R1115" s="10" t="s">
        <v>170</v>
      </c>
      <c r="S1115" s="34">
        <f t="shared" si="123"/>
        <v>9.0818897200000066</v>
      </c>
      <c r="T1115" s="10" t="s">
        <v>1068</v>
      </c>
      <c r="U1115" s="34">
        <f t="shared" si="124"/>
        <v>9.0818897200000066</v>
      </c>
      <c r="V1115" s="31" t="str">
        <f>IF(H1115="CHK",VLOOKUP(I1115,QCCHK,3,),IF(H1115="GUP",VLOOKUP(E1115,QCGUP,2,),IF(AND(H1115="ATP",OR(I1115="TN",I1115="TDN",I1115="TNO2-3",I1115="NO2-3")),VLOOKUP(E1115,QCREC_N,2,),IF(AND(H1115="NIC",OR(I1115="TN",I1115="TDN",I1115="TNO2-3",I1115="NO2-3")),VLOOKUP(E1115,QCNIC_N,2,),IF(AND(H1115="UREA",OR(I1115="TN",I1115="TDN",I1115="TNO2-3",I1115="NO2-3")),VLOOKUP(E1115,QCUREA_N,2,),IF(H1115="PER",VLOOKUP(I1115,QCPER,MATCH(E1115,QCACTUAL!$J$25:$AA$25,0),),IF(H1115="SPK",VLOOKUP(I1115,QCSPK,3,),IF(AND(H1115="ATP",OR(I1115="TP",I1115="TDP")),VLOOKUP(E1115,QCATP_P,2,),""))))))))</f>
        <v/>
      </c>
      <c r="W1115" s="31" t="str">
        <f t="shared" si="125"/>
        <v>TRUE</v>
      </c>
      <c r="X1115" s="31" t="str">
        <f t="shared" si="126"/>
        <v>nominal concentration</v>
      </c>
      <c r="Y1115" s="10" t="s">
        <v>1061</v>
      </c>
      <c r="Z1115" s="10" t="s">
        <v>910</v>
      </c>
      <c r="AF1115" s="12">
        <v>44950</v>
      </c>
      <c r="AJ1115" s="10">
        <f>-1.2768*0.54^2+222.07*0.54-130.11</f>
        <v>-10.564514880000019</v>
      </c>
      <c r="AK1115" s="10">
        <f>0.4667*0.54^2+198.27*0.54-98.12</f>
        <v>9.0818897200000066</v>
      </c>
      <c r="AL1115" s="10" t="str">
        <f t="shared" si="128"/>
        <v>FALSE</v>
      </c>
      <c r="AM1115" s="10" t="str">
        <f t="shared" si="128"/>
        <v>FALSE</v>
      </c>
      <c r="AN1115" s="10" t="str">
        <f t="shared" si="128"/>
        <v>FALSE</v>
      </c>
      <c r="AO1115" s="10" t="str">
        <f t="shared" si="129"/>
        <v>y=-1.2768*0.54^2+222.07*0.54-130.11</v>
      </c>
      <c r="AP1115" s="10" t="str">
        <f t="shared" si="129"/>
        <v>y=0.4667*0.54^2+198.27*0.54-98.12</v>
      </c>
      <c r="AQ1115" s="10" t="b">
        <f>IF(AND(I1115="TP",S1115&lt;=150),VLOOKUP(AF1115,TPCalibEq150!$AZ$2:$BB$55,3,),IF(AND(I1115="TDP",S1115&lt;=150),VLOOKUP(AF1115,TPCalibEq150!$AZ$2:$BB$55,3,)))</f>
        <v>0</v>
      </c>
      <c r="AR1115" s="10" t="b">
        <f>IF(AND(I1115="TP",S1115&lt;=300),VLOOKUP(AF1115,TPCalibEq300!$AZ$2:$BB$55,3,),IF(AND(I1115="TDP",S1115&lt;=300),VLOOKUP(AF1115,TPCalibEq300!$AZ$2:$BB$55,3,)))</f>
        <v>0</v>
      </c>
      <c r="AS1115" s="10" t="b">
        <f>IF(AND(I1115="TP",S1115&lt;=500),VLOOKUP(AF1115,TPCalibEq500!$AZ$2:$BB$56,3,),IF(AND(I1115="TDP",S1115&lt;=500),VLOOKUP(AF1115,TPCalibEq500!$AZ$2:$BB$56,3,)))</f>
        <v>0</v>
      </c>
      <c r="AT1115" s="10" t="str">
        <f>IF(AND(I1115="TN",S1115&lt;=2800),VLOOKUP(AF1115,TNCalibEq2500!$AZ$2:$BB$56,3,),IF(AND(I1115="TDN",S1115&lt;=2800),VLOOKUP(AF1115,TNCalibEq2500!$AZ$2:$BB$56,3,)))</f>
        <v>y=-1.2768x2+222.07x-130.11</v>
      </c>
      <c r="AU1115" s="10" t="str">
        <f>IF(I1115="TP",VLOOKUP(AF1115,TPCalibEqFull!$AZ$2:$BB$56,3),IF(I1115="TDP",VLOOKUP(AF1115,TPCalibEqFull!$AZ$2:$BB$56,3),IF(I1115="TDN",VLOOKUP(AF1115,TNCalibEqFull!$AZ$1:$BB$56,3),IF(I1115="TN",VLOOKUP(AF1115,TNCalibEqFull!$AZ$1:$BB$56,3),FALSE))))</f>
        <v>y=0.4667x2+198.27x-98.12</v>
      </c>
      <c r="AV1115" s="10" t="str">
        <f t="shared" si="127"/>
        <v>1118 09:12:00-QAC-BLK-FIL-1-DI-ESF</v>
      </c>
    </row>
    <row r="1116" spans="1:48" s="10" customFormat="1" x14ac:dyDescent="0.55000000000000004">
      <c r="A1116" s="32">
        <v>44937</v>
      </c>
      <c r="B1116" s="33">
        <v>0.24027777777777778</v>
      </c>
      <c r="C1116" s="10" t="s">
        <v>279</v>
      </c>
      <c r="D1116" s="10">
        <v>0</v>
      </c>
      <c r="E1116" s="10" t="s">
        <v>190</v>
      </c>
      <c r="F1116" s="10">
        <v>1</v>
      </c>
      <c r="G1116" s="10" t="s">
        <v>231</v>
      </c>
      <c r="H1116" s="10" t="s">
        <v>322</v>
      </c>
      <c r="I1116" s="10" t="s">
        <v>235</v>
      </c>
      <c r="J1116" s="10">
        <v>1</v>
      </c>
      <c r="K1116" s="12">
        <v>44950</v>
      </c>
      <c r="L1116" s="33">
        <v>0.60133101851851845</v>
      </c>
      <c r="M1116" s="10">
        <v>1</v>
      </c>
      <c r="N1116" s="10" t="s">
        <v>196</v>
      </c>
      <c r="O1116" s="10">
        <v>5.85</v>
      </c>
      <c r="P1116" s="10">
        <v>0.35399999999999998</v>
      </c>
      <c r="Q1116" s="10">
        <v>1100</v>
      </c>
      <c r="R1116" s="10" t="s">
        <v>170</v>
      </c>
      <c r="S1116" s="34">
        <f t="shared" si="123"/>
        <v>1125.304212</v>
      </c>
      <c r="T1116" s="10" t="s">
        <v>1068</v>
      </c>
      <c r="U1116" s="34" t="str">
        <f t="shared" si="124"/>
        <v/>
      </c>
      <c r="V1116" s="31" t="str">
        <f>IF(H1116="CHK",VLOOKUP(I1116,QCCHK,3,),IF(H1116="GUP",VLOOKUP(E1116,QCGUP,2,),IF(AND(H1116="ATP",OR(I1116="TN",I1116="TDN",I1116="TNO2-3",I1116="NO2-3")),VLOOKUP(E1116,QCREC_N,2,),IF(AND(H1116="NIC",OR(I1116="TN",I1116="TDN",I1116="TNO2-3",I1116="NO2-3")),VLOOKUP(E1116,QCNIC_N,2,),IF(AND(H1116="UREA",OR(I1116="TN",I1116="TDN",I1116="TNO2-3",I1116="NO2-3")),VLOOKUP(E1116,QCUREA_N,2,),IF(H1116="PER",VLOOKUP(I1116,QCPER,MATCH(E1116,QCACTUAL!$J$25:$AA$25,0),),IF(H1116="SPK",VLOOKUP(I1116,QCSPK,3,),IF(AND(H1116="ATP",OR(I1116="TP",I1116="TDP")),VLOOKUP(E1116,QCATP_P,2,),""))))))))</f>
        <v/>
      </c>
      <c r="W1116" s="31" t="str">
        <f t="shared" si="125"/>
        <v>TRUE</v>
      </c>
      <c r="X1116" s="31" t="str">
        <f t="shared" si="126"/>
        <v/>
      </c>
      <c r="Y1116" s="10" t="s">
        <v>1061</v>
      </c>
      <c r="Z1116" s="10" t="s">
        <v>910</v>
      </c>
      <c r="AF1116" s="12">
        <v>44950</v>
      </c>
      <c r="AJ1116" s="10">
        <f>-1.2768*5.85^2+222.07*5.85-130.11</f>
        <v>1125.304212</v>
      </c>
      <c r="AK1116" s="10">
        <f>0.4667*5.85^2+198.27*5.85-98.12</f>
        <v>1077.7311407500001</v>
      </c>
      <c r="AL1116" s="10" t="str">
        <f t="shared" si="128"/>
        <v>FALSE</v>
      </c>
      <c r="AM1116" s="10" t="str">
        <f t="shared" si="128"/>
        <v>FALSE</v>
      </c>
      <c r="AN1116" s="10" t="str">
        <f t="shared" si="128"/>
        <v>FALSE</v>
      </c>
      <c r="AO1116" s="10" t="str">
        <f t="shared" si="129"/>
        <v>y=-1.2768*5.85^2+222.07*5.85-130.11</v>
      </c>
      <c r="AP1116" s="10" t="str">
        <f t="shared" si="129"/>
        <v>y=0.4667*5.85^2+198.27*5.85-98.12</v>
      </c>
      <c r="AQ1116" s="10" t="b">
        <f>IF(AND(I1116="TP",S1116&lt;=150),VLOOKUP(AF1116,TPCalibEq150!$AZ$2:$BB$55,3,),IF(AND(I1116="TDP",S1116&lt;=150),VLOOKUP(AF1116,TPCalibEq150!$AZ$2:$BB$55,3,)))</f>
        <v>0</v>
      </c>
      <c r="AR1116" s="10" t="b">
        <f>IF(AND(I1116="TP",S1116&lt;=300),VLOOKUP(AF1116,TPCalibEq300!$AZ$2:$BB$55,3,),IF(AND(I1116="TDP",S1116&lt;=300),VLOOKUP(AF1116,TPCalibEq300!$AZ$2:$BB$55,3,)))</f>
        <v>0</v>
      </c>
      <c r="AS1116" s="10" t="b">
        <f>IF(AND(I1116="TP",S1116&lt;=500),VLOOKUP(AF1116,TPCalibEq500!$AZ$2:$BB$56,3,),IF(AND(I1116="TDP",S1116&lt;=500),VLOOKUP(AF1116,TPCalibEq500!$AZ$2:$BB$56,3,)))</f>
        <v>0</v>
      </c>
      <c r="AT1116" s="10" t="str">
        <f>IF(AND(I1116="TN",S1116&lt;=2800),VLOOKUP(AF1116,TNCalibEq2500!$AZ$2:$BB$56,3,),IF(AND(I1116="TDN",S1116&lt;=2800),VLOOKUP(AF1116,TNCalibEq2500!$AZ$2:$BB$56,3,)))</f>
        <v>y=-1.2768x2+222.07x-130.11</v>
      </c>
      <c r="AU1116" s="10" t="str">
        <f>IF(I1116="TP",VLOOKUP(AF1116,TPCalibEqFull!$AZ$2:$BB$56,3),IF(I1116="TDP",VLOOKUP(AF1116,TPCalibEqFull!$AZ$2:$BB$56,3),IF(I1116="TDN",VLOOKUP(AF1116,TNCalibEqFull!$AZ$1:$BB$56,3),IF(I1116="TN",VLOOKUP(AF1116,TNCalibEqFull!$AZ$1:$BB$56,3),FALSE))))</f>
        <v>y=0.4667x2+198.27x-98.12</v>
      </c>
      <c r="AV1116" s="10" t="str">
        <f t="shared" si="127"/>
        <v>0111 05:46:00-EFK-0-C-1-SW-UKN</v>
      </c>
    </row>
    <row r="1117" spans="1:48" s="10" customFormat="1" x14ac:dyDescent="0.55000000000000004">
      <c r="A1117" s="32">
        <v>44937</v>
      </c>
      <c r="B1117" s="33">
        <v>0.24513888888888888</v>
      </c>
      <c r="C1117" s="10" t="s">
        <v>333</v>
      </c>
      <c r="D1117" s="10">
        <v>0</v>
      </c>
      <c r="E1117" s="10" t="s">
        <v>190</v>
      </c>
      <c r="F1117" s="10">
        <v>1</v>
      </c>
      <c r="G1117" s="10" t="s">
        <v>231</v>
      </c>
      <c r="H1117" s="10" t="s">
        <v>322</v>
      </c>
      <c r="I1117" s="10" t="s">
        <v>235</v>
      </c>
      <c r="J1117" s="10">
        <v>2</v>
      </c>
      <c r="K1117" s="12">
        <v>44950</v>
      </c>
      <c r="L1117" s="33">
        <v>0.60200231481481481</v>
      </c>
      <c r="M1117" s="10">
        <v>1</v>
      </c>
      <c r="N1117" s="10" t="s">
        <v>196</v>
      </c>
      <c r="O1117" s="10">
        <v>4.84</v>
      </c>
      <c r="P1117" s="10">
        <v>0.29399999999999998</v>
      </c>
      <c r="Q1117" s="10">
        <v>890</v>
      </c>
      <c r="R1117" s="10" t="s">
        <v>170</v>
      </c>
      <c r="S1117" s="34">
        <f t="shared" si="123"/>
        <v>914.79899392000004</v>
      </c>
      <c r="T1117" s="10" t="s">
        <v>1068</v>
      </c>
      <c r="U1117" s="34" t="str">
        <f t="shared" si="124"/>
        <v/>
      </c>
      <c r="V1117" s="31" t="str">
        <f>IF(H1117="CHK",VLOOKUP(I1117,QCCHK,3,),IF(H1117="GUP",VLOOKUP(E1117,QCGUP,2,),IF(AND(H1117="ATP",OR(I1117="TN",I1117="TDN",I1117="TNO2-3",I1117="NO2-3")),VLOOKUP(E1117,QCREC_N,2,),IF(AND(H1117="NIC",OR(I1117="TN",I1117="TDN",I1117="TNO2-3",I1117="NO2-3")),VLOOKUP(E1117,QCNIC_N,2,),IF(AND(H1117="UREA",OR(I1117="TN",I1117="TDN",I1117="TNO2-3",I1117="NO2-3")),VLOOKUP(E1117,QCUREA_N,2,),IF(H1117="PER",VLOOKUP(I1117,QCPER,MATCH(E1117,QCACTUAL!$J$25:$AA$25,0),),IF(H1117="SPK",VLOOKUP(I1117,QCSPK,3,),IF(AND(H1117="ATP",OR(I1117="TP",I1117="TDP")),VLOOKUP(E1117,QCATP_P,2,),""))))))))</f>
        <v/>
      </c>
      <c r="W1117" s="31" t="str">
        <f t="shared" si="125"/>
        <v>TRUE</v>
      </c>
      <c r="X1117" s="31" t="str">
        <f t="shared" si="126"/>
        <v/>
      </c>
      <c r="Y1117" s="10" t="s">
        <v>1061</v>
      </c>
      <c r="Z1117" s="10" t="s">
        <v>910</v>
      </c>
      <c r="AF1117" s="12">
        <v>44950</v>
      </c>
      <c r="AJ1117" s="10">
        <f>-1.2768*4.84^2+222.07*4.84-130.11</f>
        <v>914.79899392000004</v>
      </c>
      <c r="AK1117" s="10">
        <f>0.4667*4.84^2+198.27*4.84-98.12</f>
        <v>872.43952751999996</v>
      </c>
      <c r="AL1117" s="10" t="str">
        <f t="shared" si="128"/>
        <v>FALSE</v>
      </c>
      <c r="AM1117" s="10" t="str">
        <f t="shared" si="128"/>
        <v>FALSE</v>
      </c>
      <c r="AN1117" s="10" t="str">
        <f t="shared" si="128"/>
        <v>FALSE</v>
      </c>
      <c r="AO1117" s="10" t="str">
        <f t="shared" si="129"/>
        <v>y=-1.2768*4.84^2+222.07*4.84-130.11</v>
      </c>
      <c r="AP1117" s="10" t="str">
        <f t="shared" si="129"/>
        <v>y=0.4667*4.84^2+198.27*4.84-98.12</v>
      </c>
      <c r="AQ1117" s="10" t="b">
        <f>IF(AND(I1117="TP",S1117&lt;=150),VLOOKUP(AF1117,TPCalibEq150!$AZ$2:$BB$55,3,),IF(AND(I1117="TDP",S1117&lt;=150),VLOOKUP(AF1117,TPCalibEq150!$AZ$2:$BB$55,3,)))</f>
        <v>0</v>
      </c>
      <c r="AR1117" s="10" t="b">
        <f>IF(AND(I1117="TP",S1117&lt;=300),VLOOKUP(AF1117,TPCalibEq300!$AZ$2:$BB$55,3,),IF(AND(I1117="TDP",S1117&lt;=300),VLOOKUP(AF1117,TPCalibEq300!$AZ$2:$BB$55,3,)))</f>
        <v>0</v>
      </c>
      <c r="AS1117" s="10" t="b">
        <f>IF(AND(I1117="TP",S1117&lt;=500),VLOOKUP(AF1117,TPCalibEq500!$AZ$2:$BB$56,3,),IF(AND(I1117="TDP",S1117&lt;=500),VLOOKUP(AF1117,TPCalibEq500!$AZ$2:$BB$56,3,)))</f>
        <v>0</v>
      </c>
      <c r="AT1117" s="10" t="str">
        <f>IF(AND(I1117="TN",S1117&lt;=2800),VLOOKUP(AF1117,TNCalibEq2500!$AZ$2:$BB$56,3,),IF(AND(I1117="TDN",S1117&lt;=2800),VLOOKUP(AF1117,TNCalibEq2500!$AZ$2:$BB$56,3,)))</f>
        <v>y=-1.2768x2+222.07x-130.11</v>
      </c>
      <c r="AU1117" s="10" t="str">
        <f>IF(I1117="TP",VLOOKUP(AF1117,TPCalibEqFull!$AZ$2:$BB$56,3),IF(I1117="TDP",VLOOKUP(AF1117,TPCalibEqFull!$AZ$2:$BB$56,3),IF(I1117="TDN",VLOOKUP(AF1117,TNCalibEqFull!$AZ$1:$BB$56,3),IF(I1117="TN",VLOOKUP(AF1117,TNCalibEqFull!$AZ$1:$BB$56,3),FALSE))))</f>
        <v>y=0.4667x2+198.27x-98.12</v>
      </c>
      <c r="AV1117" s="10" t="str">
        <f t="shared" si="127"/>
        <v>0111 05:53:00-HST-0-C-1-SW-UKN</v>
      </c>
    </row>
    <row r="1118" spans="1:48" s="10" customFormat="1" x14ac:dyDescent="0.55000000000000004">
      <c r="A1118" s="32">
        <v>44938</v>
      </c>
      <c r="B1118" s="33">
        <v>0.43958333333333338</v>
      </c>
      <c r="C1118" s="10" t="s">
        <v>279</v>
      </c>
      <c r="D1118" s="10">
        <v>0</v>
      </c>
      <c r="E1118" s="10" t="s">
        <v>190</v>
      </c>
      <c r="F1118" s="10">
        <v>1</v>
      </c>
      <c r="G1118" s="10" t="s">
        <v>231</v>
      </c>
      <c r="H1118" s="10" t="s">
        <v>322</v>
      </c>
      <c r="I1118" s="10" t="s">
        <v>235</v>
      </c>
      <c r="J1118" s="10">
        <v>3</v>
      </c>
      <c r="K1118" s="12">
        <v>44950</v>
      </c>
      <c r="L1118" s="33">
        <v>0.60267361111111117</v>
      </c>
      <c r="M1118" s="10">
        <v>1</v>
      </c>
      <c r="N1118" s="10" t="s">
        <v>196</v>
      </c>
      <c r="O1118" s="10">
        <v>7.81</v>
      </c>
      <c r="P1118" s="10">
        <v>0.47299999999999998</v>
      </c>
      <c r="Q1118" s="10">
        <v>1510</v>
      </c>
      <c r="R1118" s="10" t="s">
        <v>170</v>
      </c>
      <c r="S1118" s="34">
        <f t="shared" si="123"/>
        <v>1526.3768795199999</v>
      </c>
      <c r="T1118" s="10" t="s">
        <v>1068</v>
      </c>
      <c r="U1118" s="34" t="str">
        <f t="shared" si="124"/>
        <v/>
      </c>
      <c r="V1118" s="31" t="str">
        <f>IF(H1118="CHK",VLOOKUP(I1118,QCCHK,3,),IF(H1118="GUP",VLOOKUP(E1118,QCGUP,2,),IF(AND(H1118="ATP",OR(I1118="TN",I1118="TDN",I1118="TNO2-3",I1118="NO2-3")),VLOOKUP(E1118,QCREC_N,2,),IF(AND(H1118="NIC",OR(I1118="TN",I1118="TDN",I1118="TNO2-3",I1118="NO2-3")),VLOOKUP(E1118,QCNIC_N,2,),IF(AND(H1118="UREA",OR(I1118="TN",I1118="TDN",I1118="TNO2-3",I1118="NO2-3")),VLOOKUP(E1118,QCUREA_N,2,),IF(H1118="PER",VLOOKUP(I1118,QCPER,MATCH(E1118,QCACTUAL!$J$25:$AA$25,0),),IF(H1118="SPK",VLOOKUP(I1118,QCSPK,3,),IF(AND(H1118="ATP",OR(I1118="TP",I1118="TDP")),VLOOKUP(E1118,QCATP_P,2,),""))))))))</f>
        <v/>
      </c>
      <c r="W1118" s="31" t="str">
        <f t="shared" si="125"/>
        <v>TRUE</v>
      </c>
      <c r="X1118" s="31" t="str">
        <f t="shared" si="126"/>
        <v/>
      </c>
      <c r="Y1118" s="10" t="s">
        <v>1061</v>
      </c>
      <c r="Z1118" s="10" t="s">
        <v>910</v>
      </c>
      <c r="AF1118" s="12">
        <v>44950</v>
      </c>
      <c r="AJ1118" s="10">
        <f>-1.2768*7.81^2+222.07*7.81-130.11</f>
        <v>1526.3768795199999</v>
      </c>
      <c r="AK1118" s="10">
        <f>0.4667*7.81^2+198.27*7.81-98.12</f>
        <v>1478.8355798699999</v>
      </c>
      <c r="AL1118" s="10" t="str">
        <f t="shared" si="128"/>
        <v>FALSE</v>
      </c>
      <c r="AM1118" s="10" t="str">
        <f t="shared" si="128"/>
        <v>FALSE</v>
      </c>
      <c r="AN1118" s="10" t="str">
        <f t="shared" si="128"/>
        <v>FALSE</v>
      </c>
      <c r="AO1118" s="10" t="str">
        <f t="shared" si="129"/>
        <v>y=-1.2768*7.81^2+222.07*7.81-130.11</v>
      </c>
      <c r="AP1118" s="10" t="str">
        <f t="shared" si="129"/>
        <v>y=0.4667*7.81^2+198.27*7.81-98.12</v>
      </c>
      <c r="AQ1118" s="10" t="b">
        <f>IF(AND(I1118="TP",S1118&lt;=150),VLOOKUP(AF1118,TPCalibEq150!$AZ$2:$BB$55,3,),IF(AND(I1118="TDP",S1118&lt;=150),VLOOKUP(AF1118,TPCalibEq150!$AZ$2:$BB$55,3,)))</f>
        <v>0</v>
      </c>
      <c r="AR1118" s="10" t="b">
        <f>IF(AND(I1118="TP",S1118&lt;=300),VLOOKUP(AF1118,TPCalibEq300!$AZ$2:$BB$55,3,),IF(AND(I1118="TDP",S1118&lt;=300),VLOOKUP(AF1118,TPCalibEq300!$AZ$2:$BB$55,3,)))</f>
        <v>0</v>
      </c>
      <c r="AS1118" s="10" t="b">
        <f>IF(AND(I1118="TP",S1118&lt;=500),VLOOKUP(AF1118,TPCalibEq500!$AZ$2:$BB$56,3,),IF(AND(I1118="TDP",S1118&lt;=500),VLOOKUP(AF1118,TPCalibEq500!$AZ$2:$BB$56,3,)))</f>
        <v>0</v>
      </c>
      <c r="AT1118" s="10" t="str">
        <f>IF(AND(I1118="TN",S1118&lt;=2800),VLOOKUP(AF1118,TNCalibEq2500!$AZ$2:$BB$56,3,),IF(AND(I1118="TDN",S1118&lt;=2800),VLOOKUP(AF1118,TNCalibEq2500!$AZ$2:$BB$56,3,)))</f>
        <v>y=-1.2768x2+222.07x-130.11</v>
      </c>
      <c r="AU1118" s="10" t="str">
        <f>IF(I1118="TP",VLOOKUP(AF1118,TPCalibEqFull!$AZ$2:$BB$56,3),IF(I1118="TDP",VLOOKUP(AF1118,TPCalibEqFull!$AZ$2:$BB$56,3),IF(I1118="TDN",VLOOKUP(AF1118,TNCalibEqFull!$AZ$1:$BB$56,3),IF(I1118="TN",VLOOKUP(AF1118,TNCalibEqFull!$AZ$1:$BB$56,3),FALSE))))</f>
        <v>y=0.4667x2+198.27x-98.12</v>
      </c>
      <c r="AV1118" s="10" t="str">
        <f t="shared" si="127"/>
        <v>0112 10:33:00-EFK-0-C-1-SW-UKN</v>
      </c>
    </row>
    <row r="1119" spans="1:48" s="10" customFormat="1" x14ac:dyDescent="0.55000000000000004">
      <c r="A1119" s="32">
        <v>44938</v>
      </c>
      <c r="B1119" s="33">
        <v>0.4548611111111111</v>
      </c>
      <c r="C1119" s="10" t="s">
        <v>333</v>
      </c>
      <c r="D1119" s="10">
        <v>0</v>
      </c>
      <c r="E1119" s="10" t="s">
        <v>190</v>
      </c>
      <c r="F1119" s="10">
        <v>1</v>
      </c>
      <c r="G1119" s="10" t="s">
        <v>231</v>
      </c>
      <c r="H1119" s="10" t="s">
        <v>322</v>
      </c>
      <c r="I1119" s="10" t="s">
        <v>235</v>
      </c>
      <c r="J1119" s="10">
        <v>4</v>
      </c>
      <c r="K1119" s="12">
        <v>44950</v>
      </c>
      <c r="L1119" s="33">
        <v>0.60334490740740743</v>
      </c>
      <c r="M1119" s="10">
        <v>1</v>
      </c>
      <c r="N1119" s="10" t="s">
        <v>196</v>
      </c>
      <c r="O1119" s="10">
        <v>6.85</v>
      </c>
      <c r="P1119" s="10">
        <v>0.41599999999999998</v>
      </c>
      <c r="Q1119" s="10">
        <v>1310</v>
      </c>
      <c r="R1119" s="10" t="s">
        <v>170</v>
      </c>
      <c r="S1119" s="34">
        <f t="shared" si="123"/>
        <v>1331.158852</v>
      </c>
      <c r="T1119" s="10" t="s">
        <v>1068</v>
      </c>
      <c r="U1119" s="34" t="str">
        <f t="shared" si="124"/>
        <v/>
      </c>
      <c r="V1119" s="31" t="str">
        <f>IF(H1119="CHK",VLOOKUP(I1119,QCCHK,3,),IF(H1119="GUP",VLOOKUP(E1119,QCGUP,2,),IF(AND(H1119="ATP",OR(I1119="TN",I1119="TDN",I1119="TNO2-3",I1119="NO2-3")),VLOOKUP(E1119,QCREC_N,2,),IF(AND(H1119="NIC",OR(I1119="TN",I1119="TDN",I1119="TNO2-3",I1119="NO2-3")),VLOOKUP(E1119,QCNIC_N,2,),IF(AND(H1119="UREA",OR(I1119="TN",I1119="TDN",I1119="TNO2-3",I1119="NO2-3")),VLOOKUP(E1119,QCUREA_N,2,),IF(H1119="PER",VLOOKUP(I1119,QCPER,MATCH(E1119,QCACTUAL!$J$25:$AA$25,0),),IF(H1119="SPK",VLOOKUP(I1119,QCSPK,3,),IF(AND(H1119="ATP",OR(I1119="TP",I1119="TDP")),VLOOKUP(E1119,QCATP_P,2,),""))))))))</f>
        <v/>
      </c>
      <c r="W1119" s="31" t="str">
        <f t="shared" si="125"/>
        <v>TRUE</v>
      </c>
      <c r="X1119" s="31" t="str">
        <f t="shared" si="126"/>
        <v/>
      </c>
      <c r="Y1119" s="10" t="s">
        <v>1061</v>
      </c>
      <c r="Z1119" s="10" t="s">
        <v>910</v>
      </c>
      <c r="AF1119" s="12">
        <v>44950</v>
      </c>
      <c r="AJ1119" s="10">
        <f>-1.2768*6.85^2+222.07*6.85-130.11</f>
        <v>1331.158852</v>
      </c>
      <c r="AK1119" s="10">
        <f>0.4667*6.85^2+198.27*6.85-98.12</f>
        <v>1281.9282307499998</v>
      </c>
      <c r="AL1119" s="10" t="str">
        <f t="shared" si="128"/>
        <v>FALSE</v>
      </c>
      <c r="AM1119" s="10" t="str">
        <f t="shared" si="128"/>
        <v>FALSE</v>
      </c>
      <c r="AN1119" s="10" t="str">
        <f t="shared" si="128"/>
        <v>FALSE</v>
      </c>
      <c r="AO1119" s="10" t="str">
        <f t="shared" si="129"/>
        <v>y=-1.2768*6.85^2+222.07*6.85-130.11</v>
      </c>
      <c r="AP1119" s="10" t="str">
        <f t="shared" si="129"/>
        <v>y=0.4667*6.85^2+198.27*6.85-98.12</v>
      </c>
      <c r="AQ1119" s="10" t="b">
        <f>IF(AND(I1119="TP",S1119&lt;=150),VLOOKUP(AF1119,TPCalibEq150!$AZ$2:$BB$55,3,),IF(AND(I1119="TDP",S1119&lt;=150),VLOOKUP(AF1119,TPCalibEq150!$AZ$2:$BB$55,3,)))</f>
        <v>0</v>
      </c>
      <c r="AR1119" s="10" t="b">
        <f>IF(AND(I1119="TP",S1119&lt;=300),VLOOKUP(AF1119,TPCalibEq300!$AZ$2:$BB$55,3,),IF(AND(I1119="TDP",S1119&lt;=300),VLOOKUP(AF1119,TPCalibEq300!$AZ$2:$BB$55,3,)))</f>
        <v>0</v>
      </c>
      <c r="AS1119" s="10" t="b">
        <f>IF(AND(I1119="TP",S1119&lt;=500),VLOOKUP(AF1119,TPCalibEq500!$AZ$2:$BB$56,3,),IF(AND(I1119="TDP",S1119&lt;=500),VLOOKUP(AF1119,TPCalibEq500!$AZ$2:$BB$56,3,)))</f>
        <v>0</v>
      </c>
      <c r="AT1119" s="10" t="str">
        <f>IF(AND(I1119="TN",S1119&lt;=2800),VLOOKUP(AF1119,TNCalibEq2500!$AZ$2:$BB$56,3,),IF(AND(I1119="TDN",S1119&lt;=2800),VLOOKUP(AF1119,TNCalibEq2500!$AZ$2:$BB$56,3,)))</f>
        <v>y=-1.2768x2+222.07x-130.11</v>
      </c>
      <c r="AU1119" s="10" t="str">
        <f>IF(I1119="TP",VLOOKUP(AF1119,TPCalibEqFull!$AZ$2:$BB$56,3),IF(I1119="TDP",VLOOKUP(AF1119,TPCalibEqFull!$AZ$2:$BB$56,3),IF(I1119="TDN",VLOOKUP(AF1119,TNCalibEqFull!$AZ$1:$BB$56,3),IF(I1119="TN",VLOOKUP(AF1119,TNCalibEqFull!$AZ$1:$BB$56,3),FALSE))))</f>
        <v>y=0.4667x2+198.27x-98.12</v>
      </c>
      <c r="AV1119" s="10" t="str">
        <f t="shared" si="127"/>
        <v>0112 10:55:00-HST-0-C-1-SW-UKN</v>
      </c>
    </row>
    <row r="1120" spans="1:48" s="10" customFormat="1" x14ac:dyDescent="0.55000000000000004">
      <c r="A1120" s="32">
        <v>44939</v>
      </c>
      <c r="B1120" s="33">
        <v>0.4916666666666667</v>
      </c>
      <c r="C1120" s="10" t="s">
        <v>279</v>
      </c>
      <c r="D1120" s="10">
        <v>0</v>
      </c>
      <c r="E1120" s="10" t="s">
        <v>190</v>
      </c>
      <c r="F1120" s="10">
        <v>1</v>
      </c>
      <c r="G1120" s="10" t="s">
        <v>231</v>
      </c>
      <c r="H1120" s="10" t="s">
        <v>322</v>
      </c>
      <c r="I1120" s="10" t="s">
        <v>235</v>
      </c>
      <c r="J1120" s="10">
        <v>5</v>
      </c>
      <c r="K1120" s="12">
        <v>44950</v>
      </c>
      <c r="L1120" s="33">
        <v>0.60401620370370368</v>
      </c>
      <c r="M1120" s="10">
        <v>1</v>
      </c>
      <c r="N1120" s="10" t="s">
        <v>196</v>
      </c>
      <c r="O1120" s="10">
        <v>6.74</v>
      </c>
      <c r="P1120" s="10">
        <v>0.40799999999999997</v>
      </c>
      <c r="Q1120" s="10">
        <v>1290</v>
      </c>
      <c r="R1120" s="10" t="s">
        <v>170</v>
      </c>
      <c r="S1120" s="34">
        <f t="shared" si="123"/>
        <v>1308.6398403200001</v>
      </c>
      <c r="T1120" s="10" t="s">
        <v>1068</v>
      </c>
      <c r="U1120" s="34" t="str">
        <f t="shared" si="124"/>
        <v/>
      </c>
      <c r="V1120" s="31" t="str">
        <f>IF(H1120="CHK",VLOOKUP(I1120,QCCHK,3,),IF(H1120="GUP",VLOOKUP(E1120,QCGUP,2,),IF(AND(H1120="ATP",OR(I1120="TN",I1120="TDN",I1120="TNO2-3",I1120="NO2-3")),VLOOKUP(E1120,QCREC_N,2,),IF(AND(H1120="NIC",OR(I1120="TN",I1120="TDN",I1120="TNO2-3",I1120="NO2-3")),VLOOKUP(E1120,QCNIC_N,2,),IF(AND(H1120="UREA",OR(I1120="TN",I1120="TDN",I1120="TNO2-3",I1120="NO2-3")),VLOOKUP(E1120,QCUREA_N,2,),IF(H1120="PER",VLOOKUP(I1120,QCPER,MATCH(E1120,QCACTUAL!$J$25:$AA$25,0),),IF(H1120="SPK",VLOOKUP(I1120,QCSPK,3,),IF(AND(H1120="ATP",OR(I1120="TP",I1120="TDP")),VLOOKUP(E1120,QCATP_P,2,),""))))))))</f>
        <v/>
      </c>
      <c r="W1120" s="31" t="str">
        <f t="shared" si="125"/>
        <v>TRUE</v>
      </c>
      <c r="X1120" s="31" t="str">
        <f t="shared" si="126"/>
        <v/>
      </c>
      <c r="Y1120" s="10" t="s">
        <v>1061</v>
      </c>
      <c r="Z1120" s="10" t="s">
        <v>910</v>
      </c>
      <c r="AF1120" s="12">
        <v>44950</v>
      </c>
      <c r="AJ1120" s="10">
        <f>-1.2768*6.74^2+222.07*6.74-130.11</f>
        <v>1308.6398403200001</v>
      </c>
      <c r="AK1120" s="10">
        <f>0.4667*6.74^2+198.27*6.74-98.12</f>
        <v>1259.42086092</v>
      </c>
      <c r="AL1120" s="10" t="str">
        <f t="shared" si="128"/>
        <v>FALSE</v>
      </c>
      <c r="AM1120" s="10" t="str">
        <f t="shared" si="128"/>
        <v>FALSE</v>
      </c>
      <c r="AN1120" s="10" t="str">
        <f t="shared" si="128"/>
        <v>FALSE</v>
      </c>
      <c r="AO1120" s="10" t="str">
        <f t="shared" si="129"/>
        <v>y=-1.2768*6.74^2+222.07*6.74-130.11</v>
      </c>
      <c r="AP1120" s="10" t="str">
        <f t="shared" si="129"/>
        <v>y=0.4667*6.74^2+198.27*6.74-98.12</v>
      </c>
      <c r="AQ1120" s="10" t="b">
        <f>IF(AND(I1120="TP",S1120&lt;=150),VLOOKUP(AF1120,TPCalibEq150!$AZ$2:$BB$55,3,),IF(AND(I1120="TDP",S1120&lt;=150),VLOOKUP(AF1120,TPCalibEq150!$AZ$2:$BB$55,3,)))</f>
        <v>0</v>
      </c>
      <c r="AR1120" s="10" t="b">
        <f>IF(AND(I1120="TP",S1120&lt;=300),VLOOKUP(AF1120,TPCalibEq300!$AZ$2:$BB$55,3,),IF(AND(I1120="TDP",S1120&lt;=300),VLOOKUP(AF1120,TPCalibEq300!$AZ$2:$BB$55,3,)))</f>
        <v>0</v>
      </c>
      <c r="AS1120" s="10" t="b">
        <f>IF(AND(I1120="TP",S1120&lt;=500),VLOOKUP(AF1120,TPCalibEq500!$AZ$2:$BB$56,3,),IF(AND(I1120="TDP",S1120&lt;=500),VLOOKUP(AF1120,TPCalibEq500!$AZ$2:$BB$56,3,)))</f>
        <v>0</v>
      </c>
      <c r="AT1120" s="10" t="str">
        <f>IF(AND(I1120="TN",S1120&lt;=2800),VLOOKUP(AF1120,TNCalibEq2500!$AZ$2:$BB$56,3,),IF(AND(I1120="TDN",S1120&lt;=2800),VLOOKUP(AF1120,TNCalibEq2500!$AZ$2:$BB$56,3,)))</f>
        <v>y=-1.2768x2+222.07x-130.11</v>
      </c>
      <c r="AU1120" s="10" t="str">
        <f>IF(I1120="TP",VLOOKUP(AF1120,TPCalibEqFull!$AZ$2:$BB$56,3),IF(I1120="TDP",VLOOKUP(AF1120,TPCalibEqFull!$AZ$2:$BB$56,3),IF(I1120="TDN",VLOOKUP(AF1120,TNCalibEqFull!$AZ$1:$BB$56,3),IF(I1120="TN",VLOOKUP(AF1120,TNCalibEqFull!$AZ$1:$BB$56,3),FALSE))))</f>
        <v>y=0.4667x2+198.27x-98.12</v>
      </c>
      <c r="AV1120" s="10" t="str">
        <f t="shared" si="127"/>
        <v>0113 11:48:00-EFK-0-C-1-SW-UKN</v>
      </c>
    </row>
    <row r="1121" spans="1:48" s="10" customFormat="1" x14ac:dyDescent="0.55000000000000004">
      <c r="A1121" s="32">
        <v>44939</v>
      </c>
      <c r="B1121" s="33">
        <v>0.49444444444444446</v>
      </c>
      <c r="C1121" s="10" t="s">
        <v>333</v>
      </c>
      <c r="D1121" s="10">
        <v>0</v>
      </c>
      <c r="E1121" s="10" t="s">
        <v>190</v>
      </c>
      <c r="F1121" s="10">
        <v>1</v>
      </c>
      <c r="G1121" s="10" t="s">
        <v>231</v>
      </c>
      <c r="H1121" s="10" t="s">
        <v>322</v>
      </c>
      <c r="I1121" s="10" t="s">
        <v>235</v>
      </c>
      <c r="J1121" s="10">
        <v>6</v>
      </c>
      <c r="K1121" s="12">
        <v>44950</v>
      </c>
      <c r="L1121" s="33">
        <v>0.60467592592592589</v>
      </c>
      <c r="M1121" s="10">
        <v>1</v>
      </c>
      <c r="N1121" s="10" t="s">
        <v>196</v>
      </c>
      <c r="O1121" s="10">
        <v>6.25</v>
      </c>
      <c r="P1121" s="10">
        <v>0.379</v>
      </c>
      <c r="Q1121" s="10">
        <v>1180</v>
      </c>
      <c r="R1121" s="10" t="s">
        <v>170</v>
      </c>
      <c r="S1121" s="34">
        <f t="shared" si="123"/>
        <v>1207.9524999999999</v>
      </c>
      <c r="T1121" s="10" t="s">
        <v>1068</v>
      </c>
      <c r="U1121" s="34" t="str">
        <f t="shared" si="124"/>
        <v/>
      </c>
      <c r="V1121" s="31" t="str">
        <f>IF(H1121="CHK",VLOOKUP(I1121,QCCHK,3,),IF(H1121="GUP",VLOOKUP(E1121,QCGUP,2,),IF(AND(H1121="ATP",OR(I1121="TN",I1121="TDN",I1121="TNO2-3",I1121="NO2-3")),VLOOKUP(E1121,QCREC_N,2,),IF(AND(H1121="NIC",OR(I1121="TN",I1121="TDN",I1121="TNO2-3",I1121="NO2-3")),VLOOKUP(E1121,QCNIC_N,2,),IF(AND(H1121="UREA",OR(I1121="TN",I1121="TDN",I1121="TNO2-3",I1121="NO2-3")),VLOOKUP(E1121,QCUREA_N,2,),IF(H1121="PER",VLOOKUP(I1121,QCPER,MATCH(E1121,QCACTUAL!$J$25:$AA$25,0),),IF(H1121="SPK",VLOOKUP(I1121,QCSPK,3,),IF(AND(H1121="ATP",OR(I1121="TP",I1121="TDP")),VLOOKUP(E1121,QCATP_P,2,),""))))))))</f>
        <v/>
      </c>
      <c r="W1121" s="31" t="str">
        <f t="shared" si="125"/>
        <v>TRUE</v>
      </c>
      <c r="X1121" s="31" t="str">
        <f t="shared" si="126"/>
        <v/>
      </c>
      <c r="Y1121" s="10" t="s">
        <v>1061</v>
      </c>
      <c r="Z1121" s="10" t="s">
        <v>910</v>
      </c>
      <c r="AF1121" s="12">
        <v>44950</v>
      </c>
      <c r="AJ1121" s="10">
        <f>-1.2768*6.25^2+222.07*6.25-130.11</f>
        <v>1207.9524999999999</v>
      </c>
      <c r="AK1121" s="10">
        <f>0.4667*6.25^2+198.27*6.25-98.12</f>
        <v>1159.2979687500001</v>
      </c>
      <c r="AL1121" s="10" t="str">
        <f t="shared" si="128"/>
        <v>FALSE</v>
      </c>
      <c r="AM1121" s="10" t="str">
        <f t="shared" si="128"/>
        <v>FALSE</v>
      </c>
      <c r="AN1121" s="10" t="str">
        <f t="shared" si="128"/>
        <v>FALSE</v>
      </c>
      <c r="AO1121" s="10" t="str">
        <f t="shared" si="129"/>
        <v>y=-1.2768*6.25^2+222.07*6.25-130.11</v>
      </c>
      <c r="AP1121" s="10" t="str">
        <f t="shared" si="129"/>
        <v>y=0.4667*6.25^2+198.27*6.25-98.12</v>
      </c>
      <c r="AQ1121" s="10" t="b">
        <f>IF(AND(I1121="TP",S1121&lt;=150),VLOOKUP(AF1121,TPCalibEq150!$AZ$2:$BB$55,3,),IF(AND(I1121="TDP",S1121&lt;=150),VLOOKUP(AF1121,TPCalibEq150!$AZ$2:$BB$55,3,)))</f>
        <v>0</v>
      </c>
      <c r="AR1121" s="10" t="b">
        <f>IF(AND(I1121="TP",S1121&lt;=300),VLOOKUP(AF1121,TPCalibEq300!$AZ$2:$BB$55,3,),IF(AND(I1121="TDP",S1121&lt;=300),VLOOKUP(AF1121,TPCalibEq300!$AZ$2:$BB$55,3,)))</f>
        <v>0</v>
      </c>
      <c r="AS1121" s="10" t="b">
        <f>IF(AND(I1121="TP",S1121&lt;=500),VLOOKUP(AF1121,TPCalibEq500!$AZ$2:$BB$56,3,),IF(AND(I1121="TDP",S1121&lt;=500),VLOOKUP(AF1121,TPCalibEq500!$AZ$2:$BB$56,3,)))</f>
        <v>0</v>
      </c>
      <c r="AT1121" s="10" t="str">
        <f>IF(AND(I1121="TN",S1121&lt;=2800),VLOOKUP(AF1121,TNCalibEq2500!$AZ$2:$BB$56,3,),IF(AND(I1121="TDN",S1121&lt;=2800),VLOOKUP(AF1121,TNCalibEq2500!$AZ$2:$BB$56,3,)))</f>
        <v>y=-1.2768x2+222.07x-130.11</v>
      </c>
      <c r="AU1121" s="10" t="str">
        <f>IF(I1121="TP",VLOOKUP(AF1121,TPCalibEqFull!$AZ$2:$BB$56,3),IF(I1121="TDP",VLOOKUP(AF1121,TPCalibEqFull!$AZ$2:$BB$56,3),IF(I1121="TDN",VLOOKUP(AF1121,TNCalibEqFull!$AZ$1:$BB$56,3),IF(I1121="TN",VLOOKUP(AF1121,TNCalibEqFull!$AZ$1:$BB$56,3),FALSE))))</f>
        <v>y=0.4667x2+198.27x-98.12</v>
      </c>
      <c r="AV1121" s="10" t="str">
        <f t="shared" si="127"/>
        <v>0113 11:52:00-HST-0-C-1-SW-UKN</v>
      </c>
    </row>
    <row r="1122" spans="1:48" s="10" customFormat="1" x14ac:dyDescent="0.55000000000000004">
      <c r="A1122" s="32">
        <v>44943</v>
      </c>
      <c r="B1122" s="33">
        <v>0.32291666666666669</v>
      </c>
      <c r="C1122" s="10" t="s">
        <v>279</v>
      </c>
      <c r="D1122" s="10">
        <v>0</v>
      </c>
      <c r="E1122" s="10" t="s">
        <v>190</v>
      </c>
      <c r="F1122" s="10">
        <v>1</v>
      </c>
      <c r="G1122" s="10" t="s">
        <v>231</v>
      </c>
      <c r="H1122" s="10" t="s">
        <v>322</v>
      </c>
      <c r="I1122" s="10" t="s">
        <v>235</v>
      </c>
      <c r="J1122" s="10">
        <v>7</v>
      </c>
      <c r="K1122" s="12">
        <v>44950</v>
      </c>
      <c r="L1122" s="33">
        <v>0.60534722222222215</v>
      </c>
      <c r="M1122" s="10">
        <v>1</v>
      </c>
      <c r="N1122" s="10" t="s">
        <v>196</v>
      </c>
      <c r="O1122" s="10">
        <v>6.51</v>
      </c>
      <c r="P1122" s="10">
        <v>0.39400000000000002</v>
      </c>
      <c r="Q1122" s="10">
        <v>1240</v>
      </c>
      <c r="R1122" s="10" t="s">
        <v>170</v>
      </c>
      <c r="S1122" s="34">
        <f t="shared" si="123"/>
        <v>1261.4547883199998</v>
      </c>
      <c r="T1122" s="10" t="s">
        <v>1068</v>
      </c>
      <c r="U1122" s="34" t="str">
        <f t="shared" si="124"/>
        <v/>
      </c>
      <c r="V1122" s="31" t="str">
        <f>IF(H1122="CHK",VLOOKUP(I1122,QCCHK,3,),IF(H1122="GUP",VLOOKUP(E1122,QCGUP,2,),IF(AND(H1122="ATP",OR(I1122="TN",I1122="TDN",I1122="TNO2-3",I1122="NO2-3")),VLOOKUP(E1122,QCREC_N,2,),IF(AND(H1122="NIC",OR(I1122="TN",I1122="TDN",I1122="TNO2-3",I1122="NO2-3")),VLOOKUP(E1122,QCNIC_N,2,),IF(AND(H1122="UREA",OR(I1122="TN",I1122="TDN",I1122="TNO2-3",I1122="NO2-3")),VLOOKUP(E1122,QCUREA_N,2,),IF(H1122="PER",VLOOKUP(I1122,QCPER,MATCH(E1122,QCACTUAL!$J$25:$AA$25,0),),IF(H1122="SPK",VLOOKUP(I1122,QCSPK,3,),IF(AND(H1122="ATP",OR(I1122="TP",I1122="TDP")),VLOOKUP(E1122,QCATP_P,2,),""))))))))</f>
        <v/>
      </c>
      <c r="W1122" s="31" t="str">
        <f t="shared" si="125"/>
        <v>TRUE</v>
      </c>
      <c r="X1122" s="31" t="str">
        <f t="shared" si="126"/>
        <v/>
      </c>
      <c r="Y1122" s="10" t="s">
        <v>1061</v>
      </c>
      <c r="Z1122" s="10" t="s">
        <v>910</v>
      </c>
      <c r="AF1122" s="12">
        <v>44950</v>
      </c>
      <c r="AJ1122" s="10">
        <f>-1.2768*6.51^2+222.07*6.51-130.11</f>
        <v>1261.4547883199998</v>
      </c>
      <c r="AK1122" s="10">
        <f>0.4667*6.51^2+198.27*6.51-98.12</f>
        <v>1212.39649267</v>
      </c>
      <c r="AL1122" s="10" t="str">
        <f t="shared" si="128"/>
        <v>FALSE</v>
      </c>
      <c r="AM1122" s="10" t="str">
        <f t="shared" si="128"/>
        <v>FALSE</v>
      </c>
      <c r="AN1122" s="10" t="str">
        <f t="shared" si="128"/>
        <v>FALSE</v>
      </c>
      <c r="AO1122" s="10" t="str">
        <f t="shared" si="129"/>
        <v>y=-1.2768*6.51^2+222.07*6.51-130.11</v>
      </c>
      <c r="AP1122" s="10" t="str">
        <f t="shared" si="129"/>
        <v>y=0.4667*6.51^2+198.27*6.51-98.12</v>
      </c>
      <c r="AQ1122" s="10" t="b">
        <f>IF(AND(I1122="TP",S1122&lt;=150),VLOOKUP(AF1122,TPCalibEq150!$AZ$2:$BB$55,3,),IF(AND(I1122="TDP",S1122&lt;=150),VLOOKUP(AF1122,TPCalibEq150!$AZ$2:$BB$55,3,)))</f>
        <v>0</v>
      </c>
      <c r="AR1122" s="10" t="b">
        <f>IF(AND(I1122="TP",S1122&lt;=300),VLOOKUP(AF1122,TPCalibEq300!$AZ$2:$BB$55,3,),IF(AND(I1122="TDP",S1122&lt;=300),VLOOKUP(AF1122,TPCalibEq300!$AZ$2:$BB$55,3,)))</f>
        <v>0</v>
      </c>
      <c r="AS1122" s="10" t="b">
        <f>IF(AND(I1122="TP",S1122&lt;=500),VLOOKUP(AF1122,TPCalibEq500!$AZ$2:$BB$56,3,),IF(AND(I1122="TDP",S1122&lt;=500),VLOOKUP(AF1122,TPCalibEq500!$AZ$2:$BB$56,3,)))</f>
        <v>0</v>
      </c>
      <c r="AT1122" s="10" t="str">
        <f>IF(AND(I1122="TN",S1122&lt;=2800),VLOOKUP(AF1122,TNCalibEq2500!$AZ$2:$BB$56,3,),IF(AND(I1122="TDN",S1122&lt;=2800),VLOOKUP(AF1122,TNCalibEq2500!$AZ$2:$BB$56,3,)))</f>
        <v>y=-1.2768x2+222.07x-130.11</v>
      </c>
      <c r="AU1122" s="10" t="str">
        <f>IF(I1122="TP",VLOOKUP(AF1122,TPCalibEqFull!$AZ$2:$BB$56,3),IF(I1122="TDP",VLOOKUP(AF1122,TPCalibEqFull!$AZ$2:$BB$56,3),IF(I1122="TDN",VLOOKUP(AF1122,TNCalibEqFull!$AZ$1:$BB$56,3),IF(I1122="TN",VLOOKUP(AF1122,TNCalibEqFull!$AZ$1:$BB$56,3),FALSE))))</f>
        <v>y=0.4667x2+198.27x-98.12</v>
      </c>
      <c r="AV1122" s="10" t="str">
        <f t="shared" si="127"/>
        <v>0117 07:45:00-EFK-0-C-1-SW-UKN</v>
      </c>
    </row>
    <row r="1123" spans="1:48" s="10" customFormat="1" x14ac:dyDescent="0.55000000000000004">
      <c r="A1123" s="32">
        <v>44943</v>
      </c>
      <c r="B1123" s="33">
        <v>0.32083333333333336</v>
      </c>
      <c r="C1123" s="10" t="s">
        <v>333</v>
      </c>
      <c r="D1123" s="10">
        <v>0</v>
      </c>
      <c r="E1123" s="10" t="s">
        <v>190</v>
      </c>
      <c r="F1123" s="10">
        <v>1</v>
      </c>
      <c r="G1123" s="10" t="s">
        <v>231</v>
      </c>
      <c r="H1123" s="10" t="s">
        <v>322</v>
      </c>
      <c r="I1123" s="10" t="s">
        <v>235</v>
      </c>
      <c r="J1123" s="10">
        <v>8</v>
      </c>
      <c r="K1123" s="12">
        <v>44950</v>
      </c>
      <c r="L1123" s="33">
        <v>0.60600694444444447</v>
      </c>
      <c r="M1123" s="10">
        <v>1</v>
      </c>
      <c r="N1123" s="10" t="s">
        <v>196</v>
      </c>
      <c r="O1123" s="10">
        <v>6.69</v>
      </c>
      <c r="P1123" s="10">
        <v>0.40300000000000002</v>
      </c>
      <c r="Q1123" s="10">
        <v>1280</v>
      </c>
      <c r="R1123" s="10" t="s">
        <v>170</v>
      </c>
      <c r="S1123" s="34">
        <f t="shared" si="123"/>
        <v>1298.3937115200001</v>
      </c>
      <c r="T1123" s="10" t="s">
        <v>1068</v>
      </c>
      <c r="U1123" s="34" t="str">
        <f t="shared" si="124"/>
        <v/>
      </c>
      <c r="V1123" s="31" t="str">
        <f>IF(H1123="CHK",VLOOKUP(I1123,QCCHK,3,),IF(H1123="GUP",VLOOKUP(E1123,QCGUP,2,),IF(AND(H1123="ATP",OR(I1123="TN",I1123="TDN",I1123="TNO2-3",I1123="NO2-3")),VLOOKUP(E1123,QCREC_N,2,),IF(AND(H1123="NIC",OR(I1123="TN",I1123="TDN",I1123="TNO2-3",I1123="NO2-3")),VLOOKUP(E1123,QCNIC_N,2,),IF(AND(H1123="UREA",OR(I1123="TN",I1123="TDN",I1123="TNO2-3",I1123="NO2-3")),VLOOKUP(E1123,QCUREA_N,2,),IF(H1123="PER",VLOOKUP(I1123,QCPER,MATCH(E1123,QCACTUAL!$J$25:$AA$25,0),),IF(H1123="SPK",VLOOKUP(I1123,QCSPK,3,),IF(AND(H1123="ATP",OR(I1123="TP",I1123="TDP")),VLOOKUP(E1123,QCATP_P,2,),""))))))))</f>
        <v/>
      </c>
      <c r="W1123" s="31" t="str">
        <f t="shared" si="125"/>
        <v>TRUE</v>
      </c>
      <c r="X1123" s="31" t="str">
        <f t="shared" si="126"/>
        <v/>
      </c>
      <c r="Y1123" s="10" t="s">
        <v>1061</v>
      </c>
      <c r="Z1123" s="10" t="s">
        <v>910</v>
      </c>
      <c r="AF1123" s="12">
        <v>44950</v>
      </c>
      <c r="AJ1123" s="10">
        <f>-1.2768*6.69^2+222.07*6.69-130.11</f>
        <v>1298.3937115200001</v>
      </c>
      <c r="AK1123" s="10">
        <f>0.4667*6.69^2+198.27*6.69-98.12</f>
        <v>1249.19397187</v>
      </c>
      <c r="AL1123" s="10" t="str">
        <f t="shared" si="128"/>
        <v>FALSE</v>
      </c>
      <c r="AM1123" s="10" t="str">
        <f t="shared" si="128"/>
        <v>FALSE</v>
      </c>
      <c r="AN1123" s="10" t="str">
        <f t="shared" si="128"/>
        <v>FALSE</v>
      </c>
      <c r="AO1123" s="10" t="str">
        <f t="shared" si="129"/>
        <v>y=-1.2768*6.69^2+222.07*6.69-130.11</v>
      </c>
      <c r="AP1123" s="10" t="str">
        <f t="shared" si="129"/>
        <v>y=0.4667*6.69^2+198.27*6.69-98.12</v>
      </c>
      <c r="AQ1123" s="10" t="b">
        <f>IF(AND(I1123="TP",S1123&lt;=150),VLOOKUP(AF1123,TPCalibEq150!$AZ$2:$BB$55,3,),IF(AND(I1123="TDP",S1123&lt;=150),VLOOKUP(AF1123,TPCalibEq150!$AZ$2:$BB$55,3,)))</f>
        <v>0</v>
      </c>
      <c r="AR1123" s="10" t="b">
        <f>IF(AND(I1123="TP",S1123&lt;=300),VLOOKUP(AF1123,TPCalibEq300!$AZ$2:$BB$55,3,),IF(AND(I1123="TDP",S1123&lt;=300),VLOOKUP(AF1123,TPCalibEq300!$AZ$2:$BB$55,3,)))</f>
        <v>0</v>
      </c>
      <c r="AS1123" s="10" t="b">
        <f>IF(AND(I1123="TP",S1123&lt;=500),VLOOKUP(AF1123,TPCalibEq500!$AZ$2:$BB$56,3,),IF(AND(I1123="TDP",S1123&lt;=500),VLOOKUP(AF1123,TPCalibEq500!$AZ$2:$BB$56,3,)))</f>
        <v>0</v>
      </c>
      <c r="AT1123" s="10" t="str">
        <f>IF(AND(I1123="TN",S1123&lt;=2800),VLOOKUP(AF1123,TNCalibEq2500!$AZ$2:$BB$56,3,),IF(AND(I1123="TDN",S1123&lt;=2800),VLOOKUP(AF1123,TNCalibEq2500!$AZ$2:$BB$56,3,)))</f>
        <v>y=-1.2768x2+222.07x-130.11</v>
      </c>
      <c r="AU1123" s="10" t="str">
        <f>IF(I1123="TP",VLOOKUP(AF1123,TPCalibEqFull!$AZ$2:$BB$56,3),IF(I1123="TDP",VLOOKUP(AF1123,TPCalibEqFull!$AZ$2:$BB$56,3),IF(I1123="TDN",VLOOKUP(AF1123,TNCalibEqFull!$AZ$1:$BB$56,3),IF(I1123="TN",VLOOKUP(AF1123,TNCalibEqFull!$AZ$1:$BB$56,3),FALSE))))</f>
        <v>y=0.4667x2+198.27x-98.12</v>
      </c>
      <c r="AV1123" s="10" t="str">
        <f t="shared" si="127"/>
        <v>0117 07:42:00-HST-0-C-1-SW-UKN</v>
      </c>
    </row>
    <row r="1124" spans="1:48" s="10" customFormat="1" x14ac:dyDescent="0.55000000000000004">
      <c r="A1124" s="32">
        <v>44944</v>
      </c>
      <c r="B1124" s="33">
        <v>0.36249999999999999</v>
      </c>
      <c r="C1124" s="10" t="s">
        <v>279</v>
      </c>
      <c r="D1124" s="10">
        <v>0</v>
      </c>
      <c r="E1124" s="10" t="s">
        <v>190</v>
      </c>
      <c r="F1124" s="10">
        <v>1</v>
      </c>
      <c r="G1124" s="10" t="s">
        <v>231</v>
      </c>
      <c r="H1124" s="10" t="s">
        <v>322</v>
      </c>
      <c r="I1124" s="10" t="s">
        <v>235</v>
      </c>
      <c r="J1124" s="10">
        <v>9</v>
      </c>
      <c r="K1124" s="12">
        <v>44950</v>
      </c>
      <c r="L1124" s="33">
        <v>0.60667824074074073</v>
      </c>
      <c r="M1124" s="10">
        <v>1</v>
      </c>
      <c r="N1124" s="10" t="s">
        <v>196</v>
      </c>
      <c r="O1124" s="10">
        <v>6.95</v>
      </c>
      <c r="P1124" s="10">
        <v>0.42</v>
      </c>
      <c r="Q1124" s="10">
        <v>1330</v>
      </c>
      <c r="R1124" s="10" t="s">
        <v>170</v>
      </c>
      <c r="S1124" s="34">
        <f t="shared" si="123"/>
        <v>1351.6038680000001</v>
      </c>
      <c r="T1124" s="10" t="s">
        <v>1068</v>
      </c>
      <c r="U1124" s="34" t="str">
        <f t="shared" si="124"/>
        <v/>
      </c>
      <c r="V1124" s="31" t="str">
        <f>IF(H1124="CHK",VLOOKUP(I1124,QCCHK,3,),IF(H1124="GUP",VLOOKUP(E1124,QCGUP,2,),IF(AND(H1124="ATP",OR(I1124="TN",I1124="TDN",I1124="TNO2-3",I1124="NO2-3")),VLOOKUP(E1124,QCREC_N,2,),IF(AND(H1124="NIC",OR(I1124="TN",I1124="TDN",I1124="TNO2-3",I1124="NO2-3")),VLOOKUP(E1124,QCNIC_N,2,),IF(AND(H1124="UREA",OR(I1124="TN",I1124="TDN",I1124="TNO2-3",I1124="NO2-3")),VLOOKUP(E1124,QCUREA_N,2,),IF(H1124="PER",VLOOKUP(I1124,QCPER,MATCH(E1124,QCACTUAL!$J$25:$AA$25,0),),IF(H1124="SPK",VLOOKUP(I1124,QCSPK,3,),IF(AND(H1124="ATP",OR(I1124="TP",I1124="TDP")),VLOOKUP(E1124,QCATP_P,2,),""))))))))</f>
        <v/>
      </c>
      <c r="W1124" s="31" t="str">
        <f t="shared" si="125"/>
        <v>TRUE</v>
      </c>
      <c r="X1124" s="31" t="str">
        <f t="shared" si="126"/>
        <v/>
      </c>
      <c r="Y1124" s="10" t="s">
        <v>1061</v>
      </c>
      <c r="Z1124" s="10" t="s">
        <v>910</v>
      </c>
      <c r="AF1124" s="12">
        <v>44950</v>
      </c>
      <c r="AJ1124" s="10">
        <f>-1.2768*6.95^2+222.07*6.95-130.11</f>
        <v>1351.6038680000001</v>
      </c>
      <c r="AK1124" s="10">
        <f>0.4667*6.95^2+198.27*6.95-98.12</f>
        <v>1302.3992767500004</v>
      </c>
      <c r="AL1124" s="10" t="str">
        <f t="shared" si="128"/>
        <v>FALSE</v>
      </c>
      <c r="AM1124" s="10" t="str">
        <f t="shared" si="128"/>
        <v>FALSE</v>
      </c>
      <c r="AN1124" s="10" t="str">
        <f t="shared" si="128"/>
        <v>FALSE</v>
      </c>
      <c r="AO1124" s="10" t="str">
        <f t="shared" si="129"/>
        <v>y=-1.2768*6.95^2+222.07*6.95-130.11</v>
      </c>
      <c r="AP1124" s="10" t="str">
        <f t="shared" si="129"/>
        <v>y=0.4667*6.95^2+198.27*6.95-98.12</v>
      </c>
      <c r="AQ1124" s="10" t="b">
        <f>IF(AND(I1124="TP",S1124&lt;=150),VLOOKUP(AF1124,TPCalibEq150!$AZ$2:$BB$55,3,),IF(AND(I1124="TDP",S1124&lt;=150),VLOOKUP(AF1124,TPCalibEq150!$AZ$2:$BB$55,3,)))</f>
        <v>0</v>
      </c>
      <c r="AR1124" s="10" t="b">
        <f>IF(AND(I1124="TP",S1124&lt;=300),VLOOKUP(AF1124,TPCalibEq300!$AZ$2:$BB$55,3,),IF(AND(I1124="TDP",S1124&lt;=300),VLOOKUP(AF1124,TPCalibEq300!$AZ$2:$BB$55,3,)))</f>
        <v>0</v>
      </c>
      <c r="AS1124" s="10" t="b">
        <f>IF(AND(I1124="TP",S1124&lt;=500),VLOOKUP(AF1124,TPCalibEq500!$AZ$2:$BB$56,3,),IF(AND(I1124="TDP",S1124&lt;=500),VLOOKUP(AF1124,TPCalibEq500!$AZ$2:$BB$56,3,)))</f>
        <v>0</v>
      </c>
      <c r="AT1124" s="10" t="str">
        <f>IF(AND(I1124="TN",S1124&lt;=2800),VLOOKUP(AF1124,TNCalibEq2500!$AZ$2:$BB$56,3,),IF(AND(I1124="TDN",S1124&lt;=2800),VLOOKUP(AF1124,TNCalibEq2500!$AZ$2:$BB$56,3,)))</f>
        <v>y=-1.2768x2+222.07x-130.11</v>
      </c>
      <c r="AU1124" s="10" t="str">
        <f>IF(I1124="TP",VLOOKUP(AF1124,TPCalibEqFull!$AZ$2:$BB$56,3),IF(I1124="TDP",VLOOKUP(AF1124,TPCalibEqFull!$AZ$2:$BB$56,3),IF(I1124="TDN",VLOOKUP(AF1124,TNCalibEqFull!$AZ$1:$BB$56,3),IF(I1124="TN",VLOOKUP(AF1124,TNCalibEqFull!$AZ$1:$BB$56,3),FALSE))))</f>
        <v>y=0.4667x2+198.27x-98.12</v>
      </c>
      <c r="AV1124" s="10" t="str">
        <f t="shared" si="127"/>
        <v>0118 08:42:00-EFK-0-C-1-SW-UKN</v>
      </c>
    </row>
    <row r="1125" spans="1:48" s="10" customFormat="1" x14ac:dyDescent="0.55000000000000004">
      <c r="A1125" s="32">
        <v>44944</v>
      </c>
      <c r="B1125" s="33">
        <v>0.36805555555555558</v>
      </c>
      <c r="C1125" s="10" t="s">
        <v>333</v>
      </c>
      <c r="D1125" s="10">
        <v>0</v>
      </c>
      <c r="E1125" s="10" t="s">
        <v>190</v>
      </c>
      <c r="F1125" s="10">
        <v>1</v>
      </c>
      <c r="G1125" s="10" t="s">
        <v>231</v>
      </c>
      <c r="H1125" s="10" t="s">
        <v>322</v>
      </c>
      <c r="I1125" s="10" t="s">
        <v>235</v>
      </c>
      <c r="J1125" s="10">
        <v>10</v>
      </c>
      <c r="K1125" s="12">
        <v>44950</v>
      </c>
      <c r="L1125" s="33">
        <v>0.60733796296296294</v>
      </c>
      <c r="M1125" s="10">
        <v>1</v>
      </c>
      <c r="N1125" s="10" t="s">
        <v>196</v>
      </c>
      <c r="O1125" s="10">
        <v>5.54</v>
      </c>
      <c r="P1125" s="10">
        <v>0.33700000000000002</v>
      </c>
      <c r="Q1125" s="10">
        <v>1040</v>
      </c>
      <c r="R1125" s="10" t="s">
        <v>170</v>
      </c>
      <c r="S1125" s="34">
        <f t="shared" si="123"/>
        <v>1060.9707651200001</v>
      </c>
      <c r="T1125" s="10" t="s">
        <v>1068</v>
      </c>
      <c r="U1125" s="34" t="str">
        <f t="shared" si="124"/>
        <v/>
      </c>
      <c r="V1125" s="31" t="str">
        <f>IF(H1125="CHK",VLOOKUP(I1125,QCCHK,3,),IF(H1125="GUP",VLOOKUP(E1125,QCGUP,2,),IF(AND(H1125="ATP",OR(I1125="TN",I1125="TDN",I1125="TNO2-3",I1125="NO2-3")),VLOOKUP(E1125,QCREC_N,2,),IF(AND(H1125="NIC",OR(I1125="TN",I1125="TDN",I1125="TNO2-3",I1125="NO2-3")),VLOOKUP(E1125,QCNIC_N,2,),IF(AND(H1125="UREA",OR(I1125="TN",I1125="TDN",I1125="TNO2-3",I1125="NO2-3")),VLOOKUP(E1125,QCUREA_N,2,),IF(H1125="PER",VLOOKUP(I1125,QCPER,MATCH(E1125,QCACTUAL!$J$25:$AA$25,0),),IF(H1125="SPK",VLOOKUP(I1125,QCSPK,3,),IF(AND(H1125="ATP",OR(I1125="TP",I1125="TDP")),VLOOKUP(E1125,QCATP_P,2,),""))))))))</f>
        <v/>
      </c>
      <c r="W1125" s="31" t="str">
        <f t="shared" si="125"/>
        <v>TRUE</v>
      </c>
      <c r="X1125" s="31" t="str">
        <f t="shared" si="126"/>
        <v/>
      </c>
      <c r="Y1125" s="10" t="s">
        <v>1061</v>
      </c>
      <c r="Z1125" s="10" t="s">
        <v>910</v>
      </c>
      <c r="AF1125" s="12">
        <v>44950</v>
      </c>
      <c r="AJ1125" s="10">
        <f>-1.2768*5.54^2+222.07*5.54-130.11</f>
        <v>1060.9707651200001</v>
      </c>
      <c r="AK1125" s="10">
        <f>0.4667*5.54^2+198.27*5.54-98.12</f>
        <v>1014.61956972</v>
      </c>
      <c r="AL1125" s="10" t="str">
        <f t="shared" si="128"/>
        <v>FALSE</v>
      </c>
      <c r="AM1125" s="10" t="str">
        <f t="shared" si="128"/>
        <v>FALSE</v>
      </c>
      <c r="AN1125" s="10" t="str">
        <f t="shared" si="128"/>
        <v>FALSE</v>
      </c>
      <c r="AO1125" s="10" t="str">
        <f t="shared" si="129"/>
        <v>y=-1.2768*5.54^2+222.07*5.54-130.11</v>
      </c>
      <c r="AP1125" s="10" t="str">
        <f t="shared" si="129"/>
        <v>y=0.4667*5.54^2+198.27*5.54-98.12</v>
      </c>
      <c r="AQ1125" s="10" t="b">
        <f>IF(AND(I1125="TP",S1125&lt;=150),VLOOKUP(AF1125,TPCalibEq150!$AZ$2:$BB$55,3,),IF(AND(I1125="TDP",S1125&lt;=150),VLOOKUP(AF1125,TPCalibEq150!$AZ$2:$BB$55,3,)))</f>
        <v>0</v>
      </c>
      <c r="AR1125" s="10" t="b">
        <f>IF(AND(I1125="TP",S1125&lt;=300),VLOOKUP(AF1125,TPCalibEq300!$AZ$2:$BB$55,3,),IF(AND(I1125="TDP",S1125&lt;=300),VLOOKUP(AF1125,TPCalibEq300!$AZ$2:$BB$55,3,)))</f>
        <v>0</v>
      </c>
      <c r="AS1125" s="10" t="b">
        <f>IF(AND(I1125="TP",S1125&lt;=500),VLOOKUP(AF1125,TPCalibEq500!$AZ$2:$BB$56,3,),IF(AND(I1125="TDP",S1125&lt;=500),VLOOKUP(AF1125,TPCalibEq500!$AZ$2:$BB$56,3,)))</f>
        <v>0</v>
      </c>
      <c r="AT1125" s="10" t="str">
        <f>IF(AND(I1125="TN",S1125&lt;=2800),VLOOKUP(AF1125,TNCalibEq2500!$AZ$2:$BB$56,3,),IF(AND(I1125="TDN",S1125&lt;=2800),VLOOKUP(AF1125,TNCalibEq2500!$AZ$2:$BB$56,3,)))</f>
        <v>y=-1.2768x2+222.07x-130.11</v>
      </c>
      <c r="AU1125" s="10" t="str">
        <f>IF(I1125="TP",VLOOKUP(AF1125,TPCalibEqFull!$AZ$2:$BB$56,3),IF(I1125="TDP",VLOOKUP(AF1125,TPCalibEqFull!$AZ$2:$BB$56,3),IF(I1125="TDN",VLOOKUP(AF1125,TNCalibEqFull!$AZ$1:$BB$56,3),IF(I1125="TN",VLOOKUP(AF1125,TNCalibEqFull!$AZ$1:$BB$56,3),FALSE))))</f>
        <v>y=0.4667x2+198.27x-98.12</v>
      </c>
      <c r="AV1125" s="10" t="str">
        <f t="shared" si="127"/>
        <v>0118 08:50:00-HST-0-C-1-SW-UKN</v>
      </c>
    </row>
    <row r="1126" spans="1:48" s="10" customFormat="1" x14ac:dyDescent="0.55000000000000004">
      <c r="A1126" s="32">
        <v>44944</v>
      </c>
      <c r="B1126" s="33">
        <v>0.36805555555555558</v>
      </c>
      <c r="C1126" s="10" t="s">
        <v>333</v>
      </c>
      <c r="D1126" s="10">
        <v>0</v>
      </c>
      <c r="E1126" s="10" t="s">
        <v>190</v>
      </c>
      <c r="F1126" s="10">
        <v>1</v>
      </c>
      <c r="G1126" s="10" t="s">
        <v>231</v>
      </c>
      <c r="H1126" s="10" t="s">
        <v>233</v>
      </c>
      <c r="I1126" s="10" t="s">
        <v>235</v>
      </c>
      <c r="J1126" s="10">
        <v>10</v>
      </c>
      <c r="K1126" s="12">
        <v>44950</v>
      </c>
      <c r="L1126" s="33">
        <v>0.60799768518518515</v>
      </c>
      <c r="M1126" s="10">
        <v>1</v>
      </c>
      <c r="N1126" s="10" t="s">
        <v>196</v>
      </c>
      <c r="O1126" s="10">
        <v>5.54</v>
      </c>
      <c r="P1126" s="10">
        <v>0.33600000000000002</v>
      </c>
      <c r="Q1126" s="10">
        <v>1040</v>
      </c>
      <c r="R1126" s="10" t="s">
        <v>170</v>
      </c>
      <c r="S1126" s="34">
        <f t="shared" si="123"/>
        <v>1060.9707651200001</v>
      </c>
      <c r="T1126" s="10" t="s">
        <v>1068</v>
      </c>
      <c r="U1126" s="34">
        <f t="shared" si="124"/>
        <v>0</v>
      </c>
      <c r="V1126" s="31" t="str">
        <f>IF(H1126="CHK",VLOOKUP(I1126,QCCHK,3,),IF(H1126="GUP",VLOOKUP(E1126,QCGUP,2,),IF(AND(H1126="ATP",OR(I1126="TN",I1126="TDN",I1126="TNO2-3",I1126="NO2-3")),VLOOKUP(E1126,QCREC_N,2,),IF(AND(H1126="NIC",OR(I1126="TN",I1126="TDN",I1126="TNO2-3",I1126="NO2-3")),VLOOKUP(E1126,QCNIC_N,2,),IF(AND(H1126="UREA",OR(I1126="TN",I1126="TDN",I1126="TNO2-3",I1126="NO2-3")),VLOOKUP(E1126,QCUREA_N,2,),IF(H1126="PER",VLOOKUP(I1126,QCPER,MATCH(E1126,QCACTUAL!$J$25:$AA$25,0),),IF(H1126="SPK",VLOOKUP(I1126,QCSPK,3,),IF(AND(H1126="ATP",OR(I1126="TP",I1126="TDP")),VLOOKUP(E1126,QCATP_P,2,),""))))))))</f>
        <v/>
      </c>
      <c r="W1126" s="31" t="str">
        <f t="shared" si="125"/>
        <v>TRUE</v>
      </c>
      <c r="X1126" s="31" t="str">
        <f t="shared" si="126"/>
        <v>((ABS(rep1-rep2))/((rep1+rep2)/2)*100</v>
      </c>
      <c r="Y1126" s="10" t="s">
        <v>1061</v>
      </c>
      <c r="Z1126" s="10" t="s">
        <v>910</v>
      </c>
      <c r="AF1126" s="12">
        <v>44950</v>
      </c>
      <c r="AJ1126" s="10">
        <f>-1.2768*5.54^2+222.07*5.54-130.11</f>
        <v>1060.9707651200001</v>
      </c>
      <c r="AK1126" s="10">
        <f>0.4667*5.54^2+198.27*5.54-98.12</f>
        <v>1014.61956972</v>
      </c>
      <c r="AL1126" s="10" t="str">
        <f t="shared" si="128"/>
        <v>FALSE</v>
      </c>
      <c r="AM1126" s="10" t="str">
        <f t="shared" si="128"/>
        <v>FALSE</v>
      </c>
      <c r="AN1126" s="10" t="str">
        <f t="shared" si="128"/>
        <v>FALSE</v>
      </c>
      <c r="AO1126" s="10" t="str">
        <f t="shared" si="129"/>
        <v>y=-1.2768*5.54^2+222.07*5.54-130.11</v>
      </c>
      <c r="AP1126" s="10" t="str">
        <f t="shared" si="129"/>
        <v>y=0.4667*5.54^2+198.27*5.54-98.12</v>
      </c>
      <c r="AQ1126" s="10" t="b">
        <f>IF(AND(I1126="TP",S1126&lt;=150),VLOOKUP(AF1126,TPCalibEq150!$AZ$2:$BB$55,3,),IF(AND(I1126="TDP",S1126&lt;=150),VLOOKUP(AF1126,TPCalibEq150!$AZ$2:$BB$55,3,)))</f>
        <v>0</v>
      </c>
      <c r="AR1126" s="10" t="b">
        <f>IF(AND(I1126="TP",S1126&lt;=300),VLOOKUP(AF1126,TPCalibEq300!$AZ$2:$BB$55,3,),IF(AND(I1126="TDP",S1126&lt;=300),VLOOKUP(AF1126,TPCalibEq300!$AZ$2:$BB$55,3,)))</f>
        <v>0</v>
      </c>
      <c r="AS1126" s="10" t="b">
        <f>IF(AND(I1126="TP",S1126&lt;=500),VLOOKUP(AF1126,TPCalibEq500!$AZ$2:$BB$56,3,),IF(AND(I1126="TDP",S1126&lt;=500),VLOOKUP(AF1126,TPCalibEq500!$AZ$2:$BB$56,3,)))</f>
        <v>0</v>
      </c>
      <c r="AT1126" s="10" t="str">
        <f>IF(AND(I1126="TN",S1126&lt;=2800),VLOOKUP(AF1126,TNCalibEq2500!$AZ$2:$BB$56,3,),IF(AND(I1126="TDN",S1126&lt;=2800),VLOOKUP(AF1126,TNCalibEq2500!$AZ$2:$BB$56,3,)))</f>
        <v>y=-1.2768x2+222.07x-130.11</v>
      </c>
      <c r="AU1126" s="10" t="str">
        <f>IF(I1126="TP",VLOOKUP(AF1126,TPCalibEqFull!$AZ$2:$BB$56,3),IF(I1126="TDP",VLOOKUP(AF1126,TPCalibEqFull!$AZ$2:$BB$56,3),IF(I1126="TDN",VLOOKUP(AF1126,TNCalibEqFull!$AZ$1:$BB$56,3),IF(I1126="TN",VLOOKUP(AF1126,TNCalibEqFull!$AZ$1:$BB$56,3),FALSE))))</f>
        <v>y=0.4667x2+198.27x-98.12</v>
      </c>
      <c r="AV1126" s="10" t="str">
        <f t="shared" si="127"/>
        <v>0118 08:50:00-HST-0-C-1-SW-DUP</v>
      </c>
    </row>
    <row r="1127" spans="1:48" s="10" customFormat="1" x14ac:dyDescent="0.55000000000000004">
      <c r="A1127" s="32">
        <v>44944</v>
      </c>
      <c r="B1127" s="33">
        <v>0.36805555555555558</v>
      </c>
      <c r="C1127" s="10" t="s">
        <v>912</v>
      </c>
      <c r="D1127" s="10">
        <v>0</v>
      </c>
      <c r="E1127" s="10" t="s">
        <v>190</v>
      </c>
      <c r="F1127" s="10">
        <v>1</v>
      </c>
      <c r="G1127" s="10" t="s">
        <v>231</v>
      </c>
      <c r="H1127" s="10" t="s">
        <v>314</v>
      </c>
      <c r="I1127" s="10" t="s">
        <v>235</v>
      </c>
      <c r="J1127" s="10">
        <v>57</v>
      </c>
      <c r="K1127" s="12">
        <v>44950</v>
      </c>
      <c r="L1127" s="33">
        <v>0.60864583333333333</v>
      </c>
      <c r="M1127" s="10">
        <v>1</v>
      </c>
      <c r="N1127" s="10" t="s">
        <v>196</v>
      </c>
      <c r="O1127" s="10">
        <v>17</v>
      </c>
      <c r="P1127" s="10">
        <v>1.02</v>
      </c>
      <c r="Q1127" s="10">
        <v>3430</v>
      </c>
      <c r="R1127" s="10" t="s">
        <v>170</v>
      </c>
      <c r="S1127" s="34">
        <f t="shared" si="123"/>
        <v>3430</v>
      </c>
      <c r="T1127" s="10" t="s">
        <v>1068</v>
      </c>
      <c r="U1127" s="34">
        <f t="shared" si="124"/>
        <v>94.7611693952</v>
      </c>
      <c r="V1127" s="31">
        <f>IF(H1127="CHK",VLOOKUP(I1127,QCCHK,3,),IF(H1127="GUP",VLOOKUP(E1127,QCGUP,2,),IF(AND(H1127="ATP",OR(I1127="TN",I1127="TDN",I1127="TNO2-3",I1127="NO2-3")),VLOOKUP(E1127,QCREC_N,2,),IF(AND(H1127="NIC",OR(I1127="TN",I1127="TDN",I1127="TNO2-3",I1127="NO2-3")),VLOOKUP(E1127,QCNIC_N,2,),IF(AND(H1127="UREA",OR(I1127="TN",I1127="TDN",I1127="TNO2-3",I1127="NO2-3")),VLOOKUP(E1127,QCUREA_N,2,),IF(H1127="PER",VLOOKUP(I1127,QCPER,MATCH(E1127,QCACTUAL!$J$25:$AA$25,0),),IF(H1127="SPK",VLOOKUP(I1127,QCSPK,3,),IF(AND(H1127="ATP",OR(I1127="TP",I1127="TDP")),VLOOKUP(E1127,QCATP_P,2,),""))))))))</f>
        <v>2500</v>
      </c>
      <c r="W1127" s="31" t="str">
        <f t="shared" si="125"/>
        <v>TRUE</v>
      </c>
      <c r="X1127" s="31" t="str">
        <f t="shared" si="126"/>
        <v>([spikedunkn]-[unkn])/[spike]*100</v>
      </c>
      <c r="Y1127" s="10" t="s">
        <v>1061</v>
      </c>
      <c r="Z1127" s="10" t="s">
        <v>910</v>
      </c>
      <c r="AF1127" s="12">
        <v>44950</v>
      </c>
      <c r="AK1127" s="10">
        <f>0.4667*17^2+198.27*17-98.12</f>
        <v>3407.3463000000002</v>
      </c>
      <c r="AL1127" s="10" t="str">
        <f t="shared" si="128"/>
        <v>FALSE</v>
      </c>
      <c r="AM1127" s="10" t="str">
        <f t="shared" si="128"/>
        <v>FALSE</v>
      </c>
      <c r="AN1127" s="10" t="str">
        <f t="shared" si="128"/>
        <v>FALSE</v>
      </c>
      <c r="AO1127" s="10" t="str">
        <f t="shared" si="129"/>
        <v>FALSE</v>
      </c>
      <c r="AP1127" s="10" t="str">
        <f t="shared" si="129"/>
        <v>y=0.4667*17^2+198.27*17-98.12</v>
      </c>
      <c r="AQ1127" s="10" t="b">
        <f>IF(AND(I1127="TP",S1127&lt;=150),VLOOKUP(AF1127,TPCalibEq150!$AZ$2:$BB$55,3,),IF(AND(I1127="TDP",S1127&lt;=150),VLOOKUP(AF1127,TPCalibEq150!$AZ$2:$BB$55,3,)))</f>
        <v>0</v>
      </c>
      <c r="AR1127" s="10" t="b">
        <f>IF(AND(I1127="TP",S1127&lt;=300),VLOOKUP(AF1127,TPCalibEq300!$AZ$2:$BB$55,3,),IF(AND(I1127="TDP",S1127&lt;=300),VLOOKUP(AF1127,TPCalibEq300!$AZ$2:$BB$55,3,)))</f>
        <v>0</v>
      </c>
      <c r="AS1127" s="10" t="b">
        <f>IF(AND(I1127="TP",S1127&lt;=500),VLOOKUP(AF1127,TPCalibEq500!$AZ$2:$BB$56,3,),IF(AND(I1127="TDP",S1127&lt;=500),VLOOKUP(AF1127,TPCalibEq500!$AZ$2:$BB$56,3,)))</f>
        <v>0</v>
      </c>
      <c r="AT1127" s="10" t="b">
        <f>IF(AND(I1127="TN",S1127&lt;=2800),VLOOKUP(AF1127,TNCalibEq2500!$AZ$2:$BB$56,3,),IF(AND(I1127="TDN",S1127&lt;=2800),VLOOKUP(AF1127,TNCalibEq2500!$AZ$2:$BB$56,3,)))</f>
        <v>0</v>
      </c>
      <c r="AU1127" s="10" t="str">
        <f>IF(I1127="TP",VLOOKUP(AF1127,TPCalibEqFull!$AZ$2:$BB$56,3),IF(I1127="TDP",VLOOKUP(AF1127,TPCalibEqFull!$AZ$2:$BB$56,3),IF(I1127="TDN",VLOOKUP(AF1127,TNCalibEqFull!$AZ$1:$BB$56,3),IF(I1127="TN",VLOOKUP(AF1127,TNCalibEqFull!$AZ$1:$BB$56,3),FALSE))))</f>
        <v>y=0.4667x2+198.27x-98.12</v>
      </c>
      <c r="AV1127" s="10" t="str">
        <f t="shared" si="127"/>
        <v>0118 08:50:00-HST -0-C-1-SW-SPK</v>
      </c>
    </row>
    <row r="1128" spans="1:48" s="10" customFormat="1" x14ac:dyDescent="0.55000000000000004">
      <c r="A1128" s="32">
        <v>44950</v>
      </c>
      <c r="B1128" s="33">
        <v>0.375</v>
      </c>
      <c r="C1128" s="10" t="s">
        <v>70</v>
      </c>
      <c r="D1128" s="10" t="s">
        <v>71</v>
      </c>
      <c r="E1128" s="10" t="s">
        <v>901</v>
      </c>
      <c r="F1128" s="10">
        <v>1</v>
      </c>
      <c r="G1128" s="10" t="s">
        <v>73</v>
      </c>
      <c r="H1128" s="10" t="s">
        <v>207</v>
      </c>
      <c r="I1128" s="10" t="s">
        <v>235</v>
      </c>
      <c r="J1128" s="10">
        <v>199</v>
      </c>
      <c r="K1128" s="12">
        <v>44950</v>
      </c>
      <c r="L1128" s="33">
        <v>0.60932870370370373</v>
      </c>
      <c r="M1128" s="10">
        <v>1</v>
      </c>
      <c r="N1128" s="10" t="s">
        <v>196</v>
      </c>
      <c r="O1128" s="10">
        <v>6.22</v>
      </c>
      <c r="P1128" s="10">
        <v>0.377</v>
      </c>
      <c r="Q1128" s="10">
        <v>1180</v>
      </c>
      <c r="R1128" s="10" t="s">
        <v>170</v>
      </c>
      <c r="S1128" s="34">
        <f t="shared" si="123"/>
        <v>1201.7680508799999</v>
      </c>
      <c r="T1128" s="10" t="s">
        <v>1068</v>
      </c>
      <c r="U1128" s="34">
        <f t="shared" si="124"/>
        <v>96.141444070399999</v>
      </c>
      <c r="V1128" s="31">
        <f>IF(H1128="CHK",VLOOKUP(I1128,QCCHK,3,),IF(H1128="GUP",VLOOKUP(E1128,QCGUP,2,),IF(AND(H1128="ATP",OR(I1128="TN",I1128="TDN",I1128="TNO2-3",I1128="NO2-3")),VLOOKUP(E1128,QCREC_N,2,),IF(AND(H1128="NIC",OR(I1128="TN",I1128="TDN",I1128="TNO2-3",I1128="NO2-3")),VLOOKUP(E1128,QCNIC_N,2,),IF(AND(H1128="UREA",OR(I1128="TN",I1128="TDN",I1128="TNO2-3",I1128="NO2-3")),VLOOKUP(E1128,QCUREA_N,2,),IF(H1128="PER",VLOOKUP(I1128,QCPER,MATCH(E1128,QCACTUAL!$J$25:$AA$25,0),),IF(H1128="SPK",VLOOKUP(I1128,QCSPK,3,),IF(AND(H1128="ATP",OR(I1128="TP",I1128="TDP")),VLOOKUP(E1128,QCATP_P,2,),""))))))))</f>
        <v>1250</v>
      </c>
      <c r="W1128" s="31" t="str">
        <f t="shared" si="125"/>
        <v>TRUE</v>
      </c>
      <c r="X1128" s="31" t="str">
        <f t="shared" si="126"/>
        <v>[chk]/[actual]*100</v>
      </c>
      <c r="Y1128" s="10" t="s">
        <v>1061</v>
      </c>
      <c r="AF1128" s="12">
        <v>44950</v>
      </c>
      <c r="AJ1128" s="10">
        <f>-1.2768*6.22^2+222.07*6.22-130.11</f>
        <v>1201.7680508799999</v>
      </c>
      <c r="AK1128" s="10">
        <f>0.4667*6.22^2+198.27*6.22-98.12</f>
        <v>1153.1752762799997</v>
      </c>
      <c r="AL1128" s="10" t="str">
        <f t="shared" si="128"/>
        <v>FALSE</v>
      </c>
      <c r="AM1128" s="10" t="str">
        <f t="shared" si="128"/>
        <v>FALSE</v>
      </c>
      <c r="AN1128" s="10" t="str">
        <f t="shared" si="128"/>
        <v>FALSE</v>
      </c>
      <c r="AO1128" s="10" t="str">
        <f t="shared" si="129"/>
        <v>y=-1.2768*6.22^2+222.07*6.22-130.11</v>
      </c>
      <c r="AP1128" s="10" t="str">
        <f t="shared" si="129"/>
        <v>y=0.4667*6.22^2+198.27*6.22-98.12</v>
      </c>
      <c r="AQ1128" s="10" t="b">
        <f>IF(AND(I1128="TP",S1128&lt;=150),VLOOKUP(AF1128,TPCalibEq150!$AZ$2:$BB$55,3,),IF(AND(I1128="TDP",S1128&lt;=150),VLOOKUP(AF1128,TPCalibEq150!$AZ$2:$BB$55,3,)))</f>
        <v>0</v>
      </c>
      <c r="AR1128" s="10" t="b">
        <f>IF(AND(I1128="TP",S1128&lt;=300),VLOOKUP(AF1128,TPCalibEq300!$AZ$2:$BB$55,3,),IF(AND(I1128="TDP",S1128&lt;=300),VLOOKUP(AF1128,TPCalibEq300!$AZ$2:$BB$55,3,)))</f>
        <v>0</v>
      </c>
      <c r="AS1128" s="10" t="b">
        <f>IF(AND(I1128="TP",S1128&lt;=500),VLOOKUP(AF1128,TPCalibEq500!$AZ$2:$BB$56,3,),IF(AND(I1128="TDP",S1128&lt;=500),VLOOKUP(AF1128,TPCalibEq500!$AZ$2:$BB$56,3,)))</f>
        <v>0</v>
      </c>
      <c r="AT1128" s="10" t="str">
        <f>IF(AND(I1128="TN",S1128&lt;=2800),VLOOKUP(AF1128,TNCalibEq2500!$AZ$2:$BB$56,3,),IF(AND(I1128="TDN",S1128&lt;=2800),VLOOKUP(AF1128,TNCalibEq2500!$AZ$2:$BB$56,3,)))</f>
        <v>y=-1.2768x2+222.07x-130.11</v>
      </c>
      <c r="AU1128" s="10" t="str">
        <f>IF(I1128="TP",VLOOKUP(AF1128,TPCalibEqFull!$AZ$2:$BB$56,3),IF(I1128="TDP",VLOOKUP(AF1128,TPCalibEqFull!$AZ$2:$BB$56,3),IF(I1128="TDN",VLOOKUP(AF1128,TNCalibEqFull!$AZ$1:$BB$56,3),IF(I1128="TN",VLOOKUP(AF1128,TNCalibEqFull!$AZ$1:$BB$56,3),FALSE))))</f>
        <v>y=0.4667x2+198.27x-98.12</v>
      </c>
      <c r="AV1128" s="10" t="str">
        <f t="shared" si="127"/>
        <v>0124 09:00:00-QAC-STD-D-1-DI-CHK</v>
      </c>
    </row>
    <row r="1129" spans="1:48" s="10" customFormat="1" x14ac:dyDescent="0.55000000000000004">
      <c r="A1129" s="32">
        <v>44945</v>
      </c>
      <c r="B1129" s="33">
        <v>0.56041666666666667</v>
      </c>
      <c r="C1129" s="10" t="s">
        <v>279</v>
      </c>
      <c r="D1129" s="10">
        <v>0</v>
      </c>
      <c r="E1129" s="10" t="s">
        <v>190</v>
      </c>
      <c r="F1129" s="10">
        <v>1</v>
      </c>
      <c r="G1129" s="10" t="s">
        <v>231</v>
      </c>
      <c r="H1129" s="10" t="s">
        <v>322</v>
      </c>
      <c r="I1129" s="10" t="s">
        <v>235</v>
      </c>
      <c r="J1129" s="10">
        <v>11</v>
      </c>
      <c r="K1129" s="12">
        <v>44950</v>
      </c>
      <c r="L1129" s="33">
        <v>0.60998842592592595</v>
      </c>
      <c r="M1129" s="10">
        <v>1</v>
      </c>
      <c r="N1129" s="10" t="s">
        <v>196</v>
      </c>
      <c r="O1129" s="10">
        <v>6.83</v>
      </c>
      <c r="P1129" s="10">
        <v>0.41099999999999998</v>
      </c>
      <c r="Q1129" s="10">
        <v>1300</v>
      </c>
      <c r="R1129" s="10" t="s">
        <v>170</v>
      </c>
      <c r="S1129" s="34">
        <f t="shared" si="123"/>
        <v>1327.06678448</v>
      </c>
      <c r="T1129" s="10" t="s">
        <v>1068</v>
      </c>
      <c r="U1129" s="34" t="str">
        <f t="shared" si="124"/>
        <v/>
      </c>
      <c r="V1129" s="31" t="str">
        <f>IF(H1129="CHK",VLOOKUP(I1129,QCCHK,3,),IF(H1129="GUP",VLOOKUP(E1129,QCGUP,2,),IF(AND(H1129="ATP",OR(I1129="TN",I1129="TDN",I1129="TNO2-3",I1129="NO2-3")),VLOOKUP(E1129,QCREC_N,2,),IF(AND(H1129="NIC",OR(I1129="TN",I1129="TDN",I1129="TNO2-3",I1129="NO2-3")),VLOOKUP(E1129,QCNIC_N,2,),IF(AND(H1129="UREA",OR(I1129="TN",I1129="TDN",I1129="TNO2-3",I1129="NO2-3")),VLOOKUP(E1129,QCUREA_N,2,),IF(H1129="PER",VLOOKUP(I1129,QCPER,MATCH(E1129,QCACTUAL!$J$25:$AA$25,0),),IF(H1129="SPK",VLOOKUP(I1129,QCSPK,3,),IF(AND(H1129="ATP",OR(I1129="TP",I1129="TDP")),VLOOKUP(E1129,QCATP_P,2,),""))))))))</f>
        <v/>
      </c>
      <c r="W1129" s="31" t="str">
        <f t="shared" si="125"/>
        <v>TRUE</v>
      </c>
      <c r="X1129" s="31" t="str">
        <f t="shared" si="126"/>
        <v/>
      </c>
      <c r="Y1129" s="10" t="s">
        <v>1061</v>
      </c>
      <c r="Z1129" s="10" t="s">
        <v>910</v>
      </c>
      <c r="AF1129" s="12">
        <v>44950</v>
      </c>
      <c r="AJ1129" s="10">
        <f>-1.2768*6.83^2+222.07*6.83-130.11</f>
        <v>1327.06678448</v>
      </c>
      <c r="AK1129" s="10">
        <f>0.4667*6.83^2+198.27*6.83-98.12</f>
        <v>1277.8351416300002</v>
      </c>
      <c r="AL1129" s="10" t="str">
        <f t="shared" si="128"/>
        <v>FALSE</v>
      </c>
      <c r="AM1129" s="10" t="str">
        <f t="shared" si="128"/>
        <v>FALSE</v>
      </c>
      <c r="AN1129" s="10" t="str">
        <f t="shared" si="128"/>
        <v>FALSE</v>
      </c>
      <c r="AO1129" s="10" t="str">
        <f t="shared" si="129"/>
        <v>y=-1.2768*6.83^2+222.07*6.83-130.11</v>
      </c>
      <c r="AP1129" s="10" t="str">
        <f t="shared" si="129"/>
        <v>y=0.4667*6.83^2+198.27*6.83-98.12</v>
      </c>
      <c r="AQ1129" s="10" t="b">
        <f>IF(AND(I1129="TP",S1129&lt;=150),VLOOKUP(AF1129,TPCalibEq150!$AZ$2:$BB$55,3,),IF(AND(I1129="TDP",S1129&lt;=150),VLOOKUP(AF1129,TPCalibEq150!$AZ$2:$BB$55,3,)))</f>
        <v>0</v>
      </c>
      <c r="AR1129" s="10" t="b">
        <f>IF(AND(I1129="TP",S1129&lt;=300),VLOOKUP(AF1129,TPCalibEq300!$AZ$2:$BB$55,3,),IF(AND(I1129="TDP",S1129&lt;=300),VLOOKUP(AF1129,TPCalibEq300!$AZ$2:$BB$55,3,)))</f>
        <v>0</v>
      </c>
      <c r="AS1129" s="10" t="b">
        <f>IF(AND(I1129="TP",S1129&lt;=500),VLOOKUP(AF1129,TPCalibEq500!$AZ$2:$BB$56,3,),IF(AND(I1129="TDP",S1129&lt;=500),VLOOKUP(AF1129,TPCalibEq500!$AZ$2:$BB$56,3,)))</f>
        <v>0</v>
      </c>
      <c r="AT1129" s="10" t="str">
        <f>IF(AND(I1129="TN",S1129&lt;=2800),VLOOKUP(AF1129,TNCalibEq2500!$AZ$2:$BB$56,3,),IF(AND(I1129="TDN",S1129&lt;=2800),VLOOKUP(AF1129,TNCalibEq2500!$AZ$2:$BB$56,3,)))</f>
        <v>y=-1.2768x2+222.07x-130.11</v>
      </c>
      <c r="AU1129" s="10" t="str">
        <f>IF(I1129="TP",VLOOKUP(AF1129,TPCalibEqFull!$AZ$2:$BB$56,3),IF(I1129="TDP",VLOOKUP(AF1129,TPCalibEqFull!$AZ$2:$BB$56,3),IF(I1129="TDN",VLOOKUP(AF1129,TNCalibEqFull!$AZ$1:$BB$56,3),IF(I1129="TN",VLOOKUP(AF1129,TNCalibEqFull!$AZ$1:$BB$56,3),FALSE))))</f>
        <v>y=0.4667x2+198.27x-98.12</v>
      </c>
      <c r="AV1129" s="10" t="str">
        <f t="shared" si="127"/>
        <v>0119 13:27:00-EFK-0-C-1-SW-UKN</v>
      </c>
    </row>
    <row r="1130" spans="1:48" s="10" customFormat="1" x14ac:dyDescent="0.55000000000000004">
      <c r="A1130" s="32">
        <v>44945</v>
      </c>
      <c r="B1130" s="33">
        <v>0.56736111111111109</v>
      </c>
      <c r="C1130" s="10" t="s">
        <v>333</v>
      </c>
      <c r="D1130" s="10">
        <v>0</v>
      </c>
      <c r="E1130" s="10" t="s">
        <v>190</v>
      </c>
      <c r="F1130" s="10">
        <v>1</v>
      </c>
      <c r="G1130" s="10" t="s">
        <v>231</v>
      </c>
      <c r="H1130" s="10" t="s">
        <v>322</v>
      </c>
      <c r="I1130" s="10" t="s">
        <v>235</v>
      </c>
      <c r="J1130" s="10">
        <v>12</v>
      </c>
      <c r="K1130" s="12">
        <v>44950</v>
      </c>
      <c r="L1130" s="33">
        <v>0.6106597222222222</v>
      </c>
      <c r="M1130" s="10">
        <v>1</v>
      </c>
      <c r="N1130" s="10" t="s">
        <v>196</v>
      </c>
      <c r="O1130" s="10">
        <v>5.85</v>
      </c>
      <c r="P1130" s="10">
        <v>0.35499999999999998</v>
      </c>
      <c r="Q1130" s="10">
        <v>1100</v>
      </c>
      <c r="R1130" s="10" t="s">
        <v>170</v>
      </c>
      <c r="S1130" s="34">
        <f t="shared" si="123"/>
        <v>1125.304212</v>
      </c>
      <c r="T1130" s="10" t="s">
        <v>1068</v>
      </c>
      <c r="U1130" s="34" t="str">
        <f t="shared" si="124"/>
        <v/>
      </c>
      <c r="V1130" s="31" t="str">
        <f>IF(H1130="CHK",VLOOKUP(I1130,QCCHK,3,),IF(H1130="GUP",VLOOKUP(E1130,QCGUP,2,),IF(AND(H1130="ATP",OR(I1130="TN",I1130="TDN",I1130="TNO2-3",I1130="NO2-3")),VLOOKUP(E1130,QCREC_N,2,),IF(AND(H1130="NIC",OR(I1130="TN",I1130="TDN",I1130="TNO2-3",I1130="NO2-3")),VLOOKUP(E1130,QCNIC_N,2,),IF(AND(H1130="UREA",OR(I1130="TN",I1130="TDN",I1130="TNO2-3",I1130="NO2-3")),VLOOKUP(E1130,QCUREA_N,2,),IF(H1130="PER",VLOOKUP(I1130,QCPER,MATCH(E1130,QCACTUAL!$J$25:$AA$25,0),),IF(H1130="SPK",VLOOKUP(I1130,QCSPK,3,),IF(AND(H1130="ATP",OR(I1130="TP",I1130="TDP")),VLOOKUP(E1130,QCATP_P,2,),""))))))))</f>
        <v/>
      </c>
      <c r="W1130" s="31" t="str">
        <f t="shared" si="125"/>
        <v>TRUE</v>
      </c>
      <c r="X1130" s="31" t="str">
        <f t="shared" si="126"/>
        <v/>
      </c>
      <c r="Y1130" s="10" t="s">
        <v>1061</v>
      </c>
      <c r="Z1130" s="10" t="s">
        <v>910</v>
      </c>
      <c r="AF1130" s="12">
        <v>44950</v>
      </c>
      <c r="AJ1130" s="10">
        <f>-1.2768*5.85^2+222.07*5.85-130.11</f>
        <v>1125.304212</v>
      </c>
      <c r="AK1130" s="10">
        <f>0.4667*5.85^2+198.27*5.85-98.12</f>
        <v>1077.7311407500001</v>
      </c>
      <c r="AL1130" s="10" t="str">
        <f t="shared" si="128"/>
        <v>FALSE</v>
      </c>
      <c r="AM1130" s="10" t="str">
        <f t="shared" si="128"/>
        <v>FALSE</v>
      </c>
      <c r="AN1130" s="10" t="str">
        <f t="shared" si="128"/>
        <v>FALSE</v>
      </c>
      <c r="AO1130" s="10" t="str">
        <f t="shared" si="129"/>
        <v>y=-1.2768*5.85^2+222.07*5.85-130.11</v>
      </c>
      <c r="AP1130" s="10" t="str">
        <f t="shared" si="129"/>
        <v>y=0.4667*5.85^2+198.27*5.85-98.12</v>
      </c>
      <c r="AQ1130" s="10" t="b">
        <f>IF(AND(I1130="TP",S1130&lt;=150),VLOOKUP(AF1130,TPCalibEq150!$AZ$2:$BB$55,3,),IF(AND(I1130="TDP",S1130&lt;=150),VLOOKUP(AF1130,TPCalibEq150!$AZ$2:$BB$55,3,)))</f>
        <v>0</v>
      </c>
      <c r="AR1130" s="10" t="b">
        <f>IF(AND(I1130="TP",S1130&lt;=300),VLOOKUP(AF1130,TPCalibEq300!$AZ$2:$BB$55,3,),IF(AND(I1130="TDP",S1130&lt;=300),VLOOKUP(AF1130,TPCalibEq300!$AZ$2:$BB$55,3,)))</f>
        <v>0</v>
      </c>
      <c r="AS1130" s="10" t="b">
        <f>IF(AND(I1130="TP",S1130&lt;=500),VLOOKUP(AF1130,TPCalibEq500!$AZ$2:$BB$56,3,),IF(AND(I1130="TDP",S1130&lt;=500),VLOOKUP(AF1130,TPCalibEq500!$AZ$2:$BB$56,3,)))</f>
        <v>0</v>
      </c>
      <c r="AT1130" s="10" t="str">
        <f>IF(AND(I1130="TN",S1130&lt;=2800),VLOOKUP(AF1130,TNCalibEq2500!$AZ$2:$BB$56,3,),IF(AND(I1130="TDN",S1130&lt;=2800),VLOOKUP(AF1130,TNCalibEq2500!$AZ$2:$BB$56,3,)))</f>
        <v>y=-1.2768x2+222.07x-130.11</v>
      </c>
      <c r="AU1130" s="10" t="str">
        <f>IF(I1130="TP",VLOOKUP(AF1130,TPCalibEqFull!$AZ$2:$BB$56,3),IF(I1130="TDP",VLOOKUP(AF1130,TPCalibEqFull!$AZ$2:$BB$56,3),IF(I1130="TDN",VLOOKUP(AF1130,TNCalibEqFull!$AZ$1:$BB$56,3),IF(I1130="TN",VLOOKUP(AF1130,TNCalibEqFull!$AZ$1:$BB$56,3),FALSE))))</f>
        <v>y=0.4667x2+198.27x-98.12</v>
      </c>
      <c r="AV1130" s="10" t="str">
        <f t="shared" si="127"/>
        <v>0119 13:37:00-HST-0-C-1-SW-UKN</v>
      </c>
    </row>
    <row r="1131" spans="1:48" s="10" customFormat="1" x14ac:dyDescent="0.55000000000000004">
      <c r="A1131" s="32">
        <v>44946</v>
      </c>
      <c r="B1131" s="33">
        <v>0.37013888888888885</v>
      </c>
      <c r="C1131" s="10" t="s">
        <v>279</v>
      </c>
      <c r="D1131" s="10">
        <v>0</v>
      </c>
      <c r="E1131" s="10" t="s">
        <v>190</v>
      </c>
      <c r="F1131" s="10">
        <v>1</v>
      </c>
      <c r="G1131" s="10" t="s">
        <v>231</v>
      </c>
      <c r="H1131" s="10" t="s">
        <v>322</v>
      </c>
      <c r="I1131" s="10" t="s">
        <v>235</v>
      </c>
      <c r="J1131" s="10">
        <v>13</v>
      </c>
      <c r="K1131" s="12">
        <v>44950</v>
      </c>
      <c r="L1131" s="33">
        <v>0.61131944444444442</v>
      </c>
      <c r="M1131" s="10">
        <v>1</v>
      </c>
      <c r="N1131" s="10" t="s">
        <v>196</v>
      </c>
      <c r="O1131" s="10">
        <v>6.4</v>
      </c>
      <c r="P1131" s="10">
        <v>0.38700000000000001</v>
      </c>
      <c r="Q1131" s="10">
        <v>1220</v>
      </c>
      <c r="R1131" s="10" t="s">
        <v>170</v>
      </c>
      <c r="S1131" s="34">
        <f t="shared" si="123"/>
        <v>1238.8402719999999</v>
      </c>
      <c r="T1131" s="10" t="s">
        <v>1068</v>
      </c>
      <c r="U1131" s="34" t="str">
        <f t="shared" si="124"/>
        <v/>
      </c>
      <c r="V1131" s="31" t="str">
        <f>IF(H1131="CHK",VLOOKUP(I1131,QCCHK,3,),IF(H1131="GUP",VLOOKUP(E1131,QCGUP,2,),IF(AND(H1131="ATP",OR(I1131="TN",I1131="TDN",I1131="TNO2-3",I1131="NO2-3")),VLOOKUP(E1131,QCREC_N,2,),IF(AND(H1131="NIC",OR(I1131="TN",I1131="TDN",I1131="TNO2-3",I1131="NO2-3")),VLOOKUP(E1131,QCNIC_N,2,),IF(AND(H1131="UREA",OR(I1131="TN",I1131="TDN",I1131="TNO2-3",I1131="NO2-3")),VLOOKUP(E1131,QCUREA_N,2,),IF(H1131="PER",VLOOKUP(I1131,QCPER,MATCH(E1131,QCACTUAL!$J$25:$AA$25,0),),IF(H1131="SPK",VLOOKUP(I1131,QCSPK,3,),IF(AND(H1131="ATP",OR(I1131="TP",I1131="TDP")),VLOOKUP(E1131,QCATP_P,2,),""))))))))</f>
        <v/>
      </c>
      <c r="W1131" s="31" t="str">
        <f t="shared" si="125"/>
        <v>TRUE</v>
      </c>
      <c r="X1131" s="31" t="str">
        <f t="shared" si="126"/>
        <v/>
      </c>
      <c r="Y1131" s="10" t="s">
        <v>1061</v>
      </c>
      <c r="Z1131" s="10" t="s">
        <v>910</v>
      </c>
      <c r="AF1131" s="12">
        <v>44950</v>
      </c>
      <c r="AJ1131" s="10">
        <f>-1.2768*6.4^2+222.07*6.4-130.11</f>
        <v>1238.8402719999999</v>
      </c>
      <c r="AK1131" s="10">
        <f>0.4667*6.4^2+198.27*6.4-98.12</f>
        <v>1189.9240319999999</v>
      </c>
      <c r="AL1131" s="10" t="str">
        <f t="shared" si="128"/>
        <v>FALSE</v>
      </c>
      <c r="AM1131" s="10" t="str">
        <f t="shared" si="128"/>
        <v>FALSE</v>
      </c>
      <c r="AN1131" s="10" t="str">
        <f t="shared" si="128"/>
        <v>FALSE</v>
      </c>
      <c r="AO1131" s="10" t="str">
        <f t="shared" si="129"/>
        <v>y=-1.2768*6.4^2+222.07*6.4-130.11</v>
      </c>
      <c r="AP1131" s="10" t="str">
        <f t="shared" si="129"/>
        <v>y=0.4667*6.4^2+198.27*6.4-98.12</v>
      </c>
      <c r="AQ1131" s="10" t="b">
        <f>IF(AND(I1131="TP",S1131&lt;=150),VLOOKUP(AF1131,TPCalibEq150!$AZ$2:$BB$55,3,),IF(AND(I1131="TDP",S1131&lt;=150),VLOOKUP(AF1131,TPCalibEq150!$AZ$2:$BB$55,3,)))</f>
        <v>0</v>
      </c>
      <c r="AR1131" s="10" t="b">
        <f>IF(AND(I1131="TP",S1131&lt;=300),VLOOKUP(AF1131,TPCalibEq300!$AZ$2:$BB$55,3,),IF(AND(I1131="TDP",S1131&lt;=300),VLOOKUP(AF1131,TPCalibEq300!$AZ$2:$BB$55,3,)))</f>
        <v>0</v>
      </c>
      <c r="AS1131" s="10" t="b">
        <f>IF(AND(I1131="TP",S1131&lt;=500),VLOOKUP(AF1131,TPCalibEq500!$AZ$2:$BB$56,3,),IF(AND(I1131="TDP",S1131&lt;=500),VLOOKUP(AF1131,TPCalibEq500!$AZ$2:$BB$56,3,)))</f>
        <v>0</v>
      </c>
      <c r="AT1131" s="10" t="str">
        <f>IF(AND(I1131="TN",S1131&lt;=2800),VLOOKUP(AF1131,TNCalibEq2500!$AZ$2:$BB$56,3,),IF(AND(I1131="TDN",S1131&lt;=2800),VLOOKUP(AF1131,TNCalibEq2500!$AZ$2:$BB$56,3,)))</f>
        <v>y=-1.2768x2+222.07x-130.11</v>
      </c>
      <c r="AU1131" s="10" t="str">
        <f>IF(I1131="TP",VLOOKUP(AF1131,TPCalibEqFull!$AZ$2:$BB$56,3),IF(I1131="TDP",VLOOKUP(AF1131,TPCalibEqFull!$AZ$2:$BB$56,3),IF(I1131="TDN",VLOOKUP(AF1131,TNCalibEqFull!$AZ$1:$BB$56,3),IF(I1131="TN",VLOOKUP(AF1131,TNCalibEqFull!$AZ$1:$BB$56,3),FALSE))))</f>
        <v>y=0.4667x2+198.27x-98.12</v>
      </c>
      <c r="AV1131" s="10" t="str">
        <f t="shared" si="127"/>
        <v>0120 08:53:00-EFK-0-C-1-SW-UKN</v>
      </c>
    </row>
    <row r="1132" spans="1:48" s="10" customFormat="1" x14ac:dyDescent="0.55000000000000004">
      <c r="A1132" s="32">
        <v>44946</v>
      </c>
      <c r="B1132" s="33">
        <v>0.37291666666666662</v>
      </c>
      <c r="C1132" s="10" t="s">
        <v>333</v>
      </c>
      <c r="D1132" s="10">
        <v>0</v>
      </c>
      <c r="E1132" s="10" t="s">
        <v>190</v>
      </c>
      <c r="F1132" s="10">
        <v>1</v>
      </c>
      <c r="G1132" s="10" t="s">
        <v>231</v>
      </c>
      <c r="H1132" s="10" t="s">
        <v>322</v>
      </c>
      <c r="I1132" s="10" t="s">
        <v>235</v>
      </c>
      <c r="J1132" s="10">
        <v>14</v>
      </c>
      <c r="K1132" s="12">
        <v>44950</v>
      </c>
      <c r="L1132" s="33">
        <v>0.61196759259259259</v>
      </c>
      <c r="M1132" s="10">
        <v>1</v>
      </c>
      <c r="N1132" s="10" t="s">
        <v>196</v>
      </c>
      <c r="O1132" s="10">
        <v>5.64</v>
      </c>
      <c r="P1132" s="10">
        <v>0.34100000000000003</v>
      </c>
      <c r="Q1132" s="10">
        <v>1060</v>
      </c>
      <c r="R1132" s="10" t="s">
        <v>170</v>
      </c>
      <c r="S1132" s="34">
        <f t="shared" si="123"/>
        <v>1081.75030272</v>
      </c>
      <c r="T1132" s="10" t="s">
        <v>1068</v>
      </c>
      <c r="U1132" s="34" t="str">
        <f t="shared" si="124"/>
        <v/>
      </c>
      <c r="V1132" s="31" t="str">
        <f>IF(H1132="CHK",VLOOKUP(I1132,QCCHK,3,),IF(H1132="GUP",VLOOKUP(E1132,QCGUP,2,),IF(AND(H1132="ATP",OR(I1132="TN",I1132="TDN",I1132="TNO2-3",I1132="NO2-3")),VLOOKUP(E1132,QCREC_N,2,),IF(AND(H1132="NIC",OR(I1132="TN",I1132="TDN",I1132="TNO2-3",I1132="NO2-3")),VLOOKUP(E1132,QCNIC_N,2,),IF(AND(H1132="UREA",OR(I1132="TN",I1132="TDN",I1132="TNO2-3",I1132="NO2-3")),VLOOKUP(E1132,QCUREA_N,2,),IF(H1132="PER",VLOOKUP(I1132,QCPER,MATCH(E1132,QCACTUAL!$J$25:$AA$25,0),),IF(H1132="SPK",VLOOKUP(I1132,QCSPK,3,),IF(AND(H1132="ATP",OR(I1132="TP",I1132="TDP")),VLOOKUP(E1132,QCATP_P,2,),""))))))))</f>
        <v/>
      </c>
      <c r="W1132" s="31" t="str">
        <f t="shared" si="125"/>
        <v>TRUE</v>
      </c>
      <c r="X1132" s="31" t="str">
        <f t="shared" si="126"/>
        <v/>
      </c>
      <c r="Y1132" s="10" t="s">
        <v>1061</v>
      </c>
      <c r="Z1132" s="10" t="s">
        <v>910</v>
      </c>
      <c r="AF1132" s="12">
        <v>44950</v>
      </c>
      <c r="AJ1132" s="10">
        <f>-1.2768*5.64^2+222.07*5.64-130.11</f>
        <v>1081.75030272</v>
      </c>
      <c r="AK1132" s="10">
        <f>0.4667*5.64^2+198.27*5.64-98.12</f>
        <v>1034.9683403200002</v>
      </c>
      <c r="AL1132" s="10" t="str">
        <f t="shared" si="128"/>
        <v>FALSE</v>
      </c>
      <c r="AM1132" s="10" t="str">
        <f t="shared" si="128"/>
        <v>FALSE</v>
      </c>
      <c r="AN1132" s="10" t="str">
        <f t="shared" si="128"/>
        <v>FALSE</v>
      </c>
      <c r="AO1132" s="10" t="str">
        <f t="shared" si="129"/>
        <v>y=-1.2768*5.64^2+222.07*5.64-130.11</v>
      </c>
      <c r="AP1132" s="10" t="str">
        <f t="shared" si="129"/>
        <v>y=0.4667*5.64^2+198.27*5.64-98.12</v>
      </c>
      <c r="AQ1132" s="10" t="b">
        <f>IF(AND(I1132="TP",S1132&lt;=150),VLOOKUP(AF1132,TPCalibEq150!$AZ$2:$BB$55,3,),IF(AND(I1132="TDP",S1132&lt;=150),VLOOKUP(AF1132,TPCalibEq150!$AZ$2:$BB$55,3,)))</f>
        <v>0</v>
      </c>
      <c r="AR1132" s="10" t="b">
        <f>IF(AND(I1132="TP",S1132&lt;=300),VLOOKUP(AF1132,TPCalibEq300!$AZ$2:$BB$55,3,),IF(AND(I1132="TDP",S1132&lt;=300),VLOOKUP(AF1132,TPCalibEq300!$AZ$2:$BB$55,3,)))</f>
        <v>0</v>
      </c>
      <c r="AS1132" s="10" t="b">
        <f>IF(AND(I1132="TP",S1132&lt;=500),VLOOKUP(AF1132,TPCalibEq500!$AZ$2:$BB$56,3,),IF(AND(I1132="TDP",S1132&lt;=500),VLOOKUP(AF1132,TPCalibEq500!$AZ$2:$BB$56,3,)))</f>
        <v>0</v>
      </c>
      <c r="AT1132" s="10" t="str">
        <f>IF(AND(I1132="TN",S1132&lt;=2800),VLOOKUP(AF1132,TNCalibEq2500!$AZ$2:$BB$56,3,),IF(AND(I1132="TDN",S1132&lt;=2800),VLOOKUP(AF1132,TNCalibEq2500!$AZ$2:$BB$56,3,)))</f>
        <v>y=-1.2768x2+222.07x-130.11</v>
      </c>
      <c r="AU1132" s="10" t="str">
        <f>IF(I1132="TP",VLOOKUP(AF1132,TPCalibEqFull!$AZ$2:$BB$56,3),IF(I1132="TDP",VLOOKUP(AF1132,TPCalibEqFull!$AZ$2:$BB$56,3),IF(I1132="TDN",VLOOKUP(AF1132,TNCalibEqFull!$AZ$1:$BB$56,3),IF(I1132="TN",VLOOKUP(AF1132,TNCalibEqFull!$AZ$1:$BB$56,3),FALSE))))</f>
        <v>y=0.4667x2+198.27x-98.12</v>
      </c>
      <c r="AV1132" s="10" t="str">
        <f t="shared" si="127"/>
        <v>0120 08:57:00-HST-0-C-1-SW-UKN</v>
      </c>
    </row>
    <row r="1133" spans="1:48" s="10" customFormat="1" x14ac:dyDescent="0.55000000000000004">
      <c r="A1133" s="32">
        <v>44943</v>
      </c>
      <c r="B1133" s="33">
        <v>0.36736111111111108</v>
      </c>
      <c r="C1133" s="10" t="s">
        <v>998</v>
      </c>
      <c r="D1133" s="10">
        <v>0</v>
      </c>
      <c r="E1133" s="10" t="s">
        <v>190</v>
      </c>
      <c r="F1133" s="10">
        <v>1</v>
      </c>
      <c r="G1133" s="10" t="s">
        <v>231</v>
      </c>
      <c r="H1133" s="10" t="s">
        <v>322</v>
      </c>
      <c r="I1133" s="10" t="s">
        <v>235</v>
      </c>
      <c r="J1133" s="10">
        <v>15</v>
      </c>
      <c r="K1133" s="12">
        <v>44950</v>
      </c>
      <c r="L1133" s="33">
        <v>0.61262731481481481</v>
      </c>
      <c r="M1133" s="10">
        <v>1</v>
      </c>
      <c r="N1133" s="10" t="s">
        <v>196</v>
      </c>
      <c r="O1133" s="10">
        <v>6.72</v>
      </c>
      <c r="P1133" s="10">
        <v>0.40600000000000003</v>
      </c>
      <c r="Q1133" s="10">
        <v>1280</v>
      </c>
      <c r="R1133" s="10" t="s">
        <v>170</v>
      </c>
      <c r="S1133" s="34">
        <f t="shared" si="123"/>
        <v>1304.54215488</v>
      </c>
      <c r="T1133" s="10" t="s">
        <v>1068</v>
      </c>
      <c r="U1133" s="34" t="str">
        <f t="shared" si="124"/>
        <v/>
      </c>
      <c r="V1133" s="31" t="str">
        <f>IF(H1133="CHK",VLOOKUP(I1133,QCCHK,3,),IF(H1133="GUP",VLOOKUP(E1133,QCGUP,2,),IF(AND(H1133="ATP",OR(I1133="TN",I1133="TDN",I1133="TNO2-3",I1133="NO2-3")),VLOOKUP(E1133,QCREC_N,2,),IF(AND(H1133="NIC",OR(I1133="TN",I1133="TDN",I1133="TNO2-3",I1133="NO2-3")),VLOOKUP(E1133,QCNIC_N,2,),IF(AND(H1133="UREA",OR(I1133="TN",I1133="TDN",I1133="TNO2-3",I1133="NO2-3")),VLOOKUP(E1133,QCUREA_N,2,),IF(H1133="PER",VLOOKUP(I1133,QCPER,MATCH(E1133,QCACTUAL!$J$25:$AA$25,0),),IF(H1133="SPK",VLOOKUP(I1133,QCSPK,3,),IF(AND(H1133="ATP",OR(I1133="TP",I1133="TDP")),VLOOKUP(E1133,QCATP_P,2,),""))))))))</f>
        <v/>
      </c>
      <c r="W1133" s="31" t="str">
        <f t="shared" si="125"/>
        <v>TRUE</v>
      </c>
      <c r="X1133" s="31" t="str">
        <f t="shared" si="126"/>
        <v/>
      </c>
      <c r="Y1133" s="10" t="s">
        <v>1061</v>
      </c>
      <c r="Z1133" s="10" t="s">
        <v>910</v>
      </c>
      <c r="AF1133" s="12">
        <v>44950</v>
      </c>
      <c r="AJ1133" s="10">
        <f>-1.2768*6.72^2+222.07*6.72-130.11</f>
        <v>1304.54215488</v>
      </c>
      <c r="AK1133" s="10">
        <f>0.4667*6.72^2+198.27*6.72-98.12</f>
        <v>1255.32982528</v>
      </c>
      <c r="AL1133" s="10" t="str">
        <f t="shared" si="128"/>
        <v>FALSE</v>
      </c>
      <c r="AM1133" s="10" t="str">
        <f t="shared" si="128"/>
        <v>FALSE</v>
      </c>
      <c r="AN1133" s="10" t="str">
        <f t="shared" si="128"/>
        <v>FALSE</v>
      </c>
      <c r="AO1133" s="10" t="str">
        <f t="shared" si="129"/>
        <v>y=-1.2768*6.72^2+222.07*6.72-130.11</v>
      </c>
      <c r="AP1133" s="10" t="str">
        <f t="shared" si="129"/>
        <v>y=0.4667*6.72^2+198.27*6.72-98.12</v>
      </c>
      <c r="AQ1133" s="10" t="b">
        <f>IF(AND(I1133="TP",S1133&lt;=150),VLOOKUP(AF1133,TPCalibEq150!$AZ$2:$BB$55,3,),IF(AND(I1133="TDP",S1133&lt;=150),VLOOKUP(AF1133,TPCalibEq150!$AZ$2:$BB$55,3,)))</f>
        <v>0</v>
      </c>
      <c r="AR1133" s="10" t="b">
        <f>IF(AND(I1133="TP",S1133&lt;=300),VLOOKUP(AF1133,TPCalibEq300!$AZ$2:$BB$55,3,),IF(AND(I1133="TDP",S1133&lt;=300),VLOOKUP(AF1133,TPCalibEq300!$AZ$2:$BB$55,3,)))</f>
        <v>0</v>
      </c>
      <c r="AS1133" s="10" t="b">
        <f>IF(AND(I1133="TP",S1133&lt;=500),VLOOKUP(AF1133,TPCalibEq500!$AZ$2:$BB$56,3,),IF(AND(I1133="TDP",S1133&lt;=500),VLOOKUP(AF1133,TPCalibEq500!$AZ$2:$BB$56,3,)))</f>
        <v>0</v>
      </c>
      <c r="AT1133" s="10" t="str">
        <f>IF(AND(I1133="TN",S1133&lt;=2800),VLOOKUP(AF1133,TNCalibEq2500!$AZ$2:$BB$56,3,),IF(AND(I1133="TDN",S1133&lt;=2800),VLOOKUP(AF1133,TNCalibEq2500!$AZ$2:$BB$56,3,)))</f>
        <v>y=-1.2768x2+222.07x-130.11</v>
      </c>
      <c r="AU1133" s="10" t="str">
        <f>IF(I1133="TP",VLOOKUP(AF1133,TPCalibEqFull!$AZ$2:$BB$56,3),IF(I1133="TDP",VLOOKUP(AF1133,TPCalibEqFull!$AZ$2:$BB$56,3),IF(I1133="TDN",VLOOKUP(AF1133,TNCalibEqFull!$AZ$1:$BB$56,3),IF(I1133="TN",VLOOKUP(AF1133,TNCalibEqFull!$AZ$1:$BB$56,3),FALSE))))</f>
        <v>y=0.4667x2+198.27x-98.12</v>
      </c>
      <c r="AV1133" s="10" t="str">
        <f t="shared" si="127"/>
        <v>0117 08:49:00-ELW-0-C-1-SW-UKN</v>
      </c>
    </row>
    <row r="1134" spans="1:48" s="10" customFormat="1" x14ac:dyDescent="0.55000000000000004">
      <c r="A1134" s="32">
        <v>44943</v>
      </c>
      <c r="B1134" s="33">
        <v>0.37708333333333338</v>
      </c>
      <c r="C1134" s="10" t="s">
        <v>260</v>
      </c>
      <c r="D1134" s="10">
        <v>0</v>
      </c>
      <c r="E1134" s="10" t="s">
        <v>190</v>
      </c>
      <c r="F1134" s="10">
        <v>1</v>
      </c>
      <c r="G1134" s="10" t="s">
        <v>231</v>
      </c>
      <c r="H1134" s="10" t="s">
        <v>322</v>
      </c>
      <c r="I1134" s="10" t="s">
        <v>235</v>
      </c>
      <c r="J1134" s="10">
        <v>16</v>
      </c>
      <c r="K1134" s="12">
        <v>44950</v>
      </c>
      <c r="L1134" s="33">
        <v>0.61334490740740744</v>
      </c>
      <c r="M1134" s="10">
        <v>1</v>
      </c>
      <c r="N1134" s="10" t="s">
        <v>196</v>
      </c>
      <c r="O1134" s="10">
        <v>6.65</v>
      </c>
      <c r="P1134" s="10">
        <v>0.40100000000000002</v>
      </c>
      <c r="Q1134" s="10">
        <v>1270</v>
      </c>
      <c r="R1134" s="10" t="s">
        <v>170</v>
      </c>
      <c r="S1134" s="34">
        <f t="shared" si="123"/>
        <v>1290.1922119999999</v>
      </c>
      <c r="T1134" s="10" t="s">
        <v>1068</v>
      </c>
      <c r="U1134" s="34" t="str">
        <f t="shared" si="124"/>
        <v/>
      </c>
      <c r="V1134" s="31" t="str">
        <f>IF(H1134="CHK",VLOOKUP(I1134,QCCHK,3,),IF(H1134="GUP",VLOOKUP(E1134,QCGUP,2,),IF(AND(H1134="ATP",OR(I1134="TN",I1134="TDN",I1134="TNO2-3",I1134="NO2-3")),VLOOKUP(E1134,QCREC_N,2,),IF(AND(H1134="NIC",OR(I1134="TN",I1134="TDN",I1134="TNO2-3",I1134="NO2-3")),VLOOKUP(E1134,QCNIC_N,2,),IF(AND(H1134="UREA",OR(I1134="TN",I1134="TDN",I1134="TNO2-3",I1134="NO2-3")),VLOOKUP(E1134,QCUREA_N,2,),IF(H1134="PER",VLOOKUP(I1134,QCPER,MATCH(E1134,QCACTUAL!$J$25:$AA$25,0),),IF(H1134="SPK",VLOOKUP(I1134,QCSPK,3,),IF(AND(H1134="ATP",OR(I1134="TP",I1134="TDP")),VLOOKUP(E1134,QCATP_P,2,),""))))))))</f>
        <v/>
      </c>
      <c r="W1134" s="31" t="str">
        <f t="shared" si="125"/>
        <v>TRUE</v>
      </c>
      <c r="X1134" s="31" t="str">
        <f t="shared" si="126"/>
        <v/>
      </c>
      <c r="Y1134" s="10" t="s">
        <v>1061</v>
      </c>
      <c r="Z1134" s="10" t="s">
        <v>910</v>
      </c>
      <c r="AF1134" s="12">
        <v>44950</v>
      </c>
      <c r="AJ1134" s="10">
        <f>-1.2768*6.65^2+222.07*6.65-130.11</f>
        <v>1290.1922119999999</v>
      </c>
      <c r="AK1134" s="10">
        <f>0.4667*6.65^2+198.27*6.65-98.12</f>
        <v>1241.01414075</v>
      </c>
      <c r="AL1134" s="10" t="str">
        <f t="shared" si="128"/>
        <v>FALSE</v>
      </c>
      <c r="AM1134" s="10" t="str">
        <f t="shared" si="128"/>
        <v>FALSE</v>
      </c>
      <c r="AN1134" s="10" t="str">
        <f t="shared" si="128"/>
        <v>FALSE</v>
      </c>
      <c r="AO1134" s="10" t="str">
        <f t="shared" si="129"/>
        <v>y=-1.2768*6.65^2+222.07*6.65-130.11</v>
      </c>
      <c r="AP1134" s="10" t="str">
        <f t="shared" si="129"/>
        <v>y=0.4667*6.65^2+198.27*6.65-98.12</v>
      </c>
      <c r="AQ1134" s="10" t="b">
        <f>IF(AND(I1134="TP",S1134&lt;=150),VLOOKUP(AF1134,TPCalibEq150!$AZ$2:$BB$55,3,),IF(AND(I1134="TDP",S1134&lt;=150),VLOOKUP(AF1134,TPCalibEq150!$AZ$2:$BB$55,3,)))</f>
        <v>0</v>
      </c>
      <c r="AR1134" s="10" t="b">
        <f>IF(AND(I1134="TP",S1134&lt;=300),VLOOKUP(AF1134,TPCalibEq300!$AZ$2:$BB$55,3,),IF(AND(I1134="TDP",S1134&lt;=300),VLOOKUP(AF1134,TPCalibEq300!$AZ$2:$BB$55,3,)))</f>
        <v>0</v>
      </c>
      <c r="AS1134" s="10" t="b">
        <f>IF(AND(I1134="TP",S1134&lt;=500),VLOOKUP(AF1134,TPCalibEq500!$AZ$2:$BB$56,3,),IF(AND(I1134="TDP",S1134&lt;=500),VLOOKUP(AF1134,TPCalibEq500!$AZ$2:$BB$56,3,)))</f>
        <v>0</v>
      </c>
      <c r="AT1134" s="10" t="str">
        <f>IF(AND(I1134="TN",S1134&lt;=2800),VLOOKUP(AF1134,TNCalibEq2500!$AZ$2:$BB$56,3,),IF(AND(I1134="TDN",S1134&lt;=2800),VLOOKUP(AF1134,TNCalibEq2500!$AZ$2:$BB$56,3,)))</f>
        <v>y=-1.2768x2+222.07x-130.11</v>
      </c>
      <c r="AU1134" s="10" t="str">
        <f>IF(I1134="TP",VLOOKUP(AF1134,TPCalibEqFull!$AZ$2:$BB$56,3),IF(I1134="TDP",VLOOKUP(AF1134,TPCalibEqFull!$AZ$2:$BB$56,3),IF(I1134="TDN",VLOOKUP(AF1134,TNCalibEqFull!$AZ$1:$BB$56,3),IF(I1134="TN",VLOOKUP(AF1134,TNCalibEqFull!$AZ$1:$BB$56,3),FALSE))))</f>
        <v>y=0.4667x2+198.27x-98.12</v>
      </c>
      <c r="AV1134" s="10" t="str">
        <f t="shared" si="127"/>
        <v>0117 09:03:00-EFC-0-C-1-SW-UKN</v>
      </c>
    </row>
    <row r="1135" spans="1:48" s="10" customFormat="1" x14ac:dyDescent="0.55000000000000004">
      <c r="A1135" s="32">
        <v>44943</v>
      </c>
      <c r="B1135" s="33">
        <v>0.39097222222222222</v>
      </c>
      <c r="C1135" s="10" t="s">
        <v>543</v>
      </c>
      <c r="D1135" s="10">
        <v>0</v>
      </c>
      <c r="E1135" s="10" t="s">
        <v>190</v>
      </c>
      <c r="F1135" s="10">
        <v>1</v>
      </c>
      <c r="G1135" s="10" t="s">
        <v>231</v>
      </c>
      <c r="H1135" s="10" t="s">
        <v>322</v>
      </c>
      <c r="I1135" s="10" t="s">
        <v>235</v>
      </c>
      <c r="J1135" s="10">
        <v>17</v>
      </c>
      <c r="K1135" s="12">
        <v>44950</v>
      </c>
      <c r="L1135" s="33">
        <v>0.61396990740740742</v>
      </c>
      <c r="M1135" s="10">
        <v>1</v>
      </c>
      <c r="N1135" s="10" t="s">
        <v>196</v>
      </c>
      <c r="O1135" s="10">
        <v>3.55</v>
      </c>
      <c r="P1135" s="10">
        <v>0.215</v>
      </c>
      <c r="Q1135" s="10">
        <v>619</v>
      </c>
      <c r="R1135" s="10" t="s">
        <v>170</v>
      </c>
      <c r="S1135" s="34">
        <f t="shared" si="123"/>
        <v>642.14762799999994</v>
      </c>
      <c r="T1135" s="10" t="s">
        <v>1068</v>
      </c>
      <c r="U1135" s="34" t="str">
        <f t="shared" si="124"/>
        <v/>
      </c>
      <c r="V1135" s="31" t="str">
        <f>IF(H1135="CHK",VLOOKUP(I1135,QCCHK,3,),IF(H1135="GUP",VLOOKUP(E1135,QCGUP,2,),IF(AND(H1135="ATP",OR(I1135="TN",I1135="TDN",I1135="TNO2-3",I1135="NO2-3")),VLOOKUP(E1135,QCREC_N,2,),IF(AND(H1135="NIC",OR(I1135="TN",I1135="TDN",I1135="TNO2-3",I1135="NO2-3")),VLOOKUP(E1135,QCNIC_N,2,),IF(AND(H1135="UREA",OR(I1135="TN",I1135="TDN",I1135="TNO2-3",I1135="NO2-3")),VLOOKUP(E1135,QCUREA_N,2,),IF(H1135="PER",VLOOKUP(I1135,QCPER,MATCH(E1135,QCACTUAL!$J$25:$AA$25,0),),IF(H1135="SPK",VLOOKUP(I1135,QCSPK,3,),IF(AND(H1135="ATP",OR(I1135="TP",I1135="TDP")),VLOOKUP(E1135,QCATP_P,2,),""))))))))</f>
        <v/>
      </c>
      <c r="W1135" s="31" t="str">
        <f t="shared" si="125"/>
        <v>TRUE</v>
      </c>
      <c r="X1135" s="31" t="str">
        <f t="shared" si="126"/>
        <v/>
      </c>
      <c r="Y1135" s="10" t="s">
        <v>1061</v>
      </c>
      <c r="Z1135" s="10" t="s">
        <v>910</v>
      </c>
      <c r="AF1135" s="12">
        <v>44950</v>
      </c>
      <c r="AJ1135" s="10">
        <f>-1.2768*3.55^2+222.07*3.55-130.11</f>
        <v>642.14762799999994</v>
      </c>
      <c r="AK1135" s="10">
        <f>0.4667*3.55^2+198.27*3.55-98.12</f>
        <v>611.62008675000004</v>
      </c>
      <c r="AL1135" s="10" t="str">
        <f t="shared" si="128"/>
        <v>FALSE</v>
      </c>
      <c r="AM1135" s="10" t="str">
        <f t="shared" si="128"/>
        <v>FALSE</v>
      </c>
      <c r="AN1135" s="10" t="str">
        <f t="shared" si="128"/>
        <v>FALSE</v>
      </c>
      <c r="AO1135" s="10" t="str">
        <f t="shared" si="129"/>
        <v>y=-1.2768*3.55^2+222.07*3.55-130.11</v>
      </c>
      <c r="AP1135" s="10" t="str">
        <f t="shared" si="129"/>
        <v>y=0.4667*3.55^2+198.27*3.55-98.12</v>
      </c>
      <c r="AQ1135" s="10" t="b">
        <f>IF(AND(I1135="TP",S1135&lt;=150),VLOOKUP(AF1135,TPCalibEq150!$AZ$2:$BB$55,3,),IF(AND(I1135="TDP",S1135&lt;=150),VLOOKUP(AF1135,TPCalibEq150!$AZ$2:$BB$55,3,)))</f>
        <v>0</v>
      </c>
      <c r="AR1135" s="10" t="b">
        <f>IF(AND(I1135="TP",S1135&lt;=300),VLOOKUP(AF1135,TPCalibEq300!$AZ$2:$BB$55,3,),IF(AND(I1135="TDP",S1135&lt;=300),VLOOKUP(AF1135,TPCalibEq300!$AZ$2:$BB$55,3,)))</f>
        <v>0</v>
      </c>
      <c r="AS1135" s="10" t="b">
        <f>IF(AND(I1135="TP",S1135&lt;=500),VLOOKUP(AF1135,TPCalibEq500!$AZ$2:$BB$56,3,),IF(AND(I1135="TDP",S1135&lt;=500),VLOOKUP(AF1135,TPCalibEq500!$AZ$2:$BB$56,3,)))</f>
        <v>0</v>
      </c>
      <c r="AT1135" s="10" t="str">
        <f>IF(AND(I1135="TN",S1135&lt;=2800),VLOOKUP(AF1135,TNCalibEq2500!$AZ$2:$BB$56,3,),IF(AND(I1135="TDN",S1135&lt;=2800),VLOOKUP(AF1135,TNCalibEq2500!$AZ$2:$BB$56,3,)))</f>
        <v>y=-1.2768x2+222.07x-130.11</v>
      </c>
      <c r="AU1135" s="10" t="str">
        <f>IF(I1135="TP",VLOOKUP(AF1135,TPCalibEqFull!$AZ$2:$BB$56,3),IF(I1135="TDP",VLOOKUP(AF1135,TPCalibEqFull!$AZ$2:$BB$56,3),IF(I1135="TDN",VLOOKUP(AF1135,TNCalibEqFull!$AZ$1:$BB$56,3),IF(I1135="TN",VLOOKUP(AF1135,TNCalibEqFull!$AZ$1:$BB$56,3),FALSE))))</f>
        <v>y=0.4667x2+198.27x-98.12</v>
      </c>
      <c r="AV1135" s="10" t="str">
        <f t="shared" si="127"/>
        <v>0117 09:23:00-SAR-0-C-1-SW-UKN</v>
      </c>
    </row>
    <row r="1136" spans="1:48" s="10" customFormat="1" x14ac:dyDescent="0.55000000000000004">
      <c r="A1136" s="32">
        <v>44943</v>
      </c>
      <c r="B1136" s="33">
        <v>0.40486111111111112</v>
      </c>
      <c r="C1136" s="10" t="s">
        <v>361</v>
      </c>
      <c r="D1136" s="10">
        <v>0</v>
      </c>
      <c r="E1136" s="10" t="s">
        <v>190</v>
      </c>
      <c r="F1136" s="10">
        <v>1</v>
      </c>
      <c r="G1136" s="10" t="s">
        <v>231</v>
      </c>
      <c r="H1136" s="10" t="s">
        <v>322</v>
      </c>
      <c r="I1136" s="10" t="s">
        <v>235</v>
      </c>
      <c r="J1136" s="10">
        <v>18</v>
      </c>
      <c r="K1136" s="12">
        <v>44950</v>
      </c>
      <c r="L1136" s="33">
        <v>0.61464120370370368</v>
      </c>
      <c r="M1136" s="10">
        <v>1</v>
      </c>
      <c r="N1136" s="10" t="s">
        <v>196</v>
      </c>
      <c r="O1136" s="10">
        <v>3.81</v>
      </c>
      <c r="P1136" s="10">
        <v>0.23100000000000001</v>
      </c>
      <c r="Q1136" s="10">
        <v>675</v>
      </c>
      <c r="R1136" s="10" t="s">
        <v>170</v>
      </c>
      <c r="S1136" s="34">
        <f t="shared" si="123"/>
        <v>697.44254351999996</v>
      </c>
      <c r="T1136" s="10" t="s">
        <v>1068</v>
      </c>
      <c r="U1136" s="34" t="str">
        <f t="shared" si="124"/>
        <v/>
      </c>
      <c r="V1136" s="31" t="str">
        <f>IF(H1136="CHK",VLOOKUP(I1136,QCCHK,3,),IF(H1136="GUP",VLOOKUP(E1136,QCGUP,2,),IF(AND(H1136="ATP",OR(I1136="TN",I1136="TDN",I1136="TNO2-3",I1136="NO2-3")),VLOOKUP(E1136,QCREC_N,2,),IF(AND(H1136="NIC",OR(I1136="TN",I1136="TDN",I1136="TNO2-3",I1136="NO2-3")),VLOOKUP(E1136,QCNIC_N,2,),IF(AND(H1136="UREA",OR(I1136="TN",I1136="TDN",I1136="TNO2-3",I1136="NO2-3")),VLOOKUP(E1136,QCUREA_N,2,),IF(H1136="PER",VLOOKUP(I1136,QCPER,MATCH(E1136,QCACTUAL!$J$25:$AA$25,0),),IF(H1136="SPK",VLOOKUP(I1136,QCSPK,3,),IF(AND(H1136="ATP",OR(I1136="TP",I1136="TDP")),VLOOKUP(E1136,QCATP_P,2,),""))))))))</f>
        <v/>
      </c>
      <c r="W1136" s="31" t="str">
        <f t="shared" si="125"/>
        <v>TRUE</v>
      </c>
      <c r="X1136" s="31" t="str">
        <f t="shared" si="126"/>
        <v/>
      </c>
      <c r="Y1136" s="10" t="s">
        <v>1061</v>
      </c>
      <c r="Z1136" s="10" t="s">
        <v>910</v>
      </c>
      <c r="AF1136" s="12">
        <v>44950</v>
      </c>
      <c r="AJ1136" s="10">
        <f>-1.2768*3.81^2+222.07*3.81-130.11</f>
        <v>697.44254351999996</v>
      </c>
      <c r="AK1136" s="10">
        <f>0.4667*3.81^2+198.27*3.81-98.12</f>
        <v>664.0633638700001</v>
      </c>
      <c r="AL1136" s="10" t="str">
        <f t="shared" si="128"/>
        <v>FALSE</v>
      </c>
      <c r="AM1136" s="10" t="str">
        <f t="shared" si="128"/>
        <v>FALSE</v>
      </c>
      <c r="AN1136" s="10" t="str">
        <f t="shared" si="128"/>
        <v>FALSE</v>
      </c>
      <c r="AO1136" s="10" t="str">
        <f t="shared" si="129"/>
        <v>y=-1.2768*3.81^2+222.07*3.81-130.11</v>
      </c>
      <c r="AP1136" s="10" t="str">
        <f t="shared" si="129"/>
        <v>y=0.4667*3.81^2+198.27*3.81-98.12</v>
      </c>
      <c r="AQ1136" s="10" t="b">
        <f>IF(AND(I1136="TP",S1136&lt;=150),VLOOKUP(AF1136,TPCalibEq150!$AZ$2:$BB$55,3,),IF(AND(I1136="TDP",S1136&lt;=150),VLOOKUP(AF1136,TPCalibEq150!$AZ$2:$BB$55,3,)))</f>
        <v>0</v>
      </c>
      <c r="AR1136" s="10" t="b">
        <f>IF(AND(I1136="TP",S1136&lt;=300),VLOOKUP(AF1136,TPCalibEq300!$AZ$2:$BB$55,3,),IF(AND(I1136="TDP",S1136&lt;=300),VLOOKUP(AF1136,TPCalibEq300!$AZ$2:$BB$55,3,)))</f>
        <v>0</v>
      </c>
      <c r="AS1136" s="10" t="b">
        <f>IF(AND(I1136="TP",S1136&lt;=500),VLOOKUP(AF1136,TPCalibEq500!$AZ$2:$BB$56,3,),IF(AND(I1136="TDP",S1136&lt;=500),VLOOKUP(AF1136,TPCalibEq500!$AZ$2:$BB$56,3,)))</f>
        <v>0</v>
      </c>
      <c r="AT1136" s="10" t="str">
        <f>IF(AND(I1136="TN",S1136&lt;=2800),VLOOKUP(AF1136,TNCalibEq2500!$AZ$2:$BB$56,3,),IF(AND(I1136="TDN",S1136&lt;=2800),VLOOKUP(AF1136,TNCalibEq2500!$AZ$2:$BB$56,3,)))</f>
        <v>y=-1.2768x2+222.07x-130.11</v>
      </c>
      <c r="AU1136" s="10" t="str">
        <f>IF(I1136="TP",VLOOKUP(AF1136,TPCalibEqFull!$AZ$2:$BB$56,3),IF(I1136="TDP",VLOOKUP(AF1136,TPCalibEqFull!$AZ$2:$BB$56,3),IF(I1136="TDN",VLOOKUP(AF1136,TNCalibEqFull!$AZ$1:$BB$56,3),IF(I1136="TN",VLOOKUP(AF1136,TNCalibEqFull!$AZ$1:$BB$56,3),FALSE))))</f>
        <v>y=0.4667x2+198.27x-98.12</v>
      </c>
      <c r="AV1136" s="10" t="str">
        <f t="shared" si="127"/>
        <v>0117 09:43:00-USR-0-C-1-SW-UKN</v>
      </c>
    </row>
    <row r="1137" spans="1:48" s="10" customFormat="1" x14ac:dyDescent="0.55000000000000004">
      <c r="A1137" s="32">
        <v>44943</v>
      </c>
      <c r="B1137" s="33">
        <v>0.42152777777777778</v>
      </c>
      <c r="C1137" s="10" t="s">
        <v>351</v>
      </c>
      <c r="D1137" s="10">
        <v>0</v>
      </c>
      <c r="E1137" s="10" t="s">
        <v>190</v>
      </c>
      <c r="F1137" s="10">
        <v>1</v>
      </c>
      <c r="G1137" s="10" t="s">
        <v>231</v>
      </c>
      <c r="H1137" s="10" t="s">
        <v>322</v>
      </c>
      <c r="I1137" s="10" t="s">
        <v>235</v>
      </c>
      <c r="J1137" s="10">
        <v>19</v>
      </c>
      <c r="K1137" s="12">
        <v>44950</v>
      </c>
      <c r="L1137" s="33">
        <v>0.61531250000000004</v>
      </c>
      <c r="M1137" s="10">
        <v>1</v>
      </c>
      <c r="N1137" s="10" t="s">
        <v>196</v>
      </c>
      <c r="O1137" s="10">
        <v>6.81</v>
      </c>
      <c r="P1137" s="10">
        <v>0.41</v>
      </c>
      <c r="Q1137" s="10">
        <v>1300</v>
      </c>
      <c r="R1137" s="10" t="s">
        <v>170</v>
      </c>
      <c r="S1137" s="34">
        <f t="shared" si="123"/>
        <v>1322.9736955200001</v>
      </c>
      <c r="T1137" s="10" t="s">
        <v>1068</v>
      </c>
      <c r="U1137" s="34" t="str">
        <f t="shared" si="124"/>
        <v/>
      </c>
      <c r="V1137" s="31" t="str">
        <f>IF(H1137="CHK",VLOOKUP(I1137,QCCHK,3,),IF(H1137="GUP",VLOOKUP(E1137,QCGUP,2,),IF(AND(H1137="ATP",OR(I1137="TN",I1137="TDN",I1137="TNO2-3",I1137="NO2-3")),VLOOKUP(E1137,QCREC_N,2,),IF(AND(H1137="NIC",OR(I1137="TN",I1137="TDN",I1137="TNO2-3",I1137="NO2-3")),VLOOKUP(E1137,QCNIC_N,2,),IF(AND(H1137="UREA",OR(I1137="TN",I1137="TDN",I1137="TNO2-3",I1137="NO2-3")),VLOOKUP(E1137,QCUREA_N,2,),IF(H1137="PER",VLOOKUP(I1137,QCPER,MATCH(E1137,QCACTUAL!$J$25:$AA$25,0),),IF(H1137="SPK",VLOOKUP(I1137,QCSPK,3,),IF(AND(H1137="ATP",OR(I1137="TP",I1137="TDP")),VLOOKUP(E1137,QCATP_P,2,),""))))))))</f>
        <v/>
      </c>
      <c r="W1137" s="31" t="str">
        <f t="shared" si="125"/>
        <v>TRUE</v>
      </c>
      <c r="X1137" s="31" t="str">
        <f t="shared" si="126"/>
        <v/>
      </c>
      <c r="Y1137" s="10" t="s">
        <v>1061</v>
      </c>
      <c r="Z1137" s="10" t="s">
        <v>910</v>
      </c>
      <c r="AF1137" s="12">
        <v>44950</v>
      </c>
      <c r="AJ1137" s="10">
        <f>-1.2768*6.81^2+222.07*6.81-130.11</f>
        <v>1322.9736955200001</v>
      </c>
      <c r="AK1137" s="10">
        <f>0.4667*6.81^2+198.27*6.81-98.12</f>
        <v>1273.7424258699998</v>
      </c>
      <c r="AL1137" s="10" t="str">
        <f t="shared" si="128"/>
        <v>FALSE</v>
      </c>
      <c r="AM1137" s="10" t="str">
        <f t="shared" si="128"/>
        <v>FALSE</v>
      </c>
      <c r="AN1137" s="10" t="str">
        <f t="shared" si="128"/>
        <v>FALSE</v>
      </c>
      <c r="AO1137" s="10" t="str">
        <f t="shared" si="129"/>
        <v>y=-1.2768*6.81^2+222.07*6.81-130.11</v>
      </c>
      <c r="AP1137" s="10" t="str">
        <f t="shared" si="129"/>
        <v>y=0.4667*6.81^2+198.27*6.81-98.12</v>
      </c>
      <c r="AQ1137" s="10" t="b">
        <f>IF(AND(I1137="TP",S1137&lt;=150),VLOOKUP(AF1137,TPCalibEq150!$AZ$2:$BB$55,3,),IF(AND(I1137="TDP",S1137&lt;=150),VLOOKUP(AF1137,TPCalibEq150!$AZ$2:$BB$55,3,)))</f>
        <v>0</v>
      </c>
      <c r="AR1137" s="10" t="b">
        <f>IF(AND(I1137="TP",S1137&lt;=300),VLOOKUP(AF1137,TPCalibEq300!$AZ$2:$BB$55,3,),IF(AND(I1137="TDP",S1137&lt;=300),VLOOKUP(AF1137,TPCalibEq300!$AZ$2:$BB$55,3,)))</f>
        <v>0</v>
      </c>
      <c r="AS1137" s="10" t="b">
        <f>IF(AND(I1137="TP",S1137&lt;=500),VLOOKUP(AF1137,TPCalibEq500!$AZ$2:$BB$56,3,),IF(AND(I1137="TDP",S1137&lt;=500),VLOOKUP(AF1137,TPCalibEq500!$AZ$2:$BB$56,3,)))</f>
        <v>0</v>
      </c>
      <c r="AT1137" s="10" t="str">
        <f>IF(AND(I1137="TN",S1137&lt;=2800),VLOOKUP(AF1137,TNCalibEq2500!$AZ$2:$BB$56,3,),IF(AND(I1137="TDN",S1137&lt;=2800),VLOOKUP(AF1137,TNCalibEq2500!$AZ$2:$BB$56,3,)))</f>
        <v>y=-1.2768x2+222.07x-130.11</v>
      </c>
      <c r="AU1137" s="10" t="str">
        <f>IF(I1137="TP",VLOOKUP(AF1137,TPCalibEqFull!$AZ$2:$BB$56,3),IF(I1137="TDP",VLOOKUP(AF1137,TPCalibEqFull!$AZ$2:$BB$56,3),IF(I1137="TDN",VLOOKUP(AF1137,TNCalibEqFull!$AZ$1:$BB$56,3),IF(I1137="TN",VLOOKUP(AF1137,TNCalibEqFull!$AZ$1:$BB$56,3),FALSE))))</f>
        <v>y=0.4667x2+198.27x-98.12</v>
      </c>
      <c r="AV1137" s="10" t="str">
        <f t="shared" si="127"/>
        <v>0117 10:07:00-SHC-0-C-1-SW-UKN</v>
      </c>
    </row>
    <row r="1138" spans="1:48" s="10" customFormat="1" x14ac:dyDescent="0.55000000000000004">
      <c r="A1138" s="32">
        <v>44943</v>
      </c>
      <c r="B1138" s="33">
        <v>0.43472222222222223</v>
      </c>
      <c r="C1138" s="10" t="s">
        <v>355</v>
      </c>
      <c r="D1138" s="10">
        <v>0</v>
      </c>
      <c r="E1138" s="10" t="s">
        <v>190</v>
      </c>
      <c r="F1138" s="10">
        <v>1</v>
      </c>
      <c r="G1138" s="10" t="s">
        <v>231</v>
      </c>
      <c r="H1138" s="10" t="s">
        <v>322</v>
      </c>
      <c r="I1138" s="10" t="s">
        <v>235</v>
      </c>
      <c r="J1138" s="10">
        <v>20</v>
      </c>
      <c r="K1138" s="12">
        <v>44950</v>
      </c>
      <c r="L1138" s="33">
        <v>0.61598379629629629</v>
      </c>
      <c r="M1138" s="10">
        <v>1</v>
      </c>
      <c r="N1138" s="10" t="s">
        <v>196</v>
      </c>
      <c r="O1138" s="10">
        <v>4.28</v>
      </c>
      <c r="P1138" s="10">
        <v>0.25800000000000001</v>
      </c>
      <c r="Q1138" s="10">
        <v>773</v>
      </c>
      <c r="R1138" s="10" t="s">
        <v>170</v>
      </c>
      <c r="S1138" s="34">
        <f t="shared" si="123"/>
        <v>796.96066687999996</v>
      </c>
      <c r="T1138" s="10" t="s">
        <v>1068</v>
      </c>
      <c r="U1138" s="34" t="str">
        <f t="shared" si="124"/>
        <v/>
      </c>
      <c r="V1138" s="31" t="str">
        <f>IF(H1138="CHK",VLOOKUP(I1138,QCCHK,3,),IF(H1138="GUP",VLOOKUP(E1138,QCGUP,2,),IF(AND(H1138="ATP",OR(I1138="TN",I1138="TDN",I1138="TNO2-3",I1138="NO2-3")),VLOOKUP(E1138,QCREC_N,2,),IF(AND(H1138="NIC",OR(I1138="TN",I1138="TDN",I1138="TNO2-3",I1138="NO2-3")),VLOOKUP(E1138,QCNIC_N,2,),IF(AND(H1138="UREA",OR(I1138="TN",I1138="TDN",I1138="TNO2-3",I1138="NO2-3")),VLOOKUP(E1138,QCUREA_N,2,),IF(H1138="PER",VLOOKUP(I1138,QCPER,MATCH(E1138,QCACTUAL!$J$25:$AA$25,0),),IF(H1138="SPK",VLOOKUP(I1138,QCSPK,3,),IF(AND(H1138="ATP",OR(I1138="TP",I1138="TDP")),VLOOKUP(E1138,QCATP_P,2,),""))))))))</f>
        <v/>
      </c>
      <c r="W1138" s="31" t="str">
        <f t="shared" si="125"/>
        <v>TRUE</v>
      </c>
      <c r="X1138" s="31" t="str">
        <f t="shared" si="126"/>
        <v/>
      </c>
      <c r="Y1138" s="10" t="s">
        <v>1061</v>
      </c>
      <c r="Z1138" s="10" t="s">
        <v>910</v>
      </c>
      <c r="AF1138" s="12">
        <v>44950</v>
      </c>
      <c r="AJ1138" s="10">
        <f>-1.2768*4.28^2+222.07*4.28-130.11</f>
        <v>796.96066687999996</v>
      </c>
      <c r="AK1138" s="10">
        <f>0.4667*4.28^2+198.27*4.28-98.12</f>
        <v>759.02479728000014</v>
      </c>
      <c r="AL1138" s="10" t="str">
        <f t="shared" si="128"/>
        <v>FALSE</v>
      </c>
      <c r="AM1138" s="10" t="str">
        <f t="shared" si="128"/>
        <v>FALSE</v>
      </c>
      <c r="AN1138" s="10" t="str">
        <f t="shared" si="128"/>
        <v>FALSE</v>
      </c>
      <c r="AO1138" s="10" t="str">
        <f t="shared" si="129"/>
        <v>y=-1.2768*4.28^2+222.07*4.28-130.11</v>
      </c>
      <c r="AP1138" s="10" t="str">
        <f t="shared" si="129"/>
        <v>y=0.4667*4.28^2+198.27*4.28-98.12</v>
      </c>
      <c r="AQ1138" s="10" t="b">
        <f>IF(AND(I1138="TP",S1138&lt;=150),VLOOKUP(AF1138,TPCalibEq150!$AZ$2:$BB$55,3,),IF(AND(I1138="TDP",S1138&lt;=150),VLOOKUP(AF1138,TPCalibEq150!$AZ$2:$BB$55,3,)))</f>
        <v>0</v>
      </c>
      <c r="AR1138" s="10" t="b">
        <f>IF(AND(I1138="TP",S1138&lt;=300),VLOOKUP(AF1138,TPCalibEq300!$AZ$2:$BB$55,3,),IF(AND(I1138="TDP",S1138&lt;=300),VLOOKUP(AF1138,TPCalibEq300!$AZ$2:$BB$55,3,)))</f>
        <v>0</v>
      </c>
      <c r="AS1138" s="10" t="b">
        <f>IF(AND(I1138="TP",S1138&lt;=500),VLOOKUP(AF1138,TPCalibEq500!$AZ$2:$BB$56,3,),IF(AND(I1138="TDP",S1138&lt;=500),VLOOKUP(AF1138,TPCalibEq500!$AZ$2:$BB$56,3,)))</f>
        <v>0</v>
      </c>
      <c r="AT1138" s="10" t="str">
        <f>IF(AND(I1138="TN",S1138&lt;=2800),VLOOKUP(AF1138,TNCalibEq2500!$AZ$2:$BB$56,3,),IF(AND(I1138="TDN",S1138&lt;=2800),VLOOKUP(AF1138,TNCalibEq2500!$AZ$2:$BB$56,3,)))</f>
        <v>y=-1.2768x2+222.07x-130.11</v>
      </c>
      <c r="AU1138" s="10" t="str">
        <f>IF(I1138="TP",VLOOKUP(AF1138,TPCalibEqFull!$AZ$2:$BB$56,3),IF(I1138="TDP",VLOOKUP(AF1138,TPCalibEqFull!$AZ$2:$BB$56,3),IF(I1138="TDN",VLOOKUP(AF1138,TNCalibEqFull!$AZ$1:$BB$56,3),IF(I1138="TN",VLOOKUP(AF1138,TNCalibEqFull!$AZ$1:$BB$56,3),FALSE))))</f>
        <v>y=0.4667x2+198.27x-98.12</v>
      </c>
      <c r="AV1138" s="10" t="str">
        <f t="shared" si="127"/>
        <v>0117 10:26:00-SLT-0-C-1-SW-UKN</v>
      </c>
    </row>
    <row r="1139" spans="1:48" s="10" customFormat="1" x14ac:dyDescent="0.55000000000000004">
      <c r="A1139" s="32">
        <v>44943</v>
      </c>
      <c r="B1139" s="33">
        <v>0.4604166666666667</v>
      </c>
      <c r="C1139" s="10" t="s">
        <v>310</v>
      </c>
      <c r="D1139" s="10">
        <v>0</v>
      </c>
      <c r="E1139" s="10" t="s">
        <v>190</v>
      </c>
      <c r="F1139" s="10">
        <v>1</v>
      </c>
      <c r="G1139" s="10" t="s">
        <v>231</v>
      </c>
      <c r="H1139" s="10" t="s">
        <v>322</v>
      </c>
      <c r="I1139" s="10" t="s">
        <v>235</v>
      </c>
      <c r="J1139" s="10">
        <v>21</v>
      </c>
      <c r="K1139" s="12">
        <v>44950</v>
      </c>
      <c r="L1139" s="33">
        <v>0.61665509259259255</v>
      </c>
      <c r="M1139" s="10">
        <v>1</v>
      </c>
      <c r="N1139" s="10" t="s">
        <v>196</v>
      </c>
      <c r="O1139" s="10">
        <v>8.8800000000000008</v>
      </c>
      <c r="P1139" s="10">
        <v>0.53200000000000003</v>
      </c>
      <c r="Q1139" s="10">
        <v>1730</v>
      </c>
      <c r="R1139" s="10" t="s">
        <v>170</v>
      </c>
      <c r="S1139" s="34">
        <f t="shared" si="123"/>
        <v>1741.19030208</v>
      </c>
      <c r="T1139" s="10" t="s">
        <v>1068</v>
      </c>
      <c r="U1139" s="34" t="str">
        <f t="shared" si="124"/>
        <v/>
      </c>
      <c r="V1139" s="31" t="str">
        <f>IF(H1139="CHK",VLOOKUP(I1139,QCCHK,3,),IF(H1139="GUP",VLOOKUP(E1139,QCGUP,2,),IF(AND(H1139="ATP",OR(I1139="TN",I1139="TDN",I1139="TNO2-3",I1139="NO2-3")),VLOOKUP(E1139,QCREC_N,2,),IF(AND(H1139="NIC",OR(I1139="TN",I1139="TDN",I1139="TNO2-3",I1139="NO2-3")),VLOOKUP(E1139,QCNIC_N,2,),IF(AND(H1139="UREA",OR(I1139="TN",I1139="TDN",I1139="TNO2-3",I1139="NO2-3")),VLOOKUP(E1139,QCUREA_N,2,),IF(H1139="PER",VLOOKUP(I1139,QCPER,MATCH(E1139,QCACTUAL!$J$25:$AA$25,0),),IF(H1139="SPK",VLOOKUP(I1139,QCSPK,3,),IF(AND(H1139="ATP",OR(I1139="TP",I1139="TDP")),VLOOKUP(E1139,QCATP_P,2,),""))))))))</f>
        <v/>
      </c>
      <c r="W1139" s="31" t="str">
        <f t="shared" si="125"/>
        <v>TRUE</v>
      </c>
      <c r="X1139" s="31" t="str">
        <f t="shared" si="126"/>
        <v/>
      </c>
      <c r="Y1139" s="10" t="s">
        <v>1061</v>
      </c>
      <c r="Z1139" s="10" t="s">
        <v>910</v>
      </c>
      <c r="AF1139" s="12">
        <v>44950</v>
      </c>
      <c r="AJ1139" s="10">
        <f>-1.2768*8.88^2+222.07*8.88-130.11</f>
        <v>1741.19030208</v>
      </c>
      <c r="AK1139" s="10">
        <f>0.4667*8.88^2+198.27*8.88-98.12</f>
        <v>1699.3189484800005</v>
      </c>
      <c r="AL1139" s="10" t="str">
        <f t="shared" si="128"/>
        <v>FALSE</v>
      </c>
      <c r="AM1139" s="10" t="str">
        <f t="shared" si="128"/>
        <v>FALSE</v>
      </c>
      <c r="AN1139" s="10" t="str">
        <f t="shared" si="128"/>
        <v>FALSE</v>
      </c>
      <c r="AO1139" s="10" t="str">
        <f t="shared" si="129"/>
        <v>y=-1.2768*8.88^2+222.07*8.88-130.11</v>
      </c>
      <c r="AP1139" s="10" t="str">
        <f t="shared" si="129"/>
        <v>y=0.4667*8.88^2+198.27*8.88-98.12</v>
      </c>
      <c r="AQ1139" s="10" t="b">
        <f>IF(AND(I1139="TP",S1139&lt;=150),VLOOKUP(AF1139,TPCalibEq150!$AZ$2:$BB$55,3,),IF(AND(I1139="TDP",S1139&lt;=150),VLOOKUP(AF1139,TPCalibEq150!$AZ$2:$BB$55,3,)))</f>
        <v>0</v>
      </c>
      <c r="AR1139" s="10" t="b">
        <f>IF(AND(I1139="TP",S1139&lt;=300),VLOOKUP(AF1139,TPCalibEq300!$AZ$2:$BB$55,3,),IF(AND(I1139="TDP",S1139&lt;=300),VLOOKUP(AF1139,TPCalibEq300!$AZ$2:$BB$55,3,)))</f>
        <v>0</v>
      </c>
      <c r="AS1139" s="10" t="b">
        <f>IF(AND(I1139="TP",S1139&lt;=500),VLOOKUP(AF1139,TPCalibEq500!$AZ$2:$BB$56,3,),IF(AND(I1139="TDP",S1139&lt;=500),VLOOKUP(AF1139,TPCalibEq500!$AZ$2:$BB$56,3,)))</f>
        <v>0</v>
      </c>
      <c r="AT1139" s="10" t="str">
        <f>IF(AND(I1139="TN",S1139&lt;=2800),VLOOKUP(AF1139,TNCalibEq2500!$AZ$2:$BB$56,3,),IF(AND(I1139="TDN",S1139&lt;=2800),VLOOKUP(AF1139,TNCalibEq2500!$AZ$2:$BB$56,3,)))</f>
        <v>y=-1.2768x2+222.07x-130.11</v>
      </c>
      <c r="AU1139" s="10" t="str">
        <f>IF(I1139="TP",VLOOKUP(AF1139,TPCalibEqFull!$AZ$2:$BB$56,3),IF(I1139="TDP",VLOOKUP(AF1139,TPCalibEqFull!$AZ$2:$BB$56,3),IF(I1139="TDN",VLOOKUP(AF1139,TNCalibEqFull!$AZ$1:$BB$56,3),IF(I1139="TN",VLOOKUP(AF1139,TNCalibEqFull!$AZ$1:$BB$56,3),FALSE))))</f>
        <v>y=0.4667x2+198.27x-98.12</v>
      </c>
      <c r="AV1139" s="10" t="str">
        <f t="shared" si="127"/>
        <v>0117 11:03:00-ELI-0-C-1-SW-UKN</v>
      </c>
    </row>
    <row r="1140" spans="1:48" s="10" customFormat="1" x14ac:dyDescent="0.55000000000000004">
      <c r="A1140" s="32">
        <v>44943</v>
      </c>
      <c r="B1140" s="33">
        <v>0.47013888888888888</v>
      </c>
      <c r="C1140" s="10" t="s">
        <v>999</v>
      </c>
      <c r="D1140" s="10">
        <v>0</v>
      </c>
      <c r="E1140" s="10" t="s">
        <v>190</v>
      </c>
      <c r="F1140" s="10">
        <v>1</v>
      </c>
      <c r="G1140" s="10" t="s">
        <v>231</v>
      </c>
      <c r="H1140" s="10" t="s">
        <v>322</v>
      </c>
      <c r="I1140" s="10" t="s">
        <v>235</v>
      </c>
      <c r="J1140" s="10">
        <v>22</v>
      </c>
      <c r="K1140" s="12">
        <v>44950</v>
      </c>
      <c r="L1140" s="33">
        <v>0.61731481481481476</v>
      </c>
      <c r="M1140" s="10">
        <v>1</v>
      </c>
      <c r="N1140" s="10" t="s">
        <v>196</v>
      </c>
      <c r="O1140" s="10">
        <v>8.5500000000000007</v>
      </c>
      <c r="P1140" s="10">
        <v>0.51400000000000001</v>
      </c>
      <c r="Q1140" s="10">
        <v>1670</v>
      </c>
      <c r="R1140" s="10" t="s">
        <v>170</v>
      </c>
      <c r="S1140" s="34">
        <f t="shared" si="123"/>
        <v>1675.2512280000001</v>
      </c>
      <c r="T1140" s="10" t="s">
        <v>1068</v>
      </c>
      <c r="U1140" s="34" t="str">
        <f t="shared" si="124"/>
        <v/>
      </c>
      <c r="V1140" s="31" t="str">
        <f>IF(H1140="CHK",VLOOKUP(I1140,QCCHK,3,),IF(H1140="GUP",VLOOKUP(E1140,QCGUP,2,),IF(AND(H1140="ATP",OR(I1140="TN",I1140="TDN",I1140="TNO2-3",I1140="NO2-3")),VLOOKUP(E1140,QCREC_N,2,),IF(AND(H1140="NIC",OR(I1140="TN",I1140="TDN",I1140="TNO2-3",I1140="NO2-3")),VLOOKUP(E1140,QCNIC_N,2,),IF(AND(H1140="UREA",OR(I1140="TN",I1140="TDN",I1140="TNO2-3",I1140="NO2-3")),VLOOKUP(E1140,QCUREA_N,2,),IF(H1140="PER",VLOOKUP(I1140,QCPER,MATCH(E1140,QCACTUAL!$J$25:$AA$25,0),),IF(H1140="SPK",VLOOKUP(I1140,QCSPK,3,),IF(AND(H1140="ATP",OR(I1140="TP",I1140="TDP")),VLOOKUP(E1140,QCATP_P,2,),""))))))))</f>
        <v/>
      </c>
      <c r="W1140" s="31" t="str">
        <f t="shared" si="125"/>
        <v>TRUE</v>
      </c>
      <c r="X1140" s="31" t="str">
        <f t="shared" si="126"/>
        <v/>
      </c>
      <c r="Y1140" s="10" t="s">
        <v>1061</v>
      </c>
      <c r="Z1140" s="10" t="s">
        <v>910</v>
      </c>
      <c r="AF1140" s="12">
        <v>44950</v>
      </c>
      <c r="AJ1140" s="10">
        <f>-1.2768*8.55^2+222.07*8.55-130.11</f>
        <v>1675.2512280000001</v>
      </c>
      <c r="AK1140" s="10">
        <f>0.4667*8.55^2+198.27*8.55-98.12</f>
        <v>1631.20543675</v>
      </c>
      <c r="AL1140" s="10" t="str">
        <f t="shared" si="128"/>
        <v>FALSE</v>
      </c>
      <c r="AM1140" s="10" t="str">
        <f t="shared" si="128"/>
        <v>FALSE</v>
      </c>
      <c r="AN1140" s="10" t="str">
        <f t="shared" si="128"/>
        <v>FALSE</v>
      </c>
      <c r="AO1140" s="10" t="str">
        <f t="shared" si="129"/>
        <v>y=-1.2768*8.55^2+222.07*8.55-130.11</v>
      </c>
      <c r="AP1140" s="10" t="str">
        <f t="shared" si="129"/>
        <v>y=0.4667*8.55^2+198.27*8.55-98.12</v>
      </c>
      <c r="AQ1140" s="10" t="b">
        <f>IF(AND(I1140="TP",S1140&lt;=150),VLOOKUP(AF1140,TPCalibEq150!$AZ$2:$BB$55,3,),IF(AND(I1140="TDP",S1140&lt;=150),VLOOKUP(AF1140,TPCalibEq150!$AZ$2:$BB$55,3,)))</f>
        <v>0</v>
      </c>
      <c r="AR1140" s="10" t="b">
        <f>IF(AND(I1140="TP",S1140&lt;=300),VLOOKUP(AF1140,TPCalibEq300!$AZ$2:$BB$55,3,),IF(AND(I1140="TDP",S1140&lt;=300),VLOOKUP(AF1140,TPCalibEq300!$AZ$2:$BB$55,3,)))</f>
        <v>0</v>
      </c>
      <c r="AS1140" s="10" t="b">
        <f>IF(AND(I1140="TP",S1140&lt;=500),VLOOKUP(AF1140,TPCalibEq500!$AZ$2:$BB$56,3,),IF(AND(I1140="TDP",S1140&lt;=500),VLOOKUP(AF1140,TPCalibEq500!$AZ$2:$BB$56,3,)))</f>
        <v>0</v>
      </c>
      <c r="AT1140" s="10" t="str">
        <f>IF(AND(I1140="TN",S1140&lt;=2800),VLOOKUP(AF1140,TNCalibEq2500!$AZ$2:$BB$56,3,),IF(AND(I1140="TDN",S1140&lt;=2800),VLOOKUP(AF1140,TNCalibEq2500!$AZ$2:$BB$56,3,)))</f>
        <v>y=-1.2768x2+222.07x-130.11</v>
      </c>
      <c r="AU1140" s="10" t="str">
        <f>IF(I1140="TP",VLOOKUP(AF1140,TPCalibEqFull!$AZ$2:$BB$56,3),IF(I1140="TDP",VLOOKUP(AF1140,TPCalibEqFull!$AZ$2:$BB$56,3),IF(I1140="TDN",VLOOKUP(AF1140,TNCalibEqFull!$AZ$1:$BB$56,3),IF(I1140="TN",VLOOKUP(AF1140,TNCalibEqFull!$AZ$1:$BB$56,3),FALSE))))</f>
        <v>y=0.4667x2+198.27x-98.12</v>
      </c>
      <c r="AV1140" s="10" t="str">
        <f t="shared" si="127"/>
        <v>0117 11:17:00-EAW-0-C-1-SW-UKN</v>
      </c>
    </row>
    <row r="1141" spans="1:48" s="10" customFormat="1" x14ac:dyDescent="0.55000000000000004">
      <c r="A1141" s="32">
        <v>44943</v>
      </c>
      <c r="B1141" s="33">
        <v>0.48125000000000001</v>
      </c>
      <c r="C1141" s="10" t="s">
        <v>613</v>
      </c>
      <c r="D1141" s="10">
        <v>0</v>
      </c>
      <c r="E1141" s="10" t="s">
        <v>190</v>
      </c>
      <c r="F1141" s="10">
        <v>1</v>
      </c>
      <c r="G1141" s="10" t="s">
        <v>231</v>
      </c>
      <c r="H1141" s="10" t="s">
        <v>322</v>
      </c>
      <c r="I1141" s="10" t="s">
        <v>235</v>
      </c>
      <c r="J1141" s="10">
        <v>23</v>
      </c>
      <c r="K1141" s="12">
        <v>44950</v>
      </c>
      <c r="L1141" s="33">
        <v>0.61798611111111112</v>
      </c>
      <c r="M1141" s="10">
        <v>1</v>
      </c>
      <c r="N1141" s="10" t="s">
        <v>196</v>
      </c>
      <c r="O1141" s="10">
        <v>5.38</v>
      </c>
      <c r="P1141" s="10">
        <v>0.32300000000000001</v>
      </c>
      <c r="Q1141" s="10">
        <v>1000</v>
      </c>
      <c r="R1141" s="10" t="s">
        <v>170</v>
      </c>
      <c r="S1141" s="34">
        <f t="shared" si="123"/>
        <v>1027.6703900799998</v>
      </c>
      <c r="T1141" s="10" t="s">
        <v>1068</v>
      </c>
      <c r="U1141" s="34" t="str">
        <f t="shared" si="124"/>
        <v/>
      </c>
      <c r="V1141" s="31" t="str">
        <f>IF(H1141="CHK",VLOOKUP(I1141,QCCHK,3,),IF(H1141="GUP",VLOOKUP(E1141,QCGUP,2,),IF(AND(H1141="ATP",OR(I1141="TN",I1141="TDN",I1141="TNO2-3",I1141="NO2-3")),VLOOKUP(E1141,QCREC_N,2,),IF(AND(H1141="NIC",OR(I1141="TN",I1141="TDN",I1141="TNO2-3",I1141="NO2-3")),VLOOKUP(E1141,QCNIC_N,2,),IF(AND(H1141="UREA",OR(I1141="TN",I1141="TDN",I1141="TNO2-3",I1141="NO2-3")),VLOOKUP(E1141,QCUREA_N,2,),IF(H1141="PER",VLOOKUP(I1141,QCPER,MATCH(E1141,QCACTUAL!$J$25:$AA$25,0),),IF(H1141="SPK",VLOOKUP(I1141,QCSPK,3,),IF(AND(H1141="ATP",OR(I1141="TP",I1141="TDP")),VLOOKUP(E1141,QCATP_P,2,),""))))))))</f>
        <v/>
      </c>
      <c r="W1141" s="31" t="str">
        <f t="shared" si="125"/>
        <v>TRUE</v>
      </c>
      <c r="X1141" s="31" t="str">
        <f t="shared" si="126"/>
        <v/>
      </c>
      <c r="Y1141" s="10" t="s">
        <v>1061</v>
      </c>
      <c r="Z1141" s="10" t="s">
        <v>910</v>
      </c>
      <c r="AF1141" s="12">
        <v>44950</v>
      </c>
      <c r="AJ1141" s="10">
        <f>-1.2768*5.38^2+222.07*5.38-130.11</f>
        <v>1027.6703900799998</v>
      </c>
      <c r="AK1141" s="10">
        <f>0.4667*5.38^2+198.27*5.38-98.12</f>
        <v>982.08095148000018</v>
      </c>
      <c r="AL1141" s="10" t="str">
        <f t="shared" si="128"/>
        <v>FALSE</v>
      </c>
      <c r="AM1141" s="10" t="str">
        <f t="shared" si="128"/>
        <v>FALSE</v>
      </c>
      <c r="AN1141" s="10" t="str">
        <f t="shared" si="128"/>
        <v>FALSE</v>
      </c>
      <c r="AO1141" s="10" t="str">
        <f t="shared" si="129"/>
        <v>y=-1.2768*5.38^2+222.07*5.38-130.11</v>
      </c>
      <c r="AP1141" s="10" t="str">
        <f t="shared" si="129"/>
        <v>y=0.4667*5.38^2+198.27*5.38-98.12</v>
      </c>
      <c r="AQ1141" s="10" t="b">
        <f>IF(AND(I1141="TP",S1141&lt;=150),VLOOKUP(AF1141,TPCalibEq150!$AZ$2:$BB$55,3,),IF(AND(I1141="TDP",S1141&lt;=150),VLOOKUP(AF1141,TPCalibEq150!$AZ$2:$BB$55,3,)))</f>
        <v>0</v>
      </c>
      <c r="AR1141" s="10" t="b">
        <f>IF(AND(I1141="TP",S1141&lt;=300),VLOOKUP(AF1141,TPCalibEq300!$AZ$2:$BB$55,3,),IF(AND(I1141="TDP",S1141&lt;=300),VLOOKUP(AF1141,TPCalibEq300!$AZ$2:$BB$55,3,)))</f>
        <v>0</v>
      </c>
      <c r="AS1141" s="10" t="b">
        <f>IF(AND(I1141="TP",S1141&lt;=500),VLOOKUP(AF1141,TPCalibEq500!$AZ$2:$BB$56,3,),IF(AND(I1141="TDP",S1141&lt;=500),VLOOKUP(AF1141,TPCalibEq500!$AZ$2:$BB$56,3,)))</f>
        <v>0</v>
      </c>
      <c r="AT1141" s="10" t="str">
        <f>IF(AND(I1141="TN",S1141&lt;=2800),VLOOKUP(AF1141,TNCalibEq2500!$AZ$2:$BB$56,3,),IF(AND(I1141="TDN",S1141&lt;=2800),VLOOKUP(AF1141,TNCalibEq2500!$AZ$2:$BB$56,3,)))</f>
        <v>y=-1.2768x2+222.07x-130.11</v>
      </c>
      <c r="AU1141" s="10" t="str">
        <f>IF(I1141="TP",VLOOKUP(AF1141,TPCalibEqFull!$AZ$2:$BB$56,3),IF(I1141="TDP",VLOOKUP(AF1141,TPCalibEqFull!$AZ$2:$BB$56,3),IF(I1141="TDN",VLOOKUP(AF1141,TNCalibEqFull!$AZ$1:$BB$56,3),IF(I1141="TN",VLOOKUP(AF1141,TNCalibEqFull!$AZ$1:$BB$56,3),FALSE))))</f>
        <v>y=0.4667x2+198.27x-98.12</v>
      </c>
      <c r="AV1141" s="10" t="str">
        <f t="shared" si="127"/>
        <v>0117 11:33:00-FVC-0-C-1-SW-UKN</v>
      </c>
    </row>
    <row r="1142" spans="1:48" s="10" customFormat="1" x14ac:dyDescent="0.55000000000000004">
      <c r="A1142" s="32">
        <v>44943</v>
      </c>
      <c r="B1142" s="33">
        <v>0.48125000000000001</v>
      </c>
      <c r="C1142" s="10" t="s">
        <v>613</v>
      </c>
      <c r="D1142" s="10">
        <v>0</v>
      </c>
      <c r="E1142" s="10" t="s">
        <v>190</v>
      </c>
      <c r="F1142" s="10">
        <v>2</v>
      </c>
      <c r="G1142" s="10" t="s">
        <v>231</v>
      </c>
      <c r="H1142" s="10" t="s">
        <v>322</v>
      </c>
      <c r="I1142" s="10" t="s">
        <v>235</v>
      </c>
      <c r="J1142" s="10">
        <v>24</v>
      </c>
      <c r="K1142" s="12">
        <v>44950</v>
      </c>
      <c r="L1142" s="33">
        <v>0.61864583333333334</v>
      </c>
      <c r="M1142" s="10">
        <v>1</v>
      </c>
      <c r="N1142" s="10" t="s">
        <v>196</v>
      </c>
      <c r="O1142" s="10">
        <v>5.24</v>
      </c>
      <c r="P1142" s="10">
        <v>0.316</v>
      </c>
      <c r="Q1142" s="10">
        <v>973</v>
      </c>
      <c r="R1142" s="10" t="s">
        <v>170</v>
      </c>
      <c r="S1142" s="34">
        <f t="shared" si="123"/>
        <v>998.47893631999989</v>
      </c>
      <c r="T1142" s="10" t="s">
        <v>1068</v>
      </c>
      <c r="U1142" s="34" t="str">
        <f t="shared" si="124"/>
        <v/>
      </c>
      <c r="V1142" s="31" t="str">
        <f>IF(H1142="CHK",VLOOKUP(I1142,QCCHK,3,),IF(H1142="GUP",VLOOKUP(E1142,QCGUP,2,),IF(AND(H1142="ATP",OR(I1142="TN",I1142="TDN",I1142="TNO2-3",I1142="NO2-3")),VLOOKUP(E1142,QCREC_N,2,),IF(AND(H1142="NIC",OR(I1142="TN",I1142="TDN",I1142="TNO2-3",I1142="NO2-3")),VLOOKUP(E1142,QCNIC_N,2,),IF(AND(H1142="UREA",OR(I1142="TN",I1142="TDN",I1142="TNO2-3",I1142="NO2-3")),VLOOKUP(E1142,QCUREA_N,2,),IF(H1142="PER",VLOOKUP(I1142,QCPER,MATCH(E1142,QCACTUAL!$J$25:$AA$25,0),),IF(H1142="SPK",VLOOKUP(I1142,QCSPK,3,),IF(AND(H1142="ATP",OR(I1142="TP",I1142="TDP")),VLOOKUP(E1142,QCATP_P,2,),""))))))))</f>
        <v/>
      </c>
      <c r="W1142" s="31" t="str">
        <f t="shared" si="125"/>
        <v>TRUE</v>
      </c>
      <c r="X1142" s="31" t="str">
        <f t="shared" si="126"/>
        <v/>
      </c>
      <c r="Y1142" s="10" t="s">
        <v>1061</v>
      </c>
      <c r="Z1142" s="10" t="s">
        <v>910</v>
      </c>
      <c r="AF1142" s="12">
        <v>44950</v>
      </c>
      <c r="AJ1142" s="10">
        <f>-1.2768*5.24^2+222.07*5.24-130.11</f>
        <v>998.47893631999989</v>
      </c>
      <c r="AK1142" s="10">
        <f>0.4667*5.24^2+198.27*5.24-98.12</f>
        <v>953.62926191999998</v>
      </c>
      <c r="AL1142" s="10" t="str">
        <f t="shared" si="128"/>
        <v>FALSE</v>
      </c>
      <c r="AM1142" s="10" t="str">
        <f t="shared" si="128"/>
        <v>FALSE</v>
      </c>
      <c r="AN1142" s="10" t="str">
        <f t="shared" si="128"/>
        <v>FALSE</v>
      </c>
      <c r="AO1142" s="10" t="str">
        <f t="shared" si="129"/>
        <v>y=-1.2768*5.24^2+222.07*5.24-130.11</v>
      </c>
      <c r="AP1142" s="10" t="str">
        <f t="shared" si="129"/>
        <v>y=0.4667*5.24^2+198.27*5.24-98.12</v>
      </c>
      <c r="AQ1142" s="10" t="b">
        <f>IF(AND(I1142="TP",S1142&lt;=150),VLOOKUP(AF1142,TPCalibEq150!$AZ$2:$BB$55,3,),IF(AND(I1142="TDP",S1142&lt;=150),VLOOKUP(AF1142,TPCalibEq150!$AZ$2:$BB$55,3,)))</f>
        <v>0</v>
      </c>
      <c r="AR1142" s="10" t="b">
        <f>IF(AND(I1142="TP",S1142&lt;=300),VLOOKUP(AF1142,TPCalibEq300!$AZ$2:$BB$55,3,),IF(AND(I1142="TDP",S1142&lt;=300),VLOOKUP(AF1142,TPCalibEq300!$AZ$2:$BB$55,3,)))</f>
        <v>0</v>
      </c>
      <c r="AS1142" s="10" t="b">
        <f>IF(AND(I1142="TP",S1142&lt;=500),VLOOKUP(AF1142,TPCalibEq500!$AZ$2:$BB$56,3,),IF(AND(I1142="TDP",S1142&lt;=500),VLOOKUP(AF1142,TPCalibEq500!$AZ$2:$BB$56,3,)))</f>
        <v>0</v>
      </c>
      <c r="AT1142" s="10" t="str">
        <f>IF(AND(I1142="TN",S1142&lt;=2800),VLOOKUP(AF1142,TNCalibEq2500!$AZ$2:$BB$56,3,),IF(AND(I1142="TDN",S1142&lt;=2800),VLOOKUP(AF1142,TNCalibEq2500!$AZ$2:$BB$56,3,)))</f>
        <v>y=-1.2768x2+222.07x-130.11</v>
      </c>
      <c r="AU1142" s="10" t="str">
        <f>IF(I1142="TP",VLOOKUP(AF1142,TPCalibEqFull!$AZ$2:$BB$56,3),IF(I1142="TDP",VLOOKUP(AF1142,TPCalibEqFull!$AZ$2:$BB$56,3),IF(I1142="TDN",VLOOKUP(AF1142,TNCalibEqFull!$AZ$1:$BB$56,3),IF(I1142="TN",VLOOKUP(AF1142,TNCalibEqFull!$AZ$1:$BB$56,3),FALSE))))</f>
        <v>y=0.4667x2+198.27x-98.12</v>
      </c>
      <c r="AV1142" s="10" t="str">
        <f t="shared" si="127"/>
        <v>0117 11:33:00-FVC-0-C-2-SW-UKN</v>
      </c>
    </row>
    <row r="1143" spans="1:48" s="10" customFormat="1" x14ac:dyDescent="0.55000000000000004">
      <c r="A1143" s="32">
        <v>44943</v>
      </c>
      <c r="B1143" s="33">
        <v>0.48125000000000001</v>
      </c>
      <c r="C1143" s="10" t="s">
        <v>613</v>
      </c>
      <c r="D1143" s="10">
        <v>0</v>
      </c>
      <c r="E1143" s="10" t="s">
        <v>190</v>
      </c>
      <c r="F1143" s="10">
        <v>2</v>
      </c>
      <c r="G1143" s="10" t="s">
        <v>231</v>
      </c>
      <c r="H1143" s="10" t="s">
        <v>233</v>
      </c>
      <c r="I1143" s="10" t="s">
        <v>235</v>
      </c>
      <c r="J1143" s="10">
        <v>24</v>
      </c>
      <c r="K1143" s="12">
        <v>44950</v>
      </c>
      <c r="L1143" s="33">
        <v>0.61930555555555555</v>
      </c>
      <c r="M1143" s="10">
        <v>1</v>
      </c>
      <c r="N1143" s="10" t="s">
        <v>196</v>
      </c>
      <c r="O1143" s="10">
        <v>5.21</v>
      </c>
      <c r="P1143" s="10">
        <v>0.315</v>
      </c>
      <c r="Q1143" s="10">
        <v>966</v>
      </c>
      <c r="R1143" s="10" t="s">
        <v>170</v>
      </c>
      <c r="S1143" s="34">
        <f t="shared" si="123"/>
        <v>992.21711311999991</v>
      </c>
      <c r="T1143" s="10" t="s">
        <v>1068</v>
      </c>
      <c r="U1143" s="34">
        <f t="shared" si="124"/>
        <v>0.62910891914026612</v>
      </c>
      <c r="V1143" s="31" t="str">
        <f>IF(H1143="CHK",VLOOKUP(I1143,QCCHK,3,),IF(H1143="GUP",VLOOKUP(E1143,QCGUP,2,),IF(AND(H1143="ATP",OR(I1143="TN",I1143="TDN",I1143="TNO2-3",I1143="NO2-3")),VLOOKUP(E1143,QCREC_N,2,),IF(AND(H1143="NIC",OR(I1143="TN",I1143="TDN",I1143="TNO2-3",I1143="NO2-3")),VLOOKUP(E1143,QCNIC_N,2,),IF(AND(H1143="UREA",OR(I1143="TN",I1143="TDN",I1143="TNO2-3",I1143="NO2-3")),VLOOKUP(E1143,QCUREA_N,2,),IF(H1143="PER",VLOOKUP(I1143,QCPER,MATCH(E1143,QCACTUAL!$J$25:$AA$25,0),),IF(H1143="SPK",VLOOKUP(I1143,QCSPK,3,),IF(AND(H1143="ATP",OR(I1143="TP",I1143="TDP")),VLOOKUP(E1143,QCATP_P,2,),""))))))))</f>
        <v/>
      </c>
      <c r="W1143" s="31" t="str">
        <f t="shared" si="125"/>
        <v>TRUE</v>
      </c>
      <c r="X1143" s="31" t="str">
        <f t="shared" si="126"/>
        <v>((ABS(rep1-rep2))/((rep1+rep2)/2)*100</v>
      </c>
      <c r="Y1143" s="10" t="s">
        <v>1061</v>
      </c>
      <c r="Z1143" s="10" t="s">
        <v>910</v>
      </c>
      <c r="AF1143" s="12">
        <v>44950</v>
      </c>
      <c r="AJ1143" s="10">
        <f>-1.2768*5.21^2+222.07*5.21-130.11</f>
        <v>992.21711311999991</v>
      </c>
      <c r="AK1143" s="10">
        <f>0.4667*5.21^2+198.27*5.21-98.12</f>
        <v>947.53485147000026</v>
      </c>
      <c r="AL1143" s="10" t="str">
        <f t="shared" si="128"/>
        <v>FALSE</v>
      </c>
      <c r="AM1143" s="10" t="str">
        <f t="shared" si="128"/>
        <v>FALSE</v>
      </c>
      <c r="AN1143" s="10" t="str">
        <f t="shared" si="128"/>
        <v>FALSE</v>
      </c>
      <c r="AO1143" s="10" t="str">
        <f t="shared" si="129"/>
        <v>y=-1.2768*5.21^2+222.07*5.21-130.11</v>
      </c>
      <c r="AP1143" s="10" t="str">
        <f t="shared" si="129"/>
        <v>y=0.4667*5.21^2+198.27*5.21-98.12</v>
      </c>
      <c r="AQ1143" s="10" t="b">
        <f>IF(AND(I1143="TP",S1143&lt;=150),VLOOKUP(AF1143,TPCalibEq150!$AZ$2:$BB$55,3,),IF(AND(I1143="TDP",S1143&lt;=150),VLOOKUP(AF1143,TPCalibEq150!$AZ$2:$BB$55,3,)))</f>
        <v>0</v>
      </c>
      <c r="AR1143" s="10" t="b">
        <f>IF(AND(I1143="TP",S1143&lt;=300),VLOOKUP(AF1143,TPCalibEq300!$AZ$2:$BB$55,3,),IF(AND(I1143="TDP",S1143&lt;=300),VLOOKUP(AF1143,TPCalibEq300!$AZ$2:$BB$55,3,)))</f>
        <v>0</v>
      </c>
      <c r="AS1143" s="10" t="b">
        <f>IF(AND(I1143="TP",S1143&lt;=500),VLOOKUP(AF1143,TPCalibEq500!$AZ$2:$BB$56,3,),IF(AND(I1143="TDP",S1143&lt;=500),VLOOKUP(AF1143,TPCalibEq500!$AZ$2:$BB$56,3,)))</f>
        <v>0</v>
      </c>
      <c r="AT1143" s="10" t="str">
        <f>IF(AND(I1143="TN",S1143&lt;=2800),VLOOKUP(AF1143,TNCalibEq2500!$AZ$2:$BB$56,3,),IF(AND(I1143="TDN",S1143&lt;=2800),VLOOKUP(AF1143,TNCalibEq2500!$AZ$2:$BB$56,3,)))</f>
        <v>y=-1.2768x2+222.07x-130.11</v>
      </c>
      <c r="AU1143" s="10" t="str">
        <f>IF(I1143="TP",VLOOKUP(AF1143,TPCalibEqFull!$AZ$2:$BB$56,3),IF(I1143="TDP",VLOOKUP(AF1143,TPCalibEqFull!$AZ$2:$BB$56,3),IF(I1143="TDN",VLOOKUP(AF1143,TNCalibEqFull!$AZ$1:$BB$56,3),IF(I1143="TN",VLOOKUP(AF1143,TNCalibEqFull!$AZ$1:$BB$56,3),FALSE))))</f>
        <v>y=0.4667x2+198.27x-98.12</v>
      </c>
      <c r="AV1143" s="10" t="str">
        <f t="shared" si="127"/>
        <v>0117 11:33:00-FVC-0-C-2-SW-DUP</v>
      </c>
    </row>
    <row r="1144" spans="1:48" s="10" customFormat="1" x14ac:dyDescent="0.55000000000000004">
      <c r="A1144" s="32">
        <v>44943</v>
      </c>
      <c r="B1144" s="33">
        <v>0.48125000000000001</v>
      </c>
      <c r="C1144" s="10" t="s">
        <v>613</v>
      </c>
      <c r="D1144" s="10">
        <v>0</v>
      </c>
      <c r="E1144" s="10" t="s">
        <v>190</v>
      </c>
      <c r="F1144" s="10">
        <v>2</v>
      </c>
      <c r="G1144" s="10" t="s">
        <v>231</v>
      </c>
      <c r="H1144" s="10" t="s">
        <v>314</v>
      </c>
      <c r="I1144" s="10" t="s">
        <v>235</v>
      </c>
      <c r="J1144" s="10">
        <v>58</v>
      </c>
      <c r="K1144" s="12">
        <v>44950</v>
      </c>
      <c r="L1144" s="33">
        <v>0.61997685185185192</v>
      </c>
      <c r="M1144" s="10">
        <v>1</v>
      </c>
      <c r="N1144" s="10" t="s">
        <v>196</v>
      </c>
      <c r="O1144" s="10">
        <v>16.8</v>
      </c>
      <c r="P1144" s="10">
        <v>1.01</v>
      </c>
      <c r="Q1144" s="10">
        <v>3400</v>
      </c>
      <c r="R1144" s="10" t="s">
        <v>170</v>
      </c>
      <c r="S1144" s="34">
        <f t="shared" si="123"/>
        <v>3400</v>
      </c>
      <c r="T1144" s="10" t="s">
        <v>1068</v>
      </c>
      <c r="U1144" s="34">
        <f t="shared" si="124"/>
        <v>96.311315475200004</v>
      </c>
      <c r="V1144" s="31">
        <f>IF(H1144="CHK",VLOOKUP(I1144,QCCHK,3,),IF(H1144="GUP",VLOOKUP(E1144,QCGUP,2,),IF(AND(H1144="ATP",OR(I1144="TN",I1144="TDN",I1144="TNO2-3",I1144="NO2-3")),VLOOKUP(E1144,QCREC_N,2,),IF(AND(H1144="NIC",OR(I1144="TN",I1144="TDN",I1144="TNO2-3",I1144="NO2-3")),VLOOKUP(E1144,QCNIC_N,2,),IF(AND(H1144="UREA",OR(I1144="TN",I1144="TDN",I1144="TNO2-3",I1144="NO2-3")),VLOOKUP(E1144,QCUREA_N,2,),IF(H1144="PER",VLOOKUP(I1144,QCPER,MATCH(E1144,QCACTUAL!$J$25:$AA$25,0),),IF(H1144="SPK",VLOOKUP(I1144,QCSPK,3,),IF(AND(H1144="ATP",OR(I1144="TP",I1144="TDP")),VLOOKUP(E1144,QCATP_P,2,),""))))))))</f>
        <v>2500</v>
      </c>
      <c r="W1144" s="31" t="str">
        <f t="shared" si="125"/>
        <v>TRUE</v>
      </c>
      <c r="X1144" s="31" t="str">
        <f t="shared" si="126"/>
        <v>([spikedunkn]-[unkn])/[spike]*100</v>
      </c>
      <c r="Y1144" s="10" t="s">
        <v>1061</v>
      </c>
      <c r="Z1144" s="10" t="s">
        <v>910</v>
      </c>
      <c r="AF1144" s="12">
        <v>44950</v>
      </c>
      <c r="AK1144" s="10">
        <f>0.4667*16.8^2+198.27*16.8-98.12</f>
        <v>3364.5374080000001</v>
      </c>
      <c r="AL1144" s="10" t="str">
        <f t="shared" si="128"/>
        <v>FALSE</v>
      </c>
      <c r="AM1144" s="10" t="str">
        <f t="shared" si="128"/>
        <v>FALSE</v>
      </c>
      <c r="AN1144" s="10" t="str">
        <f t="shared" si="128"/>
        <v>FALSE</v>
      </c>
      <c r="AO1144" s="10" t="str">
        <f t="shared" si="129"/>
        <v>FALSE</v>
      </c>
      <c r="AP1144" s="10" t="str">
        <f t="shared" si="129"/>
        <v>y=0.4667*16.8^2+198.27*16.8-98.12</v>
      </c>
      <c r="AQ1144" s="10" t="b">
        <f>IF(AND(I1144="TP",S1144&lt;=150),VLOOKUP(AF1144,TPCalibEq150!$AZ$2:$BB$55,3,),IF(AND(I1144="TDP",S1144&lt;=150),VLOOKUP(AF1144,TPCalibEq150!$AZ$2:$BB$55,3,)))</f>
        <v>0</v>
      </c>
      <c r="AR1144" s="10" t="b">
        <f>IF(AND(I1144="TP",S1144&lt;=300),VLOOKUP(AF1144,TPCalibEq300!$AZ$2:$BB$55,3,),IF(AND(I1144="TDP",S1144&lt;=300),VLOOKUP(AF1144,TPCalibEq300!$AZ$2:$BB$55,3,)))</f>
        <v>0</v>
      </c>
      <c r="AS1144" s="10" t="b">
        <f>IF(AND(I1144="TP",S1144&lt;=500),VLOOKUP(AF1144,TPCalibEq500!$AZ$2:$BB$56,3,),IF(AND(I1144="TDP",S1144&lt;=500),VLOOKUP(AF1144,TPCalibEq500!$AZ$2:$BB$56,3,)))</f>
        <v>0</v>
      </c>
      <c r="AT1144" s="10" t="b">
        <f>IF(AND(I1144="TN",S1144&lt;=2800),VLOOKUP(AF1144,TNCalibEq2500!$AZ$2:$BB$56,3,),IF(AND(I1144="TDN",S1144&lt;=2800),VLOOKUP(AF1144,TNCalibEq2500!$AZ$2:$BB$56,3,)))</f>
        <v>0</v>
      </c>
      <c r="AU1144" s="10" t="str">
        <f>IF(I1144="TP",VLOOKUP(AF1144,TPCalibEqFull!$AZ$2:$BB$56,3),IF(I1144="TDP",VLOOKUP(AF1144,TPCalibEqFull!$AZ$2:$BB$56,3),IF(I1144="TDN",VLOOKUP(AF1144,TNCalibEqFull!$AZ$1:$BB$56,3),IF(I1144="TN",VLOOKUP(AF1144,TNCalibEqFull!$AZ$1:$BB$56,3),FALSE))))</f>
        <v>y=0.4667x2+198.27x-98.12</v>
      </c>
      <c r="AV1144" s="10" t="str">
        <f t="shared" si="127"/>
        <v>0117 11:33:00-FVC-0-C-2-SW-SPK</v>
      </c>
    </row>
    <row r="1145" spans="1:48" s="10" customFormat="1" x14ac:dyDescent="0.55000000000000004">
      <c r="A1145" s="32">
        <v>44950</v>
      </c>
      <c r="B1145" s="33">
        <v>0.375</v>
      </c>
      <c r="C1145" s="10" t="s">
        <v>70</v>
      </c>
      <c r="D1145" s="10" t="s">
        <v>71</v>
      </c>
      <c r="E1145" s="10" t="s">
        <v>901</v>
      </c>
      <c r="F1145" s="10">
        <v>1</v>
      </c>
      <c r="G1145" s="10" t="s">
        <v>73</v>
      </c>
      <c r="H1145" s="10" t="s">
        <v>207</v>
      </c>
      <c r="I1145" s="10" t="s">
        <v>235</v>
      </c>
      <c r="J1145" s="10">
        <v>199</v>
      </c>
      <c r="K1145" s="12">
        <v>44950</v>
      </c>
      <c r="L1145" s="33">
        <v>0.62064814814814817</v>
      </c>
      <c r="M1145" s="10">
        <v>1</v>
      </c>
      <c r="N1145" s="10" t="s">
        <v>196</v>
      </c>
      <c r="O1145" s="10">
        <v>6.12</v>
      </c>
      <c r="P1145" s="10">
        <v>0.371</v>
      </c>
      <c r="Q1145" s="10">
        <v>1160</v>
      </c>
      <c r="R1145" s="10" t="s">
        <v>170</v>
      </c>
      <c r="S1145" s="34">
        <f t="shared" si="123"/>
        <v>1181.1366220800001</v>
      </c>
      <c r="T1145" s="10" t="s">
        <v>1068</v>
      </c>
      <c r="U1145" s="34">
        <f t="shared" si="124"/>
        <v>94.490929766400001</v>
      </c>
      <c r="V1145" s="31">
        <f>IF(H1145="CHK",VLOOKUP(I1145,QCCHK,3,),IF(H1145="GUP",VLOOKUP(E1145,QCGUP,2,),IF(AND(H1145="ATP",OR(I1145="TN",I1145="TDN",I1145="TNO2-3",I1145="NO2-3")),VLOOKUP(E1145,QCREC_N,2,),IF(AND(H1145="NIC",OR(I1145="TN",I1145="TDN",I1145="TNO2-3",I1145="NO2-3")),VLOOKUP(E1145,QCNIC_N,2,),IF(AND(H1145="UREA",OR(I1145="TN",I1145="TDN",I1145="TNO2-3",I1145="NO2-3")),VLOOKUP(E1145,QCUREA_N,2,),IF(H1145="PER",VLOOKUP(I1145,QCPER,MATCH(E1145,QCACTUAL!$J$25:$AA$25,0),),IF(H1145="SPK",VLOOKUP(I1145,QCSPK,3,),IF(AND(H1145="ATP",OR(I1145="TP",I1145="TDP")),VLOOKUP(E1145,QCATP_P,2,),""))))))))</f>
        <v>1250</v>
      </c>
      <c r="W1145" s="31" t="str">
        <f t="shared" si="125"/>
        <v>TRUE</v>
      </c>
      <c r="X1145" s="31" t="str">
        <f t="shared" si="126"/>
        <v>[chk]/[actual]*100</v>
      </c>
      <c r="Y1145" s="10" t="s">
        <v>1061</v>
      </c>
      <c r="AF1145" s="12">
        <v>44950</v>
      </c>
      <c r="AJ1145" s="10">
        <f>-1.2768*6.12^2+222.07*6.12-130.11</f>
        <v>1181.1366220800001</v>
      </c>
      <c r="AK1145" s="10">
        <f>0.4667*6.12^2+198.27*6.12-98.12</f>
        <v>1132.7723684800003</v>
      </c>
      <c r="AL1145" s="10" t="str">
        <f t="shared" si="128"/>
        <v>FALSE</v>
      </c>
      <c r="AM1145" s="10" t="str">
        <f t="shared" si="128"/>
        <v>FALSE</v>
      </c>
      <c r="AN1145" s="10" t="str">
        <f t="shared" si="128"/>
        <v>FALSE</v>
      </c>
      <c r="AO1145" s="10" t="str">
        <f t="shared" si="129"/>
        <v>y=-1.2768*6.12^2+222.07*6.12-130.11</v>
      </c>
      <c r="AP1145" s="10" t="str">
        <f t="shared" si="129"/>
        <v>y=0.4667*6.12^2+198.27*6.12-98.12</v>
      </c>
      <c r="AQ1145" s="10" t="b">
        <f>IF(AND(I1145="TP",S1145&lt;=150),VLOOKUP(AF1145,TPCalibEq150!$AZ$2:$BB$55,3,),IF(AND(I1145="TDP",S1145&lt;=150),VLOOKUP(AF1145,TPCalibEq150!$AZ$2:$BB$55,3,)))</f>
        <v>0</v>
      </c>
      <c r="AR1145" s="10" t="b">
        <f>IF(AND(I1145="TP",S1145&lt;=300),VLOOKUP(AF1145,TPCalibEq300!$AZ$2:$BB$55,3,),IF(AND(I1145="TDP",S1145&lt;=300),VLOOKUP(AF1145,TPCalibEq300!$AZ$2:$BB$55,3,)))</f>
        <v>0</v>
      </c>
      <c r="AS1145" s="10" t="b">
        <f>IF(AND(I1145="TP",S1145&lt;=500),VLOOKUP(AF1145,TPCalibEq500!$AZ$2:$BB$56,3,),IF(AND(I1145="TDP",S1145&lt;=500),VLOOKUP(AF1145,TPCalibEq500!$AZ$2:$BB$56,3,)))</f>
        <v>0</v>
      </c>
      <c r="AT1145" s="10" t="str">
        <f>IF(AND(I1145="TN",S1145&lt;=2800),VLOOKUP(AF1145,TNCalibEq2500!$AZ$2:$BB$56,3,),IF(AND(I1145="TDN",S1145&lt;=2800),VLOOKUP(AF1145,TNCalibEq2500!$AZ$2:$BB$56,3,)))</f>
        <v>y=-1.2768x2+222.07x-130.11</v>
      </c>
      <c r="AU1145" s="10" t="str">
        <f>IF(I1145="TP",VLOOKUP(AF1145,TPCalibEqFull!$AZ$2:$BB$56,3),IF(I1145="TDP",VLOOKUP(AF1145,TPCalibEqFull!$AZ$2:$BB$56,3),IF(I1145="TDN",VLOOKUP(AF1145,TNCalibEqFull!$AZ$1:$BB$56,3),IF(I1145="TN",VLOOKUP(AF1145,TNCalibEqFull!$AZ$1:$BB$56,3),FALSE))))</f>
        <v>y=0.4667x2+198.27x-98.12</v>
      </c>
      <c r="AV1145" s="10" t="str">
        <f t="shared" si="127"/>
        <v>0124 09:00:00-QAC-STD-D-1-DI-CHK</v>
      </c>
    </row>
    <row r="1146" spans="1:48" s="10" customFormat="1" x14ac:dyDescent="0.55000000000000004">
      <c r="A1146" s="32">
        <v>44943</v>
      </c>
      <c r="B1146" s="33">
        <v>0.48888888888888887</v>
      </c>
      <c r="C1146" s="10" t="s">
        <v>250</v>
      </c>
      <c r="D1146" s="10">
        <v>0</v>
      </c>
      <c r="E1146" s="10" t="s">
        <v>190</v>
      </c>
      <c r="F1146" s="10">
        <v>1</v>
      </c>
      <c r="G1146" s="10" t="s">
        <v>231</v>
      </c>
      <c r="H1146" s="10" t="s">
        <v>322</v>
      </c>
      <c r="I1146" s="10" t="s">
        <v>235</v>
      </c>
      <c r="J1146" s="10">
        <v>25</v>
      </c>
      <c r="K1146" s="12">
        <v>44950</v>
      </c>
      <c r="L1146" s="33">
        <v>0.62130787037037039</v>
      </c>
      <c r="M1146" s="10">
        <v>1</v>
      </c>
      <c r="N1146" s="10" t="s">
        <v>196</v>
      </c>
      <c r="O1146" s="10">
        <v>8.41</v>
      </c>
      <c r="P1146" s="10">
        <v>0.50700000000000001</v>
      </c>
      <c r="Q1146" s="10">
        <v>1630</v>
      </c>
      <c r="R1146" s="10" t="s">
        <v>170</v>
      </c>
      <c r="S1146" s="34">
        <f t="shared" si="123"/>
        <v>1647.1930619199998</v>
      </c>
      <c r="T1146" s="10" t="s">
        <v>1068</v>
      </c>
      <c r="U1146" s="34" t="str">
        <f t="shared" si="124"/>
        <v/>
      </c>
      <c r="V1146" s="31" t="str">
        <f>IF(H1146="CHK",VLOOKUP(I1146,QCCHK,3,),IF(H1146="GUP",VLOOKUP(E1146,QCGUP,2,),IF(AND(H1146="ATP",OR(I1146="TN",I1146="TDN",I1146="TNO2-3",I1146="NO2-3")),VLOOKUP(E1146,QCREC_N,2,),IF(AND(H1146="NIC",OR(I1146="TN",I1146="TDN",I1146="TNO2-3",I1146="NO2-3")),VLOOKUP(E1146,QCNIC_N,2,),IF(AND(H1146="UREA",OR(I1146="TN",I1146="TDN",I1146="TNO2-3",I1146="NO2-3")),VLOOKUP(E1146,QCUREA_N,2,),IF(H1146="PER",VLOOKUP(I1146,QCPER,MATCH(E1146,QCACTUAL!$J$25:$AA$25,0),),IF(H1146="SPK",VLOOKUP(I1146,QCSPK,3,),IF(AND(H1146="ATP",OR(I1146="TP",I1146="TDP")),VLOOKUP(E1146,QCATP_P,2,),""))))))))</f>
        <v/>
      </c>
      <c r="W1146" s="31" t="str">
        <f t="shared" si="125"/>
        <v>TRUE</v>
      </c>
      <c r="X1146" s="31" t="str">
        <f t="shared" si="126"/>
        <v/>
      </c>
      <c r="Y1146" s="10" t="s">
        <v>1061</v>
      </c>
      <c r="Z1146" s="10" t="s">
        <v>910</v>
      </c>
      <c r="AF1146" s="12">
        <v>44950</v>
      </c>
      <c r="AJ1146" s="10">
        <f>-1.2768*8.41^2+222.07*8.41-130.11</f>
        <v>1647.1930619199998</v>
      </c>
      <c r="AK1146" s="10">
        <f>0.4667*8.41^2+198.27*8.41-98.12</f>
        <v>1602.3395042699999</v>
      </c>
      <c r="AL1146" s="10" t="str">
        <f t="shared" si="128"/>
        <v>FALSE</v>
      </c>
      <c r="AM1146" s="10" t="str">
        <f t="shared" si="128"/>
        <v>FALSE</v>
      </c>
      <c r="AN1146" s="10" t="str">
        <f t="shared" si="128"/>
        <v>FALSE</v>
      </c>
      <c r="AO1146" s="10" t="str">
        <f t="shared" si="129"/>
        <v>y=-1.2768*8.41^2+222.07*8.41-130.11</v>
      </c>
      <c r="AP1146" s="10" t="str">
        <f t="shared" si="129"/>
        <v>y=0.4667*8.41^2+198.27*8.41-98.12</v>
      </c>
      <c r="AQ1146" s="10" t="b">
        <f>IF(AND(I1146="TP",S1146&lt;=150),VLOOKUP(AF1146,TPCalibEq150!$AZ$2:$BB$55,3,),IF(AND(I1146="TDP",S1146&lt;=150),VLOOKUP(AF1146,TPCalibEq150!$AZ$2:$BB$55,3,)))</f>
        <v>0</v>
      </c>
      <c r="AR1146" s="10" t="b">
        <f>IF(AND(I1146="TP",S1146&lt;=300),VLOOKUP(AF1146,TPCalibEq300!$AZ$2:$BB$55,3,),IF(AND(I1146="TDP",S1146&lt;=300),VLOOKUP(AF1146,TPCalibEq300!$AZ$2:$BB$55,3,)))</f>
        <v>0</v>
      </c>
      <c r="AS1146" s="10" t="b">
        <f>IF(AND(I1146="TP",S1146&lt;=500),VLOOKUP(AF1146,TPCalibEq500!$AZ$2:$BB$56,3,),IF(AND(I1146="TDP",S1146&lt;=500),VLOOKUP(AF1146,TPCalibEq500!$AZ$2:$BB$56,3,)))</f>
        <v>0</v>
      </c>
      <c r="AT1146" s="10" t="str">
        <f>IF(AND(I1146="TN",S1146&lt;=2800),VLOOKUP(AF1146,TNCalibEq2500!$AZ$2:$BB$56,3,),IF(AND(I1146="TDN",S1146&lt;=2800),VLOOKUP(AF1146,TNCalibEq2500!$AZ$2:$BB$56,3,)))</f>
        <v>y=-1.2768x2+222.07x-130.11</v>
      </c>
      <c r="AU1146" s="10" t="str">
        <f>IF(I1146="TP",VLOOKUP(AF1146,TPCalibEqFull!$AZ$2:$BB$56,3),IF(I1146="TDP",VLOOKUP(AF1146,TPCalibEqFull!$AZ$2:$BB$56,3),IF(I1146="TDN",VLOOKUP(AF1146,TNCalibEqFull!$AZ$1:$BB$56,3),IF(I1146="TN",VLOOKUP(AF1146,TNCalibEqFull!$AZ$1:$BB$56,3),FALSE))))</f>
        <v>y=0.4667x2+198.27x-98.12</v>
      </c>
      <c r="AV1146" s="10" t="str">
        <f t="shared" si="127"/>
        <v>0117 11:44:00-EFB-0-C-1-SW-UKN</v>
      </c>
    </row>
    <row r="1147" spans="1:48" s="10" customFormat="1" x14ac:dyDescent="0.55000000000000004">
      <c r="A1147" s="32">
        <v>44943</v>
      </c>
      <c r="B1147" s="33">
        <v>0.49791666666666662</v>
      </c>
      <c r="C1147" s="10" t="s">
        <v>326</v>
      </c>
      <c r="D1147" s="10">
        <v>0</v>
      </c>
      <c r="E1147" s="10" t="s">
        <v>190</v>
      </c>
      <c r="F1147" s="10">
        <v>1</v>
      </c>
      <c r="G1147" s="10" t="s">
        <v>231</v>
      </c>
      <c r="H1147" s="10" t="s">
        <v>322</v>
      </c>
      <c r="I1147" s="10" t="s">
        <v>235</v>
      </c>
      <c r="J1147" s="10">
        <v>26</v>
      </c>
      <c r="K1147" s="12">
        <v>44950</v>
      </c>
      <c r="L1147" s="33">
        <v>0.6219675925925926</v>
      </c>
      <c r="M1147" s="10">
        <v>1</v>
      </c>
      <c r="N1147" s="10" t="s">
        <v>196</v>
      </c>
      <c r="O1147" s="10">
        <v>4.8499999999999996</v>
      </c>
      <c r="P1147" s="10">
        <v>0.29499999999999998</v>
      </c>
      <c r="Q1147" s="10">
        <v>891</v>
      </c>
      <c r="R1147" s="10" t="s">
        <v>170</v>
      </c>
      <c r="S1147" s="34">
        <f t="shared" si="123"/>
        <v>916.89597199999992</v>
      </c>
      <c r="T1147" s="10" t="s">
        <v>1068</v>
      </c>
      <c r="U1147" s="34" t="str">
        <f t="shared" si="124"/>
        <v/>
      </c>
      <c r="V1147" s="31" t="str">
        <f>IF(H1147="CHK",VLOOKUP(I1147,QCCHK,3,),IF(H1147="GUP",VLOOKUP(E1147,QCGUP,2,),IF(AND(H1147="ATP",OR(I1147="TN",I1147="TDN",I1147="TNO2-3",I1147="NO2-3")),VLOOKUP(E1147,QCREC_N,2,),IF(AND(H1147="NIC",OR(I1147="TN",I1147="TDN",I1147="TNO2-3",I1147="NO2-3")),VLOOKUP(E1147,QCNIC_N,2,),IF(AND(H1147="UREA",OR(I1147="TN",I1147="TDN",I1147="TNO2-3",I1147="NO2-3")),VLOOKUP(E1147,QCUREA_N,2,),IF(H1147="PER",VLOOKUP(I1147,QCPER,MATCH(E1147,QCACTUAL!$J$25:$AA$25,0),),IF(H1147="SPK",VLOOKUP(I1147,QCSPK,3,),IF(AND(H1147="ATP",OR(I1147="TP",I1147="TDP")),VLOOKUP(E1147,QCATP_P,2,),""))))))))</f>
        <v/>
      </c>
      <c r="W1147" s="31" t="str">
        <f t="shared" si="125"/>
        <v>TRUE</v>
      </c>
      <c r="X1147" s="31" t="str">
        <f t="shared" si="126"/>
        <v/>
      </c>
      <c r="Y1147" s="10" t="s">
        <v>1061</v>
      </c>
      <c r="Z1147" s="10" t="s">
        <v>910</v>
      </c>
      <c r="AF1147" s="12">
        <v>44950</v>
      </c>
      <c r="AJ1147" s="10">
        <f>-1.2768*4.85^2+222.07*4.85-130.11</f>
        <v>916.89597199999992</v>
      </c>
      <c r="AK1147" s="10">
        <f>0.4667*4.85^2+198.27*4.85-98.12</f>
        <v>874.46745075000001</v>
      </c>
      <c r="AL1147" s="10" t="str">
        <f t="shared" si="128"/>
        <v>FALSE</v>
      </c>
      <c r="AM1147" s="10" t="str">
        <f t="shared" si="128"/>
        <v>FALSE</v>
      </c>
      <c r="AN1147" s="10" t="str">
        <f t="shared" si="128"/>
        <v>FALSE</v>
      </c>
      <c r="AO1147" s="10" t="str">
        <f t="shared" si="129"/>
        <v>y=-1.2768*4.85^2+222.07*4.85-130.11</v>
      </c>
      <c r="AP1147" s="10" t="str">
        <f t="shared" si="129"/>
        <v>y=0.4667*4.85^2+198.27*4.85-98.12</v>
      </c>
      <c r="AQ1147" s="10" t="b">
        <f>IF(AND(I1147="TP",S1147&lt;=150),VLOOKUP(AF1147,TPCalibEq150!$AZ$2:$BB$55,3,),IF(AND(I1147="TDP",S1147&lt;=150),VLOOKUP(AF1147,TPCalibEq150!$AZ$2:$BB$55,3,)))</f>
        <v>0</v>
      </c>
      <c r="AR1147" s="10" t="b">
        <f>IF(AND(I1147="TP",S1147&lt;=300),VLOOKUP(AF1147,TPCalibEq300!$AZ$2:$BB$55,3,),IF(AND(I1147="TDP",S1147&lt;=300),VLOOKUP(AF1147,TPCalibEq300!$AZ$2:$BB$55,3,)))</f>
        <v>0</v>
      </c>
      <c r="AS1147" s="10" t="b">
        <f>IF(AND(I1147="TP",S1147&lt;=500),VLOOKUP(AF1147,TPCalibEq500!$AZ$2:$BB$56,3,),IF(AND(I1147="TDP",S1147&lt;=500),VLOOKUP(AF1147,TPCalibEq500!$AZ$2:$BB$56,3,)))</f>
        <v>0</v>
      </c>
      <c r="AT1147" s="10" t="str">
        <f>IF(AND(I1147="TN",S1147&lt;=2800),VLOOKUP(AF1147,TNCalibEq2500!$AZ$2:$BB$56,3,),IF(AND(I1147="TDN",S1147&lt;=2800),VLOOKUP(AF1147,TNCalibEq2500!$AZ$2:$BB$56,3,)))</f>
        <v>y=-1.2768x2+222.07x-130.11</v>
      </c>
      <c r="AU1147" s="10" t="str">
        <f>IF(I1147="TP",VLOOKUP(AF1147,TPCalibEqFull!$AZ$2:$BB$56,3),IF(I1147="TDP",VLOOKUP(AF1147,TPCalibEqFull!$AZ$2:$BB$56,3),IF(I1147="TDN",VLOOKUP(AF1147,TNCalibEqFull!$AZ$1:$BB$56,3),IF(I1147="TN",VLOOKUP(AF1147,TNCalibEqFull!$AZ$1:$BB$56,3),FALSE))))</f>
        <v>y=0.4667x2+198.27x-98.12</v>
      </c>
      <c r="AV1147" s="10" t="str">
        <f t="shared" si="127"/>
        <v>0117 11:57:00-GRR-0-C-1-SW-UKN</v>
      </c>
    </row>
    <row r="1148" spans="1:48" s="10" customFormat="1" x14ac:dyDescent="0.55000000000000004">
      <c r="A1148" s="32">
        <v>44943</v>
      </c>
      <c r="B1148" s="33">
        <v>0.50763888888888886</v>
      </c>
      <c r="C1148" s="10" t="s">
        <v>416</v>
      </c>
      <c r="D1148" s="10">
        <v>0</v>
      </c>
      <c r="E1148" s="10" t="s">
        <v>190</v>
      </c>
      <c r="F1148" s="10">
        <v>1</v>
      </c>
      <c r="G1148" s="10" t="s">
        <v>231</v>
      </c>
      <c r="H1148" s="10" t="s">
        <v>322</v>
      </c>
      <c r="I1148" s="10" t="s">
        <v>235</v>
      </c>
      <c r="J1148" s="10">
        <v>27</v>
      </c>
      <c r="K1148" s="12">
        <v>44950</v>
      </c>
      <c r="L1148" s="33">
        <v>0.62262731481481481</v>
      </c>
      <c r="M1148" s="10">
        <v>1</v>
      </c>
      <c r="N1148" s="10" t="s">
        <v>196</v>
      </c>
      <c r="O1148" s="10">
        <v>12.1</v>
      </c>
      <c r="P1148" s="10">
        <v>0.72799999999999998</v>
      </c>
      <c r="Q1148" s="10">
        <v>2400</v>
      </c>
      <c r="R1148" s="10" t="s">
        <v>170</v>
      </c>
      <c r="S1148" s="34">
        <f t="shared" si="123"/>
        <v>2400</v>
      </c>
      <c r="T1148" s="10" t="s">
        <v>1068</v>
      </c>
      <c r="U1148" s="34" t="str">
        <f t="shared" si="124"/>
        <v/>
      </c>
      <c r="V1148" s="31" t="str">
        <f>IF(H1148="CHK",VLOOKUP(I1148,QCCHK,3,),IF(H1148="GUP",VLOOKUP(E1148,QCGUP,2,),IF(AND(H1148="ATP",OR(I1148="TN",I1148="TDN",I1148="TNO2-3",I1148="NO2-3")),VLOOKUP(E1148,QCREC_N,2,),IF(AND(H1148="NIC",OR(I1148="TN",I1148="TDN",I1148="TNO2-3",I1148="NO2-3")),VLOOKUP(E1148,QCNIC_N,2,),IF(AND(H1148="UREA",OR(I1148="TN",I1148="TDN",I1148="TNO2-3",I1148="NO2-3")),VLOOKUP(E1148,QCUREA_N,2,),IF(H1148="PER",VLOOKUP(I1148,QCPER,MATCH(E1148,QCACTUAL!$J$25:$AA$25,0),),IF(H1148="SPK",VLOOKUP(I1148,QCSPK,3,),IF(AND(H1148="ATP",OR(I1148="TP",I1148="TDP")),VLOOKUP(E1148,QCATP_P,2,),""))))))))</f>
        <v/>
      </c>
      <c r="W1148" s="31" t="str">
        <f t="shared" si="125"/>
        <v>TRUE</v>
      </c>
      <c r="X1148" s="31" t="str">
        <f t="shared" si="126"/>
        <v/>
      </c>
      <c r="Y1148" s="10" t="s">
        <v>1061</v>
      </c>
      <c r="Z1148" s="10" t="s">
        <v>910</v>
      </c>
      <c r="AF1148" s="12">
        <v>44950</v>
      </c>
      <c r="AJ1148" s="10">
        <f>-1.2768*12.1^2+222.07*12.1-130.11</f>
        <v>2370.000712</v>
      </c>
      <c r="AK1148" s="10">
        <f>0.4667*12.1^2+198.27*12.1-98.12</f>
        <v>2369.2765469999999</v>
      </c>
      <c r="AL1148" s="10" t="str">
        <f t="shared" si="128"/>
        <v>FALSE</v>
      </c>
      <c r="AM1148" s="10" t="str">
        <f t="shared" si="128"/>
        <v>FALSE</v>
      </c>
      <c r="AN1148" s="10" t="str">
        <f t="shared" si="128"/>
        <v>FALSE</v>
      </c>
      <c r="AO1148" s="10" t="str">
        <f t="shared" si="129"/>
        <v>y=-1.2768*12.1^2+222.07*12.1-130.11</v>
      </c>
      <c r="AP1148" s="10" t="str">
        <f t="shared" si="129"/>
        <v>y=0.4667*12.1^2+198.27*12.1-98.12</v>
      </c>
      <c r="AQ1148" s="10" t="b">
        <f>IF(AND(I1148="TP",S1148&lt;=150),VLOOKUP(AF1148,TPCalibEq150!$AZ$2:$BB$55,3,),IF(AND(I1148="TDP",S1148&lt;=150),VLOOKUP(AF1148,TPCalibEq150!$AZ$2:$BB$55,3,)))</f>
        <v>0</v>
      </c>
      <c r="AR1148" s="10" t="b">
        <f>IF(AND(I1148="TP",S1148&lt;=300),VLOOKUP(AF1148,TPCalibEq300!$AZ$2:$BB$55,3,),IF(AND(I1148="TDP",S1148&lt;=300),VLOOKUP(AF1148,TPCalibEq300!$AZ$2:$BB$55,3,)))</f>
        <v>0</v>
      </c>
      <c r="AS1148" s="10" t="b">
        <f>IF(AND(I1148="TP",S1148&lt;=500),VLOOKUP(AF1148,TPCalibEq500!$AZ$2:$BB$56,3,),IF(AND(I1148="TDP",S1148&lt;=500),VLOOKUP(AF1148,TPCalibEq500!$AZ$2:$BB$56,3,)))</f>
        <v>0</v>
      </c>
      <c r="AT1148" s="10" t="str">
        <f>IF(AND(I1148="TN",S1148&lt;=2800),VLOOKUP(AF1148,TNCalibEq2500!$AZ$2:$BB$56,3,),IF(AND(I1148="TDN",S1148&lt;=2800),VLOOKUP(AF1148,TNCalibEq2500!$AZ$2:$BB$56,3,)))</f>
        <v>y=-1.2768x2+222.07x-130.11</v>
      </c>
      <c r="AU1148" s="10" t="str">
        <f>IF(I1148="TP",VLOOKUP(AF1148,TPCalibEqFull!$AZ$2:$BB$56,3),IF(I1148="TDP",VLOOKUP(AF1148,TPCalibEqFull!$AZ$2:$BB$56,3),IF(I1148="TDN",VLOOKUP(AF1148,TNCalibEqFull!$AZ$1:$BB$56,3),IF(I1148="TN",VLOOKUP(AF1148,TNCalibEqFull!$AZ$1:$BB$56,3),FALSE))))</f>
        <v>y=0.4667x2+198.27x-98.12</v>
      </c>
      <c r="AV1148" s="10" t="str">
        <f t="shared" si="127"/>
        <v>0117 12:11:00-CWL-0-C-1-SW-UKN</v>
      </c>
    </row>
    <row r="1149" spans="1:48" s="10" customFormat="1" x14ac:dyDescent="0.55000000000000004">
      <c r="A1149" s="32">
        <v>44943</v>
      </c>
      <c r="B1149" s="33">
        <v>0.51874999999999993</v>
      </c>
      <c r="C1149" s="10" t="s">
        <v>445</v>
      </c>
      <c r="D1149" s="10">
        <v>0</v>
      </c>
      <c r="E1149" s="10" t="s">
        <v>190</v>
      </c>
      <c r="F1149" s="10">
        <v>1</v>
      </c>
      <c r="G1149" s="10" t="s">
        <v>231</v>
      </c>
      <c r="H1149" s="10" t="s">
        <v>322</v>
      </c>
      <c r="I1149" s="10" t="s">
        <v>235</v>
      </c>
      <c r="J1149" s="10">
        <v>28</v>
      </c>
      <c r="K1149" s="12">
        <v>44950</v>
      </c>
      <c r="L1149" s="33">
        <v>0.62328703703703703</v>
      </c>
      <c r="M1149" s="10">
        <v>1</v>
      </c>
      <c r="N1149" s="10" t="s">
        <v>196</v>
      </c>
      <c r="O1149" s="10">
        <v>7.6</v>
      </c>
      <c r="P1149" s="10">
        <v>0.46100000000000002</v>
      </c>
      <c r="Q1149" s="10">
        <v>1470</v>
      </c>
      <c r="R1149" s="10" t="s">
        <v>170</v>
      </c>
      <c r="S1149" s="34">
        <f t="shared" si="123"/>
        <v>1483.8740320000002</v>
      </c>
      <c r="T1149" s="10" t="s">
        <v>1068</v>
      </c>
      <c r="U1149" s="34" t="str">
        <f t="shared" si="124"/>
        <v/>
      </c>
      <c r="V1149" s="31" t="str">
        <f>IF(H1149="CHK",VLOOKUP(I1149,QCCHK,3,),IF(H1149="GUP",VLOOKUP(E1149,QCGUP,2,),IF(AND(H1149="ATP",OR(I1149="TN",I1149="TDN",I1149="TNO2-3",I1149="NO2-3")),VLOOKUP(E1149,QCREC_N,2,),IF(AND(H1149="NIC",OR(I1149="TN",I1149="TDN",I1149="TNO2-3",I1149="NO2-3")),VLOOKUP(E1149,QCNIC_N,2,),IF(AND(H1149="UREA",OR(I1149="TN",I1149="TDN",I1149="TNO2-3",I1149="NO2-3")),VLOOKUP(E1149,QCUREA_N,2,),IF(H1149="PER",VLOOKUP(I1149,QCPER,MATCH(E1149,QCACTUAL!$J$25:$AA$25,0),),IF(H1149="SPK",VLOOKUP(I1149,QCSPK,3,),IF(AND(H1149="ATP",OR(I1149="TP",I1149="TDP")),VLOOKUP(E1149,QCATP_P,2,),""))))))))</f>
        <v/>
      </c>
      <c r="W1149" s="31" t="str">
        <f t="shared" si="125"/>
        <v>TRUE</v>
      </c>
      <c r="X1149" s="31" t="str">
        <f t="shared" si="126"/>
        <v/>
      </c>
      <c r="Y1149" s="10" t="s">
        <v>1061</v>
      </c>
      <c r="Z1149" s="10" t="s">
        <v>910</v>
      </c>
      <c r="AF1149" s="12">
        <v>44950</v>
      </c>
      <c r="AJ1149" s="10">
        <f>-1.2768*7.6^2+222.07*7.6-130.11</f>
        <v>1483.8740320000002</v>
      </c>
      <c r="AK1149" s="10">
        <f>0.4667*7.6^2+198.27*7.6-98.12</f>
        <v>1435.688592</v>
      </c>
      <c r="AL1149" s="10" t="str">
        <f t="shared" si="128"/>
        <v>FALSE</v>
      </c>
      <c r="AM1149" s="10" t="str">
        <f t="shared" si="128"/>
        <v>FALSE</v>
      </c>
      <c r="AN1149" s="10" t="str">
        <f t="shared" si="128"/>
        <v>FALSE</v>
      </c>
      <c r="AO1149" s="10" t="str">
        <f t="shared" si="129"/>
        <v>y=-1.2768*7.6^2+222.07*7.6-130.11</v>
      </c>
      <c r="AP1149" s="10" t="str">
        <f t="shared" si="129"/>
        <v>y=0.4667*7.6^2+198.27*7.6-98.12</v>
      </c>
      <c r="AQ1149" s="10" t="b">
        <f>IF(AND(I1149="TP",S1149&lt;=150),VLOOKUP(AF1149,TPCalibEq150!$AZ$2:$BB$55,3,),IF(AND(I1149="TDP",S1149&lt;=150),VLOOKUP(AF1149,TPCalibEq150!$AZ$2:$BB$55,3,)))</f>
        <v>0</v>
      </c>
      <c r="AR1149" s="10" t="b">
        <f>IF(AND(I1149="TP",S1149&lt;=300),VLOOKUP(AF1149,TPCalibEq300!$AZ$2:$BB$55,3,),IF(AND(I1149="TDP",S1149&lt;=300),VLOOKUP(AF1149,TPCalibEq300!$AZ$2:$BB$55,3,)))</f>
        <v>0</v>
      </c>
      <c r="AS1149" s="10" t="b">
        <f>IF(AND(I1149="TP",S1149&lt;=500),VLOOKUP(AF1149,TPCalibEq500!$AZ$2:$BB$56,3,),IF(AND(I1149="TDP",S1149&lt;=500),VLOOKUP(AF1149,TPCalibEq500!$AZ$2:$BB$56,3,)))</f>
        <v>0</v>
      </c>
      <c r="AT1149" s="10" t="str">
        <f>IF(AND(I1149="TN",S1149&lt;=2800),VLOOKUP(AF1149,TNCalibEq2500!$AZ$2:$BB$56,3,),IF(AND(I1149="TDN",S1149&lt;=2800),VLOOKUP(AF1149,TNCalibEq2500!$AZ$2:$BB$56,3,)))</f>
        <v>y=-1.2768x2+222.07x-130.11</v>
      </c>
      <c r="AU1149" s="10" t="str">
        <f>IF(I1149="TP",VLOOKUP(AF1149,TPCalibEqFull!$AZ$2:$BB$56,3),IF(I1149="TDP",VLOOKUP(AF1149,TPCalibEqFull!$AZ$2:$BB$56,3),IF(I1149="TDN",VLOOKUP(AF1149,TNCalibEqFull!$AZ$1:$BB$56,3),IF(I1149="TN",VLOOKUP(AF1149,TNCalibEqFull!$AZ$1:$BB$56,3),FALSE))))</f>
        <v>y=0.4667x2+198.27x-98.12</v>
      </c>
      <c r="AV1149" s="10" t="str">
        <f t="shared" si="127"/>
        <v>0117 12:27:00-NWT-0-C-1-SW-UKN</v>
      </c>
    </row>
    <row r="1150" spans="1:48" s="10" customFormat="1" x14ac:dyDescent="0.55000000000000004">
      <c r="A1150" s="32">
        <v>44943</v>
      </c>
      <c r="B1150" s="33">
        <v>0.51874999999999993</v>
      </c>
      <c r="C1150" s="10" t="s">
        <v>445</v>
      </c>
      <c r="D1150" s="10">
        <v>0</v>
      </c>
      <c r="E1150" s="10" t="s">
        <v>190</v>
      </c>
      <c r="F1150" s="10">
        <v>1</v>
      </c>
      <c r="G1150" s="10" t="s">
        <v>231</v>
      </c>
      <c r="H1150" s="10" t="s">
        <v>233</v>
      </c>
      <c r="I1150" s="10" t="s">
        <v>235</v>
      </c>
      <c r="J1150" s="10">
        <v>28</v>
      </c>
      <c r="K1150" s="12">
        <v>44950</v>
      </c>
      <c r="L1150" s="33">
        <v>0.62394675925925924</v>
      </c>
      <c r="M1150" s="10">
        <v>1</v>
      </c>
      <c r="N1150" s="10" t="s">
        <v>196</v>
      </c>
      <c r="O1150" s="10">
        <v>7.62</v>
      </c>
      <c r="P1150" s="10">
        <v>0.46100000000000002</v>
      </c>
      <c r="Q1150" s="10">
        <v>1470</v>
      </c>
      <c r="R1150" s="10" t="s">
        <v>170</v>
      </c>
      <c r="S1150" s="34">
        <f t="shared" si="123"/>
        <v>1487.9267740800001</v>
      </c>
      <c r="T1150" s="10" t="s">
        <v>1068</v>
      </c>
      <c r="U1150" s="34">
        <f t="shared" si="124"/>
        <v>0.27274654961452471</v>
      </c>
      <c r="V1150" s="31" t="str">
        <f>IF(H1150="CHK",VLOOKUP(I1150,QCCHK,3,),IF(H1150="GUP",VLOOKUP(E1150,QCGUP,2,),IF(AND(H1150="ATP",OR(I1150="TN",I1150="TDN",I1150="TNO2-3",I1150="NO2-3")),VLOOKUP(E1150,QCREC_N,2,),IF(AND(H1150="NIC",OR(I1150="TN",I1150="TDN",I1150="TNO2-3",I1150="NO2-3")),VLOOKUP(E1150,QCNIC_N,2,),IF(AND(H1150="UREA",OR(I1150="TN",I1150="TDN",I1150="TNO2-3",I1150="NO2-3")),VLOOKUP(E1150,QCUREA_N,2,),IF(H1150="PER",VLOOKUP(I1150,QCPER,MATCH(E1150,QCACTUAL!$J$25:$AA$25,0),),IF(H1150="SPK",VLOOKUP(I1150,QCSPK,3,),IF(AND(H1150="ATP",OR(I1150="TP",I1150="TDP")),VLOOKUP(E1150,QCATP_P,2,),""))))))))</f>
        <v/>
      </c>
      <c r="W1150" s="31" t="str">
        <f t="shared" si="125"/>
        <v>TRUE</v>
      </c>
      <c r="X1150" s="31" t="str">
        <f t="shared" si="126"/>
        <v>((ABS(rep1-rep2))/((rep1+rep2)/2)*100</v>
      </c>
      <c r="Y1150" s="10" t="s">
        <v>1061</v>
      </c>
      <c r="Z1150" s="10" t="s">
        <v>910</v>
      </c>
      <c r="AF1150" s="12">
        <v>44950</v>
      </c>
      <c r="AJ1150" s="10">
        <f>-1.2768*7.62^2+222.07*7.62-130.11</f>
        <v>1487.9267740800001</v>
      </c>
      <c r="AK1150" s="10">
        <f>0.4667*7.62^2+198.27*7.62-98.12</f>
        <v>1439.7960554800002</v>
      </c>
      <c r="AL1150" s="10" t="str">
        <f t="shared" si="128"/>
        <v>FALSE</v>
      </c>
      <c r="AM1150" s="10" t="str">
        <f t="shared" si="128"/>
        <v>FALSE</v>
      </c>
      <c r="AN1150" s="10" t="str">
        <f t="shared" si="128"/>
        <v>FALSE</v>
      </c>
      <c r="AO1150" s="10" t="str">
        <f t="shared" si="129"/>
        <v>y=-1.2768*7.62^2+222.07*7.62-130.11</v>
      </c>
      <c r="AP1150" s="10" t="str">
        <f t="shared" si="129"/>
        <v>y=0.4667*7.62^2+198.27*7.62-98.12</v>
      </c>
      <c r="AQ1150" s="10" t="b">
        <f>IF(AND(I1150="TP",S1150&lt;=150),VLOOKUP(AF1150,TPCalibEq150!$AZ$2:$BB$55,3,),IF(AND(I1150="TDP",S1150&lt;=150),VLOOKUP(AF1150,TPCalibEq150!$AZ$2:$BB$55,3,)))</f>
        <v>0</v>
      </c>
      <c r="AR1150" s="10" t="b">
        <f>IF(AND(I1150="TP",S1150&lt;=300),VLOOKUP(AF1150,TPCalibEq300!$AZ$2:$BB$55,3,),IF(AND(I1150="TDP",S1150&lt;=300),VLOOKUP(AF1150,TPCalibEq300!$AZ$2:$BB$55,3,)))</f>
        <v>0</v>
      </c>
      <c r="AS1150" s="10" t="b">
        <f>IF(AND(I1150="TP",S1150&lt;=500),VLOOKUP(AF1150,TPCalibEq500!$AZ$2:$BB$56,3,),IF(AND(I1150="TDP",S1150&lt;=500),VLOOKUP(AF1150,TPCalibEq500!$AZ$2:$BB$56,3,)))</f>
        <v>0</v>
      </c>
      <c r="AT1150" s="10" t="str">
        <f>IF(AND(I1150="TN",S1150&lt;=2800),VLOOKUP(AF1150,TNCalibEq2500!$AZ$2:$BB$56,3,),IF(AND(I1150="TDN",S1150&lt;=2800),VLOOKUP(AF1150,TNCalibEq2500!$AZ$2:$BB$56,3,)))</f>
        <v>y=-1.2768x2+222.07x-130.11</v>
      </c>
      <c r="AU1150" s="10" t="str">
        <f>IF(I1150="TP",VLOOKUP(AF1150,TPCalibEqFull!$AZ$2:$BB$56,3),IF(I1150="TDP",VLOOKUP(AF1150,TPCalibEqFull!$AZ$2:$BB$56,3),IF(I1150="TDN",VLOOKUP(AF1150,TNCalibEqFull!$AZ$1:$BB$56,3),IF(I1150="TN",VLOOKUP(AF1150,TNCalibEqFull!$AZ$1:$BB$56,3),FALSE))))</f>
        <v>y=0.4667x2+198.27x-98.12</v>
      </c>
      <c r="AV1150" s="10" t="str">
        <f t="shared" si="127"/>
        <v>0117 12:27:00-NWT-0-C-1-SW-DUP</v>
      </c>
    </row>
    <row r="1151" spans="1:48" s="10" customFormat="1" x14ac:dyDescent="0.55000000000000004">
      <c r="A1151" s="32">
        <v>44943</v>
      </c>
      <c r="B1151" s="33">
        <v>0.51874999999999993</v>
      </c>
      <c r="C1151" s="10" t="s">
        <v>445</v>
      </c>
      <c r="D1151" s="10">
        <v>0</v>
      </c>
      <c r="E1151" s="10" t="s">
        <v>190</v>
      </c>
      <c r="F1151" s="10">
        <v>1</v>
      </c>
      <c r="G1151" s="10" t="s">
        <v>231</v>
      </c>
      <c r="H1151" s="10" t="s">
        <v>314</v>
      </c>
      <c r="I1151" s="10" t="s">
        <v>235</v>
      </c>
      <c r="J1151" s="10">
        <v>59</v>
      </c>
      <c r="K1151" s="12">
        <v>44950</v>
      </c>
      <c r="L1151" s="33">
        <v>0.62460648148148146</v>
      </c>
      <c r="M1151" s="10">
        <v>1</v>
      </c>
      <c r="N1151" s="10" t="s">
        <v>196</v>
      </c>
      <c r="O1151" s="10">
        <v>19.600000000000001</v>
      </c>
      <c r="P1151" s="10">
        <v>1.17</v>
      </c>
      <c r="Q1151" s="10">
        <v>3970</v>
      </c>
      <c r="R1151" s="10" t="s">
        <v>170</v>
      </c>
      <c r="S1151" s="34">
        <f t="shared" si="123"/>
        <v>3970</v>
      </c>
      <c r="T1151" s="10" t="s">
        <v>1068</v>
      </c>
      <c r="U1151" s="34">
        <f t="shared" si="124"/>
        <v>99.282929036799999</v>
      </c>
      <c r="V1151" s="31">
        <f>IF(H1151="CHK",VLOOKUP(I1151,QCCHK,3,),IF(H1151="GUP",VLOOKUP(E1151,QCGUP,2,),IF(AND(H1151="ATP",OR(I1151="TN",I1151="TDN",I1151="TNO2-3",I1151="NO2-3")),VLOOKUP(E1151,QCREC_N,2,),IF(AND(H1151="NIC",OR(I1151="TN",I1151="TDN",I1151="TNO2-3",I1151="NO2-3")),VLOOKUP(E1151,QCNIC_N,2,),IF(AND(H1151="UREA",OR(I1151="TN",I1151="TDN",I1151="TNO2-3",I1151="NO2-3")),VLOOKUP(E1151,QCUREA_N,2,),IF(H1151="PER",VLOOKUP(I1151,QCPER,MATCH(E1151,QCACTUAL!$J$25:$AA$25,0),),IF(H1151="SPK",VLOOKUP(I1151,QCSPK,3,),IF(AND(H1151="ATP",OR(I1151="TP",I1151="TDP")),VLOOKUP(E1151,QCATP_P,2,),""))))))))</f>
        <v>2500</v>
      </c>
      <c r="W1151" s="31" t="str">
        <f t="shared" si="125"/>
        <v>TRUE</v>
      </c>
      <c r="X1151" s="31" t="str">
        <f t="shared" si="126"/>
        <v>([spikedunkn]-[unkn])/[spike]*100</v>
      </c>
      <c r="Y1151" s="10" t="s">
        <v>1061</v>
      </c>
      <c r="Z1151" s="10" t="s">
        <v>910</v>
      </c>
      <c r="AF1151" s="12">
        <v>44950</v>
      </c>
      <c r="AK1151" s="10">
        <f>0.4667*19.6^2+198.27*19.6-98.12</f>
        <v>3967.2594720000006</v>
      </c>
      <c r="AL1151" s="10" t="str">
        <f t="shared" si="128"/>
        <v>FALSE</v>
      </c>
      <c r="AM1151" s="10" t="str">
        <f t="shared" si="128"/>
        <v>FALSE</v>
      </c>
      <c r="AN1151" s="10" t="str">
        <f t="shared" si="128"/>
        <v>FALSE</v>
      </c>
      <c r="AO1151" s="10" t="str">
        <f t="shared" si="129"/>
        <v>FALSE</v>
      </c>
      <c r="AP1151" s="10" t="str">
        <f t="shared" si="129"/>
        <v>y=0.4667*19.6^2+198.27*19.6-98.12</v>
      </c>
      <c r="AQ1151" s="10" t="b">
        <f>IF(AND(I1151="TP",S1151&lt;=150),VLOOKUP(AF1151,TPCalibEq150!$AZ$2:$BB$55,3,),IF(AND(I1151="TDP",S1151&lt;=150),VLOOKUP(AF1151,TPCalibEq150!$AZ$2:$BB$55,3,)))</f>
        <v>0</v>
      </c>
      <c r="AR1151" s="10" t="b">
        <f>IF(AND(I1151="TP",S1151&lt;=300),VLOOKUP(AF1151,TPCalibEq300!$AZ$2:$BB$55,3,),IF(AND(I1151="TDP",S1151&lt;=300),VLOOKUP(AF1151,TPCalibEq300!$AZ$2:$BB$55,3,)))</f>
        <v>0</v>
      </c>
      <c r="AS1151" s="10" t="b">
        <f>IF(AND(I1151="TP",S1151&lt;=500),VLOOKUP(AF1151,TPCalibEq500!$AZ$2:$BB$56,3,),IF(AND(I1151="TDP",S1151&lt;=500),VLOOKUP(AF1151,TPCalibEq500!$AZ$2:$BB$56,3,)))</f>
        <v>0</v>
      </c>
      <c r="AT1151" s="10" t="b">
        <f>IF(AND(I1151="TN",S1151&lt;=2800),VLOOKUP(AF1151,TNCalibEq2500!$AZ$2:$BB$56,3,),IF(AND(I1151="TDN",S1151&lt;=2800),VLOOKUP(AF1151,TNCalibEq2500!$AZ$2:$BB$56,3,)))</f>
        <v>0</v>
      </c>
      <c r="AU1151" s="10" t="str">
        <f>IF(I1151="TP",VLOOKUP(AF1151,TPCalibEqFull!$AZ$2:$BB$56,3),IF(I1151="TDP",VLOOKUP(AF1151,TPCalibEqFull!$AZ$2:$BB$56,3),IF(I1151="TDN",VLOOKUP(AF1151,TNCalibEqFull!$AZ$1:$BB$56,3),IF(I1151="TN",VLOOKUP(AF1151,TNCalibEqFull!$AZ$1:$BB$56,3),FALSE))))</f>
        <v>y=0.4667x2+198.27x-98.12</v>
      </c>
      <c r="AV1151" s="10" t="str">
        <f t="shared" si="127"/>
        <v>0117 12:27:00-NWT-0-C-1-SW-SPK</v>
      </c>
    </row>
    <row r="1152" spans="1:48" s="10" customFormat="1" x14ac:dyDescent="0.55000000000000004">
      <c r="A1152" s="32">
        <v>44950</v>
      </c>
      <c r="B1152" s="33">
        <v>0.375</v>
      </c>
      <c r="C1152" s="10" t="s">
        <v>70</v>
      </c>
      <c r="D1152" s="10" t="s">
        <v>71</v>
      </c>
      <c r="E1152" s="10" t="s">
        <v>901</v>
      </c>
      <c r="F1152" s="10">
        <v>1</v>
      </c>
      <c r="G1152" s="10" t="s">
        <v>73</v>
      </c>
      <c r="H1152" s="10" t="s">
        <v>207</v>
      </c>
      <c r="I1152" s="10" t="s">
        <v>235</v>
      </c>
      <c r="J1152" s="10">
        <v>200</v>
      </c>
      <c r="K1152" s="12">
        <v>44950</v>
      </c>
      <c r="L1152" s="33">
        <v>0.62527777777777771</v>
      </c>
      <c r="M1152" s="10">
        <v>1</v>
      </c>
      <c r="N1152" s="10" t="s">
        <v>196</v>
      </c>
      <c r="O1152" s="10">
        <v>6.26</v>
      </c>
      <c r="P1152" s="10">
        <v>0.38</v>
      </c>
      <c r="Q1152" s="10">
        <v>1190</v>
      </c>
      <c r="R1152" s="10" t="s">
        <v>170</v>
      </c>
      <c r="S1152" s="34">
        <f t="shared" si="123"/>
        <v>1210.0134723199999</v>
      </c>
      <c r="T1152" s="10" t="s">
        <v>1068</v>
      </c>
      <c r="U1152" s="34">
        <f t="shared" si="124"/>
        <v>96.801077785599986</v>
      </c>
      <c r="V1152" s="31">
        <f>IF(H1152="CHK",VLOOKUP(I1152,QCCHK,3,),IF(H1152="GUP",VLOOKUP(E1152,QCGUP,2,),IF(AND(H1152="ATP",OR(I1152="TN",I1152="TDN",I1152="TNO2-3",I1152="NO2-3")),VLOOKUP(E1152,QCREC_N,2,),IF(AND(H1152="NIC",OR(I1152="TN",I1152="TDN",I1152="TNO2-3",I1152="NO2-3")),VLOOKUP(E1152,QCNIC_N,2,),IF(AND(H1152="UREA",OR(I1152="TN",I1152="TDN",I1152="TNO2-3",I1152="NO2-3")),VLOOKUP(E1152,QCUREA_N,2,),IF(H1152="PER",VLOOKUP(I1152,QCPER,MATCH(E1152,QCACTUAL!$J$25:$AA$25,0),),IF(H1152="SPK",VLOOKUP(I1152,QCSPK,3,),IF(AND(H1152="ATP",OR(I1152="TP",I1152="TDP")),VLOOKUP(E1152,QCATP_P,2,),""))))))))</f>
        <v>1250</v>
      </c>
      <c r="W1152" s="31" t="str">
        <f t="shared" si="125"/>
        <v>TRUE</v>
      </c>
      <c r="X1152" s="31" t="str">
        <f t="shared" si="126"/>
        <v>[chk]/[actual]*100</v>
      </c>
      <c r="Y1152" s="10" t="s">
        <v>1061</v>
      </c>
      <c r="AF1152" s="12">
        <v>44950</v>
      </c>
      <c r="AJ1152" s="10">
        <f>-1.2768*6.26^2+222.07*6.26-130.11</f>
        <v>1210.0134723199999</v>
      </c>
      <c r="AK1152" s="10">
        <f>0.4667*6.26^2+198.27*6.26-98.12</f>
        <v>1161.3390529200001</v>
      </c>
      <c r="AL1152" s="10" t="str">
        <f t="shared" si="128"/>
        <v>FALSE</v>
      </c>
      <c r="AM1152" s="10" t="str">
        <f t="shared" si="128"/>
        <v>FALSE</v>
      </c>
      <c r="AN1152" s="10" t="str">
        <f t="shared" si="128"/>
        <v>FALSE</v>
      </c>
      <c r="AO1152" s="10" t="str">
        <f t="shared" si="129"/>
        <v>y=-1.2768*6.26^2+222.07*6.26-130.11</v>
      </c>
      <c r="AP1152" s="10" t="str">
        <f t="shared" si="129"/>
        <v>y=0.4667*6.26^2+198.27*6.26-98.12</v>
      </c>
      <c r="AQ1152" s="10" t="b">
        <f>IF(AND(I1152="TP",S1152&lt;=150),VLOOKUP(AF1152,TPCalibEq150!$AZ$2:$BB$55,3,),IF(AND(I1152="TDP",S1152&lt;=150),VLOOKUP(AF1152,TPCalibEq150!$AZ$2:$BB$55,3,)))</f>
        <v>0</v>
      </c>
      <c r="AR1152" s="10" t="b">
        <f>IF(AND(I1152="TP",S1152&lt;=300),VLOOKUP(AF1152,TPCalibEq300!$AZ$2:$BB$55,3,),IF(AND(I1152="TDP",S1152&lt;=300),VLOOKUP(AF1152,TPCalibEq300!$AZ$2:$BB$55,3,)))</f>
        <v>0</v>
      </c>
      <c r="AS1152" s="10" t="b">
        <f>IF(AND(I1152="TP",S1152&lt;=500),VLOOKUP(AF1152,TPCalibEq500!$AZ$2:$BB$56,3,),IF(AND(I1152="TDP",S1152&lt;=500),VLOOKUP(AF1152,TPCalibEq500!$AZ$2:$BB$56,3,)))</f>
        <v>0</v>
      </c>
      <c r="AT1152" s="10" t="str">
        <f>IF(AND(I1152="TN",S1152&lt;=2800),VLOOKUP(AF1152,TNCalibEq2500!$AZ$2:$BB$56,3,),IF(AND(I1152="TDN",S1152&lt;=2800),VLOOKUP(AF1152,TNCalibEq2500!$AZ$2:$BB$56,3,)))</f>
        <v>y=-1.2768x2+222.07x-130.11</v>
      </c>
      <c r="AU1152" s="10" t="str">
        <f>IF(I1152="TP",VLOOKUP(AF1152,TPCalibEqFull!$AZ$2:$BB$56,3),IF(I1152="TDP",VLOOKUP(AF1152,TPCalibEqFull!$AZ$2:$BB$56,3),IF(I1152="TDN",VLOOKUP(AF1152,TNCalibEqFull!$AZ$1:$BB$56,3),IF(I1152="TN",VLOOKUP(AF1152,TNCalibEqFull!$AZ$1:$BB$56,3),FALSE))))</f>
        <v>y=0.4667x2+198.27x-98.12</v>
      </c>
      <c r="AV1152" s="10" t="str">
        <f t="shared" si="127"/>
        <v>0124 09:00:00-QAC-STD-D-1-DI-CHK</v>
      </c>
    </row>
    <row r="1153" spans="1:48" s="10" customFormat="1" x14ac:dyDescent="0.55000000000000004">
      <c r="A1153" s="32">
        <v>44937</v>
      </c>
      <c r="B1153" s="33">
        <v>0.24027777777777778</v>
      </c>
      <c r="C1153" s="10" t="s">
        <v>279</v>
      </c>
      <c r="D1153" s="10">
        <v>0</v>
      </c>
      <c r="E1153" s="10" t="s">
        <v>911</v>
      </c>
      <c r="F1153" s="10">
        <v>1</v>
      </c>
      <c r="G1153" s="10" t="s">
        <v>231</v>
      </c>
      <c r="H1153" s="10" t="s">
        <v>322</v>
      </c>
      <c r="I1153" s="10" t="s">
        <v>224</v>
      </c>
      <c r="J1153" s="10">
        <v>29</v>
      </c>
      <c r="K1153" s="12">
        <v>44950</v>
      </c>
      <c r="L1153" s="33">
        <v>0.62593750000000004</v>
      </c>
      <c r="M1153" s="10">
        <v>1</v>
      </c>
      <c r="N1153" s="10" t="s">
        <v>196</v>
      </c>
      <c r="O1153" s="10">
        <v>5.22</v>
      </c>
      <c r="P1153" s="10">
        <v>0.315</v>
      </c>
      <c r="Q1153" s="10">
        <v>969</v>
      </c>
      <c r="R1153" s="10" t="s">
        <v>170</v>
      </c>
      <c r="S1153" s="34">
        <f t="shared" si="123"/>
        <v>994.30464287999973</v>
      </c>
      <c r="T1153" s="10" t="s">
        <v>1068</v>
      </c>
      <c r="U1153" s="34" t="str">
        <f t="shared" si="124"/>
        <v/>
      </c>
      <c r="V1153" s="31" t="str">
        <f>IF(H1153="CHK",VLOOKUP(I1153,QCCHK,3,),IF(H1153="GUP",VLOOKUP(E1153,QCGUP,2,),IF(AND(H1153="ATP",OR(I1153="TN",I1153="TDN",I1153="TNO2-3",I1153="NO2-3")),VLOOKUP(E1153,QCREC_N,2,),IF(AND(H1153="NIC",OR(I1153="TN",I1153="TDN",I1153="TNO2-3",I1153="NO2-3")),VLOOKUP(E1153,QCNIC_N,2,),IF(AND(H1153="UREA",OR(I1153="TN",I1153="TDN",I1153="TNO2-3",I1153="NO2-3")),VLOOKUP(E1153,QCUREA_N,2,),IF(H1153="PER",VLOOKUP(I1153,QCPER,MATCH(E1153,QCACTUAL!$J$25:$AA$25,0),),IF(H1153="SPK",VLOOKUP(I1153,QCSPK,3,),IF(AND(H1153="ATP",OR(I1153="TP",I1153="TDP")),VLOOKUP(E1153,QCATP_P,2,),""))))))))</f>
        <v/>
      </c>
      <c r="W1153" s="31" t="str">
        <f t="shared" si="125"/>
        <v>TRUE</v>
      </c>
      <c r="X1153" s="31" t="str">
        <f t="shared" ref="X1153:X1216" si="130">IF(ISNA(VLOOKUP(H1153,QCEQUATIONS,2,)),"",(VLOOKUP(H1153,QCEQUATIONS,2,)))</f>
        <v/>
      </c>
      <c r="Y1153" s="10" t="s">
        <v>1061</v>
      </c>
      <c r="Z1153" s="10" t="s">
        <v>910</v>
      </c>
      <c r="AF1153" s="12">
        <v>44950</v>
      </c>
      <c r="AJ1153" s="10">
        <f>-1.2768*5.22^2+222.07*5.22-130.11</f>
        <v>994.30464287999973</v>
      </c>
      <c r="AK1153" s="10">
        <f>0.4667*5.22^2+198.27*5.22-98.12</f>
        <v>949.56622828000002</v>
      </c>
      <c r="AL1153" s="10" t="str">
        <f t="shared" si="128"/>
        <v>FALSE</v>
      </c>
      <c r="AM1153" s="10" t="str">
        <f t="shared" si="128"/>
        <v>FALSE</v>
      </c>
      <c r="AN1153" s="10" t="str">
        <f t="shared" si="128"/>
        <v>FALSE</v>
      </c>
      <c r="AO1153" s="10" t="str">
        <f t="shared" si="129"/>
        <v>y=-1.2768*5.22^2+222.07*5.22-130.11</v>
      </c>
      <c r="AP1153" s="10" t="str">
        <f t="shared" si="129"/>
        <v>y=0.4667*5.22^2+198.27*5.22-98.12</v>
      </c>
      <c r="AQ1153" s="10" t="b">
        <f>IF(AND(I1153="TP",S1153&lt;=150),VLOOKUP(AF1153,TPCalibEq150!$AZ$2:$BB$55,3,),IF(AND(I1153="TDP",S1153&lt;=150),VLOOKUP(AF1153,TPCalibEq150!$AZ$2:$BB$55,3,)))</f>
        <v>0</v>
      </c>
      <c r="AR1153" s="10" t="b">
        <f>IF(AND(I1153="TP",S1153&lt;=300),VLOOKUP(AF1153,TPCalibEq300!$AZ$2:$BB$55,3,),IF(AND(I1153="TDP",S1153&lt;=300),VLOOKUP(AF1153,TPCalibEq300!$AZ$2:$BB$55,3,)))</f>
        <v>0</v>
      </c>
      <c r="AS1153" s="10" t="b">
        <f>IF(AND(I1153="TP",S1153&lt;=500),VLOOKUP(AF1153,TPCalibEq500!$AZ$2:$BB$56,3,),IF(AND(I1153="TDP",S1153&lt;=500),VLOOKUP(AF1153,TPCalibEq500!$AZ$2:$BB$56,3,)))</f>
        <v>0</v>
      </c>
      <c r="AT1153" s="10" t="str">
        <f>IF(AND(I1153="TN",S1153&lt;=2800),VLOOKUP(AF1153,TNCalibEq2500!$AZ$2:$BB$56,3,),IF(AND(I1153="TDN",S1153&lt;=2800),VLOOKUP(AF1153,TNCalibEq2500!$AZ$2:$BB$56,3,)))</f>
        <v>y=-1.2768x2+222.07x-130.11</v>
      </c>
      <c r="AU1153" s="10" t="str">
        <f>IF(I1153="TP",VLOOKUP(AF1153,TPCalibEqFull!$AZ$2:$BB$56,3),IF(I1153="TDP",VLOOKUP(AF1153,TPCalibEqFull!$AZ$2:$BB$56,3),IF(I1153="TDN",VLOOKUP(AF1153,TNCalibEqFull!$AZ$1:$BB$56,3),IF(I1153="TN",VLOOKUP(AF1153,TNCalibEqFull!$AZ$1:$BB$56,3),FALSE))))</f>
        <v>y=0.4667x2+198.27x-98.12</v>
      </c>
      <c r="AV1153" s="10" t="str">
        <f t="shared" si="127"/>
        <v>0111 05:46:00-EFK-0-FIL-1-SW-UKN</v>
      </c>
    </row>
    <row r="1154" spans="1:48" s="10" customFormat="1" x14ac:dyDescent="0.55000000000000004">
      <c r="A1154" s="32">
        <v>44937</v>
      </c>
      <c r="B1154" s="33">
        <v>0.24513888888888888</v>
      </c>
      <c r="C1154" s="10" t="s">
        <v>333</v>
      </c>
      <c r="D1154" s="10">
        <v>0</v>
      </c>
      <c r="E1154" s="10" t="s">
        <v>911</v>
      </c>
      <c r="F1154" s="10">
        <v>1</v>
      </c>
      <c r="G1154" s="10" t="s">
        <v>231</v>
      </c>
      <c r="H1154" s="10" t="s">
        <v>322</v>
      </c>
      <c r="I1154" s="10" t="s">
        <v>224</v>
      </c>
      <c r="J1154" s="10">
        <v>30</v>
      </c>
      <c r="K1154" s="12">
        <v>44950</v>
      </c>
      <c r="L1154" s="33">
        <v>0.6265856481481481</v>
      </c>
      <c r="M1154" s="10">
        <v>1</v>
      </c>
      <c r="N1154" s="10" t="s">
        <v>196</v>
      </c>
      <c r="O1154" s="10">
        <v>5</v>
      </c>
      <c r="P1154" s="10">
        <v>0.29899999999999999</v>
      </c>
      <c r="Q1154" s="10">
        <v>924</v>
      </c>
      <c r="R1154" s="10" t="s">
        <v>170</v>
      </c>
      <c r="S1154" s="34">
        <f t="shared" ref="S1154:S1216" si="131">IF(OR(AND(I1154&lt;&gt;"TP", I1154&lt;&gt;"TDP",I1154&lt;&gt;"TN", I1154&lt;&gt;"TDN"),H1154="CAL"), Q1154*M1154, IF(OR(AND(I1154="TN", Q1154&gt;2500), AND(I1154="TDN", Q1154&gt;2500)),MAX(Q1154, AK1154)*M1154, IF(OR(AND(I1154="TN", Q1154&lt;=2500), AND(I1154="TDN", Q1154&lt;=2500)),MAX(Q1154, AJ1154,AK1154)*M1154, IF(OR(AND(I1154="TP",Q1154&gt;500), AND(I1154="TDP", Q1154&gt;500)),MAX(Q1154,AK1154)*M1154,IF(OR(AND(I1154="TP",Q1154&lt;=150), AND(I1154="TDP", Q1154&lt;=150)),MAX(Q1154,AG1154:AI1154,AK1154)*M1154,IF(OR(AND(I1154="TP",Q1154&lt;=300), AND(I1154="TDP", Q1154&lt;=300)),MAX(Q1154,AH1154,AI1154,AK1154)*M1154,IF(OR(AND(I1154="TP",Q1154&lt;=500), AND(I1154="TDP", Q1154&lt;=500)),MAX(Q1154,AI1154,AK1154)*M1154,"")))))))</f>
        <v>948.31999999999982</v>
      </c>
      <c r="T1154" s="10" t="s">
        <v>1068</v>
      </c>
      <c r="U1154" s="34" t="str">
        <f t="shared" ref="U1154:U1217" si="132">IF(OR(H1154="CHK",H1154="ATP",H1154="GUP",H1154="PER", H1154="NIC", H1154="UREA"),(S1154/V1154*100),IF(H1154="DUP",((ABS(S1154-S1153))/((S1153+S1154)/2))*100,IF(H1154="SPK",((S1154-S1153)/V1154*100),IF(OR(H1154="LAB",H1154="FLD",H1154="ESF"),S1154,""))))</f>
        <v/>
      </c>
      <c r="V1154" s="31" t="str">
        <f>IF(H1154="CHK",VLOOKUP(I1154,QCCHK,3,),IF(H1154="GUP",VLOOKUP(E1154,QCGUP,2,),IF(AND(H1154="ATP",OR(I1154="TN",I1154="TDN",I1154="TNO2-3",I1154="NO2-3")),VLOOKUP(E1154,QCREC_N,2,),IF(AND(H1154="NIC",OR(I1154="TN",I1154="TDN",I1154="TNO2-3",I1154="NO2-3")),VLOOKUP(E1154,QCNIC_N,2,),IF(AND(H1154="UREA",OR(I1154="TN",I1154="TDN",I1154="TNO2-3",I1154="NO2-3")),VLOOKUP(E1154,QCUREA_N,2,),IF(H1154="PER",VLOOKUP(I1154,QCPER,MATCH(E1154,QCACTUAL!$J$25:$AA$25,0),),IF(H1154="SPK",VLOOKUP(I1154,QCSPK,3,),IF(AND(H1154="ATP",OR(I1154="TP",I1154="TDP")),VLOOKUP(E1154,QCATP_P,2,),""))))))))</f>
        <v/>
      </c>
      <c r="W1154" s="31" t="str">
        <f t="shared" ref="W1154:W1217" si="133">IF(AND(OR(H1154="PER",H1154="ATP",H1154="GUP",H1154="CHK",H1154="SPK", H1154="NIC"),OR(U1154&gt;125,U1154&lt;75)),"FALSE",IF(AND(H1154="DUP",OR(U1154&gt;25, U1154&lt;-25)),"FALSE",IF(AND(OR(H1154="LAB",H1154="FLD",H1154="ESF"),U1154&gt;15),"FALSE","TRUE")))</f>
        <v>TRUE</v>
      </c>
      <c r="X1154" s="31" t="str">
        <f t="shared" si="130"/>
        <v/>
      </c>
      <c r="Y1154" s="10" t="s">
        <v>1061</v>
      </c>
      <c r="Z1154" s="10" t="s">
        <v>910</v>
      </c>
      <c r="AF1154" s="12">
        <v>44950</v>
      </c>
      <c r="AJ1154" s="10">
        <f>-1.2768*5^2+222.07*5-130.11</f>
        <v>948.31999999999982</v>
      </c>
      <c r="AK1154" s="10">
        <f>0.4667*5^2+198.27*5-98.12</f>
        <v>904.89750000000004</v>
      </c>
      <c r="AL1154" s="10" t="str">
        <f t="shared" si="128"/>
        <v>FALSE</v>
      </c>
      <c r="AM1154" s="10" t="str">
        <f t="shared" si="128"/>
        <v>FALSE</v>
      </c>
      <c r="AN1154" s="10" t="str">
        <f t="shared" si="128"/>
        <v>FALSE</v>
      </c>
      <c r="AO1154" s="10" t="str">
        <f t="shared" si="129"/>
        <v>y=-1.2768*5^2+222.07*5-130.11</v>
      </c>
      <c r="AP1154" s="10" t="str">
        <f t="shared" si="129"/>
        <v>y=0.4667*5^2+198.27*5-98.12</v>
      </c>
      <c r="AQ1154" s="10" t="b">
        <f>IF(AND(I1154="TP",S1154&lt;=150),VLOOKUP(AF1154,TPCalibEq150!$AZ$2:$BB$55,3,),IF(AND(I1154="TDP",S1154&lt;=150),VLOOKUP(AF1154,TPCalibEq150!$AZ$2:$BB$55,3,)))</f>
        <v>0</v>
      </c>
      <c r="AR1154" s="10" t="b">
        <f>IF(AND(I1154="TP",S1154&lt;=300),VLOOKUP(AF1154,TPCalibEq300!$AZ$2:$BB$55,3,),IF(AND(I1154="TDP",S1154&lt;=300),VLOOKUP(AF1154,TPCalibEq300!$AZ$2:$BB$55,3,)))</f>
        <v>0</v>
      </c>
      <c r="AS1154" s="10" t="b">
        <f>IF(AND(I1154="TP",S1154&lt;=500),VLOOKUP(AF1154,TPCalibEq500!$AZ$2:$BB$56,3,),IF(AND(I1154="TDP",S1154&lt;=500),VLOOKUP(AF1154,TPCalibEq500!$AZ$2:$BB$56,3,)))</f>
        <v>0</v>
      </c>
      <c r="AT1154" s="10" t="str">
        <f>IF(AND(I1154="TN",S1154&lt;=2800),VLOOKUP(AF1154,TNCalibEq2500!$AZ$2:$BB$56,3,),IF(AND(I1154="TDN",S1154&lt;=2800),VLOOKUP(AF1154,TNCalibEq2500!$AZ$2:$BB$56,3,)))</f>
        <v>y=-1.2768x2+222.07x-130.11</v>
      </c>
      <c r="AU1154" s="10" t="str">
        <f>IF(I1154="TP",VLOOKUP(AF1154,TPCalibEqFull!$AZ$2:$BB$56,3),IF(I1154="TDP",VLOOKUP(AF1154,TPCalibEqFull!$AZ$2:$BB$56,3),IF(I1154="TDN",VLOOKUP(AF1154,TNCalibEqFull!$AZ$1:$BB$56,3),IF(I1154="TN",VLOOKUP(AF1154,TNCalibEqFull!$AZ$1:$BB$56,3),FALSE))))</f>
        <v>y=0.4667x2+198.27x-98.12</v>
      </c>
      <c r="AV1154" s="10" t="str">
        <f t="shared" ref="AV1154:AV1217" si="134">TEXT(A1154, "MMDD")&amp;" "&amp;TEXT(B1154, "HH:MM:SS")&amp;"-"&amp;C1154&amp;"-"&amp;D1154&amp;"-"&amp;E1154&amp;"-"&amp;F1154&amp;"-"&amp;G1154&amp;"-"&amp;H1154</f>
        <v>0111 05:53:00-HST-0-FIL-1-SW-UKN</v>
      </c>
    </row>
    <row r="1155" spans="1:48" s="10" customFormat="1" x14ac:dyDescent="0.55000000000000004">
      <c r="A1155" s="32">
        <v>44938</v>
      </c>
      <c r="B1155" s="33">
        <v>0.43958333333333338</v>
      </c>
      <c r="C1155" s="10" t="s">
        <v>279</v>
      </c>
      <c r="D1155" s="10">
        <v>0</v>
      </c>
      <c r="E1155" s="10" t="s">
        <v>911</v>
      </c>
      <c r="F1155" s="10">
        <v>1</v>
      </c>
      <c r="G1155" s="10" t="s">
        <v>231</v>
      </c>
      <c r="H1155" s="10" t="s">
        <v>322</v>
      </c>
      <c r="I1155" s="10" t="s">
        <v>224</v>
      </c>
      <c r="J1155" s="10">
        <v>31</v>
      </c>
      <c r="K1155" s="12">
        <v>44950</v>
      </c>
      <c r="L1155" s="33">
        <v>0.6272685185185185</v>
      </c>
      <c r="M1155" s="10">
        <v>1</v>
      </c>
      <c r="N1155" s="10" t="s">
        <v>196</v>
      </c>
      <c r="O1155" s="10">
        <v>5.51</v>
      </c>
      <c r="P1155" s="10">
        <v>0.33100000000000002</v>
      </c>
      <c r="Q1155" s="10">
        <v>1030</v>
      </c>
      <c r="R1155" s="10" t="s">
        <v>170</v>
      </c>
      <c r="S1155" s="34">
        <f t="shared" si="131"/>
        <v>1054.73192432</v>
      </c>
      <c r="T1155" s="10" t="s">
        <v>1068</v>
      </c>
      <c r="U1155" s="34" t="str">
        <f t="shared" si="132"/>
        <v/>
      </c>
      <c r="V1155" s="31" t="str">
        <f>IF(H1155="CHK",VLOOKUP(I1155,QCCHK,3,),IF(H1155="GUP",VLOOKUP(E1155,QCGUP,2,),IF(AND(H1155="ATP",OR(I1155="TN",I1155="TDN",I1155="TNO2-3",I1155="NO2-3")),VLOOKUP(E1155,QCREC_N,2,),IF(AND(H1155="NIC",OR(I1155="TN",I1155="TDN",I1155="TNO2-3",I1155="NO2-3")),VLOOKUP(E1155,QCNIC_N,2,),IF(AND(H1155="UREA",OR(I1155="TN",I1155="TDN",I1155="TNO2-3",I1155="NO2-3")),VLOOKUP(E1155,QCUREA_N,2,),IF(H1155="PER",VLOOKUP(I1155,QCPER,MATCH(E1155,QCACTUAL!$J$25:$AA$25,0),),IF(H1155="SPK",VLOOKUP(I1155,QCSPK,3,),IF(AND(H1155="ATP",OR(I1155="TP",I1155="TDP")),VLOOKUP(E1155,QCATP_P,2,),""))))))))</f>
        <v/>
      </c>
      <c r="W1155" s="31" t="str">
        <f t="shared" si="133"/>
        <v>TRUE</v>
      </c>
      <c r="X1155" s="31" t="str">
        <f t="shared" si="130"/>
        <v/>
      </c>
      <c r="Y1155" s="10" t="s">
        <v>1061</v>
      </c>
      <c r="Z1155" s="10" t="s">
        <v>910</v>
      </c>
      <c r="AF1155" s="12">
        <v>44950</v>
      </c>
      <c r="AJ1155" s="10">
        <f>-1.2768*5.51^2+222.07*5.51-130.11</f>
        <v>1054.73192432</v>
      </c>
      <c r="AK1155" s="10">
        <f>0.4667*5.51^2+198.27*5.51-98.12</f>
        <v>1008.5167586699998</v>
      </c>
      <c r="AL1155" s="10" t="str">
        <f t="shared" si="128"/>
        <v>FALSE</v>
      </c>
      <c r="AM1155" s="10" t="str">
        <f t="shared" si="128"/>
        <v>FALSE</v>
      </c>
      <c r="AN1155" s="10" t="str">
        <f t="shared" si="128"/>
        <v>FALSE</v>
      </c>
      <c r="AO1155" s="10" t="str">
        <f t="shared" si="129"/>
        <v>y=-1.2768*5.51^2+222.07*5.51-130.11</v>
      </c>
      <c r="AP1155" s="10" t="str">
        <f t="shared" si="129"/>
        <v>y=0.4667*5.51^2+198.27*5.51-98.12</v>
      </c>
      <c r="AQ1155" s="10" t="b">
        <f>IF(AND(I1155="TP",S1155&lt;=150),VLOOKUP(AF1155,TPCalibEq150!$AZ$2:$BB$55,3,),IF(AND(I1155="TDP",S1155&lt;=150),VLOOKUP(AF1155,TPCalibEq150!$AZ$2:$BB$55,3,)))</f>
        <v>0</v>
      </c>
      <c r="AR1155" s="10" t="b">
        <f>IF(AND(I1155="TP",S1155&lt;=300),VLOOKUP(AF1155,TPCalibEq300!$AZ$2:$BB$55,3,),IF(AND(I1155="TDP",S1155&lt;=300),VLOOKUP(AF1155,TPCalibEq300!$AZ$2:$BB$55,3,)))</f>
        <v>0</v>
      </c>
      <c r="AS1155" s="10" t="b">
        <f>IF(AND(I1155="TP",S1155&lt;=500),VLOOKUP(AF1155,TPCalibEq500!$AZ$2:$BB$56,3,),IF(AND(I1155="TDP",S1155&lt;=500),VLOOKUP(AF1155,TPCalibEq500!$AZ$2:$BB$56,3,)))</f>
        <v>0</v>
      </c>
      <c r="AT1155" s="10" t="str">
        <f>IF(AND(I1155="TN",S1155&lt;=2800),VLOOKUP(AF1155,TNCalibEq2500!$AZ$2:$BB$56,3,),IF(AND(I1155="TDN",S1155&lt;=2800),VLOOKUP(AF1155,TNCalibEq2500!$AZ$2:$BB$56,3,)))</f>
        <v>y=-1.2768x2+222.07x-130.11</v>
      </c>
      <c r="AU1155" s="10" t="str">
        <f>IF(I1155="TP",VLOOKUP(AF1155,TPCalibEqFull!$AZ$2:$BB$56,3),IF(I1155="TDP",VLOOKUP(AF1155,TPCalibEqFull!$AZ$2:$BB$56,3),IF(I1155="TDN",VLOOKUP(AF1155,TNCalibEqFull!$AZ$1:$BB$56,3),IF(I1155="TN",VLOOKUP(AF1155,TNCalibEqFull!$AZ$1:$BB$56,3),FALSE))))</f>
        <v>y=0.4667x2+198.27x-98.12</v>
      </c>
      <c r="AV1155" s="10" t="str">
        <f t="shared" si="134"/>
        <v>0112 10:33:00-EFK-0-FIL-1-SW-UKN</v>
      </c>
    </row>
    <row r="1156" spans="1:48" s="10" customFormat="1" x14ac:dyDescent="0.55000000000000004">
      <c r="A1156" s="32">
        <v>44938</v>
      </c>
      <c r="B1156" s="33">
        <v>0.4548611111111111</v>
      </c>
      <c r="C1156" s="10" t="s">
        <v>333</v>
      </c>
      <c r="D1156" s="10">
        <v>0</v>
      </c>
      <c r="E1156" s="10" t="s">
        <v>911</v>
      </c>
      <c r="F1156" s="10">
        <v>1</v>
      </c>
      <c r="G1156" s="10" t="s">
        <v>231</v>
      </c>
      <c r="H1156" s="10" t="s">
        <v>322</v>
      </c>
      <c r="I1156" s="10" t="s">
        <v>224</v>
      </c>
      <c r="J1156" s="10">
        <v>32</v>
      </c>
      <c r="K1156" s="12">
        <v>44950</v>
      </c>
      <c r="L1156" s="33">
        <v>0.62793981481481487</v>
      </c>
      <c r="M1156" s="10">
        <v>1</v>
      </c>
      <c r="N1156" s="10" t="s">
        <v>196</v>
      </c>
      <c r="O1156" s="10">
        <v>5.01</v>
      </c>
      <c r="P1156" s="10">
        <v>0.30299999999999999</v>
      </c>
      <c r="Q1156" s="10">
        <v>924</v>
      </c>
      <c r="R1156" s="10" t="s">
        <v>170</v>
      </c>
      <c r="S1156" s="34">
        <f t="shared" si="131"/>
        <v>950.41289231999997</v>
      </c>
      <c r="T1156" s="10" t="s">
        <v>1068</v>
      </c>
      <c r="U1156" s="34" t="str">
        <f t="shared" si="132"/>
        <v/>
      </c>
      <c r="V1156" s="31" t="str">
        <f>IF(H1156="CHK",VLOOKUP(I1156,QCCHK,3,),IF(H1156="GUP",VLOOKUP(E1156,QCGUP,2,),IF(AND(H1156="ATP",OR(I1156="TN",I1156="TDN",I1156="TNO2-3",I1156="NO2-3")),VLOOKUP(E1156,QCREC_N,2,),IF(AND(H1156="NIC",OR(I1156="TN",I1156="TDN",I1156="TNO2-3",I1156="NO2-3")),VLOOKUP(E1156,QCNIC_N,2,),IF(AND(H1156="UREA",OR(I1156="TN",I1156="TDN",I1156="TNO2-3",I1156="NO2-3")),VLOOKUP(E1156,QCUREA_N,2,),IF(H1156="PER",VLOOKUP(I1156,QCPER,MATCH(E1156,QCACTUAL!$J$25:$AA$25,0),),IF(H1156="SPK",VLOOKUP(I1156,QCSPK,3,),IF(AND(H1156="ATP",OR(I1156="TP",I1156="TDP")),VLOOKUP(E1156,QCATP_P,2,),""))))))))</f>
        <v/>
      </c>
      <c r="W1156" s="31" t="str">
        <f t="shared" si="133"/>
        <v>TRUE</v>
      </c>
      <c r="X1156" s="31" t="str">
        <f t="shared" si="130"/>
        <v/>
      </c>
      <c r="Y1156" s="10" t="s">
        <v>1061</v>
      </c>
      <c r="Z1156" s="10" t="s">
        <v>910</v>
      </c>
      <c r="AF1156" s="12">
        <v>44950</v>
      </c>
      <c r="AJ1156" s="10">
        <f>-1.2768*5.01^2+222.07*5.01-130.11</f>
        <v>950.41289231999997</v>
      </c>
      <c r="AK1156" s="10">
        <f>0.4667*5.01^2+198.27*5.01-98.12</f>
        <v>906.92691667000008</v>
      </c>
      <c r="AL1156" s="10" t="str">
        <f t="shared" si="128"/>
        <v>FALSE</v>
      </c>
      <c r="AM1156" s="10" t="str">
        <f t="shared" si="128"/>
        <v>FALSE</v>
      </c>
      <c r="AN1156" s="10" t="str">
        <f t="shared" si="128"/>
        <v>FALSE</v>
      </c>
      <c r="AO1156" s="10" t="str">
        <f t="shared" si="129"/>
        <v>y=-1.2768*5.01^2+222.07*5.01-130.11</v>
      </c>
      <c r="AP1156" s="10" t="str">
        <f t="shared" si="129"/>
        <v>y=0.4667*5.01^2+198.27*5.01-98.12</v>
      </c>
      <c r="AQ1156" s="10" t="b">
        <f>IF(AND(I1156="TP",S1156&lt;=150),VLOOKUP(AF1156,TPCalibEq150!$AZ$2:$BB$55,3,),IF(AND(I1156="TDP",S1156&lt;=150),VLOOKUP(AF1156,TPCalibEq150!$AZ$2:$BB$55,3,)))</f>
        <v>0</v>
      </c>
      <c r="AR1156" s="10" t="b">
        <f>IF(AND(I1156="TP",S1156&lt;=300),VLOOKUP(AF1156,TPCalibEq300!$AZ$2:$BB$55,3,),IF(AND(I1156="TDP",S1156&lt;=300),VLOOKUP(AF1156,TPCalibEq300!$AZ$2:$BB$55,3,)))</f>
        <v>0</v>
      </c>
      <c r="AS1156" s="10" t="b">
        <f>IF(AND(I1156="TP",S1156&lt;=500),VLOOKUP(AF1156,TPCalibEq500!$AZ$2:$BB$56,3,),IF(AND(I1156="TDP",S1156&lt;=500),VLOOKUP(AF1156,TPCalibEq500!$AZ$2:$BB$56,3,)))</f>
        <v>0</v>
      </c>
      <c r="AT1156" s="10" t="str">
        <f>IF(AND(I1156="TN",S1156&lt;=2800),VLOOKUP(AF1156,TNCalibEq2500!$AZ$2:$BB$56,3,),IF(AND(I1156="TDN",S1156&lt;=2800),VLOOKUP(AF1156,TNCalibEq2500!$AZ$2:$BB$56,3,)))</f>
        <v>y=-1.2768x2+222.07x-130.11</v>
      </c>
      <c r="AU1156" s="10" t="str">
        <f>IF(I1156="TP",VLOOKUP(AF1156,TPCalibEqFull!$AZ$2:$BB$56,3),IF(I1156="TDP",VLOOKUP(AF1156,TPCalibEqFull!$AZ$2:$BB$56,3),IF(I1156="TDN",VLOOKUP(AF1156,TNCalibEqFull!$AZ$1:$BB$56,3),IF(I1156="TN",VLOOKUP(AF1156,TNCalibEqFull!$AZ$1:$BB$56,3),FALSE))))</f>
        <v>y=0.4667x2+198.27x-98.12</v>
      </c>
      <c r="AV1156" s="10" t="str">
        <f t="shared" si="134"/>
        <v>0112 10:55:00-HST-0-FIL-1-SW-UKN</v>
      </c>
    </row>
    <row r="1157" spans="1:48" s="10" customFormat="1" x14ac:dyDescent="0.55000000000000004">
      <c r="A1157" s="32">
        <v>44939</v>
      </c>
      <c r="B1157" s="33">
        <v>0.4916666666666667</v>
      </c>
      <c r="C1157" s="10" t="s">
        <v>279</v>
      </c>
      <c r="D1157" s="10">
        <v>0</v>
      </c>
      <c r="E1157" s="10" t="s">
        <v>911</v>
      </c>
      <c r="F1157" s="10">
        <v>1</v>
      </c>
      <c r="G1157" s="10" t="s">
        <v>231</v>
      </c>
      <c r="H1157" s="10" t="s">
        <v>322</v>
      </c>
      <c r="I1157" s="10" t="s">
        <v>224</v>
      </c>
      <c r="J1157" s="10">
        <v>33</v>
      </c>
      <c r="K1157" s="12">
        <v>44950</v>
      </c>
      <c r="L1157" s="33">
        <v>0.62861111111111112</v>
      </c>
      <c r="M1157" s="10">
        <v>1</v>
      </c>
      <c r="N1157" s="10" t="s">
        <v>196</v>
      </c>
      <c r="O1157" s="10">
        <v>6.37</v>
      </c>
      <c r="P1157" s="10">
        <v>0.38400000000000001</v>
      </c>
      <c r="Q1157" s="10">
        <v>1210</v>
      </c>
      <c r="R1157" s="10" t="s">
        <v>170</v>
      </c>
      <c r="S1157" s="34">
        <f t="shared" si="131"/>
        <v>1232.6673140799999</v>
      </c>
      <c r="T1157" s="10" t="s">
        <v>1068</v>
      </c>
      <c r="U1157" s="34" t="str">
        <f t="shared" si="132"/>
        <v/>
      </c>
      <c r="V1157" s="31" t="str">
        <f>IF(H1157="CHK",VLOOKUP(I1157,QCCHK,3,),IF(H1157="GUP",VLOOKUP(E1157,QCGUP,2,),IF(AND(H1157="ATP",OR(I1157="TN",I1157="TDN",I1157="TNO2-3",I1157="NO2-3")),VLOOKUP(E1157,QCREC_N,2,),IF(AND(H1157="NIC",OR(I1157="TN",I1157="TDN",I1157="TNO2-3",I1157="NO2-3")),VLOOKUP(E1157,QCNIC_N,2,),IF(AND(H1157="UREA",OR(I1157="TN",I1157="TDN",I1157="TNO2-3",I1157="NO2-3")),VLOOKUP(E1157,QCUREA_N,2,),IF(H1157="PER",VLOOKUP(I1157,QCPER,MATCH(E1157,QCACTUAL!$J$25:$AA$25,0),),IF(H1157="SPK",VLOOKUP(I1157,QCSPK,3,),IF(AND(H1157="ATP",OR(I1157="TP",I1157="TDP")),VLOOKUP(E1157,QCATP_P,2,),""))))))))</f>
        <v/>
      </c>
      <c r="W1157" s="31" t="str">
        <f t="shared" si="133"/>
        <v>TRUE</v>
      </c>
      <c r="X1157" s="31" t="str">
        <f t="shared" si="130"/>
        <v/>
      </c>
      <c r="Y1157" s="10" t="s">
        <v>1061</v>
      </c>
      <c r="Z1157" s="10" t="s">
        <v>910</v>
      </c>
      <c r="AF1157" s="12">
        <v>44950</v>
      </c>
      <c r="AJ1157" s="10">
        <f>-1.2768*6.37^2+222.07*6.37-130.11</f>
        <v>1232.6673140799999</v>
      </c>
      <c r="AK1157" s="10">
        <f>0.4667*6.37^2+198.27*6.37-98.12</f>
        <v>1183.7971392300001</v>
      </c>
      <c r="AL1157" s="10" t="str">
        <f t="shared" si="128"/>
        <v>FALSE</v>
      </c>
      <c r="AM1157" s="10" t="str">
        <f t="shared" si="128"/>
        <v>FALSE</v>
      </c>
      <c r="AN1157" s="10" t="str">
        <f t="shared" si="128"/>
        <v>FALSE</v>
      </c>
      <c r="AO1157" s="10" t="str">
        <f t="shared" si="129"/>
        <v>y=-1.2768*6.37^2+222.07*6.37-130.11</v>
      </c>
      <c r="AP1157" s="10" t="str">
        <f t="shared" si="129"/>
        <v>y=0.4667*6.37^2+198.27*6.37-98.12</v>
      </c>
      <c r="AQ1157" s="10" t="b">
        <f>IF(AND(I1157="TP",S1157&lt;=150),VLOOKUP(AF1157,TPCalibEq150!$AZ$2:$BB$55,3,),IF(AND(I1157="TDP",S1157&lt;=150),VLOOKUP(AF1157,TPCalibEq150!$AZ$2:$BB$55,3,)))</f>
        <v>0</v>
      </c>
      <c r="AR1157" s="10" t="b">
        <f>IF(AND(I1157="TP",S1157&lt;=300),VLOOKUP(AF1157,TPCalibEq300!$AZ$2:$BB$55,3,),IF(AND(I1157="TDP",S1157&lt;=300),VLOOKUP(AF1157,TPCalibEq300!$AZ$2:$BB$55,3,)))</f>
        <v>0</v>
      </c>
      <c r="AS1157" s="10" t="b">
        <f>IF(AND(I1157="TP",S1157&lt;=500),VLOOKUP(AF1157,TPCalibEq500!$AZ$2:$BB$56,3,),IF(AND(I1157="TDP",S1157&lt;=500),VLOOKUP(AF1157,TPCalibEq500!$AZ$2:$BB$56,3,)))</f>
        <v>0</v>
      </c>
      <c r="AT1157" s="10" t="str">
        <f>IF(AND(I1157="TN",S1157&lt;=2800),VLOOKUP(AF1157,TNCalibEq2500!$AZ$2:$BB$56,3,),IF(AND(I1157="TDN",S1157&lt;=2800),VLOOKUP(AF1157,TNCalibEq2500!$AZ$2:$BB$56,3,)))</f>
        <v>y=-1.2768x2+222.07x-130.11</v>
      </c>
      <c r="AU1157" s="10" t="str">
        <f>IF(I1157="TP",VLOOKUP(AF1157,TPCalibEqFull!$AZ$2:$BB$56,3),IF(I1157="TDP",VLOOKUP(AF1157,TPCalibEqFull!$AZ$2:$BB$56,3),IF(I1157="TDN",VLOOKUP(AF1157,TNCalibEqFull!$AZ$1:$BB$56,3),IF(I1157="TN",VLOOKUP(AF1157,TNCalibEqFull!$AZ$1:$BB$56,3),FALSE))))</f>
        <v>y=0.4667x2+198.27x-98.12</v>
      </c>
      <c r="AV1157" s="10" t="str">
        <f t="shared" si="134"/>
        <v>0113 11:48:00-EFK-0-FIL-1-SW-UKN</v>
      </c>
    </row>
    <row r="1158" spans="1:48" s="10" customFormat="1" x14ac:dyDescent="0.55000000000000004">
      <c r="A1158" s="32">
        <v>44939</v>
      </c>
      <c r="B1158" s="33">
        <v>0.49444444444444446</v>
      </c>
      <c r="C1158" s="10" t="s">
        <v>333</v>
      </c>
      <c r="D1158" s="10">
        <v>0</v>
      </c>
      <c r="E1158" s="10" t="s">
        <v>911</v>
      </c>
      <c r="F1158" s="10">
        <v>1</v>
      </c>
      <c r="G1158" s="10" t="s">
        <v>231</v>
      </c>
      <c r="H1158" s="10" t="s">
        <v>322</v>
      </c>
      <c r="I1158" s="10" t="s">
        <v>224</v>
      </c>
      <c r="J1158" s="10">
        <v>34</v>
      </c>
      <c r="K1158" s="12">
        <v>44950</v>
      </c>
      <c r="L1158" s="33">
        <v>0.62928240740740737</v>
      </c>
      <c r="M1158" s="10">
        <v>1</v>
      </c>
      <c r="N1158" s="10" t="s">
        <v>196</v>
      </c>
      <c r="O1158" s="10">
        <v>6.66</v>
      </c>
      <c r="P1158" s="10">
        <v>0.40100000000000002</v>
      </c>
      <c r="Q1158" s="10">
        <v>1270</v>
      </c>
      <c r="R1158" s="10" t="s">
        <v>170</v>
      </c>
      <c r="S1158" s="34">
        <f t="shared" si="131"/>
        <v>1292.2429699200002</v>
      </c>
      <c r="T1158" s="10" t="s">
        <v>1068</v>
      </c>
      <c r="U1158" s="34" t="str">
        <f t="shared" si="132"/>
        <v/>
      </c>
      <c r="V1158" s="31" t="str">
        <f>IF(H1158="CHK",VLOOKUP(I1158,QCCHK,3,),IF(H1158="GUP",VLOOKUP(E1158,QCGUP,2,),IF(AND(H1158="ATP",OR(I1158="TN",I1158="TDN",I1158="TNO2-3",I1158="NO2-3")),VLOOKUP(E1158,QCREC_N,2,),IF(AND(H1158="NIC",OR(I1158="TN",I1158="TDN",I1158="TNO2-3",I1158="NO2-3")),VLOOKUP(E1158,QCNIC_N,2,),IF(AND(H1158="UREA",OR(I1158="TN",I1158="TDN",I1158="TNO2-3",I1158="NO2-3")),VLOOKUP(E1158,QCUREA_N,2,),IF(H1158="PER",VLOOKUP(I1158,QCPER,MATCH(E1158,QCACTUAL!$J$25:$AA$25,0),),IF(H1158="SPK",VLOOKUP(I1158,QCSPK,3,),IF(AND(H1158="ATP",OR(I1158="TP",I1158="TDP")),VLOOKUP(E1158,QCATP_P,2,),""))))))))</f>
        <v/>
      </c>
      <c r="W1158" s="31" t="str">
        <f t="shared" si="133"/>
        <v>TRUE</v>
      </c>
      <c r="X1158" s="31" t="str">
        <f t="shared" si="130"/>
        <v/>
      </c>
      <c r="Y1158" s="10" t="s">
        <v>1061</v>
      </c>
      <c r="Z1158" s="10" t="s">
        <v>910</v>
      </c>
      <c r="AF1158" s="12">
        <v>44950</v>
      </c>
      <c r="AJ1158" s="10">
        <f>-1.2768*6.66^2+222.07*6.66-130.11</f>
        <v>1292.2429699200002</v>
      </c>
      <c r="AK1158" s="10">
        <f>0.4667*6.66^2+198.27*6.66-98.12</f>
        <v>1243.05895852</v>
      </c>
      <c r="AL1158" s="10" t="str">
        <f t="shared" si="128"/>
        <v>FALSE</v>
      </c>
      <c r="AM1158" s="10" t="str">
        <f t="shared" si="128"/>
        <v>FALSE</v>
      </c>
      <c r="AN1158" s="10" t="str">
        <f t="shared" si="128"/>
        <v>FALSE</v>
      </c>
      <c r="AO1158" s="10" t="str">
        <f t="shared" si="129"/>
        <v>y=-1.2768*6.66^2+222.07*6.66-130.11</v>
      </c>
      <c r="AP1158" s="10" t="str">
        <f t="shared" si="129"/>
        <v>y=0.4667*6.66^2+198.27*6.66-98.12</v>
      </c>
      <c r="AQ1158" s="10" t="b">
        <f>IF(AND(I1158="TP",S1158&lt;=150),VLOOKUP(AF1158,TPCalibEq150!$AZ$2:$BB$55,3,),IF(AND(I1158="TDP",S1158&lt;=150),VLOOKUP(AF1158,TPCalibEq150!$AZ$2:$BB$55,3,)))</f>
        <v>0</v>
      </c>
      <c r="AR1158" s="10" t="b">
        <f>IF(AND(I1158="TP",S1158&lt;=300),VLOOKUP(AF1158,TPCalibEq300!$AZ$2:$BB$55,3,),IF(AND(I1158="TDP",S1158&lt;=300),VLOOKUP(AF1158,TPCalibEq300!$AZ$2:$BB$55,3,)))</f>
        <v>0</v>
      </c>
      <c r="AS1158" s="10" t="b">
        <f>IF(AND(I1158="TP",S1158&lt;=500),VLOOKUP(AF1158,TPCalibEq500!$AZ$2:$BB$56,3,),IF(AND(I1158="TDP",S1158&lt;=500),VLOOKUP(AF1158,TPCalibEq500!$AZ$2:$BB$56,3,)))</f>
        <v>0</v>
      </c>
      <c r="AT1158" s="10" t="str">
        <f>IF(AND(I1158="TN",S1158&lt;=2800),VLOOKUP(AF1158,TNCalibEq2500!$AZ$2:$BB$56,3,),IF(AND(I1158="TDN",S1158&lt;=2800),VLOOKUP(AF1158,TNCalibEq2500!$AZ$2:$BB$56,3,)))</f>
        <v>y=-1.2768x2+222.07x-130.11</v>
      </c>
      <c r="AU1158" s="10" t="str">
        <f>IF(I1158="TP",VLOOKUP(AF1158,TPCalibEqFull!$AZ$2:$BB$56,3),IF(I1158="TDP",VLOOKUP(AF1158,TPCalibEqFull!$AZ$2:$BB$56,3),IF(I1158="TDN",VLOOKUP(AF1158,TNCalibEqFull!$AZ$1:$BB$56,3),IF(I1158="TN",VLOOKUP(AF1158,TNCalibEqFull!$AZ$1:$BB$56,3),FALSE))))</f>
        <v>y=0.4667x2+198.27x-98.12</v>
      </c>
      <c r="AV1158" s="10" t="str">
        <f t="shared" si="134"/>
        <v>0113 11:52:00-HST-0-FIL-1-SW-UKN</v>
      </c>
    </row>
    <row r="1159" spans="1:48" s="10" customFormat="1" x14ac:dyDescent="0.55000000000000004">
      <c r="A1159" s="32">
        <v>44943</v>
      </c>
      <c r="B1159" s="33">
        <v>0.32291666666666669</v>
      </c>
      <c r="C1159" s="10" t="s">
        <v>279</v>
      </c>
      <c r="D1159" s="10">
        <v>0</v>
      </c>
      <c r="E1159" s="10" t="s">
        <v>911</v>
      </c>
      <c r="F1159" s="10">
        <v>1</v>
      </c>
      <c r="G1159" s="10" t="s">
        <v>231</v>
      </c>
      <c r="H1159" s="10" t="s">
        <v>322</v>
      </c>
      <c r="I1159" s="10" t="s">
        <v>224</v>
      </c>
      <c r="J1159" s="10">
        <v>35</v>
      </c>
      <c r="K1159" s="12">
        <v>44950</v>
      </c>
      <c r="L1159" s="33">
        <v>0.62995370370370374</v>
      </c>
      <c r="M1159" s="10">
        <v>1</v>
      </c>
      <c r="N1159" s="10" t="s">
        <v>196</v>
      </c>
      <c r="O1159" s="10">
        <v>6.15</v>
      </c>
      <c r="P1159" s="10">
        <v>0.37</v>
      </c>
      <c r="Q1159" s="10">
        <v>1160</v>
      </c>
      <c r="R1159" s="10" t="s">
        <v>170</v>
      </c>
      <c r="S1159" s="34">
        <f t="shared" si="131"/>
        <v>1187.3287319999999</v>
      </c>
      <c r="T1159" s="10" t="s">
        <v>1068</v>
      </c>
      <c r="U1159" s="34" t="str">
        <f t="shared" si="132"/>
        <v/>
      </c>
      <c r="V1159" s="31" t="str">
        <f>IF(H1159="CHK",VLOOKUP(I1159,QCCHK,3,),IF(H1159="GUP",VLOOKUP(E1159,QCGUP,2,),IF(AND(H1159="ATP",OR(I1159="TN",I1159="TDN",I1159="TNO2-3",I1159="NO2-3")),VLOOKUP(E1159,QCREC_N,2,),IF(AND(H1159="NIC",OR(I1159="TN",I1159="TDN",I1159="TNO2-3",I1159="NO2-3")),VLOOKUP(E1159,QCNIC_N,2,),IF(AND(H1159="UREA",OR(I1159="TN",I1159="TDN",I1159="TNO2-3",I1159="NO2-3")),VLOOKUP(E1159,QCUREA_N,2,),IF(H1159="PER",VLOOKUP(I1159,QCPER,MATCH(E1159,QCACTUAL!$J$25:$AA$25,0),),IF(H1159="SPK",VLOOKUP(I1159,QCSPK,3,),IF(AND(H1159="ATP",OR(I1159="TP",I1159="TDP")),VLOOKUP(E1159,QCATP_P,2,),""))))))))</f>
        <v/>
      </c>
      <c r="W1159" s="31" t="str">
        <f t="shared" si="133"/>
        <v>TRUE</v>
      </c>
      <c r="X1159" s="31" t="str">
        <f t="shared" si="130"/>
        <v/>
      </c>
      <c r="Y1159" s="10" t="s">
        <v>1061</v>
      </c>
      <c r="Z1159" s="10" t="s">
        <v>910</v>
      </c>
      <c r="AF1159" s="12">
        <v>44950</v>
      </c>
      <c r="AJ1159" s="10">
        <f>-1.2768*6.15^2+222.07*6.15-130.11</f>
        <v>1187.3287319999999</v>
      </c>
      <c r="AK1159" s="10">
        <f>0.4667*6.15^2+198.27*6.15-98.12</f>
        <v>1138.8922607500003</v>
      </c>
      <c r="AL1159" s="10" t="str">
        <f t="shared" si="128"/>
        <v>FALSE</v>
      </c>
      <c r="AM1159" s="10" t="str">
        <f t="shared" si="128"/>
        <v>FALSE</v>
      </c>
      <c r="AN1159" s="10" t="str">
        <f t="shared" si="128"/>
        <v>FALSE</v>
      </c>
      <c r="AO1159" s="10" t="str">
        <f t="shared" si="129"/>
        <v>y=-1.2768*6.15^2+222.07*6.15-130.11</v>
      </c>
      <c r="AP1159" s="10" t="str">
        <f t="shared" si="129"/>
        <v>y=0.4667*6.15^2+198.27*6.15-98.12</v>
      </c>
      <c r="AQ1159" s="10" t="b">
        <f>IF(AND(I1159="TP",S1159&lt;=150),VLOOKUP(AF1159,TPCalibEq150!$AZ$2:$BB$55,3,),IF(AND(I1159="TDP",S1159&lt;=150),VLOOKUP(AF1159,TPCalibEq150!$AZ$2:$BB$55,3,)))</f>
        <v>0</v>
      </c>
      <c r="AR1159" s="10" t="b">
        <f>IF(AND(I1159="TP",S1159&lt;=300),VLOOKUP(AF1159,TPCalibEq300!$AZ$2:$BB$55,3,),IF(AND(I1159="TDP",S1159&lt;=300),VLOOKUP(AF1159,TPCalibEq300!$AZ$2:$BB$55,3,)))</f>
        <v>0</v>
      </c>
      <c r="AS1159" s="10" t="b">
        <f>IF(AND(I1159="TP",S1159&lt;=500),VLOOKUP(AF1159,TPCalibEq500!$AZ$2:$BB$56,3,),IF(AND(I1159="TDP",S1159&lt;=500),VLOOKUP(AF1159,TPCalibEq500!$AZ$2:$BB$56,3,)))</f>
        <v>0</v>
      </c>
      <c r="AT1159" s="10" t="str">
        <f>IF(AND(I1159="TN",S1159&lt;=2800),VLOOKUP(AF1159,TNCalibEq2500!$AZ$2:$BB$56,3,),IF(AND(I1159="TDN",S1159&lt;=2800),VLOOKUP(AF1159,TNCalibEq2500!$AZ$2:$BB$56,3,)))</f>
        <v>y=-1.2768x2+222.07x-130.11</v>
      </c>
      <c r="AU1159" s="10" t="str">
        <f>IF(I1159="TP",VLOOKUP(AF1159,TPCalibEqFull!$AZ$2:$BB$56,3),IF(I1159="TDP",VLOOKUP(AF1159,TPCalibEqFull!$AZ$2:$BB$56,3),IF(I1159="TDN",VLOOKUP(AF1159,TNCalibEqFull!$AZ$1:$BB$56,3),IF(I1159="TN",VLOOKUP(AF1159,TNCalibEqFull!$AZ$1:$BB$56,3),FALSE))))</f>
        <v>y=0.4667x2+198.27x-98.12</v>
      </c>
      <c r="AV1159" s="10" t="str">
        <f t="shared" si="134"/>
        <v>0117 07:45:00-EFK-0-FIL-1-SW-UKN</v>
      </c>
    </row>
    <row r="1160" spans="1:48" s="10" customFormat="1" x14ac:dyDescent="0.55000000000000004">
      <c r="A1160" s="32">
        <v>44943</v>
      </c>
      <c r="B1160" s="33">
        <v>0.32083333333333336</v>
      </c>
      <c r="C1160" s="10" t="s">
        <v>333</v>
      </c>
      <c r="D1160" s="10">
        <v>0</v>
      </c>
      <c r="E1160" s="10" t="s">
        <v>911</v>
      </c>
      <c r="F1160" s="10">
        <v>1</v>
      </c>
      <c r="G1160" s="10" t="s">
        <v>231</v>
      </c>
      <c r="H1160" s="10" t="s">
        <v>322</v>
      </c>
      <c r="I1160" s="10" t="s">
        <v>224</v>
      </c>
      <c r="J1160" s="10">
        <v>36</v>
      </c>
      <c r="K1160" s="12">
        <v>44950</v>
      </c>
      <c r="L1160" s="33">
        <v>0.63061342592592595</v>
      </c>
      <c r="M1160" s="10">
        <v>1</v>
      </c>
      <c r="N1160" s="10" t="s">
        <v>196</v>
      </c>
      <c r="O1160" s="10">
        <v>6.31</v>
      </c>
      <c r="P1160" s="10">
        <v>0.379</v>
      </c>
      <c r="Q1160" s="10">
        <v>1200</v>
      </c>
      <c r="R1160" s="10" t="s">
        <v>170</v>
      </c>
      <c r="S1160" s="34">
        <f t="shared" si="131"/>
        <v>1220.3145035199996</v>
      </c>
      <c r="T1160" s="10" t="s">
        <v>1068</v>
      </c>
      <c r="U1160" s="34" t="str">
        <f t="shared" si="132"/>
        <v/>
      </c>
      <c r="V1160" s="31" t="str">
        <f>IF(H1160="CHK",VLOOKUP(I1160,QCCHK,3,),IF(H1160="GUP",VLOOKUP(E1160,QCGUP,2,),IF(AND(H1160="ATP",OR(I1160="TN",I1160="TDN",I1160="TNO2-3",I1160="NO2-3")),VLOOKUP(E1160,QCREC_N,2,),IF(AND(H1160="NIC",OR(I1160="TN",I1160="TDN",I1160="TNO2-3",I1160="NO2-3")),VLOOKUP(E1160,QCNIC_N,2,),IF(AND(H1160="UREA",OR(I1160="TN",I1160="TDN",I1160="TNO2-3",I1160="NO2-3")),VLOOKUP(E1160,QCUREA_N,2,),IF(H1160="PER",VLOOKUP(I1160,QCPER,MATCH(E1160,QCACTUAL!$J$25:$AA$25,0),),IF(H1160="SPK",VLOOKUP(I1160,QCSPK,3,),IF(AND(H1160="ATP",OR(I1160="TP",I1160="TDP")),VLOOKUP(E1160,QCATP_P,2,),""))))))))</f>
        <v/>
      </c>
      <c r="W1160" s="31" t="str">
        <f t="shared" si="133"/>
        <v>TRUE</v>
      </c>
      <c r="X1160" s="31" t="str">
        <f t="shared" si="130"/>
        <v/>
      </c>
      <c r="Y1160" s="10" t="s">
        <v>1061</v>
      </c>
      <c r="Z1160" s="10" t="s">
        <v>910</v>
      </c>
      <c r="AF1160" s="12">
        <v>44950</v>
      </c>
      <c r="AJ1160" s="10">
        <f>-1.2768*6.31^2+222.07*6.31-130.11</f>
        <v>1220.3145035199996</v>
      </c>
      <c r="AK1160" s="10">
        <f>0.4667*6.31^2+198.27*6.31-98.12</f>
        <v>1171.5458738699999</v>
      </c>
      <c r="AL1160" s="10" t="str">
        <f t="shared" ref="AL1160:AN1190" si="135">IF($O1160="", "", IF(AQ1160&lt;&gt;"", SUBSTITUTE(SUBSTITUTE(AQ1160, "x", "*"&amp;$O1160&amp;"^", 1), "x", "*"&amp;$O1160, 1), ""))</f>
        <v>FALSE</v>
      </c>
      <c r="AM1160" s="10" t="str">
        <f t="shared" si="135"/>
        <v>FALSE</v>
      </c>
      <c r="AN1160" s="10" t="str">
        <f t="shared" si="135"/>
        <v>FALSE</v>
      </c>
      <c r="AO1160" s="10" t="str">
        <f t="shared" ref="AO1160:AP1190" si="136">IF($O1160="", "FALSE", IF(AT1160&lt;&gt;"FALSE", SUBSTITUTE(SUBSTITUTE(AT1160, "x", "*"&amp;$O1160&amp;"^", 1), "x", "*"&amp;$O1160, 1), ""))</f>
        <v>y=-1.2768*6.31^2+222.07*6.31-130.11</v>
      </c>
      <c r="AP1160" s="10" t="str">
        <f t="shared" si="136"/>
        <v>y=0.4667*6.31^2+198.27*6.31-98.12</v>
      </c>
      <c r="AQ1160" s="10" t="b">
        <f>IF(AND(I1160="TP",S1160&lt;=150),VLOOKUP(AF1160,TPCalibEq150!$AZ$2:$BB$55,3,),IF(AND(I1160="TDP",S1160&lt;=150),VLOOKUP(AF1160,TPCalibEq150!$AZ$2:$BB$55,3,)))</f>
        <v>0</v>
      </c>
      <c r="AR1160" s="10" t="b">
        <f>IF(AND(I1160="TP",S1160&lt;=300),VLOOKUP(AF1160,TPCalibEq300!$AZ$2:$BB$55,3,),IF(AND(I1160="TDP",S1160&lt;=300),VLOOKUP(AF1160,TPCalibEq300!$AZ$2:$BB$55,3,)))</f>
        <v>0</v>
      </c>
      <c r="AS1160" s="10" t="b">
        <f>IF(AND(I1160="TP",S1160&lt;=500),VLOOKUP(AF1160,TPCalibEq500!$AZ$2:$BB$56,3,),IF(AND(I1160="TDP",S1160&lt;=500),VLOOKUP(AF1160,TPCalibEq500!$AZ$2:$BB$56,3,)))</f>
        <v>0</v>
      </c>
      <c r="AT1160" s="10" t="str">
        <f>IF(AND(I1160="TN",S1160&lt;=2800),VLOOKUP(AF1160,TNCalibEq2500!$AZ$2:$BB$56,3,),IF(AND(I1160="TDN",S1160&lt;=2800),VLOOKUP(AF1160,TNCalibEq2500!$AZ$2:$BB$56,3,)))</f>
        <v>y=-1.2768x2+222.07x-130.11</v>
      </c>
      <c r="AU1160" s="10" t="str">
        <f>IF(I1160="TP",VLOOKUP(AF1160,TPCalibEqFull!$AZ$2:$BB$56,3),IF(I1160="TDP",VLOOKUP(AF1160,TPCalibEqFull!$AZ$2:$BB$56,3),IF(I1160="TDN",VLOOKUP(AF1160,TNCalibEqFull!$AZ$1:$BB$56,3),IF(I1160="TN",VLOOKUP(AF1160,TNCalibEqFull!$AZ$1:$BB$56,3),FALSE))))</f>
        <v>y=0.4667x2+198.27x-98.12</v>
      </c>
      <c r="AV1160" s="10" t="str">
        <f t="shared" si="134"/>
        <v>0117 07:42:00-HST-0-FIL-1-SW-UKN</v>
      </c>
    </row>
    <row r="1161" spans="1:48" s="10" customFormat="1" x14ac:dyDescent="0.55000000000000004">
      <c r="A1161" s="32">
        <v>44944</v>
      </c>
      <c r="B1161" s="33">
        <v>0.36249999999999999</v>
      </c>
      <c r="C1161" s="10" t="s">
        <v>279</v>
      </c>
      <c r="D1161" s="10">
        <v>0</v>
      </c>
      <c r="E1161" s="10" t="s">
        <v>911</v>
      </c>
      <c r="F1161" s="10">
        <v>1</v>
      </c>
      <c r="G1161" s="10" t="s">
        <v>231</v>
      </c>
      <c r="H1161" s="10" t="s">
        <v>322</v>
      </c>
      <c r="I1161" s="10" t="s">
        <v>224</v>
      </c>
      <c r="J1161" s="10">
        <v>37</v>
      </c>
      <c r="K1161" s="12">
        <v>44950</v>
      </c>
      <c r="L1161" s="33">
        <v>0.63128472222222221</v>
      </c>
      <c r="M1161" s="10">
        <v>1</v>
      </c>
      <c r="N1161" s="10" t="s">
        <v>196</v>
      </c>
      <c r="O1161" s="10">
        <v>5.79</v>
      </c>
      <c r="P1161" s="10">
        <v>0.34899999999999998</v>
      </c>
      <c r="Q1161" s="10">
        <v>1090</v>
      </c>
      <c r="R1161" s="10" t="s">
        <v>170</v>
      </c>
      <c r="S1161" s="34">
        <f t="shared" si="131"/>
        <v>1112.8717291200001</v>
      </c>
      <c r="T1161" s="10" t="s">
        <v>1068</v>
      </c>
      <c r="U1161" s="34" t="str">
        <f t="shared" si="132"/>
        <v/>
      </c>
      <c r="V1161" s="31" t="str">
        <f>IF(H1161="CHK",VLOOKUP(I1161,QCCHK,3,),IF(H1161="GUP",VLOOKUP(E1161,QCGUP,2,),IF(AND(H1161="ATP",OR(I1161="TN",I1161="TDN",I1161="TNO2-3",I1161="NO2-3")),VLOOKUP(E1161,QCREC_N,2,),IF(AND(H1161="NIC",OR(I1161="TN",I1161="TDN",I1161="TNO2-3",I1161="NO2-3")),VLOOKUP(E1161,QCNIC_N,2,),IF(AND(H1161="UREA",OR(I1161="TN",I1161="TDN",I1161="TNO2-3",I1161="NO2-3")),VLOOKUP(E1161,QCUREA_N,2,),IF(H1161="PER",VLOOKUP(I1161,QCPER,MATCH(E1161,QCACTUAL!$J$25:$AA$25,0),),IF(H1161="SPK",VLOOKUP(I1161,QCSPK,3,),IF(AND(H1161="ATP",OR(I1161="TP",I1161="TDP")),VLOOKUP(E1161,QCATP_P,2,),""))))))))</f>
        <v/>
      </c>
      <c r="W1161" s="31" t="str">
        <f t="shared" si="133"/>
        <v>TRUE</v>
      </c>
      <c r="X1161" s="31" t="str">
        <f t="shared" si="130"/>
        <v/>
      </c>
      <c r="Y1161" s="10" t="s">
        <v>1061</v>
      </c>
      <c r="Z1161" s="10" t="s">
        <v>910</v>
      </c>
      <c r="AF1161" s="12">
        <v>44950</v>
      </c>
      <c r="AJ1161" s="10">
        <f>-1.2768*5.79^2+222.07*5.79-130.11</f>
        <v>1112.8717291200001</v>
      </c>
      <c r="AK1161" s="10">
        <f>0.4667*5.79^2+198.27*5.79-98.12</f>
        <v>1065.5089974699999</v>
      </c>
      <c r="AL1161" s="10" t="str">
        <f t="shared" si="135"/>
        <v>FALSE</v>
      </c>
      <c r="AM1161" s="10" t="str">
        <f t="shared" si="135"/>
        <v>FALSE</v>
      </c>
      <c r="AN1161" s="10" t="str">
        <f t="shared" si="135"/>
        <v>FALSE</v>
      </c>
      <c r="AO1161" s="10" t="str">
        <f t="shared" si="136"/>
        <v>y=-1.2768*5.79^2+222.07*5.79-130.11</v>
      </c>
      <c r="AP1161" s="10" t="str">
        <f t="shared" si="136"/>
        <v>y=0.4667*5.79^2+198.27*5.79-98.12</v>
      </c>
      <c r="AQ1161" s="10" t="b">
        <f>IF(AND(I1161="TP",S1161&lt;=150),VLOOKUP(AF1161,TPCalibEq150!$AZ$2:$BB$55,3,),IF(AND(I1161="TDP",S1161&lt;=150),VLOOKUP(AF1161,TPCalibEq150!$AZ$2:$BB$55,3,)))</f>
        <v>0</v>
      </c>
      <c r="AR1161" s="10" t="b">
        <f>IF(AND(I1161="TP",S1161&lt;=300),VLOOKUP(AF1161,TPCalibEq300!$AZ$2:$BB$55,3,),IF(AND(I1161="TDP",S1161&lt;=300),VLOOKUP(AF1161,TPCalibEq300!$AZ$2:$BB$55,3,)))</f>
        <v>0</v>
      </c>
      <c r="AS1161" s="10" t="b">
        <f>IF(AND(I1161="TP",S1161&lt;=500),VLOOKUP(AF1161,TPCalibEq500!$AZ$2:$BB$56,3,),IF(AND(I1161="TDP",S1161&lt;=500),VLOOKUP(AF1161,TPCalibEq500!$AZ$2:$BB$56,3,)))</f>
        <v>0</v>
      </c>
      <c r="AT1161" s="10" t="str">
        <f>IF(AND(I1161="TN",S1161&lt;=2800),VLOOKUP(AF1161,TNCalibEq2500!$AZ$2:$BB$56,3,),IF(AND(I1161="TDN",S1161&lt;=2800),VLOOKUP(AF1161,TNCalibEq2500!$AZ$2:$BB$56,3,)))</f>
        <v>y=-1.2768x2+222.07x-130.11</v>
      </c>
      <c r="AU1161" s="10" t="str">
        <f>IF(I1161="TP",VLOOKUP(AF1161,TPCalibEqFull!$AZ$2:$BB$56,3),IF(I1161="TDP",VLOOKUP(AF1161,TPCalibEqFull!$AZ$2:$BB$56,3),IF(I1161="TDN",VLOOKUP(AF1161,TNCalibEqFull!$AZ$1:$BB$56,3),IF(I1161="TN",VLOOKUP(AF1161,TNCalibEqFull!$AZ$1:$BB$56,3),FALSE))))</f>
        <v>y=0.4667x2+198.27x-98.12</v>
      </c>
      <c r="AV1161" s="10" t="str">
        <f t="shared" si="134"/>
        <v>0118 08:42:00-EFK-0-FIL-1-SW-UKN</v>
      </c>
    </row>
    <row r="1162" spans="1:48" s="10" customFormat="1" x14ac:dyDescent="0.55000000000000004">
      <c r="A1162" s="32">
        <v>44944</v>
      </c>
      <c r="B1162" s="33">
        <v>0.36805555555555558</v>
      </c>
      <c r="C1162" s="10" t="s">
        <v>333</v>
      </c>
      <c r="D1162" s="10">
        <v>0</v>
      </c>
      <c r="E1162" s="10" t="s">
        <v>911</v>
      </c>
      <c r="F1162" s="10">
        <v>1</v>
      </c>
      <c r="G1162" s="10" t="s">
        <v>231</v>
      </c>
      <c r="H1162" s="10" t="s">
        <v>322</v>
      </c>
      <c r="I1162" s="10" t="s">
        <v>224</v>
      </c>
      <c r="J1162" s="10">
        <v>38</v>
      </c>
      <c r="K1162" s="12">
        <v>44950</v>
      </c>
      <c r="L1162" s="33">
        <v>0.63194444444444442</v>
      </c>
      <c r="M1162" s="10">
        <v>1</v>
      </c>
      <c r="N1162" s="10" t="s">
        <v>196</v>
      </c>
      <c r="O1162" s="10">
        <v>5.36</v>
      </c>
      <c r="P1162" s="10">
        <v>0.32300000000000001</v>
      </c>
      <c r="Q1162" s="10">
        <v>999</v>
      </c>
      <c r="R1162" s="10" t="s">
        <v>170</v>
      </c>
      <c r="S1162" s="34">
        <f t="shared" si="131"/>
        <v>1023.50324672</v>
      </c>
      <c r="T1162" s="10" t="s">
        <v>1068</v>
      </c>
      <c r="U1162" s="34" t="str">
        <f t="shared" si="132"/>
        <v/>
      </c>
      <c r="V1162" s="31" t="str">
        <f>IF(H1162="CHK",VLOOKUP(I1162,QCCHK,3,),IF(H1162="GUP",VLOOKUP(E1162,QCGUP,2,),IF(AND(H1162="ATP",OR(I1162="TN",I1162="TDN",I1162="TNO2-3",I1162="NO2-3")),VLOOKUP(E1162,QCREC_N,2,),IF(AND(H1162="NIC",OR(I1162="TN",I1162="TDN",I1162="TNO2-3",I1162="NO2-3")),VLOOKUP(E1162,QCNIC_N,2,),IF(AND(H1162="UREA",OR(I1162="TN",I1162="TDN",I1162="TNO2-3",I1162="NO2-3")),VLOOKUP(E1162,QCUREA_N,2,),IF(H1162="PER",VLOOKUP(I1162,QCPER,MATCH(E1162,QCACTUAL!$J$25:$AA$25,0),),IF(H1162="SPK",VLOOKUP(I1162,QCSPK,3,),IF(AND(H1162="ATP",OR(I1162="TP",I1162="TDP")),VLOOKUP(E1162,QCATP_P,2,),""))))))))</f>
        <v/>
      </c>
      <c r="W1162" s="31" t="str">
        <f t="shared" si="133"/>
        <v>TRUE</v>
      </c>
      <c r="X1162" s="31" t="str">
        <f t="shared" si="130"/>
        <v/>
      </c>
      <c r="Y1162" s="10" t="s">
        <v>1061</v>
      </c>
      <c r="Z1162" s="10" t="s">
        <v>910</v>
      </c>
      <c r="AF1162" s="12">
        <v>44950</v>
      </c>
      <c r="AJ1162" s="10">
        <f>-1.2768*5.36^2+222.07*5.36-130.11</f>
        <v>1023.50324672</v>
      </c>
      <c r="AK1162" s="10">
        <f>0.4667*5.36^2+198.27*5.36-98.12</f>
        <v>978.01530431999993</v>
      </c>
      <c r="AL1162" s="10" t="str">
        <f t="shared" si="135"/>
        <v>FALSE</v>
      </c>
      <c r="AM1162" s="10" t="str">
        <f t="shared" si="135"/>
        <v>FALSE</v>
      </c>
      <c r="AN1162" s="10" t="str">
        <f t="shared" si="135"/>
        <v>FALSE</v>
      </c>
      <c r="AO1162" s="10" t="str">
        <f t="shared" si="136"/>
        <v>y=-1.2768*5.36^2+222.07*5.36-130.11</v>
      </c>
      <c r="AP1162" s="10" t="str">
        <f t="shared" si="136"/>
        <v>y=0.4667*5.36^2+198.27*5.36-98.12</v>
      </c>
      <c r="AQ1162" s="10" t="b">
        <f>IF(AND(I1162="TP",S1162&lt;=150),VLOOKUP(AF1162,TPCalibEq150!$AZ$2:$BB$55,3,),IF(AND(I1162="TDP",S1162&lt;=150),VLOOKUP(AF1162,TPCalibEq150!$AZ$2:$BB$55,3,)))</f>
        <v>0</v>
      </c>
      <c r="AR1162" s="10" t="b">
        <f>IF(AND(I1162="TP",S1162&lt;=300),VLOOKUP(AF1162,TPCalibEq300!$AZ$2:$BB$55,3,),IF(AND(I1162="TDP",S1162&lt;=300),VLOOKUP(AF1162,TPCalibEq300!$AZ$2:$BB$55,3,)))</f>
        <v>0</v>
      </c>
      <c r="AS1162" s="10" t="b">
        <f>IF(AND(I1162="TP",S1162&lt;=500),VLOOKUP(AF1162,TPCalibEq500!$AZ$2:$BB$56,3,),IF(AND(I1162="TDP",S1162&lt;=500),VLOOKUP(AF1162,TPCalibEq500!$AZ$2:$BB$56,3,)))</f>
        <v>0</v>
      </c>
      <c r="AT1162" s="10" t="str">
        <f>IF(AND(I1162="TN",S1162&lt;=2800),VLOOKUP(AF1162,TNCalibEq2500!$AZ$2:$BB$56,3,),IF(AND(I1162="TDN",S1162&lt;=2800),VLOOKUP(AF1162,TNCalibEq2500!$AZ$2:$BB$56,3,)))</f>
        <v>y=-1.2768x2+222.07x-130.11</v>
      </c>
      <c r="AU1162" s="10" t="str">
        <f>IF(I1162="TP",VLOOKUP(AF1162,TPCalibEqFull!$AZ$2:$BB$56,3),IF(I1162="TDP",VLOOKUP(AF1162,TPCalibEqFull!$AZ$2:$BB$56,3),IF(I1162="TDN",VLOOKUP(AF1162,TNCalibEqFull!$AZ$1:$BB$56,3),IF(I1162="TN",VLOOKUP(AF1162,TNCalibEqFull!$AZ$1:$BB$56,3),FALSE))))</f>
        <v>y=0.4667x2+198.27x-98.12</v>
      </c>
      <c r="AV1162" s="10" t="str">
        <f t="shared" si="134"/>
        <v>0118 08:50:00-HST-0-FIL-1-SW-UKN</v>
      </c>
    </row>
    <row r="1163" spans="1:48" s="10" customFormat="1" x14ac:dyDescent="0.55000000000000004">
      <c r="A1163" s="32">
        <v>44944</v>
      </c>
      <c r="B1163" s="33">
        <v>0.36805555555555558</v>
      </c>
      <c r="C1163" s="10" t="s">
        <v>333</v>
      </c>
      <c r="D1163" s="10">
        <v>0</v>
      </c>
      <c r="E1163" s="10" t="s">
        <v>911</v>
      </c>
      <c r="F1163" s="10">
        <v>1</v>
      </c>
      <c r="G1163" s="10" t="s">
        <v>231</v>
      </c>
      <c r="H1163" s="10" t="s">
        <v>233</v>
      </c>
      <c r="I1163" s="10" t="s">
        <v>224</v>
      </c>
      <c r="J1163" s="10">
        <v>38</v>
      </c>
      <c r="K1163" s="12">
        <v>44950</v>
      </c>
      <c r="L1163" s="33">
        <v>0.63261574074074078</v>
      </c>
      <c r="M1163" s="10">
        <v>1</v>
      </c>
      <c r="N1163" s="10" t="s">
        <v>196</v>
      </c>
      <c r="O1163" s="10">
        <v>5.35</v>
      </c>
      <c r="P1163" s="10">
        <v>0.32400000000000001</v>
      </c>
      <c r="Q1163" s="10">
        <v>996</v>
      </c>
      <c r="R1163" s="10" t="s">
        <v>170</v>
      </c>
      <c r="S1163" s="34">
        <f t="shared" si="131"/>
        <v>1021.4192919999999</v>
      </c>
      <c r="T1163" s="10" t="s">
        <v>1068</v>
      </c>
      <c r="U1163" s="34">
        <f t="shared" si="132"/>
        <v>0.20381747284222285</v>
      </c>
      <c r="V1163" s="31" t="str">
        <f>IF(H1163="CHK",VLOOKUP(I1163,QCCHK,3,),IF(H1163="GUP",VLOOKUP(E1163,QCGUP,2,),IF(AND(H1163="ATP",OR(I1163="TN",I1163="TDN",I1163="TNO2-3",I1163="NO2-3")),VLOOKUP(E1163,QCREC_N,2,),IF(AND(H1163="NIC",OR(I1163="TN",I1163="TDN",I1163="TNO2-3",I1163="NO2-3")),VLOOKUP(E1163,QCNIC_N,2,),IF(AND(H1163="UREA",OR(I1163="TN",I1163="TDN",I1163="TNO2-3",I1163="NO2-3")),VLOOKUP(E1163,QCUREA_N,2,),IF(H1163="PER",VLOOKUP(I1163,QCPER,MATCH(E1163,QCACTUAL!$J$25:$AA$25,0),),IF(H1163="SPK",VLOOKUP(I1163,QCSPK,3,),IF(AND(H1163="ATP",OR(I1163="TP",I1163="TDP")),VLOOKUP(E1163,QCATP_P,2,),""))))))))</f>
        <v/>
      </c>
      <c r="W1163" s="31" t="str">
        <f t="shared" si="133"/>
        <v>TRUE</v>
      </c>
      <c r="X1163" s="31" t="str">
        <f t="shared" si="130"/>
        <v>((ABS(rep1-rep2))/((rep1+rep2)/2)*100</v>
      </c>
      <c r="Y1163" s="10" t="s">
        <v>1061</v>
      </c>
      <c r="Z1163" s="10" t="s">
        <v>910</v>
      </c>
      <c r="AF1163" s="12">
        <v>44950</v>
      </c>
      <c r="AJ1163" s="10">
        <f>-1.2768*5.35^2+222.07*5.35-130.11</f>
        <v>1021.4192919999999</v>
      </c>
      <c r="AK1163" s="10">
        <f>0.4667*5.35^2+198.27*5.35-98.12</f>
        <v>975.98262074999991</v>
      </c>
      <c r="AL1163" s="10" t="str">
        <f t="shared" si="135"/>
        <v>FALSE</v>
      </c>
      <c r="AM1163" s="10" t="str">
        <f t="shared" si="135"/>
        <v>FALSE</v>
      </c>
      <c r="AN1163" s="10" t="str">
        <f t="shared" si="135"/>
        <v>FALSE</v>
      </c>
      <c r="AO1163" s="10" t="str">
        <f t="shared" si="136"/>
        <v>y=-1.2768*5.35^2+222.07*5.35-130.11</v>
      </c>
      <c r="AP1163" s="10" t="str">
        <f t="shared" si="136"/>
        <v>y=0.4667*5.35^2+198.27*5.35-98.12</v>
      </c>
      <c r="AQ1163" s="10" t="b">
        <f>IF(AND(I1163="TP",S1163&lt;=150),VLOOKUP(AF1163,TPCalibEq150!$AZ$2:$BB$55,3,),IF(AND(I1163="TDP",S1163&lt;=150),VLOOKUP(AF1163,TPCalibEq150!$AZ$2:$BB$55,3,)))</f>
        <v>0</v>
      </c>
      <c r="AR1163" s="10" t="b">
        <f>IF(AND(I1163="TP",S1163&lt;=300),VLOOKUP(AF1163,TPCalibEq300!$AZ$2:$BB$55,3,),IF(AND(I1163="TDP",S1163&lt;=300),VLOOKUP(AF1163,TPCalibEq300!$AZ$2:$BB$55,3,)))</f>
        <v>0</v>
      </c>
      <c r="AS1163" s="10" t="b">
        <f>IF(AND(I1163="TP",S1163&lt;=500),VLOOKUP(AF1163,TPCalibEq500!$AZ$2:$BB$56,3,),IF(AND(I1163="TDP",S1163&lt;=500),VLOOKUP(AF1163,TPCalibEq500!$AZ$2:$BB$56,3,)))</f>
        <v>0</v>
      </c>
      <c r="AT1163" s="10" t="str">
        <f>IF(AND(I1163="TN",S1163&lt;=2800),VLOOKUP(AF1163,TNCalibEq2500!$AZ$2:$BB$56,3,),IF(AND(I1163="TDN",S1163&lt;=2800),VLOOKUP(AF1163,TNCalibEq2500!$AZ$2:$BB$56,3,)))</f>
        <v>y=-1.2768x2+222.07x-130.11</v>
      </c>
      <c r="AU1163" s="10" t="str">
        <f>IF(I1163="TP",VLOOKUP(AF1163,TPCalibEqFull!$AZ$2:$BB$56,3),IF(I1163="TDP",VLOOKUP(AF1163,TPCalibEqFull!$AZ$2:$BB$56,3),IF(I1163="TDN",VLOOKUP(AF1163,TNCalibEqFull!$AZ$1:$BB$56,3),IF(I1163="TN",VLOOKUP(AF1163,TNCalibEqFull!$AZ$1:$BB$56,3),FALSE))))</f>
        <v>y=0.4667x2+198.27x-98.12</v>
      </c>
      <c r="AV1163" s="10" t="str">
        <f t="shared" si="134"/>
        <v>0118 08:50:00-HST-0-FIL-1-SW-DUP</v>
      </c>
    </row>
    <row r="1164" spans="1:48" s="10" customFormat="1" x14ac:dyDescent="0.55000000000000004">
      <c r="A1164" s="32">
        <v>44944</v>
      </c>
      <c r="B1164" s="33">
        <v>0.36805555555555558</v>
      </c>
      <c r="C1164" s="10" t="s">
        <v>912</v>
      </c>
      <c r="D1164" s="10">
        <v>0</v>
      </c>
      <c r="E1164" s="10" t="s">
        <v>911</v>
      </c>
      <c r="F1164" s="10">
        <v>1</v>
      </c>
      <c r="G1164" s="10" t="s">
        <v>231</v>
      </c>
      <c r="H1164" s="10" t="s">
        <v>314</v>
      </c>
      <c r="I1164" s="10" t="s">
        <v>224</v>
      </c>
      <c r="J1164" s="10">
        <v>60</v>
      </c>
      <c r="K1164" s="12">
        <v>44950</v>
      </c>
      <c r="L1164" s="33">
        <v>0.633275462962963</v>
      </c>
      <c r="M1164" s="10">
        <v>1</v>
      </c>
      <c r="N1164" s="10" t="s">
        <v>196</v>
      </c>
      <c r="O1164" s="10">
        <v>16.8</v>
      </c>
      <c r="P1164" s="10">
        <v>1</v>
      </c>
      <c r="Q1164" s="10">
        <v>3390</v>
      </c>
      <c r="R1164" s="10" t="s">
        <v>170</v>
      </c>
      <c r="S1164" s="34">
        <f t="shared" si="131"/>
        <v>3390</v>
      </c>
      <c r="T1164" s="10" t="s">
        <v>1068</v>
      </c>
      <c r="U1164" s="34">
        <f t="shared" si="132"/>
        <v>94.74322832</v>
      </c>
      <c r="V1164" s="31">
        <f>IF(H1164="CHK",VLOOKUP(I1164,QCCHK,3,),IF(H1164="GUP",VLOOKUP(E1164,QCGUP,2,),IF(AND(H1164="ATP",OR(I1164="TN",I1164="TDN",I1164="TNO2-3",I1164="NO2-3")),VLOOKUP(E1164,QCREC_N,2,),IF(AND(H1164="NIC",OR(I1164="TN",I1164="TDN",I1164="TNO2-3",I1164="NO2-3")),VLOOKUP(E1164,QCNIC_N,2,),IF(AND(H1164="UREA",OR(I1164="TN",I1164="TDN",I1164="TNO2-3",I1164="NO2-3")),VLOOKUP(E1164,QCUREA_N,2,),IF(H1164="PER",VLOOKUP(I1164,QCPER,MATCH(E1164,QCACTUAL!$J$25:$AA$25,0),),IF(H1164="SPK",VLOOKUP(I1164,QCSPK,3,),IF(AND(H1164="ATP",OR(I1164="TP",I1164="TDP")),VLOOKUP(E1164,QCATP_P,2,),""))))))))</f>
        <v>2500</v>
      </c>
      <c r="W1164" s="31" t="str">
        <f t="shared" si="133"/>
        <v>TRUE</v>
      </c>
      <c r="X1164" s="31" t="str">
        <f t="shared" si="130"/>
        <v>([spikedunkn]-[unkn])/[spike]*100</v>
      </c>
      <c r="Y1164" s="10" t="s">
        <v>1061</v>
      </c>
      <c r="Z1164" s="10" t="s">
        <v>910</v>
      </c>
      <c r="AF1164" s="12">
        <v>44950</v>
      </c>
      <c r="AK1164" s="10">
        <f>0.4667*16.8^2+198.27*16.8-98.12</f>
        <v>3364.5374080000001</v>
      </c>
      <c r="AL1164" s="10" t="str">
        <f t="shared" si="135"/>
        <v>FALSE</v>
      </c>
      <c r="AM1164" s="10" t="str">
        <f t="shared" si="135"/>
        <v>FALSE</v>
      </c>
      <c r="AN1164" s="10" t="str">
        <f t="shared" si="135"/>
        <v>FALSE</v>
      </c>
      <c r="AO1164" s="10" t="str">
        <f t="shared" si="136"/>
        <v>FALSE</v>
      </c>
      <c r="AP1164" s="10" t="str">
        <f t="shared" si="136"/>
        <v>y=0.4667*16.8^2+198.27*16.8-98.12</v>
      </c>
      <c r="AQ1164" s="10" t="b">
        <f>IF(AND(I1164="TP",S1164&lt;=150),VLOOKUP(AF1164,TPCalibEq150!$AZ$2:$BB$55,3,),IF(AND(I1164="TDP",S1164&lt;=150),VLOOKUP(AF1164,TPCalibEq150!$AZ$2:$BB$55,3,)))</f>
        <v>0</v>
      </c>
      <c r="AR1164" s="10" t="b">
        <f>IF(AND(I1164="TP",S1164&lt;=300),VLOOKUP(AF1164,TPCalibEq300!$AZ$2:$BB$55,3,),IF(AND(I1164="TDP",S1164&lt;=300),VLOOKUP(AF1164,TPCalibEq300!$AZ$2:$BB$55,3,)))</f>
        <v>0</v>
      </c>
      <c r="AS1164" s="10" t="b">
        <f>IF(AND(I1164="TP",S1164&lt;=500),VLOOKUP(AF1164,TPCalibEq500!$AZ$2:$BB$56,3,),IF(AND(I1164="TDP",S1164&lt;=500),VLOOKUP(AF1164,TPCalibEq500!$AZ$2:$BB$56,3,)))</f>
        <v>0</v>
      </c>
      <c r="AT1164" s="10" t="b">
        <f>IF(AND(I1164="TN",S1164&lt;=2800),VLOOKUP(AF1164,TNCalibEq2500!$AZ$2:$BB$56,3,),IF(AND(I1164="TDN",S1164&lt;=2800),VLOOKUP(AF1164,TNCalibEq2500!$AZ$2:$BB$56,3,)))</f>
        <v>0</v>
      </c>
      <c r="AU1164" s="10" t="str">
        <f>IF(I1164="TP",VLOOKUP(AF1164,TPCalibEqFull!$AZ$2:$BB$56,3),IF(I1164="TDP",VLOOKUP(AF1164,TPCalibEqFull!$AZ$2:$BB$56,3),IF(I1164="TDN",VLOOKUP(AF1164,TNCalibEqFull!$AZ$1:$BB$56,3),IF(I1164="TN",VLOOKUP(AF1164,TNCalibEqFull!$AZ$1:$BB$56,3),FALSE))))</f>
        <v>y=0.4667x2+198.27x-98.12</v>
      </c>
      <c r="AV1164" s="10" t="str">
        <f t="shared" si="134"/>
        <v>0118 08:50:00-HST -0-FIL-1-SW-SPK</v>
      </c>
    </row>
    <row r="1165" spans="1:48" s="10" customFormat="1" x14ac:dyDescent="0.55000000000000004">
      <c r="A1165" s="32">
        <v>44950</v>
      </c>
      <c r="B1165" s="33">
        <v>0.375</v>
      </c>
      <c r="C1165" s="10" t="s">
        <v>70</v>
      </c>
      <c r="D1165" s="10" t="s">
        <v>71</v>
      </c>
      <c r="E1165" s="10" t="s">
        <v>901</v>
      </c>
      <c r="F1165" s="10">
        <v>1</v>
      </c>
      <c r="G1165" s="10" t="s">
        <v>73</v>
      </c>
      <c r="H1165" s="10" t="s">
        <v>207</v>
      </c>
      <c r="I1165" s="10" t="s">
        <v>235</v>
      </c>
      <c r="J1165" s="10">
        <v>200</v>
      </c>
      <c r="K1165" s="12">
        <v>44950</v>
      </c>
      <c r="L1165" s="33">
        <v>0.63394675925925925</v>
      </c>
      <c r="M1165" s="10">
        <v>1</v>
      </c>
      <c r="N1165" s="10" t="s">
        <v>196</v>
      </c>
      <c r="O1165" s="10">
        <v>6.31</v>
      </c>
      <c r="P1165" s="10">
        <v>0.38200000000000001</v>
      </c>
      <c r="Q1165" s="10">
        <v>1200</v>
      </c>
      <c r="R1165" s="10" t="s">
        <v>170</v>
      </c>
      <c r="S1165" s="34">
        <f t="shared" si="131"/>
        <v>1220.3145035199996</v>
      </c>
      <c r="T1165" s="10" t="s">
        <v>1068</v>
      </c>
      <c r="U1165" s="34">
        <f t="shared" si="132"/>
        <v>97.62516028159996</v>
      </c>
      <c r="V1165" s="31">
        <f>IF(H1165="CHK",VLOOKUP(I1165,QCCHK,3,),IF(H1165="GUP",VLOOKUP(E1165,QCGUP,2,),IF(AND(H1165="ATP",OR(I1165="TN",I1165="TDN",I1165="TNO2-3",I1165="NO2-3")),VLOOKUP(E1165,QCREC_N,2,),IF(AND(H1165="NIC",OR(I1165="TN",I1165="TDN",I1165="TNO2-3",I1165="NO2-3")),VLOOKUP(E1165,QCNIC_N,2,),IF(AND(H1165="UREA",OR(I1165="TN",I1165="TDN",I1165="TNO2-3",I1165="NO2-3")),VLOOKUP(E1165,QCUREA_N,2,),IF(H1165="PER",VLOOKUP(I1165,QCPER,MATCH(E1165,QCACTUAL!$J$25:$AA$25,0),),IF(H1165="SPK",VLOOKUP(I1165,QCSPK,3,),IF(AND(H1165="ATP",OR(I1165="TP",I1165="TDP")),VLOOKUP(E1165,QCATP_P,2,),""))))))))</f>
        <v>1250</v>
      </c>
      <c r="W1165" s="31" t="str">
        <f t="shared" si="133"/>
        <v>TRUE</v>
      </c>
      <c r="X1165" s="31" t="str">
        <f t="shared" si="130"/>
        <v>[chk]/[actual]*100</v>
      </c>
      <c r="Y1165" s="10" t="s">
        <v>1061</v>
      </c>
      <c r="AF1165" s="12">
        <v>44950</v>
      </c>
      <c r="AJ1165" s="10">
        <f>-1.2768*6.31^2+222.07*6.31-130.11</f>
        <v>1220.3145035199996</v>
      </c>
      <c r="AK1165" s="10">
        <f>0.4667*6.31^2+198.27*6.31-98.12</f>
        <v>1171.5458738699999</v>
      </c>
      <c r="AL1165" s="10" t="str">
        <f t="shared" si="135"/>
        <v>FALSE</v>
      </c>
      <c r="AM1165" s="10" t="str">
        <f t="shared" si="135"/>
        <v>FALSE</v>
      </c>
      <c r="AN1165" s="10" t="str">
        <f t="shared" si="135"/>
        <v>FALSE</v>
      </c>
      <c r="AO1165" s="10" t="str">
        <f t="shared" si="136"/>
        <v>y=-1.2768*6.31^2+222.07*6.31-130.11</v>
      </c>
      <c r="AP1165" s="10" t="str">
        <f t="shared" si="136"/>
        <v>y=0.4667*6.31^2+198.27*6.31-98.12</v>
      </c>
      <c r="AQ1165" s="10" t="b">
        <f>IF(AND(I1165="TP",S1165&lt;=150),VLOOKUP(AF1165,TPCalibEq150!$AZ$2:$BB$55,3,),IF(AND(I1165="TDP",S1165&lt;=150),VLOOKUP(AF1165,TPCalibEq150!$AZ$2:$BB$55,3,)))</f>
        <v>0</v>
      </c>
      <c r="AR1165" s="10" t="b">
        <f>IF(AND(I1165="TP",S1165&lt;=300),VLOOKUP(AF1165,TPCalibEq300!$AZ$2:$BB$55,3,),IF(AND(I1165="TDP",S1165&lt;=300),VLOOKUP(AF1165,TPCalibEq300!$AZ$2:$BB$55,3,)))</f>
        <v>0</v>
      </c>
      <c r="AS1165" s="10" t="b">
        <f>IF(AND(I1165="TP",S1165&lt;=500),VLOOKUP(AF1165,TPCalibEq500!$AZ$2:$BB$56,3,),IF(AND(I1165="TDP",S1165&lt;=500),VLOOKUP(AF1165,TPCalibEq500!$AZ$2:$BB$56,3,)))</f>
        <v>0</v>
      </c>
      <c r="AT1165" s="10" t="str">
        <f>IF(AND(I1165="TN",S1165&lt;=2800),VLOOKUP(AF1165,TNCalibEq2500!$AZ$2:$BB$56,3,),IF(AND(I1165="TDN",S1165&lt;=2800),VLOOKUP(AF1165,TNCalibEq2500!$AZ$2:$BB$56,3,)))</f>
        <v>y=-1.2768x2+222.07x-130.11</v>
      </c>
      <c r="AU1165" s="10" t="str">
        <f>IF(I1165="TP",VLOOKUP(AF1165,TPCalibEqFull!$AZ$2:$BB$56,3),IF(I1165="TDP",VLOOKUP(AF1165,TPCalibEqFull!$AZ$2:$BB$56,3),IF(I1165="TDN",VLOOKUP(AF1165,TNCalibEqFull!$AZ$1:$BB$56,3),IF(I1165="TN",VLOOKUP(AF1165,TNCalibEqFull!$AZ$1:$BB$56,3),FALSE))))</f>
        <v>y=0.4667x2+198.27x-98.12</v>
      </c>
      <c r="AV1165" s="10" t="str">
        <f t="shared" si="134"/>
        <v>0124 09:00:00-QAC-STD-D-1-DI-CHK</v>
      </c>
    </row>
    <row r="1166" spans="1:48" s="10" customFormat="1" x14ac:dyDescent="0.55000000000000004">
      <c r="A1166" s="32">
        <v>44945</v>
      </c>
      <c r="B1166" s="33">
        <v>0.56041666666666667</v>
      </c>
      <c r="C1166" s="10" t="s">
        <v>279</v>
      </c>
      <c r="D1166" s="10">
        <v>0</v>
      </c>
      <c r="E1166" s="10" t="s">
        <v>911</v>
      </c>
      <c r="F1166" s="10">
        <v>1</v>
      </c>
      <c r="G1166" s="10" t="s">
        <v>231</v>
      </c>
      <c r="H1166" s="10" t="s">
        <v>322</v>
      </c>
      <c r="I1166" s="10" t="s">
        <v>224</v>
      </c>
      <c r="J1166" s="10">
        <v>39</v>
      </c>
      <c r="K1166" s="12">
        <v>44950</v>
      </c>
      <c r="L1166" s="33">
        <v>0.6346180555555555</v>
      </c>
      <c r="M1166" s="10">
        <v>1</v>
      </c>
      <c r="N1166" s="10" t="s">
        <v>196</v>
      </c>
      <c r="O1166" s="10">
        <v>5.69</v>
      </c>
      <c r="P1166" s="10">
        <v>0.34200000000000003</v>
      </c>
      <c r="Q1166" s="10">
        <v>1070</v>
      </c>
      <c r="R1166" s="10" t="s">
        <v>170</v>
      </c>
      <c r="S1166" s="34">
        <f t="shared" si="131"/>
        <v>1092.1304955200003</v>
      </c>
      <c r="T1166" s="10" t="s">
        <v>1068</v>
      </c>
      <c r="U1166" s="34" t="str">
        <f t="shared" si="132"/>
        <v/>
      </c>
      <c r="V1166" s="31" t="str">
        <f>IF(H1166="CHK",VLOOKUP(I1166,QCCHK,3,),IF(H1166="GUP",VLOOKUP(E1166,QCGUP,2,),IF(AND(H1166="ATP",OR(I1166="TN",I1166="TDN",I1166="TNO2-3",I1166="NO2-3")),VLOOKUP(E1166,QCREC_N,2,),IF(AND(H1166="NIC",OR(I1166="TN",I1166="TDN",I1166="TNO2-3",I1166="NO2-3")),VLOOKUP(E1166,QCNIC_N,2,),IF(AND(H1166="UREA",OR(I1166="TN",I1166="TDN",I1166="TNO2-3",I1166="NO2-3")),VLOOKUP(E1166,QCUREA_N,2,),IF(H1166="PER",VLOOKUP(I1166,QCPER,MATCH(E1166,QCACTUAL!$J$25:$AA$25,0),),IF(H1166="SPK",VLOOKUP(I1166,QCSPK,3,),IF(AND(H1166="ATP",OR(I1166="TP",I1166="TDP")),VLOOKUP(E1166,QCATP_P,2,),""))))))))</f>
        <v/>
      </c>
      <c r="W1166" s="31" t="str">
        <f t="shared" si="133"/>
        <v>TRUE</v>
      </c>
      <c r="X1166" s="31" t="str">
        <f t="shared" si="130"/>
        <v/>
      </c>
      <c r="Y1166" s="10" t="s">
        <v>1061</v>
      </c>
      <c r="Z1166" s="10" t="s">
        <v>910</v>
      </c>
      <c r="AF1166" s="12">
        <v>44950</v>
      </c>
      <c r="AJ1166" s="10">
        <f>-1.2768*5.69^2+222.07*5.69-130.11</f>
        <v>1092.1304955200003</v>
      </c>
      <c r="AK1166" s="10">
        <f>0.4667*5.69^2+198.27*5.69-98.12</f>
        <v>1045.1462258700003</v>
      </c>
      <c r="AL1166" s="10" t="str">
        <f t="shared" si="135"/>
        <v>FALSE</v>
      </c>
      <c r="AM1166" s="10" t="str">
        <f t="shared" si="135"/>
        <v>FALSE</v>
      </c>
      <c r="AN1166" s="10" t="str">
        <f t="shared" si="135"/>
        <v>FALSE</v>
      </c>
      <c r="AO1166" s="10" t="str">
        <f t="shared" si="136"/>
        <v>y=-1.2768*5.69^2+222.07*5.69-130.11</v>
      </c>
      <c r="AP1166" s="10" t="str">
        <f t="shared" si="136"/>
        <v>y=0.4667*5.69^2+198.27*5.69-98.12</v>
      </c>
      <c r="AQ1166" s="10" t="b">
        <f>IF(AND(I1166="TP",S1166&lt;=150),VLOOKUP(AF1166,TPCalibEq150!$AZ$2:$BB$55,3,),IF(AND(I1166="TDP",S1166&lt;=150),VLOOKUP(AF1166,TPCalibEq150!$AZ$2:$BB$55,3,)))</f>
        <v>0</v>
      </c>
      <c r="AR1166" s="10" t="b">
        <f>IF(AND(I1166="TP",S1166&lt;=300),VLOOKUP(AF1166,TPCalibEq300!$AZ$2:$BB$55,3,),IF(AND(I1166="TDP",S1166&lt;=300),VLOOKUP(AF1166,TPCalibEq300!$AZ$2:$BB$55,3,)))</f>
        <v>0</v>
      </c>
      <c r="AS1166" s="10" t="b">
        <f>IF(AND(I1166="TP",S1166&lt;=500),VLOOKUP(AF1166,TPCalibEq500!$AZ$2:$BB$56,3,),IF(AND(I1166="TDP",S1166&lt;=500),VLOOKUP(AF1166,TPCalibEq500!$AZ$2:$BB$56,3,)))</f>
        <v>0</v>
      </c>
      <c r="AT1166" s="10" t="str">
        <f>IF(AND(I1166="TN",S1166&lt;=2800),VLOOKUP(AF1166,TNCalibEq2500!$AZ$2:$BB$56,3,),IF(AND(I1166="TDN",S1166&lt;=2800),VLOOKUP(AF1166,TNCalibEq2500!$AZ$2:$BB$56,3,)))</f>
        <v>y=-1.2768x2+222.07x-130.11</v>
      </c>
      <c r="AU1166" s="10" t="str">
        <f>IF(I1166="TP",VLOOKUP(AF1166,TPCalibEqFull!$AZ$2:$BB$56,3),IF(I1166="TDP",VLOOKUP(AF1166,TPCalibEqFull!$AZ$2:$BB$56,3),IF(I1166="TDN",VLOOKUP(AF1166,TNCalibEqFull!$AZ$1:$BB$56,3),IF(I1166="TN",VLOOKUP(AF1166,TNCalibEqFull!$AZ$1:$BB$56,3),FALSE))))</f>
        <v>y=0.4667x2+198.27x-98.12</v>
      </c>
      <c r="AV1166" s="10" t="str">
        <f t="shared" si="134"/>
        <v>0119 13:27:00-EFK-0-FIL-1-SW-UKN</v>
      </c>
    </row>
    <row r="1167" spans="1:48" s="10" customFormat="1" x14ac:dyDescent="0.55000000000000004">
      <c r="A1167" s="32">
        <v>44945</v>
      </c>
      <c r="B1167" s="33">
        <v>0.56736111111111109</v>
      </c>
      <c r="C1167" s="10" t="s">
        <v>333</v>
      </c>
      <c r="D1167" s="10">
        <v>0</v>
      </c>
      <c r="E1167" s="10" t="s">
        <v>911</v>
      </c>
      <c r="F1167" s="10">
        <v>1</v>
      </c>
      <c r="G1167" s="10" t="s">
        <v>231</v>
      </c>
      <c r="H1167" s="10" t="s">
        <v>322</v>
      </c>
      <c r="I1167" s="10" t="s">
        <v>224</v>
      </c>
      <c r="J1167" s="10">
        <v>40</v>
      </c>
      <c r="K1167" s="12">
        <v>44950</v>
      </c>
      <c r="L1167" s="33">
        <v>0.63527777777777772</v>
      </c>
      <c r="M1167" s="10">
        <v>1</v>
      </c>
      <c r="N1167" s="10" t="s">
        <v>196</v>
      </c>
      <c r="O1167" s="10">
        <v>5.66</v>
      </c>
      <c r="P1167" s="10">
        <v>0.34100000000000003</v>
      </c>
      <c r="Q1167" s="10">
        <v>1060</v>
      </c>
      <c r="R1167" s="10" t="s">
        <v>170</v>
      </c>
      <c r="S1167" s="34">
        <f t="shared" si="131"/>
        <v>1085.90314592</v>
      </c>
      <c r="T1167" s="10" t="s">
        <v>1068</v>
      </c>
      <c r="U1167" s="34" t="str">
        <f t="shared" si="132"/>
        <v/>
      </c>
      <c r="V1167" s="31" t="str">
        <f>IF(H1167="CHK",VLOOKUP(I1167,QCCHK,3,),IF(H1167="GUP",VLOOKUP(E1167,QCGUP,2,),IF(AND(H1167="ATP",OR(I1167="TN",I1167="TDN",I1167="TNO2-3",I1167="NO2-3")),VLOOKUP(E1167,QCREC_N,2,),IF(AND(H1167="NIC",OR(I1167="TN",I1167="TDN",I1167="TNO2-3",I1167="NO2-3")),VLOOKUP(E1167,QCNIC_N,2,),IF(AND(H1167="UREA",OR(I1167="TN",I1167="TDN",I1167="TNO2-3",I1167="NO2-3")),VLOOKUP(E1167,QCUREA_N,2,),IF(H1167="PER",VLOOKUP(I1167,QCPER,MATCH(E1167,QCACTUAL!$J$25:$AA$25,0),),IF(H1167="SPK",VLOOKUP(I1167,QCSPK,3,),IF(AND(H1167="ATP",OR(I1167="TP",I1167="TDP")),VLOOKUP(E1167,QCATP_P,2,),""))))))))</f>
        <v/>
      </c>
      <c r="W1167" s="31" t="str">
        <f t="shared" si="133"/>
        <v>TRUE</v>
      </c>
      <c r="X1167" s="31" t="str">
        <f t="shared" si="130"/>
        <v/>
      </c>
      <c r="Y1167" s="10" t="s">
        <v>1061</v>
      </c>
      <c r="Z1167" s="10" t="s">
        <v>910</v>
      </c>
      <c r="AF1167" s="12">
        <v>44950</v>
      </c>
      <c r="AJ1167" s="10">
        <f>-1.2768*5.66^2+222.07*5.66-130.11</f>
        <v>1085.90314592</v>
      </c>
      <c r="AK1167" s="10">
        <f>0.4667*5.66^2+198.27*5.66-98.12</f>
        <v>1039.0392145199999</v>
      </c>
      <c r="AL1167" s="10" t="str">
        <f t="shared" si="135"/>
        <v>FALSE</v>
      </c>
      <c r="AM1167" s="10" t="str">
        <f t="shared" si="135"/>
        <v>FALSE</v>
      </c>
      <c r="AN1167" s="10" t="str">
        <f t="shared" si="135"/>
        <v>FALSE</v>
      </c>
      <c r="AO1167" s="10" t="str">
        <f t="shared" si="136"/>
        <v>y=-1.2768*5.66^2+222.07*5.66-130.11</v>
      </c>
      <c r="AP1167" s="10" t="str">
        <f t="shared" si="136"/>
        <v>y=0.4667*5.66^2+198.27*5.66-98.12</v>
      </c>
      <c r="AQ1167" s="10" t="b">
        <f>IF(AND(I1167="TP",S1167&lt;=150),VLOOKUP(AF1167,TPCalibEq150!$AZ$2:$BB$55,3,),IF(AND(I1167="TDP",S1167&lt;=150),VLOOKUP(AF1167,TPCalibEq150!$AZ$2:$BB$55,3,)))</f>
        <v>0</v>
      </c>
      <c r="AR1167" s="10" t="b">
        <f>IF(AND(I1167="TP",S1167&lt;=300),VLOOKUP(AF1167,TPCalibEq300!$AZ$2:$BB$55,3,),IF(AND(I1167="TDP",S1167&lt;=300),VLOOKUP(AF1167,TPCalibEq300!$AZ$2:$BB$55,3,)))</f>
        <v>0</v>
      </c>
      <c r="AS1167" s="10" t="b">
        <f>IF(AND(I1167="TP",S1167&lt;=500),VLOOKUP(AF1167,TPCalibEq500!$AZ$2:$BB$56,3,),IF(AND(I1167="TDP",S1167&lt;=500),VLOOKUP(AF1167,TPCalibEq500!$AZ$2:$BB$56,3,)))</f>
        <v>0</v>
      </c>
      <c r="AT1167" s="10" t="str">
        <f>IF(AND(I1167="TN",S1167&lt;=2800),VLOOKUP(AF1167,TNCalibEq2500!$AZ$2:$BB$56,3,),IF(AND(I1167="TDN",S1167&lt;=2800),VLOOKUP(AF1167,TNCalibEq2500!$AZ$2:$BB$56,3,)))</f>
        <v>y=-1.2768x2+222.07x-130.11</v>
      </c>
      <c r="AU1167" s="10" t="str">
        <f>IF(I1167="TP",VLOOKUP(AF1167,TPCalibEqFull!$AZ$2:$BB$56,3),IF(I1167="TDP",VLOOKUP(AF1167,TPCalibEqFull!$AZ$2:$BB$56,3),IF(I1167="TDN",VLOOKUP(AF1167,TNCalibEqFull!$AZ$1:$BB$56,3),IF(I1167="TN",VLOOKUP(AF1167,TNCalibEqFull!$AZ$1:$BB$56,3),FALSE))))</f>
        <v>y=0.4667x2+198.27x-98.12</v>
      </c>
      <c r="AV1167" s="10" t="str">
        <f t="shared" si="134"/>
        <v>0119 13:37:00-HST-0-FIL-1-SW-UKN</v>
      </c>
    </row>
    <row r="1168" spans="1:48" s="10" customFormat="1" x14ac:dyDescent="0.55000000000000004">
      <c r="A1168" s="32">
        <v>44946</v>
      </c>
      <c r="B1168" s="33">
        <v>0.37013888888888885</v>
      </c>
      <c r="C1168" s="10" t="s">
        <v>279</v>
      </c>
      <c r="D1168" s="10">
        <v>0</v>
      </c>
      <c r="E1168" s="10" t="s">
        <v>911</v>
      </c>
      <c r="F1168" s="10">
        <v>1</v>
      </c>
      <c r="G1168" s="10" t="s">
        <v>231</v>
      </c>
      <c r="H1168" s="10" t="s">
        <v>322</v>
      </c>
      <c r="I1168" s="10" t="s">
        <v>224</v>
      </c>
      <c r="J1168" s="10">
        <v>41</v>
      </c>
      <c r="K1168" s="12">
        <v>44950</v>
      </c>
      <c r="L1168" s="33">
        <v>0.63593749999999993</v>
      </c>
      <c r="M1168" s="10">
        <v>1</v>
      </c>
      <c r="N1168" s="10" t="s">
        <v>196</v>
      </c>
      <c r="O1168" s="10">
        <v>5.79</v>
      </c>
      <c r="P1168" s="10">
        <v>0.34899999999999998</v>
      </c>
      <c r="Q1168" s="10">
        <v>1090</v>
      </c>
      <c r="R1168" s="10" t="s">
        <v>170</v>
      </c>
      <c r="S1168" s="34">
        <f t="shared" si="131"/>
        <v>1112.8717291200001</v>
      </c>
      <c r="T1168" s="10" t="s">
        <v>1068</v>
      </c>
      <c r="U1168" s="34" t="str">
        <f t="shared" si="132"/>
        <v/>
      </c>
      <c r="V1168" s="31" t="str">
        <f>IF(H1168="CHK",VLOOKUP(I1168,QCCHK,3,),IF(H1168="GUP",VLOOKUP(E1168,QCGUP,2,),IF(AND(H1168="ATP",OR(I1168="TN",I1168="TDN",I1168="TNO2-3",I1168="NO2-3")),VLOOKUP(E1168,QCREC_N,2,),IF(AND(H1168="NIC",OR(I1168="TN",I1168="TDN",I1168="TNO2-3",I1168="NO2-3")),VLOOKUP(E1168,QCNIC_N,2,),IF(AND(H1168="UREA",OR(I1168="TN",I1168="TDN",I1168="TNO2-3",I1168="NO2-3")),VLOOKUP(E1168,QCUREA_N,2,),IF(H1168="PER",VLOOKUP(I1168,QCPER,MATCH(E1168,QCACTUAL!$J$25:$AA$25,0),),IF(H1168="SPK",VLOOKUP(I1168,QCSPK,3,),IF(AND(H1168="ATP",OR(I1168="TP",I1168="TDP")),VLOOKUP(E1168,QCATP_P,2,),""))))))))</f>
        <v/>
      </c>
      <c r="W1168" s="31" t="str">
        <f t="shared" si="133"/>
        <v>TRUE</v>
      </c>
      <c r="X1168" s="31" t="str">
        <f t="shared" si="130"/>
        <v/>
      </c>
      <c r="Y1168" s="10" t="s">
        <v>1061</v>
      </c>
      <c r="Z1168" s="10" t="s">
        <v>910</v>
      </c>
      <c r="AF1168" s="12">
        <v>44950</v>
      </c>
      <c r="AJ1168" s="10">
        <f>-1.2768*5.79^2+222.07*5.79-130.11</f>
        <v>1112.8717291200001</v>
      </c>
      <c r="AK1168" s="10">
        <f>0.4667*5.79^2+198.27*5.79-98.12</f>
        <v>1065.5089974699999</v>
      </c>
      <c r="AL1168" s="10" t="str">
        <f t="shared" si="135"/>
        <v>FALSE</v>
      </c>
      <c r="AM1168" s="10" t="str">
        <f t="shared" si="135"/>
        <v>FALSE</v>
      </c>
      <c r="AN1168" s="10" t="str">
        <f t="shared" si="135"/>
        <v>FALSE</v>
      </c>
      <c r="AO1168" s="10" t="str">
        <f t="shared" si="136"/>
        <v>y=-1.2768*5.79^2+222.07*5.79-130.11</v>
      </c>
      <c r="AP1168" s="10" t="str">
        <f t="shared" si="136"/>
        <v>y=0.4667*5.79^2+198.27*5.79-98.12</v>
      </c>
      <c r="AQ1168" s="10" t="b">
        <f>IF(AND(I1168="TP",S1168&lt;=150),VLOOKUP(AF1168,TPCalibEq150!$AZ$2:$BB$55,3,),IF(AND(I1168="TDP",S1168&lt;=150),VLOOKUP(AF1168,TPCalibEq150!$AZ$2:$BB$55,3,)))</f>
        <v>0</v>
      </c>
      <c r="AR1168" s="10" t="b">
        <f>IF(AND(I1168="TP",S1168&lt;=300),VLOOKUP(AF1168,TPCalibEq300!$AZ$2:$BB$55,3,),IF(AND(I1168="TDP",S1168&lt;=300),VLOOKUP(AF1168,TPCalibEq300!$AZ$2:$BB$55,3,)))</f>
        <v>0</v>
      </c>
      <c r="AS1168" s="10" t="b">
        <f>IF(AND(I1168="TP",S1168&lt;=500),VLOOKUP(AF1168,TPCalibEq500!$AZ$2:$BB$56,3,),IF(AND(I1168="TDP",S1168&lt;=500),VLOOKUP(AF1168,TPCalibEq500!$AZ$2:$BB$56,3,)))</f>
        <v>0</v>
      </c>
      <c r="AT1168" s="10" t="str">
        <f>IF(AND(I1168="TN",S1168&lt;=2800),VLOOKUP(AF1168,TNCalibEq2500!$AZ$2:$BB$56,3,),IF(AND(I1168="TDN",S1168&lt;=2800),VLOOKUP(AF1168,TNCalibEq2500!$AZ$2:$BB$56,3,)))</f>
        <v>y=-1.2768x2+222.07x-130.11</v>
      </c>
      <c r="AU1168" s="10" t="str">
        <f>IF(I1168="TP",VLOOKUP(AF1168,TPCalibEqFull!$AZ$2:$BB$56,3),IF(I1168="TDP",VLOOKUP(AF1168,TPCalibEqFull!$AZ$2:$BB$56,3),IF(I1168="TDN",VLOOKUP(AF1168,TNCalibEqFull!$AZ$1:$BB$56,3),IF(I1168="TN",VLOOKUP(AF1168,TNCalibEqFull!$AZ$1:$BB$56,3),FALSE))))</f>
        <v>y=0.4667x2+198.27x-98.12</v>
      </c>
      <c r="AV1168" s="10" t="str">
        <f t="shared" si="134"/>
        <v>0120 08:53:00-EFK-0-FIL-1-SW-UKN</v>
      </c>
    </row>
    <row r="1169" spans="1:48" s="10" customFormat="1" x14ac:dyDescent="0.55000000000000004">
      <c r="A1169" s="32">
        <v>44946</v>
      </c>
      <c r="B1169" s="33">
        <v>0.37291666666666662</v>
      </c>
      <c r="C1169" s="10" t="s">
        <v>333</v>
      </c>
      <c r="D1169" s="10">
        <v>0</v>
      </c>
      <c r="E1169" s="10" t="s">
        <v>911</v>
      </c>
      <c r="F1169" s="10">
        <v>1</v>
      </c>
      <c r="G1169" s="10" t="s">
        <v>231</v>
      </c>
      <c r="H1169" s="10" t="s">
        <v>322</v>
      </c>
      <c r="I1169" s="10" t="s">
        <v>224</v>
      </c>
      <c r="J1169" s="10">
        <v>42</v>
      </c>
      <c r="K1169" s="12">
        <v>44950</v>
      </c>
      <c r="L1169" s="33">
        <v>0.63659722222222215</v>
      </c>
      <c r="M1169" s="10">
        <v>1</v>
      </c>
      <c r="N1169" s="10" t="s">
        <v>196</v>
      </c>
      <c r="O1169" s="10">
        <v>5.51</v>
      </c>
      <c r="P1169" s="10">
        <v>0.33500000000000002</v>
      </c>
      <c r="Q1169" s="10">
        <v>1030</v>
      </c>
      <c r="R1169" s="10" t="s">
        <v>170</v>
      </c>
      <c r="S1169" s="34">
        <f t="shared" si="131"/>
        <v>1054.73192432</v>
      </c>
      <c r="T1169" s="10" t="s">
        <v>1068</v>
      </c>
      <c r="U1169" s="34" t="str">
        <f t="shared" si="132"/>
        <v/>
      </c>
      <c r="V1169" s="31" t="str">
        <f>IF(H1169="CHK",VLOOKUP(I1169,QCCHK,3,),IF(H1169="GUP",VLOOKUP(E1169,QCGUP,2,),IF(AND(H1169="ATP",OR(I1169="TN",I1169="TDN",I1169="TNO2-3",I1169="NO2-3")),VLOOKUP(E1169,QCREC_N,2,),IF(AND(H1169="NIC",OR(I1169="TN",I1169="TDN",I1169="TNO2-3",I1169="NO2-3")),VLOOKUP(E1169,QCNIC_N,2,),IF(AND(H1169="UREA",OR(I1169="TN",I1169="TDN",I1169="TNO2-3",I1169="NO2-3")),VLOOKUP(E1169,QCUREA_N,2,),IF(H1169="PER",VLOOKUP(I1169,QCPER,MATCH(E1169,QCACTUAL!$J$25:$AA$25,0),),IF(H1169="SPK",VLOOKUP(I1169,QCSPK,3,),IF(AND(H1169="ATP",OR(I1169="TP",I1169="TDP")),VLOOKUP(E1169,QCATP_P,2,),""))))))))</f>
        <v/>
      </c>
      <c r="W1169" s="31" t="str">
        <f t="shared" si="133"/>
        <v>TRUE</v>
      </c>
      <c r="X1169" s="31" t="str">
        <f t="shared" si="130"/>
        <v/>
      </c>
      <c r="Y1169" s="10" t="s">
        <v>1061</v>
      </c>
      <c r="Z1169" s="10" t="s">
        <v>910</v>
      </c>
      <c r="AF1169" s="12">
        <v>44950</v>
      </c>
      <c r="AJ1169" s="10">
        <f>-1.2768*5.51^2+222.07*5.51-130.11</f>
        <v>1054.73192432</v>
      </c>
      <c r="AK1169" s="10">
        <f>0.4667*5.51^2+198.27*5.51-98.12</f>
        <v>1008.5167586699998</v>
      </c>
      <c r="AL1169" s="10" t="str">
        <f t="shared" si="135"/>
        <v>FALSE</v>
      </c>
      <c r="AM1169" s="10" t="str">
        <f t="shared" si="135"/>
        <v>FALSE</v>
      </c>
      <c r="AN1169" s="10" t="str">
        <f t="shared" si="135"/>
        <v>FALSE</v>
      </c>
      <c r="AO1169" s="10" t="str">
        <f t="shared" si="136"/>
        <v>y=-1.2768*5.51^2+222.07*5.51-130.11</v>
      </c>
      <c r="AP1169" s="10" t="str">
        <f t="shared" si="136"/>
        <v>y=0.4667*5.51^2+198.27*5.51-98.12</v>
      </c>
      <c r="AQ1169" s="10" t="b">
        <f>IF(AND(I1169="TP",S1169&lt;=150),VLOOKUP(AF1169,TPCalibEq150!$AZ$2:$BB$55,3,),IF(AND(I1169="TDP",S1169&lt;=150),VLOOKUP(AF1169,TPCalibEq150!$AZ$2:$BB$55,3,)))</f>
        <v>0</v>
      </c>
      <c r="AR1169" s="10" t="b">
        <f>IF(AND(I1169="TP",S1169&lt;=300),VLOOKUP(AF1169,TPCalibEq300!$AZ$2:$BB$55,3,),IF(AND(I1169="TDP",S1169&lt;=300),VLOOKUP(AF1169,TPCalibEq300!$AZ$2:$BB$55,3,)))</f>
        <v>0</v>
      </c>
      <c r="AS1169" s="10" t="b">
        <f>IF(AND(I1169="TP",S1169&lt;=500),VLOOKUP(AF1169,TPCalibEq500!$AZ$2:$BB$56,3,),IF(AND(I1169="TDP",S1169&lt;=500),VLOOKUP(AF1169,TPCalibEq500!$AZ$2:$BB$56,3,)))</f>
        <v>0</v>
      </c>
      <c r="AT1169" s="10" t="str">
        <f>IF(AND(I1169="TN",S1169&lt;=2800),VLOOKUP(AF1169,TNCalibEq2500!$AZ$2:$BB$56,3,),IF(AND(I1169="TDN",S1169&lt;=2800),VLOOKUP(AF1169,TNCalibEq2500!$AZ$2:$BB$56,3,)))</f>
        <v>y=-1.2768x2+222.07x-130.11</v>
      </c>
      <c r="AU1169" s="10" t="str">
        <f>IF(I1169="TP",VLOOKUP(AF1169,TPCalibEqFull!$AZ$2:$BB$56,3),IF(I1169="TDP",VLOOKUP(AF1169,TPCalibEqFull!$AZ$2:$BB$56,3),IF(I1169="TDN",VLOOKUP(AF1169,TNCalibEqFull!$AZ$1:$BB$56,3),IF(I1169="TN",VLOOKUP(AF1169,TNCalibEqFull!$AZ$1:$BB$56,3),FALSE))))</f>
        <v>y=0.4667x2+198.27x-98.12</v>
      </c>
      <c r="AV1169" s="10" t="str">
        <f t="shared" si="134"/>
        <v>0120 08:57:00-HST-0-FIL-1-SW-UKN</v>
      </c>
    </row>
    <row r="1170" spans="1:48" s="10" customFormat="1" x14ac:dyDescent="0.55000000000000004">
      <c r="A1170" s="32">
        <v>44943</v>
      </c>
      <c r="B1170" s="33">
        <v>0.36736111111111108</v>
      </c>
      <c r="C1170" s="10" t="s">
        <v>998</v>
      </c>
      <c r="D1170" s="10">
        <v>0</v>
      </c>
      <c r="E1170" s="10" t="s">
        <v>911</v>
      </c>
      <c r="F1170" s="10">
        <v>1</v>
      </c>
      <c r="G1170" s="10" t="s">
        <v>231</v>
      </c>
      <c r="H1170" s="10" t="s">
        <v>322</v>
      </c>
      <c r="I1170" s="10" t="s">
        <v>224</v>
      </c>
      <c r="J1170" s="10">
        <v>43</v>
      </c>
      <c r="K1170" s="12">
        <v>44950</v>
      </c>
      <c r="L1170" s="33">
        <v>0.63725694444444447</v>
      </c>
      <c r="M1170" s="10">
        <v>1</v>
      </c>
      <c r="N1170" s="10" t="s">
        <v>196</v>
      </c>
      <c r="O1170" s="10">
        <v>6.41</v>
      </c>
      <c r="P1170" s="10">
        <v>0.38900000000000001</v>
      </c>
      <c r="Q1170" s="10">
        <v>1220</v>
      </c>
      <c r="R1170" s="10" t="s">
        <v>170</v>
      </c>
      <c r="S1170" s="34">
        <f t="shared" si="131"/>
        <v>1240.89741392</v>
      </c>
      <c r="T1170" s="10" t="s">
        <v>1068</v>
      </c>
      <c r="U1170" s="34" t="str">
        <f t="shared" si="132"/>
        <v/>
      </c>
      <c r="V1170" s="31" t="str">
        <f>IF(H1170="CHK",VLOOKUP(I1170,QCCHK,3,),IF(H1170="GUP",VLOOKUP(E1170,QCGUP,2,),IF(AND(H1170="ATP",OR(I1170="TN",I1170="TDN",I1170="TNO2-3",I1170="NO2-3")),VLOOKUP(E1170,QCREC_N,2,),IF(AND(H1170="NIC",OR(I1170="TN",I1170="TDN",I1170="TNO2-3",I1170="NO2-3")),VLOOKUP(E1170,QCNIC_N,2,),IF(AND(H1170="UREA",OR(I1170="TN",I1170="TDN",I1170="TNO2-3",I1170="NO2-3")),VLOOKUP(E1170,QCUREA_N,2,),IF(H1170="PER",VLOOKUP(I1170,QCPER,MATCH(E1170,QCACTUAL!$J$25:$AA$25,0),),IF(H1170="SPK",VLOOKUP(I1170,QCSPK,3,),IF(AND(H1170="ATP",OR(I1170="TP",I1170="TDP")),VLOOKUP(E1170,QCATP_P,2,),""))))))))</f>
        <v/>
      </c>
      <c r="W1170" s="31" t="str">
        <f t="shared" si="133"/>
        <v>TRUE</v>
      </c>
      <c r="X1170" s="31" t="str">
        <f t="shared" si="130"/>
        <v/>
      </c>
      <c r="Y1170" s="10" t="s">
        <v>1061</v>
      </c>
      <c r="Z1170" s="10" t="s">
        <v>910</v>
      </c>
      <c r="AF1170" s="12">
        <v>44950</v>
      </c>
      <c r="AJ1170" s="10">
        <f>-1.2768*6.41^2+222.07*6.41-130.11</f>
        <v>1240.89741392</v>
      </c>
      <c r="AK1170" s="10">
        <f>0.4667*6.41^2+198.27*6.41-98.12</f>
        <v>1191.9665162700003</v>
      </c>
      <c r="AL1170" s="10" t="str">
        <f t="shared" si="135"/>
        <v>FALSE</v>
      </c>
      <c r="AM1170" s="10" t="str">
        <f t="shared" si="135"/>
        <v>FALSE</v>
      </c>
      <c r="AN1170" s="10" t="str">
        <f t="shared" si="135"/>
        <v>FALSE</v>
      </c>
      <c r="AO1170" s="10" t="str">
        <f t="shared" si="136"/>
        <v>y=-1.2768*6.41^2+222.07*6.41-130.11</v>
      </c>
      <c r="AP1170" s="10" t="str">
        <f t="shared" si="136"/>
        <v>y=0.4667*6.41^2+198.27*6.41-98.12</v>
      </c>
      <c r="AQ1170" s="10" t="b">
        <f>IF(AND(I1170="TP",S1170&lt;=150),VLOOKUP(AF1170,TPCalibEq150!$AZ$2:$BB$55,3,),IF(AND(I1170="TDP",S1170&lt;=150),VLOOKUP(AF1170,TPCalibEq150!$AZ$2:$BB$55,3,)))</f>
        <v>0</v>
      </c>
      <c r="AR1170" s="10" t="b">
        <f>IF(AND(I1170="TP",S1170&lt;=300),VLOOKUP(AF1170,TPCalibEq300!$AZ$2:$BB$55,3,),IF(AND(I1170="TDP",S1170&lt;=300),VLOOKUP(AF1170,TPCalibEq300!$AZ$2:$BB$55,3,)))</f>
        <v>0</v>
      </c>
      <c r="AS1170" s="10" t="b">
        <f>IF(AND(I1170="TP",S1170&lt;=500),VLOOKUP(AF1170,TPCalibEq500!$AZ$2:$BB$56,3,),IF(AND(I1170="TDP",S1170&lt;=500),VLOOKUP(AF1170,TPCalibEq500!$AZ$2:$BB$56,3,)))</f>
        <v>0</v>
      </c>
      <c r="AT1170" s="10" t="str">
        <f>IF(AND(I1170="TN",S1170&lt;=2800),VLOOKUP(AF1170,TNCalibEq2500!$AZ$2:$BB$56,3,),IF(AND(I1170="TDN",S1170&lt;=2800),VLOOKUP(AF1170,TNCalibEq2500!$AZ$2:$BB$56,3,)))</f>
        <v>y=-1.2768x2+222.07x-130.11</v>
      </c>
      <c r="AU1170" s="10" t="str">
        <f>IF(I1170="TP",VLOOKUP(AF1170,TPCalibEqFull!$AZ$2:$BB$56,3),IF(I1170="TDP",VLOOKUP(AF1170,TPCalibEqFull!$AZ$2:$BB$56,3),IF(I1170="TDN",VLOOKUP(AF1170,TNCalibEqFull!$AZ$1:$BB$56,3),IF(I1170="TN",VLOOKUP(AF1170,TNCalibEqFull!$AZ$1:$BB$56,3),FALSE))))</f>
        <v>y=0.4667x2+198.27x-98.12</v>
      </c>
      <c r="AV1170" s="10" t="str">
        <f t="shared" si="134"/>
        <v>0117 08:49:00-ELW-0-FIL-1-SW-UKN</v>
      </c>
    </row>
    <row r="1171" spans="1:48" s="10" customFormat="1" x14ac:dyDescent="0.55000000000000004">
      <c r="A1171" s="32">
        <v>44943</v>
      </c>
      <c r="B1171" s="33">
        <v>0.37708333333333338</v>
      </c>
      <c r="C1171" s="10" t="s">
        <v>260</v>
      </c>
      <c r="D1171" s="10">
        <v>0</v>
      </c>
      <c r="E1171" s="10" t="s">
        <v>911</v>
      </c>
      <c r="F1171" s="10">
        <v>1</v>
      </c>
      <c r="G1171" s="10" t="s">
        <v>231</v>
      </c>
      <c r="H1171" s="10" t="s">
        <v>322</v>
      </c>
      <c r="I1171" s="10" t="s">
        <v>224</v>
      </c>
      <c r="J1171" s="10">
        <v>44</v>
      </c>
      <c r="K1171" s="12">
        <v>44950</v>
      </c>
      <c r="L1171" s="33">
        <v>0.63790509259259254</v>
      </c>
      <c r="M1171" s="10">
        <v>1</v>
      </c>
      <c r="N1171" s="10" t="s">
        <v>196</v>
      </c>
      <c r="O1171" s="10">
        <v>6.35</v>
      </c>
      <c r="P1171" s="10">
        <v>0.38400000000000001</v>
      </c>
      <c r="Q1171" s="10">
        <v>1210</v>
      </c>
      <c r="R1171" s="10" t="s">
        <v>170</v>
      </c>
      <c r="S1171" s="34">
        <f t="shared" si="131"/>
        <v>1228.5507319999997</v>
      </c>
      <c r="T1171" s="10" t="s">
        <v>1068</v>
      </c>
      <c r="U1171" s="34" t="str">
        <f t="shared" si="132"/>
        <v/>
      </c>
      <c r="V1171" s="31" t="str">
        <f>IF(H1171="CHK",VLOOKUP(I1171,QCCHK,3,),IF(H1171="GUP",VLOOKUP(E1171,QCGUP,2,),IF(AND(H1171="ATP",OR(I1171="TN",I1171="TDN",I1171="TNO2-3",I1171="NO2-3")),VLOOKUP(E1171,QCREC_N,2,),IF(AND(H1171="NIC",OR(I1171="TN",I1171="TDN",I1171="TNO2-3",I1171="NO2-3")),VLOOKUP(E1171,QCNIC_N,2,),IF(AND(H1171="UREA",OR(I1171="TN",I1171="TDN",I1171="TNO2-3",I1171="NO2-3")),VLOOKUP(E1171,QCUREA_N,2,),IF(H1171="PER",VLOOKUP(I1171,QCPER,MATCH(E1171,QCACTUAL!$J$25:$AA$25,0),),IF(H1171="SPK",VLOOKUP(I1171,QCSPK,3,),IF(AND(H1171="ATP",OR(I1171="TP",I1171="TDP")),VLOOKUP(E1171,QCATP_P,2,),""))))))))</f>
        <v/>
      </c>
      <c r="W1171" s="31" t="str">
        <f t="shared" si="133"/>
        <v>TRUE</v>
      </c>
      <c r="X1171" s="31" t="str">
        <f t="shared" si="130"/>
        <v/>
      </c>
      <c r="Y1171" s="10" t="s">
        <v>1061</v>
      </c>
      <c r="Z1171" s="10" t="s">
        <v>910</v>
      </c>
      <c r="AF1171" s="12">
        <v>44950</v>
      </c>
      <c r="AJ1171" s="10">
        <f>-1.2768*6.35^2+222.07*6.35-130.11</f>
        <v>1228.5507319999997</v>
      </c>
      <c r="AK1171" s="10">
        <f>0.4667*6.35^2+198.27*6.35-98.12</f>
        <v>1179.7130107500002</v>
      </c>
      <c r="AL1171" s="10" t="str">
        <f t="shared" si="135"/>
        <v>FALSE</v>
      </c>
      <c r="AM1171" s="10" t="str">
        <f t="shared" si="135"/>
        <v>FALSE</v>
      </c>
      <c r="AN1171" s="10" t="str">
        <f t="shared" si="135"/>
        <v>FALSE</v>
      </c>
      <c r="AO1171" s="10" t="str">
        <f t="shared" si="136"/>
        <v>y=-1.2768*6.35^2+222.07*6.35-130.11</v>
      </c>
      <c r="AP1171" s="10" t="str">
        <f t="shared" si="136"/>
        <v>y=0.4667*6.35^2+198.27*6.35-98.12</v>
      </c>
      <c r="AQ1171" s="10" t="b">
        <f>IF(AND(I1171="TP",S1171&lt;=150),VLOOKUP(AF1171,TPCalibEq150!$AZ$2:$BB$55,3,),IF(AND(I1171="TDP",S1171&lt;=150),VLOOKUP(AF1171,TPCalibEq150!$AZ$2:$BB$55,3,)))</f>
        <v>0</v>
      </c>
      <c r="AR1171" s="10" t="b">
        <f>IF(AND(I1171="TP",S1171&lt;=300),VLOOKUP(AF1171,TPCalibEq300!$AZ$2:$BB$55,3,),IF(AND(I1171="TDP",S1171&lt;=300),VLOOKUP(AF1171,TPCalibEq300!$AZ$2:$BB$55,3,)))</f>
        <v>0</v>
      </c>
      <c r="AS1171" s="10" t="b">
        <f>IF(AND(I1171="TP",S1171&lt;=500),VLOOKUP(AF1171,TPCalibEq500!$AZ$2:$BB$56,3,),IF(AND(I1171="TDP",S1171&lt;=500),VLOOKUP(AF1171,TPCalibEq500!$AZ$2:$BB$56,3,)))</f>
        <v>0</v>
      </c>
      <c r="AT1171" s="10" t="str">
        <f>IF(AND(I1171="TN",S1171&lt;=2800),VLOOKUP(AF1171,TNCalibEq2500!$AZ$2:$BB$56,3,),IF(AND(I1171="TDN",S1171&lt;=2800),VLOOKUP(AF1171,TNCalibEq2500!$AZ$2:$BB$56,3,)))</f>
        <v>y=-1.2768x2+222.07x-130.11</v>
      </c>
      <c r="AU1171" s="10" t="str">
        <f>IF(I1171="TP",VLOOKUP(AF1171,TPCalibEqFull!$AZ$2:$BB$56,3),IF(I1171="TDP",VLOOKUP(AF1171,TPCalibEqFull!$AZ$2:$BB$56,3),IF(I1171="TDN",VLOOKUP(AF1171,TNCalibEqFull!$AZ$1:$BB$56,3),IF(I1171="TN",VLOOKUP(AF1171,TNCalibEqFull!$AZ$1:$BB$56,3),FALSE))))</f>
        <v>y=0.4667x2+198.27x-98.12</v>
      </c>
      <c r="AV1171" s="10" t="str">
        <f t="shared" si="134"/>
        <v>0117 09:03:00-EFC-0-FIL-1-SW-UKN</v>
      </c>
    </row>
    <row r="1172" spans="1:48" s="10" customFormat="1" x14ac:dyDescent="0.55000000000000004">
      <c r="A1172" s="32">
        <v>44943</v>
      </c>
      <c r="B1172" s="33">
        <v>0.39097222222222222</v>
      </c>
      <c r="C1172" s="10" t="s">
        <v>543</v>
      </c>
      <c r="D1172" s="10">
        <v>0</v>
      </c>
      <c r="E1172" s="10" t="s">
        <v>911</v>
      </c>
      <c r="F1172" s="10">
        <v>1</v>
      </c>
      <c r="G1172" s="10" t="s">
        <v>231</v>
      </c>
      <c r="H1172" s="10" t="s">
        <v>322</v>
      </c>
      <c r="I1172" s="10" t="s">
        <v>224</v>
      </c>
      <c r="J1172" s="10">
        <v>45</v>
      </c>
      <c r="K1172" s="12">
        <v>44950</v>
      </c>
      <c r="L1172" s="33">
        <v>0.63856481481481475</v>
      </c>
      <c r="M1172" s="10">
        <v>1</v>
      </c>
      <c r="N1172" s="10" t="s">
        <v>196</v>
      </c>
      <c r="O1172" s="10">
        <v>3.51</v>
      </c>
      <c r="P1172" s="10">
        <v>0.21199999999999999</v>
      </c>
      <c r="Q1172" s="10">
        <v>612</v>
      </c>
      <c r="R1172" s="10" t="s">
        <v>170</v>
      </c>
      <c r="S1172" s="34">
        <f t="shared" si="131"/>
        <v>633.62539631999994</v>
      </c>
      <c r="T1172" s="10" t="s">
        <v>1068</v>
      </c>
      <c r="U1172" s="34" t="str">
        <f t="shared" si="132"/>
        <v/>
      </c>
      <c r="V1172" s="31" t="str">
        <f>IF(H1172="CHK",VLOOKUP(I1172,QCCHK,3,),IF(H1172="GUP",VLOOKUP(E1172,QCGUP,2,),IF(AND(H1172="ATP",OR(I1172="TN",I1172="TDN",I1172="TNO2-3",I1172="NO2-3")),VLOOKUP(E1172,QCREC_N,2,),IF(AND(H1172="NIC",OR(I1172="TN",I1172="TDN",I1172="TNO2-3",I1172="NO2-3")),VLOOKUP(E1172,QCNIC_N,2,),IF(AND(H1172="UREA",OR(I1172="TN",I1172="TDN",I1172="TNO2-3",I1172="NO2-3")),VLOOKUP(E1172,QCUREA_N,2,),IF(H1172="PER",VLOOKUP(I1172,QCPER,MATCH(E1172,QCACTUAL!$J$25:$AA$25,0),),IF(H1172="SPK",VLOOKUP(I1172,QCSPK,3,),IF(AND(H1172="ATP",OR(I1172="TP",I1172="TDP")),VLOOKUP(E1172,QCATP_P,2,),""))))))))</f>
        <v/>
      </c>
      <c r="W1172" s="31" t="str">
        <f t="shared" si="133"/>
        <v>TRUE</v>
      </c>
      <c r="X1172" s="31" t="str">
        <f t="shared" si="130"/>
        <v/>
      </c>
      <c r="Y1172" s="10" t="s">
        <v>1061</v>
      </c>
      <c r="Z1172" s="10" t="s">
        <v>910</v>
      </c>
      <c r="AF1172" s="12">
        <v>44950</v>
      </c>
      <c r="AJ1172" s="10">
        <f>-1.2768*3.51^2+222.07*3.51-130.11</f>
        <v>633.62539631999994</v>
      </c>
      <c r="AK1172" s="10">
        <f>0.4667*3.51^2+198.27*3.51-98.12</f>
        <v>603.55749066999999</v>
      </c>
      <c r="AL1172" s="10" t="str">
        <f t="shared" si="135"/>
        <v>FALSE</v>
      </c>
      <c r="AM1172" s="10" t="str">
        <f t="shared" si="135"/>
        <v>FALSE</v>
      </c>
      <c r="AN1172" s="10" t="str">
        <f t="shared" si="135"/>
        <v>FALSE</v>
      </c>
      <c r="AO1172" s="10" t="str">
        <f t="shared" si="136"/>
        <v>y=-1.2768*3.51^2+222.07*3.51-130.11</v>
      </c>
      <c r="AP1172" s="10" t="str">
        <f t="shared" si="136"/>
        <v>y=0.4667*3.51^2+198.27*3.51-98.12</v>
      </c>
      <c r="AQ1172" s="10" t="b">
        <f>IF(AND(I1172="TP",S1172&lt;=150),VLOOKUP(AF1172,TPCalibEq150!$AZ$2:$BB$55,3,),IF(AND(I1172="TDP",S1172&lt;=150),VLOOKUP(AF1172,TPCalibEq150!$AZ$2:$BB$55,3,)))</f>
        <v>0</v>
      </c>
      <c r="AR1172" s="10" t="b">
        <f>IF(AND(I1172="TP",S1172&lt;=300),VLOOKUP(AF1172,TPCalibEq300!$AZ$2:$BB$55,3,),IF(AND(I1172="TDP",S1172&lt;=300),VLOOKUP(AF1172,TPCalibEq300!$AZ$2:$BB$55,3,)))</f>
        <v>0</v>
      </c>
      <c r="AS1172" s="10" t="b">
        <f>IF(AND(I1172="TP",S1172&lt;=500),VLOOKUP(AF1172,TPCalibEq500!$AZ$2:$BB$56,3,),IF(AND(I1172="TDP",S1172&lt;=500),VLOOKUP(AF1172,TPCalibEq500!$AZ$2:$BB$56,3,)))</f>
        <v>0</v>
      </c>
      <c r="AT1172" s="10" t="str">
        <f>IF(AND(I1172="TN",S1172&lt;=2800),VLOOKUP(AF1172,TNCalibEq2500!$AZ$2:$BB$56,3,),IF(AND(I1172="TDN",S1172&lt;=2800),VLOOKUP(AF1172,TNCalibEq2500!$AZ$2:$BB$56,3,)))</f>
        <v>y=-1.2768x2+222.07x-130.11</v>
      </c>
      <c r="AU1172" s="10" t="str">
        <f>IF(I1172="TP",VLOOKUP(AF1172,TPCalibEqFull!$AZ$2:$BB$56,3),IF(I1172="TDP",VLOOKUP(AF1172,TPCalibEqFull!$AZ$2:$BB$56,3),IF(I1172="TDN",VLOOKUP(AF1172,TNCalibEqFull!$AZ$1:$BB$56,3),IF(I1172="TN",VLOOKUP(AF1172,TNCalibEqFull!$AZ$1:$BB$56,3),FALSE))))</f>
        <v>y=0.4667x2+198.27x-98.12</v>
      </c>
      <c r="AV1172" s="10" t="str">
        <f t="shared" si="134"/>
        <v>0117 09:23:00-SAR-0-FIL-1-SW-UKN</v>
      </c>
    </row>
    <row r="1173" spans="1:48" s="10" customFormat="1" x14ac:dyDescent="0.55000000000000004">
      <c r="A1173" s="32">
        <v>44943</v>
      </c>
      <c r="B1173" s="33">
        <v>0.40486111111111112</v>
      </c>
      <c r="C1173" s="10" t="s">
        <v>361</v>
      </c>
      <c r="D1173" s="10">
        <v>0</v>
      </c>
      <c r="E1173" s="10" t="s">
        <v>911</v>
      </c>
      <c r="F1173" s="10">
        <v>1</v>
      </c>
      <c r="G1173" s="10" t="s">
        <v>231</v>
      </c>
      <c r="H1173" s="10" t="s">
        <v>322</v>
      </c>
      <c r="I1173" s="10" t="s">
        <v>224</v>
      </c>
      <c r="J1173" s="10">
        <v>46</v>
      </c>
      <c r="K1173" s="12">
        <v>44950</v>
      </c>
      <c r="L1173" s="33">
        <v>0.63923611111111112</v>
      </c>
      <c r="M1173" s="10">
        <v>1</v>
      </c>
      <c r="N1173" s="10" t="s">
        <v>196</v>
      </c>
      <c r="O1173" s="10">
        <v>3.86</v>
      </c>
      <c r="P1173" s="10">
        <v>0.23300000000000001</v>
      </c>
      <c r="Q1173" s="10">
        <v>685</v>
      </c>
      <c r="R1173" s="10" t="s">
        <v>170</v>
      </c>
      <c r="S1173" s="34">
        <f t="shared" si="131"/>
        <v>708.05639071999985</v>
      </c>
      <c r="T1173" s="10" t="s">
        <v>1068</v>
      </c>
      <c r="U1173" s="34" t="str">
        <f t="shared" si="132"/>
        <v/>
      </c>
      <c r="V1173" s="31" t="str">
        <f>IF(H1173="CHK",VLOOKUP(I1173,QCCHK,3,),IF(H1173="GUP",VLOOKUP(E1173,QCGUP,2,),IF(AND(H1173="ATP",OR(I1173="TN",I1173="TDN",I1173="TNO2-3",I1173="NO2-3")),VLOOKUP(E1173,QCREC_N,2,),IF(AND(H1173="NIC",OR(I1173="TN",I1173="TDN",I1173="TNO2-3",I1173="NO2-3")),VLOOKUP(E1173,QCNIC_N,2,),IF(AND(H1173="UREA",OR(I1173="TN",I1173="TDN",I1173="TNO2-3",I1173="NO2-3")),VLOOKUP(E1173,QCUREA_N,2,),IF(H1173="PER",VLOOKUP(I1173,QCPER,MATCH(E1173,QCACTUAL!$J$25:$AA$25,0),),IF(H1173="SPK",VLOOKUP(I1173,QCSPK,3,),IF(AND(H1173="ATP",OR(I1173="TP",I1173="TDP")),VLOOKUP(E1173,QCATP_P,2,),""))))))))</f>
        <v/>
      </c>
      <c r="W1173" s="31" t="str">
        <f t="shared" si="133"/>
        <v>TRUE</v>
      </c>
      <c r="X1173" s="31" t="str">
        <f t="shared" si="130"/>
        <v/>
      </c>
      <c r="Y1173" s="10" t="s">
        <v>1061</v>
      </c>
      <c r="Z1173" s="10" t="s">
        <v>910</v>
      </c>
      <c r="AF1173" s="12">
        <v>44950</v>
      </c>
      <c r="AJ1173" s="10">
        <f>-1.2768*3.86^2+222.07*3.86-130.11</f>
        <v>708.05639071999985</v>
      </c>
      <c r="AK1173" s="10">
        <f>0.4667*3.86^2+198.27*3.86-98.12</f>
        <v>674.15584332000003</v>
      </c>
      <c r="AL1173" s="10" t="str">
        <f t="shared" si="135"/>
        <v>FALSE</v>
      </c>
      <c r="AM1173" s="10" t="str">
        <f t="shared" si="135"/>
        <v>FALSE</v>
      </c>
      <c r="AN1173" s="10" t="str">
        <f t="shared" si="135"/>
        <v>FALSE</v>
      </c>
      <c r="AO1173" s="10" t="str">
        <f t="shared" si="136"/>
        <v>y=-1.2768*3.86^2+222.07*3.86-130.11</v>
      </c>
      <c r="AP1173" s="10" t="str">
        <f t="shared" si="136"/>
        <v>y=0.4667*3.86^2+198.27*3.86-98.12</v>
      </c>
      <c r="AQ1173" s="10" t="b">
        <f>IF(AND(I1173="TP",S1173&lt;=150),VLOOKUP(AF1173,TPCalibEq150!$AZ$2:$BB$55,3,),IF(AND(I1173="TDP",S1173&lt;=150),VLOOKUP(AF1173,TPCalibEq150!$AZ$2:$BB$55,3,)))</f>
        <v>0</v>
      </c>
      <c r="AR1173" s="10" t="b">
        <f>IF(AND(I1173="TP",S1173&lt;=300),VLOOKUP(AF1173,TPCalibEq300!$AZ$2:$BB$55,3,),IF(AND(I1173="TDP",S1173&lt;=300),VLOOKUP(AF1173,TPCalibEq300!$AZ$2:$BB$55,3,)))</f>
        <v>0</v>
      </c>
      <c r="AS1173" s="10" t="b">
        <f>IF(AND(I1173="TP",S1173&lt;=500),VLOOKUP(AF1173,TPCalibEq500!$AZ$2:$BB$56,3,),IF(AND(I1173="TDP",S1173&lt;=500),VLOOKUP(AF1173,TPCalibEq500!$AZ$2:$BB$56,3,)))</f>
        <v>0</v>
      </c>
      <c r="AT1173" s="10" t="str">
        <f>IF(AND(I1173="TN",S1173&lt;=2800),VLOOKUP(AF1173,TNCalibEq2500!$AZ$2:$BB$56,3,),IF(AND(I1173="TDN",S1173&lt;=2800),VLOOKUP(AF1173,TNCalibEq2500!$AZ$2:$BB$56,3,)))</f>
        <v>y=-1.2768x2+222.07x-130.11</v>
      </c>
      <c r="AU1173" s="10" t="str">
        <f>IF(I1173="TP",VLOOKUP(AF1173,TPCalibEqFull!$AZ$2:$BB$56,3),IF(I1173="TDP",VLOOKUP(AF1173,TPCalibEqFull!$AZ$2:$BB$56,3),IF(I1173="TDN",VLOOKUP(AF1173,TNCalibEqFull!$AZ$1:$BB$56,3),IF(I1173="TN",VLOOKUP(AF1173,TNCalibEqFull!$AZ$1:$BB$56,3),FALSE))))</f>
        <v>y=0.4667x2+198.27x-98.12</v>
      </c>
      <c r="AV1173" s="10" t="str">
        <f t="shared" si="134"/>
        <v>0117 09:43:00-USR-0-FIL-1-SW-UKN</v>
      </c>
    </row>
    <row r="1174" spans="1:48" s="10" customFormat="1" x14ac:dyDescent="0.55000000000000004">
      <c r="A1174" s="32">
        <v>44943</v>
      </c>
      <c r="B1174" s="33">
        <v>0.42152777777777778</v>
      </c>
      <c r="C1174" s="10" t="s">
        <v>351</v>
      </c>
      <c r="D1174" s="10">
        <v>0</v>
      </c>
      <c r="E1174" s="10" t="s">
        <v>911</v>
      </c>
      <c r="F1174" s="10">
        <v>1</v>
      </c>
      <c r="G1174" s="10" t="s">
        <v>231</v>
      </c>
      <c r="H1174" s="10" t="s">
        <v>322</v>
      </c>
      <c r="I1174" s="10" t="s">
        <v>224</v>
      </c>
      <c r="J1174" s="10">
        <v>47</v>
      </c>
      <c r="K1174" s="12">
        <v>44950</v>
      </c>
      <c r="L1174" s="33">
        <v>0.63990740740740737</v>
      </c>
      <c r="M1174" s="10">
        <v>1</v>
      </c>
      <c r="N1174" s="10" t="s">
        <v>196</v>
      </c>
      <c r="O1174" s="10">
        <v>7.24</v>
      </c>
      <c r="P1174" s="10">
        <v>0.433</v>
      </c>
      <c r="Q1174" s="10">
        <v>1390</v>
      </c>
      <c r="R1174" s="10" t="s">
        <v>170</v>
      </c>
      <c r="S1174" s="34">
        <f t="shared" si="131"/>
        <v>1410.7500083200002</v>
      </c>
      <c r="T1174" s="10" t="s">
        <v>1068</v>
      </c>
      <c r="U1174" s="34" t="str">
        <f t="shared" si="132"/>
        <v/>
      </c>
      <c r="V1174" s="31" t="str">
        <f>IF(H1174="CHK",VLOOKUP(I1174,QCCHK,3,),IF(H1174="GUP",VLOOKUP(E1174,QCGUP,2,),IF(AND(H1174="ATP",OR(I1174="TN",I1174="TDN",I1174="TNO2-3",I1174="NO2-3")),VLOOKUP(E1174,QCREC_N,2,),IF(AND(H1174="NIC",OR(I1174="TN",I1174="TDN",I1174="TNO2-3",I1174="NO2-3")),VLOOKUP(E1174,QCNIC_N,2,),IF(AND(H1174="UREA",OR(I1174="TN",I1174="TDN",I1174="TNO2-3",I1174="NO2-3")),VLOOKUP(E1174,QCUREA_N,2,),IF(H1174="PER",VLOOKUP(I1174,QCPER,MATCH(E1174,QCACTUAL!$J$25:$AA$25,0),),IF(H1174="SPK",VLOOKUP(I1174,QCSPK,3,),IF(AND(H1174="ATP",OR(I1174="TP",I1174="TDP")),VLOOKUP(E1174,QCATP_P,2,),""))))))))</f>
        <v/>
      </c>
      <c r="W1174" s="31" t="str">
        <f t="shared" si="133"/>
        <v>TRUE</v>
      </c>
      <c r="X1174" s="31" t="str">
        <f t="shared" si="130"/>
        <v/>
      </c>
      <c r="Y1174" s="10" t="s">
        <v>1061</v>
      </c>
      <c r="Z1174" s="10" t="s">
        <v>910</v>
      </c>
      <c r="AF1174" s="12">
        <v>44950</v>
      </c>
      <c r="AJ1174" s="10">
        <f>-1.2768*7.24^2+222.07*7.24-130.11</f>
        <v>1410.7500083200002</v>
      </c>
      <c r="AK1174" s="10">
        <f>0.4667*7.24^2+198.27*7.24-98.12</f>
        <v>1361.8180939200001</v>
      </c>
      <c r="AL1174" s="10" t="str">
        <f t="shared" si="135"/>
        <v>FALSE</v>
      </c>
      <c r="AM1174" s="10" t="str">
        <f t="shared" si="135"/>
        <v>FALSE</v>
      </c>
      <c r="AN1174" s="10" t="str">
        <f t="shared" si="135"/>
        <v>FALSE</v>
      </c>
      <c r="AO1174" s="10" t="str">
        <f t="shared" si="136"/>
        <v>y=-1.2768*7.24^2+222.07*7.24-130.11</v>
      </c>
      <c r="AP1174" s="10" t="str">
        <f t="shared" si="136"/>
        <v>y=0.4667*7.24^2+198.27*7.24-98.12</v>
      </c>
      <c r="AQ1174" s="10" t="b">
        <f>IF(AND(I1174="TP",S1174&lt;=150),VLOOKUP(AF1174,TPCalibEq150!$AZ$2:$BB$55,3,),IF(AND(I1174="TDP",S1174&lt;=150),VLOOKUP(AF1174,TPCalibEq150!$AZ$2:$BB$55,3,)))</f>
        <v>0</v>
      </c>
      <c r="AR1174" s="10" t="b">
        <f>IF(AND(I1174="TP",S1174&lt;=300),VLOOKUP(AF1174,TPCalibEq300!$AZ$2:$BB$55,3,),IF(AND(I1174="TDP",S1174&lt;=300),VLOOKUP(AF1174,TPCalibEq300!$AZ$2:$BB$55,3,)))</f>
        <v>0</v>
      </c>
      <c r="AS1174" s="10" t="b">
        <f>IF(AND(I1174="TP",S1174&lt;=500),VLOOKUP(AF1174,TPCalibEq500!$AZ$2:$BB$56,3,),IF(AND(I1174="TDP",S1174&lt;=500),VLOOKUP(AF1174,TPCalibEq500!$AZ$2:$BB$56,3,)))</f>
        <v>0</v>
      </c>
      <c r="AT1174" s="10" t="str">
        <f>IF(AND(I1174="TN",S1174&lt;=2800),VLOOKUP(AF1174,TNCalibEq2500!$AZ$2:$BB$56,3,),IF(AND(I1174="TDN",S1174&lt;=2800),VLOOKUP(AF1174,TNCalibEq2500!$AZ$2:$BB$56,3,)))</f>
        <v>y=-1.2768x2+222.07x-130.11</v>
      </c>
      <c r="AU1174" s="10" t="str">
        <f>IF(I1174="TP",VLOOKUP(AF1174,TPCalibEqFull!$AZ$2:$BB$56,3),IF(I1174="TDP",VLOOKUP(AF1174,TPCalibEqFull!$AZ$2:$BB$56,3),IF(I1174="TDN",VLOOKUP(AF1174,TNCalibEqFull!$AZ$1:$BB$56,3),IF(I1174="TN",VLOOKUP(AF1174,TNCalibEqFull!$AZ$1:$BB$56,3),FALSE))))</f>
        <v>y=0.4667x2+198.27x-98.12</v>
      </c>
      <c r="AV1174" s="10" t="str">
        <f t="shared" si="134"/>
        <v>0117 10:07:00-SHC-0-FIL-1-SW-UKN</v>
      </c>
    </row>
    <row r="1175" spans="1:48" s="10" customFormat="1" x14ac:dyDescent="0.55000000000000004">
      <c r="A1175" s="32">
        <v>44943</v>
      </c>
      <c r="B1175" s="33">
        <v>0.43472222222222223</v>
      </c>
      <c r="C1175" s="10" t="s">
        <v>355</v>
      </c>
      <c r="D1175" s="10">
        <v>0</v>
      </c>
      <c r="E1175" s="10" t="s">
        <v>911</v>
      </c>
      <c r="F1175" s="10">
        <v>1</v>
      </c>
      <c r="G1175" s="10" t="s">
        <v>231</v>
      </c>
      <c r="H1175" s="10" t="s">
        <v>322</v>
      </c>
      <c r="I1175" s="10" t="s">
        <v>224</v>
      </c>
      <c r="J1175" s="10">
        <v>48</v>
      </c>
      <c r="K1175" s="12">
        <v>44950</v>
      </c>
      <c r="L1175" s="33">
        <v>0.64061342592592596</v>
      </c>
      <c r="M1175" s="10">
        <v>1</v>
      </c>
      <c r="N1175" s="10" t="s">
        <v>196</v>
      </c>
      <c r="O1175" s="10">
        <v>4.1500000000000004</v>
      </c>
      <c r="P1175" s="10">
        <v>0.249</v>
      </c>
      <c r="Q1175" s="10">
        <v>745</v>
      </c>
      <c r="R1175" s="10" t="s">
        <v>170</v>
      </c>
      <c r="S1175" s="34">
        <f t="shared" si="131"/>
        <v>769.49081200000001</v>
      </c>
      <c r="T1175" s="10" t="s">
        <v>1068</v>
      </c>
      <c r="U1175" s="34" t="str">
        <f t="shared" si="132"/>
        <v/>
      </c>
      <c r="V1175" s="31" t="str">
        <f>IF(H1175="CHK",VLOOKUP(I1175,QCCHK,3,),IF(H1175="GUP",VLOOKUP(E1175,QCGUP,2,),IF(AND(H1175="ATP",OR(I1175="TN",I1175="TDN",I1175="TNO2-3",I1175="NO2-3")),VLOOKUP(E1175,QCREC_N,2,),IF(AND(H1175="NIC",OR(I1175="TN",I1175="TDN",I1175="TNO2-3",I1175="NO2-3")),VLOOKUP(E1175,QCNIC_N,2,),IF(AND(H1175="UREA",OR(I1175="TN",I1175="TDN",I1175="TNO2-3",I1175="NO2-3")),VLOOKUP(E1175,QCUREA_N,2,),IF(H1175="PER",VLOOKUP(I1175,QCPER,MATCH(E1175,QCACTUAL!$J$25:$AA$25,0),),IF(H1175="SPK",VLOOKUP(I1175,QCSPK,3,),IF(AND(H1175="ATP",OR(I1175="TP",I1175="TDP")),VLOOKUP(E1175,QCATP_P,2,),""))))))))</f>
        <v/>
      </c>
      <c r="W1175" s="31" t="str">
        <f t="shared" si="133"/>
        <v>TRUE</v>
      </c>
      <c r="X1175" s="31" t="str">
        <f t="shared" si="130"/>
        <v/>
      </c>
      <c r="Y1175" s="10" t="s">
        <v>1061</v>
      </c>
      <c r="Z1175" s="10" t="s">
        <v>910</v>
      </c>
      <c r="AF1175" s="12">
        <v>44950</v>
      </c>
      <c r="AJ1175" s="10">
        <f>-1.2768*4.15^2+222.07*4.15-130.11</f>
        <v>769.49081200000001</v>
      </c>
      <c r="AK1175" s="10">
        <f>0.4667*4.15^2+198.27*4.15-98.12</f>
        <v>732.73824075000016</v>
      </c>
      <c r="AL1175" s="10" t="str">
        <f t="shared" si="135"/>
        <v>FALSE</v>
      </c>
      <c r="AM1175" s="10" t="str">
        <f t="shared" si="135"/>
        <v>FALSE</v>
      </c>
      <c r="AN1175" s="10" t="str">
        <f t="shared" si="135"/>
        <v>FALSE</v>
      </c>
      <c r="AO1175" s="10" t="str">
        <f t="shared" si="136"/>
        <v>y=-1.2768*4.15^2+222.07*4.15-130.11</v>
      </c>
      <c r="AP1175" s="10" t="str">
        <f t="shared" si="136"/>
        <v>y=0.4667*4.15^2+198.27*4.15-98.12</v>
      </c>
      <c r="AQ1175" s="10" t="b">
        <f>IF(AND(I1175="TP",S1175&lt;=150),VLOOKUP(AF1175,TPCalibEq150!$AZ$2:$BB$55,3,),IF(AND(I1175="TDP",S1175&lt;=150),VLOOKUP(AF1175,TPCalibEq150!$AZ$2:$BB$55,3,)))</f>
        <v>0</v>
      </c>
      <c r="AR1175" s="10" t="b">
        <f>IF(AND(I1175="TP",S1175&lt;=300),VLOOKUP(AF1175,TPCalibEq300!$AZ$2:$BB$55,3,),IF(AND(I1175="TDP",S1175&lt;=300),VLOOKUP(AF1175,TPCalibEq300!$AZ$2:$BB$55,3,)))</f>
        <v>0</v>
      </c>
      <c r="AS1175" s="10" t="b">
        <f>IF(AND(I1175="TP",S1175&lt;=500),VLOOKUP(AF1175,TPCalibEq500!$AZ$2:$BB$56,3,),IF(AND(I1175="TDP",S1175&lt;=500),VLOOKUP(AF1175,TPCalibEq500!$AZ$2:$BB$56,3,)))</f>
        <v>0</v>
      </c>
      <c r="AT1175" s="10" t="str">
        <f>IF(AND(I1175="TN",S1175&lt;=2800),VLOOKUP(AF1175,TNCalibEq2500!$AZ$2:$BB$56,3,),IF(AND(I1175="TDN",S1175&lt;=2800),VLOOKUP(AF1175,TNCalibEq2500!$AZ$2:$BB$56,3,)))</f>
        <v>y=-1.2768x2+222.07x-130.11</v>
      </c>
      <c r="AU1175" s="10" t="str">
        <f>IF(I1175="TP",VLOOKUP(AF1175,TPCalibEqFull!$AZ$2:$BB$56,3),IF(I1175="TDP",VLOOKUP(AF1175,TPCalibEqFull!$AZ$2:$BB$56,3),IF(I1175="TDN",VLOOKUP(AF1175,TNCalibEqFull!$AZ$1:$BB$56,3),IF(I1175="TN",VLOOKUP(AF1175,TNCalibEqFull!$AZ$1:$BB$56,3),FALSE))))</f>
        <v>y=0.4667x2+198.27x-98.12</v>
      </c>
      <c r="AV1175" s="10" t="str">
        <f t="shared" si="134"/>
        <v>0117 10:26:00-SLT-0-FIL-1-SW-UKN</v>
      </c>
    </row>
    <row r="1176" spans="1:48" s="10" customFormat="1" x14ac:dyDescent="0.55000000000000004">
      <c r="A1176" s="32">
        <v>44943</v>
      </c>
      <c r="B1176" s="33">
        <v>0.4604166666666667</v>
      </c>
      <c r="C1176" s="10" t="s">
        <v>310</v>
      </c>
      <c r="D1176" s="10">
        <v>0</v>
      </c>
      <c r="E1176" s="10" t="s">
        <v>911</v>
      </c>
      <c r="F1176" s="10">
        <v>1</v>
      </c>
      <c r="G1176" s="10" t="s">
        <v>231</v>
      </c>
      <c r="H1176" s="10" t="s">
        <v>322</v>
      </c>
      <c r="I1176" s="10" t="s">
        <v>224</v>
      </c>
      <c r="J1176" s="10">
        <v>49</v>
      </c>
      <c r="K1176" s="12">
        <v>44950</v>
      </c>
      <c r="L1176" s="33">
        <v>0.64126157407407403</v>
      </c>
      <c r="M1176" s="10">
        <v>1</v>
      </c>
      <c r="N1176" s="10" t="s">
        <v>196</v>
      </c>
      <c r="O1176" s="10">
        <v>7.83</v>
      </c>
      <c r="P1176" s="10">
        <v>0.47199999999999998</v>
      </c>
      <c r="Q1176" s="10">
        <v>1510</v>
      </c>
      <c r="R1176" s="10" t="s">
        <v>170</v>
      </c>
      <c r="S1176" s="34">
        <f t="shared" si="131"/>
        <v>1530.4188964800001</v>
      </c>
      <c r="T1176" s="10" t="s">
        <v>1068</v>
      </c>
      <c r="U1176" s="34" t="str">
        <f t="shared" si="132"/>
        <v/>
      </c>
      <c r="V1176" s="31" t="str">
        <f>IF(H1176="CHK",VLOOKUP(I1176,QCCHK,3,),IF(H1176="GUP",VLOOKUP(E1176,QCGUP,2,),IF(AND(H1176="ATP",OR(I1176="TN",I1176="TDN",I1176="TNO2-3",I1176="NO2-3")),VLOOKUP(E1176,QCREC_N,2,),IF(AND(H1176="NIC",OR(I1176="TN",I1176="TDN",I1176="TNO2-3",I1176="NO2-3")),VLOOKUP(E1176,QCNIC_N,2,),IF(AND(H1176="UREA",OR(I1176="TN",I1176="TDN",I1176="TNO2-3",I1176="NO2-3")),VLOOKUP(E1176,QCUREA_N,2,),IF(H1176="PER",VLOOKUP(I1176,QCPER,MATCH(E1176,QCACTUAL!$J$25:$AA$25,0),),IF(H1176="SPK",VLOOKUP(I1176,QCSPK,3,),IF(AND(H1176="ATP",OR(I1176="TP",I1176="TDP")),VLOOKUP(E1176,QCATP_P,2,),""))))))))</f>
        <v/>
      </c>
      <c r="W1176" s="31" t="str">
        <f t="shared" si="133"/>
        <v>TRUE</v>
      </c>
      <c r="X1176" s="31" t="str">
        <f t="shared" si="130"/>
        <v/>
      </c>
      <c r="Y1176" s="10" t="s">
        <v>1061</v>
      </c>
      <c r="Z1176" s="10" t="s">
        <v>910</v>
      </c>
      <c r="AF1176" s="12">
        <v>44950</v>
      </c>
      <c r="AJ1176" s="10">
        <f>-1.2768*7.83^2+222.07*7.83-130.11</f>
        <v>1530.4188964800001</v>
      </c>
      <c r="AK1176" s="10">
        <f>0.4667*7.83^2+198.27*7.83-98.12</f>
        <v>1482.94696363</v>
      </c>
      <c r="AL1176" s="10" t="str">
        <f t="shared" si="135"/>
        <v>FALSE</v>
      </c>
      <c r="AM1176" s="10" t="str">
        <f t="shared" si="135"/>
        <v>FALSE</v>
      </c>
      <c r="AN1176" s="10" t="str">
        <f t="shared" si="135"/>
        <v>FALSE</v>
      </c>
      <c r="AO1176" s="10" t="str">
        <f t="shared" si="136"/>
        <v>y=-1.2768*7.83^2+222.07*7.83-130.11</v>
      </c>
      <c r="AP1176" s="10" t="str">
        <f t="shared" si="136"/>
        <v>y=0.4667*7.83^2+198.27*7.83-98.12</v>
      </c>
      <c r="AQ1176" s="10" t="b">
        <f>IF(AND(I1176="TP",S1176&lt;=150),VLOOKUP(AF1176,TPCalibEq150!$AZ$2:$BB$55,3,),IF(AND(I1176="TDP",S1176&lt;=150),VLOOKUP(AF1176,TPCalibEq150!$AZ$2:$BB$55,3,)))</f>
        <v>0</v>
      </c>
      <c r="AR1176" s="10" t="b">
        <f>IF(AND(I1176="TP",S1176&lt;=300),VLOOKUP(AF1176,TPCalibEq300!$AZ$2:$BB$55,3,),IF(AND(I1176="TDP",S1176&lt;=300),VLOOKUP(AF1176,TPCalibEq300!$AZ$2:$BB$55,3,)))</f>
        <v>0</v>
      </c>
      <c r="AS1176" s="10" t="b">
        <f>IF(AND(I1176="TP",S1176&lt;=500),VLOOKUP(AF1176,TPCalibEq500!$AZ$2:$BB$56,3,),IF(AND(I1176="TDP",S1176&lt;=500),VLOOKUP(AF1176,TPCalibEq500!$AZ$2:$BB$56,3,)))</f>
        <v>0</v>
      </c>
      <c r="AT1176" s="10" t="str">
        <f>IF(AND(I1176="TN",S1176&lt;=2800),VLOOKUP(AF1176,TNCalibEq2500!$AZ$2:$BB$56,3,),IF(AND(I1176="TDN",S1176&lt;=2800),VLOOKUP(AF1176,TNCalibEq2500!$AZ$2:$BB$56,3,)))</f>
        <v>y=-1.2768x2+222.07x-130.11</v>
      </c>
      <c r="AU1176" s="10" t="str">
        <f>IF(I1176="TP",VLOOKUP(AF1176,TPCalibEqFull!$AZ$2:$BB$56,3),IF(I1176="TDP",VLOOKUP(AF1176,TPCalibEqFull!$AZ$2:$BB$56,3),IF(I1176="TDN",VLOOKUP(AF1176,TNCalibEqFull!$AZ$1:$BB$56,3),IF(I1176="TN",VLOOKUP(AF1176,TNCalibEqFull!$AZ$1:$BB$56,3),FALSE))))</f>
        <v>y=0.4667x2+198.27x-98.12</v>
      </c>
      <c r="AV1176" s="10" t="str">
        <f t="shared" si="134"/>
        <v>0117 11:03:00-ELI-0-FIL-1-SW-UKN</v>
      </c>
    </row>
    <row r="1177" spans="1:48" s="10" customFormat="1" x14ac:dyDescent="0.55000000000000004">
      <c r="A1177" s="32">
        <v>44943</v>
      </c>
      <c r="B1177" s="33">
        <v>0.47013888888888888</v>
      </c>
      <c r="C1177" s="10" t="s">
        <v>999</v>
      </c>
      <c r="D1177" s="10">
        <v>0</v>
      </c>
      <c r="E1177" s="10" t="s">
        <v>911</v>
      </c>
      <c r="F1177" s="10">
        <v>1</v>
      </c>
      <c r="G1177" s="10" t="s">
        <v>231</v>
      </c>
      <c r="H1177" s="10" t="s">
        <v>322</v>
      </c>
      <c r="I1177" s="10" t="s">
        <v>224</v>
      </c>
      <c r="J1177" s="10">
        <v>50</v>
      </c>
      <c r="K1177" s="12">
        <v>44950</v>
      </c>
      <c r="L1177" s="33">
        <v>0.64192129629629624</v>
      </c>
      <c r="M1177" s="10">
        <v>1</v>
      </c>
      <c r="N1177" s="10" t="s">
        <v>196</v>
      </c>
      <c r="O1177" s="10">
        <v>7.98</v>
      </c>
      <c r="P1177" s="10">
        <v>0.48</v>
      </c>
      <c r="Q1177" s="10">
        <v>1550</v>
      </c>
      <c r="R1177" s="10" t="s">
        <v>170</v>
      </c>
      <c r="S1177" s="34">
        <f t="shared" si="131"/>
        <v>1560.7014652799999</v>
      </c>
      <c r="T1177" s="10" t="s">
        <v>1068</v>
      </c>
      <c r="U1177" s="34" t="str">
        <f t="shared" si="132"/>
        <v/>
      </c>
      <c r="V1177" s="31" t="str">
        <f>IF(H1177="CHK",VLOOKUP(I1177,QCCHK,3,),IF(H1177="GUP",VLOOKUP(E1177,QCGUP,2,),IF(AND(H1177="ATP",OR(I1177="TN",I1177="TDN",I1177="TNO2-3",I1177="NO2-3")),VLOOKUP(E1177,QCREC_N,2,),IF(AND(H1177="NIC",OR(I1177="TN",I1177="TDN",I1177="TNO2-3",I1177="NO2-3")),VLOOKUP(E1177,QCNIC_N,2,),IF(AND(H1177="UREA",OR(I1177="TN",I1177="TDN",I1177="TNO2-3",I1177="NO2-3")),VLOOKUP(E1177,QCUREA_N,2,),IF(H1177="PER",VLOOKUP(I1177,QCPER,MATCH(E1177,QCACTUAL!$J$25:$AA$25,0),),IF(H1177="SPK",VLOOKUP(I1177,QCSPK,3,),IF(AND(H1177="ATP",OR(I1177="TP",I1177="TDP")),VLOOKUP(E1177,QCATP_P,2,),""))))))))</f>
        <v/>
      </c>
      <c r="W1177" s="31" t="str">
        <f t="shared" si="133"/>
        <v>TRUE</v>
      </c>
      <c r="X1177" s="31" t="str">
        <f t="shared" si="130"/>
        <v/>
      </c>
      <c r="Y1177" s="10" t="s">
        <v>1061</v>
      </c>
      <c r="Z1177" s="10" t="s">
        <v>910</v>
      </c>
      <c r="AF1177" s="12">
        <v>44950</v>
      </c>
      <c r="AJ1177" s="10">
        <f>-1.2768*7.98^2+222.07*7.98-130.11</f>
        <v>1560.7014652799999</v>
      </c>
      <c r="AK1177" s="10">
        <f>0.4667*7.98^2+198.27*7.98-98.12</f>
        <v>1513.7942426800005</v>
      </c>
      <c r="AL1177" s="10" t="str">
        <f t="shared" si="135"/>
        <v>FALSE</v>
      </c>
      <c r="AM1177" s="10" t="str">
        <f t="shared" si="135"/>
        <v>FALSE</v>
      </c>
      <c r="AN1177" s="10" t="str">
        <f t="shared" si="135"/>
        <v>FALSE</v>
      </c>
      <c r="AO1177" s="10" t="str">
        <f t="shared" si="136"/>
        <v>y=-1.2768*7.98^2+222.07*7.98-130.11</v>
      </c>
      <c r="AP1177" s="10" t="str">
        <f t="shared" si="136"/>
        <v>y=0.4667*7.98^2+198.27*7.98-98.12</v>
      </c>
      <c r="AQ1177" s="10" t="b">
        <f>IF(AND(I1177="TP",S1177&lt;=150),VLOOKUP(AF1177,TPCalibEq150!$AZ$2:$BB$55,3,),IF(AND(I1177="TDP",S1177&lt;=150),VLOOKUP(AF1177,TPCalibEq150!$AZ$2:$BB$55,3,)))</f>
        <v>0</v>
      </c>
      <c r="AR1177" s="10" t="b">
        <f>IF(AND(I1177="TP",S1177&lt;=300),VLOOKUP(AF1177,TPCalibEq300!$AZ$2:$BB$55,3,),IF(AND(I1177="TDP",S1177&lt;=300),VLOOKUP(AF1177,TPCalibEq300!$AZ$2:$BB$55,3,)))</f>
        <v>0</v>
      </c>
      <c r="AS1177" s="10" t="b">
        <f>IF(AND(I1177="TP",S1177&lt;=500),VLOOKUP(AF1177,TPCalibEq500!$AZ$2:$BB$56,3,),IF(AND(I1177="TDP",S1177&lt;=500),VLOOKUP(AF1177,TPCalibEq500!$AZ$2:$BB$56,3,)))</f>
        <v>0</v>
      </c>
      <c r="AT1177" s="10" t="str">
        <f>IF(AND(I1177="TN",S1177&lt;=2800),VLOOKUP(AF1177,TNCalibEq2500!$AZ$2:$BB$56,3,),IF(AND(I1177="TDN",S1177&lt;=2800),VLOOKUP(AF1177,TNCalibEq2500!$AZ$2:$BB$56,3,)))</f>
        <v>y=-1.2768x2+222.07x-130.11</v>
      </c>
      <c r="AU1177" s="10" t="str">
        <f>IF(I1177="TP",VLOOKUP(AF1177,TPCalibEqFull!$AZ$2:$BB$56,3),IF(I1177="TDP",VLOOKUP(AF1177,TPCalibEqFull!$AZ$2:$BB$56,3),IF(I1177="TDN",VLOOKUP(AF1177,TNCalibEqFull!$AZ$1:$BB$56,3),IF(I1177="TN",VLOOKUP(AF1177,TNCalibEqFull!$AZ$1:$BB$56,3),FALSE))))</f>
        <v>y=0.4667x2+198.27x-98.12</v>
      </c>
      <c r="AV1177" s="10" t="str">
        <f t="shared" si="134"/>
        <v>0117 11:17:00-EAW-0-FIL-1-SW-UKN</v>
      </c>
    </row>
    <row r="1178" spans="1:48" s="10" customFormat="1" x14ac:dyDescent="0.55000000000000004">
      <c r="A1178" s="32">
        <v>44943</v>
      </c>
      <c r="B1178" s="33">
        <v>0.48125000000000001</v>
      </c>
      <c r="C1178" s="10" t="s">
        <v>613</v>
      </c>
      <c r="D1178" s="10">
        <v>0</v>
      </c>
      <c r="E1178" s="10" t="s">
        <v>911</v>
      </c>
      <c r="F1178" s="10">
        <v>1</v>
      </c>
      <c r="G1178" s="10" t="s">
        <v>231</v>
      </c>
      <c r="H1178" s="10" t="s">
        <v>322</v>
      </c>
      <c r="I1178" s="10" t="s">
        <v>224</v>
      </c>
      <c r="J1178" s="10">
        <v>51</v>
      </c>
      <c r="K1178" s="12">
        <v>44950</v>
      </c>
      <c r="L1178" s="33">
        <v>0.6425925925925926</v>
      </c>
      <c r="M1178" s="10">
        <v>1</v>
      </c>
      <c r="N1178" s="10" t="s">
        <v>196</v>
      </c>
      <c r="O1178" s="10">
        <v>4.8499999999999996</v>
      </c>
      <c r="P1178" s="10">
        <v>0.29399999999999998</v>
      </c>
      <c r="Q1178" s="10">
        <v>891</v>
      </c>
      <c r="R1178" s="10" t="s">
        <v>170</v>
      </c>
      <c r="S1178" s="34">
        <f t="shared" si="131"/>
        <v>916.89597199999992</v>
      </c>
      <c r="T1178" s="10" t="s">
        <v>1068</v>
      </c>
      <c r="U1178" s="34" t="str">
        <f t="shared" si="132"/>
        <v/>
      </c>
      <c r="V1178" s="31" t="str">
        <f>IF(H1178="CHK",VLOOKUP(I1178,QCCHK,3,),IF(H1178="GUP",VLOOKUP(E1178,QCGUP,2,),IF(AND(H1178="ATP",OR(I1178="TN",I1178="TDN",I1178="TNO2-3",I1178="NO2-3")),VLOOKUP(E1178,QCREC_N,2,),IF(AND(H1178="NIC",OR(I1178="TN",I1178="TDN",I1178="TNO2-3",I1178="NO2-3")),VLOOKUP(E1178,QCNIC_N,2,),IF(AND(H1178="UREA",OR(I1178="TN",I1178="TDN",I1178="TNO2-3",I1178="NO2-3")),VLOOKUP(E1178,QCUREA_N,2,),IF(H1178="PER",VLOOKUP(I1178,QCPER,MATCH(E1178,QCACTUAL!$J$25:$AA$25,0),),IF(H1178="SPK",VLOOKUP(I1178,QCSPK,3,),IF(AND(H1178="ATP",OR(I1178="TP",I1178="TDP")),VLOOKUP(E1178,QCATP_P,2,),""))))))))</f>
        <v/>
      </c>
      <c r="W1178" s="31" t="str">
        <f t="shared" si="133"/>
        <v>TRUE</v>
      </c>
      <c r="X1178" s="31" t="str">
        <f t="shared" si="130"/>
        <v/>
      </c>
      <c r="Y1178" s="10" t="s">
        <v>1061</v>
      </c>
      <c r="Z1178" s="10" t="s">
        <v>910</v>
      </c>
      <c r="AF1178" s="12">
        <v>44950</v>
      </c>
      <c r="AJ1178" s="10">
        <f>-1.2768*4.85^2+222.07*4.85-130.11</f>
        <v>916.89597199999992</v>
      </c>
      <c r="AK1178" s="10">
        <f>0.4667*4.85^2+198.27*4.85-98.12</f>
        <v>874.46745075000001</v>
      </c>
      <c r="AL1178" s="10" t="str">
        <f t="shared" si="135"/>
        <v>FALSE</v>
      </c>
      <c r="AM1178" s="10" t="str">
        <f t="shared" si="135"/>
        <v>FALSE</v>
      </c>
      <c r="AN1178" s="10" t="str">
        <f t="shared" si="135"/>
        <v>FALSE</v>
      </c>
      <c r="AO1178" s="10" t="str">
        <f t="shared" si="136"/>
        <v>y=-1.2768*4.85^2+222.07*4.85-130.11</v>
      </c>
      <c r="AP1178" s="10" t="str">
        <f t="shared" si="136"/>
        <v>y=0.4667*4.85^2+198.27*4.85-98.12</v>
      </c>
      <c r="AQ1178" s="10" t="b">
        <f>IF(AND(I1178="TP",S1178&lt;=150),VLOOKUP(AF1178,TPCalibEq150!$AZ$2:$BB$55,3,),IF(AND(I1178="TDP",S1178&lt;=150),VLOOKUP(AF1178,TPCalibEq150!$AZ$2:$BB$55,3,)))</f>
        <v>0</v>
      </c>
      <c r="AR1178" s="10" t="b">
        <f>IF(AND(I1178="TP",S1178&lt;=300),VLOOKUP(AF1178,TPCalibEq300!$AZ$2:$BB$55,3,),IF(AND(I1178="TDP",S1178&lt;=300),VLOOKUP(AF1178,TPCalibEq300!$AZ$2:$BB$55,3,)))</f>
        <v>0</v>
      </c>
      <c r="AS1178" s="10" t="b">
        <f>IF(AND(I1178="TP",S1178&lt;=500),VLOOKUP(AF1178,TPCalibEq500!$AZ$2:$BB$56,3,),IF(AND(I1178="TDP",S1178&lt;=500),VLOOKUP(AF1178,TPCalibEq500!$AZ$2:$BB$56,3,)))</f>
        <v>0</v>
      </c>
      <c r="AT1178" s="10" t="str">
        <f>IF(AND(I1178="TN",S1178&lt;=2800),VLOOKUP(AF1178,TNCalibEq2500!$AZ$2:$BB$56,3,),IF(AND(I1178="TDN",S1178&lt;=2800),VLOOKUP(AF1178,TNCalibEq2500!$AZ$2:$BB$56,3,)))</f>
        <v>y=-1.2768x2+222.07x-130.11</v>
      </c>
      <c r="AU1178" s="10" t="str">
        <f>IF(I1178="TP",VLOOKUP(AF1178,TPCalibEqFull!$AZ$2:$BB$56,3),IF(I1178="TDP",VLOOKUP(AF1178,TPCalibEqFull!$AZ$2:$BB$56,3),IF(I1178="TDN",VLOOKUP(AF1178,TNCalibEqFull!$AZ$1:$BB$56,3),IF(I1178="TN",VLOOKUP(AF1178,TNCalibEqFull!$AZ$1:$BB$56,3),FALSE))))</f>
        <v>y=0.4667x2+198.27x-98.12</v>
      </c>
      <c r="AV1178" s="10" t="str">
        <f t="shared" si="134"/>
        <v>0117 11:33:00-FVC-0-FIL-1-SW-UKN</v>
      </c>
    </row>
    <row r="1179" spans="1:48" s="10" customFormat="1" x14ac:dyDescent="0.55000000000000004">
      <c r="A1179" s="32">
        <v>44943</v>
      </c>
      <c r="B1179" s="33">
        <v>0.48125000000000001</v>
      </c>
      <c r="C1179" s="10" t="s">
        <v>613</v>
      </c>
      <c r="D1179" s="10">
        <v>0</v>
      </c>
      <c r="E1179" s="10" t="s">
        <v>911</v>
      </c>
      <c r="F1179" s="10">
        <v>2</v>
      </c>
      <c r="G1179" s="10" t="s">
        <v>231</v>
      </c>
      <c r="H1179" s="10" t="s">
        <v>322</v>
      </c>
      <c r="I1179" s="10" t="s">
        <v>224</v>
      </c>
      <c r="J1179" s="10">
        <v>52</v>
      </c>
      <c r="K1179" s="12">
        <v>44950</v>
      </c>
      <c r="L1179" s="33">
        <v>0.64326388888888886</v>
      </c>
      <c r="M1179" s="10">
        <v>1</v>
      </c>
      <c r="N1179" s="10" t="s">
        <v>196</v>
      </c>
      <c r="O1179" s="10">
        <v>4.88</v>
      </c>
      <c r="P1179" s="10">
        <v>0.29399999999999998</v>
      </c>
      <c r="Q1179" s="10">
        <v>897</v>
      </c>
      <c r="R1179" s="10" t="s">
        <v>170</v>
      </c>
      <c r="S1179" s="34">
        <f t="shared" si="131"/>
        <v>923.18537407999986</v>
      </c>
      <c r="T1179" s="10" t="s">
        <v>1068</v>
      </c>
      <c r="U1179" s="34" t="str">
        <f t="shared" si="132"/>
        <v/>
      </c>
      <c r="V1179" s="31" t="str">
        <f>IF(H1179="CHK",VLOOKUP(I1179,QCCHK,3,),IF(H1179="GUP",VLOOKUP(E1179,QCGUP,2,),IF(AND(H1179="ATP",OR(I1179="TN",I1179="TDN",I1179="TNO2-3",I1179="NO2-3")),VLOOKUP(E1179,QCREC_N,2,),IF(AND(H1179="NIC",OR(I1179="TN",I1179="TDN",I1179="TNO2-3",I1179="NO2-3")),VLOOKUP(E1179,QCNIC_N,2,),IF(AND(H1179="UREA",OR(I1179="TN",I1179="TDN",I1179="TNO2-3",I1179="NO2-3")),VLOOKUP(E1179,QCUREA_N,2,),IF(H1179="PER",VLOOKUP(I1179,QCPER,MATCH(E1179,QCACTUAL!$J$25:$AA$25,0),),IF(H1179="SPK",VLOOKUP(I1179,QCSPK,3,),IF(AND(H1179="ATP",OR(I1179="TP",I1179="TDP")),VLOOKUP(E1179,QCATP_P,2,),""))))))))</f>
        <v/>
      </c>
      <c r="W1179" s="31" t="str">
        <f t="shared" si="133"/>
        <v>TRUE</v>
      </c>
      <c r="X1179" s="31" t="str">
        <f t="shared" si="130"/>
        <v/>
      </c>
      <c r="Y1179" s="10" t="s">
        <v>1061</v>
      </c>
      <c r="Z1179" s="10" t="s">
        <v>910</v>
      </c>
      <c r="AF1179" s="12">
        <v>44950</v>
      </c>
      <c r="AJ1179" s="10">
        <f>-1.2768*4.88^2+222.07*4.88-130.11</f>
        <v>923.18537407999986</v>
      </c>
      <c r="AK1179" s="10">
        <f>0.4667*4.88^2+198.27*4.88-98.12</f>
        <v>880.55178047999993</v>
      </c>
      <c r="AL1179" s="10" t="str">
        <f t="shared" si="135"/>
        <v>FALSE</v>
      </c>
      <c r="AM1179" s="10" t="str">
        <f t="shared" si="135"/>
        <v>FALSE</v>
      </c>
      <c r="AN1179" s="10" t="str">
        <f t="shared" si="135"/>
        <v>FALSE</v>
      </c>
      <c r="AO1179" s="10" t="str">
        <f t="shared" si="136"/>
        <v>y=-1.2768*4.88^2+222.07*4.88-130.11</v>
      </c>
      <c r="AP1179" s="10" t="str">
        <f t="shared" si="136"/>
        <v>y=0.4667*4.88^2+198.27*4.88-98.12</v>
      </c>
      <c r="AQ1179" s="10" t="b">
        <f>IF(AND(I1179="TP",S1179&lt;=150),VLOOKUP(AF1179,TPCalibEq150!$AZ$2:$BB$55,3,),IF(AND(I1179="TDP",S1179&lt;=150),VLOOKUP(AF1179,TPCalibEq150!$AZ$2:$BB$55,3,)))</f>
        <v>0</v>
      </c>
      <c r="AR1179" s="10" t="b">
        <f>IF(AND(I1179="TP",S1179&lt;=300),VLOOKUP(AF1179,TPCalibEq300!$AZ$2:$BB$55,3,),IF(AND(I1179="TDP",S1179&lt;=300),VLOOKUP(AF1179,TPCalibEq300!$AZ$2:$BB$55,3,)))</f>
        <v>0</v>
      </c>
      <c r="AS1179" s="10" t="b">
        <f>IF(AND(I1179="TP",S1179&lt;=500),VLOOKUP(AF1179,TPCalibEq500!$AZ$2:$BB$56,3,),IF(AND(I1179="TDP",S1179&lt;=500),VLOOKUP(AF1179,TPCalibEq500!$AZ$2:$BB$56,3,)))</f>
        <v>0</v>
      </c>
      <c r="AT1179" s="10" t="str">
        <f>IF(AND(I1179="TN",S1179&lt;=2800),VLOOKUP(AF1179,TNCalibEq2500!$AZ$2:$BB$56,3,),IF(AND(I1179="TDN",S1179&lt;=2800),VLOOKUP(AF1179,TNCalibEq2500!$AZ$2:$BB$56,3,)))</f>
        <v>y=-1.2768x2+222.07x-130.11</v>
      </c>
      <c r="AU1179" s="10" t="str">
        <f>IF(I1179="TP",VLOOKUP(AF1179,TPCalibEqFull!$AZ$2:$BB$56,3),IF(I1179="TDP",VLOOKUP(AF1179,TPCalibEqFull!$AZ$2:$BB$56,3),IF(I1179="TDN",VLOOKUP(AF1179,TNCalibEqFull!$AZ$1:$BB$56,3),IF(I1179="TN",VLOOKUP(AF1179,TNCalibEqFull!$AZ$1:$BB$56,3),FALSE))))</f>
        <v>y=0.4667x2+198.27x-98.12</v>
      </c>
      <c r="AV1179" s="10" t="str">
        <f t="shared" si="134"/>
        <v>0117 11:33:00-FVC-0-FIL-2-SW-UKN</v>
      </c>
    </row>
    <row r="1180" spans="1:48" s="10" customFormat="1" x14ac:dyDescent="0.55000000000000004">
      <c r="A1180" s="32">
        <v>44943</v>
      </c>
      <c r="B1180" s="33">
        <v>0.48125000000000001</v>
      </c>
      <c r="C1180" s="10" t="s">
        <v>613</v>
      </c>
      <c r="D1180" s="10">
        <v>0</v>
      </c>
      <c r="E1180" s="10" t="s">
        <v>911</v>
      </c>
      <c r="F1180" s="10">
        <v>2</v>
      </c>
      <c r="G1180" s="10" t="s">
        <v>231</v>
      </c>
      <c r="H1180" s="10" t="s">
        <v>233</v>
      </c>
      <c r="I1180" s="10" t="s">
        <v>224</v>
      </c>
      <c r="J1180" s="10">
        <v>52</v>
      </c>
      <c r="K1180" s="12">
        <v>44950</v>
      </c>
      <c r="L1180" s="33">
        <v>0.64392361111111118</v>
      </c>
      <c r="M1180" s="10">
        <v>1</v>
      </c>
      <c r="N1180" s="10" t="s">
        <v>196</v>
      </c>
      <c r="O1180" s="10">
        <v>4.8499999999999996</v>
      </c>
      <c r="P1180" s="10">
        <v>0.29199999999999998</v>
      </c>
      <c r="Q1180" s="10">
        <v>891</v>
      </c>
      <c r="R1180" s="10" t="s">
        <v>170</v>
      </c>
      <c r="S1180" s="34">
        <f t="shared" si="131"/>
        <v>916.89597199999992</v>
      </c>
      <c r="T1180" s="10" t="s">
        <v>1068</v>
      </c>
      <c r="U1180" s="34">
        <f t="shared" si="132"/>
        <v>0.68360043901303769</v>
      </c>
      <c r="V1180" s="31" t="str">
        <f>IF(H1180="CHK",VLOOKUP(I1180,QCCHK,3,),IF(H1180="GUP",VLOOKUP(E1180,QCGUP,2,),IF(AND(H1180="ATP",OR(I1180="TN",I1180="TDN",I1180="TNO2-3",I1180="NO2-3")),VLOOKUP(E1180,QCREC_N,2,),IF(AND(H1180="NIC",OR(I1180="TN",I1180="TDN",I1180="TNO2-3",I1180="NO2-3")),VLOOKUP(E1180,QCNIC_N,2,),IF(AND(H1180="UREA",OR(I1180="TN",I1180="TDN",I1180="TNO2-3",I1180="NO2-3")),VLOOKUP(E1180,QCUREA_N,2,),IF(H1180="PER",VLOOKUP(I1180,QCPER,MATCH(E1180,QCACTUAL!$J$25:$AA$25,0),),IF(H1180="SPK",VLOOKUP(I1180,QCSPK,3,),IF(AND(H1180="ATP",OR(I1180="TP",I1180="TDP")),VLOOKUP(E1180,QCATP_P,2,),""))))))))</f>
        <v/>
      </c>
      <c r="W1180" s="31" t="str">
        <f t="shared" si="133"/>
        <v>TRUE</v>
      </c>
      <c r="X1180" s="31" t="str">
        <f t="shared" si="130"/>
        <v>((ABS(rep1-rep2))/((rep1+rep2)/2)*100</v>
      </c>
      <c r="Y1180" s="10" t="s">
        <v>1061</v>
      </c>
      <c r="Z1180" s="10" t="s">
        <v>910</v>
      </c>
      <c r="AF1180" s="12">
        <v>44950</v>
      </c>
      <c r="AJ1180" s="10">
        <f>-1.2768*4.85^2+222.07*4.85-130.11</f>
        <v>916.89597199999992</v>
      </c>
      <c r="AK1180" s="10">
        <f>0.4667*4.85^2+198.27*4.85-98.12</f>
        <v>874.46745075000001</v>
      </c>
      <c r="AL1180" s="10" t="str">
        <f t="shared" si="135"/>
        <v>FALSE</v>
      </c>
      <c r="AM1180" s="10" t="str">
        <f t="shared" si="135"/>
        <v>FALSE</v>
      </c>
      <c r="AN1180" s="10" t="str">
        <f t="shared" si="135"/>
        <v>FALSE</v>
      </c>
      <c r="AO1180" s="10" t="str">
        <f t="shared" si="136"/>
        <v>y=-1.2768*4.85^2+222.07*4.85-130.11</v>
      </c>
      <c r="AP1180" s="10" t="str">
        <f t="shared" si="136"/>
        <v>y=0.4667*4.85^2+198.27*4.85-98.12</v>
      </c>
      <c r="AQ1180" s="10" t="b">
        <f>IF(AND(I1180="TP",S1180&lt;=150),VLOOKUP(AF1180,TPCalibEq150!$AZ$2:$BB$55,3,),IF(AND(I1180="TDP",S1180&lt;=150),VLOOKUP(AF1180,TPCalibEq150!$AZ$2:$BB$55,3,)))</f>
        <v>0</v>
      </c>
      <c r="AR1180" s="10" t="b">
        <f>IF(AND(I1180="TP",S1180&lt;=300),VLOOKUP(AF1180,TPCalibEq300!$AZ$2:$BB$55,3,),IF(AND(I1180="TDP",S1180&lt;=300),VLOOKUP(AF1180,TPCalibEq300!$AZ$2:$BB$55,3,)))</f>
        <v>0</v>
      </c>
      <c r="AS1180" s="10" t="b">
        <f>IF(AND(I1180="TP",S1180&lt;=500),VLOOKUP(AF1180,TPCalibEq500!$AZ$2:$BB$56,3,),IF(AND(I1180="TDP",S1180&lt;=500),VLOOKUP(AF1180,TPCalibEq500!$AZ$2:$BB$56,3,)))</f>
        <v>0</v>
      </c>
      <c r="AT1180" s="10" t="str">
        <f>IF(AND(I1180="TN",S1180&lt;=2800),VLOOKUP(AF1180,TNCalibEq2500!$AZ$2:$BB$56,3,),IF(AND(I1180="TDN",S1180&lt;=2800),VLOOKUP(AF1180,TNCalibEq2500!$AZ$2:$BB$56,3,)))</f>
        <v>y=-1.2768x2+222.07x-130.11</v>
      </c>
      <c r="AU1180" s="10" t="str">
        <f>IF(I1180="TP",VLOOKUP(AF1180,TPCalibEqFull!$AZ$2:$BB$56,3),IF(I1180="TDP",VLOOKUP(AF1180,TPCalibEqFull!$AZ$2:$BB$56,3),IF(I1180="TDN",VLOOKUP(AF1180,TNCalibEqFull!$AZ$1:$BB$56,3),IF(I1180="TN",VLOOKUP(AF1180,TNCalibEqFull!$AZ$1:$BB$56,3),FALSE))))</f>
        <v>y=0.4667x2+198.27x-98.12</v>
      </c>
      <c r="AV1180" s="10" t="str">
        <f t="shared" si="134"/>
        <v>0117 11:33:00-FVC-0-FIL-2-SW-DUP</v>
      </c>
    </row>
    <row r="1181" spans="1:48" s="10" customFormat="1" x14ac:dyDescent="0.55000000000000004">
      <c r="A1181" s="32">
        <v>44943</v>
      </c>
      <c r="B1181" s="33">
        <v>0.48125000000000001</v>
      </c>
      <c r="C1181" s="10" t="s">
        <v>613</v>
      </c>
      <c r="D1181" s="10">
        <v>0</v>
      </c>
      <c r="E1181" s="10" t="s">
        <v>911</v>
      </c>
      <c r="F1181" s="10">
        <v>2</v>
      </c>
      <c r="G1181" s="10" t="s">
        <v>231</v>
      </c>
      <c r="H1181" s="10" t="s">
        <v>314</v>
      </c>
      <c r="I1181" s="10" t="s">
        <v>224</v>
      </c>
      <c r="J1181" s="10">
        <v>61</v>
      </c>
      <c r="K1181" s="12">
        <v>44950</v>
      </c>
      <c r="L1181" s="33">
        <v>0.64461805555555551</v>
      </c>
      <c r="M1181" s="10">
        <v>1</v>
      </c>
      <c r="N1181" s="10" t="s">
        <v>196</v>
      </c>
      <c r="O1181" s="10">
        <v>17.3</v>
      </c>
      <c r="P1181" s="10">
        <v>1.03</v>
      </c>
      <c r="Q1181" s="10">
        <v>3490</v>
      </c>
      <c r="R1181" s="10" t="s">
        <v>170</v>
      </c>
      <c r="S1181" s="34">
        <f t="shared" si="131"/>
        <v>3490</v>
      </c>
      <c r="T1181" s="10" t="s">
        <v>1068</v>
      </c>
      <c r="U1181" s="34">
        <f t="shared" si="132"/>
        <v>102.92416112000001</v>
      </c>
      <c r="V1181" s="31">
        <f>IF(H1181="CHK",VLOOKUP(I1181,QCCHK,3,),IF(H1181="GUP",VLOOKUP(E1181,QCGUP,2,),IF(AND(H1181="ATP",OR(I1181="TN",I1181="TDN",I1181="TNO2-3",I1181="NO2-3")),VLOOKUP(E1181,QCREC_N,2,),IF(AND(H1181="NIC",OR(I1181="TN",I1181="TDN",I1181="TNO2-3",I1181="NO2-3")),VLOOKUP(E1181,QCNIC_N,2,),IF(AND(H1181="UREA",OR(I1181="TN",I1181="TDN",I1181="TNO2-3",I1181="NO2-3")),VLOOKUP(E1181,QCUREA_N,2,),IF(H1181="PER",VLOOKUP(I1181,QCPER,MATCH(E1181,QCACTUAL!$J$25:$AA$25,0),),IF(H1181="SPK",VLOOKUP(I1181,QCSPK,3,),IF(AND(H1181="ATP",OR(I1181="TP",I1181="TDP")),VLOOKUP(E1181,QCATP_P,2,),""))))))))</f>
        <v>2500</v>
      </c>
      <c r="W1181" s="31" t="str">
        <f t="shared" si="133"/>
        <v>TRUE</v>
      </c>
      <c r="X1181" s="31" t="str">
        <f t="shared" si="130"/>
        <v>([spikedunkn]-[unkn])/[spike]*100</v>
      </c>
      <c r="Y1181" s="10" t="s">
        <v>1061</v>
      </c>
      <c r="Z1181" s="10" t="s">
        <v>910</v>
      </c>
      <c r="AF1181" s="12">
        <v>44950</v>
      </c>
      <c r="AK1181" s="10">
        <f>0.4667*17.3^2+198.27*17.3-98.12</f>
        <v>3471.6296430000007</v>
      </c>
      <c r="AL1181" s="10" t="str">
        <f t="shared" si="135"/>
        <v>FALSE</v>
      </c>
      <c r="AM1181" s="10" t="str">
        <f t="shared" si="135"/>
        <v>FALSE</v>
      </c>
      <c r="AN1181" s="10" t="str">
        <f t="shared" si="135"/>
        <v>FALSE</v>
      </c>
      <c r="AO1181" s="10" t="str">
        <f t="shared" si="136"/>
        <v>FALSE</v>
      </c>
      <c r="AP1181" s="10" t="str">
        <f t="shared" si="136"/>
        <v>y=0.4667*17.3^2+198.27*17.3-98.12</v>
      </c>
      <c r="AQ1181" s="10" t="b">
        <f>IF(AND(I1181="TP",S1181&lt;=150),VLOOKUP(AF1181,TPCalibEq150!$AZ$2:$BB$55,3,),IF(AND(I1181="TDP",S1181&lt;=150),VLOOKUP(AF1181,TPCalibEq150!$AZ$2:$BB$55,3,)))</f>
        <v>0</v>
      </c>
      <c r="AR1181" s="10" t="b">
        <f>IF(AND(I1181="TP",S1181&lt;=300),VLOOKUP(AF1181,TPCalibEq300!$AZ$2:$BB$55,3,),IF(AND(I1181="TDP",S1181&lt;=300),VLOOKUP(AF1181,TPCalibEq300!$AZ$2:$BB$55,3,)))</f>
        <v>0</v>
      </c>
      <c r="AS1181" s="10" t="b">
        <f>IF(AND(I1181="TP",S1181&lt;=500),VLOOKUP(AF1181,TPCalibEq500!$AZ$2:$BB$56,3,),IF(AND(I1181="TDP",S1181&lt;=500),VLOOKUP(AF1181,TPCalibEq500!$AZ$2:$BB$56,3,)))</f>
        <v>0</v>
      </c>
      <c r="AT1181" s="10" t="b">
        <f>IF(AND(I1181="TN",S1181&lt;=2800),VLOOKUP(AF1181,TNCalibEq2500!$AZ$2:$BB$56,3,),IF(AND(I1181="TDN",S1181&lt;=2800),VLOOKUP(AF1181,TNCalibEq2500!$AZ$2:$BB$56,3,)))</f>
        <v>0</v>
      </c>
      <c r="AU1181" s="10" t="str">
        <f>IF(I1181="TP",VLOOKUP(AF1181,TPCalibEqFull!$AZ$2:$BB$56,3),IF(I1181="TDP",VLOOKUP(AF1181,TPCalibEqFull!$AZ$2:$BB$56,3),IF(I1181="TDN",VLOOKUP(AF1181,TNCalibEqFull!$AZ$1:$BB$56,3),IF(I1181="TN",VLOOKUP(AF1181,TNCalibEqFull!$AZ$1:$BB$56,3),FALSE))))</f>
        <v>y=0.4667x2+198.27x-98.12</v>
      </c>
      <c r="AV1181" s="10" t="str">
        <f t="shared" si="134"/>
        <v>0117 11:33:00-FVC-0-FIL-2-SW-SPK</v>
      </c>
    </row>
    <row r="1182" spans="1:48" s="10" customFormat="1" x14ac:dyDescent="0.55000000000000004">
      <c r="A1182" s="32">
        <v>44950</v>
      </c>
      <c r="B1182" s="33">
        <v>0.375</v>
      </c>
      <c r="C1182" s="10" t="s">
        <v>70</v>
      </c>
      <c r="D1182" s="10" t="s">
        <v>71</v>
      </c>
      <c r="E1182" s="10" t="s">
        <v>901</v>
      </c>
      <c r="F1182" s="10">
        <v>1</v>
      </c>
      <c r="G1182" s="10" t="s">
        <v>73</v>
      </c>
      <c r="H1182" s="10" t="s">
        <v>207</v>
      </c>
      <c r="I1182" s="10" t="s">
        <v>235</v>
      </c>
      <c r="J1182" s="10">
        <v>201</v>
      </c>
      <c r="K1182" s="12">
        <v>44950</v>
      </c>
      <c r="L1182" s="33">
        <v>0.64527777777777773</v>
      </c>
      <c r="M1182" s="10">
        <v>1</v>
      </c>
      <c r="N1182" s="10" t="s">
        <v>196</v>
      </c>
      <c r="O1182" s="10">
        <v>6.25</v>
      </c>
      <c r="P1182" s="10">
        <v>0.377</v>
      </c>
      <c r="Q1182" s="10">
        <v>1180</v>
      </c>
      <c r="R1182" s="10" t="s">
        <v>170</v>
      </c>
      <c r="S1182" s="34">
        <f t="shared" si="131"/>
        <v>1207.9524999999999</v>
      </c>
      <c r="T1182" s="10" t="s">
        <v>1068</v>
      </c>
      <c r="U1182" s="34">
        <f t="shared" si="132"/>
        <v>96.636199999999988</v>
      </c>
      <c r="V1182" s="31">
        <f>IF(H1182="CHK",VLOOKUP(I1182,QCCHK,3,),IF(H1182="GUP",VLOOKUP(E1182,QCGUP,2,),IF(AND(H1182="ATP",OR(I1182="TN",I1182="TDN",I1182="TNO2-3",I1182="NO2-3")),VLOOKUP(E1182,QCREC_N,2,),IF(AND(H1182="NIC",OR(I1182="TN",I1182="TDN",I1182="TNO2-3",I1182="NO2-3")),VLOOKUP(E1182,QCNIC_N,2,),IF(AND(H1182="UREA",OR(I1182="TN",I1182="TDN",I1182="TNO2-3",I1182="NO2-3")),VLOOKUP(E1182,QCUREA_N,2,),IF(H1182="PER",VLOOKUP(I1182,QCPER,MATCH(E1182,QCACTUAL!$J$25:$AA$25,0),),IF(H1182="SPK",VLOOKUP(I1182,QCSPK,3,),IF(AND(H1182="ATP",OR(I1182="TP",I1182="TDP")),VLOOKUP(E1182,QCATP_P,2,),""))))))))</f>
        <v>1250</v>
      </c>
      <c r="W1182" s="31" t="str">
        <f t="shared" si="133"/>
        <v>TRUE</v>
      </c>
      <c r="X1182" s="31" t="str">
        <f t="shared" si="130"/>
        <v>[chk]/[actual]*100</v>
      </c>
      <c r="Y1182" s="10" t="s">
        <v>1061</v>
      </c>
      <c r="AF1182" s="12">
        <v>44950</v>
      </c>
      <c r="AJ1182" s="10">
        <f>-1.2768*6.25^2+222.07*6.25-130.11</f>
        <v>1207.9524999999999</v>
      </c>
      <c r="AK1182" s="10">
        <f>0.4667*6.25^2+198.27*6.25-98.12</f>
        <v>1159.2979687500001</v>
      </c>
      <c r="AL1182" s="10" t="str">
        <f t="shared" si="135"/>
        <v>FALSE</v>
      </c>
      <c r="AM1182" s="10" t="str">
        <f t="shared" si="135"/>
        <v>FALSE</v>
      </c>
      <c r="AN1182" s="10" t="str">
        <f t="shared" si="135"/>
        <v>FALSE</v>
      </c>
      <c r="AO1182" s="10" t="str">
        <f t="shared" si="136"/>
        <v>y=-1.2768*6.25^2+222.07*6.25-130.11</v>
      </c>
      <c r="AP1182" s="10" t="str">
        <f t="shared" si="136"/>
        <v>y=0.4667*6.25^2+198.27*6.25-98.12</v>
      </c>
      <c r="AQ1182" s="10" t="b">
        <f>IF(AND(I1182="TP",S1182&lt;=150),VLOOKUP(AF1182,TPCalibEq150!$AZ$2:$BB$55,3,),IF(AND(I1182="TDP",S1182&lt;=150),VLOOKUP(AF1182,TPCalibEq150!$AZ$2:$BB$55,3,)))</f>
        <v>0</v>
      </c>
      <c r="AR1182" s="10" t="b">
        <f>IF(AND(I1182="TP",S1182&lt;=300),VLOOKUP(AF1182,TPCalibEq300!$AZ$2:$BB$55,3,),IF(AND(I1182="TDP",S1182&lt;=300),VLOOKUP(AF1182,TPCalibEq300!$AZ$2:$BB$55,3,)))</f>
        <v>0</v>
      </c>
      <c r="AS1182" s="10" t="b">
        <f>IF(AND(I1182="TP",S1182&lt;=500),VLOOKUP(AF1182,TPCalibEq500!$AZ$2:$BB$56,3,),IF(AND(I1182="TDP",S1182&lt;=500),VLOOKUP(AF1182,TPCalibEq500!$AZ$2:$BB$56,3,)))</f>
        <v>0</v>
      </c>
      <c r="AT1182" s="10" t="str">
        <f>IF(AND(I1182="TN",S1182&lt;=2800),VLOOKUP(AF1182,TNCalibEq2500!$AZ$2:$BB$56,3,),IF(AND(I1182="TDN",S1182&lt;=2800),VLOOKUP(AF1182,TNCalibEq2500!$AZ$2:$BB$56,3,)))</f>
        <v>y=-1.2768x2+222.07x-130.11</v>
      </c>
      <c r="AU1182" s="10" t="str">
        <f>IF(I1182="TP",VLOOKUP(AF1182,TPCalibEqFull!$AZ$2:$BB$56,3),IF(I1182="TDP",VLOOKUP(AF1182,TPCalibEqFull!$AZ$2:$BB$56,3),IF(I1182="TDN",VLOOKUP(AF1182,TNCalibEqFull!$AZ$1:$BB$56,3),IF(I1182="TN",VLOOKUP(AF1182,TNCalibEqFull!$AZ$1:$BB$56,3),FALSE))))</f>
        <v>y=0.4667x2+198.27x-98.12</v>
      </c>
      <c r="AV1182" s="10" t="str">
        <f t="shared" si="134"/>
        <v>0124 09:00:00-QAC-STD-D-1-DI-CHK</v>
      </c>
    </row>
    <row r="1183" spans="1:48" s="10" customFormat="1" x14ac:dyDescent="0.55000000000000004">
      <c r="A1183" s="32">
        <v>44943</v>
      </c>
      <c r="B1183" s="33">
        <v>0.48888888888888887</v>
      </c>
      <c r="C1183" s="10" t="s">
        <v>250</v>
      </c>
      <c r="D1183" s="10">
        <v>0</v>
      </c>
      <c r="E1183" s="10" t="s">
        <v>911</v>
      </c>
      <c r="F1183" s="10">
        <v>1</v>
      </c>
      <c r="G1183" s="10" t="s">
        <v>231</v>
      </c>
      <c r="H1183" s="10" t="s">
        <v>322</v>
      </c>
      <c r="I1183" s="10" t="s">
        <v>224</v>
      </c>
      <c r="J1183" s="10">
        <v>53</v>
      </c>
      <c r="K1183" s="12">
        <v>44950</v>
      </c>
      <c r="L1183" s="33">
        <v>0.64594907407407409</v>
      </c>
      <c r="M1183" s="10">
        <v>1</v>
      </c>
      <c r="N1183" s="10" t="s">
        <v>196</v>
      </c>
      <c r="O1183" s="10">
        <v>7.97</v>
      </c>
      <c r="P1183" s="10">
        <v>0.48</v>
      </c>
      <c r="Q1183" s="10">
        <v>1540</v>
      </c>
      <c r="R1183" s="10" t="s">
        <v>170</v>
      </c>
      <c r="S1183" s="34">
        <f t="shared" si="131"/>
        <v>1558.6844148800001</v>
      </c>
      <c r="T1183" s="10" t="s">
        <v>1068</v>
      </c>
      <c r="U1183" s="34" t="str">
        <f t="shared" si="132"/>
        <v/>
      </c>
      <c r="V1183" s="31" t="str">
        <f>IF(H1183="CHK",VLOOKUP(I1183,QCCHK,3,),IF(H1183="GUP",VLOOKUP(E1183,QCGUP,2,),IF(AND(H1183="ATP",OR(I1183="TN",I1183="TDN",I1183="TNO2-3",I1183="NO2-3")),VLOOKUP(E1183,QCREC_N,2,),IF(AND(H1183="NIC",OR(I1183="TN",I1183="TDN",I1183="TNO2-3",I1183="NO2-3")),VLOOKUP(E1183,QCNIC_N,2,),IF(AND(H1183="UREA",OR(I1183="TN",I1183="TDN",I1183="TNO2-3",I1183="NO2-3")),VLOOKUP(E1183,QCUREA_N,2,),IF(H1183="PER",VLOOKUP(I1183,QCPER,MATCH(E1183,QCACTUAL!$J$25:$AA$25,0),),IF(H1183="SPK",VLOOKUP(I1183,QCSPK,3,),IF(AND(H1183="ATP",OR(I1183="TP",I1183="TDP")),VLOOKUP(E1183,QCATP_P,2,),""))))))))</f>
        <v/>
      </c>
      <c r="W1183" s="31" t="str">
        <f t="shared" si="133"/>
        <v>TRUE</v>
      </c>
      <c r="X1183" s="31" t="str">
        <f t="shared" si="130"/>
        <v/>
      </c>
      <c r="Y1183" s="10" t="s">
        <v>1061</v>
      </c>
      <c r="Z1183" s="10" t="s">
        <v>910</v>
      </c>
      <c r="AF1183" s="12">
        <v>44950</v>
      </c>
      <c r="AJ1183" s="10">
        <f>-1.2768*7.97^2+222.07*7.97-130.11</f>
        <v>1558.6844148800001</v>
      </c>
      <c r="AK1183" s="10">
        <f>0.4667*7.97^2+198.27*7.97-98.12</f>
        <v>1511.73710403</v>
      </c>
      <c r="AL1183" s="10" t="str">
        <f t="shared" si="135"/>
        <v>FALSE</v>
      </c>
      <c r="AM1183" s="10" t="str">
        <f t="shared" si="135"/>
        <v>FALSE</v>
      </c>
      <c r="AN1183" s="10" t="str">
        <f t="shared" si="135"/>
        <v>FALSE</v>
      </c>
      <c r="AO1183" s="10" t="str">
        <f t="shared" si="136"/>
        <v>y=-1.2768*7.97^2+222.07*7.97-130.11</v>
      </c>
      <c r="AP1183" s="10" t="str">
        <f t="shared" si="136"/>
        <v>y=0.4667*7.97^2+198.27*7.97-98.12</v>
      </c>
      <c r="AQ1183" s="10" t="b">
        <f>IF(AND(I1183="TP",S1183&lt;=150),VLOOKUP(AF1183,TPCalibEq150!$AZ$2:$BB$55,3,),IF(AND(I1183="TDP",S1183&lt;=150),VLOOKUP(AF1183,TPCalibEq150!$AZ$2:$BB$55,3,)))</f>
        <v>0</v>
      </c>
      <c r="AR1183" s="10" t="b">
        <f>IF(AND(I1183="TP",S1183&lt;=300),VLOOKUP(AF1183,TPCalibEq300!$AZ$2:$BB$55,3,),IF(AND(I1183="TDP",S1183&lt;=300),VLOOKUP(AF1183,TPCalibEq300!$AZ$2:$BB$55,3,)))</f>
        <v>0</v>
      </c>
      <c r="AS1183" s="10" t="b">
        <f>IF(AND(I1183="TP",S1183&lt;=500),VLOOKUP(AF1183,TPCalibEq500!$AZ$2:$BB$56,3,),IF(AND(I1183="TDP",S1183&lt;=500),VLOOKUP(AF1183,TPCalibEq500!$AZ$2:$BB$56,3,)))</f>
        <v>0</v>
      </c>
      <c r="AT1183" s="10" t="str">
        <f>IF(AND(I1183="TN",S1183&lt;=2800),VLOOKUP(AF1183,TNCalibEq2500!$AZ$2:$BB$56,3,),IF(AND(I1183="TDN",S1183&lt;=2800),VLOOKUP(AF1183,TNCalibEq2500!$AZ$2:$BB$56,3,)))</f>
        <v>y=-1.2768x2+222.07x-130.11</v>
      </c>
      <c r="AU1183" s="10" t="str">
        <f>IF(I1183="TP",VLOOKUP(AF1183,TPCalibEqFull!$AZ$2:$BB$56,3),IF(I1183="TDP",VLOOKUP(AF1183,TPCalibEqFull!$AZ$2:$BB$56,3),IF(I1183="TDN",VLOOKUP(AF1183,TNCalibEqFull!$AZ$1:$BB$56,3),IF(I1183="TN",VLOOKUP(AF1183,TNCalibEqFull!$AZ$1:$BB$56,3),FALSE))))</f>
        <v>y=0.4667x2+198.27x-98.12</v>
      </c>
      <c r="AV1183" s="10" t="str">
        <f t="shared" si="134"/>
        <v>0117 11:44:00-EFB-0-FIL-1-SW-UKN</v>
      </c>
    </row>
    <row r="1184" spans="1:48" s="10" customFormat="1" x14ac:dyDescent="0.55000000000000004">
      <c r="A1184" s="32">
        <v>44943</v>
      </c>
      <c r="B1184" s="33">
        <v>0.49791666666666662</v>
      </c>
      <c r="C1184" s="10" t="s">
        <v>326</v>
      </c>
      <c r="D1184" s="10">
        <v>0</v>
      </c>
      <c r="E1184" s="10" t="s">
        <v>911</v>
      </c>
      <c r="F1184" s="10">
        <v>1</v>
      </c>
      <c r="G1184" s="10" t="s">
        <v>231</v>
      </c>
      <c r="H1184" s="10" t="s">
        <v>322</v>
      </c>
      <c r="I1184" s="10" t="s">
        <v>224</v>
      </c>
      <c r="J1184" s="10">
        <v>54</v>
      </c>
      <c r="K1184" s="12">
        <v>44950</v>
      </c>
      <c r="L1184" s="33">
        <v>0.64660879629629631</v>
      </c>
      <c r="M1184" s="10">
        <v>1</v>
      </c>
      <c r="N1184" s="10" t="s">
        <v>196</v>
      </c>
      <c r="O1184" s="10">
        <v>4.8099999999999996</v>
      </c>
      <c r="P1184" s="10">
        <v>0.29199999999999998</v>
      </c>
      <c r="Q1184" s="10">
        <v>883</v>
      </c>
      <c r="R1184" s="10" t="s">
        <v>170</v>
      </c>
      <c r="S1184" s="34">
        <f t="shared" si="131"/>
        <v>908.50652751999985</v>
      </c>
      <c r="T1184" s="10" t="s">
        <v>1068</v>
      </c>
      <c r="U1184" s="34" t="str">
        <f t="shared" si="132"/>
        <v/>
      </c>
      <c r="V1184" s="31" t="str">
        <f>IF(H1184="CHK",VLOOKUP(I1184,QCCHK,3,),IF(H1184="GUP",VLOOKUP(E1184,QCGUP,2,),IF(AND(H1184="ATP",OR(I1184="TN",I1184="TDN",I1184="TNO2-3",I1184="NO2-3")),VLOOKUP(E1184,QCREC_N,2,),IF(AND(H1184="NIC",OR(I1184="TN",I1184="TDN",I1184="TNO2-3",I1184="NO2-3")),VLOOKUP(E1184,QCNIC_N,2,),IF(AND(H1184="UREA",OR(I1184="TN",I1184="TDN",I1184="TNO2-3",I1184="NO2-3")),VLOOKUP(E1184,QCUREA_N,2,),IF(H1184="PER",VLOOKUP(I1184,QCPER,MATCH(E1184,QCACTUAL!$J$25:$AA$25,0),),IF(H1184="SPK",VLOOKUP(I1184,QCSPK,3,),IF(AND(H1184="ATP",OR(I1184="TP",I1184="TDP")),VLOOKUP(E1184,QCATP_P,2,),""))))))))</f>
        <v/>
      </c>
      <c r="W1184" s="31" t="str">
        <f t="shared" si="133"/>
        <v>TRUE</v>
      </c>
      <c r="X1184" s="31" t="str">
        <f t="shared" si="130"/>
        <v/>
      </c>
      <c r="Y1184" s="10" t="s">
        <v>1061</v>
      </c>
      <c r="Z1184" s="10" t="s">
        <v>910</v>
      </c>
      <c r="AF1184" s="12">
        <v>44950</v>
      </c>
      <c r="AJ1184" s="10">
        <f>-1.2768*4.81^2+222.07*4.81-130.11</f>
        <v>908.50652751999985</v>
      </c>
      <c r="AK1184" s="10">
        <f>0.4667*4.81^2+198.27*4.81-98.12</f>
        <v>866.35631786999988</v>
      </c>
      <c r="AL1184" s="10" t="str">
        <f t="shared" si="135"/>
        <v>FALSE</v>
      </c>
      <c r="AM1184" s="10" t="str">
        <f t="shared" si="135"/>
        <v>FALSE</v>
      </c>
      <c r="AN1184" s="10" t="str">
        <f t="shared" si="135"/>
        <v>FALSE</v>
      </c>
      <c r="AO1184" s="10" t="str">
        <f t="shared" si="136"/>
        <v>y=-1.2768*4.81^2+222.07*4.81-130.11</v>
      </c>
      <c r="AP1184" s="10" t="str">
        <f t="shared" si="136"/>
        <v>y=0.4667*4.81^2+198.27*4.81-98.12</v>
      </c>
      <c r="AQ1184" s="10" t="b">
        <f>IF(AND(I1184="TP",S1184&lt;=150),VLOOKUP(AF1184,TPCalibEq150!$AZ$2:$BB$55,3,),IF(AND(I1184="TDP",S1184&lt;=150),VLOOKUP(AF1184,TPCalibEq150!$AZ$2:$BB$55,3,)))</f>
        <v>0</v>
      </c>
      <c r="AR1184" s="10" t="b">
        <f>IF(AND(I1184="TP",S1184&lt;=300),VLOOKUP(AF1184,TPCalibEq300!$AZ$2:$BB$55,3,),IF(AND(I1184="TDP",S1184&lt;=300),VLOOKUP(AF1184,TPCalibEq300!$AZ$2:$BB$55,3,)))</f>
        <v>0</v>
      </c>
      <c r="AS1184" s="10" t="b">
        <f>IF(AND(I1184="TP",S1184&lt;=500),VLOOKUP(AF1184,TPCalibEq500!$AZ$2:$BB$56,3,),IF(AND(I1184="TDP",S1184&lt;=500),VLOOKUP(AF1184,TPCalibEq500!$AZ$2:$BB$56,3,)))</f>
        <v>0</v>
      </c>
      <c r="AT1184" s="10" t="str">
        <f>IF(AND(I1184="TN",S1184&lt;=2800),VLOOKUP(AF1184,TNCalibEq2500!$AZ$2:$BB$56,3,),IF(AND(I1184="TDN",S1184&lt;=2800),VLOOKUP(AF1184,TNCalibEq2500!$AZ$2:$BB$56,3,)))</f>
        <v>y=-1.2768x2+222.07x-130.11</v>
      </c>
      <c r="AU1184" s="10" t="str">
        <f>IF(I1184="TP",VLOOKUP(AF1184,TPCalibEqFull!$AZ$2:$BB$56,3),IF(I1184="TDP",VLOOKUP(AF1184,TPCalibEqFull!$AZ$2:$BB$56,3),IF(I1184="TDN",VLOOKUP(AF1184,TNCalibEqFull!$AZ$1:$BB$56,3),IF(I1184="TN",VLOOKUP(AF1184,TNCalibEqFull!$AZ$1:$BB$56,3),FALSE))))</f>
        <v>y=0.4667x2+198.27x-98.12</v>
      </c>
      <c r="AV1184" s="10" t="str">
        <f t="shared" si="134"/>
        <v>0117 11:57:00-GRR-0-FIL-1-SW-UKN</v>
      </c>
    </row>
    <row r="1185" spans="1:48" s="10" customFormat="1" x14ac:dyDescent="0.55000000000000004">
      <c r="A1185" s="32">
        <v>44943</v>
      </c>
      <c r="B1185" s="33">
        <v>0.50763888888888886</v>
      </c>
      <c r="C1185" s="10" t="s">
        <v>416</v>
      </c>
      <c r="D1185" s="10">
        <v>0</v>
      </c>
      <c r="E1185" s="10" t="s">
        <v>911</v>
      </c>
      <c r="F1185" s="10">
        <v>1</v>
      </c>
      <c r="G1185" s="10" t="s">
        <v>231</v>
      </c>
      <c r="H1185" s="10" t="s">
        <v>322</v>
      </c>
      <c r="I1185" s="10" t="s">
        <v>224</v>
      </c>
      <c r="J1185" s="10">
        <v>55</v>
      </c>
      <c r="K1185" s="12">
        <v>44950</v>
      </c>
      <c r="L1185" s="33">
        <v>0.64726851851851852</v>
      </c>
      <c r="M1185" s="10">
        <v>1</v>
      </c>
      <c r="N1185" s="10" t="s">
        <v>196</v>
      </c>
      <c r="O1185" s="10">
        <v>10.4</v>
      </c>
      <c r="P1185" s="10">
        <v>0.63</v>
      </c>
      <c r="Q1185" s="10">
        <v>2060</v>
      </c>
      <c r="R1185" s="10" t="s">
        <v>170</v>
      </c>
      <c r="S1185" s="34">
        <f t="shared" si="131"/>
        <v>2060</v>
      </c>
      <c r="T1185" s="10" t="s">
        <v>1068</v>
      </c>
      <c r="U1185" s="34" t="str">
        <f t="shared" si="132"/>
        <v/>
      </c>
      <c r="V1185" s="31" t="str">
        <f>IF(H1185="CHK",VLOOKUP(I1185,QCCHK,3,),IF(H1185="GUP",VLOOKUP(E1185,QCGUP,2,),IF(AND(H1185="ATP",OR(I1185="TN",I1185="TDN",I1185="TNO2-3",I1185="NO2-3")),VLOOKUP(E1185,QCREC_N,2,),IF(AND(H1185="NIC",OR(I1185="TN",I1185="TDN",I1185="TNO2-3",I1185="NO2-3")),VLOOKUP(E1185,QCNIC_N,2,),IF(AND(H1185="UREA",OR(I1185="TN",I1185="TDN",I1185="TNO2-3",I1185="NO2-3")),VLOOKUP(E1185,QCUREA_N,2,),IF(H1185="PER",VLOOKUP(I1185,QCPER,MATCH(E1185,QCACTUAL!$J$25:$AA$25,0),),IF(H1185="SPK",VLOOKUP(I1185,QCSPK,3,),IF(AND(H1185="ATP",OR(I1185="TP",I1185="TDP")),VLOOKUP(E1185,QCATP_P,2,),""))))))))</f>
        <v/>
      </c>
      <c r="W1185" s="31" t="str">
        <f t="shared" si="133"/>
        <v>TRUE</v>
      </c>
      <c r="X1185" s="31" t="str">
        <f t="shared" si="130"/>
        <v/>
      </c>
      <c r="Y1185" s="10" t="s">
        <v>1061</v>
      </c>
      <c r="Z1185" s="10" t="s">
        <v>910</v>
      </c>
      <c r="AF1185" s="12">
        <v>44950</v>
      </c>
      <c r="AJ1185" s="10">
        <f>-1.2768*10.4^2+222.07*10.4-130.11</f>
        <v>2041.3193119999996</v>
      </c>
      <c r="AK1185" s="10">
        <f>0.4667*10.4^2+198.27*10.4-98.12</f>
        <v>2014.3662720000002</v>
      </c>
      <c r="AL1185" s="10" t="str">
        <f t="shared" si="135"/>
        <v>FALSE</v>
      </c>
      <c r="AM1185" s="10" t="str">
        <f t="shared" si="135"/>
        <v>FALSE</v>
      </c>
      <c r="AN1185" s="10" t="str">
        <f t="shared" si="135"/>
        <v>FALSE</v>
      </c>
      <c r="AO1185" s="10" t="str">
        <f t="shared" si="136"/>
        <v>y=-1.2768*10.4^2+222.07*10.4-130.11</v>
      </c>
      <c r="AP1185" s="10" t="str">
        <f t="shared" si="136"/>
        <v>y=0.4667*10.4^2+198.27*10.4-98.12</v>
      </c>
      <c r="AQ1185" s="10" t="b">
        <f>IF(AND(I1185="TP",S1185&lt;=150),VLOOKUP(AF1185,TPCalibEq150!$AZ$2:$BB$55,3,),IF(AND(I1185="TDP",S1185&lt;=150),VLOOKUP(AF1185,TPCalibEq150!$AZ$2:$BB$55,3,)))</f>
        <v>0</v>
      </c>
      <c r="AR1185" s="10" t="b">
        <f>IF(AND(I1185="TP",S1185&lt;=300),VLOOKUP(AF1185,TPCalibEq300!$AZ$2:$BB$55,3,),IF(AND(I1185="TDP",S1185&lt;=300),VLOOKUP(AF1185,TPCalibEq300!$AZ$2:$BB$55,3,)))</f>
        <v>0</v>
      </c>
      <c r="AS1185" s="10" t="b">
        <f>IF(AND(I1185="TP",S1185&lt;=500),VLOOKUP(AF1185,TPCalibEq500!$AZ$2:$BB$56,3,),IF(AND(I1185="TDP",S1185&lt;=500),VLOOKUP(AF1185,TPCalibEq500!$AZ$2:$BB$56,3,)))</f>
        <v>0</v>
      </c>
      <c r="AT1185" s="10" t="str">
        <f>IF(AND(I1185="TN",S1185&lt;=2800),VLOOKUP(AF1185,TNCalibEq2500!$AZ$2:$BB$56,3,),IF(AND(I1185="TDN",S1185&lt;=2800),VLOOKUP(AF1185,TNCalibEq2500!$AZ$2:$BB$56,3,)))</f>
        <v>y=-1.2768x2+222.07x-130.11</v>
      </c>
      <c r="AU1185" s="10" t="str">
        <f>IF(I1185="TP",VLOOKUP(AF1185,TPCalibEqFull!$AZ$2:$BB$56,3),IF(I1185="TDP",VLOOKUP(AF1185,TPCalibEqFull!$AZ$2:$BB$56,3),IF(I1185="TDN",VLOOKUP(AF1185,TNCalibEqFull!$AZ$1:$BB$56,3),IF(I1185="TN",VLOOKUP(AF1185,TNCalibEqFull!$AZ$1:$BB$56,3),FALSE))))</f>
        <v>y=0.4667x2+198.27x-98.12</v>
      </c>
      <c r="AV1185" s="10" t="str">
        <f t="shared" si="134"/>
        <v>0117 12:11:00-CWL-0-FIL-1-SW-UKN</v>
      </c>
    </row>
    <row r="1186" spans="1:48" s="10" customFormat="1" x14ac:dyDescent="0.55000000000000004">
      <c r="A1186" s="32">
        <v>44943</v>
      </c>
      <c r="B1186" s="33">
        <v>0.51874999999999993</v>
      </c>
      <c r="C1186" s="10" t="s">
        <v>445</v>
      </c>
      <c r="D1186" s="10">
        <v>0</v>
      </c>
      <c r="E1186" s="10" t="s">
        <v>911</v>
      </c>
      <c r="F1186" s="10">
        <v>1</v>
      </c>
      <c r="G1186" s="10" t="s">
        <v>231</v>
      </c>
      <c r="H1186" s="10" t="s">
        <v>322</v>
      </c>
      <c r="I1186" s="10" t="s">
        <v>224</v>
      </c>
      <c r="J1186" s="10">
        <v>56</v>
      </c>
      <c r="K1186" s="12">
        <v>44950</v>
      </c>
      <c r="L1186" s="33">
        <v>0.64792824074074074</v>
      </c>
      <c r="M1186" s="10">
        <v>1</v>
      </c>
      <c r="N1186" s="10" t="s">
        <v>196</v>
      </c>
      <c r="O1186" s="10">
        <v>6.83</v>
      </c>
      <c r="P1186" s="10">
        <v>0.41599999999999998</v>
      </c>
      <c r="Q1186" s="10">
        <v>1310</v>
      </c>
      <c r="R1186" s="10" t="s">
        <v>170</v>
      </c>
      <c r="S1186" s="34">
        <f t="shared" si="131"/>
        <v>1327.06678448</v>
      </c>
      <c r="T1186" s="10" t="s">
        <v>1068</v>
      </c>
      <c r="U1186" s="34" t="str">
        <f t="shared" si="132"/>
        <v/>
      </c>
      <c r="V1186" s="31" t="str">
        <f>IF(H1186="CHK",VLOOKUP(I1186,QCCHK,3,),IF(H1186="GUP",VLOOKUP(E1186,QCGUP,2,),IF(AND(H1186="ATP",OR(I1186="TN",I1186="TDN",I1186="TNO2-3",I1186="NO2-3")),VLOOKUP(E1186,QCREC_N,2,),IF(AND(H1186="NIC",OR(I1186="TN",I1186="TDN",I1186="TNO2-3",I1186="NO2-3")),VLOOKUP(E1186,QCNIC_N,2,),IF(AND(H1186="UREA",OR(I1186="TN",I1186="TDN",I1186="TNO2-3",I1186="NO2-3")),VLOOKUP(E1186,QCUREA_N,2,),IF(H1186="PER",VLOOKUP(I1186,QCPER,MATCH(E1186,QCACTUAL!$J$25:$AA$25,0),),IF(H1186="SPK",VLOOKUP(I1186,QCSPK,3,),IF(AND(H1186="ATP",OR(I1186="TP",I1186="TDP")),VLOOKUP(E1186,QCATP_P,2,),""))))))))</f>
        <v/>
      </c>
      <c r="W1186" s="31" t="str">
        <f t="shared" si="133"/>
        <v>TRUE</v>
      </c>
      <c r="X1186" s="31" t="str">
        <f t="shared" si="130"/>
        <v/>
      </c>
      <c r="Y1186" s="10" t="s">
        <v>1061</v>
      </c>
      <c r="Z1186" s="10" t="s">
        <v>910</v>
      </c>
      <c r="AF1186" s="12">
        <v>44950</v>
      </c>
      <c r="AJ1186" s="10">
        <f>-1.2768*6.83^2+222.07*6.83-130.11</f>
        <v>1327.06678448</v>
      </c>
      <c r="AK1186" s="10">
        <f>0.4667*6.83^2+198.27*6.83-98.12</f>
        <v>1277.8351416300002</v>
      </c>
      <c r="AL1186" s="10" t="str">
        <f t="shared" si="135"/>
        <v>FALSE</v>
      </c>
      <c r="AM1186" s="10" t="str">
        <f t="shared" si="135"/>
        <v>FALSE</v>
      </c>
      <c r="AN1186" s="10" t="str">
        <f t="shared" si="135"/>
        <v>FALSE</v>
      </c>
      <c r="AO1186" s="10" t="str">
        <f t="shared" si="136"/>
        <v>y=-1.2768*6.83^2+222.07*6.83-130.11</v>
      </c>
      <c r="AP1186" s="10" t="str">
        <f t="shared" si="136"/>
        <v>y=0.4667*6.83^2+198.27*6.83-98.12</v>
      </c>
      <c r="AQ1186" s="10" t="b">
        <f>IF(AND(I1186="TP",S1186&lt;=150),VLOOKUP(AF1186,TPCalibEq150!$AZ$2:$BB$55,3,),IF(AND(I1186="TDP",S1186&lt;=150),VLOOKUP(AF1186,TPCalibEq150!$AZ$2:$BB$55,3,)))</f>
        <v>0</v>
      </c>
      <c r="AR1186" s="10" t="b">
        <f>IF(AND(I1186="TP",S1186&lt;=300),VLOOKUP(AF1186,TPCalibEq300!$AZ$2:$BB$55,3,),IF(AND(I1186="TDP",S1186&lt;=300),VLOOKUP(AF1186,TPCalibEq300!$AZ$2:$BB$55,3,)))</f>
        <v>0</v>
      </c>
      <c r="AS1186" s="10" t="b">
        <f>IF(AND(I1186="TP",S1186&lt;=500),VLOOKUP(AF1186,TPCalibEq500!$AZ$2:$BB$56,3,),IF(AND(I1186="TDP",S1186&lt;=500),VLOOKUP(AF1186,TPCalibEq500!$AZ$2:$BB$56,3,)))</f>
        <v>0</v>
      </c>
      <c r="AT1186" s="10" t="str">
        <f>IF(AND(I1186="TN",S1186&lt;=2800),VLOOKUP(AF1186,TNCalibEq2500!$AZ$2:$BB$56,3,),IF(AND(I1186="TDN",S1186&lt;=2800),VLOOKUP(AF1186,TNCalibEq2500!$AZ$2:$BB$56,3,)))</f>
        <v>y=-1.2768x2+222.07x-130.11</v>
      </c>
      <c r="AU1186" s="10" t="str">
        <f>IF(I1186="TP",VLOOKUP(AF1186,TPCalibEqFull!$AZ$2:$BB$56,3),IF(I1186="TDP",VLOOKUP(AF1186,TPCalibEqFull!$AZ$2:$BB$56,3),IF(I1186="TDN",VLOOKUP(AF1186,TNCalibEqFull!$AZ$1:$BB$56,3),IF(I1186="TN",VLOOKUP(AF1186,TNCalibEqFull!$AZ$1:$BB$56,3),FALSE))))</f>
        <v>y=0.4667x2+198.27x-98.12</v>
      </c>
      <c r="AV1186" s="10" t="str">
        <f t="shared" si="134"/>
        <v>0117 12:27:00-NWT-0-FIL-1-SW-UKN</v>
      </c>
    </row>
    <row r="1187" spans="1:48" s="10" customFormat="1" x14ac:dyDescent="0.55000000000000004">
      <c r="A1187" s="32">
        <v>44943</v>
      </c>
      <c r="B1187" s="33">
        <v>0.51874999999999993</v>
      </c>
      <c r="C1187" s="10" t="s">
        <v>445</v>
      </c>
      <c r="D1187" s="10">
        <v>0</v>
      </c>
      <c r="E1187" s="10" t="s">
        <v>911</v>
      </c>
      <c r="F1187" s="10">
        <v>1</v>
      </c>
      <c r="G1187" s="10" t="s">
        <v>231</v>
      </c>
      <c r="H1187" s="10" t="s">
        <v>233</v>
      </c>
      <c r="I1187" s="10" t="s">
        <v>224</v>
      </c>
      <c r="J1187" s="10">
        <v>56</v>
      </c>
      <c r="K1187" s="12">
        <v>44950</v>
      </c>
      <c r="L1187" s="33">
        <v>0.64858796296296295</v>
      </c>
      <c r="M1187" s="10">
        <v>1</v>
      </c>
      <c r="N1187" s="10" t="s">
        <v>196</v>
      </c>
      <c r="O1187" s="10">
        <v>6.73</v>
      </c>
      <c r="P1187" s="10">
        <v>0.42</v>
      </c>
      <c r="Q1187" s="10">
        <v>1280</v>
      </c>
      <c r="R1187" s="10" t="s">
        <v>170</v>
      </c>
      <c r="S1187" s="34">
        <f t="shared" si="131"/>
        <v>1306.5911252800001</v>
      </c>
      <c r="T1187" s="10" t="s">
        <v>1068</v>
      </c>
      <c r="U1187" s="34">
        <f t="shared" si="132"/>
        <v>1.5549217021785329</v>
      </c>
      <c r="V1187" s="31" t="str">
        <f>IF(H1187="CHK",VLOOKUP(I1187,QCCHK,3,),IF(H1187="GUP",VLOOKUP(E1187,QCGUP,2,),IF(AND(H1187="ATP",OR(I1187="TN",I1187="TDN",I1187="TNO2-3",I1187="NO2-3")),VLOOKUP(E1187,QCREC_N,2,),IF(AND(H1187="NIC",OR(I1187="TN",I1187="TDN",I1187="TNO2-3",I1187="NO2-3")),VLOOKUP(E1187,QCNIC_N,2,),IF(AND(H1187="UREA",OR(I1187="TN",I1187="TDN",I1187="TNO2-3",I1187="NO2-3")),VLOOKUP(E1187,QCUREA_N,2,),IF(H1187="PER",VLOOKUP(I1187,QCPER,MATCH(E1187,QCACTUAL!$J$25:$AA$25,0),),IF(H1187="SPK",VLOOKUP(I1187,QCSPK,3,),IF(AND(H1187="ATP",OR(I1187="TP",I1187="TDP")),VLOOKUP(E1187,QCATP_P,2,),""))))))))</f>
        <v/>
      </c>
      <c r="W1187" s="31" t="str">
        <f t="shared" si="133"/>
        <v>TRUE</v>
      </c>
      <c r="X1187" s="31" t="str">
        <f t="shared" si="130"/>
        <v>((ABS(rep1-rep2))/((rep1+rep2)/2)*100</v>
      </c>
      <c r="Y1187" s="10" t="s">
        <v>1061</v>
      </c>
      <c r="Z1187" s="10" t="s">
        <v>910</v>
      </c>
      <c r="AF1187" s="12">
        <v>44950</v>
      </c>
      <c r="AJ1187" s="10">
        <f>-1.2768*6.73^2+222.07*6.73-130.11</f>
        <v>1306.5911252800001</v>
      </c>
      <c r="AK1187" s="10">
        <f>0.4667*6.73^2+198.27*6.73-98.12</f>
        <v>1257.3752964300002</v>
      </c>
      <c r="AL1187" s="10" t="str">
        <f t="shared" si="135"/>
        <v>FALSE</v>
      </c>
      <c r="AM1187" s="10" t="str">
        <f t="shared" si="135"/>
        <v>FALSE</v>
      </c>
      <c r="AN1187" s="10" t="str">
        <f t="shared" si="135"/>
        <v>FALSE</v>
      </c>
      <c r="AO1187" s="10" t="str">
        <f t="shared" si="136"/>
        <v>y=-1.2768*6.73^2+222.07*6.73-130.11</v>
      </c>
      <c r="AP1187" s="10" t="str">
        <f t="shared" si="136"/>
        <v>y=0.4667*6.73^2+198.27*6.73-98.12</v>
      </c>
      <c r="AQ1187" s="10" t="b">
        <f>IF(AND(I1187="TP",S1187&lt;=150),VLOOKUP(AF1187,TPCalibEq150!$AZ$2:$BB$55,3,),IF(AND(I1187="TDP",S1187&lt;=150),VLOOKUP(AF1187,TPCalibEq150!$AZ$2:$BB$55,3,)))</f>
        <v>0</v>
      </c>
      <c r="AR1187" s="10" t="b">
        <f>IF(AND(I1187="TP",S1187&lt;=300),VLOOKUP(AF1187,TPCalibEq300!$AZ$2:$BB$55,3,),IF(AND(I1187="TDP",S1187&lt;=300),VLOOKUP(AF1187,TPCalibEq300!$AZ$2:$BB$55,3,)))</f>
        <v>0</v>
      </c>
      <c r="AS1187" s="10" t="b">
        <f>IF(AND(I1187="TP",S1187&lt;=500),VLOOKUP(AF1187,TPCalibEq500!$AZ$2:$BB$56,3,),IF(AND(I1187="TDP",S1187&lt;=500),VLOOKUP(AF1187,TPCalibEq500!$AZ$2:$BB$56,3,)))</f>
        <v>0</v>
      </c>
      <c r="AT1187" s="10" t="str">
        <f>IF(AND(I1187="TN",S1187&lt;=2800),VLOOKUP(AF1187,TNCalibEq2500!$AZ$2:$BB$56,3,),IF(AND(I1187="TDN",S1187&lt;=2800),VLOOKUP(AF1187,TNCalibEq2500!$AZ$2:$BB$56,3,)))</f>
        <v>y=-1.2768x2+222.07x-130.11</v>
      </c>
      <c r="AU1187" s="10" t="str">
        <f>IF(I1187="TP",VLOOKUP(AF1187,TPCalibEqFull!$AZ$2:$BB$56,3),IF(I1187="TDP",VLOOKUP(AF1187,TPCalibEqFull!$AZ$2:$BB$56,3),IF(I1187="TDN",VLOOKUP(AF1187,TNCalibEqFull!$AZ$1:$BB$56,3),IF(I1187="TN",VLOOKUP(AF1187,TNCalibEqFull!$AZ$1:$BB$56,3),FALSE))))</f>
        <v>y=0.4667x2+198.27x-98.12</v>
      </c>
      <c r="AV1187" s="10" t="str">
        <f t="shared" si="134"/>
        <v>0117 12:27:00-NWT-0-FIL-1-SW-DUP</v>
      </c>
    </row>
    <row r="1188" spans="1:48" s="10" customFormat="1" x14ac:dyDescent="0.55000000000000004">
      <c r="A1188" s="32">
        <v>44943</v>
      </c>
      <c r="B1188" s="33">
        <v>0.51874999999999993</v>
      </c>
      <c r="C1188" s="10" t="s">
        <v>445</v>
      </c>
      <c r="D1188" s="10">
        <v>0</v>
      </c>
      <c r="E1188" s="10" t="s">
        <v>911</v>
      </c>
      <c r="F1188" s="10">
        <v>1</v>
      </c>
      <c r="G1188" s="10" t="s">
        <v>231</v>
      </c>
      <c r="H1188" s="10" t="s">
        <v>314</v>
      </c>
      <c r="I1188" s="10" t="s">
        <v>224</v>
      </c>
      <c r="J1188" s="10">
        <v>62</v>
      </c>
      <c r="K1188" s="12">
        <v>44950</v>
      </c>
      <c r="L1188" s="33">
        <v>0.64925925925925931</v>
      </c>
      <c r="M1188" s="10">
        <v>1</v>
      </c>
      <c r="N1188" s="10" t="s">
        <v>196</v>
      </c>
      <c r="O1188" s="10">
        <v>19.899999999999999</v>
      </c>
      <c r="P1188" s="10">
        <v>1.19</v>
      </c>
      <c r="Q1188" s="10">
        <v>4040</v>
      </c>
      <c r="R1188" s="10" t="s">
        <v>170</v>
      </c>
      <c r="S1188" s="34">
        <f t="shared" si="131"/>
        <v>4040</v>
      </c>
      <c r="T1188" s="10" t="s">
        <v>1068</v>
      </c>
      <c r="U1188" s="34">
        <f t="shared" si="132"/>
        <v>109.33635498879998</v>
      </c>
      <c r="V1188" s="31">
        <f>IF(H1188="CHK",VLOOKUP(I1188,QCCHK,3,),IF(H1188="GUP",VLOOKUP(E1188,QCGUP,2,),IF(AND(H1188="ATP",OR(I1188="TN",I1188="TDN",I1188="TNO2-3",I1188="NO2-3")),VLOOKUP(E1188,QCREC_N,2,),IF(AND(H1188="NIC",OR(I1188="TN",I1188="TDN",I1188="TNO2-3",I1188="NO2-3")),VLOOKUP(E1188,QCNIC_N,2,),IF(AND(H1188="UREA",OR(I1188="TN",I1188="TDN",I1188="TNO2-3",I1188="NO2-3")),VLOOKUP(E1188,QCUREA_N,2,),IF(H1188="PER",VLOOKUP(I1188,QCPER,MATCH(E1188,QCACTUAL!$J$25:$AA$25,0),),IF(H1188="SPK",VLOOKUP(I1188,QCSPK,3,),IF(AND(H1188="ATP",OR(I1188="TP",I1188="TDP")),VLOOKUP(E1188,QCATP_P,2,),""))))))))</f>
        <v>2500</v>
      </c>
      <c r="W1188" s="31" t="str">
        <f t="shared" si="133"/>
        <v>TRUE</v>
      </c>
      <c r="X1188" s="31" t="str">
        <f t="shared" si="130"/>
        <v>([spikedunkn]-[unkn])/[spike]*100</v>
      </c>
      <c r="Y1188" s="10" t="s">
        <v>1061</v>
      </c>
      <c r="Z1188" s="10" t="s">
        <v>910</v>
      </c>
      <c r="AF1188" s="12">
        <v>44950</v>
      </c>
      <c r="AK1188" s="10">
        <f>0.4667*19.9^2+198.27*19.9-98.12</f>
        <v>4032.2708670000002</v>
      </c>
      <c r="AL1188" s="10" t="str">
        <f t="shared" si="135"/>
        <v>FALSE</v>
      </c>
      <c r="AM1188" s="10" t="str">
        <f t="shared" si="135"/>
        <v>FALSE</v>
      </c>
      <c r="AN1188" s="10" t="str">
        <f t="shared" si="135"/>
        <v>FALSE</v>
      </c>
      <c r="AO1188" s="10" t="str">
        <f t="shared" si="136"/>
        <v>FALSE</v>
      </c>
      <c r="AP1188" s="10" t="str">
        <f t="shared" si="136"/>
        <v>y=0.4667*19.9^2+198.27*19.9-98.12</v>
      </c>
      <c r="AQ1188" s="10" t="b">
        <f>IF(AND(I1188="TP",S1188&lt;=150),VLOOKUP(AF1188,TPCalibEq150!$AZ$2:$BB$55,3,),IF(AND(I1188="TDP",S1188&lt;=150),VLOOKUP(AF1188,TPCalibEq150!$AZ$2:$BB$55,3,)))</f>
        <v>0</v>
      </c>
      <c r="AR1188" s="10" t="b">
        <f>IF(AND(I1188="TP",S1188&lt;=300),VLOOKUP(AF1188,TPCalibEq300!$AZ$2:$BB$55,3,),IF(AND(I1188="TDP",S1188&lt;=300),VLOOKUP(AF1188,TPCalibEq300!$AZ$2:$BB$55,3,)))</f>
        <v>0</v>
      </c>
      <c r="AS1188" s="10" t="b">
        <f>IF(AND(I1188="TP",S1188&lt;=500),VLOOKUP(AF1188,TPCalibEq500!$AZ$2:$BB$56,3,),IF(AND(I1188="TDP",S1188&lt;=500),VLOOKUP(AF1188,TPCalibEq500!$AZ$2:$BB$56,3,)))</f>
        <v>0</v>
      </c>
      <c r="AT1188" s="10" t="b">
        <f>IF(AND(I1188="TN",S1188&lt;=2800),VLOOKUP(AF1188,TNCalibEq2500!$AZ$2:$BB$56,3,),IF(AND(I1188="TDN",S1188&lt;=2800),VLOOKUP(AF1188,TNCalibEq2500!$AZ$2:$BB$56,3,)))</f>
        <v>0</v>
      </c>
      <c r="AU1188" s="10" t="str">
        <f>IF(I1188="TP",VLOOKUP(AF1188,TPCalibEqFull!$AZ$2:$BB$56,3),IF(I1188="TDP",VLOOKUP(AF1188,TPCalibEqFull!$AZ$2:$BB$56,3),IF(I1188="TDN",VLOOKUP(AF1188,TNCalibEqFull!$AZ$1:$BB$56,3),IF(I1188="TN",VLOOKUP(AF1188,TNCalibEqFull!$AZ$1:$BB$56,3),FALSE))))</f>
        <v>y=0.4667x2+198.27x-98.12</v>
      </c>
      <c r="AV1188" s="10" t="str">
        <f t="shared" si="134"/>
        <v>0117 12:27:00-NWT-0-FIL-1-SW-SPK</v>
      </c>
    </row>
    <row r="1189" spans="1:48" s="10" customFormat="1" x14ac:dyDescent="0.55000000000000004">
      <c r="A1189" s="32">
        <v>44950</v>
      </c>
      <c r="B1189" s="33">
        <v>0.375</v>
      </c>
      <c r="C1189" s="10" t="s">
        <v>70</v>
      </c>
      <c r="D1189" s="10" t="s">
        <v>71</v>
      </c>
      <c r="E1189" s="10" t="s">
        <v>901</v>
      </c>
      <c r="F1189" s="10">
        <v>1</v>
      </c>
      <c r="G1189" s="10" t="s">
        <v>73</v>
      </c>
      <c r="H1189" s="10" t="s">
        <v>207</v>
      </c>
      <c r="I1189" s="10" t="s">
        <v>224</v>
      </c>
      <c r="J1189" s="10">
        <v>201</v>
      </c>
      <c r="K1189" s="12">
        <v>44950</v>
      </c>
      <c r="L1189" s="33">
        <v>0.64993055555555557</v>
      </c>
      <c r="M1189" s="10">
        <v>1</v>
      </c>
      <c r="N1189" s="10" t="s">
        <v>196</v>
      </c>
      <c r="O1189" s="10">
        <v>6.24</v>
      </c>
      <c r="P1189" s="10">
        <v>0.377</v>
      </c>
      <c r="Q1189" s="10">
        <v>1180</v>
      </c>
      <c r="R1189" s="10" t="s">
        <v>170</v>
      </c>
      <c r="S1189" s="34">
        <f t="shared" si="131"/>
        <v>1205.8912723200001</v>
      </c>
      <c r="T1189" s="10" t="s">
        <v>1068</v>
      </c>
      <c r="U1189" s="34">
        <f t="shared" si="132"/>
        <v>96.471301785600005</v>
      </c>
      <c r="V1189" s="31">
        <f>IF(H1189="CHK",VLOOKUP(I1189,QCCHK,3,),IF(H1189="GUP",VLOOKUP(E1189,QCGUP,2,),IF(AND(H1189="ATP",OR(I1189="TN",I1189="TDN",I1189="TNO2-3",I1189="NO2-3")),VLOOKUP(E1189,QCREC_N,2,),IF(AND(H1189="NIC",OR(I1189="TN",I1189="TDN",I1189="TNO2-3",I1189="NO2-3")),VLOOKUP(E1189,QCNIC_N,2,),IF(AND(H1189="UREA",OR(I1189="TN",I1189="TDN",I1189="TNO2-3",I1189="NO2-3")),VLOOKUP(E1189,QCUREA_N,2,),IF(H1189="PER",VLOOKUP(I1189,QCPER,MATCH(E1189,QCACTUAL!$J$25:$AA$25,0),),IF(H1189="SPK",VLOOKUP(I1189,QCSPK,3,),IF(AND(H1189="ATP",OR(I1189="TP",I1189="TDP")),VLOOKUP(E1189,QCATP_P,2,),""))))))))</f>
        <v>1250</v>
      </c>
      <c r="W1189" s="31" t="str">
        <f t="shared" si="133"/>
        <v>TRUE</v>
      </c>
      <c r="X1189" s="31" t="str">
        <f t="shared" si="130"/>
        <v>[chk]/[actual]*100</v>
      </c>
      <c r="Y1189" s="10" t="s">
        <v>1061</v>
      </c>
      <c r="AF1189" s="12">
        <v>44950</v>
      </c>
      <c r="AJ1189" s="10">
        <f>-1.2768*6.24^2+222.07*6.24-130.11</f>
        <v>1205.8912723200001</v>
      </c>
      <c r="AK1189" s="10">
        <f>0.4667*6.24^2+198.27*6.24-98.12</f>
        <v>1157.2569779200003</v>
      </c>
      <c r="AL1189" s="10" t="str">
        <f t="shared" si="135"/>
        <v>FALSE</v>
      </c>
      <c r="AM1189" s="10" t="str">
        <f t="shared" si="135"/>
        <v>FALSE</v>
      </c>
      <c r="AN1189" s="10" t="str">
        <f t="shared" si="135"/>
        <v>FALSE</v>
      </c>
      <c r="AO1189" s="10" t="str">
        <f t="shared" si="136"/>
        <v>y=-1.2768*6.24^2+222.07*6.24-130.11</v>
      </c>
      <c r="AP1189" s="10" t="str">
        <f t="shared" si="136"/>
        <v>y=0.4667*6.24^2+198.27*6.24-98.12</v>
      </c>
      <c r="AQ1189" s="10" t="b">
        <f>IF(AND(I1189="TP",S1189&lt;=150),VLOOKUP(AF1189,TPCalibEq150!$AZ$2:$BB$55,3,),IF(AND(I1189="TDP",S1189&lt;=150),VLOOKUP(AF1189,TPCalibEq150!$AZ$2:$BB$55,3,)))</f>
        <v>0</v>
      </c>
      <c r="AR1189" s="10" t="b">
        <f>IF(AND(I1189="TP",S1189&lt;=300),VLOOKUP(AF1189,TPCalibEq300!$AZ$2:$BB$55,3,),IF(AND(I1189="TDP",S1189&lt;=300),VLOOKUP(AF1189,TPCalibEq300!$AZ$2:$BB$55,3,)))</f>
        <v>0</v>
      </c>
      <c r="AS1189" s="10" t="b">
        <f>IF(AND(I1189="TP",S1189&lt;=500),VLOOKUP(AF1189,TPCalibEq500!$AZ$2:$BB$56,3,),IF(AND(I1189="TDP",S1189&lt;=500),VLOOKUP(AF1189,TPCalibEq500!$AZ$2:$BB$56,3,)))</f>
        <v>0</v>
      </c>
      <c r="AT1189" s="10" t="str">
        <f>IF(AND(I1189="TN",S1189&lt;=2800),VLOOKUP(AF1189,TNCalibEq2500!$AZ$2:$BB$56,3,),IF(AND(I1189="TDN",S1189&lt;=2800),VLOOKUP(AF1189,TNCalibEq2500!$AZ$2:$BB$56,3,)))</f>
        <v>y=-1.2768x2+222.07x-130.11</v>
      </c>
      <c r="AU1189" s="10" t="str">
        <f>IF(I1189="TP",VLOOKUP(AF1189,TPCalibEqFull!$AZ$2:$BB$56,3),IF(I1189="TDP",VLOOKUP(AF1189,TPCalibEqFull!$AZ$2:$BB$56,3),IF(I1189="TDN",VLOOKUP(AF1189,TNCalibEqFull!$AZ$1:$BB$56,3),IF(I1189="TN",VLOOKUP(AF1189,TNCalibEqFull!$AZ$1:$BB$56,3),FALSE))))</f>
        <v>y=0.4667x2+198.27x-98.12</v>
      </c>
      <c r="AV1189" s="10" t="str">
        <f t="shared" si="134"/>
        <v>0124 09:00:00-QAC-STD-D-1-DI-CHK</v>
      </c>
    </row>
    <row r="1190" spans="1:48" s="10" customFormat="1" x14ac:dyDescent="0.55000000000000004">
      <c r="A1190" s="32">
        <v>44950</v>
      </c>
      <c r="B1190" s="33">
        <v>0.375</v>
      </c>
      <c r="C1190" s="10" t="s">
        <v>70</v>
      </c>
      <c r="D1190" s="10" t="s">
        <v>71</v>
      </c>
      <c r="E1190" s="10" t="s">
        <v>917</v>
      </c>
      <c r="F1190" s="10">
        <v>1</v>
      </c>
      <c r="G1190" s="10" t="s">
        <v>73</v>
      </c>
      <c r="H1190" s="10" t="s">
        <v>74</v>
      </c>
      <c r="I1190" s="10" t="s">
        <v>83</v>
      </c>
      <c r="J1190" s="10">
        <v>181</v>
      </c>
      <c r="K1190" s="12">
        <v>44950</v>
      </c>
      <c r="L1190" s="33">
        <v>0.52407407407407403</v>
      </c>
      <c r="M1190" s="10">
        <v>1</v>
      </c>
      <c r="N1190" s="10" t="s">
        <v>84</v>
      </c>
      <c r="O1190" s="10">
        <v>0.439</v>
      </c>
      <c r="P1190" s="10">
        <v>2.92E-2</v>
      </c>
      <c r="Q1190" s="10">
        <v>0</v>
      </c>
      <c r="R1190" s="10" t="s">
        <v>85</v>
      </c>
      <c r="S1190" s="34">
        <f t="shared" si="131"/>
        <v>0</v>
      </c>
      <c r="T1190" s="10" t="s">
        <v>78</v>
      </c>
      <c r="U1190" s="34" t="str">
        <f t="shared" si="132"/>
        <v/>
      </c>
      <c r="V1190" s="31" t="str">
        <f>IF(H1190="CHK",VLOOKUP(I1190,QCCHK,3,),IF(H1190="GUP",VLOOKUP(E1190,QCGUP,2,),IF(AND(H1190="ATP",OR(I1190="TN",I1190="TDN",I1190="TNO2-3",I1190="NO2-3")),VLOOKUP(E1190,QCREC_N,2,),IF(AND(H1190="NIC",OR(I1190="TN",I1190="TDN",I1190="TNO2-3",I1190="NO2-3")),VLOOKUP(E1190,QCNIC_N,2,),IF(AND(H1190="UREA",OR(I1190="TN",I1190="TDN",I1190="TNO2-3",I1190="NO2-3")),VLOOKUP(E1190,QCUREA_N,2,),IF(H1190="PER",VLOOKUP(I1190,QCPER,MATCH(E1190,QCACTUAL!$J$25:$AA$25,0),),IF(H1190="SPK",VLOOKUP(I1190,QCSPK,3,),IF(AND(H1190="ATP",OR(I1190="TP",I1190="TDP")),VLOOKUP(E1190,QCATP_P,2,),""))))))))</f>
        <v/>
      </c>
      <c r="W1190" s="31" t="str">
        <f t="shared" si="133"/>
        <v>TRUE</v>
      </c>
      <c r="X1190" s="31" t="str">
        <f t="shared" si="130"/>
        <v/>
      </c>
      <c r="Y1190" s="10" t="s">
        <v>1071</v>
      </c>
      <c r="AF1190" s="12">
        <v>44950</v>
      </c>
      <c r="AG1190" s="10">
        <f>-5.8068*0.439^2+97.248*0.439-48.038</f>
        <v>-6.4652203027999917</v>
      </c>
      <c r="AH1190" s="10">
        <f>-3.008*0.439^2+89.412*0.439-44.125</f>
        <v>-5.4528367679999974</v>
      </c>
      <c r="AI1190" s="10">
        <f>2.2125*0.439^2+32.759*0.439-8.5751</f>
        <v>6.2324962124999992</v>
      </c>
      <c r="AK1190" s="10">
        <f>0.5642*0.439^2+45.477*0.439-20.207</f>
        <v>-0.13386381180000484</v>
      </c>
      <c r="AL1190" s="10" t="str">
        <f t="shared" si="135"/>
        <v>y=-5.8068*0.439^2+97.248*0.439-48.038</v>
      </c>
      <c r="AM1190" s="10" t="str">
        <f t="shared" si="135"/>
        <v>y=-3.008*0.439^2+89.412*0.439-44.125</v>
      </c>
      <c r="AN1190" s="10" t="str">
        <f t="shared" si="135"/>
        <v>y=2.2125*0.439^2+32.759*0.439-8.5751</v>
      </c>
      <c r="AO1190" s="10" t="str">
        <f t="shared" si="136"/>
        <v>FALSE</v>
      </c>
      <c r="AP1190" s="10" t="str">
        <f t="shared" si="136"/>
        <v>y=0.5642*0.439^2+45.477*0.439-20.207</v>
      </c>
      <c r="AQ1190" s="10" t="str">
        <f>IF(AND(I1190="TP",S1190&lt;=150),VLOOKUP(AF1190,TPCalibEq150!$AZ$2:$BB$55,3,),IF(AND(I1190="TDP",S1190&lt;=150),VLOOKUP(AF1190,TPCalibEq150!$AZ$2:$BB$55,3,)))</f>
        <v>y=-5.8068x2+97.248x-48.038</v>
      </c>
      <c r="AR1190" s="10" t="str">
        <f>IF(AND(I1190="TP",S1190&lt;=300),VLOOKUP(AF1190,TPCalibEq300!$AZ$2:$BB$55,3,),IF(AND(I1190="TDP",S1190&lt;=300),VLOOKUP(AF1190,TPCalibEq300!$AZ$2:$BB$55,3,)))</f>
        <v>y=-3.008x2+89.412x-44.125</v>
      </c>
      <c r="AS1190" s="10" t="str">
        <f>IF(AND(I1190="TP",S1190&lt;=500),VLOOKUP(AF1190,TPCalibEq500!$AZ$2:$BB$56,3,),IF(AND(I1190="TDP",S1190&lt;=500),VLOOKUP(AF1190,TPCalibEq500!$AZ$2:$BB$56,3,)))</f>
        <v>y=2.2125x2+32.759x-8.5751</v>
      </c>
      <c r="AT1190" s="10" t="b">
        <f>IF(AND(I1190="TN",S1190&lt;=2800),VLOOKUP(AF1190,TNCalibEq2500!$AZ$2:$BB$56,3,),IF(AND(I1190="TDN",S1190&lt;=2800),VLOOKUP(AF1190,TNCalibEq2500!$AZ$2:$BB$56,3,)))</f>
        <v>0</v>
      </c>
      <c r="AU1190" s="10" t="str">
        <f>IF(I1190="TP",VLOOKUP(AF1190,TPCalibEqFull!$AZ$2:$BB$56,3),IF(I1190="TDP",VLOOKUP(AF1190,TPCalibEqFull!$AZ$2:$BB$56,3),IF(I1190="TDN",VLOOKUP(AF1190,TNCalibEqFull!$AZ$1:$BB$56,3),IF(I1190="TN",VLOOKUP(AF1190,TNCalibEqFull!$AZ$1:$BB$56,3),FALSE))))</f>
        <v>y=0.5642x2+45.477x-20.207</v>
      </c>
      <c r="AV1190" s="10" t="str">
        <f t="shared" si="134"/>
        <v>0124 09:00:00-QAC-STD-D.H-1-DI-CAL</v>
      </c>
    </row>
    <row r="1191" spans="1:48" s="10" customFormat="1" x14ac:dyDescent="0.55000000000000004">
      <c r="A1191" s="32">
        <v>44950</v>
      </c>
      <c r="B1191" s="33">
        <v>0.375</v>
      </c>
      <c r="C1191" s="10" t="s">
        <v>70</v>
      </c>
      <c r="D1191" s="10" t="s">
        <v>71</v>
      </c>
      <c r="E1191" s="10" t="s">
        <v>918</v>
      </c>
      <c r="F1191" s="10">
        <v>1</v>
      </c>
      <c r="G1191" s="10" t="s">
        <v>73</v>
      </c>
      <c r="H1191" s="10" t="s">
        <v>74</v>
      </c>
      <c r="I1191" s="10" t="s">
        <v>83</v>
      </c>
      <c r="J1191" s="10">
        <v>182</v>
      </c>
      <c r="K1191" s="12">
        <v>44950</v>
      </c>
      <c r="L1191" s="33">
        <v>0.52478009259259262</v>
      </c>
      <c r="M1191" s="10">
        <v>1</v>
      </c>
      <c r="N1191" s="10" t="s">
        <v>84</v>
      </c>
      <c r="O1191" s="10">
        <v>4.62</v>
      </c>
      <c r="P1191" s="10">
        <v>0.33</v>
      </c>
      <c r="Q1191" s="10">
        <v>12</v>
      </c>
      <c r="R1191" s="10" t="s">
        <v>85</v>
      </c>
      <c r="S1191" s="34">
        <f t="shared" si="131"/>
        <v>12</v>
      </c>
      <c r="T1191" s="10" t="s">
        <v>78</v>
      </c>
      <c r="U1191" s="34" t="str">
        <f t="shared" si="132"/>
        <v/>
      </c>
      <c r="V1191" s="31" t="str">
        <f>IF(H1191="CHK",VLOOKUP(I1191,QCCHK,3,),IF(H1191="GUP",VLOOKUP(E1191,QCGUP,2,),IF(AND(H1191="ATP",OR(I1191="TN",I1191="TDN",I1191="TNO2-3",I1191="NO2-3")),VLOOKUP(E1191,QCREC_N,2,),IF(AND(H1191="NIC",OR(I1191="TN",I1191="TDN",I1191="TNO2-3",I1191="NO2-3")),VLOOKUP(E1191,QCNIC_N,2,),IF(AND(H1191="UREA",OR(I1191="TN",I1191="TDN",I1191="TNO2-3",I1191="NO2-3")),VLOOKUP(E1191,QCUREA_N,2,),IF(H1191="PER",VLOOKUP(I1191,QCPER,MATCH(E1191,QCACTUAL!$J$25:$AA$25,0),),IF(H1191="SPK",VLOOKUP(I1191,QCSPK,3,),IF(AND(H1191="ATP",OR(I1191="TP",I1191="TDP")),VLOOKUP(E1191,QCATP_P,2,),""))))))))</f>
        <v/>
      </c>
      <c r="W1191" s="31" t="str">
        <f t="shared" si="133"/>
        <v>TRUE</v>
      </c>
      <c r="X1191" s="31" t="str">
        <f t="shared" si="130"/>
        <v/>
      </c>
      <c r="Y1191" s="10" t="s">
        <v>1071</v>
      </c>
      <c r="AF1191" s="12">
        <v>44950</v>
      </c>
      <c r="AG1191" s="10">
        <f>-5.8068*4.62^2+97.248*4.62-48.038</f>
        <v>277.30509807999999</v>
      </c>
      <c r="AH1191" s="10">
        <f>-3.008*4.62^2+89.412*4.62-44.125</f>
        <v>304.75448480000006</v>
      </c>
      <c r="AI1191" s="10">
        <f>2.2125*4.62^2+32.759*4.62-8.5751</f>
        <v>189.99596500000004</v>
      </c>
      <c r="AK1191" s="10">
        <f>0.5642*4.62^2+45.477*4.62-20.207</f>
        <v>201.93925048</v>
      </c>
      <c r="AL1191" s="10" t="str">
        <f t="shared" ref="AL1191:AN1254" si="137">IF($O1191="", "", IF(AQ1191&lt;&gt;"", SUBSTITUTE(SUBSTITUTE(AQ1191, "x", "*"&amp;$O1191&amp;"^", 1), "x", "*"&amp;$O1191, 1), ""))</f>
        <v>y=-5.8068*4.62^2+97.248*4.62-48.038</v>
      </c>
      <c r="AM1191" s="10" t="str">
        <f t="shared" si="137"/>
        <v>y=-3.008*4.62^2+89.412*4.62-44.125</v>
      </c>
      <c r="AN1191" s="10" t="str">
        <f t="shared" si="137"/>
        <v>y=2.2125*4.62^2+32.759*4.62-8.5751</v>
      </c>
      <c r="AO1191" s="10" t="str">
        <f t="shared" ref="AO1191:AP1254" si="138">IF($O1191="", "FALSE", IF(AT1191&lt;&gt;"FALSE", SUBSTITUTE(SUBSTITUTE(AT1191, "x", "*"&amp;$O1191&amp;"^", 1), "x", "*"&amp;$O1191, 1), ""))</f>
        <v>FALSE</v>
      </c>
      <c r="AP1191" s="10" t="str">
        <f t="shared" si="138"/>
        <v>y=0.5642*4.62^2+45.477*4.62-20.207</v>
      </c>
      <c r="AQ1191" s="10" t="str">
        <f>IF(AND(I1191="TP",S1191&lt;=150),VLOOKUP(AF1191,TPCalibEq150!$AZ$2:$BB$55,3,),IF(AND(I1191="TDP",S1191&lt;=150),VLOOKUP(AF1191,TPCalibEq150!$AZ$2:$BB$55,3,)))</f>
        <v>y=-5.8068x2+97.248x-48.038</v>
      </c>
      <c r="AR1191" s="10" t="str">
        <f>IF(AND(I1191="TP",S1191&lt;=300),VLOOKUP(AF1191,TPCalibEq300!$AZ$2:$BB$55,3,),IF(AND(I1191="TDP",S1191&lt;=300),VLOOKUP(AF1191,TPCalibEq300!$AZ$2:$BB$55,3,)))</f>
        <v>y=-3.008x2+89.412x-44.125</v>
      </c>
      <c r="AS1191" s="10" t="str">
        <f>IF(AND(I1191="TP",S1191&lt;=500),VLOOKUP(AF1191,TPCalibEq500!$AZ$2:$BB$56,3,),IF(AND(I1191="TDP",S1191&lt;=500),VLOOKUP(AF1191,TPCalibEq500!$AZ$2:$BB$56,3,)))</f>
        <v>y=2.2125x2+32.759x-8.5751</v>
      </c>
      <c r="AT1191" s="10" t="b">
        <f>IF(AND(I1191="TN",S1191&lt;=2800),VLOOKUP(AF1191,TNCalibEq2500!$AZ$2:$BB$56,3,),IF(AND(I1191="TDN",S1191&lt;=2800),VLOOKUP(AF1191,TNCalibEq2500!$AZ$2:$BB$56,3,)))</f>
        <v>0</v>
      </c>
      <c r="AU1191" s="10" t="str">
        <f>IF(I1191="TP",VLOOKUP(AF1191,TPCalibEqFull!$AZ$2:$BB$56,3),IF(I1191="TDP",VLOOKUP(AF1191,TPCalibEqFull!$AZ$2:$BB$56,3),IF(I1191="TDN",VLOOKUP(AF1191,TNCalibEqFull!$AZ$1:$BB$56,3),IF(I1191="TN",VLOOKUP(AF1191,TNCalibEqFull!$AZ$1:$BB$56,3),FALSE))))</f>
        <v>y=0.5642x2+45.477x-20.207</v>
      </c>
      <c r="AV1191" s="10" t="str">
        <f t="shared" si="134"/>
        <v>0124 09:00:00-QAC-STD-D.G-1-DI-CAL</v>
      </c>
    </row>
    <row r="1192" spans="1:48" s="10" customFormat="1" x14ac:dyDescent="0.55000000000000004">
      <c r="A1192" s="32">
        <v>44950</v>
      </c>
      <c r="B1192" s="33">
        <v>0.375</v>
      </c>
      <c r="C1192" s="10" t="s">
        <v>70</v>
      </c>
      <c r="D1192" s="10" t="s">
        <v>71</v>
      </c>
      <c r="E1192" s="10" t="s">
        <v>919</v>
      </c>
      <c r="F1192" s="10">
        <v>1</v>
      </c>
      <c r="G1192" s="10" t="s">
        <v>73</v>
      </c>
      <c r="H1192" s="10" t="s">
        <v>74</v>
      </c>
      <c r="I1192" s="10" t="s">
        <v>83</v>
      </c>
      <c r="J1192" s="10">
        <v>183</v>
      </c>
      <c r="K1192" s="12">
        <v>44950</v>
      </c>
      <c r="L1192" s="33">
        <v>0.5254861111111111</v>
      </c>
      <c r="M1192" s="10">
        <v>1</v>
      </c>
      <c r="N1192" s="10" t="s">
        <v>84</v>
      </c>
      <c r="O1192" s="10">
        <v>3.37</v>
      </c>
      <c r="P1192" s="10">
        <v>0.24</v>
      </c>
      <c r="Q1192" s="10">
        <v>50</v>
      </c>
      <c r="R1192" s="10" t="s">
        <v>85</v>
      </c>
      <c r="S1192" s="34">
        <f t="shared" si="131"/>
        <v>50</v>
      </c>
      <c r="T1192" s="10" t="s">
        <v>1072</v>
      </c>
      <c r="U1192" s="34" t="str">
        <f t="shared" si="132"/>
        <v/>
      </c>
      <c r="V1192" s="31" t="str">
        <f>IF(H1192="CHK",VLOOKUP(I1192,QCCHK,3,),IF(H1192="GUP",VLOOKUP(E1192,QCGUP,2,),IF(AND(H1192="ATP",OR(I1192="TN",I1192="TDN",I1192="TNO2-3",I1192="NO2-3")),VLOOKUP(E1192,QCREC_N,2,),IF(AND(H1192="NIC",OR(I1192="TN",I1192="TDN",I1192="TNO2-3",I1192="NO2-3")),VLOOKUP(E1192,QCNIC_N,2,),IF(AND(H1192="UREA",OR(I1192="TN",I1192="TDN",I1192="TNO2-3",I1192="NO2-3")),VLOOKUP(E1192,QCUREA_N,2,),IF(H1192="PER",VLOOKUP(I1192,QCPER,MATCH(E1192,QCACTUAL!$J$25:$AA$25,0),),IF(H1192="SPK",VLOOKUP(I1192,QCSPK,3,),IF(AND(H1192="ATP",OR(I1192="TP",I1192="TDP")),VLOOKUP(E1192,QCATP_P,2,),""))))))))</f>
        <v/>
      </c>
      <c r="W1192" s="31" t="str">
        <f t="shared" si="133"/>
        <v>TRUE</v>
      </c>
      <c r="X1192" s="31" t="str">
        <f t="shared" si="130"/>
        <v/>
      </c>
      <c r="Y1192" s="10" t="s">
        <v>1071</v>
      </c>
      <c r="AF1192" s="12">
        <v>44950</v>
      </c>
      <c r="AG1192" s="10">
        <f>-5.8068*3.37^2+97.248*3.37-48.038</f>
        <v>213.74051308000003</v>
      </c>
      <c r="AH1192" s="10">
        <f>-3.008*3.37^2+89.412*3.37-44.125</f>
        <v>223.0318848</v>
      </c>
      <c r="AI1192" s="10">
        <f>2.2125*3.37^2+32.759*3.37-8.5751</f>
        <v>126.94987124999999</v>
      </c>
      <c r="AK1192" s="10">
        <f>0.5642*3.37^2+45.477*3.37-20.207</f>
        <v>139.45805297999999</v>
      </c>
      <c r="AL1192" s="10" t="str">
        <f t="shared" si="137"/>
        <v>y=-5.8068*3.37^2+97.248*3.37-48.038</v>
      </c>
      <c r="AM1192" s="10" t="str">
        <f t="shared" si="137"/>
        <v>y=-3.008*3.37^2+89.412*3.37-44.125</v>
      </c>
      <c r="AN1192" s="10" t="str">
        <f t="shared" si="137"/>
        <v>y=2.2125*3.37^2+32.759*3.37-8.5751</v>
      </c>
      <c r="AO1192" s="10" t="str">
        <f t="shared" si="138"/>
        <v>FALSE</v>
      </c>
      <c r="AP1192" s="10" t="str">
        <f t="shared" si="138"/>
        <v>y=0.5642*3.37^2+45.477*3.37-20.207</v>
      </c>
      <c r="AQ1192" s="10" t="str">
        <f>IF(AND(I1192="TP",S1192&lt;=150),VLOOKUP(AF1192,TPCalibEq150!$AZ$2:$BB$55,3,),IF(AND(I1192="TDP",S1192&lt;=150),VLOOKUP(AF1192,TPCalibEq150!$AZ$2:$BB$55,3,)))</f>
        <v>y=-5.8068x2+97.248x-48.038</v>
      </c>
      <c r="AR1192" s="10" t="str">
        <f>IF(AND(I1192="TP",S1192&lt;=300),VLOOKUP(AF1192,TPCalibEq300!$AZ$2:$BB$55,3,),IF(AND(I1192="TDP",S1192&lt;=300),VLOOKUP(AF1192,TPCalibEq300!$AZ$2:$BB$55,3,)))</f>
        <v>y=-3.008x2+89.412x-44.125</v>
      </c>
      <c r="AS1192" s="10" t="str">
        <f>IF(AND(I1192="TP",S1192&lt;=500),VLOOKUP(AF1192,TPCalibEq500!$AZ$2:$BB$56,3,),IF(AND(I1192="TDP",S1192&lt;=500),VLOOKUP(AF1192,TPCalibEq500!$AZ$2:$BB$56,3,)))</f>
        <v>y=2.2125x2+32.759x-8.5751</v>
      </c>
      <c r="AT1192" s="10" t="b">
        <f>IF(AND(I1192="TN",S1192&lt;=2800),VLOOKUP(AF1192,TNCalibEq2500!$AZ$2:$BB$56,3,),IF(AND(I1192="TDN",S1192&lt;=2800),VLOOKUP(AF1192,TNCalibEq2500!$AZ$2:$BB$56,3,)))</f>
        <v>0</v>
      </c>
      <c r="AU1192" s="10" t="str">
        <f>IF(I1192="TP",VLOOKUP(AF1192,TPCalibEqFull!$AZ$2:$BB$56,3),IF(I1192="TDP",VLOOKUP(AF1192,TPCalibEqFull!$AZ$2:$BB$56,3),IF(I1192="TDN",VLOOKUP(AF1192,TNCalibEqFull!$AZ$1:$BB$56,3),IF(I1192="TN",VLOOKUP(AF1192,TNCalibEqFull!$AZ$1:$BB$56,3),FALSE))))</f>
        <v>y=0.5642x2+45.477x-20.207</v>
      </c>
      <c r="AV1192" s="10" t="str">
        <f t="shared" si="134"/>
        <v>0124 09:00:00-QAC-STD-D.F-1-DI-CAL</v>
      </c>
    </row>
    <row r="1193" spans="1:48" s="10" customFormat="1" x14ac:dyDescent="0.55000000000000004">
      <c r="A1193" s="32">
        <v>44950</v>
      </c>
      <c r="B1193" s="33">
        <v>0.375</v>
      </c>
      <c r="C1193" s="10" t="s">
        <v>70</v>
      </c>
      <c r="D1193" s="10" t="s">
        <v>71</v>
      </c>
      <c r="E1193" s="10" t="s">
        <v>920</v>
      </c>
      <c r="F1193" s="10">
        <v>1</v>
      </c>
      <c r="G1193" s="10" t="s">
        <v>73</v>
      </c>
      <c r="H1193" s="10" t="s">
        <v>74</v>
      </c>
      <c r="I1193" s="10" t="s">
        <v>83</v>
      </c>
      <c r="J1193" s="10">
        <v>184</v>
      </c>
      <c r="K1193" s="12">
        <v>44950</v>
      </c>
      <c r="L1193" s="33">
        <v>0.52619212962962958</v>
      </c>
      <c r="M1193" s="10">
        <v>1</v>
      </c>
      <c r="N1193" s="10" t="s">
        <v>84</v>
      </c>
      <c r="O1193" s="10">
        <v>5.38</v>
      </c>
      <c r="P1193" s="10">
        <v>0.39100000000000001</v>
      </c>
      <c r="Q1193" s="10">
        <v>200</v>
      </c>
      <c r="R1193" s="10" t="s">
        <v>85</v>
      </c>
      <c r="S1193" s="34">
        <f t="shared" si="131"/>
        <v>200</v>
      </c>
      <c r="T1193" s="10" t="s">
        <v>1073</v>
      </c>
      <c r="U1193" s="34" t="str">
        <f t="shared" si="132"/>
        <v/>
      </c>
      <c r="V1193" s="31" t="str">
        <f>IF(H1193="CHK",VLOOKUP(I1193,QCCHK,3,),IF(H1193="GUP",VLOOKUP(E1193,QCGUP,2,),IF(AND(H1193="ATP",OR(I1193="TN",I1193="TDN",I1193="TNO2-3",I1193="NO2-3")),VLOOKUP(E1193,QCREC_N,2,),IF(AND(H1193="NIC",OR(I1193="TN",I1193="TDN",I1193="TNO2-3",I1193="NO2-3")),VLOOKUP(E1193,QCNIC_N,2,),IF(AND(H1193="UREA",OR(I1193="TN",I1193="TDN",I1193="TNO2-3",I1193="NO2-3")),VLOOKUP(E1193,QCUREA_N,2,),IF(H1193="PER",VLOOKUP(I1193,QCPER,MATCH(E1193,QCACTUAL!$J$25:$AA$25,0),),IF(H1193="SPK",VLOOKUP(I1193,QCSPK,3,),IF(AND(H1193="ATP",OR(I1193="TP",I1193="TDP")),VLOOKUP(E1193,QCATP_P,2,),""))))))))</f>
        <v/>
      </c>
      <c r="W1193" s="31" t="str">
        <f t="shared" si="133"/>
        <v>TRUE</v>
      </c>
      <c r="X1193" s="31" t="str">
        <f t="shared" si="130"/>
        <v/>
      </c>
      <c r="Y1193" s="10" t="s">
        <v>1071</v>
      </c>
      <c r="AF1193" s="12">
        <v>44950</v>
      </c>
      <c r="AH1193" s="10">
        <f>-3.008*5.38^2+89.412*5.38-44.125</f>
        <v>349.84680480000003</v>
      </c>
      <c r="AI1193" s="10">
        <f>2.2125*5.38^2+32.759*5.38-8.5751</f>
        <v>231.70780499999998</v>
      </c>
      <c r="AK1193" s="10">
        <f>0.5642*5.38^2+45.477*5.38-20.207</f>
        <v>240.78969047999999</v>
      </c>
      <c r="AL1193" s="10" t="str">
        <f t="shared" si="137"/>
        <v>FALSE</v>
      </c>
      <c r="AM1193" s="10" t="str">
        <f t="shared" si="137"/>
        <v>y=-3.008*5.38^2+89.412*5.38-44.125</v>
      </c>
      <c r="AN1193" s="10" t="str">
        <f t="shared" si="137"/>
        <v>y=2.2125*5.38^2+32.759*5.38-8.5751</v>
      </c>
      <c r="AO1193" s="10" t="str">
        <f t="shared" si="138"/>
        <v>FALSE</v>
      </c>
      <c r="AP1193" s="10" t="str">
        <f t="shared" si="138"/>
        <v>y=0.5642*5.38^2+45.477*5.38-20.207</v>
      </c>
      <c r="AQ1193" s="10" t="b">
        <f>IF(AND(I1193="TP",S1193&lt;=150),VLOOKUP(AF1193,TPCalibEq150!$AZ$2:$BB$55,3,),IF(AND(I1193="TDP",S1193&lt;=150),VLOOKUP(AF1193,TPCalibEq150!$AZ$2:$BB$55,3,)))</f>
        <v>0</v>
      </c>
      <c r="AR1193" s="10" t="str">
        <f>IF(AND(I1193="TP",S1193&lt;=300),VLOOKUP(AF1193,TPCalibEq300!$AZ$2:$BB$55,3,),IF(AND(I1193="TDP",S1193&lt;=300),VLOOKUP(AF1193,TPCalibEq300!$AZ$2:$BB$55,3,)))</f>
        <v>y=-3.008x2+89.412x-44.125</v>
      </c>
      <c r="AS1193" s="10" t="str">
        <f>IF(AND(I1193="TP",S1193&lt;=500),VLOOKUP(AF1193,TPCalibEq500!$AZ$2:$BB$56,3,),IF(AND(I1193="TDP",S1193&lt;=500),VLOOKUP(AF1193,TPCalibEq500!$AZ$2:$BB$56,3,)))</f>
        <v>y=2.2125x2+32.759x-8.5751</v>
      </c>
      <c r="AT1193" s="10" t="b">
        <f>IF(AND(I1193="TN",S1193&lt;=2800),VLOOKUP(AF1193,TNCalibEq2500!$AZ$2:$BB$56,3,),IF(AND(I1193="TDN",S1193&lt;=2800),VLOOKUP(AF1193,TNCalibEq2500!$AZ$2:$BB$56,3,)))</f>
        <v>0</v>
      </c>
      <c r="AU1193" s="10" t="str">
        <f>IF(I1193="TP",VLOOKUP(AF1193,TPCalibEqFull!$AZ$2:$BB$56,3),IF(I1193="TDP",VLOOKUP(AF1193,TPCalibEqFull!$AZ$2:$BB$56,3),IF(I1193="TDN",VLOOKUP(AF1193,TNCalibEqFull!$AZ$1:$BB$56,3),IF(I1193="TN",VLOOKUP(AF1193,TNCalibEqFull!$AZ$1:$BB$56,3),FALSE))))</f>
        <v>y=0.5642x2+45.477x-20.207</v>
      </c>
      <c r="AV1193" s="10" t="str">
        <f t="shared" si="134"/>
        <v>0124 09:00:00-QAC-STD-D.E-1-DI-CAL</v>
      </c>
    </row>
    <row r="1194" spans="1:48" s="10" customFormat="1" x14ac:dyDescent="0.55000000000000004">
      <c r="A1194" s="32">
        <v>44950</v>
      </c>
      <c r="B1194" s="33">
        <v>0.375</v>
      </c>
      <c r="C1194" s="10" t="s">
        <v>70</v>
      </c>
      <c r="D1194" s="10" t="s">
        <v>71</v>
      </c>
      <c r="E1194" s="10" t="s">
        <v>921</v>
      </c>
      <c r="F1194" s="10">
        <v>1</v>
      </c>
      <c r="G1194" s="10" t="s">
        <v>73</v>
      </c>
      <c r="H1194" s="10" t="s">
        <v>74</v>
      </c>
      <c r="I1194" s="10" t="s">
        <v>83</v>
      </c>
      <c r="J1194" s="10">
        <v>185</v>
      </c>
      <c r="K1194" s="12">
        <v>44950</v>
      </c>
      <c r="L1194" s="33">
        <v>0.52689814814814817</v>
      </c>
      <c r="M1194" s="10">
        <v>1</v>
      </c>
      <c r="N1194" s="10" t="s">
        <v>84</v>
      </c>
      <c r="O1194" s="10">
        <v>10.1</v>
      </c>
      <c r="P1194" s="10">
        <v>0.73099999999999998</v>
      </c>
      <c r="Q1194" s="10">
        <v>500</v>
      </c>
      <c r="R1194" s="10" t="s">
        <v>85</v>
      </c>
      <c r="S1194" s="34">
        <f t="shared" si="131"/>
        <v>500</v>
      </c>
      <c r="T1194" s="10" t="s">
        <v>1074</v>
      </c>
      <c r="U1194" s="34" t="str">
        <f t="shared" si="132"/>
        <v/>
      </c>
      <c r="V1194" s="31" t="str">
        <f>IF(H1194="CHK",VLOOKUP(I1194,QCCHK,3,),IF(H1194="GUP",VLOOKUP(E1194,QCGUP,2,),IF(AND(H1194="ATP",OR(I1194="TN",I1194="TDN",I1194="TNO2-3",I1194="NO2-3")),VLOOKUP(E1194,QCREC_N,2,),IF(AND(H1194="NIC",OR(I1194="TN",I1194="TDN",I1194="TNO2-3",I1194="NO2-3")),VLOOKUP(E1194,QCNIC_N,2,),IF(AND(H1194="UREA",OR(I1194="TN",I1194="TDN",I1194="TNO2-3",I1194="NO2-3")),VLOOKUP(E1194,QCUREA_N,2,),IF(H1194="PER",VLOOKUP(I1194,QCPER,MATCH(E1194,QCACTUAL!$J$25:$AA$25,0),),IF(H1194="SPK",VLOOKUP(I1194,QCSPK,3,),IF(AND(H1194="ATP",OR(I1194="TP",I1194="TDP")),VLOOKUP(E1194,QCATP_P,2,),""))))))))</f>
        <v/>
      </c>
      <c r="W1194" s="31" t="str">
        <f t="shared" si="133"/>
        <v>TRUE</v>
      </c>
      <c r="X1194" s="31" t="str">
        <f t="shared" si="130"/>
        <v/>
      </c>
      <c r="Y1194" s="10" t="s">
        <v>1071</v>
      </c>
      <c r="AF1194" s="12">
        <v>44950</v>
      </c>
      <c r="AI1194" s="10">
        <f>2.2125*10.1^2+32.759*10.1-8.5751</f>
        <v>547.9879249999999</v>
      </c>
      <c r="AK1194" s="10">
        <f>0.5642*10.1^2+45.477*10.1-20.207</f>
        <v>496.66474199999993</v>
      </c>
      <c r="AL1194" s="10" t="str">
        <f t="shared" si="137"/>
        <v>FALSE</v>
      </c>
      <c r="AM1194" s="10" t="str">
        <f t="shared" si="137"/>
        <v>FALSE</v>
      </c>
      <c r="AN1194" s="10" t="str">
        <f t="shared" si="137"/>
        <v>y=2.2125*10.1^2+32.759*10.1-8.5751</v>
      </c>
      <c r="AO1194" s="10" t="str">
        <f t="shared" si="138"/>
        <v>FALSE</v>
      </c>
      <c r="AP1194" s="10" t="str">
        <f t="shared" si="138"/>
        <v>y=0.5642*10.1^2+45.477*10.1-20.207</v>
      </c>
      <c r="AQ1194" s="10" t="b">
        <f>IF(AND(I1194="TP",S1194&lt;=150),VLOOKUP(AF1194,TPCalibEq150!$AZ$2:$BB$55,3,),IF(AND(I1194="TDP",S1194&lt;=150),VLOOKUP(AF1194,TPCalibEq150!$AZ$2:$BB$55,3,)))</f>
        <v>0</v>
      </c>
      <c r="AR1194" s="10" t="b">
        <f>IF(AND(I1194="TP",S1194&lt;=300),VLOOKUP(AF1194,TPCalibEq300!$AZ$2:$BB$55,3,),IF(AND(I1194="TDP",S1194&lt;=300),VLOOKUP(AF1194,TPCalibEq300!$AZ$2:$BB$55,3,)))</f>
        <v>0</v>
      </c>
      <c r="AS1194" s="10" t="str">
        <f>IF(AND(I1194="TP",S1194&lt;=500),VLOOKUP(AF1194,TPCalibEq500!$AZ$2:$BB$56,3,),IF(AND(I1194="TDP",S1194&lt;=500),VLOOKUP(AF1194,TPCalibEq500!$AZ$2:$BB$56,3,)))</f>
        <v>y=2.2125x2+32.759x-8.5751</v>
      </c>
      <c r="AT1194" s="10" t="b">
        <f>IF(AND(I1194="TN",S1194&lt;=2800),VLOOKUP(AF1194,TNCalibEq2500!$AZ$2:$BB$56,3,),IF(AND(I1194="TDN",S1194&lt;=2800),VLOOKUP(AF1194,TNCalibEq2500!$AZ$2:$BB$56,3,)))</f>
        <v>0</v>
      </c>
      <c r="AU1194" s="10" t="str">
        <f>IF(I1194="TP",VLOOKUP(AF1194,TPCalibEqFull!$AZ$2:$BB$56,3),IF(I1194="TDP",VLOOKUP(AF1194,TPCalibEqFull!$AZ$2:$BB$56,3),IF(I1194="TDN",VLOOKUP(AF1194,TNCalibEqFull!$AZ$1:$BB$56,3),IF(I1194="TN",VLOOKUP(AF1194,TNCalibEqFull!$AZ$1:$BB$56,3),FALSE))))</f>
        <v>y=0.5642x2+45.477x-20.207</v>
      </c>
      <c r="AV1194" s="10" t="str">
        <f t="shared" si="134"/>
        <v>0124 09:00:00-QAC-STD-D.D-1-DI-CAL</v>
      </c>
    </row>
    <row r="1195" spans="1:48" s="10" customFormat="1" x14ac:dyDescent="0.55000000000000004">
      <c r="A1195" s="32">
        <v>44950</v>
      </c>
      <c r="B1195" s="33">
        <v>0.375</v>
      </c>
      <c r="C1195" s="10" t="s">
        <v>70</v>
      </c>
      <c r="D1195" s="10" t="s">
        <v>71</v>
      </c>
      <c r="E1195" s="10" t="s">
        <v>922</v>
      </c>
      <c r="F1195" s="10">
        <v>1</v>
      </c>
      <c r="G1195" s="10" t="s">
        <v>73</v>
      </c>
      <c r="H1195" s="10" t="s">
        <v>74</v>
      </c>
      <c r="I1195" s="10" t="s">
        <v>83</v>
      </c>
      <c r="J1195" s="10">
        <v>186</v>
      </c>
      <c r="K1195" s="12">
        <v>44950</v>
      </c>
      <c r="L1195" s="33">
        <v>0.52760416666666665</v>
      </c>
      <c r="M1195" s="10">
        <v>1</v>
      </c>
      <c r="N1195" s="10" t="s">
        <v>84</v>
      </c>
      <c r="O1195" s="10">
        <v>19.399999999999999</v>
      </c>
      <c r="P1195" s="10">
        <v>1.39</v>
      </c>
      <c r="Q1195" s="10">
        <v>1000</v>
      </c>
      <c r="R1195" s="10" t="s">
        <v>85</v>
      </c>
      <c r="S1195" s="34">
        <f t="shared" si="131"/>
        <v>1000</v>
      </c>
      <c r="T1195" s="10" t="s">
        <v>1075</v>
      </c>
      <c r="U1195" s="34" t="str">
        <f t="shared" si="132"/>
        <v/>
      </c>
      <c r="V1195" s="31" t="str">
        <f>IF(H1195="CHK",VLOOKUP(I1195,QCCHK,3,),IF(H1195="GUP",VLOOKUP(E1195,QCGUP,2,),IF(AND(H1195="ATP",OR(I1195="TN",I1195="TDN",I1195="TNO2-3",I1195="NO2-3")),VLOOKUP(E1195,QCREC_N,2,),IF(AND(H1195="NIC",OR(I1195="TN",I1195="TDN",I1195="TNO2-3",I1195="NO2-3")),VLOOKUP(E1195,QCNIC_N,2,),IF(AND(H1195="UREA",OR(I1195="TN",I1195="TDN",I1195="TNO2-3",I1195="NO2-3")),VLOOKUP(E1195,QCUREA_N,2,),IF(H1195="PER",VLOOKUP(I1195,QCPER,MATCH(E1195,QCACTUAL!$J$25:$AA$25,0),),IF(H1195="SPK",VLOOKUP(I1195,QCSPK,3,),IF(AND(H1195="ATP",OR(I1195="TP",I1195="TDP")),VLOOKUP(E1195,QCATP_P,2,),""))))))))</f>
        <v/>
      </c>
      <c r="W1195" s="31" t="str">
        <f t="shared" si="133"/>
        <v>TRUE</v>
      </c>
      <c r="X1195" s="31" t="str">
        <f t="shared" si="130"/>
        <v/>
      </c>
      <c r="Y1195" s="10" t="s">
        <v>1071</v>
      </c>
      <c r="AF1195" s="12">
        <v>44950</v>
      </c>
      <c r="AK1195" s="10">
        <f>0.5642*19.4^2+45.477*19.4-20.207</f>
        <v>1074.3891119999996</v>
      </c>
      <c r="AL1195" s="10" t="str">
        <f t="shared" si="137"/>
        <v>FALSE</v>
      </c>
      <c r="AM1195" s="10" t="str">
        <f t="shared" si="137"/>
        <v>FALSE</v>
      </c>
      <c r="AN1195" s="10" t="str">
        <f t="shared" si="137"/>
        <v>FALSE</v>
      </c>
      <c r="AO1195" s="10" t="str">
        <f t="shared" si="138"/>
        <v>FALSE</v>
      </c>
      <c r="AP1195" s="10" t="str">
        <f t="shared" si="138"/>
        <v>y=0.5642*19.4^2+45.477*19.4-20.207</v>
      </c>
      <c r="AQ1195" s="10" t="b">
        <f>IF(AND(I1195="TP",S1195&lt;=150),VLOOKUP(AF1195,TPCalibEq150!$AZ$2:$BB$55,3,),IF(AND(I1195="TDP",S1195&lt;=150),VLOOKUP(AF1195,TPCalibEq150!$AZ$2:$BB$55,3,)))</f>
        <v>0</v>
      </c>
      <c r="AR1195" s="10" t="b">
        <f>IF(AND(I1195="TP",S1195&lt;=300),VLOOKUP(AF1195,TPCalibEq300!$AZ$2:$BB$55,3,),IF(AND(I1195="TDP",S1195&lt;=300),VLOOKUP(AF1195,TPCalibEq300!$AZ$2:$BB$55,3,)))</f>
        <v>0</v>
      </c>
      <c r="AS1195" s="10" t="b">
        <f>IF(AND(I1195="TP",S1195&lt;=500),VLOOKUP(AF1195,TPCalibEq500!$AZ$2:$BB$56,3,),IF(AND(I1195="TDP",S1195&lt;=500),VLOOKUP(AF1195,TPCalibEq500!$AZ$2:$BB$56,3,)))</f>
        <v>0</v>
      </c>
      <c r="AT1195" s="10" t="b">
        <f>IF(AND(I1195="TN",S1195&lt;=2800),VLOOKUP(AF1195,TNCalibEq2500!$AZ$2:$BB$56,3,),IF(AND(I1195="TDN",S1195&lt;=2800),VLOOKUP(AF1195,TNCalibEq2500!$AZ$2:$BB$56,3,)))</f>
        <v>0</v>
      </c>
      <c r="AU1195" s="10" t="str">
        <f>IF(I1195="TP",VLOOKUP(AF1195,TPCalibEqFull!$AZ$2:$BB$56,3),IF(I1195="TDP",VLOOKUP(AF1195,TPCalibEqFull!$AZ$2:$BB$56,3),IF(I1195="TDN",VLOOKUP(AF1195,TNCalibEqFull!$AZ$1:$BB$56,3),IF(I1195="TN",VLOOKUP(AF1195,TNCalibEqFull!$AZ$1:$BB$56,3),FALSE))))</f>
        <v>y=0.5642x2+45.477x-20.207</v>
      </c>
      <c r="AV1195" s="10" t="str">
        <f t="shared" si="134"/>
        <v>0124 09:00:00-QAC-STD-D.C-1-DI-CAL</v>
      </c>
    </row>
    <row r="1196" spans="1:48" s="10" customFormat="1" x14ac:dyDescent="0.55000000000000004">
      <c r="A1196" s="32">
        <v>44950</v>
      </c>
      <c r="B1196" s="33">
        <v>0.375</v>
      </c>
      <c r="C1196" s="10" t="s">
        <v>70</v>
      </c>
      <c r="D1196" s="10" t="s">
        <v>71</v>
      </c>
      <c r="E1196" s="10" t="s">
        <v>923</v>
      </c>
      <c r="F1196" s="10">
        <v>1</v>
      </c>
      <c r="G1196" s="10" t="s">
        <v>73</v>
      </c>
      <c r="H1196" s="10" t="s">
        <v>74</v>
      </c>
      <c r="I1196" s="10" t="s">
        <v>83</v>
      </c>
      <c r="J1196" s="10">
        <v>187</v>
      </c>
      <c r="K1196" s="12">
        <v>44950</v>
      </c>
      <c r="L1196" s="33">
        <v>0.52831018518518513</v>
      </c>
      <c r="M1196" s="10">
        <v>1</v>
      </c>
      <c r="N1196" s="10" t="s">
        <v>84</v>
      </c>
      <c r="O1196" s="10">
        <v>24.6</v>
      </c>
      <c r="P1196" s="10">
        <v>1.74</v>
      </c>
      <c r="Q1196" s="10">
        <v>1500</v>
      </c>
      <c r="R1196" s="10" t="s">
        <v>85</v>
      </c>
      <c r="S1196" s="34">
        <f t="shared" si="131"/>
        <v>1500</v>
      </c>
      <c r="T1196" s="10" t="s">
        <v>1076</v>
      </c>
      <c r="U1196" s="34" t="str">
        <f t="shared" si="132"/>
        <v/>
      </c>
      <c r="V1196" s="31" t="str">
        <f>IF(H1196="CHK",VLOOKUP(I1196,QCCHK,3,),IF(H1196="GUP",VLOOKUP(E1196,QCGUP,2,),IF(AND(H1196="ATP",OR(I1196="TN",I1196="TDN",I1196="TNO2-3",I1196="NO2-3")),VLOOKUP(E1196,QCREC_N,2,),IF(AND(H1196="NIC",OR(I1196="TN",I1196="TDN",I1196="TNO2-3",I1196="NO2-3")),VLOOKUP(E1196,QCNIC_N,2,),IF(AND(H1196="UREA",OR(I1196="TN",I1196="TDN",I1196="TNO2-3",I1196="NO2-3")),VLOOKUP(E1196,QCUREA_N,2,),IF(H1196="PER",VLOOKUP(I1196,QCPER,MATCH(E1196,QCACTUAL!$J$25:$AA$25,0),),IF(H1196="SPK",VLOOKUP(I1196,QCSPK,3,),IF(AND(H1196="ATP",OR(I1196="TP",I1196="TDP")),VLOOKUP(E1196,QCATP_P,2,),""))))))))</f>
        <v/>
      </c>
      <c r="W1196" s="31" t="str">
        <f t="shared" si="133"/>
        <v>TRUE</v>
      </c>
      <c r="X1196" s="31" t="str">
        <f t="shared" si="130"/>
        <v/>
      </c>
      <c r="Y1196" s="10" t="s">
        <v>1071</v>
      </c>
      <c r="AF1196" s="12">
        <v>44950</v>
      </c>
      <c r="AK1196" s="10">
        <f>0.5642*24.6^2+45.477*24.6-20.207</f>
        <v>1439.9584719999998</v>
      </c>
      <c r="AL1196" s="10" t="str">
        <f t="shared" si="137"/>
        <v>FALSE</v>
      </c>
      <c r="AM1196" s="10" t="str">
        <f t="shared" si="137"/>
        <v>FALSE</v>
      </c>
      <c r="AN1196" s="10" t="str">
        <f t="shared" si="137"/>
        <v>FALSE</v>
      </c>
      <c r="AO1196" s="10" t="str">
        <f t="shared" si="138"/>
        <v>FALSE</v>
      </c>
      <c r="AP1196" s="10" t="str">
        <f t="shared" si="138"/>
        <v>y=0.5642*24.6^2+45.477*24.6-20.207</v>
      </c>
      <c r="AQ1196" s="10" t="b">
        <f>IF(AND(I1196="TP",S1196&lt;=150),VLOOKUP(AF1196,TPCalibEq150!$AZ$2:$BB$55,3,),IF(AND(I1196="TDP",S1196&lt;=150),VLOOKUP(AF1196,TPCalibEq150!$AZ$2:$BB$55,3,)))</f>
        <v>0</v>
      </c>
      <c r="AR1196" s="10" t="b">
        <f>IF(AND(I1196="TP",S1196&lt;=300),VLOOKUP(AF1196,TPCalibEq300!$AZ$2:$BB$55,3,),IF(AND(I1196="TDP",S1196&lt;=300),VLOOKUP(AF1196,TPCalibEq300!$AZ$2:$BB$55,3,)))</f>
        <v>0</v>
      </c>
      <c r="AS1196" s="10" t="b">
        <f>IF(AND(I1196="TP",S1196&lt;=500),VLOOKUP(AF1196,TPCalibEq500!$AZ$2:$BB$56,3,),IF(AND(I1196="TDP",S1196&lt;=500),VLOOKUP(AF1196,TPCalibEq500!$AZ$2:$BB$56,3,)))</f>
        <v>0</v>
      </c>
      <c r="AT1196" s="10" t="b">
        <f>IF(AND(I1196="TN",S1196&lt;=2800),VLOOKUP(AF1196,TNCalibEq2500!$AZ$2:$BB$56,3,),IF(AND(I1196="TDN",S1196&lt;=2800),VLOOKUP(AF1196,TNCalibEq2500!$AZ$2:$BB$56,3,)))</f>
        <v>0</v>
      </c>
      <c r="AU1196" s="10" t="str">
        <f>IF(I1196="TP",VLOOKUP(AF1196,TPCalibEqFull!$AZ$2:$BB$56,3),IF(I1196="TDP",VLOOKUP(AF1196,TPCalibEqFull!$AZ$2:$BB$56,3),IF(I1196="TDN",VLOOKUP(AF1196,TNCalibEqFull!$AZ$1:$BB$56,3),IF(I1196="TN",VLOOKUP(AF1196,TNCalibEqFull!$AZ$1:$BB$56,3),FALSE))))</f>
        <v>y=0.5642x2+45.477x-20.207</v>
      </c>
      <c r="AV1196" s="10" t="str">
        <f t="shared" si="134"/>
        <v>0124 09:00:00-QAC-STD-D.B-1-DI-CAL</v>
      </c>
    </row>
    <row r="1197" spans="1:48" s="10" customFormat="1" x14ac:dyDescent="0.55000000000000004">
      <c r="A1197" s="32">
        <v>44950</v>
      </c>
      <c r="B1197" s="33">
        <v>0.375</v>
      </c>
      <c r="C1197" s="10" t="s">
        <v>70</v>
      </c>
      <c r="D1197" s="10" t="s">
        <v>71</v>
      </c>
      <c r="E1197" s="10" t="s">
        <v>924</v>
      </c>
      <c r="F1197" s="10">
        <v>1</v>
      </c>
      <c r="G1197" s="10" t="s">
        <v>73</v>
      </c>
      <c r="H1197" s="10" t="s">
        <v>74</v>
      </c>
      <c r="I1197" s="10" t="s">
        <v>83</v>
      </c>
      <c r="J1197" s="10">
        <v>188</v>
      </c>
      <c r="K1197" s="12">
        <v>44950</v>
      </c>
      <c r="L1197" s="33">
        <v>0.52901620370370372</v>
      </c>
      <c r="M1197" s="10">
        <v>1</v>
      </c>
      <c r="N1197" s="10" t="s">
        <v>84</v>
      </c>
      <c r="O1197" s="10">
        <v>32</v>
      </c>
      <c r="P1197" s="10">
        <v>2.2599999999999998</v>
      </c>
      <c r="Q1197" s="10">
        <v>2000</v>
      </c>
      <c r="R1197" s="10" t="s">
        <v>85</v>
      </c>
      <c r="S1197" s="34">
        <f t="shared" si="131"/>
        <v>2000</v>
      </c>
      <c r="T1197" s="10" t="s">
        <v>1077</v>
      </c>
      <c r="U1197" s="34" t="str">
        <f t="shared" si="132"/>
        <v/>
      </c>
      <c r="V1197" s="31" t="str">
        <f>IF(H1197="CHK",VLOOKUP(I1197,QCCHK,3,),IF(H1197="GUP",VLOOKUP(E1197,QCGUP,2,),IF(AND(H1197="ATP",OR(I1197="TN",I1197="TDN",I1197="TNO2-3",I1197="NO2-3")),VLOOKUP(E1197,QCREC_N,2,),IF(AND(H1197="NIC",OR(I1197="TN",I1197="TDN",I1197="TNO2-3",I1197="NO2-3")),VLOOKUP(E1197,QCNIC_N,2,),IF(AND(H1197="UREA",OR(I1197="TN",I1197="TDN",I1197="TNO2-3",I1197="NO2-3")),VLOOKUP(E1197,QCUREA_N,2,),IF(H1197="PER",VLOOKUP(I1197,QCPER,MATCH(E1197,QCACTUAL!$J$25:$AA$25,0),),IF(H1197="SPK",VLOOKUP(I1197,QCSPK,3,),IF(AND(H1197="ATP",OR(I1197="TP",I1197="TDP")),VLOOKUP(E1197,QCATP_P,2,),""))))))))</f>
        <v/>
      </c>
      <c r="W1197" s="31" t="str">
        <f t="shared" si="133"/>
        <v>TRUE</v>
      </c>
      <c r="X1197" s="31" t="str">
        <f t="shared" si="130"/>
        <v/>
      </c>
      <c r="Y1197" s="10" t="s">
        <v>1071</v>
      </c>
      <c r="AF1197" s="12">
        <v>44950</v>
      </c>
      <c r="AK1197" s="10">
        <f>0.5642*32^2+45.477*32-20.207</f>
        <v>2012.7977999999998</v>
      </c>
      <c r="AL1197" s="10" t="str">
        <f t="shared" si="137"/>
        <v>FALSE</v>
      </c>
      <c r="AM1197" s="10" t="str">
        <f t="shared" si="137"/>
        <v>FALSE</v>
      </c>
      <c r="AN1197" s="10" t="str">
        <f t="shared" si="137"/>
        <v>FALSE</v>
      </c>
      <c r="AO1197" s="10" t="str">
        <f t="shared" si="138"/>
        <v>FALSE</v>
      </c>
      <c r="AP1197" s="10" t="str">
        <f t="shared" si="138"/>
        <v>y=0.5642*32^2+45.477*32-20.207</v>
      </c>
      <c r="AQ1197" s="10" t="b">
        <f>IF(AND(I1197="TP",S1197&lt;=150),VLOOKUP(AF1197,TPCalibEq150!$AZ$2:$BB$55,3,),IF(AND(I1197="TDP",S1197&lt;=150),VLOOKUP(AF1197,TPCalibEq150!$AZ$2:$BB$55,3,)))</f>
        <v>0</v>
      </c>
      <c r="AR1197" s="10" t="b">
        <f>IF(AND(I1197="TP",S1197&lt;=300),VLOOKUP(AF1197,TPCalibEq300!$AZ$2:$BB$55,3,),IF(AND(I1197="TDP",S1197&lt;=300),VLOOKUP(AF1197,TPCalibEq300!$AZ$2:$BB$55,3,)))</f>
        <v>0</v>
      </c>
      <c r="AS1197" s="10" t="b">
        <f>IF(AND(I1197="TP",S1197&lt;=500),VLOOKUP(AF1197,TPCalibEq500!$AZ$2:$BB$56,3,),IF(AND(I1197="TDP",S1197&lt;=500),VLOOKUP(AF1197,TPCalibEq500!$AZ$2:$BB$56,3,)))</f>
        <v>0</v>
      </c>
      <c r="AT1197" s="10" t="b">
        <f>IF(AND(I1197="TN",S1197&lt;=2800),VLOOKUP(AF1197,TNCalibEq2500!$AZ$2:$BB$56,3,),IF(AND(I1197="TDN",S1197&lt;=2800),VLOOKUP(AF1197,TNCalibEq2500!$AZ$2:$BB$56,3,)))</f>
        <v>0</v>
      </c>
      <c r="AU1197" s="10" t="str">
        <f>IF(I1197="TP",VLOOKUP(AF1197,TPCalibEqFull!$AZ$2:$BB$56,3),IF(I1197="TDP",VLOOKUP(AF1197,TPCalibEqFull!$AZ$2:$BB$56,3),IF(I1197="TDN",VLOOKUP(AF1197,TNCalibEqFull!$AZ$1:$BB$56,3),IF(I1197="TN",VLOOKUP(AF1197,TNCalibEqFull!$AZ$1:$BB$56,3),FALSE))))</f>
        <v>y=0.5642x2+45.477x-20.207</v>
      </c>
      <c r="AV1197" s="10" t="str">
        <f t="shared" si="134"/>
        <v>0124 09:00:00-QAC-STD-D.A-1-DI-CAL</v>
      </c>
    </row>
    <row r="1198" spans="1:48" s="10" customFormat="1" x14ac:dyDescent="0.55000000000000004">
      <c r="A1198" s="32">
        <v>44950</v>
      </c>
      <c r="B1198" s="33">
        <v>0.375</v>
      </c>
      <c r="C1198" s="10" t="s">
        <v>70</v>
      </c>
      <c r="D1198" s="10" t="s">
        <v>71</v>
      </c>
      <c r="E1198" s="10" t="s">
        <v>925</v>
      </c>
      <c r="F1198" s="10">
        <v>1</v>
      </c>
      <c r="G1198" s="10" t="s">
        <v>73</v>
      </c>
      <c r="H1198" s="10" t="s">
        <v>74</v>
      </c>
      <c r="I1198" s="10" t="s">
        <v>83</v>
      </c>
      <c r="J1198" s="10">
        <v>189</v>
      </c>
      <c r="K1198" s="12">
        <v>44950</v>
      </c>
      <c r="L1198" s="33">
        <v>0.52972222222222221</v>
      </c>
      <c r="M1198" s="10">
        <v>1</v>
      </c>
      <c r="N1198" s="10" t="s">
        <v>84</v>
      </c>
      <c r="O1198" s="10">
        <v>0.55200000000000005</v>
      </c>
      <c r="P1198" s="10">
        <v>3.6799999999999999E-2</v>
      </c>
      <c r="Q1198" s="10">
        <v>0</v>
      </c>
      <c r="R1198" s="10" t="s">
        <v>85</v>
      </c>
      <c r="S1198" s="34">
        <f t="shared" si="131"/>
        <v>0</v>
      </c>
      <c r="T1198" s="10" t="s">
        <v>1078</v>
      </c>
      <c r="U1198" s="34" t="str">
        <f t="shared" si="132"/>
        <v/>
      </c>
      <c r="V1198" s="31" t="str">
        <f>IF(H1198="CHK",VLOOKUP(I1198,QCCHK,3,),IF(H1198="GUP",VLOOKUP(E1198,QCGUP,2,),IF(AND(H1198="ATP",OR(I1198="TN",I1198="TDN",I1198="TNO2-3",I1198="NO2-3")),VLOOKUP(E1198,QCREC_N,2,),IF(AND(H1198="NIC",OR(I1198="TN",I1198="TDN",I1198="TNO2-3",I1198="NO2-3")),VLOOKUP(E1198,QCNIC_N,2,),IF(AND(H1198="UREA",OR(I1198="TN",I1198="TDN",I1198="TNO2-3",I1198="NO2-3")),VLOOKUP(E1198,QCUREA_N,2,),IF(H1198="PER",VLOOKUP(I1198,QCPER,MATCH(E1198,QCACTUAL!$J$25:$AA$25,0),),IF(H1198="SPK",VLOOKUP(I1198,QCSPK,3,),IF(AND(H1198="ATP",OR(I1198="TP",I1198="TDP")),VLOOKUP(E1198,QCATP_P,2,),""))))))))</f>
        <v/>
      </c>
      <c r="W1198" s="31" t="str">
        <f t="shared" si="133"/>
        <v>TRUE</v>
      </c>
      <c r="X1198" s="31" t="str">
        <f t="shared" si="130"/>
        <v/>
      </c>
      <c r="Y1198" s="10" t="s">
        <v>1071</v>
      </c>
      <c r="AF1198" s="12">
        <v>44950</v>
      </c>
      <c r="AG1198" s="10">
        <f>-5.8068*0.552^2+97.248*0.552-48.038</f>
        <v>3.8735408128000088</v>
      </c>
      <c r="AH1198" s="10">
        <f>-3.008*0.552^2+89.412*0.552-44.125</f>
        <v>4.3138743680000076</v>
      </c>
      <c r="AI1198" s="10">
        <f>2.2125*0.552^2+32.759*0.552-8.5751</f>
        <v>10.182025600000001</v>
      </c>
      <c r="AK1198" s="10">
        <f>0.5642*0.552^2+45.477*0.552-20.207</f>
        <v>5.0682179968000014</v>
      </c>
      <c r="AL1198" s="10" t="str">
        <f t="shared" si="137"/>
        <v>y=-5.8068*0.552^2+97.248*0.552-48.038</v>
      </c>
      <c r="AM1198" s="10" t="str">
        <f t="shared" si="137"/>
        <v>y=-3.008*0.552^2+89.412*0.552-44.125</v>
      </c>
      <c r="AN1198" s="10" t="str">
        <f t="shared" si="137"/>
        <v>y=2.2125*0.552^2+32.759*0.552-8.5751</v>
      </c>
      <c r="AO1198" s="10" t="str">
        <f t="shared" si="138"/>
        <v>FALSE</v>
      </c>
      <c r="AP1198" s="10" t="str">
        <f t="shared" si="138"/>
        <v>y=0.5642*0.552^2+45.477*0.552-20.207</v>
      </c>
      <c r="AQ1198" s="10" t="str">
        <f>IF(AND(I1198="TP",S1198&lt;=150),VLOOKUP(AF1198,TPCalibEq150!$AZ$2:$BB$55,3,),IF(AND(I1198="TDP",S1198&lt;=150),VLOOKUP(AF1198,TPCalibEq150!$AZ$2:$BB$55,3,)))</f>
        <v>y=-5.8068x2+97.248x-48.038</v>
      </c>
      <c r="AR1198" s="10" t="str">
        <f>IF(AND(I1198="TP",S1198&lt;=300),VLOOKUP(AF1198,TPCalibEq300!$AZ$2:$BB$55,3,),IF(AND(I1198="TDP",S1198&lt;=300),VLOOKUP(AF1198,TPCalibEq300!$AZ$2:$BB$55,3,)))</f>
        <v>y=-3.008x2+89.412x-44.125</v>
      </c>
      <c r="AS1198" s="10" t="str">
        <f>IF(AND(I1198="TP",S1198&lt;=500),VLOOKUP(AF1198,TPCalibEq500!$AZ$2:$BB$56,3,),IF(AND(I1198="TDP",S1198&lt;=500),VLOOKUP(AF1198,TPCalibEq500!$AZ$2:$BB$56,3,)))</f>
        <v>y=2.2125x2+32.759x-8.5751</v>
      </c>
      <c r="AT1198" s="10" t="b">
        <f>IF(AND(I1198="TN",S1198&lt;=2800),VLOOKUP(AF1198,TNCalibEq2500!$AZ$2:$BB$56,3,),IF(AND(I1198="TDN",S1198&lt;=2800),VLOOKUP(AF1198,TNCalibEq2500!$AZ$2:$BB$56,3,)))</f>
        <v>0</v>
      </c>
      <c r="AU1198" s="10" t="str">
        <f>IF(I1198="TP",VLOOKUP(AF1198,TPCalibEqFull!$AZ$2:$BB$56,3),IF(I1198="TDP",VLOOKUP(AF1198,TPCalibEqFull!$AZ$2:$BB$56,3),IF(I1198="TDN",VLOOKUP(AF1198,TNCalibEqFull!$AZ$1:$BB$56,3),IF(I1198="TN",VLOOKUP(AF1198,TNCalibEqFull!$AZ$1:$BB$56,3),FALSE))))</f>
        <v>y=0.5642x2+45.477x-20.207</v>
      </c>
      <c r="AV1198" s="10" t="str">
        <f t="shared" si="134"/>
        <v>0124 09:00:00-QAC-STD-Q.H-1-DI-CAL</v>
      </c>
    </row>
    <row r="1199" spans="1:48" s="10" customFormat="1" x14ac:dyDescent="0.55000000000000004">
      <c r="A1199" s="32">
        <v>44950</v>
      </c>
      <c r="B1199" s="33">
        <v>0.375</v>
      </c>
      <c r="C1199" s="10" t="s">
        <v>70</v>
      </c>
      <c r="D1199" s="10" t="s">
        <v>71</v>
      </c>
      <c r="E1199" s="10" t="s">
        <v>926</v>
      </c>
      <c r="F1199" s="10">
        <v>1</v>
      </c>
      <c r="G1199" s="10" t="s">
        <v>73</v>
      </c>
      <c r="H1199" s="10" t="s">
        <v>74</v>
      </c>
      <c r="I1199" s="10" t="s">
        <v>83</v>
      </c>
      <c r="J1199" s="10">
        <v>190</v>
      </c>
      <c r="K1199" s="12">
        <v>44950</v>
      </c>
      <c r="L1199" s="33">
        <v>0.53043981481481484</v>
      </c>
      <c r="M1199" s="10">
        <v>1</v>
      </c>
      <c r="N1199" s="10" t="s">
        <v>84</v>
      </c>
      <c r="O1199" s="10">
        <v>0.55400000000000005</v>
      </c>
      <c r="P1199" s="10">
        <v>3.7199999999999997E-2</v>
      </c>
      <c r="Q1199" s="10">
        <v>5</v>
      </c>
      <c r="R1199" s="10" t="s">
        <v>85</v>
      </c>
      <c r="S1199" s="34">
        <f t="shared" si="131"/>
        <v>5</v>
      </c>
      <c r="T1199" s="10" t="s">
        <v>1079</v>
      </c>
      <c r="U1199" s="34" t="str">
        <f t="shared" si="132"/>
        <v/>
      </c>
      <c r="V1199" s="31" t="str">
        <f>IF(H1199="CHK",VLOOKUP(I1199,QCCHK,3,),IF(H1199="GUP",VLOOKUP(E1199,QCGUP,2,),IF(AND(H1199="ATP",OR(I1199="TN",I1199="TDN",I1199="TNO2-3",I1199="NO2-3")),VLOOKUP(E1199,QCREC_N,2,),IF(AND(H1199="NIC",OR(I1199="TN",I1199="TDN",I1199="TNO2-3",I1199="NO2-3")),VLOOKUP(E1199,QCNIC_N,2,),IF(AND(H1199="UREA",OR(I1199="TN",I1199="TDN",I1199="TNO2-3",I1199="NO2-3")),VLOOKUP(E1199,QCUREA_N,2,),IF(H1199="PER",VLOOKUP(I1199,QCPER,MATCH(E1199,QCACTUAL!$J$25:$AA$25,0),),IF(H1199="SPK",VLOOKUP(I1199,QCSPK,3,),IF(AND(H1199="ATP",OR(I1199="TP",I1199="TDP")),VLOOKUP(E1199,QCATP_P,2,),""))))))))</f>
        <v/>
      </c>
      <c r="W1199" s="31" t="str">
        <f t="shared" si="133"/>
        <v>TRUE</v>
      </c>
      <c r="X1199" s="31" t="str">
        <f t="shared" si="130"/>
        <v/>
      </c>
      <c r="Y1199" s="10" t="s">
        <v>1071</v>
      </c>
      <c r="AF1199" s="12">
        <v>44950</v>
      </c>
      <c r="AG1199" s="10">
        <f>-5.8068*0.554^2+97.248*0.554-48.038</f>
        <v>4.0551921712000052</v>
      </c>
      <c r="AH1199" s="10">
        <f>-3.008*0.554^2+89.412*0.554-44.125</f>
        <v>4.4860446720000056</v>
      </c>
      <c r="AI1199" s="10">
        <f>2.2125*0.554^2+32.759*0.554-8.5751</f>
        <v>10.252437650000003</v>
      </c>
      <c r="AK1199" s="10">
        <f>0.5642*0.554^2+45.477*0.554-20.207</f>
        <v>5.160420007199999</v>
      </c>
      <c r="AL1199" s="10" t="str">
        <f t="shared" si="137"/>
        <v>y=-5.8068*0.554^2+97.248*0.554-48.038</v>
      </c>
      <c r="AM1199" s="10" t="str">
        <f t="shared" si="137"/>
        <v>y=-3.008*0.554^2+89.412*0.554-44.125</v>
      </c>
      <c r="AN1199" s="10" t="str">
        <f t="shared" si="137"/>
        <v>y=2.2125*0.554^2+32.759*0.554-8.5751</v>
      </c>
      <c r="AO1199" s="10" t="str">
        <f t="shared" si="138"/>
        <v>FALSE</v>
      </c>
      <c r="AP1199" s="10" t="str">
        <f t="shared" si="138"/>
        <v>y=0.5642*0.554^2+45.477*0.554-20.207</v>
      </c>
      <c r="AQ1199" s="10" t="str">
        <f>IF(AND(I1199="TP",S1199&lt;=150),VLOOKUP(AF1199,TPCalibEq150!$AZ$2:$BB$55,3,),IF(AND(I1199="TDP",S1199&lt;=150),VLOOKUP(AF1199,TPCalibEq150!$AZ$2:$BB$55,3,)))</f>
        <v>y=-5.8068x2+97.248x-48.038</v>
      </c>
      <c r="AR1199" s="10" t="str">
        <f>IF(AND(I1199="TP",S1199&lt;=300),VLOOKUP(AF1199,TPCalibEq300!$AZ$2:$BB$55,3,),IF(AND(I1199="TDP",S1199&lt;=300),VLOOKUP(AF1199,TPCalibEq300!$AZ$2:$BB$55,3,)))</f>
        <v>y=-3.008x2+89.412x-44.125</v>
      </c>
      <c r="AS1199" s="10" t="str">
        <f>IF(AND(I1199="TP",S1199&lt;=500),VLOOKUP(AF1199,TPCalibEq500!$AZ$2:$BB$56,3,),IF(AND(I1199="TDP",S1199&lt;=500),VLOOKUP(AF1199,TPCalibEq500!$AZ$2:$BB$56,3,)))</f>
        <v>y=2.2125x2+32.759x-8.5751</v>
      </c>
      <c r="AT1199" s="10" t="b">
        <f>IF(AND(I1199="TN",S1199&lt;=2800),VLOOKUP(AF1199,TNCalibEq2500!$AZ$2:$BB$56,3,),IF(AND(I1199="TDN",S1199&lt;=2800),VLOOKUP(AF1199,TNCalibEq2500!$AZ$2:$BB$56,3,)))</f>
        <v>0</v>
      </c>
      <c r="AU1199" s="10" t="str">
        <f>IF(I1199="TP",VLOOKUP(AF1199,TPCalibEqFull!$AZ$2:$BB$56,3),IF(I1199="TDP",VLOOKUP(AF1199,TPCalibEqFull!$AZ$2:$BB$56,3),IF(I1199="TDN",VLOOKUP(AF1199,TNCalibEqFull!$AZ$1:$BB$56,3),IF(I1199="TN",VLOOKUP(AF1199,TNCalibEqFull!$AZ$1:$BB$56,3),FALSE))))</f>
        <v>y=0.5642x2+45.477x-20.207</v>
      </c>
      <c r="AV1199" s="10" t="str">
        <f t="shared" si="134"/>
        <v>0124 09:00:00-QAC-STD-Q.G-1-DI-CAL</v>
      </c>
    </row>
    <row r="1200" spans="1:48" s="10" customFormat="1" x14ac:dyDescent="0.55000000000000004">
      <c r="A1200" s="32">
        <v>44950</v>
      </c>
      <c r="B1200" s="33">
        <v>0.375</v>
      </c>
      <c r="C1200" s="10" t="s">
        <v>70</v>
      </c>
      <c r="D1200" s="10" t="s">
        <v>71</v>
      </c>
      <c r="E1200" s="10" t="s">
        <v>927</v>
      </c>
      <c r="F1200" s="10">
        <v>1</v>
      </c>
      <c r="G1200" s="10" t="s">
        <v>73</v>
      </c>
      <c r="H1200" s="10" t="s">
        <v>74</v>
      </c>
      <c r="I1200" s="10" t="s">
        <v>83</v>
      </c>
      <c r="J1200" s="10">
        <v>191</v>
      </c>
      <c r="K1200" s="12">
        <v>44950</v>
      </c>
      <c r="L1200" s="33">
        <v>0.53113425925925928</v>
      </c>
      <c r="M1200" s="10">
        <v>1</v>
      </c>
      <c r="N1200" s="10" t="s">
        <v>84</v>
      </c>
      <c r="O1200" s="10">
        <v>0.64900000000000002</v>
      </c>
      <c r="P1200" s="10">
        <v>4.3400000000000001E-2</v>
      </c>
      <c r="Q1200" s="10">
        <v>15</v>
      </c>
      <c r="R1200" s="10" t="s">
        <v>85</v>
      </c>
      <c r="S1200" s="34">
        <f t="shared" si="131"/>
        <v>15</v>
      </c>
      <c r="T1200" s="10" t="s">
        <v>1080</v>
      </c>
      <c r="U1200" s="34" t="str">
        <f t="shared" si="132"/>
        <v/>
      </c>
      <c r="V1200" s="31" t="str">
        <f>IF(H1200="CHK",VLOOKUP(I1200,QCCHK,3,),IF(H1200="GUP",VLOOKUP(E1200,QCGUP,2,),IF(AND(H1200="ATP",OR(I1200="TN",I1200="TDN",I1200="TNO2-3",I1200="NO2-3")),VLOOKUP(E1200,QCREC_N,2,),IF(AND(H1200="NIC",OR(I1200="TN",I1200="TDN",I1200="TNO2-3",I1200="NO2-3")),VLOOKUP(E1200,QCNIC_N,2,),IF(AND(H1200="UREA",OR(I1200="TN",I1200="TDN",I1200="TNO2-3",I1200="NO2-3")),VLOOKUP(E1200,QCUREA_N,2,),IF(H1200="PER",VLOOKUP(I1200,QCPER,MATCH(E1200,QCACTUAL!$J$25:$AA$25,0),),IF(H1200="SPK",VLOOKUP(I1200,QCSPK,3,),IF(AND(H1200="ATP",OR(I1200="TP",I1200="TDP")),VLOOKUP(E1200,QCATP_P,2,),""))))))))</f>
        <v/>
      </c>
      <c r="W1200" s="31" t="str">
        <f t="shared" si="133"/>
        <v>TRUE</v>
      </c>
      <c r="X1200" s="31" t="str">
        <f t="shared" si="130"/>
        <v/>
      </c>
      <c r="Y1200" s="10" t="s">
        <v>1071</v>
      </c>
      <c r="AF1200" s="12">
        <v>44950</v>
      </c>
      <c r="AG1200" s="10">
        <f>-5.8068*0.649^2+97.248*0.649-48.038</f>
        <v>12.63012203320001</v>
      </c>
      <c r="AH1200" s="10">
        <f>-3.008*0.649^2+89.412*0.649-44.125</f>
        <v>12.636415392000004</v>
      </c>
      <c r="AI1200" s="10">
        <f>2.2125*0.649^2+32.759*0.649-8.5751</f>
        <v>13.617398212500001</v>
      </c>
      <c r="AK1200" s="10">
        <f>0.5642*0.649^2+45.477*0.649-20.207</f>
        <v>9.5452146041999981</v>
      </c>
      <c r="AL1200" s="10" t="str">
        <f t="shared" si="137"/>
        <v>y=-5.8068*0.649^2+97.248*0.649-48.038</v>
      </c>
      <c r="AM1200" s="10" t="str">
        <f t="shared" si="137"/>
        <v>y=-3.008*0.649^2+89.412*0.649-44.125</v>
      </c>
      <c r="AN1200" s="10" t="str">
        <f t="shared" si="137"/>
        <v>y=2.2125*0.649^2+32.759*0.649-8.5751</v>
      </c>
      <c r="AO1200" s="10" t="str">
        <f t="shared" si="138"/>
        <v>FALSE</v>
      </c>
      <c r="AP1200" s="10" t="str">
        <f t="shared" si="138"/>
        <v>y=0.5642*0.649^2+45.477*0.649-20.207</v>
      </c>
      <c r="AQ1200" s="10" t="str">
        <f>IF(AND(I1200="TP",S1200&lt;=150),VLOOKUP(AF1200,TPCalibEq150!$AZ$2:$BB$55,3,),IF(AND(I1200="TDP",S1200&lt;=150),VLOOKUP(AF1200,TPCalibEq150!$AZ$2:$BB$55,3,)))</f>
        <v>y=-5.8068x2+97.248x-48.038</v>
      </c>
      <c r="AR1200" s="10" t="str">
        <f>IF(AND(I1200="TP",S1200&lt;=300),VLOOKUP(AF1200,TPCalibEq300!$AZ$2:$BB$55,3,),IF(AND(I1200="TDP",S1200&lt;=300),VLOOKUP(AF1200,TPCalibEq300!$AZ$2:$BB$55,3,)))</f>
        <v>y=-3.008x2+89.412x-44.125</v>
      </c>
      <c r="AS1200" s="10" t="str">
        <f>IF(AND(I1200="TP",S1200&lt;=500),VLOOKUP(AF1200,TPCalibEq500!$AZ$2:$BB$56,3,),IF(AND(I1200="TDP",S1200&lt;=500),VLOOKUP(AF1200,TPCalibEq500!$AZ$2:$BB$56,3,)))</f>
        <v>y=2.2125x2+32.759x-8.5751</v>
      </c>
      <c r="AT1200" s="10" t="b">
        <f>IF(AND(I1200="TN",S1200&lt;=2800),VLOOKUP(AF1200,TNCalibEq2500!$AZ$2:$BB$56,3,),IF(AND(I1200="TDN",S1200&lt;=2800),VLOOKUP(AF1200,TNCalibEq2500!$AZ$2:$BB$56,3,)))</f>
        <v>0</v>
      </c>
      <c r="AU1200" s="10" t="str">
        <f>IF(I1200="TP",VLOOKUP(AF1200,TPCalibEqFull!$AZ$2:$BB$56,3),IF(I1200="TDP",VLOOKUP(AF1200,TPCalibEqFull!$AZ$2:$BB$56,3),IF(I1200="TDN",VLOOKUP(AF1200,TNCalibEqFull!$AZ$1:$BB$56,3),IF(I1200="TN",VLOOKUP(AF1200,TNCalibEqFull!$AZ$1:$BB$56,3),FALSE))))</f>
        <v>y=0.5642x2+45.477x-20.207</v>
      </c>
      <c r="AV1200" s="10" t="str">
        <f t="shared" si="134"/>
        <v>0124 09:00:00-QAC-STD-Q.F-1-DI-CAL</v>
      </c>
    </row>
    <row r="1201" spans="1:48" s="10" customFormat="1" x14ac:dyDescent="0.55000000000000004">
      <c r="A1201" s="32">
        <v>44950</v>
      </c>
      <c r="B1201" s="33">
        <v>0.375</v>
      </c>
      <c r="C1201" s="10" t="s">
        <v>70</v>
      </c>
      <c r="D1201" s="10" t="s">
        <v>71</v>
      </c>
      <c r="E1201" s="10" t="s">
        <v>928</v>
      </c>
      <c r="F1201" s="10">
        <v>1</v>
      </c>
      <c r="G1201" s="10" t="s">
        <v>73</v>
      </c>
      <c r="H1201" s="10" t="s">
        <v>74</v>
      </c>
      <c r="I1201" s="10" t="s">
        <v>83</v>
      </c>
      <c r="J1201" s="10">
        <v>192</v>
      </c>
      <c r="K1201" s="12">
        <v>44950</v>
      </c>
      <c r="L1201" s="33">
        <v>0.53185185185185191</v>
      </c>
      <c r="M1201" s="10">
        <v>1</v>
      </c>
      <c r="N1201" s="10" t="s">
        <v>84</v>
      </c>
      <c r="O1201" s="10">
        <v>0.71699999999999997</v>
      </c>
      <c r="P1201" s="10">
        <v>4.8500000000000001E-2</v>
      </c>
      <c r="Q1201" s="10">
        <v>20</v>
      </c>
      <c r="R1201" s="10" t="s">
        <v>85</v>
      </c>
      <c r="S1201" s="34">
        <f t="shared" si="131"/>
        <v>20</v>
      </c>
      <c r="T1201" s="10" t="s">
        <v>1081</v>
      </c>
      <c r="U1201" s="34" t="str">
        <f t="shared" si="132"/>
        <v/>
      </c>
      <c r="V1201" s="31" t="str">
        <f>IF(H1201="CHK",VLOOKUP(I1201,QCCHK,3,),IF(H1201="GUP",VLOOKUP(E1201,QCGUP,2,),IF(AND(H1201="ATP",OR(I1201="TN",I1201="TDN",I1201="TNO2-3",I1201="NO2-3")),VLOOKUP(E1201,QCREC_N,2,),IF(AND(H1201="NIC",OR(I1201="TN",I1201="TDN",I1201="TNO2-3",I1201="NO2-3")),VLOOKUP(E1201,QCNIC_N,2,),IF(AND(H1201="UREA",OR(I1201="TN",I1201="TDN",I1201="TNO2-3",I1201="NO2-3")),VLOOKUP(E1201,QCUREA_N,2,),IF(H1201="PER",VLOOKUP(I1201,QCPER,MATCH(E1201,QCACTUAL!$J$25:$AA$25,0),),IF(H1201="SPK",VLOOKUP(I1201,QCSPK,3,),IF(AND(H1201="ATP",OR(I1201="TP",I1201="TDP")),VLOOKUP(E1201,QCATP_P,2,),""))))))))</f>
        <v/>
      </c>
      <c r="W1201" s="31" t="str">
        <f t="shared" si="133"/>
        <v>TRUE</v>
      </c>
      <c r="X1201" s="31" t="str">
        <f t="shared" si="130"/>
        <v/>
      </c>
      <c r="Y1201" s="10" t="s">
        <v>1071</v>
      </c>
      <c r="AF1201" s="12">
        <v>44950</v>
      </c>
      <c r="AG1201" s="10">
        <f>-5.8068*0.717^2+97.248*0.717-48.038</f>
        <v>18.703603994800005</v>
      </c>
      <c r="AH1201" s="10">
        <f>-3.008*0.717^2+89.412*0.717-44.125</f>
        <v>18.437024288000011</v>
      </c>
      <c r="AI1201" s="10">
        <f>2.2125*0.717^2+32.759*0.717-8.5751</f>
        <v>16.050524912499995</v>
      </c>
      <c r="AK1201" s="10">
        <f>0.5642*0.717^2+45.477*0.717-20.207</f>
        <v>12.690058013799998</v>
      </c>
      <c r="AL1201" s="10" t="str">
        <f t="shared" si="137"/>
        <v>y=-5.8068*0.717^2+97.248*0.717-48.038</v>
      </c>
      <c r="AM1201" s="10" t="str">
        <f t="shared" si="137"/>
        <v>y=-3.008*0.717^2+89.412*0.717-44.125</v>
      </c>
      <c r="AN1201" s="10" t="str">
        <f t="shared" si="137"/>
        <v>y=2.2125*0.717^2+32.759*0.717-8.5751</v>
      </c>
      <c r="AO1201" s="10" t="str">
        <f t="shared" si="138"/>
        <v>FALSE</v>
      </c>
      <c r="AP1201" s="10" t="str">
        <f t="shared" si="138"/>
        <v>y=0.5642*0.717^2+45.477*0.717-20.207</v>
      </c>
      <c r="AQ1201" s="10" t="str">
        <f>IF(AND(I1201="TP",S1201&lt;=150),VLOOKUP(AF1201,TPCalibEq150!$AZ$2:$BB$55,3,),IF(AND(I1201="TDP",S1201&lt;=150),VLOOKUP(AF1201,TPCalibEq150!$AZ$2:$BB$55,3,)))</f>
        <v>y=-5.8068x2+97.248x-48.038</v>
      </c>
      <c r="AR1201" s="10" t="str">
        <f>IF(AND(I1201="TP",S1201&lt;=300),VLOOKUP(AF1201,TPCalibEq300!$AZ$2:$BB$55,3,),IF(AND(I1201="TDP",S1201&lt;=300),VLOOKUP(AF1201,TPCalibEq300!$AZ$2:$BB$55,3,)))</f>
        <v>y=-3.008x2+89.412x-44.125</v>
      </c>
      <c r="AS1201" s="10" t="str">
        <f>IF(AND(I1201="TP",S1201&lt;=500),VLOOKUP(AF1201,TPCalibEq500!$AZ$2:$BB$56,3,),IF(AND(I1201="TDP",S1201&lt;=500),VLOOKUP(AF1201,TPCalibEq500!$AZ$2:$BB$56,3,)))</f>
        <v>y=2.2125x2+32.759x-8.5751</v>
      </c>
      <c r="AT1201" s="10" t="b">
        <f>IF(AND(I1201="TN",S1201&lt;=2800),VLOOKUP(AF1201,TNCalibEq2500!$AZ$2:$BB$56,3,),IF(AND(I1201="TDN",S1201&lt;=2800),VLOOKUP(AF1201,TNCalibEq2500!$AZ$2:$BB$56,3,)))</f>
        <v>0</v>
      </c>
      <c r="AU1201" s="10" t="str">
        <f>IF(I1201="TP",VLOOKUP(AF1201,TPCalibEqFull!$AZ$2:$BB$56,3),IF(I1201="TDP",VLOOKUP(AF1201,TPCalibEqFull!$AZ$2:$BB$56,3),IF(I1201="TDN",VLOOKUP(AF1201,TNCalibEqFull!$AZ$1:$BB$56,3),IF(I1201="TN",VLOOKUP(AF1201,TNCalibEqFull!$AZ$1:$BB$56,3),FALSE))))</f>
        <v>y=0.5642x2+45.477x-20.207</v>
      </c>
      <c r="AV1201" s="10" t="str">
        <f t="shared" si="134"/>
        <v>0124 09:00:00-QAC-STD-Q.E-1-DI-CAL</v>
      </c>
    </row>
    <row r="1202" spans="1:48" s="10" customFormat="1" x14ac:dyDescent="0.55000000000000004">
      <c r="A1202" s="32">
        <v>44950</v>
      </c>
      <c r="B1202" s="33">
        <v>0.375</v>
      </c>
      <c r="C1202" s="10" t="s">
        <v>70</v>
      </c>
      <c r="D1202" s="10" t="s">
        <v>71</v>
      </c>
      <c r="E1202" s="10" t="s">
        <v>929</v>
      </c>
      <c r="F1202" s="10">
        <v>1</v>
      </c>
      <c r="G1202" s="10" t="s">
        <v>73</v>
      </c>
      <c r="H1202" s="10" t="s">
        <v>74</v>
      </c>
      <c r="I1202" s="10" t="s">
        <v>83</v>
      </c>
      <c r="J1202" s="10">
        <v>193</v>
      </c>
      <c r="K1202" s="12">
        <v>44950</v>
      </c>
      <c r="L1202" s="33">
        <v>0.53254629629629624</v>
      </c>
      <c r="M1202" s="10">
        <v>1</v>
      </c>
      <c r="N1202" s="10" t="s">
        <v>84</v>
      </c>
      <c r="O1202" s="10">
        <v>1.39</v>
      </c>
      <c r="P1202" s="10">
        <v>9.6100000000000005E-2</v>
      </c>
      <c r="Q1202" s="10">
        <v>75</v>
      </c>
      <c r="R1202" s="10" t="s">
        <v>85</v>
      </c>
      <c r="S1202" s="34">
        <f t="shared" si="131"/>
        <v>75</v>
      </c>
      <c r="T1202" s="10" t="s">
        <v>1082</v>
      </c>
      <c r="U1202" s="34" t="str">
        <f t="shared" si="132"/>
        <v/>
      </c>
      <c r="V1202" s="31" t="str">
        <f>IF(H1202="CHK",VLOOKUP(I1202,QCCHK,3,),IF(H1202="GUP",VLOOKUP(E1202,QCGUP,2,),IF(AND(H1202="ATP",OR(I1202="TN",I1202="TDN",I1202="TNO2-3",I1202="NO2-3")),VLOOKUP(E1202,QCREC_N,2,),IF(AND(H1202="NIC",OR(I1202="TN",I1202="TDN",I1202="TNO2-3",I1202="NO2-3")),VLOOKUP(E1202,QCNIC_N,2,),IF(AND(H1202="UREA",OR(I1202="TN",I1202="TDN",I1202="TNO2-3",I1202="NO2-3")),VLOOKUP(E1202,QCUREA_N,2,),IF(H1202="PER",VLOOKUP(I1202,QCPER,MATCH(E1202,QCACTUAL!$J$25:$AA$25,0),),IF(H1202="SPK",VLOOKUP(I1202,QCSPK,3,),IF(AND(H1202="ATP",OR(I1202="TP",I1202="TDP")),VLOOKUP(E1202,QCATP_P,2,),""))))))))</f>
        <v/>
      </c>
      <c r="W1202" s="31" t="str">
        <f t="shared" si="133"/>
        <v>TRUE</v>
      </c>
      <c r="X1202" s="31" t="str">
        <f t="shared" si="130"/>
        <v/>
      </c>
      <c r="Y1202" s="10" t="s">
        <v>1071</v>
      </c>
      <c r="AF1202" s="12">
        <v>44950</v>
      </c>
      <c r="AG1202" s="10">
        <f>-5.8068*1.39^2+97.248*1.39-48.038</f>
        <v>75.917401720000015</v>
      </c>
      <c r="AH1202" s="10">
        <f>-3.008*1.39^2+89.412*1.39-44.125</f>
        <v>74.345923200000001</v>
      </c>
      <c r="AI1202" s="10">
        <f>2.2125*1.39^2+32.759*1.39-8.5751</f>
        <v>41.234681250000001</v>
      </c>
      <c r="AK1202" s="10">
        <f>0.5642*1.39^2+45.477*1.39-20.207</f>
        <v>44.096120819999989</v>
      </c>
      <c r="AL1202" s="10" t="str">
        <f t="shared" si="137"/>
        <v>y=-5.8068*1.39^2+97.248*1.39-48.038</v>
      </c>
      <c r="AM1202" s="10" t="str">
        <f t="shared" si="137"/>
        <v>y=-3.008*1.39^2+89.412*1.39-44.125</v>
      </c>
      <c r="AN1202" s="10" t="str">
        <f t="shared" si="137"/>
        <v>y=2.2125*1.39^2+32.759*1.39-8.5751</v>
      </c>
      <c r="AO1202" s="10" t="str">
        <f t="shared" si="138"/>
        <v>FALSE</v>
      </c>
      <c r="AP1202" s="10" t="str">
        <f t="shared" si="138"/>
        <v>y=0.5642*1.39^2+45.477*1.39-20.207</v>
      </c>
      <c r="AQ1202" s="10" t="str">
        <f>IF(AND(I1202="TP",S1202&lt;=150),VLOOKUP(AF1202,TPCalibEq150!$AZ$2:$BB$55,3,),IF(AND(I1202="TDP",S1202&lt;=150),VLOOKUP(AF1202,TPCalibEq150!$AZ$2:$BB$55,3,)))</f>
        <v>y=-5.8068x2+97.248x-48.038</v>
      </c>
      <c r="AR1202" s="10" t="str">
        <f>IF(AND(I1202="TP",S1202&lt;=300),VLOOKUP(AF1202,TPCalibEq300!$AZ$2:$BB$55,3,),IF(AND(I1202="TDP",S1202&lt;=300),VLOOKUP(AF1202,TPCalibEq300!$AZ$2:$BB$55,3,)))</f>
        <v>y=-3.008x2+89.412x-44.125</v>
      </c>
      <c r="AS1202" s="10" t="str">
        <f>IF(AND(I1202="TP",S1202&lt;=500),VLOOKUP(AF1202,TPCalibEq500!$AZ$2:$BB$56,3,),IF(AND(I1202="TDP",S1202&lt;=500),VLOOKUP(AF1202,TPCalibEq500!$AZ$2:$BB$56,3,)))</f>
        <v>y=2.2125x2+32.759x-8.5751</v>
      </c>
      <c r="AT1202" s="10" t="b">
        <f>IF(AND(I1202="TN",S1202&lt;=2800),VLOOKUP(AF1202,TNCalibEq2500!$AZ$2:$BB$56,3,),IF(AND(I1202="TDN",S1202&lt;=2800),VLOOKUP(AF1202,TNCalibEq2500!$AZ$2:$BB$56,3,)))</f>
        <v>0</v>
      </c>
      <c r="AU1202" s="10" t="str">
        <f>IF(I1202="TP",VLOOKUP(AF1202,TPCalibEqFull!$AZ$2:$BB$56,3),IF(I1202="TDP",VLOOKUP(AF1202,TPCalibEqFull!$AZ$2:$BB$56,3),IF(I1202="TDN",VLOOKUP(AF1202,TNCalibEqFull!$AZ$1:$BB$56,3),IF(I1202="TN",VLOOKUP(AF1202,TNCalibEqFull!$AZ$1:$BB$56,3),FALSE))))</f>
        <v>y=0.5642x2+45.477x-20.207</v>
      </c>
      <c r="AV1202" s="10" t="str">
        <f t="shared" si="134"/>
        <v>0124 09:00:00-QAC-STD-Q.D-1-DI-CAL</v>
      </c>
    </row>
    <row r="1203" spans="1:48" s="10" customFormat="1" x14ac:dyDescent="0.55000000000000004">
      <c r="A1203" s="32">
        <v>44950</v>
      </c>
      <c r="B1203" s="33">
        <v>0.375</v>
      </c>
      <c r="C1203" s="10" t="s">
        <v>70</v>
      </c>
      <c r="D1203" s="10" t="s">
        <v>71</v>
      </c>
      <c r="E1203" s="10" t="s">
        <v>930</v>
      </c>
      <c r="F1203" s="10">
        <v>1</v>
      </c>
      <c r="G1203" s="10" t="s">
        <v>73</v>
      </c>
      <c r="H1203" s="10" t="s">
        <v>74</v>
      </c>
      <c r="I1203" s="10" t="s">
        <v>83</v>
      </c>
      <c r="J1203" s="10">
        <v>194</v>
      </c>
      <c r="K1203" s="12">
        <v>44950</v>
      </c>
      <c r="L1203" s="33">
        <v>0.53326388888888887</v>
      </c>
      <c r="M1203" s="10">
        <v>1</v>
      </c>
      <c r="N1203" s="10" t="s">
        <v>84</v>
      </c>
      <c r="O1203" s="10">
        <v>2.37</v>
      </c>
      <c r="P1203" s="10">
        <v>0.16900000000000001</v>
      </c>
      <c r="Q1203" s="10">
        <v>150</v>
      </c>
      <c r="R1203" s="10" t="s">
        <v>85</v>
      </c>
      <c r="S1203" s="34">
        <f t="shared" si="131"/>
        <v>150</v>
      </c>
      <c r="T1203" s="10" t="s">
        <v>1083</v>
      </c>
      <c r="U1203" s="34" t="str">
        <f t="shared" si="132"/>
        <v/>
      </c>
      <c r="V1203" s="31" t="str">
        <f>IF(H1203="CHK",VLOOKUP(I1203,QCCHK,3,),IF(H1203="GUP",VLOOKUP(E1203,QCGUP,2,),IF(AND(H1203="ATP",OR(I1203="TN",I1203="TDN",I1203="TNO2-3",I1203="NO2-3")),VLOOKUP(E1203,QCREC_N,2,),IF(AND(H1203="NIC",OR(I1203="TN",I1203="TDN",I1203="TNO2-3",I1203="NO2-3")),VLOOKUP(E1203,QCNIC_N,2,),IF(AND(H1203="UREA",OR(I1203="TN",I1203="TDN",I1203="TNO2-3",I1203="NO2-3")),VLOOKUP(E1203,QCUREA_N,2,),IF(H1203="PER",VLOOKUP(I1203,QCPER,MATCH(E1203,QCACTUAL!$J$25:$AA$25,0),),IF(H1203="SPK",VLOOKUP(I1203,QCSPK,3,),IF(AND(H1203="ATP",OR(I1203="TP",I1203="TDP")),VLOOKUP(E1203,QCATP_P,2,),""))))))))</f>
        <v/>
      </c>
      <c r="W1203" s="31" t="str">
        <f t="shared" si="133"/>
        <v>TRUE</v>
      </c>
      <c r="X1203" s="31" t="str">
        <f t="shared" si="130"/>
        <v/>
      </c>
      <c r="Y1203" s="10" t="s">
        <v>1071</v>
      </c>
      <c r="AF1203" s="12">
        <v>44950</v>
      </c>
      <c r="AG1203" s="10">
        <f>-5.8068*2.37^2+97.248*2.37-48.038</f>
        <v>149.82354508000003</v>
      </c>
      <c r="AH1203" s="10">
        <f>-3.008*2.37^2+89.412*2.37-44.125</f>
        <v>150.88580480000002</v>
      </c>
      <c r="AI1203" s="10">
        <f>2.2125*2.37^2+32.759*2.37-8.5751</f>
        <v>81.491121249999992</v>
      </c>
      <c r="AK1203" s="10">
        <f>0.5642*2.37^2+45.477*2.37-20.207</f>
        <v>90.742544979999991</v>
      </c>
      <c r="AL1203" s="10" t="str">
        <f t="shared" si="137"/>
        <v>y=-5.8068*2.37^2+97.248*2.37-48.038</v>
      </c>
      <c r="AM1203" s="10" t="str">
        <f t="shared" si="137"/>
        <v>y=-3.008*2.37^2+89.412*2.37-44.125</v>
      </c>
      <c r="AN1203" s="10" t="str">
        <f t="shared" si="137"/>
        <v>y=2.2125*2.37^2+32.759*2.37-8.5751</v>
      </c>
      <c r="AO1203" s="10" t="str">
        <f t="shared" si="138"/>
        <v>FALSE</v>
      </c>
      <c r="AP1203" s="10" t="str">
        <f t="shared" si="138"/>
        <v>y=0.5642*2.37^2+45.477*2.37-20.207</v>
      </c>
      <c r="AQ1203" s="10" t="str">
        <f>IF(AND(I1203="TP",S1203&lt;=150),VLOOKUP(AF1203,TPCalibEq150!$AZ$2:$BB$55,3,),IF(AND(I1203="TDP",S1203&lt;=150),VLOOKUP(AF1203,TPCalibEq150!$AZ$2:$BB$55,3,)))</f>
        <v>y=-5.8068x2+97.248x-48.038</v>
      </c>
      <c r="AR1203" s="10" t="str">
        <f>IF(AND(I1203="TP",S1203&lt;=300),VLOOKUP(AF1203,TPCalibEq300!$AZ$2:$BB$55,3,),IF(AND(I1203="TDP",S1203&lt;=300),VLOOKUP(AF1203,TPCalibEq300!$AZ$2:$BB$55,3,)))</f>
        <v>y=-3.008x2+89.412x-44.125</v>
      </c>
      <c r="AS1203" s="10" t="str">
        <f>IF(AND(I1203="TP",S1203&lt;=500),VLOOKUP(AF1203,TPCalibEq500!$AZ$2:$BB$56,3,),IF(AND(I1203="TDP",S1203&lt;=500),VLOOKUP(AF1203,TPCalibEq500!$AZ$2:$BB$56,3,)))</f>
        <v>y=2.2125x2+32.759x-8.5751</v>
      </c>
      <c r="AT1203" s="10" t="b">
        <f>IF(AND(I1203="TN",S1203&lt;=2800),VLOOKUP(AF1203,TNCalibEq2500!$AZ$2:$BB$56,3,),IF(AND(I1203="TDN",S1203&lt;=2800),VLOOKUP(AF1203,TNCalibEq2500!$AZ$2:$BB$56,3,)))</f>
        <v>0</v>
      </c>
      <c r="AU1203" s="10" t="str">
        <f>IF(I1203="TP",VLOOKUP(AF1203,TPCalibEqFull!$AZ$2:$BB$56,3),IF(I1203="TDP",VLOOKUP(AF1203,TPCalibEqFull!$AZ$2:$BB$56,3),IF(I1203="TDN",VLOOKUP(AF1203,TNCalibEqFull!$AZ$1:$BB$56,3),IF(I1203="TN",VLOOKUP(AF1203,TNCalibEqFull!$AZ$1:$BB$56,3),FALSE))))</f>
        <v>y=0.5642x2+45.477x-20.207</v>
      </c>
      <c r="AV1203" s="10" t="str">
        <f t="shared" si="134"/>
        <v>0124 09:00:00-QAC-STD-Q.C-1-DI-CAL</v>
      </c>
    </row>
    <row r="1204" spans="1:48" s="10" customFormat="1" x14ac:dyDescent="0.55000000000000004">
      <c r="A1204" s="32">
        <v>44950</v>
      </c>
      <c r="B1204" s="33">
        <v>0.375</v>
      </c>
      <c r="C1204" s="10" t="s">
        <v>70</v>
      </c>
      <c r="D1204" s="10" t="s">
        <v>71</v>
      </c>
      <c r="E1204" s="10" t="s">
        <v>931</v>
      </c>
      <c r="F1204" s="10">
        <v>1</v>
      </c>
      <c r="G1204" s="10" t="s">
        <v>73</v>
      </c>
      <c r="H1204" s="10" t="s">
        <v>74</v>
      </c>
      <c r="I1204" s="10" t="s">
        <v>83</v>
      </c>
      <c r="J1204" s="10">
        <v>195</v>
      </c>
      <c r="K1204" s="12">
        <v>44950</v>
      </c>
      <c r="L1204" s="33">
        <v>0.53396990740740746</v>
      </c>
      <c r="M1204" s="10">
        <v>1</v>
      </c>
      <c r="N1204" s="10" t="s">
        <v>84</v>
      </c>
      <c r="O1204" s="10">
        <v>4.54</v>
      </c>
      <c r="P1204" s="10">
        <v>0.32700000000000001</v>
      </c>
      <c r="Q1204" s="10">
        <v>300</v>
      </c>
      <c r="R1204" s="10" t="s">
        <v>85</v>
      </c>
      <c r="S1204" s="34">
        <f t="shared" si="131"/>
        <v>300</v>
      </c>
      <c r="T1204" s="10" t="s">
        <v>1084</v>
      </c>
      <c r="U1204" s="34" t="str">
        <f t="shared" si="132"/>
        <v/>
      </c>
      <c r="V1204" s="31" t="str">
        <f>IF(H1204="CHK",VLOOKUP(I1204,QCCHK,3,),IF(H1204="GUP",VLOOKUP(E1204,QCGUP,2,),IF(AND(H1204="ATP",OR(I1204="TN",I1204="TDN",I1204="TNO2-3",I1204="NO2-3")),VLOOKUP(E1204,QCREC_N,2,),IF(AND(H1204="NIC",OR(I1204="TN",I1204="TDN",I1204="TNO2-3",I1204="NO2-3")),VLOOKUP(E1204,QCNIC_N,2,),IF(AND(H1204="UREA",OR(I1204="TN",I1204="TDN",I1204="TNO2-3",I1204="NO2-3")),VLOOKUP(E1204,QCUREA_N,2,),IF(H1204="PER",VLOOKUP(I1204,QCPER,MATCH(E1204,QCACTUAL!$J$25:$AA$25,0),),IF(H1204="SPK",VLOOKUP(I1204,QCSPK,3,),IF(AND(H1204="ATP",OR(I1204="TP",I1204="TDP")),VLOOKUP(E1204,QCATP_P,2,),""))))))))</f>
        <v/>
      </c>
      <c r="W1204" s="31" t="str">
        <f t="shared" si="133"/>
        <v>TRUE</v>
      </c>
      <c r="X1204" s="31" t="str">
        <f t="shared" si="130"/>
        <v/>
      </c>
      <c r="Y1204" s="10" t="s">
        <v>1071</v>
      </c>
      <c r="AF1204" s="12">
        <v>44950</v>
      </c>
      <c r="AH1204" s="10">
        <f>-3.008*4.54^2+89.412*4.54-44.125</f>
        <v>299.80578720000005</v>
      </c>
      <c r="AI1204" s="10">
        <f>2.2125*4.54^2+32.759*4.54-8.5751</f>
        <v>185.75392500000001</v>
      </c>
      <c r="AK1204" s="10">
        <f>0.5642*4.54^2+45.477*4.54-20.207</f>
        <v>197.88764472</v>
      </c>
      <c r="AL1204" s="10" t="str">
        <f t="shared" si="137"/>
        <v>FALSE</v>
      </c>
      <c r="AM1204" s="10" t="str">
        <f t="shared" si="137"/>
        <v>y=-3.008*4.54^2+89.412*4.54-44.125</v>
      </c>
      <c r="AN1204" s="10" t="str">
        <f t="shared" si="137"/>
        <v>y=2.2125*4.54^2+32.759*4.54-8.5751</v>
      </c>
      <c r="AO1204" s="10" t="str">
        <f t="shared" si="138"/>
        <v>FALSE</v>
      </c>
      <c r="AP1204" s="10" t="str">
        <f t="shared" si="138"/>
        <v>y=0.5642*4.54^2+45.477*4.54-20.207</v>
      </c>
      <c r="AQ1204" s="10" t="b">
        <f>IF(AND(I1204="TP",S1204&lt;=150),VLOOKUP(AF1204,TPCalibEq150!$AZ$2:$BB$55,3,),IF(AND(I1204="TDP",S1204&lt;=150),VLOOKUP(AF1204,TPCalibEq150!$AZ$2:$BB$55,3,)))</f>
        <v>0</v>
      </c>
      <c r="AR1204" s="10" t="str">
        <f>IF(AND(I1204="TP",S1204&lt;=300),VLOOKUP(AF1204,TPCalibEq300!$AZ$2:$BB$55,3,),IF(AND(I1204="TDP",S1204&lt;=300),VLOOKUP(AF1204,TPCalibEq300!$AZ$2:$BB$55,3,)))</f>
        <v>y=-3.008x2+89.412x-44.125</v>
      </c>
      <c r="AS1204" s="10" t="str">
        <f>IF(AND(I1204="TP",S1204&lt;=500),VLOOKUP(AF1204,TPCalibEq500!$AZ$2:$BB$56,3,),IF(AND(I1204="TDP",S1204&lt;=500),VLOOKUP(AF1204,TPCalibEq500!$AZ$2:$BB$56,3,)))</f>
        <v>y=2.2125x2+32.759x-8.5751</v>
      </c>
      <c r="AT1204" s="10" t="b">
        <f>IF(AND(I1204="TN",S1204&lt;=2800),VLOOKUP(AF1204,TNCalibEq2500!$AZ$2:$BB$56,3,),IF(AND(I1204="TDN",S1204&lt;=2800),VLOOKUP(AF1204,TNCalibEq2500!$AZ$2:$BB$56,3,)))</f>
        <v>0</v>
      </c>
      <c r="AU1204" s="10" t="str">
        <f>IF(I1204="TP",VLOOKUP(AF1204,TPCalibEqFull!$AZ$2:$BB$56,3),IF(I1204="TDP",VLOOKUP(AF1204,TPCalibEqFull!$AZ$2:$BB$56,3),IF(I1204="TDN",VLOOKUP(AF1204,TNCalibEqFull!$AZ$1:$BB$56,3),IF(I1204="TN",VLOOKUP(AF1204,TNCalibEqFull!$AZ$1:$BB$56,3),FALSE))))</f>
        <v>y=0.5642x2+45.477x-20.207</v>
      </c>
      <c r="AV1204" s="10" t="str">
        <f t="shared" si="134"/>
        <v>0124 09:00:00-QAC-STD-Q.B-1-DI-CAL</v>
      </c>
    </row>
    <row r="1205" spans="1:48" s="10" customFormat="1" x14ac:dyDescent="0.55000000000000004">
      <c r="A1205" s="32">
        <v>44950</v>
      </c>
      <c r="B1205" s="33">
        <v>0.375</v>
      </c>
      <c r="C1205" s="10" t="s">
        <v>70</v>
      </c>
      <c r="D1205" s="10" t="s">
        <v>71</v>
      </c>
      <c r="E1205" s="10" t="s">
        <v>932</v>
      </c>
      <c r="F1205" s="10">
        <v>1</v>
      </c>
      <c r="G1205" s="10" t="s">
        <v>73</v>
      </c>
      <c r="H1205" s="10" t="s">
        <v>74</v>
      </c>
      <c r="I1205" s="10" t="s">
        <v>83</v>
      </c>
      <c r="J1205" s="10">
        <v>196</v>
      </c>
      <c r="K1205" s="12">
        <v>44950</v>
      </c>
      <c r="L1205" s="33">
        <v>0.53467592592592594</v>
      </c>
      <c r="M1205" s="10">
        <v>1</v>
      </c>
      <c r="N1205" s="10" t="s">
        <v>84</v>
      </c>
      <c r="O1205" s="10">
        <v>7.56</v>
      </c>
      <c r="P1205" s="10">
        <v>0.55200000000000005</v>
      </c>
      <c r="Q1205" s="10">
        <v>500</v>
      </c>
      <c r="R1205" s="10" t="s">
        <v>85</v>
      </c>
      <c r="S1205" s="34">
        <f t="shared" si="131"/>
        <v>500</v>
      </c>
      <c r="T1205" s="10" t="s">
        <v>1085</v>
      </c>
      <c r="U1205" s="34" t="str">
        <f t="shared" si="132"/>
        <v/>
      </c>
      <c r="V1205" s="31" t="str">
        <f>IF(H1205="CHK",VLOOKUP(I1205,QCCHK,3,),IF(H1205="GUP",VLOOKUP(E1205,QCGUP,2,),IF(AND(H1205="ATP",OR(I1205="TN",I1205="TDN",I1205="TNO2-3",I1205="NO2-3")),VLOOKUP(E1205,QCREC_N,2,),IF(AND(H1205="NIC",OR(I1205="TN",I1205="TDN",I1205="TNO2-3",I1205="NO2-3")),VLOOKUP(E1205,QCNIC_N,2,),IF(AND(H1205="UREA",OR(I1205="TN",I1205="TDN",I1205="TNO2-3",I1205="NO2-3")),VLOOKUP(E1205,QCUREA_N,2,),IF(H1205="PER",VLOOKUP(I1205,QCPER,MATCH(E1205,QCACTUAL!$J$25:$AA$25,0),),IF(H1205="SPK",VLOOKUP(I1205,QCSPK,3,),IF(AND(H1205="ATP",OR(I1205="TP",I1205="TDP")),VLOOKUP(E1205,QCATP_P,2,),""))))))))</f>
        <v/>
      </c>
      <c r="W1205" s="31" t="str">
        <f t="shared" si="133"/>
        <v>TRUE</v>
      </c>
      <c r="X1205" s="31" t="str">
        <f t="shared" si="130"/>
        <v/>
      </c>
      <c r="Y1205" s="10" t="s">
        <v>1071</v>
      </c>
      <c r="AF1205" s="12">
        <v>44950</v>
      </c>
      <c r="AI1205" s="10">
        <f>2.2125*7.56^2+32.759*7.56-8.5751</f>
        <v>365.53527999999994</v>
      </c>
      <c r="AK1205" s="10">
        <f>0.5642*7.56^2+45.477*7.56-20.207</f>
        <v>355.84518111999995</v>
      </c>
      <c r="AL1205" s="10" t="str">
        <f t="shared" si="137"/>
        <v>FALSE</v>
      </c>
      <c r="AM1205" s="10" t="str">
        <f t="shared" si="137"/>
        <v>FALSE</v>
      </c>
      <c r="AN1205" s="10" t="str">
        <f t="shared" si="137"/>
        <v>y=2.2125*7.56^2+32.759*7.56-8.5751</v>
      </c>
      <c r="AO1205" s="10" t="str">
        <f t="shared" si="138"/>
        <v>FALSE</v>
      </c>
      <c r="AP1205" s="10" t="str">
        <f t="shared" si="138"/>
        <v>y=0.5642*7.56^2+45.477*7.56-20.207</v>
      </c>
      <c r="AQ1205" s="10" t="b">
        <f>IF(AND(I1205="TP",S1205&lt;=150),VLOOKUP(AF1205,TPCalibEq150!$AZ$2:$BB$55,3,),IF(AND(I1205="TDP",S1205&lt;=150),VLOOKUP(AF1205,TPCalibEq150!$AZ$2:$BB$55,3,)))</f>
        <v>0</v>
      </c>
      <c r="AR1205" s="10" t="b">
        <f>IF(AND(I1205="TP",S1205&lt;=300),VLOOKUP(AF1205,TPCalibEq300!$AZ$2:$BB$55,3,),IF(AND(I1205="TDP",S1205&lt;=300),VLOOKUP(AF1205,TPCalibEq300!$AZ$2:$BB$55,3,)))</f>
        <v>0</v>
      </c>
      <c r="AS1205" s="10" t="str">
        <f>IF(AND(I1205="TP",S1205&lt;=500),VLOOKUP(AF1205,TPCalibEq500!$AZ$2:$BB$56,3,),IF(AND(I1205="TDP",S1205&lt;=500),VLOOKUP(AF1205,TPCalibEq500!$AZ$2:$BB$56,3,)))</f>
        <v>y=2.2125x2+32.759x-8.5751</v>
      </c>
      <c r="AT1205" s="10" t="b">
        <f>IF(AND(I1205="TN",S1205&lt;=2800),VLOOKUP(AF1205,TNCalibEq2500!$AZ$2:$BB$56,3,),IF(AND(I1205="TDN",S1205&lt;=2800),VLOOKUP(AF1205,TNCalibEq2500!$AZ$2:$BB$56,3,)))</f>
        <v>0</v>
      </c>
      <c r="AU1205" s="10" t="str">
        <f>IF(I1205="TP",VLOOKUP(AF1205,TPCalibEqFull!$AZ$2:$BB$56,3),IF(I1205="TDP",VLOOKUP(AF1205,TPCalibEqFull!$AZ$2:$BB$56,3),IF(I1205="TDN",VLOOKUP(AF1205,TNCalibEqFull!$AZ$1:$BB$56,3),IF(I1205="TN",VLOOKUP(AF1205,TNCalibEqFull!$AZ$1:$BB$56,3),FALSE))))</f>
        <v>y=0.5642x2+45.477x-20.207</v>
      </c>
      <c r="AV1205" s="10" t="str">
        <f t="shared" si="134"/>
        <v>0124 09:00:00-QAC-STD-Q.A-1-DI-CAL</v>
      </c>
    </row>
    <row r="1206" spans="1:48" s="10" customFormat="1" x14ac:dyDescent="0.55000000000000004">
      <c r="A1206" s="32">
        <v>44950</v>
      </c>
      <c r="B1206" s="33">
        <v>0.375</v>
      </c>
      <c r="C1206" s="10" t="s">
        <v>70</v>
      </c>
      <c r="D1206" s="10" t="s">
        <v>241</v>
      </c>
      <c r="E1206" s="10" t="s">
        <v>866</v>
      </c>
      <c r="F1206" s="10">
        <v>1</v>
      </c>
      <c r="G1206" s="10" t="s">
        <v>73</v>
      </c>
      <c r="H1206" s="10" t="s">
        <v>283</v>
      </c>
      <c r="I1206" s="10" t="s">
        <v>83</v>
      </c>
      <c r="J1206" s="10">
        <v>198</v>
      </c>
      <c r="K1206" s="12">
        <v>44950</v>
      </c>
      <c r="L1206" s="33">
        <v>0.53607638888888887</v>
      </c>
      <c r="M1206" s="10">
        <v>1</v>
      </c>
      <c r="N1206" s="10" t="s">
        <v>84</v>
      </c>
      <c r="O1206" s="10">
        <v>2.4</v>
      </c>
      <c r="P1206" s="10">
        <v>0.16900000000000001</v>
      </c>
      <c r="Q1206" s="10">
        <v>139</v>
      </c>
      <c r="R1206" s="10" t="s">
        <v>85</v>
      </c>
      <c r="S1206" s="34">
        <f t="shared" si="131"/>
        <v>153.13772000000003</v>
      </c>
      <c r="T1206" s="10" t="s">
        <v>1086</v>
      </c>
      <c r="U1206" s="34">
        <f t="shared" si="132"/>
        <v>153.13772000000003</v>
      </c>
      <c r="V1206" s="31" t="str">
        <f>IF(H1206="CHK",VLOOKUP(I1206,QCCHK,3,),IF(H1206="GUP",VLOOKUP(E1206,QCGUP,2,),IF(AND(H1206="ATP",OR(I1206="TN",I1206="TDN",I1206="TNO2-3",I1206="NO2-3")),VLOOKUP(E1206,QCREC_N,2,),IF(AND(H1206="NIC",OR(I1206="TN",I1206="TDN",I1206="TNO2-3",I1206="NO2-3")),VLOOKUP(E1206,QCNIC_N,2,),IF(AND(H1206="UREA",OR(I1206="TN",I1206="TDN",I1206="TNO2-3",I1206="NO2-3")),VLOOKUP(E1206,QCUREA_N,2,),IF(H1206="PER",VLOOKUP(I1206,QCPER,MATCH(E1206,QCACTUAL!$J$25:$AA$25,0),),IF(H1206="SPK",VLOOKUP(I1206,QCSPK,3,),IF(AND(H1206="ATP",OR(I1206="TP",I1206="TDP")),VLOOKUP(E1206,QCATP_P,2,),""))))))))</f>
        <v/>
      </c>
      <c r="W1206" s="31" t="str">
        <f t="shared" si="133"/>
        <v>FALSE</v>
      </c>
      <c r="X1206" s="31" t="str">
        <f t="shared" si="130"/>
        <v>nominal concentration</v>
      </c>
      <c r="Y1206" s="10" t="s">
        <v>1071</v>
      </c>
      <c r="AF1206" s="12">
        <v>44950</v>
      </c>
      <c r="AG1206" s="10">
        <f>-5.8068*2.4^2+97.248*2.4-48.038</f>
        <v>151.910032</v>
      </c>
      <c r="AH1206" s="10">
        <f>-3.008*2.4^2+89.412*2.4-44.125</f>
        <v>153.13772000000003</v>
      </c>
      <c r="AI1206" s="10">
        <f>2.2125*2.4^2+32.759*2.4-8.5751</f>
        <v>82.790499999999994</v>
      </c>
      <c r="AK1206" s="10">
        <f>0.5642*2.4^2+45.477*2.4-20.207</f>
        <v>92.187591999999995</v>
      </c>
      <c r="AL1206" s="10" t="str">
        <f t="shared" si="137"/>
        <v>FALSE</v>
      </c>
      <c r="AM1206" s="10" t="str">
        <f t="shared" si="137"/>
        <v>y=-3.008*2.4^2+89.412*2.4-44.125</v>
      </c>
      <c r="AN1206" s="10" t="str">
        <f t="shared" si="137"/>
        <v>y=2.2125*2.4^2+32.759*2.4-8.5751</v>
      </c>
      <c r="AO1206" s="10" t="str">
        <f t="shared" si="138"/>
        <v>FALSE</v>
      </c>
      <c r="AP1206" s="10" t="str">
        <f t="shared" si="138"/>
        <v>y=0.5642*2.4^2+45.477*2.4-20.207</v>
      </c>
      <c r="AQ1206" s="10" t="b">
        <f>IF(AND(I1206="TP",S1206&lt;=150),VLOOKUP(AF1206,TPCalibEq150!$AZ$2:$BB$55,3,),IF(AND(I1206="TDP",S1206&lt;=150),VLOOKUP(AF1206,TPCalibEq150!$AZ$2:$BB$55,3,)))</f>
        <v>0</v>
      </c>
      <c r="AR1206" s="10" t="str">
        <f>IF(AND(I1206="TP",S1206&lt;=300),VLOOKUP(AF1206,TPCalibEq300!$AZ$2:$BB$55,3,),IF(AND(I1206="TDP",S1206&lt;=300),VLOOKUP(AF1206,TPCalibEq300!$AZ$2:$BB$55,3,)))</f>
        <v>y=-3.008x2+89.412x-44.125</v>
      </c>
      <c r="AS1206" s="10" t="str">
        <f>IF(AND(I1206="TP",S1206&lt;=500),VLOOKUP(AF1206,TPCalibEq500!$AZ$2:$BB$56,3,),IF(AND(I1206="TDP",S1206&lt;=500),VLOOKUP(AF1206,TPCalibEq500!$AZ$2:$BB$56,3,)))</f>
        <v>y=2.2125x2+32.759x-8.5751</v>
      </c>
      <c r="AT1206" s="10" t="b">
        <f>IF(AND(I1206="TN",S1206&lt;=2800),VLOOKUP(AF1206,TNCalibEq2500!$AZ$2:$BB$56,3,),IF(AND(I1206="TDN",S1206&lt;=2800),VLOOKUP(AF1206,TNCalibEq2500!$AZ$2:$BB$56,3,)))</f>
        <v>0</v>
      </c>
      <c r="AU1206" s="10" t="str">
        <f>IF(I1206="TP",VLOOKUP(AF1206,TPCalibEqFull!$AZ$2:$BB$56,3),IF(I1206="TDP",VLOOKUP(AF1206,TPCalibEqFull!$AZ$2:$BB$56,3),IF(I1206="TDN",VLOOKUP(AF1206,TNCalibEqFull!$AZ$1:$BB$56,3),IF(I1206="TN",VLOOKUP(AF1206,TNCalibEqFull!$AZ$1:$BB$56,3),FALSE))))</f>
        <v>y=0.5642x2+45.477x-20.207</v>
      </c>
      <c r="AV1206" s="10" t="str">
        <f t="shared" si="134"/>
        <v>0124 09:00:00-QAC-BLK-A-1-DI-LAB</v>
      </c>
    </row>
    <row r="1207" spans="1:48" s="10" customFormat="1" x14ac:dyDescent="0.55000000000000004">
      <c r="A1207" s="32">
        <v>44950</v>
      </c>
      <c r="B1207" s="33">
        <v>0.375</v>
      </c>
      <c r="C1207" s="10" t="s">
        <v>70</v>
      </c>
      <c r="D1207" s="10" t="s">
        <v>71</v>
      </c>
      <c r="E1207" s="10" t="s">
        <v>901</v>
      </c>
      <c r="F1207" s="10">
        <v>1</v>
      </c>
      <c r="G1207" s="10" t="s">
        <v>73</v>
      </c>
      <c r="H1207" s="10" t="s">
        <v>207</v>
      </c>
      <c r="I1207" s="10" t="s">
        <v>83</v>
      </c>
      <c r="J1207" s="10">
        <v>202</v>
      </c>
      <c r="K1207" s="12">
        <v>44950</v>
      </c>
      <c r="L1207" s="33">
        <v>0.54024305555555563</v>
      </c>
      <c r="M1207" s="10">
        <v>1</v>
      </c>
      <c r="N1207" s="10" t="s">
        <v>84</v>
      </c>
      <c r="O1207" s="10">
        <v>9.68</v>
      </c>
      <c r="P1207" s="10">
        <v>0.69499999999999995</v>
      </c>
      <c r="Q1207" s="10">
        <v>612</v>
      </c>
      <c r="R1207" s="10" t="s">
        <v>85</v>
      </c>
      <c r="S1207" s="34">
        <f t="shared" si="131"/>
        <v>612</v>
      </c>
      <c r="T1207" s="10" t="s">
        <v>1086</v>
      </c>
      <c r="U1207" s="34">
        <f t="shared" si="132"/>
        <v>122.39999999999999</v>
      </c>
      <c r="V1207" s="31">
        <f>IF(H1207="CHK",VLOOKUP(I1207,QCCHK,3,),IF(H1207="GUP",VLOOKUP(E1207,QCGUP,2,),IF(AND(H1207="ATP",OR(I1207="TN",I1207="TDN",I1207="TNO2-3",I1207="NO2-3")),VLOOKUP(E1207,QCREC_N,2,),IF(AND(H1207="NIC",OR(I1207="TN",I1207="TDN",I1207="TNO2-3",I1207="NO2-3")),VLOOKUP(E1207,QCNIC_N,2,),IF(AND(H1207="UREA",OR(I1207="TN",I1207="TDN",I1207="TNO2-3",I1207="NO2-3")),VLOOKUP(E1207,QCUREA_N,2,),IF(H1207="PER",VLOOKUP(I1207,QCPER,MATCH(E1207,QCACTUAL!$J$25:$AA$25,0),),IF(H1207="SPK",VLOOKUP(I1207,QCSPK,3,),IF(AND(H1207="ATP",OR(I1207="TP",I1207="TDP")),VLOOKUP(E1207,QCATP_P,2,),""))))))))</f>
        <v>500</v>
      </c>
      <c r="W1207" s="31" t="str">
        <f t="shared" si="133"/>
        <v>TRUE</v>
      </c>
      <c r="X1207" s="31" t="str">
        <f t="shared" si="130"/>
        <v>[chk]/[actual]*100</v>
      </c>
      <c r="Y1207" s="10" t="s">
        <v>1071</v>
      </c>
      <c r="AF1207" s="12">
        <v>44950</v>
      </c>
      <c r="AK1207" s="10">
        <f>0.5642*9.68^2+45.477*9.68-20.207</f>
        <v>472.87725407999994</v>
      </c>
      <c r="AL1207" s="10" t="str">
        <f t="shared" si="137"/>
        <v>FALSE</v>
      </c>
      <c r="AM1207" s="10" t="str">
        <f t="shared" si="137"/>
        <v>FALSE</v>
      </c>
      <c r="AN1207" s="10" t="str">
        <f t="shared" si="137"/>
        <v>FALSE</v>
      </c>
      <c r="AO1207" s="10" t="str">
        <f t="shared" si="138"/>
        <v>FALSE</v>
      </c>
      <c r="AP1207" s="10" t="str">
        <f t="shared" si="138"/>
        <v>y=0.5642*9.68^2+45.477*9.68-20.207</v>
      </c>
      <c r="AQ1207" s="10" t="b">
        <f>IF(AND(I1207="TP",S1207&lt;=150),VLOOKUP(AF1207,TPCalibEq150!$AZ$2:$BB$55,3,),IF(AND(I1207="TDP",S1207&lt;=150),VLOOKUP(AF1207,TPCalibEq150!$AZ$2:$BB$55,3,)))</f>
        <v>0</v>
      </c>
      <c r="AR1207" s="10" t="b">
        <f>IF(AND(I1207="TP",S1207&lt;=300),VLOOKUP(AF1207,TPCalibEq300!$AZ$2:$BB$55,3,),IF(AND(I1207="TDP",S1207&lt;=300),VLOOKUP(AF1207,TPCalibEq300!$AZ$2:$BB$55,3,)))</f>
        <v>0</v>
      </c>
      <c r="AS1207" s="10" t="b">
        <f>IF(AND(I1207="TP",S1207&lt;=500),VLOOKUP(AF1207,TPCalibEq500!$AZ$2:$BB$56,3,),IF(AND(I1207="TDP",S1207&lt;=500),VLOOKUP(AF1207,TPCalibEq500!$AZ$2:$BB$56,3,)))</f>
        <v>0</v>
      </c>
      <c r="AT1207" s="10" t="b">
        <f>IF(AND(I1207="TN",S1207&lt;=2800),VLOOKUP(AF1207,TNCalibEq2500!$AZ$2:$BB$56,3,),IF(AND(I1207="TDN",S1207&lt;=2800),VLOOKUP(AF1207,TNCalibEq2500!$AZ$2:$BB$56,3,)))</f>
        <v>0</v>
      </c>
      <c r="AU1207" s="10" t="str">
        <f>IF(I1207="TP",VLOOKUP(AF1207,TPCalibEqFull!$AZ$2:$BB$56,3),IF(I1207="TDP",VLOOKUP(AF1207,TPCalibEqFull!$AZ$2:$BB$56,3),IF(I1207="TDN",VLOOKUP(AF1207,TNCalibEqFull!$AZ$1:$BB$56,3),IF(I1207="TN",VLOOKUP(AF1207,TNCalibEqFull!$AZ$1:$BB$56,3),FALSE))))</f>
        <v>y=0.5642x2+45.477x-20.207</v>
      </c>
      <c r="AV1207" s="10" t="str">
        <f t="shared" si="134"/>
        <v>0124 09:00:00-QAC-STD-D-1-DI-CHK</v>
      </c>
    </row>
    <row r="1208" spans="1:48" s="10" customFormat="1" x14ac:dyDescent="0.55000000000000004">
      <c r="A1208" s="32">
        <v>44950</v>
      </c>
      <c r="B1208" s="33">
        <v>0.375</v>
      </c>
      <c r="C1208" s="10" t="s">
        <v>70</v>
      </c>
      <c r="D1208" s="10" t="s">
        <v>71</v>
      </c>
      <c r="E1208" s="10" t="s">
        <v>901</v>
      </c>
      <c r="F1208" s="10">
        <v>1</v>
      </c>
      <c r="G1208" s="10" t="s">
        <v>73</v>
      </c>
      <c r="H1208" s="10" t="s">
        <v>207</v>
      </c>
      <c r="I1208" s="10" t="s">
        <v>83</v>
      </c>
      <c r="J1208" s="10">
        <v>202</v>
      </c>
      <c r="K1208" s="12">
        <v>44950</v>
      </c>
      <c r="L1208" s="33">
        <v>0.54270833333333335</v>
      </c>
      <c r="M1208" s="10">
        <v>1</v>
      </c>
      <c r="N1208" s="10" t="s">
        <v>84</v>
      </c>
      <c r="O1208" s="10">
        <v>9.73</v>
      </c>
      <c r="P1208" s="10">
        <v>0.69499999999999995</v>
      </c>
      <c r="Q1208" s="10">
        <v>503</v>
      </c>
      <c r="R1208" s="10" t="s">
        <v>85</v>
      </c>
      <c r="S1208" s="34">
        <f t="shared" si="131"/>
        <v>503</v>
      </c>
      <c r="T1208" s="10" t="s">
        <v>1087</v>
      </c>
      <c r="U1208" s="34">
        <f t="shared" si="132"/>
        <v>100.6</v>
      </c>
      <c r="V1208" s="31">
        <f>IF(H1208="CHK",VLOOKUP(I1208,QCCHK,3,),IF(H1208="GUP",VLOOKUP(E1208,QCGUP,2,),IF(AND(H1208="ATP",OR(I1208="TN",I1208="TDN",I1208="TNO2-3",I1208="NO2-3")),VLOOKUP(E1208,QCREC_N,2,),IF(AND(H1208="NIC",OR(I1208="TN",I1208="TDN",I1208="TNO2-3",I1208="NO2-3")),VLOOKUP(E1208,QCNIC_N,2,),IF(AND(H1208="UREA",OR(I1208="TN",I1208="TDN",I1208="TNO2-3",I1208="NO2-3")),VLOOKUP(E1208,QCUREA_N,2,),IF(H1208="PER",VLOOKUP(I1208,QCPER,MATCH(E1208,QCACTUAL!$J$25:$AA$25,0),),IF(H1208="SPK",VLOOKUP(I1208,QCSPK,3,),IF(AND(H1208="ATP",OR(I1208="TP",I1208="TDP")),VLOOKUP(E1208,QCATP_P,2,),""))))))))</f>
        <v>500</v>
      </c>
      <c r="W1208" s="31" t="str">
        <f t="shared" si="133"/>
        <v>TRUE</v>
      </c>
      <c r="X1208" s="31" t="str">
        <f t="shared" si="130"/>
        <v>[chk]/[actual]*100</v>
      </c>
      <c r="Y1208" s="10" t="s">
        <v>1071</v>
      </c>
      <c r="AF1208" s="12">
        <v>44950</v>
      </c>
      <c r="AK1208" s="10">
        <f>0.5642*9.73^2+45.477*9.73-20.207</f>
        <v>475.69866017999999</v>
      </c>
      <c r="AL1208" s="10" t="str">
        <f t="shared" si="137"/>
        <v>FALSE</v>
      </c>
      <c r="AM1208" s="10" t="str">
        <f t="shared" si="137"/>
        <v>FALSE</v>
      </c>
      <c r="AN1208" s="10" t="str">
        <f t="shared" si="137"/>
        <v>FALSE</v>
      </c>
      <c r="AO1208" s="10" t="str">
        <f t="shared" si="138"/>
        <v>FALSE</v>
      </c>
      <c r="AP1208" s="10" t="str">
        <f t="shared" si="138"/>
        <v>y=0.5642*9.73^2+45.477*9.73-20.207</v>
      </c>
      <c r="AQ1208" s="10" t="b">
        <f>IF(AND(I1208="TP",S1208&lt;=150),VLOOKUP(AF1208,TPCalibEq150!$AZ$2:$BB$55,3,),IF(AND(I1208="TDP",S1208&lt;=150),VLOOKUP(AF1208,TPCalibEq150!$AZ$2:$BB$55,3,)))</f>
        <v>0</v>
      </c>
      <c r="AR1208" s="10" t="b">
        <f>IF(AND(I1208="TP",S1208&lt;=300),VLOOKUP(AF1208,TPCalibEq300!$AZ$2:$BB$55,3,),IF(AND(I1208="TDP",S1208&lt;=300),VLOOKUP(AF1208,TPCalibEq300!$AZ$2:$BB$55,3,)))</f>
        <v>0</v>
      </c>
      <c r="AS1208" s="10" t="b">
        <f>IF(AND(I1208="TP",S1208&lt;=500),VLOOKUP(AF1208,TPCalibEq500!$AZ$2:$BB$56,3,),IF(AND(I1208="TDP",S1208&lt;=500),VLOOKUP(AF1208,TPCalibEq500!$AZ$2:$BB$56,3,)))</f>
        <v>0</v>
      </c>
      <c r="AT1208" s="10" t="b">
        <f>IF(AND(I1208="TN",S1208&lt;=2800),VLOOKUP(AF1208,TNCalibEq2500!$AZ$2:$BB$56,3,),IF(AND(I1208="TDN",S1208&lt;=2800),VLOOKUP(AF1208,TNCalibEq2500!$AZ$2:$BB$56,3,)))</f>
        <v>0</v>
      </c>
      <c r="AU1208" s="10" t="str">
        <f>IF(I1208="TP",VLOOKUP(AF1208,TPCalibEqFull!$AZ$2:$BB$56,3),IF(I1208="TDP",VLOOKUP(AF1208,TPCalibEqFull!$AZ$2:$BB$56,3),IF(I1208="TDN",VLOOKUP(AF1208,TNCalibEqFull!$AZ$1:$BB$56,3),IF(I1208="TN",VLOOKUP(AF1208,TNCalibEqFull!$AZ$1:$BB$56,3),FALSE))))</f>
        <v>y=0.5642x2+45.477x-20.207</v>
      </c>
      <c r="AV1208" s="10" t="str">
        <f t="shared" si="134"/>
        <v>0124 09:00:00-QAC-STD-D-1-DI-CHK</v>
      </c>
    </row>
    <row r="1209" spans="1:48" s="10" customFormat="1" x14ac:dyDescent="0.55000000000000004">
      <c r="A1209" s="32">
        <v>44950</v>
      </c>
      <c r="B1209" s="33">
        <v>0.375</v>
      </c>
      <c r="C1209" s="10" t="s">
        <v>70</v>
      </c>
      <c r="D1209" s="10" t="s">
        <v>241</v>
      </c>
      <c r="E1209" s="10" t="s">
        <v>866</v>
      </c>
      <c r="F1209" s="10">
        <v>1</v>
      </c>
      <c r="G1209" s="10" t="s">
        <v>73</v>
      </c>
      <c r="H1209" s="10" t="s">
        <v>314</v>
      </c>
      <c r="I1209" s="10" t="s">
        <v>83</v>
      </c>
      <c r="J1209" s="10">
        <v>225</v>
      </c>
      <c r="K1209" s="12">
        <v>44950</v>
      </c>
      <c r="L1209" s="33">
        <v>0.54502314814814812</v>
      </c>
      <c r="M1209" s="10">
        <v>1</v>
      </c>
      <c r="N1209" s="10" t="s">
        <v>84</v>
      </c>
      <c r="O1209" s="10">
        <v>15.7</v>
      </c>
      <c r="P1209" s="10">
        <v>1.1200000000000001</v>
      </c>
      <c r="Q1209" s="10">
        <v>860</v>
      </c>
      <c r="R1209" s="10" t="s">
        <v>85</v>
      </c>
      <c r="S1209" s="34">
        <f t="shared" si="131"/>
        <v>860</v>
      </c>
      <c r="T1209" s="10" t="s">
        <v>1087</v>
      </c>
      <c r="U1209" s="34">
        <f t="shared" si="132"/>
        <v>35.699999999999996</v>
      </c>
      <c r="V1209" s="31">
        <f>IF(H1209="CHK",VLOOKUP(I1209,QCCHK,3,),IF(H1209="GUP",VLOOKUP(E1209,QCGUP,2,),IF(AND(H1209="ATP",OR(I1209="TN",I1209="TDN",I1209="TNO2-3",I1209="NO2-3")),VLOOKUP(E1209,QCREC_N,2,),IF(AND(H1209="NIC",OR(I1209="TN",I1209="TDN",I1209="TNO2-3",I1209="NO2-3")),VLOOKUP(E1209,QCNIC_N,2,),IF(AND(H1209="UREA",OR(I1209="TN",I1209="TDN",I1209="TNO2-3",I1209="NO2-3")),VLOOKUP(E1209,QCUREA_N,2,),IF(H1209="PER",VLOOKUP(I1209,QCPER,MATCH(E1209,QCACTUAL!$J$25:$AA$25,0),),IF(H1209="SPK",VLOOKUP(I1209,QCSPK,3,),IF(AND(H1209="ATP",OR(I1209="TP",I1209="TDP")),VLOOKUP(E1209,QCATP_P,2,),""))))))))</f>
        <v>1000</v>
      </c>
      <c r="W1209" s="31" t="str">
        <f t="shared" si="133"/>
        <v>FALSE</v>
      </c>
      <c r="X1209" s="31" t="str">
        <f t="shared" si="130"/>
        <v>([spikedunkn]-[unkn])/[spike]*100</v>
      </c>
      <c r="Y1209" s="10" t="s">
        <v>1071</v>
      </c>
      <c r="AF1209" s="12">
        <v>44950</v>
      </c>
      <c r="AK1209" s="10">
        <f>0.5642*15.7^2+45.477*15.7-20.207</f>
        <v>832.85155799999995</v>
      </c>
      <c r="AL1209" s="10" t="str">
        <f t="shared" si="137"/>
        <v>FALSE</v>
      </c>
      <c r="AM1209" s="10" t="str">
        <f t="shared" si="137"/>
        <v>FALSE</v>
      </c>
      <c r="AN1209" s="10" t="str">
        <f t="shared" si="137"/>
        <v>FALSE</v>
      </c>
      <c r="AO1209" s="10" t="str">
        <f t="shared" si="138"/>
        <v>FALSE</v>
      </c>
      <c r="AP1209" s="10" t="str">
        <f t="shared" si="138"/>
        <v>y=0.5642*15.7^2+45.477*15.7-20.207</v>
      </c>
      <c r="AQ1209" s="10" t="b">
        <f>IF(AND(I1209="TP",S1209&lt;=150),VLOOKUP(AF1209,TPCalibEq150!$AZ$2:$BB$55,3,),IF(AND(I1209="TDP",S1209&lt;=150),VLOOKUP(AF1209,TPCalibEq150!$AZ$2:$BB$55,3,)))</f>
        <v>0</v>
      </c>
      <c r="AR1209" s="10" t="b">
        <f>IF(AND(I1209="TP",S1209&lt;=300),VLOOKUP(AF1209,TPCalibEq300!$AZ$2:$BB$55,3,),IF(AND(I1209="TDP",S1209&lt;=300),VLOOKUP(AF1209,TPCalibEq300!$AZ$2:$BB$55,3,)))</f>
        <v>0</v>
      </c>
      <c r="AS1209" s="10" t="b">
        <f>IF(AND(I1209="TP",S1209&lt;=500),VLOOKUP(AF1209,TPCalibEq500!$AZ$2:$BB$56,3,),IF(AND(I1209="TDP",S1209&lt;=500),VLOOKUP(AF1209,TPCalibEq500!$AZ$2:$BB$56,3,)))</f>
        <v>0</v>
      </c>
      <c r="AT1209" s="10" t="b">
        <f>IF(AND(I1209="TN",S1209&lt;=2800),VLOOKUP(AF1209,TNCalibEq2500!$AZ$2:$BB$56,3,),IF(AND(I1209="TDN",S1209&lt;=2800),VLOOKUP(AF1209,TNCalibEq2500!$AZ$2:$BB$56,3,)))</f>
        <v>0</v>
      </c>
      <c r="AU1209" s="10" t="str">
        <f>IF(I1209="TP",VLOOKUP(AF1209,TPCalibEqFull!$AZ$2:$BB$56,3),IF(I1209="TDP",VLOOKUP(AF1209,TPCalibEqFull!$AZ$2:$BB$56,3),IF(I1209="TDN",VLOOKUP(AF1209,TNCalibEqFull!$AZ$1:$BB$56,3),IF(I1209="TN",VLOOKUP(AF1209,TNCalibEqFull!$AZ$1:$BB$56,3),FALSE))))</f>
        <v>y=0.5642x2+45.477x-20.207</v>
      </c>
      <c r="AV1209" s="10" t="str">
        <f t="shared" si="134"/>
        <v>0124 09:00:00-QAC-BLK-A-1-DI-SPK</v>
      </c>
    </row>
    <row r="1210" spans="1:48" s="10" customFormat="1" x14ac:dyDescent="0.55000000000000004">
      <c r="A1210" s="32">
        <v>44950</v>
      </c>
      <c r="B1210" s="33">
        <v>0.375</v>
      </c>
      <c r="C1210" s="10" t="s">
        <v>70</v>
      </c>
      <c r="D1210" s="10" t="s">
        <v>71</v>
      </c>
      <c r="E1210" s="10" t="s">
        <v>948</v>
      </c>
      <c r="F1210" s="10">
        <v>1</v>
      </c>
      <c r="G1210" s="10" t="s">
        <v>73</v>
      </c>
      <c r="H1210" s="10" t="s">
        <v>299</v>
      </c>
      <c r="I1210" s="10" t="s">
        <v>83</v>
      </c>
      <c r="J1210" s="10">
        <v>197</v>
      </c>
      <c r="K1210" s="12">
        <v>44950</v>
      </c>
      <c r="L1210" s="33">
        <v>0.54572916666666671</v>
      </c>
      <c r="M1210" s="10">
        <v>1</v>
      </c>
      <c r="N1210" s="10" t="s">
        <v>84</v>
      </c>
      <c r="O1210" s="10">
        <v>6.49</v>
      </c>
      <c r="P1210" s="10">
        <v>0.46700000000000003</v>
      </c>
      <c r="Q1210" s="10">
        <v>324</v>
      </c>
      <c r="R1210" s="10" t="s">
        <v>85</v>
      </c>
      <c r="S1210" s="34">
        <f t="shared" si="131"/>
        <v>324</v>
      </c>
      <c r="T1210" s="10" t="s">
        <v>1087</v>
      </c>
      <c r="U1210" s="34">
        <f t="shared" si="132"/>
        <v>98.181818181818187</v>
      </c>
      <c r="V1210" s="31">
        <f>IF(H1210="CHK",VLOOKUP(I1210,QCCHK,3,),IF(H1210="GUP",VLOOKUP(E1210,QCGUP,2,),IF(AND(H1210="ATP",OR(I1210="TN",I1210="TDN",I1210="TNO2-3",I1210="NO2-3")),VLOOKUP(E1210,QCREC_N,2,),IF(AND(H1210="NIC",OR(I1210="TN",I1210="TDN",I1210="TNO2-3",I1210="NO2-3")),VLOOKUP(E1210,QCNIC_N,2,),IF(AND(H1210="UREA",OR(I1210="TN",I1210="TDN",I1210="TNO2-3",I1210="NO2-3")),VLOOKUP(E1210,QCUREA_N,2,),IF(H1210="PER",VLOOKUP(I1210,QCPER,MATCH(E1210,QCACTUAL!$J$25:$AA$25,0),),IF(H1210="SPK",VLOOKUP(I1210,QCSPK,3,),IF(AND(H1210="ATP",OR(I1210="TP",I1210="TDP")),VLOOKUP(E1210,QCATP_P,2,),""))))))))</f>
        <v>330</v>
      </c>
      <c r="W1210" s="31" t="str">
        <f t="shared" si="133"/>
        <v>TRUE</v>
      </c>
      <c r="X1210" s="31" t="str">
        <f t="shared" si="130"/>
        <v>[per]/[actual]*100</v>
      </c>
      <c r="Y1210" s="10" t="s">
        <v>1071</v>
      </c>
      <c r="AF1210" s="12">
        <v>44950</v>
      </c>
      <c r="AI1210" s="10">
        <f>2.2125*6.49^2+32.759*6.49-8.5751</f>
        <v>297.22153125</v>
      </c>
      <c r="AK1210" s="10">
        <f>0.5642*6.49^2+45.477*6.49-20.207</f>
        <v>298.70289042000002</v>
      </c>
      <c r="AL1210" s="10" t="str">
        <f t="shared" si="137"/>
        <v>FALSE</v>
      </c>
      <c r="AM1210" s="10" t="str">
        <f t="shared" si="137"/>
        <v>FALSE</v>
      </c>
      <c r="AN1210" s="10" t="str">
        <f t="shared" si="137"/>
        <v>y=2.2125*6.49^2+32.759*6.49-8.5751</v>
      </c>
      <c r="AO1210" s="10" t="str">
        <f t="shared" si="138"/>
        <v>FALSE</v>
      </c>
      <c r="AP1210" s="10" t="str">
        <f t="shared" si="138"/>
        <v>y=0.5642*6.49^2+45.477*6.49-20.207</v>
      </c>
      <c r="AQ1210" s="10" t="b">
        <f>IF(AND(I1210="TP",S1210&lt;=150),VLOOKUP(AF1210,TPCalibEq150!$AZ$2:$BB$55,3,),IF(AND(I1210="TDP",S1210&lt;=150),VLOOKUP(AF1210,TPCalibEq150!$AZ$2:$BB$55,3,)))</f>
        <v>0</v>
      </c>
      <c r="AR1210" s="10" t="b">
        <f>IF(AND(I1210="TP",S1210&lt;=300),VLOOKUP(AF1210,TPCalibEq300!$AZ$2:$BB$55,3,),IF(AND(I1210="TDP",S1210&lt;=300),VLOOKUP(AF1210,TPCalibEq300!$AZ$2:$BB$55,3,)))</f>
        <v>0</v>
      </c>
      <c r="AS1210" s="10" t="str">
        <f>IF(AND(I1210="TP",S1210&lt;=500),VLOOKUP(AF1210,TPCalibEq500!$AZ$2:$BB$56,3,),IF(AND(I1210="TDP",S1210&lt;=500),VLOOKUP(AF1210,TPCalibEq500!$AZ$2:$BB$56,3,)))</f>
        <v>y=2.2125x2+32.759x-8.5751</v>
      </c>
      <c r="AT1210" s="10" t="b">
        <f>IF(AND(I1210="TN",S1210&lt;=2800),VLOOKUP(AF1210,TNCalibEq2500!$AZ$2:$BB$56,3,),IF(AND(I1210="TDN",S1210&lt;=2800),VLOOKUP(AF1210,TNCalibEq2500!$AZ$2:$BB$56,3,)))</f>
        <v>0</v>
      </c>
      <c r="AU1210" s="10" t="str">
        <f>IF(I1210="TP",VLOOKUP(AF1210,TPCalibEqFull!$AZ$2:$BB$56,3),IF(I1210="TDP",VLOOKUP(AF1210,TPCalibEqFull!$AZ$2:$BB$56,3),IF(I1210="TDN",VLOOKUP(AF1210,TNCalibEqFull!$AZ$1:$BB$56,3),IF(I1210="TN",VLOOKUP(AF1210,TNCalibEqFull!$AZ$1:$BB$56,3),FALSE))))</f>
        <v>y=0.5642x2+45.477x-20.207</v>
      </c>
      <c r="AV1210" s="10" t="str">
        <f t="shared" si="134"/>
        <v>0124 09:00:00-QAC-STD-22A-1-DI-PER</v>
      </c>
    </row>
    <row r="1211" spans="1:48" s="10" customFormat="1" x14ac:dyDescent="0.55000000000000004">
      <c r="A1211" s="32">
        <v>44950</v>
      </c>
      <c r="B1211" s="33">
        <v>0.375</v>
      </c>
      <c r="C1211" s="10" t="s">
        <v>70</v>
      </c>
      <c r="D1211" s="10" t="s">
        <v>71</v>
      </c>
      <c r="E1211" s="10" t="s">
        <v>1060</v>
      </c>
      <c r="F1211" s="10">
        <v>1</v>
      </c>
      <c r="G1211" s="10" t="s">
        <v>73</v>
      </c>
      <c r="H1211" s="10" t="s">
        <v>299</v>
      </c>
      <c r="I1211" s="10" t="s">
        <v>83</v>
      </c>
      <c r="J1211" s="10">
        <v>214</v>
      </c>
      <c r="K1211" s="12">
        <v>44950</v>
      </c>
      <c r="L1211" s="33">
        <v>0.54644675925925923</v>
      </c>
      <c r="M1211" s="10">
        <v>1</v>
      </c>
      <c r="N1211" s="10" t="s">
        <v>84</v>
      </c>
      <c r="O1211" s="10">
        <v>3.23</v>
      </c>
      <c r="P1211" s="10">
        <v>0.23100000000000001</v>
      </c>
      <c r="Q1211" s="10">
        <v>154</v>
      </c>
      <c r="R1211" s="10" t="s">
        <v>85</v>
      </c>
      <c r="S1211" s="34">
        <f t="shared" si="131"/>
        <v>213.29359680000005</v>
      </c>
      <c r="T1211" s="10" t="s">
        <v>1087</v>
      </c>
      <c r="U1211" s="34">
        <f t="shared" si="132"/>
        <v>106.64679840000002</v>
      </c>
      <c r="V1211" s="31">
        <f>IF(H1211="CHK",VLOOKUP(I1211,QCCHK,3,),IF(H1211="GUP",VLOOKUP(E1211,QCGUP,2,),IF(AND(H1211="ATP",OR(I1211="TN",I1211="TDN",I1211="TNO2-3",I1211="NO2-3")),VLOOKUP(E1211,QCREC_N,2,),IF(AND(H1211="NIC",OR(I1211="TN",I1211="TDN",I1211="TNO2-3",I1211="NO2-3")),VLOOKUP(E1211,QCNIC_N,2,),IF(AND(H1211="UREA",OR(I1211="TN",I1211="TDN",I1211="TNO2-3",I1211="NO2-3")),VLOOKUP(E1211,QCUREA_N,2,),IF(H1211="PER",VLOOKUP(I1211,QCPER,MATCH(E1211,QCACTUAL!$J$25:$AA$25,0),),IF(H1211="SPK",VLOOKUP(I1211,QCSPK,3,),IF(AND(H1211="ATP",OR(I1211="TP",I1211="TDP")),VLOOKUP(E1211,QCATP_P,2,),""))))))))</f>
        <v>200</v>
      </c>
      <c r="W1211" s="31" t="str">
        <f t="shared" si="133"/>
        <v>TRUE</v>
      </c>
      <c r="X1211" s="31" t="str">
        <f t="shared" si="130"/>
        <v>[per]/[actual]*100</v>
      </c>
      <c r="Y1211" s="10" t="s">
        <v>1071</v>
      </c>
      <c r="AF1211" s="12">
        <v>44950</v>
      </c>
      <c r="AH1211" s="10">
        <f>-3.008*3.23^2+89.412*3.23-44.125</f>
        <v>213.29359680000005</v>
      </c>
      <c r="AI1211" s="10">
        <f>2.2125*3.23^2+32.759*3.23-8.5751</f>
        <v>120.31926125</v>
      </c>
      <c r="AK1211" s="10">
        <f>0.5642*3.23^2+45.477*3.23-20.207</f>
        <v>132.56995218</v>
      </c>
      <c r="AL1211" s="10" t="str">
        <f t="shared" si="137"/>
        <v>FALSE</v>
      </c>
      <c r="AM1211" s="10" t="str">
        <f t="shared" si="137"/>
        <v>y=-3.008*3.23^2+89.412*3.23-44.125</v>
      </c>
      <c r="AN1211" s="10" t="str">
        <f t="shared" si="137"/>
        <v>y=2.2125*3.23^2+32.759*3.23-8.5751</v>
      </c>
      <c r="AO1211" s="10" t="str">
        <f t="shared" si="138"/>
        <v>FALSE</v>
      </c>
      <c r="AP1211" s="10" t="str">
        <f t="shared" si="138"/>
        <v>y=0.5642*3.23^2+45.477*3.23-20.207</v>
      </c>
      <c r="AQ1211" s="10" t="b">
        <f>IF(AND(I1211="TP",S1211&lt;=150),VLOOKUP(AF1211,TPCalibEq150!$AZ$2:$BB$55,3,),IF(AND(I1211="TDP",S1211&lt;=150),VLOOKUP(AF1211,TPCalibEq150!$AZ$2:$BB$55,3,)))</f>
        <v>0</v>
      </c>
      <c r="AR1211" s="10" t="str">
        <f>IF(AND(I1211="TP",S1211&lt;=300),VLOOKUP(AF1211,TPCalibEq300!$AZ$2:$BB$55,3,),IF(AND(I1211="TDP",S1211&lt;=300),VLOOKUP(AF1211,TPCalibEq300!$AZ$2:$BB$55,3,)))</f>
        <v>y=-3.008x2+89.412x-44.125</v>
      </c>
      <c r="AS1211" s="10" t="str">
        <f>IF(AND(I1211="TP",S1211&lt;=500),VLOOKUP(AF1211,TPCalibEq500!$AZ$2:$BB$56,3,),IF(AND(I1211="TDP",S1211&lt;=500),VLOOKUP(AF1211,TPCalibEq500!$AZ$2:$BB$56,3,)))</f>
        <v>y=2.2125x2+32.759x-8.5751</v>
      </c>
      <c r="AT1211" s="10" t="b">
        <f>IF(AND(I1211="TN",S1211&lt;=2800),VLOOKUP(AF1211,TNCalibEq2500!$AZ$2:$BB$56,3,),IF(AND(I1211="TDN",S1211&lt;=2800),VLOOKUP(AF1211,TNCalibEq2500!$AZ$2:$BB$56,3,)))</f>
        <v>0</v>
      </c>
      <c r="AU1211" s="10" t="str">
        <f>IF(I1211="TP",VLOOKUP(AF1211,TPCalibEqFull!$AZ$2:$BB$56,3),IF(I1211="TDP",VLOOKUP(AF1211,TPCalibEqFull!$AZ$2:$BB$56,3),IF(I1211="TDN",VLOOKUP(AF1211,TNCalibEqFull!$AZ$1:$BB$56,3),IF(I1211="TN",VLOOKUP(AF1211,TNCalibEqFull!$AZ$1:$BB$56,3),FALSE))))</f>
        <v>y=0.5642x2+45.477x-20.207</v>
      </c>
      <c r="AV1211" s="10" t="str">
        <f t="shared" si="134"/>
        <v>0124 09:00:00-QAC-STD-22B-1-DI-PER</v>
      </c>
    </row>
    <row r="1212" spans="1:48" s="10" customFormat="1" x14ac:dyDescent="0.55000000000000004">
      <c r="A1212" s="32">
        <v>44950</v>
      </c>
      <c r="B1212" s="33">
        <v>0.375</v>
      </c>
      <c r="C1212" s="10" t="s">
        <v>70</v>
      </c>
      <c r="D1212" s="10" t="s">
        <v>305</v>
      </c>
      <c r="E1212" s="10" t="s">
        <v>866</v>
      </c>
      <c r="F1212" s="10">
        <v>1</v>
      </c>
      <c r="G1212" s="10" t="s">
        <v>73</v>
      </c>
      <c r="H1212" s="10" t="s">
        <v>274</v>
      </c>
      <c r="I1212" s="10" t="s">
        <v>83</v>
      </c>
      <c r="J1212" s="10">
        <v>204</v>
      </c>
      <c r="K1212" s="12">
        <v>44950</v>
      </c>
      <c r="L1212" s="33">
        <v>0.5549074074074074</v>
      </c>
      <c r="M1212" s="10">
        <v>1</v>
      </c>
      <c r="N1212" s="10" t="s">
        <v>84</v>
      </c>
      <c r="O1212" s="10">
        <v>16.600000000000001</v>
      </c>
      <c r="P1212" s="10">
        <v>1.18</v>
      </c>
      <c r="Q1212" s="10">
        <v>916</v>
      </c>
      <c r="R1212" s="10" t="s">
        <v>85</v>
      </c>
      <c r="S1212" s="34">
        <f>IF(OR(AND(I1212&lt;&gt;"TP", I1212&lt;&gt;"TDP",I1212&lt;&gt;"TN", I1212&lt;&gt;"TDN"),H1212="CAL"), Q1212*M1212, IF(OR(AND(I1212="TN", Q1212&gt;2500), AND(I1212="TDN", Q1212&gt;2500)),MAX(Q1212, AK1212)*M1212, IF(OR(AND(I1212="TN", Q1212&lt;=2500), AND(I1212="TDN", Q1212&lt;=2500)),MAX(Q1212, AJ1212,AK1212)*M1212, IF(OR(AND(I1212="TP",Q1212&gt;500), AND(I1212="TDP", Q1212&gt;500)),MAX(Q1212,AK1212)*M1212,IF(OR(AND(I1212="TP",Q1212&lt;=150), AND(I1212="TDP", Q1212&lt;=150)),MAX(Q1212,AG1212:AI1212,AK1212)*M1212,IF(OR(AND(I1212="TP",Q1212&lt;=300), AND(I1212="TDP", Q1212&lt;=300)),MAX(Q1212,AH1212,AI1212,AK1212)*M1212,IF(OR(AND(I1212="TP",Q1212&lt;=500), AND(I1212="TDP", Q1212&lt;=500)),MAX(Q1212,AI1212,AK1212)*M1212,"")))))))</f>
        <v>916</v>
      </c>
      <c r="T1212" s="10" t="s">
        <v>1087</v>
      </c>
      <c r="U1212" s="34">
        <f t="shared" si="132"/>
        <v>91.600000000000009</v>
      </c>
      <c r="V1212" s="31">
        <f>IF(H1212="CHK",VLOOKUP(I1212,QCCHK,3,),IF(H1212="GUP",VLOOKUP(E1212,QCGUP,2,),IF(AND(H1212="ATP",OR(I1212="TN",I1212="TDN",I1212="TNO2-3",I1212="NO2-3")),VLOOKUP(E1212,QCREC_N,2,),IF(AND(H1212="NIC",OR(I1212="TN",I1212="TDN",I1212="TNO2-3",I1212="NO2-3")),VLOOKUP(E1212,QCNIC_N,2,),IF(AND(H1212="UREA",OR(I1212="TN",I1212="TDN",I1212="TNO2-3",I1212="NO2-3")),VLOOKUP(E1212,QCUREA_N,2,),IF(H1212="PER",VLOOKUP(I1212,QCPER,MATCH(E1212,QCACTUAL!$J$25:$AA$25,0),),IF(H1212="SPK",VLOOKUP(I1212,QCSPK,3,),IF(AND(H1212="ATP",OR(I1212="TP",I1212="TDP")),VLOOKUP(E1212,QCATP_P,2,),""))))))))</f>
        <v>1000</v>
      </c>
      <c r="W1212" s="31" t="str">
        <f t="shared" si="133"/>
        <v>TRUE</v>
      </c>
      <c r="X1212" s="31" t="str">
        <f>IF(ISNA(VLOOKUP(H1212,QCEQUATIONS,2,)),"",(VLOOKUP(H1212,QCEQUATIONS,2,)))</f>
        <v>[rec]/[actual]*100</v>
      </c>
      <c r="Y1212" s="10" t="s">
        <v>1071</v>
      </c>
      <c r="AF1212" s="12">
        <v>44950</v>
      </c>
      <c r="AK1212" s="10">
        <f>0.5642*16.6^2+45.477*16.6-20.207</f>
        <v>890.18215199999997</v>
      </c>
      <c r="AL1212" s="10" t="str">
        <f t="shared" si="137"/>
        <v>FALSE</v>
      </c>
      <c r="AM1212" s="10" t="str">
        <f t="shared" si="137"/>
        <v>FALSE</v>
      </c>
      <c r="AN1212" s="10" t="str">
        <f t="shared" si="137"/>
        <v>FALSE</v>
      </c>
      <c r="AO1212" s="10" t="str">
        <f t="shared" si="138"/>
        <v>FALSE</v>
      </c>
      <c r="AP1212" s="10" t="str">
        <f t="shared" si="138"/>
        <v>y=0.5642*16.6^2+45.477*16.6-20.207</v>
      </c>
      <c r="AQ1212" s="10" t="b">
        <f>IF(AND(I1212="TP",S1212&lt;=150),VLOOKUP(AF1212,TPCalibEq150!$AZ$2:$BB$55,3,),IF(AND(I1212="TDP",S1212&lt;=150),VLOOKUP(AF1212,TPCalibEq150!$AZ$2:$BB$55,3,)))</f>
        <v>0</v>
      </c>
      <c r="AR1212" s="10" t="b">
        <f>IF(AND(I1212="TP",S1212&lt;=300),VLOOKUP(AF1212,TPCalibEq300!$AZ$2:$BB$55,3,),IF(AND(I1212="TDP",S1212&lt;=300),VLOOKUP(AF1212,TPCalibEq300!$AZ$2:$BB$55,3,)))</f>
        <v>0</v>
      </c>
      <c r="AS1212" s="10" t="b">
        <f>IF(AND(I1212="TP",S1212&lt;=500),VLOOKUP(AF1212,TPCalibEq500!$AZ$2:$BB$56,3,),IF(AND(I1212="TDP",S1212&lt;=500),VLOOKUP(AF1212,TPCalibEq500!$AZ$2:$BB$56,3,)))</f>
        <v>0</v>
      </c>
      <c r="AT1212" s="10" t="b">
        <f>IF(AND(I1212="TN",S1212&lt;=2800),VLOOKUP(AF1212,TNCalibEq2500!$AZ$2:$BB$56,3,),IF(AND(I1212="TDN",S1212&lt;=2800),VLOOKUP(AF1212,TNCalibEq2500!$AZ$2:$BB$56,3,)))</f>
        <v>0</v>
      </c>
      <c r="AU1212" s="10" t="str">
        <f>IF(I1212="TP",VLOOKUP(AF1212,TPCalibEqFull!$AZ$2:$BB$56,3),IF(I1212="TDP",VLOOKUP(AF1212,TPCalibEqFull!$AZ$2:$BB$56,3),IF(I1212="TDN",VLOOKUP(AF1212,TNCalibEqFull!$AZ$1:$BB$56,3),IF(I1212="TN",VLOOKUP(AF1212,TNCalibEqFull!$AZ$1:$BB$56,3),FALSE))))</f>
        <v>y=0.5642x2+45.477x-20.207</v>
      </c>
      <c r="AV1212" s="10" t="str">
        <f t="shared" si="134"/>
        <v>0124 09:00:00-QAC-REC-A-1-DI-GUP</v>
      </c>
    </row>
    <row r="1213" spans="1:48" s="10" customFormat="1" x14ac:dyDescent="0.55000000000000004">
      <c r="A1213" s="32">
        <v>44950</v>
      </c>
      <c r="B1213" s="33">
        <v>0.375</v>
      </c>
      <c r="C1213" s="10" t="s">
        <v>70</v>
      </c>
      <c r="D1213" s="10" t="s">
        <v>305</v>
      </c>
      <c r="E1213" s="10" t="s">
        <v>190</v>
      </c>
      <c r="F1213" s="10">
        <v>1</v>
      </c>
      <c r="G1213" s="10" t="s">
        <v>73</v>
      </c>
      <c r="H1213" s="10" t="s">
        <v>274</v>
      </c>
      <c r="I1213" s="10" t="s">
        <v>83</v>
      </c>
      <c r="J1213" s="10">
        <v>205</v>
      </c>
      <c r="K1213" s="12">
        <v>44950</v>
      </c>
      <c r="L1213" s="33">
        <v>0.5478587962962963</v>
      </c>
      <c r="M1213" s="10">
        <v>1</v>
      </c>
      <c r="N1213" s="10" t="s">
        <v>84</v>
      </c>
      <c r="O1213" s="10">
        <v>1.76</v>
      </c>
      <c r="P1213" s="10">
        <v>0.123</v>
      </c>
      <c r="Q1213" s="10">
        <v>80.5</v>
      </c>
      <c r="R1213" s="10" t="s">
        <v>85</v>
      </c>
      <c r="S1213" s="34">
        <f t="shared" si="131"/>
        <v>105.13133632000002</v>
      </c>
      <c r="T1213" s="10" t="s">
        <v>1087</v>
      </c>
      <c r="U1213" s="34">
        <f t="shared" si="132"/>
        <v>105.13133632000003</v>
      </c>
      <c r="V1213" s="31">
        <f>IF(H1213="CHK",VLOOKUP(I1213,QCCHK,3,),IF(H1213="GUP",VLOOKUP(E1213,QCGUP,2,),IF(AND(H1213="ATP",OR(I1213="TN",I1213="TDN",I1213="TNO2-3",I1213="NO2-3")),VLOOKUP(E1213,QCREC_N,2,),IF(AND(H1213="NIC",OR(I1213="TN",I1213="TDN",I1213="TNO2-3",I1213="NO2-3")),VLOOKUP(E1213,QCNIC_N,2,),IF(AND(H1213="UREA",OR(I1213="TN",I1213="TDN",I1213="TNO2-3",I1213="NO2-3")),VLOOKUP(E1213,QCUREA_N,2,),IF(H1213="PER",VLOOKUP(I1213,QCPER,MATCH(E1213,QCACTUAL!$J$25:$AA$25,0),),IF(H1213="SPK",VLOOKUP(I1213,QCSPK,3,),IF(AND(H1213="ATP",OR(I1213="TP",I1213="TDP")),VLOOKUP(E1213,QCATP_P,2,),""))))))))</f>
        <v>100</v>
      </c>
      <c r="W1213" s="31" t="str">
        <f t="shared" si="133"/>
        <v>TRUE</v>
      </c>
      <c r="X1213" s="31" t="str">
        <f t="shared" si="130"/>
        <v>[rec]/[actual]*100</v>
      </c>
      <c r="Y1213" s="10" t="s">
        <v>1071</v>
      </c>
      <c r="AF1213" s="12">
        <v>44950</v>
      </c>
      <c r="AG1213" s="10">
        <f>-5.8068*1.76^2+97.248*1.76-48.038</f>
        <v>105.13133632000002</v>
      </c>
      <c r="AH1213" s="10">
        <f>-3.008*1.76^2+89.412*1.76-44.125</f>
        <v>103.92253920000002</v>
      </c>
      <c r="AI1213" s="10">
        <f>2.2125*1.76^2+32.759*1.76-8.5751</f>
        <v>55.934179999999991</v>
      </c>
      <c r="AK1213" s="10">
        <f>0.5642*1.76^2+45.477*1.76-20.207</f>
        <v>61.580185919999998</v>
      </c>
      <c r="AL1213" s="10" t="str">
        <f t="shared" si="137"/>
        <v>y=-5.8068*1.76^2+97.248*1.76-48.038</v>
      </c>
      <c r="AM1213" s="10" t="str">
        <f t="shared" si="137"/>
        <v>y=-3.008*1.76^2+89.412*1.76-44.125</v>
      </c>
      <c r="AN1213" s="10" t="str">
        <f t="shared" si="137"/>
        <v>y=2.2125*1.76^2+32.759*1.76-8.5751</v>
      </c>
      <c r="AO1213" s="10" t="str">
        <f t="shared" si="138"/>
        <v>FALSE</v>
      </c>
      <c r="AP1213" s="10" t="str">
        <f t="shared" si="138"/>
        <v>y=0.5642*1.76^2+45.477*1.76-20.207</v>
      </c>
      <c r="AQ1213" s="10" t="str">
        <f>IF(AND(I1213="TP",S1213&lt;=150),VLOOKUP(AF1213,TPCalibEq150!$AZ$2:$BB$55,3,),IF(AND(I1213="TDP",S1213&lt;=150),VLOOKUP(AF1213,TPCalibEq150!$AZ$2:$BB$55,3,)))</f>
        <v>y=-5.8068x2+97.248x-48.038</v>
      </c>
      <c r="AR1213" s="10" t="str">
        <f>IF(AND(I1213="TP",S1213&lt;=300),VLOOKUP(AF1213,TPCalibEq300!$AZ$2:$BB$55,3,),IF(AND(I1213="TDP",S1213&lt;=300),VLOOKUP(AF1213,TPCalibEq300!$AZ$2:$BB$55,3,)))</f>
        <v>y=-3.008x2+89.412x-44.125</v>
      </c>
      <c r="AS1213" s="10" t="str">
        <f>IF(AND(I1213="TP",S1213&lt;=500),VLOOKUP(AF1213,TPCalibEq500!$AZ$2:$BB$56,3,),IF(AND(I1213="TDP",S1213&lt;=500),VLOOKUP(AF1213,TPCalibEq500!$AZ$2:$BB$56,3,)))</f>
        <v>y=2.2125x2+32.759x-8.5751</v>
      </c>
      <c r="AT1213" s="10" t="b">
        <f>IF(AND(I1213="TN",S1213&lt;=2800),VLOOKUP(AF1213,TNCalibEq2500!$AZ$2:$BB$56,3,),IF(AND(I1213="TDN",S1213&lt;=2800),VLOOKUP(AF1213,TNCalibEq2500!$AZ$2:$BB$56,3,)))</f>
        <v>0</v>
      </c>
      <c r="AU1213" s="10" t="str">
        <f>IF(I1213="TP",VLOOKUP(AF1213,TPCalibEqFull!$AZ$2:$BB$56,3),IF(I1213="TDP",VLOOKUP(AF1213,TPCalibEqFull!$AZ$2:$BB$56,3),IF(I1213="TDN",VLOOKUP(AF1213,TNCalibEqFull!$AZ$1:$BB$56,3),IF(I1213="TN",VLOOKUP(AF1213,TNCalibEqFull!$AZ$1:$BB$56,3),FALSE))))</f>
        <v>y=0.5642x2+45.477x-20.207</v>
      </c>
      <c r="AV1213" s="10" t="str">
        <f t="shared" si="134"/>
        <v>0124 09:00:00-QAC-REC-C-1-DI-GUP</v>
      </c>
    </row>
    <row r="1214" spans="1:48" s="10" customFormat="1" x14ac:dyDescent="0.55000000000000004">
      <c r="A1214" s="32">
        <v>44950</v>
      </c>
      <c r="B1214" s="33">
        <v>0.375</v>
      </c>
      <c r="C1214" s="10" t="s">
        <v>70</v>
      </c>
      <c r="D1214" s="10" t="s">
        <v>305</v>
      </c>
      <c r="E1214" s="10" t="s">
        <v>866</v>
      </c>
      <c r="F1214" s="10">
        <v>1</v>
      </c>
      <c r="G1214" s="10" t="s">
        <v>73</v>
      </c>
      <c r="H1214" s="10" t="s">
        <v>181</v>
      </c>
      <c r="I1214" s="10" t="s">
        <v>83</v>
      </c>
      <c r="J1214" s="10">
        <v>206</v>
      </c>
      <c r="K1214" s="12">
        <v>44950</v>
      </c>
      <c r="L1214" s="33">
        <v>0.54856481481481478</v>
      </c>
      <c r="M1214" s="10">
        <v>1</v>
      </c>
      <c r="N1214" s="10" t="s">
        <v>84</v>
      </c>
      <c r="O1214" s="10">
        <v>19</v>
      </c>
      <c r="P1214" s="10">
        <v>1.35</v>
      </c>
      <c r="Q1214" s="10">
        <v>1070</v>
      </c>
      <c r="R1214" s="10" t="s">
        <v>85</v>
      </c>
      <c r="S1214" s="34">
        <f t="shared" si="131"/>
        <v>1070</v>
      </c>
      <c r="T1214" s="10" t="s">
        <v>1087</v>
      </c>
      <c r="U1214" s="34">
        <f t="shared" si="132"/>
        <v>80.270067516879223</v>
      </c>
      <c r="V1214" s="31">
        <f>IF(H1214="CHK",VLOOKUP(I1214,QCCHK,3,),IF(H1214="GUP",VLOOKUP(E1214,QCGUP,2,),IF(AND(H1214="ATP",OR(I1214="TN",I1214="TDN",I1214="TNO2-3",I1214="NO2-3")),VLOOKUP(E1214,QCREC_N,2,),IF(AND(H1214="NIC",OR(I1214="TN",I1214="TDN",I1214="TNO2-3",I1214="NO2-3")),VLOOKUP(E1214,QCNIC_N,2,),IF(AND(H1214="UREA",OR(I1214="TN",I1214="TDN",I1214="TNO2-3",I1214="NO2-3")),VLOOKUP(E1214,QCUREA_N,2,),IF(H1214="PER",VLOOKUP(I1214,QCPER,MATCH(E1214,QCACTUAL!$J$25:$AA$25,0),),IF(H1214="SPK",VLOOKUP(I1214,QCSPK,3,),IF(AND(H1214="ATP",OR(I1214="TP",I1214="TDP")),VLOOKUP(E1214,QCATP_P,2,),""))))))))</f>
        <v>1333</v>
      </c>
      <c r="W1214" s="31" t="str">
        <f t="shared" si="133"/>
        <v>TRUE</v>
      </c>
      <c r="X1214" s="31" t="str">
        <f t="shared" si="130"/>
        <v>[rec]/[actual]*100</v>
      </c>
      <c r="Y1214" s="10" t="s">
        <v>1071</v>
      </c>
      <c r="AF1214" s="12">
        <v>44950</v>
      </c>
      <c r="AK1214" s="10">
        <f>0.5642*19^2+45.477*19-20.207</f>
        <v>1047.5321999999999</v>
      </c>
      <c r="AL1214" s="10" t="str">
        <f t="shared" si="137"/>
        <v>FALSE</v>
      </c>
      <c r="AM1214" s="10" t="str">
        <f t="shared" si="137"/>
        <v>FALSE</v>
      </c>
      <c r="AN1214" s="10" t="str">
        <f t="shared" si="137"/>
        <v>FALSE</v>
      </c>
      <c r="AO1214" s="10" t="str">
        <f t="shared" si="138"/>
        <v>FALSE</v>
      </c>
      <c r="AP1214" s="10" t="str">
        <f t="shared" si="138"/>
        <v>y=0.5642*19^2+45.477*19-20.207</v>
      </c>
      <c r="AQ1214" s="10" t="b">
        <f>IF(AND(I1214="TP",S1214&lt;=150),VLOOKUP(AF1214,TPCalibEq150!$AZ$2:$BB$55,3,),IF(AND(I1214="TDP",S1214&lt;=150),VLOOKUP(AF1214,TPCalibEq150!$AZ$2:$BB$55,3,)))</f>
        <v>0</v>
      </c>
      <c r="AR1214" s="10" t="b">
        <f>IF(AND(I1214="TP",S1214&lt;=300),VLOOKUP(AF1214,TPCalibEq300!$AZ$2:$BB$55,3,),IF(AND(I1214="TDP",S1214&lt;=300),VLOOKUP(AF1214,TPCalibEq300!$AZ$2:$BB$55,3,)))</f>
        <v>0</v>
      </c>
      <c r="AS1214" s="10" t="b">
        <f>IF(AND(I1214="TP",S1214&lt;=500),VLOOKUP(AF1214,TPCalibEq500!$AZ$2:$BB$56,3,),IF(AND(I1214="TDP",S1214&lt;=500),VLOOKUP(AF1214,TPCalibEq500!$AZ$2:$BB$56,3,)))</f>
        <v>0</v>
      </c>
      <c r="AT1214" s="10" t="b">
        <f>IF(AND(I1214="TN",S1214&lt;=2800),VLOOKUP(AF1214,TNCalibEq2500!$AZ$2:$BB$56,3,),IF(AND(I1214="TDN",S1214&lt;=2800),VLOOKUP(AF1214,TNCalibEq2500!$AZ$2:$BB$56,3,)))</f>
        <v>0</v>
      </c>
      <c r="AU1214" s="10" t="str">
        <f>IF(I1214="TP",VLOOKUP(AF1214,TPCalibEqFull!$AZ$2:$BB$56,3),IF(I1214="TDP",VLOOKUP(AF1214,TPCalibEqFull!$AZ$2:$BB$56,3),IF(I1214="TDN",VLOOKUP(AF1214,TNCalibEqFull!$AZ$1:$BB$56,3),IF(I1214="TN",VLOOKUP(AF1214,TNCalibEqFull!$AZ$1:$BB$56,3),FALSE))))</f>
        <v>y=0.5642x2+45.477x-20.207</v>
      </c>
      <c r="AV1214" s="10" t="str">
        <f t="shared" si="134"/>
        <v>0124 09:00:00-QAC-REC-A-1-DI-ATP</v>
      </c>
    </row>
    <row r="1215" spans="1:48" s="10" customFormat="1" x14ac:dyDescent="0.55000000000000004">
      <c r="A1215" s="32">
        <v>44950</v>
      </c>
      <c r="B1215" s="33">
        <v>0.375</v>
      </c>
      <c r="C1215" s="10" t="s">
        <v>70</v>
      </c>
      <c r="D1215" s="10" t="s">
        <v>305</v>
      </c>
      <c r="E1215" s="10" t="s">
        <v>583</v>
      </c>
      <c r="F1215" s="10">
        <v>1</v>
      </c>
      <c r="G1215" s="10" t="s">
        <v>73</v>
      </c>
      <c r="H1215" s="10" t="s">
        <v>181</v>
      </c>
      <c r="I1215" s="10" t="s">
        <v>83</v>
      </c>
      <c r="J1215" s="10">
        <v>207</v>
      </c>
      <c r="K1215" s="12">
        <v>44950</v>
      </c>
      <c r="L1215" s="33">
        <v>0.54927083333333326</v>
      </c>
      <c r="M1215" s="10">
        <v>1</v>
      </c>
      <c r="N1215" s="10" t="s">
        <v>84</v>
      </c>
      <c r="O1215" s="10">
        <v>4.17</v>
      </c>
      <c r="P1215" s="10">
        <v>0.29899999999999999</v>
      </c>
      <c r="Q1215" s="10">
        <v>202</v>
      </c>
      <c r="R1215" s="10" t="s">
        <v>85</v>
      </c>
      <c r="S1215" s="34">
        <f t="shared" si="131"/>
        <v>276.41722880000003</v>
      </c>
      <c r="T1215" s="10" t="s">
        <v>1087</v>
      </c>
      <c r="U1215" s="34">
        <f t="shared" si="132"/>
        <v>103.91625142857144</v>
      </c>
      <c r="V1215" s="31">
        <f>IF(H1215="CHK",VLOOKUP(I1215,QCCHK,3,),IF(H1215="GUP",VLOOKUP(E1215,QCGUP,2,),IF(AND(H1215="ATP",OR(I1215="TN",I1215="TDN",I1215="TNO2-3",I1215="NO2-3")),VLOOKUP(E1215,QCREC_N,2,),IF(AND(H1215="NIC",OR(I1215="TN",I1215="TDN",I1215="TNO2-3",I1215="NO2-3")),VLOOKUP(E1215,QCNIC_N,2,),IF(AND(H1215="UREA",OR(I1215="TN",I1215="TDN",I1215="TNO2-3",I1215="NO2-3")),VLOOKUP(E1215,QCUREA_N,2,),IF(H1215="PER",VLOOKUP(I1215,QCPER,MATCH(E1215,QCACTUAL!$J$25:$AA$25,0),),IF(H1215="SPK",VLOOKUP(I1215,QCSPK,3,),IF(AND(H1215="ATP",OR(I1215="TP",I1215="TDP")),VLOOKUP(E1215,QCATP_P,2,),""))))))))</f>
        <v>266</v>
      </c>
      <c r="W1215" s="31" t="str">
        <f t="shared" si="133"/>
        <v>TRUE</v>
      </c>
      <c r="X1215" s="31" t="str">
        <f t="shared" si="130"/>
        <v>[rec]/[actual]*100</v>
      </c>
      <c r="Y1215" s="10" t="s">
        <v>1071</v>
      </c>
      <c r="AF1215" s="12">
        <v>44950</v>
      </c>
      <c r="AH1215" s="10">
        <f>-3.008*4.17^2+89.412*4.17-44.125</f>
        <v>276.41722880000003</v>
      </c>
      <c r="AI1215" s="10">
        <f>2.2125*4.17^2+32.759*4.17-8.5751</f>
        <v>166.50287125</v>
      </c>
      <c r="AK1215" s="10">
        <f>0.5642*4.17^2+45.477*4.17-20.207</f>
        <v>179.24290737999999</v>
      </c>
      <c r="AL1215" s="10" t="str">
        <f t="shared" si="137"/>
        <v>FALSE</v>
      </c>
      <c r="AM1215" s="10" t="str">
        <f t="shared" si="137"/>
        <v>y=-3.008*4.17^2+89.412*4.17-44.125</v>
      </c>
      <c r="AN1215" s="10" t="str">
        <f t="shared" si="137"/>
        <v>y=2.2125*4.17^2+32.759*4.17-8.5751</v>
      </c>
      <c r="AO1215" s="10" t="str">
        <f t="shared" si="138"/>
        <v>FALSE</v>
      </c>
      <c r="AP1215" s="10" t="str">
        <f t="shared" si="138"/>
        <v>y=0.5642*4.17^2+45.477*4.17-20.207</v>
      </c>
      <c r="AQ1215" s="10" t="b">
        <f>IF(AND(I1215="TP",S1215&lt;=150),VLOOKUP(AF1215,TPCalibEq150!$AZ$2:$BB$55,3,),IF(AND(I1215="TDP",S1215&lt;=150),VLOOKUP(AF1215,TPCalibEq150!$AZ$2:$BB$55,3,)))</f>
        <v>0</v>
      </c>
      <c r="AR1215" s="10" t="str">
        <f>IF(AND(I1215="TP",S1215&lt;=300),VLOOKUP(AF1215,TPCalibEq300!$AZ$2:$BB$55,3,),IF(AND(I1215="TDP",S1215&lt;=300),VLOOKUP(AF1215,TPCalibEq300!$AZ$2:$BB$55,3,)))</f>
        <v>y=-3.008x2+89.412x-44.125</v>
      </c>
      <c r="AS1215" s="10" t="str">
        <f>IF(AND(I1215="TP",S1215&lt;=500),VLOOKUP(AF1215,TPCalibEq500!$AZ$2:$BB$56,3,),IF(AND(I1215="TDP",S1215&lt;=500),VLOOKUP(AF1215,TPCalibEq500!$AZ$2:$BB$56,3,)))</f>
        <v>y=2.2125x2+32.759x-8.5751</v>
      </c>
      <c r="AT1215" s="10" t="b">
        <f>IF(AND(I1215="TN",S1215&lt;=2800),VLOOKUP(AF1215,TNCalibEq2500!$AZ$2:$BB$56,3,),IF(AND(I1215="TDN",S1215&lt;=2800),VLOOKUP(AF1215,TNCalibEq2500!$AZ$2:$BB$56,3,)))</f>
        <v>0</v>
      </c>
      <c r="AU1215" s="10" t="str">
        <f>IF(I1215="TP",VLOOKUP(AF1215,TPCalibEqFull!$AZ$2:$BB$56,3),IF(I1215="TDP",VLOOKUP(AF1215,TPCalibEqFull!$AZ$2:$BB$56,3),IF(I1215="TDN",VLOOKUP(AF1215,TNCalibEqFull!$AZ$1:$BB$56,3),IF(I1215="TN",VLOOKUP(AF1215,TNCalibEqFull!$AZ$1:$BB$56,3),FALSE))))</f>
        <v>y=0.5642x2+45.477x-20.207</v>
      </c>
      <c r="AV1215" s="10" t="str">
        <f t="shared" si="134"/>
        <v>0124 09:00:00-QAC-REC-B-1-DI-ATP</v>
      </c>
    </row>
    <row r="1216" spans="1:48" s="10" customFormat="1" x14ac:dyDescent="0.55000000000000004">
      <c r="A1216" s="32">
        <v>44950</v>
      </c>
      <c r="B1216" s="33">
        <v>0.375</v>
      </c>
      <c r="C1216" s="10" t="s">
        <v>70</v>
      </c>
      <c r="D1216" s="10" t="s">
        <v>305</v>
      </c>
      <c r="E1216" s="10" t="s">
        <v>190</v>
      </c>
      <c r="F1216" s="10">
        <v>1</v>
      </c>
      <c r="G1216" s="10" t="s">
        <v>73</v>
      </c>
      <c r="H1216" s="10" t="s">
        <v>181</v>
      </c>
      <c r="I1216" s="10" t="s">
        <v>83</v>
      </c>
      <c r="J1216" s="10">
        <v>208</v>
      </c>
      <c r="K1216" s="12">
        <v>44950</v>
      </c>
      <c r="L1216" s="33">
        <v>0.54997685185185186</v>
      </c>
      <c r="M1216" s="10">
        <v>1</v>
      </c>
      <c r="N1216" s="10" t="s">
        <v>84</v>
      </c>
      <c r="O1216" s="10">
        <v>3.73</v>
      </c>
      <c r="P1216" s="10">
        <v>0.26800000000000002</v>
      </c>
      <c r="Q1216" s="10">
        <v>179</v>
      </c>
      <c r="R1216" s="10" t="s">
        <v>85</v>
      </c>
      <c r="S1216" s="34">
        <f t="shared" si="131"/>
        <v>247.53175680000004</v>
      </c>
      <c r="T1216" s="10" t="s">
        <v>1087</v>
      </c>
      <c r="U1216" s="34">
        <f t="shared" si="132"/>
        <v>186.11410285714288</v>
      </c>
      <c r="V1216" s="31">
        <f>IF(H1216="CHK",VLOOKUP(I1216,QCCHK,3,),IF(H1216="GUP",VLOOKUP(E1216,QCGUP,2,),IF(AND(H1216="ATP",OR(I1216="TN",I1216="TDN",I1216="TNO2-3",I1216="NO2-3")),VLOOKUP(E1216,QCREC_N,2,),IF(AND(H1216="NIC",OR(I1216="TN",I1216="TDN",I1216="TNO2-3",I1216="NO2-3")),VLOOKUP(E1216,QCNIC_N,2,),IF(AND(H1216="UREA",OR(I1216="TN",I1216="TDN",I1216="TNO2-3",I1216="NO2-3")),VLOOKUP(E1216,QCUREA_N,2,),IF(H1216="PER",VLOOKUP(I1216,QCPER,MATCH(E1216,QCACTUAL!$J$25:$AA$25,0),),IF(H1216="SPK",VLOOKUP(I1216,QCSPK,3,),IF(AND(H1216="ATP",OR(I1216="TP",I1216="TDP")),VLOOKUP(E1216,QCATP_P,2,),""))))))))</f>
        <v>133</v>
      </c>
      <c r="W1216" s="31" t="str">
        <f t="shared" si="133"/>
        <v>FALSE</v>
      </c>
      <c r="X1216" s="31" t="str">
        <f t="shared" si="130"/>
        <v>[rec]/[actual]*100</v>
      </c>
      <c r="Y1216" s="10" t="s">
        <v>1071</v>
      </c>
      <c r="AF1216" s="12">
        <v>44950</v>
      </c>
      <c r="AH1216" s="10">
        <f>-3.008*3.73^2+89.412*3.73-44.125</f>
        <v>247.53175680000004</v>
      </c>
      <c r="AI1216" s="10">
        <f>2.2125*3.73^2+32.759*3.73-8.5751</f>
        <v>144.39826124999999</v>
      </c>
      <c r="AK1216" s="10">
        <f>0.5642*3.73^2+45.477*3.73-20.207</f>
        <v>157.27186818000001</v>
      </c>
      <c r="AL1216" s="10" t="str">
        <f t="shared" si="137"/>
        <v>FALSE</v>
      </c>
      <c r="AM1216" s="10" t="str">
        <f t="shared" si="137"/>
        <v>y=-3.008*3.73^2+89.412*3.73-44.125</v>
      </c>
      <c r="AN1216" s="10" t="str">
        <f t="shared" si="137"/>
        <v>y=2.2125*3.73^2+32.759*3.73-8.5751</v>
      </c>
      <c r="AO1216" s="10" t="str">
        <f t="shared" si="138"/>
        <v>FALSE</v>
      </c>
      <c r="AP1216" s="10" t="str">
        <f t="shared" si="138"/>
        <v>y=0.5642*3.73^2+45.477*3.73-20.207</v>
      </c>
      <c r="AQ1216" s="10" t="b">
        <f>IF(AND(I1216="TP",S1216&lt;=150),VLOOKUP(AF1216,TPCalibEq150!$AZ$2:$BB$55,3,),IF(AND(I1216="TDP",S1216&lt;=150),VLOOKUP(AF1216,TPCalibEq150!$AZ$2:$BB$55,3,)))</f>
        <v>0</v>
      </c>
      <c r="AR1216" s="10" t="str">
        <f>IF(AND(I1216="TP",S1216&lt;=300),VLOOKUP(AF1216,TPCalibEq300!$AZ$2:$BB$55,3,),IF(AND(I1216="TDP",S1216&lt;=300),VLOOKUP(AF1216,TPCalibEq300!$AZ$2:$BB$55,3,)))</f>
        <v>y=-3.008x2+89.412x-44.125</v>
      </c>
      <c r="AS1216" s="10" t="str">
        <f>IF(AND(I1216="TP",S1216&lt;=500),VLOOKUP(AF1216,TPCalibEq500!$AZ$2:$BB$56,3,),IF(AND(I1216="TDP",S1216&lt;=500),VLOOKUP(AF1216,TPCalibEq500!$AZ$2:$BB$56,3,)))</f>
        <v>y=2.2125x2+32.759x-8.5751</v>
      </c>
      <c r="AT1216" s="10" t="b">
        <f>IF(AND(I1216="TN",S1216&lt;=2800),VLOOKUP(AF1216,TNCalibEq2500!$AZ$2:$BB$56,3,),IF(AND(I1216="TDN",S1216&lt;=2800),VLOOKUP(AF1216,TNCalibEq2500!$AZ$2:$BB$56,3,)))</f>
        <v>0</v>
      </c>
      <c r="AU1216" s="10" t="str">
        <f>IF(I1216="TP",VLOOKUP(AF1216,TPCalibEqFull!$AZ$2:$BB$56,3),IF(I1216="TDP",VLOOKUP(AF1216,TPCalibEqFull!$AZ$2:$BB$56,3),IF(I1216="TDN",VLOOKUP(AF1216,TNCalibEqFull!$AZ$1:$BB$56,3),IF(I1216="TN",VLOOKUP(AF1216,TNCalibEqFull!$AZ$1:$BB$56,3),FALSE))))</f>
        <v>y=0.5642x2+45.477x-20.207</v>
      </c>
      <c r="AV1216" s="10" t="str">
        <f t="shared" si="134"/>
        <v>0124 09:00:00-QAC-REC-C-1-DI-ATP</v>
      </c>
    </row>
    <row r="1217" spans="1:48" s="10" customFormat="1" x14ac:dyDescent="0.55000000000000004">
      <c r="A1217" s="32">
        <v>44950</v>
      </c>
      <c r="B1217" s="33">
        <v>0.375</v>
      </c>
      <c r="C1217" s="10" t="s">
        <v>70</v>
      </c>
      <c r="D1217" s="10" t="s">
        <v>305</v>
      </c>
      <c r="E1217" s="10" t="s">
        <v>190</v>
      </c>
      <c r="F1217" s="10">
        <v>1</v>
      </c>
      <c r="G1217" s="10" t="s">
        <v>73</v>
      </c>
      <c r="H1217" s="10" t="s">
        <v>181</v>
      </c>
      <c r="I1217" s="10" t="s">
        <v>83</v>
      </c>
      <c r="J1217" s="10">
        <v>209</v>
      </c>
      <c r="K1217" s="12">
        <v>44950</v>
      </c>
      <c r="L1217" s="33">
        <v>0.55418981481481489</v>
      </c>
      <c r="M1217" s="10">
        <v>1</v>
      </c>
      <c r="N1217" s="10" t="s">
        <v>84</v>
      </c>
      <c r="O1217" s="10">
        <v>3.72</v>
      </c>
      <c r="P1217" s="10">
        <v>0.26600000000000001</v>
      </c>
      <c r="Q1217" s="10">
        <v>179</v>
      </c>
      <c r="R1217" s="10" t="s">
        <v>85</v>
      </c>
      <c r="S1217" s="34">
        <f>IF(OR(AND(I1217&lt;&gt;"TP", I1217&lt;&gt;"TDP",I1217&lt;&gt;"TN", I1217&lt;&gt;"TDN"),H1217="CAL"), Q1217*M1217, IF(OR(AND(I1217="TN", Q1217&gt;2500), AND(I1217="TDN", Q1217&gt;2500)),MAX(Q1217, AK1217)*M1217, IF(OR(AND(I1217="TN", Q1217&lt;=2500), AND(I1217="TDN", Q1217&lt;=2500)),MAX(Q1217, AJ1217,AK1217)*M1217, IF(OR(AND(I1217="TP",Q1217&gt;500), AND(I1217="TDP", Q1217&gt;500)),MAX(Q1217,AK1217)*M1217,IF(OR(AND(I1217="TP",Q1217&lt;=150), AND(I1217="TDP", Q1217&lt;=150)),MAX(Q1217,AG1217:AI1217,AK1217)*M1217,IF(OR(AND(I1217="TP",Q1217&lt;=300), AND(I1217="TDP", Q1217&lt;=300)),MAX(Q1217,AH1217,AI1217,AK1217)*M1217,IF(OR(AND(I1217="TP",Q1217&lt;=500), AND(I1217="TDP", Q1217&lt;=500)),MAX(Q1217,AI1217,AK1217)*M1217,"")))))))</f>
        <v>246.86173280000003</v>
      </c>
      <c r="T1217" s="10" t="s">
        <v>1087</v>
      </c>
      <c r="U1217" s="34">
        <f t="shared" si="132"/>
        <v>185.61032541353387</v>
      </c>
      <c r="V1217" s="31">
        <f>IF(H1217="CHK",VLOOKUP(I1217,QCCHK,3,),IF(H1217="GUP",VLOOKUP(E1217,QCGUP,2,),IF(AND(H1217="ATP",OR(I1217="TN",I1217="TDN",I1217="TNO2-3",I1217="NO2-3")),VLOOKUP(E1217,QCREC_N,2,),IF(AND(H1217="NIC",OR(I1217="TN",I1217="TDN",I1217="TNO2-3",I1217="NO2-3")),VLOOKUP(E1217,QCNIC_N,2,),IF(AND(H1217="UREA",OR(I1217="TN",I1217="TDN",I1217="TNO2-3",I1217="NO2-3")),VLOOKUP(E1217,QCUREA_N,2,),IF(H1217="PER",VLOOKUP(I1217,QCPER,MATCH(E1217,QCACTUAL!$J$25:$AA$25,0),),IF(H1217="SPK",VLOOKUP(I1217,QCSPK,3,),IF(AND(H1217="ATP",OR(I1217="TP",I1217="TDP")),VLOOKUP(E1217,QCATP_P,2,),""))))))))</f>
        <v>133</v>
      </c>
      <c r="W1217" s="31" t="str">
        <f t="shared" si="133"/>
        <v>FALSE</v>
      </c>
      <c r="X1217" s="31" t="str">
        <f>IF(ISNA(VLOOKUP(H1217,QCEQUATIONS,2,)),"",(VLOOKUP(H1217,QCEQUATIONS,2,)))</f>
        <v>[rec]/[actual]*100</v>
      </c>
      <c r="Y1217" s="10" t="s">
        <v>1071</v>
      </c>
      <c r="AF1217" s="12">
        <v>44950</v>
      </c>
      <c r="AH1217" s="10">
        <f>-3.008*3.72^2+89.412*3.72-44.125</f>
        <v>246.86173280000003</v>
      </c>
      <c r="AI1217" s="10">
        <f>2.2125*3.72^2+32.759*3.72-8.5751</f>
        <v>143.90584000000001</v>
      </c>
      <c r="AK1217" s="10">
        <f>0.5642*3.72^2+45.477*3.72-20.207</f>
        <v>156.77506528000001</v>
      </c>
      <c r="AL1217" s="10" t="str">
        <f t="shared" si="137"/>
        <v>FALSE</v>
      </c>
      <c r="AM1217" s="10" t="str">
        <f t="shared" si="137"/>
        <v>y=-3.008*3.72^2+89.412*3.72-44.125</v>
      </c>
      <c r="AN1217" s="10" t="str">
        <f t="shared" si="137"/>
        <v>y=2.2125*3.72^2+32.759*3.72-8.5751</v>
      </c>
      <c r="AO1217" s="10" t="str">
        <f t="shared" si="138"/>
        <v>FALSE</v>
      </c>
      <c r="AP1217" s="10" t="str">
        <f t="shared" si="138"/>
        <v>y=0.5642*3.72^2+45.477*3.72-20.207</v>
      </c>
      <c r="AQ1217" s="10" t="b">
        <f>IF(AND(I1217="TP",S1217&lt;=150),VLOOKUP(AF1217,TPCalibEq150!$AZ$2:$BB$55,3,),IF(AND(I1217="TDP",S1217&lt;=150),VLOOKUP(AF1217,TPCalibEq150!$AZ$2:$BB$55,3,)))</f>
        <v>0</v>
      </c>
      <c r="AR1217" s="10" t="str">
        <f>IF(AND(I1217="TP",S1217&lt;=300),VLOOKUP(AF1217,TPCalibEq300!$AZ$2:$BB$55,3,),IF(AND(I1217="TDP",S1217&lt;=300),VLOOKUP(AF1217,TPCalibEq300!$AZ$2:$BB$55,3,)))</f>
        <v>y=-3.008x2+89.412x-44.125</v>
      </c>
      <c r="AS1217" s="10" t="str">
        <f>IF(AND(I1217="TP",S1217&lt;=500),VLOOKUP(AF1217,TPCalibEq500!$AZ$2:$BB$56,3,),IF(AND(I1217="TDP",S1217&lt;=500),VLOOKUP(AF1217,TPCalibEq500!$AZ$2:$BB$56,3,)))</f>
        <v>y=2.2125x2+32.759x-8.5751</v>
      </c>
      <c r="AT1217" s="10" t="b">
        <f>IF(AND(I1217="TN",S1217&lt;=2800),VLOOKUP(AF1217,TNCalibEq2500!$AZ$2:$BB$56,3,),IF(AND(I1217="TDN",S1217&lt;=2800),VLOOKUP(AF1217,TNCalibEq2500!$AZ$2:$BB$56,3,)))</f>
        <v>0</v>
      </c>
      <c r="AU1217" s="10" t="str">
        <f>IF(I1217="TP",VLOOKUP(AF1217,TPCalibEqFull!$AZ$2:$BB$56,3),IF(I1217="TDP",VLOOKUP(AF1217,TPCalibEqFull!$AZ$2:$BB$56,3),IF(I1217="TDN",VLOOKUP(AF1217,TNCalibEqFull!$AZ$1:$BB$56,3),IF(I1217="TN",VLOOKUP(AF1217,TNCalibEqFull!$AZ$1:$BB$56,3),FALSE))))</f>
        <v>y=0.5642x2+45.477x-20.207</v>
      </c>
      <c r="AV1217" s="10" t="str">
        <f t="shared" si="134"/>
        <v>0124 09:00:00-QAC-REC-C-1-DI-ATP</v>
      </c>
    </row>
    <row r="1218" spans="1:48" s="10" customFormat="1" x14ac:dyDescent="0.55000000000000004">
      <c r="A1218" s="32">
        <v>45247</v>
      </c>
      <c r="B1218" s="33">
        <v>0.25</v>
      </c>
      <c r="C1218" s="10" t="s">
        <v>70</v>
      </c>
      <c r="D1218" s="10" t="s">
        <v>241</v>
      </c>
      <c r="E1218" s="10" t="s">
        <v>866</v>
      </c>
      <c r="F1218" s="10">
        <v>1</v>
      </c>
      <c r="G1218" s="10" t="s">
        <v>73</v>
      </c>
      <c r="H1218" s="10" t="s">
        <v>264</v>
      </c>
      <c r="I1218" s="10" t="s">
        <v>83</v>
      </c>
      <c r="J1218" s="10">
        <v>63</v>
      </c>
      <c r="K1218" s="12">
        <v>44950</v>
      </c>
      <c r="L1218" s="33">
        <v>0.55208333333333337</v>
      </c>
      <c r="M1218" s="10">
        <v>1</v>
      </c>
      <c r="N1218" s="10" t="s">
        <v>84</v>
      </c>
      <c r="O1218" s="10">
        <v>1.62</v>
      </c>
      <c r="P1218" s="10">
        <v>0.113</v>
      </c>
      <c r="Q1218" s="10">
        <v>73.599999999999994</v>
      </c>
      <c r="R1218" s="10" t="s">
        <v>85</v>
      </c>
      <c r="S1218" s="34">
        <f t="shared" ref="S1218:S1279" si="139">IF(OR(AND(I1218&lt;&gt;"TP", I1218&lt;&gt;"TDP",I1218&lt;&gt;"TN", I1218&lt;&gt;"TDN"),H1218="CAL"), Q1218*M1218, IF(OR(AND(I1218="TN", Q1218&gt;2500), AND(I1218="TDN", Q1218&gt;2500)),MAX(Q1218, AK1218)*M1218, IF(OR(AND(I1218="TN", Q1218&lt;=2500), AND(I1218="TDN", Q1218&lt;=2500)),MAX(Q1218, AJ1218,AK1218)*M1218, IF(OR(AND(I1218="TP",Q1218&gt;500), AND(I1218="TDP", Q1218&gt;500)),MAX(Q1218,AK1218)*M1218,IF(OR(AND(I1218="TP",Q1218&lt;=150), AND(I1218="TDP", Q1218&lt;=150)),MAX(Q1218,AG1218:AI1218,AK1218)*M1218,IF(OR(AND(I1218="TP",Q1218&lt;=300), AND(I1218="TDP", Q1218&lt;=300)),MAX(Q1218,AH1218,AI1218,AK1218)*M1218,IF(OR(AND(I1218="TP",Q1218&lt;=500), AND(I1218="TDP", Q1218&lt;=500)),MAX(Q1218,AI1218,AK1218)*M1218,"")))))))</f>
        <v>94.264394080000002</v>
      </c>
      <c r="T1218" s="10" t="s">
        <v>1087</v>
      </c>
      <c r="U1218" s="34">
        <f t="shared" ref="U1218:U1281" si="140">IF(OR(H1218="CHK",H1218="ATP",H1218="GUP",H1218="PER", H1218="NIC", H1218="UREA"),(S1218/V1218*100),IF(H1218="DUP",((ABS(S1218-S1217))/((S1217+S1218)/2))*100,IF(H1218="SPK",((S1218-S1217)/V1218*100),IF(OR(H1218="LAB",H1218="FLD",H1218="ESF"),S1218,""))))</f>
        <v>94.264394080000002</v>
      </c>
      <c r="V1218" s="31" t="str">
        <f>IF(H1218="CHK",VLOOKUP(I1218,QCCHK,3,),IF(H1218="GUP",VLOOKUP(E1218,QCGUP,2,),IF(AND(H1218="ATP",OR(I1218="TN",I1218="TDN",I1218="TNO2-3",I1218="NO2-3")),VLOOKUP(E1218,QCREC_N,2,),IF(AND(H1218="NIC",OR(I1218="TN",I1218="TDN",I1218="TNO2-3",I1218="NO2-3")),VLOOKUP(E1218,QCNIC_N,2,),IF(AND(H1218="UREA",OR(I1218="TN",I1218="TDN",I1218="TNO2-3",I1218="NO2-3")),VLOOKUP(E1218,QCUREA_N,2,),IF(H1218="PER",VLOOKUP(I1218,QCPER,MATCH(E1218,QCACTUAL!$J$25:$AA$25,0),),IF(H1218="SPK",VLOOKUP(I1218,QCSPK,3,),IF(AND(H1218="ATP",OR(I1218="TP",I1218="TDP")),VLOOKUP(E1218,QCATP_P,2,),""))))))))</f>
        <v/>
      </c>
      <c r="W1218" s="31" t="str">
        <f t="shared" ref="W1218:W1281" si="141">IF(AND(OR(H1218="PER",H1218="ATP",H1218="GUP",H1218="CHK",H1218="SPK", H1218="NIC"),OR(U1218&gt;125,U1218&lt;75)),"FALSE",IF(AND(H1218="DUP",OR(U1218&gt;25, U1218&lt;-25)),"FALSE",IF(AND(OR(H1218="LAB",H1218="FLD",H1218="ESF"),U1218&gt;15),"FALSE","TRUE")))</f>
        <v>FALSE</v>
      </c>
      <c r="X1218" s="31" t="str">
        <f t="shared" ref="X1218:X1278" si="142">IF(ISNA(VLOOKUP(H1218,QCEQUATIONS,2,)),"",(VLOOKUP(H1218,QCEQUATIONS,2,)))</f>
        <v>nominal concentration</v>
      </c>
      <c r="Y1218" s="10" t="s">
        <v>1071</v>
      </c>
      <c r="Z1218" s="10" t="s">
        <v>910</v>
      </c>
      <c r="AF1218" s="12">
        <v>44950</v>
      </c>
      <c r="AG1218" s="10">
        <f>-5.8068*1.62^2+97.248*1.62-48.038</f>
        <v>94.264394080000002</v>
      </c>
      <c r="AH1218" s="10">
        <f>-3.008*1.62^2+89.412*1.62-44.125</f>
        <v>92.828244799999993</v>
      </c>
      <c r="AI1218" s="10">
        <f>2.2125*1.62^2+32.759*1.62-8.5751</f>
        <v>50.300965000000005</v>
      </c>
      <c r="AK1218" s="10">
        <f>0.5642*1.62^2+45.477*1.62-20.207</f>
        <v>54.946426480000007</v>
      </c>
      <c r="AL1218" s="10" t="str">
        <f t="shared" si="137"/>
        <v>y=-5.8068*1.62^2+97.248*1.62-48.038</v>
      </c>
      <c r="AM1218" s="10" t="str">
        <f t="shared" si="137"/>
        <v>y=-3.008*1.62^2+89.412*1.62-44.125</v>
      </c>
      <c r="AN1218" s="10" t="str">
        <f t="shared" si="137"/>
        <v>y=2.2125*1.62^2+32.759*1.62-8.5751</v>
      </c>
      <c r="AO1218" s="10" t="str">
        <f t="shared" si="138"/>
        <v>FALSE</v>
      </c>
      <c r="AP1218" s="10" t="str">
        <f t="shared" si="138"/>
        <v>y=0.5642*1.62^2+45.477*1.62-20.207</v>
      </c>
      <c r="AQ1218" s="10" t="str">
        <f>IF(AND(I1218="TP",S1218&lt;=150),VLOOKUP(AF1218,TPCalibEq150!$AZ$2:$BB$55,3,),IF(AND(I1218="TDP",S1218&lt;=150),VLOOKUP(AF1218,TPCalibEq150!$AZ$2:$BB$55,3,)))</f>
        <v>y=-5.8068x2+97.248x-48.038</v>
      </c>
      <c r="AR1218" s="10" t="str">
        <f>IF(AND(I1218="TP",S1218&lt;=300),VLOOKUP(AF1218,TPCalibEq300!$AZ$2:$BB$55,3,),IF(AND(I1218="TDP",S1218&lt;=300),VLOOKUP(AF1218,TPCalibEq300!$AZ$2:$BB$55,3,)))</f>
        <v>y=-3.008x2+89.412x-44.125</v>
      </c>
      <c r="AS1218" s="10" t="str">
        <f>IF(AND(I1218="TP",S1218&lt;=500),VLOOKUP(AF1218,TPCalibEq500!$AZ$2:$BB$56,3,),IF(AND(I1218="TDP",S1218&lt;=500),VLOOKUP(AF1218,TPCalibEq500!$AZ$2:$BB$56,3,)))</f>
        <v>y=2.2125x2+32.759x-8.5751</v>
      </c>
      <c r="AT1218" s="10" t="b">
        <f>IF(AND(I1218="TN",S1218&lt;=2800),VLOOKUP(AF1218,TNCalibEq2500!$AZ$2:$BB$56,3,),IF(AND(I1218="TDN",S1218&lt;=2800),VLOOKUP(AF1218,TNCalibEq2500!$AZ$2:$BB$56,3,)))</f>
        <v>0</v>
      </c>
      <c r="AU1218" s="10" t="str">
        <f>IF(I1218="TP",VLOOKUP(AF1218,TPCalibEqFull!$AZ$2:$BB$56,3),IF(I1218="TDP",VLOOKUP(AF1218,TPCalibEqFull!$AZ$2:$BB$56,3),IF(I1218="TDN",VLOOKUP(AF1218,TNCalibEqFull!$AZ$1:$BB$56,3),IF(I1218="TN",VLOOKUP(AF1218,TNCalibEqFull!$AZ$1:$BB$56,3),FALSE))))</f>
        <v>y=0.5642x2+45.477x-20.207</v>
      </c>
      <c r="AV1218" s="10" t="str">
        <f t="shared" ref="AV1218:AV1281" si="143">TEXT(A1218, "MMDD")&amp;" "&amp;TEXT(B1218, "HH:MM:SS")&amp;"-"&amp;C1218&amp;"-"&amp;D1218&amp;"-"&amp;E1218&amp;"-"&amp;F1218&amp;"-"&amp;G1218&amp;"-"&amp;H1218</f>
        <v>1117 06:00:00-QAC-BLK-A-1-DI-FLD</v>
      </c>
    </row>
    <row r="1219" spans="1:48" s="10" customFormat="1" x14ac:dyDescent="0.55000000000000004">
      <c r="A1219" s="32">
        <v>45248</v>
      </c>
      <c r="B1219" s="33">
        <v>0.3833333333333333</v>
      </c>
      <c r="C1219" s="10" t="s">
        <v>70</v>
      </c>
      <c r="D1219" s="10" t="s">
        <v>241</v>
      </c>
      <c r="E1219" s="10" t="s">
        <v>866</v>
      </c>
      <c r="F1219" s="10">
        <v>1</v>
      </c>
      <c r="G1219" s="10" t="s">
        <v>73</v>
      </c>
      <c r="H1219" s="10" t="s">
        <v>245</v>
      </c>
      <c r="I1219" s="10" t="s">
        <v>83</v>
      </c>
      <c r="J1219" s="10">
        <v>64</v>
      </c>
      <c r="K1219" s="12">
        <v>44950</v>
      </c>
      <c r="L1219" s="33">
        <v>0.55278935185185185</v>
      </c>
      <c r="M1219" s="10">
        <v>1</v>
      </c>
      <c r="N1219" s="10" t="s">
        <v>84</v>
      </c>
      <c r="O1219" s="10">
        <v>1.57</v>
      </c>
      <c r="P1219" s="10">
        <v>0.109</v>
      </c>
      <c r="Q1219" s="10">
        <v>71.099999999999994</v>
      </c>
      <c r="R1219" s="10" t="s">
        <v>85</v>
      </c>
      <c r="S1219" s="34">
        <f t="shared" si="139"/>
        <v>90.328178679999994</v>
      </c>
      <c r="T1219" s="10" t="s">
        <v>1087</v>
      </c>
      <c r="U1219" s="34">
        <f t="shared" si="140"/>
        <v>90.328178679999994</v>
      </c>
      <c r="V1219" s="31" t="str">
        <f>IF(H1219="CHK",VLOOKUP(I1219,QCCHK,3,),IF(H1219="GUP",VLOOKUP(E1219,QCGUP,2,),IF(AND(H1219="ATP",OR(I1219="TN",I1219="TDN",I1219="TNO2-3",I1219="NO2-3")),VLOOKUP(E1219,QCREC_N,2,),IF(AND(H1219="NIC",OR(I1219="TN",I1219="TDN",I1219="TNO2-3",I1219="NO2-3")),VLOOKUP(E1219,QCNIC_N,2,),IF(AND(H1219="UREA",OR(I1219="TN",I1219="TDN",I1219="TNO2-3",I1219="NO2-3")),VLOOKUP(E1219,QCUREA_N,2,),IF(H1219="PER",VLOOKUP(I1219,QCPER,MATCH(E1219,QCACTUAL!$J$25:$AA$25,0),),IF(H1219="SPK",VLOOKUP(I1219,QCSPK,3,),IF(AND(H1219="ATP",OR(I1219="TP",I1219="TDP")),VLOOKUP(E1219,QCATP_P,2,),""))))))))</f>
        <v/>
      </c>
      <c r="W1219" s="31" t="str">
        <f t="shared" si="141"/>
        <v>FALSE</v>
      </c>
      <c r="X1219" s="31" t="str">
        <f t="shared" si="142"/>
        <v>nominal concentration</v>
      </c>
      <c r="Y1219" s="10" t="s">
        <v>1071</v>
      </c>
      <c r="Z1219" s="10" t="s">
        <v>910</v>
      </c>
      <c r="AF1219" s="12">
        <v>44950</v>
      </c>
      <c r="AG1219" s="10">
        <f>-5.8068*1.57^2+97.248*1.57-48.038</f>
        <v>90.328178679999994</v>
      </c>
      <c r="AH1219" s="10">
        <f>-3.008*1.57^2+89.412*1.57-44.125</f>
        <v>88.837420800000018</v>
      </c>
      <c r="AI1219" s="10">
        <f>2.2125*1.57^2+32.759*1.57-8.5751</f>
        <v>48.310121250000009</v>
      </c>
      <c r="AK1219" s="10">
        <f>0.5642*1.57^2+45.477*1.57-20.207</f>
        <v>52.58258657999999</v>
      </c>
      <c r="AL1219" s="10" t="str">
        <f t="shared" si="137"/>
        <v>y=-5.8068*1.57^2+97.248*1.57-48.038</v>
      </c>
      <c r="AM1219" s="10" t="str">
        <f t="shared" si="137"/>
        <v>y=-3.008*1.57^2+89.412*1.57-44.125</v>
      </c>
      <c r="AN1219" s="10" t="str">
        <f t="shared" si="137"/>
        <v>y=2.2125*1.57^2+32.759*1.57-8.5751</v>
      </c>
      <c r="AO1219" s="10" t="str">
        <f t="shared" si="138"/>
        <v>FALSE</v>
      </c>
      <c r="AP1219" s="10" t="str">
        <f t="shared" si="138"/>
        <v>y=0.5642*1.57^2+45.477*1.57-20.207</v>
      </c>
      <c r="AQ1219" s="10" t="str">
        <f>IF(AND(I1219="TP",S1219&lt;=150),VLOOKUP(AF1219,TPCalibEq150!$AZ$2:$BB$55,3,),IF(AND(I1219="TDP",S1219&lt;=150),VLOOKUP(AF1219,TPCalibEq150!$AZ$2:$BB$55,3,)))</f>
        <v>y=-5.8068x2+97.248x-48.038</v>
      </c>
      <c r="AR1219" s="10" t="str">
        <f>IF(AND(I1219="TP",S1219&lt;=300),VLOOKUP(AF1219,TPCalibEq300!$AZ$2:$BB$55,3,),IF(AND(I1219="TDP",S1219&lt;=300),VLOOKUP(AF1219,TPCalibEq300!$AZ$2:$BB$55,3,)))</f>
        <v>y=-3.008x2+89.412x-44.125</v>
      </c>
      <c r="AS1219" s="10" t="str">
        <f>IF(AND(I1219="TP",S1219&lt;=500),VLOOKUP(AF1219,TPCalibEq500!$AZ$2:$BB$56,3,),IF(AND(I1219="TDP",S1219&lt;=500),VLOOKUP(AF1219,TPCalibEq500!$AZ$2:$BB$56,3,)))</f>
        <v>y=2.2125x2+32.759x-8.5751</v>
      </c>
      <c r="AT1219" s="10" t="b">
        <f>IF(AND(I1219="TN",S1219&lt;=2800),VLOOKUP(AF1219,TNCalibEq2500!$AZ$2:$BB$56,3,),IF(AND(I1219="TDN",S1219&lt;=2800),VLOOKUP(AF1219,TNCalibEq2500!$AZ$2:$BB$56,3,)))</f>
        <v>0</v>
      </c>
      <c r="AU1219" s="10" t="str">
        <f>IF(I1219="TP",VLOOKUP(AF1219,TPCalibEqFull!$AZ$2:$BB$56,3),IF(I1219="TDP",VLOOKUP(AF1219,TPCalibEqFull!$AZ$2:$BB$56,3),IF(I1219="TDN",VLOOKUP(AF1219,TNCalibEqFull!$AZ$1:$BB$56,3),IF(I1219="TN",VLOOKUP(AF1219,TNCalibEqFull!$AZ$1:$BB$56,3),FALSE))))</f>
        <v>y=0.5642x2+45.477x-20.207</v>
      </c>
      <c r="AV1219" s="10" t="str">
        <f t="shared" si="143"/>
        <v>1118 09:12:00-QAC-BLK-A-1-DI-ESF</v>
      </c>
    </row>
    <row r="1220" spans="1:48" s="10" customFormat="1" x14ac:dyDescent="0.55000000000000004">
      <c r="A1220" s="32">
        <v>45247</v>
      </c>
      <c r="B1220" s="33">
        <v>0.25</v>
      </c>
      <c r="C1220" s="10" t="s">
        <v>70</v>
      </c>
      <c r="D1220" s="10" t="s">
        <v>241</v>
      </c>
      <c r="E1220" s="10" t="s">
        <v>911</v>
      </c>
      <c r="F1220" s="10">
        <v>1</v>
      </c>
      <c r="G1220" s="10" t="s">
        <v>73</v>
      </c>
      <c r="H1220" s="10" t="s">
        <v>264</v>
      </c>
      <c r="I1220" s="10" t="s">
        <v>266</v>
      </c>
      <c r="J1220" s="10">
        <v>65</v>
      </c>
      <c r="K1220" s="12">
        <v>44950</v>
      </c>
      <c r="L1220" s="33">
        <v>0.55349537037037033</v>
      </c>
      <c r="M1220" s="10">
        <v>1</v>
      </c>
      <c r="N1220" s="10" t="s">
        <v>84</v>
      </c>
      <c r="O1220" s="10">
        <v>1.17</v>
      </c>
      <c r="P1220" s="10">
        <v>8.1299999999999997E-2</v>
      </c>
      <c r="Q1220" s="10">
        <v>51.4</v>
      </c>
      <c r="R1220" s="10" t="s">
        <v>85</v>
      </c>
      <c r="S1220" s="34">
        <f t="shared" si="139"/>
        <v>57.793231480000003</v>
      </c>
      <c r="T1220" s="10" t="s">
        <v>1087</v>
      </c>
      <c r="U1220" s="34">
        <f t="shared" si="140"/>
        <v>57.793231480000003</v>
      </c>
      <c r="V1220" s="31" t="str">
        <f>IF(H1220="CHK",VLOOKUP(I1220,QCCHK,3,),IF(H1220="GUP",VLOOKUP(E1220,QCGUP,2,),IF(AND(H1220="ATP",OR(I1220="TN",I1220="TDN",I1220="TNO2-3",I1220="NO2-3")),VLOOKUP(E1220,QCREC_N,2,),IF(AND(H1220="NIC",OR(I1220="TN",I1220="TDN",I1220="TNO2-3",I1220="NO2-3")),VLOOKUP(E1220,QCNIC_N,2,),IF(AND(H1220="UREA",OR(I1220="TN",I1220="TDN",I1220="TNO2-3",I1220="NO2-3")),VLOOKUP(E1220,QCUREA_N,2,),IF(H1220="PER",VLOOKUP(I1220,QCPER,MATCH(E1220,QCACTUAL!$J$25:$AA$25,0),),IF(H1220="SPK",VLOOKUP(I1220,QCSPK,3,),IF(AND(H1220="ATP",OR(I1220="TP",I1220="TDP")),VLOOKUP(E1220,QCATP_P,2,),""))))))))</f>
        <v/>
      </c>
      <c r="W1220" s="31" t="str">
        <f t="shared" si="141"/>
        <v>FALSE</v>
      </c>
      <c r="X1220" s="31" t="str">
        <f t="shared" si="142"/>
        <v>nominal concentration</v>
      </c>
      <c r="Y1220" s="10" t="s">
        <v>1071</v>
      </c>
      <c r="Z1220" s="10" t="s">
        <v>910</v>
      </c>
      <c r="AF1220" s="12">
        <v>44950</v>
      </c>
      <c r="AG1220" s="10">
        <f>-5.8068*1.17^2+97.248*1.17-48.038</f>
        <v>57.793231480000003</v>
      </c>
      <c r="AH1220" s="10">
        <f>-3.008*1.17^2+89.412*1.17-44.125</f>
        <v>56.36938880000001</v>
      </c>
      <c r="AI1220" s="10">
        <f>2.2125*1.17^2+32.759*1.17-8.5751</f>
        <v>32.781621250000001</v>
      </c>
      <c r="AK1220" s="10">
        <f>0.5642*1.17^2+45.477*1.17-20.207</f>
        <v>33.77342337999999</v>
      </c>
      <c r="AL1220" s="10" t="str">
        <f t="shared" si="137"/>
        <v>y=-5.8068*1.17^2+97.248*1.17-48.038</v>
      </c>
      <c r="AM1220" s="10" t="str">
        <f t="shared" si="137"/>
        <v>y=-3.008*1.17^2+89.412*1.17-44.125</v>
      </c>
      <c r="AN1220" s="10" t="str">
        <f t="shared" si="137"/>
        <v>y=2.2125*1.17^2+32.759*1.17-8.5751</v>
      </c>
      <c r="AO1220" s="10" t="str">
        <f t="shared" si="138"/>
        <v>FALSE</v>
      </c>
      <c r="AP1220" s="10" t="str">
        <f t="shared" si="138"/>
        <v>y=0.5642*1.17^2+45.477*1.17-20.207</v>
      </c>
      <c r="AQ1220" s="10" t="str">
        <f>IF(AND(I1220="TP",S1220&lt;=150),VLOOKUP(AF1220,TPCalibEq150!$AZ$2:$BB$55,3,),IF(AND(I1220="TDP",S1220&lt;=150),VLOOKUP(AF1220,TPCalibEq150!$AZ$2:$BB$55,3,)))</f>
        <v>y=-5.8068x2+97.248x-48.038</v>
      </c>
      <c r="AR1220" s="10" t="str">
        <f>IF(AND(I1220="TP",S1220&lt;=300),VLOOKUP(AF1220,TPCalibEq300!$AZ$2:$BB$55,3,),IF(AND(I1220="TDP",S1220&lt;=300),VLOOKUP(AF1220,TPCalibEq300!$AZ$2:$BB$55,3,)))</f>
        <v>y=-3.008x2+89.412x-44.125</v>
      </c>
      <c r="AS1220" s="10" t="str">
        <f>IF(AND(I1220="TP",S1220&lt;=500),VLOOKUP(AF1220,TPCalibEq500!$AZ$2:$BB$56,3,),IF(AND(I1220="TDP",S1220&lt;=500),VLOOKUP(AF1220,TPCalibEq500!$AZ$2:$BB$56,3,)))</f>
        <v>y=2.2125x2+32.759x-8.5751</v>
      </c>
      <c r="AT1220" s="10" t="b">
        <f>IF(AND(I1220="TN",S1220&lt;=2800),VLOOKUP(AF1220,TNCalibEq2500!$AZ$2:$BB$56,3,),IF(AND(I1220="TDN",S1220&lt;=2800),VLOOKUP(AF1220,TNCalibEq2500!$AZ$2:$BB$56,3,)))</f>
        <v>0</v>
      </c>
      <c r="AU1220" s="10" t="str">
        <f>IF(I1220="TP",VLOOKUP(AF1220,TPCalibEqFull!$AZ$2:$BB$56,3),IF(I1220="TDP",VLOOKUP(AF1220,TPCalibEqFull!$AZ$2:$BB$56,3),IF(I1220="TDN",VLOOKUP(AF1220,TNCalibEqFull!$AZ$1:$BB$56,3),IF(I1220="TN",VLOOKUP(AF1220,TNCalibEqFull!$AZ$1:$BB$56,3),FALSE))))</f>
        <v>y=0.5642x2+45.477x-20.207</v>
      </c>
      <c r="AV1220" s="10" t="str">
        <f t="shared" si="143"/>
        <v>1117 06:00:00-QAC-BLK-FIL-1-DI-FLD</v>
      </c>
    </row>
    <row r="1221" spans="1:48" s="10" customFormat="1" x14ac:dyDescent="0.55000000000000004">
      <c r="A1221" s="32">
        <v>45248</v>
      </c>
      <c r="B1221" s="33">
        <v>0.3833333333333333</v>
      </c>
      <c r="C1221" s="10" t="s">
        <v>70</v>
      </c>
      <c r="D1221" s="10" t="s">
        <v>241</v>
      </c>
      <c r="E1221" s="10" t="s">
        <v>911</v>
      </c>
      <c r="F1221" s="10">
        <v>1</v>
      </c>
      <c r="G1221" s="10" t="s">
        <v>73</v>
      </c>
      <c r="H1221" s="10" t="s">
        <v>245</v>
      </c>
      <c r="I1221" s="10" t="s">
        <v>266</v>
      </c>
      <c r="J1221" s="10">
        <v>66</v>
      </c>
      <c r="K1221" s="12">
        <v>44950</v>
      </c>
      <c r="L1221" s="33">
        <v>0.55699074074074073</v>
      </c>
      <c r="M1221" s="10">
        <v>1</v>
      </c>
      <c r="N1221" s="10" t="s">
        <v>84</v>
      </c>
      <c r="O1221" s="10">
        <v>1.26</v>
      </c>
      <c r="P1221" s="10">
        <v>8.7599999999999997E-2</v>
      </c>
      <c r="Q1221" s="10">
        <v>56</v>
      </c>
      <c r="R1221" s="10" t="s">
        <v>85</v>
      </c>
      <c r="S1221" s="34">
        <f t="shared" si="139"/>
        <v>65.275604320000014</v>
      </c>
      <c r="T1221" s="10" t="s">
        <v>1087</v>
      </c>
      <c r="U1221" s="34">
        <f t="shared" si="140"/>
        <v>65.275604320000014</v>
      </c>
      <c r="V1221" s="31" t="str">
        <f>IF(H1221="CHK",VLOOKUP(I1221,QCCHK,3,),IF(H1221="GUP",VLOOKUP(E1221,QCGUP,2,),IF(AND(H1221="ATP",OR(I1221="TN",I1221="TDN",I1221="TNO2-3",I1221="NO2-3")),VLOOKUP(E1221,QCREC_N,2,),IF(AND(H1221="NIC",OR(I1221="TN",I1221="TDN",I1221="TNO2-3",I1221="NO2-3")),VLOOKUP(E1221,QCNIC_N,2,),IF(AND(H1221="UREA",OR(I1221="TN",I1221="TDN",I1221="TNO2-3",I1221="NO2-3")),VLOOKUP(E1221,QCUREA_N,2,),IF(H1221="PER",VLOOKUP(I1221,QCPER,MATCH(E1221,QCACTUAL!$J$25:$AA$25,0),),IF(H1221="SPK",VLOOKUP(I1221,QCSPK,3,),IF(AND(H1221="ATP",OR(I1221="TP",I1221="TDP")),VLOOKUP(E1221,QCATP_P,2,),""))))))))</f>
        <v/>
      </c>
      <c r="W1221" s="31" t="str">
        <f t="shared" si="141"/>
        <v>FALSE</v>
      </c>
      <c r="X1221" s="31" t="str">
        <f t="shared" si="142"/>
        <v>nominal concentration</v>
      </c>
      <c r="Y1221" s="10" t="s">
        <v>1071</v>
      </c>
      <c r="Z1221" s="10" t="s">
        <v>910</v>
      </c>
      <c r="AF1221" s="12">
        <v>44950</v>
      </c>
      <c r="AG1221" s="10">
        <f>-5.8068*1.26^2+97.248*1.26-48.038</f>
        <v>65.275604320000014</v>
      </c>
      <c r="AH1221" s="10">
        <f>-3.008*1.26^2+89.412*1.26-44.125</f>
        <v>63.758619199999998</v>
      </c>
      <c r="AI1221" s="10">
        <f>2.2125*1.26^2+32.759*1.26-8.5751</f>
        <v>36.213805000000001</v>
      </c>
      <c r="AK1221" s="10">
        <f>0.5642*1.26^2+45.477*1.26-20.207</f>
        <v>37.989743919999995</v>
      </c>
      <c r="AL1221" s="10" t="str">
        <f t="shared" si="137"/>
        <v>y=-5.8068*1.26^2+97.248*1.26-48.038</v>
      </c>
      <c r="AM1221" s="10" t="str">
        <f t="shared" si="137"/>
        <v>y=-3.008*1.26^2+89.412*1.26-44.125</v>
      </c>
      <c r="AN1221" s="10" t="str">
        <f t="shared" si="137"/>
        <v>y=2.2125*1.26^2+32.759*1.26-8.5751</v>
      </c>
      <c r="AO1221" s="10" t="str">
        <f t="shared" si="138"/>
        <v>FALSE</v>
      </c>
      <c r="AP1221" s="10" t="str">
        <f t="shared" si="138"/>
        <v>y=0.5642*1.26^2+45.477*1.26-20.207</v>
      </c>
      <c r="AQ1221" s="10" t="str">
        <f>IF(AND(I1221="TP",S1221&lt;=150),VLOOKUP(AF1221,TPCalibEq150!$AZ$2:$BB$55,3,),IF(AND(I1221="TDP",S1221&lt;=150),VLOOKUP(AF1221,TPCalibEq150!$AZ$2:$BB$55,3,)))</f>
        <v>y=-5.8068x2+97.248x-48.038</v>
      </c>
      <c r="AR1221" s="10" t="str">
        <f>IF(AND(I1221="TP",S1221&lt;=300),VLOOKUP(AF1221,TPCalibEq300!$AZ$2:$BB$55,3,),IF(AND(I1221="TDP",S1221&lt;=300),VLOOKUP(AF1221,TPCalibEq300!$AZ$2:$BB$55,3,)))</f>
        <v>y=-3.008x2+89.412x-44.125</v>
      </c>
      <c r="AS1221" s="10" t="str">
        <f>IF(AND(I1221="TP",S1221&lt;=500),VLOOKUP(AF1221,TPCalibEq500!$AZ$2:$BB$56,3,),IF(AND(I1221="TDP",S1221&lt;=500),VLOOKUP(AF1221,TPCalibEq500!$AZ$2:$BB$56,3,)))</f>
        <v>y=2.2125x2+32.759x-8.5751</v>
      </c>
      <c r="AT1221" s="10" t="b">
        <f>IF(AND(I1221="TN",S1221&lt;=2800),VLOOKUP(AF1221,TNCalibEq2500!$AZ$2:$BB$56,3,),IF(AND(I1221="TDN",S1221&lt;=2800),VLOOKUP(AF1221,TNCalibEq2500!$AZ$2:$BB$56,3,)))</f>
        <v>0</v>
      </c>
      <c r="AU1221" s="10" t="str">
        <f>IF(I1221="TP",VLOOKUP(AF1221,TPCalibEqFull!$AZ$2:$BB$56,3),IF(I1221="TDP",VLOOKUP(AF1221,TPCalibEqFull!$AZ$2:$BB$56,3),IF(I1221="TDN",VLOOKUP(AF1221,TNCalibEqFull!$AZ$1:$BB$56,3),IF(I1221="TN",VLOOKUP(AF1221,TNCalibEqFull!$AZ$1:$BB$56,3),FALSE))))</f>
        <v>y=0.5642x2+45.477x-20.207</v>
      </c>
      <c r="AV1221" s="10" t="str">
        <f t="shared" si="143"/>
        <v>1118 09:12:00-QAC-BLK-FIL-1-DI-ESF</v>
      </c>
    </row>
    <row r="1222" spans="1:48" s="10" customFormat="1" x14ac:dyDescent="0.55000000000000004">
      <c r="A1222" s="32">
        <v>44937</v>
      </c>
      <c r="B1222" s="33">
        <v>0.24027777777777778</v>
      </c>
      <c r="C1222" s="10" t="s">
        <v>279</v>
      </c>
      <c r="D1222" s="10">
        <v>0</v>
      </c>
      <c r="E1222" s="10" t="s">
        <v>190</v>
      </c>
      <c r="F1222" s="10">
        <v>1</v>
      </c>
      <c r="G1222" s="10" t="s">
        <v>231</v>
      </c>
      <c r="H1222" s="10" t="s">
        <v>322</v>
      </c>
      <c r="I1222" s="10" t="s">
        <v>83</v>
      </c>
      <c r="J1222" s="10">
        <v>1</v>
      </c>
      <c r="K1222" s="12">
        <v>44950</v>
      </c>
      <c r="L1222" s="33">
        <v>0.55769675925925932</v>
      </c>
      <c r="M1222" s="10">
        <v>1</v>
      </c>
      <c r="N1222" s="10" t="s">
        <v>84</v>
      </c>
      <c r="O1222" s="10">
        <v>1.8</v>
      </c>
      <c r="P1222" s="10">
        <v>0.125</v>
      </c>
      <c r="Q1222" s="10">
        <v>82.3</v>
      </c>
      <c r="R1222" s="10" t="s">
        <v>85</v>
      </c>
      <c r="S1222" s="34">
        <f t="shared" si="139"/>
        <v>108.19436800000001</v>
      </c>
      <c r="T1222" s="10" t="s">
        <v>1087</v>
      </c>
      <c r="U1222" s="34" t="str">
        <f t="shared" si="140"/>
        <v/>
      </c>
      <c r="V1222" s="31" t="str">
        <f>IF(H1222="CHK",VLOOKUP(I1222,QCCHK,3,),IF(H1222="GUP",VLOOKUP(E1222,QCGUP,2,),IF(AND(H1222="ATP",OR(I1222="TN",I1222="TDN",I1222="TNO2-3",I1222="NO2-3")),VLOOKUP(E1222,QCREC_N,2,),IF(AND(H1222="NIC",OR(I1222="TN",I1222="TDN",I1222="TNO2-3",I1222="NO2-3")),VLOOKUP(E1222,QCNIC_N,2,),IF(AND(H1222="UREA",OR(I1222="TN",I1222="TDN",I1222="TNO2-3",I1222="NO2-3")),VLOOKUP(E1222,QCUREA_N,2,),IF(H1222="PER",VLOOKUP(I1222,QCPER,MATCH(E1222,QCACTUAL!$J$25:$AA$25,0),),IF(H1222="SPK",VLOOKUP(I1222,QCSPK,3,),IF(AND(H1222="ATP",OR(I1222="TP",I1222="TDP")),VLOOKUP(E1222,QCATP_P,2,),""))))))))</f>
        <v/>
      </c>
      <c r="W1222" s="31" t="str">
        <f t="shared" si="141"/>
        <v>TRUE</v>
      </c>
      <c r="X1222" s="31" t="str">
        <f t="shared" si="142"/>
        <v/>
      </c>
      <c r="Y1222" s="10" t="s">
        <v>1071</v>
      </c>
      <c r="Z1222" s="10" t="s">
        <v>910</v>
      </c>
      <c r="AF1222" s="12">
        <v>44950</v>
      </c>
      <c r="AG1222" s="10">
        <f>-5.8068*1.8^2+97.248*1.8-48.038</f>
        <v>108.19436800000001</v>
      </c>
      <c r="AH1222" s="10">
        <f>-3.008*1.8^2+89.412*1.8-44.125</f>
        <v>107.07068000000001</v>
      </c>
      <c r="AI1222" s="10">
        <f>2.2125*1.8^2+32.759*1.8-8.5751</f>
        <v>57.559599999999996</v>
      </c>
      <c r="AK1222" s="10">
        <f>0.5642*1.8^2+45.477*1.8-20.207</f>
        <v>63.479607999999992</v>
      </c>
      <c r="AL1222" s="10" t="str">
        <f t="shared" si="137"/>
        <v>y=-5.8068*1.8^2+97.248*1.8-48.038</v>
      </c>
      <c r="AM1222" s="10" t="str">
        <f t="shared" si="137"/>
        <v>y=-3.008*1.8^2+89.412*1.8-44.125</v>
      </c>
      <c r="AN1222" s="10" t="str">
        <f t="shared" si="137"/>
        <v>y=2.2125*1.8^2+32.759*1.8-8.5751</v>
      </c>
      <c r="AO1222" s="10" t="str">
        <f t="shared" si="138"/>
        <v>FALSE</v>
      </c>
      <c r="AP1222" s="10" t="str">
        <f t="shared" si="138"/>
        <v>y=0.5642*1.8^2+45.477*1.8-20.207</v>
      </c>
      <c r="AQ1222" s="10" t="str">
        <f>IF(AND(I1222="TP",S1222&lt;=150),VLOOKUP(AF1222,TPCalibEq150!$AZ$2:$BB$55,3,),IF(AND(I1222="TDP",S1222&lt;=150),VLOOKUP(AF1222,TPCalibEq150!$AZ$2:$BB$55,3,)))</f>
        <v>y=-5.8068x2+97.248x-48.038</v>
      </c>
      <c r="AR1222" s="10" t="str">
        <f>IF(AND(I1222="TP",S1222&lt;=300),VLOOKUP(AF1222,TPCalibEq300!$AZ$2:$BB$55,3,),IF(AND(I1222="TDP",S1222&lt;=300),VLOOKUP(AF1222,TPCalibEq300!$AZ$2:$BB$55,3,)))</f>
        <v>y=-3.008x2+89.412x-44.125</v>
      </c>
      <c r="AS1222" s="10" t="str">
        <f>IF(AND(I1222="TP",S1222&lt;=500),VLOOKUP(AF1222,TPCalibEq500!$AZ$2:$BB$56,3,),IF(AND(I1222="TDP",S1222&lt;=500),VLOOKUP(AF1222,TPCalibEq500!$AZ$2:$BB$56,3,)))</f>
        <v>y=2.2125x2+32.759x-8.5751</v>
      </c>
      <c r="AT1222" s="10" t="b">
        <f>IF(AND(I1222="TN",S1222&lt;=2800),VLOOKUP(AF1222,TNCalibEq2500!$AZ$2:$BB$56,3,),IF(AND(I1222="TDN",S1222&lt;=2800),VLOOKUP(AF1222,TNCalibEq2500!$AZ$2:$BB$56,3,)))</f>
        <v>0</v>
      </c>
      <c r="AU1222" s="10" t="str">
        <f>IF(I1222="TP",VLOOKUP(AF1222,TPCalibEqFull!$AZ$2:$BB$56,3),IF(I1222="TDP",VLOOKUP(AF1222,TPCalibEqFull!$AZ$2:$BB$56,3),IF(I1222="TDN",VLOOKUP(AF1222,TNCalibEqFull!$AZ$1:$BB$56,3),IF(I1222="TN",VLOOKUP(AF1222,TNCalibEqFull!$AZ$1:$BB$56,3),FALSE))))</f>
        <v>y=0.5642x2+45.477x-20.207</v>
      </c>
      <c r="AV1222" s="10" t="str">
        <f t="shared" si="143"/>
        <v>0111 05:46:00-EFK-0-C-1-SW-UKN</v>
      </c>
    </row>
    <row r="1223" spans="1:48" s="10" customFormat="1" x14ac:dyDescent="0.55000000000000004">
      <c r="A1223" s="32">
        <v>44937</v>
      </c>
      <c r="B1223" s="33">
        <v>0.24513888888888888</v>
      </c>
      <c r="C1223" s="10" t="s">
        <v>333</v>
      </c>
      <c r="D1223" s="10">
        <v>0</v>
      </c>
      <c r="E1223" s="10" t="s">
        <v>190</v>
      </c>
      <c r="F1223" s="10">
        <v>1</v>
      </c>
      <c r="G1223" s="10" t="s">
        <v>231</v>
      </c>
      <c r="H1223" s="10" t="s">
        <v>322</v>
      </c>
      <c r="I1223" s="10" t="s">
        <v>83</v>
      </c>
      <c r="J1223" s="10">
        <v>2</v>
      </c>
      <c r="K1223" s="12">
        <v>44950</v>
      </c>
      <c r="L1223" s="33">
        <v>0.5584027777777778</v>
      </c>
      <c r="M1223" s="10">
        <v>1</v>
      </c>
      <c r="N1223" s="10" t="s">
        <v>84</v>
      </c>
      <c r="O1223" s="10">
        <v>1.42</v>
      </c>
      <c r="P1223" s="10">
        <v>9.8699999999999996E-2</v>
      </c>
      <c r="Q1223" s="10">
        <v>63.5</v>
      </c>
      <c r="R1223" s="10" t="s">
        <v>85</v>
      </c>
      <c r="S1223" s="34">
        <f t="shared" si="139"/>
        <v>78.345328480000006</v>
      </c>
      <c r="T1223" s="10" t="s">
        <v>1087</v>
      </c>
      <c r="U1223" s="34" t="str">
        <f t="shared" si="140"/>
        <v/>
      </c>
      <c r="V1223" s="31" t="str">
        <f>IF(H1223="CHK",VLOOKUP(I1223,QCCHK,3,),IF(H1223="GUP",VLOOKUP(E1223,QCGUP,2,),IF(AND(H1223="ATP",OR(I1223="TN",I1223="TDN",I1223="TNO2-3",I1223="NO2-3")),VLOOKUP(E1223,QCREC_N,2,),IF(AND(H1223="NIC",OR(I1223="TN",I1223="TDN",I1223="TNO2-3",I1223="NO2-3")),VLOOKUP(E1223,QCNIC_N,2,),IF(AND(H1223="UREA",OR(I1223="TN",I1223="TDN",I1223="TNO2-3",I1223="NO2-3")),VLOOKUP(E1223,QCUREA_N,2,),IF(H1223="PER",VLOOKUP(I1223,QCPER,MATCH(E1223,QCACTUAL!$J$25:$AA$25,0),),IF(H1223="SPK",VLOOKUP(I1223,QCSPK,3,),IF(AND(H1223="ATP",OR(I1223="TP",I1223="TDP")),VLOOKUP(E1223,QCATP_P,2,),""))))))))</f>
        <v/>
      </c>
      <c r="W1223" s="31" t="str">
        <f t="shared" si="141"/>
        <v>TRUE</v>
      </c>
      <c r="X1223" s="31" t="str">
        <f t="shared" si="142"/>
        <v/>
      </c>
      <c r="Y1223" s="10" t="s">
        <v>1071</v>
      </c>
      <c r="Z1223" s="10" t="s">
        <v>910</v>
      </c>
      <c r="AF1223" s="12">
        <v>44950</v>
      </c>
      <c r="AG1223" s="10">
        <f>-5.8068*1.42^2+97.248*1.42-48.038</f>
        <v>78.345328480000006</v>
      </c>
      <c r="AH1223" s="10">
        <f>-3.008*1.42^2+89.412*1.42-44.125</f>
        <v>76.774708799999999</v>
      </c>
      <c r="AI1223" s="10">
        <f>2.2125*1.42^2+32.759*1.42-8.5751</f>
        <v>42.403964999999992</v>
      </c>
      <c r="AK1223" s="10">
        <f>0.5642*1.42^2+45.477*1.42-20.207</f>
        <v>45.507992879999996</v>
      </c>
      <c r="AL1223" s="10" t="str">
        <f t="shared" si="137"/>
        <v>y=-5.8068*1.42^2+97.248*1.42-48.038</v>
      </c>
      <c r="AM1223" s="10" t="str">
        <f t="shared" si="137"/>
        <v>y=-3.008*1.42^2+89.412*1.42-44.125</v>
      </c>
      <c r="AN1223" s="10" t="str">
        <f t="shared" si="137"/>
        <v>y=2.2125*1.42^2+32.759*1.42-8.5751</v>
      </c>
      <c r="AO1223" s="10" t="str">
        <f t="shared" si="138"/>
        <v>FALSE</v>
      </c>
      <c r="AP1223" s="10" t="str">
        <f t="shared" si="138"/>
        <v>y=0.5642*1.42^2+45.477*1.42-20.207</v>
      </c>
      <c r="AQ1223" s="10" t="str">
        <f>IF(AND(I1223="TP",S1223&lt;=150),VLOOKUP(AF1223,TPCalibEq150!$AZ$2:$BB$55,3,),IF(AND(I1223="TDP",S1223&lt;=150),VLOOKUP(AF1223,TPCalibEq150!$AZ$2:$BB$55,3,)))</f>
        <v>y=-5.8068x2+97.248x-48.038</v>
      </c>
      <c r="AR1223" s="10" t="str">
        <f>IF(AND(I1223="TP",S1223&lt;=300),VLOOKUP(AF1223,TPCalibEq300!$AZ$2:$BB$55,3,),IF(AND(I1223="TDP",S1223&lt;=300),VLOOKUP(AF1223,TPCalibEq300!$AZ$2:$BB$55,3,)))</f>
        <v>y=-3.008x2+89.412x-44.125</v>
      </c>
      <c r="AS1223" s="10" t="str">
        <f>IF(AND(I1223="TP",S1223&lt;=500),VLOOKUP(AF1223,TPCalibEq500!$AZ$2:$BB$56,3,),IF(AND(I1223="TDP",S1223&lt;=500),VLOOKUP(AF1223,TPCalibEq500!$AZ$2:$BB$56,3,)))</f>
        <v>y=2.2125x2+32.759x-8.5751</v>
      </c>
      <c r="AT1223" s="10" t="b">
        <f>IF(AND(I1223="TN",S1223&lt;=2800),VLOOKUP(AF1223,TNCalibEq2500!$AZ$2:$BB$56,3,),IF(AND(I1223="TDN",S1223&lt;=2800),VLOOKUP(AF1223,TNCalibEq2500!$AZ$2:$BB$56,3,)))</f>
        <v>0</v>
      </c>
      <c r="AU1223" s="10" t="str">
        <f>IF(I1223="TP",VLOOKUP(AF1223,TPCalibEqFull!$AZ$2:$BB$56,3),IF(I1223="TDP",VLOOKUP(AF1223,TPCalibEqFull!$AZ$2:$BB$56,3),IF(I1223="TDN",VLOOKUP(AF1223,TNCalibEqFull!$AZ$1:$BB$56,3),IF(I1223="TN",VLOOKUP(AF1223,TNCalibEqFull!$AZ$1:$BB$56,3),FALSE))))</f>
        <v>y=0.5642x2+45.477x-20.207</v>
      </c>
      <c r="AV1223" s="10" t="str">
        <f t="shared" si="143"/>
        <v>0111 05:53:00-HST-0-C-1-SW-UKN</v>
      </c>
    </row>
    <row r="1224" spans="1:48" s="10" customFormat="1" x14ac:dyDescent="0.55000000000000004">
      <c r="A1224" s="32">
        <v>44938</v>
      </c>
      <c r="B1224" s="33">
        <v>0.43958333333333338</v>
      </c>
      <c r="C1224" s="10" t="s">
        <v>279</v>
      </c>
      <c r="D1224" s="10">
        <v>0</v>
      </c>
      <c r="E1224" s="10" t="s">
        <v>190</v>
      </c>
      <c r="F1224" s="10">
        <v>1</v>
      </c>
      <c r="G1224" s="10" t="s">
        <v>231</v>
      </c>
      <c r="H1224" s="10" t="s">
        <v>322</v>
      </c>
      <c r="I1224" s="10" t="s">
        <v>83</v>
      </c>
      <c r="J1224" s="10">
        <v>3</v>
      </c>
      <c r="K1224" s="12">
        <v>44950</v>
      </c>
      <c r="L1224" s="33">
        <v>0.55910879629629628</v>
      </c>
      <c r="M1224" s="10">
        <v>1</v>
      </c>
      <c r="N1224" s="10" t="s">
        <v>84</v>
      </c>
      <c r="O1224" s="10">
        <v>12.2</v>
      </c>
      <c r="P1224" s="10">
        <v>0.874</v>
      </c>
      <c r="Q1224" s="10">
        <v>644</v>
      </c>
      <c r="R1224" s="10" t="s">
        <v>85</v>
      </c>
      <c r="S1224" s="34">
        <f t="shared" si="139"/>
        <v>644</v>
      </c>
      <c r="T1224" s="10" t="s">
        <v>1087</v>
      </c>
      <c r="U1224" s="34" t="str">
        <f t="shared" si="140"/>
        <v/>
      </c>
      <c r="V1224" s="31" t="str">
        <f>IF(H1224="CHK",VLOOKUP(I1224,QCCHK,3,),IF(H1224="GUP",VLOOKUP(E1224,QCGUP,2,),IF(AND(H1224="ATP",OR(I1224="TN",I1224="TDN",I1224="TNO2-3",I1224="NO2-3")),VLOOKUP(E1224,QCREC_N,2,),IF(AND(H1224="NIC",OR(I1224="TN",I1224="TDN",I1224="TNO2-3",I1224="NO2-3")),VLOOKUP(E1224,QCNIC_N,2,),IF(AND(H1224="UREA",OR(I1224="TN",I1224="TDN",I1224="TNO2-3",I1224="NO2-3")),VLOOKUP(E1224,QCUREA_N,2,),IF(H1224="PER",VLOOKUP(I1224,QCPER,MATCH(E1224,QCACTUAL!$J$25:$AA$25,0),),IF(H1224="SPK",VLOOKUP(I1224,QCSPK,3,),IF(AND(H1224="ATP",OR(I1224="TP",I1224="TDP")),VLOOKUP(E1224,QCATP_P,2,),""))))))))</f>
        <v/>
      </c>
      <c r="W1224" s="31" t="str">
        <f t="shared" si="141"/>
        <v>TRUE</v>
      </c>
      <c r="X1224" s="31" t="str">
        <f t="shared" si="142"/>
        <v/>
      </c>
      <c r="Y1224" s="10" t="s">
        <v>1071</v>
      </c>
      <c r="Z1224" s="10" t="s">
        <v>910</v>
      </c>
      <c r="AF1224" s="12">
        <v>44950</v>
      </c>
      <c r="AK1224" s="10">
        <f>0.5642*12.2^2+45.477*12.2-20.207</f>
        <v>618.58792800000003</v>
      </c>
      <c r="AL1224" s="10" t="str">
        <f t="shared" si="137"/>
        <v>FALSE</v>
      </c>
      <c r="AM1224" s="10" t="str">
        <f t="shared" si="137"/>
        <v>FALSE</v>
      </c>
      <c r="AN1224" s="10" t="str">
        <f t="shared" si="137"/>
        <v>FALSE</v>
      </c>
      <c r="AO1224" s="10" t="str">
        <f t="shared" si="138"/>
        <v>FALSE</v>
      </c>
      <c r="AP1224" s="10" t="str">
        <f t="shared" si="138"/>
        <v>y=0.5642*12.2^2+45.477*12.2-20.207</v>
      </c>
      <c r="AQ1224" s="10" t="b">
        <f>IF(AND(I1224="TP",S1224&lt;=150),VLOOKUP(AF1224,TPCalibEq150!$AZ$2:$BB$55,3,),IF(AND(I1224="TDP",S1224&lt;=150),VLOOKUP(AF1224,TPCalibEq150!$AZ$2:$BB$55,3,)))</f>
        <v>0</v>
      </c>
      <c r="AR1224" s="10" t="b">
        <f>IF(AND(I1224="TP",S1224&lt;=300),VLOOKUP(AF1224,TPCalibEq300!$AZ$2:$BB$55,3,),IF(AND(I1224="TDP",S1224&lt;=300),VLOOKUP(AF1224,TPCalibEq300!$AZ$2:$BB$55,3,)))</f>
        <v>0</v>
      </c>
      <c r="AS1224" s="10" t="b">
        <f>IF(AND(I1224="TP",S1224&lt;=500),VLOOKUP(AF1224,TPCalibEq500!$AZ$2:$BB$56,3,),IF(AND(I1224="TDP",S1224&lt;=500),VLOOKUP(AF1224,TPCalibEq500!$AZ$2:$BB$56,3,)))</f>
        <v>0</v>
      </c>
      <c r="AT1224" s="10" t="b">
        <f>IF(AND(I1224="TN",S1224&lt;=2800),VLOOKUP(AF1224,TNCalibEq2500!$AZ$2:$BB$56,3,),IF(AND(I1224="TDN",S1224&lt;=2800),VLOOKUP(AF1224,TNCalibEq2500!$AZ$2:$BB$56,3,)))</f>
        <v>0</v>
      </c>
      <c r="AU1224" s="10" t="str">
        <f>IF(I1224="TP",VLOOKUP(AF1224,TPCalibEqFull!$AZ$2:$BB$56,3),IF(I1224="TDP",VLOOKUP(AF1224,TPCalibEqFull!$AZ$2:$BB$56,3),IF(I1224="TDN",VLOOKUP(AF1224,TNCalibEqFull!$AZ$1:$BB$56,3),IF(I1224="TN",VLOOKUP(AF1224,TNCalibEqFull!$AZ$1:$BB$56,3),FALSE))))</f>
        <v>y=0.5642x2+45.477x-20.207</v>
      </c>
      <c r="AV1224" s="10" t="str">
        <f t="shared" si="143"/>
        <v>0112 10:33:00-EFK-0-C-1-SW-UKN</v>
      </c>
    </row>
    <row r="1225" spans="1:48" s="10" customFormat="1" x14ac:dyDescent="0.55000000000000004">
      <c r="A1225" s="32">
        <v>44938</v>
      </c>
      <c r="B1225" s="33">
        <v>0.4548611111111111</v>
      </c>
      <c r="C1225" s="10" t="s">
        <v>333</v>
      </c>
      <c r="D1225" s="10">
        <v>0</v>
      </c>
      <c r="E1225" s="10" t="s">
        <v>190</v>
      </c>
      <c r="F1225" s="10">
        <v>1</v>
      </c>
      <c r="G1225" s="10" t="s">
        <v>231</v>
      </c>
      <c r="H1225" s="10" t="s">
        <v>322</v>
      </c>
      <c r="I1225" s="10" t="s">
        <v>83</v>
      </c>
      <c r="J1225" s="10">
        <v>4</v>
      </c>
      <c r="K1225" s="12">
        <v>44950</v>
      </c>
      <c r="L1225" s="33">
        <v>0.55981481481481488</v>
      </c>
      <c r="M1225" s="10">
        <v>1</v>
      </c>
      <c r="N1225" s="10" t="s">
        <v>84</v>
      </c>
      <c r="O1225" s="10">
        <v>9.82</v>
      </c>
      <c r="P1225" s="10">
        <v>0.70599999999999996</v>
      </c>
      <c r="Q1225" s="10">
        <v>509</v>
      </c>
      <c r="R1225" s="10" t="s">
        <v>85</v>
      </c>
      <c r="S1225" s="34">
        <f t="shared" si="139"/>
        <v>509</v>
      </c>
      <c r="T1225" s="10" t="s">
        <v>1087</v>
      </c>
      <c r="U1225" s="34" t="str">
        <f t="shared" si="140"/>
        <v/>
      </c>
      <c r="V1225" s="31" t="str">
        <f>IF(H1225="CHK",VLOOKUP(I1225,QCCHK,3,),IF(H1225="GUP",VLOOKUP(E1225,QCGUP,2,),IF(AND(H1225="ATP",OR(I1225="TN",I1225="TDN",I1225="TNO2-3",I1225="NO2-3")),VLOOKUP(E1225,QCREC_N,2,),IF(AND(H1225="NIC",OR(I1225="TN",I1225="TDN",I1225="TNO2-3",I1225="NO2-3")),VLOOKUP(E1225,QCNIC_N,2,),IF(AND(H1225="UREA",OR(I1225="TN",I1225="TDN",I1225="TNO2-3",I1225="NO2-3")),VLOOKUP(E1225,QCUREA_N,2,),IF(H1225="PER",VLOOKUP(I1225,QCPER,MATCH(E1225,QCACTUAL!$J$25:$AA$25,0),),IF(H1225="SPK",VLOOKUP(I1225,QCSPK,3,),IF(AND(H1225="ATP",OR(I1225="TP",I1225="TDP")),VLOOKUP(E1225,QCATP_P,2,),""))))))))</f>
        <v/>
      </c>
      <c r="W1225" s="31" t="str">
        <f t="shared" si="141"/>
        <v>TRUE</v>
      </c>
      <c r="X1225" s="31" t="str">
        <f t="shared" si="142"/>
        <v/>
      </c>
      <c r="Y1225" s="10" t="s">
        <v>1071</v>
      </c>
      <c r="Z1225" s="10" t="s">
        <v>910</v>
      </c>
      <c r="AF1225" s="12">
        <v>44950</v>
      </c>
      <c r="AK1225" s="10">
        <f>0.5642*9.82^2+45.477*9.82-20.207</f>
        <v>480.78430007999998</v>
      </c>
      <c r="AL1225" s="10" t="str">
        <f t="shared" si="137"/>
        <v>FALSE</v>
      </c>
      <c r="AM1225" s="10" t="str">
        <f t="shared" si="137"/>
        <v>FALSE</v>
      </c>
      <c r="AN1225" s="10" t="str">
        <f t="shared" si="137"/>
        <v>FALSE</v>
      </c>
      <c r="AO1225" s="10" t="str">
        <f t="shared" si="138"/>
        <v>FALSE</v>
      </c>
      <c r="AP1225" s="10" t="str">
        <f t="shared" si="138"/>
        <v>y=0.5642*9.82^2+45.477*9.82-20.207</v>
      </c>
      <c r="AQ1225" s="10" t="b">
        <f>IF(AND(I1225="TP",S1225&lt;=150),VLOOKUP(AF1225,TPCalibEq150!$AZ$2:$BB$55,3,),IF(AND(I1225="TDP",S1225&lt;=150),VLOOKUP(AF1225,TPCalibEq150!$AZ$2:$BB$55,3,)))</f>
        <v>0</v>
      </c>
      <c r="AR1225" s="10" t="b">
        <f>IF(AND(I1225="TP",S1225&lt;=300),VLOOKUP(AF1225,TPCalibEq300!$AZ$2:$BB$55,3,),IF(AND(I1225="TDP",S1225&lt;=300),VLOOKUP(AF1225,TPCalibEq300!$AZ$2:$BB$55,3,)))</f>
        <v>0</v>
      </c>
      <c r="AS1225" s="10" t="b">
        <f>IF(AND(I1225="TP",S1225&lt;=500),VLOOKUP(AF1225,TPCalibEq500!$AZ$2:$BB$56,3,),IF(AND(I1225="TDP",S1225&lt;=500),VLOOKUP(AF1225,TPCalibEq500!$AZ$2:$BB$56,3,)))</f>
        <v>0</v>
      </c>
      <c r="AT1225" s="10" t="b">
        <f>IF(AND(I1225="TN",S1225&lt;=2800),VLOOKUP(AF1225,TNCalibEq2500!$AZ$2:$BB$56,3,),IF(AND(I1225="TDN",S1225&lt;=2800),VLOOKUP(AF1225,TNCalibEq2500!$AZ$2:$BB$56,3,)))</f>
        <v>0</v>
      </c>
      <c r="AU1225" s="10" t="str">
        <f>IF(I1225="TP",VLOOKUP(AF1225,TPCalibEqFull!$AZ$2:$BB$56,3),IF(I1225="TDP",VLOOKUP(AF1225,TPCalibEqFull!$AZ$2:$BB$56,3),IF(I1225="TDN",VLOOKUP(AF1225,TNCalibEqFull!$AZ$1:$BB$56,3),IF(I1225="TN",VLOOKUP(AF1225,TNCalibEqFull!$AZ$1:$BB$56,3),FALSE))))</f>
        <v>y=0.5642x2+45.477x-20.207</v>
      </c>
      <c r="AV1225" s="10" t="str">
        <f t="shared" si="143"/>
        <v>0112 10:55:00-HST-0-C-1-SW-UKN</v>
      </c>
    </row>
    <row r="1226" spans="1:48" s="10" customFormat="1" x14ac:dyDescent="0.55000000000000004">
      <c r="A1226" s="32">
        <v>44939</v>
      </c>
      <c r="B1226" s="33">
        <v>0.4916666666666667</v>
      </c>
      <c r="C1226" s="10" t="s">
        <v>279</v>
      </c>
      <c r="D1226" s="10">
        <v>0</v>
      </c>
      <c r="E1226" s="10" t="s">
        <v>190</v>
      </c>
      <c r="F1226" s="10">
        <v>1</v>
      </c>
      <c r="G1226" s="10" t="s">
        <v>231</v>
      </c>
      <c r="H1226" s="10" t="s">
        <v>322</v>
      </c>
      <c r="I1226" s="10" t="s">
        <v>83</v>
      </c>
      <c r="J1226" s="10">
        <v>5</v>
      </c>
      <c r="K1226" s="12">
        <v>44950</v>
      </c>
      <c r="L1226" s="33">
        <v>0.56052083333333336</v>
      </c>
      <c r="M1226" s="10">
        <v>1</v>
      </c>
      <c r="N1226" s="10" t="s">
        <v>84</v>
      </c>
      <c r="O1226" s="10">
        <v>4.7</v>
      </c>
      <c r="P1226" s="10">
        <v>0.33900000000000002</v>
      </c>
      <c r="Q1226" s="10">
        <v>229</v>
      </c>
      <c r="R1226" s="10" t="s">
        <v>85</v>
      </c>
      <c r="S1226" s="34">
        <f t="shared" si="139"/>
        <v>309.66468000000003</v>
      </c>
      <c r="T1226" s="10" t="s">
        <v>1087</v>
      </c>
      <c r="U1226" s="34" t="str">
        <f t="shared" si="140"/>
        <v/>
      </c>
      <c r="V1226" s="31" t="str">
        <f>IF(H1226="CHK",VLOOKUP(I1226,QCCHK,3,),IF(H1226="GUP",VLOOKUP(E1226,QCGUP,2,),IF(AND(H1226="ATP",OR(I1226="TN",I1226="TDN",I1226="TNO2-3",I1226="NO2-3")),VLOOKUP(E1226,QCREC_N,2,),IF(AND(H1226="NIC",OR(I1226="TN",I1226="TDN",I1226="TNO2-3",I1226="NO2-3")),VLOOKUP(E1226,QCNIC_N,2,),IF(AND(H1226="UREA",OR(I1226="TN",I1226="TDN",I1226="TNO2-3",I1226="NO2-3")),VLOOKUP(E1226,QCUREA_N,2,),IF(H1226="PER",VLOOKUP(I1226,QCPER,MATCH(E1226,QCACTUAL!$J$25:$AA$25,0),),IF(H1226="SPK",VLOOKUP(I1226,QCSPK,3,),IF(AND(H1226="ATP",OR(I1226="TP",I1226="TDP")),VLOOKUP(E1226,QCATP_P,2,),""))))))))</f>
        <v/>
      </c>
      <c r="W1226" s="31" t="str">
        <f t="shared" si="141"/>
        <v>TRUE</v>
      </c>
      <c r="X1226" s="31" t="str">
        <f t="shared" si="142"/>
        <v/>
      </c>
      <c r="Y1226" s="10" t="s">
        <v>1071</v>
      </c>
      <c r="Z1226" s="10" t="s">
        <v>910</v>
      </c>
      <c r="AF1226" s="12">
        <v>44950</v>
      </c>
      <c r="AH1226" s="10">
        <f>-3.008*4.7^2+89.412*4.7-44.125</f>
        <v>309.66468000000003</v>
      </c>
      <c r="AI1226" s="10">
        <f>2.2125*4.7^2+32.759*4.7-8.5751</f>
        <v>194.26632500000002</v>
      </c>
      <c r="AK1226" s="10">
        <f>0.5642*4.7^2+45.477*4.7-20.207</f>
        <v>205.99807799999999</v>
      </c>
      <c r="AL1226" s="10" t="str">
        <f t="shared" si="137"/>
        <v>FALSE</v>
      </c>
      <c r="AM1226" s="10" t="str">
        <f t="shared" si="137"/>
        <v>FALSE</v>
      </c>
      <c r="AN1226" s="10" t="str">
        <f t="shared" si="137"/>
        <v>y=2.2125*4.7^2+32.759*4.7-8.5751</v>
      </c>
      <c r="AO1226" s="10" t="str">
        <f t="shared" si="138"/>
        <v>FALSE</v>
      </c>
      <c r="AP1226" s="10" t="str">
        <f t="shared" si="138"/>
        <v>y=0.5642*4.7^2+45.477*4.7-20.207</v>
      </c>
      <c r="AQ1226" s="10" t="b">
        <f>IF(AND(I1226="TP",S1226&lt;=150),VLOOKUP(AF1226,TPCalibEq150!$AZ$2:$BB$55,3,),IF(AND(I1226="TDP",S1226&lt;=150),VLOOKUP(AF1226,TPCalibEq150!$AZ$2:$BB$55,3,)))</f>
        <v>0</v>
      </c>
      <c r="AR1226" s="10" t="b">
        <f>IF(AND(I1226="TP",S1226&lt;=300),VLOOKUP(AF1226,TPCalibEq300!$AZ$2:$BB$55,3,),IF(AND(I1226="TDP",S1226&lt;=300),VLOOKUP(AF1226,TPCalibEq300!$AZ$2:$BB$55,3,)))</f>
        <v>0</v>
      </c>
      <c r="AS1226" s="10" t="str">
        <f>IF(AND(I1226="TP",S1226&lt;=500),VLOOKUP(AF1226,TPCalibEq500!$AZ$2:$BB$56,3,),IF(AND(I1226="TDP",S1226&lt;=500),VLOOKUP(AF1226,TPCalibEq500!$AZ$2:$BB$56,3,)))</f>
        <v>y=2.2125x2+32.759x-8.5751</v>
      </c>
      <c r="AT1226" s="10" t="b">
        <f>IF(AND(I1226="TN",S1226&lt;=2800),VLOOKUP(AF1226,TNCalibEq2500!$AZ$2:$BB$56,3,),IF(AND(I1226="TDN",S1226&lt;=2800),VLOOKUP(AF1226,TNCalibEq2500!$AZ$2:$BB$56,3,)))</f>
        <v>0</v>
      </c>
      <c r="AU1226" s="10" t="str">
        <f>IF(I1226="TP",VLOOKUP(AF1226,TPCalibEqFull!$AZ$2:$BB$56,3),IF(I1226="TDP",VLOOKUP(AF1226,TPCalibEqFull!$AZ$2:$BB$56,3),IF(I1226="TDN",VLOOKUP(AF1226,TNCalibEqFull!$AZ$1:$BB$56,3),IF(I1226="TN",VLOOKUP(AF1226,TNCalibEqFull!$AZ$1:$BB$56,3),FALSE))))</f>
        <v>y=0.5642x2+45.477x-20.207</v>
      </c>
      <c r="AV1226" s="10" t="str">
        <f t="shared" si="143"/>
        <v>0113 11:48:00-EFK-0-C-1-SW-UKN</v>
      </c>
    </row>
    <row r="1227" spans="1:48" s="10" customFormat="1" x14ac:dyDescent="0.55000000000000004">
      <c r="A1227" s="32">
        <v>44939</v>
      </c>
      <c r="B1227" s="33">
        <v>0.49444444444444446</v>
      </c>
      <c r="C1227" s="10" t="s">
        <v>333</v>
      </c>
      <c r="D1227" s="10">
        <v>0</v>
      </c>
      <c r="E1227" s="10" t="s">
        <v>190</v>
      </c>
      <c r="F1227" s="10">
        <v>1</v>
      </c>
      <c r="G1227" s="10" t="s">
        <v>231</v>
      </c>
      <c r="H1227" s="10" t="s">
        <v>322</v>
      </c>
      <c r="I1227" s="10" t="s">
        <v>83</v>
      </c>
      <c r="J1227" s="10">
        <v>6</v>
      </c>
      <c r="K1227" s="12">
        <v>44950</v>
      </c>
      <c r="L1227" s="33">
        <v>0.5612152777777778</v>
      </c>
      <c r="M1227" s="10">
        <v>1</v>
      </c>
      <c r="N1227" s="10" t="s">
        <v>84</v>
      </c>
      <c r="O1227" s="10">
        <v>3.71</v>
      </c>
      <c r="P1227" s="10">
        <v>0.26500000000000001</v>
      </c>
      <c r="Q1227" s="10">
        <v>178</v>
      </c>
      <c r="R1227" s="10" t="s">
        <v>85</v>
      </c>
      <c r="S1227" s="34">
        <f t="shared" si="139"/>
        <v>246.19110720000003</v>
      </c>
      <c r="T1227" s="10" t="s">
        <v>1087</v>
      </c>
      <c r="U1227" s="34" t="str">
        <f t="shared" si="140"/>
        <v/>
      </c>
      <c r="V1227" s="31" t="str">
        <f>IF(H1227="CHK",VLOOKUP(I1227,QCCHK,3,),IF(H1227="GUP",VLOOKUP(E1227,QCGUP,2,),IF(AND(H1227="ATP",OR(I1227="TN",I1227="TDN",I1227="TNO2-3",I1227="NO2-3")),VLOOKUP(E1227,QCREC_N,2,),IF(AND(H1227="NIC",OR(I1227="TN",I1227="TDN",I1227="TNO2-3",I1227="NO2-3")),VLOOKUP(E1227,QCNIC_N,2,),IF(AND(H1227="UREA",OR(I1227="TN",I1227="TDN",I1227="TNO2-3",I1227="NO2-3")),VLOOKUP(E1227,QCUREA_N,2,),IF(H1227="PER",VLOOKUP(I1227,QCPER,MATCH(E1227,QCACTUAL!$J$25:$AA$25,0),),IF(H1227="SPK",VLOOKUP(I1227,QCSPK,3,),IF(AND(H1227="ATP",OR(I1227="TP",I1227="TDP")),VLOOKUP(E1227,QCATP_P,2,),""))))))))</f>
        <v/>
      </c>
      <c r="W1227" s="31" t="str">
        <f t="shared" si="141"/>
        <v>TRUE</v>
      </c>
      <c r="X1227" s="31" t="str">
        <f t="shared" si="142"/>
        <v/>
      </c>
      <c r="Y1227" s="10" t="s">
        <v>1071</v>
      </c>
      <c r="Z1227" s="10" t="s">
        <v>910</v>
      </c>
      <c r="AF1227" s="12">
        <v>44950</v>
      </c>
      <c r="AH1227" s="10">
        <f>-3.008*3.71^2+89.412*3.71-44.125</f>
        <v>246.19110720000003</v>
      </c>
      <c r="AI1227" s="10">
        <f>2.2125*3.71^2+32.759*3.71-8.5751</f>
        <v>143.41386125</v>
      </c>
      <c r="AK1227" s="10">
        <f>0.5642*3.71^2+45.477*3.71-20.207</f>
        <v>156.27837521999999</v>
      </c>
      <c r="AL1227" s="10" t="str">
        <f t="shared" si="137"/>
        <v>FALSE</v>
      </c>
      <c r="AM1227" s="10" t="str">
        <f t="shared" si="137"/>
        <v>y=-3.008*3.71^2+89.412*3.71-44.125</v>
      </c>
      <c r="AN1227" s="10" t="str">
        <f t="shared" si="137"/>
        <v>y=2.2125*3.71^2+32.759*3.71-8.5751</v>
      </c>
      <c r="AO1227" s="10" t="str">
        <f t="shared" si="138"/>
        <v>FALSE</v>
      </c>
      <c r="AP1227" s="10" t="str">
        <f t="shared" si="138"/>
        <v>y=0.5642*3.71^2+45.477*3.71-20.207</v>
      </c>
      <c r="AQ1227" s="10" t="b">
        <f>IF(AND(I1227="TP",S1227&lt;=150),VLOOKUP(AF1227,TPCalibEq150!$AZ$2:$BB$55,3,),IF(AND(I1227="TDP",S1227&lt;=150),VLOOKUP(AF1227,TPCalibEq150!$AZ$2:$BB$55,3,)))</f>
        <v>0</v>
      </c>
      <c r="AR1227" s="10" t="str">
        <f>IF(AND(I1227="TP",S1227&lt;=300),VLOOKUP(AF1227,TPCalibEq300!$AZ$2:$BB$55,3,),IF(AND(I1227="TDP",S1227&lt;=300),VLOOKUP(AF1227,TPCalibEq300!$AZ$2:$BB$55,3,)))</f>
        <v>y=-3.008x2+89.412x-44.125</v>
      </c>
      <c r="AS1227" s="10" t="str">
        <f>IF(AND(I1227="TP",S1227&lt;=500),VLOOKUP(AF1227,TPCalibEq500!$AZ$2:$BB$56,3,),IF(AND(I1227="TDP",S1227&lt;=500),VLOOKUP(AF1227,TPCalibEq500!$AZ$2:$BB$56,3,)))</f>
        <v>y=2.2125x2+32.759x-8.5751</v>
      </c>
      <c r="AT1227" s="10" t="b">
        <f>IF(AND(I1227="TN",S1227&lt;=2800),VLOOKUP(AF1227,TNCalibEq2500!$AZ$2:$BB$56,3,),IF(AND(I1227="TDN",S1227&lt;=2800),VLOOKUP(AF1227,TNCalibEq2500!$AZ$2:$BB$56,3,)))</f>
        <v>0</v>
      </c>
      <c r="AU1227" s="10" t="str">
        <f>IF(I1227="TP",VLOOKUP(AF1227,TPCalibEqFull!$AZ$2:$BB$56,3),IF(I1227="TDP",VLOOKUP(AF1227,TPCalibEqFull!$AZ$2:$BB$56,3),IF(I1227="TDN",VLOOKUP(AF1227,TNCalibEqFull!$AZ$1:$BB$56,3),IF(I1227="TN",VLOOKUP(AF1227,TNCalibEqFull!$AZ$1:$BB$56,3),FALSE))))</f>
        <v>y=0.5642x2+45.477x-20.207</v>
      </c>
      <c r="AV1227" s="10" t="str">
        <f t="shared" si="143"/>
        <v>0113 11:52:00-HST-0-C-1-SW-UKN</v>
      </c>
    </row>
    <row r="1228" spans="1:48" s="10" customFormat="1" x14ac:dyDescent="0.55000000000000004">
      <c r="A1228" s="32">
        <v>44943</v>
      </c>
      <c r="B1228" s="33">
        <v>0.32291666666666669</v>
      </c>
      <c r="C1228" s="10" t="s">
        <v>279</v>
      </c>
      <c r="D1228" s="10">
        <v>0</v>
      </c>
      <c r="E1228" s="10" t="s">
        <v>190</v>
      </c>
      <c r="F1228" s="10">
        <v>1</v>
      </c>
      <c r="G1228" s="10" t="s">
        <v>231</v>
      </c>
      <c r="H1228" s="10" t="s">
        <v>322</v>
      </c>
      <c r="I1228" s="10" t="s">
        <v>83</v>
      </c>
      <c r="J1228" s="10">
        <v>7</v>
      </c>
      <c r="K1228" s="12">
        <v>44950</v>
      </c>
      <c r="L1228" s="33">
        <v>0.56192129629629628</v>
      </c>
      <c r="M1228" s="10">
        <v>1</v>
      </c>
      <c r="N1228" s="10" t="s">
        <v>84</v>
      </c>
      <c r="O1228" s="10">
        <v>3.42</v>
      </c>
      <c r="P1228" s="10">
        <v>0.24399999999999999</v>
      </c>
      <c r="Q1228" s="10">
        <v>164</v>
      </c>
      <c r="R1228" s="10" t="s">
        <v>85</v>
      </c>
      <c r="S1228" s="34">
        <f t="shared" si="139"/>
        <v>226.48126880000001</v>
      </c>
      <c r="T1228" s="10" t="s">
        <v>1087</v>
      </c>
      <c r="U1228" s="34" t="str">
        <f t="shared" si="140"/>
        <v/>
      </c>
      <c r="V1228" s="31" t="str">
        <f>IF(H1228="CHK",VLOOKUP(I1228,QCCHK,3,),IF(H1228="GUP",VLOOKUP(E1228,QCGUP,2,),IF(AND(H1228="ATP",OR(I1228="TN",I1228="TDN",I1228="TNO2-3",I1228="NO2-3")),VLOOKUP(E1228,QCREC_N,2,),IF(AND(H1228="NIC",OR(I1228="TN",I1228="TDN",I1228="TNO2-3",I1228="NO2-3")),VLOOKUP(E1228,QCNIC_N,2,),IF(AND(H1228="UREA",OR(I1228="TN",I1228="TDN",I1228="TNO2-3",I1228="NO2-3")),VLOOKUP(E1228,QCUREA_N,2,),IF(H1228="PER",VLOOKUP(I1228,QCPER,MATCH(E1228,QCACTUAL!$J$25:$AA$25,0),),IF(H1228="SPK",VLOOKUP(I1228,QCSPK,3,),IF(AND(H1228="ATP",OR(I1228="TP",I1228="TDP")),VLOOKUP(E1228,QCATP_P,2,),""))))))))</f>
        <v/>
      </c>
      <c r="W1228" s="31" t="str">
        <f t="shared" si="141"/>
        <v>TRUE</v>
      </c>
      <c r="X1228" s="31" t="str">
        <f t="shared" si="142"/>
        <v/>
      </c>
      <c r="Y1228" s="10" t="s">
        <v>1071</v>
      </c>
      <c r="Z1228" s="10" t="s">
        <v>910</v>
      </c>
      <c r="AF1228" s="12">
        <v>44950</v>
      </c>
      <c r="AH1228" s="10">
        <f>-3.008*3.42^2+89.412*3.42-44.125</f>
        <v>226.48126880000001</v>
      </c>
      <c r="AI1228" s="10">
        <f>2.2125*3.42^2+32.759*3.42-8.5751</f>
        <v>129.338965</v>
      </c>
      <c r="AK1228" s="10">
        <f>0.5642*3.42^2+45.477*3.42-20.207</f>
        <v>141.92344887999997</v>
      </c>
      <c r="AL1228" s="10" t="str">
        <f t="shared" si="137"/>
        <v>FALSE</v>
      </c>
      <c r="AM1228" s="10" t="str">
        <f t="shared" si="137"/>
        <v>y=-3.008*3.42^2+89.412*3.42-44.125</v>
      </c>
      <c r="AN1228" s="10" t="str">
        <f t="shared" si="137"/>
        <v>y=2.2125*3.42^2+32.759*3.42-8.5751</v>
      </c>
      <c r="AO1228" s="10" t="str">
        <f t="shared" si="138"/>
        <v>FALSE</v>
      </c>
      <c r="AP1228" s="10" t="str">
        <f t="shared" si="138"/>
        <v>y=0.5642*3.42^2+45.477*3.42-20.207</v>
      </c>
      <c r="AQ1228" s="10" t="b">
        <f>IF(AND(I1228="TP",S1228&lt;=150),VLOOKUP(AF1228,TPCalibEq150!$AZ$2:$BB$55,3,),IF(AND(I1228="TDP",S1228&lt;=150),VLOOKUP(AF1228,TPCalibEq150!$AZ$2:$BB$55,3,)))</f>
        <v>0</v>
      </c>
      <c r="AR1228" s="10" t="str">
        <f>IF(AND(I1228="TP",S1228&lt;=300),VLOOKUP(AF1228,TPCalibEq300!$AZ$2:$BB$55,3,),IF(AND(I1228="TDP",S1228&lt;=300),VLOOKUP(AF1228,TPCalibEq300!$AZ$2:$BB$55,3,)))</f>
        <v>y=-3.008x2+89.412x-44.125</v>
      </c>
      <c r="AS1228" s="10" t="str">
        <f>IF(AND(I1228="TP",S1228&lt;=500),VLOOKUP(AF1228,TPCalibEq500!$AZ$2:$BB$56,3,),IF(AND(I1228="TDP",S1228&lt;=500),VLOOKUP(AF1228,TPCalibEq500!$AZ$2:$BB$56,3,)))</f>
        <v>y=2.2125x2+32.759x-8.5751</v>
      </c>
      <c r="AT1228" s="10" t="b">
        <f>IF(AND(I1228="TN",S1228&lt;=2800),VLOOKUP(AF1228,TNCalibEq2500!$AZ$2:$BB$56,3,),IF(AND(I1228="TDN",S1228&lt;=2800),VLOOKUP(AF1228,TNCalibEq2500!$AZ$2:$BB$56,3,)))</f>
        <v>0</v>
      </c>
      <c r="AU1228" s="10" t="str">
        <f>IF(I1228="TP",VLOOKUP(AF1228,TPCalibEqFull!$AZ$2:$BB$56,3),IF(I1228="TDP",VLOOKUP(AF1228,TPCalibEqFull!$AZ$2:$BB$56,3),IF(I1228="TDN",VLOOKUP(AF1228,TNCalibEqFull!$AZ$1:$BB$56,3),IF(I1228="TN",VLOOKUP(AF1228,TNCalibEqFull!$AZ$1:$BB$56,3),FALSE))))</f>
        <v>y=0.5642x2+45.477x-20.207</v>
      </c>
      <c r="AV1228" s="10" t="str">
        <f t="shared" si="143"/>
        <v>0117 07:45:00-EFK-0-C-1-SW-UKN</v>
      </c>
    </row>
    <row r="1229" spans="1:48" s="10" customFormat="1" x14ac:dyDescent="0.55000000000000004">
      <c r="A1229" s="32">
        <v>44943</v>
      </c>
      <c r="B1229" s="33">
        <v>0.32083333333333336</v>
      </c>
      <c r="C1229" s="10" t="s">
        <v>333</v>
      </c>
      <c r="D1229" s="10">
        <v>0</v>
      </c>
      <c r="E1229" s="10" t="s">
        <v>190</v>
      </c>
      <c r="F1229" s="10">
        <v>1</v>
      </c>
      <c r="G1229" s="10" t="s">
        <v>231</v>
      </c>
      <c r="H1229" s="10" t="s">
        <v>322</v>
      </c>
      <c r="I1229" s="10" t="s">
        <v>83</v>
      </c>
      <c r="J1229" s="10">
        <v>8</v>
      </c>
      <c r="K1229" s="12">
        <v>44950</v>
      </c>
      <c r="L1229" s="33">
        <v>0.56261574074074072</v>
      </c>
      <c r="M1229" s="10">
        <v>1</v>
      </c>
      <c r="N1229" s="10" t="s">
        <v>84</v>
      </c>
      <c r="O1229" s="10">
        <v>2.61</v>
      </c>
      <c r="P1229" s="10">
        <v>0.185</v>
      </c>
      <c r="Q1229" s="10">
        <v>123</v>
      </c>
      <c r="R1229" s="10" t="s">
        <v>85</v>
      </c>
      <c r="S1229" s="34">
        <f t="shared" si="139"/>
        <v>168.7495232</v>
      </c>
      <c r="T1229" s="10" t="s">
        <v>1087</v>
      </c>
      <c r="U1229" s="34" t="str">
        <f t="shared" si="140"/>
        <v/>
      </c>
      <c r="V1229" s="31" t="str">
        <f>IF(H1229="CHK",VLOOKUP(I1229,QCCHK,3,),IF(H1229="GUP",VLOOKUP(E1229,QCGUP,2,),IF(AND(H1229="ATP",OR(I1229="TN",I1229="TDN",I1229="TNO2-3",I1229="NO2-3")),VLOOKUP(E1229,QCREC_N,2,),IF(AND(H1229="NIC",OR(I1229="TN",I1229="TDN",I1229="TNO2-3",I1229="NO2-3")),VLOOKUP(E1229,QCNIC_N,2,),IF(AND(H1229="UREA",OR(I1229="TN",I1229="TDN",I1229="TNO2-3",I1229="NO2-3")),VLOOKUP(E1229,QCUREA_N,2,),IF(H1229="PER",VLOOKUP(I1229,QCPER,MATCH(E1229,QCACTUAL!$J$25:$AA$25,0),),IF(H1229="SPK",VLOOKUP(I1229,QCSPK,3,),IF(AND(H1229="ATP",OR(I1229="TP",I1229="TDP")),VLOOKUP(E1229,QCATP_P,2,),""))))))))</f>
        <v/>
      </c>
      <c r="W1229" s="31" t="str">
        <f t="shared" si="141"/>
        <v>TRUE</v>
      </c>
      <c r="X1229" s="31" t="str">
        <f t="shared" si="142"/>
        <v/>
      </c>
      <c r="Y1229" s="10" t="s">
        <v>1071</v>
      </c>
      <c r="Z1229" s="10" t="s">
        <v>910</v>
      </c>
      <c r="AF1229" s="12">
        <v>44950</v>
      </c>
      <c r="AG1229" s="10">
        <f>-5.8068*2.61^2+97.248*2.61-48.038</f>
        <v>166.22277772000001</v>
      </c>
      <c r="AH1229" s="10">
        <f>-3.008*2.61^2+89.412*2.61-44.125</f>
        <v>168.7495232</v>
      </c>
      <c r="AI1229" s="10">
        <f>2.2125*2.61^2+32.759*2.61-8.5751</f>
        <v>91.997661249999993</v>
      </c>
      <c r="AK1229" s="10">
        <f>0.5642*2.61^2+45.477*2.61-20.207</f>
        <v>102.33135682</v>
      </c>
      <c r="AL1229" s="10" t="str">
        <f t="shared" si="137"/>
        <v>FALSE</v>
      </c>
      <c r="AM1229" s="10" t="str">
        <f t="shared" si="137"/>
        <v>y=-3.008*2.61^2+89.412*2.61-44.125</v>
      </c>
      <c r="AN1229" s="10" t="str">
        <f t="shared" si="137"/>
        <v>y=2.2125*2.61^2+32.759*2.61-8.5751</v>
      </c>
      <c r="AO1229" s="10" t="str">
        <f t="shared" si="138"/>
        <v>FALSE</v>
      </c>
      <c r="AP1229" s="10" t="str">
        <f t="shared" si="138"/>
        <v>y=0.5642*2.61^2+45.477*2.61-20.207</v>
      </c>
      <c r="AQ1229" s="10" t="b">
        <f>IF(AND(I1229="TP",S1229&lt;=150),VLOOKUP(AF1229,TPCalibEq150!$AZ$2:$BB$55,3,),IF(AND(I1229="TDP",S1229&lt;=150),VLOOKUP(AF1229,TPCalibEq150!$AZ$2:$BB$55,3,)))</f>
        <v>0</v>
      </c>
      <c r="AR1229" s="10" t="str">
        <f>IF(AND(I1229="TP",S1229&lt;=300),VLOOKUP(AF1229,TPCalibEq300!$AZ$2:$BB$55,3,),IF(AND(I1229="TDP",S1229&lt;=300),VLOOKUP(AF1229,TPCalibEq300!$AZ$2:$BB$55,3,)))</f>
        <v>y=-3.008x2+89.412x-44.125</v>
      </c>
      <c r="AS1229" s="10" t="str">
        <f>IF(AND(I1229="TP",S1229&lt;=500),VLOOKUP(AF1229,TPCalibEq500!$AZ$2:$BB$56,3,),IF(AND(I1229="TDP",S1229&lt;=500),VLOOKUP(AF1229,TPCalibEq500!$AZ$2:$BB$56,3,)))</f>
        <v>y=2.2125x2+32.759x-8.5751</v>
      </c>
      <c r="AT1229" s="10" t="b">
        <f>IF(AND(I1229="TN",S1229&lt;=2800),VLOOKUP(AF1229,TNCalibEq2500!$AZ$2:$BB$56,3,),IF(AND(I1229="TDN",S1229&lt;=2800),VLOOKUP(AF1229,TNCalibEq2500!$AZ$2:$BB$56,3,)))</f>
        <v>0</v>
      </c>
      <c r="AU1229" s="10" t="str">
        <f>IF(I1229="TP",VLOOKUP(AF1229,TPCalibEqFull!$AZ$2:$BB$56,3),IF(I1229="TDP",VLOOKUP(AF1229,TPCalibEqFull!$AZ$2:$BB$56,3),IF(I1229="TDN",VLOOKUP(AF1229,TNCalibEqFull!$AZ$1:$BB$56,3),IF(I1229="TN",VLOOKUP(AF1229,TNCalibEqFull!$AZ$1:$BB$56,3),FALSE))))</f>
        <v>y=0.5642x2+45.477x-20.207</v>
      </c>
      <c r="AV1229" s="10" t="str">
        <f t="shared" si="143"/>
        <v>0117 07:42:00-HST-0-C-1-SW-UKN</v>
      </c>
    </row>
    <row r="1230" spans="1:48" s="10" customFormat="1" x14ac:dyDescent="0.55000000000000004">
      <c r="A1230" s="32">
        <v>44944</v>
      </c>
      <c r="B1230" s="33">
        <v>0.36249999999999999</v>
      </c>
      <c r="C1230" s="10" t="s">
        <v>279</v>
      </c>
      <c r="D1230" s="10">
        <v>0</v>
      </c>
      <c r="E1230" s="10" t="s">
        <v>190</v>
      </c>
      <c r="F1230" s="10">
        <v>1</v>
      </c>
      <c r="G1230" s="10" t="s">
        <v>231</v>
      </c>
      <c r="H1230" s="10" t="s">
        <v>322</v>
      </c>
      <c r="I1230" s="10" t="s">
        <v>83</v>
      </c>
      <c r="J1230" s="10">
        <v>9</v>
      </c>
      <c r="K1230" s="12">
        <v>44950</v>
      </c>
      <c r="L1230" s="33">
        <v>0.56332175925925931</v>
      </c>
      <c r="M1230" s="10">
        <v>1</v>
      </c>
      <c r="N1230" s="10" t="s">
        <v>84</v>
      </c>
      <c r="O1230" s="10">
        <v>3.38</v>
      </c>
      <c r="P1230" s="10">
        <v>0.24</v>
      </c>
      <c r="Q1230" s="10">
        <v>162</v>
      </c>
      <c r="R1230" s="10" t="s">
        <v>85</v>
      </c>
      <c r="S1230" s="34">
        <f t="shared" si="139"/>
        <v>223.7229648</v>
      </c>
      <c r="T1230" s="10" t="s">
        <v>1087</v>
      </c>
      <c r="U1230" s="34" t="str">
        <f t="shared" si="140"/>
        <v/>
      </c>
      <c r="V1230" s="31" t="str">
        <f>IF(H1230="CHK",VLOOKUP(I1230,QCCHK,3,),IF(H1230="GUP",VLOOKUP(E1230,QCGUP,2,),IF(AND(H1230="ATP",OR(I1230="TN",I1230="TDN",I1230="TNO2-3",I1230="NO2-3")),VLOOKUP(E1230,QCREC_N,2,),IF(AND(H1230="NIC",OR(I1230="TN",I1230="TDN",I1230="TNO2-3",I1230="NO2-3")),VLOOKUP(E1230,QCNIC_N,2,),IF(AND(H1230="UREA",OR(I1230="TN",I1230="TDN",I1230="TNO2-3",I1230="NO2-3")),VLOOKUP(E1230,QCUREA_N,2,),IF(H1230="PER",VLOOKUP(I1230,QCPER,MATCH(E1230,QCACTUAL!$J$25:$AA$25,0),),IF(H1230="SPK",VLOOKUP(I1230,QCSPK,3,),IF(AND(H1230="ATP",OR(I1230="TP",I1230="TDP")),VLOOKUP(E1230,QCATP_P,2,),""))))))))</f>
        <v/>
      </c>
      <c r="W1230" s="31" t="str">
        <f t="shared" si="141"/>
        <v>TRUE</v>
      </c>
      <c r="X1230" s="31" t="str">
        <f t="shared" si="142"/>
        <v/>
      </c>
      <c r="Y1230" s="10" t="s">
        <v>1071</v>
      </c>
      <c r="Z1230" s="10" t="s">
        <v>910</v>
      </c>
      <c r="AF1230" s="12">
        <v>44950</v>
      </c>
      <c r="AH1230" s="10">
        <f>-3.008*3.38^2+89.412*3.38-44.125</f>
        <v>223.7229648</v>
      </c>
      <c r="AI1230" s="10">
        <f>2.2125*3.38^2+32.759*3.38-8.5751</f>
        <v>127.42680499999999</v>
      </c>
      <c r="AK1230" s="10">
        <f>0.5642*3.38^2+45.477*3.38-20.207</f>
        <v>139.95090647999999</v>
      </c>
      <c r="AL1230" s="10" t="str">
        <f t="shared" si="137"/>
        <v>FALSE</v>
      </c>
      <c r="AM1230" s="10" t="str">
        <f t="shared" si="137"/>
        <v>y=-3.008*3.38^2+89.412*3.38-44.125</v>
      </c>
      <c r="AN1230" s="10" t="str">
        <f t="shared" si="137"/>
        <v>y=2.2125*3.38^2+32.759*3.38-8.5751</v>
      </c>
      <c r="AO1230" s="10" t="str">
        <f t="shared" si="138"/>
        <v>FALSE</v>
      </c>
      <c r="AP1230" s="10" t="str">
        <f t="shared" si="138"/>
        <v>y=0.5642*3.38^2+45.477*3.38-20.207</v>
      </c>
      <c r="AQ1230" s="10" t="b">
        <f>IF(AND(I1230="TP",S1230&lt;=150),VLOOKUP(AF1230,TPCalibEq150!$AZ$2:$BB$55,3,),IF(AND(I1230="TDP",S1230&lt;=150),VLOOKUP(AF1230,TPCalibEq150!$AZ$2:$BB$55,3,)))</f>
        <v>0</v>
      </c>
      <c r="AR1230" s="10" t="str">
        <f>IF(AND(I1230="TP",S1230&lt;=300),VLOOKUP(AF1230,TPCalibEq300!$AZ$2:$BB$55,3,),IF(AND(I1230="TDP",S1230&lt;=300),VLOOKUP(AF1230,TPCalibEq300!$AZ$2:$BB$55,3,)))</f>
        <v>y=-3.008x2+89.412x-44.125</v>
      </c>
      <c r="AS1230" s="10" t="str">
        <f>IF(AND(I1230="TP",S1230&lt;=500),VLOOKUP(AF1230,TPCalibEq500!$AZ$2:$BB$56,3,),IF(AND(I1230="TDP",S1230&lt;=500),VLOOKUP(AF1230,TPCalibEq500!$AZ$2:$BB$56,3,)))</f>
        <v>y=2.2125x2+32.759x-8.5751</v>
      </c>
      <c r="AT1230" s="10" t="b">
        <f>IF(AND(I1230="TN",S1230&lt;=2800),VLOOKUP(AF1230,TNCalibEq2500!$AZ$2:$BB$56,3,),IF(AND(I1230="TDN",S1230&lt;=2800),VLOOKUP(AF1230,TNCalibEq2500!$AZ$2:$BB$56,3,)))</f>
        <v>0</v>
      </c>
      <c r="AU1230" s="10" t="str">
        <f>IF(I1230="TP",VLOOKUP(AF1230,TPCalibEqFull!$AZ$2:$BB$56,3),IF(I1230="TDP",VLOOKUP(AF1230,TPCalibEqFull!$AZ$2:$BB$56,3),IF(I1230="TDN",VLOOKUP(AF1230,TNCalibEqFull!$AZ$1:$BB$56,3),IF(I1230="TN",VLOOKUP(AF1230,TNCalibEqFull!$AZ$1:$BB$56,3),FALSE))))</f>
        <v>y=0.5642x2+45.477x-20.207</v>
      </c>
      <c r="AV1230" s="10" t="str">
        <f t="shared" si="143"/>
        <v>0118 08:42:00-EFK-0-C-1-SW-UKN</v>
      </c>
    </row>
    <row r="1231" spans="1:48" s="10" customFormat="1" x14ac:dyDescent="0.55000000000000004">
      <c r="A1231" s="32">
        <v>44944</v>
      </c>
      <c r="B1231" s="33">
        <v>0.36805555555555558</v>
      </c>
      <c r="C1231" s="10" t="s">
        <v>333</v>
      </c>
      <c r="D1231" s="10">
        <v>0</v>
      </c>
      <c r="E1231" s="10" t="s">
        <v>190</v>
      </c>
      <c r="F1231" s="10">
        <v>1</v>
      </c>
      <c r="G1231" s="10" t="s">
        <v>231</v>
      </c>
      <c r="H1231" s="10" t="s">
        <v>322</v>
      </c>
      <c r="I1231" s="10" t="s">
        <v>83</v>
      </c>
      <c r="J1231" s="10">
        <v>10</v>
      </c>
      <c r="K1231" s="12">
        <v>44950</v>
      </c>
      <c r="L1231" s="33">
        <v>0.56401620370370364</v>
      </c>
      <c r="M1231" s="10">
        <v>1</v>
      </c>
      <c r="N1231" s="10" t="s">
        <v>84</v>
      </c>
      <c r="O1231" s="10">
        <v>2.3199999999999998</v>
      </c>
      <c r="P1231" s="10">
        <v>0.16500000000000001</v>
      </c>
      <c r="Q1231" s="10">
        <v>108</v>
      </c>
      <c r="R1231" s="10" t="s">
        <v>85</v>
      </c>
      <c r="S1231" s="34">
        <f t="shared" si="139"/>
        <v>147.12058080000003</v>
      </c>
      <c r="T1231" s="10" t="s">
        <v>1087</v>
      </c>
      <c r="U1231" s="34" t="str">
        <f t="shared" si="140"/>
        <v/>
      </c>
      <c r="V1231" s="31" t="str">
        <f>IF(H1231="CHK",VLOOKUP(I1231,QCCHK,3,),IF(H1231="GUP",VLOOKUP(E1231,QCGUP,2,),IF(AND(H1231="ATP",OR(I1231="TN",I1231="TDN",I1231="TNO2-3",I1231="NO2-3")),VLOOKUP(E1231,QCREC_N,2,),IF(AND(H1231="NIC",OR(I1231="TN",I1231="TDN",I1231="TNO2-3",I1231="NO2-3")),VLOOKUP(E1231,QCNIC_N,2,),IF(AND(H1231="UREA",OR(I1231="TN",I1231="TDN",I1231="TNO2-3",I1231="NO2-3")),VLOOKUP(E1231,QCUREA_N,2,),IF(H1231="PER",VLOOKUP(I1231,QCPER,MATCH(E1231,QCACTUAL!$J$25:$AA$25,0),),IF(H1231="SPK",VLOOKUP(I1231,QCSPK,3,),IF(AND(H1231="ATP",OR(I1231="TP",I1231="TDP")),VLOOKUP(E1231,QCATP_P,2,),""))))))))</f>
        <v/>
      </c>
      <c r="W1231" s="31" t="str">
        <f t="shared" si="141"/>
        <v>TRUE</v>
      </c>
      <c r="X1231" s="31" t="str">
        <f t="shared" si="142"/>
        <v/>
      </c>
      <c r="Y1231" s="10" t="s">
        <v>1071</v>
      </c>
      <c r="Z1231" s="10" t="s">
        <v>910</v>
      </c>
      <c r="AF1231" s="12">
        <v>44950</v>
      </c>
      <c r="AG1231" s="10">
        <f>-5.8068*2.32^2+97.248*2.32-48.038</f>
        <v>146.32283967999996</v>
      </c>
      <c r="AH1231" s="10">
        <f>-3.008*2.32^2+89.412*2.32-44.125</f>
        <v>147.12058080000003</v>
      </c>
      <c r="AI1231" s="10">
        <f>2.2125*2.32^2+32.759*2.32-8.5751</f>
        <v>79.334339999999983</v>
      </c>
      <c r="AK1231" s="10">
        <f>0.5642*2.32^2+45.477*2.32-20.207</f>
        <v>88.336390080000001</v>
      </c>
      <c r="AL1231" s="10" t="str">
        <f t="shared" si="137"/>
        <v>y=-5.8068*2.32^2+97.248*2.32-48.038</v>
      </c>
      <c r="AM1231" s="10" t="str">
        <f t="shared" si="137"/>
        <v>y=-3.008*2.32^2+89.412*2.32-44.125</v>
      </c>
      <c r="AN1231" s="10" t="str">
        <f t="shared" si="137"/>
        <v>y=2.2125*2.32^2+32.759*2.32-8.5751</v>
      </c>
      <c r="AO1231" s="10" t="str">
        <f t="shared" si="138"/>
        <v>FALSE</v>
      </c>
      <c r="AP1231" s="10" t="str">
        <f t="shared" si="138"/>
        <v>y=0.5642*2.32^2+45.477*2.32-20.207</v>
      </c>
      <c r="AQ1231" s="10" t="str">
        <f>IF(AND(I1231="TP",S1231&lt;=150),VLOOKUP(AF1231,TPCalibEq150!$AZ$2:$BB$55,3,),IF(AND(I1231="TDP",S1231&lt;=150),VLOOKUP(AF1231,TPCalibEq150!$AZ$2:$BB$55,3,)))</f>
        <v>y=-5.8068x2+97.248x-48.038</v>
      </c>
      <c r="AR1231" s="10" t="str">
        <f>IF(AND(I1231="TP",S1231&lt;=300),VLOOKUP(AF1231,TPCalibEq300!$AZ$2:$BB$55,3,),IF(AND(I1231="TDP",S1231&lt;=300),VLOOKUP(AF1231,TPCalibEq300!$AZ$2:$BB$55,3,)))</f>
        <v>y=-3.008x2+89.412x-44.125</v>
      </c>
      <c r="AS1231" s="10" t="str">
        <f>IF(AND(I1231="TP",S1231&lt;=500),VLOOKUP(AF1231,TPCalibEq500!$AZ$2:$BB$56,3,),IF(AND(I1231="TDP",S1231&lt;=500),VLOOKUP(AF1231,TPCalibEq500!$AZ$2:$BB$56,3,)))</f>
        <v>y=2.2125x2+32.759x-8.5751</v>
      </c>
      <c r="AT1231" s="10" t="b">
        <f>IF(AND(I1231="TN",S1231&lt;=2800),VLOOKUP(AF1231,TNCalibEq2500!$AZ$2:$BB$56,3,),IF(AND(I1231="TDN",S1231&lt;=2800),VLOOKUP(AF1231,TNCalibEq2500!$AZ$2:$BB$56,3,)))</f>
        <v>0</v>
      </c>
      <c r="AU1231" s="10" t="str">
        <f>IF(I1231="TP",VLOOKUP(AF1231,TPCalibEqFull!$AZ$2:$BB$56,3),IF(I1231="TDP",VLOOKUP(AF1231,TPCalibEqFull!$AZ$2:$BB$56,3),IF(I1231="TDN",VLOOKUP(AF1231,TNCalibEqFull!$AZ$1:$BB$56,3),IF(I1231="TN",VLOOKUP(AF1231,TNCalibEqFull!$AZ$1:$BB$56,3),FALSE))))</f>
        <v>y=0.5642x2+45.477x-20.207</v>
      </c>
      <c r="AV1231" s="10" t="str">
        <f t="shared" si="143"/>
        <v>0118 08:50:00-HST-0-C-1-SW-UKN</v>
      </c>
    </row>
    <row r="1232" spans="1:48" s="10" customFormat="1" x14ac:dyDescent="0.55000000000000004">
      <c r="A1232" s="32">
        <v>44944</v>
      </c>
      <c r="B1232" s="33">
        <v>0.36805555555555558</v>
      </c>
      <c r="C1232" s="10" t="s">
        <v>333</v>
      </c>
      <c r="D1232" s="10">
        <v>0</v>
      </c>
      <c r="E1232" s="10" t="s">
        <v>190</v>
      </c>
      <c r="F1232" s="10">
        <v>1</v>
      </c>
      <c r="G1232" s="10" t="s">
        <v>231</v>
      </c>
      <c r="H1232" s="10" t="s">
        <v>233</v>
      </c>
      <c r="I1232" s="10" t="s">
        <v>83</v>
      </c>
      <c r="J1232" s="10">
        <v>10</v>
      </c>
      <c r="K1232" s="12">
        <v>44950</v>
      </c>
      <c r="L1232" s="33">
        <v>0.56469907407407405</v>
      </c>
      <c r="M1232" s="10">
        <v>1</v>
      </c>
      <c r="N1232" s="10" t="s">
        <v>84</v>
      </c>
      <c r="O1232" s="10">
        <v>2.34</v>
      </c>
      <c r="P1232" s="10">
        <v>0.16500000000000001</v>
      </c>
      <c r="Q1232" s="10">
        <v>109</v>
      </c>
      <c r="R1232" s="10" t="s">
        <v>85</v>
      </c>
      <c r="S1232" s="34">
        <f t="shared" si="139"/>
        <v>148.62847520000003</v>
      </c>
      <c r="T1232" s="10" t="s">
        <v>1087</v>
      </c>
      <c r="U1232" s="34">
        <f t="shared" si="140"/>
        <v>1.0197120629186369</v>
      </c>
      <c r="V1232" s="31" t="str">
        <f>IF(H1232="CHK",VLOOKUP(I1232,QCCHK,3,),IF(H1232="GUP",VLOOKUP(E1232,QCGUP,2,),IF(AND(H1232="ATP",OR(I1232="TN",I1232="TDN",I1232="TNO2-3",I1232="NO2-3")),VLOOKUP(E1232,QCREC_N,2,),IF(AND(H1232="NIC",OR(I1232="TN",I1232="TDN",I1232="TNO2-3",I1232="NO2-3")),VLOOKUP(E1232,QCNIC_N,2,),IF(AND(H1232="UREA",OR(I1232="TN",I1232="TDN",I1232="TNO2-3",I1232="NO2-3")),VLOOKUP(E1232,QCUREA_N,2,),IF(H1232="PER",VLOOKUP(I1232,QCPER,MATCH(E1232,QCACTUAL!$J$25:$AA$25,0),),IF(H1232="SPK",VLOOKUP(I1232,QCSPK,3,),IF(AND(H1232="ATP",OR(I1232="TP",I1232="TDP")),VLOOKUP(E1232,QCATP_P,2,),""))))))))</f>
        <v/>
      </c>
      <c r="W1232" s="31" t="str">
        <f t="shared" si="141"/>
        <v>TRUE</v>
      </c>
      <c r="X1232" s="31" t="str">
        <f t="shared" si="142"/>
        <v>((ABS(rep1-rep2))/((rep1+rep2)/2)*100</v>
      </c>
      <c r="Y1232" s="10" t="s">
        <v>1071</v>
      </c>
      <c r="Z1232" s="10" t="s">
        <v>910</v>
      </c>
      <c r="AF1232" s="12">
        <v>44950</v>
      </c>
      <c r="AG1232" s="10">
        <f>-5.8068*2.34^2+97.248*2.34-48.038</f>
        <v>147.72660592</v>
      </c>
      <c r="AH1232" s="10">
        <f>-3.008*2.34^2+89.412*2.34-44.125</f>
        <v>148.62847520000003</v>
      </c>
      <c r="AI1232" s="10">
        <f>2.2125*2.34^2+32.759*2.34-8.5751</f>
        <v>80.195724999999996</v>
      </c>
      <c r="AK1232" s="10">
        <f>0.5642*2.34^2+45.477*2.34-20.207</f>
        <v>89.298513519999972</v>
      </c>
      <c r="AL1232" s="10" t="str">
        <f t="shared" si="137"/>
        <v>y=-5.8068*2.34^2+97.248*2.34-48.038</v>
      </c>
      <c r="AM1232" s="10" t="str">
        <f t="shared" si="137"/>
        <v>y=-3.008*2.34^2+89.412*2.34-44.125</v>
      </c>
      <c r="AN1232" s="10" t="str">
        <f t="shared" si="137"/>
        <v>y=2.2125*2.34^2+32.759*2.34-8.5751</v>
      </c>
      <c r="AO1232" s="10" t="str">
        <f t="shared" si="138"/>
        <v>FALSE</v>
      </c>
      <c r="AP1232" s="10" t="str">
        <f t="shared" si="138"/>
        <v>y=0.5642*2.34^2+45.477*2.34-20.207</v>
      </c>
      <c r="AQ1232" s="10" t="str">
        <f>IF(AND(I1232="TP",S1232&lt;=150),VLOOKUP(AF1232,TPCalibEq150!$AZ$2:$BB$55,3,),IF(AND(I1232="TDP",S1232&lt;=150),VLOOKUP(AF1232,TPCalibEq150!$AZ$2:$BB$55,3,)))</f>
        <v>y=-5.8068x2+97.248x-48.038</v>
      </c>
      <c r="AR1232" s="10" t="str">
        <f>IF(AND(I1232="TP",S1232&lt;=300),VLOOKUP(AF1232,TPCalibEq300!$AZ$2:$BB$55,3,),IF(AND(I1232="TDP",S1232&lt;=300),VLOOKUP(AF1232,TPCalibEq300!$AZ$2:$BB$55,3,)))</f>
        <v>y=-3.008x2+89.412x-44.125</v>
      </c>
      <c r="AS1232" s="10" t="str">
        <f>IF(AND(I1232="TP",S1232&lt;=500),VLOOKUP(AF1232,TPCalibEq500!$AZ$2:$BB$56,3,),IF(AND(I1232="TDP",S1232&lt;=500),VLOOKUP(AF1232,TPCalibEq500!$AZ$2:$BB$56,3,)))</f>
        <v>y=2.2125x2+32.759x-8.5751</v>
      </c>
      <c r="AT1232" s="10" t="b">
        <f>IF(AND(I1232="TN",S1232&lt;=2800),VLOOKUP(AF1232,TNCalibEq2500!$AZ$2:$BB$56,3,),IF(AND(I1232="TDN",S1232&lt;=2800),VLOOKUP(AF1232,TNCalibEq2500!$AZ$2:$BB$56,3,)))</f>
        <v>0</v>
      </c>
      <c r="AU1232" s="10" t="str">
        <f>IF(I1232="TP",VLOOKUP(AF1232,TPCalibEqFull!$AZ$2:$BB$56,3),IF(I1232="TDP",VLOOKUP(AF1232,TPCalibEqFull!$AZ$2:$BB$56,3),IF(I1232="TDN",VLOOKUP(AF1232,TNCalibEqFull!$AZ$1:$BB$56,3),IF(I1232="TN",VLOOKUP(AF1232,TNCalibEqFull!$AZ$1:$BB$56,3),FALSE))))</f>
        <v>y=0.5642x2+45.477x-20.207</v>
      </c>
      <c r="AV1232" s="10" t="str">
        <f t="shared" si="143"/>
        <v>0118 08:50:00-HST-0-C-1-SW-DUP</v>
      </c>
    </row>
    <row r="1233" spans="1:48" s="10" customFormat="1" x14ac:dyDescent="0.55000000000000004">
      <c r="A1233" s="32">
        <v>44944</v>
      </c>
      <c r="B1233" s="33">
        <v>0.36805555555555558</v>
      </c>
      <c r="C1233" s="10" t="s">
        <v>912</v>
      </c>
      <c r="D1233" s="10">
        <v>0</v>
      </c>
      <c r="E1233" s="10" t="s">
        <v>190</v>
      </c>
      <c r="F1233" s="10">
        <v>1</v>
      </c>
      <c r="G1233" s="10" t="s">
        <v>231</v>
      </c>
      <c r="H1233" s="10" t="s">
        <v>314</v>
      </c>
      <c r="I1233" s="10" t="s">
        <v>83</v>
      </c>
      <c r="J1233" s="10">
        <v>57</v>
      </c>
      <c r="K1233" s="12">
        <v>44950</v>
      </c>
      <c r="L1233" s="33">
        <v>0.56539351851851849</v>
      </c>
      <c r="M1233" s="10">
        <v>1</v>
      </c>
      <c r="N1233" s="10" t="s">
        <v>84</v>
      </c>
      <c r="O1233" s="10">
        <v>18.2</v>
      </c>
      <c r="P1233" s="10">
        <v>1.29</v>
      </c>
      <c r="Q1233" s="10">
        <v>1010</v>
      </c>
      <c r="R1233" s="10" t="s">
        <v>85</v>
      </c>
      <c r="S1233" s="34">
        <f t="shared" si="139"/>
        <v>1010</v>
      </c>
      <c r="T1233" s="10" t="s">
        <v>1087</v>
      </c>
      <c r="U1233" s="34">
        <f t="shared" si="140"/>
        <v>86.137152479999997</v>
      </c>
      <c r="V1233" s="31">
        <f>IF(H1233="CHK",VLOOKUP(I1233,QCCHK,3,),IF(H1233="GUP",VLOOKUP(E1233,QCGUP,2,),IF(AND(H1233="ATP",OR(I1233="TN",I1233="TDN",I1233="TNO2-3",I1233="NO2-3")),VLOOKUP(E1233,QCREC_N,2,),IF(AND(H1233="NIC",OR(I1233="TN",I1233="TDN",I1233="TNO2-3",I1233="NO2-3")),VLOOKUP(E1233,QCNIC_N,2,),IF(AND(H1233="UREA",OR(I1233="TN",I1233="TDN",I1233="TNO2-3",I1233="NO2-3")),VLOOKUP(E1233,QCUREA_N,2,),IF(H1233="PER",VLOOKUP(I1233,QCPER,MATCH(E1233,QCACTUAL!$J$25:$AA$25,0),),IF(H1233="SPK",VLOOKUP(I1233,QCSPK,3,),IF(AND(H1233="ATP",OR(I1233="TP",I1233="TDP")),VLOOKUP(E1233,QCATP_P,2,),""))))))))</f>
        <v>1000</v>
      </c>
      <c r="W1233" s="31" t="str">
        <f t="shared" si="141"/>
        <v>TRUE</v>
      </c>
      <c r="X1233" s="31" t="str">
        <f t="shared" si="142"/>
        <v>([spikedunkn]-[unkn])/[spike]*100</v>
      </c>
      <c r="Y1233" s="10" t="s">
        <v>1071</v>
      </c>
      <c r="Z1233" s="10" t="s">
        <v>910</v>
      </c>
      <c r="AF1233" s="12">
        <v>44950</v>
      </c>
      <c r="AK1233" s="10">
        <f>0.5642*18.2^2+45.477*18.2-20.207</f>
        <v>994.36000799999999</v>
      </c>
      <c r="AL1233" s="10" t="str">
        <f t="shared" si="137"/>
        <v>FALSE</v>
      </c>
      <c r="AM1233" s="10" t="str">
        <f t="shared" si="137"/>
        <v>FALSE</v>
      </c>
      <c r="AN1233" s="10" t="str">
        <f t="shared" si="137"/>
        <v>FALSE</v>
      </c>
      <c r="AO1233" s="10" t="str">
        <f t="shared" si="138"/>
        <v>FALSE</v>
      </c>
      <c r="AP1233" s="10" t="str">
        <f t="shared" si="138"/>
        <v>y=0.5642*18.2^2+45.477*18.2-20.207</v>
      </c>
      <c r="AQ1233" s="10" t="b">
        <f>IF(AND(I1233="TP",S1233&lt;=150),VLOOKUP(AF1233,TPCalibEq150!$AZ$2:$BB$55,3,),IF(AND(I1233="TDP",S1233&lt;=150),VLOOKUP(AF1233,TPCalibEq150!$AZ$2:$BB$55,3,)))</f>
        <v>0</v>
      </c>
      <c r="AR1233" s="10" t="b">
        <f>IF(AND(I1233="TP",S1233&lt;=300),VLOOKUP(AF1233,TPCalibEq300!$AZ$2:$BB$55,3,),IF(AND(I1233="TDP",S1233&lt;=300),VLOOKUP(AF1233,TPCalibEq300!$AZ$2:$BB$55,3,)))</f>
        <v>0</v>
      </c>
      <c r="AS1233" s="10" t="b">
        <f>IF(AND(I1233="TP",S1233&lt;=500),VLOOKUP(AF1233,TPCalibEq500!$AZ$2:$BB$56,3,),IF(AND(I1233="TDP",S1233&lt;=500),VLOOKUP(AF1233,TPCalibEq500!$AZ$2:$BB$56,3,)))</f>
        <v>0</v>
      </c>
      <c r="AT1233" s="10" t="b">
        <f>IF(AND(I1233="TN",S1233&lt;=2800),VLOOKUP(AF1233,TNCalibEq2500!$AZ$2:$BB$56,3,),IF(AND(I1233="TDN",S1233&lt;=2800),VLOOKUP(AF1233,TNCalibEq2500!$AZ$2:$BB$56,3,)))</f>
        <v>0</v>
      </c>
      <c r="AU1233" s="10" t="str">
        <f>IF(I1233="TP",VLOOKUP(AF1233,TPCalibEqFull!$AZ$2:$BB$56,3),IF(I1233="TDP",VLOOKUP(AF1233,TPCalibEqFull!$AZ$2:$BB$56,3),IF(I1233="TDN",VLOOKUP(AF1233,TNCalibEqFull!$AZ$1:$BB$56,3),IF(I1233="TN",VLOOKUP(AF1233,TNCalibEqFull!$AZ$1:$BB$56,3),FALSE))))</f>
        <v>y=0.5642x2+45.477x-20.207</v>
      </c>
      <c r="AV1233" s="10" t="str">
        <f t="shared" si="143"/>
        <v>0118 08:50:00-HST -0-C-1-SW-SPK</v>
      </c>
    </row>
    <row r="1234" spans="1:48" s="10" customFormat="1" x14ac:dyDescent="0.55000000000000004">
      <c r="A1234" s="32">
        <v>44950</v>
      </c>
      <c r="B1234" s="33">
        <v>0.375</v>
      </c>
      <c r="C1234" s="10" t="s">
        <v>70</v>
      </c>
      <c r="D1234" s="10" t="s">
        <v>71</v>
      </c>
      <c r="E1234" s="10" t="s">
        <v>901</v>
      </c>
      <c r="F1234" s="10">
        <v>1</v>
      </c>
      <c r="G1234" s="10" t="s">
        <v>73</v>
      </c>
      <c r="H1234" s="10" t="s">
        <v>207</v>
      </c>
      <c r="I1234" s="10" t="s">
        <v>83</v>
      </c>
      <c r="J1234" s="10">
        <v>199</v>
      </c>
      <c r="K1234" s="12">
        <v>44950</v>
      </c>
      <c r="L1234" s="33">
        <v>0.56611111111111112</v>
      </c>
      <c r="M1234" s="10">
        <v>1</v>
      </c>
      <c r="N1234" s="10" t="s">
        <v>84</v>
      </c>
      <c r="O1234" s="10">
        <v>9.99</v>
      </c>
      <c r="P1234" s="10">
        <v>0.71699999999999997</v>
      </c>
      <c r="Q1234" s="10">
        <v>518</v>
      </c>
      <c r="R1234" s="10" t="s">
        <v>85</v>
      </c>
      <c r="S1234" s="34">
        <f t="shared" si="139"/>
        <v>518</v>
      </c>
      <c r="T1234" s="10" t="s">
        <v>1087</v>
      </c>
      <c r="U1234" s="34">
        <f t="shared" si="140"/>
        <v>103.60000000000001</v>
      </c>
      <c r="V1234" s="31">
        <f>IF(H1234="CHK",VLOOKUP(I1234,QCCHK,3,),IF(H1234="GUP",VLOOKUP(E1234,QCGUP,2,),IF(AND(H1234="ATP",OR(I1234="TN",I1234="TDN",I1234="TNO2-3",I1234="NO2-3")),VLOOKUP(E1234,QCREC_N,2,),IF(AND(H1234="NIC",OR(I1234="TN",I1234="TDN",I1234="TNO2-3",I1234="NO2-3")),VLOOKUP(E1234,QCNIC_N,2,),IF(AND(H1234="UREA",OR(I1234="TN",I1234="TDN",I1234="TNO2-3",I1234="NO2-3")),VLOOKUP(E1234,QCUREA_N,2,),IF(H1234="PER",VLOOKUP(I1234,QCPER,MATCH(E1234,QCACTUAL!$J$25:$AA$25,0),),IF(H1234="SPK",VLOOKUP(I1234,QCSPK,3,),IF(AND(H1234="ATP",OR(I1234="TP",I1234="TDP")),VLOOKUP(E1234,QCATP_P,2,),""))))))))</f>
        <v>500</v>
      </c>
      <c r="W1234" s="31" t="str">
        <f t="shared" si="141"/>
        <v>TRUE</v>
      </c>
      <c r="X1234" s="31" t="str">
        <f t="shared" si="142"/>
        <v>[chk]/[actual]*100</v>
      </c>
      <c r="Y1234" s="10" t="s">
        <v>1071</v>
      </c>
      <c r="AF1234" s="12">
        <v>44950</v>
      </c>
      <c r="AK1234" s="10">
        <f>0.5642*9.99^2+45.477*9.99-20.207</f>
        <v>490.41544641999997</v>
      </c>
      <c r="AL1234" s="10" t="str">
        <f t="shared" si="137"/>
        <v>FALSE</v>
      </c>
      <c r="AM1234" s="10" t="str">
        <f t="shared" si="137"/>
        <v>FALSE</v>
      </c>
      <c r="AN1234" s="10" t="str">
        <f t="shared" si="137"/>
        <v>FALSE</v>
      </c>
      <c r="AO1234" s="10" t="str">
        <f t="shared" si="138"/>
        <v>FALSE</v>
      </c>
      <c r="AP1234" s="10" t="str">
        <f t="shared" si="138"/>
        <v>y=0.5642*9.99^2+45.477*9.99-20.207</v>
      </c>
      <c r="AQ1234" s="10" t="b">
        <f>IF(AND(I1234="TP",S1234&lt;=150),VLOOKUP(AF1234,TPCalibEq150!$AZ$2:$BB$55,3,),IF(AND(I1234="TDP",S1234&lt;=150),VLOOKUP(AF1234,TPCalibEq150!$AZ$2:$BB$55,3,)))</f>
        <v>0</v>
      </c>
      <c r="AR1234" s="10" t="b">
        <f>IF(AND(I1234="TP",S1234&lt;=300),VLOOKUP(AF1234,TPCalibEq300!$AZ$2:$BB$55,3,),IF(AND(I1234="TDP",S1234&lt;=300),VLOOKUP(AF1234,TPCalibEq300!$AZ$2:$BB$55,3,)))</f>
        <v>0</v>
      </c>
      <c r="AS1234" s="10" t="b">
        <f>IF(AND(I1234="TP",S1234&lt;=500),VLOOKUP(AF1234,TPCalibEq500!$AZ$2:$BB$56,3,),IF(AND(I1234="TDP",S1234&lt;=500),VLOOKUP(AF1234,TPCalibEq500!$AZ$2:$BB$56,3,)))</f>
        <v>0</v>
      </c>
      <c r="AT1234" s="10" t="b">
        <f>IF(AND(I1234="TN",S1234&lt;=2800),VLOOKUP(AF1234,TNCalibEq2500!$AZ$2:$BB$56,3,),IF(AND(I1234="TDN",S1234&lt;=2800),VLOOKUP(AF1234,TNCalibEq2500!$AZ$2:$BB$56,3,)))</f>
        <v>0</v>
      </c>
      <c r="AU1234" s="10" t="str">
        <f>IF(I1234="TP",VLOOKUP(AF1234,TPCalibEqFull!$AZ$2:$BB$56,3),IF(I1234="TDP",VLOOKUP(AF1234,TPCalibEqFull!$AZ$2:$BB$56,3),IF(I1234="TDN",VLOOKUP(AF1234,TNCalibEqFull!$AZ$1:$BB$56,3),IF(I1234="TN",VLOOKUP(AF1234,TNCalibEqFull!$AZ$1:$BB$56,3),FALSE))))</f>
        <v>y=0.5642x2+45.477x-20.207</v>
      </c>
      <c r="AV1234" s="10" t="str">
        <f t="shared" si="143"/>
        <v>0124 09:00:00-QAC-STD-D-1-DI-CHK</v>
      </c>
    </row>
    <row r="1235" spans="1:48" s="10" customFormat="1" x14ac:dyDescent="0.55000000000000004">
      <c r="A1235" s="32">
        <v>44945</v>
      </c>
      <c r="B1235" s="33">
        <v>0.56041666666666667</v>
      </c>
      <c r="C1235" s="10" t="s">
        <v>279</v>
      </c>
      <c r="D1235" s="10">
        <v>0</v>
      </c>
      <c r="E1235" s="10" t="s">
        <v>190</v>
      </c>
      <c r="F1235" s="10">
        <v>1</v>
      </c>
      <c r="G1235" s="10" t="s">
        <v>231</v>
      </c>
      <c r="H1235" s="10" t="s">
        <v>322</v>
      </c>
      <c r="I1235" s="10" t="s">
        <v>83</v>
      </c>
      <c r="J1235" s="10">
        <v>11</v>
      </c>
      <c r="K1235" s="12">
        <v>44950</v>
      </c>
      <c r="L1235" s="33">
        <v>0.56679398148148141</v>
      </c>
      <c r="M1235" s="10">
        <v>1</v>
      </c>
      <c r="N1235" s="10" t="s">
        <v>84</v>
      </c>
      <c r="O1235" s="10">
        <v>3.33</v>
      </c>
      <c r="P1235" s="10">
        <v>0.24099999999999999</v>
      </c>
      <c r="Q1235" s="10">
        <v>159</v>
      </c>
      <c r="R1235" s="10" t="s">
        <v>85</v>
      </c>
      <c r="S1235" s="34">
        <f t="shared" si="139"/>
        <v>220.26154880000001</v>
      </c>
      <c r="T1235" s="10" t="s">
        <v>1087</v>
      </c>
      <c r="U1235" s="34" t="str">
        <f t="shared" si="140"/>
        <v/>
      </c>
      <c r="V1235" s="31" t="str">
        <f>IF(H1235="CHK",VLOOKUP(I1235,QCCHK,3,),IF(H1235="GUP",VLOOKUP(E1235,QCGUP,2,),IF(AND(H1235="ATP",OR(I1235="TN",I1235="TDN",I1235="TNO2-3",I1235="NO2-3")),VLOOKUP(E1235,QCREC_N,2,),IF(AND(H1235="NIC",OR(I1235="TN",I1235="TDN",I1235="TNO2-3",I1235="NO2-3")),VLOOKUP(E1235,QCNIC_N,2,),IF(AND(H1235="UREA",OR(I1235="TN",I1235="TDN",I1235="TNO2-3",I1235="NO2-3")),VLOOKUP(E1235,QCUREA_N,2,),IF(H1235="PER",VLOOKUP(I1235,QCPER,MATCH(E1235,QCACTUAL!$J$25:$AA$25,0),),IF(H1235="SPK",VLOOKUP(I1235,QCSPK,3,),IF(AND(H1235="ATP",OR(I1235="TP",I1235="TDP")),VLOOKUP(E1235,QCATP_P,2,),""))))))))</f>
        <v/>
      </c>
      <c r="W1235" s="31" t="str">
        <f t="shared" si="141"/>
        <v>TRUE</v>
      </c>
      <c r="X1235" s="31" t="str">
        <f t="shared" si="142"/>
        <v/>
      </c>
      <c r="Y1235" s="10" t="s">
        <v>1071</v>
      </c>
      <c r="Z1235" s="10" t="s">
        <v>910</v>
      </c>
      <c r="AF1235" s="12">
        <v>44950</v>
      </c>
      <c r="AH1235" s="10">
        <f>-3.008*3.33^2+89.412*3.33-44.125</f>
        <v>220.26154880000001</v>
      </c>
      <c r="AI1235" s="10">
        <f>2.2125*3.33^2+32.759*3.33-8.5751</f>
        <v>125.04656125000001</v>
      </c>
      <c r="AK1235" s="10">
        <f>0.5642*3.33^2+45.477*3.33-20.207</f>
        <v>137.48776738000001</v>
      </c>
      <c r="AL1235" s="10" t="str">
        <f t="shared" si="137"/>
        <v>FALSE</v>
      </c>
      <c r="AM1235" s="10" t="str">
        <f t="shared" si="137"/>
        <v>y=-3.008*3.33^2+89.412*3.33-44.125</v>
      </c>
      <c r="AN1235" s="10" t="str">
        <f t="shared" si="137"/>
        <v>y=2.2125*3.33^2+32.759*3.33-8.5751</v>
      </c>
      <c r="AO1235" s="10" t="str">
        <f t="shared" si="138"/>
        <v>FALSE</v>
      </c>
      <c r="AP1235" s="10" t="str">
        <f t="shared" si="138"/>
        <v>y=0.5642*3.33^2+45.477*3.33-20.207</v>
      </c>
      <c r="AQ1235" s="10" t="b">
        <f>IF(AND(I1235="TP",S1235&lt;=150),VLOOKUP(AF1235,TPCalibEq150!$AZ$2:$BB$55,3,),IF(AND(I1235="TDP",S1235&lt;=150),VLOOKUP(AF1235,TPCalibEq150!$AZ$2:$BB$55,3,)))</f>
        <v>0</v>
      </c>
      <c r="AR1235" s="10" t="str">
        <f>IF(AND(I1235="TP",S1235&lt;=300),VLOOKUP(AF1235,TPCalibEq300!$AZ$2:$BB$55,3,),IF(AND(I1235="TDP",S1235&lt;=300),VLOOKUP(AF1235,TPCalibEq300!$AZ$2:$BB$55,3,)))</f>
        <v>y=-3.008x2+89.412x-44.125</v>
      </c>
      <c r="AS1235" s="10" t="str">
        <f>IF(AND(I1235="TP",S1235&lt;=500),VLOOKUP(AF1235,TPCalibEq500!$AZ$2:$BB$56,3,),IF(AND(I1235="TDP",S1235&lt;=500),VLOOKUP(AF1235,TPCalibEq500!$AZ$2:$BB$56,3,)))</f>
        <v>y=2.2125x2+32.759x-8.5751</v>
      </c>
      <c r="AT1235" s="10" t="b">
        <f>IF(AND(I1235="TN",S1235&lt;=2800),VLOOKUP(AF1235,TNCalibEq2500!$AZ$2:$BB$56,3,),IF(AND(I1235="TDN",S1235&lt;=2800),VLOOKUP(AF1235,TNCalibEq2500!$AZ$2:$BB$56,3,)))</f>
        <v>0</v>
      </c>
      <c r="AU1235" s="10" t="str">
        <f>IF(I1235="TP",VLOOKUP(AF1235,TPCalibEqFull!$AZ$2:$BB$56,3),IF(I1235="TDP",VLOOKUP(AF1235,TPCalibEqFull!$AZ$2:$BB$56,3),IF(I1235="TDN",VLOOKUP(AF1235,TNCalibEqFull!$AZ$1:$BB$56,3),IF(I1235="TN",VLOOKUP(AF1235,TNCalibEqFull!$AZ$1:$BB$56,3),FALSE))))</f>
        <v>y=0.5642x2+45.477x-20.207</v>
      </c>
      <c r="AV1235" s="10" t="str">
        <f t="shared" si="143"/>
        <v>0119 13:27:00-EFK-0-C-1-SW-UKN</v>
      </c>
    </row>
    <row r="1236" spans="1:48" s="10" customFormat="1" x14ac:dyDescent="0.55000000000000004">
      <c r="A1236" s="32">
        <v>44945</v>
      </c>
      <c r="B1236" s="33">
        <v>0.56736111111111109</v>
      </c>
      <c r="C1236" s="10" t="s">
        <v>333</v>
      </c>
      <c r="D1236" s="10">
        <v>0</v>
      </c>
      <c r="E1236" s="10" t="s">
        <v>190</v>
      </c>
      <c r="F1236" s="10">
        <v>1</v>
      </c>
      <c r="G1236" s="10" t="s">
        <v>231</v>
      </c>
      <c r="H1236" s="10" t="s">
        <v>322</v>
      </c>
      <c r="I1236" s="10" t="s">
        <v>83</v>
      </c>
      <c r="J1236" s="10">
        <v>12</v>
      </c>
      <c r="K1236" s="12">
        <v>44950</v>
      </c>
      <c r="L1236" s="33">
        <v>0.56748842592592597</v>
      </c>
      <c r="M1236" s="10">
        <v>1</v>
      </c>
      <c r="N1236" s="10" t="s">
        <v>84</v>
      </c>
      <c r="O1236" s="10">
        <v>2.83</v>
      </c>
      <c r="P1236" s="10">
        <v>0.20200000000000001</v>
      </c>
      <c r="Q1236" s="10">
        <v>134</v>
      </c>
      <c r="R1236" s="10" t="s">
        <v>85</v>
      </c>
      <c r="S1236" s="34">
        <f t="shared" si="139"/>
        <v>184.82018880000001</v>
      </c>
      <c r="T1236" s="10" t="s">
        <v>1087</v>
      </c>
      <c r="U1236" s="34" t="str">
        <f t="shared" si="140"/>
        <v/>
      </c>
      <c r="V1236" s="31" t="str">
        <f>IF(H1236="CHK",VLOOKUP(I1236,QCCHK,3,),IF(H1236="GUP",VLOOKUP(E1236,QCGUP,2,),IF(AND(H1236="ATP",OR(I1236="TN",I1236="TDN",I1236="TNO2-3",I1236="NO2-3")),VLOOKUP(E1236,QCREC_N,2,),IF(AND(H1236="NIC",OR(I1236="TN",I1236="TDN",I1236="TNO2-3",I1236="NO2-3")),VLOOKUP(E1236,QCNIC_N,2,),IF(AND(H1236="UREA",OR(I1236="TN",I1236="TDN",I1236="TNO2-3",I1236="NO2-3")),VLOOKUP(E1236,QCUREA_N,2,),IF(H1236="PER",VLOOKUP(I1236,QCPER,MATCH(E1236,QCACTUAL!$J$25:$AA$25,0),),IF(H1236="SPK",VLOOKUP(I1236,QCSPK,3,),IF(AND(H1236="ATP",OR(I1236="TP",I1236="TDP")),VLOOKUP(E1236,QCATP_P,2,),""))))))))</f>
        <v/>
      </c>
      <c r="W1236" s="31" t="str">
        <f t="shared" si="141"/>
        <v>TRUE</v>
      </c>
      <c r="X1236" s="31" t="str">
        <f t="shared" si="142"/>
        <v/>
      </c>
      <c r="Y1236" s="10" t="s">
        <v>1071</v>
      </c>
      <c r="Z1236" s="10" t="s">
        <v>910</v>
      </c>
      <c r="AF1236" s="12">
        <v>44950</v>
      </c>
      <c r="AG1236" s="10">
        <f>-5.8068*2.83^2+97.248*2.83-48.038</f>
        <v>180.66775947999997</v>
      </c>
      <c r="AH1236" s="10">
        <f>-3.008*2.83^2+89.412*2.83-44.125</f>
        <v>184.82018880000001</v>
      </c>
      <c r="AI1236" s="10">
        <f>2.2125*2.83^2+32.759*2.83-8.5751</f>
        <v>101.85256124999999</v>
      </c>
      <c r="AK1236" s="10">
        <f>0.5642*2.83^2+45.477*2.83-20.207</f>
        <v>113.01153138000001</v>
      </c>
      <c r="AL1236" s="10" t="str">
        <f t="shared" si="137"/>
        <v>FALSE</v>
      </c>
      <c r="AM1236" s="10" t="str">
        <f t="shared" si="137"/>
        <v>y=-3.008*2.83^2+89.412*2.83-44.125</v>
      </c>
      <c r="AN1236" s="10" t="str">
        <f t="shared" si="137"/>
        <v>y=2.2125*2.83^2+32.759*2.83-8.5751</v>
      </c>
      <c r="AO1236" s="10" t="str">
        <f t="shared" si="138"/>
        <v>FALSE</v>
      </c>
      <c r="AP1236" s="10" t="str">
        <f t="shared" si="138"/>
        <v>y=0.5642*2.83^2+45.477*2.83-20.207</v>
      </c>
      <c r="AQ1236" s="10" t="b">
        <f>IF(AND(I1236="TP",S1236&lt;=150),VLOOKUP(AF1236,TPCalibEq150!$AZ$2:$BB$55,3,),IF(AND(I1236="TDP",S1236&lt;=150),VLOOKUP(AF1236,TPCalibEq150!$AZ$2:$BB$55,3,)))</f>
        <v>0</v>
      </c>
      <c r="AR1236" s="10" t="str">
        <f>IF(AND(I1236="TP",S1236&lt;=300),VLOOKUP(AF1236,TPCalibEq300!$AZ$2:$BB$55,3,),IF(AND(I1236="TDP",S1236&lt;=300),VLOOKUP(AF1236,TPCalibEq300!$AZ$2:$BB$55,3,)))</f>
        <v>y=-3.008x2+89.412x-44.125</v>
      </c>
      <c r="AS1236" s="10" t="str">
        <f>IF(AND(I1236="TP",S1236&lt;=500),VLOOKUP(AF1236,TPCalibEq500!$AZ$2:$BB$56,3,),IF(AND(I1236="TDP",S1236&lt;=500),VLOOKUP(AF1236,TPCalibEq500!$AZ$2:$BB$56,3,)))</f>
        <v>y=2.2125x2+32.759x-8.5751</v>
      </c>
      <c r="AT1236" s="10" t="b">
        <f>IF(AND(I1236="TN",S1236&lt;=2800),VLOOKUP(AF1236,TNCalibEq2500!$AZ$2:$BB$56,3,),IF(AND(I1236="TDN",S1236&lt;=2800),VLOOKUP(AF1236,TNCalibEq2500!$AZ$2:$BB$56,3,)))</f>
        <v>0</v>
      </c>
      <c r="AU1236" s="10" t="str">
        <f>IF(I1236="TP",VLOOKUP(AF1236,TPCalibEqFull!$AZ$2:$BB$56,3),IF(I1236="TDP",VLOOKUP(AF1236,TPCalibEqFull!$AZ$2:$BB$56,3),IF(I1236="TDN",VLOOKUP(AF1236,TNCalibEqFull!$AZ$1:$BB$56,3),IF(I1236="TN",VLOOKUP(AF1236,TNCalibEqFull!$AZ$1:$BB$56,3),FALSE))))</f>
        <v>y=0.5642x2+45.477x-20.207</v>
      </c>
      <c r="AV1236" s="10" t="str">
        <f t="shared" si="143"/>
        <v>0119 13:37:00-HST-0-C-1-SW-UKN</v>
      </c>
    </row>
    <row r="1237" spans="1:48" s="10" customFormat="1" x14ac:dyDescent="0.55000000000000004">
      <c r="A1237" s="32">
        <v>44946</v>
      </c>
      <c r="B1237" s="33">
        <v>0.37013888888888885</v>
      </c>
      <c r="C1237" s="10" t="s">
        <v>279</v>
      </c>
      <c r="D1237" s="10">
        <v>0</v>
      </c>
      <c r="E1237" s="10" t="s">
        <v>190</v>
      </c>
      <c r="F1237" s="10">
        <v>1</v>
      </c>
      <c r="G1237" s="10" t="s">
        <v>231</v>
      </c>
      <c r="H1237" s="10" t="s">
        <v>322</v>
      </c>
      <c r="I1237" s="10" t="s">
        <v>83</v>
      </c>
      <c r="J1237" s="10">
        <v>13</v>
      </c>
      <c r="K1237" s="12">
        <v>44950</v>
      </c>
      <c r="L1237" s="33">
        <v>0.56817129629629626</v>
      </c>
      <c r="M1237" s="10">
        <v>1</v>
      </c>
      <c r="N1237" s="10" t="s">
        <v>84</v>
      </c>
      <c r="O1237" s="10">
        <v>3.65</v>
      </c>
      <c r="P1237" s="10">
        <v>0.26300000000000001</v>
      </c>
      <c r="Q1237" s="10">
        <v>176</v>
      </c>
      <c r="R1237" s="10" t="s">
        <v>85</v>
      </c>
      <c r="S1237" s="34">
        <f t="shared" si="139"/>
        <v>242.15472000000005</v>
      </c>
      <c r="T1237" s="10" t="s">
        <v>1087</v>
      </c>
      <c r="U1237" s="34" t="str">
        <f t="shared" si="140"/>
        <v/>
      </c>
      <c r="V1237" s="31" t="str">
        <f>IF(H1237="CHK",VLOOKUP(I1237,QCCHK,3,),IF(H1237="GUP",VLOOKUP(E1237,QCGUP,2,),IF(AND(H1237="ATP",OR(I1237="TN",I1237="TDN",I1237="TNO2-3",I1237="NO2-3")),VLOOKUP(E1237,QCREC_N,2,),IF(AND(H1237="NIC",OR(I1237="TN",I1237="TDN",I1237="TNO2-3",I1237="NO2-3")),VLOOKUP(E1237,QCNIC_N,2,),IF(AND(H1237="UREA",OR(I1237="TN",I1237="TDN",I1237="TNO2-3",I1237="NO2-3")),VLOOKUP(E1237,QCUREA_N,2,),IF(H1237="PER",VLOOKUP(I1237,QCPER,MATCH(E1237,QCACTUAL!$J$25:$AA$25,0),),IF(H1237="SPK",VLOOKUP(I1237,QCSPK,3,),IF(AND(H1237="ATP",OR(I1237="TP",I1237="TDP")),VLOOKUP(E1237,QCATP_P,2,),""))))))))</f>
        <v/>
      </c>
      <c r="W1237" s="31" t="str">
        <f t="shared" si="141"/>
        <v>TRUE</v>
      </c>
      <c r="X1237" s="31" t="str">
        <f t="shared" si="142"/>
        <v/>
      </c>
      <c r="Y1237" s="10" t="s">
        <v>1071</v>
      </c>
      <c r="Z1237" s="10" t="s">
        <v>910</v>
      </c>
      <c r="AF1237" s="12">
        <v>44950</v>
      </c>
      <c r="AH1237" s="10">
        <f>-3.008*3.65^2+89.412*3.65-44.125</f>
        <v>242.15472000000005</v>
      </c>
      <c r="AI1237" s="10">
        <f>2.2125*3.65^2+32.759*3.65-8.5751</f>
        <v>140.47128125</v>
      </c>
      <c r="AK1237" s="10">
        <f>0.5642*3.65^2+45.477*3.65-20.207</f>
        <v>153.30060449999999</v>
      </c>
      <c r="AL1237" s="10" t="str">
        <f t="shared" si="137"/>
        <v>FALSE</v>
      </c>
      <c r="AM1237" s="10" t="str">
        <f t="shared" si="137"/>
        <v>y=-3.008*3.65^2+89.412*3.65-44.125</v>
      </c>
      <c r="AN1237" s="10" t="str">
        <f t="shared" si="137"/>
        <v>y=2.2125*3.65^2+32.759*3.65-8.5751</v>
      </c>
      <c r="AO1237" s="10" t="str">
        <f t="shared" si="138"/>
        <v>FALSE</v>
      </c>
      <c r="AP1237" s="10" t="str">
        <f t="shared" si="138"/>
        <v>y=0.5642*3.65^2+45.477*3.65-20.207</v>
      </c>
      <c r="AQ1237" s="10" t="b">
        <f>IF(AND(I1237="TP",S1237&lt;=150),VLOOKUP(AF1237,TPCalibEq150!$AZ$2:$BB$55,3,),IF(AND(I1237="TDP",S1237&lt;=150),VLOOKUP(AF1237,TPCalibEq150!$AZ$2:$BB$55,3,)))</f>
        <v>0</v>
      </c>
      <c r="AR1237" s="10" t="str">
        <f>IF(AND(I1237="TP",S1237&lt;=300),VLOOKUP(AF1237,TPCalibEq300!$AZ$2:$BB$55,3,),IF(AND(I1237="TDP",S1237&lt;=300),VLOOKUP(AF1237,TPCalibEq300!$AZ$2:$BB$55,3,)))</f>
        <v>y=-3.008x2+89.412x-44.125</v>
      </c>
      <c r="AS1237" s="10" t="str">
        <f>IF(AND(I1237="TP",S1237&lt;=500),VLOOKUP(AF1237,TPCalibEq500!$AZ$2:$BB$56,3,),IF(AND(I1237="TDP",S1237&lt;=500),VLOOKUP(AF1237,TPCalibEq500!$AZ$2:$BB$56,3,)))</f>
        <v>y=2.2125x2+32.759x-8.5751</v>
      </c>
      <c r="AT1237" s="10" t="b">
        <f>IF(AND(I1237="TN",S1237&lt;=2800),VLOOKUP(AF1237,TNCalibEq2500!$AZ$2:$BB$56,3,),IF(AND(I1237="TDN",S1237&lt;=2800),VLOOKUP(AF1237,TNCalibEq2500!$AZ$2:$BB$56,3,)))</f>
        <v>0</v>
      </c>
      <c r="AU1237" s="10" t="str">
        <f>IF(I1237="TP",VLOOKUP(AF1237,TPCalibEqFull!$AZ$2:$BB$56,3),IF(I1237="TDP",VLOOKUP(AF1237,TPCalibEqFull!$AZ$2:$BB$56,3),IF(I1237="TDN",VLOOKUP(AF1237,TNCalibEqFull!$AZ$1:$BB$56,3),IF(I1237="TN",VLOOKUP(AF1237,TNCalibEqFull!$AZ$1:$BB$56,3),FALSE))))</f>
        <v>y=0.5642x2+45.477x-20.207</v>
      </c>
      <c r="AV1237" s="10" t="str">
        <f t="shared" si="143"/>
        <v>0120 08:53:00-EFK-0-C-1-SW-UKN</v>
      </c>
    </row>
    <row r="1238" spans="1:48" s="10" customFormat="1" x14ac:dyDescent="0.55000000000000004">
      <c r="A1238" s="32">
        <v>44946</v>
      </c>
      <c r="B1238" s="33">
        <v>0.37291666666666662</v>
      </c>
      <c r="C1238" s="10" t="s">
        <v>333</v>
      </c>
      <c r="D1238" s="10">
        <v>0</v>
      </c>
      <c r="E1238" s="10" t="s">
        <v>190</v>
      </c>
      <c r="F1238" s="10">
        <v>1</v>
      </c>
      <c r="G1238" s="10" t="s">
        <v>231</v>
      </c>
      <c r="H1238" s="10" t="s">
        <v>322</v>
      </c>
      <c r="I1238" s="10" t="s">
        <v>83</v>
      </c>
      <c r="J1238" s="10">
        <v>14</v>
      </c>
      <c r="K1238" s="12">
        <v>44950</v>
      </c>
      <c r="L1238" s="33">
        <v>0.56886574074074081</v>
      </c>
      <c r="M1238" s="10">
        <v>1</v>
      </c>
      <c r="N1238" s="10" t="s">
        <v>84</v>
      </c>
      <c r="O1238" s="10">
        <v>2.76</v>
      </c>
      <c r="P1238" s="10">
        <v>0.19700000000000001</v>
      </c>
      <c r="Q1238" s="10">
        <v>130</v>
      </c>
      <c r="R1238" s="10" t="s">
        <v>85</v>
      </c>
      <c r="S1238" s="34">
        <f t="shared" si="139"/>
        <v>179.7383792</v>
      </c>
      <c r="T1238" s="10" t="s">
        <v>1087</v>
      </c>
      <c r="U1238" s="34" t="str">
        <f t="shared" si="140"/>
        <v/>
      </c>
      <c r="V1238" s="31" t="str">
        <f>IF(H1238="CHK",VLOOKUP(I1238,QCCHK,3,),IF(H1238="GUP",VLOOKUP(E1238,QCGUP,2,),IF(AND(H1238="ATP",OR(I1238="TN",I1238="TDN",I1238="TNO2-3",I1238="NO2-3")),VLOOKUP(E1238,QCREC_N,2,),IF(AND(H1238="NIC",OR(I1238="TN",I1238="TDN",I1238="TNO2-3",I1238="NO2-3")),VLOOKUP(E1238,QCNIC_N,2,),IF(AND(H1238="UREA",OR(I1238="TN",I1238="TDN",I1238="TNO2-3",I1238="NO2-3")),VLOOKUP(E1238,QCUREA_N,2,),IF(H1238="PER",VLOOKUP(I1238,QCPER,MATCH(E1238,QCACTUAL!$J$25:$AA$25,0),),IF(H1238="SPK",VLOOKUP(I1238,QCSPK,3,),IF(AND(H1238="ATP",OR(I1238="TP",I1238="TDP")),VLOOKUP(E1238,QCATP_P,2,),""))))))))</f>
        <v/>
      </c>
      <c r="W1238" s="31" t="str">
        <f t="shared" si="141"/>
        <v>TRUE</v>
      </c>
      <c r="X1238" s="31" t="str">
        <f t="shared" si="142"/>
        <v/>
      </c>
      <c r="Y1238" s="10" t="s">
        <v>1071</v>
      </c>
      <c r="Z1238" s="10" t="s">
        <v>910</v>
      </c>
      <c r="AF1238" s="12">
        <v>44950</v>
      </c>
      <c r="AG1238" s="10">
        <f>-5.8068*2.76^2+97.248*2.76-48.038</f>
        <v>176.13260031999999</v>
      </c>
      <c r="AH1238" s="10">
        <f>-3.008*2.76^2+89.412*2.76-44.125</f>
        <v>179.7383792</v>
      </c>
      <c r="AI1238" s="10">
        <f>2.2125*2.76^2+32.759*2.76-8.5751</f>
        <v>98.693679999999986</v>
      </c>
      <c r="AK1238" s="10">
        <f>0.5642*2.76^2+45.477*2.76-20.207</f>
        <v>109.60736992</v>
      </c>
      <c r="AL1238" s="10" t="str">
        <f t="shared" si="137"/>
        <v>FALSE</v>
      </c>
      <c r="AM1238" s="10" t="str">
        <f t="shared" si="137"/>
        <v>y=-3.008*2.76^2+89.412*2.76-44.125</v>
      </c>
      <c r="AN1238" s="10" t="str">
        <f t="shared" si="137"/>
        <v>y=2.2125*2.76^2+32.759*2.76-8.5751</v>
      </c>
      <c r="AO1238" s="10" t="str">
        <f t="shared" si="138"/>
        <v>FALSE</v>
      </c>
      <c r="AP1238" s="10" t="str">
        <f t="shared" si="138"/>
        <v>y=0.5642*2.76^2+45.477*2.76-20.207</v>
      </c>
      <c r="AQ1238" s="10" t="b">
        <f>IF(AND(I1238="TP",S1238&lt;=150),VLOOKUP(AF1238,TPCalibEq150!$AZ$2:$BB$55,3,),IF(AND(I1238="TDP",S1238&lt;=150),VLOOKUP(AF1238,TPCalibEq150!$AZ$2:$BB$55,3,)))</f>
        <v>0</v>
      </c>
      <c r="AR1238" s="10" t="str">
        <f>IF(AND(I1238="TP",S1238&lt;=300),VLOOKUP(AF1238,TPCalibEq300!$AZ$2:$BB$55,3,),IF(AND(I1238="TDP",S1238&lt;=300),VLOOKUP(AF1238,TPCalibEq300!$AZ$2:$BB$55,3,)))</f>
        <v>y=-3.008x2+89.412x-44.125</v>
      </c>
      <c r="AS1238" s="10" t="str">
        <f>IF(AND(I1238="TP",S1238&lt;=500),VLOOKUP(AF1238,TPCalibEq500!$AZ$2:$BB$56,3,),IF(AND(I1238="TDP",S1238&lt;=500),VLOOKUP(AF1238,TPCalibEq500!$AZ$2:$BB$56,3,)))</f>
        <v>y=2.2125x2+32.759x-8.5751</v>
      </c>
      <c r="AT1238" s="10" t="b">
        <f>IF(AND(I1238="TN",S1238&lt;=2800),VLOOKUP(AF1238,TNCalibEq2500!$AZ$2:$BB$56,3,),IF(AND(I1238="TDN",S1238&lt;=2800),VLOOKUP(AF1238,TNCalibEq2500!$AZ$2:$BB$56,3,)))</f>
        <v>0</v>
      </c>
      <c r="AU1238" s="10" t="str">
        <f>IF(I1238="TP",VLOOKUP(AF1238,TPCalibEqFull!$AZ$2:$BB$56,3),IF(I1238="TDP",VLOOKUP(AF1238,TPCalibEqFull!$AZ$2:$BB$56,3),IF(I1238="TDN",VLOOKUP(AF1238,TNCalibEqFull!$AZ$1:$BB$56,3),IF(I1238="TN",VLOOKUP(AF1238,TNCalibEqFull!$AZ$1:$BB$56,3),FALSE))))</f>
        <v>y=0.5642x2+45.477x-20.207</v>
      </c>
      <c r="AV1238" s="10" t="str">
        <f t="shared" si="143"/>
        <v>0120 08:57:00-HST-0-C-1-SW-UKN</v>
      </c>
    </row>
    <row r="1239" spans="1:48" s="10" customFormat="1" x14ac:dyDescent="0.55000000000000004">
      <c r="A1239" s="32">
        <v>44943</v>
      </c>
      <c r="B1239" s="33">
        <v>0.36736111111111108</v>
      </c>
      <c r="C1239" s="10" t="s">
        <v>998</v>
      </c>
      <c r="D1239" s="10">
        <v>0</v>
      </c>
      <c r="E1239" s="10" t="s">
        <v>190</v>
      </c>
      <c r="F1239" s="10">
        <v>1</v>
      </c>
      <c r="G1239" s="10" t="s">
        <v>231</v>
      </c>
      <c r="H1239" s="10" t="s">
        <v>322</v>
      </c>
      <c r="I1239" s="10" t="s">
        <v>83</v>
      </c>
      <c r="J1239" s="10">
        <v>15</v>
      </c>
      <c r="K1239" s="12">
        <v>44950</v>
      </c>
      <c r="L1239" s="33">
        <v>0.5695486111111111</v>
      </c>
      <c r="M1239" s="10">
        <v>1</v>
      </c>
      <c r="N1239" s="10" t="s">
        <v>84</v>
      </c>
      <c r="O1239" s="10">
        <v>3.62</v>
      </c>
      <c r="P1239" s="10">
        <v>0.25900000000000001</v>
      </c>
      <c r="Q1239" s="10">
        <v>174</v>
      </c>
      <c r="R1239" s="10" t="s">
        <v>85</v>
      </c>
      <c r="S1239" s="34">
        <f t="shared" si="139"/>
        <v>240.1284048</v>
      </c>
      <c r="T1239" s="10" t="s">
        <v>1087</v>
      </c>
      <c r="U1239" s="34" t="str">
        <f t="shared" si="140"/>
        <v/>
      </c>
      <c r="V1239" s="31" t="str">
        <f>IF(H1239="CHK",VLOOKUP(I1239,QCCHK,3,),IF(H1239="GUP",VLOOKUP(E1239,QCGUP,2,),IF(AND(H1239="ATP",OR(I1239="TN",I1239="TDN",I1239="TNO2-3",I1239="NO2-3")),VLOOKUP(E1239,QCREC_N,2,),IF(AND(H1239="NIC",OR(I1239="TN",I1239="TDN",I1239="TNO2-3",I1239="NO2-3")),VLOOKUP(E1239,QCNIC_N,2,),IF(AND(H1239="UREA",OR(I1239="TN",I1239="TDN",I1239="TNO2-3",I1239="NO2-3")),VLOOKUP(E1239,QCUREA_N,2,),IF(H1239="PER",VLOOKUP(I1239,QCPER,MATCH(E1239,QCACTUAL!$J$25:$AA$25,0),),IF(H1239="SPK",VLOOKUP(I1239,QCSPK,3,),IF(AND(H1239="ATP",OR(I1239="TP",I1239="TDP")),VLOOKUP(E1239,QCATP_P,2,),""))))))))</f>
        <v/>
      </c>
      <c r="W1239" s="31" t="str">
        <f t="shared" si="141"/>
        <v>TRUE</v>
      </c>
      <c r="X1239" s="31" t="str">
        <f t="shared" si="142"/>
        <v/>
      </c>
      <c r="Y1239" s="10" t="s">
        <v>1071</v>
      </c>
      <c r="Z1239" s="10" t="s">
        <v>910</v>
      </c>
      <c r="AF1239" s="12">
        <v>44950</v>
      </c>
      <c r="AH1239" s="10">
        <f>-3.008*3.62^2+89.412*3.62-44.125</f>
        <v>240.1284048</v>
      </c>
      <c r="AI1239" s="10">
        <f>2.2125*3.62^2+32.759*3.62-8.5751</f>
        <v>139.005965</v>
      </c>
      <c r="AK1239" s="10">
        <f>0.5642*3.62^2+45.477*3.62-20.207</f>
        <v>151.81324247999999</v>
      </c>
      <c r="AL1239" s="10" t="str">
        <f t="shared" si="137"/>
        <v>FALSE</v>
      </c>
      <c r="AM1239" s="10" t="str">
        <f t="shared" si="137"/>
        <v>y=-3.008*3.62^2+89.412*3.62-44.125</v>
      </c>
      <c r="AN1239" s="10" t="str">
        <f t="shared" si="137"/>
        <v>y=2.2125*3.62^2+32.759*3.62-8.5751</v>
      </c>
      <c r="AO1239" s="10" t="str">
        <f t="shared" si="138"/>
        <v>FALSE</v>
      </c>
      <c r="AP1239" s="10" t="str">
        <f t="shared" si="138"/>
        <v>y=0.5642*3.62^2+45.477*3.62-20.207</v>
      </c>
      <c r="AQ1239" s="10" t="b">
        <f>IF(AND(I1239="TP",S1239&lt;=150),VLOOKUP(AF1239,TPCalibEq150!$AZ$2:$BB$55,3,),IF(AND(I1239="TDP",S1239&lt;=150),VLOOKUP(AF1239,TPCalibEq150!$AZ$2:$BB$55,3,)))</f>
        <v>0</v>
      </c>
      <c r="AR1239" s="10" t="str">
        <f>IF(AND(I1239="TP",S1239&lt;=300),VLOOKUP(AF1239,TPCalibEq300!$AZ$2:$BB$55,3,),IF(AND(I1239="TDP",S1239&lt;=300),VLOOKUP(AF1239,TPCalibEq300!$AZ$2:$BB$55,3,)))</f>
        <v>y=-3.008x2+89.412x-44.125</v>
      </c>
      <c r="AS1239" s="10" t="str">
        <f>IF(AND(I1239="TP",S1239&lt;=500),VLOOKUP(AF1239,TPCalibEq500!$AZ$2:$BB$56,3,),IF(AND(I1239="TDP",S1239&lt;=500),VLOOKUP(AF1239,TPCalibEq500!$AZ$2:$BB$56,3,)))</f>
        <v>y=2.2125x2+32.759x-8.5751</v>
      </c>
      <c r="AT1239" s="10" t="b">
        <f>IF(AND(I1239="TN",S1239&lt;=2800),VLOOKUP(AF1239,TNCalibEq2500!$AZ$2:$BB$56,3,),IF(AND(I1239="TDN",S1239&lt;=2800),VLOOKUP(AF1239,TNCalibEq2500!$AZ$2:$BB$56,3,)))</f>
        <v>0</v>
      </c>
      <c r="AU1239" s="10" t="str">
        <f>IF(I1239="TP",VLOOKUP(AF1239,TPCalibEqFull!$AZ$2:$BB$56,3),IF(I1239="TDP",VLOOKUP(AF1239,TPCalibEqFull!$AZ$2:$BB$56,3),IF(I1239="TDN",VLOOKUP(AF1239,TNCalibEqFull!$AZ$1:$BB$56,3),IF(I1239="TN",VLOOKUP(AF1239,TNCalibEqFull!$AZ$1:$BB$56,3),FALSE))))</f>
        <v>y=0.5642x2+45.477x-20.207</v>
      </c>
      <c r="AV1239" s="10" t="str">
        <f t="shared" si="143"/>
        <v>0117 08:49:00-ELW-0-C-1-SW-UKN</v>
      </c>
    </row>
    <row r="1240" spans="1:48" s="10" customFormat="1" x14ac:dyDescent="0.55000000000000004">
      <c r="A1240" s="32">
        <v>44943</v>
      </c>
      <c r="B1240" s="33">
        <v>0.37708333333333338</v>
      </c>
      <c r="C1240" s="10" t="s">
        <v>260</v>
      </c>
      <c r="D1240" s="10">
        <v>0</v>
      </c>
      <c r="E1240" s="10" t="s">
        <v>190</v>
      </c>
      <c r="F1240" s="10">
        <v>1</v>
      </c>
      <c r="G1240" s="10" t="s">
        <v>231</v>
      </c>
      <c r="H1240" s="10" t="s">
        <v>322</v>
      </c>
      <c r="I1240" s="10" t="s">
        <v>83</v>
      </c>
      <c r="J1240" s="10">
        <v>16</v>
      </c>
      <c r="K1240" s="12">
        <v>44950</v>
      </c>
      <c r="L1240" s="33">
        <v>0.57025462962962969</v>
      </c>
      <c r="M1240" s="10">
        <v>1</v>
      </c>
      <c r="N1240" s="10" t="s">
        <v>84</v>
      </c>
      <c r="O1240" s="10">
        <v>3.47</v>
      </c>
      <c r="P1240" s="10">
        <v>0.248</v>
      </c>
      <c r="Q1240" s="10">
        <v>166</v>
      </c>
      <c r="R1240" s="10" t="s">
        <v>85</v>
      </c>
      <c r="S1240" s="34">
        <f t="shared" si="139"/>
        <v>229.91561280000008</v>
      </c>
      <c r="T1240" s="10" t="s">
        <v>1087</v>
      </c>
      <c r="U1240" s="34" t="str">
        <f t="shared" si="140"/>
        <v/>
      </c>
      <c r="V1240" s="31" t="str">
        <f>IF(H1240="CHK",VLOOKUP(I1240,QCCHK,3,),IF(H1240="GUP",VLOOKUP(E1240,QCGUP,2,),IF(AND(H1240="ATP",OR(I1240="TN",I1240="TDN",I1240="TNO2-3",I1240="NO2-3")),VLOOKUP(E1240,QCREC_N,2,),IF(AND(H1240="NIC",OR(I1240="TN",I1240="TDN",I1240="TNO2-3",I1240="NO2-3")),VLOOKUP(E1240,QCNIC_N,2,),IF(AND(H1240="UREA",OR(I1240="TN",I1240="TDN",I1240="TNO2-3",I1240="NO2-3")),VLOOKUP(E1240,QCUREA_N,2,),IF(H1240="PER",VLOOKUP(I1240,QCPER,MATCH(E1240,QCACTUAL!$J$25:$AA$25,0),),IF(H1240="SPK",VLOOKUP(I1240,QCSPK,3,),IF(AND(H1240="ATP",OR(I1240="TP",I1240="TDP")),VLOOKUP(E1240,QCATP_P,2,),""))))))))</f>
        <v/>
      </c>
      <c r="W1240" s="31" t="str">
        <f t="shared" si="141"/>
        <v>TRUE</v>
      </c>
      <c r="X1240" s="31" t="str">
        <f t="shared" si="142"/>
        <v/>
      </c>
      <c r="Y1240" s="10" t="s">
        <v>1071</v>
      </c>
      <c r="Z1240" s="10" t="s">
        <v>910</v>
      </c>
      <c r="AF1240" s="12">
        <v>44950</v>
      </c>
      <c r="AH1240" s="10">
        <f>-3.008*3.47^2+89.412*3.47-44.125</f>
        <v>229.91561280000008</v>
      </c>
      <c r="AI1240" s="10">
        <f>2.2125*3.47^2+32.759*3.47-8.5751</f>
        <v>131.73912125000001</v>
      </c>
      <c r="AK1240" s="10">
        <f>0.5642*3.47^2+45.477*3.47-20.207</f>
        <v>144.39166578000001</v>
      </c>
      <c r="AL1240" s="10" t="str">
        <f t="shared" si="137"/>
        <v>FALSE</v>
      </c>
      <c r="AM1240" s="10" t="str">
        <f t="shared" si="137"/>
        <v>y=-3.008*3.47^2+89.412*3.47-44.125</v>
      </c>
      <c r="AN1240" s="10" t="str">
        <f t="shared" si="137"/>
        <v>y=2.2125*3.47^2+32.759*3.47-8.5751</v>
      </c>
      <c r="AO1240" s="10" t="str">
        <f t="shared" si="138"/>
        <v>FALSE</v>
      </c>
      <c r="AP1240" s="10" t="str">
        <f t="shared" si="138"/>
        <v>y=0.5642*3.47^2+45.477*3.47-20.207</v>
      </c>
      <c r="AQ1240" s="10" t="b">
        <f>IF(AND(I1240="TP",S1240&lt;=150),VLOOKUP(AF1240,TPCalibEq150!$AZ$2:$BB$55,3,),IF(AND(I1240="TDP",S1240&lt;=150),VLOOKUP(AF1240,TPCalibEq150!$AZ$2:$BB$55,3,)))</f>
        <v>0</v>
      </c>
      <c r="AR1240" s="10" t="str">
        <f>IF(AND(I1240="TP",S1240&lt;=300),VLOOKUP(AF1240,TPCalibEq300!$AZ$2:$BB$55,3,),IF(AND(I1240="TDP",S1240&lt;=300),VLOOKUP(AF1240,TPCalibEq300!$AZ$2:$BB$55,3,)))</f>
        <v>y=-3.008x2+89.412x-44.125</v>
      </c>
      <c r="AS1240" s="10" t="str">
        <f>IF(AND(I1240="TP",S1240&lt;=500),VLOOKUP(AF1240,TPCalibEq500!$AZ$2:$BB$56,3,),IF(AND(I1240="TDP",S1240&lt;=500),VLOOKUP(AF1240,TPCalibEq500!$AZ$2:$BB$56,3,)))</f>
        <v>y=2.2125x2+32.759x-8.5751</v>
      </c>
      <c r="AT1240" s="10" t="b">
        <f>IF(AND(I1240="TN",S1240&lt;=2800),VLOOKUP(AF1240,TNCalibEq2500!$AZ$2:$BB$56,3,),IF(AND(I1240="TDN",S1240&lt;=2800),VLOOKUP(AF1240,TNCalibEq2500!$AZ$2:$BB$56,3,)))</f>
        <v>0</v>
      </c>
      <c r="AU1240" s="10" t="str">
        <f>IF(I1240="TP",VLOOKUP(AF1240,TPCalibEqFull!$AZ$2:$BB$56,3),IF(I1240="TDP",VLOOKUP(AF1240,TPCalibEqFull!$AZ$2:$BB$56,3),IF(I1240="TDN",VLOOKUP(AF1240,TNCalibEqFull!$AZ$1:$BB$56,3),IF(I1240="TN",VLOOKUP(AF1240,TNCalibEqFull!$AZ$1:$BB$56,3),FALSE))))</f>
        <v>y=0.5642x2+45.477x-20.207</v>
      </c>
      <c r="AV1240" s="10" t="str">
        <f t="shared" si="143"/>
        <v>0117 09:03:00-EFC-0-C-1-SW-UKN</v>
      </c>
    </row>
    <row r="1241" spans="1:48" s="10" customFormat="1" x14ac:dyDescent="0.55000000000000004">
      <c r="A1241" s="32">
        <v>44943</v>
      </c>
      <c r="B1241" s="33">
        <v>0.39097222222222222</v>
      </c>
      <c r="C1241" s="10" t="s">
        <v>543</v>
      </c>
      <c r="D1241" s="10">
        <v>0</v>
      </c>
      <c r="E1241" s="10" t="s">
        <v>190</v>
      </c>
      <c r="F1241" s="10">
        <v>1</v>
      </c>
      <c r="G1241" s="10" t="s">
        <v>231</v>
      </c>
      <c r="H1241" s="10" t="s">
        <v>322</v>
      </c>
      <c r="I1241" s="10" t="s">
        <v>83</v>
      </c>
      <c r="J1241" s="10">
        <v>17</v>
      </c>
      <c r="K1241" s="12">
        <v>44950</v>
      </c>
      <c r="L1241" s="33">
        <v>0.57096064814814818</v>
      </c>
      <c r="M1241" s="10">
        <v>1</v>
      </c>
      <c r="N1241" s="10" t="s">
        <v>84</v>
      </c>
      <c r="O1241" s="10">
        <v>0.89300000000000002</v>
      </c>
      <c r="P1241" s="10">
        <v>6.2100000000000002E-2</v>
      </c>
      <c r="Q1241" s="10">
        <v>38</v>
      </c>
      <c r="R1241" s="10" t="s">
        <v>85</v>
      </c>
      <c r="S1241" s="34">
        <f t="shared" si="139"/>
        <v>38</v>
      </c>
      <c r="T1241" s="10" t="s">
        <v>1087</v>
      </c>
      <c r="U1241" s="34" t="str">
        <f t="shared" si="140"/>
        <v/>
      </c>
      <c r="V1241" s="31" t="str">
        <f>IF(H1241="CHK",VLOOKUP(I1241,QCCHK,3,),IF(H1241="GUP",VLOOKUP(E1241,QCGUP,2,),IF(AND(H1241="ATP",OR(I1241="TN",I1241="TDN",I1241="TNO2-3",I1241="NO2-3")),VLOOKUP(E1241,QCREC_N,2,),IF(AND(H1241="NIC",OR(I1241="TN",I1241="TDN",I1241="TNO2-3",I1241="NO2-3")),VLOOKUP(E1241,QCNIC_N,2,),IF(AND(H1241="UREA",OR(I1241="TN",I1241="TDN",I1241="TNO2-3",I1241="NO2-3")),VLOOKUP(E1241,QCUREA_N,2,),IF(H1241="PER",VLOOKUP(I1241,QCPER,MATCH(E1241,QCACTUAL!$J$25:$AA$25,0),),IF(H1241="SPK",VLOOKUP(I1241,QCSPK,3,),IF(AND(H1241="ATP",OR(I1241="TP",I1241="TDP")),VLOOKUP(E1241,QCATP_P,2,),""))))))))</f>
        <v/>
      </c>
      <c r="W1241" s="31" t="str">
        <f t="shared" si="141"/>
        <v>TRUE</v>
      </c>
      <c r="X1241" s="31" t="str">
        <f t="shared" si="142"/>
        <v/>
      </c>
      <c r="Y1241" s="10" t="s">
        <v>1071</v>
      </c>
      <c r="Z1241" s="10" t="s">
        <v>910</v>
      </c>
      <c r="AF1241" s="12">
        <v>44950</v>
      </c>
      <c r="AG1241" s="10">
        <f>-5.8068*0.893^2+97.248*0.893-48.038</f>
        <v>34.173837146800011</v>
      </c>
      <c r="AH1241" s="10">
        <f>-3.008*0.893^2+89.412*0.893-44.125</f>
        <v>33.321189408000009</v>
      </c>
      <c r="AI1241" s="10">
        <f>2.2125*0.893^2+32.759*0.893-8.5751</f>
        <v>22.443042912499997</v>
      </c>
      <c r="AK1241" s="10">
        <f>0.5642*0.893^2+45.477*0.893-20.207</f>
        <v>20.853881725799994</v>
      </c>
      <c r="AL1241" s="10" t="str">
        <f t="shared" si="137"/>
        <v>y=-5.8068*0.893^2+97.248*0.893-48.038</v>
      </c>
      <c r="AM1241" s="10" t="str">
        <f t="shared" si="137"/>
        <v>y=-3.008*0.893^2+89.412*0.893-44.125</v>
      </c>
      <c r="AN1241" s="10" t="str">
        <f t="shared" si="137"/>
        <v>y=2.2125*0.893^2+32.759*0.893-8.5751</v>
      </c>
      <c r="AO1241" s="10" t="str">
        <f t="shared" si="138"/>
        <v>FALSE</v>
      </c>
      <c r="AP1241" s="10" t="str">
        <f t="shared" si="138"/>
        <v>y=0.5642*0.893^2+45.477*0.893-20.207</v>
      </c>
      <c r="AQ1241" s="10" t="str">
        <f>IF(AND(I1241="TP",S1241&lt;=150),VLOOKUP(AF1241,TPCalibEq150!$AZ$2:$BB$55,3,),IF(AND(I1241="TDP",S1241&lt;=150),VLOOKUP(AF1241,TPCalibEq150!$AZ$2:$BB$55,3,)))</f>
        <v>y=-5.8068x2+97.248x-48.038</v>
      </c>
      <c r="AR1241" s="10" t="str">
        <f>IF(AND(I1241="TP",S1241&lt;=300),VLOOKUP(AF1241,TPCalibEq300!$AZ$2:$BB$55,3,),IF(AND(I1241="TDP",S1241&lt;=300),VLOOKUP(AF1241,TPCalibEq300!$AZ$2:$BB$55,3,)))</f>
        <v>y=-3.008x2+89.412x-44.125</v>
      </c>
      <c r="AS1241" s="10" t="str">
        <f>IF(AND(I1241="TP",S1241&lt;=500),VLOOKUP(AF1241,TPCalibEq500!$AZ$2:$BB$56,3,),IF(AND(I1241="TDP",S1241&lt;=500),VLOOKUP(AF1241,TPCalibEq500!$AZ$2:$BB$56,3,)))</f>
        <v>y=2.2125x2+32.759x-8.5751</v>
      </c>
      <c r="AT1241" s="10" t="b">
        <f>IF(AND(I1241="TN",S1241&lt;=2800),VLOOKUP(AF1241,TNCalibEq2500!$AZ$2:$BB$56,3,),IF(AND(I1241="TDN",S1241&lt;=2800),VLOOKUP(AF1241,TNCalibEq2500!$AZ$2:$BB$56,3,)))</f>
        <v>0</v>
      </c>
      <c r="AU1241" s="10" t="str">
        <f>IF(I1241="TP",VLOOKUP(AF1241,TPCalibEqFull!$AZ$2:$BB$56,3),IF(I1241="TDP",VLOOKUP(AF1241,TPCalibEqFull!$AZ$2:$BB$56,3),IF(I1241="TDN",VLOOKUP(AF1241,TNCalibEqFull!$AZ$1:$BB$56,3),IF(I1241="TN",VLOOKUP(AF1241,TNCalibEqFull!$AZ$1:$BB$56,3),FALSE))))</f>
        <v>y=0.5642x2+45.477x-20.207</v>
      </c>
      <c r="AV1241" s="10" t="str">
        <f t="shared" si="143"/>
        <v>0117 09:23:00-SAR-0-C-1-SW-UKN</v>
      </c>
    </row>
    <row r="1242" spans="1:48" s="10" customFormat="1" x14ac:dyDescent="0.55000000000000004">
      <c r="A1242" s="32">
        <v>44943</v>
      </c>
      <c r="B1242" s="33">
        <v>0.40486111111111112</v>
      </c>
      <c r="C1242" s="10" t="s">
        <v>361</v>
      </c>
      <c r="D1242" s="10">
        <v>0</v>
      </c>
      <c r="E1242" s="10" t="s">
        <v>190</v>
      </c>
      <c r="F1242" s="10">
        <v>1</v>
      </c>
      <c r="G1242" s="10" t="s">
        <v>231</v>
      </c>
      <c r="H1242" s="10" t="s">
        <v>322</v>
      </c>
      <c r="I1242" s="10" t="s">
        <v>83</v>
      </c>
      <c r="J1242" s="10">
        <v>18</v>
      </c>
      <c r="K1242" s="12">
        <v>44950</v>
      </c>
      <c r="L1242" s="33">
        <v>0.57166666666666666</v>
      </c>
      <c r="M1242" s="10">
        <v>1</v>
      </c>
      <c r="N1242" s="10" t="s">
        <v>84</v>
      </c>
      <c r="O1242" s="10">
        <v>1.57</v>
      </c>
      <c r="P1242" s="10">
        <v>0.11</v>
      </c>
      <c r="Q1242" s="10">
        <v>71.2</v>
      </c>
      <c r="R1242" s="10" t="s">
        <v>85</v>
      </c>
      <c r="S1242" s="34">
        <f t="shared" si="139"/>
        <v>90.328178679999994</v>
      </c>
      <c r="T1242" s="10" t="s">
        <v>1087</v>
      </c>
      <c r="U1242" s="34" t="str">
        <f t="shared" si="140"/>
        <v/>
      </c>
      <c r="V1242" s="31" t="str">
        <f>IF(H1242="CHK",VLOOKUP(I1242,QCCHK,3,),IF(H1242="GUP",VLOOKUP(E1242,QCGUP,2,),IF(AND(H1242="ATP",OR(I1242="TN",I1242="TDN",I1242="TNO2-3",I1242="NO2-3")),VLOOKUP(E1242,QCREC_N,2,),IF(AND(H1242="NIC",OR(I1242="TN",I1242="TDN",I1242="TNO2-3",I1242="NO2-3")),VLOOKUP(E1242,QCNIC_N,2,),IF(AND(H1242="UREA",OR(I1242="TN",I1242="TDN",I1242="TNO2-3",I1242="NO2-3")),VLOOKUP(E1242,QCUREA_N,2,),IF(H1242="PER",VLOOKUP(I1242,QCPER,MATCH(E1242,QCACTUAL!$J$25:$AA$25,0),),IF(H1242="SPK",VLOOKUP(I1242,QCSPK,3,),IF(AND(H1242="ATP",OR(I1242="TP",I1242="TDP")),VLOOKUP(E1242,QCATP_P,2,),""))))))))</f>
        <v/>
      </c>
      <c r="W1242" s="31" t="str">
        <f t="shared" si="141"/>
        <v>TRUE</v>
      </c>
      <c r="X1242" s="31" t="str">
        <f t="shared" si="142"/>
        <v/>
      </c>
      <c r="Y1242" s="10" t="s">
        <v>1071</v>
      </c>
      <c r="Z1242" s="10" t="s">
        <v>910</v>
      </c>
      <c r="AF1242" s="12">
        <v>44950</v>
      </c>
      <c r="AG1242" s="10">
        <f>-5.8068*1.57^2+97.248*1.57-48.038</f>
        <v>90.328178679999994</v>
      </c>
      <c r="AH1242" s="10">
        <f>-3.008*1.57^2+89.412*1.57-44.125</f>
        <v>88.837420800000018</v>
      </c>
      <c r="AI1242" s="10">
        <f>2.2125*1.57^2+32.759*1.57-8.5751</f>
        <v>48.310121250000009</v>
      </c>
      <c r="AK1242" s="10">
        <f>0.5642*1.57^2+45.477*1.57-20.207</f>
        <v>52.58258657999999</v>
      </c>
      <c r="AL1242" s="10" t="str">
        <f t="shared" si="137"/>
        <v>y=-5.8068*1.57^2+97.248*1.57-48.038</v>
      </c>
      <c r="AM1242" s="10" t="str">
        <f t="shared" si="137"/>
        <v>y=-3.008*1.57^2+89.412*1.57-44.125</v>
      </c>
      <c r="AN1242" s="10" t="str">
        <f t="shared" si="137"/>
        <v>y=2.2125*1.57^2+32.759*1.57-8.5751</v>
      </c>
      <c r="AO1242" s="10" t="str">
        <f t="shared" si="138"/>
        <v>FALSE</v>
      </c>
      <c r="AP1242" s="10" t="str">
        <f t="shared" si="138"/>
        <v>y=0.5642*1.57^2+45.477*1.57-20.207</v>
      </c>
      <c r="AQ1242" s="10" t="str">
        <f>IF(AND(I1242="TP",S1242&lt;=150),VLOOKUP(AF1242,TPCalibEq150!$AZ$2:$BB$55,3,),IF(AND(I1242="TDP",S1242&lt;=150),VLOOKUP(AF1242,TPCalibEq150!$AZ$2:$BB$55,3,)))</f>
        <v>y=-5.8068x2+97.248x-48.038</v>
      </c>
      <c r="AR1242" s="10" t="str">
        <f>IF(AND(I1242="TP",S1242&lt;=300),VLOOKUP(AF1242,TPCalibEq300!$AZ$2:$BB$55,3,),IF(AND(I1242="TDP",S1242&lt;=300),VLOOKUP(AF1242,TPCalibEq300!$AZ$2:$BB$55,3,)))</f>
        <v>y=-3.008x2+89.412x-44.125</v>
      </c>
      <c r="AS1242" s="10" t="str">
        <f>IF(AND(I1242="TP",S1242&lt;=500),VLOOKUP(AF1242,TPCalibEq500!$AZ$2:$BB$56,3,),IF(AND(I1242="TDP",S1242&lt;=500),VLOOKUP(AF1242,TPCalibEq500!$AZ$2:$BB$56,3,)))</f>
        <v>y=2.2125x2+32.759x-8.5751</v>
      </c>
      <c r="AT1242" s="10" t="b">
        <f>IF(AND(I1242="TN",S1242&lt;=2800),VLOOKUP(AF1242,TNCalibEq2500!$AZ$2:$BB$56,3,),IF(AND(I1242="TDN",S1242&lt;=2800),VLOOKUP(AF1242,TNCalibEq2500!$AZ$2:$BB$56,3,)))</f>
        <v>0</v>
      </c>
      <c r="AU1242" s="10" t="str">
        <f>IF(I1242="TP",VLOOKUP(AF1242,TPCalibEqFull!$AZ$2:$BB$56,3),IF(I1242="TDP",VLOOKUP(AF1242,TPCalibEqFull!$AZ$2:$BB$56,3),IF(I1242="TDN",VLOOKUP(AF1242,TNCalibEqFull!$AZ$1:$BB$56,3),IF(I1242="TN",VLOOKUP(AF1242,TNCalibEqFull!$AZ$1:$BB$56,3),FALSE))))</f>
        <v>y=0.5642x2+45.477x-20.207</v>
      </c>
      <c r="AV1242" s="10" t="str">
        <f t="shared" si="143"/>
        <v>0117 09:43:00-USR-0-C-1-SW-UKN</v>
      </c>
    </row>
    <row r="1243" spans="1:48" s="10" customFormat="1" x14ac:dyDescent="0.55000000000000004">
      <c r="A1243" s="32">
        <v>44943</v>
      </c>
      <c r="B1243" s="33">
        <v>0.42152777777777778</v>
      </c>
      <c r="C1243" s="10" t="s">
        <v>351</v>
      </c>
      <c r="D1243" s="10">
        <v>0</v>
      </c>
      <c r="E1243" s="10" t="s">
        <v>190</v>
      </c>
      <c r="F1243" s="10">
        <v>1</v>
      </c>
      <c r="G1243" s="10" t="s">
        <v>231</v>
      </c>
      <c r="H1243" s="10" t="s">
        <v>322</v>
      </c>
      <c r="I1243" s="10" t="s">
        <v>83</v>
      </c>
      <c r="J1243" s="10">
        <v>19</v>
      </c>
      <c r="K1243" s="12">
        <v>44950</v>
      </c>
      <c r="L1243" s="33">
        <v>0.5723611111111111</v>
      </c>
      <c r="M1243" s="10">
        <v>1</v>
      </c>
      <c r="N1243" s="10" t="s">
        <v>84</v>
      </c>
      <c r="O1243" s="10">
        <v>2.23</v>
      </c>
      <c r="P1243" s="10">
        <v>0.156</v>
      </c>
      <c r="Q1243" s="10">
        <v>104</v>
      </c>
      <c r="R1243" s="10" t="s">
        <v>85</v>
      </c>
      <c r="S1243" s="34">
        <f t="shared" si="139"/>
        <v>140.30527680000003</v>
      </c>
      <c r="T1243" s="10" t="s">
        <v>1087</v>
      </c>
      <c r="U1243" s="34" t="str">
        <f t="shared" si="140"/>
        <v/>
      </c>
      <c r="V1243" s="31" t="str">
        <f>IF(H1243="CHK",VLOOKUP(I1243,QCCHK,3,),IF(H1243="GUP",VLOOKUP(E1243,QCGUP,2,),IF(AND(H1243="ATP",OR(I1243="TN",I1243="TDN",I1243="TNO2-3",I1243="NO2-3")),VLOOKUP(E1243,QCREC_N,2,),IF(AND(H1243="NIC",OR(I1243="TN",I1243="TDN",I1243="TNO2-3",I1243="NO2-3")),VLOOKUP(E1243,QCNIC_N,2,),IF(AND(H1243="UREA",OR(I1243="TN",I1243="TDN",I1243="TNO2-3",I1243="NO2-3")),VLOOKUP(E1243,QCUREA_N,2,),IF(H1243="PER",VLOOKUP(I1243,QCPER,MATCH(E1243,QCACTUAL!$J$25:$AA$25,0),),IF(H1243="SPK",VLOOKUP(I1243,QCSPK,3,),IF(AND(H1243="ATP",OR(I1243="TP",I1243="TDP")),VLOOKUP(E1243,QCATP_P,2,),""))))))))</f>
        <v/>
      </c>
      <c r="W1243" s="31" t="str">
        <f t="shared" si="141"/>
        <v>TRUE</v>
      </c>
      <c r="X1243" s="31" t="str">
        <f t="shared" si="142"/>
        <v/>
      </c>
      <c r="Y1243" s="10" t="s">
        <v>1071</v>
      </c>
      <c r="Z1243" s="10" t="s">
        <v>910</v>
      </c>
      <c r="AF1243" s="12">
        <v>44950</v>
      </c>
      <c r="AG1243" s="10">
        <f>-5.8068*2.23^2+97.248*2.23-48.038</f>
        <v>139.94840428000003</v>
      </c>
      <c r="AH1243" s="10">
        <f>-3.008*2.23^2+89.412*2.23-44.125</f>
        <v>140.30527680000003</v>
      </c>
      <c r="AI1243" s="10">
        <f>2.2125*2.23^2+32.759*2.23-8.5751</f>
        <v>75.480011250000004</v>
      </c>
      <c r="AK1243" s="10">
        <f>0.5642*2.23^2+45.477*2.23-20.207</f>
        <v>84.012420179999992</v>
      </c>
      <c r="AL1243" s="10" t="str">
        <f t="shared" si="137"/>
        <v>y=-5.8068*2.23^2+97.248*2.23-48.038</v>
      </c>
      <c r="AM1243" s="10" t="str">
        <f t="shared" si="137"/>
        <v>y=-3.008*2.23^2+89.412*2.23-44.125</v>
      </c>
      <c r="AN1243" s="10" t="str">
        <f t="shared" si="137"/>
        <v>y=2.2125*2.23^2+32.759*2.23-8.5751</v>
      </c>
      <c r="AO1243" s="10" t="str">
        <f t="shared" si="138"/>
        <v>FALSE</v>
      </c>
      <c r="AP1243" s="10" t="str">
        <f t="shared" si="138"/>
        <v>y=0.5642*2.23^2+45.477*2.23-20.207</v>
      </c>
      <c r="AQ1243" s="10" t="str">
        <f>IF(AND(I1243="TP",S1243&lt;=150),VLOOKUP(AF1243,TPCalibEq150!$AZ$2:$BB$55,3,),IF(AND(I1243="TDP",S1243&lt;=150),VLOOKUP(AF1243,TPCalibEq150!$AZ$2:$BB$55,3,)))</f>
        <v>y=-5.8068x2+97.248x-48.038</v>
      </c>
      <c r="AR1243" s="10" t="str">
        <f>IF(AND(I1243="TP",S1243&lt;=300),VLOOKUP(AF1243,TPCalibEq300!$AZ$2:$BB$55,3,),IF(AND(I1243="TDP",S1243&lt;=300),VLOOKUP(AF1243,TPCalibEq300!$AZ$2:$BB$55,3,)))</f>
        <v>y=-3.008x2+89.412x-44.125</v>
      </c>
      <c r="AS1243" s="10" t="str">
        <f>IF(AND(I1243="TP",S1243&lt;=500),VLOOKUP(AF1243,TPCalibEq500!$AZ$2:$BB$56,3,),IF(AND(I1243="TDP",S1243&lt;=500),VLOOKUP(AF1243,TPCalibEq500!$AZ$2:$BB$56,3,)))</f>
        <v>y=2.2125x2+32.759x-8.5751</v>
      </c>
      <c r="AT1243" s="10" t="b">
        <f>IF(AND(I1243="TN",S1243&lt;=2800),VLOOKUP(AF1243,TNCalibEq2500!$AZ$2:$BB$56,3,),IF(AND(I1243="TDN",S1243&lt;=2800),VLOOKUP(AF1243,TNCalibEq2500!$AZ$2:$BB$56,3,)))</f>
        <v>0</v>
      </c>
      <c r="AU1243" s="10" t="str">
        <f>IF(I1243="TP",VLOOKUP(AF1243,TPCalibEqFull!$AZ$2:$BB$56,3),IF(I1243="TDP",VLOOKUP(AF1243,TPCalibEqFull!$AZ$2:$BB$56,3),IF(I1243="TDN",VLOOKUP(AF1243,TNCalibEqFull!$AZ$1:$BB$56,3),IF(I1243="TN",VLOOKUP(AF1243,TNCalibEqFull!$AZ$1:$BB$56,3),FALSE))))</f>
        <v>y=0.5642x2+45.477x-20.207</v>
      </c>
      <c r="AV1243" s="10" t="str">
        <f t="shared" si="143"/>
        <v>0117 10:07:00-SHC-0-C-1-SW-UKN</v>
      </c>
    </row>
    <row r="1244" spans="1:48" s="10" customFormat="1" x14ac:dyDescent="0.55000000000000004">
      <c r="A1244" s="32">
        <v>44943</v>
      </c>
      <c r="B1244" s="33">
        <v>0.43472222222222223</v>
      </c>
      <c r="C1244" s="10" t="s">
        <v>355</v>
      </c>
      <c r="D1244" s="10">
        <v>0</v>
      </c>
      <c r="E1244" s="10" t="s">
        <v>190</v>
      </c>
      <c r="F1244" s="10">
        <v>1</v>
      </c>
      <c r="G1244" s="10" t="s">
        <v>231</v>
      </c>
      <c r="H1244" s="10" t="s">
        <v>322</v>
      </c>
      <c r="I1244" s="10" t="s">
        <v>83</v>
      </c>
      <c r="J1244" s="10">
        <v>20</v>
      </c>
      <c r="K1244" s="12">
        <v>44950</v>
      </c>
      <c r="L1244" s="33">
        <v>0.57306712962962958</v>
      </c>
      <c r="M1244" s="10">
        <v>1</v>
      </c>
      <c r="N1244" s="10" t="s">
        <v>84</v>
      </c>
      <c r="O1244" s="10">
        <v>2.41</v>
      </c>
      <c r="P1244" s="10">
        <v>0.17199999999999999</v>
      </c>
      <c r="Q1244" s="10">
        <v>113</v>
      </c>
      <c r="R1244" s="10" t="s">
        <v>85</v>
      </c>
      <c r="S1244" s="34">
        <f t="shared" si="139"/>
        <v>153.88715520000002</v>
      </c>
      <c r="T1244" s="10" t="s">
        <v>1087</v>
      </c>
      <c r="U1244" s="34" t="str">
        <f t="shared" si="140"/>
        <v/>
      </c>
      <c r="V1244" s="31" t="str">
        <f>IF(H1244="CHK",VLOOKUP(I1244,QCCHK,3,),IF(H1244="GUP",VLOOKUP(E1244,QCGUP,2,),IF(AND(H1244="ATP",OR(I1244="TN",I1244="TDN",I1244="TNO2-3",I1244="NO2-3")),VLOOKUP(E1244,QCREC_N,2,),IF(AND(H1244="NIC",OR(I1244="TN",I1244="TDN",I1244="TNO2-3",I1244="NO2-3")),VLOOKUP(E1244,QCNIC_N,2,),IF(AND(H1244="UREA",OR(I1244="TN",I1244="TDN",I1244="TNO2-3",I1244="NO2-3")),VLOOKUP(E1244,QCUREA_N,2,),IF(H1244="PER",VLOOKUP(I1244,QCPER,MATCH(E1244,QCACTUAL!$J$25:$AA$25,0),),IF(H1244="SPK",VLOOKUP(I1244,QCSPK,3,),IF(AND(H1244="ATP",OR(I1244="TP",I1244="TDP")),VLOOKUP(E1244,QCATP_P,2,),""))))))))</f>
        <v/>
      </c>
      <c r="W1244" s="31" t="str">
        <f t="shared" si="141"/>
        <v>TRUE</v>
      </c>
      <c r="X1244" s="31" t="str">
        <f t="shared" si="142"/>
        <v/>
      </c>
      <c r="Y1244" s="10" t="s">
        <v>1071</v>
      </c>
      <c r="Z1244" s="10" t="s">
        <v>910</v>
      </c>
      <c r="AF1244" s="12">
        <v>44950</v>
      </c>
      <c r="AG1244" s="10">
        <f>-5.8068*2.41^2+97.248*2.41-48.038</f>
        <v>152.60320492000005</v>
      </c>
      <c r="AH1244" s="10">
        <f>-3.008*2.41^2+89.412*2.41-44.125</f>
        <v>153.88715520000002</v>
      </c>
      <c r="AI1244" s="10">
        <f>2.2125*2.41^2+32.759*2.41-8.5751</f>
        <v>83.224511249999992</v>
      </c>
      <c r="AK1244" s="10">
        <f>0.5642*2.41^2+45.477*2.41-20.207</f>
        <v>92.669500019999987</v>
      </c>
      <c r="AL1244" s="10" t="str">
        <f t="shared" si="137"/>
        <v>FALSE</v>
      </c>
      <c r="AM1244" s="10" t="str">
        <f t="shared" si="137"/>
        <v>y=-3.008*2.41^2+89.412*2.41-44.125</v>
      </c>
      <c r="AN1244" s="10" t="str">
        <f t="shared" si="137"/>
        <v>y=2.2125*2.41^2+32.759*2.41-8.5751</v>
      </c>
      <c r="AO1244" s="10" t="str">
        <f t="shared" si="138"/>
        <v>FALSE</v>
      </c>
      <c r="AP1244" s="10" t="str">
        <f t="shared" si="138"/>
        <v>y=0.5642*2.41^2+45.477*2.41-20.207</v>
      </c>
      <c r="AQ1244" s="10" t="b">
        <f>IF(AND(I1244="TP",S1244&lt;=150),VLOOKUP(AF1244,TPCalibEq150!$AZ$2:$BB$55,3,),IF(AND(I1244="TDP",S1244&lt;=150),VLOOKUP(AF1244,TPCalibEq150!$AZ$2:$BB$55,3,)))</f>
        <v>0</v>
      </c>
      <c r="AR1244" s="10" t="str">
        <f>IF(AND(I1244="TP",S1244&lt;=300),VLOOKUP(AF1244,TPCalibEq300!$AZ$2:$BB$55,3,),IF(AND(I1244="TDP",S1244&lt;=300),VLOOKUP(AF1244,TPCalibEq300!$AZ$2:$BB$55,3,)))</f>
        <v>y=-3.008x2+89.412x-44.125</v>
      </c>
      <c r="AS1244" s="10" t="str">
        <f>IF(AND(I1244="TP",S1244&lt;=500),VLOOKUP(AF1244,TPCalibEq500!$AZ$2:$BB$56,3,),IF(AND(I1244="TDP",S1244&lt;=500),VLOOKUP(AF1244,TPCalibEq500!$AZ$2:$BB$56,3,)))</f>
        <v>y=2.2125x2+32.759x-8.5751</v>
      </c>
      <c r="AT1244" s="10" t="b">
        <f>IF(AND(I1244="TN",S1244&lt;=2800),VLOOKUP(AF1244,TNCalibEq2500!$AZ$2:$BB$56,3,),IF(AND(I1244="TDN",S1244&lt;=2800),VLOOKUP(AF1244,TNCalibEq2500!$AZ$2:$BB$56,3,)))</f>
        <v>0</v>
      </c>
      <c r="AU1244" s="10" t="str">
        <f>IF(I1244="TP",VLOOKUP(AF1244,TPCalibEqFull!$AZ$2:$BB$56,3),IF(I1244="TDP",VLOOKUP(AF1244,TPCalibEqFull!$AZ$2:$BB$56,3),IF(I1244="TDN",VLOOKUP(AF1244,TNCalibEqFull!$AZ$1:$BB$56,3),IF(I1244="TN",VLOOKUP(AF1244,TNCalibEqFull!$AZ$1:$BB$56,3),FALSE))))</f>
        <v>y=0.5642x2+45.477x-20.207</v>
      </c>
      <c r="AV1244" s="10" t="str">
        <f t="shared" si="143"/>
        <v>0117 10:26:00-SLT-0-C-1-SW-UKN</v>
      </c>
    </row>
    <row r="1245" spans="1:48" s="10" customFormat="1" x14ac:dyDescent="0.55000000000000004">
      <c r="A1245" s="32">
        <v>44943</v>
      </c>
      <c r="B1245" s="33">
        <v>0.4604166666666667</v>
      </c>
      <c r="C1245" s="10" t="s">
        <v>310</v>
      </c>
      <c r="D1245" s="10">
        <v>0</v>
      </c>
      <c r="E1245" s="10" t="s">
        <v>190</v>
      </c>
      <c r="F1245" s="10">
        <v>1</v>
      </c>
      <c r="G1245" s="10" t="s">
        <v>231</v>
      </c>
      <c r="H1245" s="10" t="s">
        <v>322</v>
      </c>
      <c r="I1245" s="10" t="s">
        <v>83</v>
      </c>
      <c r="J1245" s="10">
        <v>21</v>
      </c>
      <c r="K1245" s="12">
        <v>44950</v>
      </c>
      <c r="L1245" s="33">
        <v>0.57377314814814817</v>
      </c>
      <c r="M1245" s="10">
        <v>1</v>
      </c>
      <c r="N1245" s="10" t="s">
        <v>84</v>
      </c>
      <c r="O1245" s="10">
        <v>3.16</v>
      </c>
      <c r="P1245" s="10">
        <v>0.224</v>
      </c>
      <c r="Q1245" s="10">
        <v>151</v>
      </c>
      <c r="R1245" s="10" t="s">
        <v>85</v>
      </c>
      <c r="S1245" s="34">
        <f t="shared" si="139"/>
        <v>208.38023520000002</v>
      </c>
      <c r="T1245" s="10" t="s">
        <v>1087</v>
      </c>
      <c r="U1245" s="34" t="str">
        <f t="shared" si="140"/>
        <v/>
      </c>
      <c r="V1245" s="31" t="str">
        <f>IF(H1245="CHK",VLOOKUP(I1245,QCCHK,3,),IF(H1245="GUP",VLOOKUP(E1245,QCGUP,2,),IF(AND(H1245="ATP",OR(I1245="TN",I1245="TDN",I1245="TNO2-3",I1245="NO2-3")),VLOOKUP(E1245,QCREC_N,2,),IF(AND(H1245="NIC",OR(I1245="TN",I1245="TDN",I1245="TNO2-3",I1245="NO2-3")),VLOOKUP(E1245,QCNIC_N,2,),IF(AND(H1245="UREA",OR(I1245="TN",I1245="TDN",I1245="TNO2-3",I1245="NO2-3")),VLOOKUP(E1245,QCUREA_N,2,),IF(H1245="PER",VLOOKUP(I1245,QCPER,MATCH(E1245,QCACTUAL!$J$25:$AA$25,0),),IF(H1245="SPK",VLOOKUP(I1245,QCSPK,3,),IF(AND(H1245="ATP",OR(I1245="TP",I1245="TDP")),VLOOKUP(E1245,QCATP_P,2,),""))))))))</f>
        <v/>
      </c>
      <c r="W1245" s="31" t="str">
        <f t="shared" si="141"/>
        <v>TRUE</v>
      </c>
      <c r="X1245" s="31" t="str">
        <f t="shared" si="142"/>
        <v/>
      </c>
      <c r="Y1245" s="10" t="s">
        <v>1071</v>
      </c>
      <c r="Z1245" s="10" t="s">
        <v>910</v>
      </c>
      <c r="AF1245" s="12">
        <v>44950</v>
      </c>
      <c r="AH1245" s="10">
        <f>-3.008*3.16^2+89.412*3.16-44.125</f>
        <v>208.38023520000002</v>
      </c>
      <c r="AI1245" s="10">
        <f>2.2125*3.16^2+32.759*3.16-8.5751</f>
        <v>117.03648000000001</v>
      </c>
      <c r="AK1245" s="10">
        <f>0.5642*3.16^2+45.477*3.16-20.207</f>
        <v>129.13419552000002</v>
      </c>
      <c r="AL1245" s="10" t="str">
        <f t="shared" si="137"/>
        <v>FALSE</v>
      </c>
      <c r="AM1245" s="10" t="str">
        <f t="shared" si="137"/>
        <v>y=-3.008*3.16^2+89.412*3.16-44.125</v>
      </c>
      <c r="AN1245" s="10" t="str">
        <f t="shared" si="137"/>
        <v>y=2.2125*3.16^2+32.759*3.16-8.5751</v>
      </c>
      <c r="AO1245" s="10" t="str">
        <f t="shared" si="138"/>
        <v>FALSE</v>
      </c>
      <c r="AP1245" s="10" t="str">
        <f t="shared" si="138"/>
        <v>y=0.5642*3.16^2+45.477*3.16-20.207</v>
      </c>
      <c r="AQ1245" s="10" t="b">
        <f>IF(AND(I1245="TP",S1245&lt;=150),VLOOKUP(AF1245,TPCalibEq150!$AZ$2:$BB$55,3,),IF(AND(I1245="TDP",S1245&lt;=150),VLOOKUP(AF1245,TPCalibEq150!$AZ$2:$BB$55,3,)))</f>
        <v>0</v>
      </c>
      <c r="AR1245" s="10" t="str">
        <f>IF(AND(I1245="TP",S1245&lt;=300),VLOOKUP(AF1245,TPCalibEq300!$AZ$2:$BB$55,3,),IF(AND(I1245="TDP",S1245&lt;=300),VLOOKUP(AF1245,TPCalibEq300!$AZ$2:$BB$55,3,)))</f>
        <v>y=-3.008x2+89.412x-44.125</v>
      </c>
      <c r="AS1245" s="10" t="str">
        <f>IF(AND(I1245="TP",S1245&lt;=500),VLOOKUP(AF1245,TPCalibEq500!$AZ$2:$BB$56,3,),IF(AND(I1245="TDP",S1245&lt;=500),VLOOKUP(AF1245,TPCalibEq500!$AZ$2:$BB$56,3,)))</f>
        <v>y=2.2125x2+32.759x-8.5751</v>
      </c>
      <c r="AT1245" s="10" t="b">
        <f>IF(AND(I1245="TN",S1245&lt;=2800),VLOOKUP(AF1245,TNCalibEq2500!$AZ$2:$BB$56,3,),IF(AND(I1245="TDN",S1245&lt;=2800),VLOOKUP(AF1245,TNCalibEq2500!$AZ$2:$BB$56,3,)))</f>
        <v>0</v>
      </c>
      <c r="AU1245" s="10" t="str">
        <f>IF(I1245="TP",VLOOKUP(AF1245,TPCalibEqFull!$AZ$2:$BB$56,3),IF(I1245="TDP",VLOOKUP(AF1245,TPCalibEqFull!$AZ$2:$BB$56,3),IF(I1245="TDN",VLOOKUP(AF1245,TNCalibEqFull!$AZ$1:$BB$56,3),IF(I1245="TN",VLOOKUP(AF1245,TNCalibEqFull!$AZ$1:$BB$56,3),FALSE))))</f>
        <v>y=0.5642x2+45.477x-20.207</v>
      </c>
      <c r="AV1245" s="10" t="str">
        <f t="shared" si="143"/>
        <v>0117 11:03:00-ELI-0-C-1-SW-UKN</v>
      </c>
    </row>
    <row r="1246" spans="1:48" s="10" customFormat="1" x14ac:dyDescent="0.55000000000000004">
      <c r="A1246" s="32">
        <v>44943</v>
      </c>
      <c r="B1246" s="33">
        <v>0.47013888888888888</v>
      </c>
      <c r="C1246" s="10" t="s">
        <v>999</v>
      </c>
      <c r="D1246" s="10">
        <v>0</v>
      </c>
      <c r="E1246" s="10" t="s">
        <v>190</v>
      </c>
      <c r="F1246" s="10">
        <v>1</v>
      </c>
      <c r="G1246" s="10" t="s">
        <v>231</v>
      </c>
      <c r="H1246" s="10" t="s">
        <v>322</v>
      </c>
      <c r="I1246" s="10" t="s">
        <v>83</v>
      </c>
      <c r="J1246" s="10">
        <v>22</v>
      </c>
      <c r="K1246" s="12">
        <v>44950</v>
      </c>
      <c r="L1246" s="33">
        <v>0.57446759259259261</v>
      </c>
      <c r="M1246" s="10">
        <v>1</v>
      </c>
      <c r="N1246" s="10" t="s">
        <v>84</v>
      </c>
      <c r="O1246" s="10">
        <v>3.93</v>
      </c>
      <c r="P1246" s="10">
        <v>0.28000000000000003</v>
      </c>
      <c r="Q1246" s="10">
        <v>190</v>
      </c>
      <c r="R1246" s="10" t="s">
        <v>85</v>
      </c>
      <c r="S1246" s="34">
        <f t="shared" si="139"/>
        <v>260.80590080000007</v>
      </c>
      <c r="T1246" s="10" t="s">
        <v>1087</v>
      </c>
      <c r="U1246" s="34" t="str">
        <f t="shared" si="140"/>
        <v/>
      </c>
      <c r="V1246" s="31" t="str">
        <f>IF(H1246="CHK",VLOOKUP(I1246,QCCHK,3,),IF(H1246="GUP",VLOOKUP(E1246,QCGUP,2,),IF(AND(H1246="ATP",OR(I1246="TN",I1246="TDN",I1246="TNO2-3",I1246="NO2-3")),VLOOKUP(E1246,QCREC_N,2,),IF(AND(H1246="NIC",OR(I1246="TN",I1246="TDN",I1246="TNO2-3",I1246="NO2-3")),VLOOKUP(E1246,QCNIC_N,2,),IF(AND(H1246="UREA",OR(I1246="TN",I1246="TDN",I1246="TNO2-3",I1246="NO2-3")),VLOOKUP(E1246,QCUREA_N,2,),IF(H1246="PER",VLOOKUP(I1246,QCPER,MATCH(E1246,QCACTUAL!$J$25:$AA$25,0),),IF(H1246="SPK",VLOOKUP(I1246,QCSPK,3,),IF(AND(H1246="ATP",OR(I1246="TP",I1246="TDP")),VLOOKUP(E1246,QCATP_P,2,),""))))))))</f>
        <v/>
      </c>
      <c r="W1246" s="31" t="str">
        <f t="shared" si="141"/>
        <v>TRUE</v>
      </c>
      <c r="X1246" s="31" t="str">
        <f t="shared" si="142"/>
        <v/>
      </c>
      <c r="Y1246" s="10" t="s">
        <v>1071</v>
      </c>
      <c r="Z1246" s="10" t="s">
        <v>910</v>
      </c>
      <c r="AF1246" s="12">
        <v>44950</v>
      </c>
      <c r="AH1246" s="10">
        <f>-3.008*3.93^2+89.412*3.93-44.125</f>
        <v>260.80590080000007</v>
      </c>
      <c r="AI1246" s="10">
        <f>2.2125*3.93^2+32.759*3.93-8.5751</f>
        <v>154.33961125000002</v>
      </c>
      <c r="AK1246" s="10">
        <f>0.5642*3.93^2+45.477*3.93-20.207</f>
        <v>167.23162257999999</v>
      </c>
      <c r="AL1246" s="10" t="str">
        <f t="shared" si="137"/>
        <v>FALSE</v>
      </c>
      <c r="AM1246" s="10" t="str">
        <f t="shared" si="137"/>
        <v>y=-3.008*3.93^2+89.412*3.93-44.125</v>
      </c>
      <c r="AN1246" s="10" t="str">
        <f t="shared" si="137"/>
        <v>y=2.2125*3.93^2+32.759*3.93-8.5751</v>
      </c>
      <c r="AO1246" s="10" t="str">
        <f t="shared" si="138"/>
        <v>FALSE</v>
      </c>
      <c r="AP1246" s="10" t="str">
        <f t="shared" si="138"/>
        <v>y=0.5642*3.93^2+45.477*3.93-20.207</v>
      </c>
      <c r="AQ1246" s="10" t="b">
        <f>IF(AND(I1246="TP",S1246&lt;=150),VLOOKUP(AF1246,TPCalibEq150!$AZ$2:$BB$55,3,),IF(AND(I1246="TDP",S1246&lt;=150),VLOOKUP(AF1246,TPCalibEq150!$AZ$2:$BB$55,3,)))</f>
        <v>0</v>
      </c>
      <c r="AR1246" s="10" t="str">
        <f>IF(AND(I1246="TP",S1246&lt;=300),VLOOKUP(AF1246,TPCalibEq300!$AZ$2:$BB$55,3,),IF(AND(I1246="TDP",S1246&lt;=300),VLOOKUP(AF1246,TPCalibEq300!$AZ$2:$BB$55,3,)))</f>
        <v>y=-3.008x2+89.412x-44.125</v>
      </c>
      <c r="AS1246" s="10" t="str">
        <f>IF(AND(I1246="TP",S1246&lt;=500),VLOOKUP(AF1246,TPCalibEq500!$AZ$2:$BB$56,3,),IF(AND(I1246="TDP",S1246&lt;=500),VLOOKUP(AF1246,TPCalibEq500!$AZ$2:$BB$56,3,)))</f>
        <v>y=2.2125x2+32.759x-8.5751</v>
      </c>
      <c r="AT1246" s="10" t="b">
        <f>IF(AND(I1246="TN",S1246&lt;=2800),VLOOKUP(AF1246,TNCalibEq2500!$AZ$2:$BB$56,3,),IF(AND(I1246="TDN",S1246&lt;=2800),VLOOKUP(AF1246,TNCalibEq2500!$AZ$2:$BB$56,3,)))</f>
        <v>0</v>
      </c>
      <c r="AU1246" s="10" t="str">
        <f>IF(I1246="TP",VLOOKUP(AF1246,TPCalibEqFull!$AZ$2:$BB$56,3),IF(I1246="TDP",VLOOKUP(AF1246,TPCalibEqFull!$AZ$2:$BB$56,3),IF(I1246="TDN",VLOOKUP(AF1246,TNCalibEqFull!$AZ$1:$BB$56,3),IF(I1246="TN",VLOOKUP(AF1246,TNCalibEqFull!$AZ$1:$BB$56,3),FALSE))))</f>
        <v>y=0.5642x2+45.477x-20.207</v>
      </c>
      <c r="AV1246" s="10" t="str">
        <f t="shared" si="143"/>
        <v>0117 11:17:00-EAW-0-C-1-SW-UKN</v>
      </c>
    </row>
    <row r="1247" spans="1:48" s="10" customFormat="1" x14ac:dyDescent="0.55000000000000004">
      <c r="A1247" s="32">
        <v>44943</v>
      </c>
      <c r="B1247" s="33">
        <v>0.48125000000000001</v>
      </c>
      <c r="C1247" s="10" t="s">
        <v>613</v>
      </c>
      <c r="D1247" s="10">
        <v>0</v>
      </c>
      <c r="E1247" s="10" t="s">
        <v>190</v>
      </c>
      <c r="F1247" s="10">
        <v>1</v>
      </c>
      <c r="G1247" s="10" t="s">
        <v>231</v>
      </c>
      <c r="H1247" s="10" t="s">
        <v>322</v>
      </c>
      <c r="I1247" s="10" t="s">
        <v>83</v>
      </c>
      <c r="J1247" s="10">
        <v>23</v>
      </c>
      <c r="K1247" s="12">
        <v>44950</v>
      </c>
      <c r="L1247" s="33">
        <v>0.57516203703703705</v>
      </c>
      <c r="M1247" s="10">
        <v>1</v>
      </c>
      <c r="N1247" s="10" t="s">
        <v>84</v>
      </c>
      <c r="O1247" s="10">
        <v>4.4400000000000004</v>
      </c>
      <c r="P1247" s="10">
        <v>0.31900000000000001</v>
      </c>
      <c r="Q1247" s="10">
        <v>216</v>
      </c>
      <c r="R1247" s="10" t="s">
        <v>85</v>
      </c>
      <c r="S1247" s="34">
        <f t="shared" si="139"/>
        <v>293.56577120000009</v>
      </c>
      <c r="T1247" s="10" t="s">
        <v>1087</v>
      </c>
      <c r="U1247" s="34" t="str">
        <f t="shared" si="140"/>
        <v/>
      </c>
      <c r="V1247" s="31" t="str">
        <f>IF(H1247="CHK",VLOOKUP(I1247,QCCHK,3,),IF(H1247="GUP",VLOOKUP(E1247,QCGUP,2,),IF(AND(H1247="ATP",OR(I1247="TN",I1247="TDN",I1247="TNO2-3",I1247="NO2-3")),VLOOKUP(E1247,QCREC_N,2,),IF(AND(H1247="NIC",OR(I1247="TN",I1247="TDN",I1247="TNO2-3",I1247="NO2-3")),VLOOKUP(E1247,QCNIC_N,2,),IF(AND(H1247="UREA",OR(I1247="TN",I1247="TDN",I1247="TNO2-3",I1247="NO2-3")),VLOOKUP(E1247,QCUREA_N,2,),IF(H1247="PER",VLOOKUP(I1247,QCPER,MATCH(E1247,QCACTUAL!$J$25:$AA$25,0),),IF(H1247="SPK",VLOOKUP(I1247,QCSPK,3,),IF(AND(H1247="ATP",OR(I1247="TP",I1247="TDP")),VLOOKUP(E1247,QCATP_P,2,),""))))))))</f>
        <v/>
      </c>
      <c r="W1247" s="31" t="str">
        <f t="shared" si="141"/>
        <v>TRUE</v>
      </c>
      <c r="X1247" s="31" t="str">
        <f t="shared" si="142"/>
        <v/>
      </c>
      <c r="Y1247" s="10" t="s">
        <v>1071</v>
      </c>
      <c r="Z1247" s="10" t="s">
        <v>910</v>
      </c>
      <c r="AF1247" s="12">
        <v>44950</v>
      </c>
      <c r="AH1247" s="10">
        <f>-3.008*4.44^2+89.412*4.44-44.125</f>
        <v>293.56577120000009</v>
      </c>
      <c r="AI1247" s="10">
        <f>2.2125*4.44^2+32.759*4.44-8.5751</f>
        <v>180.49120000000002</v>
      </c>
      <c r="AK1247" s="10">
        <f>0.5642*4.44^2+45.477*4.44-20.207</f>
        <v>192.83329312000001</v>
      </c>
      <c r="AL1247" s="10" t="str">
        <f t="shared" si="137"/>
        <v>FALSE</v>
      </c>
      <c r="AM1247" s="10" t="str">
        <f t="shared" si="137"/>
        <v>y=-3.008*4.44^2+89.412*4.44-44.125</v>
      </c>
      <c r="AN1247" s="10" t="str">
        <f t="shared" si="137"/>
        <v>y=2.2125*4.44^2+32.759*4.44-8.5751</v>
      </c>
      <c r="AO1247" s="10" t="str">
        <f t="shared" si="138"/>
        <v>FALSE</v>
      </c>
      <c r="AP1247" s="10" t="str">
        <f t="shared" si="138"/>
        <v>y=0.5642*4.44^2+45.477*4.44-20.207</v>
      </c>
      <c r="AQ1247" s="10" t="b">
        <f>IF(AND(I1247="TP",S1247&lt;=150),VLOOKUP(AF1247,TPCalibEq150!$AZ$2:$BB$55,3,),IF(AND(I1247="TDP",S1247&lt;=150),VLOOKUP(AF1247,TPCalibEq150!$AZ$2:$BB$55,3,)))</f>
        <v>0</v>
      </c>
      <c r="AR1247" s="10" t="str">
        <f>IF(AND(I1247="TP",S1247&lt;=300),VLOOKUP(AF1247,TPCalibEq300!$AZ$2:$BB$55,3,),IF(AND(I1247="TDP",S1247&lt;=300),VLOOKUP(AF1247,TPCalibEq300!$AZ$2:$BB$55,3,)))</f>
        <v>y=-3.008x2+89.412x-44.125</v>
      </c>
      <c r="AS1247" s="10" t="str">
        <f>IF(AND(I1247="TP",S1247&lt;=500),VLOOKUP(AF1247,TPCalibEq500!$AZ$2:$BB$56,3,),IF(AND(I1247="TDP",S1247&lt;=500),VLOOKUP(AF1247,TPCalibEq500!$AZ$2:$BB$56,3,)))</f>
        <v>y=2.2125x2+32.759x-8.5751</v>
      </c>
      <c r="AT1247" s="10" t="b">
        <f>IF(AND(I1247="TN",S1247&lt;=2800),VLOOKUP(AF1247,TNCalibEq2500!$AZ$2:$BB$56,3,),IF(AND(I1247="TDN",S1247&lt;=2800),VLOOKUP(AF1247,TNCalibEq2500!$AZ$2:$BB$56,3,)))</f>
        <v>0</v>
      </c>
      <c r="AU1247" s="10" t="str">
        <f>IF(I1247="TP",VLOOKUP(AF1247,TPCalibEqFull!$AZ$2:$BB$56,3),IF(I1247="TDP",VLOOKUP(AF1247,TPCalibEqFull!$AZ$2:$BB$56,3),IF(I1247="TDN",VLOOKUP(AF1247,TNCalibEqFull!$AZ$1:$BB$56,3),IF(I1247="TN",VLOOKUP(AF1247,TNCalibEqFull!$AZ$1:$BB$56,3),FALSE))))</f>
        <v>y=0.5642x2+45.477x-20.207</v>
      </c>
      <c r="AV1247" s="10" t="str">
        <f t="shared" si="143"/>
        <v>0117 11:33:00-FVC-0-C-1-SW-UKN</v>
      </c>
    </row>
    <row r="1248" spans="1:48" s="10" customFormat="1" x14ac:dyDescent="0.55000000000000004">
      <c r="A1248" s="32">
        <v>44943</v>
      </c>
      <c r="B1248" s="33">
        <v>0.48125000000000001</v>
      </c>
      <c r="C1248" s="10" t="s">
        <v>613</v>
      </c>
      <c r="D1248" s="10">
        <v>0</v>
      </c>
      <c r="E1248" s="10" t="s">
        <v>190</v>
      </c>
      <c r="F1248" s="10">
        <v>2</v>
      </c>
      <c r="G1248" s="10" t="s">
        <v>231</v>
      </c>
      <c r="H1248" s="10" t="s">
        <v>322</v>
      </c>
      <c r="I1248" s="10" t="s">
        <v>83</v>
      </c>
      <c r="J1248" s="10">
        <v>24</v>
      </c>
      <c r="K1248" s="12">
        <v>44950</v>
      </c>
      <c r="L1248" s="33">
        <v>0.5758564814814815</v>
      </c>
      <c r="M1248" s="10">
        <v>1</v>
      </c>
      <c r="N1248" s="10" t="s">
        <v>84</v>
      </c>
      <c r="O1248" s="10">
        <v>6.2</v>
      </c>
      <c r="P1248" s="10">
        <v>0.44700000000000001</v>
      </c>
      <c r="Q1248" s="10">
        <v>309</v>
      </c>
      <c r="R1248" s="10" t="s">
        <v>85</v>
      </c>
      <c r="S1248" s="34">
        <f t="shared" si="139"/>
        <v>309</v>
      </c>
      <c r="T1248" s="10" t="s">
        <v>1087</v>
      </c>
      <c r="U1248" s="34" t="str">
        <f t="shared" si="140"/>
        <v/>
      </c>
      <c r="V1248" s="31" t="str">
        <f>IF(H1248="CHK",VLOOKUP(I1248,QCCHK,3,),IF(H1248="GUP",VLOOKUP(E1248,QCGUP,2,),IF(AND(H1248="ATP",OR(I1248="TN",I1248="TDN",I1248="TNO2-3",I1248="NO2-3")),VLOOKUP(E1248,QCREC_N,2,),IF(AND(H1248="NIC",OR(I1248="TN",I1248="TDN",I1248="TNO2-3",I1248="NO2-3")),VLOOKUP(E1248,QCNIC_N,2,),IF(AND(H1248="UREA",OR(I1248="TN",I1248="TDN",I1248="TNO2-3",I1248="NO2-3")),VLOOKUP(E1248,QCUREA_N,2,),IF(H1248="PER",VLOOKUP(I1248,QCPER,MATCH(E1248,QCACTUAL!$J$25:$AA$25,0),),IF(H1248="SPK",VLOOKUP(I1248,QCSPK,3,),IF(AND(H1248="ATP",OR(I1248="TP",I1248="TDP")),VLOOKUP(E1248,QCATP_P,2,),""))))))))</f>
        <v/>
      </c>
      <c r="W1248" s="31" t="str">
        <f t="shared" si="141"/>
        <v>TRUE</v>
      </c>
      <c r="X1248" s="31" t="str">
        <f t="shared" si="142"/>
        <v/>
      </c>
      <c r="Y1248" s="10" t="s">
        <v>1071</v>
      </c>
      <c r="Z1248" s="10" t="s">
        <v>910</v>
      </c>
      <c r="AF1248" s="12">
        <v>44950</v>
      </c>
      <c r="AI1248" s="10">
        <f>2.2125*6.2^2+32.759*6.2-8.5751</f>
        <v>279.57920000000001</v>
      </c>
      <c r="AK1248" s="10">
        <f>0.5642*6.2^2+45.477*6.2-20.207</f>
        <v>283.43824800000004</v>
      </c>
      <c r="AL1248" s="10" t="str">
        <f t="shared" si="137"/>
        <v>FALSE</v>
      </c>
      <c r="AM1248" s="10" t="str">
        <f t="shared" si="137"/>
        <v>FALSE</v>
      </c>
      <c r="AN1248" s="10" t="str">
        <f t="shared" si="137"/>
        <v>y=2.2125*6.2^2+32.759*6.2-8.5751</v>
      </c>
      <c r="AO1248" s="10" t="str">
        <f t="shared" si="138"/>
        <v>FALSE</v>
      </c>
      <c r="AP1248" s="10" t="str">
        <f t="shared" si="138"/>
        <v>y=0.5642*6.2^2+45.477*6.2-20.207</v>
      </c>
      <c r="AQ1248" s="10" t="b">
        <f>IF(AND(I1248="TP",S1248&lt;=150),VLOOKUP(AF1248,TPCalibEq150!$AZ$2:$BB$55,3,),IF(AND(I1248="TDP",S1248&lt;=150),VLOOKUP(AF1248,TPCalibEq150!$AZ$2:$BB$55,3,)))</f>
        <v>0</v>
      </c>
      <c r="AR1248" s="10" t="b">
        <f>IF(AND(I1248="TP",S1248&lt;=300),VLOOKUP(AF1248,TPCalibEq300!$AZ$2:$BB$55,3,),IF(AND(I1248="TDP",S1248&lt;=300),VLOOKUP(AF1248,TPCalibEq300!$AZ$2:$BB$55,3,)))</f>
        <v>0</v>
      </c>
      <c r="AS1248" s="10" t="str">
        <f>IF(AND(I1248="TP",S1248&lt;=500),VLOOKUP(AF1248,TPCalibEq500!$AZ$2:$BB$56,3,),IF(AND(I1248="TDP",S1248&lt;=500),VLOOKUP(AF1248,TPCalibEq500!$AZ$2:$BB$56,3,)))</f>
        <v>y=2.2125x2+32.759x-8.5751</v>
      </c>
      <c r="AT1248" s="10" t="b">
        <f>IF(AND(I1248="TN",S1248&lt;=2800),VLOOKUP(AF1248,TNCalibEq2500!$AZ$2:$BB$56,3,),IF(AND(I1248="TDN",S1248&lt;=2800),VLOOKUP(AF1248,TNCalibEq2500!$AZ$2:$BB$56,3,)))</f>
        <v>0</v>
      </c>
      <c r="AU1248" s="10" t="str">
        <f>IF(I1248="TP",VLOOKUP(AF1248,TPCalibEqFull!$AZ$2:$BB$56,3),IF(I1248="TDP",VLOOKUP(AF1248,TPCalibEqFull!$AZ$2:$BB$56,3),IF(I1248="TDN",VLOOKUP(AF1248,TNCalibEqFull!$AZ$1:$BB$56,3),IF(I1248="TN",VLOOKUP(AF1248,TNCalibEqFull!$AZ$1:$BB$56,3),FALSE))))</f>
        <v>y=0.5642x2+45.477x-20.207</v>
      </c>
      <c r="AV1248" s="10" t="str">
        <f t="shared" si="143"/>
        <v>0117 11:33:00-FVC-0-C-2-SW-UKN</v>
      </c>
    </row>
    <row r="1249" spans="1:48" s="10" customFormat="1" x14ac:dyDescent="0.55000000000000004">
      <c r="A1249" s="32">
        <v>44943</v>
      </c>
      <c r="B1249" s="33">
        <v>0.48125000000000001</v>
      </c>
      <c r="C1249" s="10" t="s">
        <v>613</v>
      </c>
      <c r="D1249" s="10">
        <v>0</v>
      </c>
      <c r="E1249" s="10" t="s">
        <v>190</v>
      </c>
      <c r="F1249" s="10">
        <v>2</v>
      </c>
      <c r="G1249" s="10" t="s">
        <v>231</v>
      </c>
      <c r="H1249" s="10" t="s">
        <v>233</v>
      </c>
      <c r="I1249" s="10" t="s">
        <v>83</v>
      </c>
      <c r="J1249" s="10">
        <v>24</v>
      </c>
      <c r="K1249" s="12">
        <v>44950</v>
      </c>
      <c r="L1249" s="33">
        <v>0.5765393518518519</v>
      </c>
      <c r="M1249" s="10">
        <v>1</v>
      </c>
      <c r="N1249" s="10" t="s">
        <v>84</v>
      </c>
      <c r="O1249" s="10">
        <v>6.21</v>
      </c>
      <c r="P1249" s="10">
        <v>0.44600000000000001</v>
      </c>
      <c r="Q1249" s="10">
        <v>309</v>
      </c>
      <c r="R1249" s="10" t="s">
        <v>85</v>
      </c>
      <c r="S1249" s="34">
        <f t="shared" si="139"/>
        <v>309</v>
      </c>
      <c r="T1249" s="10" t="s">
        <v>1087</v>
      </c>
      <c r="U1249" s="34">
        <f t="shared" si="140"/>
        <v>0</v>
      </c>
      <c r="V1249" s="31" t="str">
        <f>IF(H1249="CHK",VLOOKUP(I1249,QCCHK,3,),IF(H1249="GUP",VLOOKUP(E1249,QCGUP,2,),IF(AND(H1249="ATP",OR(I1249="TN",I1249="TDN",I1249="TNO2-3",I1249="NO2-3")),VLOOKUP(E1249,QCREC_N,2,),IF(AND(H1249="NIC",OR(I1249="TN",I1249="TDN",I1249="TNO2-3",I1249="NO2-3")),VLOOKUP(E1249,QCNIC_N,2,),IF(AND(H1249="UREA",OR(I1249="TN",I1249="TDN",I1249="TNO2-3",I1249="NO2-3")),VLOOKUP(E1249,QCUREA_N,2,),IF(H1249="PER",VLOOKUP(I1249,QCPER,MATCH(E1249,QCACTUAL!$J$25:$AA$25,0),),IF(H1249="SPK",VLOOKUP(I1249,QCSPK,3,),IF(AND(H1249="ATP",OR(I1249="TP",I1249="TDP")),VLOOKUP(E1249,QCATP_P,2,),""))))))))</f>
        <v/>
      </c>
      <c r="W1249" s="31" t="str">
        <f t="shared" si="141"/>
        <v>TRUE</v>
      </c>
      <c r="X1249" s="31" t="str">
        <f t="shared" si="142"/>
        <v>((ABS(rep1-rep2))/((rep1+rep2)/2)*100</v>
      </c>
      <c r="Y1249" s="10" t="s">
        <v>1071</v>
      </c>
      <c r="Z1249" s="10" t="s">
        <v>910</v>
      </c>
      <c r="AF1249" s="12">
        <v>44950</v>
      </c>
      <c r="AI1249" s="10">
        <f>2.2125*6.21^2+32.759*6.21-8.5751</f>
        <v>280.18136124999995</v>
      </c>
      <c r="AK1249" s="10">
        <f>0.5642*6.21^2+45.477*6.21-20.207</f>
        <v>283.96303521999999</v>
      </c>
      <c r="AL1249" s="10" t="str">
        <f t="shared" si="137"/>
        <v>FALSE</v>
      </c>
      <c r="AM1249" s="10" t="str">
        <f t="shared" si="137"/>
        <v>FALSE</v>
      </c>
      <c r="AN1249" s="10" t="str">
        <f t="shared" si="137"/>
        <v>y=2.2125*6.21^2+32.759*6.21-8.5751</v>
      </c>
      <c r="AO1249" s="10" t="str">
        <f t="shared" si="138"/>
        <v>FALSE</v>
      </c>
      <c r="AP1249" s="10" t="str">
        <f t="shared" si="138"/>
        <v>y=0.5642*6.21^2+45.477*6.21-20.207</v>
      </c>
      <c r="AQ1249" s="10" t="b">
        <f>IF(AND(I1249="TP",S1249&lt;=150),VLOOKUP(AF1249,TPCalibEq150!$AZ$2:$BB$55,3,),IF(AND(I1249="TDP",S1249&lt;=150),VLOOKUP(AF1249,TPCalibEq150!$AZ$2:$BB$55,3,)))</f>
        <v>0</v>
      </c>
      <c r="AR1249" s="10" t="b">
        <f>IF(AND(I1249="TP",S1249&lt;=300),VLOOKUP(AF1249,TPCalibEq300!$AZ$2:$BB$55,3,),IF(AND(I1249="TDP",S1249&lt;=300),VLOOKUP(AF1249,TPCalibEq300!$AZ$2:$BB$55,3,)))</f>
        <v>0</v>
      </c>
      <c r="AS1249" s="10" t="str">
        <f>IF(AND(I1249="TP",S1249&lt;=500),VLOOKUP(AF1249,TPCalibEq500!$AZ$2:$BB$56,3,),IF(AND(I1249="TDP",S1249&lt;=500),VLOOKUP(AF1249,TPCalibEq500!$AZ$2:$BB$56,3,)))</f>
        <v>y=2.2125x2+32.759x-8.5751</v>
      </c>
      <c r="AT1249" s="10" t="b">
        <f>IF(AND(I1249="TN",S1249&lt;=2800),VLOOKUP(AF1249,TNCalibEq2500!$AZ$2:$BB$56,3,),IF(AND(I1249="TDN",S1249&lt;=2800),VLOOKUP(AF1249,TNCalibEq2500!$AZ$2:$BB$56,3,)))</f>
        <v>0</v>
      </c>
      <c r="AU1249" s="10" t="str">
        <f>IF(I1249="TP",VLOOKUP(AF1249,TPCalibEqFull!$AZ$2:$BB$56,3),IF(I1249="TDP",VLOOKUP(AF1249,TPCalibEqFull!$AZ$2:$BB$56,3),IF(I1249="TDN",VLOOKUP(AF1249,TNCalibEqFull!$AZ$1:$BB$56,3),IF(I1249="TN",VLOOKUP(AF1249,TNCalibEqFull!$AZ$1:$BB$56,3),FALSE))))</f>
        <v>y=0.5642x2+45.477x-20.207</v>
      </c>
      <c r="AV1249" s="10" t="str">
        <f t="shared" si="143"/>
        <v>0117 11:33:00-FVC-0-C-2-SW-DUP</v>
      </c>
    </row>
    <row r="1250" spans="1:48" s="10" customFormat="1" x14ac:dyDescent="0.55000000000000004">
      <c r="A1250" s="32">
        <v>44943</v>
      </c>
      <c r="B1250" s="33">
        <v>0.48125000000000001</v>
      </c>
      <c r="C1250" s="10" t="s">
        <v>613</v>
      </c>
      <c r="D1250" s="10">
        <v>0</v>
      </c>
      <c r="E1250" s="10" t="s">
        <v>190</v>
      </c>
      <c r="F1250" s="10">
        <v>2</v>
      </c>
      <c r="G1250" s="10" t="s">
        <v>231</v>
      </c>
      <c r="H1250" s="10" t="s">
        <v>314</v>
      </c>
      <c r="I1250" s="10" t="s">
        <v>83</v>
      </c>
      <c r="J1250" s="10">
        <v>58</v>
      </c>
      <c r="K1250" s="12">
        <v>44950</v>
      </c>
      <c r="L1250" s="33">
        <v>0.57723379629629623</v>
      </c>
      <c r="M1250" s="10">
        <v>1</v>
      </c>
      <c r="N1250" s="10" t="s">
        <v>84</v>
      </c>
      <c r="O1250" s="10">
        <v>20.8</v>
      </c>
      <c r="P1250" s="10">
        <v>1.46</v>
      </c>
      <c r="Q1250" s="10">
        <v>1190</v>
      </c>
      <c r="R1250" s="10" t="s">
        <v>85</v>
      </c>
      <c r="S1250" s="34">
        <f t="shared" si="139"/>
        <v>1190</v>
      </c>
      <c r="T1250" s="10" t="s">
        <v>1087</v>
      </c>
      <c r="U1250" s="34">
        <f t="shared" si="140"/>
        <v>88.1</v>
      </c>
      <c r="V1250" s="31">
        <f>IF(H1250="CHK",VLOOKUP(I1250,QCCHK,3,),IF(H1250="GUP",VLOOKUP(E1250,QCGUP,2,),IF(AND(H1250="ATP",OR(I1250="TN",I1250="TDN",I1250="TNO2-3",I1250="NO2-3")),VLOOKUP(E1250,QCREC_N,2,),IF(AND(H1250="NIC",OR(I1250="TN",I1250="TDN",I1250="TNO2-3",I1250="NO2-3")),VLOOKUP(E1250,QCNIC_N,2,),IF(AND(H1250="UREA",OR(I1250="TN",I1250="TDN",I1250="TNO2-3",I1250="NO2-3")),VLOOKUP(E1250,QCUREA_N,2,),IF(H1250="PER",VLOOKUP(I1250,QCPER,MATCH(E1250,QCACTUAL!$J$25:$AA$25,0),),IF(H1250="SPK",VLOOKUP(I1250,QCSPK,3,),IF(AND(H1250="ATP",OR(I1250="TP",I1250="TDP")),VLOOKUP(E1250,QCATP_P,2,),""))))))))</f>
        <v>1000</v>
      </c>
      <c r="W1250" s="31" t="str">
        <f t="shared" si="141"/>
        <v>TRUE</v>
      </c>
      <c r="X1250" s="31" t="str">
        <f t="shared" si="142"/>
        <v>([spikedunkn]-[unkn])/[spike]*100</v>
      </c>
      <c r="Y1250" s="10" t="s">
        <v>1071</v>
      </c>
      <c r="Z1250" s="10" t="s">
        <v>910</v>
      </c>
      <c r="AF1250" s="12">
        <v>44950</v>
      </c>
      <c r="AK1250" s="10">
        <f>0.5642*20.8^2+45.477*20.8-20.207</f>
        <v>1169.810088</v>
      </c>
      <c r="AL1250" s="10" t="str">
        <f t="shared" si="137"/>
        <v>FALSE</v>
      </c>
      <c r="AM1250" s="10" t="str">
        <f t="shared" si="137"/>
        <v>FALSE</v>
      </c>
      <c r="AN1250" s="10" t="str">
        <f t="shared" si="137"/>
        <v>FALSE</v>
      </c>
      <c r="AO1250" s="10" t="str">
        <f t="shared" si="138"/>
        <v>FALSE</v>
      </c>
      <c r="AP1250" s="10" t="str">
        <f t="shared" si="138"/>
        <v>y=0.5642*20.8^2+45.477*20.8-20.207</v>
      </c>
      <c r="AQ1250" s="10" t="b">
        <f>IF(AND(I1250="TP",S1250&lt;=150),VLOOKUP(AF1250,TPCalibEq150!$AZ$2:$BB$55,3,),IF(AND(I1250="TDP",S1250&lt;=150),VLOOKUP(AF1250,TPCalibEq150!$AZ$2:$BB$55,3,)))</f>
        <v>0</v>
      </c>
      <c r="AR1250" s="10" t="b">
        <f>IF(AND(I1250="TP",S1250&lt;=300),VLOOKUP(AF1250,TPCalibEq300!$AZ$2:$BB$55,3,),IF(AND(I1250="TDP",S1250&lt;=300),VLOOKUP(AF1250,TPCalibEq300!$AZ$2:$BB$55,3,)))</f>
        <v>0</v>
      </c>
      <c r="AS1250" s="10" t="b">
        <f>IF(AND(I1250="TP",S1250&lt;=500),VLOOKUP(AF1250,TPCalibEq500!$AZ$2:$BB$56,3,),IF(AND(I1250="TDP",S1250&lt;=500),VLOOKUP(AF1250,TPCalibEq500!$AZ$2:$BB$56,3,)))</f>
        <v>0</v>
      </c>
      <c r="AT1250" s="10" t="b">
        <f>IF(AND(I1250="TN",S1250&lt;=2800),VLOOKUP(AF1250,TNCalibEq2500!$AZ$2:$BB$56,3,),IF(AND(I1250="TDN",S1250&lt;=2800),VLOOKUP(AF1250,TNCalibEq2500!$AZ$2:$BB$56,3,)))</f>
        <v>0</v>
      </c>
      <c r="AU1250" s="10" t="str">
        <f>IF(I1250="TP",VLOOKUP(AF1250,TPCalibEqFull!$AZ$2:$BB$56,3),IF(I1250="TDP",VLOOKUP(AF1250,TPCalibEqFull!$AZ$2:$BB$56,3),IF(I1250="TDN",VLOOKUP(AF1250,TNCalibEqFull!$AZ$1:$BB$56,3),IF(I1250="TN",VLOOKUP(AF1250,TNCalibEqFull!$AZ$1:$BB$56,3),FALSE))))</f>
        <v>y=0.5642x2+45.477x-20.207</v>
      </c>
      <c r="AV1250" s="10" t="str">
        <f t="shared" si="143"/>
        <v>0117 11:33:00-FVC-0-C-2-SW-SPK</v>
      </c>
    </row>
    <row r="1251" spans="1:48" s="10" customFormat="1" x14ac:dyDescent="0.55000000000000004">
      <c r="A1251" s="32">
        <v>44950</v>
      </c>
      <c r="B1251" s="33">
        <v>0.375</v>
      </c>
      <c r="C1251" s="10" t="s">
        <v>70</v>
      </c>
      <c r="D1251" s="10" t="s">
        <v>71</v>
      </c>
      <c r="E1251" s="10" t="s">
        <v>901</v>
      </c>
      <c r="F1251" s="10">
        <v>1</v>
      </c>
      <c r="G1251" s="10" t="s">
        <v>73</v>
      </c>
      <c r="H1251" s="10" t="s">
        <v>207</v>
      </c>
      <c r="I1251" s="10" t="s">
        <v>83</v>
      </c>
      <c r="J1251" s="10">
        <v>199</v>
      </c>
      <c r="K1251" s="12">
        <v>44950</v>
      </c>
      <c r="L1251" s="33">
        <v>0.57793981481481482</v>
      </c>
      <c r="M1251" s="10">
        <v>1</v>
      </c>
      <c r="N1251" s="10" t="s">
        <v>84</v>
      </c>
      <c r="O1251" s="10">
        <v>10.1</v>
      </c>
      <c r="P1251" s="10">
        <v>0.72099999999999997</v>
      </c>
      <c r="Q1251" s="10">
        <v>526</v>
      </c>
      <c r="R1251" s="10" t="s">
        <v>85</v>
      </c>
      <c r="S1251" s="34">
        <f t="shared" si="139"/>
        <v>526</v>
      </c>
      <c r="T1251" s="10" t="s">
        <v>1087</v>
      </c>
      <c r="U1251" s="34">
        <f t="shared" si="140"/>
        <v>105.2</v>
      </c>
      <c r="V1251" s="31">
        <f>IF(H1251="CHK",VLOOKUP(I1251,QCCHK,3,),IF(H1251="GUP",VLOOKUP(E1251,QCGUP,2,),IF(AND(H1251="ATP",OR(I1251="TN",I1251="TDN",I1251="TNO2-3",I1251="NO2-3")),VLOOKUP(E1251,QCREC_N,2,),IF(AND(H1251="NIC",OR(I1251="TN",I1251="TDN",I1251="TNO2-3",I1251="NO2-3")),VLOOKUP(E1251,QCNIC_N,2,),IF(AND(H1251="UREA",OR(I1251="TN",I1251="TDN",I1251="TNO2-3",I1251="NO2-3")),VLOOKUP(E1251,QCUREA_N,2,),IF(H1251="PER",VLOOKUP(I1251,QCPER,MATCH(E1251,QCACTUAL!$J$25:$AA$25,0),),IF(H1251="SPK",VLOOKUP(I1251,QCSPK,3,),IF(AND(H1251="ATP",OR(I1251="TP",I1251="TDP")),VLOOKUP(E1251,QCATP_P,2,),""))))))))</f>
        <v>500</v>
      </c>
      <c r="W1251" s="31" t="str">
        <f t="shared" si="141"/>
        <v>TRUE</v>
      </c>
      <c r="X1251" s="31" t="str">
        <f t="shared" si="142"/>
        <v>[chk]/[actual]*100</v>
      </c>
      <c r="Y1251" s="10" t="s">
        <v>1071</v>
      </c>
      <c r="AF1251" s="12">
        <v>44950</v>
      </c>
      <c r="AK1251" s="10">
        <f>0.5642*10.1^2+45.477*10.1-20.207</f>
        <v>496.66474199999993</v>
      </c>
      <c r="AL1251" s="10" t="str">
        <f t="shared" si="137"/>
        <v>FALSE</v>
      </c>
      <c r="AM1251" s="10" t="str">
        <f t="shared" si="137"/>
        <v>FALSE</v>
      </c>
      <c r="AN1251" s="10" t="str">
        <f t="shared" si="137"/>
        <v>FALSE</v>
      </c>
      <c r="AO1251" s="10" t="str">
        <f t="shared" si="138"/>
        <v>FALSE</v>
      </c>
      <c r="AP1251" s="10" t="str">
        <f t="shared" si="138"/>
        <v>y=0.5642*10.1^2+45.477*10.1-20.207</v>
      </c>
      <c r="AQ1251" s="10" t="b">
        <f>IF(AND(I1251="TP",S1251&lt;=150),VLOOKUP(AF1251,TPCalibEq150!$AZ$2:$BB$55,3,),IF(AND(I1251="TDP",S1251&lt;=150),VLOOKUP(AF1251,TPCalibEq150!$AZ$2:$BB$55,3,)))</f>
        <v>0</v>
      </c>
      <c r="AR1251" s="10" t="b">
        <f>IF(AND(I1251="TP",S1251&lt;=300),VLOOKUP(AF1251,TPCalibEq300!$AZ$2:$BB$55,3,),IF(AND(I1251="TDP",S1251&lt;=300),VLOOKUP(AF1251,TPCalibEq300!$AZ$2:$BB$55,3,)))</f>
        <v>0</v>
      </c>
      <c r="AS1251" s="10" t="b">
        <f>IF(AND(I1251="TP",S1251&lt;=500),VLOOKUP(AF1251,TPCalibEq500!$AZ$2:$BB$56,3,),IF(AND(I1251="TDP",S1251&lt;=500),VLOOKUP(AF1251,TPCalibEq500!$AZ$2:$BB$56,3,)))</f>
        <v>0</v>
      </c>
      <c r="AT1251" s="10" t="b">
        <f>IF(AND(I1251="TN",S1251&lt;=2800),VLOOKUP(AF1251,TNCalibEq2500!$AZ$2:$BB$56,3,),IF(AND(I1251="TDN",S1251&lt;=2800),VLOOKUP(AF1251,TNCalibEq2500!$AZ$2:$BB$56,3,)))</f>
        <v>0</v>
      </c>
      <c r="AU1251" s="10" t="str">
        <f>IF(I1251="TP",VLOOKUP(AF1251,TPCalibEqFull!$AZ$2:$BB$56,3),IF(I1251="TDP",VLOOKUP(AF1251,TPCalibEqFull!$AZ$2:$BB$56,3),IF(I1251="TDN",VLOOKUP(AF1251,TNCalibEqFull!$AZ$1:$BB$56,3),IF(I1251="TN",VLOOKUP(AF1251,TNCalibEqFull!$AZ$1:$BB$56,3),FALSE))))</f>
        <v>y=0.5642x2+45.477x-20.207</v>
      </c>
      <c r="AV1251" s="10" t="str">
        <f t="shared" si="143"/>
        <v>0124 09:00:00-QAC-STD-D-1-DI-CHK</v>
      </c>
    </row>
    <row r="1252" spans="1:48" s="10" customFormat="1" x14ac:dyDescent="0.55000000000000004">
      <c r="A1252" s="32">
        <v>44943</v>
      </c>
      <c r="B1252" s="33">
        <v>0.48888888888888887</v>
      </c>
      <c r="C1252" s="10" t="s">
        <v>250</v>
      </c>
      <c r="D1252" s="10">
        <v>0</v>
      </c>
      <c r="E1252" s="10" t="s">
        <v>190</v>
      </c>
      <c r="F1252" s="10">
        <v>1</v>
      </c>
      <c r="G1252" s="10" t="s">
        <v>231</v>
      </c>
      <c r="H1252" s="10" t="s">
        <v>322</v>
      </c>
      <c r="I1252" s="10" t="s">
        <v>83</v>
      </c>
      <c r="J1252" s="10">
        <v>25</v>
      </c>
      <c r="K1252" s="12">
        <v>44950</v>
      </c>
      <c r="L1252" s="33">
        <v>0.57862268518518511</v>
      </c>
      <c r="M1252" s="10">
        <v>1</v>
      </c>
      <c r="N1252" s="10" t="s">
        <v>84</v>
      </c>
      <c r="O1252" s="10">
        <v>2.97</v>
      </c>
      <c r="P1252" s="10">
        <v>0.21</v>
      </c>
      <c r="Q1252" s="10">
        <v>141</v>
      </c>
      <c r="R1252" s="10" t="s">
        <v>85</v>
      </c>
      <c r="S1252" s="34">
        <f t="shared" si="139"/>
        <v>194.89537280000002</v>
      </c>
      <c r="T1252" s="10" t="s">
        <v>1087</v>
      </c>
      <c r="U1252" s="34" t="str">
        <f t="shared" si="140"/>
        <v/>
      </c>
      <c r="V1252" s="31" t="str">
        <f>IF(H1252="CHK",VLOOKUP(I1252,QCCHK,3,),IF(H1252="GUP",VLOOKUP(E1252,QCGUP,2,),IF(AND(H1252="ATP",OR(I1252="TN",I1252="TDN",I1252="TNO2-3",I1252="NO2-3")),VLOOKUP(E1252,QCREC_N,2,),IF(AND(H1252="NIC",OR(I1252="TN",I1252="TDN",I1252="TNO2-3",I1252="NO2-3")),VLOOKUP(E1252,QCNIC_N,2,),IF(AND(H1252="UREA",OR(I1252="TN",I1252="TDN",I1252="TNO2-3",I1252="NO2-3")),VLOOKUP(E1252,QCUREA_N,2,),IF(H1252="PER",VLOOKUP(I1252,QCPER,MATCH(E1252,QCACTUAL!$J$25:$AA$25,0),),IF(H1252="SPK",VLOOKUP(I1252,QCSPK,3,),IF(AND(H1252="ATP",OR(I1252="TP",I1252="TDP")),VLOOKUP(E1252,QCATP_P,2,),""))))))))</f>
        <v/>
      </c>
      <c r="W1252" s="31" t="str">
        <f t="shared" si="141"/>
        <v>TRUE</v>
      </c>
      <c r="X1252" s="31" t="str">
        <f t="shared" si="142"/>
        <v/>
      </c>
      <c r="Y1252" s="10" t="s">
        <v>1071</v>
      </c>
      <c r="Z1252" s="10" t="s">
        <v>910</v>
      </c>
      <c r="AF1252" s="12">
        <v>44950</v>
      </c>
      <c r="AG1252" s="10">
        <f>-5.8068*2.97^2+97.248*2.97-48.038</f>
        <v>189.56735788000003</v>
      </c>
      <c r="AH1252" s="10">
        <f>-3.008*2.97^2+89.412*2.97-44.125</f>
        <v>194.89537280000002</v>
      </c>
      <c r="AI1252" s="10">
        <f>2.2125*2.97^2+32.759*2.97-8.5751</f>
        <v>108.23537125000001</v>
      </c>
      <c r="AK1252" s="10">
        <f>0.5642*2.97^2+45.477*2.97-20.207</f>
        <v>119.83644178</v>
      </c>
      <c r="AL1252" s="10" t="str">
        <f t="shared" si="137"/>
        <v>FALSE</v>
      </c>
      <c r="AM1252" s="10" t="str">
        <f t="shared" si="137"/>
        <v>y=-3.008*2.97^2+89.412*2.97-44.125</v>
      </c>
      <c r="AN1252" s="10" t="str">
        <f t="shared" si="137"/>
        <v>y=2.2125*2.97^2+32.759*2.97-8.5751</v>
      </c>
      <c r="AO1252" s="10" t="str">
        <f t="shared" si="138"/>
        <v>FALSE</v>
      </c>
      <c r="AP1252" s="10" t="str">
        <f t="shared" si="138"/>
        <v>y=0.5642*2.97^2+45.477*2.97-20.207</v>
      </c>
      <c r="AQ1252" s="10" t="b">
        <f>IF(AND(I1252="TP",S1252&lt;=150),VLOOKUP(AF1252,TPCalibEq150!$AZ$2:$BB$55,3,),IF(AND(I1252="TDP",S1252&lt;=150),VLOOKUP(AF1252,TPCalibEq150!$AZ$2:$BB$55,3,)))</f>
        <v>0</v>
      </c>
      <c r="AR1252" s="10" t="str">
        <f>IF(AND(I1252="TP",S1252&lt;=300),VLOOKUP(AF1252,TPCalibEq300!$AZ$2:$BB$55,3,),IF(AND(I1252="TDP",S1252&lt;=300),VLOOKUP(AF1252,TPCalibEq300!$AZ$2:$BB$55,3,)))</f>
        <v>y=-3.008x2+89.412x-44.125</v>
      </c>
      <c r="AS1252" s="10" t="str">
        <f>IF(AND(I1252="TP",S1252&lt;=500),VLOOKUP(AF1252,TPCalibEq500!$AZ$2:$BB$56,3,),IF(AND(I1252="TDP",S1252&lt;=500),VLOOKUP(AF1252,TPCalibEq500!$AZ$2:$BB$56,3,)))</f>
        <v>y=2.2125x2+32.759x-8.5751</v>
      </c>
      <c r="AT1252" s="10" t="b">
        <f>IF(AND(I1252="TN",S1252&lt;=2800),VLOOKUP(AF1252,TNCalibEq2500!$AZ$2:$BB$56,3,),IF(AND(I1252="TDN",S1252&lt;=2800),VLOOKUP(AF1252,TNCalibEq2500!$AZ$2:$BB$56,3,)))</f>
        <v>0</v>
      </c>
      <c r="AU1252" s="10" t="str">
        <f>IF(I1252="TP",VLOOKUP(AF1252,TPCalibEqFull!$AZ$2:$BB$56,3),IF(I1252="TDP",VLOOKUP(AF1252,TPCalibEqFull!$AZ$2:$BB$56,3),IF(I1252="TDN",VLOOKUP(AF1252,TNCalibEqFull!$AZ$1:$BB$56,3),IF(I1252="TN",VLOOKUP(AF1252,TNCalibEqFull!$AZ$1:$BB$56,3),FALSE))))</f>
        <v>y=0.5642x2+45.477x-20.207</v>
      </c>
      <c r="AV1252" s="10" t="str">
        <f t="shared" si="143"/>
        <v>0117 11:44:00-EFB-0-C-1-SW-UKN</v>
      </c>
    </row>
    <row r="1253" spans="1:48" s="10" customFormat="1" x14ac:dyDescent="0.55000000000000004">
      <c r="A1253" s="32">
        <v>44943</v>
      </c>
      <c r="B1253" s="33">
        <v>0.49791666666666662</v>
      </c>
      <c r="C1253" s="10" t="s">
        <v>326</v>
      </c>
      <c r="D1253" s="10">
        <v>0</v>
      </c>
      <c r="E1253" s="10" t="s">
        <v>190</v>
      </c>
      <c r="F1253" s="10">
        <v>1</v>
      </c>
      <c r="G1253" s="10" t="s">
        <v>231</v>
      </c>
      <c r="H1253" s="10" t="s">
        <v>322</v>
      </c>
      <c r="I1253" s="10" t="s">
        <v>83</v>
      </c>
      <c r="J1253" s="10">
        <v>26</v>
      </c>
      <c r="K1253" s="12">
        <v>44950</v>
      </c>
      <c r="L1253" s="33">
        <v>0.57931712962962967</v>
      </c>
      <c r="M1253" s="10">
        <v>1</v>
      </c>
      <c r="N1253" s="10" t="s">
        <v>84</v>
      </c>
      <c r="O1253" s="10">
        <v>3.11</v>
      </c>
      <c r="P1253" s="10">
        <v>0.221</v>
      </c>
      <c r="Q1253" s="10">
        <v>148</v>
      </c>
      <c r="R1253" s="10" t="s">
        <v>85</v>
      </c>
      <c r="S1253" s="34">
        <f t="shared" si="139"/>
        <v>204.85264320000002</v>
      </c>
      <c r="T1253" s="10" t="s">
        <v>1087</v>
      </c>
      <c r="U1253" s="34" t="str">
        <f t="shared" si="140"/>
        <v/>
      </c>
      <c r="V1253" s="31" t="str">
        <f>IF(H1253="CHK",VLOOKUP(I1253,QCCHK,3,),IF(H1253="GUP",VLOOKUP(E1253,QCGUP,2,),IF(AND(H1253="ATP",OR(I1253="TN",I1253="TDN",I1253="TNO2-3",I1253="NO2-3")),VLOOKUP(E1253,QCREC_N,2,),IF(AND(H1253="NIC",OR(I1253="TN",I1253="TDN",I1253="TNO2-3",I1253="NO2-3")),VLOOKUP(E1253,QCNIC_N,2,),IF(AND(H1253="UREA",OR(I1253="TN",I1253="TDN",I1253="TNO2-3",I1253="NO2-3")),VLOOKUP(E1253,QCUREA_N,2,),IF(H1253="PER",VLOOKUP(I1253,QCPER,MATCH(E1253,QCACTUAL!$J$25:$AA$25,0),),IF(H1253="SPK",VLOOKUP(I1253,QCSPK,3,),IF(AND(H1253="ATP",OR(I1253="TP",I1253="TDP")),VLOOKUP(E1253,QCATP_P,2,),""))))))))</f>
        <v/>
      </c>
      <c r="W1253" s="31" t="str">
        <f t="shared" si="141"/>
        <v>TRUE</v>
      </c>
      <c r="X1253" s="31" t="str">
        <f t="shared" si="142"/>
        <v/>
      </c>
      <c r="Y1253" s="10" t="s">
        <v>1071</v>
      </c>
      <c r="Z1253" s="10" t="s">
        <v>910</v>
      </c>
      <c r="AF1253" s="12">
        <v>44950</v>
      </c>
      <c r="AG1253" s="10">
        <f>-5.8068*3.11^2+97.248*3.11-48.038</f>
        <v>198.23932972</v>
      </c>
      <c r="AH1253" s="10">
        <f>-3.008*3.11^2+89.412*3.11-44.125</f>
        <v>204.85264320000002</v>
      </c>
      <c r="AI1253" s="10">
        <f>2.2125*3.11^2+32.759*3.11-8.5751</f>
        <v>114.70491124999998</v>
      </c>
      <c r="AK1253" s="10">
        <f>0.5642*3.11^2+45.477*3.11-20.207</f>
        <v>126.68346881999997</v>
      </c>
      <c r="AL1253" s="10" t="str">
        <f t="shared" si="137"/>
        <v>FALSE</v>
      </c>
      <c r="AM1253" s="10" t="str">
        <f t="shared" si="137"/>
        <v>y=-3.008*3.11^2+89.412*3.11-44.125</v>
      </c>
      <c r="AN1253" s="10" t="str">
        <f t="shared" si="137"/>
        <v>y=2.2125*3.11^2+32.759*3.11-8.5751</v>
      </c>
      <c r="AO1253" s="10" t="str">
        <f t="shared" si="138"/>
        <v>FALSE</v>
      </c>
      <c r="AP1253" s="10" t="str">
        <f t="shared" si="138"/>
        <v>y=0.5642*3.11^2+45.477*3.11-20.207</v>
      </c>
      <c r="AQ1253" s="10" t="b">
        <f>IF(AND(I1253="TP",S1253&lt;=150),VLOOKUP(AF1253,TPCalibEq150!$AZ$2:$BB$55,3,),IF(AND(I1253="TDP",S1253&lt;=150),VLOOKUP(AF1253,TPCalibEq150!$AZ$2:$BB$55,3,)))</f>
        <v>0</v>
      </c>
      <c r="AR1253" s="10" t="str">
        <f>IF(AND(I1253="TP",S1253&lt;=300),VLOOKUP(AF1253,TPCalibEq300!$AZ$2:$BB$55,3,),IF(AND(I1253="TDP",S1253&lt;=300),VLOOKUP(AF1253,TPCalibEq300!$AZ$2:$BB$55,3,)))</f>
        <v>y=-3.008x2+89.412x-44.125</v>
      </c>
      <c r="AS1253" s="10" t="str">
        <f>IF(AND(I1253="TP",S1253&lt;=500),VLOOKUP(AF1253,TPCalibEq500!$AZ$2:$BB$56,3,),IF(AND(I1253="TDP",S1253&lt;=500),VLOOKUP(AF1253,TPCalibEq500!$AZ$2:$BB$56,3,)))</f>
        <v>y=2.2125x2+32.759x-8.5751</v>
      </c>
      <c r="AT1253" s="10" t="b">
        <f>IF(AND(I1253="TN",S1253&lt;=2800),VLOOKUP(AF1253,TNCalibEq2500!$AZ$2:$BB$56,3,),IF(AND(I1253="TDN",S1253&lt;=2800),VLOOKUP(AF1253,TNCalibEq2500!$AZ$2:$BB$56,3,)))</f>
        <v>0</v>
      </c>
      <c r="AU1253" s="10" t="str">
        <f>IF(I1253="TP",VLOOKUP(AF1253,TPCalibEqFull!$AZ$2:$BB$56,3),IF(I1253="TDP",VLOOKUP(AF1253,TPCalibEqFull!$AZ$2:$BB$56,3),IF(I1253="TDN",VLOOKUP(AF1253,TNCalibEqFull!$AZ$1:$BB$56,3),IF(I1253="TN",VLOOKUP(AF1253,TNCalibEqFull!$AZ$1:$BB$56,3),FALSE))))</f>
        <v>y=0.5642x2+45.477x-20.207</v>
      </c>
      <c r="AV1253" s="10" t="str">
        <f t="shared" si="143"/>
        <v>0117 11:57:00-GRR-0-C-1-SW-UKN</v>
      </c>
    </row>
    <row r="1254" spans="1:48" s="10" customFormat="1" x14ac:dyDescent="0.55000000000000004">
      <c r="A1254" s="32">
        <v>44943</v>
      </c>
      <c r="B1254" s="33">
        <v>0.50763888888888886</v>
      </c>
      <c r="C1254" s="10" t="s">
        <v>416</v>
      </c>
      <c r="D1254" s="10">
        <v>0</v>
      </c>
      <c r="E1254" s="10" t="s">
        <v>190</v>
      </c>
      <c r="F1254" s="10">
        <v>1</v>
      </c>
      <c r="G1254" s="10" t="s">
        <v>231</v>
      </c>
      <c r="H1254" s="10" t="s">
        <v>322</v>
      </c>
      <c r="I1254" s="10" t="s">
        <v>83</v>
      </c>
      <c r="J1254" s="10">
        <v>27</v>
      </c>
      <c r="K1254" s="12">
        <v>44950</v>
      </c>
      <c r="L1254" s="33">
        <v>0.58001157407407411</v>
      </c>
      <c r="M1254" s="10">
        <v>1</v>
      </c>
      <c r="N1254" s="10" t="s">
        <v>84</v>
      </c>
      <c r="O1254" s="10">
        <v>7.7</v>
      </c>
      <c r="P1254" s="10">
        <v>0.55500000000000005</v>
      </c>
      <c r="Q1254" s="10">
        <v>390</v>
      </c>
      <c r="R1254" s="10" t="s">
        <v>85</v>
      </c>
      <c r="S1254" s="34">
        <f t="shared" si="139"/>
        <v>390</v>
      </c>
      <c r="T1254" s="10" t="s">
        <v>1087</v>
      </c>
      <c r="U1254" s="34" t="str">
        <f t="shared" si="140"/>
        <v/>
      </c>
      <c r="V1254" s="31" t="str">
        <f>IF(H1254="CHK",VLOOKUP(I1254,QCCHK,3,),IF(H1254="GUP",VLOOKUP(E1254,QCGUP,2,),IF(AND(H1254="ATP",OR(I1254="TN",I1254="TDN",I1254="TNO2-3",I1254="NO2-3")),VLOOKUP(E1254,QCREC_N,2,),IF(AND(H1254="NIC",OR(I1254="TN",I1254="TDN",I1254="TNO2-3",I1254="NO2-3")),VLOOKUP(E1254,QCNIC_N,2,),IF(AND(H1254="UREA",OR(I1254="TN",I1254="TDN",I1254="TNO2-3",I1254="NO2-3")),VLOOKUP(E1254,QCUREA_N,2,),IF(H1254="PER",VLOOKUP(I1254,QCPER,MATCH(E1254,QCACTUAL!$J$25:$AA$25,0),),IF(H1254="SPK",VLOOKUP(I1254,QCSPK,3,),IF(AND(H1254="ATP",OR(I1254="TP",I1254="TDP")),VLOOKUP(E1254,QCATP_P,2,),""))))))))</f>
        <v/>
      </c>
      <c r="W1254" s="31" t="str">
        <f t="shared" si="141"/>
        <v>TRUE</v>
      </c>
      <c r="X1254" s="31" t="str">
        <f t="shared" si="142"/>
        <v/>
      </c>
      <c r="Y1254" s="10" t="s">
        <v>1071</v>
      </c>
      <c r="Z1254" s="10" t="s">
        <v>910</v>
      </c>
      <c r="AF1254" s="12">
        <v>44950</v>
      </c>
      <c r="AI1254" s="10">
        <f>2.2125*7.7^2+32.759*7.7-8.5751</f>
        <v>374.84832499999999</v>
      </c>
      <c r="AK1254" s="10">
        <f>0.5642*7.7^2+45.477*7.7-20.207</f>
        <v>363.41731799999997</v>
      </c>
      <c r="AL1254" s="10" t="str">
        <f t="shared" si="137"/>
        <v>FALSE</v>
      </c>
      <c r="AM1254" s="10" t="str">
        <f t="shared" si="137"/>
        <v>FALSE</v>
      </c>
      <c r="AN1254" s="10" t="str">
        <f t="shared" si="137"/>
        <v>y=2.2125*7.7^2+32.759*7.7-8.5751</v>
      </c>
      <c r="AO1254" s="10" t="str">
        <f t="shared" si="138"/>
        <v>FALSE</v>
      </c>
      <c r="AP1254" s="10" t="str">
        <f t="shared" si="138"/>
        <v>y=0.5642*7.7^2+45.477*7.7-20.207</v>
      </c>
      <c r="AQ1254" s="10" t="b">
        <f>IF(AND(I1254="TP",S1254&lt;=150),VLOOKUP(AF1254,TPCalibEq150!$AZ$2:$BB$55,3,),IF(AND(I1254="TDP",S1254&lt;=150),VLOOKUP(AF1254,TPCalibEq150!$AZ$2:$BB$55,3,)))</f>
        <v>0</v>
      </c>
      <c r="AR1254" s="10" t="b">
        <f>IF(AND(I1254="TP",S1254&lt;=300),VLOOKUP(AF1254,TPCalibEq300!$AZ$2:$BB$55,3,),IF(AND(I1254="TDP",S1254&lt;=300),VLOOKUP(AF1254,TPCalibEq300!$AZ$2:$BB$55,3,)))</f>
        <v>0</v>
      </c>
      <c r="AS1254" s="10" t="str">
        <f>IF(AND(I1254="TP",S1254&lt;=500),VLOOKUP(AF1254,TPCalibEq500!$AZ$2:$BB$56,3,),IF(AND(I1254="TDP",S1254&lt;=500),VLOOKUP(AF1254,TPCalibEq500!$AZ$2:$BB$56,3,)))</f>
        <v>y=2.2125x2+32.759x-8.5751</v>
      </c>
      <c r="AT1254" s="10" t="b">
        <f>IF(AND(I1254="TN",S1254&lt;=2800),VLOOKUP(AF1254,TNCalibEq2500!$AZ$2:$BB$56,3,),IF(AND(I1254="TDN",S1254&lt;=2800),VLOOKUP(AF1254,TNCalibEq2500!$AZ$2:$BB$56,3,)))</f>
        <v>0</v>
      </c>
      <c r="AU1254" s="10" t="str">
        <f>IF(I1254="TP",VLOOKUP(AF1254,TPCalibEqFull!$AZ$2:$BB$56,3),IF(I1254="TDP",VLOOKUP(AF1254,TPCalibEqFull!$AZ$2:$BB$56,3),IF(I1254="TDN",VLOOKUP(AF1254,TNCalibEqFull!$AZ$1:$BB$56,3),IF(I1254="TN",VLOOKUP(AF1254,TNCalibEqFull!$AZ$1:$BB$56,3),FALSE))))</f>
        <v>y=0.5642x2+45.477x-20.207</v>
      </c>
      <c r="AV1254" s="10" t="str">
        <f t="shared" si="143"/>
        <v>0117 12:11:00-CWL-0-C-1-SW-UKN</v>
      </c>
    </row>
    <row r="1255" spans="1:48" s="10" customFormat="1" x14ac:dyDescent="0.55000000000000004">
      <c r="A1255" s="32">
        <v>44943</v>
      </c>
      <c r="B1255" s="33">
        <v>0.51874999999999993</v>
      </c>
      <c r="C1255" s="10" t="s">
        <v>445</v>
      </c>
      <c r="D1255" s="10">
        <v>0</v>
      </c>
      <c r="E1255" s="10" t="s">
        <v>190</v>
      </c>
      <c r="F1255" s="10">
        <v>1</v>
      </c>
      <c r="G1255" s="10" t="s">
        <v>231</v>
      </c>
      <c r="H1255" s="10" t="s">
        <v>322</v>
      </c>
      <c r="I1255" s="10" t="s">
        <v>83</v>
      </c>
      <c r="J1255" s="10">
        <v>28</v>
      </c>
      <c r="K1255" s="12">
        <v>44950</v>
      </c>
      <c r="L1255" s="33">
        <v>0.58070601851851855</v>
      </c>
      <c r="M1255" s="10">
        <v>1</v>
      </c>
      <c r="N1255" s="10" t="s">
        <v>84</v>
      </c>
      <c r="O1255" s="10">
        <v>6.16</v>
      </c>
      <c r="P1255" s="10">
        <v>0.443</v>
      </c>
      <c r="Q1255" s="10">
        <v>307</v>
      </c>
      <c r="R1255" s="10" t="s">
        <v>85</v>
      </c>
      <c r="S1255" s="34">
        <f t="shared" si="139"/>
        <v>307</v>
      </c>
      <c r="T1255" s="10" t="s">
        <v>1087</v>
      </c>
      <c r="U1255" s="34" t="str">
        <f t="shared" si="140"/>
        <v/>
      </c>
      <c r="V1255" s="31" t="str">
        <f>IF(H1255="CHK",VLOOKUP(I1255,QCCHK,3,),IF(H1255="GUP",VLOOKUP(E1255,QCGUP,2,),IF(AND(H1255="ATP",OR(I1255="TN",I1255="TDN",I1255="TNO2-3",I1255="NO2-3")),VLOOKUP(E1255,QCREC_N,2,),IF(AND(H1255="NIC",OR(I1255="TN",I1255="TDN",I1255="TNO2-3",I1255="NO2-3")),VLOOKUP(E1255,QCNIC_N,2,),IF(AND(H1255="UREA",OR(I1255="TN",I1255="TDN",I1255="TNO2-3",I1255="NO2-3")),VLOOKUP(E1255,QCUREA_N,2,),IF(H1255="PER",VLOOKUP(I1255,QCPER,MATCH(E1255,QCACTUAL!$J$25:$AA$25,0),),IF(H1255="SPK",VLOOKUP(I1255,QCSPK,3,),IF(AND(H1255="ATP",OR(I1255="TP",I1255="TDP")),VLOOKUP(E1255,QCATP_P,2,),""))))))))</f>
        <v/>
      </c>
      <c r="W1255" s="31" t="str">
        <f t="shared" si="141"/>
        <v>TRUE</v>
      </c>
      <c r="X1255" s="31" t="str">
        <f t="shared" si="142"/>
        <v/>
      </c>
      <c r="Y1255" s="10" t="s">
        <v>1071</v>
      </c>
      <c r="Z1255" s="10" t="s">
        <v>910</v>
      </c>
      <c r="AF1255" s="12">
        <v>44950</v>
      </c>
      <c r="AI1255" s="10">
        <f>2.2125*6.16^2+32.759*6.16-8.5751</f>
        <v>277.17498000000001</v>
      </c>
      <c r="AK1255" s="10">
        <f>0.5642*6.16^2+45.477*6.16-20.207</f>
        <v>281.34022751999998</v>
      </c>
      <c r="AL1255" s="10" t="str">
        <f t="shared" ref="AL1255:AN1296" si="144">IF($O1255="", "", IF(AQ1255&lt;&gt;"", SUBSTITUTE(SUBSTITUTE(AQ1255, "x", "*"&amp;$O1255&amp;"^", 1), "x", "*"&amp;$O1255, 1), ""))</f>
        <v>FALSE</v>
      </c>
      <c r="AM1255" s="10" t="str">
        <f t="shared" si="144"/>
        <v>FALSE</v>
      </c>
      <c r="AN1255" s="10" t="str">
        <f t="shared" si="144"/>
        <v>y=2.2125*6.16^2+32.759*6.16-8.5751</v>
      </c>
      <c r="AO1255" s="10" t="str">
        <f t="shared" ref="AO1255:AP1296" si="145">IF($O1255="", "FALSE", IF(AT1255&lt;&gt;"FALSE", SUBSTITUTE(SUBSTITUTE(AT1255, "x", "*"&amp;$O1255&amp;"^", 1), "x", "*"&amp;$O1255, 1), ""))</f>
        <v>FALSE</v>
      </c>
      <c r="AP1255" s="10" t="str">
        <f t="shared" si="145"/>
        <v>y=0.5642*6.16^2+45.477*6.16-20.207</v>
      </c>
      <c r="AQ1255" s="10" t="b">
        <f>IF(AND(I1255="TP",S1255&lt;=150),VLOOKUP(AF1255,TPCalibEq150!$AZ$2:$BB$55,3,),IF(AND(I1255="TDP",S1255&lt;=150),VLOOKUP(AF1255,TPCalibEq150!$AZ$2:$BB$55,3,)))</f>
        <v>0</v>
      </c>
      <c r="AR1255" s="10" t="b">
        <f>IF(AND(I1255="TP",S1255&lt;=300),VLOOKUP(AF1255,TPCalibEq300!$AZ$2:$BB$55,3,),IF(AND(I1255="TDP",S1255&lt;=300),VLOOKUP(AF1255,TPCalibEq300!$AZ$2:$BB$55,3,)))</f>
        <v>0</v>
      </c>
      <c r="AS1255" s="10" t="str">
        <f>IF(AND(I1255="TP",S1255&lt;=500),VLOOKUP(AF1255,TPCalibEq500!$AZ$2:$BB$56,3,),IF(AND(I1255="TDP",S1255&lt;=500),VLOOKUP(AF1255,TPCalibEq500!$AZ$2:$BB$56,3,)))</f>
        <v>y=2.2125x2+32.759x-8.5751</v>
      </c>
      <c r="AT1255" s="10" t="b">
        <f>IF(AND(I1255="TN",S1255&lt;=2800),VLOOKUP(AF1255,TNCalibEq2500!$AZ$2:$BB$56,3,),IF(AND(I1255="TDN",S1255&lt;=2800),VLOOKUP(AF1255,TNCalibEq2500!$AZ$2:$BB$56,3,)))</f>
        <v>0</v>
      </c>
      <c r="AU1255" s="10" t="str">
        <f>IF(I1255="TP",VLOOKUP(AF1255,TPCalibEqFull!$AZ$2:$BB$56,3),IF(I1255="TDP",VLOOKUP(AF1255,TPCalibEqFull!$AZ$2:$BB$56,3),IF(I1255="TDN",VLOOKUP(AF1255,TNCalibEqFull!$AZ$1:$BB$56,3),IF(I1255="TN",VLOOKUP(AF1255,TNCalibEqFull!$AZ$1:$BB$56,3),FALSE))))</f>
        <v>y=0.5642x2+45.477x-20.207</v>
      </c>
      <c r="AV1255" s="10" t="str">
        <f t="shared" si="143"/>
        <v>0117 12:27:00-NWT-0-C-1-SW-UKN</v>
      </c>
    </row>
    <row r="1256" spans="1:48" s="10" customFormat="1" x14ac:dyDescent="0.55000000000000004">
      <c r="A1256" s="32">
        <v>44943</v>
      </c>
      <c r="B1256" s="33">
        <v>0.51874999999999993</v>
      </c>
      <c r="C1256" s="10" t="s">
        <v>445</v>
      </c>
      <c r="D1256" s="10">
        <v>0</v>
      </c>
      <c r="E1256" s="10" t="s">
        <v>190</v>
      </c>
      <c r="F1256" s="10">
        <v>1</v>
      </c>
      <c r="G1256" s="10" t="s">
        <v>231</v>
      </c>
      <c r="H1256" s="10" t="s">
        <v>233</v>
      </c>
      <c r="I1256" s="10" t="s">
        <v>83</v>
      </c>
      <c r="J1256" s="10">
        <v>28</v>
      </c>
      <c r="K1256" s="12">
        <v>44950</v>
      </c>
      <c r="L1256" s="33">
        <v>0.58138888888888884</v>
      </c>
      <c r="M1256" s="10">
        <v>1</v>
      </c>
      <c r="N1256" s="10" t="s">
        <v>84</v>
      </c>
      <c r="O1256" s="10">
        <v>6.21</v>
      </c>
      <c r="P1256" s="10">
        <v>0.44700000000000001</v>
      </c>
      <c r="Q1256" s="10">
        <v>309</v>
      </c>
      <c r="R1256" s="10" t="s">
        <v>85</v>
      </c>
      <c r="S1256" s="34">
        <f t="shared" si="139"/>
        <v>309</v>
      </c>
      <c r="T1256" s="10" t="s">
        <v>1087</v>
      </c>
      <c r="U1256" s="34">
        <f t="shared" si="140"/>
        <v>0.64935064935064934</v>
      </c>
      <c r="V1256" s="31" t="str">
        <f>IF(H1256="CHK",VLOOKUP(I1256,QCCHK,3,),IF(H1256="GUP",VLOOKUP(E1256,QCGUP,2,),IF(AND(H1256="ATP",OR(I1256="TN",I1256="TDN",I1256="TNO2-3",I1256="NO2-3")),VLOOKUP(E1256,QCREC_N,2,),IF(AND(H1256="NIC",OR(I1256="TN",I1256="TDN",I1256="TNO2-3",I1256="NO2-3")),VLOOKUP(E1256,QCNIC_N,2,),IF(AND(H1256="UREA",OR(I1256="TN",I1256="TDN",I1256="TNO2-3",I1256="NO2-3")),VLOOKUP(E1256,QCUREA_N,2,),IF(H1256="PER",VLOOKUP(I1256,QCPER,MATCH(E1256,QCACTUAL!$J$25:$AA$25,0),),IF(H1256="SPK",VLOOKUP(I1256,QCSPK,3,),IF(AND(H1256="ATP",OR(I1256="TP",I1256="TDP")),VLOOKUP(E1256,QCATP_P,2,),""))))))))</f>
        <v/>
      </c>
      <c r="W1256" s="31" t="str">
        <f t="shared" si="141"/>
        <v>TRUE</v>
      </c>
      <c r="X1256" s="31" t="str">
        <f t="shared" si="142"/>
        <v>((ABS(rep1-rep2))/((rep1+rep2)/2)*100</v>
      </c>
      <c r="Y1256" s="10" t="s">
        <v>1071</v>
      </c>
      <c r="Z1256" s="10" t="s">
        <v>910</v>
      </c>
      <c r="AF1256" s="12">
        <v>44950</v>
      </c>
      <c r="AI1256" s="10">
        <f>2.2125*6.21^2+32.759*6.21-8.5751</f>
        <v>280.18136124999995</v>
      </c>
      <c r="AK1256" s="10">
        <f>0.5642*6.21^2+45.477*6.21-20.207</f>
        <v>283.96303521999999</v>
      </c>
      <c r="AL1256" s="10" t="str">
        <f t="shared" si="144"/>
        <v>FALSE</v>
      </c>
      <c r="AM1256" s="10" t="str">
        <f t="shared" si="144"/>
        <v>FALSE</v>
      </c>
      <c r="AN1256" s="10" t="str">
        <f t="shared" si="144"/>
        <v>y=2.2125*6.21^2+32.759*6.21-8.5751</v>
      </c>
      <c r="AO1256" s="10" t="str">
        <f t="shared" si="145"/>
        <v>FALSE</v>
      </c>
      <c r="AP1256" s="10" t="str">
        <f t="shared" si="145"/>
        <v>y=0.5642*6.21^2+45.477*6.21-20.207</v>
      </c>
      <c r="AQ1256" s="10" t="b">
        <f>IF(AND(I1256="TP",S1256&lt;=150),VLOOKUP(AF1256,TPCalibEq150!$AZ$2:$BB$55,3,),IF(AND(I1256="TDP",S1256&lt;=150),VLOOKUP(AF1256,TPCalibEq150!$AZ$2:$BB$55,3,)))</f>
        <v>0</v>
      </c>
      <c r="AR1256" s="10" t="b">
        <f>IF(AND(I1256="TP",S1256&lt;=300),VLOOKUP(AF1256,TPCalibEq300!$AZ$2:$BB$55,3,),IF(AND(I1256="TDP",S1256&lt;=300),VLOOKUP(AF1256,TPCalibEq300!$AZ$2:$BB$55,3,)))</f>
        <v>0</v>
      </c>
      <c r="AS1256" s="10" t="str">
        <f>IF(AND(I1256="TP",S1256&lt;=500),VLOOKUP(AF1256,TPCalibEq500!$AZ$2:$BB$56,3,),IF(AND(I1256="TDP",S1256&lt;=500),VLOOKUP(AF1256,TPCalibEq500!$AZ$2:$BB$56,3,)))</f>
        <v>y=2.2125x2+32.759x-8.5751</v>
      </c>
      <c r="AT1256" s="10" t="b">
        <f>IF(AND(I1256="TN",S1256&lt;=2800),VLOOKUP(AF1256,TNCalibEq2500!$AZ$2:$BB$56,3,),IF(AND(I1256="TDN",S1256&lt;=2800),VLOOKUP(AF1256,TNCalibEq2500!$AZ$2:$BB$56,3,)))</f>
        <v>0</v>
      </c>
      <c r="AU1256" s="10" t="str">
        <f>IF(I1256="TP",VLOOKUP(AF1256,TPCalibEqFull!$AZ$2:$BB$56,3),IF(I1256="TDP",VLOOKUP(AF1256,TPCalibEqFull!$AZ$2:$BB$56,3),IF(I1256="TDN",VLOOKUP(AF1256,TNCalibEqFull!$AZ$1:$BB$56,3),IF(I1256="TN",VLOOKUP(AF1256,TNCalibEqFull!$AZ$1:$BB$56,3),FALSE))))</f>
        <v>y=0.5642x2+45.477x-20.207</v>
      </c>
      <c r="AV1256" s="10" t="str">
        <f t="shared" si="143"/>
        <v>0117 12:27:00-NWT-0-C-1-SW-DUP</v>
      </c>
    </row>
    <row r="1257" spans="1:48" s="10" customFormat="1" x14ac:dyDescent="0.55000000000000004">
      <c r="A1257" s="32">
        <v>44943</v>
      </c>
      <c r="B1257" s="33">
        <v>0.51874999999999993</v>
      </c>
      <c r="C1257" s="10" t="s">
        <v>445</v>
      </c>
      <c r="D1257" s="10">
        <v>0</v>
      </c>
      <c r="E1257" s="10" t="s">
        <v>190</v>
      </c>
      <c r="F1257" s="10">
        <v>1</v>
      </c>
      <c r="G1257" s="10" t="s">
        <v>231</v>
      </c>
      <c r="H1257" s="10" t="s">
        <v>314</v>
      </c>
      <c r="I1257" s="10" t="s">
        <v>83</v>
      </c>
      <c r="J1257" s="10">
        <v>59</v>
      </c>
      <c r="K1257" s="12">
        <v>44950</v>
      </c>
      <c r="L1257" s="33">
        <v>0.5820833333333334</v>
      </c>
      <c r="M1257" s="10">
        <v>1</v>
      </c>
      <c r="N1257" s="10" t="s">
        <v>84</v>
      </c>
      <c r="O1257" s="10">
        <v>22.7</v>
      </c>
      <c r="P1257" s="10">
        <v>1.59</v>
      </c>
      <c r="Q1257" s="10">
        <v>1320</v>
      </c>
      <c r="R1257" s="10" t="s">
        <v>85</v>
      </c>
      <c r="S1257" s="34">
        <f t="shared" si="139"/>
        <v>1320</v>
      </c>
      <c r="T1257" s="10" t="s">
        <v>1087</v>
      </c>
      <c r="U1257" s="34">
        <f t="shared" si="140"/>
        <v>101.1</v>
      </c>
      <c r="V1257" s="31">
        <f>IF(H1257="CHK",VLOOKUP(I1257,QCCHK,3,),IF(H1257="GUP",VLOOKUP(E1257,QCGUP,2,),IF(AND(H1257="ATP",OR(I1257="TN",I1257="TDN",I1257="TNO2-3",I1257="NO2-3")),VLOOKUP(E1257,QCREC_N,2,),IF(AND(H1257="NIC",OR(I1257="TN",I1257="TDN",I1257="TNO2-3",I1257="NO2-3")),VLOOKUP(E1257,QCNIC_N,2,),IF(AND(H1257="UREA",OR(I1257="TN",I1257="TDN",I1257="TNO2-3",I1257="NO2-3")),VLOOKUP(E1257,QCUREA_N,2,),IF(H1257="PER",VLOOKUP(I1257,QCPER,MATCH(E1257,QCACTUAL!$J$25:$AA$25,0),),IF(H1257="SPK",VLOOKUP(I1257,QCSPK,3,),IF(AND(H1257="ATP",OR(I1257="TP",I1257="TDP")),VLOOKUP(E1257,QCATP_P,2,),""))))))))</f>
        <v>1000</v>
      </c>
      <c r="W1257" s="31" t="str">
        <f t="shared" si="141"/>
        <v>TRUE</v>
      </c>
      <c r="X1257" s="31" t="str">
        <f t="shared" si="142"/>
        <v>([spikedunkn]-[unkn])/[spike]*100</v>
      </c>
      <c r="Y1257" s="10" t="s">
        <v>1071</v>
      </c>
      <c r="Z1257" s="10" t="s">
        <v>910</v>
      </c>
      <c r="AF1257" s="12">
        <v>44950</v>
      </c>
      <c r="AK1257" s="10">
        <f>0.5642*22.7^2+45.477*22.7-20.207</f>
        <v>1302.8475179999998</v>
      </c>
      <c r="AL1257" s="10" t="str">
        <f t="shared" si="144"/>
        <v>FALSE</v>
      </c>
      <c r="AM1257" s="10" t="str">
        <f t="shared" si="144"/>
        <v>FALSE</v>
      </c>
      <c r="AN1257" s="10" t="str">
        <f t="shared" si="144"/>
        <v>FALSE</v>
      </c>
      <c r="AO1257" s="10" t="str">
        <f t="shared" si="145"/>
        <v>FALSE</v>
      </c>
      <c r="AP1257" s="10" t="str">
        <f t="shared" si="145"/>
        <v>y=0.5642*22.7^2+45.477*22.7-20.207</v>
      </c>
      <c r="AQ1257" s="10" t="b">
        <f>IF(AND(I1257="TP",S1257&lt;=150),VLOOKUP(AF1257,TPCalibEq150!$AZ$2:$BB$55,3,),IF(AND(I1257="TDP",S1257&lt;=150),VLOOKUP(AF1257,TPCalibEq150!$AZ$2:$BB$55,3,)))</f>
        <v>0</v>
      </c>
      <c r="AR1257" s="10" t="b">
        <f>IF(AND(I1257="TP",S1257&lt;=300),VLOOKUP(AF1257,TPCalibEq300!$AZ$2:$BB$55,3,),IF(AND(I1257="TDP",S1257&lt;=300),VLOOKUP(AF1257,TPCalibEq300!$AZ$2:$BB$55,3,)))</f>
        <v>0</v>
      </c>
      <c r="AS1257" s="10" t="b">
        <f>IF(AND(I1257="TP",S1257&lt;=500),VLOOKUP(AF1257,TPCalibEq500!$AZ$2:$BB$56,3,),IF(AND(I1257="TDP",S1257&lt;=500),VLOOKUP(AF1257,TPCalibEq500!$AZ$2:$BB$56,3,)))</f>
        <v>0</v>
      </c>
      <c r="AT1257" s="10" t="b">
        <f>IF(AND(I1257="TN",S1257&lt;=2800),VLOOKUP(AF1257,TNCalibEq2500!$AZ$2:$BB$56,3,),IF(AND(I1257="TDN",S1257&lt;=2800),VLOOKUP(AF1257,TNCalibEq2500!$AZ$2:$BB$56,3,)))</f>
        <v>0</v>
      </c>
      <c r="AU1257" s="10" t="str">
        <f>IF(I1257="TP",VLOOKUP(AF1257,TPCalibEqFull!$AZ$2:$BB$56,3),IF(I1257="TDP",VLOOKUP(AF1257,TPCalibEqFull!$AZ$2:$BB$56,3),IF(I1257="TDN",VLOOKUP(AF1257,TNCalibEqFull!$AZ$1:$BB$56,3),IF(I1257="TN",VLOOKUP(AF1257,TNCalibEqFull!$AZ$1:$BB$56,3),FALSE))))</f>
        <v>y=0.5642x2+45.477x-20.207</v>
      </c>
      <c r="AV1257" s="10" t="str">
        <f t="shared" si="143"/>
        <v>0117 12:27:00-NWT-0-C-1-SW-SPK</v>
      </c>
    </row>
    <row r="1258" spans="1:48" s="10" customFormat="1" x14ac:dyDescent="0.55000000000000004">
      <c r="A1258" s="32">
        <v>44950</v>
      </c>
      <c r="B1258" s="33">
        <v>0.375</v>
      </c>
      <c r="C1258" s="10" t="s">
        <v>70</v>
      </c>
      <c r="D1258" s="10" t="s">
        <v>71</v>
      </c>
      <c r="E1258" s="10" t="s">
        <v>901</v>
      </c>
      <c r="F1258" s="10">
        <v>1</v>
      </c>
      <c r="G1258" s="10" t="s">
        <v>73</v>
      </c>
      <c r="H1258" s="10" t="s">
        <v>207</v>
      </c>
      <c r="I1258" s="10" t="s">
        <v>83</v>
      </c>
      <c r="J1258" s="10">
        <v>200</v>
      </c>
      <c r="K1258" s="12">
        <v>44950</v>
      </c>
      <c r="L1258" s="33">
        <v>0.58278935185185188</v>
      </c>
      <c r="M1258" s="10">
        <v>1</v>
      </c>
      <c r="N1258" s="10" t="s">
        <v>84</v>
      </c>
      <c r="O1258" s="10">
        <v>9.91</v>
      </c>
      <c r="P1258" s="10">
        <v>0.70699999999999996</v>
      </c>
      <c r="Q1258" s="10">
        <v>514</v>
      </c>
      <c r="R1258" s="10" t="s">
        <v>85</v>
      </c>
      <c r="S1258" s="34">
        <f t="shared" si="139"/>
        <v>514</v>
      </c>
      <c r="T1258" s="10" t="s">
        <v>1087</v>
      </c>
      <c r="U1258" s="34">
        <f t="shared" si="140"/>
        <v>102.8</v>
      </c>
      <c r="V1258" s="31">
        <f>IF(H1258="CHK",VLOOKUP(I1258,QCCHK,3,),IF(H1258="GUP",VLOOKUP(E1258,QCGUP,2,),IF(AND(H1258="ATP",OR(I1258="TN",I1258="TDN",I1258="TNO2-3",I1258="NO2-3")),VLOOKUP(E1258,QCREC_N,2,),IF(AND(H1258="NIC",OR(I1258="TN",I1258="TDN",I1258="TNO2-3",I1258="NO2-3")),VLOOKUP(E1258,QCNIC_N,2,),IF(AND(H1258="UREA",OR(I1258="TN",I1258="TDN",I1258="TNO2-3",I1258="NO2-3")),VLOOKUP(E1258,QCUREA_N,2,),IF(H1258="PER",VLOOKUP(I1258,QCPER,MATCH(E1258,QCACTUAL!$J$25:$AA$25,0),),IF(H1258="SPK",VLOOKUP(I1258,QCSPK,3,),IF(AND(H1258="ATP",OR(I1258="TP",I1258="TDP")),VLOOKUP(E1258,QCATP_P,2,),""))))))))</f>
        <v>500</v>
      </c>
      <c r="W1258" s="31" t="str">
        <f t="shared" si="141"/>
        <v>TRUE</v>
      </c>
      <c r="X1258" s="31" t="str">
        <f t="shared" si="142"/>
        <v>[chk]/[actual]*100</v>
      </c>
      <c r="Y1258" s="10" t="s">
        <v>1071</v>
      </c>
      <c r="AF1258" s="12">
        <v>44950</v>
      </c>
      <c r="AK1258" s="10">
        <f>0.5642*9.91^2+45.477*9.91-20.207</f>
        <v>485.87908001999995</v>
      </c>
      <c r="AL1258" s="10" t="str">
        <f t="shared" si="144"/>
        <v>FALSE</v>
      </c>
      <c r="AM1258" s="10" t="str">
        <f t="shared" si="144"/>
        <v>FALSE</v>
      </c>
      <c r="AN1258" s="10" t="str">
        <f t="shared" si="144"/>
        <v>FALSE</v>
      </c>
      <c r="AO1258" s="10" t="str">
        <f t="shared" si="145"/>
        <v>FALSE</v>
      </c>
      <c r="AP1258" s="10" t="str">
        <f t="shared" si="145"/>
        <v>y=0.5642*9.91^2+45.477*9.91-20.207</v>
      </c>
      <c r="AQ1258" s="10" t="b">
        <f>IF(AND(I1258="TP",S1258&lt;=150),VLOOKUP(AF1258,TPCalibEq150!$AZ$2:$BB$55,3,),IF(AND(I1258="TDP",S1258&lt;=150),VLOOKUP(AF1258,TPCalibEq150!$AZ$2:$BB$55,3,)))</f>
        <v>0</v>
      </c>
      <c r="AR1258" s="10" t="b">
        <f>IF(AND(I1258="TP",S1258&lt;=300),VLOOKUP(AF1258,TPCalibEq300!$AZ$2:$BB$55,3,),IF(AND(I1258="TDP",S1258&lt;=300),VLOOKUP(AF1258,TPCalibEq300!$AZ$2:$BB$55,3,)))</f>
        <v>0</v>
      </c>
      <c r="AS1258" s="10" t="b">
        <f>IF(AND(I1258="TP",S1258&lt;=500),VLOOKUP(AF1258,TPCalibEq500!$AZ$2:$BB$56,3,),IF(AND(I1258="TDP",S1258&lt;=500),VLOOKUP(AF1258,TPCalibEq500!$AZ$2:$BB$56,3,)))</f>
        <v>0</v>
      </c>
      <c r="AT1258" s="10" t="b">
        <f>IF(AND(I1258="TN",S1258&lt;=2800),VLOOKUP(AF1258,TNCalibEq2500!$AZ$2:$BB$56,3,),IF(AND(I1258="TDN",S1258&lt;=2800),VLOOKUP(AF1258,TNCalibEq2500!$AZ$2:$BB$56,3,)))</f>
        <v>0</v>
      </c>
      <c r="AU1258" s="10" t="str">
        <f>IF(I1258="TP",VLOOKUP(AF1258,TPCalibEqFull!$AZ$2:$BB$56,3),IF(I1258="TDP",VLOOKUP(AF1258,TPCalibEqFull!$AZ$2:$BB$56,3),IF(I1258="TDN",VLOOKUP(AF1258,TNCalibEqFull!$AZ$1:$BB$56,3),IF(I1258="TN",VLOOKUP(AF1258,TNCalibEqFull!$AZ$1:$BB$56,3),FALSE))))</f>
        <v>y=0.5642x2+45.477x-20.207</v>
      </c>
      <c r="AV1258" s="10" t="str">
        <f t="shared" si="143"/>
        <v>0124 09:00:00-QAC-STD-D-1-DI-CHK</v>
      </c>
    </row>
    <row r="1259" spans="1:48" s="10" customFormat="1" x14ac:dyDescent="0.55000000000000004">
      <c r="A1259" s="32">
        <v>44937</v>
      </c>
      <c r="B1259" s="33">
        <v>0.24027777777777778</v>
      </c>
      <c r="C1259" s="10" t="s">
        <v>279</v>
      </c>
      <c r="D1259" s="10">
        <v>0</v>
      </c>
      <c r="E1259" s="10" t="s">
        <v>911</v>
      </c>
      <c r="F1259" s="10">
        <v>1</v>
      </c>
      <c r="G1259" s="10" t="s">
        <v>231</v>
      </c>
      <c r="H1259" s="10" t="s">
        <v>322</v>
      </c>
      <c r="I1259" s="10" t="s">
        <v>266</v>
      </c>
      <c r="J1259" s="10">
        <v>29</v>
      </c>
      <c r="K1259" s="12">
        <v>44950</v>
      </c>
      <c r="L1259" s="33">
        <v>0.58347222222222228</v>
      </c>
      <c r="M1259" s="10">
        <v>1</v>
      </c>
      <c r="N1259" s="10" t="s">
        <v>84</v>
      </c>
      <c r="O1259" s="10">
        <v>2.6</v>
      </c>
      <c r="P1259" s="10">
        <v>0.185</v>
      </c>
      <c r="Q1259" s="10">
        <v>122</v>
      </c>
      <c r="R1259" s="10" t="s">
        <v>85</v>
      </c>
      <c r="S1259" s="34">
        <f t="shared" si="139"/>
        <v>168.01212000000001</v>
      </c>
      <c r="T1259" s="10" t="s">
        <v>1087</v>
      </c>
      <c r="U1259" s="34" t="str">
        <f t="shared" si="140"/>
        <v/>
      </c>
      <c r="V1259" s="31" t="str">
        <f>IF(H1259="CHK",VLOOKUP(I1259,QCCHK,3,),IF(H1259="GUP",VLOOKUP(E1259,QCGUP,2,),IF(AND(H1259="ATP",OR(I1259="TN",I1259="TDN",I1259="TNO2-3",I1259="NO2-3")),VLOOKUP(E1259,QCREC_N,2,),IF(AND(H1259="NIC",OR(I1259="TN",I1259="TDN",I1259="TNO2-3",I1259="NO2-3")),VLOOKUP(E1259,QCNIC_N,2,),IF(AND(H1259="UREA",OR(I1259="TN",I1259="TDN",I1259="TNO2-3",I1259="NO2-3")),VLOOKUP(E1259,QCUREA_N,2,),IF(H1259="PER",VLOOKUP(I1259,QCPER,MATCH(E1259,QCACTUAL!$J$25:$AA$25,0),),IF(H1259="SPK",VLOOKUP(I1259,QCSPK,3,),IF(AND(H1259="ATP",OR(I1259="TP",I1259="TDP")),VLOOKUP(E1259,QCATP_P,2,),""))))))))</f>
        <v/>
      </c>
      <c r="W1259" s="31" t="str">
        <f t="shared" si="141"/>
        <v>TRUE</v>
      </c>
      <c r="X1259" s="31" t="str">
        <f t="shared" si="142"/>
        <v/>
      </c>
      <c r="Y1259" s="10" t="s">
        <v>1071</v>
      </c>
      <c r="Z1259" s="10" t="s">
        <v>910</v>
      </c>
      <c r="AF1259" s="12">
        <v>44950</v>
      </c>
      <c r="AG1259" s="10">
        <f>-5.8068*2.6^2+97.248*2.6-48.038</f>
        <v>165.55283200000002</v>
      </c>
      <c r="AH1259" s="10">
        <f>-3.008*2.6^2+89.412*2.6-44.125</f>
        <v>168.01212000000001</v>
      </c>
      <c r="AI1259" s="10">
        <f>2.2125*2.6^2+32.759*2.6-8.5751</f>
        <v>91.5548</v>
      </c>
      <c r="AK1259" s="10">
        <f>0.5642*2.6^2+45.477*2.6-20.207</f>
        <v>101.84719200000001</v>
      </c>
      <c r="AL1259" s="10" t="str">
        <f t="shared" si="144"/>
        <v>FALSE</v>
      </c>
      <c r="AM1259" s="10" t="str">
        <f t="shared" si="144"/>
        <v>y=-3.008*2.6^2+89.412*2.6-44.125</v>
      </c>
      <c r="AN1259" s="10" t="str">
        <f t="shared" si="144"/>
        <v>y=2.2125*2.6^2+32.759*2.6-8.5751</v>
      </c>
      <c r="AO1259" s="10" t="str">
        <f t="shared" si="145"/>
        <v>FALSE</v>
      </c>
      <c r="AP1259" s="10" t="str">
        <f t="shared" si="145"/>
        <v>y=0.5642*2.6^2+45.477*2.6-20.207</v>
      </c>
      <c r="AQ1259" s="10" t="b">
        <f>IF(AND(I1259="TP",S1259&lt;=150),VLOOKUP(AF1259,TPCalibEq150!$AZ$2:$BB$55,3,),IF(AND(I1259="TDP",S1259&lt;=150),VLOOKUP(AF1259,TPCalibEq150!$AZ$2:$BB$55,3,)))</f>
        <v>0</v>
      </c>
      <c r="AR1259" s="10" t="str">
        <f>IF(AND(I1259="TP",S1259&lt;=300),VLOOKUP(AF1259,TPCalibEq300!$AZ$2:$BB$55,3,),IF(AND(I1259="TDP",S1259&lt;=300),VLOOKUP(AF1259,TPCalibEq300!$AZ$2:$BB$55,3,)))</f>
        <v>y=-3.008x2+89.412x-44.125</v>
      </c>
      <c r="AS1259" s="10" t="str">
        <f>IF(AND(I1259="TP",S1259&lt;=500),VLOOKUP(AF1259,TPCalibEq500!$AZ$2:$BB$56,3,),IF(AND(I1259="TDP",S1259&lt;=500),VLOOKUP(AF1259,TPCalibEq500!$AZ$2:$BB$56,3,)))</f>
        <v>y=2.2125x2+32.759x-8.5751</v>
      </c>
      <c r="AT1259" s="10" t="b">
        <f>IF(AND(I1259="TN",S1259&lt;=2800),VLOOKUP(AF1259,TNCalibEq2500!$AZ$2:$BB$56,3,),IF(AND(I1259="TDN",S1259&lt;=2800),VLOOKUP(AF1259,TNCalibEq2500!$AZ$2:$BB$56,3,)))</f>
        <v>0</v>
      </c>
      <c r="AU1259" s="10" t="str">
        <f>IF(I1259="TP",VLOOKUP(AF1259,TPCalibEqFull!$AZ$2:$BB$56,3),IF(I1259="TDP",VLOOKUP(AF1259,TPCalibEqFull!$AZ$2:$BB$56,3),IF(I1259="TDN",VLOOKUP(AF1259,TNCalibEqFull!$AZ$1:$BB$56,3),IF(I1259="TN",VLOOKUP(AF1259,TNCalibEqFull!$AZ$1:$BB$56,3),FALSE))))</f>
        <v>y=0.5642x2+45.477x-20.207</v>
      </c>
      <c r="AV1259" s="10" t="str">
        <f t="shared" si="143"/>
        <v>0111 05:46:00-EFK-0-FIL-1-SW-UKN</v>
      </c>
    </row>
    <row r="1260" spans="1:48" s="10" customFormat="1" x14ac:dyDescent="0.55000000000000004">
      <c r="A1260" s="32">
        <v>44937</v>
      </c>
      <c r="B1260" s="33">
        <v>0.24513888888888888</v>
      </c>
      <c r="C1260" s="10" t="s">
        <v>333</v>
      </c>
      <c r="D1260" s="10">
        <v>0</v>
      </c>
      <c r="E1260" s="10" t="s">
        <v>911</v>
      </c>
      <c r="F1260" s="10">
        <v>1</v>
      </c>
      <c r="G1260" s="10" t="s">
        <v>231</v>
      </c>
      <c r="H1260" s="10" t="s">
        <v>322</v>
      </c>
      <c r="I1260" s="10" t="s">
        <v>266</v>
      </c>
      <c r="J1260" s="10">
        <v>30</v>
      </c>
      <c r="K1260" s="12">
        <v>44950</v>
      </c>
      <c r="L1260" s="33" t="s">
        <v>933</v>
      </c>
      <c r="M1260" s="10">
        <v>1</v>
      </c>
      <c r="N1260" s="10" t="s">
        <v>84</v>
      </c>
      <c r="O1260" s="10" t="s">
        <v>933</v>
      </c>
      <c r="P1260" s="10" t="s">
        <v>933</v>
      </c>
      <c r="Q1260" s="10" t="s">
        <v>933</v>
      </c>
      <c r="R1260" s="10" t="s">
        <v>85</v>
      </c>
      <c r="S1260" s="34">
        <f t="shared" si="139"/>
        <v>0</v>
      </c>
      <c r="T1260" s="10" t="s">
        <v>1087</v>
      </c>
      <c r="U1260" s="34" t="str">
        <f t="shared" si="140"/>
        <v/>
      </c>
      <c r="V1260" s="31" t="str">
        <f>IF(H1260="CHK",VLOOKUP(I1260,QCCHK,3,),IF(H1260="GUP",VLOOKUP(E1260,QCGUP,2,),IF(AND(H1260="ATP",OR(I1260="TN",I1260="TDN",I1260="TNO2-3",I1260="NO2-3")),VLOOKUP(E1260,QCREC_N,2,),IF(AND(H1260="NIC",OR(I1260="TN",I1260="TDN",I1260="TNO2-3",I1260="NO2-3")),VLOOKUP(E1260,QCNIC_N,2,),IF(AND(H1260="UREA",OR(I1260="TN",I1260="TDN",I1260="TNO2-3",I1260="NO2-3")),VLOOKUP(E1260,QCUREA_N,2,),IF(H1260="PER",VLOOKUP(I1260,QCPER,MATCH(E1260,QCACTUAL!$J$25:$AA$25,0),),IF(H1260="SPK",VLOOKUP(I1260,QCSPK,3,),IF(AND(H1260="ATP",OR(I1260="TP",I1260="TDP")),VLOOKUP(E1260,QCATP_P,2,),""))))))))</f>
        <v/>
      </c>
      <c r="W1260" s="31" t="str">
        <f t="shared" si="141"/>
        <v>TRUE</v>
      </c>
      <c r="X1260" s="31" t="str">
        <f t="shared" si="142"/>
        <v/>
      </c>
      <c r="Y1260" s="10" t="s">
        <v>1071</v>
      </c>
      <c r="Z1260" s="10" t="s">
        <v>910</v>
      </c>
      <c r="AF1260" s="12">
        <v>44950</v>
      </c>
      <c r="AG1260" s="10" t="s">
        <v>1092</v>
      </c>
      <c r="AH1260" s="10" t="s">
        <v>1093</v>
      </c>
      <c r="AI1260" s="10" t="s">
        <v>1094</v>
      </c>
      <c r="AK1260" s="10" t="s">
        <v>1095</v>
      </c>
      <c r="AL1260" s="10" t="str">
        <f t="shared" si="144"/>
        <v>y=-5.8068*.^2+97.248*.-48.038</v>
      </c>
      <c r="AM1260" s="10" t="str">
        <f t="shared" si="144"/>
        <v>y=-3.008*.^2+89.412*.-44.125</v>
      </c>
      <c r="AN1260" s="10" t="str">
        <f t="shared" si="144"/>
        <v>y=2.2125*.^2+32.759*.-8.5751</v>
      </c>
      <c r="AO1260" s="10" t="str">
        <f t="shared" si="145"/>
        <v>FALSE</v>
      </c>
      <c r="AP1260" s="10" t="str">
        <f t="shared" si="145"/>
        <v>y=0.5642*.^2+45.477*.-20.207</v>
      </c>
      <c r="AQ1260" s="10" t="str">
        <f>IF(AND(I1260="TP",S1260&lt;=150),VLOOKUP(AF1260,TPCalibEq150!$AZ$2:$BB$55,3,),IF(AND(I1260="TDP",S1260&lt;=150),VLOOKUP(AF1260,TPCalibEq150!$AZ$2:$BB$55,3,)))</f>
        <v>y=-5.8068x2+97.248x-48.038</v>
      </c>
      <c r="AR1260" s="10" t="str">
        <f>IF(AND(I1260="TP",S1260&lt;=300),VLOOKUP(AF1260,TPCalibEq300!$AZ$2:$BB$55,3,),IF(AND(I1260="TDP",S1260&lt;=300),VLOOKUP(AF1260,TPCalibEq300!$AZ$2:$BB$55,3,)))</f>
        <v>y=-3.008x2+89.412x-44.125</v>
      </c>
      <c r="AS1260" s="10" t="str">
        <f>IF(AND(I1260="TP",S1260&lt;=500),VLOOKUP(AF1260,TPCalibEq500!$AZ$2:$BB$56,3,),IF(AND(I1260="TDP",S1260&lt;=500),VLOOKUP(AF1260,TPCalibEq500!$AZ$2:$BB$56,3,)))</f>
        <v>y=2.2125x2+32.759x-8.5751</v>
      </c>
      <c r="AT1260" s="10" t="b">
        <f>IF(AND(I1260="TN",S1260&lt;=2800),VLOOKUP(AF1260,TNCalibEq2500!$AZ$2:$BB$56,3,),IF(AND(I1260="TDN",S1260&lt;=2800),VLOOKUP(AF1260,TNCalibEq2500!$AZ$2:$BB$56,3,)))</f>
        <v>0</v>
      </c>
      <c r="AU1260" s="10" t="str">
        <f>IF(I1260="TP",VLOOKUP(AF1260,TPCalibEqFull!$AZ$2:$BB$56,3),IF(I1260="TDP",VLOOKUP(AF1260,TPCalibEqFull!$AZ$2:$BB$56,3),IF(I1260="TDN",VLOOKUP(AF1260,TNCalibEqFull!$AZ$1:$BB$56,3),IF(I1260="TN",VLOOKUP(AF1260,TNCalibEqFull!$AZ$1:$BB$56,3),FALSE))))</f>
        <v>y=0.5642x2+45.477x-20.207</v>
      </c>
      <c r="AV1260" s="10" t="str">
        <f t="shared" si="143"/>
        <v>0111 05:53:00-HST-0-FIL-1-SW-UKN</v>
      </c>
    </row>
    <row r="1261" spans="1:48" s="10" customFormat="1" x14ac:dyDescent="0.55000000000000004">
      <c r="A1261" s="32">
        <v>44938</v>
      </c>
      <c r="B1261" s="33">
        <v>0.43958333333333338</v>
      </c>
      <c r="C1261" s="10" t="s">
        <v>279</v>
      </c>
      <c r="D1261" s="10">
        <v>0</v>
      </c>
      <c r="E1261" s="10" t="s">
        <v>911</v>
      </c>
      <c r="F1261" s="10">
        <v>1</v>
      </c>
      <c r="G1261" s="10" t="s">
        <v>231</v>
      </c>
      <c r="H1261" s="10" t="s">
        <v>322</v>
      </c>
      <c r="I1261" s="10" t="s">
        <v>266</v>
      </c>
      <c r="J1261" s="10">
        <v>31</v>
      </c>
      <c r="K1261" s="12">
        <v>44950</v>
      </c>
      <c r="L1261" s="33">
        <v>0.58417824074074076</v>
      </c>
      <c r="M1261" s="10">
        <v>1</v>
      </c>
      <c r="N1261" s="10" t="s">
        <v>84</v>
      </c>
      <c r="O1261" s="10">
        <v>2.4700000000000002</v>
      </c>
      <c r="P1261" s="10">
        <v>0.17499999999999999</v>
      </c>
      <c r="Q1261" s="10">
        <v>116</v>
      </c>
      <c r="R1261" s="10" t="s">
        <v>85</v>
      </c>
      <c r="S1261" s="34">
        <f t="shared" si="139"/>
        <v>158.37113280000003</v>
      </c>
      <c r="T1261" s="10" t="s">
        <v>1087</v>
      </c>
      <c r="U1261" s="34" t="str">
        <f t="shared" si="140"/>
        <v/>
      </c>
      <c r="V1261" s="31" t="str">
        <f>IF(H1261="CHK",VLOOKUP(I1261,QCCHK,3,),IF(H1261="GUP",VLOOKUP(E1261,QCGUP,2,),IF(AND(H1261="ATP",OR(I1261="TN",I1261="TDN",I1261="TNO2-3",I1261="NO2-3")),VLOOKUP(E1261,QCREC_N,2,),IF(AND(H1261="NIC",OR(I1261="TN",I1261="TDN",I1261="TNO2-3",I1261="NO2-3")),VLOOKUP(E1261,QCNIC_N,2,),IF(AND(H1261="UREA",OR(I1261="TN",I1261="TDN",I1261="TNO2-3",I1261="NO2-3")),VLOOKUP(E1261,QCUREA_N,2,),IF(H1261="PER",VLOOKUP(I1261,QCPER,MATCH(E1261,QCACTUAL!$J$25:$AA$25,0),),IF(H1261="SPK",VLOOKUP(I1261,QCSPK,3,),IF(AND(H1261="ATP",OR(I1261="TP",I1261="TDP")),VLOOKUP(E1261,QCATP_P,2,),""))))))))</f>
        <v/>
      </c>
      <c r="W1261" s="31" t="str">
        <f t="shared" si="141"/>
        <v>TRUE</v>
      </c>
      <c r="X1261" s="31" t="str">
        <f t="shared" si="142"/>
        <v/>
      </c>
      <c r="Y1261" s="10" t="s">
        <v>1071</v>
      </c>
      <c r="Z1261" s="10" t="s">
        <v>910</v>
      </c>
      <c r="AF1261" s="12">
        <v>44950</v>
      </c>
      <c r="AG1261" s="10">
        <f>-5.8068*2.47^2+97.248*2.47-48.038</f>
        <v>156.73785388000005</v>
      </c>
      <c r="AH1261" s="10">
        <f>-3.008*2.47^2+89.412*2.47-44.125</f>
        <v>158.37113280000003</v>
      </c>
      <c r="AI1261" s="10">
        <f>2.2125*2.47^2+32.759*2.47-8.5751</f>
        <v>85.837871250000006</v>
      </c>
      <c r="AK1261" s="10">
        <f>0.5642*2.47^2+45.477*2.47-20.207</f>
        <v>95.563317780000006</v>
      </c>
      <c r="AL1261" s="10" t="str">
        <f t="shared" si="144"/>
        <v>FALSE</v>
      </c>
      <c r="AM1261" s="10" t="str">
        <f t="shared" si="144"/>
        <v>y=-3.008*2.47^2+89.412*2.47-44.125</v>
      </c>
      <c r="AN1261" s="10" t="str">
        <f t="shared" si="144"/>
        <v>y=2.2125*2.47^2+32.759*2.47-8.5751</v>
      </c>
      <c r="AO1261" s="10" t="str">
        <f t="shared" si="145"/>
        <v>FALSE</v>
      </c>
      <c r="AP1261" s="10" t="str">
        <f t="shared" si="145"/>
        <v>y=0.5642*2.47^2+45.477*2.47-20.207</v>
      </c>
      <c r="AQ1261" s="10" t="b">
        <f>IF(AND(I1261="TP",S1261&lt;=150),VLOOKUP(AF1261,TPCalibEq150!$AZ$2:$BB$55,3,),IF(AND(I1261="TDP",S1261&lt;=150),VLOOKUP(AF1261,TPCalibEq150!$AZ$2:$BB$55,3,)))</f>
        <v>0</v>
      </c>
      <c r="AR1261" s="10" t="str">
        <f>IF(AND(I1261="TP",S1261&lt;=300),VLOOKUP(AF1261,TPCalibEq300!$AZ$2:$BB$55,3,),IF(AND(I1261="TDP",S1261&lt;=300),VLOOKUP(AF1261,TPCalibEq300!$AZ$2:$BB$55,3,)))</f>
        <v>y=-3.008x2+89.412x-44.125</v>
      </c>
      <c r="AS1261" s="10" t="str">
        <f>IF(AND(I1261="TP",S1261&lt;=500),VLOOKUP(AF1261,TPCalibEq500!$AZ$2:$BB$56,3,),IF(AND(I1261="TDP",S1261&lt;=500),VLOOKUP(AF1261,TPCalibEq500!$AZ$2:$BB$56,3,)))</f>
        <v>y=2.2125x2+32.759x-8.5751</v>
      </c>
      <c r="AT1261" s="10" t="b">
        <f>IF(AND(I1261="TN",S1261&lt;=2800),VLOOKUP(AF1261,TNCalibEq2500!$AZ$2:$BB$56,3,),IF(AND(I1261="TDN",S1261&lt;=2800),VLOOKUP(AF1261,TNCalibEq2500!$AZ$2:$BB$56,3,)))</f>
        <v>0</v>
      </c>
      <c r="AU1261" s="10" t="str">
        <f>IF(I1261="TP",VLOOKUP(AF1261,TPCalibEqFull!$AZ$2:$BB$56,3),IF(I1261="TDP",VLOOKUP(AF1261,TPCalibEqFull!$AZ$2:$BB$56,3),IF(I1261="TDN",VLOOKUP(AF1261,TNCalibEqFull!$AZ$1:$BB$56,3),IF(I1261="TN",VLOOKUP(AF1261,TNCalibEqFull!$AZ$1:$BB$56,3),FALSE))))</f>
        <v>y=0.5642x2+45.477x-20.207</v>
      </c>
      <c r="AV1261" s="10" t="str">
        <f t="shared" si="143"/>
        <v>0112 10:33:00-EFK-0-FIL-1-SW-UKN</v>
      </c>
    </row>
    <row r="1262" spans="1:48" s="10" customFormat="1" x14ac:dyDescent="0.55000000000000004">
      <c r="A1262" s="32">
        <v>44938</v>
      </c>
      <c r="B1262" s="33">
        <v>0.4548611111111111</v>
      </c>
      <c r="C1262" s="10" t="s">
        <v>333</v>
      </c>
      <c r="D1262" s="10">
        <v>0</v>
      </c>
      <c r="E1262" s="10" t="s">
        <v>911</v>
      </c>
      <c r="F1262" s="10">
        <v>1</v>
      </c>
      <c r="G1262" s="10" t="s">
        <v>231</v>
      </c>
      <c r="H1262" s="10" t="s">
        <v>322</v>
      </c>
      <c r="I1262" s="10" t="s">
        <v>266</v>
      </c>
      <c r="J1262" s="10">
        <v>32</v>
      </c>
      <c r="K1262" s="12">
        <v>44950</v>
      </c>
      <c r="L1262" s="33">
        <v>0.58489583333333328</v>
      </c>
      <c r="M1262" s="10">
        <v>1</v>
      </c>
      <c r="N1262" s="10" t="s">
        <v>84</v>
      </c>
      <c r="O1262" s="10">
        <v>3.62</v>
      </c>
      <c r="P1262" s="10">
        <v>0.25800000000000001</v>
      </c>
      <c r="Q1262" s="10">
        <v>174</v>
      </c>
      <c r="R1262" s="10" t="s">
        <v>85</v>
      </c>
      <c r="S1262" s="34">
        <f t="shared" si="139"/>
        <v>240.1284048</v>
      </c>
      <c r="T1262" s="10" t="s">
        <v>1087</v>
      </c>
      <c r="U1262" s="34" t="str">
        <f t="shared" si="140"/>
        <v/>
      </c>
      <c r="V1262" s="31" t="str">
        <f>IF(H1262="CHK",VLOOKUP(I1262,QCCHK,3,),IF(H1262="GUP",VLOOKUP(E1262,QCGUP,2,),IF(AND(H1262="ATP",OR(I1262="TN",I1262="TDN",I1262="TNO2-3",I1262="NO2-3")),VLOOKUP(E1262,QCREC_N,2,),IF(AND(H1262="NIC",OR(I1262="TN",I1262="TDN",I1262="TNO2-3",I1262="NO2-3")),VLOOKUP(E1262,QCNIC_N,2,),IF(AND(H1262="UREA",OR(I1262="TN",I1262="TDN",I1262="TNO2-3",I1262="NO2-3")),VLOOKUP(E1262,QCUREA_N,2,),IF(H1262="PER",VLOOKUP(I1262,QCPER,MATCH(E1262,QCACTUAL!$J$25:$AA$25,0),),IF(H1262="SPK",VLOOKUP(I1262,QCSPK,3,),IF(AND(H1262="ATP",OR(I1262="TP",I1262="TDP")),VLOOKUP(E1262,QCATP_P,2,),""))))))))</f>
        <v/>
      </c>
      <c r="W1262" s="31" t="str">
        <f t="shared" si="141"/>
        <v>TRUE</v>
      </c>
      <c r="X1262" s="31" t="str">
        <f t="shared" si="142"/>
        <v/>
      </c>
      <c r="Y1262" s="10" t="s">
        <v>1071</v>
      </c>
      <c r="Z1262" s="10" t="s">
        <v>910</v>
      </c>
      <c r="AF1262" s="12">
        <v>44950</v>
      </c>
      <c r="AH1262" s="10">
        <f>-3.008*3.62^2+89.412*3.62-44.125</f>
        <v>240.1284048</v>
      </c>
      <c r="AI1262" s="10">
        <f>2.2125*3.62^2+32.759*3.62-8.5751</f>
        <v>139.005965</v>
      </c>
      <c r="AK1262" s="10">
        <f>0.5642*3.62^2+45.477*3.62-20.207</f>
        <v>151.81324247999999</v>
      </c>
      <c r="AL1262" s="10" t="str">
        <f t="shared" si="144"/>
        <v>FALSE</v>
      </c>
      <c r="AM1262" s="10" t="str">
        <f t="shared" si="144"/>
        <v>y=-3.008*3.62^2+89.412*3.62-44.125</v>
      </c>
      <c r="AN1262" s="10" t="str">
        <f t="shared" si="144"/>
        <v>y=2.2125*3.62^2+32.759*3.62-8.5751</v>
      </c>
      <c r="AO1262" s="10" t="str">
        <f t="shared" si="145"/>
        <v>FALSE</v>
      </c>
      <c r="AP1262" s="10" t="str">
        <f t="shared" si="145"/>
        <v>y=0.5642*3.62^2+45.477*3.62-20.207</v>
      </c>
      <c r="AQ1262" s="10" t="b">
        <f>IF(AND(I1262="TP",S1262&lt;=150),VLOOKUP(AF1262,TPCalibEq150!$AZ$2:$BB$55,3,),IF(AND(I1262="TDP",S1262&lt;=150),VLOOKUP(AF1262,TPCalibEq150!$AZ$2:$BB$55,3,)))</f>
        <v>0</v>
      </c>
      <c r="AR1262" s="10" t="str">
        <f>IF(AND(I1262="TP",S1262&lt;=300),VLOOKUP(AF1262,TPCalibEq300!$AZ$2:$BB$55,3,),IF(AND(I1262="TDP",S1262&lt;=300),VLOOKUP(AF1262,TPCalibEq300!$AZ$2:$BB$55,3,)))</f>
        <v>y=-3.008x2+89.412x-44.125</v>
      </c>
      <c r="AS1262" s="10" t="str">
        <f>IF(AND(I1262="TP",S1262&lt;=500),VLOOKUP(AF1262,TPCalibEq500!$AZ$2:$BB$56,3,),IF(AND(I1262="TDP",S1262&lt;=500),VLOOKUP(AF1262,TPCalibEq500!$AZ$2:$BB$56,3,)))</f>
        <v>y=2.2125x2+32.759x-8.5751</v>
      </c>
      <c r="AT1262" s="10" t="b">
        <f>IF(AND(I1262="TN",S1262&lt;=2800),VLOOKUP(AF1262,TNCalibEq2500!$AZ$2:$BB$56,3,),IF(AND(I1262="TDN",S1262&lt;=2800),VLOOKUP(AF1262,TNCalibEq2500!$AZ$2:$BB$56,3,)))</f>
        <v>0</v>
      </c>
      <c r="AU1262" s="10" t="str">
        <f>IF(I1262="TP",VLOOKUP(AF1262,TPCalibEqFull!$AZ$2:$BB$56,3),IF(I1262="TDP",VLOOKUP(AF1262,TPCalibEqFull!$AZ$2:$BB$56,3),IF(I1262="TDN",VLOOKUP(AF1262,TNCalibEqFull!$AZ$1:$BB$56,3),IF(I1262="TN",VLOOKUP(AF1262,TNCalibEqFull!$AZ$1:$BB$56,3),FALSE))))</f>
        <v>y=0.5642x2+45.477x-20.207</v>
      </c>
      <c r="AV1262" s="10" t="str">
        <f t="shared" si="143"/>
        <v>0112 10:55:00-HST-0-FIL-1-SW-UKN</v>
      </c>
    </row>
    <row r="1263" spans="1:48" s="10" customFormat="1" x14ac:dyDescent="0.55000000000000004">
      <c r="A1263" s="32">
        <v>44939</v>
      </c>
      <c r="B1263" s="33">
        <v>0.4916666666666667</v>
      </c>
      <c r="C1263" s="10" t="s">
        <v>279</v>
      </c>
      <c r="D1263" s="10">
        <v>0</v>
      </c>
      <c r="E1263" s="10" t="s">
        <v>911</v>
      </c>
      <c r="F1263" s="10">
        <v>1</v>
      </c>
      <c r="G1263" s="10" t="s">
        <v>231</v>
      </c>
      <c r="H1263" s="10" t="s">
        <v>322</v>
      </c>
      <c r="I1263" s="10" t="s">
        <v>266</v>
      </c>
      <c r="J1263" s="10">
        <v>33</v>
      </c>
      <c r="K1263" s="12">
        <v>44950</v>
      </c>
      <c r="L1263" s="33">
        <v>0.58559027777777783</v>
      </c>
      <c r="M1263" s="10">
        <v>1</v>
      </c>
      <c r="N1263" s="10" t="s">
        <v>84</v>
      </c>
      <c r="O1263" s="10">
        <v>3.29</v>
      </c>
      <c r="P1263" s="10">
        <v>0.23400000000000001</v>
      </c>
      <c r="Q1263" s="10">
        <v>157</v>
      </c>
      <c r="R1263" s="10" t="s">
        <v>85</v>
      </c>
      <c r="S1263" s="34">
        <f t="shared" si="139"/>
        <v>217.48158719999998</v>
      </c>
      <c r="T1263" s="10" t="s">
        <v>1087</v>
      </c>
      <c r="U1263" s="34" t="str">
        <f t="shared" si="140"/>
        <v/>
      </c>
      <c r="V1263" s="31" t="str">
        <f>IF(H1263="CHK",VLOOKUP(I1263,QCCHK,3,),IF(H1263="GUP",VLOOKUP(E1263,QCGUP,2,),IF(AND(H1263="ATP",OR(I1263="TN",I1263="TDN",I1263="TNO2-3",I1263="NO2-3")),VLOOKUP(E1263,QCREC_N,2,),IF(AND(H1263="NIC",OR(I1263="TN",I1263="TDN",I1263="TNO2-3",I1263="NO2-3")),VLOOKUP(E1263,QCNIC_N,2,),IF(AND(H1263="UREA",OR(I1263="TN",I1263="TDN",I1263="TNO2-3",I1263="NO2-3")),VLOOKUP(E1263,QCUREA_N,2,),IF(H1263="PER",VLOOKUP(I1263,QCPER,MATCH(E1263,QCACTUAL!$J$25:$AA$25,0),),IF(H1263="SPK",VLOOKUP(I1263,QCSPK,3,),IF(AND(H1263="ATP",OR(I1263="TP",I1263="TDP")),VLOOKUP(E1263,QCATP_P,2,),""))))))))</f>
        <v/>
      </c>
      <c r="W1263" s="31" t="str">
        <f t="shared" si="141"/>
        <v>TRUE</v>
      </c>
      <c r="X1263" s="31" t="str">
        <f t="shared" si="142"/>
        <v/>
      </c>
      <c r="Y1263" s="10" t="s">
        <v>1071</v>
      </c>
      <c r="Z1263" s="10" t="s">
        <v>910</v>
      </c>
      <c r="AF1263" s="12">
        <v>44950</v>
      </c>
      <c r="AH1263" s="10">
        <f>-3.008*3.29^2+89.412*3.29-44.125</f>
        <v>217.48158719999998</v>
      </c>
      <c r="AI1263" s="10">
        <f>2.2125*3.29^2+32.759*3.29-8.5751</f>
        <v>123.15033125000001</v>
      </c>
      <c r="AK1263" s="10">
        <f>0.5642*3.29^2+45.477*3.29-20.207</f>
        <v>135.51928722</v>
      </c>
      <c r="AL1263" s="10" t="str">
        <f t="shared" si="144"/>
        <v>FALSE</v>
      </c>
      <c r="AM1263" s="10" t="str">
        <f t="shared" si="144"/>
        <v>y=-3.008*3.29^2+89.412*3.29-44.125</v>
      </c>
      <c r="AN1263" s="10" t="str">
        <f t="shared" si="144"/>
        <v>y=2.2125*3.29^2+32.759*3.29-8.5751</v>
      </c>
      <c r="AO1263" s="10" t="str">
        <f t="shared" si="145"/>
        <v>FALSE</v>
      </c>
      <c r="AP1263" s="10" t="str">
        <f t="shared" si="145"/>
        <v>y=0.5642*3.29^2+45.477*3.29-20.207</v>
      </c>
      <c r="AQ1263" s="10" t="b">
        <f>IF(AND(I1263="TP",S1263&lt;=150),VLOOKUP(AF1263,TPCalibEq150!$AZ$2:$BB$55,3,),IF(AND(I1263="TDP",S1263&lt;=150),VLOOKUP(AF1263,TPCalibEq150!$AZ$2:$BB$55,3,)))</f>
        <v>0</v>
      </c>
      <c r="AR1263" s="10" t="str">
        <f>IF(AND(I1263="TP",S1263&lt;=300),VLOOKUP(AF1263,TPCalibEq300!$AZ$2:$BB$55,3,),IF(AND(I1263="TDP",S1263&lt;=300),VLOOKUP(AF1263,TPCalibEq300!$AZ$2:$BB$55,3,)))</f>
        <v>y=-3.008x2+89.412x-44.125</v>
      </c>
      <c r="AS1263" s="10" t="str">
        <f>IF(AND(I1263="TP",S1263&lt;=500),VLOOKUP(AF1263,TPCalibEq500!$AZ$2:$BB$56,3,),IF(AND(I1263="TDP",S1263&lt;=500),VLOOKUP(AF1263,TPCalibEq500!$AZ$2:$BB$56,3,)))</f>
        <v>y=2.2125x2+32.759x-8.5751</v>
      </c>
      <c r="AT1263" s="10" t="b">
        <f>IF(AND(I1263="TN",S1263&lt;=2800),VLOOKUP(AF1263,TNCalibEq2500!$AZ$2:$BB$56,3,),IF(AND(I1263="TDN",S1263&lt;=2800),VLOOKUP(AF1263,TNCalibEq2500!$AZ$2:$BB$56,3,)))</f>
        <v>0</v>
      </c>
      <c r="AU1263" s="10" t="str">
        <f>IF(I1263="TP",VLOOKUP(AF1263,TPCalibEqFull!$AZ$2:$BB$56,3),IF(I1263="TDP",VLOOKUP(AF1263,TPCalibEqFull!$AZ$2:$BB$56,3),IF(I1263="TDN",VLOOKUP(AF1263,TNCalibEqFull!$AZ$1:$BB$56,3),IF(I1263="TN",VLOOKUP(AF1263,TNCalibEqFull!$AZ$1:$BB$56,3),FALSE))))</f>
        <v>y=0.5642x2+45.477x-20.207</v>
      </c>
      <c r="AV1263" s="10" t="str">
        <f t="shared" si="143"/>
        <v>0113 11:48:00-EFK-0-FIL-1-SW-UKN</v>
      </c>
    </row>
    <row r="1264" spans="1:48" s="10" customFormat="1" x14ac:dyDescent="0.55000000000000004">
      <c r="A1264" s="32">
        <v>44939</v>
      </c>
      <c r="B1264" s="33">
        <v>0.49444444444444446</v>
      </c>
      <c r="C1264" s="10" t="s">
        <v>333</v>
      </c>
      <c r="D1264" s="10">
        <v>0</v>
      </c>
      <c r="E1264" s="10" t="s">
        <v>911</v>
      </c>
      <c r="F1264" s="10">
        <v>1</v>
      </c>
      <c r="G1264" s="10" t="s">
        <v>231</v>
      </c>
      <c r="H1264" s="10" t="s">
        <v>322</v>
      </c>
      <c r="I1264" s="10" t="s">
        <v>266</v>
      </c>
      <c r="J1264" s="10">
        <v>34</v>
      </c>
      <c r="K1264" s="12">
        <v>44950</v>
      </c>
      <c r="L1264" s="33">
        <v>0.58628472222222217</v>
      </c>
      <c r="M1264" s="10">
        <v>1</v>
      </c>
      <c r="N1264" s="10" t="s">
        <v>84</v>
      </c>
      <c r="O1264" s="10">
        <v>3.22</v>
      </c>
      <c r="P1264" s="10">
        <v>0.23</v>
      </c>
      <c r="Q1264" s="10">
        <v>153</v>
      </c>
      <c r="R1264" s="10" t="s">
        <v>85</v>
      </c>
      <c r="S1264" s="34">
        <f t="shared" si="139"/>
        <v>212.59349280000004</v>
      </c>
      <c r="T1264" s="10" t="s">
        <v>1087</v>
      </c>
      <c r="U1264" s="34" t="str">
        <f t="shared" si="140"/>
        <v/>
      </c>
      <c r="V1264" s="31" t="str">
        <f>IF(H1264="CHK",VLOOKUP(I1264,QCCHK,3,),IF(H1264="GUP",VLOOKUP(E1264,QCGUP,2,),IF(AND(H1264="ATP",OR(I1264="TN",I1264="TDN",I1264="TNO2-3",I1264="NO2-3")),VLOOKUP(E1264,QCREC_N,2,),IF(AND(H1264="NIC",OR(I1264="TN",I1264="TDN",I1264="TNO2-3",I1264="NO2-3")),VLOOKUP(E1264,QCNIC_N,2,),IF(AND(H1264="UREA",OR(I1264="TN",I1264="TDN",I1264="TNO2-3",I1264="NO2-3")),VLOOKUP(E1264,QCUREA_N,2,),IF(H1264="PER",VLOOKUP(I1264,QCPER,MATCH(E1264,QCACTUAL!$J$25:$AA$25,0),),IF(H1264="SPK",VLOOKUP(I1264,QCSPK,3,),IF(AND(H1264="ATP",OR(I1264="TP",I1264="TDP")),VLOOKUP(E1264,QCATP_P,2,),""))))))))</f>
        <v/>
      </c>
      <c r="W1264" s="31" t="str">
        <f t="shared" si="141"/>
        <v>TRUE</v>
      </c>
      <c r="X1264" s="31" t="str">
        <f t="shared" si="142"/>
        <v/>
      </c>
      <c r="Y1264" s="10" t="s">
        <v>1071</v>
      </c>
      <c r="Z1264" s="10" t="s">
        <v>910</v>
      </c>
      <c r="AF1264" s="12">
        <v>44950</v>
      </c>
      <c r="AH1264" s="10">
        <f>-3.008*3.22^2+89.412*3.22-44.125</f>
        <v>212.59349280000004</v>
      </c>
      <c r="AI1264" s="10">
        <f>2.2125*3.22^2+32.759*3.22-8.5751</f>
        <v>119.84896500000001</v>
      </c>
      <c r="AK1264" s="10">
        <f>0.5642*3.22^2+45.477*3.22-20.207</f>
        <v>132.07879127999999</v>
      </c>
      <c r="AL1264" s="10" t="str">
        <f t="shared" si="144"/>
        <v>FALSE</v>
      </c>
      <c r="AM1264" s="10" t="str">
        <f t="shared" si="144"/>
        <v>y=-3.008*3.22^2+89.412*3.22-44.125</v>
      </c>
      <c r="AN1264" s="10" t="str">
        <f t="shared" si="144"/>
        <v>y=2.2125*3.22^2+32.759*3.22-8.5751</v>
      </c>
      <c r="AO1264" s="10" t="str">
        <f t="shared" si="145"/>
        <v>FALSE</v>
      </c>
      <c r="AP1264" s="10" t="str">
        <f t="shared" si="145"/>
        <v>y=0.5642*3.22^2+45.477*3.22-20.207</v>
      </c>
      <c r="AQ1264" s="10" t="b">
        <f>IF(AND(I1264="TP",S1264&lt;=150),VLOOKUP(AF1264,TPCalibEq150!$AZ$2:$BB$55,3,),IF(AND(I1264="TDP",S1264&lt;=150),VLOOKUP(AF1264,TPCalibEq150!$AZ$2:$BB$55,3,)))</f>
        <v>0</v>
      </c>
      <c r="AR1264" s="10" t="str">
        <f>IF(AND(I1264="TP",S1264&lt;=300),VLOOKUP(AF1264,TPCalibEq300!$AZ$2:$BB$55,3,),IF(AND(I1264="TDP",S1264&lt;=300),VLOOKUP(AF1264,TPCalibEq300!$AZ$2:$BB$55,3,)))</f>
        <v>y=-3.008x2+89.412x-44.125</v>
      </c>
      <c r="AS1264" s="10" t="str">
        <f>IF(AND(I1264="TP",S1264&lt;=500),VLOOKUP(AF1264,TPCalibEq500!$AZ$2:$BB$56,3,),IF(AND(I1264="TDP",S1264&lt;=500),VLOOKUP(AF1264,TPCalibEq500!$AZ$2:$BB$56,3,)))</f>
        <v>y=2.2125x2+32.759x-8.5751</v>
      </c>
      <c r="AT1264" s="10" t="b">
        <f>IF(AND(I1264="TN",S1264&lt;=2800),VLOOKUP(AF1264,TNCalibEq2500!$AZ$2:$BB$56,3,),IF(AND(I1264="TDN",S1264&lt;=2800),VLOOKUP(AF1264,TNCalibEq2500!$AZ$2:$BB$56,3,)))</f>
        <v>0</v>
      </c>
      <c r="AU1264" s="10" t="str">
        <f>IF(I1264="TP",VLOOKUP(AF1264,TPCalibEqFull!$AZ$2:$BB$56,3),IF(I1264="TDP",VLOOKUP(AF1264,TPCalibEqFull!$AZ$2:$BB$56,3),IF(I1264="TDN",VLOOKUP(AF1264,TNCalibEqFull!$AZ$1:$BB$56,3),IF(I1264="TN",VLOOKUP(AF1264,TNCalibEqFull!$AZ$1:$BB$56,3),FALSE))))</f>
        <v>y=0.5642x2+45.477x-20.207</v>
      </c>
      <c r="AV1264" s="10" t="str">
        <f t="shared" si="143"/>
        <v>0113 11:52:00-HST-0-FIL-1-SW-UKN</v>
      </c>
    </row>
    <row r="1265" spans="1:48" s="10" customFormat="1" x14ac:dyDescent="0.55000000000000004">
      <c r="A1265" s="32">
        <v>44943</v>
      </c>
      <c r="B1265" s="33">
        <v>0.32291666666666669</v>
      </c>
      <c r="C1265" s="10" t="s">
        <v>279</v>
      </c>
      <c r="D1265" s="10">
        <v>0</v>
      </c>
      <c r="E1265" s="10" t="s">
        <v>911</v>
      </c>
      <c r="F1265" s="10">
        <v>1</v>
      </c>
      <c r="G1265" s="10" t="s">
        <v>231</v>
      </c>
      <c r="H1265" s="10" t="s">
        <v>322</v>
      </c>
      <c r="I1265" s="10" t="s">
        <v>266</v>
      </c>
      <c r="J1265" s="10">
        <v>35</v>
      </c>
      <c r="K1265" s="12">
        <v>44950</v>
      </c>
      <c r="L1265" s="33">
        <v>0.58699074074074076</v>
      </c>
      <c r="M1265" s="10">
        <v>1</v>
      </c>
      <c r="N1265" s="10" t="s">
        <v>84</v>
      </c>
      <c r="O1265" s="10">
        <v>2.91</v>
      </c>
      <c r="P1265" s="10">
        <v>0.20699999999999999</v>
      </c>
      <c r="Q1265" s="10">
        <v>138</v>
      </c>
      <c r="R1265" s="10" t="s">
        <v>85</v>
      </c>
      <c r="S1265" s="34">
        <f t="shared" si="139"/>
        <v>190.59187520000006</v>
      </c>
      <c r="T1265" s="10" t="s">
        <v>1087</v>
      </c>
      <c r="U1265" s="34" t="str">
        <f t="shared" si="140"/>
        <v/>
      </c>
      <c r="V1265" s="31" t="str">
        <f>IF(H1265="CHK",VLOOKUP(I1265,QCCHK,3,),IF(H1265="GUP",VLOOKUP(E1265,QCGUP,2,),IF(AND(H1265="ATP",OR(I1265="TN",I1265="TDN",I1265="TNO2-3",I1265="NO2-3")),VLOOKUP(E1265,QCREC_N,2,),IF(AND(H1265="NIC",OR(I1265="TN",I1265="TDN",I1265="TNO2-3",I1265="NO2-3")),VLOOKUP(E1265,QCNIC_N,2,),IF(AND(H1265="UREA",OR(I1265="TN",I1265="TDN",I1265="TNO2-3",I1265="NO2-3")),VLOOKUP(E1265,QCUREA_N,2,),IF(H1265="PER",VLOOKUP(I1265,QCPER,MATCH(E1265,QCACTUAL!$J$25:$AA$25,0),),IF(H1265="SPK",VLOOKUP(I1265,QCSPK,3,),IF(AND(H1265="ATP",OR(I1265="TP",I1265="TDP")),VLOOKUP(E1265,QCATP_P,2,),""))))))))</f>
        <v/>
      </c>
      <c r="W1265" s="31" t="str">
        <f t="shared" si="141"/>
        <v>TRUE</v>
      </c>
      <c r="X1265" s="31" t="str">
        <f t="shared" si="142"/>
        <v/>
      </c>
      <c r="Y1265" s="10" t="s">
        <v>1071</v>
      </c>
      <c r="Z1265" s="10" t="s">
        <v>910</v>
      </c>
      <c r="AF1265" s="12">
        <v>44950</v>
      </c>
      <c r="AG1265" s="10">
        <f>-5.8068*2.91^2+97.248*2.91-48.038</f>
        <v>185.78111692000004</v>
      </c>
      <c r="AH1265" s="10">
        <f>-3.008*2.91^2+89.412*2.91-44.125</f>
        <v>190.59187520000006</v>
      </c>
      <c r="AI1265" s="10">
        <f>2.2125*2.91^2+32.759*2.91-8.5751</f>
        <v>105.48926125000001</v>
      </c>
      <c r="AK1265" s="10">
        <f>0.5642*2.91^2+45.477*2.91-20.207</f>
        <v>116.90877201999999</v>
      </c>
      <c r="AL1265" s="10" t="str">
        <f t="shared" si="144"/>
        <v>FALSE</v>
      </c>
      <c r="AM1265" s="10" t="str">
        <f t="shared" si="144"/>
        <v>y=-3.008*2.91^2+89.412*2.91-44.125</v>
      </c>
      <c r="AN1265" s="10" t="str">
        <f t="shared" si="144"/>
        <v>y=2.2125*2.91^2+32.759*2.91-8.5751</v>
      </c>
      <c r="AO1265" s="10" t="str">
        <f t="shared" si="145"/>
        <v>FALSE</v>
      </c>
      <c r="AP1265" s="10" t="str">
        <f t="shared" si="145"/>
        <v>y=0.5642*2.91^2+45.477*2.91-20.207</v>
      </c>
      <c r="AQ1265" s="10" t="b">
        <f>IF(AND(I1265="TP",S1265&lt;=150),VLOOKUP(AF1265,TPCalibEq150!$AZ$2:$BB$55,3,),IF(AND(I1265="TDP",S1265&lt;=150),VLOOKUP(AF1265,TPCalibEq150!$AZ$2:$BB$55,3,)))</f>
        <v>0</v>
      </c>
      <c r="AR1265" s="10" t="str">
        <f>IF(AND(I1265="TP",S1265&lt;=300),VLOOKUP(AF1265,TPCalibEq300!$AZ$2:$BB$55,3,),IF(AND(I1265="TDP",S1265&lt;=300),VLOOKUP(AF1265,TPCalibEq300!$AZ$2:$BB$55,3,)))</f>
        <v>y=-3.008x2+89.412x-44.125</v>
      </c>
      <c r="AS1265" s="10" t="str">
        <f>IF(AND(I1265="TP",S1265&lt;=500),VLOOKUP(AF1265,TPCalibEq500!$AZ$2:$BB$56,3,),IF(AND(I1265="TDP",S1265&lt;=500),VLOOKUP(AF1265,TPCalibEq500!$AZ$2:$BB$56,3,)))</f>
        <v>y=2.2125x2+32.759x-8.5751</v>
      </c>
      <c r="AT1265" s="10" t="b">
        <f>IF(AND(I1265="TN",S1265&lt;=2800),VLOOKUP(AF1265,TNCalibEq2500!$AZ$2:$BB$56,3,),IF(AND(I1265="TDN",S1265&lt;=2800),VLOOKUP(AF1265,TNCalibEq2500!$AZ$2:$BB$56,3,)))</f>
        <v>0</v>
      </c>
      <c r="AU1265" s="10" t="str">
        <f>IF(I1265="TP",VLOOKUP(AF1265,TPCalibEqFull!$AZ$2:$BB$56,3),IF(I1265="TDP",VLOOKUP(AF1265,TPCalibEqFull!$AZ$2:$BB$56,3),IF(I1265="TDN",VLOOKUP(AF1265,TNCalibEqFull!$AZ$1:$BB$56,3),IF(I1265="TN",VLOOKUP(AF1265,TNCalibEqFull!$AZ$1:$BB$56,3),FALSE))))</f>
        <v>y=0.5642x2+45.477x-20.207</v>
      </c>
      <c r="AV1265" s="10" t="str">
        <f t="shared" si="143"/>
        <v>0117 07:45:00-EFK-0-FIL-1-SW-UKN</v>
      </c>
    </row>
    <row r="1266" spans="1:48" s="10" customFormat="1" x14ac:dyDescent="0.55000000000000004">
      <c r="A1266" s="32">
        <v>44943</v>
      </c>
      <c r="B1266" s="33">
        <v>0.32083333333333336</v>
      </c>
      <c r="C1266" s="10" t="s">
        <v>333</v>
      </c>
      <c r="D1266" s="10">
        <v>0</v>
      </c>
      <c r="E1266" s="10" t="s">
        <v>911</v>
      </c>
      <c r="F1266" s="10">
        <v>1</v>
      </c>
      <c r="G1266" s="10" t="s">
        <v>231</v>
      </c>
      <c r="H1266" s="10" t="s">
        <v>322</v>
      </c>
      <c r="I1266" s="10" t="s">
        <v>266</v>
      </c>
      <c r="J1266" s="10">
        <v>36</v>
      </c>
      <c r="K1266" s="12">
        <v>44950</v>
      </c>
      <c r="L1266" s="33">
        <v>0.5876851851851852</v>
      </c>
      <c r="M1266" s="10">
        <v>1</v>
      </c>
      <c r="N1266" s="10" t="s">
        <v>84</v>
      </c>
      <c r="O1266" s="10">
        <v>2.35</v>
      </c>
      <c r="P1266" s="10">
        <v>0.16600000000000001</v>
      </c>
      <c r="Q1266" s="10">
        <v>110</v>
      </c>
      <c r="R1266" s="10" t="s">
        <v>85</v>
      </c>
      <c r="S1266" s="34">
        <f t="shared" si="139"/>
        <v>149.38152000000002</v>
      </c>
      <c r="T1266" s="10" t="s">
        <v>1087</v>
      </c>
      <c r="U1266" s="34" t="str">
        <f t="shared" si="140"/>
        <v/>
      </c>
      <c r="V1266" s="31" t="str">
        <f>IF(H1266="CHK",VLOOKUP(I1266,QCCHK,3,),IF(H1266="GUP",VLOOKUP(E1266,QCGUP,2,),IF(AND(H1266="ATP",OR(I1266="TN",I1266="TDN",I1266="TNO2-3",I1266="NO2-3")),VLOOKUP(E1266,QCREC_N,2,),IF(AND(H1266="NIC",OR(I1266="TN",I1266="TDN",I1266="TNO2-3",I1266="NO2-3")),VLOOKUP(E1266,QCNIC_N,2,),IF(AND(H1266="UREA",OR(I1266="TN",I1266="TDN",I1266="TNO2-3",I1266="NO2-3")),VLOOKUP(E1266,QCUREA_N,2,),IF(H1266="PER",VLOOKUP(I1266,QCPER,MATCH(E1266,QCACTUAL!$J$25:$AA$25,0),),IF(H1266="SPK",VLOOKUP(I1266,QCSPK,3,),IF(AND(H1266="ATP",OR(I1266="TP",I1266="TDP")),VLOOKUP(E1266,QCATP_P,2,),""))))))))</f>
        <v/>
      </c>
      <c r="W1266" s="31" t="str">
        <f t="shared" si="141"/>
        <v>TRUE</v>
      </c>
      <c r="X1266" s="31" t="str">
        <f t="shared" si="142"/>
        <v/>
      </c>
      <c r="Y1266" s="10" t="s">
        <v>1071</v>
      </c>
      <c r="Z1266" s="10" t="s">
        <v>910</v>
      </c>
      <c r="AF1266" s="12">
        <v>44950</v>
      </c>
      <c r="AG1266" s="10">
        <f>-5.8068*2.35^2+97.248*2.35-48.038</f>
        <v>148.42674699999998</v>
      </c>
      <c r="AH1266" s="10">
        <f>-3.008*2.35^2+89.412*2.35-44.125</f>
        <v>149.38152000000002</v>
      </c>
      <c r="AI1266" s="10">
        <f>2.2125*2.35^2+32.759*2.35-8.5751</f>
        <v>80.627081249999989</v>
      </c>
      <c r="AK1266" s="10">
        <f>0.5642*2.35^2+45.477*2.35-20.207</f>
        <v>89.779744499999993</v>
      </c>
      <c r="AL1266" s="10" t="str">
        <f t="shared" si="144"/>
        <v>y=-5.8068*2.35^2+97.248*2.35-48.038</v>
      </c>
      <c r="AM1266" s="10" t="str">
        <f t="shared" si="144"/>
        <v>y=-3.008*2.35^2+89.412*2.35-44.125</v>
      </c>
      <c r="AN1266" s="10" t="str">
        <f t="shared" si="144"/>
        <v>y=2.2125*2.35^2+32.759*2.35-8.5751</v>
      </c>
      <c r="AO1266" s="10" t="str">
        <f t="shared" si="145"/>
        <v>FALSE</v>
      </c>
      <c r="AP1266" s="10" t="str">
        <f t="shared" si="145"/>
        <v>y=0.5642*2.35^2+45.477*2.35-20.207</v>
      </c>
      <c r="AQ1266" s="10" t="str">
        <f>IF(AND(I1266="TP",S1266&lt;=150),VLOOKUP(AF1266,TPCalibEq150!$AZ$2:$BB$55,3,),IF(AND(I1266="TDP",S1266&lt;=150),VLOOKUP(AF1266,TPCalibEq150!$AZ$2:$BB$55,3,)))</f>
        <v>y=-5.8068x2+97.248x-48.038</v>
      </c>
      <c r="AR1266" s="10" t="str">
        <f>IF(AND(I1266="TP",S1266&lt;=300),VLOOKUP(AF1266,TPCalibEq300!$AZ$2:$BB$55,3,),IF(AND(I1266="TDP",S1266&lt;=300),VLOOKUP(AF1266,TPCalibEq300!$AZ$2:$BB$55,3,)))</f>
        <v>y=-3.008x2+89.412x-44.125</v>
      </c>
      <c r="AS1266" s="10" t="str">
        <f>IF(AND(I1266="TP",S1266&lt;=500),VLOOKUP(AF1266,TPCalibEq500!$AZ$2:$BB$56,3,),IF(AND(I1266="TDP",S1266&lt;=500),VLOOKUP(AF1266,TPCalibEq500!$AZ$2:$BB$56,3,)))</f>
        <v>y=2.2125x2+32.759x-8.5751</v>
      </c>
      <c r="AT1266" s="10" t="b">
        <f>IF(AND(I1266="TN",S1266&lt;=2800),VLOOKUP(AF1266,TNCalibEq2500!$AZ$2:$BB$56,3,),IF(AND(I1266="TDN",S1266&lt;=2800),VLOOKUP(AF1266,TNCalibEq2500!$AZ$2:$BB$56,3,)))</f>
        <v>0</v>
      </c>
      <c r="AU1266" s="10" t="str">
        <f>IF(I1266="TP",VLOOKUP(AF1266,TPCalibEqFull!$AZ$2:$BB$56,3),IF(I1266="TDP",VLOOKUP(AF1266,TPCalibEqFull!$AZ$2:$BB$56,3),IF(I1266="TDN",VLOOKUP(AF1266,TNCalibEqFull!$AZ$1:$BB$56,3),IF(I1266="TN",VLOOKUP(AF1266,TNCalibEqFull!$AZ$1:$BB$56,3),FALSE))))</f>
        <v>y=0.5642x2+45.477x-20.207</v>
      </c>
      <c r="AV1266" s="10" t="str">
        <f t="shared" si="143"/>
        <v>0117 07:42:00-HST-0-FIL-1-SW-UKN</v>
      </c>
    </row>
    <row r="1267" spans="1:48" s="10" customFormat="1" x14ac:dyDescent="0.55000000000000004">
      <c r="A1267" s="32">
        <v>44944</v>
      </c>
      <c r="B1267" s="33">
        <v>0.36249999999999999</v>
      </c>
      <c r="C1267" s="10" t="s">
        <v>279</v>
      </c>
      <c r="D1267" s="10">
        <v>0</v>
      </c>
      <c r="E1267" s="10" t="s">
        <v>911</v>
      </c>
      <c r="F1267" s="10">
        <v>1</v>
      </c>
      <c r="G1267" s="10" t="s">
        <v>231</v>
      </c>
      <c r="H1267" s="10" t="s">
        <v>322</v>
      </c>
      <c r="I1267" s="10" t="s">
        <v>266</v>
      </c>
      <c r="J1267" s="10">
        <v>37</v>
      </c>
      <c r="K1267" s="12">
        <v>44950</v>
      </c>
      <c r="L1267" s="33">
        <v>0.58839120370370368</v>
      </c>
      <c r="M1267" s="10">
        <v>1</v>
      </c>
      <c r="N1267" s="10" t="s">
        <v>84</v>
      </c>
      <c r="O1267" s="10">
        <v>2.4700000000000002</v>
      </c>
      <c r="P1267" s="10">
        <v>0.17599999999999999</v>
      </c>
      <c r="Q1267" s="10">
        <v>116</v>
      </c>
      <c r="R1267" s="10" t="s">
        <v>85</v>
      </c>
      <c r="S1267" s="34">
        <f t="shared" si="139"/>
        <v>158.37113280000003</v>
      </c>
      <c r="T1267" s="10" t="s">
        <v>1087</v>
      </c>
      <c r="U1267" s="34" t="str">
        <f t="shared" si="140"/>
        <v/>
      </c>
      <c r="V1267" s="31" t="str">
        <f>IF(H1267="CHK",VLOOKUP(I1267,QCCHK,3,),IF(H1267="GUP",VLOOKUP(E1267,QCGUP,2,),IF(AND(H1267="ATP",OR(I1267="TN",I1267="TDN",I1267="TNO2-3",I1267="NO2-3")),VLOOKUP(E1267,QCREC_N,2,),IF(AND(H1267="NIC",OR(I1267="TN",I1267="TDN",I1267="TNO2-3",I1267="NO2-3")),VLOOKUP(E1267,QCNIC_N,2,),IF(AND(H1267="UREA",OR(I1267="TN",I1267="TDN",I1267="TNO2-3",I1267="NO2-3")),VLOOKUP(E1267,QCUREA_N,2,),IF(H1267="PER",VLOOKUP(I1267,QCPER,MATCH(E1267,QCACTUAL!$J$25:$AA$25,0),),IF(H1267="SPK",VLOOKUP(I1267,QCSPK,3,),IF(AND(H1267="ATP",OR(I1267="TP",I1267="TDP")),VLOOKUP(E1267,QCATP_P,2,),""))))))))</f>
        <v/>
      </c>
      <c r="W1267" s="31" t="str">
        <f t="shared" si="141"/>
        <v>TRUE</v>
      </c>
      <c r="X1267" s="31" t="str">
        <f t="shared" si="142"/>
        <v/>
      </c>
      <c r="Y1267" s="10" t="s">
        <v>1071</v>
      </c>
      <c r="Z1267" s="10" t="s">
        <v>910</v>
      </c>
      <c r="AF1267" s="12">
        <v>44950</v>
      </c>
      <c r="AG1267" s="10">
        <f>-5.8068*2.47^2+97.248*2.47-48.038</f>
        <v>156.73785388000005</v>
      </c>
      <c r="AH1267" s="10">
        <f>-3.008*2.47^2+89.412*2.47-44.125</f>
        <v>158.37113280000003</v>
      </c>
      <c r="AI1267" s="10">
        <f>2.2125*2.47^2+32.759*2.47-8.5751</f>
        <v>85.837871250000006</v>
      </c>
      <c r="AK1267" s="10">
        <f>0.5642*2.47^2+45.477*2.47-20.207</f>
        <v>95.563317780000006</v>
      </c>
      <c r="AL1267" s="10" t="str">
        <f t="shared" si="144"/>
        <v>FALSE</v>
      </c>
      <c r="AM1267" s="10" t="str">
        <f t="shared" si="144"/>
        <v>y=-3.008*2.47^2+89.412*2.47-44.125</v>
      </c>
      <c r="AN1267" s="10" t="str">
        <f t="shared" si="144"/>
        <v>y=2.2125*2.47^2+32.759*2.47-8.5751</v>
      </c>
      <c r="AO1267" s="10" t="str">
        <f t="shared" si="145"/>
        <v>FALSE</v>
      </c>
      <c r="AP1267" s="10" t="str">
        <f t="shared" si="145"/>
        <v>y=0.5642*2.47^2+45.477*2.47-20.207</v>
      </c>
      <c r="AQ1267" s="10" t="b">
        <f>IF(AND(I1267="TP",S1267&lt;=150),VLOOKUP(AF1267,TPCalibEq150!$AZ$2:$BB$55,3,),IF(AND(I1267="TDP",S1267&lt;=150),VLOOKUP(AF1267,TPCalibEq150!$AZ$2:$BB$55,3,)))</f>
        <v>0</v>
      </c>
      <c r="AR1267" s="10" t="str">
        <f>IF(AND(I1267="TP",S1267&lt;=300),VLOOKUP(AF1267,TPCalibEq300!$AZ$2:$BB$55,3,),IF(AND(I1267="TDP",S1267&lt;=300),VLOOKUP(AF1267,TPCalibEq300!$AZ$2:$BB$55,3,)))</f>
        <v>y=-3.008x2+89.412x-44.125</v>
      </c>
      <c r="AS1267" s="10" t="str">
        <f>IF(AND(I1267="TP",S1267&lt;=500),VLOOKUP(AF1267,TPCalibEq500!$AZ$2:$BB$56,3,),IF(AND(I1267="TDP",S1267&lt;=500),VLOOKUP(AF1267,TPCalibEq500!$AZ$2:$BB$56,3,)))</f>
        <v>y=2.2125x2+32.759x-8.5751</v>
      </c>
      <c r="AT1267" s="10" t="b">
        <f>IF(AND(I1267="TN",S1267&lt;=2800),VLOOKUP(AF1267,TNCalibEq2500!$AZ$2:$BB$56,3,),IF(AND(I1267="TDN",S1267&lt;=2800),VLOOKUP(AF1267,TNCalibEq2500!$AZ$2:$BB$56,3,)))</f>
        <v>0</v>
      </c>
      <c r="AU1267" s="10" t="str">
        <f>IF(I1267="TP",VLOOKUP(AF1267,TPCalibEqFull!$AZ$2:$BB$56,3),IF(I1267="TDP",VLOOKUP(AF1267,TPCalibEqFull!$AZ$2:$BB$56,3),IF(I1267="TDN",VLOOKUP(AF1267,TNCalibEqFull!$AZ$1:$BB$56,3),IF(I1267="TN",VLOOKUP(AF1267,TNCalibEqFull!$AZ$1:$BB$56,3),FALSE))))</f>
        <v>y=0.5642x2+45.477x-20.207</v>
      </c>
      <c r="AV1267" s="10" t="str">
        <f t="shared" si="143"/>
        <v>0118 08:42:00-EFK-0-FIL-1-SW-UKN</v>
      </c>
    </row>
    <row r="1268" spans="1:48" s="10" customFormat="1" x14ac:dyDescent="0.55000000000000004">
      <c r="A1268" s="32">
        <v>44944</v>
      </c>
      <c r="B1268" s="33">
        <v>0.36805555555555558</v>
      </c>
      <c r="C1268" s="10" t="s">
        <v>333</v>
      </c>
      <c r="D1268" s="10">
        <v>0</v>
      </c>
      <c r="E1268" s="10" t="s">
        <v>911</v>
      </c>
      <c r="F1268" s="10">
        <v>1</v>
      </c>
      <c r="G1268" s="10" t="s">
        <v>231</v>
      </c>
      <c r="H1268" s="10" t="s">
        <v>322</v>
      </c>
      <c r="I1268" s="10" t="s">
        <v>266</v>
      </c>
      <c r="J1268" s="10">
        <v>38</v>
      </c>
      <c r="K1268" s="12">
        <v>44950</v>
      </c>
      <c r="L1268" s="33">
        <v>0.58908564814814812</v>
      </c>
      <c r="M1268" s="10">
        <v>1</v>
      </c>
      <c r="N1268" s="10" t="s">
        <v>84</v>
      </c>
      <c r="O1268" s="10">
        <v>2.71</v>
      </c>
      <c r="P1268" s="10">
        <v>0.192</v>
      </c>
      <c r="Q1268" s="10">
        <v>128</v>
      </c>
      <c r="R1268" s="10" t="s">
        <v>85</v>
      </c>
      <c r="S1268" s="34">
        <f t="shared" si="139"/>
        <v>176.09046720000001</v>
      </c>
      <c r="T1268" s="10" t="s">
        <v>1087</v>
      </c>
      <c r="U1268" s="34" t="str">
        <f t="shared" si="140"/>
        <v/>
      </c>
      <c r="V1268" s="31" t="str">
        <f>IF(H1268="CHK",VLOOKUP(I1268,QCCHK,3,),IF(H1268="GUP",VLOOKUP(E1268,QCGUP,2,),IF(AND(H1268="ATP",OR(I1268="TN",I1268="TDN",I1268="TNO2-3",I1268="NO2-3")),VLOOKUP(E1268,QCREC_N,2,),IF(AND(H1268="NIC",OR(I1268="TN",I1268="TDN",I1268="TNO2-3",I1268="NO2-3")),VLOOKUP(E1268,QCNIC_N,2,),IF(AND(H1268="UREA",OR(I1268="TN",I1268="TDN",I1268="TNO2-3",I1268="NO2-3")),VLOOKUP(E1268,QCUREA_N,2,),IF(H1268="PER",VLOOKUP(I1268,QCPER,MATCH(E1268,QCACTUAL!$J$25:$AA$25,0),),IF(H1268="SPK",VLOOKUP(I1268,QCSPK,3,),IF(AND(H1268="ATP",OR(I1268="TP",I1268="TDP")),VLOOKUP(E1268,QCATP_P,2,),""))))))))</f>
        <v/>
      </c>
      <c r="W1268" s="31" t="str">
        <f t="shared" si="141"/>
        <v>TRUE</v>
      </c>
      <c r="X1268" s="31" t="str">
        <f t="shared" si="142"/>
        <v/>
      </c>
      <c r="Y1268" s="10" t="s">
        <v>1071</v>
      </c>
      <c r="Z1268" s="10" t="s">
        <v>910</v>
      </c>
      <c r="AF1268" s="12">
        <v>44950</v>
      </c>
      <c r="AG1268" s="10">
        <f>-5.8068*2.71^2+97.248*2.71-48.038</f>
        <v>172.85836011999999</v>
      </c>
      <c r="AH1268" s="10">
        <f>-3.008*2.71^2+89.412*2.71-44.125</f>
        <v>176.09046720000001</v>
      </c>
      <c r="AI1268" s="10">
        <f>2.2125*2.71^2+32.759*2.71-8.5751</f>
        <v>96.450611249999994</v>
      </c>
      <c r="AK1268" s="10">
        <f>0.5642*2.71^2+45.477*2.71-20.207</f>
        <v>107.17921121999998</v>
      </c>
      <c r="AL1268" s="10" t="str">
        <f t="shared" si="144"/>
        <v>FALSE</v>
      </c>
      <c r="AM1268" s="10" t="str">
        <f t="shared" si="144"/>
        <v>y=-3.008*2.71^2+89.412*2.71-44.125</v>
      </c>
      <c r="AN1268" s="10" t="str">
        <f t="shared" si="144"/>
        <v>y=2.2125*2.71^2+32.759*2.71-8.5751</v>
      </c>
      <c r="AO1268" s="10" t="str">
        <f t="shared" si="145"/>
        <v>FALSE</v>
      </c>
      <c r="AP1268" s="10" t="str">
        <f t="shared" si="145"/>
        <v>y=0.5642*2.71^2+45.477*2.71-20.207</v>
      </c>
      <c r="AQ1268" s="10" t="b">
        <f>IF(AND(I1268="TP",S1268&lt;=150),VLOOKUP(AF1268,TPCalibEq150!$AZ$2:$BB$55,3,),IF(AND(I1268="TDP",S1268&lt;=150),VLOOKUP(AF1268,TPCalibEq150!$AZ$2:$BB$55,3,)))</f>
        <v>0</v>
      </c>
      <c r="AR1268" s="10" t="str">
        <f>IF(AND(I1268="TP",S1268&lt;=300),VLOOKUP(AF1268,TPCalibEq300!$AZ$2:$BB$55,3,),IF(AND(I1268="TDP",S1268&lt;=300),VLOOKUP(AF1268,TPCalibEq300!$AZ$2:$BB$55,3,)))</f>
        <v>y=-3.008x2+89.412x-44.125</v>
      </c>
      <c r="AS1268" s="10" t="str">
        <f>IF(AND(I1268="TP",S1268&lt;=500),VLOOKUP(AF1268,TPCalibEq500!$AZ$2:$BB$56,3,),IF(AND(I1268="TDP",S1268&lt;=500),VLOOKUP(AF1268,TPCalibEq500!$AZ$2:$BB$56,3,)))</f>
        <v>y=2.2125x2+32.759x-8.5751</v>
      </c>
      <c r="AT1268" s="10" t="b">
        <f>IF(AND(I1268="TN",S1268&lt;=2800),VLOOKUP(AF1268,TNCalibEq2500!$AZ$2:$BB$56,3,),IF(AND(I1268="TDN",S1268&lt;=2800),VLOOKUP(AF1268,TNCalibEq2500!$AZ$2:$BB$56,3,)))</f>
        <v>0</v>
      </c>
      <c r="AU1268" s="10" t="str">
        <f>IF(I1268="TP",VLOOKUP(AF1268,TPCalibEqFull!$AZ$2:$BB$56,3),IF(I1268="TDP",VLOOKUP(AF1268,TPCalibEqFull!$AZ$2:$BB$56,3),IF(I1268="TDN",VLOOKUP(AF1268,TNCalibEqFull!$AZ$1:$BB$56,3),IF(I1268="TN",VLOOKUP(AF1268,TNCalibEqFull!$AZ$1:$BB$56,3),FALSE))))</f>
        <v>y=0.5642x2+45.477x-20.207</v>
      </c>
      <c r="AV1268" s="10" t="str">
        <f t="shared" si="143"/>
        <v>0118 08:50:00-HST-0-FIL-1-SW-UKN</v>
      </c>
    </row>
    <row r="1269" spans="1:48" s="10" customFormat="1" x14ac:dyDescent="0.55000000000000004">
      <c r="A1269" s="32">
        <v>44944</v>
      </c>
      <c r="B1269" s="33">
        <v>0.36805555555555558</v>
      </c>
      <c r="C1269" s="10" t="s">
        <v>333</v>
      </c>
      <c r="D1269" s="10">
        <v>0</v>
      </c>
      <c r="E1269" s="10" t="s">
        <v>911</v>
      </c>
      <c r="F1269" s="10">
        <v>1</v>
      </c>
      <c r="G1269" s="10" t="s">
        <v>231</v>
      </c>
      <c r="H1269" s="10" t="s">
        <v>233</v>
      </c>
      <c r="I1269" s="10" t="s">
        <v>266</v>
      </c>
      <c r="J1269" s="10">
        <v>38</v>
      </c>
      <c r="K1269" s="12">
        <v>44950</v>
      </c>
      <c r="L1269" s="33">
        <v>0.58976851851851853</v>
      </c>
      <c r="M1269" s="10">
        <v>1</v>
      </c>
      <c r="N1269" s="10" t="s">
        <v>84</v>
      </c>
      <c r="O1269" s="10">
        <v>2.7</v>
      </c>
      <c r="P1269" s="10">
        <v>0.191</v>
      </c>
      <c r="Q1269" s="10">
        <v>127</v>
      </c>
      <c r="R1269" s="10" t="s">
        <v>85</v>
      </c>
      <c r="S1269" s="34">
        <f t="shared" si="139"/>
        <v>175.35908000000001</v>
      </c>
      <c r="T1269" s="10" t="s">
        <v>1087</v>
      </c>
      <c r="U1269" s="34">
        <f t="shared" si="140"/>
        <v>0.41621177538964849</v>
      </c>
      <c r="V1269" s="31" t="str">
        <f>IF(H1269="CHK",VLOOKUP(I1269,QCCHK,3,),IF(H1269="GUP",VLOOKUP(E1269,QCGUP,2,),IF(AND(H1269="ATP",OR(I1269="TN",I1269="TDN",I1269="TNO2-3",I1269="NO2-3")),VLOOKUP(E1269,QCREC_N,2,),IF(AND(H1269="NIC",OR(I1269="TN",I1269="TDN",I1269="TNO2-3",I1269="NO2-3")),VLOOKUP(E1269,QCNIC_N,2,),IF(AND(H1269="UREA",OR(I1269="TN",I1269="TDN",I1269="TNO2-3",I1269="NO2-3")),VLOOKUP(E1269,QCUREA_N,2,),IF(H1269="PER",VLOOKUP(I1269,QCPER,MATCH(E1269,QCACTUAL!$J$25:$AA$25,0),),IF(H1269="SPK",VLOOKUP(I1269,QCSPK,3,),IF(AND(H1269="ATP",OR(I1269="TP",I1269="TDP")),VLOOKUP(E1269,QCATP_P,2,),""))))))))</f>
        <v/>
      </c>
      <c r="W1269" s="31" t="str">
        <f t="shared" si="141"/>
        <v>TRUE</v>
      </c>
      <c r="X1269" s="31" t="str">
        <f t="shared" si="142"/>
        <v>((ABS(rep1-rep2))/((rep1+rep2)/2)*100</v>
      </c>
      <c r="Y1269" s="10" t="s">
        <v>1071</v>
      </c>
      <c r="Z1269" s="10" t="s">
        <v>910</v>
      </c>
      <c r="AF1269" s="12">
        <v>44950</v>
      </c>
      <c r="AG1269" s="10">
        <f>-5.8068*2.7^2+97.248*2.7-48.038</f>
        <v>172.20002800000003</v>
      </c>
      <c r="AH1269" s="10">
        <f>-3.008*2.7^2+89.412*2.7-44.125</f>
        <v>175.35908000000001</v>
      </c>
      <c r="AI1269" s="10">
        <f>2.2125*2.7^2+32.759*2.7-8.5751</f>
        <v>96.003325000000004</v>
      </c>
      <c r="AK1269" s="10">
        <f>0.5642*2.7^2+45.477*2.7-20.207</f>
        <v>106.693918</v>
      </c>
      <c r="AL1269" s="10" t="str">
        <f t="shared" si="144"/>
        <v>FALSE</v>
      </c>
      <c r="AM1269" s="10" t="str">
        <f t="shared" si="144"/>
        <v>y=-3.008*2.7^2+89.412*2.7-44.125</v>
      </c>
      <c r="AN1269" s="10" t="str">
        <f t="shared" si="144"/>
        <v>y=2.2125*2.7^2+32.759*2.7-8.5751</v>
      </c>
      <c r="AO1269" s="10" t="str">
        <f t="shared" si="145"/>
        <v>FALSE</v>
      </c>
      <c r="AP1269" s="10" t="str">
        <f t="shared" si="145"/>
        <v>y=0.5642*2.7^2+45.477*2.7-20.207</v>
      </c>
      <c r="AQ1269" s="10" t="b">
        <f>IF(AND(I1269="TP",S1269&lt;=150),VLOOKUP(AF1269,TPCalibEq150!$AZ$2:$BB$55,3,),IF(AND(I1269="TDP",S1269&lt;=150),VLOOKUP(AF1269,TPCalibEq150!$AZ$2:$BB$55,3,)))</f>
        <v>0</v>
      </c>
      <c r="AR1269" s="10" t="str">
        <f>IF(AND(I1269="TP",S1269&lt;=300),VLOOKUP(AF1269,TPCalibEq300!$AZ$2:$BB$55,3,),IF(AND(I1269="TDP",S1269&lt;=300),VLOOKUP(AF1269,TPCalibEq300!$AZ$2:$BB$55,3,)))</f>
        <v>y=-3.008x2+89.412x-44.125</v>
      </c>
      <c r="AS1269" s="10" t="str">
        <f>IF(AND(I1269="TP",S1269&lt;=500),VLOOKUP(AF1269,TPCalibEq500!$AZ$2:$BB$56,3,),IF(AND(I1269="TDP",S1269&lt;=500),VLOOKUP(AF1269,TPCalibEq500!$AZ$2:$BB$56,3,)))</f>
        <v>y=2.2125x2+32.759x-8.5751</v>
      </c>
      <c r="AT1269" s="10" t="b">
        <f>IF(AND(I1269="TN",S1269&lt;=2800),VLOOKUP(AF1269,TNCalibEq2500!$AZ$2:$BB$56,3,),IF(AND(I1269="TDN",S1269&lt;=2800),VLOOKUP(AF1269,TNCalibEq2500!$AZ$2:$BB$56,3,)))</f>
        <v>0</v>
      </c>
      <c r="AU1269" s="10" t="str">
        <f>IF(I1269="TP",VLOOKUP(AF1269,TPCalibEqFull!$AZ$2:$BB$56,3),IF(I1269="TDP",VLOOKUP(AF1269,TPCalibEqFull!$AZ$2:$BB$56,3),IF(I1269="TDN",VLOOKUP(AF1269,TNCalibEqFull!$AZ$1:$BB$56,3),IF(I1269="TN",VLOOKUP(AF1269,TNCalibEqFull!$AZ$1:$BB$56,3),FALSE))))</f>
        <v>y=0.5642x2+45.477x-20.207</v>
      </c>
      <c r="AV1269" s="10" t="str">
        <f t="shared" si="143"/>
        <v>0118 08:50:00-HST-0-FIL-1-SW-DUP</v>
      </c>
    </row>
    <row r="1270" spans="1:48" s="10" customFormat="1" x14ac:dyDescent="0.55000000000000004">
      <c r="A1270" s="32">
        <v>44944</v>
      </c>
      <c r="B1270" s="33">
        <v>0.36805555555555558</v>
      </c>
      <c r="C1270" s="10" t="s">
        <v>912</v>
      </c>
      <c r="D1270" s="10">
        <v>0</v>
      </c>
      <c r="E1270" s="10" t="s">
        <v>911</v>
      </c>
      <c r="F1270" s="10">
        <v>1</v>
      </c>
      <c r="G1270" s="10" t="s">
        <v>231</v>
      </c>
      <c r="H1270" s="10" t="s">
        <v>314</v>
      </c>
      <c r="I1270" s="10" t="s">
        <v>266</v>
      </c>
      <c r="J1270" s="10">
        <v>60</v>
      </c>
      <c r="K1270" s="12">
        <v>44950</v>
      </c>
      <c r="L1270" s="33">
        <v>0.59046296296296297</v>
      </c>
      <c r="M1270" s="10">
        <v>1</v>
      </c>
      <c r="N1270" s="10" t="s">
        <v>84</v>
      </c>
      <c r="O1270" s="10">
        <v>18.899999999999999</v>
      </c>
      <c r="P1270" s="10">
        <v>1.33</v>
      </c>
      <c r="Q1270" s="10">
        <v>1060</v>
      </c>
      <c r="R1270" s="10" t="s">
        <v>85</v>
      </c>
      <c r="S1270" s="34">
        <f t="shared" si="139"/>
        <v>1060</v>
      </c>
      <c r="T1270" s="10" t="s">
        <v>1087</v>
      </c>
      <c r="U1270" s="34">
        <f t="shared" si="140"/>
        <v>88.464092000000008</v>
      </c>
      <c r="V1270" s="31">
        <f>IF(H1270="CHK",VLOOKUP(I1270,QCCHK,3,),IF(H1270="GUP",VLOOKUP(E1270,QCGUP,2,),IF(AND(H1270="ATP",OR(I1270="TN",I1270="TDN",I1270="TNO2-3",I1270="NO2-3")),VLOOKUP(E1270,QCREC_N,2,),IF(AND(H1270="NIC",OR(I1270="TN",I1270="TDN",I1270="TNO2-3",I1270="NO2-3")),VLOOKUP(E1270,QCNIC_N,2,),IF(AND(H1270="UREA",OR(I1270="TN",I1270="TDN",I1270="TNO2-3",I1270="NO2-3")),VLOOKUP(E1270,QCUREA_N,2,),IF(H1270="PER",VLOOKUP(I1270,QCPER,MATCH(E1270,QCACTUAL!$J$25:$AA$25,0),),IF(H1270="SPK",VLOOKUP(I1270,QCSPK,3,),IF(AND(H1270="ATP",OR(I1270="TP",I1270="TDP")),VLOOKUP(E1270,QCATP_P,2,),""))))))))</f>
        <v>1000</v>
      </c>
      <c r="W1270" s="31" t="str">
        <f t="shared" si="141"/>
        <v>TRUE</v>
      </c>
      <c r="X1270" s="31" t="str">
        <f t="shared" si="142"/>
        <v>([spikedunkn]-[unkn])/[spike]*100</v>
      </c>
      <c r="Y1270" s="10" t="s">
        <v>1071</v>
      </c>
      <c r="Z1270" s="10" t="s">
        <v>910</v>
      </c>
      <c r="AF1270" s="12">
        <v>44950</v>
      </c>
      <c r="AK1270" s="10">
        <f>0.5642*18.9^2+45.477*18.9-20.207</f>
        <v>1040.8461819999998</v>
      </c>
      <c r="AL1270" s="10" t="str">
        <f t="shared" si="144"/>
        <v>FALSE</v>
      </c>
      <c r="AM1270" s="10" t="str">
        <f t="shared" si="144"/>
        <v>FALSE</v>
      </c>
      <c r="AN1270" s="10" t="str">
        <f t="shared" si="144"/>
        <v>FALSE</v>
      </c>
      <c r="AO1270" s="10" t="str">
        <f t="shared" si="145"/>
        <v>FALSE</v>
      </c>
      <c r="AP1270" s="10" t="str">
        <f t="shared" si="145"/>
        <v>y=0.5642*18.9^2+45.477*18.9-20.207</v>
      </c>
      <c r="AQ1270" s="10" t="b">
        <f>IF(AND(I1270="TP",S1270&lt;=150),VLOOKUP(AF1270,TPCalibEq150!$AZ$2:$BB$55,3,),IF(AND(I1270="TDP",S1270&lt;=150),VLOOKUP(AF1270,TPCalibEq150!$AZ$2:$BB$55,3,)))</f>
        <v>0</v>
      </c>
      <c r="AR1270" s="10" t="b">
        <f>IF(AND(I1270="TP",S1270&lt;=300),VLOOKUP(AF1270,TPCalibEq300!$AZ$2:$BB$55,3,),IF(AND(I1270="TDP",S1270&lt;=300),VLOOKUP(AF1270,TPCalibEq300!$AZ$2:$BB$55,3,)))</f>
        <v>0</v>
      </c>
      <c r="AS1270" s="10" t="b">
        <f>IF(AND(I1270="TP",S1270&lt;=500),VLOOKUP(AF1270,TPCalibEq500!$AZ$2:$BB$56,3,),IF(AND(I1270="TDP",S1270&lt;=500),VLOOKUP(AF1270,TPCalibEq500!$AZ$2:$BB$56,3,)))</f>
        <v>0</v>
      </c>
      <c r="AT1270" s="10" t="b">
        <f>IF(AND(I1270="TN",S1270&lt;=2800),VLOOKUP(AF1270,TNCalibEq2500!$AZ$2:$BB$56,3,),IF(AND(I1270="TDN",S1270&lt;=2800),VLOOKUP(AF1270,TNCalibEq2500!$AZ$2:$BB$56,3,)))</f>
        <v>0</v>
      </c>
      <c r="AU1270" s="10" t="str">
        <f>IF(I1270="TP",VLOOKUP(AF1270,TPCalibEqFull!$AZ$2:$BB$56,3),IF(I1270="TDP",VLOOKUP(AF1270,TPCalibEqFull!$AZ$2:$BB$56,3),IF(I1270="TDN",VLOOKUP(AF1270,TNCalibEqFull!$AZ$1:$BB$56,3),IF(I1270="TN",VLOOKUP(AF1270,TNCalibEqFull!$AZ$1:$BB$56,3),FALSE))))</f>
        <v>y=0.5642x2+45.477x-20.207</v>
      </c>
      <c r="AV1270" s="10" t="str">
        <f t="shared" si="143"/>
        <v>0118 08:50:00-HST -0-FIL-1-SW-SPK</v>
      </c>
    </row>
    <row r="1271" spans="1:48" s="10" customFormat="1" x14ac:dyDescent="0.55000000000000004">
      <c r="A1271" s="32">
        <v>44950</v>
      </c>
      <c r="B1271" s="33">
        <v>0.375</v>
      </c>
      <c r="C1271" s="10" t="s">
        <v>70</v>
      </c>
      <c r="D1271" s="10" t="s">
        <v>71</v>
      </c>
      <c r="E1271" s="10" t="s">
        <v>901</v>
      </c>
      <c r="F1271" s="10">
        <v>1</v>
      </c>
      <c r="G1271" s="10" t="s">
        <v>73</v>
      </c>
      <c r="H1271" s="10" t="s">
        <v>207</v>
      </c>
      <c r="I1271" s="10" t="s">
        <v>83</v>
      </c>
      <c r="J1271" s="10">
        <v>200</v>
      </c>
      <c r="K1271" s="12">
        <v>44950</v>
      </c>
      <c r="L1271" s="33">
        <v>0.59115740740740741</v>
      </c>
      <c r="M1271" s="10">
        <v>1</v>
      </c>
      <c r="N1271" s="10" t="s">
        <v>84</v>
      </c>
      <c r="O1271" s="10">
        <v>9.8699999999999992</v>
      </c>
      <c r="P1271" s="10">
        <v>0.70599999999999996</v>
      </c>
      <c r="Q1271" s="10">
        <v>511</v>
      </c>
      <c r="R1271" s="10" t="s">
        <v>85</v>
      </c>
      <c r="S1271" s="34">
        <f t="shared" si="139"/>
        <v>511</v>
      </c>
      <c r="T1271" s="10" t="s">
        <v>1087</v>
      </c>
      <c r="U1271" s="34">
        <f t="shared" si="140"/>
        <v>102.2</v>
      </c>
      <c r="V1271" s="31">
        <f>IF(H1271="CHK",VLOOKUP(I1271,QCCHK,3,),IF(H1271="GUP",VLOOKUP(E1271,QCGUP,2,),IF(AND(H1271="ATP",OR(I1271="TN",I1271="TDN",I1271="TNO2-3",I1271="NO2-3")),VLOOKUP(E1271,QCREC_N,2,),IF(AND(H1271="NIC",OR(I1271="TN",I1271="TDN",I1271="TNO2-3",I1271="NO2-3")),VLOOKUP(E1271,QCNIC_N,2,),IF(AND(H1271="UREA",OR(I1271="TN",I1271="TDN",I1271="TNO2-3",I1271="NO2-3")),VLOOKUP(E1271,QCUREA_N,2,),IF(H1271="PER",VLOOKUP(I1271,QCPER,MATCH(E1271,QCACTUAL!$J$25:$AA$25,0),),IF(H1271="SPK",VLOOKUP(I1271,QCSPK,3,),IF(AND(H1271="ATP",OR(I1271="TP",I1271="TDP")),VLOOKUP(E1271,QCATP_P,2,),""))))))))</f>
        <v>500</v>
      </c>
      <c r="W1271" s="31" t="str">
        <f t="shared" si="141"/>
        <v>TRUE</v>
      </c>
      <c r="X1271" s="31" t="str">
        <f t="shared" si="142"/>
        <v>[chk]/[actual]*100</v>
      </c>
      <c r="Y1271" s="10" t="s">
        <v>1071</v>
      </c>
      <c r="AF1271" s="12">
        <v>44950</v>
      </c>
      <c r="AK1271" s="10">
        <f>0.5642*9.87^2+45.477*9.87-20.207</f>
        <v>483.61360497999993</v>
      </c>
      <c r="AL1271" s="10" t="str">
        <f t="shared" si="144"/>
        <v>FALSE</v>
      </c>
      <c r="AM1271" s="10" t="str">
        <f t="shared" si="144"/>
        <v>FALSE</v>
      </c>
      <c r="AN1271" s="10" t="str">
        <f t="shared" si="144"/>
        <v>FALSE</v>
      </c>
      <c r="AO1271" s="10" t="str">
        <f t="shared" si="145"/>
        <v>FALSE</v>
      </c>
      <c r="AP1271" s="10" t="str">
        <f t="shared" si="145"/>
        <v>y=0.5642*9.87^2+45.477*9.87-20.207</v>
      </c>
      <c r="AQ1271" s="10" t="b">
        <f>IF(AND(I1271="TP",S1271&lt;=150),VLOOKUP(AF1271,TPCalibEq150!$AZ$2:$BB$55,3,),IF(AND(I1271="TDP",S1271&lt;=150),VLOOKUP(AF1271,TPCalibEq150!$AZ$2:$BB$55,3,)))</f>
        <v>0</v>
      </c>
      <c r="AR1271" s="10" t="b">
        <f>IF(AND(I1271="TP",S1271&lt;=300),VLOOKUP(AF1271,TPCalibEq300!$AZ$2:$BB$55,3,),IF(AND(I1271="TDP",S1271&lt;=300),VLOOKUP(AF1271,TPCalibEq300!$AZ$2:$BB$55,3,)))</f>
        <v>0</v>
      </c>
      <c r="AS1271" s="10" t="b">
        <f>IF(AND(I1271="TP",S1271&lt;=500),VLOOKUP(AF1271,TPCalibEq500!$AZ$2:$BB$56,3,),IF(AND(I1271="TDP",S1271&lt;=500),VLOOKUP(AF1271,TPCalibEq500!$AZ$2:$BB$56,3,)))</f>
        <v>0</v>
      </c>
      <c r="AT1271" s="10" t="b">
        <f>IF(AND(I1271="TN",S1271&lt;=2800),VLOOKUP(AF1271,TNCalibEq2500!$AZ$2:$BB$56,3,),IF(AND(I1271="TDN",S1271&lt;=2800),VLOOKUP(AF1271,TNCalibEq2500!$AZ$2:$BB$56,3,)))</f>
        <v>0</v>
      </c>
      <c r="AU1271" s="10" t="str">
        <f>IF(I1271="TP",VLOOKUP(AF1271,TPCalibEqFull!$AZ$2:$BB$56,3),IF(I1271="TDP",VLOOKUP(AF1271,TPCalibEqFull!$AZ$2:$BB$56,3),IF(I1271="TDN",VLOOKUP(AF1271,TNCalibEqFull!$AZ$1:$BB$56,3),IF(I1271="TN",VLOOKUP(AF1271,TNCalibEqFull!$AZ$1:$BB$56,3),FALSE))))</f>
        <v>y=0.5642x2+45.477x-20.207</v>
      </c>
      <c r="AV1271" s="10" t="str">
        <f t="shared" si="143"/>
        <v>0124 09:00:00-QAC-STD-D-1-DI-CHK</v>
      </c>
    </row>
    <row r="1272" spans="1:48" s="10" customFormat="1" x14ac:dyDescent="0.55000000000000004">
      <c r="A1272" s="32">
        <v>44945</v>
      </c>
      <c r="B1272" s="33">
        <v>0.56041666666666667</v>
      </c>
      <c r="C1272" s="10" t="s">
        <v>279</v>
      </c>
      <c r="D1272" s="10">
        <v>0</v>
      </c>
      <c r="E1272" s="10" t="s">
        <v>911</v>
      </c>
      <c r="F1272" s="10">
        <v>1</v>
      </c>
      <c r="G1272" s="10" t="s">
        <v>231</v>
      </c>
      <c r="H1272" s="10" t="s">
        <v>322</v>
      </c>
      <c r="I1272" s="10" t="s">
        <v>266</v>
      </c>
      <c r="J1272" s="10">
        <v>39</v>
      </c>
      <c r="K1272" s="12">
        <v>44950</v>
      </c>
      <c r="L1272" s="33">
        <v>0.59185185185185185</v>
      </c>
      <c r="M1272" s="10">
        <v>1</v>
      </c>
      <c r="N1272" s="10" t="s">
        <v>84</v>
      </c>
      <c r="O1272" s="10">
        <v>3.06</v>
      </c>
      <c r="P1272" s="10">
        <v>0.222</v>
      </c>
      <c r="Q1272" s="10">
        <v>145</v>
      </c>
      <c r="R1272" s="10" t="s">
        <v>85</v>
      </c>
      <c r="S1272" s="34">
        <f t="shared" si="139"/>
        <v>201.31001120000002</v>
      </c>
      <c r="T1272" s="10" t="s">
        <v>1087</v>
      </c>
      <c r="U1272" s="34" t="str">
        <f t="shared" si="140"/>
        <v/>
      </c>
      <c r="V1272" s="31" t="str">
        <f>IF(H1272="CHK",VLOOKUP(I1272,QCCHK,3,),IF(H1272="GUP",VLOOKUP(E1272,QCGUP,2,),IF(AND(H1272="ATP",OR(I1272="TN",I1272="TDN",I1272="TNO2-3",I1272="NO2-3")),VLOOKUP(E1272,QCREC_N,2,),IF(AND(H1272="NIC",OR(I1272="TN",I1272="TDN",I1272="TNO2-3",I1272="NO2-3")),VLOOKUP(E1272,QCNIC_N,2,),IF(AND(H1272="UREA",OR(I1272="TN",I1272="TDN",I1272="TNO2-3",I1272="NO2-3")),VLOOKUP(E1272,QCUREA_N,2,),IF(H1272="PER",VLOOKUP(I1272,QCPER,MATCH(E1272,QCACTUAL!$J$25:$AA$25,0),),IF(H1272="SPK",VLOOKUP(I1272,QCSPK,3,),IF(AND(H1272="ATP",OR(I1272="TP",I1272="TDP")),VLOOKUP(E1272,QCATP_P,2,),""))))))))</f>
        <v/>
      </c>
      <c r="W1272" s="31" t="str">
        <f t="shared" si="141"/>
        <v>TRUE</v>
      </c>
      <c r="X1272" s="31" t="str">
        <f t="shared" si="142"/>
        <v/>
      </c>
      <c r="Y1272" s="10" t="s">
        <v>1071</v>
      </c>
      <c r="Z1272" s="10" t="s">
        <v>910</v>
      </c>
      <c r="AF1272" s="12">
        <v>44950</v>
      </c>
      <c r="AG1272" s="10">
        <f>-5.8068*3.06^2+97.248*3.06-48.038</f>
        <v>195.16832752000005</v>
      </c>
      <c r="AH1272" s="10">
        <f>-3.008*3.06^2+89.412*3.06-44.125</f>
        <v>201.31001120000002</v>
      </c>
      <c r="AI1272" s="10">
        <f>2.2125*3.06^2+32.759*3.06-8.5751</f>
        <v>112.384405</v>
      </c>
      <c r="AK1272" s="10">
        <f>0.5642*3.06^2+45.477*3.06-20.207</f>
        <v>124.23556311999999</v>
      </c>
      <c r="AL1272" s="10" t="str">
        <f t="shared" si="144"/>
        <v>FALSE</v>
      </c>
      <c r="AM1272" s="10" t="str">
        <f t="shared" si="144"/>
        <v>y=-3.008*3.06^2+89.412*3.06-44.125</v>
      </c>
      <c r="AN1272" s="10" t="str">
        <f t="shared" si="144"/>
        <v>y=2.2125*3.06^2+32.759*3.06-8.5751</v>
      </c>
      <c r="AO1272" s="10" t="str">
        <f t="shared" si="145"/>
        <v>FALSE</v>
      </c>
      <c r="AP1272" s="10" t="str">
        <f t="shared" si="145"/>
        <v>y=0.5642*3.06^2+45.477*3.06-20.207</v>
      </c>
      <c r="AQ1272" s="10" t="b">
        <f>IF(AND(I1272="TP",S1272&lt;=150),VLOOKUP(AF1272,TPCalibEq150!$AZ$2:$BB$55,3,),IF(AND(I1272="TDP",S1272&lt;=150),VLOOKUP(AF1272,TPCalibEq150!$AZ$2:$BB$55,3,)))</f>
        <v>0</v>
      </c>
      <c r="AR1272" s="10" t="str">
        <f>IF(AND(I1272="TP",S1272&lt;=300),VLOOKUP(AF1272,TPCalibEq300!$AZ$2:$BB$55,3,),IF(AND(I1272="TDP",S1272&lt;=300),VLOOKUP(AF1272,TPCalibEq300!$AZ$2:$BB$55,3,)))</f>
        <v>y=-3.008x2+89.412x-44.125</v>
      </c>
      <c r="AS1272" s="10" t="str">
        <f>IF(AND(I1272="TP",S1272&lt;=500),VLOOKUP(AF1272,TPCalibEq500!$AZ$2:$BB$56,3,),IF(AND(I1272="TDP",S1272&lt;=500),VLOOKUP(AF1272,TPCalibEq500!$AZ$2:$BB$56,3,)))</f>
        <v>y=2.2125x2+32.759x-8.5751</v>
      </c>
      <c r="AT1272" s="10" t="b">
        <f>IF(AND(I1272="TN",S1272&lt;=2800),VLOOKUP(AF1272,TNCalibEq2500!$AZ$2:$BB$56,3,),IF(AND(I1272="TDN",S1272&lt;=2800),VLOOKUP(AF1272,TNCalibEq2500!$AZ$2:$BB$56,3,)))</f>
        <v>0</v>
      </c>
      <c r="AU1272" s="10" t="str">
        <f>IF(I1272="TP",VLOOKUP(AF1272,TPCalibEqFull!$AZ$2:$BB$56,3),IF(I1272="TDP",VLOOKUP(AF1272,TPCalibEqFull!$AZ$2:$BB$56,3),IF(I1272="TDN",VLOOKUP(AF1272,TNCalibEqFull!$AZ$1:$BB$56,3),IF(I1272="TN",VLOOKUP(AF1272,TNCalibEqFull!$AZ$1:$BB$56,3),FALSE))))</f>
        <v>y=0.5642x2+45.477x-20.207</v>
      </c>
      <c r="AV1272" s="10" t="str">
        <f t="shared" si="143"/>
        <v>0119 13:27:00-EFK-0-FIL-1-SW-UKN</v>
      </c>
    </row>
    <row r="1273" spans="1:48" s="10" customFormat="1" x14ac:dyDescent="0.55000000000000004">
      <c r="A1273" s="32">
        <v>44945</v>
      </c>
      <c r="B1273" s="33">
        <v>0.56736111111111109</v>
      </c>
      <c r="C1273" s="10" t="s">
        <v>333</v>
      </c>
      <c r="D1273" s="10">
        <v>0</v>
      </c>
      <c r="E1273" s="10" t="s">
        <v>911</v>
      </c>
      <c r="F1273" s="10">
        <v>1</v>
      </c>
      <c r="G1273" s="10" t="s">
        <v>231</v>
      </c>
      <c r="H1273" s="10" t="s">
        <v>322</v>
      </c>
      <c r="I1273" s="10" t="s">
        <v>266</v>
      </c>
      <c r="J1273" s="10">
        <v>40</v>
      </c>
      <c r="K1273" s="12">
        <v>44950</v>
      </c>
      <c r="L1273" s="33">
        <v>0.59254629629629629</v>
      </c>
      <c r="M1273" s="10">
        <v>1</v>
      </c>
      <c r="N1273" s="10" t="s">
        <v>84</v>
      </c>
      <c r="O1273" s="10">
        <v>3.06</v>
      </c>
      <c r="P1273" s="10">
        <v>0.217</v>
      </c>
      <c r="Q1273" s="10">
        <v>145</v>
      </c>
      <c r="R1273" s="10" t="s">
        <v>85</v>
      </c>
      <c r="S1273" s="34">
        <f t="shared" si="139"/>
        <v>201.31001120000002</v>
      </c>
      <c r="T1273" s="10" t="s">
        <v>1087</v>
      </c>
      <c r="U1273" s="34" t="str">
        <f t="shared" si="140"/>
        <v/>
      </c>
      <c r="V1273" s="31" t="str">
        <f>IF(H1273="CHK",VLOOKUP(I1273,QCCHK,3,),IF(H1273="GUP",VLOOKUP(E1273,QCGUP,2,),IF(AND(H1273="ATP",OR(I1273="TN",I1273="TDN",I1273="TNO2-3",I1273="NO2-3")),VLOOKUP(E1273,QCREC_N,2,),IF(AND(H1273="NIC",OR(I1273="TN",I1273="TDN",I1273="TNO2-3",I1273="NO2-3")),VLOOKUP(E1273,QCNIC_N,2,),IF(AND(H1273="UREA",OR(I1273="TN",I1273="TDN",I1273="TNO2-3",I1273="NO2-3")),VLOOKUP(E1273,QCUREA_N,2,),IF(H1273="PER",VLOOKUP(I1273,QCPER,MATCH(E1273,QCACTUAL!$J$25:$AA$25,0),),IF(H1273="SPK",VLOOKUP(I1273,QCSPK,3,),IF(AND(H1273="ATP",OR(I1273="TP",I1273="TDP")),VLOOKUP(E1273,QCATP_P,2,),""))))))))</f>
        <v/>
      </c>
      <c r="W1273" s="31" t="str">
        <f t="shared" si="141"/>
        <v>TRUE</v>
      </c>
      <c r="X1273" s="31" t="str">
        <f t="shared" si="142"/>
        <v/>
      </c>
      <c r="Y1273" s="10" t="s">
        <v>1071</v>
      </c>
      <c r="Z1273" s="10" t="s">
        <v>910</v>
      </c>
      <c r="AF1273" s="12">
        <v>44950</v>
      </c>
      <c r="AG1273" s="10">
        <f>-5.8068*3.06^2+97.248*3.06-48.038</f>
        <v>195.16832752000005</v>
      </c>
      <c r="AH1273" s="10">
        <f>-3.008*3.06^2+89.412*3.06-44.125</f>
        <v>201.31001120000002</v>
      </c>
      <c r="AI1273" s="10">
        <f>2.2125*3.06^2+32.759*3.06-8.5751</f>
        <v>112.384405</v>
      </c>
      <c r="AK1273" s="10">
        <f>0.5642*3.06^2+45.477*3.06-20.207</f>
        <v>124.23556311999999</v>
      </c>
      <c r="AL1273" s="10" t="str">
        <f t="shared" si="144"/>
        <v>FALSE</v>
      </c>
      <c r="AM1273" s="10" t="str">
        <f t="shared" si="144"/>
        <v>y=-3.008*3.06^2+89.412*3.06-44.125</v>
      </c>
      <c r="AN1273" s="10" t="str">
        <f t="shared" si="144"/>
        <v>y=2.2125*3.06^2+32.759*3.06-8.5751</v>
      </c>
      <c r="AO1273" s="10" t="str">
        <f t="shared" si="145"/>
        <v>FALSE</v>
      </c>
      <c r="AP1273" s="10" t="str">
        <f t="shared" si="145"/>
        <v>y=0.5642*3.06^2+45.477*3.06-20.207</v>
      </c>
      <c r="AQ1273" s="10" t="b">
        <f>IF(AND(I1273="TP",S1273&lt;=150),VLOOKUP(AF1273,TPCalibEq150!$AZ$2:$BB$55,3,),IF(AND(I1273="TDP",S1273&lt;=150),VLOOKUP(AF1273,TPCalibEq150!$AZ$2:$BB$55,3,)))</f>
        <v>0</v>
      </c>
      <c r="AR1273" s="10" t="str">
        <f>IF(AND(I1273="TP",S1273&lt;=300),VLOOKUP(AF1273,TPCalibEq300!$AZ$2:$BB$55,3,),IF(AND(I1273="TDP",S1273&lt;=300),VLOOKUP(AF1273,TPCalibEq300!$AZ$2:$BB$55,3,)))</f>
        <v>y=-3.008x2+89.412x-44.125</v>
      </c>
      <c r="AS1273" s="10" t="str">
        <f>IF(AND(I1273="TP",S1273&lt;=500),VLOOKUP(AF1273,TPCalibEq500!$AZ$2:$BB$56,3,),IF(AND(I1273="TDP",S1273&lt;=500),VLOOKUP(AF1273,TPCalibEq500!$AZ$2:$BB$56,3,)))</f>
        <v>y=2.2125x2+32.759x-8.5751</v>
      </c>
      <c r="AT1273" s="10" t="b">
        <f>IF(AND(I1273="TN",S1273&lt;=2800),VLOOKUP(AF1273,TNCalibEq2500!$AZ$2:$BB$56,3,),IF(AND(I1273="TDN",S1273&lt;=2800),VLOOKUP(AF1273,TNCalibEq2500!$AZ$2:$BB$56,3,)))</f>
        <v>0</v>
      </c>
      <c r="AU1273" s="10" t="str">
        <f>IF(I1273="TP",VLOOKUP(AF1273,TPCalibEqFull!$AZ$2:$BB$56,3),IF(I1273="TDP",VLOOKUP(AF1273,TPCalibEqFull!$AZ$2:$BB$56,3),IF(I1273="TDN",VLOOKUP(AF1273,TNCalibEqFull!$AZ$1:$BB$56,3),IF(I1273="TN",VLOOKUP(AF1273,TNCalibEqFull!$AZ$1:$BB$56,3),FALSE))))</f>
        <v>y=0.5642x2+45.477x-20.207</v>
      </c>
      <c r="AV1273" s="10" t="str">
        <f t="shared" si="143"/>
        <v>0119 13:37:00-HST-0-FIL-1-SW-UKN</v>
      </c>
    </row>
    <row r="1274" spans="1:48" s="10" customFormat="1" x14ac:dyDescent="0.55000000000000004">
      <c r="A1274" s="32">
        <v>44946</v>
      </c>
      <c r="B1274" s="33">
        <v>0.37013888888888885</v>
      </c>
      <c r="C1274" s="10" t="s">
        <v>279</v>
      </c>
      <c r="D1274" s="10">
        <v>0</v>
      </c>
      <c r="E1274" s="10" t="s">
        <v>911</v>
      </c>
      <c r="F1274" s="10">
        <v>1</v>
      </c>
      <c r="G1274" s="10" t="s">
        <v>231</v>
      </c>
      <c r="H1274" s="10" t="s">
        <v>322</v>
      </c>
      <c r="I1274" s="10" t="s">
        <v>266</v>
      </c>
      <c r="J1274" s="10">
        <v>41</v>
      </c>
      <c r="K1274" s="12">
        <v>44950</v>
      </c>
      <c r="L1274" s="33">
        <v>0.59324074074074074</v>
      </c>
      <c r="M1274" s="10">
        <v>1</v>
      </c>
      <c r="N1274" s="10" t="s">
        <v>84</v>
      </c>
      <c r="O1274" s="10">
        <v>2.62</v>
      </c>
      <c r="P1274" s="10">
        <v>0.185</v>
      </c>
      <c r="Q1274" s="10">
        <v>123</v>
      </c>
      <c r="R1274" s="10" t="s">
        <v>85</v>
      </c>
      <c r="S1274" s="34">
        <f t="shared" si="139"/>
        <v>169.48632480000001</v>
      </c>
      <c r="T1274" s="10" t="s">
        <v>1087</v>
      </c>
      <c r="U1274" s="34" t="str">
        <f t="shared" si="140"/>
        <v/>
      </c>
      <c r="V1274" s="31" t="str">
        <f>IF(H1274="CHK",VLOOKUP(I1274,QCCHK,3,),IF(H1274="GUP",VLOOKUP(E1274,QCGUP,2,),IF(AND(H1274="ATP",OR(I1274="TN",I1274="TDN",I1274="TNO2-3",I1274="NO2-3")),VLOOKUP(E1274,QCREC_N,2,),IF(AND(H1274="NIC",OR(I1274="TN",I1274="TDN",I1274="TNO2-3",I1274="NO2-3")),VLOOKUP(E1274,QCNIC_N,2,),IF(AND(H1274="UREA",OR(I1274="TN",I1274="TDN",I1274="TNO2-3",I1274="NO2-3")),VLOOKUP(E1274,QCUREA_N,2,),IF(H1274="PER",VLOOKUP(I1274,QCPER,MATCH(E1274,QCACTUAL!$J$25:$AA$25,0),),IF(H1274="SPK",VLOOKUP(I1274,QCSPK,3,),IF(AND(H1274="ATP",OR(I1274="TP",I1274="TDP")),VLOOKUP(E1274,QCATP_P,2,),""))))))))</f>
        <v/>
      </c>
      <c r="W1274" s="31" t="str">
        <f t="shared" si="141"/>
        <v>TRUE</v>
      </c>
      <c r="X1274" s="31" t="str">
        <f t="shared" si="142"/>
        <v/>
      </c>
      <c r="Y1274" s="10" t="s">
        <v>1071</v>
      </c>
      <c r="Z1274" s="10" t="s">
        <v>910</v>
      </c>
      <c r="AF1274" s="12">
        <v>44950</v>
      </c>
      <c r="AG1274" s="10">
        <f>-5.8068*2.62^2+97.248*2.62-48.038</f>
        <v>166.89156208000003</v>
      </c>
      <c r="AH1274" s="10">
        <f>-3.008*2.62^2+89.412*2.62-44.125</f>
        <v>169.48632480000001</v>
      </c>
      <c r="AI1274" s="10">
        <f>2.2125*2.62^2+32.759*2.62-8.5751</f>
        <v>92.440964999999991</v>
      </c>
      <c r="AK1274" s="10">
        <f>0.5642*2.62^2+45.477*2.62-20.207</f>
        <v>102.81563448</v>
      </c>
      <c r="AL1274" s="10" t="str">
        <f t="shared" si="144"/>
        <v>FALSE</v>
      </c>
      <c r="AM1274" s="10" t="str">
        <f t="shared" si="144"/>
        <v>y=-3.008*2.62^2+89.412*2.62-44.125</v>
      </c>
      <c r="AN1274" s="10" t="str">
        <f t="shared" si="144"/>
        <v>y=2.2125*2.62^2+32.759*2.62-8.5751</v>
      </c>
      <c r="AO1274" s="10" t="str">
        <f t="shared" si="145"/>
        <v>FALSE</v>
      </c>
      <c r="AP1274" s="10" t="str">
        <f t="shared" si="145"/>
        <v>y=0.5642*2.62^2+45.477*2.62-20.207</v>
      </c>
      <c r="AQ1274" s="10" t="b">
        <f>IF(AND(I1274="TP",S1274&lt;=150),VLOOKUP(AF1274,TPCalibEq150!$AZ$2:$BB$55,3,),IF(AND(I1274="TDP",S1274&lt;=150),VLOOKUP(AF1274,TPCalibEq150!$AZ$2:$BB$55,3,)))</f>
        <v>0</v>
      </c>
      <c r="AR1274" s="10" t="str">
        <f>IF(AND(I1274="TP",S1274&lt;=300),VLOOKUP(AF1274,TPCalibEq300!$AZ$2:$BB$55,3,),IF(AND(I1274="TDP",S1274&lt;=300),VLOOKUP(AF1274,TPCalibEq300!$AZ$2:$BB$55,3,)))</f>
        <v>y=-3.008x2+89.412x-44.125</v>
      </c>
      <c r="AS1274" s="10" t="str">
        <f>IF(AND(I1274="TP",S1274&lt;=500),VLOOKUP(AF1274,TPCalibEq500!$AZ$2:$BB$56,3,),IF(AND(I1274="TDP",S1274&lt;=500),VLOOKUP(AF1274,TPCalibEq500!$AZ$2:$BB$56,3,)))</f>
        <v>y=2.2125x2+32.759x-8.5751</v>
      </c>
      <c r="AT1274" s="10" t="b">
        <f>IF(AND(I1274="TN",S1274&lt;=2800),VLOOKUP(AF1274,TNCalibEq2500!$AZ$2:$BB$56,3,),IF(AND(I1274="TDN",S1274&lt;=2800),VLOOKUP(AF1274,TNCalibEq2500!$AZ$2:$BB$56,3,)))</f>
        <v>0</v>
      </c>
      <c r="AU1274" s="10" t="str">
        <f>IF(I1274="TP",VLOOKUP(AF1274,TPCalibEqFull!$AZ$2:$BB$56,3),IF(I1274="TDP",VLOOKUP(AF1274,TPCalibEqFull!$AZ$2:$BB$56,3),IF(I1274="TDN",VLOOKUP(AF1274,TNCalibEqFull!$AZ$1:$BB$56,3),IF(I1274="TN",VLOOKUP(AF1274,TNCalibEqFull!$AZ$1:$BB$56,3),FALSE))))</f>
        <v>y=0.5642x2+45.477x-20.207</v>
      </c>
      <c r="AV1274" s="10" t="str">
        <f t="shared" si="143"/>
        <v>0120 08:53:00-EFK-0-FIL-1-SW-UKN</v>
      </c>
    </row>
    <row r="1275" spans="1:48" s="10" customFormat="1" x14ac:dyDescent="0.55000000000000004">
      <c r="A1275" s="32">
        <v>44946</v>
      </c>
      <c r="B1275" s="33">
        <v>0.37291666666666662</v>
      </c>
      <c r="C1275" s="10" t="s">
        <v>333</v>
      </c>
      <c r="D1275" s="10">
        <v>0</v>
      </c>
      <c r="E1275" s="10" t="s">
        <v>911</v>
      </c>
      <c r="F1275" s="10">
        <v>1</v>
      </c>
      <c r="G1275" s="10" t="s">
        <v>231</v>
      </c>
      <c r="H1275" s="10" t="s">
        <v>322</v>
      </c>
      <c r="I1275" s="10" t="s">
        <v>266</v>
      </c>
      <c r="J1275" s="10">
        <v>42</v>
      </c>
      <c r="K1275" s="12">
        <v>44950</v>
      </c>
      <c r="L1275" s="33">
        <v>0.59392361111111114</v>
      </c>
      <c r="M1275" s="10">
        <v>1</v>
      </c>
      <c r="N1275" s="10" t="s">
        <v>84</v>
      </c>
      <c r="O1275" s="10">
        <v>2.85</v>
      </c>
      <c r="P1275" s="10">
        <v>0.20200000000000001</v>
      </c>
      <c r="Q1275" s="10">
        <v>135</v>
      </c>
      <c r="R1275" s="10" t="s">
        <v>85</v>
      </c>
      <c r="S1275" s="34">
        <f t="shared" si="139"/>
        <v>186.26672000000002</v>
      </c>
      <c r="T1275" s="10" t="s">
        <v>1087</v>
      </c>
      <c r="U1275" s="34" t="str">
        <f t="shared" si="140"/>
        <v/>
      </c>
      <c r="V1275" s="31" t="str">
        <f>IF(H1275="CHK",VLOOKUP(I1275,QCCHK,3,),IF(H1275="GUP",VLOOKUP(E1275,QCGUP,2,),IF(AND(H1275="ATP",OR(I1275="TN",I1275="TDN",I1275="TNO2-3",I1275="NO2-3")),VLOOKUP(E1275,QCREC_N,2,),IF(AND(H1275="NIC",OR(I1275="TN",I1275="TDN",I1275="TNO2-3",I1275="NO2-3")),VLOOKUP(E1275,QCNIC_N,2,),IF(AND(H1275="UREA",OR(I1275="TN",I1275="TDN",I1275="TNO2-3",I1275="NO2-3")),VLOOKUP(E1275,QCUREA_N,2,),IF(H1275="PER",VLOOKUP(I1275,QCPER,MATCH(E1275,QCACTUAL!$J$25:$AA$25,0),),IF(H1275="SPK",VLOOKUP(I1275,QCSPK,3,),IF(AND(H1275="ATP",OR(I1275="TP",I1275="TDP")),VLOOKUP(E1275,QCATP_P,2,),""))))))))</f>
        <v/>
      </c>
      <c r="W1275" s="31" t="str">
        <f t="shared" si="141"/>
        <v>TRUE</v>
      </c>
      <c r="X1275" s="31" t="str">
        <f t="shared" si="142"/>
        <v/>
      </c>
      <c r="Y1275" s="10" t="s">
        <v>1071</v>
      </c>
      <c r="Z1275" s="10" t="s">
        <v>910</v>
      </c>
      <c r="AF1275" s="12">
        <v>44950</v>
      </c>
      <c r="AG1275" s="10">
        <f>-5.8068*2.85^2+97.248*2.85-48.038</f>
        <v>181.95306700000003</v>
      </c>
      <c r="AH1275" s="10">
        <f>-3.008*2.85^2+89.412*2.85-44.125</f>
        <v>186.26672000000002</v>
      </c>
      <c r="AI1275" s="10">
        <f>2.2125*2.85^2+32.759*2.85-8.5751</f>
        <v>102.75908124999999</v>
      </c>
      <c r="AK1275" s="10">
        <f>0.5642*2.85^2+45.477*2.85-20.207</f>
        <v>113.9851645</v>
      </c>
      <c r="AL1275" s="10" t="str">
        <f t="shared" si="144"/>
        <v>FALSE</v>
      </c>
      <c r="AM1275" s="10" t="str">
        <f t="shared" si="144"/>
        <v>y=-3.008*2.85^2+89.412*2.85-44.125</v>
      </c>
      <c r="AN1275" s="10" t="str">
        <f t="shared" si="144"/>
        <v>y=2.2125*2.85^2+32.759*2.85-8.5751</v>
      </c>
      <c r="AO1275" s="10" t="str">
        <f t="shared" si="145"/>
        <v>FALSE</v>
      </c>
      <c r="AP1275" s="10" t="str">
        <f t="shared" si="145"/>
        <v>y=0.5642*2.85^2+45.477*2.85-20.207</v>
      </c>
      <c r="AQ1275" s="10" t="b">
        <f>IF(AND(I1275="TP",S1275&lt;=150),VLOOKUP(AF1275,TPCalibEq150!$AZ$2:$BB$55,3,),IF(AND(I1275="TDP",S1275&lt;=150),VLOOKUP(AF1275,TPCalibEq150!$AZ$2:$BB$55,3,)))</f>
        <v>0</v>
      </c>
      <c r="AR1275" s="10" t="str">
        <f>IF(AND(I1275="TP",S1275&lt;=300),VLOOKUP(AF1275,TPCalibEq300!$AZ$2:$BB$55,3,),IF(AND(I1275="TDP",S1275&lt;=300),VLOOKUP(AF1275,TPCalibEq300!$AZ$2:$BB$55,3,)))</f>
        <v>y=-3.008x2+89.412x-44.125</v>
      </c>
      <c r="AS1275" s="10" t="str">
        <f>IF(AND(I1275="TP",S1275&lt;=500),VLOOKUP(AF1275,TPCalibEq500!$AZ$2:$BB$56,3,),IF(AND(I1275="TDP",S1275&lt;=500),VLOOKUP(AF1275,TPCalibEq500!$AZ$2:$BB$56,3,)))</f>
        <v>y=2.2125x2+32.759x-8.5751</v>
      </c>
      <c r="AT1275" s="10" t="b">
        <f>IF(AND(I1275="TN",S1275&lt;=2800),VLOOKUP(AF1275,TNCalibEq2500!$AZ$2:$BB$56,3,),IF(AND(I1275="TDN",S1275&lt;=2800),VLOOKUP(AF1275,TNCalibEq2500!$AZ$2:$BB$56,3,)))</f>
        <v>0</v>
      </c>
      <c r="AU1275" s="10" t="str">
        <f>IF(I1275="TP",VLOOKUP(AF1275,TPCalibEqFull!$AZ$2:$BB$56,3),IF(I1275="TDP",VLOOKUP(AF1275,TPCalibEqFull!$AZ$2:$BB$56,3),IF(I1275="TDN",VLOOKUP(AF1275,TNCalibEqFull!$AZ$1:$BB$56,3),IF(I1275="TN",VLOOKUP(AF1275,TNCalibEqFull!$AZ$1:$BB$56,3),FALSE))))</f>
        <v>y=0.5642x2+45.477x-20.207</v>
      </c>
      <c r="AV1275" s="10" t="str">
        <f t="shared" si="143"/>
        <v>0120 08:57:00-HST-0-FIL-1-SW-UKN</v>
      </c>
    </row>
    <row r="1276" spans="1:48" s="10" customFormat="1" x14ac:dyDescent="0.55000000000000004">
      <c r="A1276" s="32">
        <v>44943</v>
      </c>
      <c r="B1276" s="33">
        <v>0.36736111111111108</v>
      </c>
      <c r="C1276" s="10" t="s">
        <v>998</v>
      </c>
      <c r="D1276" s="10">
        <v>0</v>
      </c>
      <c r="E1276" s="10" t="s">
        <v>911</v>
      </c>
      <c r="F1276" s="10">
        <v>1</v>
      </c>
      <c r="G1276" s="10" t="s">
        <v>231</v>
      </c>
      <c r="H1276" s="10" t="s">
        <v>322</v>
      </c>
      <c r="I1276" s="10" t="s">
        <v>266</v>
      </c>
      <c r="J1276" s="10">
        <v>43</v>
      </c>
      <c r="K1276" s="12">
        <v>44950</v>
      </c>
      <c r="L1276" s="33">
        <v>0.59461805555555558</v>
      </c>
      <c r="M1276" s="10">
        <v>1</v>
      </c>
      <c r="N1276" s="10" t="s">
        <v>84</v>
      </c>
      <c r="O1276" s="10">
        <v>3.3</v>
      </c>
      <c r="P1276" s="10">
        <v>0.23699999999999999</v>
      </c>
      <c r="Q1276" s="10">
        <v>158</v>
      </c>
      <c r="R1276" s="10" t="s">
        <v>85</v>
      </c>
      <c r="S1276" s="34">
        <f t="shared" si="139"/>
        <v>218.17748</v>
      </c>
      <c r="T1276" s="10" t="s">
        <v>1087</v>
      </c>
      <c r="U1276" s="34" t="str">
        <f t="shared" si="140"/>
        <v/>
      </c>
      <c r="V1276" s="31" t="str">
        <f>IF(H1276="CHK",VLOOKUP(I1276,QCCHK,3,),IF(H1276="GUP",VLOOKUP(E1276,QCGUP,2,),IF(AND(H1276="ATP",OR(I1276="TN",I1276="TDN",I1276="TNO2-3",I1276="NO2-3")),VLOOKUP(E1276,QCREC_N,2,),IF(AND(H1276="NIC",OR(I1276="TN",I1276="TDN",I1276="TNO2-3",I1276="NO2-3")),VLOOKUP(E1276,QCNIC_N,2,),IF(AND(H1276="UREA",OR(I1276="TN",I1276="TDN",I1276="TNO2-3",I1276="NO2-3")),VLOOKUP(E1276,QCUREA_N,2,),IF(H1276="PER",VLOOKUP(I1276,QCPER,MATCH(E1276,QCACTUAL!$J$25:$AA$25,0),),IF(H1276="SPK",VLOOKUP(I1276,QCSPK,3,),IF(AND(H1276="ATP",OR(I1276="TP",I1276="TDP")),VLOOKUP(E1276,QCATP_P,2,),""))))))))</f>
        <v/>
      </c>
      <c r="W1276" s="31" t="str">
        <f t="shared" si="141"/>
        <v>TRUE</v>
      </c>
      <c r="X1276" s="31" t="str">
        <f t="shared" si="142"/>
        <v/>
      </c>
      <c r="Y1276" s="10" t="s">
        <v>1071</v>
      </c>
      <c r="Z1276" s="10" t="s">
        <v>910</v>
      </c>
      <c r="AF1276" s="12">
        <v>44950</v>
      </c>
      <c r="AH1276" s="10">
        <f>-3.008*3.3^2+89.412*3.3-44.125</f>
        <v>218.17748</v>
      </c>
      <c r="AI1276" s="10">
        <f>2.2125*3.3^2+32.759*3.3-8.5751</f>
        <v>123.62372499999999</v>
      </c>
      <c r="AK1276" s="10">
        <f>0.5642*3.3^2+45.477*3.3-20.207</f>
        <v>136.01123799999999</v>
      </c>
      <c r="AL1276" s="10" t="str">
        <f t="shared" si="144"/>
        <v>FALSE</v>
      </c>
      <c r="AM1276" s="10" t="str">
        <f t="shared" si="144"/>
        <v>y=-3.008*3.3^2+89.412*3.3-44.125</v>
      </c>
      <c r="AN1276" s="10" t="str">
        <f t="shared" si="144"/>
        <v>y=2.2125*3.3^2+32.759*3.3-8.5751</v>
      </c>
      <c r="AO1276" s="10" t="str">
        <f t="shared" si="145"/>
        <v>FALSE</v>
      </c>
      <c r="AP1276" s="10" t="str">
        <f t="shared" si="145"/>
        <v>y=0.5642*3.3^2+45.477*3.3-20.207</v>
      </c>
      <c r="AQ1276" s="10" t="b">
        <f>IF(AND(I1276="TP",S1276&lt;=150),VLOOKUP(AF1276,TPCalibEq150!$AZ$2:$BB$55,3,),IF(AND(I1276="TDP",S1276&lt;=150),VLOOKUP(AF1276,TPCalibEq150!$AZ$2:$BB$55,3,)))</f>
        <v>0</v>
      </c>
      <c r="AR1276" s="10" t="str">
        <f>IF(AND(I1276="TP",S1276&lt;=300),VLOOKUP(AF1276,TPCalibEq300!$AZ$2:$BB$55,3,),IF(AND(I1276="TDP",S1276&lt;=300),VLOOKUP(AF1276,TPCalibEq300!$AZ$2:$BB$55,3,)))</f>
        <v>y=-3.008x2+89.412x-44.125</v>
      </c>
      <c r="AS1276" s="10" t="str">
        <f>IF(AND(I1276="TP",S1276&lt;=500),VLOOKUP(AF1276,TPCalibEq500!$AZ$2:$BB$56,3,),IF(AND(I1276="TDP",S1276&lt;=500),VLOOKUP(AF1276,TPCalibEq500!$AZ$2:$BB$56,3,)))</f>
        <v>y=2.2125x2+32.759x-8.5751</v>
      </c>
      <c r="AT1276" s="10" t="b">
        <f>IF(AND(I1276="TN",S1276&lt;=2800),VLOOKUP(AF1276,TNCalibEq2500!$AZ$2:$BB$56,3,),IF(AND(I1276="TDN",S1276&lt;=2800),VLOOKUP(AF1276,TNCalibEq2500!$AZ$2:$BB$56,3,)))</f>
        <v>0</v>
      </c>
      <c r="AU1276" s="10" t="str">
        <f>IF(I1276="TP",VLOOKUP(AF1276,TPCalibEqFull!$AZ$2:$BB$56,3),IF(I1276="TDP",VLOOKUP(AF1276,TPCalibEqFull!$AZ$2:$BB$56,3),IF(I1276="TDN",VLOOKUP(AF1276,TNCalibEqFull!$AZ$1:$BB$56,3),IF(I1276="TN",VLOOKUP(AF1276,TNCalibEqFull!$AZ$1:$BB$56,3),FALSE))))</f>
        <v>y=0.5642x2+45.477x-20.207</v>
      </c>
      <c r="AV1276" s="10" t="str">
        <f t="shared" si="143"/>
        <v>0117 08:49:00-ELW-0-FIL-1-SW-UKN</v>
      </c>
    </row>
    <row r="1277" spans="1:48" s="10" customFormat="1" x14ac:dyDescent="0.55000000000000004">
      <c r="A1277" s="32">
        <v>44943</v>
      </c>
      <c r="B1277" s="33">
        <v>0.37708333333333338</v>
      </c>
      <c r="C1277" s="10" t="s">
        <v>260</v>
      </c>
      <c r="D1277" s="10">
        <v>0</v>
      </c>
      <c r="E1277" s="10" t="s">
        <v>911</v>
      </c>
      <c r="F1277" s="10">
        <v>1</v>
      </c>
      <c r="G1277" s="10" t="s">
        <v>231</v>
      </c>
      <c r="H1277" s="10" t="s">
        <v>322</v>
      </c>
      <c r="I1277" s="10" t="s">
        <v>266</v>
      </c>
      <c r="J1277" s="10">
        <v>44</v>
      </c>
      <c r="K1277" s="12">
        <v>44950</v>
      </c>
      <c r="L1277" s="33">
        <v>0.59531250000000002</v>
      </c>
      <c r="M1277" s="10">
        <v>1</v>
      </c>
      <c r="N1277" s="10" t="s">
        <v>84</v>
      </c>
      <c r="O1277" s="10">
        <v>2.98</v>
      </c>
      <c r="P1277" s="10">
        <v>0.21299999999999999</v>
      </c>
      <c r="Q1277" s="10">
        <v>141</v>
      </c>
      <c r="R1277" s="10" t="s">
        <v>85</v>
      </c>
      <c r="S1277" s="34">
        <f t="shared" si="139"/>
        <v>195.61051680000003</v>
      </c>
      <c r="T1277" s="10" t="s">
        <v>1087</v>
      </c>
      <c r="U1277" s="34" t="str">
        <f t="shared" si="140"/>
        <v/>
      </c>
      <c r="V1277" s="31" t="str">
        <f>IF(H1277="CHK",VLOOKUP(I1277,QCCHK,3,),IF(H1277="GUP",VLOOKUP(E1277,QCGUP,2,),IF(AND(H1277="ATP",OR(I1277="TN",I1277="TDN",I1277="TNO2-3",I1277="NO2-3")),VLOOKUP(E1277,QCREC_N,2,),IF(AND(H1277="NIC",OR(I1277="TN",I1277="TDN",I1277="TNO2-3",I1277="NO2-3")),VLOOKUP(E1277,QCNIC_N,2,),IF(AND(H1277="UREA",OR(I1277="TN",I1277="TDN",I1277="TNO2-3",I1277="NO2-3")),VLOOKUP(E1277,QCUREA_N,2,),IF(H1277="PER",VLOOKUP(I1277,QCPER,MATCH(E1277,QCACTUAL!$J$25:$AA$25,0),),IF(H1277="SPK",VLOOKUP(I1277,QCSPK,3,),IF(AND(H1277="ATP",OR(I1277="TP",I1277="TDP")),VLOOKUP(E1277,QCATP_P,2,),""))))))))</f>
        <v/>
      </c>
      <c r="W1277" s="31" t="str">
        <f t="shared" si="141"/>
        <v>TRUE</v>
      </c>
      <c r="X1277" s="31" t="str">
        <f t="shared" si="142"/>
        <v/>
      </c>
      <c r="Y1277" s="10" t="s">
        <v>1071</v>
      </c>
      <c r="Z1277" s="10" t="s">
        <v>910</v>
      </c>
      <c r="AF1277" s="12">
        <v>44950</v>
      </c>
      <c r="AG1277" s="10">
        <f>-5.8068*2.98^2+97.248*2.98-48.038</f>
        <v>190.19433327999997</v>
      </c>
      <c r="AH1277" s="10">
        <f>-3.008*2.98^2+89.412*2.98-44.125</f>
        <v>195.61051680000003</v>
      </c>
      <c r="AI1277" s="10">
        <f>2.2125*2.98^2+32.759*2.98-8.5751</f>
        <v>108.694605</v>
      </c>
      <c r="AK1277" s="10">
        <f>0.5642*2.98^2+45.477*2.98-20.207</f>
        <v>120.32478168</v>
      </c>
      <c r="AL1277" s="10" t="str">
        <f t="shared" si="144"/>
        <v>FALSE</v>
      </c>
      <c r="AM1277" s="10" t="str">
        <f t="shared" si="144"/>
        <v>y=-3.008*2.98^2+89.412*2.98-44.125</v>
      </c>
      <c r="AN1277" s="10" t="str">
        <f t="shared" si="144"/>
        <v>y=2.2125*2.98^2+32.759*2.98-8.5751</v>
      </c>
      <c r="AO1277" s="10" t="str">
        <f t="shared" si="145"/>
        <v>FALSE</v>
      </c>
      <c r="AP1277" s="10" t="str">
        <f t="shared" si="145"/>
        <v>y=0.5642*2.98^2+45.477*2.98-20.207</v>
      </c>
      <c r="AQ1277" s="10" t="b">
        <f>IF(AND(I1277="TP",S1277&lt;=150),VLOOKUP(AF1277,TPCalibEq150!$AZ$2:$BB$55,3,),IF(AND(I1277="TDP",S1277&lt;=150),VLOOKUP(AF1277,TPCalibEq150!$AZ$2:$BB$55,3,)))</f>
        <v>0</v>
      </c>
      <c r="AR1277" s="10" t="str">
        <f>IF(AND(I1277="TP",S1277&lt;=300),VLOOKUP(AF1277,TPCalibEq300!$AZ$2:$BB$55,3,),IF(AND(I1277="TDP",S1277&lt;=300),VLOOKUP(AF1277,TPCalibEq300!$AZ$2:$BB$55,3,)))</f>
        <v>y=-3.008x2+89.412x-44.125</v>
      </c>
      <c r="AS1277" s="10" t="str">
        <f>IF(AND(I1277="TP",S1277&lt;=500),VLOOKUP(AF1277,TPCalibEq500!$AZ$2:$BB$56,3,),IF(AND(I1277="TDP",S1277&lt;=500),VLOOKUP(AF1277,TPCalibEq500!$AZ$2:$BB$56,3,)))</f>
        <v>y=2.2125x2+32.759x-8.5751</v>
      </c>
      <c r="AT1277" s="10" t="b">
        <f>IF(AND(I1277="TN",S1277&lt;=2800),VLOOKUP(AF1277,TNCalibEq2500!$AZ$2:$BB$56,3,),IF(AND(I1277="TDN",S1277&lt;=2800),VLOOKUP(AF1277,TNCalibEq2500!$AZ$2:$BB$56,3,)))</f>
        <v>0</v>
      </c>
      <c r="AU1277" s="10" t="str">
        <f>IF(I1277="TP",VLOOKUP(AF1277,TPCalibEqFull!$AZ$2:$BB$56,3),IF(I1277="TDP",VLOOKUP(AF1277,TPCalibEqFull!$AZ$2:$BB$56,3),IF(I1277="TDN",VLOOKUP(AF1277,TNCalibEqFull!$AZ$1:$BB$56,3),IF(I1277="TN",VLOOKUP(AF1277,TNCalibEqFull!$AZ$1:$BB$56,3),FALSE))))</f>
        <v>y=0.5642x2+45.477x-20.207</v>
      </c>
      <c r="AV1277" s="10" t="str">
        <f t="shared" si="143"/>
        <v>0117 09:03:00-EFC-0-FIL-1-SW-UKN</v>
      </c>
    </row>
    <row r="1278" spans="1:48" s="10" customFormat="1" x14ac:dyDescent="0.55000000000000004">
      <c r="A1278" s="32">
        <v>44943</v>
      </c>
      <c r="B1278" s="33">
        <v>0.39097222222222222</v>
      </c>
      <c r="C1278" s="10" t="s">
        <v>543</v>
      </c>
      <c r="D1278" s="10">
        <v>0</v>
      </c>
      <c r="E1278" s="10" t="s">
        <v>911</v>
      </c>
      <c r="F1278" s="10">
        <v>1</v>
      </c>
      <c r="G1278" s="10" t="s">
        <v>231</v>
      </c>
      <c r="H1278" s="10" t="s">
        <v>322</v>
      </c>
      <c r="I1278" s="10" t="s">
        <v>266</v>
      </c>
      <c r="J1278" s="10">
        <v>45</v>
      </c>
      <c r="K1278" s="12">
        <v>44950</v>
      </c>
      <c r="L1278" s="33">
        <v>0.59599537037037031</v>
      </c>
      <c r="M1278" s="10">
        <v>1</v>
      </c>
      <c r="N1278" s="10" t="s">
        <v>84</v>
      </c>
      <c r="O1278" s="10">
        <v>2.06</v>
      </c>
      <c r="P1278" s="10">
        <v>0.14299999999999999</v>
      </c>
      <c r="Q1278" s="10">
        <v>95.1</v>
      </c>
      <c r="R1278" s="10" t="s">
        <v>85</v>
      </c>
      <c r="S1278" s="34">
        <f t="shared" si="139"/>
        <v>127.65114352000002</v>
      </c>
      <c r="T1278" s="10" t="s">
        <v>1087</v>
      </c>
      <c r="U1278" s="34" t="str">
        <f t="shared" si="140"/>
        <v/>
      </c>
      <c r="V1278" s="31" t="str">
        <f>IF(H1278="CHK",VLOOKUP(I1278,QCCHK,3,),IF(H1278="GUP",VLOOKUP(E1278,QCGUP,2,),IF(AND(H1278="ATP",OR(I1278="TN",I1278="TDN",I1278="TNO2-3",I1278="NO2-3")),VLOOKUP(E1278,QCREC_N,2,),IF(AND(H1278="NIC",OR(I1278="TN",I1278="TDN",I1278="TNO2-3",I1278="NO2-3")),VLOOKUP(E1278,QCNIC_N,2,),IF(AND(H1278="UREA",OR(I1278="TN",I1278="TDN",I1278="TNO2-3",I1278="NO2-3")),VLOOKUP(E1278,QCUREA_N,2,),IF(H1278="PER",VLOOKUP(I1278,QCPER,MATCH(E1278,QCACTUAL!$J$25:$AA$25,0),),IF(H1278="SPK",VLOOKUP(I1278,QCSPK,3,),IF(AND(H1278="ATP",OR(I1278="TP",I1278="TDP")),VLOOKUP(E1278,QCATP_P,2,),""))))))))</f>
        <v/>
      </c>
      <c r="W1278" s="31" t="str">
        <f t="shared" si="141"/>
        <v>TRUE</v>
      </c>
      <c r="X1278" s="31" t="str">
        <f t="shared" si="142"/>
        <v/>
      </c>
      <c r="Y1278" s="10" t="s">
        <v>1071</v>
      </c>
      <c r="Z1278" s="10" t="s">
        <v>910</v>
      </c>
      <c r="AF1278" s="12">
        <v>44950</v>
      </c>
      <c r="AG1278" s="10">
        <f>-5.8068*2.06^2+97.248*2.06-48.038</f>
        <v>127.65114352000002</v>
      </c>
      <c r="AH1278" s="10">
        <f>-3.008*2.06^2+89.412*2.06-44.125</f>
        <v>127.29897120000001</v>
      </c>
      <c r="AI1278" s="10">
        <f>2.2125*2.06^2+32.759*2.06-8.5751</f>
        <v>68.297404999999998</v>
      </c>
      <c r="AK1278" s="10">
        <f>0.5642*2.06^2+45.477*2.06-20.207</f>
        <v>75.869859120000001</v>
      </c>
      <c r="AL1278" s="10" t="str">
        <f t="shared" si="144"/>
        <v>y=-5.8068*2.06^2+97.248*2.06-48.038</v>
      </c>
      <c r="AM1278" s="10" t="str">
        <f t="shared" si="144"/>
        <v>y=-3.008*2.06^2+89.412*2.06-44.125</v>
      </c>
      <c r="AN1278" s="10" t="str">
        <f t="shared" si="144"/>
        <v>y=2.2125*2.06^2+32.759*2.06-8.5751</v>
      </c>
      <c r="AO1278" s="10" t="str">
        <f t="shared" si="145"/>
        <v>FALSE</v>
      </c>
      <c r="AP1278" s="10" t="str">
        <f t="shared" si="145"/>
        <v>y=0.5642*2.06^2+45.477*2.06-20.207</v>
      </c>
      <c r="AQ1278" s="10" t="str">
        <f>IF(AND(I1278="TP",S1278&lt;=150),VLOOKUP(AF1278,TPCalibEq150!$AZ$2:$BB$55,3,),IF(AND(I1278="TDP",S1278&lt;=150),VLOOKUP(AF1278,TPCalibEq150!$AZ$2:$BB$55,3,)))</f>
        <v>y=-5.8068x2+97.248x-48.038</v>
      </c>
      <c r="AR1278" s="10" t="str">
        <f>IF(AND(I1278="TP",S1278&lt;=300),VLOOKUP(AF1278,TPCalibEq300!$AZ$2:$BB$55,3,),IF(AND(I1278="TDP",S1278&lt;=300),VLOOKUP(AF1278,TPCalibEq300!$AZ$2:$BB$55,3,)))</f>
        <v>y=-3.008x2+89.412x-44.125</v>
      </c>
      <c r="AS1278" s="10" t="str">
        <f>IF(AND(I1278="TP",S1278&lt;=500),VLOOKUP(AF1278,TPCalibEq500!$AZ$2:$BB$56,3,),IF(AND(I1278="TDP",S1278&lt;=500),VLOOKUP(AF1278,TPCalibEq500!$AZ$2:$BB$56,3,)))</f>
        <v>y=2.2125x2+32.759x-8.5751</v>
      </c>
      <c r="AT1278" s="10" t="b">
        <f>IF(AND(I1278="TN",S1278&lt;=2800),VLOOKUP(AF1278,TNCalibEq2500!$AZ$2:$BB$56,3,),IF(AND(I1278="TDN",S1278&lt;=2800),VLOOKUP(AF1278,TNCalibEq2500!$AZ$2:$BB$56,3,)))</f>
        <v>0</v>
      </c>
      <c r="AU1278" s="10" t="str">
        <f>IF(I1278="TP",VLOOKUP(AF1278,TPCalibEqFull!$AZ$2:$BB$56,3),IF(I1278="TDP",VLOOKUP(AF1278,TPCalibEqFull!$AZ$2:$BB$56,3),IF(I1278="TDN",VLOOKUP(AF1278,TNCalibEqFull!$AZ$1:$BB$56,3),IF(I1278="TN",VLOOKUP(AF1278,TNCalibEqFull!$AZ$1:$BB$56,3),FALSE))))</f>
        <v>y=0.5642x2+45.477x-20.207</v>
      </c>
      <c r="AV1278" s="10" t="str">
        <f t="shared" si="143"/>
        <v>0117 09:23:00-SAR-0-FIL-1-SW-UKN</v>
      </c>
    </row>
    <row r="1279" spans="1:48" s="10" customFormat="1" x14ac:dyDescent="0.55000000000000004">
      <c r="A1279" s="32">
        <v>44943</v>
      </c>
      <c r="B1279" s="33">
        <v>0.40486111111111112</v>
      </c>
      <c r="C1279" s="10" t="s">
        <v>361</v>
      </c>
      <c r="D1279" s="10">
        <v>0</v>
      </c>
      <c r="E1279" s="10" t="s">
        <v>911</v>
      </c>
      <c r="F1279" s="10">
        <v>1</v>
      </c>
      <c r="G1279" s="10" t="s">
        <v>231</v>
      </c>
      <c r="H1279" s="10" t="s">
        <v>322</v>
      </c>
      <c r="I1279" s="10" t="s">
        <v>266</v>
      </c>
      <c r="J1279" s="10">
        <v>46</v>
      </c>
      <c r="K1279" s="12">
        <v>44950</v>
      </c>
      <c r="L1279" s="33">
        <v>0.59668981481481487</v>
      </c>
      <c r="M1279" s="10">
        <v>1</v>
      </c>
      <c r="N1279" s="10" t="s">
        <v>84</v>
      </c>
      <c r="O1279" s="10">
        <v>1.71</v>
      </c>
      <c r="P1279" s="10">
        <v>0.11700000000000001</v>
      </c>
      <c r="Q1279" s="10">
        <v>78.2</v>
      </c>
      <c r="R1279" s="10" t="s">
        <v>85</v>
      </c>
      <c r="S1279" s="34">
        <f t="shared" si="139"/>
        <v>101.27641612000001</v>
      </c>
      <c r="T1279" s="10" t="s">
        <v>1087</v>
      </c>
      <c r="U1279" s="34" t="str">
        <f t="shared" si="140"/>
        <v/>
      </c>
      <c r="V1279" s="31" t="str">
        <f>IF(H1279="CHK",VLOOKUP(I1279,QCCHK,3,),IF(H1279="GUP",VLOOKUP(E1279,QCGUP,2,),IF(AND(H1279="ATP",OR(I1279="TN",I1279="TDN",I1279="TNO2-3",I1279="NO2-3")),VLOOKUP(E1279,QCREC_N,2,),IF(AND(H1279="NIC",OR(I1279="TN",I1279="TDN",I1279="TNO2-3",I1279="NO2-3")),VLOOKUP(E1279,QCNIC_N,2,),IF(AND(H1279="UREA",OR(I1279="TN",I1279="TDN",I1279="TNO2-3",I1279="NO2-3")),VLOOKUP(E1279,QCUREA_N,2,),IF(H1279="PER",VLOOKUP(I1279,QCPER,MATCH(E1279,QCACTUAL!$J$25:$AA$25,0),),IF(H1279="SPK",VLOOKUP(I1279,QCSPK,3,),IF(AND(H1279="ATP",OR(I1279="TP",I1279="TDP")),VLOOKUP(E1279,QCATP_P,2,),""))))))))</f>
        <v/>
      </c>
      <c r="W1279" s="31" t="str">
        <f t="shared" si="141"/>
        <v>TRUE</v>
      </c>
      <c r="X1279" s="31" t="str">
        <f t="shared" ref="X1279:X1342" si="146">IF(ISNA(VLOOKUP(H1279,QCEQUATIONS,2,)),"",(VLOOKUP(H1279,QCEQUATIONS,2,)))</f>
        <v/>
      </c>
      <c r="Y1279" s="10" t="s">
        <v>1071</v>
      </c>
      <c r="Z1279" s="10" t="s">
        <v>910</v>
      </c>
      <c r="AF1279" s="12">
        <v>44950</v>
      </c>
      <c r="AG1279" s="10">
        <f>-5.8068*1.71^2+97.248*1.71-48.038</f>
        <v>101.27641612000001</v>
      </c>
      <c r="AH1279" s="10">
        <f>-3.008*1.71^2+89.412*1.71-44.125</f>
        <v>99.973827199999988</v>
      </c>
      <c r="AI1279" s="10">
        <f>2.2125*1.71^2+32.759*1.71-8.5751</f>
        <v>53.912361250000004</v>
      </c>
      <c r="AK1279" s="10">
        <f>0.5642*1.71^2+45.477*1.71-20.207</f>
        <v>59.208447219999989</v>
      </c>
      <c r="AL1279" s="10" t="str">
        <f t="shared" si="144"/>
        <v>y=-5.8068*1.71^2+97.248*1.71-48.038</v>
      </c>
      <c r="AM1279" s="10" t="str">
        <f t="shared" si="144"/>
        <v>y=-3.008*1.71^2+89.412*1.71-44.125</v>
      </c>
      <c r="AN1279" s="10" t="str">
        <f t="shared" si="144"/>
        <v>y=2.2125*1.71^2+32.759*1.71-8.5751</v>
      </c>
      <c r="AO1279" s="10" t="str">
        <f t="shared" si="145"/>
        <v>FALSE</v>
      </c>
      <c r="AP1279" s="10" t="str">
        <f t="shared" si="145"/>
        <v>y=0.5642*1.71^2+45.477*1.71-20.207</v>
      </c>
      <c r="AQ1279" s="10" t="str">
        <f>IF(AND(I1279="TP",S1279&lt;=150),VLOOKUP(AF1279,TPCalibEq150!$AZ$2:$BB$55,3,),IF(AND(I1279="TDP",S1279&lt;=150),VLOOKUP(AF1279,TPCalibEq150!$AZ$2:$BB$55,3,)))</f>
        <v>y=-5.8068x2+97.248x-48.038</v>
      </c>
      <c r="AR1279" s="10" t="str">
        <f>IF(AND(I1279="TP",S1279&lt;=300),VLOOKUP(AF1279,TPCalibEq300!$AZ$2:$BB$55,3,),IF(AND(I1279="TDP",S1279&lt;=300),VLOOKUP(AF1279,TPCalibEq300!$AZ$2:$BB$55,3,)))</f>
        <v>y=-3.008x2+89.412x-44.125</v>
      </c>
      <c r="AS1279" s="10" t="str">
        <f>IF(AND(I1279="TP",S1279&lt;=500),VLOOKUP(AF1279,TPCalibEq500!$AZ$2:$BB$56,3,),IF(AND(I1279="TDP",S1279&lt;=500),VLOOKUP(AF1279,TPCalibEq500!$AZ$2:$BB$56,3,)))</f>
        <v>y=2.2125x2+32.759x-8.5751</v>
      </c>
      <c r="AT1279" s="10" t="b">
        <f>IF(AND(I1279="TN",S1279&lt;=2800),VLOOKUP(AF1279,TNCalibEq2500!$AZ$2:$BB$56,3,),IF(AND(I1279="TDN",S1279&lt;=2800),VLOOKUP(AF1279,TNCalibEq2500!$AZ$2:$BB$56,3,)))</f>
        <v>0</v>
      </c>
      <c r="AU1279" s="10" t="str">
        <f>IF(I1279="TP",VLOOKUP(AF1279,TPCalibEqFull!$AZ$2:$BB$56,3),IF(I1279="TDP",VLOOKUP(AF1279,TPCalibEqFull!$AZ$2:$BB$56,3),IF(I1279="TDN",VLOOKUP(AF1279,TNCalibEqFull!$AZ$1:$BB$56,3),IF(I1279="TN",VLOOKUP(AF1279,TNCalibEqFull!$AZ$1:$BB$56,3),FALSE))))</f>
        <v>y=0.5642x2+45.477x-20.207</v>
      </c>
      <c r="AV1279" s="10" t="str">
        <f t="shared" si="143"/>
        <v>0117 09:43:00-USR-0-FIL-1-SW-UKN</v>
      </c>
    </row>
    <row r="1280" spans="1:48" s="10" customFormat="1" x14ac:dyDescent="0.55000000000000004">
      <c r="A1280" s="32">
        <v>44943</v>
      </c>
      <c r="B1280" s="33">
        <v>0.42152777777777778</v>
      </c>
      <c r="C1280" s="10" t="s">
        <v>351</v>
      </c>
      <c r="D1280" s="10">
        <v>0</v>
      </c>
      <c r="E1280" s="10" t="s">
        <v>911</v>
      </c>
      <c r="F1280" s="10">
        <v>1</v>
      </c>
      <c r="G1280" s="10" t="s">
        <v>231</v>
      </c>
      <c r="H1280" s="10" t="s">
        <v>322</v>
      </c>
      <c r="I1280" s="10" t="s">
        <v>266</v>
      </c>
      <c r="J1280" s="10">
        <v>47</v>
      </c>
      <c r="K1280" s="12">
        <v>44950</v>
      </c>
      <c r="L1280" s="33">
        <v>0.59740740740740739</v>
      </c>
      <c r="M1280" s="10">
        <v>1</v>
      </c>
      <c r="N1280" s="10" t="s">
        <v>84</v>
      </c>
      <c r="O1280" s="10">
        <v>1.45</v>
      </c>
      <c r="P1280" s="10">
        <v>9.9500000000000005E-2</v>
      </c>
      <c r="Q1280" s="10">
        <v>65</v>
      </c>
      <c r="R1280" s="10" t="s">
        <v>85</v>
      </c>
      <c r="S1280" s="34">
        <f t="shared" ref="S1280:S1343" si="147">IF(OR(AND(I1280&lt;&gt;"TP", I1280&lt;&gt;"TDP",I1280&lt;&gt;"TN", I1280&lt;&gt;"TDN"),H1280="CAL"), Q1280*M1280, IF(OR(AND(I1280="TN", Q1280&gt;2500), AND(I1280="TDN", Q1280&gt;2500)),MAX(Q1280, AK1280)*M1280, IF(OR(AND(I1280="TN", Q1280&lt;=2500), AND(I1280="TDN", Q1280&lt;=2500)),MAX(Q1280, AJ1280,AK1280)*M1280, IF(OR(AND(I1280="TP",Q1280&gt;500), AND(I1280="TDP", Q1280&gt;500)),MAX(Q1280,AK1280)*M1280,IF(OR(AND(I1280="TP",Q1280&lt;=150), AND(I1280="TDP", Q1280&lt;=150)),MAX(Q1280,AG1280:AI1280,AK1280)*M1280,IF(OR(AND(I1280="TP",Q1280&lt;=300), AND(I1280="TDP", Q1280&lt;=300)),MAX(Q1280,AH1280,AI1280,AK1280)*M1280,IF(OR(AND(I1280="TP",Q1280&lt;=500), AND(I1280="TDP", Q1280&lt;=500)),MAX(Q1280,AI1280,AK1280)*M1280,"")))))))</f>
        <v>80.762803000000005</v>
      </c>
      <c r="T1280" s="10" t="s">
        <v>1087</v>
      </c>
      <c r="U1280" s="34" t="str">
        <f t="shared" si="140"/>
        <v/>
      </c>
      <c r="V1280" s="31" t="str">
        <f>IF(H1280="CHK",VLOOKUP(I1280,QCCHK,3,),IF(H1280="GUP",VLOOKUP(E1280,QCGUP,2,),IF(AND(H1280="ATP",OR(I1280="TN",I1280="TDN",I1280="TNO2-3",I1280="NO2-3")),VLOOKUP(E1280,QCREC_N,2,),IF(AND(H1280="NIC",OR(I1280="TN",I1280="TDN",I1280="TNO2-3",I1280="NO2-3")),VLOOKUP(E1280,QCNIC_N,2,),IF(AND(H1280="UREA",OR(I1280="TN",I1280="TDN",I1280="TNO2-3",I1280="NO2-3")),VLOOKUP(E1280,QCUREA_N,2,),IF(H1280="PER",VLOOKUP(I1280,QCPER,MATCH(E1280,QCACTUAL!$J$25:$AA$25,0),),IF(H1280="SPK",VLOOKUP(I1280,QCSPK,3,),IF(AND(H1280="ATP",OR(I1280="TP",I1280="TDP")),VLOOKUP(E1280,QCATP_P,2,),""))))))))</f>
        <v/>
      </c>
      <c r="W1280" s="31" t="str">
        <f t="shared" si="141"/>
        <v>TRUE</v>
      </c>
      <c r="X1280" s="31" t="str">
        <f t="shared" si="146"/>
        <v/>
      </c>
      <c r="Y1280" s="10" t="s">
        <v>1071</v>
      </c>
      <c r="Z1280" s="10" t="s">
        <v>910</v>
      </c>
      <c r="AF1280" s="12">
        <v>44950</v>
      </c>
      <c r="AG1280" s="10">
        <f>-5.8068*1.45^2+97.248*1.45-48.038</f>
        <v>80.762803000000005</v>
      </c>
      <c r="AH1280" s="10">
        <f>-3.008*1.45^2+89.412*1.45-44.125</f>
        <v>79.198080000000004</v>
      </c>
      <c r="AI1280" s="10">
        <f>2.2125*1.45^2+32.759*1.45-8.5751</f>
        <v>43.577231249999997</v>
      </c>
      <c r="AK1280" s="10">
        <f>0.5642*1.45^2+45.477*1.45-20.207</f>
        <v>46.920880499999988</v>
      </c>
      <c r="AL1280" s="10" t="str">
        <f t="shared" si="144"/>
        <v>y=-5.8068*1.45^2+97.248*1.45-48.038</v>
      </c>
      <c r="AM1280" s="10" t="str">
        <f t="shared" si="144"/>
        <v>y=-3.008*1.45^2+89.412*1.45-44.125</v>
      </c>
      <c r="AN1280" s="10" t="str">
        <f t="shared" si="144"/>
        <v>y=2.2125*1.45^2+32.759*1.45-8.5751</v>
      </c>
      <c r="AO1280" s="10" t="str">
        <f t="shared" si="145"/>
        <v>FALSE</v>
      </c>
      <c r="AP1280" s="10" t="str">
        <f t="shared" si="145"/>
        <v>y=0.5642*1.45^2+45.477*1.45-20.207</v>
      </c>
      <c r="AQ1280" s="10" t="str">
        <f>IF(AND(I1280="TP",S1280&lt;=150),VLOOKUP(AF1280,TPCalibEq150!$AZ$2:$BB$55,3,),IF(AND(I1280="TDP",S1280&lt;=150),VLOOKUP(AF1280,TPCalibEq150!$AZ$2:$BB$55,3,)))</f>
        <v>y=-5.8068x2+97.248x-48.038</v>
      </c>
      <c r="AR1280" s="10" t="str">
        <f>IF(AND(I1280="TP",S1280&lt;=300),VLOOKUP(AF1280,TPCalibEq300!$AZ$2:$BB$55,3,),IF(AND(I1280="TDP",S1280&lt;=300),VLOOKUP(AF1280,TPCalibEq300!$AZ$2:$BB$55,3,)))</f>
        <v>y=-3.008x2+89.412x-44.125</v>
      </c>
      <c r="AS1280" s="10" t="str">
        <f>IF(AND(I1280="TP",S1280&lt;=500),VLOOKUP(AF1280,TPCalibEq500!$AZ$2:$BB$56,3,),IF(AND(I1280="TDP",S1280&lt;=500),VLOOKUP(AF1280,TPCalibEq500!$AZ$2:$BB$56,3,)))</f>
        <v>y=2.2125x2+32.759x-8.5751</v>
      </c>
      <c r="AT1280" s="10" t="b">
        <f>IF(AND(I1280="TN",S1280&lt;=2800),VLOOKUP(AF1280,TNCalibEq2500!$AZ$2:$BB$56,3,),IF(AND(I1280="TDN",S1280&lt;=2800),VLOOKUP(AF1280,TNCalibEq2500!$AZ$2:$BB$56,3,)))</f>
        <v>0</v>
      </c>
      <c r="AU1280" s="10" t="str">
        <f>IF(I1280="TP",VLOOKUP(AF1280,TPCalibEqFull!$AZ$2:$BB$56,3),IF(I1280="TDP",VLOOKUP(AF1280,TPCalibEqFull!$AZ$2:$BB$56,3),IF(I1280="TDN",VLOOKUP(AF1280,TNCalibEqFull!$AZ$1:$BB$56,3),IF(I1280="TN",VLOOKUP(AF1280,TNCalibEqFull!$AZ$1:$BB$56,3),FALSE))))</f>
        <v>y=0.5642x2+45.477x-20.207</v>
      </c>
      <c r="AV1280" s="10" t="str">
        <f t="shared" si="143"/>
        <v>0117 10:07:00-SHC-0-FIL-1-SW-UKN</v>
      </c>
    </row>
    <row r="1281" spans="1:48" s="10" customFormat="1" x14ac:dyDescent="0.55000000000000004">
      <c r="A1281" s="32">
        <v>44943</v>
      </c>
      <c r="B1281" s="33">
        <v>0.43472222222222223</v>
      </c>
      <c r="C1281" s="10" t="s">
        <v>355</v>
      </c>
      <c r="D1281" s="10">
        <v>0</v>
      </c>
      <c r="E1281" s="10" t="s">
        <v>911</v>
      </c>
      <c r="F1281" s="10">
        <v>1</v>
      </c>
      <c r="G1281" s="10" t="s">
        <v>231</v>
      </c>
      <c r="H1281" s="10" t="s">
        <v>322</v>
      </c>
      <c r="I1281" s="10" t="s">
        <v>266</v>
      </c>
      <c r="J1281" s="10">
        <v>48</v>
      </c>
      <c r="K1281" s="12">
        <v>44950</v>
      </c>
      <c r="L1281" s="33">
        <v>0.59811342592592587</v>
      </c>
      <c r="M1281" s="10">
        <v>1</v>
      </c>
      <c r="N1281" s="10" t="s">
        <v>84</v>
      </c>
      <c r="O1281" s="10">
        <v>1.36</v>
      </c>
      <c r="P1281" s="10">
        <v>9.5200000000000007E-2</v>
      </c>
      <c r="Q1281" s="10">
        <v>60.9</v>
      </c>
      <c r="R1281" s="10" t="s">
        <v>85</v>
      </c>
      <c r="S1281" s="34">
        <f t="shared" si="147"/>
        <v>73.479022720000003</v>
      </c>
      <c r="T1281" s="10" t="s">
        <v>1087</v>
      </c>
      <c r="U1281" s="34" t="str">
        <f t="shared" si="140"/>
        <v/>
      </c>
      <c r="V1281" s="31" t="str">
        <f>IF(H1281="CHK",VLOOKUP(I1281,QCCHK,3,),IF(H1281="GUP",VLOOKUP(E1281,QCGUP,2,),IF(AND(H1281="ATP",OR(I1281="TN",I1281="TDN",I1281="TNO2-3",I1281="NO2-3")),VLOOKUP(E1281,QCREC_N,2,),IF(AND(H1281="NIC",OR(I1281="TN",I1281="TDN",I1281="TNO2-3",I1281="NO2-3")),VLOOKUP(E1281,QCNIC_N,2,),IF(AND(H1281="UREA",OR(I1281="TN",I1281="TDN",I1281="TNO2-3",I1281="NO2-3")),VLOOKUP(E1281,QCUREA_N,2,),IF(H1281="PER",VLOOKUP(I1281,QCPER,MATCH(E1281,QCACTUAL!$J$25:$AA$25,0),),IF(H1281="SPK",VLOOKUP(I1281,QCSPK,3,),IF(AND(H1281="ATP",OR(I1281="TP",I1281="TDP")),VLOOKUP(E1281,QCATP_P,2,),""))))))))</f>
        <v/>
      </c>
      <c r="W1281" s="31" t="str">
        <f t="shared" si="141"/>
        <v>TRUE</v>
      </c>
      <c r="X1281" s="31" t="str">
        <f t="shared" si="146"/>
        <v/>
      </c>
      <c r="Y1281" s="10" t="s">
        <v>1071</v>
      </c>
      <c r="Z1281" s="10" t="s">
        <v>910</v>
      </c>
      <c r="AF1281" s="12">
        <v>44950</v>
      </c>
      <c r="AG1281" s="10">
        <f>-5.8068*1.36^2+97.248*1.36-48.038</f>
        <v>73.479022720000003</v>
      </c>
      <c r="AH1281" s="10">
        <f>-3.008*1.36^2+89.412*1.36-44.125</f>
        <v>71.911723200000012</v>
      </c>
      <c r="AI1281" s="10">
        <f>2.2125*1.36^2+32.759*1.36-8.5751</f>
        <v>40.069380000000002</v>
      </c>
      <c r="AK1281" s="10">
        <f>0.5642*1.36^2+45.477*1.36-20.207</f>
        <v>42.685264320000002</v>
      </c>
      <c r="AL1281" s="10" t="str">
        <f t="shared" si="144"/>
        <v>y=-5.8068*1.36^2+97.248*1.36-48.038</v>
      </c>
      <c r="AM1281" s="10" t="str">
        <f t="shared" si="144"/>
        <v>y=-3.008*1.36^2+89.412*1.36-44.125</v>
      </c>
      <c r="AN1281" s="10" t="str">
        <f t="shared" si="144"/>
        <v>y=2.2125*1.36^2+32.759*1.36-8.5751</v>
      </c>
      <c r="AO1281" s="10" t="str">
        <f t="shared" si="145"/>
        <v>FALSE</v>
      </c>
      <c r="AP1281" s="10" t="str">
        <f t="shared" si="145"/>
        <v>y=0.5642*1.36^2+45.477*1.36-20.207</v>
      </c>
      <c r="AQ1281" s="10" t="str">
        <f>IF(AND(I1281="TP",S1281&lt;=150),VLOOKUP(AF1281,TPCalibEq150!$AZ$2:$BB$55,3,),IF(AND(I1281="TDP",S1281&lt;=150),VLOOKUP(AF1281,TPCalibEq150!$AZ$2:$BB$55,3,)))</f>
        <v>y=-5.8068x2+97.248x-48.038</v>
      </c>
      <c r="AR1281" s="10" t="str">
        <f>IF(AND(I1281="TP",S1281&lt;=300),VLOOKUP(AF1281,TPCalibEq300!$AZ$2:$BB$55,3,),IF(AND(I1281="TDP",S1281&lt;=300),VLOOKUP(AF1281,TPCalibEq300!$AZ$2:$BB$55,3,)))</f>
        <v>y=-3.008x2+89.412x-44.125</v>
      </c>
      <c r="AS1281" s="10" t="str">
        <f>IF(AND(I1281="TP",S1281&lt;=500),VLOOKUP(AF1281,TPCalibEq500!$AZ$2:$BB$56,3,),IF(AND(I1281="TDP",S1281&lt;=500),VLOOKUP(AF1281,TPCalibEq500!$AZ$2:$BB$56,3,)))</f>
        <v>y=2.2125x2+32.759x-8.5751</v>
      </c>
      <c r="AT1281" s="10" t="b">
        <f>IF(AND(I1281="TN",S1281&lt;=2800),VLOOKUP(AF1281,TNCalibEq2500!$AZ$2:$BB$56,3,),IF(AND(I1281="TDN",S1281&lt;=2800),VLOOKUP(AF1281,TNCalibEq2500!$AZ$2:$BB$56,3,)))</f>
        <v>0</v>
      </c>
      <c r="AU1281" s="10" t="str">
        <f>IF(I1281="TP",VLOOKUP(AF1281,TPCalibEqFull!$AZ$2:$BB$56,3),IF(I1281="TDP",VLOOKUP(AF1281,TPCalibEqFull!$AZ$2:$BB$56,3),IF(I1281="TDN",VLOOKUP(AF1281,TNCalibEqFull!$AZ$1:$BB$56,3),IF(I1281="TN",VLOOKUP(AF1281,TNCalibEqFull!$AZ$1:$BB$56,3),FALSE))))</f>
        <v>y=0.5642x2+45.477x-20.207</v>
      </c>
      <c r="AV1281" s="10" t="str">
        <f t="shared" si="143"/>
        <v>0117 10:26:00-SLT-0-FIL-1-SW-UKN</v>
      </c>
    </row>
    <row r="1282" spans="1:48" s="10" customFormat="1" x14ac:dyDescent="0.55000000000000004">
      <c r="A1282" s="32">
        <v>44943</v>
      </c>
      <c r="B1282" s="33">
        <v>0.4604166666666667</v>
      </c>
      <c r="C1282" s="10" t="s">
        <v>310</v>
      </c>
      <c r="D1282" s="10">
        <v>0</v>
      </c>
      <c r="E1282" s="10" t="s">
        <v>911</v>
      </c>
      <c r="F1282" s="10">
        <v>1</v>
      </c>
      <c r="G1282" s="10" t="s">
        <v>231</v>
      </c>
      <c r="H1282" s="10" t="s">
        <v>322</v>
      </c>
      <c r="I1282" s="10" t="s">
        <v>266</v>
      </c>
      <c r="J1282" s="10">
        <v>49</v>
      </c>
      <c r="K1282" s="12">
        <v>44950</v>
      </c>
      <c r="L1282" s="33">
        <v>0.59880787037037042</v>
      </c>
      <c r="M1282" s="10">
        <v>1</v>
      </c>
      <c r="N1282" s="10" t="s">
        <v>84</v>
      </c>
      <c r="O1282" s="10">
        <v>2.99</v>
      </c>
      <c r="P1282" s="10">
        <v>0.21199999999999999</v>
      </c>
      <c r="Q1282" s="10">
        <v>142</v>
      </c>
      <c r="R1282" s="10" t="s">
        <v>85</v>
      </c>
      <c r="S1282" s="34">
        <f t="shared" si="147"/>
        <v>196.32505920000006</v>
      </c>
      <c r="T1282" s="10" t="s">
        <v>1087</v>
      </c>
      <c r="U1282" s="34" t="str">
        <f t="shared" ref="U1282:U1345" si="148">IF(OR(H1282="CHK",H1282="ATP",H1282="GUP",H1282="PER", H1282="NIC", H1282="UREA"),(S1282/V1282*100),IF(H1282="DUP",((ABS(S1282-S1281))/((S1281+S1282)/2))*100,IF(H1282="SPK",((S1282-S1281)/V1282*100),IF(OR(H1282="LAB",H1282="FLD",H1282="ESF"),S1282,""))))</f>
        <v/>
      </c>
      <c r="V1282" s="31" t="str">
        <f>IF(H1282="CHK",VLOOKUP(I1282,QCCHK,3,),IF(H1282="GUP",VLOOKUP(E1282,QCGUP,2,),IF(AND(H1282="ATP",OR(I1282="TN",I1282="TDN",I1282="TNO2-3",I1282="NO2-3")),VLOOKUP(E1282,QCREC_N,2,),IF(AND(H1282="NIC",OR(I1282="TN",I1282="TDN",I1282="TNO2-3",I1282="NO2-3")),VLOOKUP(E1282,QCNIC_N,2,),IF(AND(H1282="UREA",OR(I1282="TN",I1282="TDN",I1282="TNO2-3",I1282="NO2-3")),VLOOKUP(E1282,QCUREA_N,2,),IF(H1282="PER",VLOOKUP(I1282,QCPER,MATCH(E1282,QCACTUAL!$J$25:$AA$25,0),),IF(H1282="SPK",VLOOKUP(I1282,QCSPK,3,),IF(AND(H1282="ATP",OR(I1282="TP",I1282="TDP")),VLOOKUP(E1282,QCATP_P,2,),""))))))))</f>
        <v/>
      </c>
      <c r="W1282" s="31" t="str">
        <f t="shared" ref="W1282:W1345" si="149">IF(AND(OR(H1282="PER",H1282="ATP",H1282="GUP",H1282="CHK",H1282="SPK", H1282="NIC"),OR(U1282&gt;125,U1282&lt;75)),"FALSE",IF(AND(H1282="DUP",OR(U1282&gt;25, U1282&lt;-25)),"FALSE",IF(AND(OR(H1282="LAB",H1282="FLD",H1282="ESF"),U1282&gt;15),"FALSE","TRUE")))</f>
        <v>TRUE</v>
      </c>
      <c r="X1282" s="31" t="str">
        <f t="shared" si="146"/>
        <v/>
      </c>
      <c r="Y1282" s="10" t="s">
        <v>1071</v>
      </c>
      <c r="Z1282" s="10" t="s">
        <v>910</v>
      </c>
      <c r="AF1282" s="12">
        <v>44950</v>
      </c>
      <c r="AG1282" s="10">
        <f>-5.8068*2.99^2+97.248*2.99-48.038</f>
        <v>190.82014731999999</v>
      </c>
      <c r="AH1282" s="10">
        <f>-3.008*2.99^2+89.412*2.99-44.125</f>
        <v>196.32505920000006</v>
      </c>
      <c r="AI1282" s="10">
        <f>2.2125*2.99^2+32.759*2.99-8.5751</f>
        <v>109.15428125000001</v>
      </c>
      <c r="AK1282" s="10">
        <f>0.5642*2.99^2+45.477*2.99-20.207</f>
        <v>120.81323441999999</v>
      </c>
      <c r="AL1282" s="10" t="str">
        <f t="shared" si="144"/>
        <v>FALSE</v>
      </c>
      <c r="AM1282" s="10" t="str">
        <f t="shared" si="144"/>
        <v>y=-3.008*2.99^2+89.412*2.99-44.125</v>
      </c>
      <c r="AN1282" s="10" t="str">
        <f t="shared" si="144"/>
        <v>y=2.2125*2.99^2+32.759*2.99-8.5751</v>
      </c>
      <c r="AO1282" s="10" t="str">
        <f t="shared" si="145"/>
        <v>FALSE</v>
      </c>
      <c r="AP1282" s="10" t="str">
        <f t="shared" si="145"/>
        <v>y=0.5642*2.99^2+45.477*2.99-20.207</v>
      </c>
      <c r="AQ1282" s="10" t="b">
        <f>IF(AND(I1282="TP",S1282&lt;=150),VLOOKUP(AF1282,TPCalibEq150!$AZ$2:$BB$55,3,),IF(AND(I1282="TDP",S1282&lt;=150),VLOOKUP(AF1282,TPCalibEq150!$AZ$2:$BB$55,3,)))</f>
        <v>0</v>
      </c>
      <c r="AR1282" s="10" t="str">
        <f>IF(AND(I1282="TP",S1282&lt;=300),VLOOKUP(AF1282,TPCalibEq300!$AZ$2:$BB$55,3,),IF(AND(I1282="TDP",S1282&lt;=300),VLOOKUP(AF1282,TPCalibEq300!$AZ$2:$BB$55,3,)))</f>
        <v>y=-3.008x2+89.412x-44.125</v>
      </c>
      <c r="AS1282" s="10" t="str">
        <f>IF(AND(I1282="TP",S1282&lt;=500),VLOOKUP(AF1282,TPCalibEq500!$AZ$2:$BB$56,3,),IF(AND(I1282="TDP",S1282&lt;=500),VLOOKUP(AF1282,TPCalibEq500!$AZ$2:$BB$56,3,)))</f>
        <v>y=2.2125x2+32.759x-8.5751</v>
      </c>
      <c r="AT1282" s="10" t="b">
        <f>IF(AND(I1282="TN",S1282&lt;=2800),VLOOKUP(AF1282,TNCalibEq2500!$AZ$2:$BB$56,3,),IF(AND(I1282="TDN",S1282&lt;=2800),VLOOKUP(AF1282,TNCalibEq2500!$AZ$2:$BB$56,3,)))</f>
        <v>0</v>
      </c>
      <c r="AU1282" s="10" t="str">
        <f>IF(I1282="TP",VLOOKUP(AF1282,TPCalibEqFull!$AZ$2:$BB$56,3),IF(I1282="TDP",VLOOKUP(AF1282,TPCalibEqFull!$AZ$2:$BB$56,3),IF(I1282="TDN",VLOOKUP(AF1282,TNCalibEqFull!$AZ$1:$BB$56,3),IF(I1282="TN",VLOOKUP(AF1282,TNCalibEqFull!$AZ$1:$BB$56,3),FALSE))))</f>
        <v>y=0.5642x2+45.477x-20.207</v>
      </c>
      <c r="AV1282" s="10" t="str">
        <f t="shared" ref="AV1282:AV1345" si="150">TEXT(A1282, "MMDD")&amp;" "&amp;TEXT(B1282, "HH:MM:SS")&amp;"-"&amp;C1282&amp;"-"&amp;D1282&amp;"-"&amp;E1282&amp;"-"&amp;F1282&amp;"-"&amp;G1282&amp;"-"&amp;H1282</f>
        <v>0117 11:03:00-ELI-0-FIL-1-SW-UKN</v>
      </c>
    </row>
    <row r="1283" spans="1:48" s="10" customFormat="1" x14ac:dyDescent="0.55000000000000004">
      <c r="A1283" s="32">
        <v>44943</v>
      </c>
      <c r="B1283" s="33">
        <v>0.47013888888888888</v>
      </c>
      <c r="C1283" s="10" t="s">
        <v>999</v>
      </c>
      <c r="D1283" s="10">
        <v>0</v>
      </c>
      <c r="E1283" s="10" t="s">
        <v>911</v>
      </c>
      <c r="F1283" s="10">
        <v>1</v>
      </c>
      <c r="G1283" s="10" t="s">
        <v>231</v>
      </c>
      <c r="H1283" s="10" t="s">
        <v>322</v>
      </c>
      <c r="I1283" s="10" t="s">
        <v>266</v>
      </c>
      <c r="J1283" s="10">
        <v>50</v>
      </c>
      <c r="K1283" s="12">
        <v>44950</v>
      </c>
      <c r="L1283" s="33">
        <v>0.59950231481481475</v>
      </c>
      <c r="M1283" s="10">
        <v>1</v>
      </c>
      <c r="N1283" s="10" t="s">
        <v>84</v>
      </c>
      <c r="O1283" s="10">
        <v>2.97</v>
      </c>
      <c r="P1283" s="10">
        <v>0.21099999999999999</v>
      </c>
      <c r="Q1283" s="10">
        <v>141</v>
      </c>
      <c r="R1283" s="10" t="s">
        <v>85</v>
      </c>
      <c r="S1283" s="34">
        <f t="shared" si="147"/>
        <v>194.89537280000002</v>
      </c>
      <c r="T1283" s="10" t="s">
        <v>1087</v>
      </c>
      <c r="U1283" s="34" t="str">
        <f t="shared" si="148"/>
        <v/>
      </c>
      <c r="V1283" s="31" t="str">
        <f>IF(H1283="CHK",VLOOKUP(I1283,QCCHK,3,),IF(H1283="GUP",VLOOKUP(E1283,QCGUP,2,),IF(AND(H1283="ATP",OR(I1283="TN",I1283="TDN",I1283="TNO2-3",I1283="NO2-3")),VLOOKUP(E1283,QCREC_N,2,),IF(AND(H1283="NIC",OR(I1283="TN",I1283="TDN",I1283="TNO2-3",I1283="NO2-3")),VLOOKUP(E1283,QCNIC_N,2,),IF(AND(H1283="UREA",OR(I1283="TN",I1283="TDN",I1283="TNO2-3",I1283="NO2-3")),VLOOKUP(E1283,QCUREA_N,2,),IF(H1283="PER",VLOOKUP(I1283,QCPER,MATCH(E1283,QCACTUAL!$J$25:$AA$25,0),),IF(H1283="SPK",VLOOKUP(I1283,QCSPK,3,),IF(AND(H1283="ATP",OR(I1283="TP",I1283="TDP")),VLOOKUP(E1283,QCATP_P,2,),""))))))))</f>
        <v/>
      </c>
      <c r="W1283" s="31" t="str">
        <f t="shared" si="149"/>
        <v>TRUE</v>
      </c>
      <c r="X1283" s="31" t="str">
        <f t="shared" si="146"/>
        <v/>
      </c>
      <c r="Y1283" s="10" t="s">
        <v>1071</v>
      </c>
      <c r="Z1283" s="10" t="s">
        <v>910</v>
      </c>
      <c r="AF1283" s="12">
        <v>44950</v>
      </c>
      <c r="AG1283" s="10">
        <f>-5.8068*2.97^2+97.248*2.97-48.038</f>
        <v>189.56735788000003</v>
      </c>
      <c r="AH1283" s="10">
        <f>-3.008*2.97^2+89.412*2.97-44.125</f>
        <v>194.89537280000002</v>
      </c>
      <c r="AI1283" s="10">
        <f>2.2125*2.97^2+32.759*2.97-8.5751</f>
        <v>108.23537125000001</v>
      </c>
      <c r="AK1283" s="10">
        <f>0.5642*2.97^2+45.477*2.97-20.207</f>
        <v>119.83644178</v>
      </c>
      <c r="AL1283" s="10" t="str">
        <f t="shared" si="144"/>
        <v>FALSE</v>
      </c>
      <c r="AM1283" s="10" t="str">
        <f t="shared" si="144"/>
        <v>y=-3.008*2.97^2+89.412*2.97-44.125</v>
      </c>
      <c r="AN1283" s="10" t="str">
        <f t="shared" si="144"/>
        <v>y=2.2125*2.97^2+32.759*2.97-8.5751</v>
      </c>
      <c r="AO1283" s="10" t="str">
        <f t="shared" si="145"/>
        <v>FALSE</v>
      </c>
      <c r="AP1283" s="10" t="str">
        <f t="shared" si="145"/>
        <v>y=0.5642*2.97^2+45.477*2.97-20.207</v>
      </c>
      <c r="AQ1283" s="10" t="b">
        <f>IF(AND(I1283="TP",S1283&lt;=150),VLOOKUP(AF1283,TPCalibEq150!$AZ$2:$BB$55,3,),IF(AND(I1283="TDP",S1283&lt;=150),VLOOKUP(AF1283,TPCalibEq150!$AZ$2:$BB$55,3,)))</f>
        <v>0</v>
      </c>
      <c r="AR1283" s="10" t="str">
        <f>IF(AND(I1283="TP",S1283&lt;=300),VLOOKUP(AF1283,TPCalibEq300!$AZ$2:$BB$55,3,),IF(AND(I1283="TDP",S1283&lt;=300),VLOOKUP(AF1283,TPCalibEq300!$AZ$2:$BB$55,3,)))</f>
        <v>y=-3.008x2+89.412x-44.125</v>
      </c>
      <c r="AS1283" s="10" t="str">
        <f>IF(AND(I1283="TP",S1283&lt;=500),VLOOKUP(AF1283,TPCalibEq500!$AZ$2:$BB$56,3,),IF(AND(I1283="TDP",S1283&lt;=500),VLOOKUP(AF1283,TPCalibEq500!$AZ$2:$BB$56,3,)))</f>
        <v>y=2.2125x2+32.759x-8.5751</v>
      </c>
      <c r="AT1283" s="10" t="b">
        <f>IF(AND(I1283="TN",S1283&lt;=2800),VLOOKUP(AF1283,TNCalibEq2500!$AZ$2:$BB$56,3,),IF(AND(I1283="TDN",S1283&lt;=2800),VLOOKUP(AF1283,TNCalibEq2500!$AZ$2:$BB$56,3,)))</f>
        <v>0</v>
      </c>
      <c r="AU1283" s="10" t="str">
        <f>IF(I1283="TP",VLOOKUP(AF1283,TPCalibEqFull!$AZ$2:$BB$56,3),IF(I1283="TDP",VLOOKUP(AF1283,TPCalibEqFull!$AZ$2:$BB$56,3),IF(I1283="TDN",VLOOKUP(AF1283,TNCalibEqFull!$AZ$1:$BB$56,3),IF(I1283="TN",VLOOKUP(AF1283,TNCalibEqFull!$AZ$1:$BB$56,3),FALSE))))</f>
        <v>y=0.5642x2+45.477x-20.207</v>
      </c>
      <c r="AV1283" s="10" t="str">
        <f t="shared" si="150"/>
        <v>0117 11:17:00-EAW-0-FIL-1-SW-UKN</v>
      </c>
    </row>
    <row r="1284" spans="1:48" s="10" customFormat="1" x14ac:dyDescent="0.55000000000000004">
      <c r="A1284" s="32">
        <v>44943</v>
      </c>
      <c r="B1284" s="33">
        <v>0.48125000000000001</v>
      </c>
      <c r="C1284" s="10" t="s">
        <v>613</v>
      </c>
      <c r="D1284" s="10">
        <v>0</v>
      </c>
      <c r="E1284" s="10" t="s">
        <v>911</v>
      </c>
      <c r="F1284" s="10">
        <v>1</v>
      </c>
      <c r="G1284" s="10" t="s">
        <v>231</v>
      </c>
      <c r="H1284" s="10" t="s">
        <v>322</v>
      </c>
      <c r="I1284" s="10" t="s">
        <v>266</v>
      </c>
      <c r="J1284" s="10">
        <v>51</v>
      </c>
      <c r="K1284" s="12">
        <v>44950</v>
      </c>
      <c r="L1284" s="33">
        <v>0.60020833333333334</v>
      </c>
      <c r="M1284" s="10">
        <v>1</v>
      </c>
      <c r="N1284" s="10" t="s">
        <v>84</v>
      </c>
      <c r="O1284" s="10">
        <v>3.69</v>
      </c>
      <c r="P1284" s="10">
        <v>0.26400000000000001</v>
      </c>
      <c r="Q1284" s="10">
        <v>178</v>
      </c>
      <c r="R1284" s="10" t="s">
        <v>85</v>
      </c>
      <c r="S1284" s="34">
        <f t="shared" si="147"/>
        <v>244.84805120000004</v>
      </c>
      <c r="T1284" s="10" t="s">
        <v>1087</v>
      </c>
      <c r="U1284" s="34" t="str">
        <f t="shared" si="148"/>
        <v/>
      </c>
      <c r="V1284" s="31" t="str">
        <f>IF(H1284="CHK",VLOOKUP(I1284,QCCHK,3,),IF(H1284="GUP",VLOOKUP(E1284,QCGUP,2,),IF(AND(H1284="ATP",OR(I1284="TN",I1284="TDN",I1284="TNO2-3",I1284="NO2-3")),VLOOKUP(E1284,QCREC_N,2,),IF(AND(H1284="NIC",OR(I1284="TN",I1284="TDN",I1284="TNO2-3",I1284="NO2-3")),VLOOKUP(E1284,QCNIC_N,2,),IF(AND(H1284="UREA",OR(I1284="TN",I1284="TDN",I1284="TNO2-3",I1284="NO2-3")),VLOOKUP(E1284,QCUREA_N,2,),IF(H1284="PER",VLOOKUP(I1284,QCPER,MATCH(E1284,QCACTUAL!$J$25:$AA$25,0),),IF(H1284="SPK",VLOOKUP(I1284,QCSPK,3,),IF(AND(H1284="ATP",OR(I1284="TP",I1284="TDP")),VLOOKUP(E1284,QCATP_P,2,),""))))))))</f>
        <v/>
      </c>
      <c r="W1284" s="31" t="str">
        <f t="shared" si="149"/>
        <v>TRUE</v>
      </c>
      <c r="X1284" s="31" t="str">
        <f t="shared" si="146"/>
        <v/>
      </c>
      <c r="Y1284" s="10" t="s">
        <v>1071</v>
      </c>
      <c r="Z1284" s="10" t="s">
        <v>910</v>
      </c>
      <c r="AF1284" s="12">
        <v>44950</v>
      </c>
      <c r="AH1284" s="10">
        <f>-3.008*3.69^2+89.412*3.69-44.125</f>
        <v>244.84805120000004</v>
      </c>
      <c r="AI1284" s="10">
        <f>2.2125*3.69^2+32.759*3.69-8.5751</f>
        <v>142.43123125</v>
      </c>
      <c r="AK1284" s="10">
        <f>0.5642*3.69^2+45.477*3.69-20.207</f>
        <v>155.28533361999999</v>
      </c>
      <c r="AL1284" s="10" t="str">
        <f t="shared" si="144"/>
        <v>FALSE</v>
      </c>
      <c r="AM1284" s="10" t="str">
        <f t="shared" si="144"/>
        <v>y=-3.008*3.69^2+89.412*3.69-44.125</v>
      </c>
      <c r="AN1284" s="10" t="str">
        <f t="shared" si="144"/>
        <v>y=2.2125*3.69^2+32.759*3.69-8.5751</v>
      </c>
      <c r="AO1284" s="10" t="str">
        <f t="shared" si="145"/>
        <v>FALSE</v>
      </c>
      <c r="AP1284" s="10" t="str">
        <f t="shared" si="145"/>
        <v>y=0.5642*3.69^2+45.477*3.69-20.207</v>
      </c>
      <c r="AQ1284" s="10" t="b">
        <f>IF(AND(I1284="TP",S1284&lt;=150),VLOOKUP(AF1284,TPCalibEq150!$AZ$2:$BB$55,3,),IF(AND(I1284="TDP",S1284&lt;=150),VLOOKUP(AF1284,TPCalibEq150!$AZ$2:$BB$55,3,)))</f>
        <v>0</v>
      </c>
      <c r="AR1284" s="10" t="str">
        <f>IF(AND(I1284="TP",S1284&lt;=300),VLOOKUP(AF1284,TPCalibEq300!$AZ$2:$BB$55,3,),IF(AND(I1284="TDP",S1284&lt;=300),VLOOKUP(AF1284,TPCalibEq300!$AZ$2:$BB$55,3,)))</f>
        <v>y=-3.008x2+89.412x-44.125</v>
      </c>
      <c r="AS1284" s="10" t="str">
        <f>IF(AND(I1284="TP",S1284&lt;=500),VLOOKUP(AF1284,TPCalibEq500!$AZ$2:$BB$56,3,),IF(AND(I1284="TDP",S1284&lt;=500),VLOOKUP(AF1284,TPCalibEq500!$AZ$2:$BB$56,3,)))</f>
        <v>y=2.2125x2+32.759x-8.5751</v>
      </c>
      <c r="AT1284" s="10" t="b">
        <f>IF(AND(I1284="TN",S1284&lt;=2800),VLOOKUP(AF1284,TNCalibEq2500!$AZ$2:$BB$56,3,),IF(AND(I1284="TDN",S1284&lt;=2800),VLOOKUP(AF1284,TNCalibEq2500!$AZ$2:$BB$56,3,)))</f>
        <v>0</v>
      </c>
      <c r="AU1284" s="10" t="str">
        <f>IF(I1284="TP",VLOOKUP(AF1284,TPCalibEqFull!$AZ$2:$BB$56,3),IF(I1284="TDP",VLOOKUP(AF1284,TPCalibEqFull!$AZ$2:$BB$56,3),IF(I1284="TDN",VLOOKUP(AF1284,TNCalibEqFull!$AZ$1:$BB$56,3),IF(I1284="TN",VLOOKUP(AF1284,TNCalibEqFull!$AZ$1:$BB$56,3),FALSE))))</f>
        <v>y=0.5642x2+45.477x-20.207</v>
      </c>
      <c r="AV1284" s="10" t="str">
        <f t="shared" si="150"/>
        <v>0117 11:33:00-FVC-0-FIL-1-SW-UKN</v>
      </c>
    </row>
    <row r="1285" spans="1:48" s="10" customFormat="1" x14ac:dyDescent="0.55000000000000004">
      <c r="A1285" s="32">
        <v>44943</v>
      </c>
      <c r="B1285" s="33">
        <v>0.48125000000000001</v>
      </c>
      <c r="C1285" s="10" t="s">
        <v>613</v>
      </c>
      <c r="D1285" s="10">
        <v>0</v>
      </c>
      <c r="E1285" s="10" t="s">
        <v>911</v>
      </c>
      <c r="F1285" s="10">
        <v>2</v>
      </c>
      <c r="G1285" s="10" t="s">
        <v>231</v>
      </c>
      <c r="H1285" s="10" t="s">
        <v>322</v>
      </c>
      <c r="I1285" s="10" t="s">
        <v>266</v>
      </c>
      <c r="J1285" s="10">
        <v>52</v>
      </c>
      <c r="K1285" s="12">
        <v>44950</v>
      </c>
      <c r="L1285" s="33">
        <v>0.60091435185185182</v>
      </c>
      <c r="M1285" s="10">
        <v>1</v>
      </c>
      <c r="N1285" s="10" t="s">
        <v>84</v>
      </c>
      <c r="O1285" s="10">
        <v>3.31</v>
      </c>
      <c r="P1285" s="10">
        <v>0.23499999999999999</v>
      </c>
      <c r="Q1285" s="10">
        <v>158</v>
      </c>
      <c r="R1285" s="10" t="s">
        <v>85</v>
      </c>
      <c r="S1285" s="34">
        <f t="shared" si="147"/>
        <v>218.87277120000005</v>
      </c>
      <c r="T1285" s="10" t="s">
        <v>1087</v>
      </c>
      <c r="U1285" s="34" t="str">
        <f t="shared" si="148"/>
        <v/>
      </c>
      <c r="V1285" s="31" t="str">
        <f>IF(H1285="CHK",VLOOKUP(I1285,QCCHK,3,),IF(H1285="GUP",VLOOKUP(E1285,QCGUP,2,),IF(AND(H1285="ATP",OR(I1285="TN",I1285="TDN",I1285="TNO2-3",I1285="NO2-3")),VLOOKUP(E1285,QCREC_N,2,),IF(AND(H1285="NIC",OR(I1285="TN",I1285="TDN",I1285="TNO2-3",I1285="NO2-3")),VLOOKUP(E1285,QCNIC_N,2,),IF(AND(H1285="UREA",OR(I1285="TN",I1285="TDN",I1285="TNO2-3",I1285="NO2-3")),VLOOKUP(E1285,QCUREA_N,2,),IF(H1285="PER",VLOOKUP(I1285,QCPER,MATCH(E1285,QCACTUAL!$J$25:$AA$25,0),),IF(H1285="SPK",VLOOKUP(I1285,QCSPK,3,),IF(AND(H1285="ATP",OR(I1285="TP",I1285="TDP")),VLOOKUP(E1285,QCATP_P,2,),""))))))))</f>
        <v/>
      </c>
      <c r="W1285" s="31" t="str">
        <f t="shared" si="149"/>
        <v>TRUE</v>
      </c>
      <c r="X1285" s="31" t="str">
        <f t="shared" si="146"/>
        <v/>
      </c>
      <c r="Y1285" s="10" t="s">
        <v>1071</v>
      </c>
      <c r="Z1285" s="10" t="s">
        <v>910</v>
      </c>
      <c r="AF1285" s="12">
        <v>44950</v>
      </c>
      <c r="AH1285" s="10">
        <f>-3.008*3.31^2+89.412*3.31-44.125</f>
        <v>218.87277120000005</v>
      </c>
      <c r="AI1285" s="10">
        <f>2.2125*3.31^2+32.759*3.31-8.5751</f>
        <v>124.09756125</v>
      </c>
      <c r="AK1285" s="10">
        <f>0.5642*3.31^2+45.477*3.31-20.207</f>
        <v>136.50330162</v>
      </c>
      <c r="AL1285" s="10" t="str">
        <f t="shared" si="144"/>
        <v>FALSE</v>
      </c>
      <c r="AM1285" s="10" t="str">
        <f t="shared" si="144"/>
        <v>y=-3.008*3.31^2+89.412*3.31-44.125</v>
      </c>
      <c r="AN1285" s="10" t="str">
        <f t="shared" si="144"/>
        <v>y=2.2125*3.31^2+32.759*3.31-8.5751</v>
      </c>
      <c r="AO1285" s="10" t="str">
        <f t="shared" si="145"/>
        <v>FALSE</v>
      </c>
      <c r="AP1285" s="10" t="str">
        <f t="shared" si="145"/>
        <v>y=0.5642*3.31^2+45.477*3.31-20.207</v>
      </c>
      <c r="AQ1285" s="10" t="b">
        <f>IF(AND(I1285="TP",S1285&lt;=150),VLOOKUP(AF1285,TPCalibEq150!$AZ$2:$BB$55,3,),IF(AND(I1285="TDP",S1285&lt;=150),VLOOKUP(AF1285,TPCalibEq150!$AZ$2:$BB$55,3,)))</f>
        <v>0</v>
      </c>
      <c r="AR1285" s="10" t="str">
        <f>IF(AND(I1285="TP",S1285&lt;=300),VLOOKUP(AF1285,TPCalibEq300!$AZ$2:$BB$55,3,),IF(AND(I1285="TDP",S1285&lt;=300),VLOOKUP(AF1285,TPCalibEq300!$AZ$2:$BB$55,3,)))</f>
        <v>y=-3.008x2+89.412x-44.125</v>
      </c>
      <c r="AS1285" s="10" t="str">
        <f>IF(AND(I1285="TP",S1285&lt;=500),VLOOKUP(AF1285,TPCalibEq500!$AZ$2:$BB$56,3,),IF(AND(I1285="TDP",S1285&lt;=500),VLOOKUP(AF1285,TPCalibEq500!$AZ$2:$BB$56,3,)))</f>
        <v>y=2.2125x2+32.759x-8.5751</v>
      </c>
      <c r="AT1285" s="10" t="b">
        <f>IF(AND(I1285="TN",S1285&lt;=2800),VLOOKUP(AF1285,TNCalibEq2500!$AZ$2:$BB$56,3,),IF(AND(I1285="TDN",S1285&lt;=2800),VLOOKUP(AF1285,TNCalibEq2500!$AZ$2:$BB$56,3,)))</f>
        <v>0</v>
      </c>
      <c r="AU1285" s="10" t="str">
        <f>IF(I1285="TP",VLOOKUP(AF1285,TPCalibEqFull!$AZ$2:$BB$56,3),IF(I1285="TDP",VLOOKUP(AF1285,TPCalibEqFull!$AZ$2:$BB$56,3),IF(I1285="TDN",VLOOKUP(AF1285,TNCalibEqFull!$AZ$1:$BB$56,3),IF(I1285="TN",VLOOKUP(AF1285,TNCalibEqFull!$AZ$1:$BB$56,3),FALSE))))</f>
        <v>y=0.5642x2+45.477x-20.207</v>
      </c>
      <c r="AV1285" s="10" t="str">
        <f t="shared" si="150"/>
        <v>0117 11:33:00-FVC-0-FIL-2-SW-UKN</v>
      </c>
    </row>
    <row r="1286" spans="1:48" s="10" customFormat="1" x14ac:dyDescent="0.55000000000000004">
      <c r="A1286" s="32">
        <v>44943</v>
      </c>
      <c r="B1286" s="33">
        <v>0.48125000000000001</v>
      </c>
      <c r="C1286" s="10" t="s">
        <v>613</v>
      </c>
      <c r="D1286" s="10">
        <v>0</v>
      </c>
      <c r="E1286" s="10" t="s">
        <v>911</v>
      </c>
      <c r="F1286" s="10">
        <v>2</v>
      </c>
      <c r="G1286" s="10" t="s">
        <v>231</v>
      </c>
      <c r="H1286" s="10" t="s">
        <v>233</v>
      </c>
      <c r="I1286" s="10" t="s">
        <v>266</v>
      </c>
      <c r="J1286" s="10">
        <v>52</v>
      </c>
      <c r="K1286" s="12">
        <v>44950</v>
      </c>
      <c r="L1286" s="33">
        <v>0.60160879629629627</v>
      </c>
      <c r="M1286" s="10">
        <v>1</v>
      </c>
      <c r="N1286" s="10" t="s">
        <v>84</v>
      </c>
      <c r="O1286" s="10">
        <v>3.31</v>
      </c>
      <c r="P1286" s="10">
        <v>0.23499999999999999</v>
      </c>
      <c r="Q1286" s="10">
        <v>158</v>
      </c>
      <c r="R1286" s="10" t="s">
        <v>85</v>
      </c>
      <c r="S1286" s="34">
        <f t="shared" si="147"/>
        <v>218.87277120000005</v>
      </c>
      <c r="T1286" s="10" t="s">
        <v>1087</v>
      </c>
      <c r="U1286" s="34">
        <f t="shared" si="148"/>
        <v>0</v>
      </c>
      <c r="V1286" s="31" t="str">
        <f>IF(H1286="CHK",VLOOKUP(I1286,QCCHK,3,),IF(H1286="GUP",VLOOKUP(E1286,QCGUP,2,),IF(AND(H1286="ATP",OR(I1286="TN",I1286="TDN",I1286="TNO2-3",I1286="NO2-3")),VLOOKUP(E1286,QCREC_N,2,),IF(AND(H1286="NIC",OR(I1286="TN",I1286="TDN",I1286="TNO2-3",I1286="NO2-3")),VLOOKUP(E1286,QCNIC_N,2,),IF(AND(H1286="UREA",OR(I1286="TN",I1286="TDN",I1286="TNO2-3",I1286="NO2-3")),VLOOKUP(E1286,QCUREA_N,2,),IF(H1286="PER",VLOOKUP(I1286,QCPER,MATCH(E1286,QCACTUAL!$J$25:$AA$25,0),),IF(H1286="SPK",VLOOKUP(I1286,QCSPK,3,),IF(AND(H1286="ATP",OR(I1286="TP",I1286="TDP")),VLOOKUP(E1286,QCATP_P,2,),""))))))))</f>
        <v/>
      </c>
      <c r="W1286" s="31" t="str">
        <f t="shared" si="149"/>
        <v>TRUE</v>
      </c>
      <c r="X1286" s="31" t="str">
        <f t="shared" si="146"/>
        <v>((ABS(rep1-rep2))/((rep1+rep2)/2)*100</v>
      </c>
      <c r="Y1286" s="10" t="s">
        <v>1071</v>
      </c>
      <c r="Z1286" s="10" t="s">
        <v>910</v>
      </c>
      <c r="AF1286" s="12">
        <v>44950</v>
      </c>
      <c r="AH1286" s="10">
        <f>-3.008*3.31^2+89.412*3.31-44.125</f>
        <v>218.87277120000005</v>
      </c>
      <c r="AI1286" s="10">
        <f>2.2125*3.31^2+32.759*3.31-8.5751</f>
        <v>124.09756125</v>
      </c>
      <c r="AK1286" s="10">
        <f>0.5642*3.31^2+45.477*3.31-20.207</f>
        <v>136.50330162</v>
      </c>
      <c r="AL1286" s="10" t="str">
        <f t="shared" si="144"/>
        <v>FALSE</v>
      </c>
      <c r="AM1286" s="10" t="str">
        <f t="shared" si="144"/>
        <v>y=-3.008*3.31^2+89.412*3.31-44.125</v>
      </c>
      <c r="AN1286" s="10" t="str">
        <f t="shared" si="144"/>
        <v>y=2.2125*3.31^2+32.759*3.31-8.5751</v>
      </c>
      <c r="AO1286" s="10" t="str">
        <f t="shared" si="145"/>
        <v>FALSE</v>
      </c>
      <c r="AP1286" s="10" t="str">
        <f t="shared" si="145"/>
        <v>y=0.5642*3.31^2+45.477*3.31-20.207</v>
      </c>
      <c r="AQ1286" s="10" t="b">
        <f>IF(AND(I1286="TP",S1286&lt;=150),VLOOKUP(AF1286,TPCalibEq150!$AZ$2:$BB$55,3,),IF(AND(I1286="TDP",S1286&lt;=150),VLOOKUP(AF1286,TPCalibEq150!$AZ$2:$BB$55,3,)))</f>
        <v>0</v>
      </c>
      <c r="AR1286" s="10" t="str">
        <f>IF(AND(I1286="TP",S1286&lt;=300),VLOOKUP(AF1286,TPCalibEq300!$AZ$2:$BB$55,3,),IF(AND(I1286="TDP",S1286&lt;=300),VLOOKUP(AF1286,TPCalibEq300!$AZ$2:$BB$55,3,)))</f>
        <v>y=-3.008x2+89.412x-44.125</v>
      </c>
      <c r="AS1286" s="10" t="str">
        <f>IF(AND(I1286="TP",S1286&lt;=500),VLOOKUP(AF1286,TPCalibEq500!$AZ$2:$BB$56,3,),IF(AND(I1286="TDP",S1286&lt;=500),VLOOKUP(AF1286,TPCalibEq500!$AZ$2:$BB$56,3,)))</f>
        <v>y=2.2125x2+32.759x-8.5751</v>
      </c>
      <c r="AT1286" s="10" t="b">
        <f>IF(AND(I1286="TN",S1286&lt;=2800),VLOOKUP(AF1286,TNCalibEq2500!$AZ$2:$BB$56,3,),IF(AND(I1286="TDN",S1286&lt;=2800),VLOOKUP(AF1286,TNCalibEq2500!$AZ$2:$BB$56,3,)))</f>
        <v>0</v>
      </c>
      <c r="AU1286" s="10" t="str">
        <f>IF(I1286="TP",VLOOKUP(AF1286,TPCalibEqFull!$AZ$2:$BB$56,3),IF(I1286="TDP",VLOOKUP(AF1286,TPCalibEqFull!$AZ$2:$BB$56,3),IF(I1286="TDN",VLOOKUP(AF1286,TNCalibEqFull!$AZ$1:$BB$56,3),IF(I1286="TN",VLOOKUP(AF1286,TNCalibEqFull!$AZ$1:$BB$56,3),FALSE))))</f>
        <v>y=0.5642x2+45.477x-20.207</v>
      </c>
      <c r="AV1286" s="10" t="str">
        <f t="shared" si="150"/>
        <v>0117 11:33:00-FVC-0-FIL-2-SW-DUP</v>
      </c>
    </row>
    <row r="1287" spans="1:48" s="10" customFormat="1" x14ac:dyDescent="0.55000000000000004">
      <c r="A1287" s="32">
        <v>44943</v>
      </c>
      <c r="B1287" s="33">
        <v>0.48125000000000001</v>
      </c>
      <c r="C1287" s="10" t="s">
        <v>613</v>
      </c>
      <c r="D1287" s="10">
        <v>0</v>
      </c>
      <c r="E1287" s="10" t="s">
        <v>911</v>
      </c>
      <c r="F1287" s="10">
        <v>2</v>
      </c>
      <c r="G1287" s="10" t="s">
        <v>231</v>
      </c>
      <c r="H1287" s="10" t="s">
        <v>314</v>
      </c>
      <c r="I1287" s="10" t="s">
        <v>266</v>
      </c>
      <c r="J1287" s="10">
        <v>61</v>
      </c>
      <c r="K1287" s="12">
        <v>44950</v>
      </c>
      <c r="L1287" s="33">
        <v>0.60231481481481486</v>
      </c>
      <c r="M1287" s="10">
        <v>1</v>
      </c>
      <c r="N1287" s="10" t="s">
        <v>84</v>
      </c>
      <c r="O1287" s="10">
        <v>18.899999999999999</v>
      </c>
      <c r="P1287" s="10">
        <v>1.34</v>
      </c>
      <c r="Q1287" s="10">
        <v>1060</v>
      </c>
      <c r="R1287" s="10" t="s">
        <v>85</v>
      </c>
      <c r="S1287" s="34">
        <f t="shared" si="147"/>
        <v>1060</v>
      </c>
      <c r="T1287" s="10" t="s">
        <v>1087</v>
      </c>
      <c r="U1287" s="34">
        <f t="shared" si="148"/>
        <v>84.112722880000007</v>
      </c>
      <c r="V1287" s="31">
        <f>IF(H1287="CHK",VLOOKUP(I1287,QCCHK,3,),IF(H1287="GUP",VLOOKUP(E1287,QCGUP,2,),IF(AND(H1287="ATP",OR(I1287="TN",I1287="TDN",I1287="TNO2-3",I1287="NO2-3")),VLOOKUP(E1287,QCREC_N,2,),IF(AND(H1287="NIC",OR(I1287="TN",I1287="TDN",I1287="TNO2-3",I1287="NO2-3")),VLOOKUP(E1287,QCNIC_N,2,),IF(AND(H1287="UREA",OR(I1287="TN",I1287="TDN",I1287="TNO2-3",I1287="NO2-3")),VLOOKUP(E1287,QCUREA_N,2,),IF(H1287="PER",VLOOKUP(I1287,QCPER,MATCH(E1287,QCACTUAL!$J$25:$AA$25,0),),IF(H1287="SPK",VLOOKUP(I1287,QCSPK,3,),IF(AND(H1287="ATP",OR(I1287="TP",I1287="TDP")),VLOOKUP(E1287,QCATP_P,2,),""))))))))</f>
        <v>1000</v>
      </c>
      <c r="W1287" s="31" t="str">
        <f t="shared" si="149"/>
        <v>TRUE</v>
      </c>
      <c r="X1287" s="31" t="str">
        <f t="shared" si="146"/>
        <v>([spikedunkn]-[unkn])/[spike]*100</v>
      </c>
      <c r="Y1287" s="10" t="s">
        <v>1071</v>
      </c>
      <c r="Z1287" s="10" t="s">
        <v>910</v>
      </c>
      <c r="AF1287" s="12">
        <v>44950</v>
      </c>
      <c r="AK1287" s="10">
        <f>0.5642*18.9^2+45.477*18.9-20.207</f>
        <v>1040.8461819999998</v>
      </c>
      <c r="AL1287" s="10" t="str">
        <f t="shared" si="144"/>
        <v>FALSE</v>
      </c>
      <c r="AM1287" s="10" t="str">
        <f t="shared" si="144"/>
        <v>FALSE</v>
      </c>
      <c r="AN1287" s="10" t="str">
        <f t="shared" si="144"/>
        <v>FALSE</v>
      </c>
      <c r="AO1287" s="10" t="str">
        <f t="shared" si="145"/>
        <v>FALSE</v>
      </c>
      <c r="AP1287" s="10" t="str">
        <f t="shared" si="145"/>
        <v>y=0.5642*18.9^2+45.477*18.9-20.207</v>
      </c>
      <c r="AQ1287" s="10" t="b">
        <f>IF(AND(I1287="TP",S1287&lt;=150),VLOOKUP(AF1287,TPCalibEq150!$AZ$2:$BB$55,3,),IF(AND(I1287="TDP",S1287&lt;=150),VLOOKUP(AF1287,TPCalibEq150!$AZ$2:$BB$55,3,)))</f>
        <v>0</v>
      </c>
      <c r="AR1287" s="10" t="b">
        <f>IF(AND(I1287="TP",S1287&lt;=300),VLOOKUP(AF1287,TPCalibEq300!$AZ$2:$BB$55,3,),IF(AND(I1287="TDP",S1287&lt;=300),VLOOKUP(AF1287,TPCalibEq300!$AZ$2:$BB$55,3,)))</f>
        <v>0</v>
      </c>
      <c r="AS1287" s="10" t="b">
        <f>IF(AND(I1287="TP",S1287&lt;=500),VLOOKUP(AF1287,TPCalibEq500!$AZ$2:$BB$56,3,),IF(AND(I1287="TDP",S1287&lt;=500),VLOOKUP(AF1287,TPCalibEq500!$AZ$2:$BB$56,3,)))</f>
        <v>0</v>
      </c>
      <c r="AT1287" s="10" t="b">
        <f>IF(AND(I1287="TN",S1287&lt;=2800),VLOOKUP(AF1287,TNCalibEq2500!$AZ$2:$BB$56,3,),IF(AND(I1287="TDN",S1287&lt;=2800),VLOOKUP(AF1287,TNCalibEq2500!$AZ$2:$BB$56,3,)))</f>
        <v>0</v>
      </c>
      <c r="AU1287" s="10" t="str">
        <f>IF(I1287="TP",VLOOKUP(AF1287,TPCalibEqFull!$AZ$2:$BB$56,3),IF(I1287="TDP",VLOOKUP(AF1287,TPCalibEqFull!$AZ$2:$BB$56,3),IF(I1287="TDN",VLOOKUP(AF1287,TNCalibEqFull!$AZ$1:$BB$56,3),IF(I1287="TN",VLOOKUP(AF1287,TNCalibEqFull!$AZ$1:$BB$56,3),FALSE))))</f>
        <v>y=0.5642x2+45.477x-20.207</v>
      </c>
      <c r="AV1287" s="10" t="str">
        <f t="shared" si="150"/>
        <v>0117 11:33:00-FVC-0-FIL-2-SW-SPK</v>
      </c>
    </row>
    <row r="1288" spans="1:48" s="10" customFormat="1" x14ac:dyDescent="0.55000000000000004">
      <c r="A1288" s="32">
        <v>44950</v>
      </c>
      <c r="B1288" s="33">
        <v>0.375</v>
      </c>
      <c r="C1288" s="10" t="s">
        <v>70</v>
      </c>
      <c r="D1288" s="10" t="s">
        <v>71</v>
      </c>
      <c r="E1288" s="10" t="s">
        <v>901</v>
      </c>
      <c r="F1288" s="10">
        <v>1</v>
      </c>
      <c r="G1288" s="10" t="s">
        <v>73</v>
      </c>
      <c r="H1288" s="10" t="s">
        <v>207</v>
      </c>
      <c r="I1288" s="10" t="s">
        <v>83</v>
      </c>
      <c r="J1288" s="10">
        <v>201</v>
      </c>
      <c r="K1288" s="12">
        <v>44950</v>
      </c>
      <c r="L1288" s="33">
        <v>0.60302083333333334</v>
      </c>
      <c r="M1288" s="10">
        <v>1</v>
      </c>
      <c r="N1288" s="10" t="s">
        <v>84</v>
      </c>
      <c r="O1288" s="10">
        <v>11.7</v>
      </c>
      <c r="P1288" s="10">
        <v>0.83499999999999996</v>
      </c>
      <c r="Q1288" s="10">
        <v>618</v>
      </c>
      <c r="R1288" s="10" t="s">
        <v>85</v>
      </c>
      <c r="S1288" s="34">
        <f t="shared" si="147"/>
        <v>618</v>
      </c>
      <c r="T1288" s="10" t="s">
        <v>1087</v>
      </c>
      <c r="U1288" s="34">
        <f t="shared" si="148"/>
        <v>123.6</v>
      </c>
      <c r="V1288" s="31">
        <f>IF(H1288="CHK",VLOOKUP(I1288,QCCHK,3,),IF(H1288="GUP",VLOOKUP(E1288,QCGUP,2,),IF(AND(H1288="ATP",OR(I1288="TN",I1288="TDN",I1288="TNO2-3",I1288="NO2-3")),VLOOKUP(E1288,QCREC_N,2,),IF(AND(H1288="NIC",OR(I1288="TN",I1288="TDN",I1288="TNO2-3",I1288="NO2-3")),VLOOKUP(E1288,QCNIC_N,2,),IF(AND(H1288="UREA",OR(I1288="TN",I1288="TDN",I1288="TNO2-3",I1288="NO2-3")),VLOOKUP(E1288,QCUREA_N,2,),IF(H1288="PER",VLOOKUP(I1288,QCPER,MATCH(E1288,QCACTUAL!$J$25:$AA$25,0),),IF(H1288="SPK",VLOOKUP(I1288,QCSPK,3,),IF(AND(H1288="ATP",OR(I1288="TP",I1288="TDP")),VLOOKUP(E1288,QCATP_P,2,),""))))))))</f>
        <v>500</v>
      </c>
      <c r="W1288" s="31" t="str">
        <f t="shared" si="149"/>
        <v>TRUE</v>
      </c>
      <c r="X1288" s="31" t="str">
        <f t="shared" si="146"/>
        <v>[chk]/[actual]*100</v>
      </c>
      <c r="Y1288" s="10" t="s">
        <v>1071</v>
      </c>
      <c r="AF1288" s="12">
        <v>44950</v>
      </c>
      <c r="AK1288" s="10">
        <f>0.5642*11.7^2+45.477*11.7-20.207</f>
        <v>589.10723799999994</v>
      </c>
      <c r="AL1288" s="10" t="str">
        <f t="shared" si="144"/>
        <v>FALSE</v>
      </c>
      <c r="AM1288" s="10" t="str">
        <f t="shared" si="144"/>
        <v>FALSE</v>
      </c>
      <c r="AN1288" s="10" t="str">
        <f t="shared" si="144"/>
        <v>FALSE</v>
      </c>
      <c r="AO1288" s="10" t="str">
        <f t="shared" si="145"/>
        <v>FALSE</v>
      </c>
      <c r="AP1288" s="10" t="str">
        <f t="shared" si="145"/>
        <v>y=0.5642*11.7^2+45.477*11.7-20.207</v>
      </c>
      <c r="AQ1288" s="10" t="b">
        <f>IF(AND(I1288="TP",S1288&lt;=150),VLOOKUP(AF1288,TPCalibEq150!$AZ$2:$BB$55,3,),IF(AND(I1288="TDP",S1288&lt;=150),VLOOKUP(AF1288,TPCalibEq150!$AZ$2:$BB$55,3,)))</f>
        <v>0</v>
      </c>
      <c r="AR1288" s="10" t="b">
        <f>IF(AND(I1288="TP",S1288&lt;=300),VLOOKUP(AF1288,TPCalibEq300!$AZ$2:$BB$55,3,),IF(AND(I1288="TDP",S1288&lt;=300),VLOOKUP(AF1288,TPCalibEq300!$AZ$2:$BB$55,3,)))</f>
        <v>0</v>
      </c>
      <c r="AS1288" s="10" t="b">
        <f>IF(AND(I1288="TP",S1288&lt;=500),VLOOKUP(AF1288,TPCalibEq500!$AZ$2:$BB$56,3,),IF(AND(I1288="TDP",S1288&lt;=500),VLOOKUP(AF1288,TPCalibEq500!$AZ$2:$BB$56,3,)))</f>
        <v>0</v>
      </c>
      <c r="AT1288" s="10" t="b">
        <f>IF(AND(I1288="TN",S1288&lt;=2800),VLOOKUP(AF1288,TNCalibEq2500!$AZ$2:$BB$56,3,),IF(AND(I1288="TDN",S1288&lt;=2800),VLOOKUP(AF1288,TNCalibEq2500!$AZ$2:$BB$56,3,)))</f>
        <v>0</v>
      </c>
      <c r="AU1288" s="10" t="str">
        <f>IF(I1288="TP",VLOOKUP(AF1288,TPCalibEqFull!$AZ$2:$BB$56,3),IF(I1288="TDP",VLOOKUP(AF1288,TPCalibEqFull!$AZ$2:$BB$56,3),IF(I1288="TDN",VLOOKUP(AF1288,TNCalibEqFull!$AZ$1:$BB$56,3),IF(I1288="TN",VLOOKUP(AF1288,TNCalibEqFull!$AZ$1:$BB$56,3),FALSE))))</f>
        <v>y=0.5642x2+45.477x-20.207</v>
      </c>
      <c r="AV1288" s="10" t="str">
        <f t="shared" si="150"/>
        <v>0124 09:00:00-QAC-STD-D-1-DI-CHK</v>
      </c>
    </row>
    <row r="1289" spans="1:48" s="10" customFormat="1" x14ac:dyDescent="0.55000000000000004">
      <c r="A1289" s="32">
        <v>44943</v>
      </c>
      <c r="B1289" s="33">
        <v>0.48888888888888887</v>
      </c>
      <c r="C1289" s="10" t="s">
        <v>250</v>
      </c>
      <c r="D1289" s="10">
        <v>0</v>
      </c>
      <c r="E1289" s="10" t="s">
        <v>911</v>
      </c>
      <c r="F1289" s="10">
        <v>1</v>
      </c>
      <c r="G1289" s="10" t="s">
        <v>231</v>
      </c>
      <c r="H1289" s="10" t="s">
        <v>322</v>
      </c>
      <c r="I1289" s="10" t="s">
        <v>266</v>
      </c>
      <c r="J1289" s="10">
        <v>53</v>
      </c>
      <c r="K1289" s="12">
        <v>44950</v>
      </c>
      <c r="L1289" s="33">
        <v>0.60371527777777778</v>
      </c>
      <c r="M1289" s="10">
        <v>1</v>
      </c>
      <c r="N1289" s="10" t="s">
        <v>84</v>
      </c>
      <c r="O1289" s="10">
        <v>2.4900000000000002</v>
      </c>
      <c r="P1289" s="10">
        <v>0.17699999999999999</v>
      </c>
      <c r="Q1289" s="10">
        <v>117</v>
      </c>
      <c r="R1289" s="10" t="s">
        <v>85</v>
      </c>
      <c r="S1289" s="34">
        <f t="shared" si="147"/>
        <v>159.86097920000003</v>
      </c>
      <c r="T1289" s="10" t="s">
        <v>1087</v>
      </c>
      <c r="U1289" s="34" t="str">
        <f t="shared" si="148"/>
        <v/>
      </c>
      <c r="V1289" s="31" t="str">
        <f>IF(H1289="CHK",VLOOKUP(I1289,QCCHK,3,),IF(H1289="GUP",VLOOKUP(E1289,QCGUP,2,),IF(AND(H1289="ATP",OR(I1289="TN",I1289="TDN",I1289="TNO2-3",I1289="NO2-3")),VLOOKUP(E1289,QCREC_N,2,),IF(AND(H1289="NIC",OR(I1289="TN",I1289="TDN",I1289="TNO2-3",I1289="NO2-3")),VLOOKUP(E1289,QCNIC_N,2,),IF(AND(H1289="UREA",OR(I1289="TN",I1289="TDN",I1289="TNO2-3",I1289="NO2-3")),VLOOKUP(E1289,QCUREA_N,2,),IF(H1289="PER",VLOOKUP(I1289,QCPER,MATCH(E1289,QCACTUAL!$J$25:$AA$25,0),),IF(H1289="SPK",VLOOKUP(I1289,QCSPK,3,),IF(AND(H1289="ATP",OR(I1289="TP",I1289="TDP")),VLOOKUP(E1289,QCATP_P,2,),""))))))))</f>
        <v/>
      </c>
      <c r="W1289" s="31" t="str">
        <f t="shared" si="149"/>
        <v>TRUE</v>
      </c>
      <c r="X1289" s="31" t="str">
        <f t="shared" si="146"/>
        <v/>
      </c>
      <c r="Y1289" s="10" t="s">
        <v>1071</v>
      </c>
      <c r="Z1289" s="10" t="s">
        <v>910</v>
      </c>
      <c r="AF1289" s="12">
        <v>44950</v>
      </c>
      <c r="AG1289" s="10">
        <f>-5.8068*2.49^2+97.248*2.49-48.038</f>
        <v>158.10677932000004</v>
      </c>
      <c r="AH1289" s="10">
        <f>-3.008*2.49^2+89.412*2.49-44.125</f>
        <v>159.86097920000003</v>
      </c>
      <c r="AI1289" s="10">
        <f>2.2125*2.49^2+32.759*2.49-8.5751</f>
        <v>86.712531249999998</v>
      </c>
      <c r="AK1289" s="10">
        <f>0.5642*2.49^2+45.477*2.49-20.207</f>
        <v>96.528826420000001</v>
      </c>
      <c r="AL1289" s="10" t="str">
        <f t="shared" si="144"/>
        <v>FALSE</v>
      </c>
      <c r="AM1289" s="10" t="str">
        <f t="shared" si="144"/>
        <v>y=-3.008*2.49^2+89.412*2.49-44.125</v>
      </c>
      <c r="AN1289" s="10" t="str">
        <f t="shared" si="144"/>
        <v>y=2.2125*2.49^2+32.759*2.49-8.5751</v>
      </c>
      <c r="AO1289" s="10" t="str">
        <f t="shared" si="145"/>
        <v>FALSE</v>
      </c>
      <c r="AP1289" s="10" t="str">
        <f t="shared" si="145"/>
        <v>y=0.5642*2.49^2+45.477*2.49-20.207</v>
      </c>
      <c r="AQ1289" s="10" t="b">
        <f>IF(AND(I1289="TP",S1289&lt;=150),VLOOKUP(AF1289,TPCalibEq150!$AZ$2:$BB$55,3,),IF(AND(I1289="TDP",S1289&lt;=150),VLOOKUP(AF1289,TPCalibEq150!$AZ$2:$BB$55,3,)))</f>
        <v>0</v>
      </c>
      <c r="AR1289" s="10" t="str">
        <f>IF(AND(I1289="TP",S1289&lt;=300),VLOOKUP(AF1289,TPCalibEq300!$AZ$2:$BB$55,3,),IF(AND(I1289="TDP",S1289&lt;=300),VLOOKUP(AF1289,TPCalibEq300!$AZ$2:$BB$55,3,)))</f>
        <v>y=-3.008x2+89.412x-44.125</v>
      </c>
      <c r="AS1289" s="10" t="str">
        <f>IF(AND(I1289="TP",S1289&lt;=500),VLOOKUP(AF1289,TPCalibEq500!$AZ$2:$BB$56,3,),IF(AND(I1289="TDP",S1289&lt;=500),VLOOKUP(AF1289,TPCalibEq500!$AZ$2:$BB$56,3,)))</f>
        <v>y=2.2125x2+32.759x-8.5751</v>
      </c>
      <c r="AT1289" s="10" t="b">
        <f>IF(AND(I1289="TN",S1289&lt;=2800),VLOOKUP(AF1289,TNCalibEq2500!$AZ$2:$BB$56,3,),IF(AND(I1289="TDN",S1289&lt;=2800),VLOOKUP(AF1289,TNCalibEq2500!$AZ$2:$BB$56,3,)))</f>
        <v>0</v>
      </c>
      <c r="AU1289" s="10" t="str">
        <f>IF(I1289="TP",VLOOKUP(AF1289,TPCalibEqFull!$AZ$2:$BB$56,3),IF(I1289="TDP",VLOOKUP(AF1289,TPCalibEqFull!$AZ$2:$BB$56,3),IF(I1289="TDN",VLOOKUP(AF1289,TNCalibEqFull!$AZ$1:$BB$56,3),IF(I1289="TN",VLOOKUP(AF1289,TNCalibEqFull!$AZ$1:$BB$56,3),FALSE))))</f>
        <v>y=0.5642x2+45.477x-20.207</v>
      </c>
      <c r="AV1289" s="10" t="str">
        <f t="shared" si="150"/>
        <v>0117 11:44:00-EFB-0-FIL-1-SW-UKN</v>
      </c>
    </row>
    <row r="1290" spans="1:48" s="10" customFormat="1" x14ac:dyDescent="0.55000000000000004">
      <c r="A1290" s="32">
        <v>44943</v>
      </c>
      <c r="B1290" s="33">
        <v>0.49791666666666662</v>
      </c>
      <c r="C1290" s="10" t="s">
        <v>326</v>
      </c>
      <c r="D1290" s="10">
        <v>0</v>
      </c>
      <c r="E1290" s="10" t="s">
        <v>911</v>
      </c>
      <c r="F1290" s="10">
        <v>1</v>
      </c>
      <c r="G1290" s="10" t="s">
        <v>231</v>
      </c>
      <c r="H1290" s="10" t="s">
        <v>322</v>
      </c>
      <c r="I1290" s="10" t="s">
        <v>266</v>
      </c>
      <c r="J1290" s="10">
        <v>54</v>
      </c>
      <c r="K1290" s="12">
        <v>44950</v>
      </c>
      <c r="L1290" s="33">
        <v>0.60440972222222222</v>
      </c>
      <c r="M1290" s="10">
        <v>1</v>
      </c>
      <c r="N1290" s="10" t="s">
        <v>84</v>
      </c>
      <c r="O1290" s="10">
        <v>2.42</v>
      </c>
      <c r="P1290" s="10">
        <v>0.17100000000000001</v>
      </c>
      <c r="Q1290" s="10">
        <v>113</v>
      </c>
      <c r="R1290" s="10" t="s">
        <v>85</v>
      </c>
      <c r="S1290" s="34">
        <f t="shared" si="147"/>
        <v>154.63598880000001</v>
      </c>
      <c r="T1290" s="10" t="s">
        <v>1087</v>
      </c>
      <c r="U1290" s="34" t="str">
        <f t="shared" si="148"/>
        <v/>
      </c>
      <c r="V1290" s="31" t="str">
        <f>IF(H1290="CHK",VLOOKUP(I1290,QCCHK,3,),IF(H1290="GUP",VLOOKUP(E1290,QCGUP,2,),IF(AND(H1290="ATP",OR(I1290="TN",I1290="TDN",I1290="TNO2-3",I1290="NO2-3")),VLOOKUP(E1290,QCREC_N,2,),IF(AND(H1290="NIC",OR(I1290="TN",I1290="TDN",I1290="TNO2-3",I1290="NO2-3")),VLOOKUP(E1290,QCNIC_N,2,),IF(AND(H1290="UREA",OR(I1290="TN",I1290="TDN",I1290="TNO2-3",I1290="NO2-3")),VLOOKUP(E1290,QCUREA_N,2,),IF(H1290="PER",VLOOKUP(I1290,QCPER,MATCH(E1290,QCACTUAL!$J$25:$AA$25,0),),IF(H1290="SPK",VLOOKUP(I1290,QCSPK,3,),IF(AND(H1290="ATP",OR(I1290="TP",I1290="TDP")),VLOOKUP(E1290,QCATP_P,2,),""))))))))</f>
        <v/>
      </c>
      <c r="W1290" s="31" t="str">
        <f t="shared" si="149"/>
        <v>TRUE</v>
      </c>
      <c r="X1290" s="31" t="str">
        <f t="shared" si="146"/>
        <v/>
      </c>
      <c r="Y1290" s="10" t="s">
        <v>1071</v>
      </c>
      <c r="Z1290" s="10" t="s">
        <v>910</v>
      </c>
      <c r="AF1290" s="12">
        <v>44950</v>
      </c>
      <c r="AG1290" s="10">
        <f>-5.8068*2.42^2+97.248*2.42-48.038</f>
        <v>153.29521648000002</v>
      </c>
      <c r="AH1290" s="10">
        <f>-3.008*2.42^2+89.412*2.42-44.125</f>
        <v>154.63598880000001</v>
      </c>
      <c r="AI1290" s="10">
        <f>2.2125*2.42^2+32.759*2.42-8.5751</f>
        <v>83.658964999999995</v>
      </c>
      <c r="AK1290" s="10">
        <f>0.5642*2.42^2+45.477*2.42-20.207</f>
        <v>93.151520879999993</v>
      </c>
      <c r="AL1290" s="10" t="str">
        <f t="shared" si="144"/>
        <v>FALSE</v>
      </c>
      <c r="AM1290" s="10" t="str">
        <f t="shared" si="144"/>
        <v>y=-3.008*2.42^2+89.412*2.42-44.125</v>
      </c>
      <c r="AN1290" s="10" t="str">
        <f t="shared" si="144"/>
        <v>y=2.2125*2.42^2+32.759*2.42-8.5751</v>
      </c>
      <c r="AO1290" s="10" t="str">
        <f t="shared" si="145"/>
        <v>FALSE</v>
      </c>
      <c r="AP1290" s="10" t="str">
        <f t="shared" si="145"/>
        <v>y=0.5642*2.42^2+45.477*2.42-20.207</v>
      </c>
      <c r="AQ1290" s="10" t="b">
        <f>IF(AND(I1290="TP",S1290&lt;=150),VLOOKUP(AF1290,TPCalibEq150!$AZ$2:$BB$55,3,),IF(AND(I1290="TDP",S1290&lt;=150),VLOOKUP(AF1290,TPCalibEq150!$AZ$2:$BB$55,3,)))</f>
        <v>0</v>
      </c>
      <c r="AR1290" s="10" t="str">
        <f>IF(AND(I1290="TP",S1290&lt;=300),VLOOKUP(AF1290,TPCalibEq300!$AZ$2:$BB$55,3,),IF(AND(I1290="TDP",S1290&lt;=300),VLOOKUP(AF1290,TPCalibEq300!$AZ$2:$BB$55,3,)))</f>
        <v>y=-3.008x2+89.412x-44.125</v>
      </c>
      <c r="AS1290" s="10" t="str">
        <f>IF(AND(I1290="TP",S1290&lt;=500),VLOOKUP(AF1290,TPCalibEq500!$AZ$2:$BB$56,3,),IF(AND(I1290="TDP",S1290&lt;=500),VLOOKUP(AF1290,TPCalibEq500!$AZ$2:$BB$56,3,)))</f>
        <v>y=2.2125x2+32.759x-8.5751</v>
      </c>
      <c r="AT1290" s="10" t="b">
        <f>IF(AND(I1290="TN",S1290&lt;=2800),VLOOKUP(AF1290,TNCalibEq2500!$AZ$2:$BB$56,3,),IF(AND(I1290="TDN",S1290&lt;=2800),VLOOKUP(AF1290,TNCalibEq2500!$AZ$2:$BB$56,3,)))</f>
        <v>0</v>
      </c>
      <c r="AU1290" s="10" t="str">
        <f>IF(I1290="TP",VLOOKUP(AF1290,TPCalibEqFull!$AZ$2:$BB$56,3),IF(I1290="TDP",VLOOKUP(AF1290,TPCalibEqFull!$AZ$2:$BB$56,3),IF(I1290="TDN",VLOOKUP(AF1290,TNCalibEqFull!$AZ$1:$BB$56,3),IF(I1290="TN",VLOOKUP(AF1290,TNCalibEqFull!$AZ$1:$BB$56,3),FALSE))))</f>
        <v>y=0.5642x2+45.477x-20.207</v>
      </c>
      <c r="AV1290" s="10" t="str">
        <f t="shared" si="150"/>
        <v>0117 11:57:00-GRR-0-FIL-1-SW-UKN</v>
      </c>
    </row>
    <row r="1291" spans="1:48" s="10" customFormat="1" x14ac:dyDescent="0.55000000000000004">
      <c r="A1291" s="32">
        <v>44943</v>
      </c>
      <c r="B1291" s="33">
        <v>0.50763888888888886</v>
      </c>
      <c r="C1291" s="10" t="s">
        <v>416</v>
      </c>
      <c r="D1291" s="10">
        <v>0</v>
      </c>
      <c r="E1291" s="10" t="s">
        <v>911</v>
      </c>
      <c r="F1291" s="10">
        <v>1</v>
      </c>
      <c r="G1291" s="10" t="s">
        <v>231</v>
      </c>
      <c r="H1291" s="10" t="s">
        <v>322</v>
      </c>
      <c r="I1291" s="10" t="s">
        <v>266</v>
      </c>
      <c r="J1291" s="10">
        <v>55</v>
      </c>
      <c r="K1291" s="12">
        <v>44950</v>
      </c>
      <c r="L1291" s="33">
        <v>0.60510416666666667</v>
      </c>
      <c r="M1291" s="10">
        <v>1</v>
      </c>
      <c r="N1291" s="10" t="s">
        <v>84</v>
      </c>
      <c r="O1291" s="10">
        <v>6.23</v>
      </c>
      <c r="P1291" s="10">
        <v>0.443</v>
      </c>
      <c r="Q1291" s="10">
        <v>310</v>
      </c>
      <c r="R1291" s="10" t="s">
        <v>85</v>
      </c>
      <c r="S1291" s="34">
        <f t="shared" si="147"/>
        <v>310</v>
      </c>
      <c r="T1291" s="10" t="s">
        <v>1087</v>
      </c>
      <c r="U1291" s="34" t="str">
        <f t="shared" si="148"/>
        <v/>
      </c>
      <c r="V1291" s="31" t="str">
        <f>IF(H1291="CHK",VLOOKUP(I1291,QCCHK,3,),IF(H1291="GUP",VLOOKUP(E1291,QCGUP,2,),IF(AND(H1291="ATP",OR(I1291="TN",I1291="TDN",I1291="TNO2-3",I1291="NO2-3")),VLOOKUP(E1291,QCREC_N,2,),IF(AND(H1291="NIC",OR(I1291="TN",I1291="TDN",I1291="TNO2-3",I1291="NO2-3")),VLOOKUP(E1291,QCNIC_N,2,),IF(AND(H1291="UREA",OR(I1291="TN",I1291="TDN",I1291="TNO2-3",I1291="NO2-3")),VLOOKUP(E1291,QCUREA_N,2,),IF(H1291="PER",VLOOKUP(I1291,QCPER,MATCH(E1291,QCACTUAL!$J$25:$AA$25,0),),IF(H1291="SPK",VLOOKUP(I1291,QCSPK,3,),IF(AND(H1291="ATP",OR(I1291="TP",I1291="TDP")),VLOOKUP(E1291,QCATP_P,2,),""))))))))</f>
        <v/>
      </c>
      <c r="W1291" s="31" t="str">
        <f t="shared" si="149"/>
        <v>TRUE</v>
      </c>
      <c r="X1291" s="31" t="str">
        <f t="shared" si="146"/>
        <v/>
      </c>
      <c r="Y1291" s="10" t="s">
        <v>1071</v>
      </c>
      <c r="Z1291" s="10" t="s">
        <v>910</v>
      </c>
      <c r="AF1291" s="12">
        <v>44950</v>
      </c>
      <c r="AI1291" s="10">
        <f>2.2125*6.23^2+32.759*6.23-8.5751</f>
        <v>281.38701125</v>
      </c>
      <c r="AK1291" s="10">
        <f>0.5642*6.23^2+45.477*6.23-20.207</f>
        <v>285.01294818000002</v>
      </c>
      <c r="AL1291" s="10" t="str">
        <f t="shared" si="144"/>
        <v>FALSE</v>
      </c>
      <c r="AM1291" s="10" t="str">
        <f t="shared" si="144"/>
        <v>FALSE</v>
      </c>
      <c r="AN1291" s="10" t="str">
        <f t="shared" si="144"/>
        <v>y=2.2125*6.23^2+32.759*6.23-8.5751</v>
      </c>
      <c r="AO1291" s="10" t="str">
        <f t="shared" si="145"/>
        <v>FALSE</v>
      </c>
      <c r="AP1291" s="10" t="str">
        <f t="shared" si="145"/>
        <v>y=0.5642*6.23^2+45.477*6.23-20.207</v>
      </c>
      <c r="AQ1291" s="10" t="b">
        <f>IF(AND(I1291="TP",S1291&lt;=150),VLOOKUP(AF1291,TPCalibEq150!$AZ$2:$BB$55,3,),IF(AND(I1291="TDP",S1291&lt;=150),VLOOKUP(AF1291,TPCalibEq150!$AZ$2:$BB$55,3,)))</f>
        <v>0</v>
      </c>
      <c r="AR1291" s="10" t="b">
        <f>IF(AND(I1291="TP",S1291&lt;=300),VLOOKUP(AF1291,TPCalibEq300!$AZ$2:$BB$55,3,),IF(AND(I1291="TDP",S1291&lt;=300),VLOOKUP(AF1291,TPCalibEq300!$AZ$2:$BB$55,3,)))</f>
        <v>0</v>
      </c>
      <c r="AS1291" s="10" t="str">
        <f>IF(AND(I1291="TP",S1291&lt;=500),VLOOKUP(AF1291,TPCalibEq500!$AZ$2:$BB$56,3,),IF(AND(I1291="TDP",S1291&lt;=500),VLOOKUP(AF1291,TPCalibEq500!$AZ$2:$BB$56,3,)))</f>
        <v>y=2.2125x2+32.759x-8.5751</v>
      </c>
      <c r="AT1291" s="10" t="b">
        <f>IF(AND(I1291="TN",S1291&lt;=2800),VLOOKUP(AF1291,TNCalibEq2500!$AZ$2:$BB$56,3,),IF(AND(I1291="TDN",S1291&lt;=2800),VLOOKUP(AF1291,TNCalibEq2500!$AZ$2:$BB$56,3,)))</f>
        <v>0</v>
      </c>
      <c r="AU1291" s="10" t="str">
        <f>IF(I1291="TP",VLOOKUP(AF1291,TPCalibEqFull!$AZ$2:$BB$56,3),IF(I1291="TDP",VLOOKUP(AF1291,TPCalibEqFull!$AZ$2:$BB$56,3),IF(I1291="TDN",VLOOKUP(AF1291,TNCalibEqFull!$AZ$1:$BB$56,3),IF(I1291="TN",VLOOKUP(AF1291,TNCalibEqFull!$AZ$1:$BB$56,3),FALSE))))</f>
        <v>y=0.5642x2+45.477x-20.207</v>
      </c>
      <c r="AV1291" s="10" t="str">
        <f t="shared" si="150"/>
        <v>0117 12:11:00-CWL-0-FIL-1-SW-UKN</v>
      </c>
    </row>
    <row r="1292" spans="1:48" s="10" customFormat="1" x14ac:dyDescent="0.55000000000000004">
      <c r="A1292" s="32">
        <v>44943</v>
      </c>
      <c r="B1292" s="33">
        <v>0.51874999999999993</v>
      </c>
      <c r="C1292" s="10" t="s">
        <v>445</v>
      </c>
      <c r="D1292" s="10">
        <v>0</v>
      </c>
      <c r="E1292" s="10" t="s">
        <v>911</v>
      </c>
      <c r="F1292" s="10">
        <v>1</v>
      </c>
      <c r="G1292" s="10" t="s">
        <v>231</v>
      </c>
      <c r="H1292" s="10" t="s">
        <v>322</v>
      </c>
      <c r="I1292" s="10" t="s">
        <v>266</v>
      </c>
      <c r="J1292" s="10">
        <v>56</v>
      </c>
      <c r="K1292" s="12">
        <v>44950</v>
      </c>
      <c r="L1292" s="33">
        <v>0.60578703703703707</v>
      </c>
      <c r="M1292" s="10">
        <v>1</v>
      </c>
      <c r="N1292" s="10" t="s">
        <v>84</v>
      </c>
      <c r="O1292" s="10">
        <v>4.1100000000000003</v>
      </c>
      <c r="P1292" s="10">
        <v>0.29599999999999999</v>
      </c>
      <c r="Q1292" s="10">
        <v>199</v>
      </c>
      <c r="R1292" s="10" t="s">
        <v>85</v>
      </c>
      <c r="S1292" s="34">
        <f t="shared" si="147"/>
        <v>272.54688320000002</v>
      </c>
      <c r="T1292" s="10" t="s">
        <v>1087</v>
      </c>
      <c r="U1292" s="34" t="str">
        <f t="shared" si="148"/>
        <v/>
      </c>
      <c r="V1292" s="31" t="str">
        <f>IF(H1292="CHK",VLOOKUP(I1292,QCCHK,3,),IF(H1292="GUP",VLOOKUP(E1292,QCGUP,2,),IF(AND(H1292="ATP",OR(I1292="TN",I1292="TDN",I1292="TNO2-3",I1292="NO2-3")),VLOOKUP(E1292,QCREC_N,2,),IF(AND(H1292="NIC",OR(I1292="TN",I1292="TDN",I1292="TNO2-3",I1292="NO2-3")),VLOOKUP(E1292,QCNIC_N,2,),IF(AND(H1292="UREA",OR(I1292="TN",I1292="TDN",I1292="TNO2-3",I1292="NO2-3")),VLOOKUP(E1292,QCUREA_N,2,),IF(H1292="PER",VLOOKUP(I1292,QCPER,MATCH(E1292,QCACTUAL!$J$25:$AA$25,0),),IF(H1292="SPK",VLOOKUP(I1292,QCSPK,3,),IF(AND(H1292="ATP",OR(I1292="TP",I1292="TDP")),VLOOKUP(E1292,QCATP_P,2,),""))))))))</f>
        <v/>
      </c>
      <c r="W1292" s="31" t="str">
        <f t="shared" si="149"/>
        <v>TRUE</v>
      </c>
      <c r="X1292" s="31" t="str">
        <f t="shared" si="146"/>
        <v/>
      </c>
      <c r="Y1292" s="10" t="s">
        <v>1071</v>
      </c>
      <c r="Z1292" s="10" t="s">
        <v>910</v>
      </c>
      <c r="AF1292" s="12">
        <v>44950</v>
      </c>
      <c r="AH1292" s="10">
        <f>-3.008*4.11^2+89.412*4.11-44.125</f>
        <v>272.54688320000002</v>
      </c>
      <c r="AI1292" s="10">
        <f>2.2125*4.11^2+32.759*4.11-8.5751</f>
        <v>163.43816125000004</v>
      </c>
      <c r="AK1292" s="10">
        <f>0.5642*4.11^2+45.477*4.11-20.207</f>
        <v>176.23399282000003</v>
      </c>
      <c r="AL1292" s="10" t="str">
        <f t="shared" si="144"/>
        <v>FALSE</v>
      </c>
      <c r="AM1292" s="10" t="str">
        <f t="shared" si="144"/>
        <v>y=-3.008*4.11^2+89.412*4.11-44.125</v>
      </c>
      <c r="AN1292" s="10" t="str">
        <f t="shared" si="144"/>
        <v>y=2.2125*4.11^2+32.759*4.11-8.5751</v>
      </c>
      <c r="AO1292" s="10" t="str">
        <f t="shared" si="145"/>
        <v>FALSE</v>
      </c>
      <c r="AP1292" s="10" t="str">
        <f t="shared" si="145"/>
        <v>y=0.5642*4.11^2+45.477*4.11-20.207</v>
      </c>
      <c r="AQ1292" s="10" t="b">
        <f>IF(AND(I1292="TP",S1292&lt;=150),VLOOKUP(AF1292,TPCalibEq150!$AZ$2:$BB$55,3,),IF(AND(I1292="TDP",S1292&lt;=150),VLOOKUP(AF1292,TPCalibEq150!$AZ$2:$BB$55,3,)))</f>
        <v>0</v>
      </c>
      <c r="AR1292" s="10" t="str">
        <f>IF(AND(I1292="TP",S1292&lt;=300),VLOOKUP(AF1292,TPCalibEq300!$AZ$2:$BB$55,3,),IF(AND(I1292="TDP",S1292&lt;=300),VLOOKUP(AF1292,TPCalibEq300!$AZ$2:$BB$55,3,)))</f>
        <v>y=-3.008x2+89.412x-44.125</v>
      </c>
      <c r="AS1292" s="10" t="str">
        <f>IF(AND(I1292="TP",S1292&lt;=500),VLOOKUP(AF1292,TPCalibEq500!$AZ$2:$BB$56,3,),IF(AND(I1292="TDP",S1292&lt;=500),VLOOKUP(AF1292,TPCalibEq500!$AZ$2:$BB$56,3,)))</f>
        <v>y=2.2125x2+32.759x-8.5751</v>
      </c>
      <c r="AT1292" s="10" t="b">
        <f>IF(AND(I1292="TN",S1292&lt;=2800),VLOOKUP(AF1292,TNCalibEq2500!$AZ$2:$BB$56,3,),IF(AND(I1292="TDN",S1292&lt;=2800),VLOOKUP(AF1292,TNCalibEq2500!$AZ$2:$BB$56,3,)))</f>
        <v>0</v>
      </c>
      <c r="AU1292" s="10" t="str">
        <f>IF(I1292="TP",VLOOKUP(AF1292,TPCalibEqFull!$AZ$2:$BB$56,3),IF(I1292="TDP",VLOOKUP(AF1292,TPCalibEqFull!$AZ$2:$BB$56,3),IF(I1292="TDN",VLOOKUP(AF1292,TNCalibEqFull!$AZ$1:$BB$56,3),IF(I1292="TN",VLOOKUP(AF1292,TNCalibEqFull!$AZ$1:$BB$56,3),FALSE))))</f>
        <v>y=0.5642x2+45.477x-20.207</v>
      </c>
      <c r="AV1292" s="10" t="str">
        <f t="shared" si="150"/>
        <v>0117 12:27:00-NWT-0-FIL-1-SW-UKN</v>
      </c>
    </row>
    <row r="1293" spans="1:48" s="10" customFormat="1" x14ac:dyDescent="0.55000000000000004">
      <c r="A1293" s="32">
        <v>44943</v>
      </c>
      <c r="B1293" s="33">
        <v>0.51874999999999993</v>
      </c>
      <c r="C1293" s="10" t="s">
        <v>445</v>
      </c>
      <c r="D1293" s="10">
        <v>0</v>
      </c>
      <c r="E1293" s="10" t="s">
        <v>911</v>
      </c>
      <c r="F1293" s="10">
        <v>1</v>
      </c>
      <c r="G1293" s="10" t="s">
        <v>231</v>
      </c>
      <c r="H1293" s="10" t="s">
        <v>233</v>
      </c>
      <c r="I1293" s="10" t="s">
        <v>266</v>
      </c>
      <c r="J1293" s="10">
        <v>56</v>
      </c>
      <c r="K1293" s="12">
        <v>44950</v>
      </c>
      <c r="L1293" s="33">
        <v>0.60648148148148151</v>
      </c>
      <c r="M1293" s="10">
        <v>1</v>
      </c>
      <c r="N1293" s="10" t="s">
        <v>84</v>
      </c>
      <c r="O1293" s="10">
        <v>4.1399999999999997</v>
      </c>
      <c r="P1293" s="10">
        <v>0.29499999999999998</v>
      </c>
      <c r="Q1293" s="10">
        <v>201</v>
      </c>
      <c r="R1293" s="10" t="s">
        <v>85</v>
      </c>
      <c r="S1293" s="34">
        <f t="shared" si="147"/>
        <v>274.48476320000003</v>
      </c>
      <c r="T1293" s="10" t="s">
        <v>1087</v>
      </c>
      <c r="U1293" s="34">
        <f t="shared" si="148"/>
        <v>0.70850745573976981</v>
      </c>
      <c r="V1293" s="31" t="str">
        <f>IF(H1293="CHK",VLOOKUP(I1293,QCCHK,3,),IF(H1293="GUP",VLOOKUP(E1293,QCGUP,2,),IF(AND(H1293="ATP",OR(I1293="TN",I1293="TDN",I1293="TNO2-3",I1293="NO2-3")),VLOOKUP(E1293,QCREC_N,2,),IF(AND(H1293="NIC",OR(I1293="TN",I1293="TDN",I1293="TNO2-3",I1293="NO2-3")),VLOOKUP(E1293,QCNIC_N,2,),IF(AND(H1293="UREA",OR(I1293="TN",I1293="TDN",I1293="TNO2-3",I1293="NO2-3")),VLOOKUP(E1293,QCUREA_N,2,),IF(H1293="PER",VLOOKUP(I1293,QCPER,MATCH(E1293,QCACTUAL!$J$25:$AA$25,0),),IF(H1293="SPK",VLOOKUP(I1293,QCSPK,3,),IF(AND(H1293="ATP",OR(I1293="TP",I1293="TDP")),VLOOKUP(E1293,QCATP_P,2,),""))))))))</f>
        <v/>
      </c>
      <c r="W1293" s="31" t="str">
        <f t="shared" si="149"/>
        <v>TRUE</v>
      </c>
      <c r="X1293" s="31" t="str">
        <f t="shared" si="146"/>
        <v>((ABS(rep1-rep2))/((rep1+rep2)/2)*100</v>
      </c>
      <c r="Y1293" s="10" t="s">
        <v>1071</v>
      </c>
      <c r="Z1293" s="10" t="s">
        <v>910</v>
      </c>
      <c r="AF1293" s="12">
        <v>44950</v>
      </c>
      <c r="AH1293" s="10">
        <f>-3.008*4.14^2+89.412*4.14-44.125</f>
        <v>274.48476320000003</v>
      </c>
      <c r="AI1293" s="10">
        <f>2.2125*4.14^2+32.759*4.14-8.5751</f>
        <v>164.96852499999997</v>
      </c>
      <c r="AK1293" s="10">
        <f>0.5642*4.14^2+45.477*4.14-20.207</f>
        <v>177.73794231999997</v>
      </c>
      <c r="AL1293" s="10" t="str">
        <f t="shared" si="144"/>
        <v>FALSE</v>
      </c>
      <c r="AM1293" s="10" t="str">
        <f t="shared" si="144"/>
        <v>y=-3.008*4.14^2+89.412*4.14-44.125</v>
      </c>
      <c r="AN1293" s="10" t="str">
        <f t="shared" si="144"/>
        <v>y=2.2125*4.14^2+32.759*4.14-8.5751</v>
      </c>
      <c r="AO1293" s="10" t="str">
        <f t="shared" si="145"/>
        <v>FALSE</v>
      </c>
      <c r="AP1293" s="10" t="str">
        <f t="shared" si="145"/>
        <v>y=0.5642*4.14^2+45.477*4.14-20.207</v>
      </c>
      <c r="AQ1293" s="10" t="b">
        <f>IF(AND(I1293="TP",S1293&lt;=150),VLOOKUP(AF1293,TPCalibEq150!$AZ$2:$BB$55,3,),IF(AND(I1293="TDP",S1293&lt;=150),VLOOKUP(AF1293,TPCalibEq150!$AZ$2:$BB$55,3,)))</f>
        <v>0</v>
      </c>
      <c r="AR1293" s="10" t="str">
        <f>IF(AND(I1293="TP",S1293&lt;=300),VLOOKUP(AF1293,TPCalibEq300!$AZ$2:$BB$55,3,),IF(AND(I1293="TDP",S1293&lt;=300),VLOOKUP(AF1293,TPCalibEq300!$AZ$2:$BB$55,3,)))</f>
        <v>y=-3.008x2+89.412x-44.125</v>
      </c>
      <c r="AS1293" s="10" t="str">
        <f>IF(AND(I1293="TP",S1293&lt;=500),VLOOKUP(AF1293,TPCalibEq500!$AZ$2:$BB$56,3,),IF(AND(I1293="TDP",S1293&lt;=500),VLOOKUP(AF1293,TPCalibEq500!$AZ$2:$BB$56,3,)))</f>
        <v>y=2.2125x2+32.759x-8.5751</v>
      </c>
      <c r="AT1293" s="10" t="b">
        <f>IF(AND(I1293="TN",S1293&lt;=2800),VLOOKUP(AF1293,TNCalibEq2500!$AZ$2:$BB$56,3,),IF(AND(I1293="TDN",S1293&lt;=2800),VLOOKUP(AF1293,TNCalibEq2500!$AZ$2:$BB$56,3,)))</f>
        <v>0</v>
      </c>
      <c r="AU1293" s="10" t="str">
        <f>IF(I1293="TP",VLOOKUP(AF1293,TPCalibEqFull!$AZ$2:$BB$56,3),IF(I1293="TDP",VLOOKUP(AF1293,TPCalibEqFull!$AZ$2:$BB$56,3),IF(I1293="TDN",VLOOKUP(AF1293,TNCalibEqFull!$AZ$1:$BB$56,3),IF(I1293="TN",VLOOKUP(AF1293,TNCalibEqFull!$AZ$1:$BB$56,3),FALSE))))</f>
        <v>y=0.5642x2+45.477x-20.207</v>
      </c>
      <c r="AV1293" s="10" t="str">
        <f t="shared" si="150"/>
        <v>0117 12:27:00-NWT-0-FIL-1-SW-DUP</v>
      </c>
    </row>
    <row r="1294" spans="1:48" s="10" customFormat="1" x14ac:dyDescent="0.55000000000000004">
      <c r="A1294" s="32">
        <v>44943</v>
      </c>
      <c r="B1294" s="33">
        <v>0.51874999999999993</v>
      </c>
      <c r="C1294" s="10" t="s">
        <v>445</v>
      </c>
      <c r="D1294" s="10">
        <v>0</v>
      </c>
      <c r="E1294" s="10" t="s">
        <v>911</v>
      </c>
      <c r="F1294" s="10">
        <v>1</v>
      </c>
      <c r="G1294" s="10" t="s">
        <v>231</v>
      </c>
      <c r="H1294" s="10" t="s">
        <v>314</v>
      </c>
      <c r="I1294" s="10" t="s">
        <v>266</v>
      </c>
      <c r="J1294" s="10">
        <v>62</v>
      </c>
      <c r="K1294" s="12">
        <v>44950</v>
      </c>
      <c r="L1294" s="33">
        <v>0.60718749999999999</v>
      </c>
      <c r="M1294" s="10">
        <v>1</v>
      </c>
      <c r="N1294" s="10" t="s">
        <v>84</v>
      </c>
      <c r="O1294" s="10">
        <v>19.8</v>
      </c>
      <c r="P1294" s="10">
        <v>1.39</v>
      </c>
      <c r="Q1294" s="10">
        <v>1120</v>
      </c>
      <c r="R1294" s="10" t="s">
        <v>85</v>
      </c>
      <c r="S1294" s="34">
        <f t="shared" si="147"/>
        <v>1120</v>
      </c>
      <c r="T1294" s="10" t="s">
        <v>1087</v>
      </c>
      <c r="U1294" s="34">
        <f t="shared" si="148"/>
        <v>84.551523680000003</v>
      </c>
      <c r="V1294" s="31">
        <f>IF(H1294="CHK",VLOOKUP(I1294,QCCHK,3,),IF(H1294="GUP",VLOOKUP(E1294,QCGUP,2,),IF(AND(H1294="ATP",OR(I1294="TN",I1294="TDN",I1294="TNO2-3",I1294="NO2-3")),VLOOKUP(E1294,QCREC_N,2,),IF(AND(H1294="NIC",OR(I1294="TN",I1294="TDN",I1294="TNO2-3",I1294="NO2-3")),VLOOKUP(E1294,QCNIC_N,2,),IF(AND(H1294="UREA",OR(I1294="TN",I1294="TDN",I1294="TNO2-3",I1294="NO2-3")),VLOOKUP(E1294,QCUREA_N,2,),IF(H1294="PER",VLOOKUP(I1294,QCPER,MATCH(E1294,QCACTUAL!$J$25:$AA$25,0),),IF(H1294="SPK",VLOOKUP(I1294,QCSPK,3,),IF(AND(H1294="ATP",OR(I1294="TP",I1294="TDP")),VLOOKUP(E1294,QCATP_P,2,),""))))))))</f>
        <v>1000</v>
      </c>
      <c r="W1294" s="31" t="str">
        <f t="shared" si="149"/>
        <v>TRUE</v>
      </c>
      <c r="X1294" s="31" t="str">
        <f t="shared" si="146"/>
        <v>([spikedunkn]-[unkn])/[spike]*100</v>
      </c>
      <c r="Y1294" s="10" t="s">
        <v>1071</v>
      </c>
      <c r="Z1294" s="10" t="s">
        <v>910</v>
      </c>
      <c r="AF1294" s="12">
        <v>44950</v>
      </c>
      <c r="AK1294" s="10">
        <f>0.5642*19.8^2+45.477*19.8-20.207</f>
        <v>1101.4265679999999</v>
      </c>
      <c r="AL1294" s="10" t="str">
        <f t="shared" si="144"/>
        <v>FALSE</v>
      </c>
      <c r="AM1294" s="10" t="str">
        <f t="shared" si="144"/>
        <v>FALSE</v>
      </c>
      <c r="AN1294" s="10" t="str">
        <f t="shared" si="144"/>
        <v>FALSE</v>
      </c>
      <c r="AO1294" s="10" t="str">
        <f t="shared" si="145"/>
        <v>FALSE</v>
      </c>
      <c r="AP1294" s="10" t="str">
        <f t="shared" si="145"/>
        <v>y=0.5642*19.8^2+45.477*19.8-20.207</v>
      </c>
      <c r="AQ1294" s="10" t="b">
        <f>IF(AND(I1294="TP",S1294&lt;=150),VLOOKUP(AF1294,TPCalibEq150!$AZ$2:$BB$55,3,),IF(AND(I1294="TDP",S1294&lt;=150),VLOOKUP(AF1294,TPCalibEq150!$AZ$2:$BB$55,3,)))</f>
        <v>0</v>
      </c>
      <c r="AR1294" s="10" t="b">
        <f>IF(AND(I1294="TP",S1294&lt;=300),VLOOKUP(AF1294,TPCalibEq300!$AZ$2:$BB$55,3,),IF(AND(I1294="TDP",S1294&lt;=300),VLOOKUP(AF1294,TPCalibEq300!$AZ$2:$BB$55,3,)))</f>
        <v>0</v>
      </c>
      <c r="AS1294" s="10" t="b">
        <f>IF(AND(I1294="TP",S1294&lt;=500),VLOOKUP(AF1294,TPCalibEq500!$AZ$2:$BB$56,3,),IF(AND(I1294="TDP",S1294&lt;=500),VLOOKUP(AF1294,TPCalibEq500!$AZ$2:$BB$56,3,)))</f>
        <v>0</v>
      </c>
      <c r="AT1294" s="10" t="b">
        <f>IF(AND(I1294="TN",S1294&lt;=2800),VLOOKUP(AF1294,TNCalibEq2500!$AZ$2:$BB$56,3,),IF(AND(I1294="TDN",S1294&lt;=2800),VLOOKUP(AF1294,TNCalibEq2500!$AZ$2:$BB$56,3,)))</f>
        <v>0</v>
      </c>
      <c r="AU1294" s="10" t="str">
        <f>IF(I1294="TP",VLOOKUP(AF1294,TPCalibEqFull!$AZ$2:$BB$56,3),IF(I1294="TDP",VLOOKUP(AF1294,TPCalibEqFull!$AZ$2:$BB$56,3),IF(I1294="TDN",VLOOKUP(AF1294,TNCalibEqFull!$AZ$1:$BB$56,3),IF(I1294="TN",VLOOKUP(AF1294,TNCalibEqFull!$AZ$1:$BB$56,3),FALSE))))</f>
        <v>y=0.5642x2+45.477x-20.207</v>
      </c>
      <c r="AV1294" s="10" t="str">
        <f t="shared" si="150"/>
        <v>0117 12:27:00-NWT-0-FIL-1-SW-SPK</v>
      </c>
    </row>
    <row r="1295" spans="1:48" s="10" customFormat="1" x14ac:dyDescent="0.55000000000000004">
      <c r="A1295" s="32">
        <v>44950</v>
      </c>
      <c r="B1295" s="33">
        <v>0.375</v>
      </c>
      <c r="C1295" s="10" t="s">
        <v>70</v>
      </c>
      <c r="D1295" s="10" t="s">
        <v>71</v>
      </c>
      <c r="E1295" s="10" t="s">
        <v>901</v>
      </c>
      <c r="F1295" s="10">
        <v>1</v>
      </c>
      <c r="G1295" s="10" t="s">
        <v>73</v>
      </c>
      <c r="H1295" s="10" t="s">
        <v>207</v>
      </c>
      <c r="I1295" s="10" t="s">
        <v>83</v>
      </c>
      <c r="J1295" s="10">
        <v>199</v>
      </c>
      <c r="K1295" s="12">
        <v>44950</v>
      </c>
      <c r="L1295" s="33">
        <v>0.6086111111111111</v>
      </c>
      <c r="M1295" s="10">
        <v>1</v>
      </c>
      <c r="N1295" s="10" t="s">
        <v>84</v>
      </c>
      <c r="O1295" s="10">
        <v>9.9700000000000006</v>
      </c>
      <c r="P1295" s="10">
        <v>0.70799999999999996</v>
      </c>
      <c r="Q1295" s="10">
        <v>517</v>
      </c>
      <c r="R1295" s="10" t="s">
        <v>85</v>
      </c>
      <c r="S1295" s="34">
        <f t="shared" si="147"/>
        <v>517</v>
      </c>
      <c r="T1295" s="10" t="s">
        <v>1087</v>
      </c>
      <c r="U1295" s="34">
        <f t="shared" si="148"/>
        <v>103.4</v>
      </c>
      <c r="V1295" s="31">
        <f>IF(H1295="CHK",VLOOKUP(I1295,QCCHK,3,),IF(H1295="GUP",VLOOKUP(E1295,QCGUP,2,),IF(AND(H1295="ATP",OR(I1295="TN",I1295="TDN",I1295="TNO2-3",I1295="NO2-3")),VLOOKUP(E1295,QCREC_N,2,),IF(AND(H1295="NIC",OR(I1295="TN",I1295="TDN",I1295="TNO2-3",I1295="NO2-3")),VLOOKUP(E1295,QCNIC_N,2,),IF(AND(H1295="UREA",OR(I1295="TN",I1295="TDN",I1295="TNO2-3",I1295="NO2-3")),VLOOKUP(E1295,QCUREA_N,2,),IF(H1295="PER",VLOOKUP(I1295,QCPER,MATCH(E1295,QCACTUAL!$J$25:$AA$25,0),),IF(H1295="SPK",VLOOKUP(I1295,QCSPK,3,),IF(AND(H1295="ATP",OR(I1295="TP",I1295="TDP")),VLOOKUP(E1295,QCATP_P,2,),""))))))))</f>
        <v>500</v>
      </c>
      <c r="W1295" s="31" t="str">
        <f t="shared" si="149"/>
        <v>TRUE</v>
      </c>
      <c r="X1295" s="31" t="str">
        <f t="shared" si="146"/>
        <v>[chk]/[actual]*100</v>
      </c>
      <c r="Y1295" s="10" t="s">
        <v>1071</v>
      </c>
      <c r="AF1295" s="12">
        <v>44950</v>
      </c>
      <c r="AK1295" s="10">
        <f>0.5642*9.97^2+45.477*9.97-20.207</f>
        <v>489.28067778000002</v>
      </c>
      <c r="AL1295" s="10" t="str">
        <f t="shared" si="144"/>
        <v>FALSE</v>
      </c>
      <c r="AM1295" s="10" t="str">
        <f t="shared" si="144"/>
        <v>FALSE</v>
      </c>
      <c r="AN1295" s="10" t="str">
        <f t="shared" si="144"/>
        <v>FALSE</v>
      </c>
      <c r="AO1295" s="10" t="str">
        <f t="shared" si="145"/>
        <v>FALSE</v>
      </c>
      <c r="AP1295" s="10" t="str">
        <f t="shared" si="145"/>
        <v>y=0.5642*9.97^2+45.477*9.97-20.207</v>
      </c>
      <c r="AQ1295" s="10" t="b">
        <f>IF(AND(I1295="TP",S1295&lt;=150),VLOOKUP(AF1295,TPCalibEq150!$AZ$2:$BB$55,3,),IF(AND(I1295="TDP",S1295&lt;=150),VLOOKUP(AF1295,TPCalibEq150!$AZ$2:$BB$55,3,)))</f>
        <v>0</v>
      </c>
      <c r="AR1295" s="10" t="b">
        <f>IF(AND(I1295="TP",S1295&lt;=300),VLOOKUP(AF1295,TPCalibEq300!$AZ$2:$BB$55,3,),IF(AND(I1295="TDP",S1295&lt;=300),VLOOKUP(AF1295,TPCalibEq300!$AZ$2:$BB$55,3,)))</f>
        <v>0</v>
      </c>
      <c r="AS1295" s="10" t="b">
        <f>IF(AND(I1295="TP",S1295&lt;=500),VLOOKUP(AF1295,TPCalibEq500!$AZ$2:$BB$56,3,),IF(AND(I1295="TDP",S1295&lt;=500),VLOOKUP(AF1295,TPCalibEq500!$AZ$2:$BB$56,3,)))</f>
        <v>0</v>
      </c>
      <c r="AT1295" s="10" t="b">
        <f>IF(AND(I1295="TN",S1295&lt;=2800),VLOOKUP(AF1295,TNCalibEq2500!$AZ$2:$BB$56,3,),IF(AND(I1295="TDN",S1295&lt;=2800),VLOOKUP(AF1295,TNCalibEq2500!$AZ$2:$BB$56,3,)))</f>
        <v>0</v>
      </c>
      <c r="AU1295" s="10" t="str">
        <f>IF(I1295="TP",VLOOKUP(AF1295,TPCalibEqFull!$AZ$2:$BB$56,3),IF(I1295="TDP",VLOOKUP(AF1295,TPCalibEqFull!$AZ$2:$BB$56,3),IF(I1295="TDN",VLOOKUP(AF1295,TNCalibEqFull!$AZ$1:$BB$56,3),IF(I1295="TN",VLOOKUP(AF1295,TNCalibEqFull!$AZ$1:$BB$56,3),FALSE))))</f>
        <v>y=0.5642x2+45.477x-20.207</v>
      </c>
      <c r="AV1295" s="10" t="str">
        <f t="shared" si="150"/>
        <v>0124 09:00:00-QAC-STD-D-1-DI-CHK</v>
      </c>
    </row>
    <row r="1296" spans="1:48" s="10" customFormat="1" x14ac:dyDescent="0.55000000000000004">
      <c r="A1296" s="32">
        <v>44958</v>
      </c>
      <c r="B1296" s="33">
        <v>0.375</v>
      </c>
      <c r="C1296" s="10" t="s">
        <v>70</v>
      </c>
      <c r="D1296" s="10" t="s">
        <v>71</v>
      </c>
      <c r="E1296" s="10" t="s">
        <v>72</v>
      </c>
      <c r="F1296" s="10">
        <v>1</v>
      </c>
      <c r="G1296" s="10" t="s">
        <v>73</v>
      </c>
      <c r="H1296" s="10" t="s">
        <v>74</v>
      </c>
      <c r="I1296" s="10" t="s">
        <v>75</v>
      </c>
      <c r="J1296" s="10">
        <v>181</v>
      </c>
      <c r="K1296" s="12">
        <v>44958</v>
      </c>
      <c r="L1296" s="33">
        <v>0.48605324074074074</v>
      </c>
      <c r="M1296" s="10">
        <v>1</v>
      </c>
      <c r="N1296" s="10" t="s">
        <v>76</v>
      </c>
      <c r="O1296" s="10">
        <v>8.8300000000000003E-2</v>
      </c>
      <c r="P1296" s="10">
        <v>3.8500000000000001E-3</v>
      </c>
      <c r="Q1296" s="10">
        <v>0</v>
      </c>
      <c r="R1296" s="10" t="s">
        <v>77</v>
      </c>
      <c r="S1296" s="34">
        <f t="shared" si="147"/>
        <v>0</v>
      </c>
      <c r="T1296" s="10" t="s">
        <v>78</v>
      </c>
      <c r="U1296" s="34" t="str">
        <f t="shared" si="148"/>
        <v/>
      </c>
      <c r="V1296" s="31" t="str">
        <f>IF(H1296="CHK",VLOOKUP(I1296,QCCHK,3,),IF(H1296="GUP",VLOOKUP(E1296,QCGUP,2,),IF(AND(H1296="ATP",OR(I1296="TN",I1296="TDN",I1296="TNO2-3",I1296="NO2-3")),VLOOKUP(E1296,QCREC_N,2,),IF(AND(H1296="NIC",OR(I1296="TN",I1296="TDN",I1296="TNO2-3",I1296="NO2-3")),VLOOKUP(E1296,QCNIC_N,2,),IF(AND(H1296="UREA",OR(I1296="TN",I1296="TDN",I1296="TNO2-3",I1296="NO2-3")),VLOOKUP(E1296,QCUREA_N,2,),IF(H1296="PER",VLOOKUP(I1296,QCPER,MATCH(E1296,QCACTUAL!$J$25:$AA$25,0),),IF(H1296="SPK",VLOOKUP(I1296,QCSPK,3,),IF(AND(H1296="ATP",OR(I1296="TP",I1296="TDP")),VLOOKUP(E1296,QCATP_P,2,),""))))))))</f>
        <v/>
      </c>
      <c r="W1296" s="31" t="str">
        <f t="shared" si="149"/>
        <v>TRUE</v>
      </c>
      <c r="X1296" s="31" t="str">
        <f t="shared" si="146"/>
        <v/>
      </c>
      <c r="Y1296" s="10" t="s">
        <v>1096</v>
      </c>
      <c r="AL1296" s="10" t="str">
        <f t="shared" si="144"/>
        <v>FALSE</v>
      </c>
      <c r="AM1296" s="10" t="str">
        <f t="shared" si="144"/>
        <v>FALSE</v>
      </c>
      <c r="AN1296" s="10" t="str">
        <f t="shared" si="144"/>
        <v>FALSE</v>
      </c>
      <c r="AO1296" s="10" t="str">
        <f t="shared" si="145"/>
        <v>FALSE</v>
      </c>
      <c r="AP1296" s="10" t="str">
        <f t="shared" si="145"/>
        <v>FALSE</v>
      </c>
      <c r="AQ1296" s="10" t="b">
        <f>IF(AND(I1296="TP",S1296&lt;=150),VLOOKUP(AF1296,TPCalibEq150!$AZ$2:$BB$55,3,),IF(AND(I1296="TDP",S1296&lt;=150),VLOOKUP(AF1296,TPCalibEq150!$AZ$2:$BB$55,3,)))</f>
        <v>0</v>
      </c>
      <c r="AR1296" s="10" t="b">
        <f>IF(AND(I1296="TP",S1296&lt;=300),VLOOKUP(AF1296,TPCalibEq300!$AZ$2:$BB$55,3,),IF(AND(I1296="TDP",S1296&lt;=300),VLOOKUP(AF1296,TPCalibEq300!$AZ$2:$BB$55,3,)))</f>
        <v>0</v>
      </c>
      <c r="AS1296" s="10" t="b">
        <f>IF(AND(I1296="TP",S1296&lt;=500),VLOOKUP(AF1296,TPCalibEq500!$AZ$2:$BB$56,3,),IF(AND(I1296="TDP",S1296&lt;=500),VLOOKUP(AF1296,TPCalibEq500!$AZ$2:$BB$56,3,)))</f>
        <v>0</v>
      </c>
      <c r="AT1296" s="10" t="b">
        <f>IF(AND(I1296="TN",S1296&lt;=2800),VLOOKUP(AF1296,TNCalibEq2500!$AZ$2:$BB$56,3,),IF(AND(I1296="TDN",S1296&lt;=2800),VLOOKUP(AF1296,TNCalibEq2500!$AZ$2:$BB$56,3,)))</f>
        <v>0</v>
      </c>
      <c r="AU1296" s="10" t="b">
        <f>IF(I1296="TP",VLOOKUP(AF1296,TPCalibEqFull!$AZ$2:$BB$56,3),IF(I1296="TDP",VLOOKUP(AF1296,TPCalibEqFull!$AZ$2:$BB$56,3),IF(I1296="TDN",VLOOKUP(AF1296,TNCalibEqFull!$AZ$1:$BB$56,3),IF(I1296="TN",VLOOKUP(AF1296,TNCalibEqFull!$AZ$1:$BB$56,3),FALSE))))</f>
        <v>0</v>
      </c>
      <c r="AV1296" s="10" t="str">
        <f t="shared" si="150"/>
        <v>0201 09:00:00-QAC-STD-H-1-DI-CAL</v>
      </c>
    </row>
    <row r="1297" spans="1:48" s="10" customFormat="1" x14ac:dyDescent="0.55000000000000004">
      <c r="A1297" s="32">
        <v>44958</v>
      </c>
      <c r="B1297" s="33">
        <v>0.375</v>
      </c>
      <c r="C1297" s="10" t="s">
        <v>70</v>
      </c>
      <c r="D1297" s="10" t="s">
        <v>71</v>
      </c>
      <c r="E1297" s="10" t="s">
        <v>908</v>
      </c>
      <c r="F1297" s="10">
        <v>1</v>
      </c>
      <c r="G1297" s="10" t="s">
        <v>73</v>
      </c>
      <c r="H1297" s="10" t="s">
        <v>74</v>
      </c>
      <c r="I1297" s="10" t="s">
        <v>75</v>
      </c>
      <c r="J1297" s="10">
        <v>182</v>
      </c>
      <c r="K1297" s="12">
        <v>44958</v>
      </c>
      <c r="L1297" s="33">
        <v>0.48689814814814819</v>
      </c>
      <c r="M1297" s="10">
        <v>1</v>
      </c>
      <c r="N1297" s="10" t="s">
        <v>76</v>
      </c>
      <c r="O1297" s="10">
        <v>0.29199999999999998</v>
      </c>
      <c r="P1297" s="10">
        <v>2.4E-2</v>
      </c>
      <c r="Q1297" s="10">
        <v>20</v>
      </c>
      <c r="R1297" s="10" t="s">
        <v>77</v>
      </c>
      <c r="S1297" s="34">
        <f t="shared" si="147"/>
        <v>20</v>
      </c>
      <c r="T1297" s="10" t="s">
        <v>1097</v>
      </c>
      <c r="U1297" s="34" t="str">
        <f t="shared" si="148"/>
        <v/>
      </c>
      <c r="V1297" s="31" t="str">
        <f>IF(H1297="CHK",VLOOKUP(I1297,QCCHK,3,),IF(H1297="GUP",VLOOKUP(E1297,QCGUP,2,),IF(AND(H1297="ATP",OR(I1297="TN",I1297="TDN",I1297="TNO2-3",I1297="NO2-3")),VLOOKUP(E1297,QCREC_N,2,),IF(AND(H1297="NIC",OR(I1297="TN",I1297="TDN",I1297="TNO2-3",I1297="NO2-3")),VLOOKUP(E1297,QCNIC_N,2,),IF(AND(H1297="UREA",OR(I1297="TN",I1297="TDN",I1297="TNO2-3",I1297="NO2-3")),VLOOKUP(E1297,QCUREA_N,2,),IF(H1297="PER",VLOOKUP(I1297,QCPER,MATCH(E1297,QCACTUAL!$J$25:$AA$25,0),),IF(H1297="SPK",VLOOKUP(I1297,QCSPK,3,),IF(AND(H1297="ATP",OR(I1297="TP",I1297="TDP")),VLOOKUP(E1297,QCATP_P,2,),""))))))))</f>
        <v/>
      </c>
      <c r="W1297" s="31" t="str">
        <f t="shared" si="149"/>
        <v>TRUE</v>
      </c>
      <c r="X1297" s="31" t="str">
        <f t="shared" si="146"/>
        <v/>
      </c>
      <c r="Y1297" s="10" t="s">
        <v>1096</v>
      </c>
      <c r="AL1297" s="10" t="str">
        <f t="shared" ref="AL1297:AN1360" si="151">IF($O1297="", "", IF(AQ1297&lt;&gt;"", SUBSTITUTE(SUBSTITUTE(AQ1297, "x", "*"&amp;$O1297&amp;"^", 1), "x", "*"&amp;$O1297, 1), ""))</f>
        <v>FALSE</v>
      </c>
      <c r="AM1297" s="10" t="str">
        <f t="shared" si="151"/>
        <v>FALSE</v>
      </c>
      <c r="AN1297" s="10" t="str">
        <f t="shared" si="151"/>
        <v>FALSE</v>
      </c>
      <c r="AO1297" s="10" t="str">
        <f t="shared" ref="AO1297:AP1360" si="152">IF($O1297="", "FALSE", IF(AT1297&lt;&gt;"FALSE", SUBSTITUTE(SUBSTITUTE(AT1297, "x", "*"&amp;$O1297&amp;"^", 1), "x", "*"&amp;$O1297, 1), ""))</f>
        <v>FALSE</v>
      </c>
      <c r="AP1297" s="10" t="str">
        <f t="shared" si="152"/>
        <v>FALSE</v>
      </c>
      <c r="AQ1297" s="10" t="b">
        <f>IF(AND(I1297="TP",S1297&lt;=150),VLOOKUP(AF1297,TPCalibEq150!$AZ$2:$BB$55,3,),IF(AND(I1297="TDP",S1297&lt;=150),VLOOKUP(AF1297,TPCalibEq150!$AZ$2:$BB$55,3,)))</f>
        <v>0</v>
      </c>
      <c r="AR1297" s="10" t="b">
        <f>IF(AND(I1297="TP",S1297&lt;=300),VLOOKUP(AF1297,TPCalibEq300!$AZ$2:$BB$55,3,),IF(AND(I1297="TDP",S1297&lt;=300),VLOOKUP(AF1297,TPCalibEq300!$AZ$2:$BB$55,3,)))</f>
        <v>0</v>
      </c>
      <c r="AS1297" s="10" t="b">
        <f>IF(AND(I1297="TP",S1297&lt;=500),VLOOKUP(AF1297,TPCalibEq500!$AZ$2:$BB$56,3,),IF(AND(I1297="TDP",S1297&lt;=500),VLOOKUP(AF1297,TPCalibEq500!$AZ$2:$BB$56,3,)))</f>
        <v>0</v>
      </c>
      <c r="AT1297" s="10" t="b">
        <f>IF(AND(I1297="TN",S1297&lt;=2800),VLOOKUP(AF1297,TNCalibEq2500!$AZ$2:$BB$56,3,),IF(AND(I1297="TDN",S1297&lt;=2800),VLOOKUP(AF1297,TNCalibEq2500!$AZ$2:$BB$56,3,)))</f>
        <v>0</v>
      </c>
      <c r="AU1297" s="10" t="b">
        <f>IF(I1297="TP",VLOOKUP(AF1297,TPCalibEqFull!$AZ$2:$BB$56,3),IF(I1297="TDP",VLOOKUP(AF1297,TPCalibEqFull!$AZ$2:$BB$56,3),IF(I1297="TDN",VLOOKUP(AF1297,TNCalibEqFull!$AZ$1:$BB$56,3),IF(I1297="TN",VLOOKUP(AF1297,TNCalibEqFull!$AZ$1:$BB$56,3),FALSE))))</f>
        <v>0</v>
      </c>
      <c r="AV1297" s="10" t="str">
        <f t="shared" si="150"/>
        <v>0201 09:00:00-QAC-STD-G-1-DI-CAL</v>
      </c>
    </row>
    <row r="1298" spans="1:48" s="10" customFormat="1" x14ac:dyDescent="0.55000000000000004">
      <c r="A1298" s="32">
        <v>44958</v>
      </c>
      <c r="B1298" s="33">
        <v>0.375</v>
      </c>
      <c r="C1298" s="10" t="s">
        <v>70</v>
      </c>
      <c r="D1298" s="10" t="s">
        <v>71</v>
      </c>
      <c r="E1298" s="10" t="s">
        <v>550</v>
      </c>
      <c r="F1298" s="10">
        <v>1</v>
      </c>
      <c r="G1298" s="10" t="s">
        <v>73</v>
      </c>
      <c r="H1298" s="10" t="s">
        <v>74</v>
      </c>
      <c r="I1298" s="10" t="s">
        <v>75</v>
      </c>
      <c r="J1298" s="10">
        <v>183</v>
      </c>
      <c r="K1298" s="12">
        <v>44958</v>
      </c>
      <c r="L1298" s="33">
        <v>0.48774305555555553</v>
      </c>
      <c r="M1298" s="10">
        <v>1</v>
      </c>
      <c r="N1298" s="10" t="s">
        <v>76</v>
      </c>
      <c r="O1298" s="10">
        <v>0.98699999999999999</v>
      </c>
      <c r="P1298" s="10">
        <v>8.09E-2</v>
      </c>
      <c r="Q1298" s="10">
        <v>60</v>
      </c>
      <c r="R1298" s="10" t="s">
        <v>77</v>
      </c>
      <c r="S1298" s="34">
        <f t="shared" si="147"/>
        <v>60</v>
      </c>
      <c r="T1298" s="10" t="s">
        <v>1098</v>
      </c>
      <c r="U1298" s="34" t="str">
        <f t="shared" si="148"/>
        <v/>
      </c>
      <c r="V1298" s="31" t="str">
        <f>IF(H1298="CHK",VLOOKUP(I1298,QCCHK,3,),IF(H1298="GUP",VLOOKUP(E1298,QCGUP,2,),IF(AND(H1298="ATP",OR(I1298="TN",I1298="TDN",I1298="TNO2-3",I1298="NO2-3")),VLOOKUP(E1298,QCREC_N,2,),IF(AND(H1298="NIC",OR(I1298="TN",I1298="TDN",I1298="TNO2-3",I1298="NO2-3")),VLOOKUP(E1298,QCNIC_N,2,),IF(AND(H1298="UREA",OR(I1298="TN",I1298="TDN",I1298="TNO2-3",I1298="NO2-3")),VLOOKUP(E1298,QCUREA_N,2,),IF(H1298="PER",VLOOKUP(I1298,QCPER,MATCH(E1298,QCACTUAL!$J$25:$AA$25,0),),IF(H1298="SPK",VLOOKUP(I1298,QCSPK,3,),IF(AND(H1298="ATP",OR(I1298="TP",I1298="TDP")),VLOOKUP(E1298,QCATP_P,2,),""))))))))</f>
        <v/>
      </c>
      <c r="W1298" s="31" t="str">
        <f t="shared" si="149"/>
        <v>TRUE</v>
      </c>
      <c r="X1298" s="31" t="str">
        <f t="shared" si="146"/>
        <v/>
      </c>
      <c r="Y1298" s="10" t="s">
        <v>1096</v>
      </c>
      <c r="AL1298" s="10" t="str">
        <f t="shared" si="151"/>
        <v>FALSE</v>
      </c>
      <c r="AM1298" s="10" t="str">
        <f t="shared" si="151"/>
        <v>FALSE</v>
      </c>
      <c r="AN1298" s="10" t="str">
        <f t="shared" si="151"/>
        <v>FALSE</v>
      </c>
      <c r="AO1298" s="10" t="str">
        <f t="shared" si="152"/>
        <v>FALSE</v>
      </c>
      <c r="AP1298" s="10" t="str">
        <f t="shared" si="152"/>
        <v>FALSE</v>
      </c>
      <c r="AQ1298" s="10" t="b">
        <f>IF(AND(I1298="TP",S1298&lt;=150),VLOOKUP(AF1298,TPCalibEq150!$AZ$2:$BB$55,3,),IF(AND(I1298="TDP",S1298&lt;=150),VLOOKUP(AF1298,TPCalibEq150!$AZ$2:$BB$55,3,)))</f>
        <v>0</v>
      </c>
      <c r="AR1298" s="10" t="b">
        <f>IF(AND(I1298="TP",S1298&lt;=300),VLOOKUP(AF1298,TPCalibEq300!$AZ$2:$BB$55,3,),IF(AND(I1298="TDP",S1298&lt;=300),VLOOKUP(AF1298,TPCalibEq300!$AZ$2:$BB$55,3,)))</f>
        <v>0</v>
      </c>
      <c r="AS1298" s="10" t="b">
        <f>IF(AND(I1298="TP",S1298&lt;=500),VLOOKUP(AF1298,TPCalibEq500!$AZ$2:$BB$56,3,),IF(AND(I1298="TDP",S1298&lt;=500),VLOOKUP(AF1298,TPCalibEq500!$AZ$2:$BB$56,3,)))</f>
        <v>0</v>
      </c>
      <c r="AT1298" s="10" t="b">
        <f>IF(AND(I1298="TN",S1298&lt;=2800),VLOOKUP(AF1298,TNCalibEq2500!$AZ$2:$BB$56,3,),IF(AND(I1298="TDN",S1298&lt;=2800),VLOOKUP(AF1298,TNCalibEq2500!$AZ$2:$BB$56,3,)))</f>
        <v>0</v>
      </c>
      <c r="AU1298" s="10" t="b">
        <f>IF(I1298="TP",VLOOKUP(AF1298,TPCalibEqFull!$AZ$2:$BB$56,3),IF(I1298="TDP",VLOOKUP(AF1298,TPCalibEqFull!$AZ$2:$BB$56,3),IF(I1298="TDN",VLOOKUP(AF1298,TNCalibEqFull!$AZ$1:$BB$56,3),IF(I1298="TN",VLOOKUP(AF1298,TNCalibEqFull!$AZ$1:$BB$56,3),FALSE))))</f>
        <v>0</v>
      </c>
      <c r="AV1298" s="10" t="str">
        <f t="shared" si="150"/>
        <v>0201 09:00:00-QAC-STD-F-1-DI-CAL</v>
      </c>
    </row>
    <row r="1299" spans="1:48" s="10" customFormat="1" x14ac:dyDescent="0.55000000000000004">
      <c r="A1299" s="32">
        <v>44958</v>
      </c>
      <c r="B1299" s="33">
        <v>0.375</v>
      </c>
      <c r="C1299" s="10" t="s">
        <v>70</v>
      </c>
      <c r="D1299" s="10" t="s">
        <v>71</v>
      </c>
      <c r="E1299" s="10" t="s">
        <v>909</v>
      </c>
      <c r="F1299" s="10">
        <v>1</v>
      </c>
      <c r="G1299" s="10" t="s">
        <v>73</v>
      </c>
      <c r="H1299" s="10" t="s">
        <v>74</v>
      </c>
      <c r="I1299" s="10" t="s">
        <v>75</v>
      </c>
      <c r="J1299" s="10">
        <v>184</v>
      </c>
      <c r="K1299" s="12">
        <v>44958</v>
      </c>
      <c r="L1299" s="33">
        <v>0.48856481481481479</v>
      </c>
      <c r="M1299" s="10">
        <v>1</v>
      </c>
      <c r="N1299" s="10" t="s">
        <v>76</v>
      </c>
      <c r="O1299" s="10">
        <v>1.24</v>
      </c>
      <c r="P1299" s="10">
        <v>9.8699999999999996E-2</v>
      </c>
      <c r="Q1299" s="10">
        <v>80</v>
      </c>
      <c r="R1299" s="10" t="s">
        <v>77</v>
      </c>
      <c r="S1299" s="34">
        <f t="shared" si="147"/>
        <v>80</v>
      </c>
      <c r="T1299" s="10" t="s">
        <v>1099</v>
      </c>
      <c r="U1299" s="34" t="str">
        <f t="shared" si="148"/>
        <v/>
      </c>
      <c r="V1299" s="31" t="str">
        <f>IF(H1299="CHK",VLOOKUP(I1299,QCCHK,3,),IF(H1299="GUP",VLOOKUP(E1299,QCGUP,2,),IF(AND(H1299="ATP",OR(I1299="TN",I1299="TDN",I1299="TNO2-3",I1299="NO2-3")),VLOOKUP(E1299,QCREC_N,2,),IF(AND(H1299="NIC",OR(I1299="TN",I1299="TDN",I1299="TNO2-3",I1299="NO2-3")),VLOOKUP(E1299,QCNIC_N,2,),IF(AND(H1299="UREA",OR(I1299="TN",I1299="TDN",I1299="TNO2-3",I1299="NO2-3")),VLOOKUP(E1299,QCUREA_N,2,),IF(H1299="PER",VLOOKUP(I1299,QCPER,MATCH(E1299,QCACTUAL!$J$25:$AA$25,0),),IF(H1299="SPK",VLOOKUP(I1299,QCSPK,3,),IF(AND(H1299="ATP",OR(I1299="TP",I1299="TDP")),VLOOKUP(E1299,QCATP_P,2,),""))))))))</f>
        <v/>
      </c>
      <c r="W1299" s="31" t="str">
        <f t="shared" si="149"/>
        <v>TRUE</v>
      </c>
      <c r="X1299" s="31" t="str">
        <f t="shared" si="146"/>
        <v/>
      </c>
      <c r="Y1299" s="10" t="s">
        <v>1096</v>
      </c>
      <c r="AL1299" s="10" t="str">
        <f t="shared" si="151"/>
        <v>FALSE</v>
      </c>
      <c r="AM1299" s="10" t="str">
        <f t="shared" si="151"/>
        <v>FALSE</v>
      </c>
      <c r="AN1299" s="10" t="str">
        <f t="shared" si="151"/>
        <v>FALSE</v>
      </c>
      <c r="AO1299" s="10" t="str">
        <f t="shared" si="152"/>
        <v>FALSE</v>
      </c>
      <c r="AP1299" s="10" t="str">
        <f t="shared" si="152"/>
        <v>FALSE</v>
      </c>
      <c r="AQ1299" s="10" t="b">
        <f>IF(AND(I1299="TP",S1299&lt;=150),VLOOKUP(AF1299,TPCalibEq150!$AZ$2:$BB$55,3,),IF(AND(I1299="TDP",S1299&lt;=150),VLOOKUP(AF1299,TPCalibEq150!$AZ$2:$BB$55,3,)))</f>
        <v>0</v>
      </c>
      <c r="AR1299" s="10" t="b">
        <f>IF(AND(I1299="TP",S1299&lt;=300),VLOOKUP(AF1299,TPCalibEq300!$AZ$2:$BB$55,3,),IF(AND(I1299="TDP",S1299&lt;=300),VLOOKUP(AF1299,TPCalibEq300!$AZ$2:$BB$55,3,)))</f>
        <v>0</v>
      </c>
      <c r="AS1299" s="10" t="b">
        <f>IF(AND(I1299="TP",S1299&lt;=500),VLOOKUP(AF1299,TPCalibEq500!$AZ$2:$BB$56,3,),IF(AND(I1299="TDP",S1299&lt;=500),VLOOKUP(AF1299,TPCalibEq500!$AZ$2:$BB$56,3,)))</f>
        <v>0</v>
      </c>
      <c r="AT1299" s="10" t="b">
        <f>IF(AND(I1299="TN",S1299&lt;=2800),VLOOKUP(AF1299,TNCalibEq2500!$AZ$2:$BB$56,3,),IF(AND(I1299="TDN",S1299&lt;=2800),VLOOKUP(AF1299,TNCalibEq2500!$AZ$2:$BB$56,3,)))</f>
        <v>0</v>
      </c>
      <c r="AU1299" s="10" t="b">
        <f>IF(I1299="TP",VLOOKUP(AF1299,TPCalibEqFull!$AZ$2:$BB$56,3),IF(I1299="TDP",VLOOKUP(AF1299,TPCalibEqFull!$AZ$2:$BB$56,3),IF(I1299="TDN",VLOOKUP(AF1299,TNCalibEqFull!$AZ$1:$BB$56,3),IF(I1299="TN",VLOOKUP(AF1299,TNCalibEqFull!$AZ$1:$BB$56,3),FALSE))))</f>
        <v>0</v>
      </c>
      <c r="AV1299" s="10" t="str">
        <f t="shared" si="150"/>
        <v>0201 09:00:00-QAC-STD-E-1-DI-CAL</v>
      </c>
    </row>
    <row r="1300" spans="1:48" s="10" customFormat="1" x14ac:dyDescent="0.55000000000000004">
      <c r="A1300" s="32">
        <v>44958</v>
      </c>
      <c r="B1300" s="33">
        <v>0.375</v>
      </c>
      <c r="C1300" s="10" t="s">
        <v>70</v>
      </c>
      <c r="D1300" s="10" t="s">
        <v>71</v>
      </c>
      <c r="E1300" s="10" t="s">
        <v>901</v>
      </c>
      <c r="F1300" s="10">
        <v>1</v>
      </c>
      <c r="G1300" s="10" t="s">
        <v>73</v>
      </c>
      <c r="H1300" s="10" t="s">
        <v>74</v>
      </c>
      <c r="I1300" s="10" t="s">
        <v>75</v>
      </c>
      <c r="J1300" s="10">
        <v>185</v>
      </c>
      <c r="K1300" s="12">
        <v>44958</v>
      </c>
      <c r="L1300" s="33">
        <v>0.48939814814814814</v>
      </c>
      <c r="M1300" s="10">
        <v>1</v>
      </c>
      <c r="N1300" s="10" t="s">
        <v>76</v>
      </c>
      <c r="O1300" s="10">
        <v>5.17</v>
      </c>
      <c r="P1300" s="10">
        <v>0.41</v>
      </c>
      <c r="Q1300" s="10">
        <v>300</v>
      </c>
      <c r="R1300" s="10" t="s">
        <v>77</v>
      </c>
      <c r="S1300" s="34">
        <f t="shared" si="147"/>
        <v>300</v>
      </c>
      <c r="T1300" s="10" t="s">
        <v>1100</v>
      </c>
      <c r="U1300" s="34" t="str">
        <f t="shared" si="148"/>
        <v/>
      </c>
      <c r="V1300" s="31" t="str">
        <f>IF(H1300="CHK",VLOOKUP(I1300,QCCHK,3,),IF(H1300="GUP",VLOOKUP(E1300,QCGUP,2,),IF(AND(H1300="ATP",OR(I1300="TN",I1300="TDN",I1300="TNO2-3",I1300="NO2-3")),VLOOKUP(E1300,QCREC_N,2,),IF(AND(H1300="NIC",OR(I1300="TN",I1300="TDN",I1300="TNO2-3",I1300="NO2-3")),VLOOKUP(E1300,QCNIC_N,2,),IF(AND(H1300="UREA",OR(I1300="TN",I1300="TDN",I1300="TNO2-3",I1300="NO2-3")),VLOOKUP(E1300,QCUREA_N,2,),IF(H1300="PER",VLOOKUP(I1300,QCPER,MATCH(E1300,QCACTUAL!$J$25:$AA$25,0),),IF(H1300="SPK",VLOOKUP(I1300,QCSPK,3,),IF(AND(H1300="ATP",OR(I1300="TP",I1300="TDP")),VLOOKUP(E1300,QCATP_P,2,),""))))))))</f>
        <v/>
      </c>
      <c r="W1300" s="31" t="str">
        <f t="shared" si="149"/>
        <v>TRUE</v>
      </c>
      <c r="X1300" s="31" t="str">
        <f t="shared" si="146"/>
        <v/>
      </c>
      <c r="Y1300" s="10" t="s">
        <v>1096</v>
      </c>
      <c r="AL1300" s="10" t="str">
        <f t="shared" si="151"/>
        <v>FALSE</v>
      </c>
      <c r="AM1300" s="10" t="str">
        <f t="shared" si="151"/>
        <v>FALSE</v>
      </c>
      <c r="AN1300" s="10" t="str">
        <f t="shared" si="151"/>
        <v>FALSE</v>
      </c>
      <c r="AO1300" s="10" t="str">
        <f t="shared" si="152"/>
        <v>FALSE</v>
      </c>
      <c r="AP1300" s="10" t="str">
        <f t="shared" si="152"/>
        <v>FALSE</v>
      </c>
      <c r="AQ1300" s="10" t="b">
        <f>IF(AND(I1300="TP",S1300&lt;=150),VLOOKUP(AF1300,TPCalibEq150!$AZ$2:$BB$55,3,),IF(AND(I1300="TDP",S1300&lt;=150),VLOOKUP(AF1300,TPCalibEq150!$AZ$2:$BB$55,3,)))</f>
        <v>0</v>
      </c>
      <c r="AR1300" s="10" t="b">
        <f>IF(AND(I1300="TP",S1300&lt;=300),VLOOKUP(AF1300,TPCalibEq300!$AZ$2:$BB$55,3,),IF(AND(I1300="TDP",S1300&lt;=300),VLOOKUP(AF1300,TPCalibEq300!$AZ$2:$BB$55,3,)))</f>
        <v>0</v>
      </c>
      <c r="AS1300" s="10" t="b">
        <f>IF(AND(I1300="TP",S1300&lt;=500),VLOOKUP(AF1300,TPCalibEq500!$AZ$2:$BB$56,3,),IF(AND(I1300="TDP",S1300&lt;=500),VLOOKUP(AF1300,TPCalibEq500!$AZ$2:$BB$56,3,)))</f>
        <v>0</v>
      </c>
      <c r="AT1300" s="10" t="b">
        <f>IF(AND(I1300="TN",S1300&lt;=2800),VLOOKUP(AF1300,TNCalibEq2500!$AZ$2:$BB$56,3,),IF(AND(I1300="TDN",S1300&lt;=2800),VLOOKUP(AF1300,TNCalibEq2500!$AZ$2:$BB$56,3,)))</f>
        <v>0</v>
      </c>
      <c r="AU1300" s="10" t="b">
        <f>IF(I1300="TP",VLOOKUP(AF1300,TPCalibEqFull!$AZ$2:$BB$56,3),IF(I1300="TDP",VLOOKUP(AF1300,TPCalibEqFull!$AZ$2:$BB$56,3),IF(I1300="TDN",VLOOKUP(AF1300,TNCalibEqFull!$AZ$1:$BB$56,3),IF(I1300="TN",VLOOKUP(AF1300,TNCalibEqFull!$AZ$1:$BB$56,3),FALSE))))</f>
        <v>0</v>
      </c>
      <c r="AV1300" s="10" t="str">
        <f t="shared" si="150"/>
        <v>0201 09:00:00-QAC-STD-D-1-DI-CAL</v>
      </c>
    </row>
    <row r="1301" spans="1:48" s="10" customFormat="1" x14ac:dyDescent="0.55000000000000004">
      <c r="A1301" s="32">
        <v>44958</v>
      </c>
      <c r="B1301" s="33">
        <v>0.375</v>
      </c>
      <c r="C1301" s="10" t="s">
        <v>70</v>
      </c>
      <c r="D1301" s="10" t="s">
        <v>71</v>
      </c>
      <c r="E1301" s="10" t="s">
        <v>190</v>
      </c>
      <c r="F1301" s="10">
        <v>1</v>
      </c>
      <c r="G1301" s="10" t="s">
        <v>73</v>
      </c>
      <c r="H1301" s="10" t="s">
        <v>74</v>
      </c>
      <c r="I1301" s="10" t="s">
        <v>75</v>
      </c>
      <c r="J1301" s="10">
        <v>186</v>
      </c>
      <c r="K1301" s="12">
        <v>44958</v>
      </c>
      <c r="L1301" s="33">
        <v>0.4902199074074074</v>
      </c>
      <c r="M1301" s="10">
        <v>1</v>
      </c>
      <c r="N1301" s="10" t="s">
        <v>76</v>
      </c>
      <c r="O1301" s="10">
        <v>10.8</v>
      </c>
      <c r="P1301" s="10">
        <v>0.85599999999999998</v>
      </c>
      <c r="Q1301" s="10">
        <v>600</v>
      </c>
      <c r="R1301" s="10" t="s">
        <v>77</v>
      </c>
      <c r="S1301" s="34">
        <f t="shared" si="147"/>
        <v>600</v>
      </c>
      <c r="T1301" s="10" t="s">
        <v>1101</v>
      </c>
      <c r="U1301" s="34" t="str">
        <f t="shared" si="148"/>
        <v/>
      </c>
      <c r="V1301" s="31" t="str">
        <f>IF(H1301="CHK",VLOOKUP(I1301,QCCHK,3,),IF(H1301="GUP",VLOOKUP(E1301,QCGUP,2,),IF(AND(H1301="ATP",OR(I1301="TN",I1301="TDN",I1301="TNO2-3",I1301="NO2-3")),VLOOKUP(E1301,QCREC_N,2,),IF(AND(H1301="NIC",OR(I1301="TN",I1301="TDN",I1301="TNO2-3",I1301="NO2-3")),VLOOKUP(E1301,QCNIC_N,2,),IF(AND(H1301="UREA",OR(I1301="TN",I1301="TDN",I1301="TNO2-3",I1301="NO2-3")),VLOOKUP(E1301,QCUREA_N,2,),IF(H1301="PER",VLOOKUP(I1301,QCPER,MATCH(E1301,QCACTUAL!$J$25:$AA$25,0),),IF(H1301="SPK",VLOOKUP(I1301,QCSPK,3,),IF(AND(H1301="ATP",OR(I1301="TP",I1301="TDP")),VLOOKUP(E1301,QCATP_P,2,),""))))))))</f>
        <v/>
      </c>
      <c r="W1301" s="31" t="str">
        <f t="shared" si="149"/>
        <v>TRUE</v>
      </c>
      <c r="X1301" s="31" t="str">
        <f t="shared" si="146"/>
        <v/>
      </c>
      <c r="Y1301" s="10" t="s">
        <v>1096</v>
      </c>
      <c r="AL1301" s="10" t="str">
        <f t="shared" si="151"/>
        <v>FALSE</v>
      </c>
      <c r="AM1301" s="10" t="str">
        <f t="shared" si="151"/>
        <v>FALSE</v>
      </c>
      <c r="AN1301" s="10" t="str">
        <f t="shared" si="151"/>
        <v>FALSE</v>
      </c>
      <c r="AO1301" s="10" t="str">
        <f t="shared" si="152"/>
        <v>FALSE</v>
      </c>
      <c r="AP1301" s="10" t="str">
        <f t="shared" si="152"/>
        <v>FALSE</v>
      </c>
      <c r="AQ1301" s="10" t="b">
        <f>IF(AND(I1301="TP",S1301&lt;=150),VLOOKUP(AF1301,TPCalibEq150!$AZ$2:$BB$55,3,),IF(AND(I1301="TDP",S1301&lt;=150),VLOOKUP(AF1301,TPCalibEq150!$AZ$2:$BB$55,3,)))</f>
        <v>0</v>
      </c>
      <c r="AR1301" s="10" t="b">
        <f>IF(AND(I1301="TP",S1301&lt;=300),VLOOKUP(AF1301,TPCalibEq300!$AZ$2:$BB$55,3,),IF(AND(I1301="TDP",S1301&lt;=300),VLOOKUP(AF1301,TPCalibEq300!$AZ$2:$BB$55,3,)))</f>
        <v>0</v>
      </c>
      <c r="AS1301" s="10" t="b">
        <f>IF(AND(I1301="TP",S1301&lt;=500),VLOOKUP(AF1301,TPCalibEq500!$AZ$2:$BB$56,3,),IF(AND(I1301="TDP",S1301&lt;=500),VLOOKUP(AF1301,TPCalibEq500!$AZ$2:$BB$56,3,)))</f>
        <v>0</v>
      </c>
      <c r="AT1301" s="10" t="b">
        <f>IF(AND(I1301="TN",S1301&lt;=2800),VLOOKUP(AF1301,TNCalibEq2500!$AZ$2:$BB$56,3,),IF(AND(I1301="TDN",S1301&lt;=2800),VLOOKUP(AF1301,TNCalibEq2500!$AZ$2:$BB$56,3,)))</f>
        <v>0</v>
      </c>
      <c r="AU1301" s="10" t="b">
        <f>IF(I1301="TP",VLOOKUP(AF1301,TPCalibEqFull!$AZ$2:$BB$56,3),IF(I1301="TDP",VLOOKUP(AF1301,TPCalibEqFull!$AZ$2:$BB$56,3),IF(I1301="TDN",VLOOKUP(AF1301,TNCalibEqFull!$AZ$1:$BB$56,3),IF(I1301="TN",VLOOKUP(AF1301,TNCalibEqFull!$AZ$1:$BB$56,3),FALSE))))</f>
        <v>0</v>
      </c>
      <c r="AV1301" s="10" t="str">
        <f t="shared" si="150"/>
        <v>0201 09:00:00-QAC-STD-C-1-DI-CAL</v>
      </c>
    </row>
    <row r="1302" spans="1:48" s="10" customFormat="1" x14ac:dyDescent="0.55000000000000004">
      <c r="A1302" s="32">
        <v>44958</v>
      </c>
      <c r="B1302" s="33">
        <v>0.375</v>
      </c>
      <c r="C1302" s="10" t="s">
        <v>70</v>
      </c>
      <c r="D1302" s="10" t="s">
        <v>71</v>
      </c>
      <c r="E1302" s="10" t="s">
        <v>583</v>
      </c>
      <c r="F1302" s="10">
        <v>1</v>
      </c>
      <c r="G1302" s="10" t="s">
        <v>73</v>
      </c>
      <c r="H1302" s="10" t="s">
        <v>74</v>
      </c>
      <c r="I1302" s="10" t="s">
        <v>75</v>
      </c>
      <c r="J1302" s="10">
        <v>187</v>
      </c>
      <c r="K1302" s="12">
        <v>44958</v>
      </c>
      <c r="L1302" s="33">
        <v>0.49104166666666665</v>
      </c>
      <c r="M1302" s="10">
        <v>1</v>
      </c>
      <c r="N1302" s="10" t="s">
        <v>76</v>
      </c>
      <c r="O1302" s="10">
        <v>21.9</v>
      </c>
      <c r="P1302" s="10">
        <v>1.74</v>
      </c>
      <c r="Q1302" s="10">
        <v>1200</v>
      </c>
      <c r="R1302" s="10" t="s">
        <v>77</v>
      </c>
      <c r="S1302" s="34">
        <f t="shared" si="147"/>
        <v>1200</v>
      </c>
      <c r="T1302" s="10" t="s">
        <v>1102</v>
      </c>
      <c r="U1302" s="34" t="str">
        <f t="shared" si="148"/>
        <v/>
      </c>
      <c r="V1302" s="31" t="str">
        <f>IF(H1302="CHK",VLOOKUP(I1302,QCCHK,3,),IF(H1302="GUP",VLOOKUP(E1302,QCGUP,2,),IF(AND(H1302="ATP",OR(I1302="TN",I1302="TDN",I1302="TNO2-3",I1302="NO2-3")),VLOOKUP(E1302,QCREC_N,2,),IF(AND(H1302="NIC",OR(I1302="TN",I1302="TDN",I1302="TNO2-3",I1302="NO2-3")),VLOOKUP(E1302,QCNIC_N,2,),IF(AND(H1302="UREA",OR(I1302="TN",I1302="TDN",I1302="TNO2-3",I1302="NO2-3")),VLOOKUP(E1302,QCUREA_N,2,),IF(H1302="PER",VLOOKUP(I1302,QCPER,MATCH(E1302,QCACTUAL!$J$25:$AA$25,0),),IF(H1302="SPK",VLOOKUP(I1302,QCSPK,3,),IF(AND(H1302="ATP",OR(I1302="TP",I1302="TDP")),VLOOKUP(E1302,QCATP_P,2,),""))))))))</f>
        <v/>
      </c>
      <c r="W1302" s="31" t="str">
        <f t="shared" si="149"/>
        <v>TRUE</v>
      </c>
      <c r="X1302" s="31" t="str">
        <f t="shared" si="146"/>
        <v/>
      </c>
      <c r="Y1302" s="10" t="s">
        <v>1096</v>
      </c>
      <c r="AL1302" s="10" t="str">
        <f t="shared" si="151"/>
        <v>FALSE</v>
      </c>
      <c r="AM1302" s="10" t="str">
        <f t="shared" si="151"/>
        <v>FALSE</v>
      </c>
      <c r="AN1302" s="10" t="str">
        <f t="shared" si="151"/>
        <v>FALSE</v>
      </c>
      <c r="AO1302" s="10" t="str">
        <f t="shared" si="152"/>
        <v>FALSE</v>
      </c>
      <c r="AP1302" s="10" t="str">
        <f t="shared" si="152"/>
        <v>FALSE</v>
      </c>
      <c r="AQ1302" s="10" t="b">
        <f>IF(AND(I1302="TP",S1302&lt;=150),VLOOKUP(AF1302,TPCalibEq150!$AZ$2:$BB$55,3,),IF(AND(I1302="TDP",S1302&lt;=150),VLOOKUP(AF1302,TPCalibEq150!$AZ$2:$BB$55,3,)))</f>
        <v>0</v>
      </c>
      <c r="AR1302" s="10" t="b">
        <f>IF(AND(I1302="TP",S1302&lt;=300),VLOOKUP(AF1302,TPCalibEq300!$AZ$2:$BB$55,3,),IF(AND(I1302="TDP",S1302&lt;=300),VLOOKUP(AF1302,TPCalibEq300!$AZ$2:$BB$55,3,)))</f>
        <v>0</v>
      </c>
      <c r="AS1302" s="10" t="b">
        <f>IF(AND(I1302="TP",S1302&lt;=500),VLOOKUP(AF1302,TPCalibEq500!$AZ$2:$BB$56,3,),IF(AND(I1302="TDP",S1302&lt;=500),VLOOKUP(AF1302,TPCalibEq500!$AZ$2:$BB$56,3,)))</f>
        <v>0</v>
      </c>
      <c r="AT1302" s="10" t="b">
        <f>IF(AND(I1302="TN",S1302&lt;=2800),VLOOKUP(AF1302,TNCalibEq2500!$AZ$2:$BB$56,3,),IF(AND(I1302="TDN",S1302&lt;=2800),VLOOKUP(AF1302,TNCalibEq2500!$AZ$2:$BB$56,3,)))</f>
        <v>0</v>
      </c>
      <c r="AU1302" s="10" t="b">
        <f>IF(I1302="TP",VLOOKUP(AF1302,TPCalibEqFull!$AZ$2:$BB$56,3),IF(I1302="TDP",VLOOKUP(AF1302,TPCalibEqFull!$AZ$2:$BB$56,3),IF(I1302="TDN",VLOOKUP(AF1302,TNCalibEqFull!$AZ$1:$BB$56,3),IF(I1302="TN",VLOOKUP(AF1302,TNCalibEqFull!$AZ$1:$BB$56,3),FALSE))))</f>
        <v>0</v>
      </c>
      <c r="AV1302" s="10" t="str">
        <f t="shared" si="150"/>
        <v>0201 09:00:00-QAC-STD-B-1-DI-CAL</v>
      </c>
    </row>
    <row r="1303" spans="1:48" s="10" customFormat="1" x14ac:dyDescent="0.55000000000000004">
      <c r="A1303" s="32">
        <v>44958</v>
      </c>
      <c r="B1303" s="33">
        <v>0.375</v>
      </c>
      <c r="C1303" s="10" t="s">
        <v>70</v>
      </c>
      <c r="D1303" s="10" t="s">
        <v>71</v>
      </c>
      <c r="E1303" s="10" t="s">
        <v>866</v>
      </c>
      <c r="F1303" s="10">
        <v>1</v>
      </c>
      <c r="G1303" s="10" t="s">
        <v>73</v>
      </c>
      <c r="H1303" s="10" t="s">
        <v>74</v>
      </c>
      <c r="I1303" s="10" t="s">
        <v>75</v>
      </c>
      <c r="J1303" s="10">
        <v>188</v>
      </c>
      <c r="K1303" s="12">
        <v>44958</v>
      </c>
      <c r="L1303" s="33">
        <v>0.49186342592592597</v>
      </c>
      <c r="M1303" s="10">
        <v>1</v>
      </c>
      <c r="N1303" s="10" t="s">
        <v>76</v>
      </c>
      <c r="O1303" s="10">
        <v>36</v>
      </c>
      <c r="P1303" s="10">
        <v>2.84</v>
      </c>
      <c r="Q1303" s="10">
        <v>2000</v>
      </c>
      <c r="R1303" s="10" t="s">
        <v>77</v>
      </c>
      <c r="S1303" s="34">
        <f t="shared" si="147"/>
        <v>2000</v>
      </c>
      <c r="T1303" s="10" t="s">
        <v>1103</v>
      </c>
      <c r="U1303" s="34" t="str">
        <f t="shared" si="148"/>
        <v/>
      </c>
      <c r="V1303" s="31" t="str">
        <f>IF(H1303="CHK",VLOOKUP(I1303,QCCHK,3,),IF(H1303="GUP",VLOOKUP(E1303,QCGUP,2,),IF(AND(H1303="ATP",OR(I1303="TN",I1303="TDN",I1303="TNO2-3",I1303="NO2-3")),VLOOKUP(E1303,QCREC_N,2,),IF(AND(H1303="NIC",OR(I1303="TN",I1303="TDN",I1303="TNO2-3",I1303="NO2-3")),VLOOKUP(E1303,QCNIC_N,2,),IF(AND(H1303="UREA",OR(I1303="TN",I1303="TDN",I1303="TNO2-3",I1303="NO2-3")),VLOOKUP(E1303,QCUREA_N,2,),IF(H1303="PER",VLOOKUP(I1303,QCPER,MATCH(E1303,QCACTUAL!$J$25:$AA$25,0),),IF(H1303="SPK",VLOOKUP(I1303,QCSPK,3,),IF(AND(H1303="ATP",OR(I1303="TP",I1303="TDP")),VLOOKUP(E1303,QCATP_P,2,),""))))))))</f>
        <v/>
      </c>
      <c r="W1303" s="31" t="str">
        <f t="shared" si="149"/>
        <v>TRUE</v>
      </c>
      <c r="X1303" s="31" t="str">
        <f t="shared" si="146"/>
        <v/>
      </c>
      <c r="Y1303" s="10" t="s">
        <v>1096</v>
      </c>
      <c r="AL1303" s="10" t="str">
        <f t="shared" si="151"/>
        <v>FALSE</v>
      </c>
      <c r="AM1303" s="10" t="str">
        <f t="shared" si="151"/>
        <v>FALSE</v>
      </c>
      <c r="AN1303" s="10" t="str">
        <f t="shared" si="151"/>
        <v>FALSE</v>
      </c>
      <c r="AO1303" s="10" t="str">
        <f t="shared" si="152"/>
        <v>FALSE</v>
      </c>
      <c r="AP1303" s="10" t="str">
        <f t="shared" si="152"/>
        <v>FALSE</v>
      </c>
      <c r="AQ1303" s="10" t="b">
        <f>IF(AND(I1303="TP",S1303&lt;=150),VLOOKUP(AF1303,TPCalibEq150!$AZ$2:$BB$55,3,),IF(AND(I1303="TDP",S1303&lt;=150),VLOOKUP(AF1303,TPCalibEq150!$AZ$2:$BB$55,3,)))</f>
        <v>0</v>
      </c>
      <c r="AR1303" s="10" t="b">
        <f>IF(AND(I1303="TP",S1303&lt;=300),VLOOKUP(AF1303,TPCalibEq300!$AZ$2:$BB$55,3,),IF(AND(I1303="TDP",S1303&lt;=300),VLOOKUP(AF1303,TPCalibEq300!$AZ$2:$BB$55,3,)))</f>
        <v>0</v>
      </c>
      <c r="AS1303" s="10" t="b">
        <f>IF(AND(I1303="TP",S1303&lt;=500),VLOOKUP(AF1303,TPCalibEq500!$AZ$2:$BB$56,3,),IF(AND(I1303="TDP",S1303&lt;=500),VLOOKUP(AF1303,TPCalibEq500!$AZ$2:$BB$56,3,)))</f>
        <v>0</v>
      </c>
      <c r="AT1303" s="10" t="b">
        <f>IF(AND(I1303="TN",S1303&lt;=2800),VLOOKUP(AF1303,TNCalibEq2500!$AZ$2:$BB$56,3,),IF(AND(I1303="TDN",S1303&lt;=2800),VLOOKUP(AF1303,TNCalibEq2500!$AZ$2:$BB$56,3,)))</f>
        <v>0</v>
      </c>
      <c r="AU1303" s="10" t="b">
        <f>IF(I1303="TP",VLOOKUP(AF1303,TPCalibEqFull!$AZ$2:$BB$56,3),IF(I1303="TDP",VLOOKUP(AF1303,TPCalibEqFull!$AZ$2:$BB$56,3),IF(I1303="TDN",VLOOKUP(AF1303,TNCalibEqFull!$AZ$1:$BB$56,3),IF(I1303="TN",VLOOKUP(AF1303,TNCalibEqFull!$AZ$1:$BB$56,3),FALSE))))</f>
        <v>0</v>
      </c>
      <c r="AV1303" s="10" t="str">
        <f t="shared" si="150"/>
        <v>0201 09:00:00-QAC-STD-A-1-DI-CAL</v>
      </c>
    </row>
    <row r="1304" spans="1:48" s="10" customFormat="1" x14ac:dyDescent="0.55000000000000004">
      <c r="A1304" s="32">
        <v>44958</v>
      </c>
      <c r="B1304" s="33">
        <v>0.375</v>
      </c>
      <c r="C1304" s="10" t="s">
        <v>70</v>
      </c>
      <c r="D1304" s="10" t="s">
        <v>241</v>
      </c>
      <c r="E1304" s="10" t="s">
        <v>866</v>
      </c>
      <c r="F1304" s="10">
        <v>1</v>
      </c>
      <c r="G1304" s="10" t="s">
        <v>73</v>
      </c>
      <c r="H1304" s="10" t="s">
        <v>283</v>
      </c>
      <c r="I1304" s="10" t="s">
        <v>75</v>
      </c>
      <c r="J1304" s="10">
        <v>198</v>
      </c>
      <c r="K1304" s="12">
        <v>44958</v>
      </c>
      <c r="L1304" s="33">
        <v>0.49349537037037039</v>
      </c>
      <c r="M1304" s="10">
        <v>1</v>
      </c>
      <c r="N1304" s="10" t="s">
        <v>76</v>
      </c>
      <c r="O1304" s="10">
        <v>5.3699999999999998E-2</v>
      </c>
      <c r="P1304" s="10">
        <v>4.9399999999999999E-3</v>
      </c>
      <c r="Q1304" s="10">
        <v>2.96</v>
      </c>
      <c r="R1304" s="10" t="s">
        <v>77</v>
      </c>
      <c r="S1304" s="34">
        <f t="shared" si="147"/>
        <v>2.96</v>
      </c>
      <c r="T1304" s="10" t="s">
        <v>1103</v>
      </c>
      <c r="U1304" s="34">
        <f t="shared" si="148"/>
        <v>2.96</v>
      </c>
      <c r="V1304" s="31" t="str">
        <f>IF(H1304="CHK",VLOOKUP(I1304,QCCHK,3,),IF(H1304="GUP",VLOOKUP(E1304,QCGUP,2,),IF(AND(H1304="ATP",OR(I1304="TN",I1304="TDN",I1304="TNO2-3",I1304="NO2-3")),VLOOKUP(E1304,QCREC_N,2,),IF(AND(H1304="NIC",OR(I1304="TN",I1304="TDN",I1304="TNO2-3",I1304="NO2-3")),VLOOKUP(E1304,QCNIC_N,2,),IF(AND(H1304="UREA",OR(I1304="TN",I1304="TDN",I1304="TNO2-3",I1304="NO2-3")),VLOOKUP(E1304,QCUREA_N,2,),IF(H1304="PER",VLOOKUP(I1304,QCPER,MATCH(E1304,QCACTUAL!$J$25:$AA$25,0),),IF(H1304="SPK",VLOOKUP(I1304,QCSPK,3,),IF(AND(H1304="ATP",OR(I1304="TP",I1304="TDP")),VLOOKUP(E1304,QCATP_P,2,),""))))))))</f>
        <v/>
      </c>
      <c r="W1304" s="31" t="str">
        <f t="shared" si="149"/>
        <v>TRUE</v>
      </c>
      <c r="X1304" s="31" t="str">
        <f t="shared" si="146"/>
        <v>nominal concentration</v>
      </c>
      <c r="Y1304" s="10" t="s">
        <v>1096</v>
      </c>
      <c r="AL1304" s="10" t="str">
        <f t="shared" si="151"/>
        <v>FALSE</v>
      </c>
      <c r="AM1304" s="10" t="str">
        <f t="shared" si="151"/>
        <v>FALSE</v>
      </c>
      <c r="AN1304" s="10" t="str">
        <f t="shared" si="151"/>
        <v>FALSE</v>
      </c>
      <c r="AO1304" s="10" t="str">
        <f t="shared" si="152"/>
        <v>FALSE</v>
      </c>
      <c r="AP1304" s="10" t="str">
        <f t="shared" si="152"/>
        <v>FALSE</v>
      </c>
      <c r="AQ1304" s="10" t="b">
        <f>IF(AND(I1304="TP",S1304&lt;=150),VLOOKUP(AF1304,TPCalibEq150!$AZ$2:$BB$55,3,),IF(AND(I1304="TDP",S1304&lt;=150),VLOOKUP(AF1304,TPCalibEq150!$AZ$2:$BB$55,3,)))</f>
        <v>0</v>
      </c>
      <c r="AR1304" s="10" t="b">
        <f>IF(AND(I1304="TP",S1304&lt;=300),VLOOKUP(AF1304,TPCalibEq300!$AZ$2:$BB$55,3,),IF(AND(I1304="TDP",S1304&lt;=300),VLOOKUP(AF1304,TPCalibEq300!$AZ$2:$BB$55,3,)))</f>
        <v>0</v>
      </c>
      <c r="AS1304" s="10" t="b">
        <f>IF(AND(I1304="TP",S1304&lt;=500),VLOOKUP(AF1304,TPCalibEq500!$AZ$2:$BB$56,3,),IF(AND(I1304="TDP",S1304&lt;=500),VLOOKUP(AF1304,TPCalibEq500!$AZ$2:$BB$56,3,)))</f>
        <v>0</v>
      </c>
      <c r="AT1304" s="10" t="b">
        <f>IF(AND(I1304="TN",S1304&lt;=2800),VLOOKUP(AF1304,TNCalibEq2500!$AZ$2:$BB$56,3,),IF(AND(I1304="TDN",S1304&lt;=2800),VLOOKUP(AF1304,TNCalibEq2500!$AZ$2:$BB$56,3,)))</f>
        <v>0</v>
      </c>
      <c r="AU1304" s="10" t="b">
        <f>IF(I1304="TP",VLOOKUP(AF1304,TPCalibEqFull!$AZ$2:$BB$56,3),IF(I1304="TDP",VLOOKUP(AF1304,TPCalibEqFull!$AZ$2:$BB$56,3),IF(I1304="TDN",VLOOKUP(AF1304,TNCalibEqFull!$AZ$1:$BB$56,3),IF(I1304="TN",VLOOKUP(AF1304,TNCalibEqFull!$AZ$1:$BB$56,3),FALSE))))</f>
        <v>0</v>
      </c>
      <c r="AV1304" s="10" t="str">
        <f t="shared" si="150"/>
        <v>0201 09:00:00-QAC-BLK-A-1-DI-LAB</v>
      </c>
    </row>
    <row r="1305" spans="1:48" s="10" customFormat="1" x14ac:dyDescent="0.55000000000000004">
      <c r="A1305" s="32">
        <v>44958</v>
      </c>
      <c r="B1305" s="33">
        <v>0.375</v>
      </c>
      <c r="C1305" s="10" t="s">
        <v>70</v>
      </c>
      <c r="D1305" s="10" t="s">
        <v>241</v>
      </c>
      <c r="E1305" s="10" t="s">
        <v>866</v>
      </c>
      <c r="F1305" s="10">
        <v>1</v>
      </c>
      <c r="G1305" s="10" t="s">
        <v>73</v>
      </c>
      <c r="H1305" s="10" t="s">
        <v>314</v>
      </c>
      <c r="I1305" s="10" t="s">
        <v>75</v>
      </c>
      <c r="J1305" s="10">
        <v>225</v>
      </c>
      <c r="K1305" s="12">
        <v>44958</v>
      </c>
      <c r="L1305" s="33">
        <v>0.49431712962962965</v>
      </c>
      <c r="M1305" s="10">
        <v>1</v>
      </c>
      <c r="N1305" s="10" t="s">
        <v>76</v>
      </c>
      <c r="O1305" s="10">
        <v>11.5</v>
      </c>
      <c r="P1305" s="10">
        <v>0.90900000000000003</v>
      </c>
      <c r="Q1305" s="10">
        <v>637</v>
      </c>
      <c r="R1305" s="10" t="s">
        <v>77</v>
      </c>
      <c r="S1305" s="34">
        <f t="shared" si="147"/>
        <v>637</v>
      </c>
      <c r="T1305" s="10" t="s">
        <v>1103</v>
      </c>
      <c r="U1305" s="34">
        <f t="shared" si="148"/>
        <v>101.4464</v>
      </c>
      <c r="V1305" s="31">
        <f>IF(H1305="CHK",VLOOKUP(I1305,QCCHK,3,),IF(H1305="GUP",VLOOKUP(E1305,QCGUP,2,),IF(AND(H1305="ATP",OR(I1305="TN",I1305="TDN",I1305="TNO2-3",I1305="NO2-3")),VLOOKUP(E1305,QCREC_N,2,),IF(AND(H1305="NIC",OR(I1305="TN",I1305="TDN",I1305="TNO2-3",I1305="NO2-3")),VLOOKUP(E1305,QCNIC_N,2,),IF(AND(H1305="UREA",OR(I1305="TN",I1305="TDN",I1305="TNO2-3",I1305="NO2-3")),VLOOKUP(E1305,QCUREA_N,2,),IF(H1305="PER",VLOOKUP(I1305,QCPER,MATCH(E1305,QCACTUAL!$J$25:$AA$25,0),),IF(H1305="SPK",VLOOKUP(I1305,QCSPK,3,),IF(AND(H1305="ATP",OR(I1305="TP",I1305="TDP")),VLOOKUP(E1305,QCATP_P,2,),""))))))))</f>
        <v>625</v>
      </c>
      <c r="W1305" s="31" t="str">
        <f t="shared" si="149"/>
        <v>TRUE</v>
      </c>
      <c r="X1305" s="31" t="str">
        <f t="shared" si="146"/>
        <v>([spikedunkn]-[unkn])/[spike]*100</v>
      </c>
      <c r="Y1305" s="10" t="s">
        <v>1096</v>
      </c>
      <c r="AL1305" s="10" t="str">
        <f t="shared" si="151"/>
        <v>FALSE</v>
      </c>
      <c r="AM1305" s="10" t="str">
        <f t="shared" si="151"/>
        <v>FALSE</v>
      </c>
      <c r="AN1305" s="10" t="str">
        <f t="shared" si="151"/>
        <v>FALSE</v>
      </c>
      <c r="AO1305" s="10" t="str">
        <f t="shared" si="152"/>
        <v>FALSE</v>
      </c>
      <c r="AP1305" s="10" t="str">
        <f t="shared" si="152"/>
        <v>FALSE</v>
      </c>
      <c r="AQ1305" s="10" t="b">
        <f>IF(AND(I1305="TP",S1305&lt;=150),VLOOKUP(AF1305,TPCalibEq150!$AZ$2:$BB$55,3,),IF(AND(I1305="TDP",S1305&lt;=150),VLOOKUP(AF1305,TPCalibEq150!$AZ$2:$BB$55,3,)))</f>
        <v>0</v>
      </c>
      <c r="AR1305" s="10" t="b">
        <f>IF(AND(I1305="TP",S1305&lt;=300),VLOOKUP(AF1305,TPCalibEq300!$AZ$2:$BB$55,3,),IF(AND(I1305="TDP",S1305&lt;=300),VLOOKUP(AF1305,TPCalibEq300!$AZ$2:$BB$55,3,)))</f>
        <v>0</v>
      </c>
      <c r="AS1305" s="10" t="b">
        <f>IF(AND(I1305="TP",S1305&lt;=500),VLOOKUP(AF1305,TPCalibEq500!$AZ$2:$BB$56,3,),IF(AND(I1305="TDP",S1305&lt;=500),VLOOKUP(AF1305,TPCalibEq500!$AZ$2:$BB$56,3,)))</f>
        <v>0</v>
      </c>
      <c r="AT1305" s="10" t="b">
        <f>IF(AND(I1305="TN",S1305&lt;=2800),VLOOKUP(AF1305,TNCalibEq2500!$AZ$2:$BB$56,3,),IF(AND(I1305="TDN",S1305&lt;=2800),VLOOKUP(AF1305,TNCalibEq2500!$AZ$2:$BB$56,3,)))</f>
        <v>0</v>
      </c>
      <c r="AU1305" s="10" t="b">
        <f>IF(I1305="TP",VLOOKUP(AF1305,TPCalibEqFull!$AZ$2:$BB$56,3),IF(I1305="TDP",VLOOKUP(AF1305,TPCalibEqFull!$AZ$2:$BB$56,3),IF(I1305="TDN",VLOOKUP(AF1305,TNCalibEqFull!$AZ$1:$BB$56,3),IF(I1305="TN",VLOOKUP(AF1305,TNCalibEqFull!$AZ$1:$BB$56,3),FALSE))))</f>
        <v>0</v>
      </c>
      <c r="AV1305" s="10" t="str">
        <f t="shared" si="150"/>
        <v>0201 09:00:00-QAC-BLK-A-1-DI-SPK</v>
      </c>
    </row>
    <row r="1306" spans="1:48" s="10" customFormat="1" x14ac:dyDescent="0.55000000000000004">
      <c r="A1306" s="32">
        <v>44958</v>
      </c>
      <c r="B1306" s="33">
        <v>0.375</v>
      </c>
      <c r="C1306" s="10" t="s">
        <v>70</v>
      </c>
      <c r="D1306" s="10" t="s">
        <v>71</v>
      </c>
      <c r="E1306" s="10" t="s">
        <v>948</v>
      </c>
      <c r="F1306" s="10">
        <v>1</v>
      </c>
      <c r="G1306" s="10" t="s">
        <v>73</v>
      </c>
      <c r="H1306" s="10" t="s">
        <v>299</v>
      </c>
      <c r="I1306" s="10" t="s">
        <v>75</v>
      </c>
      <c r="J1306" s="10">
        <v>197</v>
      </c>
      <c r="K1306" s="12">
        <v>44958</v>
      </c>
      <c r="L1306" s="33">
        <v>0.495150462962963</v>
      </c>
      <c r="M1306" s="10">
        <v>1</v>
      </c>
      <c r="N1306" s="10" t="s">
        <v>76</v>
      </c>
      <c r="O1306" s="10">
        <v>18.7</v>
      </c>
      <c r="P1306" s="10">
        <v>1.48</v>
      </c>
      <c r="Q1306" s="10">
        <v>1040</v>
      </c>
      <c r="R1306" s="10" t="s">
        <v>77</v>
      </c>
      <c r="S1306" s="34">
        <f t="shared" si="147"/>
        <v>1040</v>
      </c>
      <c r="T1306" s="10" t="s">
        <v>1103</v>
      </c>
      <c r="U1306" s="34">
        <f t="shared" si="148"/>
        <v>99.047619047619051</v>
      </c>
      <c r="V1306" s="31">
        <f>IF(H1306="CHK",VLOOKUP(I1306,QCCHK,3,),IF(H1306="GUP",VLOOKUP(E1306,QCGUP,2,),IF(AND(H1306="ATP",OR(I1306="TN",I1306="TDN",I1306="TNO2-3",I1306="NO2-3")),VLOOKUP(E1306,QCREC_N,2,),IF(AND(H1306="NIC",OR(I1306="TN",I1306="TDN",I1306="TNO2-3",I1306="NO2-3")),VLOOKUP(E1306,QCNIC_N,2,),IF(AND(H1306="UREA",OR(I1306="TN",I1306="TDN",I1306="TNO2-3",I1306="NO2-3")),VLOOKUP(E1306,QCUREA_N,2,),IF(H1306="PER",VLOOKUP(I1306,QCPER,MATCH(E1306,QCACTUAL!$J$25:$AA$25,0),),IF(H1306="SPK",VLOOKUP(I1306,QCSPK,3,),IF(AND(H1306="ATP",OR(I1306="TP",I1306="TDP")),VLOOKUP(E1306,QCATP_P,2,),""))))))))</f>
        <v>1050</v>
      </c>
      <c r="W1306" s="31" t="str">
        <f t="shared" si="149"/>
        <v>TRUE</v>
      </c>
      <c r="X1306" s="31" t="str">
        <f t="shared" si="146"/>
        <v>[per]/[actual]*100</v>
      </c>
      <c r="Y1306" s="10" t="s">
        <v>1096</v>
      </c>
      <c r="AL1306" s="10" t="str">
        <f t="shared" si="151"/>
        <v>FALSE</v>
      </c>
      <c r="AM1306" s="10" t="str">
        <f t="shared" si="151"/>
        <v>FALSE</v>
      </c>
      <c r="AN1306" s="10" t="str">
        <f t="shared" si="151"/>
        <v>FALSE</v>
      </c>
      <c r="AO1306" s="10" t="str">
        <f t="shared" si="152"/>
        <v>FALSE</v>
      </c>
      <c r="AP1306" s="10" t="str">
        <f t="shared" si="152"/>
        <v>FALSE</v>
      </c>
      <c r="AQ1306" s="10" t="b">
        <f>IF(AND(I1306="TP",S1306&lt;=150),VLOOKUP(AF1306,TPCalibEq150!$AZ$2:$BB$55,3,),IF(AND(I1306="TDP",S1306&lt;=150),VLOOKUP(AF1306,TPCalibEq150!$AZ$2:$BB$55,3,)))</f>
        <v>0</v>
      </c>
      <c r="AR1306" s="10" t="b">
        <f>IF(AND(I1306="TP",S1306&lt;=300),VLOOKUP(AF1306,TPCalibEq300!$AZ$2:$BB$55,3,),IF(AND(I1306="TDP",S1306&lt;=300),VLOOKUP(AF1306,TPCalibEq300!$AZ$2:$BB$55,3,)))</f>
        <v>0</v>
      </c>
      <c r="AS1306" s="10" t="b">
        <f>IF(AND(I1306="TP",S1306&lt;=500),VLOOKUP(AF1306,TPCalibEq500!$AZ$2:$BB$56,3,),IF(AND(I1306="TDP",S1306&lt;=500),VLOOKUP(AF1306,TPCalibEq500!$AZ$2:$BB$56,3,)))</f>
        <v>0</v>
      </c>
      <c r="AT1306" s="10" t="b">
        <f>IF(AND(I1306="TN",S1306&lt;=2800),VLOOKUP(AF1306,TNCalibEq2500!$AZ$2:$BB$56,3,),IF(AND(I1306="TDN",S1306&lt;=2800),VLOOKUP(AF1306,TNCalibEq2500!$AZ$2:$BB$56,3,)))</f>
        <v>0</v>
      </c>
      <c r="AU1306" s="10" t="b">
        <f>IF(I1306="TP",VLOOKUP(AF1306,TPCalibEqFull!$AZ$2:$BB$56,3),IF(I1306="TDP",VLOOKUP(AF1306,TPCalibEqFull!$AZ$2:$BB$56,3),IF(I1306="TDN",VLOOKUP(AF1306,TNCalibEqFull!$AZ$1:$BB$56,3),IF(I1306="TN",VLOOKUP(AF1306,TNCalibEqFull!$AZ$1:$BB$56,3),FALSE))))</f>
        <v>0</v>
      </c>
      <c r="AV1306" s="10" t="str">
        <f t="shared" si="150"/>
        <v>0201 09:00:00-QAC-STD-22A-1-DI-PER</v>
      </c>
    </row>
    <row r="1307" spans="1:48" s="10" customFormat="1" x14ac:dyDescent="0.55000000000000004">
      <c r="A1307" s="32">
        <v>44949</v>
      </c>
      <c r="B1307" s="33">
        <v>0.25</v>
      </c>
      <c r="C1307" s="10" t="s">
        <v>70</v>
      </c>
      <c r="D1307" s="10" t="s">
        <v>241</v>
      </c>
      <c r="E1307" s="10" t="s">
        <v>866</v>
      </c>
      <c r="F1307" s="10">
        <v>1</v>
      </c>
      <c r="G1307" s="10" t="s">
        <v>73</v>
      </c>
      <c r="H1307" s="10" t="s">
        <v>264</v>
      </c>
      <c r="I1307" s="10" t="s">
        <v>75</v>
      </c>
      <c r="J1307" s="10">
        <v>91</v>
      </c>
      <c r="K1307" s="12">
        <v>44958</v>
      </c>
      <c r="L1307" s="33">
        <v>0.49842592592592588</v>
      </c>
      <c r="M1307" s="10">
        <v>1</v>
      </c>
      <c r="N1307" s="10" t="s">
        <v>76</v>
      </c>
      <c r="O1307" s="10">
        <v>9.2799999999999994E-2</v>
      </c>
      <c r="P1307" s="10">
        <v>4.5900000000000003E-3</v>
      </c>
      <c r="Q1307" s="10">
        <v>5.12</v>
      </c>
      <c r="R1307" s="10" t="s">
        <v>77</v>
      </c>
      <c r="S1307" s="34">
        <f t="shared" si="147"/>
        <v>5.12</v>
      </c>
      <c r="T1307" s="10" t="s">
        <v>1103</v>
      </c>
      <c r="U1307" s="34">
        <f t="shared" si="148"/>
        <v>5.12</v>
      </c>
      <c r="V1307" s="31" t="str">
        <f>IF(H1307="CHK",VLOOKUP(I1307,QCCHK,3,),IF(H1307="GUP",VLOOKUP(E1307,QCGUP,2,),IF(AND(H1307="ATP",OR(I1307="TN",I1307="TDN",I1307="TNO2-3",I1307="NO2-3")),VLOOKUP(E1307,QCREC_N,2,),IF(AND(H1307="NIC",OR(I1307="TN",I1307="TDN",I1307="TNO2-3",I1307="NO2-3")),VLOOKUP(E1307,QCNIC_N,2,),IF(AND(H1307="UREA",OR(I1307="TN",I1307="TDN",I1307="TNO2-3",I1307="NO2-3")),VLOOKUP(E1307,QCUREA_N,2,),IF(H1307="PER",VLOOKUP(I1307,QCPER,MATCH(E1307,QCACTUAL!$J$25:$AA$25,0),),IF(H1307="SPK",VLOOKUP(I1307,QCSPK,3,),IF(AND(H1307="ATP",OR(I1307="TP",I1307="TDP")),VLOOKUP(E1307,QCATP_P,2,),""))))))))</f>
        <v/>
      </c>
      <c r="W1307" s="31" t="str">
        <f t="shared" si="149"/>
        <v>TRUE</v>
      </c>
      <c r="X1307" s="31" t="str">
        <f t="shared" si="146"/>
        <v>nominal concentration</v>
      </c>
      <c r="Y1307" s="10" t="s">
        <v>1096</v>
      </c>
      <c r="Z1307" s="10" t="s">
        <v>910</v>
      </c>
      <c r="AL1307" s="10" t="str">
        <f t="shared" si="151"/>
        <v>FALSE</v>
      </c>
      <c r="AM1307" s="10" t="str">
        <f t="shared" si="151"/>
        <v>FALSE</v>
      </c>
      <c r="AN1307" s="10" t="str">
        <f t="shared" si="151"/>
        <v>FALSE</v>
      </c>
      <c r="AO1307" s="10" t="str">
        <f t="shared" si="152"/>
        <v>FALSE</v>
      </c>
      <c r="AP1307" s="10" t="str">
        <f t="shared" si="152"/>
        <v>FALSE</v>
      </c>
      <c r="AQ1307" s="10" t="b">
        <f>IF(AND(I1307="TP",S1307&lt;=150),VLOOKUP(AF1307,TPCalibEq150!$AZ$2:$BB$55,3,),IF(AND(I1307="TDP",S1307&lt;=150),VLOOKUP(AF1307,TPCalibEq150!$AZ$2:$BB$55,3,)))</f>
        <v>0</v>
      </c>
      <c r="AR1307" s="10" t="b">
        <f>IF(AND(I1307="TP",S1307&lt;=300),VLOOKUP(AF1307,TPCalibEq300!$AZ$2:$BB$55,3,),IF(AND(I1307="TDP",S1307&lt;=300),VLOOKUP(AF1307,TPCalibEq300!$AZ$2:$BB$55,3,)))</f>
        <v>0</v>
      </c>
      <c r="AS1307" s="10" t="b">
        <f>IF(AND(I1307="TP",S1307&lt;=500),VLOOKUP(AF1307,TPCalibEq500!$AZ$2:$BB$56,3,),IF(AND(I1307="TDP",S1307&lt;=500),VLOOKUP(AF1307,TPCalibEq500!$AZ$2:$BB$56,3,)))</f>
        <v>0</v>
      </c>
      <c r="AT1307" s="10" t="b">
        <f>IF(AND(I1307="TN",S1307&lt;=2800),VLOOKUP(AF1307,TNCalibEq2500!$AZ$2:$BB$56,3,),IF(AND(I1307="TDN",S1307&lt;=2800),VLOOKUP(AF1307,TNCalibEq2500!$AZ$2:$BB$56,3,)))</f>
        <v>0</v>
      </c>
      <c r="AU1307" s="10" t="b">
        <f>IF(I1307="TP",VLOOKUP(AF1307,TPCalibEqFull!$AZ$2:$BB$56,3),IF(I1307="TDP",VLOOKUP(AF1307,TPCalibEqFull!$AZ$2:$BB$56,3),IF(I1307="TDN",VLOOKUP(AF1307,TNCalibEqFull!$AZ$1:$BB$56,3),IF(I1307="TN",VLOOKUP(AF1307,TNCalibEqFull!$AZ$1:$BB$56,3),FALSE))))</f>
        <v>0</v>
      </c>
      <c r="AV1307" s="10" t="str">
        <f t="shared" si="150"/>
        <v>0123 06:00:00-QAC-BLK-A-1-DI-FLD</v>
      </c>
    </row>
    <row r="1308" spans="1:48" s="10" customFormat="1" x14ac:dyDescent="0.55000000000000004">
      <c r="A1308" s="32">
        <v>44956</v>
      </c>
      <c r="B1308" s="33">
        <v>0.25</v>
      </c>
      <c r="C1308" s="10" t="s">
        <v>70</v>
      </c>
      <c r="D1308" s="10" t="s">
        <v>241</v>
      </c>
      <c r="E1308" s="10" t="s">
        <v>866</v>
      </c>
      <c r="F1308" s="10">
        <v>1</v>
      </c>
      <c r="G1308" s="10" t="s">
        <v>73</v>
      </c>
      <c r="H1308" s="10" t="s">
        <v>264</v>
      </c>
      <c r="I1308" s="10" t="s">
        <v>75</v>
      </c>
      <c r="J1308" s="10">
        <v>92</v>
      </c>
      <c r="K1308" s="12">
        <v>44958</v>
      </c>
      <c r="L1308" s="33">
        <v>0.4992476851851852</v>
      </c>
      <c r="M1308" s="10">
        <v>1</v>
      </c>
      <c r="N1308" s="10" t="s">
        <v>76</v>
      </c>
      <c r="O1308" s="10">
        <v>6.3E-2</v>
      </c>
      <c r="P1308" s="10">
        <v>4.2500000000000003E-3</v>
      </c>
      <c r="Q1308" s="10">
        <v>3.47</v>
      </c>
      <c r="R1308" s="10" t="s">
        <v>77</v>
      </c>
      <c r="S1308" s="34">
        <f t="shared" si="147"/>
        <v>3.47</v>
      </c>
      <c r="T1308" s="10" t="s">
        <v>1103</v>
      </c>
      <c r="U1308" s="34">
        <f t="shared" si="148"/>
        <v>3.47</v>
      </c>
      <c r="V1308" s="31" t="str">
        <f>IF(H1308="CHK",VLOOKUP(I1308,QCCHK,3,),IF(H1308="GUP",VLOOKUP(E1308,QCGUP,2,),IF(AND(H1308="ATP",OR(I1308="TN",I1308="TDN",I1308="TNO2-3",I1308="NO2-3")),VLOOKUP(E1308,QCREC_N,2,),IF(AND(H1308="NIC",OR(I1308="TN",I1308="TDN",I1308="TNO2-3",I1308="NO2-3")),VLOOKUP(E1308,QCNIC_N,2,),IF(AND(H1308="UREA",OR(I1308="TN",I1308="TDN",I1308="TNO2-3",I1308="NO2-3")),VLOOKUP(E1308,QCUREA_N,2,),IF(H1308="PER",VLOOKUP(I1308,QCPER,MATCH(E1308,QCACTUAL!$J$25:$AA$25,0),),IF(H1308="SPK",VLOOKUP(I1308,QCSPK,3,),IF(AND(H1308="ATP",OR(I1308="TP",I1308="TDP")),VLOOKUP(E1308,QCATP_P,2,),""))))))))</f>
        <v/>
      </c>
      <c r="W1308" s="31" t="str">
        <f t="shared" si="149"/>
        <v>TRUE</v>
      </c>
      <c r="X1308" s="31" t="str">
        <f t="shared" si="146"/>
        <v>nominal concentration</v>
      </c>
      <c r="Y1308" s="10" t="s">
        <v>1096</v>
      </c>
      <c r="Z1308" s="10" t="s">
        <v>910</v>
      </c>
      <c r="AL1308" s="10" t="str">
        <f t="shared" si="151"/>
        <v>FALSE</v>
      </c>
      <c r="AM1308" s="10" t="str">
        <f t="shared" si="151"/>
        <v>FALSE</v>
      </c>
      <c r="AN1308" s="10" t="str">
        <f t="shared" si="151"/>
        <v>FALSE</v>
      </c>
      <c r="AO1308" s="10" t="str">
        <f t="shared" si="152"/>
        <v>FALSE</v>
      </c>
      <c r="AP1308" s="10" t="str">
        <f t="shared" si="152"/>
        <v>FALSE</v>
      </c>
      <c r="AQ1308" s="10" t="b">
        <f>IF(AND(I1308="TP",S1308&lt;=150),VLOOKUP(AF1308,TPCalibEq150!$AZ$2:$BB$55,3,),IF(AND(I1308="TDP",S1308&lt;=150),VLOOKUP(AF1308,TPCalibEq150!$AZ$2:$BB$55,3,)))</f>
        <v>0</v>
      </c>
      <c r="AR1308" s="10" t="b">
        <f>IF(AND(I1308="TP",S1308&lt;=300),VLOOKUP(AF1308,TPCalibEq300!$AZ$2:$BB$55,3,),IF(AND(I1308="TDP",S1308&lt;=300),VLOOKUP(AF1308,TPCalibEq300!$AZ$2:$BB$55,3,)))</f>
        <v>0</v>
      </c>
      <c r="AS1308" s="10" t="b">
        <f>IF(AND(I1308="TP",S1308&lt;=500),VLOOKUP(AF1308,TPCalibEq500!$AZ$2:$BB$56,3,),IF(AND(I1308="TDP",S1308&lt;=500),VLOOKUP(AF1308,TPCalibEq500!$AZ$2:$BB$56,3,)))</f>
        <v>0</v>
      </c>
      <c r="AT1308" s="10" t="b">
        <f>IF(AND(I1308="TN",S1308&lt;=2800),VLOOKUP(AF1308,TNCalibEq2500!$AZ$2:$BB$56,3,),IF(AND(I1308="TDN",S1308&lt;=2800),VLOOKUP(AF1308,TNCalibEq2500!$AZ$2:$BB$56,3,)))</f>
        <v>0</v>
      </c>
      <c r="AU1308" s="10" t="b">
        <f>IF(I1308="TP",VLOOKUP(AF1308,TPCalibEqFull!$AZ$2:$BB$56,3),IF(I1308="TDP",VLOOKUP(AF1308,TPCalibEqFull!$AZ$2:$BB$56,3),IF(I1308="TDN",VLOOKUP(AF1308,TNCalibEqFull!$AZ$1:$BB$56,3),IF(I1308="TN",VLOOKUP(AF1308,TNCalibEqFull!$AZ$1:$BB$56,3),FALSE))))</f>
        <v>0</v>
      </c>
      <c r="AV1308" s="10" t="str">
        <f t="shared" si="150"/>
        <v>0130 06:00:00-QAC-BLK-A-1-DI-FLD</v>
      </c>
    </row>
    <row r="1309" spans="1:48" s="10" customFormat="1" x14ac:dyDescent="0.55000000000000004">
      <c r="A1309" s="32">
        <v>44956</v>
      </c>
      <c r="B1309" s="33">
        <v>0.22569444444444445</v>
      </c>
      <c r="C1309" s="10" t="s">
        <v>70</v>
      </c>
      <c r="D1309" s="10" t="s">
        <v>241</v>
      </c>
      <c r="E1309" s="10" t="s">
        <v>866</v>
      </c>
      <c r="F1309" s="10">
        <v>1</v>
      </c>
      <c r="G1309" s="10" t="s">
        <v>73</v>
      </c>
      <c r="H1309" s="10" t="s">
        <v>245</v>
      </c>
      <c r="I1309" s="10" t="s">
        <v>75</v>
      </c>
      <c r="J1309" s="10">
        <v>93</v>
      </c>
      <c r="K1309" s="12">
        <v>44958</v>
      </c>
      <c r="L1309" s="33">
        <v>0.50006944444444446</v>
      </c>
      <c r="M1309" s="10">
        <v>1</v>
      </c>
      <c r="N1309" s="10" t="s">
        <v>76</v>
      </c>
      <c r="O1309" s="10">
        <v>5.0599999999999999E-2</v>
      </c>
      <c r="P1309" s="10">
        <v>4.6800000000000001E-3</v>
      </c>
      <c r="Q1309" s="10">
        <v>2.79</v>
      </c>
      <c r="R1309" s="10" t="s">
        <v>77</v>
      </c>
      <c r="S1309" s="34">
        <f t="shared" si="147"/>
        <v>2.79</v>
      </c>
      <c r="T1309" s="10" t="s">
        <v>1103</v>
      </c>
      <c r="U1309" s="34">
        <f t="shared" si="148"/>
        <v>2.79</v>
      </c>
      <c r="V1309" s="31" t="str">
        <f>IF(H1309="CHK",VLOOKUP(I1309,QCCHK,3,),IF(H1309="GUP",VLOOKUP(E1309,QCGUP,2,),IF(AND(H1309="ATP",OR(I1309="TN",I1309="TDN",I1309="TNO2-3",I1309="NO2-3")),VLOOKUP(E1309,QCREC_N,2,),IF(AND(H1309="NIC",OR(I1309="TN",I1309="TDN",I1309="TNO2-3",I1309="NO2-3")),VLOOKUP(E1309,QCNIC_N,2,),IF(AND(H1309="UREA",OR(I1309="TN",I1309="TDN",I1309="TNO2-3",I1309="NO2-3")),VLOOKUP(E1309,QCUREA_N,2,),IF(H1309="PER",VLOOKUP(I1309,QCPER,MATCH(E1309,QCACTUAL!$J$25:$AA$25,0),),IF(H1309="SPK",VLOOKUP(I1309,QCSPK,3,),IF(AND(H1309="ATP",OR(I1309="TP",I1309="TDP")),VLOOKUP(E1309,QCATP_P,2,),""))))))))</f>
        <v/>
      </c>
      <c r="W1309" s="31" t="str">
        <f t="shared" si="149"/>
        <v>TRUE</v>
      </c>
      <c r="X1309" s="31" t="str">
        <f t="shared" si="146"/>
        <v>nominal concentration</v>
      </c>
      <c r="Y1309" s="10" t="s">
        <v>1096</v>
      </c>
      <c r="Z1309" s="10" t="s">
        <v>910</v>
      </c>
      <c r="AL1309" s="10" t="str">
        <f t="shared" si="151"/>
        <v>FALSE</v>
      </c>
      <c r="AM1309" s="10" t="str">
        <f t="shared" si="151"/>
        <v>FALSE</v>
      </c>
      <c r="AN1309" s="10" t="str">
        <f t="shared" si="151"/>
        <v>FALSE</v>
      </c>
      <c r="AO1309" s="10" t="str">
        <f t="shared" si="152"/>
        <v>FALSE</v>
      </c>
      <c r="AP1309" s="10" t="str">
        <f t="shared" si="152"/>
        <v>FALSE</v>
      </c>
      <c r="AQ1309" s="10" t="b">
        <f>IF(AND(I1309="TP",S1309&lt;=150),VLOOKUP(AF1309,TPCalibEq150!$AZ$2:$BB$55,3,),IF(AND(I1309="TDP",S1309&lt;=150),VLOOKUP(AF1309,TPCalibEq150!$AZ$2:$BB$55,3,)))</f>
        <v>0</v>
      </c>
      <c r="AR1309" s="10" t="b">
        <f>IF(AND(I1309="TP",S1309&lt;=300),VLOOKUP(AF1309,TPCalibEq300!$AZ$2:$BB$55,3,),IF(AND(I1309="TDP",S1309&lt;=300),VLOOKUP(AF1309,TPCalibEq300!$AZ$2:$BB$55,3,)))</f>
        <v>0</v>
      </c>
      <c r="AS1309" s="10" t="b">
        <f>IF(AND(I1309="TP",S1309&lt;=500),VLOOKUP(AF1309,TPCalibEq500!$AZ$2:$BB$56,3,),IF(AND(I1309="TDP",S1309&lt;=500),VLOOKUP(AF1309,TPCalibEq500!$AZ$2:$BB$56,3,)))</f>
        <v>0</v>
      </c>
      <c r="AT1309" s="10" t="b">
        <f>IF(AND(I1309="TN",S1309&lt;=2800),VLOOKUP(AF1309,TNCalibEq2500!$AZ$2:$BB$56,3,),IF(AND(I1309="TDN",S1309&lt;=2800),VLOOKUP(AF1309,TNCalibEq2500!$AZ$2:$BB$56,3,)))</f>
        <v>0</v>
      </c>
      <c r="AU1309" s="10" t="b">
        <f>IF(I1309="TP",VLOOKUP(AF1309,TPCalibEqFull!$AZ$2:$BB$56,3),IF(I1309="TDP",VLOOKUP(AF1309,TPCalibEqFull!$AZ$2:$BB$56,3),IF(I1309="TDN",VLOOKUP(AF1309,TNCalibEqFull!$AZ$1:$BB$56,3),IF(I1309="TN",VLOOKUP(AF1309,TNCalibEqFull!$AZ$1:$BB$56,3),FALSE))))</f>
        <v>0</v>
      </c>
      <c r="AV1309" s="10" t="str">
        <f t="shared" si="150"/>
        <v>0130 05:25:00-QAC-BLK-A-1-DI-ESF</v>
      </c>
    </row>
    <row r="1310" spans="1:48" s="10" customFormat="1" x14ac:dyDescent="0.55000000000000004">
      <c r="A1310" s="32">
        <v>44949</v>
      </c>
      <c r="B1310" s="33">
        <v>0.25</v>
      </c>
      <c r="C1310" s="10" t="s">
        <v>70</v>
      </c>
      <c r="D1310" s="10" t="s">
        <v>241</v>
      </c>
      <c r="E1310" s="10" t="s">
        <v>911</v>
      </c>
      <c r="F1310" s="10">
        <v>1</v>
      </c>
      <c r="G1310" s="10" t="s">
        <v>73</v>
      </c>
      <c r="H1310" s="10" t="s">
        <v>264</v>
      </c>
      <c r="I1310" s="10" t="s">
        <v>183</v>
      </c>
      <c r="J1310" s="10">
        <v>94</v>
      </c>
      <c r="K1310" s="12">
        <v>44958</v>
      </c>
      <c r="L1310" s="33">
        <v>0.50089120370370377</v>
      </c>
      <c r="M1310" s="10">
        <v>1</v>
      </c>
      <c r="N1310" s="10" t="s">
        <v>76</v>
      </c>
      <c r="O1310" s="10">
        <v>2.33</v>
      </c>
      <c r="P1310" s="10">
        <v>0.18099999999999999</v>
      </c>
      <c r="Q1310" s="10">
        <v>128</v>
      </c>
      <c r="R1310" s="10" t="s">
        <v>77</v>
      </c>
      <c r="S1310" s="34">
        <f t="shared" si="147"/>
        <v>128</v>
      </c>
      <c r="T1310" s="10" t="s">
        <v>1103</v>
      </c>
      <c r="U1310" s="34">
        <f t="shared" si="148"/>
        <v>128</v>
      </c>
      <c r="V1310" s="31" t="str">
        <f>IF(H1310="CHK",VLOOKUP(I1310,QCCHK,3,),IF(H1310="GUP",VLOOKUP(E1310,QCGUP,2,),IF(AND(H1310="ATP",OR(I1310="TN",I1310="TDN",I1310="TNO2-3",I1310="NO2-3")),VLOOKUP(E1310,QCREC_N,2,),IF(AND(H1310="NIC",OR(I1310="TN",I1310="TDN",I1310="TNO2-3",I1310="NO2-3")),VLOOKUP(E1310,QCNIC_N,2,),IF(AND(H1310="UREA",OR(I1310="TN",I1310="TDN",I1310="TNO2-3",I1310="NO2-3")),VLOOKUP(E1310,QCUREA_N,2,),IF(H1310="PER",VLOOKUP(I1310,QCPER,MATCH(E1310,QCACTUAL!$J$25:$AA$25,0),),IF(H1310="SPK",VLOOKUP(I1310,QCSPK,3,),IF(AND(H1310="ATP",OR(I1310="TP",I1310="TDP")),VLOOKUP(E1310,QCATP_P,2,),""))))))))</f>
        <v/>
      </c>
      <c r="W1310" s="31" t="str">
        <f t="shared" si="149"/>
        <v>FALSE</v>
      </c>
      <c r="X1310" s="31" t="str">
        <f t="shared" si="146"/>
        <v>nominal concentration</v>
      </c>
      <c r="Y1310" s="10" t="s">
        <v>1096</v>
      </c>
      <c r="Z1310" s="10" t="s">
        <v>910</v>
      </c>
      <c r="AL1310" s="10" t="str">
        <f t="shared" si="151"/>
        <v>FALSE</v>
      </c>
      <c r="AM1310" s="10" t="str">
        <f t="shared" si="151"/>
        <v>FALSE</v>
      </c>
      <c r="AN1310" s="10" t="str">
        <f t="shared" si="151"/>
        <v>FALSE</v>
      </c>
      <c r="AO1310" s="10" t="str">
        <f t="shared" si="152"/>
        <v>FALSE</v>
      </c>
      <c r="AP1310" s="10" t="str">
        <f t="shared" si="152"/>
        <v>FALSE</v>
      </c>
      <c r="AQ1310" s="10" t="b">
        <f>IF(AND(I1310="TP",S1310&lt;=150),VLOOKUP(AF1310,TPCalibEq150!$AZ$2:$BB$55,3,),IF(AND(I1310="TDP",S1310&lt;=150),VLOOKUP(AF1310,TPCalibEq150!$AZ$2:$BB$55,3,)))</f>
        <v>0</v>
      </c>
      <c r="AR1310" s="10" t="b">
        <f>IF(AND(I1310="TP",S1310&lt;=300),VLOOKUP(AF1310,TPCalibEq300!$AZ$2:$BB$55,3,),IF(AND(I1310="TDP",S1310&lt;=300),VLOOKUP(AF1310,TPCalibEq300!$AZ$2:$BB$55,3,)))</f>
        <v>0</v>
      </c>
      <c r="AS1310" s="10" t="b">
        <f>IF(AND(I1310="TP",S1310&lt;=500),VLOOKUP(AF1310,TPCalibEq500!$AZ$2:$BB$56,3,),IF(AND(I1310="TDP",S1310&lt;=500),VLOOKUP(AF1310,TPCalibEq500!$AZ$2:$BB$56,3,)))</f>
        <v>0</v>
      </c>
      <c r="AT1310" s="10" t="b">
        <f>IF(AND(I1310="TN",S1310&lt;=2800),VLOOKUP(AF1310,TNCalibEq2500!$AZ$2:$BB$56,3,),IF(AND(I1310="TDN",S1310&lt;=2800),VLOOKUP(AF1310,TNCalibEq2500!$AZ$2:$BB$56,3,)))</f>
        <v>0</v>
      </c>
      <c r="AU1310" s="10" t="b">
        <f>IF(I1310="TP",VLOOKUP(AF1310,TPCalibEqFull!$AZ$2:$BB$56,3),IF(I1310="TDP",VLOOKUP(AF1310,TPCalibEqFull!$AZ$2:$BB$56,3),IF(I1310="TDN",VLOOKUP(AF1310,TNCalibEqFull!$AZ$1:$BB$56,3),IF(I1310="TN",VLOOKUP(AF1310,TNCalibEqFull!$AZ$1:$BB$56,3),FALSE))))</f>
        <v>0</v>
      </c>
      <c r="AV1310" s="10" t="str">
        <f t="shared" si="150"/>
        <v>0123 06:00:00-QAC-BLK-FIL-1-DI-FLD</v>
      </c>
    </row>
    <row r="1311" spans="1:48" s="10" customFormat="1" x14ac:dyDescent="0.55000000000000004">
      <c r="A1311" s="32">
        <v>44956</v>
      </c>
      <c r="B1311" s="33">
        <v>0.25</v>
      </c>
      <c r="C1311" s="10" t="s">
        <v>70</v>
      </c>
      <c r="D1311" s="10" t="s">
        <v>241</v>
      </c>
      <c r="E1311" s="10" t="s">
        <v>911</v>
      </c>
      <c r="F1311" s="10">
        <v>1</v>
      </c>
      <c r="G1311" s="10" t="s">
        <v>73</v>
      </c>
      <c r="H1311" s="10" t="s">
        <v>264</v>
      </c>
      <c r="I1311" s="10" t="s">
        <v>183</v>
      </c>
      <c r="J1311" s="10">
        <v>95</v>
      </c>
      <c r="K1311" s="12">
        <v>44958</v>
      </c>
      <c r="L1311" s="33">
        <v>0.50171296296296297</v>
      </c>
      <c r="M1311" s="10">
        <v>1</v>
      </c>
      <c r="N1311" s="10" t="s">
        <v>76</v>
      </c>
      <c r="O1311" s="10">
        <v>0.104</v>
      </c>
      <c r="P1311" s="10">
        <v>4.0899999999999999E-3</v>
      </c>
      <c r="Q1311" s="10">
        <v>5.76</v>
      </c>
      <c r="R1311" s="10" t="s">
        <v>77</v>
      </c>
      <c r="S1311" s="34">
        <f t="shared" si="147"/>
        <v>5.76</v>
      </c>
      <c r="T1311" s="10" t="s">
        <v>1103</v>
      </c>
      <c r="U1311" s="34">
        <f t="shared" si="148"/>
        <v>5.76</v>
      </c>
      <c r="V1311" s="31" t="str">
        <f>IF(H1311="CHK",VLOOKUP(I1311,QCCHK,3,),IF(H1311="GUP",VLOOKUP(E1311,QCGUP,2,),IF(AND(H1311="ATP",OR(I1311="TN",I1311="TDN",I1311="TNO2-3",I1311="NO2-3")),VLOOKUP(E1311,QCREC_N,2,),IF(AND(H1311="NIC",OR(I1311="TN",I1311="TDN",I1311="TNO2-3",I1311="NO2-3")),VLOOKUP(E1311,QCNIC_N,2,),IF(AND(H1311="UREA",OR(I1311="TN",I1311="TDN",I1311="TNO2-3",I1311="NO2-3")),VLOOKUP(E1311,QCUREA_N,2,),IF(H1311="PER",VLOOKUP(I1311,QCPER,MATCH(E1311,QCACTUAL!$J$25:$AA$25,0),),IF(H1311="SPK",VLOOKUP(I1311,QCSPK,3,),IF(AND(H1311="ATP",OR(I1311="TP",I1311="TDP")),VLOOKUP(E1311,QCATP_P,2,),""))))))))</f>
        <v/>
      </c>
      <c r="W1311" s="31" t="str">
        <f t="shared" si="149"/>
        <v>TRUE</v>
      </c>
      <c r="X1311" s="31" t="str">
        <f t="shared" si="146"/>
        <v>nominal concentration</v>
      </c>
      <c r="Y1311" s="10" t="s">
        <v>1096</v>
      </c>
      <c r="Z1311" s="10" t="s">
        <v>910</v>
      </c>
      <c r="AL1311" s="10" t="str">
        <f t="shared" si="151"/>
        <v>FALSE</v>
      </c>
      <c r="AM1311" s="10" t="str">
        <f t="shared" si="151"/>
        <v>FALSE</v>
      </c>
      <c r="AN1311" s="10" t="str">
        <f t="shared" si="151"/>
        <v>FALSE</v>
      </c>
      <c r="AO1311" s="10" t="str">
        <f t="shared" si="152"/>
        <v>FALSE</v>
      </c>
      <c r="AP1311" s="10" t="str">
        <f t="shared" si="152"/>
        <v>FALSE</v>
      </c>
      <c r="AQ1311" s="10" t="b">
        <f>IF(AND(I1311="TP",S1311&lt;=150),VLOOKUP(AF1311,TPCalibEq150!$AZ$2:$BB$55,3,),IF(AND(I1311="TDP",S1311&lt;=150),VLOOKUP(AF1311,TPCalibEq150!$AZ$2:$BB$55,3,)))</f>
        <v>0</v>
      </c>
      <c r="AR1311" s="10" t="b">
        <f>IF(AND(I1311="TP",S1311&lt;=300),VLOOKUP(AF1311,TPCalibEq300!$AZ$2:$BB$55,3,),IF(AND(I1311="TDP",S1311&lt;=300),VLOOKUP(AF1311,TPCalibEq300!$AZ$2:$BB$55,3,)))</f>
        <v>0</v>
      </c>
      <c r="AS1311" s="10" t="b">
        <f>IF(AND(I1311="TP",S1311&lt;=500),VLOOKUP(AF1311,TPCalibEq500!$AZ$2:$BB$56,3,),IF(AND(I1311="TDP",S1311&lt;=500),VLOOKUP(AF1311,TPCalibEq500!$AZ$2:$BB$56,3,)))</f>
        <v>0</v>
      </c>
      <c r="AT1311" s="10" t="b">
        <f>IF(AND(I1311="TN",S1311&lt;=2800),VLOOKUP(AF1311,TNCalibEq2500!$AZ$2:$BB$56,3,),IF(AND(I1311="TDN",S1311&lt;=2800),VLOOKUP(AF1311,TNCalibEq2500!$AZ$2:$BB$56,3,)))</f>
        <v>0</v>
      </c>
      <c r="AU1311" s="10" t="b">
        <f>IF(I1311="TP",VLOOKUP(AF1311,TPCalibEqFull!$AZ$2:$BB$56,3),IF(I1311="TDP",VLOOKUP(AF1311,TPCalibEqFull!$AZ$2:$BB$56,3),IF(I1311="TDN",VLOOKUP(AF1311,TNCalibEqFull!$AZ$1:$BB$56,3),IF(I1311="TN",VLOOKUP(AF1311,TNCalibEqFull!$AZ$1:$BB$56,3),FALSE))))</f>
        <v>0</v>
      </c>
      <c r="AV1311" s="10" t="str">
        <f t="shared" si="150"/>
        <v>0130 06:00:00-QAC-BLK-FIL-1-DI-FLD</v>
      </c>
    </row>
    <row r="1312" spans="1:48" s="10" customFormat="1" x14ac:dyDescent="0.55000000000000004">
      <c r="A1312" s="32">
        <v>44956</v>
      </c>
      <c r="B1312" s="33">
        <v>0.22569444444444445</v>
      </c>
      <c r="C1312" s="10" t="s">
        <v>70</v>
      </c>
      <c r="D1312" s="10" t="s">
        <v>241</v>
      </c>
      <c r="E1312" s="10" t="s">
        <v>911</v>
      </c>
      <c r="F1312" s="10">
        <v>1</v>
      </c>
      <c r="G1312" s="10" t="s">
        <v>73</v>
      </c>
      <c r="H1312" s="10" t="s">
        <v>245</v>
      </c>
      <c r="I1312" s="10" t="s">
        <v>183</v>
      </c>
      <c r="J1312" s="10">
        <v>96</v>
      </c>
      <c r="K1312" s="12">
        <v>44958</v>
      </c>
      <c r="L1312" s="33">
        <v>0.50253472222222217</v>
      </c>
      <c r="M1312" s="10">
        <v>1</v>
      </c>
      <c r="N1312" s="10" t="s">
        <v>76</v>
      </c>
      <c r="O1312" s="10">
        <v>0.11</v>
      </c>
      <c r="P1312" s="10">
        <v>7.5599999999999999E-3</v>
      </c>
      <c r="Q1312" s="10">
        <v>6.07</v>
      </c>
      <c r="R1312" s="10" t="s">
        <v>77</v>
      </c>
      <c r="S1312" s="34">
        <f t="shared" si="147"/>
        <v>6.07</v>
      </c>
      <c r="T1312" s="10" t="s">
        <v>1103</v>
      </c>
      <c r="U1312" s="34">
        <f t="shared" si="148"/>
        <v>6.07</v>
      </c>
      <c r="V1312" s="31" t="str">
        <f>IF(H1312="CHK",VLOOKUP(I1312,QCCHK,3,),IF(H1312="GUP",VLOOKUP(E1312,QCGUP,2,),IF(AND(H1312="ATP",OR(I1312="TN",I1312="TDN",I1312="TNO2-3",I1312="NO2-3")),VLOOKUP(E1312,QCREC_N,2,),IF(AND(H1312="NIC",OR(I1312="TN",I1312="TDN",I1312="TNO2-3",I1312="NO2-3")),VLOOKUP(E1312,QCNIC_N,2,),IF(AND(H1312="UREA",OR(I1312="TN",I1312="TDN",I1312="TNO2-3",I1312="NO2-3")),VLOOKUP(E1312,QCUREA_N,2,),IF(H1312="PER",VLOOKUP(I1312,QCPER,MATCH(E1312,QCACTUAL!$J$25:$AA$25,0),),IF(H1312="SPK",VLOOKUP(I1312,QCSPK,3,),IF(AND(H1312="ATP",OR(I1312="TP",I1312="TDP")),VLOOKUP(E1312,QCATP_P,2,),""))))))))</f>
        <v/>
      </c>
      <c r="W1312" s="31" t="str">
        <f t="shared" si="149"/>
        <v>TRUE</v>
      </c>
      <c r="X1312" s="31" t="str">
        <f t="shared" si="146"/>
        <v>nominal concentration</v>
      </c>
      <c r="Y1312" s="10" t="s">
        <v>1096</v>
      </c>
      <c r="Z1312" s="10" t="s">
        <v>910</v>
      </c>
      <c r="AL1312" s="10" t="str">
        <f t="shared" si="151"/>
        <v>FALSE</v>
      </c>
      <c r="AM1312" s="10" t="str">
        <f t="shared" si="151"/>
        <v>FALSE</v>
      </c>
      <c r="AN1312" s="10" t="str">
        <f t="shared" si="151"/>
        <v>FALSE</v>
      </c>
      <c r="AO1312" s="10" t="str">
        <f t="shared" si="152"/>
        <v>FALSE</v>
      </c>
      <c r="AP1312" s="10" t="str">
        <f t="shared" si="152"/>
        <v>FALSE</v>
      </c>
      <c r="AQ1312" s="10" t="b">
        <f>IF(AND(I1312="TP",S1312&lt;=150),VLOOKUP(AF1312,TPCalibEq150!$AZ$2:$BB$55,3,),IF(AND(I1312="TDP",S1312&lt;=150),VLOOKUP(AF1312,TPCalibEq150!$AZ$2:$BB$55,3,)))</f>
        <v>0</v>
      </c>
      <c r="AR1312" s="10" t="b">
        <f>IF(AND(I1312="TP",S1312&lt;=300),VLOOKUP(AF1312,TPCalibEq300!$AZ$2:$BB$55,3,),IF(AND(I1312="TDP",S1312&lt;=300),VLOOKUP(AF1312,TPCalibEq300!$AZ$2:$BB$55,3,)))</f>
        <v>0</v>
      </c>
      <c r="AS1312" s="10" t="b">
        <f>IF(AND(I1312="TP",S1312&lt;=500),VLOOKUP(AF1312,TPCalibEq500!$AZ$2:$BB$56,3,),IF(AND(I1312="TDP",S1312&lt;=500),VLOOKUP(AF1312,TPCalibEq500!$AZ$2:$BB$56,3,)))</f>
        <v>0</v>
      </c>
      <c r="AT1312" s="10" t="b">
        <f>IF(AND(I1312="TN",S1312&lt;=2800),VLOOKUP(AF1312,TNCalibEq2500!$AZ$2:$BB$56,3,),IF(AND(I1312="TDN",S1312&lt;=2800),VLOOKUP(AF1312,TNCalibEq2500!$AZ$2:$BB$56,3,)))</f>
        <v>0</v>
      </c>
      <c r="AU1312" s="10" t="b">
        <f>IF(I1312="TP",VLOOKUP(AF1312,TPCalibEqFull!$AZ$2:$BB$56,3),IF(I1312="TDP",VLOOKUP(AF1312,TPCalibEqFull!$AZ$2:$BB$56,3),IF(I1312="TDN",VLOOKUP(AF1312,TNCalibEqFull!$AZ$1:$BB$56,3),IF(I1312="TN",VLOOKUP(AF1312,TNCalibEqFull!$AZ$1:$BB$56,3),FALSE))))</f>
        <v>0</v>
      </c>
      <c r="AV1312" s="10" t="str">
        <f t="shared" si="150"/>
        <v>0130 05:25:00-QAC-BLK-FIL-1-DI-ESF</v>
      </c>
    </row>
    <row r="1313" spans="1:48" s="10" customFormat="1" x14ac:dyDescent="0.55000000000000004">
      <c r="A1313" s="32">
        <v>44958</v>
      </c>
      <c r="B1313" s="33">
        <v>0.375</v>
      </c>
      <c r="C1313" s="10" t="s">
        <v>70</v>
      </c>
      <c r="D1313" s="10" t="s">
        <v>71</v>
      </c>
      <c r="E1313" s="10" t="s">
        <v>901</v>
      </c>
      <c r="F1313" s="10">
        <v>1</v>
      </c>
      <c r="G1313" s="10" t="s">
        <v>73</v>
      </c>
      <c r="H1313" s="10" t="s">
        <v>207</v>
      </c>
      <c r="I1313" s="10" t="s">
        <v>75</v>
      </c>
      <c r="J1313" s="10">
        <v>199</v>
      </c>
      <c r="K1313" s="12">
        <v>44958</v>
      </c>
      <c r="L1313" s="33">
        <v>0.50335648148148149</v>
      </c>
      <c r="M1313" s="10">
        <v>1</v>
      </c>
      <c r="N1313" s="10" t="s">
        <v>76</v>
      </c>
      <c r="O1313" s="10">
        <v>5.17</v>
      </c>
      <c r="P1313" s="10">
        <v>0.41199999999999998</v>
      </c>
      <c r="Q1313" s="10">
        <v>285</v>
      </c>
      <c r="R1313" s="10" t="s">
        <v>77</v>
      </c>
      <c r="S1313" s="34">
        <f t="shared" si="147"/>
        <v>285</v>
      </c>
      <c r="T1313" s="10" t="s">
        <v>1103</v>
      </c>
      <c r="U1313" s="34">
        <f t="shared" si="148"/>
        <v>95</v>
      </c>
      <c r="V1313" s="31">
        <f>IF(H1313="CHK",VLOOKUP(I1313,QCCHK,3,),IF(H1313="GUP",VLOOKUP(E1313,QCGUP,2,),IF(AND(H1313="ATP",OR(I1313="TN",I1313="TDN",I1313="TNO2-3",I1313="NO2-3")),VLOOKUP(E1313,QCREC_N,2,),IF(AND(H1313="NIC",OR(I1313="TN",I1313="TDN",I1313="TNO2-3",I1313="NO2-3")),VLOOKUP(E1313,QCNIC_N,2,),IF(AND(H1313="UREA",OR(I1313="TN",I1313="TDN",I1313="TNO2-3",I1313="NO2-3")),VLOOKUP(E1313,QCUREA_N,2,),IF(H1313="PER",VLOOKUP(I1313,QCPER,MATCH(E1313,QCACTUAL!$J$25:$AA$25,0),),IF(H1313="SPK",VLOOKUP(I1313,QCSPK,3,),IF(AND(H1313="ATP",OR(I1313="TP",I1313="TDP")),VLOOKUP(E1313,QCATP_P,2,),""))))))))</f>
        <v>300</v>
      </c>
      <c r="W1313" s="31" t="str">
        <f t="shared" si="149"/>
        <v>TRUE</v>
      </c>
      <c r="X1313" s="31" t="str">
        <f t="shared" si="146"/>
        <v>[chk]/[actual]*100</v>
      </c>
      <c r="Y1313" s="10" t="s">
        <v>1096</v>
      </c>
      <c r="AL1313" s="10" t="str">
        <f t="shared" si="151"/>
        <v>FALSE</v>
      </c>
      <c r="AM1313" s="10" t="str">
        <f t="shared" si="151"/>
        <v>FALSE</v>
      </c>
      <c r="AN1313" s="10" t="str">
        <f t="shared" si="151"/>
        <v>FALSE</v>
      </c>
      <c r="AO1313" s="10" t="str">
        <f t="shared" si="152"/>
        <v>FALSE</v>
      </c>
      <c r="AP1313" s="10" t="str">
        <f t="shared" si="152"/>
        <v>FALSE</v>
      </c>
      <c r="AQ1313" s="10" t="b">
        <f>IF(AND(I1313="TP",S1313&lt;=150),VLOOKUP(AF1313,TPCalibEq150!$AZ$2:$BB$55,3,),IF(AND(I1313="TDP",S1313&lt;=150),VLOOKUP(AF1313,TPCalibEq150!$AZ$2:$BB$55,3,)))</f>
        <v>0</v>
      </c>
      <c r="AR1313" s="10" t="b">
        <f>IF(AND(I1313="TP",S1313&lt;=300),VLOOKUP(AF1313,TPCalibEq300!$AZ$2:$BB$55,3,),IF(AND(I1313="TDP",S1313&lt;=300),VLOOKUP(AF1313,TPCalibEq300!$AZ$2:$BB$55,3,)))</f>
        <v>0</v>
      </c>
      <c r="AS1313" s="10" t="b">
        <f>IF(AND(I1313="TP",S1313&lt;=500),VLOOKUP(AF1313,TPCalibEq500!$AZ$2:$BB$56,3,),IF(AND(I1313="TDP",S1313&lt;=500),VLOOKUP(AF1313,TPCalibEq500!$AZ$2:$BB$56,3,)))</f>
        <v>0</v>
      </c>
      <c r="AT1313" s="10" t="b">
        <f>IF(AND(I1313="TN",S1313&lt;=2800),VLOOKUP(AF1313,TNCalibEq2500!$AZ$2:$BB$56,3,),IF(AND(I1313="TDN",S1313&lt;=2800),VLOOKUP(AF1313,TNCalibEq2500!$AZ$2:$BB$56,3,)))</f>
        <v>0</v>
      </c>
      <c r="AU1313" s="10" t="b">
        <f>IF(I1313="TP",VLOOKUP(AF1313,TPCalibEqFull!$AZ$2:$BB$56,3),IF(I1313="TDP",VLOOKUP(AF1313,TPCalibEqFull!$AZ$2:$BB$56,3),IF(I1313="TDN",VLOOKUP(AF1313,TNCalibEqFull!$AZ$1:$BB$56,3),IF(I1313="TN",VLOOKUP(AF1313,TNCalibEqFull!$AZ$1:$BB$56,3),FALSE))))</f>
        <v>0</v>
      </c>
      <c r="AV1313" s="10" t="str">
        <f t="shared" si="150"/>
        <v>0201 09:00:00-QAC-STD-D-1-DI-CHK</v>
      </c>
    </row>
    <row r="1314" spans="1:48" s="10" customFormat="1" x14ac:dyDescent="0.55000000000000004">
      <c r="A1314" s="32">
        <v>44949</v>
      </c>
      <c r="B1314" s="33">
        <v>0.33333333333333331</v>
      </c>
      <c r="C1314" s="10" t="s">
        <v>279</v>
      </c>
      <c r="D1314" s="10">
        <v>0</v>
      </c>
      <c r="E1314" s="10" t="s">
        <v>190</v>
      </c>
      <c r="F1314" s="10">
        <v>1</v>
      </c>
      <c r="G1314" s="10" t="s">
        <v>231</v>
      </c>
      <c r="H1314" s="10" t="s">
        <v>322</v>
      </c>
      <c r="I1314" s="10" t="s">
        <v>75</v>
      </c>
      <c r="J1314" s="10">
        <v>1</v>
      </c>
      <c r="K1314" s="12">
        <v>44958</v>
      </c>
      <c r="L1314" s="33">
        <v>0.5041782407407408</v>
      </c>
      <c r="M1314" s="10">
        <v>1</v>
      </c>
      <c r="N1314" s="10" t="s">
        <v>76</v>
      </c>
      <c r="O1314" s="10">
        <v>0.34899999999999998</v>
      </c>
      <c r="P1314" s="10">
        <v>3.0800000000000001E-2</v>
      </c>
      <c r="Q1314" s="10">
        <v>19.3</v>
      </c>
      <c r="R1314" s="10" t="s">
        <v>77</v>
      </c>
      <c r="S1314" s="34">
        <f t="shared" si="147"/>
        <v>19.3</v>
      </c>
      <c r="T1314" s="10" t="s">
        <v>1103</v>
      </c>
      <c r="U1314" s="34" t="str">
        <f t="shared" si="148"/>
        <v/>
      </c>
      <c r="V1314" s="31" t="str">
        <f>IF(H1314="CHK",VLOOKUP(I1314,QCCHK,3,),IF(H1314="GUP",VLOOKUP(E1314,QCGUP,2,),IF(AND(H1314="ATP",OR(I1314="TN",I1314="TDN",I1314="TNO2-3",I1314="NO2-3")),VLOOKUP(E1314,QCREC_N,2,),IF(AND(H1314="NIC",OR(I1314="TN",I1314="TDN",I1314="TNO2-3",I1314="NO2-3")),VLOOKUP(E1314,QCNIC_N,2,),IF(AND(H1314="UREA",OR(I1314="TN",I1314="TDN",I1314="TNO2-3",I1314="NO2-3")),VLOOKUP(E1314,QCUREA_N,2,),IF(H1314="PER",VLOOKUP(I1314,QCPER,MATCH(E1314,QCACTUAL!$J$25:$AA$25,0),),IF(H1314="SPK",VLOOKUP(I1314,QCSPK,3,),IF(AND(H1314="ATP",OR(I1314="TP",I1314="TDP")),VLOOKUP(E1314,QCATP_P,2,),""))))))))</f>
        <v/>
      </c>
      <c r="W1314" s="31" t="str">
        <f t="shared" si="149"/>
        <v>TRUE</v>
      </c>
      <c r="X1314" s="31" t="str">
        <f t="shared" si="146"/>
        <v/>
      </c>
      <c r="Y1314" s="10" t="s">
        <v>1096</v>
      </c>
      <c r="Z1314" s="10" t="s">
        <v>910</v>
      </c>
      <c r="AL1314" s="10" t="str">
        <f t="shared" si="151"/>
        <v>FALSE</v>
      </c>
      <c r="AM1314" s="10" t="str">
        <f t="shared" si="151"/>
        <v>FALSE</v>
      </c>
      <c r="AN1314" s="10" t="str">
        <f t="shared" si="151"/>
        <v>FALSE</v>
      </c>
      <c r="AO1314" s="10" t="str">
        <f t="shared" si="152"/>
        <v>FALSE</v>
      </c>
      <c r="AP1314" s="10" t="str">
        <f t="shared" si="152"/>
        <v>FALSE</v>
      </c>
      <c r="AQ1314" s="10" t="b">
        <f>IF(AND(I1314="TP",S1314&lt;=150),VLOOKUP(AF1314,TPCalibEq150!$AZ$2:$BB$55,3,),IF(AND(I1314="TDP",S1314&lt;=150),VLOOKUP(AF1314,TPCalibEq150!$AZ$2:$BB$55,3,)))</f>
        <v>0</v>
      </c>
      <c r="AR1314" s="10" t="b">
        <f>IF(AND(I1314="TP",S1314&lt;=300),VLOOKUP(AF1314,TPCalibEq300!$AZ$2:$BB$55,3,),IF(AND(I1314="TDP",S1314&lt;=300),VLOOKUP(AF1314,TPCalibEq300!$AZ$2:$BB$55,3,)))</f>
        <v>0</v>
      </c>
      <c r="AS1314" s="10" t="b">
        <f>IF(AND(I1314="TP",S1314&lt;=500),VLOOKUP(AF1314,TPCalibEq500!$AZ$2:$BB$56,3,),IF(AND(I1314="TDP",S1314&lt;=500),VLOOKUP(AF1314,TPCalibEq500!$AZ$2:$BB$56,3,)))</f>
        <v>0</v>
      </c>
      <c r="AT1314" s="10" t="b">
        <f>IF(AND(I1314="TN",S1314&lt;=2800),VLOOKUP(AF1314,TNCalibEq2500!$AZ$2:$BB$56,3,),IF(AND(I1314="TDN",S1314&lt;=2800),VLOOKUP(AF1314,TNCalibEq2500!$AZ$2:$BB$56,3,)))</f>
        <v>0</v>
      </c>
      <c r="AU1314" s="10" t="b">
        <f>IF(I1314="TP",VLOOKUP(AF1314,TPCalibEqFull!$AZ$2:$BB$56,3),IF(I1314="TDP",VLOOKUP(AF1314,TPCalibEqFull!$AZ$2:$BB$56,3),IF(I1314="TDN",VLOOKUP(AF1314,TNCalibEqFull!$AZ$1:$BB$56,3),IF(I1314="TN",VLOOKUP(AF1314,TNCalibEqFull!$AZ$1:$BB$56,3),FALSE))))</f>
        <v>0</v>
      </c>
      <c r="AV1314" s="10" t="str">
        <f t="shared" si="150"/>
        <v>0123 08:00:00-EFK-0-C-1-SW-UKN</v>
      </c>
    </row>
    <row r="1315" spans="1:48" s="10" customFormat="1" x14ac:dyDescent="0.55000000000000004">
      <c r="A1315" s="32">
        <v>44949</v>
      </c>
      <c r="B1315" s="33">
        <v>0.32083333333333336</v>
      </c>
      <c r="C1315" s="10" t="s">
        <v>333</v>
      </c>
      <c r="D1315" s="10">
        <v>0</v>
      </c>
      <c r="E1315" s="10" t="s">
        <v>190</v>
      </c>
      <c r="F1315" s="10">
        <v>1</v>
      </c>
      <c r="G1315" s="10" t="s">
        <v>231</v>
      </c>
      <c r="H1315" s="10" t="s">
        <v>322</v>
      </c>
      <c r="I1315" s="10" t="s">
        <v>75</v>
      </c>
      <c r="J1315" s="10">
        <v>2</v>
      </c>
      <c r="K1315" s="12">
        <v>44958</v>
      </c>
      <c r="L1315" s="33">
        <v>0.505</v>
      </c>
      <c r="M1315" s="10">
        <v>1</v>
      </c>
      <c r="N1315" s="10" t="s">
        <v>76</v>
      </c>
      <c r="O1315" s="10">
        <v>5.45E-2</v>
      </c>
      <c r="P1315" s="10">
        <v>4.7200000000000002E-3</v>
      </c>
      <c r="Q1315" s="10">
        <v>3.01</v>
      </c>
      <c r="R1315" s="10" t="s">
        <v>77</v>
      </c>
      <c r="S1315" s="34">
        <f t="shared" si="147"/>
        <v>3.01</v>
      </c>
      <c r="T1315" s="10" t="s">
        <v>1103</v>
      </c>
      <c r="U1315" s="34" t="str">
        <f t="shared" si="148"/>
        <v/>
      </c>
      <c r="V1315" s="31" t="str">
        <f>IF(H1315="CHK",VLOOKUP(I1315,QCCHK,3,),IF(H1315="GUP",VLOOKUP(E1315,QCGUP,2,),IF(AND(H1315="ATP",OR(I1315="TN",I1315="TDN",I1315="TNO2-3",I1315="NO2-3")),VLOOKUP(E1315,QCREC_N,2,),IF(AND(H1315="NIC",OR(I1315="TN",I1315="TDN",I1315="TNO2-3",I1315="NO2-3")),VLOOKUP(E1315,QCNIC_N,2,),IF(AND(H1315="UREA",OR(I1315="TN",I1315="TDN",I1315="TNO2-3",I1315="NO2-3")),VLOOKUP(E1315,QCUREA_N,2,),IF(H1315="PER",VLOOKUP(I1315,QCPER,MATCH(E1315,QCACTUAL!$J$25:$AA$25,0),),IF(H1315="SPK",VLOOKUP(I1315,QCSPK,3,),IF(AND(H1315="ATP",OR(I1315="TP",I1315="TDP")),VLOOKUP(E1315,QCATP_P,2,),""))))))))</f>
        <v/>
      </c>
      <c r="W1315" s="31" t="str">
        <f t="shared" si="149"/>
        <v>TRUE</v>
      </c>
      <c r="X1315" s="31" t="str">
        <f t="shared" si="146"/>
        <v/>
      </c>
      <c r="Y1315" s="10" t="s">
        <v>1096</v>
      </c>
      <c r="Z1315" s="10" t="s">
        <v>910</v>
      </c>
      <c r="AL1315" s="10" t="str">
        <f t="shared" si="151"/>
        <v>FALSE</v>
      </c>
      <c r="AM1315" s="10" t="str">
        <f t="shared" si="151"/>
        <v>FALSE</v>
      </c>
      <c r="AN1315" s="10" t="str">
        <f t="shared" si="151"/>
        <v>FALSE</v>
      </c>
      <c r="AO1315" s="10" t="str">
        <f t="shared" si="152"/>
        <v>FALSE</v>
      </c>
      <c r="AP1315" s="10" t="str">
        <f t="shared" si="152"/>
        <v>FALSE</v>
      </c>
      <c r="AQ1315" s="10" t="b">
        <f>IF(AND(I1315="TP",S1315&lt;=150),VLOOKUP(AF1315,TPCalibEq150!$AZ$2:$BB$55,3,),IF(AND(I1315="TDP",S1315&lt;=150),VLOOKUP(AF1315,TPCalibEq150!$AZ$2:$BB$55,3,)))</f>
        <v>0</v>
      </c>
      <c r="AR1315" s="10" t="b">
        <f>IF(AND(I1315="TP",S1315&lt;=300),VLOOKUP(AF1315,TPCalibEq300!$AZ$2:$BB$55,3,),IF(AND(I1315="TDP",S1315&lt;=300),VLOOKUP(AF1315,TPCalibEq300!$AZ$2:$BB$55,3,)))</f>
        <v>0</v>
      </c>
      <c r="AS1315" s="10" t="b">
        <f>IF(AND(I1315="TP",S1315&lt;=500),VLOOKUP(AF1315,TPCalibEq500!$AZ$2:$BB$56,3,),IF(AND(I1315="TDP",S1315&lt;=500),VLOOKUP(AF1315,TPCalibEq500!$AZ$2:$BB$56,3,)))</f>
        <v>0</v>
      </c>
      <c r="AT1315" s="10" t="b">
        <f>IF(AND(I1315="TN",S1315&lt;=2800),VLOOKUP(AF1315,TNCalibEq2500!$AZ$2:$BB$56,3,),IF(AND(I1315="TDN",S1315&lt;=2800),VLOOKUP(AF1315,TNCalibEq2500!$AZ$2:$BB$56,3,)))</f>
        <v>0</v>
      </c>
      <c r="AU1315" s="10" t="b">
        <f>IF(I1315="TP",VLOOKUP(AF1315,TPCalibEqFull!$AZ$2:$BB$56,3),IF(I1315="TDP",VLOOKUP(AF1315,TPCalibEqFull!$AZ$2:$BB$56,3),IF(I1315="TDN",VLOOKUP(AF1315,TNCalibEqFull!$AZ$1:$BB$56,3),IF(I1315="TN",VLOOKUP(AF1315,TNCalibEqFull!$AZ$1:$BB$56,3),FALSE))))</f>
        <v>0</v>
      </c>
      <c r="AV1315" s="10" t="str">
        <f t="shared" si="150"/>
        <v>0123 07:42:00-HST-0-C-1-SW-UKN</v>
      </c>
    </row>
    <row r="1316" spans="1:48" s="10" customFormat="1" x14ac:dyDescent="0.55000000000000004">
      <c r="A1316" s="32">
        <v>44950</v>
      </c>
      <c r="B1316" s="33">
        <v>0.5708333333333333</v>
      </c>
      <c r="C1316" s="10" t="s">
        <v>279</v>
      </c>
      <c r="D1316" s="10">
        <v>0</v>
      </c>
      <c r="E1316" s="10" t="s">
        <v>190</v>
      </c>
      <c r="F1316" s="10">
        <v>1</v>
      </c>
      <c r="G1316" s="10" t="s">
        <v>231</v>
      </c>
      <c r="H1316" s="10" t="s">
        <v>322</v>
      </c>
      <c r="I1316" s="10" t="s">
        <v>75</v>
      </c>
      <c r="J1316" s="10">
        <v>3</v>
      </c>
      <c r="K1316" s="12">
        <v>44958</v>
      </c>
      <c r="L1316" s="33">
        <v>0.50583333333333336</v>
      </c>
      <c r="M1316" s="10">
        <v>1</v>
      </c>
      <c r="N1316" s="10" t="s">
        <v>76</v>
      </c>
      <c r="O1316" s="10">
        <v>0.437</v>
      </c>
      <c r="P1316" s="10">
        <v>2.98E-2</v>
      </c>
      <c r="Q1316" s="10">
        <v>24.1</v>
      </c>
      <c r="R1316" s="10" t="s">
        <v>77</v>
      </c>
      <c r="S1316" s="34">
        <f t="shared" si="147"/>
        <v>24.1</v>
      </c>
      <c r="T1316" s="10" t="s">
        <v>1103</v>
      </c>
      <c r="U1316" s="34" t="str">
        <f t="shared" si="148"/>
        <v/>
      </c>
      <c r="V1316" s="31" t="str">
        <f>IF(H1316="CHK",VLOOKUP(I1316,QCCHK,3,),IF(H1316="GUP",VLOOKUP(E1316,QCGUP,2,),IF(AND(H1316="ATP",OR(I1316="TN",I1316="TDN",I1316="TNO2-3",I1316="NO2-3")),VLOOKUP(E1316,QCREC_N,2,),IF(AND(H1316="NIC",OR(I1316="TN",I1316="TDN",I1316="TNO2-3",I1316="NO2-3")),VLOOKUP(E1316,QCNIC_N,2,),IF(AND(H1316="UREA",OR(I1316="TN",I1316="TDN",I1316="TNO2-3",I1316="NO2-3")),VLOOKUP(E1316,QCUREA_N,2,),IF(H1316="PER",VLOOKUP(I1316,QCPER,MATCH(E1316,QCACTUAL!$J$25:$AA$25,0),),IF(H1316="SPK",VLOOKUP(I1316,QCSPK,3,),IF(AND(H1316="ATP",OR(I1316="TP",I1316="TDP")),VLOOKUP(E1316,QCATP_P,2,),""))))))))</f>
        <v/>
      </c>
      <c r="W1316" s="31" t="str">
        <f t="shared" si="149"/>
        <v>TRUE</v>
      </c>
      <c r="X1316" s="31" t="str">
        <f t="shared" si="146"/>
        <v/>
      </c>
      <c r="Y1316" s="10" t="s">
        <v>1096</v>
      </c>
      <c r="Z1316" s="10" t="s">
        <v>910</v>
      </c>
      <c r="AL1316" s="10" t="str">
        <f t="shared" si="151"/>
        <v>FALSE</v>
      </c>
      <c r="AM1316" s="10" t="str">
        <f t="shared" si="151"/>
        <v>FALSE</v>
      </c>
      <c r="AN1316" s="10" t="str">
        <f t="shared" si="151"/>
        <v>FALSE</v>
      </c>
      <c r="AO1316" s="10" t="str">
        <f t="shared" si="152"/>
        <v>FALSE</v>
      </c>
      <c r="AP1316" s="10" t="str">
        <f t="shared" si="152"/>
        <v>FALSE</v>
      </c>
      <c r="AQ1316" s="10" t="b">
        <f>IF(AND(I1316="TP",S1316&lt;=150),VLOOKUP(AF1316,TPCalibEq150!$AZ$2:$BB$55,3,),IF(AND(I1316="TDP",S1316&lt;=150),VLOOKUP(AF1316,TPCalibEq150!$AZ$2:$BB$55,3,)))</f>
        <v>0</v>
      </c>
      <c r="AR1316" s="10" t="b">
        <f>IF(AND(I1316="TP",S1316&lt;=300),VLOOKUP(AF1316,TPCalibEq300!$AZ$2:$BB$55,3,),IF(AND(I1316="TDP",S1316&lt;=300),VLOOKUP(AF1316,TPCalibEq300!$AZ$2:$BB$55,3,)))</f>
        <v>0</v>
      </c>
      <c r="AS1316" s="10" t="b">
        <f>IF(AND(I1316="TP",S1316&lt;=500),VLOOKUP(AF1316,TPCalibEq500!$AZ$2:$BB$56,3,),IF(AND(I1316="TDP",S1316&lt;=500),VLOOKUP(AF1316,TPCalibEq500!$AZ$2:$BB$56,3,)))</f>
        <v>0</v>
      </c>
      <c r="AT1316" s="10" t="b">
        <f>IF(AND(I1316="TN",S1316&lt;=2800),VLOOKUP(AF1316,TNCalibEq2500!$AZ$2:$BB$56,3,),IF(AND(I1316="TDN",S1316&lt;=2800),VLOOKUP(AF1316,TNCalibEq2500!$AZ$2:$BB$56,3,)))</f>
        <v>0</v>
      </c>
      <c r="AU1316" s="10" t="b">
        <f>IF(I1316="TP",VLOOKUP(AF1316,TPCalibEqFull!$AZ$2:$BB$56,3),IF(I1316="TDP",VLOOKUP(AF1316,TPCalibEqFull!$AZ$2:$BB$56,3),IF(I1316="TDN",VLOOKUP(AF1316,TNCalibEqFull!$AZ$1:$BB$56,3),IF(I1316="TN",VLOOKUP(AF1316,TNCalibEqFull!$AZ$1:$BB$56,3),FALSE))))</f>
        <v>0</v>
      </c>
      <c r="AV1316" s="10" t="str">
        <f t="shared" si="150"/>
        <v>0124 13:42:00-EFK-0-C-1-SW-UKN</v>
      </c>
    </row>
    <row r="1317" spans="1:48" s="10" customFormat="1" x14ac:dyDescent="0.55000000000000004">
      <c r="A1317" s="32">
        <v>44950</v>
      </c>
      <c r="B1317" s="33">
        <v>0.60555555555555551</v>
      </c>
      <c r="C1317" s="10" t="s">
        <v>333</v>
      </c>
      <c r="D1317" s="10">
        <v>0</v>
      </c>
      <c r="E1317" s="10" t="s">
        <v>190</v>
      </c>
      <c r="F1317" s="10">
        <v>1</v>
      </c>
      <c r="G1317" s="10" t="s">
        <v>231</v>
      </c>
      <c r="H1317" s="10" t="s">
        <v>322</v>
      </c>
      <c r="I1317" s="10" t="s">
        <v>75</v>
      </c>
      <c r="J1317" s="10">
        <v>4</v>
      </c>
      <c r="K1317" s="12">
        <v>44958</v>
      </c>
      <c r="L1317" s="33">
        <v>0.50664351851851852</v>
      </c>
      <c r="M1317" s="10">
        <v>1</v>
      </c>
      <c r="N1317" s="10" t="s">
        <v>76</v>
      </c>
      <c r="O1317" s="10">
        <v>0.187</v>
      </c>
      <c r="P1317" s="10">
        <v>1.6299999999999999E-2</v>
      </c>
      <c r="Q1317" s="10">
        <v>10.3</v>
      </c>
      <c r="R1317" s="10" t="s">
        <v>77</v>
      </c>
      <c r="S1317" s="34">
        <f t="shared" si="147"/>
        <v>10.3</v>
      </c>
      <c r="T1317" s="10" t="s">
        <v>1103</v>
      </c>
      <c r="U1317" s="34" t="str">
        <f t="shared" si="148"/>
        <v/>
      </c>
      <c r="V1317" s="31" t="str">
        <f>IF(H1317="CHK",VLOOKUP(I1317,QCCHK,3,),IF(H1317="GUP",VLOOKUP(E1317,QCGUP,2,),IF(AND(H1317="ATP",OR(I1317="TN",I1317="TDN",I1317="TNO2-3",I1317="NO2-3")),VLOOKUP(E1317,QCREC_N,2,),IF(AND(H1317="NIC",OR(I1317="TN",I1317="TDN",I1317="TNO2-3",I1317="NO2-3")),VLOOKUP(E1317,QCNIC_N,2,),IF(AND(H1317="UREA",OR(I1317="TN",I1317="TDN",I1317="TNO2-3",I1317="NO2-3")),VLOOKUP(E1317,QCUREA_N,2,),IF(H1317="PER",VLOOKUP(I1317,QCPER,MATCH(E1317,QCACTUAL!$J$25:$AA$25,0),),IF(H1317="SPK",VLOOKUP(I1317,QCSPK,3,),IF(AND(H1317="ATP",OR(I1317="TP",I1317="TDP")),VLOOKUP(E1317,QCATP_P,2,),""))))))))</f>
        <v/>
      </c>
      <c r="W1317" s="31" t="str">
        <f t="shared" si="149"/>
        <v>TRUE</v>
      </c>
      <c r="X1317" s="31" t="str">
        <f t="shared" si="146"/>
        <v/>
      </c>
      <c r="Y1317" s="10" t="s">
        <v>1096</v>
      </c>
      <c r="Z1317" s="10" t="s">
        <v>910</v>
      </c>
      <c r="AL1317" s="10" t="str">
        <f t="shared" si="151"/>
        <v>FALSE</v>
      </c>
      <c r="AM1317" s="10" t="str">
        <f t="shared" si="151"/>
        <v>FALSE</v>
      </c>
      <c r="AN1317" s="10" t="str">
        <f t="shared" si="151"/>
        <v>FALSE</v>
      </c>
      <c r="AO1317" s="10" t="str">
        <f t="shared" si="152"/>
        <v>FALSE</v>
      </c>
      <c r="AP1317" s="10" t="str">
        <f t="shared" si="152"/>
        <v>FALSE</v>
      </c>
      <c r="AQ1317" s="10" t="b">
        <f>IF(AND(I1317="TP",S1317&lt;=150),VLOOKUP(AF1317,TPCalibEq150!$AZ$2:$BB$55,3,),IF(AND(I1317="TDP",S1317&lt;=150),VLOOKUP(AF1317,TPCalibEq150!$AZ$2:$BB$55,3,)))</f>
        <v>0</v>
      </c>
      <c r="AR1317" s="10" t="b">
        <f>IF(AND(I1317="TP",S1317&lt;=300),VLOOKUP(AF1317,TPCalibEq300!$AZ$2:$BB$55,3,),IF(AND(I1317="TDP",S1317&lt;=300),VLOOKUP(AF1317,TPCalibEq300!$AZ$2:$BB$55,3,)))</f>
        <v>0</v>
      </c>
      <c r="AS1317" s="10" t="b">
        <f>IF(AND(I1317="TP",S1317&lt;=500),VLOOKUP(AF1317,TPCalibEq500!$AZ$2:$BB$56,3,),IF(AND(I1317="TDP",S1317&lt;=500),VLOOKUP(AF1317,TPCalibEq500!$AZ$2:$BB$56,3,)))</f>
        <v>0</v>
      </c>
      <c r="AT1317" s="10" t="b">
        <f>IF(AND(I1317="TN",S1317&lt;=2800),VLOOKUP(AF1317,TNCalibEq2500!$AZ$2:$BB$56,3,),IF(AND(I1317="TDN",S1317&lt;=2800),VLOOKUP(AF1317,TNCalibEq2500!$AZ$2:$BB$56,3,)))</f>
        <v>0</v>
      </c>
      <c r="AU1317" s="10" t="b">
        <f>IF(I1317="TP",VLOOKUP(AF1317,TPCalibEqFull!$AZ$2:$BB$56,3),IF(I1317="TDP",VLOOKUP(AF1317,TPCalibEqFull!$AZ$2:$BB$56,3),IF(I1317="TDN",VLOOKUP(AF1317,TNCalibEqFull!$AZ$1:$BB$56,3),IF(I1317="TN",VLOOKUP(AF1317,TNCalibEqFull!$AZ$1:$BB$56,3),FALSE))))</f>
        <v>0</v>
      </c>
      <c r="AV1317" s="10" t="str">
        <f t="shared" si="150"/>
        <v>0124 14:32:00-HST-0-C-1-SW-UKN</v>
      </c>
    </row>
    <row r="1318" spans="1:48" s="10" customFormat="1" x14ac:dyDescent="0.55000000000000004">
      <c r="A1318" s="32">
        <v>44951</v>
      </c>
      <c r="B1318" s="33">
        <v>0.23541666666666669</v>
      </c>
      <c r="C1318" s="10" t="s">
        <v>279</v>
      </c>
      <c r="D1318" s="10">
        <v>0</v>
      </c>
      <c r="E1318" s="10" t="s">
        <v>190</v>
      </c>
      <c r="F1318" s="10">
        <v>1</v>
      </c>
      <c r="G1318" s="10" t="s">
        <v>231</v>
      </c>
      <c r="H1318" s="10" t="s">
        <v>322</v>
      </c>
      <c r="I1318" s="10" t="s">
        <v>75</v>
      </c>
      <c r="J1318" s="10">
        <v>5</v>
      </c>
      <c r="K1318" s="12">
        <v>44958</v>
      </c>
      <c r="L1318" s="33">
        <v>0.50746527777777783</v>
      </c>
      <c r="M1318" s="10">
        <v>1</v>
      </c>
      <c r="N1318" s="10" t="s">
        <v>76</v>
      </c>
      <c r="O1318" s="10">
        <v>0.45300000000000001</v>
      </c>
      <c r="P1318" s="10">
        <v>3.2500000000000001E-2</v>
      </c>
      <c r="Q1318" s="10">
        <v>25</v>
      </c>
      <c r="R1318" s="10" t="s">
        <v>77</v>
      </c>
      <c r="S1318" s="34">
        <f t="shared" si="147"/>
        <v>25</v>
      </c>
      <c r="T1318" s="10" t="s">
        <v>1103</v>
      </c>
      <c r="U1318" s="34" t="str">
        <f t="shared" si="148"/>
        <v/>
      </c>
      <c r="V1318" s="31" t="str">
        <f>IF(H1318="CHK",VLOOKUP(I1318,QCCHK,3,),IF(H1318="GUP",VLOOKUP(E1318,QCGUP,2,),IF(AND(H1318="ATP",OR(I1318="TN",I1318="TDN",I1318="TNO2-3",I1318="NO2-3")),VLOOKUP(E1318,QCREC_N,2,),IF(AND(H1318="NIC",OR(I1318="TN",I1318="TDN",I1318="TNO2-3",I1318="NO2-3")),VLOOKUP(E1318,QCNIC_N,2,),IF(AND(H1318="UREA",OR(I1318="TN",I1318="TDN",I1318="TNO2-3",I1318="NO2-3")),VLOOKUP(E1318,QCUREA_N,2,),IF(H1318="PER",VLOOKUP(I1318,QCPER,MATCH(E1318,QCACTUAL!$J$25:$AA$25,0),),IF(H1318="SPK",VLOOKUP(I1318,QCSPK,3,),IF(AND(H1318="ATP",OR(I1318="TP",I1318="TDP")),VLOOKUP(E1318,QCATP_P,2,),""))))))))</f>
        <v/>
      </c>
      <c r="W1318" s="31" t="str">
        <f t="shared" si="149"/>
        <v>TRUE</v>
      </c>
      <c r="X1318" s="31" t="str">
        <f t="shared" si="146"/>
        <v/>
      </c>
      <c r="Y1318" s="10" t="s">
        <v>1096</v>
      </c>
      <c r="Z1318" s="10" t="s">
        <v>910</v>
      </c>
      <c r="AL1318" s="10" t="str">
        <f t="shared" si="151"/>
        <v>FALSE</v>
      </c>
      <c r="AM1318" s="10" t="str">
        <f t="shared" si="151"/>
        <v>FALSE</v>
      </c>
      <c r="AN1318" s="10" t="str">
        <f t="shared" si="151"/>
        <v>FALSE</v>
      </c>
      <c r="AO1318" s="10" t="str">
        <f t="shared" si="152"/>
        <v>FALSE</v>
      </c>
      <c r="AP1318" s="10" t="str">
        <f t="shared" si="152"/>
        <v>FALSE</v>
      </c>
      <c r="AQ1318" s="10" t="b">
        <f>IF(AND(I1318="TP",S1318&lt;=150),VLOOKUP(AF1318,TPCalibEq150!$AZ$2:$BB$55,3,),IF(AND(I1318="TDP",S1318&lt;=150),VLOOKUP(AF1318,TPCalibEq150!$AZ$2:$BB$55,3,)))</f>
        <v>0</v>
      </c>
      <c r="AR1318" s="10" t="b">
        <f>IF(AND(I1318="TP",S1318&lt;=300),VLOOKUP(AF1318,TPCalibEq300!$AZ$2:$BB$55,3,),IF(AND(I1318="TDP",S1318&lt;=300),VLOOKUP(AF1318,TPCalibEq300!$AZ$2:$BB$55,3,)))</f>
        <v>0</v>
      </c>
      <c r="AS1318" s="10" t="b">
        <f>IF(AND(I1318="TP",S1318&lt;=500),VLOOKUP(AF1318,TPCalibEq500!$AZ$2:$BB$56,3,),IF(AND(I1318="TDP",S1318&lt;=500),VLOOKUP(AF1318,TPCalibEq500!$AZ$2:$BB$56,3,)))</f>
        <v>0</v>
      </c>
      <c r="AT1318" s="10" t="b">
        <f>IF(AND(I1318="TN",S1318&lt;=2800),VLOOKUP(AF1318,TNCalibEq2500!$AZ$2:$BB$56,3,),IF(AND(I1318="TDN",S1318&lt;=2800),VLOOKUP(AF1318,TNCalibEq2500!$AZ$2:$BB$56,3,)))</f>
        <v>0</v>
      </c>
      <c r="AU1318" s="10" t="b">
        <f>IF(I1318="TP",VLOOKUP(AF1318,TPCalibEqFull!$AZ$2:$BB$56,3),IF(I1318="TDP",VLOOKUP(AF1318,TPCalibEqFull!$AZ$2:$BB$56,3),IF(I1318="TDN",VLOOKUP(AF1318,TNCalibEqFull!$AZ$1:$BB$56,3),IF(I1318="TN",VLOOKUP(AF1318,TNCalibEqFull!$AZ$1:$BB$56,3),FALSE))))</f>
        <v>0</v>
      </c>
      <c r="AV1318" s="10" t="str">
        <f t="shared" si="150"/>
        <v>0125 05:39:00-EFK-0-C-1-SW-UKN</v>
      </c>
    </row>
    <row r="1319" spans="1:48" s="10" customFormat="1" x14ac:dyDescent="0.55000000000000004">
      <c r="A1319" s="32">
        <v>44951</v>
      </c>
      <c r="B1319" s="33">
        <v>0.23750000000000002</v>
      </c>
      <c r="C1319" s="10" t="s">
        <v>333</v>
      </c>
      <c r="D1319" s="10">
        <v>0</v>
      </c>
      <c r="E1319" s="10" t="s">
        <v>190</v>
      </c>
      <c r="F1319" s="10">
        <v>1</v>
      </c>
      <c r="G1319" s="10" t="s">
        <v>231</v>
      </c>
      <c r="H1319" s="10" t="s">
        <v>322</v>
      </c>
      <c r="I1319" s="10" t="s">
        <v>75</v>
      </c>
      <c r="J1319" s="10">
        <v>6</v>
      </c>
      <c r="K1319" s="12">
        <v>44958</v>
      </c>
      <c r="L1319" s="33">
        <v>0.50828703703703704</v>
      </c>
      <c r="M1319" s="10">
        <v>1</v>
      </c>
      <c r="N1319" s="10" t="s">
        <v>76</v>
      </c>
      <c r="O1319" s="10">
        <v>0.58299999999999996</v>
      </c>
      <c r="P1319" s="10">
        <v>4.1599999999999998E-2</v>
      </c>
      <c r="Q1319" s="10">
        <v>32.200000000000003</v>
      </c>
      <c r="R1319" s="10" t="s">
        <v>77</v>
      </c>
      <c r="S1319" s="34">
        <f t="shared" si="147"/>
        <v>32.200000000000003</v>
      </c>
      <c r="T1319" s="10" t="s">
        <v>1103</v>
      </c>
      <c r="U1319" s="34" t="str">
        <f t="shared" si="148"/>
        <v/>
      </c>
      <c r="V1319" s="31" t="str">
        <f>IF(H1319="CHK",VLOOKUP(I1319,QCCHK,3,),IF(H1319="GUP",VLOOKUP(E1319,QCGUP,2,),IF(AND(H1319="ATP",OR(I1319="TN",I1319="TDN",I1319="TNO2-3",I1319="NO2-3")),VLOOKUP(E1319,QCREC_N,2,),IF(AND(H1319="NIC",OR(I1319="TN",I1319="TDN",I1319="TNO2-3",I1319="NO2-3")),VLOOKUP(E1319,QCNIC_N,2,),IF(AND(H1319="UREA",OR(I1319="TN",I1319="TDN",I1319="TNO2-3",I1319="NO2-3")),VLOOKUP(E1319,QCUREA_N,2,),IF(H1319="PER",VLOOKUP(I1319,QCPER,MATCH(E1319,QCACTUAL!$J$25:$AA$25,0),),IF(H1319="SPK",VLOOKUP(I1319,QCSPK,3,),IF(AND(H1319="ATP",OR(I1319="TP",I1319="TDP")),VLOOKUP(E1319,QCATP_P,2,),""))))))))</f>
        <v/>
      </c>
      <c r="W1319" s="31" t="str">
        <f t="shared" si="149"/>
        <v>TRUE</v>
      </c>
      <c r="X1319" s="31" t="str">
        <f t="shared" si="146"/>
        <v/>
      </c>
      <c r="Y1319" s="10" t="s">
        <v>1096</v>
      </c>
      <c r="Z1319" s="10" t="s">
        <v>910</v>
      </c>
      <c r="AL1319" s="10" t="str">
        <f t="shared" si="151"/>
        <v>FALSE</v>
      </c>
      <c r="AM1319" s="10" t="str">
        <f t="shared" si="151"/>
        <v>FALSE</v>
      </c>
      <c r="AN1319" s="10" t="str">
        <f t="shared" si="151"/>
        <v>FALSE</v>
      </c>
      <c r="AO1319" s="10" t="str">
        <f t="shared" si="152"/>
        <v>FALSE</v>
      </c>
      <c r="AP1319" s="10" t="str">
        <f t="shared" si="152"/>
        <v>FALSE</v>
      </c>
      <c r="AQ1319" s="10" t="b">
        <f>IF(AND(I1319="TP",S1319&lt;=150),VLOOKUP(AF1319,TPCalibEq150!$AZ$2:$BB$55,3,),IF(AND(I1319="TDP",S1319&lt;=150),VLOOKUP(AF1319,TPCalibEq150!$AZ$2:$BB$55,3,)))</f>
        <v>0</v>
      </c>
      <c r="AR1319" s="10" t="b">
        <f>IF(AND(I1319="TP",S1319&lt;=300),VLOOKUP(AF1319,TPCalibEq300!$AZ$2:$BB$55,3,),IF(AND(I1319="TDP",S1319&lt;=300),VLOOKUP(AF1319,TPCalibEq300!$AZ$2:$BB$55,3,)))</f>
        <v>0</v>
      </c>
      <c r="AS1319" s="10" t="b">
        <f>IF(AND(I1319="TP",S1319&lt;=500),VLOOKUP(AF1319,TPCalibEq500!$AZ$2:$BB$56,3,),IF(AND(I1319="TDP",S1319&lt;=500),VLOOKUP(AF1319,TPCalibEq500!$AZ$2:$BB$56,3,)))</f>
        <v>0</v>
      </c>
      <c r="AT1319" s="10" t="b">
        <f>IF(AND(I1319="TN",S1319&lt;=2800),VLOOKUP(AF1319,TNCalibEq2500!$AZ$2:$BB$56,3,),IF(AND(I1319="TDN",S1319&lt;=2800),VLOOKUP(AF1319,TNCalibEq2500!$AZ$2:$BB$56,3,)))</f>
        <v>0</v>
      </c>
      <c r="AU1319" s="10" t="b">
        <f>IF(I1319="TP",VLOOKUP(AF1319,TPCalibEqFull!$AZ$2:$BB$56,3),IF(I1319="TDP",VLOOKUP(AF1319,TPCalibEqFull!$AZ$2:$BB$56,3),IF(I1319="TDN",VLOOKUP(AF1319,TNCalibEqFull!$AZ$1:$BB$56,3),IF(I1319="TN",VLOOKUP(AF1319,TNCalibEqFull!$AZ$1:$BB$56,3),FALSE))))</f>
        <v>0</v>
      </c>
      <c r="AV1319" s="10" t="str">
        <f t="shared" si="150"/>
        <v>0125 05:42:00-HST-0-C-1-SW-UKN</v>
      </c>
    </row>
    <row r="1320" spans="1:48" s="10" customFormat="1" x14ac:dyDescent="0.55000000000000004">
      <c r="A1320" s="32">
        <v>44952</v>
      </c>
      <c r="B1320" s="33">
        <v>0.39930555555555558</v>
      </c>
      <c r="C1320" s="10" t="s">
        <v>279</v>
      </c>
      <c r="D1320" s="10">
        <v>0</v>
      </c>
      <c r="E1320" s="10" t="s">
        <v>190</v>
      </c>
      <c r="F1320" s="10">
        <v>1</v>
      </c>
      <c r="G1320" s="10" t="s">
        <v>231</v>
      </c>
      <c r="H1320" s="10" t="s">
        <v>322</v>
      </c>
      <c r="I1320" s="10" t="s">
        <v>75</v>
      </c>
      <c r="J1320" s="10">
        <v>7</v>
      </c>
      <c r="K1320" s="12">
        <v>44958</v>
      </c>
      <c r="L1320" s="33">
        <v>0.5090972222222222</v>
      </c>
      <c r="M1320" s="10">
        <v>1</v>
      </c>
      <c r="N1320" s="10" t="s">
        <v>76</v>
      </c>
      <c r="O1320" s="10">
        <v>1.37</v>
      </c>
      <c r="P1320" s="10">
        <v>0.107</v>
      </c>
      <c r="Q1320" s="10">
        <v>75.7</v>
      </c>
      <c r="R1320" s="10" t="s">
        <v>77</v>
      </c>
      <c r="S1320" s="34">
        <f t="shared" si="147"/>
        <v>75.7</v>
      </c>
      <c r="T1320" s="10" t="s">
        <v>1103</v>
      </c>
      <c r="U1320" s="34" t="str">
        <f t="shared" si="148"/>
        <v/>
      </c>
      <c r="V1320" s="31" t="str">
        <f>IF(H1320="CHK",VLOOKUP(I1320,QCCHK,3,),IF(H1320="GUP",VLOOKUP(E1320,QCGUP,2,),IF(AND(H1320="ATP",OR(I1320="TN",I1320="TDN",I1320="TNO2-3",I1320="NO2-3")),VLOOKUP(E1320,QCREC_N,2,),IF(AND(H1320="NIC",OR(I1320="TN",I1320="TDN",I1320="TNO2-3",I1320="NO2-3")),VLOOKUP(E1320,QCNIC_N,2,),IF(AND(H1320="UREA",OR(I1320="TN",I1320="TDN",I1320="TNO2-3",I1320="NO2-3")),VLOOKUP(E1320,QCUREA_N,2,),IF(H1320="PER",VLOOKUP(I1320,QCPER,MATCH(E1320,QCACTUAL!$J$25:$AA$25,0),),IF(H1320="SPK",VLOOKUP(I1320,QCSPK,3,),IF(AND(H1320="ATP",OR(I1320="TP",I1320="TDP")),VLOOKUP(E1320,QCATP_P,2,),""))))))))</f>
        <v/>
      </c>
      <c r="W1320" s="31" t="str">
        <f t="shared" si="149"/>
        <v>TRUE</v>
      </c>
      <c r="X1320" s="31" t="str">
        <f t="shared" si="146"/>
        <v/>
      </c>
      <c r="Y1320" s="10" t="s">
        <v>1096</v>
      </c>
      <c r="Z1320" s="10" t="s">
        <v>910</v>
      </c>
      <c r="AL1320" s="10" t="str">
        <f t="shared" si="151"/>
        <v>FALSE</v>
      </c>
      <c r="AM1320" s="10" t="str">
        <f t="shared" si="151"/>
        <v>FALSE</v>
      </c>
      <c r="AN1320" s="10" t="str">
        <f t="shared" si="151"/>
        <v>FALSE</v>
      </c>
      <c r="AO1320" s="10" t="str">
        <f t="shared" si="152"/>
        <v>FALSE</v>
      </c>
      <c r="AP1320" s="10" t="str">
        <f t="shared" si="152"/>
        <v>FALSE</v>
      </c>
      <c r="AQ1320" s="10" t="b">
        <f>IF(AND(I1320="TP",S1320&lt;=150),VLOOKUP(AF1320,TPCalibEq150!$AZ$2:$BB$55,3,),IF(AND(I1320="TDP",S1320&lt;=150),VLOOKUP(AF1320,TPCalibEq150!$AZ$2:$BB$55,3,)))</f>
        <v>0</v>
      </c>
      <c r="AR1320" s="10" t="b">
        <f>IF(AND(I1320="TP",S1320&lt;=300),VLOOKUP(AF1320,TPCalibEq300!$AZ$2:$BB$55,3,),IF(AND(I1320="TDP",S1320&lt;=300),VLOOKUP(AF1320,TPCalibEq300!$AZ$2:$BB$55,3,)))</f>
        <v>0</v>
      </c>
      <c r="AS1320" s="10" t="b">
        <f>IF(AND(I1320="TP",S1320&lt;=500),VLOOKUP(AF1320,TPCalibEq500!$AZ$2:$BB$56,3,),IF(AND(I1320="TDP",S1320&lt;=500),VLOOKUP(AF1320,TPCalibEq500!$AZ$2:$BB$56,3,)))</f>
        <v>0</v>
      </c>
      <c r="AT1320" s="10" t="b">
        <f>IF(AND(I1320="TN",S1320&lt;=2800),VLOOKUP(AF1320,TNCalibEq2500!$AZ$2:$BB$56,3,),IF(AND(I1320="TDN",S1320&lt;=2800),VLOOKUP(AF1320,TNCalibEq2500!$AZ$2:$BB$56,3,)))</f>
        <v>0</v>
      </c>
      <c r="AU1320" s="10" t="b">
        <f>IF(I1320="TP",VLOOKUP(AF1320,TPCalibEqFull!$AZ$2:$BB$56,3),IF(I1320="TDP",VLOOKUP(AF1320,TPCalibEqFull!$AZ$2:$BB$56,3),IF(I1320="TDN",VLOOKUP(AF1320,TNCalibEqFull!$AZ$1:$BB$56,3),IF(I1320="TN",VLOOKUP(AF1320,TNCalibEqFull!$AZ$1:$BB$56,3),FALSE))))</f>
        <v>0</v>
      </c>
      <c r="AV1320" s="10" t="str">
        <f t="shared" si="150"/>
        <v>0126 09:35:00-EFK-0-C-1-SW-UKN</v>
      </c>
    </row>
    <row r="1321" spans="1:48" s="10" customFormat="1" x14ac:dyDescent="0.55000000000000004">
      <c r="A1321" s="32">
        <v>44952</v>
      </c>
      <c r="B1321" s="33">
        <v>0.40416666666666662</v>
      </c>
      <c r="C1321" s="10" t="s">
        <v>333</v>
      </c>
      <c r="D1321" s="10">
        <v>0</v>
      </c>
      <c r="E1321" s="10" t="s">
        <v>190</v>
      </c>
      <c r="F1321" s="10">
        <v>1</v>
      </c>
      <c r="G1321" s="10" t="s">
        <v>231</v>
      </c>
      <c r="H1321" s="10" t="s">
        <v>322</v>
      </c>
      <c r="I1321" s="10" t="s">
        <v>75</v>
      </c>
      <c r="J1321" s="10">
        <v>8</v>
      </c>
      <c r="K1321" s="12">
        <v>44958</v>
      </c>
      <c r="L1321" s="33">
        <v>0.50991898148148151</v>
      </c>
      <c r="M1321" s="10">
        <v>1</v>
      </c>
      <c r="N1321" s="10" t="s">
        <v>76</v>
      </c>
      <c r="O1321" s="10">
        <v>0.105</v>
      </c>
      <c r="P1321" s="10">
        <v>8.6899999999999998E-3</v>
      </c>
      <c r="Q1321" s="10">
        <v>5.82</v>
      </c>
      <c r="R1321" s="10" t="s">
        <v>77</v>
      </c>
      <c r="S1321" s="34">
        <f t="shared" si="147"/>
        <v>5.82</v>
      </c>
      <c r="T1321" s="10" t="s">
        <v>1103</v>
      </c>
      <c r="U1321" s="34" t="str">
        <f t="shared" si="148"/>
        <v/>
      </c>
      <c r="V1321" s="31" t="str">
        <f>IF(H1321="CHK",VLOOKUP(I1321,QCCHK,3,),IF(H1321="GUP",VLOOKUP(E1321,QCGUP,2,),IF(AND(H1321="ATP",OR(I1321="TN",I1321="TDN",I1321="TNO2-3",I1321="NO2-3")),VLOOKUP(E1321,QCREC_N,2,),IF(AND(H1321="NIC",OR(I1321="TN",I1321="TDN",I1321="TNO2-3",I1321="NO2-3")),VLOOKUP(E1321,QCNIC_N,2,),IF(AND(H1321="UREA",OR(I1321="TN",I1321="TDN",I1321="TNO2-3",I1321="NO2-3")),VLOOKUP(E1321,QCUREA_N,2,),IF(H1321="PER",VLOOKUP(I1321,QCPER,MATCH(E1321,QCACTUAL!$J$25:$AA$25,0),),IF(H1321="SPK",VLOOKUP(I1321,QCSPK,3,),IF(AND(H1321="ATP",OR(I1321="TP",I1321="TDP")),VLOOKUP(E1321,QCATP_P,2,),""))))))))</f>
        <v/>
      </c>
      <c r="W1321" s="31" t="str">
        <f t="shared" si="149"/>
        <v>TRUE</v>
      </c>
      <c r="X1321" s="31" t="str">
        <f t="shared" si="146"/>
        <v/>
      </c>
      <c r="Y1321" s="10" t="s">
        <v>1096</v>
      </c>
      <c r="Z1321" s="10" t="s">
        <v>910</v>
      </c>
      <c r="AL1321" s="10" t="str">
        <f t="shared" si="151"/>
        <v>FALSE</v>
      </c>
      <c r="AM1321" s="10" t="str">
        <f t="shared" si="151"/>
        <v>FALSE</v>
      </c>
      <c r="AN1321" s="10" t="str">
        <f t="shared" si="151"/>
        <v>FALSE</v>
      </c>
      <c r="AO1321" s="10" t="str">
        <f t="shared" si="152"/>
        <v>FALSE</v>
      </c>
      <c r="AP1321" s="10" t="str">
        <f t="shared" si="152"/>
        <v>FALSE</v>
      </c>
      <c r="AQ1321" s="10" t="b">
        <f>IF(AND(I1321="TP",S1321&lt;=150),VLOOKUP(AF1321,TPCalibEq150!$AZ$2:$BB$55,3,),IF(AND(I1321="TDP",S1321&lt;=150),VLOOKUP(AF1321,TPCalibEq150!$AZ$2:$BB$55,3,)))</f>
        <v>0</v>
      </c>
      <c r="AR1321" s="10" t="b">
        <f>IF(AND(I1321="TP",S1321&lt;=300),VLOOKUP(AF1321,TPCalibEq300!$AZ$2:$BB$55,3,),IF(AND(I1321="TDP",S1321&lt;=300),VLOOKUP(AF1321,TPCalibEq300!$AZ$2:$BB$55,3,)))</f>
        <v>0</v>
      </c>
      <c r="AS1321" s="10" t="b">
        <f>IF(AND(I1321="TP",S1321&lt;=500),VLOOKUP(AF1321,TPCalibEq500!$AZ$2:$BB$56,3,),IF(AND(I1321="TDP",S1321&lt;=500),VLOOKUP(AF1321,TPCalibEq500!$AZ$2:$BB$56,3,)))</f>
        <v>0</v>
      </c>
      <c r="AT1321" s="10" t="b">
        <f>IF(AND(I1321="TN",S1321&lt;=2800),VLOOKUP(AF1321,TNCalibEq2500!$AZ$2:$BB$56,3,),IF(AND(I1321="TDN",S1321&lt;=2800),VLOOKUP(AF1321,TNCalibEq2500!$AZ$2:$BB$56,3,)))</f>
        <v>0</v>
      </c>
      <c r="AU1321" s="10" t="b">
        <f>IF(I1321="TP",VLOOKUP(AF1321,TPCalibEqFull!$AZ$2:$BB$56,3),IF(I1321="TDP",VLOOKUP(AF1321,TPCalibEqFull!$AZ$2:$BB$56,3),IF(I1321="TDN",VLOOKUP(AF1321,TNCalibEqFull!$AZ$1:$BB$56,3),IF(I1321="TN",VLOOKUP(AF1321,TNCalibEqFull!$AZ$1:$BB$56,3),FALSE))))</f>
        <v>0</v>
      </c>
      <c r="AV1321" s="10" t="str">
        <f t="shared" si="150"/>
        <v>0126 09:42:00-HST-0-C-1-SW-UKN</v>
      </c>
    </row>
    <row r="1322" spans="1:48" s="10" customFormat="1" x14ac:dyDescent="0.55000000000000004">
      <c r="A1322" s="32">
        <v>44953</v>
      </c>
      <c r="B1322" s="33">
        <v>0.53333333333333333</v>
      </c>
      <c r="C1322" s="10" t="s">
        <v>279</v>
      </c>
      <c r="D1322" s="10">
        <v>0</v>
      </c>
      <c r="E1322" s="10" t="s">
        <v>190</v>
      </c>
      <c r="F1322" s="10">
        <v>1</v>
      </c>
      <c r="G1322" s="10" t="s">
        <v>231</v>
      </c>
      <c r="H1322" s="10" t="s">
        <v>322</v>
      </c>
      <c r="I1322" s="10" t="s">
        <v>75</v>
      </c>
      <c r="J1322" s="10">
        <v>9</v>
      </c>
      <c r="K1322" s="12">
        <v>44958</v>
      </c>
      <c r="L1322" s="33">
        <v>0.51072916666666668</v>
      </c>
      <c r="M1322" s="10">
        <v>1</v>
      </c>
      <c r="N1322" s="10" t="s">
        <v>76</v>
      </c>
      <c r="O1322" s="10">
        <v>7.26</v>
      </c>
      <c r="P1322" s="10">
        <v>0.57899999999999996</v>
      </c>
      <c r="Q1322" s="10">
        <v>401</v>
      </c>
      <c r="R1322" s="10" t="s">
        <v>77</v>
      </c>
      <c r="S1322" s="34">
        <f t="shared" si="147"/>
        <v>401</v>
      </c>
      <c r="T1322" s="10" t="s">
        <v>1103</v>
      </c>
      <c r="U1322" s="34" t="str">
        <f t="shared" si="148"/>
        <v/>
      </c>
      <c r="V1322" s="31" t="str">
        <f>IF(H1322="CHK",VLOOKUP(I1322,QCCHK,3,),IF(H1322="GUP",VLOOKUP(E1322,QCGUP,2,),IF(AND(H1322="ATP",OR(I1322="TN",I1322="TDN",I1322="TNO2-3",I1322="NO2-3")),VLOOKUP(E1322,QCREC_N,2,),IF(AND(H1322="NIC",OR(I1322="TN",I1322="TDN",I1322="TNO2-3",I1322="NO2-3")),VLOOKUP(E1322,QCNIC_N,2,),IF(AND(H1322="UREA",OR(I1322="TN",I1322="TDN",I1322="TNO2-3",I1322="NO2-3")),VLOOKUP(E1322,QCUREA_N,2,),IF(H1322="PER",VLOOKUP(I1322,QCPER,MATCH(E1322,QCACTUAL!$J$25:$AA$25,0),),IF(H1322="SPK",VLOOKUP(I1322,QCSPK,3,),IF(AND(H1322="ATP",OR(I1322="TP",I1322="TDP")),VLOOKUP(E1322,QCATP_P,2,),""))))))))</f>
        <v/>
      </c>
      <c r="W1322" s="31" t="str">
        <f t="shared" si="149"/>
        <v>TRUE</v>
      </c>
      <c r="X1322" s="31" t="str">
        <f t="shared" si="146"/>
        <v/>
      </c>
      <c r="Y1322" s="10" t="s">
        <v>1096</v>
      </c>
      <c r="Z1322" s="10" t="s">
        <v>910</v>
      </c>
      <c r="AL1322" s="10" t="str">
        <f t="shared" si="151"/>
        <v>FALSE</v>
      </c>
      <c r="AM1322" s="10" t="str">
        <f t="shared" si="151"/>
        <v>FALSE</v>
      </c>
      <c r="AN1322" s="10" t="str">
        <f t="shared" si="151"/>
        <v>FALSE</v>
      </c>
      <c r="AO1322" s="10" t="str">
        <f t="shared" si="152"/>
        <v>FALSE</v>
      </c>
      <c r="AP1322" s="10" t="str">
        <f t="shared" si="152"/>
        <v>FALSE</v>
      </c>
      <c r="AQ1322" s="10" t="b">
        <f>IF(AND(I1322="TP",S1322&lt;=150),VLOOKUP(AF1322,TPCalibEq150!$AZ$2:$BB$55,3,),IF(AND(I1322="TDP",S1322&lt;=150),VLOOKUP(AF1322,TPCalibEq150!$AZ$2:$BB$55,3,)))</f>
        <v>0</v>
      </c>
      <c r="AR1322" s="10" t="b">
        <f>IF(AND(I1322="TP",S1322&lt;=300),VLOOKUP(AF1322,TPCalibEq300!$AZ$2:$BB$55,3,),IF(AND(I1322="TDP",S1322&lt;=300),VLOOKUP(AF1322,TPCalibEq300!$AZ$2:$BB$55,3,)))</f>
        <v>0</v>
      </c>
      <c r="AS1322" s="10" t="b">
        <f>IF(AND(I1322="TP",S1322&lt;=500),VLOOKUP(AF1322,TPCalibEq500!$AZ$2:$BB$56,3,),IF(AND(I1322="TDP",S1322&lt;=500),VLOOKUP(AF1322,TPCalibEq500!$AZ$2:$BB$56,3,)))</f>
        <v>0</v>
      </c>
      <c r="AT1322" s="10" t="b">
        <f>IF(AND(I1322="TN",S1322&lt;=2800),VLOOKUP(AF1322,TNCalibEq2500!$AZ$2:$BB$56,3,),IF(AND(I1322="TDN",S1322&lt;=2800),VLOOKUP(AF1322,TNCalibEq2500!$AZ$2:$BB$56,3,)))</f>
        <v>0</v>
      </c>
      <c r="AU1322" s="10" t="b">
        <f>IF(I1322="TP",VLOOKUP(AF1322,TPCalibEqFull!$AZ$2:$BB$56,3),IF(I1322="TDP",VLOOKUP(AF1322,TPCalibEqFull!$AZ$2:$BB$56,3),IF(I1322="TDN",VLOOKUP(AF1322,TNCalibEqFull!$AZ$1:$BB$56,3),IF(I1322="TN",VLOOKUP(AF1322,TNCalibEqFull!$AZ$1:$BB$56,3),FALSE))))</f>
        <v>0</v>
      </c>
      <c r="AV1322" s="10" t="str">
        <f t="shared" si="150"/>
        <v>0127 12:48:00-EFK-0-C-1-SW-UKN</v>
      </c>
    </row>
    <row r="1323" spans="1:48" s="10" customFormat="1" x14ac:dyDescent="0.55000000000000004">
      <c r="A1323" s="32">
        <v>44953</v>
      </c>
      <c r="B1323" s="33">
        <v>0.53611111111111109</v>
      </c>
      <c r="C1323" s="10" t="s">
        <v>333</v>
      </c>
      <c r="D1323" s="10">
        <v>0</v>
      </c>
      <c r="E1323" s="10" t="s">
        <v>190</v>
      </c>
      <c r="F1323" s="10">
        <v>1</v>
      </c>
      <c r="G1323" s="10" t="s">
        <v>231</v>
      </c>
      <c r="H1323" s="10" t="s">
        <v>322</v>
      </c>
      <c r="I1323" s="10" t="s">
        <v>75</v>
      </c>
      <c r="J1323" s="10">
        <v>10</v>
      </c>
      <c r="K1323" s="12">
        <v>44958</v>
      </c>
      <c r="L1323" s="33">
        <v>0.51153935185185184</v>
      </c>
      <c r="M1323" s="10">
        <v>1</v>
      </c>
      <c r="N1323" s="10" t="s">
        <v>76</v>
      </c>
      <c r="O1323" s="10">
        <v>4.9700000000000001E-2</v>
      </c>
      <c r="P1323" s="10">
        <v>3.0899999999999999E-3</v>
      </c>
      <c r="Q1323" s="10">
        <v>2.74</v>
      </c>
      <c r="R1323" s="10" t="s">
        <v>77</v>
      </c>
      <c r="S1323" s="34">
        <f t="shared" si="147"/>
        <v>2.74</v>
      </c>
      <c r="T1323" s="10" t="s">
        <v>1103</v>
      </c>
      <c r="U1323" s="34" t="str">
        <f t="shared" si="148"/>
        <v/>
      </c>
      <c r="V1323" s="31" t="str">
        <f>IF(H1323="CHK",VLOOKUP(I1323,QCCHK,3,),IF(H1323="GUP",VLOOKUP(E1323,QCGUP,2,),IF(AND(H1323="ATP",OR(I1323="TN",I1323="TDN",I1323="TNO2-3",I1323="NO2-3")),VLOOKUP(E1323,QCREC_N,2,),IF(AND(H1323="NIC",OR(I1323="TN",I1323="TDN",I1323="TNO2-3",I1323="NO2-3")),VLOOKUP(E1323,QCNIC_N,2,),IF(AND(H1323="UREA",OR(I1323="TN",I1323="TDN",I1323="TNO2-3",I1323="NO2-3")),VLOOKUP(E1323,QCUREA_N,2,),IF(H1323="PER",VLOOKUP(I1323,QCPER,MATCH(E1323,QCACTUAL!$J$25:$AA$25,0),),IF(H1323="SPK",VLOOKUP(I1323,QCSPK,3,),IF(AND(H1323="ATP",OR(I1323="TP",I1323="TDP")),VLOOKUP(E1323,QCATP_P,2,),""))))))))</f>
        <v/>
      </c>
      <c r="W1323" s="31" t="str">
        <f t="shared" si="149"/>
        <v>TRUE</v>
      </c>
      <c r="X1323" s="31" t="str">
        <f t="shared" si="146"/>
        <v/>
      </c>
      <c r="Y1323" s="10" t="s">
        <v>1096</v>
      </c>
      <c r="Z1323" s="10" t="s">
        <v>910</v>
      </c>
      <c r="AL1323" s="10" t="str">
        <f t="shared" si="151"/>
        <v>FALSE</v>
      </c>
      <c r="AM1323" s="10" t="str">
        <f t="shared" si="151"/>
        <v>FALSE</v>
      </c>
      <c r="AN1323" s="10" t="str">
        <f t="shared" si="151"/>
        <v>FALSE</v>
      </c>
      <c r="AO1323" s="10" t="str">
        <f t="shared" si="152"/>
        <v>FALSE</v>
      </c>
      <c r="AP1323" s="10" t="str">
        <f t="shared" si="152"/>
        <v>FALSE</v>
      </c>
      <c r="AQ1323" s="10" t="b">
        <f>IF(AND(I1323="TP",S1323&lt;=150),VLOOKUP(AF1323,TPCalibEq150!$AZ$2:$BB$55,3,),IF(AND(I1323="TDP",S1323&lt;=150),VLOOKUP(AF1323,TPCalibEq150!$AZ$2:$BB$55,3,)))</f>
        <v>0</v>
      </c>
      <c r="AR1323" s="10" t="b">
        <f>IF(AND(I1323="TP",S1323&lt;=300),VLOOKUP(AF1323,TPCalibEq300!$AZ$2:$BB$55,3,),IF(AND(I1323="TDP",S1323&lt;=300),VLOOKUP(AF1323,TPCalibEq300!$AZ$2:$BB$55,3,)))</f>
        <v>0</v>
      </c>
      <c r="AS1323" s="10" t="b">
        <f>IF(AND(I1323="TP",S1323&lt;=500),VLOOKUP(AF1323,TPCalibEq500!$AZ$2:$BB$56,3,),IF(AND(I1323="TDP",S1323&lt;=500),VLOOKUP(AF1323,TPCalibEq500!$AZ$2:$BB$56,3,)))</f>
        <v>0</v>
      </c>
      <c r="AT1323" s="10" t="b">
        <f>IF(AND(I1323="TN",S1323&lt;=2800),VLOOKUP(AF1323,TNCalibEq2500!$AZ$2:$BB$56,3,),IF(AND(I1323="TDN",S1323&lt;=2800),VLOOKUP(AF1323,TNCalibEq2500!$AZ$2:$BB$56,3,)))</f>
        <v>0</v>
      </c>
      <c r="AU1323" s="10" t="b">
        <f>IF(I1323="TP",VLOOKUP(AF1323,TPCalibEqFull!$AZ$2:$BB$56,3),IF(I1323="TDP",VLOOKUP(AF1323,TPCalibEqFull!$AZ$2:$BB$56,3),IF(I1323="TDN",VLOOKUP(AF1323,TNCalibEqFull!$AZ$1:$BB$56,3),IF(I1323="TN",VLOOKUP(AF1323,TNCalibEqFull!$AZ$1:$BB$56,3),FALSE))))</f>
        <v>0</v>
      </c>
      <c r="AV1323" s="10" t="str">
        <f t="shared" si="150"/>
        <v>0127 12:52:00-HST-0-C-1-SW-UKN</v>
      </c>
    </row>
    <row r="1324" spans="1:48" s="10" customFormat="1" x14ac:dyDescent="0.55000000000000004">
      <c r="A1324" s="32">
        <v>44953</v>
      </c>
      <c r="B1324" s="33">
        <v>0.53611111111111109</v>
      </c>
      <c r="C1324" s="10" t="s">
        <v>333</v>
      </c>
      <c r="D1324" s="10">
        <v>0</v>
      </c>
      <c r="E1324" s="10" t="s">
        <v>190</v>
      </c>
      <c r="F1324" s="10">
        <v>1</v>
      </c>
      <c r="G1324" s="10" t="s">
        <v>231</v>
      </c>
      <c r="H1324" s="10" t="s">
        <v>233</v>
      </c>
      <c r="I1324" s="10" t="s">
        <v>75</v>
      </c>
      <c r="J1324" s="10">
        <v>10</v>
      </c>
      <c r="K1324" s="12">
        <v>44958</v>
      </c>
      <c r="L1324" s="33">
        <v>0.51234953703703701</v>
      </c>
      <c r="M1324" s="10">
        <v>1</v>
      </c>
      <c r="N1324" s="10" t="s">
        <v>76</v>
      </c>
      <c r="O1324" s="10">
        <v>6.1899999999999997E-2</v>
      </c>
      <c r="P1324" s="10">
        <v>3.2599999999999999E-3</v>
      </c>
      <c r="Q1324" s="10">
        <v>3.41</v>
      </c>
      <c r="R1324" s="10" t="s">
        <v>77</v>
      </c>
      <c r="S1324" s="34">
        <f t="shared" si="147"/>
        <v>3.41</v>
      </c>
      <c r="T1324" s="10" t="s">
        <v>1103</v>
      </c>
      <c r="U1324" s="34">
        <f t="shared" si="148"/>
        <v>21.788617886178859</v>
      </c>
      <c r="V1324" s="31" t="str">
        <f>IF(H1324="CHK",VLOOKUP(I1324,QCCHK,3,),IF(H1324="GUP",VLOOKUP(E1324,QCGUP,2,),IF(AND(H1324="ATP",OR(I1324="TN",I1324="TDN",I1324="TNO2-3",I1324="NO2-3")),VLOOKUP(E1324,QCREC_N,2,),IF(AND(H1324="NIC",OR(I1324="TN",I1324="TDN",I1324="TNO2-3",I1324="NO2-3")),VLOOKUP(E1324,QCNIC_N,2,),IF(AND(H1324="UREA",OR(I1324="TN",I1324="TDN",I1324="TNO2-3",I1324="NO2-3")),VLOOKUP(E1324,QCUREA_N,2,),IF(H1324="PER",VLOOKUP(I1324,QCPER,MATCH(E1324,QCACTUAL!$J$25:$AA$25,0),),IF(H1324="SPK",VLOOKUP(I1324,QCSPK,3,),IF(AND(H1324="ATP",OR(I1324="TP",I1324="TDP")),VLOOKUP(E1324,QCATP_P,2,),""))))))))</f>
        <v/>
      </c>
      <c r="W1324" s="31" t="str">
        <f t="shared" si="149"/>
        <v>TRUE</v>
      </c>
      <c r="X1324" s="31" t="str">
        <f t="shared" si="146"/>
        <v>((ABS(rep1-rep2))/((rep1+rep2)/2)*100</v>
      </c>
      <c r="Y1324" s="10" t="s">
        <v>1096</v>
      </c>
      <c r="Z1324" s="10" t="s">
        <v>910</v>
      </c>
      <c r="AL1324" s="10" t="str">
        <f t="shared" si="151"/>
        <v>FALSE</v>
      </c>
      <c r="AM1324" s="10" t="str">
        <f t="shared" si="151"/>
        <v>FALSE</v>
      </c>
      <c r="AN1324" s="10" t="str">
        <f t="shared" si="151"/>
        <v>FALSE</v>
      </c>
      <c r="AO1324" s="10" t="str">
        <f t="shared" si="152"/>
        <v>FALSE</v>
      </c>
      <c r="AP1324" s="10" t="str">
        <f t="shared" si="152"/>
        <v>FALSE</v>
      </c>
      <c r="AQ1324" s="10" t="b">
        <f>IF(AND(I1324="TP",S1324&lt;=150),VLOOKUP(AF1324,TPCalibEq150!$AZ$2:$BB$55,3,),IF(AND(I1324="TDP",S1324&lt;=150),VLOOKUP(AF1324,TPCalibEq150!$AZ$2:$BB$55,3,)))</f>
        <v>0</v>
      </c>
      <c r="AR1324" s="10" t="b">
        <f>IF(AND(I1324="TP",S1324&lt;=300),VLOOKUP(AF1324,TPCalibEq300!$AZ$2:$BB$55,3,),IF(AND(I1324="TDP",S1324&lt;=300),VLOOKUP(AF1324,TPCalibEq300!$AZ$2:$BB$55,3,)))</f>
        <v>0</v>
      </c>
      <c r="AS1324" s="10" t="b">
        <f>IF(AND(I1324="TP",S1324&lt;=500),VLOOKUP(AF1324,TPCalibEq500!$AZ$2:$BB$56,3,),IF(AND(I1324="TDP",S1324&lt;=500),VLOOKUP(AF1324,TPCalibEq500!$AZ$2:$BB$56,3,)))</f>
        <v>0</v>
      </c>
      <c r="AT1324" s="10" t="b">
        <f>IF(AND(I1324="TN",S1324&lt;=2800),VLOOKUP(AF1324,TNCalibEq2500!$AZ$2:$BB$56,3,),IF(AND(I1324="TDN",S1324&lt;=2800),VLOOKUP(AF1324,TNCalibEq2500!$AZ$2:$BB$56,3,)))</f>
        <v>0</v>
      </c>
      <c r="AU1324" s="10" t="b">
        <f>IF(I1324="TP",VLOOKUP(AF1324,TPCalibEqFull!$AZ$2:$BB$56,3),IF(I1324="TDP",VLOOKUP(AF1324,TPCalibEqFull!$AZ$2:$BB$56,3),IF(I1324="TDN",VLOOKUP(AF1324,TNCalibEqFull!$AZ$1:$BB$56,3),IF(I1324="TN",VLOOKUP(AF1324,TNCalibEqFull!$AZ$1:$BB$56,3),FALSE))))</f>
        <v>0</v>
      </c>
      <c r="AV1324" s="10" t="str">
        <f t="shared" si="150"/>
        <v>0127 12:52:00-HST-0-C-1-SW-DUP</v>
      </c>
    </row>
    <row r="1325" spans="1:48" s="10" customFormat="1" x14ac:dyDescent="0.55000000000000004">
      <c r="A1325" s="32">
        <v>44953</v>
      </c>
      <c r="B1325" s="33">
        <v>0.53611111111111109</v>
      </c>
      <c r="C1325" s="10" t="s">
        <v>912</v>
      </c>
      <c r="D1325" s="10">
        <v>0</v>
      </c>
      <c r="E1325" s="10" t="s">
        <v>190</v>
      </c>
      <c r="F1325" s="10">
        <v>1</v>
      </c>
      <c r="G1325" s="10" t="s">
        <v>231</v>
      </c>
      <c r="H1325" s="10" t="s">
        <v>314</v>
      </c>
      <c r="I1325" s="10" t="s">
        <v>75</v>
      </c>
      <c r="J1325" s="10">
        <v>81</v>
      </c>
      <c r="K1325" s="12">
        <v>44958</v>
      </c>
      <c r="L1325" s="33">
        <v>0.51317129629629632</v>
      </c>
      <c r="M1325" s="10">
        <v>1</v>
      </c>
      <c r="N1325" s="10" t="s">
        <v>76</v>
      </c>
      <c r="O1325" s="10">
        <v>11.2</v>
      </c>
      <c r="P1325" s="10">
        <v>0.90100000000000002</v>
      </c>
      <c r="Q1325" s="10">
        <v>622</v>
      </c>
      <c r="R1325" s="10" t="s">
        <v>77</v>
      </c>
      <c r="S1325" s="34">
        <f t="shared" si="147"/>
        <v>622</v>
      </c>
      <c r="T1325" s="10" t="s">
        <v>1103</v>
      </c>
      <c r="U1325" s="34">
        <f t="shared" si="148"/>
        <v>98.974400000000003</v>
      </c>
      <c r="V1325" s="31">
        <f>IF(H1325="CHK",VLOOKUP(I1325,QCCHK,3,),IF(H1325="GUP",VLOOKUP(E1325,QCGUP,2,),IF(AND(H1325="ATP",OR(I1325="TN",I1325="TDN",I1325="TNO2-3",I1325="NO2-3")),VLOOKUP(E1325,QCREC_N,2,),IF(AND(H1325="NIC",OR(I1325="TN",I1325="TDN",I1325="TNO2-3",I1325="NO2-3")),VLOOKUP(E1325,QCNIC_N,2,),IF(AND(H1325="UREA",OR(I1325="TN",I1325="TDN",I1325="TNO2-3",I1325="NO2-3")),VLOOKUP(E1325,QCUREA_N,2,),IF(H1325="PER",VLOOKUP(I1325,QCPER,MATCH(E1325,QCACTUAL!$J$25:$AA$25,0),),IF(H1325="SPK",VLOOKUP(I1325,QCSPK,3,),IF(AND(H1325="ATP",OR(I1325="TP",I1325="TDP")),VLOOKUP(E1325,QCATP_P,2,),""))))))))</f>
        <v>625</v>
      </c>
      <c r="W1325" s="31" t="str">
        <f t="shared" si="149"/>
        <v>TRUE</v>
      </c>
      <c r="X1325" s="31" t="str">
        <f t="shared" si="146"/>
        <v>([spikedunkn]-[unkn])/[spike]*100</v>
      </c>
      <c r="Y1325" s="10" t="s">
        <v>1096</v>
      </c>
      <c r="Z1325" s="10" t="s">
        <v>910</v>
      </c>
      <c r="AL1325" s="10" t="str">
        <f t="shared" si="151"/>
        <v>FALSE</v>
      </c>
      <c r="AM1325" s="10" t="str">
        <f t="shared" si="151"/>
        <v>FALSE</v>
      </c>
      <c r="AN1325" s="10" t="str">
        <f t="shared" si="151"/>
        <v>FALSE</v>
      </c>
      <c r="AO1325" s="10" t="str">
        <f t="shared" si="152"/>
        <v>FALSE</v>
      </c>
      <c r="AP1325" s="10" t="str">
        <f t="shared" si="152"/>
        <v>FALSE</v>
      </c>
      <c r="AQ1325" s="10" t="b">
        <f>IF(AND(I1325="TP",S1325&lt;=150),VLOOKUP(AF1325,TPCalibEq150!$AZ$2:$BB$55,3,),IF(AND(I1325="TDP",S1325&lt;=150),VLOOKUP(AF1325,TPCalibEq150!$AZ$2:$BB$55,3,)))</f>
        <v>0</v>
      </c>
      <c r="AR1325" s="10" t="b">
        <f>IF(AND(I1325="TP",S1325&lt;=300),VLOOKUP(AF1325,TPCalibEq300!$AZ$2:$BB$55,3,),IF(AND(I1325="TDP",S1325&lt;=300),VLOOKUP(AF1325,TPCalibEq300!$AZ$2:$BB$55,3,)))</f>
        <v>0</v>
      </c>
      <c r="AS1325" s="10" t="b">
        <f>IF(AND(I1325="TP",S1325&lt;=500),VLOOKUP(AF1325,TPCalibEq500!$AZ$2:$BB$56,3,),IF(AND(I1325="TDP",S1325&lt;=500),VLOOKUP(AF1325,TPCalibEq500!$AZ$2:$BB$56,3,)))</f>
        <v>0</v>
      </c>
      <c r="AT1325" s="10" t="b">
        <f>IF(AND(I1325="TN",S1325&lt;=2800),VLOOKUP(AF1325,TNCalibEq2500!$AZ$2:$BB$56,3,),IF(AND(I1325="TDN",S1325&lt;=2800),VLOOKUP(AF1325,TNCalibEq2500!$AZ$2:$BB$56,3,)))</f>
        <v>0</v>
      </c>
      <c r="AU1325" s="10" t="b">
        <f>IF(I1325="TP",VLOOKUP(AF1325,TPCalibEqFull!$AZ$2:$BB$56,3),IF(I1325="TDP",VLOOKUP(AF1325,TPCalibEqFull!$AZ$2:$BB$56,3),IF(I1325="TDN",VLOOKUP(AF1325,TNCalibEqFull!$AZ$1:$BB$56,3),IF(I1325="TN",VLOOKUP(AF1325,TNCalibEqFull!$AZ$1:$BB$56,3),FALSE))))</f>
        <v>0</v>
      </c>
      <c r="AV1325" s="10" t="str">
        <f t="shared" si="150"/>
        <v>0127 12:52:00-HST -0-C-1-SW-SPK</v>
      </c>
    </row>
    <row r="1326" spans="1:48" s="10" customFormat="1" x14ac:dyDescent="0.55000000000000004">
      <c r="A1326" s="32">
        <v>44958</v>
      </c>
      <c r="B1326" s="33">
        <v>0.375</v>
      </c>
      <c r="C1326" s="10" t="s">
        <v>70</v>
      </c>
      <c r="D1326" s="10" t="s">
        <v>71</v>
      </c>
      <c r="E1326" s="10" t="s">
        <v>901</v>
      </c>
      <c r="F1326" s="10">
        <v>1</v>
      </c>
      <c r="G1326" s="10" t="s">
        <v>73</v>
      </c>
      <c r="H1326" s="10" t="s">
        <v>207</v>
      </c>
      <c r="I1326" s="10" t="s">
        <v>75</v>
      </c>
      <c r="J1326" s="10">
        <v>199</v>
      </c>
      <c r="K1326" s="12">
        <v>44958</v>
      </c>
      <c r="L1326" s="33">
        <v>0.51399305555555552</v>
      </c>
      <c r="M1326" s="10">
        <v>1</v>
      </c>
      <c r="N1326" s="10" t="s">
        <v>76</v>
      </c>
      <c r="O1326" s="10">
        <v>5.39</v>
      </c>
      <c r="P1326" s="10">
        <v>0.433</v>
      </c>
      <c r="Q1326" s="10">
        <v>298</v>
      </c>
      <c r="R1326" s="10" t="s">
        <v>77</v>
      </c>
      <c r="S1326" s="34">
        <f t="shared" si="147"/>
        <v>298</v>
      </c>
      <c r="T1326" s="10" t="s">
        <v>1103</v>
      </c>
      <c r="U1326" s="34">
        <f t="shared" si="148"/>
        <v>99.333333333333329</v>
      </c>
      <c r="V1326" s="31">
        <f>IF(H1326="CHK",VLOOKUP(I1326,QCCHK,3,),IF(H1326="GUP",VLOOKUP(E1326,QCGUP,2,),IF(AND(H1326="ATP",OR(I1326="TN",I1326="TDN",I1326="TNO2-3",I1326="NO2-3")),VLOOKUP(E1326,QCREC_N,2,),IF(AND(H1326="NIC",OR(I1326="TN",I1326="TDN",I1326="TNO2-3",I1326="NO2-3")),VLOOKUP(E1326,QCNIC_N,2,),IF(AND(H1326="UREA",OR(I1326="TN",I1326="TDN",I1326="TNO2-3",I1326="NO2-3")),VLOOKUP(E1326,QCUREA_N,2,),IF(H1326="PER",VLOOKUP(I1326,QCPER,MATCH(E1326,QCACTUAL!$J$25:$AA$25,0),),IF(H1326="SPK",VLOOKUP(I1326,QCSPK,3,),IF(AND(H1326="ATP",OR(I1326="TP",I1326="TDP")),VLOOKUP(E1326,QCATP_P,2,),""))))))))</f>
        <v>300</v>
      </c>
      <c r="W1326" s="31" t="str">
        <f t="shared" si="149"/>
        <v>TRUE</v>
      </c>
      <c r="X1326" s="31" t="str">
        <f t="shared" si="146"/>
        <v>[chk]/[actual]*100</v>
      </c>
      <c r="Y1326" s="10" t="s">
        <v>1096</v>
      </c>
      <c r="AL1326" s="10" t="str">
        <f t="shared" si="151"/>
        <v>FALSE</v>
      </c>
      <c r="AM1326" s="10" t="str">
        <f t="shared" si="151"/>
        <v>FALSE</v>
      </c>
      <c r="AN1326" s="10" t="str">
        <f t="shared" si="151"/>
        <v>FALSE</v>
      </c>
      <c r="AO1326" s="10" t="str">
        <f t="shared" si="152"/>
        <v>FALSE</v>
      </c>
      <c r="AP1326" s="10" t="str">
        <f t="shared" si="152"/>
        <v>FALSE</v>
      </c>
      <c r="AQ1326" s="10" t="b">
        <f>IF(AND(I1326="TP",S1326&lt;=150),VLOOKUP(AF1326,TPCalibEq150!$AZ$2:$BB$55,3,),IF(AND(I1326="TDP",S1326&lt;=150),VLOOKUP(AF1326,TPCalibEq150!$AZ$2:$BB$55,3,)))</f>
        <v>0</v>
      </c>
      <c r="AR1326" s="10" t="b">
        <f>IF(AND(I1326="TP",S1326&lt;=300),VLOOKUP(AF1326,TPCalibEq300!$AZ$2:$BB$55,3,),IF(AND(I1326="TDP",S1326&lt;=300),VLOOKUP(AF1326,TPCalibEq300!$AZ$2:$BB$55,3,)))</f>
        <v>0</v>
      </c>
      <c r="AS1326" s="10" t="b">
        <f>IF(AND(I1326="TP",S1326&lt;=500),VLOOKUP(AF1326,TPCalibEq500!$AZ$2:$BB$56,3,),IF(AND(I1326="TDP",S1326&lt;=500),VLOOKUP(AF1326,TPCalibEq500!$AZ$2:$BB$56,3,)))</f>
        <v>0</v>
      </c>
      <c r="AT1326" s="10" t="b">
        <f>IF(AND(I1326="TN",S1326&lt;=2800),VLOOKUP(AF1326,TNCalibEq2500!$AZ$2:$BB$56,3,),IF(AND(I1326="TDN",S1326&lt;=2800),VLOOKUP(AF1326,TNCalibEq2500!$AZ$2:$BB$56,3,)))</f>
        <v>0</v>
      </c>
      <c r="AU1326" s="10" t="b">
        <f>IF(I1326="TP",VLOOKUP(AF1326,TPCalibEqFull!$AZ$2:$BB$56,3),IF(I1326="TDP",VLOOKUP(AF1326,TPCalibEqFull!$AZ$2:$BB$56,3),IF(I1326="TDN",VLOOKUP(AF1326,TNCalibEqFull!$AZ$1:$BB$56,3),IF(I1326="TN",VLOOKUP(AF1326,TNCalibEqFull!$AZ$1:$BB$56,3),FALSE))))</f>
        <v>0</v>
      </c>
      <c r="AV1326" s="10" t="str">
        <f t="shared" si="150"/>
        <v>0201 09:00:00-QAC-STD-D-1-DI-CHK</v>
      </c>
    </row>
    <row r="1327" spans="1:48" s="10" customFormat="1" x14ac:dyDescent="0.55000000000000004">
      <c r="A1327" s="32">
        <v>44956</v>
      </c>
      <c r="B1327" s="33">
        <v>0.32500000000000001</v>
      </c>
      <c r="C1327" s="10" t="s">
        <v>279</v>
      </c>
      <c r="D1327" s="10">
        <v>0</v>
      </c>
      <c r="E1327" s="10" t="s">
        <v>190</v>
      </c>
      <c r="F1327" s="10">
        <v>1</v>
      </c>
      <c r="G1327" s="10" t="s">
        <v>231</v>
      </c>
      <c r="H1327" s="10" t="s">
        <v>322</v>
      </c>
      <c r="I1327" s="10" t="s">
        <v>75</v>
      </c>
      <c r="J1327" s="10">
        <v>11</v>
      </c>
      <c r="K1327" s="12">
        <v>44958</v>
      </c>
      <c r="L1327" s="33">
        <v>0.51480324074074069</v>
      </c>
      <c r="M1327" s="10">
        <v>1</v>
      </c>
      <c r="N1327" s="10" t="s">
        <v>76</v>
      </c>
      <c r="O1327" s="10">
        <v>0.39100000000000001</v>
      </c>
      <c r="P1327" s="10">
        <v>2.8899999999999999E-2</v>
      </c>
      <c r="Q1327" s="10">
        <v>21.6</v>
      </c>
      <c r="R1327" s="10" t="s">
        <v>77</v>
      </c>
      <c r="S1327" s="34">
        <f t="shared" si="147"/>
        <v>21.6</v>
      </c>
      <c r="T1327" s="10" t="s">
        <v>1103</v>
      </c>
      <c r="U1327" s="34" t="str">
        <f t="shared" si="148"/>
        <v/>
      </c>
      <c r="V1327" s="31" t="str">
        <f>IF(H1327="CHK",VLOOKUP(I1327,QCCHK,3,),IF(H1327="GUP",VLOOKUP(E1327,QCGUP,2,),IF(AND(H1327="ATP",OR(I1327="TN",I1327="TDN",I1327="TNO2-3",I1327="NO2-3")),VLOOKUP(E1327,QCREC_N,2,),IF(AND(H1327="NIC",OR(I1327="TN",I1327="TDN",I1327="TNO2-3",I1327="NO2-3")),VLOOKUP(E1327,QCNIC_N,2,),IF(AND(H1327="UREA",OR(I1327="TN",I1327="TDN",I1327="TNO2-3",I1327="NO2-3")),VLOOKUP(E1327,QCUREA_N,2,),IF(H1327="PER",VLOOKUP(I1327,QCPER,MATCH(E1327,QCACTUAL!$J$25:$AA$25,0),),IF(H1327="SPK",VLOOKUP(I1327,QCSPK,3,),IF(AND(H1327="ATP",OR(I1327="TP",I1327="TDP")),VLOOKUP(E1327,QCATP_P,2,),""))))))))</f>
        <v/>
      </c>
      <c r="W1327" s="31" t="str">
        <f t="shared" si="149"/>
        <v>TRUE</v>
      </c>
      <c r="X1327" s="31" t="str">
        <f t="shared" si="146"/>
        <v/>
      </c>
      <c r="Y1327" s="10" t="s">
        <v>1096</v>
      </c>
      <c r="Z1327" s="10" t="s">
        <v>910</v>
      </c>
      <c r="AL1327" s="10" t="str">
        <f t="shared" si="151"/>
        <v>FALSE</v>
      </c>
      <c r="AM1327" s="10" t="str">
        <f t="shared" si="151"/>
        <v>FALSE</v>
      </c>
      <c r="AN1327" s="10" t="str">
        <f t="shared" si="151"/>
        <v>FALSE</v>
      </c>
      <c r="AO1327" s="10" t="str">
        <f t="shared" si="152"/>
        <v>FALSE</v>
      </c>
      <c r="AP1327" s="10" t="str">
        <f t="shared" si="152"/>
        <v>FALSE</v>
      </c>
      <c r="AQ1327" s="10" t="b">
        <f>IF(AND(I1327="TP",S1327&lt;=150),VLOOKUP(AF1327,TPCalibEq150!$AZ$2:$BB$55,3,),IF(AND(I1327="TDP",S1327&lt;=150),VLOOKUP(AF1327,TPCalibEq150!$AZ$2:$BB$55,3,)))</f>
        <v>0</v>
      </c>
      <c r="AR1327" s="10" t="b">
        <f>IF(AND(I1327="TP",S1327&lt;=300),VLOOKUP(AF1327,TPCalibEq300!$AZ$2:$BB$55,3,),IF(AND(I1327="TDP",S1327&lt;=300),VLOOKUP(AF1327,TPCalibEq300!$AZ$2:$BB$55,3,)))</f>
        <v>0</v>
      </c>
      <c r="AS1327" s="10" t="b">
        <f>IF(AND(I1327="TP",S1327&lt;=500),VLOOKUP(AF1327,TPCalibEq500!$AZ$2:$BB$56,3,),IF(AND(I1327="TDP",S1327&lt;=500),VLOOKUP(AF1327,TPCalibEq500!$AZ$2:$BB$56,3,)))</f>
        <v>0</v>
      </c>
      <c r="AT1327" s="10" t="b">
        <f>IF(AND(I1327="TN",S1327&lt;=2800),VLOOKUP(AF1327,TNCalibEq2500!$AZ$2:$BB$56,3,),IF(AND(I1327="TDN",S1327&lt;=2800),VLOOKUP(AF1327,TNCalibEq2500!$AZ$2:$BB$56,3,)))</f>
        <v>0</v>
      </c>
      <c r="AU1327" s="10" t="b">
        <f>IF(I1327="TP",VLOOKUP(AF1327,TPCalibEqFull!$AZ$2:$BB$56,3),IF(I1327="TDP",VLOOKUP(AF1327,TPCalibEqFull!$AZ$2:$BB$56,3),IF(I1327="TDN",VLOOKUP(AF1327,TNCalibEqFull!$AZ$1:$BB$56,3),IF(I1327="TN",VLOOKUP(AF1327,TNCalibEqFull!$AZ$1:$BB$56,3),FALSE))))</f>
        <v>0</v>
      </c>
      <c r="AV1327" s="10" t="str">
        <f t="shared" si="150"/>
        <v>0130 07:48:00-EFK-0-C-1-SW-UKN</v>
      </c>
    </row>
    <row r="1328" spans="1:48" s="10" customFormat="1" x14ac:dyDescent="0.55000000000000004">
      <c r="A1328" s="32">
        <v>44956</v>
      </c>
      <c r="B1328" s="33">
        <v>0.33749999999999997</v>
      </c>
      <c r="C1328" s="10" t="s">
        <v>333</v>
      </c>
      <c r="D1328" s="10">
        <v>0</v>
      </c>
      <c r="E1328" s="10" t="s">
        <v>190</v>
      </c>
      <c r="F1328" s="10">
        <v>1</v>
      </c>
      <c r="G1328" s="10" t="s">
        <v>231</v>
      </c>
      <c r="H1328" s="10" t="s">
        <v>322</v>
      </c>
      <c r="I1328" s="10" t="s">
        <v>75</v>
      </c>
      <c r="J1328" s="10">
        <v>12</v>
      </c>
      <c r="K1328" s="12">
        <v>44958</v>
      </c>
      <c r="L1328" s="33">
        <v>0.515625</v>
      </c>
      <c r="M1328" s="10">
        <v>1</v>
      </c>
      <c r="N1328" s="10" t="s">
        <v>76</v>
      </c>
      <c r="O1328" s="10">
        <v>0.13600000000000001</v>
      </c>
      <c r="P1328" s="10">
        <v>7.8499999999999993E-3</v>
      </c>
      <c r="Q1328" s="10">
        <v>7.5</v>
      </c>
      <c r="R1328" s="10" t="s">
        <v>77</v>
      </c>
      <c r="S1328" s="34">
        <f t="shared" si="147"/>
        <v>7.5</v>
      </c>
      <c r="T1328" s="10" t="s">
        <v>1103</v>
      </c>
      <c r="U1328" s="34" t="str">
        <f t="shared" si="148"/>
        <v/>
      </c>
      <c r="V1328" s="31" t="str">
        <f>IF(H1328="CHK",VLOOKUP(I1328,QCCHK,3,),IF(H1328="GUP",VLOOKUP(E1328,QCGUP,2,),IF(AND(H1328="ATP",OR(I1328="TN",I1328="TDN",I1328="TNO2-3",I1328="NO2-3")),VLOOKUP(E1328,QCREC_N,2,),IF(AND(H1328="NIC",OR(I1328="TN",I1328="TDN",I1328="TNO2-3",I1328="NO2-3")),VLOOKUP(E1328,QCNIC_N,2,),IF(AND(H1328="UREA",OR(I1328="TN",I1328="TDN",I1328="TNO2-3",I1328="NO2-3")),VLOOKUP(E1328,QCUREA_N,2,),IF(H1328="PER",VLOOKUP(I1328,QCPER,MATCH(E1328,QCACTUAL!$J$25:$AA$25,0),),IF(H1328="SPK",VLOOKUP(I1328,QCSPK,3,),IF(AND(H1328="ATP",OR(I1328="TP",I1328="TDP")),VLOOKUP(E1328,QCATP_P,2,),""))))))))</f>
        <v/>
      </c>
      <c r="W1328" s="31" t="str">
        <f t="shared" si="149"/>
        <v>TRUE</v>
      </c>
      <c r="X1328" s="31" t="str">
        <f t="shared" si="146"/>
        <v/>
      </c>
      <c r="Y1328" s="10" t="s">
        <v>1096</v>
      </c>
      <c r="Z1328" s="10" t="s">
        <v>910</v>
      </c>
      <c r="AL1328" s="10" t="str">
        <f t="shared" si="151"/>
        <v>FALSE</v>
      </c>
      <c r="AM1328" s="10" t="str">
        <f t="shared" si="151"/>
        <v>FALSE</v>
      </c>
      <c r="AN1328" s="10" t="str">
        <f t="shared" si="151"/>
        <v>FALSE</v>
      </c>
      <c r="AO1328" s="10" t="str">
        <f t="shared" si="152"/>
        <v>FALSE</v>
      </c>
      <c r="AP1328" s="10" t="str">
        <f t="shared" si="152"/>
        <v>FALSE</v>
      </c>
      <c r="AQ1328" s="10" t="b">
        <f>IF(AND(I1328="TP",S1328&lt;=150),VLOOKUP(AF1328,TPCalibEq150!$AZ$2:$BB$55,3,),IF(AND(I1328="TDP",S1328&lt;=150),VLOOKUP(AF1328,TPCalibEq150!$AZ$2:$BB$55,3,)))</f>
        <v>0</v>
      </c>
      <c r="AR1328" s="10" t="b">
        <f>IF(AND(I1328="TP",S1328&lt;=300),VLOOKUP(AF1328,TPCalibEq300!$AZ$2:$BB$55,3,),IF(AND(I1328="TDP",S1328&lt;=300),VLOOKUP(AF1328,TPCalibEq300!$AZ$2:$BB$55,3,)))</f>
        <v>0</v>
      </c>
      <c r="AS1328" s="10" t="b">
        <f>IF(AND(I1328="TP",S1328&lt;=500),VLOOKUP(AF1328,TPCalibEq500!$AZ$2:$BB$56,3,),IF(AND(I1328="TDP",S1328&lt;=500),VLOOKUP(AF1328,TPCalibEq500!$AZ$2:$BB$56,3,)))</f>
        <v>0</v>
      </c>
      <c r="AT1328" s="10" t="b">
        <f>IF(AND(I1328="TN",S1328&lt;=2800),VLOOKUP(AF1328,TNCalibEq2500!$AZ$2:$BB$56,3,),IF(AND(I1328="TDN",S1328&lt;=2800),VLOOKUP(AF1328,TNCalibEq2500!$AZ$2:$BB$56,3,)))</f>
        <v>0</v>
      </c>
      <c r="AU1328" s="10" t="b">
        <f>IF(I1328="TP",VLOOKUP(AF1328,TPCalibEqFull!$AZ$2:$BB$56,3),IF(I1328="TDP",VLOOKUP(AF1328,TPCalibEqFull!$AZ$2:$BB$56,3),IF(I1328="TDN",VLOOKUP(AF1328,TNCalibEqFull!$AZ$1:$BB$56,3),IF(I1328="TN",VLOOKUP(AF1328,TNCalibEqFull!$AZ$1:$BB$56,3),FALSE))))</f>
        <v>0</v>
      </c>
      <c r="AV1328" s="10" t="str">
        <f t="shared" si="150"/>
        <v>0130 08:06:00-HST-0-C-1-SW-UKN</v>
      </c>
    </row>
    <row r="1329" spans="1:48" s="10" customFormat="1" x14ac:dyDescent="0.55000000000000004">
      <c r="A1329" s="32">
        <v>44957</v>
      </c>
      <c r="B1329" s="33">
        <v>0.41250000000000003</v>
      </c>
      <c r="C1329" s="10" t="s">
        <v>279</v>
      </c>
      <c r="D1329" s="10">
        <v>0</v>
      </c>
      <c r="E1329" s="10" t="s">
        <v>190</v>
      </c>
      <c r="F1329" s="10">
        <v>1</v>
      </c>
      <c r="G1329" s="10" t="s">
        <v>231</v>
      </c>
      <c r="H1329" s="10" t="s">
        <v>322</v>
      </c>
      <c r="I1329" s="10" t="s">
        <v>75</v>
      </c>
      <c r="J1329" s="10">
        <v>13</v>
      </c>
      <c r="K1329" s="12">
        <v>44958</v>
      </c>
      <c r="L1329" s="33">
        <v>0.51643518518518516</v>
      </c>
      <c r="M1329" s="10">
        <v>1</v>
      </c>
      <c r="N1329" s="10" t="s">
        <v>76</v>
      </c>
      <c r="O1329" s="10">
        <v>0.41599999999999998</v>
      </c>
      <c r="P1329" s="10">
        <v>3.1E-2</v>
      </c>
      <c r="Q1329" s="10">
        <v>22.9</v>
      </c>
      <c r="R1329" s="10" t="s">
        <v>77</v>
      </c>
      <c r="S1329" s="34">
        <f t="shared" si="147"/>
        <v>22.9</v>
      </c>
      <c r="T1329" s="10" t="s">
        <v>1103</v>
      </c>
      <c r="U1329" s="34" t="str">
        <f t="shared" si="148"/>
        <v/>
      </c>
      <c r="V1329" s="31" t="str">
        <f>IF(H1329="CHK",VLOOKUP(I1329,QCCHK,3,),IF(H1329="GUP",VLOOKUP(E1329,QCGUP,2,),IF(AND(H1329="ATP",OR(I1329="TN",I1329="TDN",I1329="TNO2-3",I1329="NO2-3")),VLOOKUP(E1329,QCREC_N,2,),IF(AND(H1329="NIC",OR(I1329="TN",I1329="TDN",I1329="TNO2-3",I1329="NO2-3")),VLOOKUP(E1329,QCNIC_N,2,),IF(AND(H1329="UREA",OR(I1329="TN",I1329="TDN",I1329="TNO2-3",I1329="NO2-3")),VLOOKUP(E1329,QCUREA_N,2,),IF(H1329="PER",VLOOKUP(I1329,QCPER,MATCH(E1329,QCACTUAL!$J$25:$AA$25,0),),IF(H1329="SPK",VLOOKUP(I1329,QCSPK,3,),IF(AND(H1329="ATP",OR(I1329="TP",I1329="TDP")),VLOOKUP(E1329,QCATP_P,2,),""))))))))</f>
        <v/>
      </c>
      <c r="W1329" s="31" t="str">
        <f t="shared" si="149"/>
        <v>TRUE</v>
      </c>
      <c r="X1329" s="31" t="str">
        <f t="shared" si="146"/>
        <v/>
      </c>
      <c r="Y1329" s="10" t="s">
        <v>1096</v>
      </c>
      <c r="AL1329" s="10" t="str">
        <f t="shared" si="151"/>
        <v>FALSE</v>
      </c>
      <c r="AM1329" s="10" t="str">
        <f t="shared" si="151"/>
        <v>FALSE</v>
      </c>
      <c r="AN1329" s="10" t="str">
        <f t="shared" si="151"/>
        <v>FALSE</v>
      </c>
      <c r="AO1329" s="10" t="str">
        <f t="shared" si="152"/>
        <v>FALSE</v>
      </c>
      <c r="AP1329" s="10" t="str">
        <f t="shared" si="152"/>
        <v>FALSE</v>
      </c>
      <c r="AQ1329" s="10" t="b">
        <f>IF(AND(I1329="TP",S1329&lt;=150),VLOOKUP(AF1329,TPCalibEq150!$AZ$2:$BB$55,3,),IF(AND(I1329="TDP",S1329&lt;=150),VLOOKUP(AF1329,TPCalibEq150!$AZ$2:$BB$55,3,)))</f>
        <v>0</v>
      </c>
      <c r="AR1329" s="10" t="b">
        <f>IF(AND(I1329="TP",S1329&lt;=300),VLOOKUP(AF1329,TPCalibEq300!$AZ$2:$BB$55,3,),IF(AND(I1329="TDP",S1329&lt;=300),VLOOKUP(AF1329,TPCalibEq300!$AZ$2:$BB$55,3,)))</f>
        <v>0</v>
      </c>
      <c r="AS1329" s="10" t="b">
        <f>IF(AND(I1329="TP",S1329&lt;=500),VLOOKUP(AF1329,TPCalibEq500!$AZ$2:$BB$56,3,),IF(AND(I1329="TDP",S1329&lt;=500),VLOOKUP(AF1329,TPCalibEq500!$AZ$2:$BB$56,3,)))</f>
        <v>0</v>
      </c>
      <c r="AT1329" s="10" t="b">
        <f>IF(AND(I1329="TN",S1329&lt;=2800),VLOOKUP(AF1329,TNCalibEq2500!$AZ$2:$BB$56,3,),IF(AND(I1329="TDN",S1329&lt;=2800),VLOOKUP(AF1329,TNCalibEq2500!$AZ$2:$BB$56,3,)))</f>
        <v>0</v>
      </c>
      <c r="AU1329" s="10" t="b">
        <f>IF(I1329="TP",VLOOKUP(AF1329,TPCalibEqFull!$AZ$2:$BB$56,3),IF(I1329="TDP",VLOOKUP(AF1329,TPCalibEqFull!$AZ$2:$BB$56,3),IF(I1329="TDN",VLOOKUP(AF1329,TNCalibEqFull!$AZ$1:$BB$56,3),IF(I1329="TN",VLOOKUP(AF1329,TNCalibEqFull!$AZ$1:$BB$56,3),FALSE))))</f>
        <v>0</v>
      </c>
      <c r="AV1329" s="10" t="str">
        <f t="shared" si="150"/>
        <v>0131 09:54:00-EFK-0-C-1-SW-UKN</v>
      </c>
    </row>
    <row r="1330" spans="1:48" s="10" customFormat="1" x14ac:dyDescent="0.55000000000000004">
      <c r="A1330" s="32">
        <v>44957</v>
      </c>
      <c r="B1330" s="33">
        <v>0.41597222222222219</v>
      </c>
      <c r="C1330" s="10" t="s">
        <v>333</v>
      </c>
      <c r="D1330" s="10">
        <v>0</v>
      </c>
      <c r="E1330" s="10" t="s">
        <v>190</v>
      </c>
      <c r="F1330" s="10">
        <v>1</v>
      </c>
      <c r="G1330" s="10" t="s">
        <v>231</v>
      </c>
      <c r="H1330" s="10" t="s">
        <v>322</v>
      </c>
      <c r="I1330" s="10" t="s">
        <v>75</v>
      </c>
      <c r="J1330" s="10">
        <v>14</v>
      </c>
      <c r="K1330" s="12">
        <v>44958</v>
      </c>
      <c r="L1330" s="33">
        <v>0.51723379629629629</v>
      </c>
      <c r="M1330" s="10">
        <v>1</v>
      </c>
      <c r="N1330" s="10" t="s">
        <v>76</v>
      </c>
      <c r="O1330" s="10">
        <v>7.2099999999999997E-2</v>
      </c>
      <c r="P1330" s="10">
        <v>3.7299999999999998E-3</v>
      </c>
      <c r="Q1330" s="10">
        <v>3.98</v>
      </c>
      <c r="R1330" s="10" t="s">
        <v>77</v>
      </c>
      <c r="S1330" s="34">
        <f t="shared" si="147"/>
        <v>3.98</v>
      </c>
      <c r="T1330" s="10" t="s">
        <v>1103</v>
      </c>
      <c r="U1330" s="34" t="str">
        <f t="shared" si="148"/>
        <v/>
      </c>
      <c r="V1330" s="31" t="str">
        <f>IF(H1330="CHK",VLOOKUP(I1330,QCCHK,3,),IF(H1330="GUP",VLOOKUP(E1330,QCGUP,2,),IF(AND(H1330="ATP",OR(I1330="TN",I1330="TDN",I1330="TNO2-3",I1330="NO2-3")),VLOOKUP(E1330,QCREC_N,2,),IF(AND(H1330="NIC",OR(I1330="TN",I1330="TDN",I1330="TNO2-3",I1330="NO2-3")),VLOOKUP(E1330,QCNIC_N,2,),IF(AND(H1330="UREA",OR(I1330="TN",I1330="TDN",I1330="TNO2-3",I1330="NO2-3")),VLOOKUP(E1330,QCUREA_N,2,),IF(H1330="PER",VLOOKUP(I1330,QCPER,MATCH(E1330,QCACTUAL!$J$25:$AA$25,0),),IF(H1330="SPK",VLOOKUP(I1330,QCSPK,3,),IF(AND(H1330="ATP",OR(I1330="TP",I1330="TDP")),VLOOKUP(E1330,QCATP_P,2,),""))))))))</f>
        <v/>
      </c>
      <c r="W1330" s="31" t="str">
        <f t="shared" si="149"/>
        <v>TRUE</v>
      </c>
      <c r="X1330" s="31" t="str">
        <f t="shared" si="146"/>
        <v/>
      </c>
      <c r="Y1330" s="10" t="s">
        <v>1096</v>
      </c>
      <c r="AL1330" s="10" t="str">
        <f t="shared" si="151"/>
        <v>FALSE</v>
      </c>
      <c r="AM1330" s="10" t="str">
        <f t="shared" si="151"/>
        <v>FALSE</v>
      </c>
      <c r="AN1330" s="10" t="str">
        <f t="shared" si="151"/>
        <v>FALSE</v>
      </c>
      <c r="AO1330" s="10" t="str">
        <f t="shared" si="152"/>
        <v>FALSE</v>
      </c>
      <c r="AP1330" s="10" t="str">
        <f t="shared" si="152"/>
        <v>FALSE</v>
      </c>
      <c r="AQ1330" s="10" t="b">
        <f>IF(AND(I1330="TP",S1330&lt;=150),VLOOKUP(AF1330,TPCalibEq150!$AZ$2:$BB$55,3,),IF(AND(I1330="TDP",S1330&lt;=150),VLOOKUP(AF1330,TPCalibEq150!$AZ$2:$BB$55,3,)))</f>
        <v>0</v>
      </c>
      <c r="AR1330" s="10" t="b">
        <f>IF(AND(I1330="TP",S1330&lt;=300),VLOOKUP(AF1330,TPCalibEq300!$AZ$2:$BB$55,3,),IF(AND(I1330="TDP",S1330&lt;=300),VLOOKUP(AF1330,TPCalibEq300!$AZ$2:$BB$55,3,)))</f>
        <v>0</v>
      </c>
      <c r="AS1330" s="10" t="b">
        <f>IF(AND(I1330="TP",S1330&lt;=500),VLOOKUP(AF1330,TPCalibEq500!$AZ$2:$BB$56,3,),IF(AND(I1330="TDP",S1330&lt;=500),VLOOKUP(AF1330,TPCalibEq500!$AZ$2:$BB$56,3,)))</f>
        <v>0</v>
      </c>
      <c r="AT1330" s="10" t="b">
        <f>IF(AND(I1330="TN",S1330&lt;=2800),VLOOKUP(AF1330,TNCalibEq2500!$AZ$2:$BB$56,3,),IF(AND(I1330="TDN",S1330&lt;=2800),VLOOKUP(AF1330,TNCalibEq2500!$AZ$2:$BB$56,3,)))</f>
        <v>0</v>
      </c>
      <c r="AU1330" s="10" t="b">
        <f>IF(I1330="TP",VLOOKUP(AF1330,TPCalibEqFull!$AZ$2:$BB$56,3),IF(I1330="TDP",VLOOKUP(AF1330,TPCalibEqFull!$AZ$2:$BB$56,3),IF(I1330="TDN",VLOOKUP(AF1330,TNCalibEqFull!$AZ$1:$BB$56,3),IF(I1330="TN",VLOOKUP(AF1330,TNCalibEqFull!$AZ$1:$BB$56,3),FALSE))))</f>
        <v>0</v>
      </c>
      <c r="AV1330" s="10" t="str">
        <f t="shared" si="150"/>
        <v>0131 09:59:00-HST-0-C-1-SW-UKN</v>
      </c>
    </row>
    <row r="1331" spans="1:48" s="10" customFormat="1" x14ac:dyDescent="0.55000000000000004">
      <c r="A1331" s="32">
        <v>44957</v>
      </c>
      <c r="B1331" s="33">
        <v>0.41597222222222219</v>
      </c>
      <c r="C1331" s="10" t="s">
        <v>333</v>
      </c>
      <c r="D1331" s="10">
        <v>0</v>
      </c>
      <c r="E1331" s="10" t="s">
        <v>190</v>
      </c>
      <c r="F1331" s="10">
        <v>1</v>
      </c>
      <c r="G1331" s="10" t="s">
        <v>231</v>
      </c>
      <c r="H1331" s="10" t="s">
        <v>233</v>
      </c>
      <c r="I1331" s="10" t="s">
        <v>75</v>
      </c>
      <c r="J1331" s="10">
        <v>14</v>
      </c>
      <c r="K1331" s="12">
        <v>44958</v>
      </c>
      <c r="L1331" s="33">
        <v>0.51804398148148145</v>
      </c>
      <c r="M1331" s="10">
        <v>1</v>
      </c>
      <c r="N1331" s="10" t="s">
        <v>76</v>
      </c>
      <c r="O1331" s="10">
        <v>6.5500000000000003E-2</v>
      </c>
      <c r="P1331" s="10">
        <v>3.2599999999999999E-3</v>
      </c>
      <c r="Q1331" s="10">
        <v>3.61</v>
      </c>
      <c r="R1331" s="10" t="s">
        <v>77</v>
      </c>
      <c r="S1331" s="34">
        <f t="shared" si="147"/>
        <v>3.61</v>
      </c>
      <c r="T1331" s="10" t="s">
        <v>1103</v>
      </c>
      <c r="U1331" s="34">
        <f t="shared" si="148"/>
        <v>9.7496706192358396</v>
      </c>
      <c r="V1331" s="31" t="str">
        <f>IF(H1331="CHK",VLOOKUP(I1331,QCCHK,3,),IF(H1331="GUP",VLOOKUP(E1331,QCGUP,2,),IF(AND(H1331="ATP",OR(I1331="TN",I1331="TDN",I1331="TNO2-3",I1331="NO2-3")),VLOOKUP(E1331,QCREC_N,2,),IF(AND(H1331="NIC",OR(I1331="TN",I1331="TDN",I1331="TNO2-3",I1331="NO2-3")),VLOOKUP(E1331,QCNIC_N,2,),IF(AND(H1331="UREA",OR(I1331="TN",I1331="TDN",I1331="TNO2-3",I1331="NO2-3")),VLOOKUP(E1331,QCUREA_N,2,),IF(H1331="PER",VLOOKUP(I1331,QCPER,MATCH(E1331,QCACTUAL!$J$25:$AA$25,0),),IF(H1331="SPK",VLOOKUP(I1331,QCSPK,3,),IF(AND(H1331="ATP",OR(I1331="TP",I1331="TDP")),VLOOKUP(E1331,QCATP_P,2,),""))))))))</f>
        <v/>
      </c>
      <c r="W1331" s="31" t="str">
        <f t="shared" si="149"/>
        <v>TRUE</v>
      </c>
      <c r="X1331" s="31" t="str">
        <f t="shared" si="146"/>
        <v>((ABS(rep1-rep2))/((rep1+rep2)/2)*100</v>
      </c>
      <c r="Y1331" s="10" t="s">
        <v>1096</v>
      </c>
      <c r="AL1331" s="10" t="str">
        <f t="shared" si="151"/>
        <v>FALSE</v>
      </c>
      <c r="AM1331" s="10" t="str">
        <f t="shared" si="151"/>
        <v>FALSE</v>
      </c>
      <c r="AN1331" s="10" t="str">
        <f t="shared" si="151"/>
        <v>FALSE</v>
      </c>
      <c r="AO1331" s="10" t="str">
        <f t="shared" si="152"/>
        <v>FALSE</v>
      </c>
      <c r="AP1331" s="10" t="str">
        <f t="shared" si="152"/>
        <v>FALSE</v>
      </c>
      <c r="AQ1331" s="10" t="b">
        <f>IF(AND(I1331="TP",S1331&lt;=150),VLOOKUP(AF1331,TPCalibEq150!$AZ$2:$BB$55,3,),IF(AND(I1331="TDP",S1331&lt;=150),VLOOKUP(AF1331,TPCalibEq150!$AZ$2:$BB$55,3,)))</f>
        <v>0</v>
      </c>
      <c r="AR1331" s="10" t="b">
        <f>IF(AND(I1331="TP",S1331&lt;=300),VLOOKUP(AF1331,TPCalibEq300!$AZ$2:$BB$55,3,),IF(AND(I1331="TDP",S1331&lt;=300),VLOOKUP(AF1331,TPCalibEq300!$AZ$2:$BB$55,3,)))</f>
        <v>0</v>
      </c>
      <c r="AS1331" s="10" t="b">
        <f>IF(AND(I1331="TP",S1331&lt;=500),VLOOKUP(AF1331,TPCalibEq500!$AZ$2:$BB$56,3,),IF(AND(I1331="TDP",S1331&lt;=500),VLOOKUP(AF1331,TPCalibEq500!$AZ$2:$BB$56,3,)))</f>
        <v>0</v>
      </c>
      <c r="AT1331" s="10" t="b">
        <f>IF(AND(I1331="TN",S1331&lt;=2800),VLOOKUP(AF1331,TNCalibEq2500!$AZ$2:$BB$56,3,),IF(AND(I1331="TDN",S1331&lt;=2800),VLOOKUP(AF1331,TNCalibEq2500!$AZ$2:$BB$56,3,)))</f>
        <v>0</v>
      </c>
      <c r="AU1331" s="10" t="b">
        <f>IF(I1331="TP",VLOOKUP(AF1331,TPCalibEqFull!$AZ$2:$BB$56,3),IF(I1331="TDP",VLOOKUP(AF1331,TPCalibEqFull!$AZ$2:$BB$56,3),IF(I1331="TDN",VLOOKUP(AF1331,TNCalibEqFull!$AZ$1:$BB$56,3),IF(I1331="TN",VLOOKUP(AF1331,TNCalibEqFull!$AZ$1:$BB$56,3),FALSE))))</f>
        <v>0</v>
      </c>
      <c r="AV1331" s="10" t="str">
        <f t="shared" si="150"/>
        <v>0131 09:59:00-HST-0-C-1-SW-DUP</v>
      </c>
    </row>
    <row r="1332" spans="1:48" s="10" customFormat="1" x14ac:dyDescent="0.55000000000000004">
      <c r="A1332" s="32">
        <v>44957</v>
      </c>
      <c r="B1332" s="33">
        <v>0.41597222222222219</v>
      </c>
      <c r="C1332" s="10" t="s">
        <v>912</v>
      </c>
      <c r="D1332" s="10">
        <v>0</v>
      </c>
      <c r="E1332" s="10" t="s">
        <v>190</v>
      </c>
      <c r="F1332" s="10">
        <v>1</v>
      </c>
      <c r="G1332" s="10" t="s">
        <v>231</v>
      </c>
      <c r="H1332" s="10" t="s">
        <v>314</v>
      </c>
      <c r="I1332" s="10" t="s">
        <v>75</v>
      </c>
      <c r="J1332" s="10">
        <v>82</v>
      </c>
      <c r="K1332" s="12">
        <v>44958</v>
      </c>
      <c r="L1332" s="33">
        <v>0.51886574074074077</v>
      </c>
      <c r="M1332" s="10">
        <v>1</v>
      </c>
      <c r="N1332" s="10" t="s">
        <v>76</v>
      </c>
      <c r="O1332" s="10">
        <v>12.9</v>
      </c>
      <c r="P1332" s="10">
        <v>1.04</v>
      </c>
      <c r="Q1332" s="10">
        <v>715</v>
      </c>
      <c r="R1332" s="10" t="s">
        <v>77</v>
      </c>
      <c r="S1332" s="34">
        <f t="shared" si="147"/>
        <v>715</v>
      </c>
      <c r="T1332" s="10" t="s">
        <v>1103</v>
      </c>
      <c r="U1332" s="34">
        <f t="shared" si="148"/>
        <v>113.82239999999999</v>
      </c>
      <c r="V1332" s="31">
        <f>IF(H1332="CHK",VLOOKUP(I1332,QCCHK,3,),IF(H1332="GUP",VLOOKUP(E1332,QCGUP,2,),IF(AND(H1332="ATP",OR(I1332="TN",I1332="TDN",I1332="TNO2-3",I1332="NO2-3")),VLOOKUP(E1332,QCREC_N,2,),IF(AND(H1332="NIC",OR(I1332="TN",I1332="TDN",I1332="TNO2-3",I1332="NO2-3")),VLOOKUP(E1332,QCNIC_N,2,),IF(AND(H1332="UREA",OR(I1332="TN",I1332="TDN",I1332="TNO2-3",I1332="NO2-3")),VLOOKUP(E1332,QCUREA_N,2,),IF(H1332="PER",VLOOKUP(I1332,QCPER,MATCH(E1332,QCACTUAL!$J$25:$AA$25,0),),IF(H1332="SPK",VLOOKUP(I1332,QCSPK,3,),IF(AND(H1332="ATP",OR(I1332="TP",I1332="TDP")),VLOOKUP(E1332,QCATP_P,2,),""))))))))</f>
        <v>625</v>
      </c>
      <c r="W1332" s="31" t="str">
        <f t="shared" si="149"/>
        <v>TRUE</v>
      </c>
      <c r="X1332" s="31" t="str">
        <f t="shared" si="146"/>
        <v>([spikedunkn]-[unkn])/[spike]*100</v>
      </c>
      <c r="Y1332" s="10" t="s">
        <v>1096</v>
      </c>
      <c r="AL1332" s="10" t="str">
        <f t="shared" si="151"/>
        <v>FALSE</v>
      </c>
      <c r="AM1332" s="10" t="str">
        <f t="shared" si="151"/>
        <v>FALSE</v>
      </c>
      <c r="AN1332" s="10" t="str">
        <f t="shared" si="151"/>
        <v>FALSE</v>
      </c>
      <c r="AO1332" s="10" t="str">
        <f t="shared" si="152"/>
        <v>FALSE</v>
      </c>
      <c r="AP1332" s="10" t="str">
        <f t="shared" si="152"/>
        <v>FALSE</v>
      </c>
      <c r="AQ1332" s="10" t="b">
        <f>IF(AND(I1332="TP",S1332&lt;=150),VLOOKUP(AF1332,TPCalibEq150!$AZ$2:$BB$55,3,),IF(AND(I1332="TDP",S1332&lt;=150),VLOOKUP(AF1332,TPCalibEq150!$AZ$2:$BB$55,3,)))</f>
        <v>0</v>
      </c>
      <c r="AR1332" s="10" t="b">
        <f>IF(AND(I1332="TP",S1332&lt;=300),VLOOKUP(AF1332,TPCalibEq300!$AZ$2:$BB$55,3,),IF(AND(I1332="TDP",S1332&lt;=300),VLOOKUP(AF1332,TPCalibEq300!$AZ$2:$BB$55,3,)))</f>
        <v>0</v>
      </c>
      <c r="AS1332" s="10" t="b">
        <f>IF(AND(I1332="TP",S1332&lt;=500),VLOOKUP(AF1332,TPCalibEq500!$AZ$2:$BB$56,3,),IF(AND(I1332="TDP",S1332&lt;=500),VLOOKUP(AF1332,TPCalibEq500!$AZ$2:$BB$56,3,)))</f>
        <v>0</v>
      </c>
      <c r="AT1332" s="10" t="b">
        <f>IF(AND(I1332="TN",S1332&lt;=2800),VLOOKUP(AF1332,TNCalibEq2500!$AZ$2:$BB$56,3,),IF(AND(I1332="TDN",S1332&lt;=2800),VLOOKUP(AF1332,TNCalibEq2500!$AZ$2:$BB$56,3,)))</f>
        <v>0</v>
      </c>
      <c r="AU1332" s="10" t="b">
        <f>IF(I1332="TP",VLOOKUP(AF1332,TPCalibEqFull!$AZ$2:$BB$56,3),IF(I1332="TDP",VLOOKUP(AF1332,TPCalibEqFull!$AZ$2:$BB$56,3),IF(I1332="TDN",VLOOKUP(AF1332,TNCalibEqFull!$AZ$1:$BB$56,3),IF(I1332="TN",VLOOKUP(AF1332,TNCalibEqFull!$AZ$1:$BB$56,3),FALSE))))</f>
        <v>0</v>
      </c>
      <c r="AV1332" s="10" t="str">
        <f t="shared" si="150"/>
        <v>0131 09:59:00-HST -0-C-1-SW-SPK</v>
      </c>
    </row>
    <row r="1333" spans="1:48" s="10" customFormat="1" x14ac:dyDescent="0.55000000000000004">
      <c r="A1333" s="32">
        <v>44958</v>
      </c>
      <c r="B1333" s="33">
        <v>0.375</v>
      </c>
      <c r="C1333" s="10" t="s">
        <v>70</v>
      </c>
      <c r="D1333" s="10" t="s">
        <v>71</v>
      </c>
      <c r="E1333" s="10" t="s">
        <v>901</v>
      </c>
      <c r="F1333" s="10">
        <v>1</v>
      </c>
      <c r="G1333" s="10" t="s">
        <v>73</v>
      </c>
      <c r="H1333" s="10" t="s">
        <v>207</v>
      </c>
      <c r="I1333" s="10" t="s">
        <v>75</v>
      </c>
      <c r="J1333" s="10">
        <v>199</v>
      </c>
      <c r="K1333" s="12">
        <v>44958</v>
      </c>
      <c r="L1333" s="33">
        <v>0.51968749999999997</v>
      </c>
      <c r="M1333" s="10">
        <v>1</v>
      </c>
      <c r="N1333" s="10" t="s">
        <v>76</v>
      </c>
      <c r="O1333" s="10">
        <v>5.35</v>
      </c>
      <c r="P1333" s="10">
        <v>0.432</v>
      </c>
      <c r="Q1333" s="10">
        <v>296</v>
      </c>
      <c r="R1333" s="10" t="s">
        <v>77</v>
      </c>
      <c r="S1333" s="34">
        <f t="shared" si="147"/>
        <v>296</v>
      </c>
      <c r="T1333" s="10" t="s">
        <v>1103</v>
      </c>
      <c r="U1333" s="34">
        <f t="shared" si="148"/>
        <v>98.666666666666671</v>
      </c>
      <c r="V1333" s="31">
        <f>IF(H1333="CHK",VLOOKUP(I1333,QCCHK,3,),IF(H1333="GUP",VLOOKUP(E1333,QCGUP,2,),IF(AND(H1333="ATP",OR(I1333="TN",I1333="TDN",I1333="TNO2-3",I1333="NO2-3")),VLOOKUP(E1333,QCREC_N,2,),IF(AND(H1333="NIC",OR(I1333="TN",I1333="TDN",I1333="TNO2-3",I1333="NO2-3")),VLOOKUP(E1333,QCNIC_N,2,),IF(AND(H1333="UREA",OR(I1333="TN",I1333="TDN",I1333="TNO2-3",I1333="NO2-3")),VLOOKUP(E1333,QCUREA_N,2,),IF(H1333="PER",VLOOKUP(I1333,QCPER,MATCH(E1333,QCACTUAL!$J$25:$AA$25,0),),IF(H1333="SPK",VLOOKUP(I1333,QCSPK,3,),IF(AND(H1333="ATP",OR(I1333="TP",I1333="TDP")),VLOOKUP(E1333,QCATP_P,2,),""))))))))</f>
        <v>300</v>
      </c>
      <c r="W1333" s="31" t="str">
        <f t="shared" si="149"/>
        <v>TRUE</v>
      </c>
      <c r="X1333" s="31" t="str">
        <f t="shared" si="146"/>
        <v>[chk]/[actual]*100</v>
      </c>
      <c r="Y1333" s="10" t="s">
        <v>1096</v>
      </c>
      <c r="AL1333" s="10" t="str">
        <f t="shared" si="151"/>
        <v>FALSE</v>
      </c>
      <c r="AM1333" s="10" t="str">
        <f t="shared" si="151"/>
        <v>FALSE</v>
      </c>
      <c r="AN1333" s="10" t="str">
        <f t="shared" si="151"/>
        <v>FALSE</v>
      </c>
      <c r="AO1333" s="10" t="str">
        <f t="shared" si="152"/>
        <v>FALSE</v>
      </c>
      <c r="AP1333" s="10" t="str">
        <f t="shared" si="152"/>
        <v>FALSE</v>
      </c>
      <c r="AQ1333" s="10" t="b">
        <f>IF(AND(I1333="TP",S1333&lt;=150),VLOOKUP(AF1333,TPCalibEq150!$AZ$2:$BB$55,3,),IF(AND(I1333="TDP",S1333&lt;=150),VLOOKUP(AF1333,TPCalibEq150!$AZ$2:$BB$55,3,)))</f>
        <v>0</v>
      </c>
      <c r="AR1333" s="10" t="b">
        <f>IF(AND(I1333="TP",S1333&lt;=300),VLOOKUP(AF1333,TPCalibEq300!$AZ$2:$BB$55,3,),IF(AND(I1333="TDP",S1333&lt;=300),VLOOKUP(AF1333,TPCalibEq300!$AZ$2:$BB$55,3,)))</f>
        <v>0</v>
      </c>
      <c r="AS1333" s="10" t="b">
        <f>IF(AND(I1333="TP",S1333&lt;=500),VLOOKUP(AF1333,TPCalibEq500!$AZ$2:$BB$56,3,),IF(AND(I1333="TDP",S1333&lt;=500),VLOOKUP(AF1333,TPCalibEq500!$AZ$2:$BB$56,3,)))</f>
        <v>0</v>
      </c>
      <c r="AT1333" s="10" t="b">
        <f>IF(AND(I1333="TN",S1333&lt;=2800),VLOOKUP(AF1333,TNCalibEq2500!$AZ$2:$BB$56,3,),IF(AND(I1333="TDN",S1333&lt;=2800),VLOOKUP(AF1333,TNCalibEq2500!$AZ$2:$BB$56,3,)))</f>
        <v>0</v>
      </c>
      <c r="AU1333" s="10" t="b">
        <f>IF(I1333="TP",VLOOKUP(AF1333,TPCalibEqFull!$AZ$2:$BB$56,3),IF(I1333="TDP",VLOOKUP(AF1333,TPCalibEqFull!$AZ$2:$BB$56,3),IF(I1333="TDN",VLOOKUP(AF1333,TNCalibEqFull!$AZ$1:$BB$56,3),IF(I1333="TN",VLOOKUP(AF1333,TNCalibEqFull!$AZ$1:$BB$56,3),FALSE))))</f>
        <v>0</v>
      </c>
      <c r="AV1333" s="10" t="str">
        <f t="shared" si="150"/>
        <v>0201 09:00:00-QAC-STD-D-1-DI-CHK</v>
      </c>
    </row>
    <row r="1334" spans="1:48" s="10" customFormat="1" x14ac:dyDescent="0.55000000000000004">
      <c r="A1334" s="32">
        <v>44949</v>
      </c>
      <c r="B1334" s="33">
        <v>0.34375</v>
      </c>
      <c r="C1334" s="10" t="s">
        <v>998</v>
      </c>
      <c r="D1334" s="10">
        <v>0</v>
      </c>
      <c r="E1334" s="10" t="s">
        <v>190</v>
      </c>
      <c r="F1334" s="10">
        <v>1</v>
      </c>
      <c r="G1334" s="10" t="s">
        <v>231</v>
      </c>
      <c r="H1334" s="10" t="s">
        <v>322</v>
      </c>
      <c r="I1334" s="10" t="s">
        <v>75</v>
      </c>
      <c r="J1334" s="10">
        <v>15</v>
      </c>
      <c r="K1334" s="12">
        <v>44958</v>
      </c>
      <c r="L1334" s="33">
        <v>0.52048611111111109</v>
      </c>
      <c r="M1334" s="10">
        <v>1</v>
      </c>
      <c r="N1334" s="10" t="s">
        <v>76</v>
      </c>
      <c r="O1334" s="10">
        <v>0.41499999999999998</v>
      </c>
      <c r="P1334" s="10">
        <v>2.9700000000000001E-2</v>
      </c>
      <c r="Q1334" s="10">
        <v>22.9</v>
      </c>
      <c r="R1334" s="10" t="s">
        <v>77</v>
      </c>
      <c r="S1334" s="34">
        <f t="shared" si="147"/>
        <v>22.9</v>
      </c>
      <c r="T1334" s="10" t="s">
        <v>1103</v>
      </c>
      <c r="U1334" s="34" t="str">
        <f t="shared" si="148"/>
        <v/>
      </c>
      <c r="V1334" s="31" t="str">
        <f>IF(H1334="CHK",VLOOKUP(I1334,QCCHK,3,),IF(H1334="GUP",VLOOKUP(E1334,QCGUP,2,),IF(AND(H1334="ATP",OR(I1334="TN",I1334="TDN",I1334="TNO2-3",I1334="NO2-3")),VLOOKUP(E1334,QCREC_N,2,),IF(AND(H1334="NIC",OR(I1334="TN",I1334="TDN",I1334="TNO2-3",I1334="NO2-3")),VLOOKUP(E1334,QCNIC_N,2,),IF(AND(H1334="UREA",OR(I1334="TN",I1334="TDN",I1334="TNO2-3",I1334="NO2-3")),VLOOKUP(E1334,QCUREA_N,2,),IF(H1334="PER",VLOOKUP(I1334,QCPER,MATCH(E1334,QCACTUAL!$J$25:$AA$25,0),),IF(H1334="SPK",VLOOKUP(I1334,QCSPK,3,),IF(AND(H1334="ATP",OR(I1334="TP",I1334="TDP")),VLOOKUP(E1334,QCATP_P,2,),""))))))))</f>
        <v/>
      </c>
      <c r="W1334" s="31" t="str">
        <f t="shared" si="149"/>
        <v>TRUE</v>
      </c>
      <c r="X1334" s="31" t="str">
        <f t="shared" si="146"/>
        <v/>
      </c>
      <c r="Y1334" s="10" t="s">
        <v>1096</v>
      </c>
      <c r="Z1334" s="10" t="s">
        <v>910</v>
      </c>
      <c r="AL1334" s="10" t="str">
        <f t="shared" si="151"/>
        <v>FALSE</v>
      </c>
      <c r="AM1334" s="10" t="str">
        <f t="shared" si="151"/>
        <v>FALSE</v>
      </c>
      <c r="AN1334" s="10" t="str">
        <f t="shared" si="151"/>
        <v>FALSE</v>
      </c>
      <c r="AO1334" s="10" t="str">
        <f t="shared" si="152"/>
        <v>FALSE</v>
      </c>
      <c r="AP1334" s="10" t="str">
        <f t="shared" si="152"/>
        <v>FALSE</v>
      </c>
      <c r="AQ1334" s="10" t="b">
        <f>IF(AND(I1334="TP",S1334&lt;=150),VLOOKUP(AF1334,TPCalibEq150!$AZ$2:$BB$55,3,),IF(AND(I1334="TDP",S1334&lt;=150),VLOOKUP(AF1334,TPCalibEq150!$AZ$2:$BB$55,3,)))</f>
        <v>0</v>
      </c>
      <c r="AR1334" s="10" t="b">
        <f>IF(AND(I1334="TP",S1334&lt;=300),VLOOKUP(AF1334,TPCalibEq300!$AZ$2:$BB$55,3,),IF(AND(I1334="TDP",S1334&lt;=300),VLOOKUP(AF1334,TPCalibEq300!$AZ$2:$BB$55,3,)))</f>
        <v>0</v>
      </c>
      <c r="AS1334" s="10" t="b">
        <f>IF(AND(I1334="TP",S1334&lt;=500),VLOOKUP(AF1334,TPCalibEq500!$AZ$2:$BB$56,3,),IF(AND(I1334="TDP",S1334&lt;=500),VLOOKUP(AF1334,TPCalibEq500!$AZ$2:$BB$56,3,)))</f>
        <v>0</v>
      </c>
      <c r="AT1334" s="10" t="b">
        <f>IF(AND(I1334="TN",S1334&lt;=2800),VLOOKUP(AF1334,TNCalibEq2500!$AZ$2:$BB$56,3,),IF(AND(I1334="TDN",S1334&lt;=2800),VLOOKUP(AF1334,TNCalibEq2500!$AZ$2:$BB$56,3,)))</f>
        <v>0</v>
      </c>
      <c r="AU1334" s="10" t="b">
        <f>IF(I1334="TP",VLOOKUP(AF1334,TPCalibEqFull!$AZ$2:$BB$56,3),IF(I1334="TDP",VLOOKUP(AF1334,TPCalibEqFull!$AZ$2:$BB$56,3),IF(I1334="TDN",VLOOKUP(AF1334,TNCalibEqFull!$AZ$1:$BB$56,3),IF(I1334="TN",VLOOKUP(AF1334,TNCalibEqFull!$AZ$1:$BB$56,3),FALSE))))</f>
        <v>0</v>
      </c>
      <c r="AV1334" s="10" t="str">
        <f t="shared" si="150"/>
        <v>0123 08:15:00-ELW-0-C-1-SW-UKN</v>
      </c>
    </row>
    <row r="1335" spans="1:48" s="10" customFormat="1" x14ac:dyDescent="0.55000000000000004">
      <c r="A1335" s="32">
        <v>44949</v>
      </c>
      <c r="B1335" s="33">
        <v>0.37777777777777777</v>
      </c>
      <c r="C1335" s="10" t="s">
        <v>270</v>
      </c>
      <c r="D1335" s="10">
        <v>0</v>
      </c>
      <c r="E1335" s="10" t="s">
        <v>190</v>
      </c>
      <c r="F1335" s="10">
        <v>1</v>
      </c>
      <c r="G1335" s="10" t="s">
        <v>231</v>
      </c>
      <c r="H1335" s="10" t="s">
        <v>322</v>
      </c>
      <c r="I1335" s="10" t="s">
        <v>75</v>
      </c>
      <c r="J1335" s="10">
        <v>16</v>
      </c>
      <c r="K1335" s="12">
        <v>44958</v>
      </c>
      <c r="L1335" s="33">
        <v>0.52131944444444445</v>
      </c>
      <c r="M1335" s="10">
        <v>1</v>
      </c>
      <c r="N1335" s="10" t="s">
        <v>76</v>
      </c>
      <c r="O1335" s="10">
        <v>0.24299999999999999</v>
      </c>
      <c r="P1335" s="10">
        <v>1.8800000000000001E-2</v>
      </c>
      <c r="Q1335" s="10">
        <v>13.4</v>
      </c>
      <c r="R1335" s="10" t="s">
        <v>77</v>
      </c>
      <c r="S1335" s="34">
        <f t="shared" si="147"/>
        <v>13.4</v>
      </c>
      <c r="T1335" s="10" t="s">
        <v>1103</v>
      </c>
      <c r="U1335" s="34" t="str">
        <f t="shared" si="148"/>
        <v/>
      </c>
      <c r="V1335" s="31" t="str">
        <f>IF(H1335="CHK",VLOOKUP(I1335,QCCHK,3,),IF(H1335="GUP",VLOOKUP(E1335,QCGUP,2,),IF(AND(H1335="ATP",OR(I1335="TN",I1335="TDN",I1335="TNO2-3",I1335="NO2-3")),VLOOKUP(E1335,QCREC_N,2,),IF(AND(H1335="NIC",OR(I1335="TN",I1335="TDN",I1335="TNO2-3",I1335="NO2-3")),VLOOKUP(E1335,QCNIC_N,2,),IF(AND(H1335="UREA",OR(I1335="TN",I1335="TDN",I1335="TNO2-3",I1335="NO2-3")),VLOOKUP(E1335,QCUREA_N,2,),IF(H1335="PER",VLOOKUP(I1335,QCPER,MATCH(E1335,QCACTUAL!$J$25:$AA$25,0),),IF(H1335="SPK",VLOOKUP(I1335,QCSPK,3,),IF(AND(H1335="ATP",OR(I1335="TP",I1335="TDP")),VLOOKUP(E1335,QCATP_P,2,),""))))))))</f>
        <v/>
      </c>
      <c r="W1335" s="31" t="str">
        <f t="shared" si="149"/>
        <v>TRUE</v>
      </c>
      <c r="X1335" s="31" t="str">
        <f t="shared" si="146"/>
        <v/>
      </c>
      <c r="Y1335" s="10" t="s">
        <v>1096</v>
      </c>
      <c r="Z1335" s="10" t="s">
        <v>910</v>
      </c>
      <c r="AL1335" s="10" t="str">
        <f t="shared" si="151"/>
        <v>FALSE</v>
      </c>
      <c r="AM1335" s="10" t="str">
        <f t="shared" si="151"/>
        <v>FALSE</v>
      </c>
      <c r="AN1335" s="10" t="str">
        <f t="shared" si="151"/>
        <v>FALSE</v>
      </c>
      <c r="AO1335" s="10" t="str">
        <f t="shared" si="152"/>
        <v>FALSE</v>
      </c>
      <c r="AP1335" s="10" t="str">
        <f t="shared" si="152"/>
        <v>FALSE</v>
      </c>
      <c r="AQ1335" s="10" t="b">
        <f>IF(AND(I1335="TP",S1335&lt;=150),VLOOKUP(AF1335,TPCalibEq150!$AZ$2:$BB$55,3,),IF(AND(I1335="TDP",S1335&lt;=150),VLOOKUP(AF1335,TPCalibEq150!$AZ$2:$BB$55,3,)))</f>
        <v>0</v>
      </c>
      <c r="AR1335" s="10" t="b">
        <f>IF(AND(I1335="TP",S1335&lt;=300),VLOOKUP(AF1335,TPCalibEq300!$AZ$2:$BB$55,3,),IF(AND(I1335="TDP",S1335&lt;=300),VLOOKUP(AF1335,TPCalibEq300!$AZ$2:$BB$55,3,)))</f>
        <v>0</v>
      </c>
      <c r="AS1335" s="10" t="b">
        <f>IF(AND(I1335="TP",S1335&lt;=500),VLOOKUP(AF1335,TPCalibEq500!$AZ$2:$BB$56,3,),IF(AND(I1335="TDP",S1335&lt;=500),VLOOKUP(AF1335,TPCalibEq500!$AZ$2:$BB$56,3,)))</f>
        <v>0</v>
      </c>
      <c r="AT1335" s="10" t="b">
        <f>IF(AND(I1335="TN",S1335&lt;=2800),VLOOKUP(AF1335,TNCalibEq2500!$AZ$2:$BB$56,3,),IF(AND(I1335="TDN",S1335&lt;=2800),VLOOKUP(AF1335,TNCalibEq2500!$AZ$2:$BB$56,3,)))</f>
        <v>0</v>
      </c>
      <c r="AU1335" s="10" t="b">
        <f>IF(I1335="TP",VLOOKUP(AF1335,TPCalibEqFull!$AZ$2:$BB$56,3),IF(I1335="TDP",VLOOKUP(AF1335,TPCalibEqFull!$AZ$2:$BB$56,3),IF(I1335="TDN",VLOOKUP(AF1335,TNCalibEqFull!$AZ$1:$BB$56,3),IF(I1335="TN",VLOOKUP(AF1335,TNCalibEqFull!$AZ$1:$BB$56,3),FALSE))))</f>
        <v>0</v>
      </c>
      <c r="AV1335" s="10" t="str">
        <f t="shared" si="150"/>
        <v>0123 09:04:00-EFG-0-C-1-SW-UKN</v>
      </c>
    </row>
    <row r="1336" spans="1:48" s="10" customFormat="1" x14ac:dyDescent="0.55000000000000004">
      <c r="A1336" s="32">
        <v>44949</v>
      </c>
      <c r="B1336" s="33">
        <v>0.39027777777777778</v>
      </c>
      <c r="C1336" s="10" t="s">
        <v>540</v>
      </c>
      <c r="D1336" s="10">
        <v>0</v>
      </c>
      <c r="E1336" s="10" t="s">
        <v>190</v>
      </c>
      <c r="F1336" s="10">
        <v>1</v>
      </c>
      <c r="G1336" s="10" t="s">
        <v>231</v>
      </c>
      <c r="H1336" s="10" t="s">
        <v>322</v>
      </c>
      <c r="I1336" s="10" t="s">
        <v>75</v>
      </c>
      <c r="J1336" s="10">
        <v>17</v>
      </c>
      <c r="K1336" s="12">
        <v>44958</v>
      </c>
      <c r="L1336" s="33">
        <v>0.52214120370370376</v>
      </c>
      <c r="M1336" s="10">
        <v>1</v>
      </c>
      <c r="N1336" s="10" t="s">
        <v>76</v>
      </c>
      <c r="O1336" s="10">
        <v>0.51200000000000001</v>
      </c>
      <c r="P1336" s="10">
        <v>3.6299999999999999E-2</v>
      </c>
      <c r="Q1336" s="10">
        <v>28.3</v>
      </c>
      <c r="R1336" s="10" t="s">
        <v>77</v>
      </c>
      <c r="S1336" s="34">
        <f t="shared" si="147"/>
        <v>28.3</v>
      </c>
      <c r="T1336" s="10" t="s">
        <v>1103</v>
      </c>
      <c r="U1336" s="34" t="str">
        <f t="shared" si="148"/>
        <v/>
      </c>
      <c r="V1336" s="31" t="str">
        <f>IF(H1336="CHK",VLOOKUP(I1336,QCCHK,3,),IF(H1336="GUP",VLOOKUP(E1336,QCGUP,2,),IF(AND(H1336="ATP",OR(I1336="TN",I1336="TDN",I1336="TNO2-3",I1336="NO2-3")),VLOOKUP(E1336,QCREC_N,2,),IF(AND(H1336="NIC",OR(I1336="TN",I1336="TDN",I1336="TNO2-3",I1336="NO2-3")),VLOOKUP(E1336,QCNIC_N,2,),IF(AND(H1336="UREA",OR(I1336="TN",I1336="TDN",I1336="TNO2-3",I1336="NO2-3")),VLOOKUP(E1336,QCUREA_N,2,),IF(H1336="PER",VLOOKUP(I1336,QCPER,MATCH(E1336,QCACTUAL!$J$25:$AA$25,0),),IF(H1336="SPK",VLOOKUP(I1336,QCSPK,3,),IF(AND(H1336="ATP",OR(I1336="TP",I1336="TDP")),VLOOKUP(E1336,QCATP_P,2,),""))))))))</f>
        <v/>
      </c>
      <c r="W1336" s="31" t="str">
        <f t="shared" si="149"/>
        <v>TRUE</v>
      </c>
      <c r="X1336" s="31" t="str">
        <f t="shared" si="146"/>
        <v/>
      </c>
      <c r="Y1336" s="10" t="s">
        <v>1096</v>
      </c>
      <c r="Z1336" s="10" t="s">
        <v>910</v>
      </c>
      <c r="AL1336" s="10" t="str">
        <f t="shared" si="151"/>
        <v>FALSE</v>
      </c>
      <c r="AM1336" s="10" t="str">
        <f t="shared" si="151"/>
        <v>FALSE</v>
      </c>
      <c r="AN1336" s="10" t="str">
        <f t="shared" si="151"/>
        <v>FALSE</v>
      </c>
      <c r="AO1336" s="10" t="str">
        <f t="shared" si="152"/>
        <v>FALSE</v>
      </c>
      <c r="AP1336" s="10" t="str">
        <f t="shared" si="152"/>
        <v>FALSE</v>
      </c>
      <c r="AQ1336" s="10" t="b">
        <f>IF(AND(I1336="TP",S1336&lt;=150),VLOOKUP(AF1336,TPCalibEq150!$AZ$2:$BB$55,3,),IF(AND(I1336="TDP",S1336&lt;=150),VLOOKUP(AF1336,TPCalibEq150!$AZ$2:$BB$55,3,)))</f>
        <v>0</v>
      </c>
      <c r="AR1336" s="10" t="b">
        <f>IF(AND(I1336="TP",S1336&lt;=300),VLOOKUP(AF1336,TPCalibEq300!$AZ$2:$BB$55,3,),IF(AND(I1336="TDP",S1336&lt;=300),VLOOKUP(AF1336,TPCalibEq300!$AZ$2:$BB$55,3,)))</f>
        <v>0</v>
      </c>
      <c r="AS1336" s="10" t="b">
        <f>IF(AND(I1336="TP",S1336&lt;=500),VLOOKUP(AF1336,TPCalibEq500!$AZ$2:$BB$56,3,),IF(AND(I1336="TDP",S1336&lt;=500),VLOOKUP(AF1336,TPCalibEq500!$AZ$2:$BB$56,3,)))</f>
        <v>0</v>
      </c>
      <c r="AT1336" s="10" t="b">
        <f>IF(AND(I1336="TN",S1336&lt;=2800),VLOOKUP(AF1336,TNCalibEq2500!$AZ$2:$BB$56,3,),IF(AND(I1336="TDN",S1336&lt;=2800),VLOOKUP(AF1336,TNCalibEq2500!$AZ$2:$BB$56,3,)))</f>
        <v>0</v>
      </c>
      <c r="AU1336" s="10" t="b">
        <f>IF(I1336="TP",VLOOKUP(AF1336,TPCalibEqFull!$AZ$2:$BB$56,3),IF(I1336="TDP",VLOOKUP(AF1336,TPCalibEqFull!$AZ$2:$BB$56,3),IF(I1336="TDN",VLOOKUP(AF1336,TNCalibEqFull!$AZ$1:$BB$56,3),IF(I1336="TN",VLOOKUP(AF1336,TNCalibEqFull!$AZ$1:$BB$56,3),FALSE))))</f>
        <v>0</v>
      </c>
      <c r="AV1336" s="10" t="str">
        <f t="shared" si="150"/>
        <v>0123 09:22:00-S50-0-C-1-SW-UKN</v>
      </c>
    </row>
    <row r="1337" spans="1:48" s="10" customFormat="1" x14ac:dyDescent="0.55000000000000004">
      <c r="A1337" s="32">
        <v>44949</v>
      </c>
      <c r="B1337" s="33">
        <v>0.41250000000000003</v>
      </c>
      <c r="C1337" s="10" t="s">
        <v>528</v>
      </c>
      <c r="D1337" s="10">
        <v>0</v>
      </c>
      <c r="E1337" s="10" t="s">
        <v>190</v>
      </c>
      <c r="F1337" s="10">
        <v>1</v>
      </c>
      <c r="G1337" s="10" t="s">
        <v>231</v>
      </c>
      <c r="H1337" s="10" t="s">
        <v>322</v>
      </c>
      <c r="I1337" s="10" t="s">
        <v>75</v>
      </c>
      <c r="J1337" s="10">
        <v>18</v>
      </c>
      <c r="K1337" s="12">
        <v>44958</v>
      </c>
      <c r="L1337" s="33">
        <v>0.52296296296296296</v>
      </c>
      <c r="M1337" s="10">
        <v>1</v>
      </c>
      <c r="N1337" s="10" t="s">
        <v>76</v>
      </c>
      <c r="O1337" s="10">
        <v>0.48199999999999998</v>
      </c>
      <c r="P1337" s="10">
        <v>3.9600000000000003E-2</v>
      </c>
      <c r="Q1337" s="10">
        <v>26.6</v>
      </c>
      <c r="R1337" s="10" t="s">
        <v>77</v>
      </c>
      <c r="S1337" s="34">
        <f t="shared" si="147"/>
        <v>26.6</v>
      </c>
      <c r="T1337" s="10" t="s">
        <v>1103</v>
      </c>
      <c r="U1337" s="34" t="str">
        <f t="shared" si="148"/>
        <v/>
      </c>
      <c r="V1337" s="31" t="str">
        <f>IF(H1337="CHK",VLOOKUP(I1337,QCCHK,3,),IF(H1337="GUP",VLOOKUP(E1337,QCGUP,2,),IF(AND(H1337="ATP",OR(I1337="TN",I1337="TDN",I1337="TNO2-3",I1337="NO2-3")),VLOOKUP(E1337,QCREC_N,2,),IF(AND(H1337="NIC",OR(I1337="TN",I1337="TDN",I1337="TNO2-3",I1337="NO2-3")),VLOOKUP(E1337,QCNIC_N,2,),IF(AND(H1337="UREA",OR(I1337="TN",I1337="TDN",I1337="TNO2-3",I1337="NO2-3")),VLOOKUP(E1337,QCUREA_N,2,),IF(H1337="PER",VLOOKUP(I1337,QCPER,MATCH(E1337,QCACTUAL!$J$25:$AA$25,0),),IF(H1337="SPK",VLOOKUP(I1337,QCSPK,3,),IF(AND(H1337="ATP",OR(I1337="TP",I1337="TDP")),VLOOKUP(E1337,QCATP_P,2,),""))))))))</f>
        <v/>
      </c>
      <c r="W1337" s="31" t="str">
        <f t="shared" si="149"/>
        <v>TRUE</v>
      </c>
      <c r="X1337" s="31" t="str">
        <f t="shared" si="146"/>
        <v/>
      </c>
      <c r="Y1337" s="10" t="s">
        <v>1096</v>
      </c>
      <c r="Z1337" s="10" t="s">
        <v>910</v>
      </c>
      <c r="AL1337" s="10" t="str">
        <f t="shared" si="151"/>
        <v>FALSE</v>
      </c>
      <c r="AM1337" s="10" t="str">
        <f t="shared" si="151"/>
        <v>FALSE</v>
      </c>
      <c r="AN1337" s="10" t="str">
        <f t="shared" si="151"/>
        <v>FALSE</v>
      </c>
      <c r="AO1337" s="10" t="str">
        <f t="shared" si="152"/>
        <v>FALSE</v>
      </c>
      <c r="AP1337" s="10" t="str">
        <f t="shared" si="152"/>
        <v>FALSE</v>
      </c>
      <c r="AQ1337" s="10" t="b">
        <f>IF(AND(I1337="TP",S1337&lt;=150),VLOOKUP(AF1337,TPCalibEq150!$AZ$2:$BB$55,3,),IF(AND(I1337="TDP",S1337&lt;=150),VLOOKUP(AF1337,TPCalibEq150!$AZ$2:$BB$55,3,)))</f>
        <v>0</v>
      </c>
      <c r="AR1337" s="10" t="b">
        <f>IF(AND(I1337="TP",S1337&lt;=300),VLOOKUP(AF1337,TPCalibEq300!$AZ$2:$BB$55,3,),IF(AND(I1337="TDP",S1337&lt;=300),VLOOKUP(AF1337,TPCalibEq300!$AZ$2:$BB$55,3,)))</f>
        <v>0</v>
      </c>
      <c r="AS1337" s="10" t="b">
        <f>IF(AND(I1337="TP",S1337&lt;=500),VLOOKUP(AF1337,TPCalibEq500!$AZ$2:$BB$56,3,),IF(AND(I1337="TDP",S1337&lt;=500),VLOOKUP(AF1337,TPCalibEq500!$AZ$2:$BB$56,3,)))</f>
        <v>0</v>
      </c>
      <c r="AT1337" s="10" t="b">
        <f>IF(AND(I1337="TN",S1337&lt;=2800),VLOOKUP(AF1337,TNCalibEq2500!$AZ$2:$BB$56,3,),IF(AND(I1337="TDN",S1337&lt;=2800),VLOOKUP(AF1337,TNCalibEq2500!$AZ$2:$BB$56,3,)))</f>
        <v>0</v>
      </c>
      <c r="AU1337" s="10" t="b">
        <f>IF(I1337="TP",VLOOKUP(AF1337,TPCalibEqFull!$AZ$2:$BB$56,3),IF(I1337="TDP",VLOOKUP(AF1337,TPCalibEqFull!$AZ$2:$BB$56,3),IF(I1337="TDN",VLOOKUP(AF1337,TNCalibEqFull!$AZ$1:$BB$56,3),IF(I1337="TN",VLOOKUP(AF1337,TNCalibEqFull!$AZ$1:$BB$56,3),FALSE))))</f>
        <v>0</v>
      </c>
      <c r="AV1337" s="10" t="str">
        <f t="shared" si="150"/>
        <v>0123 09:54:00-P04-0-C-1-SW-UKN</v>
      </c>
    </row>
    <row r="1338" spans="1:48" s="10" customFormat="1" x14ac:dyDescent="0.55000000000000004">
      <c r="A1338" s="32">
        <v>44949</v>
      </c>
      <c r="B1338" s="33">
        <v>0.42569444444444443</v>
      </c>
      <c r="C1338" s="10">
        <v>506</v>
      </c>
      <c r="D1338" s="10">
        <v>0</v>
      </c>
      <c r="E1338" s="10" t="s">
        <v>190</v>
      </c>
      <c r="F1338" s="10">
        <v>1</v>
      </c>
      <c r="G1338" s="10" t="s">
        <v>231</v>
      </c>
      <c r="H1338" s="10" t="s">
        <v>322</v>
      </c>
      <c r="I1338" s="10" t="s">
        <v>75</v>
      </c>
      <c r="J1338" s="10">
        <v>19</v>
      </c>
      <c r="K1338" s="12">
        <v>44958</v>
      </c>
      <c r="L1338" s="33">
        <v>0.52378472222222217</v>
      </c>
      <c r="M1338" s="10">
        <v>1</v>
      </c>
      <c r="N1338" s="10" t="s">
        <v>76</v>
      </c>
      <c r="O1338" s="10">
        <v>0.17599999999999999</v>
      </c>
      <c r="P1338" s="10">
        <v>1.5699999999999999E-2</v>
      </c>
      <c r="Q1338" s="10">
        <v>9.7200000000000006</v>
      </c>
      <c r="R1338" s="10" t="s">
        <v>77</v>
      </c>
      <c r="S1338" s="34">
        <f t="shared" si="147"/>
        <v>9.7200000000000006</v>
      </c>
      <c r="T1338" s="10" t="s">
        <v>1103</v>
      </c>
      <c r="U1338" s="34" t="str">
        <f t="shared" si="148"/>
        <v/>
      </c>
      <c r="V1338" s="31" t="str">
        <f>IF(H1338="CHK",VLOOKUP(I1338,QCCHK,3,),IF(H1338="GUP",VLOOKUP(E1338,QCGUP,2,),IF(AND(H1338="ATP",OR(I1338="TN",I1338="TDN",I1338="TNO2-3",I1338="NO2-3")),VLOOKUP(E1338,QCREC_N,2,),IF(AND(H1338="NIC",OR(I1338="TN",I1338="TDN",I1338="TNO2-3",I1338="NO2-3")),VLOOKUP(E1338,QCNIC_N,2,),IF(AND(H1338="UREA",OR(I1338="TN",I1338="TDN",I1338="TNO2-3",I1338="NO2-3")),VLOOKUP(E1338,QCUREA_N,2,),IF(H1338="PER",VLOOKUP(I1338,QCPER,MATCH(E1338,QCACTUAL!$J$25:$AA$25,0),),IF(H1338="SPK",VLOOKUP(I1338,QCSPK,3,),IF(AND(H1338="ATP",OR(I1338="TP",I1338="TDP")),VLOOKUP(E1338,QCATP_P,2,),""))))))))</f>
        <v/>
      </c>
      <c r="W1338" s="31" t="str">
        <f t="shared" si="149"/>
        <v>TRUE</v>
      </c>
      <c r="X1338" s="31" t="str">
        <f t="shared" si="146"/>
        <v/>
      </c>
      <c r="Y1338" s="10" t="s">
        <v>1096</v>
      </c>
      <c r="Z1338" s="10" t="s">
        <v>910</v>
      </c>
      <c r="AL1338" s="10" t="str">
        <f t="shared" si="151"/>
        <v>FALSE</v>
      </c>
      <c r="AM1338" s="10" t="str">
        <f t="shared" si="151"/>
        <v>FALSE</v>
      </c>
      <c r="AN1338" s="10" t="str">
        <f t="shared" si="151"/>
        <v>FALSE</v>
      </c>
      <c r="AO1338" s="10" t="str">
        <f t="shared" si="152"/>
        <v>FALSE</v>
      </c>
      <c r="AP1338" s="10" t="str">
        <f t="shared" si="152"/>
        <v>FALSE</v>
      </c>
      <c r="AQ1338" s="10" t="b">
        <f>IF(AND(I1338="TP",S1338&lt;=150),VLOOKUP(AF1338,TPCalibEq150!$AZ$2:$BB$55,3,),IF(AND(I1338="TDP",S1338&lt;=150),VLOOKUP(AF1338,TPCalibEq150!$AZ$2:$BB$55,3,)))</f>
        <v>0</v>
      </c>
      <c r="AR1338" s="10" t="b">
        <f>IF(AND(I1338="TP",S1338&lt;=300),VLOOKUP(AF1338,TPCalibEq300!$AZ$2:$BB$55,3,),IF(AND(I1338="TDP",S1338&lt;=300),VLOOKUP(AF1338,TPCalibEq300!$AZ$2:$BB$55,3,)))</f>
        <v>0</v>
      </c>
      <c r="AS1338" s="10" t="b">
        <f>IF(AND(I1338="TP",S1338&lt;=500),VLOOKUP(AF1338,TPCalibEq500!$AZ$2:$BB$56,3,),IF(AND(I1338="TDP",S1338&lt;=500),VLOOKUP(AF1338,TPCalibEq500!$AZ$2:$BB$56,3,)))</f>
        <v>0</v>
      </c>
      <c r="AT1338" s="10" t="b">
        <f>IF(AND(I1338="TN",S1338&lt;=2800),VLOOKUP(AF1338,TNCalibEq2500!$AZ$2:$BB$56,3,),IF(AND(I1338="TDN",S1338&lt;=2800),VLOOKUP(AF1338,TNCalibEq2500!$AZ$2:$BB$56,3,)))</f>
        <v>0</v>
      </c>
      <c r="AU1338" s="10" t="b">
        <f>IF(I1338="TP",VLOOKUP(AF1338,TPCalibEqFull!$AZ$2:$BB$56,3),IF(I1338="TDP",VLOOKUP(AF1338,TPCalibEqFull!$AZ$2:$BB$56,3),IF(I1338="TDN",VLOOKUP(AF1338,TNCalibEqFull!$AZ$1:$BB$56,3),IF(I1338="TN",VLOOKUP(AF1338,TNCalibEqFull!$AZ$1:$BB$56,3),FALSE))))</f>
        <v>0</v>
      </c>
      <c r="AV1338" s="10" t="str">
        <f t="shared" si="150"/>
        <v>0123 10:13:00-506-0-C-1-SW-UKN</v>
      </c>
    </row>
    <row r="1339" spans="1:48" s="10" customFormat="1" x14ac:dyDescent="0.55000000000000004">
      <c r="A1339" s="32">
        <v>44949</v>
      </c>
      <c r="B1339" s="33">
        <v>0.43333333333333335</v>
      </c>
      <c r="C1339" s="10" t="s">
        <v>1104</v>
      </c>
      <c r="D1339" s="10">
        <v>0</v>
      </c>
      <c r="E1339" s="10" t="s">
        <v>190</v>
      </c>
      <c r="F1339" s="10">
        <v>1</v>
      </c>
      <c r="G1339" s="10" t="s">
        <v>231</v>
      </c>
      <c r="H1339" s="10" t="s">
        <v>322</v>
      </c>
      <c r="I1339" s="10" t="s">
        <v>75</v>
      </c>
      <c r="J1339" s="10">
        <v>20</v>
      </c>
      <c r="K1339" s="12">
        <v>44958</v>
      </c>
      <c r="L1339" s="33">
        <v>0.52459490740740744</v>
      </c>
      <c r="M1339" s="10">
        <v>1</v>
      </c>
      <c r="N1339" s="10" t="s">
        <v>76</v>
      </c>
      <c r="O1339" s="10">
        <v>0.318</v>
      </c>
      <c r="P1339" s="10">
        <v>2.58E-2</v>
      </c>
      <c r="Q1339" s="10">
        <v>17.5</v>
      </c>
      <c r="R1339" s="10" t="s">
        <v>77</v>
      </c>
      <c r="S1339" s="34">
        <f t="shared" si="147"/>
        <v>17.5</v>
      </c>
      <c r="T1339" s="10" t="s">
        <v>1103</v>
      </c>
      <c r="U1339" s="34" t="str">
        <f t="shared" si="148"/>
        <v/>
      </c>
      <c r="V1339" s="31" t="str">
        <f>IF(H1339="CHK",VLOOKUP(I1339,QCCHK,3,),IF(H1339="GUP",VLOOKUP(E1339,QCGUP,2,),IF(AND(H1339="ATP",OR(I1339="TN",I1339="TDN",I1339="TNO2-3",I1339="NO2-3")),VLOOKUP(E1339,QCREC_N,2,),IF(AND(H1339="NIC",OR(I1339="TN",I1339="TDN",I1339="TNO2-3",I1339="NO2-3")),VLOOKUP(E1339,QCNIC_N,2,),IF(AND(H1339="UREA",OR(I1339="TN",I1339="TDN",I1339="TNO2-3",I1339="NO2-3")),VLOOKUP(E1339,QCUREA_N,2,),IF(H1339="PER",VLOOKUP(I1339,QCPER,MATCH(E1339,QCACTUAL!$J$25:$AA$25,0),),IF(H1339="SPK",VLOOKUP(I1339,QCSPK,3,),IF(AND(H1339="ATP",OR(I1339="TP",I1339="TDP")),VLOOKUP(E1339,QCATP_P,2,),""))))))))</f>
        <v/>
      </c>
      <c r="W1339" s="31" t="str">
        <f t="shared" si="149"/>
        <v>TRUE</v>
      </c>
      <c r="X1339" s="31" t="str">
        <f t="shared" si="146"/>
        <v/>
      </c>
      <c r="Y1339" s="10" t="s">
        <v>1096</v>
      </c>
      <c r="Z1339" s="10" t="s">
        <v>910</v>
      </c>
      <c r="AL1339" s="10" t="str">
        <f t="shared" si="151"/>
        <v>FALSE</v>
      </c>
      <c r="AM1339" s="10" t="str">
        <f t="shared" si="151"/>
        <v>FALSE</v>
      </c>
      <c r="AN1339" s="10" t="str">
        <f t="shared" si="151"/>
        <v>FALSE</v>
      </c>
      <c r="AO1339" s="10" t="str">
        <f t="shared" si="152"/>
        <v>FALSE</v>
      </c>
      <c r="AP1339" s="10" t="str">
        <f t="shared" si="152"/>
        <v>FALSE</v>
      </c>
      <c r="AQ1339" s="10" t="b">
        <f>IF(AND(I1339="TP",S1339&lt;=150),VLOOKUP(AF1339,TPCalibEq150!$AZ$2:$BB$55,3,),IF(AND(I1339="TDP",S1339&lt;=150),VLOOKUP(AF1339,TPCalibEq150!$AZ$2:$BB$55,3,)))</f>
        <v>0</v>
      </c>
      <c r="AR1339" s="10" t="b">
        <f>IF(AND(I1339="TP",S1339&lt;=300),VLOOKUP(AF1339,TPCalibEq300!$AZ$2:$BB$55,3,),IF(AND(I1339="TDP",S1339&lt;=300),VLOOKUP(AF1339,TPCalibEq300!$AZ$2:$BB$55,3,)))</f>
        <v>0</v>
      </c>
      <c r="AS1339" s="10" t="b">
        <f>IF(AND(I1339="TP",S1339&lt;=500),VLOOKUP(AF1339,TPCalibEq500!$AZ$2:$BB$56,3,),IF(AND(I1339="TDP",S1339&lt;=500),VLOOKUP(AF1339,TPCalibEq500!$AZ$2:$BB$56,3,)))</f>
        <v>0</v>
      </c>
      <c r="AT1339" s="10" t="b">
        <f>IF(AND(I1339="TN",S1339&lt;=2800),VLOOKUP(AF1339,TNCalibEq2500!$AZ$2:$BB$56,3,),IF(AND(I1339="TDN",S1339&lt;=2800),VLOOKUP(AF1339,TNCalibEq2500!$AZ$2:$BB$56,3,)))</f>
        <v>0</v>
      </c>
      <c r="AU1339" s="10" t="b">
        <f>IF(I1339="TP",VLOOKUP(AF1339,TPCalibEqFull!$AZ$2:$BB$56,3),IF(I1339="TDP",VLOOKUP(AF1339,TPCalibEqFull!$AZ$2:$BB$56,3),IF(I1339="TDN",VLOOKUP(AF1339,TNCalibEqFull!$AZ$1:$BB$56,3),IF(I1339="TN",VLOOKUP(AF1339,TNCalibEqFull!$AZ$1:$BB$56,3),FALSE))))</f>
        <v>0</v>
      </c>
      <c r="AV1339" s="10" t="str">
        <f t="shared" si="150"/>
        <v>0123 10:24:00-LBW-0-C-1-SW-UKN</v>
      </c>
    </row>
    <row r="1340" spans="1:48" s="10" customFormat="1" x14ac:dyDescent="0.55000000000000004">
      <c r="A1340" s="32">
        <v>44949</v>
      </c>
      <c r="B1340" s="33">
        <v>0.45</v>
      </c>
      <c r="C1340" s="10" t="s">
        <v>537</v>
      </c>
      <c r="D1340" s="10">
        <v>0</v>
      </c>
      <c r="E1340" s="10" t="s">
        <v>190</v>
      </c>
      <c r="F1340" s="10">
        <v>1</v>
      </c>
      <c r="G1340" s="10" t="s">
        <v>231</v>
      </c>
      <c r="H1340" s="10" t="s">
        <v>322</v>
      </c>
      <c r="I1340" s="10" t="s">
        <v>75</v>
      </c>
      <c r="J1340" s="10">
        <v>21</v>
      </c>
      <c r="K1340" s="12">
        <v>44958</v>
      </c>
      <c r="L1340" s="33">
        <v>0.52541666666666664</v>
      </c>
      <c r="M1340" s="10">
        <v>1</v>
      </c>
      <c r="N1340" s="10" t="s">
        <v>76</v>
      </c>
      <c r="O1340" s="10">
        <v>0.36099999999999999</v>
      </c>
      <c r="P1340" s="10">
        <v>2.8799999999999999E-2</v>
      </c>
      <c r="Q1340" s="10">
        <v>19.899999999999999</v>
      </c>
      <c r="R1340" s="10" t="s">
        <v>77</v>
      </c>
      <c r="S1340" s="34">
        <f t="shared" si="147"/>
        <v>19.899999999999999</v>
      </c>
      <c r="T1340" s="10" t="s">
        <v>1103</v>
      </c>
      <c r="U1340" s="34" t="str">
        <f t="shared" si="148"/>
        <v/>
      </c>
      <c r="V1340" s="31" t="str">
        <f>IF(H1340="CHK",VLOOKUP(I1340,QCCHK,3,),IF(H1340="GUP",VLOOKUP(E1340,QCGUP,2,),IF(AND(H1340="ATP",OR(I1340="TN",I1340="TDN",I1340="TNO2-3",I1340="NO2-3")),VLOOKUP(E1340,QCREC_N,2,),IF(AND(H1340="NIC",OR(I1340="TN",I1340="TDN",I1340="TNO2-3",I1340="NO2-3")),VLOOKUP(E1340,QCNIC_N,2,),IF(AND(H1340="UREA",OR(I1340="TN",I1340="TDN",I1340="TNO2-3",I1340="NO2-3")),VLOOKUP(E1340,QCUREA_N,2,),IF(H1340="PER",VLOOKUP(I1340,QCPER,MATCH(E1340,QCACTUAL!$J$25:$AA$25,0),),IF(H1340="SPK",VLOOKUP(I1340,QCSPK,3,),IF(AND(H1340="ATP",OR(I1340="TP",I1340="TDP")),VLOOKUP(E1340,QCATP_P,2,),""))))))))</f>
        <v/>
      </c>
      <c r="W1340" s="31" t="str">
        <f t="shared" si="149"/>
        <v>TRUE</v>
      </c>
      <c r="X1340" s="31" t="str">
        <f t="shared" si="146"/>
        <v/>
      </c>
      <c r="Y1340" s="10" t="s">
        <v>1096</v>
      </c>
      <c r="Z1340" s="10" t="s">
        <v>910</v>
      </c>
      <c r="AL1340" s="10" t="str">
        <f t="shared" si="151"/>
        <v>FALSE</v>
      </c>
      <c r="AM1340" s="10" t="str">
        <f t="shared" si="151"/>
        <v>FALSE</v>
      </c>
      <c r="AN1340" s="10" t="str">
        <f t="shared" si="151"/>
        <v>FALSE</v>
      </c>
      <c r="AO1340" s="10" t="str">
        <f t="shared" si="152"/>
        <v>FALSE</v>
      </c>
      <c r="AP1340" s="10" t="str">
        <f t="shared" si="152"/>
        <v>FALSE</v>
      </c>
      <c r="AQ1340" s="10" t="b">
        <f>IF(AND(I1340="TP",S1340&lt;=150),VLOOKUP(AF1340,TPCalibEq150!$AZ$2:$BB$55,3,),IF(AND(I1340="TDP",S1340&lt;=150),VLOOKUP(AF1340,TPCalibEq150!$AZ$2:$BB$55,3,)))</f>
        <v>0</v>
      </c>
      <c r="AR1340" s="10" t="b">
        <f>IF(AND(I1340="TP",S1340&lt;=300),VLOOKUP(AF1340,TPCalibEq300!$AZ$2:$BB$55,3,),IF(AND(I1340="TDP",S1340&lt;=300),VLOOKUP(AF1340,TPCalibEq300!$AZ$2:$BB$55,3,)))</f>
        <v>0</v>
      </c>
      <c r="AS1340" s="10" t="b">
        <f>IF(AND(I1340="TP",S1340&lt;=500),VLOOKUP(AF1340,TPCalibEq500!$AZ$2:$BB$56,3,),IF(AND(I1340="TDP",S1340&lt;=500),VLOOKUP(AF1340,TPCalibEq500!$AZ$2:$BB$56,3,)))</f>
        <v>0</v>
      </c>
      <c r="AT1340" s="10" t="b">
        <f>IF(AND(I1340="TN",S1340&lt;=2800),VLOOKUP(AF1340,TNCalibEq2500!$AZ$2:$BB$56,3,),IF(AND(I1340="TDN",S1340&lt;=2800),VLOOKUP(AF1340,TNCalibEq2500!$AZ$2:$BB$56,3,)))</f>
        <v>0</v>
      </c>
      <c r="AU1340" s="10" t="b">
        <f>IF(I1340="TP",VLOOKUP(AF1340,TPCalibEqFull!$AZ$2:$BB$56,3),IF(I1340="TDP",VLOOKUP(AF1340,TPCalibEqFull!$AZ$2:$BB$56,3),IF(I1340="TDN",VLOOKUP(AF1340,TNCalibEqFull!$AZ$1:$BB$56,3),IF(I1340="TN",VLOOKUP(AF1340,TNCalibEqFull!$AZ$1:$BB$56,3),FALSE))))</f>
        <v>0</v>
      </c>
      <c r="AV1340" s="10" t="str">
        <f t="shared" si="150"/>
        <v>0123 10:48:00-S51-0-C-1-SW-UKN</v>
      </c>
    </row>
    <row r="1341" spans="1:48" s="10" customFormat="1" x14ac:dyDescent="0.55000000000000004">
      <c r="A1341" s="32">
        <v>44949</v>
      </c>
      <c r="B1341" s="33">
        <v>0.46736111111111112</v>
      </c>
      <c r="C1341" s="10">
        <v>890</v>
      </c>
      <c r="D1341" s="10">
        <v>0</v>
      </c>
      <c r="E1341" s="10" t="s">
        <v>190</v>
      </c>
      <c r="F1341" s="10">
        <v>1</v>
      </c>
      <c r="G1341" s="10" t="s">
        <v>231</v>
      </c>
      <c r="H1341" s="10" t="s">
        <v>322</v>
      </c>
      <c r="I1341" s="10" t="s">
        <v>75</v>
      </c>
      <c r="J1341" s="10">
        <v>22</v>
      </c>
      <c r="K1341" s="12">
        <v>44958</v>
      </c>
      <c r="L1341" s="33">
        <v>0.52623842592592596</v>
      </c>
      <c r="M1341" s="10">
        <v>1</v>
      </c>
      <c r="N1341" s="10" t="s">
        <v>76</v>
      </c>
      <c r="O1341" s="10">
        <v>0.53600000000000003</v>
      </c>
      <c r="P1341" s="10">
        <v>4.1700000000000001E-2</v>
      </c>
      <c r="Q1341" s="10">
        <v>29.6</v>
      </c>
      <c r="R1341" s="10" t="s">
        <v>77</v>
      </c>
      <c r="S1341" s="34">
        <f t="shared" si="147"/>
        <v>29.6</v>
      </c>
      <c r="T1341" s="10" t="s">
        <v>1103</v>
      </c>
      <c r="U1341" s="34" t="str">
        <f t="shared" si="148"/>
        <v/>
      </c>
      <c r="V1341" s="31" t="str">
        <f>IF(H1341="CHK",VLOOKUP(I1341,QCCHK,3,),IF(H1341="GUP",VLOOKUP(E1341,QCGUP,2,),IF(AND(H1341="ATP",OR(I1341="TN",I1341="TDN",I1341="TNO2-3",I1341="NO2-3")),VLOOKUP(E1341,QCREC_N,2,),IF(AND(H1341="NIC",OR(I1341="TN",I1341="TDN",I1341="TNO2-3",I1341="NO2-3")),VLOOKUP(E1341,QCNIC_N,2,),IF(AND(H1341="UREA",OR(I1341="TN",I1341="TDN",I1341="TNO2-3",I1341="NO2-3")),VLOOKUP(E1341,QCUREA_N,2,),IF(H1341="PER",VLOOKUP(I1341,QCPER,MATCH(E1341,QCACTUAL!$J$25:$AA$25,0),),IF(H1341="SPK",VLOOKUP(I1341,QCSPK,3,),IF(AND(H1341="ATP",OR(I1341="TP",I1341="TDP")),VLOOKUP(E1341,QCATP_P,2,),""))))))))</f>
        <v/>
      </c>
      <c r="W1341" s="31" t="str">
        <f t="shared" si="149"/>
        <v>TRUE</v>
      </c>
      <c r="X1341" s="31" t="str">
        <f t="shared" si="146"/>
        <v/>
      </c>
      <c r="Y1341" s="10" t="s">
        <v>1096</v>
      </c>
      <c r="Z1341" s="10" t="s">
        <v>910</v>
      </c>
      <c r="AL1341" s="10" t="str">
        <f t="shared" si="151"/>
        <v>FALSE</v>
      </c>
      <c r="AM1341" s="10" t="str">
        <f t="shared" si="151"/>
        <v>FALSE</v>
      </c>
      <c r="AN1341" s="10" t="str">
        <f t="shared" si="151"/>
        <v>FALSE</v>
      </c>
      <c r="AO1341" s="10" t="str">
        <f t="shared" si="152"/>
        <v>FALSE</v>
      </c>
      <c r="AP1341" s="10" t="str">
        <f t="shared" si="152"/>
        <v>FALSE</v>
      </c>
      <c r="AQ1341" s="10" t="b">
        <f>IF(AND(I1341="TP",S1341&lt;=150),VLOOKUP(AF1341,TPCalibEq150!$AZ$2:$BB$55,3,),IF(AND(I1341="TDP",S1341&lt;=150),VLOOKUP(AF1341,TPCalibEq150!$AZ$2:$BB$55,3,)))</f>
        <v>0</v>
      </c>
      <c r="AR1341" s="10" t="b">
        <f>IF(AND(I1341="TP",S1341&lt;=300),VLOOKUP(AF1341,TPCalibEq300!$AZ$2:$BB$55,3,),IF(AND(I1341="TDP",S1341&lt;=300),VLOOKUP(AF1341,TPCalibEq300!$AZ$2:$BB$55,3,)))</f>
        <v>0</v>
      </c>
      <c r="AS1341" s="10" t="b">
        <f>IF(AND(I1341="TP",S1341&lt;=500),VLOOKUP(AF1341,TPCalibEq500!$AZ$2:$BB$56,3,),IF(AND(I1341="TDP",S1341&lt;=500),VLOOKUP(AF1341,TPCalibEq500!$AZ$2:$BB$56,3,)))</f>
        <v>0</v>
      </c>
      <c r="AT1341" s="10" t="b">
        <f>IF(AND(I1341="TN",S1341&lt;=2800),VLOOKUP(AF1341,TNCalibEq2500!$AZ$2:$BB$56,3,),IF(AND(I1341="TDN",S1341&lt;=2800),VLOOKUP(AF1341,TNCalibEq2500!$AZ$2:$BB$56,3,)))</f>
        <v>0</v>
      </c>
      <c r="AU1341" s="10" t="b">
        <f>IF(I1341="TP",VLOOKUP(AF1341,TPCalibEqFull!$AZ$2:$BB$56,3),IF(I1341="TDP",VLOOKUP(AF1341,TPCalibEqFull!$AZ$2:$BB$56,3),IF(I1341="TDN",VLOOKUP(AF1341,TNCalibEqFull!$AZ$1:$BB$56,3),IF(I1341="TN",VLOOKUP(AF1341,TNCalibEqFull!$AZ$1:$BB$56,3),FALSE))))</f>
        <v>0</v>
      </c>
      <c r="AV1341" s="10" t="str">
        <f t="shared" si="150"/>
        <v>0123 11:13:00-890-0-C-1-SW-UKN</v>
      </c>
    </row>
    <row r="1342" spans="1:48" s="10" customFormat="1" x14ac:dyDescent="0.55000000000000004">
      <c r="A1342" s="32">
        <v>44949</v>
      </c>
      <c r="B1342" s="33">
        <v>0.4861111111111111</v>
      </c>
      <c r="C1342" s="10" t="s">
        <v>437</v>
      </c>
      <c r="D1342" s="10">
        <v>0</v>
      </c>
      <c r="E1342" s="10" t="s">
        <v>190</v>
      </c>
      <c r="F1342" s="10">
        <v>1</v>
      </c>
      <c r="G1342" s="10" t="s">
        <v>231</v>
      </c>
      <c r="H1342" s="10" t="s">
        <v>322</v>
      </c>
      <c r="I1342" s="10" t="s">
        <v>75</v>
      </c>
      <c r="J1342" s="10">
        <v>23</v>
      </c>
      <c r="K1342" s="12">
        <v>44958</v>
      </c>
      <c r="L1342" s="33">
        <v>0.52706018518518516</v>
      </c>
      <c r="M1342" s="10">
        <v>1</v>
      </c>
      <c r="N1342" s="10" t="s">
        <v>76</v>
      </c>
      <c r="O1342" s="10">
        <v>0.91100000000000003</v>
      </c>
      <c r="P1342" s="10">
        <v>6.8099999999999994E-2</v>
      </c>
      <c r="Q1342" s="10">
        <v>50.3</v>
      </c>
      <c r="R1342" s="10" t="s">
        <v>77</v>
      </c>
      <c r="S1342" s="34">
        <f t="shared" si="147"/>
        <v>50.3</v>
      </c>
      <c r="T1342" s="10" t="s">
        <v>1103</v>
      </c>
      <c r="U1342" s="34" t="str">
        <f t="shared" si="148"/>
        <v/>
      </c>
      <c r="V1342" s="31" t="str">
        <f>IF(H1342="CHK",VLOOKUP(I1342,QCCHK,3,),IF(H1342="GUP",VLOOKUP(E1342,QCGUP,2,),IF(AND(H1342="ATP",OR(I1342="TN",I1342="TDN",I1342="TNO2-3",I1342="NO2-3")),VLOOKUP(E1342,QCREC_N,2,),IF(AND(H1342="NIC",OR(I1342="TN",I1342="TDN",I1342="TNO2-3",I1342="NO2-3")),VLOOKUP(E1342,QCNIC_N,2,),IF(AND(H1342="UREA",OR(I1342="TN",I1342="TDN",I1342="TNO2-3",I1342="NO2-3")),VLOOKUP(E1342,QCUREA_N,2,),IF(H1342="PER",VLOOKUP(I1342,QCPER,MATCH(E1342,QCACTUAL!$J$25:$AA$25,0),),IF(H1342="SPK",VLOOKUP(I1342,QCSPK,3,),IF(AND(H1342="ATP",OR(I1342="TP",I1342="TDP")),VLOOKUP(E1342,QCATP_P,2,),""))))))))</f>
        <v/>
      </c>
      <c r="W1342" s="31" t="str">
        <f t="shared" si="149"/>
        <v>TRUE</v>
      </c>
      <c r="X1342" s="31" t="str">
        <f t="shared" si="146"/>
        <v/>
      </c>
      <c r="Y1342" s="10" t="s">
        <v>1096</v>
      </c>
      <c r="Z1342" s="10" t="s">
        <v>910</v>
      </c>
      <c r="AL1342" s="10" t="str">
        <f t="shared" si="151"/>
        <v>FALSE</v>
      </c>
      <c r="AM1342" s="10" t="str">
        <f t="shared" si="151"/>
        <v>FALSE</v>
      </c>
      <c r="AN1342" s="10" t="str">
        <f t="shared" si="151"/>
        <v>FALSE</v>
      </c>
      <c r="AO1342" s="10" t="str">
        <f t="shared" si="152"/>
        <v>FALSE</v>
      </c>
      <c r="AP1342" s="10" t="str">
        <f t="shared" si="152"/>
        <v>FALSE</v>
      </c>
      <c r="AQ1342" s="10" t="b">
        <f>IF(AND(I1342="TP",S1342&lt;=150),VLOOKUP(AF1342,TPCalibEq150!$AZ$2:$BB$55,3,),IF(AND(I1342="TDP",S1342&lt;=150),VLOOKUP(AF1342,TPCalibEq150!$AZ$2:$BB$55,3,)))</f>
        <v>0</v>
      </c>
      <c r="AR1342" s="10" t="b">
        <f>IF(AND(I1342="TP",S1342&lt;=300),VLOOKUP(AF1342,TPCalibEq300!$AZ$2:$BB$55,3,),IF(AND(I1342="TDP",S1342&lt;=300),VLOOKUP(AF1342,TPCalibEq300!$AZ$2:$BB$55,3,)))</f>
        <v>0</v>
      </c>
      <c r="AS1342" s="10" t="b">
        <f>IF(AND(I1342="TP",S1342&lt;=500),VLOOKUP(AF1342,TPCalibEq500!$AZ$2:$BB$56,3,),IF(AND(I1342="TDP",S1342&lt;=500),VLOOKUP(AF1342,TPCalibEq500!$AZ$2:$BB$56,3,)))</f>
        <v>0</v>
      </c>
      <c r="AT1342" s="10" t="b">
        <f>IF(AND(I1342="TN",S1342&lt;=2800),VLOOKUP(AF1342,TNCalibEq2500!$AZ$2:$BB$56,3,),IF(AND(I1342="TDN",S1342&lt;=2800),VLOOKUP(AF1342,TNCalibEq2500!$AZ$2:$BB$56,3,)))</f>
        <v>0</v>
      </c>
      <c r="AU1342" s="10" t="b">
        <f>IF(I1342="TP",VLOOKUP(AF1342,TPCalibEqFull!$AZ$2:$BB$56,3),IF(I1342="TDP",VLOOKUP(AF1342,TPCalibEqFull!$AZ$2:$BB$56,3),IF(I1342="TDN",VLOOKUP(AF1342,TNCalibEqFull!$AZ$1:$BB$56,3),IF(I1342="TN",VLOOKUP(AF1342,TNCalibEqFull!$AZ$1:$BB$56,3),FALSE))))</f>
        <v>0</v>
      </c>
      <c r="AV1342" s="10" t="str">
        <f t="shared" si="150"/>
        <v>0123 11:40:00-FVM-0-C-1-SW-UKN</v>
      </c>
    </row>
    <row r="1343" spans="1:48" s="10" customFormat="1" x14ac:dyDescent="0.55000000000000004">
      <c r="A1343" s="32">
        <v>44949</v>
      </c>
      <c r="B1343" s="33">
        <v>0.4861111111111111</v>
      </c>
      <c r="C1343" s="10" t="s">
        <v>437</v>
      </c>
      <c r="D1343" s="10">
        <v>0</v>
      </c>
      <c r="E1343" s="10" t="s">
        <v>190</v>
      </c>
      <c r="F1343" s="10">
        <v>2</v>
      </c>
      <c r="G1343" s="10" t="s">
        <v>231</v>
      </c>
      <c r="H1343" s="10" t="s">
        <v>322</v>
      </c>
      <c r="I1343" s="10" t="s">
        <v>75</v>
      </c>
      <c r="J1343" s="10">
        <v>24</v>
      </c>
      <c r="K1343" s="12">
        <v>44958</v>
      </c>
      <c r="L1343" s="33">
        <v>0.52787037037037032</v>
      </c>
      <c r="M1343" s="10">
        <v>1</v>
      </c>
      <c r="N1343" s="10" t="s">
        <v>76</v>
      </c>
      <c r="O1343" s="10">
        <v>0.82899999999999996</v>
      </c>
      <c r="P1343" s="10">
        <v>6.6699999999999995E-2</v>
      </c>
      <c r="Q1343" s="10">
        <v>45.8</v>
      </c>
      <c r="R1343" s="10" t="s">
        <v>77</v>
      </c>
      <c r="S1343" s="34">
        <f t="shared" si="147"/>
        <v>45.8</v>
      </c>
      <c r="T1343" s="10" t="s">
        <v>1103</v>
      </c>
      <c r="U1343" s="34" t="str">
        <f t="shared" si="148"/>
        <v/>
      </c>
      <c r="V1343" s="31" t="str">
        <f>IF(H1343="CHK",VLOOKUP(I1343,QCCHK,3,),IF(H1343="GUP",VLOOKUP(E1343,QCGUP,2,),IF(AND(H1343="ATP",OR(I1343="TN",I1343="TDN",I1343="TNO2-3",I1343="NO2-3")),VLOOKUP(E1343,QCREC_N,2,),IF(AND(H1343="NIC",OR(I1343="TN",I1343="TDN",I1343="TNO2-3",I1343="NO2-3")),VLOOKUP(E1343,QCNIC_N,2,),IF(AND(H1343="UREA",OR(I1343="TN",I1343="TDN",I1343="TNO2-3",I1343="NO2-3")),VLOOKUP(E1343,QCUREA_N,2,),IF(H1343="PER",VLOOKUP(I1343,QCPER,MATCH(E1343,QCACTUAL!$J$25:$AA$25,0),),IF(H1343="SPK",VLOOKUP(I1343,QCSPK,3,),IF(AND(H1343="ATP",OR(I1343="TP",I1343="TDP")),VLOOKUP(E1343,QCATP_P,2,),""))))))))</f>
        <v/>
      </c>
      <c r="W1343" s="31" t="str">
        <f t="shared" si="149"/>
        <v>TRUE</v>
      </c>
      <c r="X1343" s="31" t="str">
        <f t="shared" ref="X1343:X1406" si="153">IF(ISNA(VLOOKUP(H1343,QCEQUATIONS,2,)),"",(VLOOKUP(H1343,QCEQUATIONS,2,)))</f>
        <v/>
      </c>
      <c r="Y1343" s="10" t="s">
        <v>1096</v>
      </c>
      <c r="Z1343" s="10" t="s">
        <v>910</v>
      </c>
      <c r="AL1343" s="10" t="str">
        <f t="shared" si="151"/>
        <v>FALSE</v>
      </c>
      <c r="AM1343" s="10" t="str">
        <f t="shared" si="151"/>
        <v>FALSE</v>
      </c>
      <c r="AN1343" s="10" t="str">
        <f t="shared" si="151"/>
        <v>FALSE</v>
      </c>
      <c r="AO1343" s="10" t="str">
        <f t="shared" si="152"/>
        <v>FALSE</v>
      </c>
      <c r="AP1343" s="10" t="str">
        <f t="shared" si="152"/>
        <v>FALSE</v>
      </c>
      <c r="AQ1343" s="10" t="b">
        <f>IF(AND(I1343="TP",S1343&lt;=150),VLOOKUP(AF1343,TPCalibEq150!$AZ$2:$BB$55,3,),IF(AND(I1343="TDP",S1343&lt;=150),VLOOKUP(AF1343,TPCalibEq150!$AZ$2:$BB$55,3,)))</f>
        <v>0</v>
      </c>
      <c r="AR1343" s="10" t="b">
        <f>IF(AND(I1343="TP",S1343&lt;=300),VLOOKUP(AF1343,TPCalibEq300!$AZ$2:$BB$55,3,),IF(AND(I1343="TDP",S1343&lt;=300),VLOOKUP(AF1343,TPCalibEq300!$AZ$2:$BB$55,3,)))</f>
        <v>0</v>
      </c>
      <c r="AS1343" s="10" t="b">
        <f>IF(AND(I1343="TP",S1343&lt;=500),VLOOKUP(AF1343,TPCalibEq500!$AZ$2:$BB$56,3,),IF(AND(I1343="TDP",S1343&lt;=500),VLOOKUP(AF1343,TPCalibEq500!$AZ$2:$BB$56,3,)))</f>
        <v>0</v>
      </c>
      <c r="AT1343" s="10" t="b">
        <f>IF(AND(I1343="TN",S1343&lt;=2800),VLOOKUP(AF1343,TNCalibEq2500!$AZ$2:$BB$56,3,),IF(AND(I1343="TDN",S1343&lt;=2800),VLOOKUP(AF1343,TNCalibEq2500!$AZ$2:$BB$56,3,)))</f>
        <v>0</v>
      </c>
      <c r="AU1343" s="10" t="b">
        <f>IF(I1343="TP",VLOOKUP(AF1343,TPCalibEqFull!$AZ$2:$BB$56,3),IF(I1343="TDP",VLOOKUP(AF1343,TPCalibEqFull!$AZ$2:$BB$56,3),IF(I1343="TDN",VLOOKUP(AF1343,TNCalibEqFull!$AZ$1:$BB$56,3),IF(I1343="TN",VLOOKUP(AF1343,TNCalibEqFull!$AZ$1:$BB$56,3),FALSE))))</f>
        <v>0</v>
      </c>
      <c r="AV1343" s="10" t="str">
        <f t="shared" si="150"/>
        <v>0123 11:40:00-FVM-0-C-2-SW-UKN</v>
      </c>
    </row>
    <row r="1344" spans="1:48" s="10" customFormat="1" x14ac:dyDescent="0.55000000000000004">
      <c r="A1344" s="32">
        <v>44949</v>
      </c>
      <c r="B1344" s="33">
        <v>0.4861111111111111</v>
      </c>
      <c r="C1344" s="10" t="s">
        <v>437</v>
      </c>
      <c r="D1344" s="10">
        <v>0</v>
      </c>
      <c r="E1344" s="10" t="s">
        <v>190</v>
      </c>
      <c r="F1344" s="10">
        <v>2</v>
      </c>
      <c r="G1344" s="10" t="s">
        <v>231</v>
      </c>
      <c r="H1344" s="10" t="s">
        <v>233</v>
      </c>
      <c r="I1344" s="10" t="s">
        <v>75</v>
      </c>
      <c r="J1344" s="10">
        <v>24</v>
      </c>
      <c r="K1344" s="12">
        <v>44958</v>
      </c>
      <c r="L1344" s="33">
        <v>0.52868055555555549</v>
      </c>
      <c r="M1344" s="10">
        <v>1</v>
      </c>
      <c r="N1344" s="10" t="s">
        <v>76</v>
      </c>
      <c r="O1344" s="10">
        <v>0.82299999999999995</v>
      </c>
      <c r="P1344" s="10">
        <v>6.2700000000000006E-2</v>
      </c>
      <c r="Q1344" s="10">
        <v>45.4</v>
      </c>
      <c r="R1344" s="10" t="s">
        <v>77</v>
      </c>
      <c r="S1344" s="34">
        <f t="shared" ref="S1344:S1407" si="154">IF(OR(AND(I1344&lt;&gt;"TP", I1344&lt;&gt;"TDP",I1344&lt;&gt;"TN", I1344&lt;&gt;"TDN"),H1344="CAL"), Q1344*M1344, IF(OR(AND(I1344="TN", Q1344&gt;2500), AND(I1344="TDN", Q1344&gt;2500)),MAX(Q1344, AK1344)*M1344, IF(OR(AND(I1344="TN", Q1344&lt;=2500), AND(I1344="TDN", Q1344&lt;=2500)),MAX(Q1344, AJ1344,AK1344)*M1344, IF(OR(AND(I1344="TP",Q1344&gt;500), AND(I1344="TDP", Q1344&gt;500)),MAX(Q1344,AK1344)*M1344,IF(OR(AND(I1344="TP",Q1344&lt;=150), AND(I1344="TDP", Q1344&lt;=150)),MAX(Q1344,AG1344:AI1344,AK1344)*M1344,IF(OR(AND(I1344="TP",Q1344&lt;=300), AND(I1344="TDP", Q1344&lt;=300)),MAX(Q1344,AH1344,AI1344,AK1344)*M1344,IF(OR(AND(I1344="TP",Q1344&lt;=500), AND(I1344="TDP", Q1344&lt;=500)),MAX(Q1344,AI1344,AK1344)*M1344,"")))))))</f>
        <v>45.4</v>
      </c>
      <c r="T1344" s="10" t="s">
        <v>1103</v>
      </c>
      <c r="U1344" s="34">
        <f t="shared" si="148"/>
        <v>0.8771929824561373</v>
      </c>
      <c r="V1344" s="31" t="str">
        <f>IF(H1344="CHK",VLOOKUP(I1344,QCCHK,3,),IF(H1344="GUP",VLOOKUP(E1344,QCGUP,2,),IF(AND(H1344="ATP",OR(I1344="TN",I1344="TDN",I1344="TNO2-3",I1344="NO2-3")),VLOOKUP(E1344,QCREC_N,2,),IF(AND(H1344="NIC",OR(I1344="TN",I1344="TDN",I1344="TNO2-3",I1344="NO2-3")),VLOOKUP(E1344,QCNIC_N,2,),IF(AND(H1344="UREA",OR(I1344="TN",I1344="TDN",I1344="TNO2-3",I1344="NO2-3")),VLOOKUP(E1344,QCUREA_N,2,),IF(H1344="PER",VLOOKUP(I1344,QCPER,MATCH(E1344,QCACTUAL!$J$25:$AA$25,0),),IF(H1344="SPK",VLOOKUP(I1344,QCSPK,3,),IF(AND(H1344="ATP",OR(I1344="TP",I1344="TDP")),VLOOKUP(E1344,QCATP_P,2,),""))))))))</f>
        <v/>
      </c>
      <c r="W1344" s="31" t="str">
        <f t="shared" si="149"/>
        <v>TRUE</v>
      </c>
      <c r="X1344" s="31" t="str">
        <f t="shared" si="153"/>
        <v>((ABS(rep1-rep2))/((rep1+rep2)/2)*100</v>
      </c>
      <c r="Y1344" s="10" t="s">
        <v>1096</v>
      </c>
      <c r="Z1344" s="10" t="s">
        <v>910</v>
      </c>
      <c r="AL1344" s="10" t="str">
        <f t="shared" si="151"/>
        <v>FALSE</v>
      </c>
      <c r="AM1344" s="10" t="str">
        <f t="shared" si="151"/>
        <v>FALSE</v>
      </c>
      <c r="AN1344" s="10" t="str">
        <f t="shared" si="151"/>
        <v>FALSE</v>
      </c>
      <c r="AO1344" s="10" t="str">
        <f t="shared" si="152"/>
        <v>FALSE</v>
      </c>
      <c r="AP1344" s="10" t="str">
        <f t="shared" si="152"/>
        <v>FALSE</v>
      </c>
      <c r="AQ1344" s="10" t="b">
        <f>IF(AND(I1344="TP",S1344&lt;=150),VLOOKUP(AF1344,TPCalibEq150!$AZ$2:$BB$55,3,),IF(AND(I1344="TDP",S1344&lt;=150),VLOOKUP(AF1344,TPCalibEq150!$AZ$2:$BB$55,3,)))</f>
        <v>0</v>
      </c>
      <c r="AR1344" s="10" t="b">
        <f>IF(AND(I1344="TP",S1344&lt;=300),VLOOKUP(AF1344,TPCalibEq300!$AZ$2:$BB$55,3,),IF(AND(I1344="TDP",S1344&lt;=300),VLOOKUP(AF1344,TPCalibEq300!$AZ$2:$BB$55,3,)))</f>
        <v>0</v>
      </c>
      <c r="AS1344" s="10" t="b">
        <f>IF(AND(I1344="TP",S1344&lt;=500),VLOOKUP(AF1344,TPCalibEq500!$AZ$2:$BB$56,3,),IF(AND(I1344="TDP",S1344&lt;=500),VLOOKUP(AF1344,TPCalibEq500!$AZ$2:$BB$56,3,)))</f>
        <v>0</v>
      </c>
      <c r="AT1344" s="10" t="b">
        <f>IF(AND(I1344="TN",S1344&lt;=2800),VLOOKUP(AF1344,TNCalibEq2500!$AZ$2:$BB$56,3,),IF(AND(I1344="TDN",S1344&lt;=2800),VLOOKUP(AF1344,TNCalibEq2500!$AZ$2:$BB$56,3,)))</f>
        <v>0</v>
      </c>
      <c r="AU1344" s="10" t="b">
        <f>IF(I1344="TP",VLOOKUP(AF1344,TPCalibEqFull!$AZ$2:$BB$56,3),IF(I1344="TDP",VLOOKUP(AF1344,TPCalibEqFull!$AZ$2:$BB$56,3),IF(I1344="TDN",VLOOKUP(AF1344,TNCalibEqFull!$AZ$1:$BB$56,3),IF(I1344="TN",VLOOKUP(AF1344,TNCalibEqFull!$AZ$1:$BB$56,3),FALSE))))</f>
        <v>0</v>
      </c>
      <c r="AV1344" s="10" t="str">
        <f t="shared" si="150"/>
        <v>0123 11:40:00-FVM-0-C-2-SW-DUP</v>
      </c>
    </row>
    <row r="1345" spans="1:48" s="10" customFormat="1" x14ac:dyDescent="0.55000000000000004">
      <c r="A1345" s="32">
        <v>44949</v>
      </c>
      <c r="B1345" s="33">
        <v>0.4861111111111111</v>
      </c>
      <c r="C1345" s="10" t="s">
        <v>437</v>
      </c>
      <c r="D1345" s="10">
        <v>0</v>
      </c>
      <c r="E1345" s="10" t="s">
        <v>190</v>
      </c>
      <c r="F1345" s="10">
        <v>2</v>
      </c>
      <c r="G1345" s="10" t="s">
        <v>231</v>
      </c>
      <c r="H1345" s="10" t="s">
        <v>314</v>
      </c>
      <c r="I1345" s="10" t="s">
        <v>75</v>
      </c>
      <c r="J1345" s="10">
        <v>83</v>
      </c>
      <c r="K1345" s="12">
        <v>44958</v>
      </c>
      <c r="L1345" s="33">
        <v>0.5295023148148148</v>
      </c>
      <c r="M1345" s="10">
        <v>1</v>
      </c>
      <c r="N1345" s="10" t="s">
        <v>76</v>
      </c>
      <c r="O1345" s="10">
        <v>12.7</v>
      </c>
      <c r="P1345" s="10">
        <v>1.02</v>
      </c>
      <c r="Q1345" s="10">
        <v>704</v>
      </c>
      <c r="R1345" s="10" t="s">
        <v>77</v>
      </c>
      <c r="S1345" s="34">
        <f t="shared" si="154"/>
        <v>704</v>
      </c>
      <c r="T1345" s="10" t="s">
        <v>1103</v>
      </c>
      <c r="U1345" s="34">
        <f t="shared" si="148"/>
        <v>105.376</v>
      </c>
      <c r="V1345" s="31">
        <f>IF(H1345="CHK",VLOOKUP(I1345,QCCHK,3,),IF(H1345="GUP",VLOOKUP(E1345,QCGUP,2,),IF(AND(H1345="ATP",OR(I1345="TN",I1345="TDN",I1345="TNO2-3",I1345="NO2-3")),VLOOKUP(E1345,QCREC_N,2,),IF(AND(H1345="NIC",OR(I1345="TN",I1345="TDN",I1345="TNO2-3",I1345="NO2-3")),VLOOKUP(E1345,QCNIC_N,2,),IF(AND(H1345="UREA",OR(I1345="TN",I1345="TDN",I1345="TNO2-3",I1345="NO2-3")),VLOOKUP(E1345,QCUREA_N,2,),IF(H1345="PER",VLOOKUP(I1345,QCPER,MATCH(E1345,QCACTUAL!$J$25:$AA$25,0),),IF(H1345="SPK",VLOOKUP(I1345,QCSPK,3,),IF(AND(H1345="ATP",OR(I1345="TP",I1345="TDP")),VLOOKUP(E1345,QCATP_P,2,),""))))))))</f>
        <v>625</v>
      </c>
      <c r="W1345" s="31" t="str">
        <f t="shared" si="149"/>
        <v>TRUE</v>
      </c>
      <c r="X1345" s="31" t="str">
        <f t="shared" si="153"/>
        <v>([spikedunkn]-[unkn])/[spike]*100</v>
      </c>
      <c r="Y1345" s="10" t="s">
        <v>1096</v>
      </c>
      <c r="Z1345" s="10" t="s">
        <v>910</v>
      </c>
      <c r="AL1345" s="10" t="str">
        <f t="shared" si="151"/>
        <v>FALSE</v>
      </c>
      <c r="AM1345" s="10" t="str">
        <f t="shared" si="151"/>
        <v>FALSE</v>
      </c>
      <c r="AN1345" s="10" t="str">
        <f t="shared" si="151"/>
        <v>FALSE</v>
      </c>
      <c r="AO1345" s="10" t="str">
        <f t="shared" si="152"/>
        <v>FALSE</v>
      </c>
      <c r="AP1345" s="10" t="str">
        <f t="shared" si="152"/>
        <v>FALSE</v>
      </c>
      <c r="AQ1345" s="10" t="b">
        <f>IF(AND(I1345="TP",S1345&lt;=150),VLOOKUP(AF1345,TPCalibEq150!$AZ$2:$BB$55,3,),IF(AND(I1345="TDP",S1345&lt;=150),VLOOKUP(AF1345,TPCalibEq150!$AZ$2:$BB$55,3,)))</f>
        <v>0</v>
      </c>
      <c r="AR1345" s="10" t="b">
        <f>IF(AND(I1345="TP",S1345&lt;=300),VLOOKUP(AF1345,TPCalibEq300!$AZ$2:$BB$55,3,),IF(AND(I1345="TDP",S1345&lt;=300),VLOOKUP(AF1345,TPCalibEq300!$AZ$2:$BB$55,3,)))</f>
        <v>0</v>
      </c>
      <c r="AS1345" s="10" t="b">
        <f>IF(AND(I1345="TP",S1345&lt;=500),VLOOKUP(AF1345,TPCalibEq500!$AZ$2:$BB$56,3,),IF(AND(I1345="TDP",S1345&lt;=500),VLOOKUP(AF1345,TPCalibEq500!$AZ$2:$BB$56,3,)))</f>
        <v>0</v>
      </c>
      <c r="AT1345" s="10" t="b">
        <f>IF(AND(I1345="TN",S1345&lt;=2800),VLOOKUP(AF1345,TNCalibEq2500!$AZ$2:$BB$56,3,),IF(AND(I1345="TDN",S1345&lt;=2800),VLOOKUP(AF1345,TNCalibEq2500!$AZ$2:$BB$56,3,)))</f>
        <v>0</v>
      </c>
      <c r="AU1345" s="10" t="b">
        <f>IF(I1345="TP",VLOOKUP(AF1345,TPCalibEqFull!$AZ$2:$BB$56,3),IF(I1345="TDP",VLOOKUP(AF1345,TPCalibEqFull!$AZ$2:$BB$56,3),IF(I1345="TDN",VLOOKUP(AF1345,TNCalibEqFull!$AZ$1:$BB$56,3),IF(I1345="TN",VLOOKUP(AF1345,TNCalibEqFull!$AZ$1:$BB$56,3),FALSE))))</f>
        <v>0</v>
      </c>
      <c r="AV1345" s="10" t="str">
        <f t="shared" si="150"/>
        <v>0123 11:40:00-FVM-0-C-2-SW-SPK</v>
      </c>
    </row>
    <row r="1346" spans="1:48" s="10" customFormat="1" x14ac:dyDescent="0.55000000000000004">
      <c r="A1346" s="32">
        <v>44958</v>
      </c>
      <c r="B1346" s="33">
        <v>0.375</v>
      </c>
      <c r="C1346" s="10" t="s">
        <v>70</v>
      </c>
      <c r="D1346" s="10" t="s">
        <v>71</v>
      </c>
      <c r="E1346" s="10" t="s">
        <v>901</v>
      </c>
      <c r="F1346" s="10">
        <v>1</v>
      </c>
      <c r="G1346" s="10" t="s">
        <v>73</v>
      </c>
      <c r="H1346" s="10" t="s">
        <v>207</v>
      </c>
      <c r="I1346" s="10" t="s">
        <v>75</v>
      </c>
      <c r="J1346" s="10">
        <v>200</v>
      </c>
      <c r="K1346" s="12">
        <v>44958</v>
      </c>
      <c r="L1346" s="33">
        <v>0.53032407407407411</v>
      </c>
      <c r="M1346" s="10">
        <v>1</v>
      </c>
      <c r="N1346" s="10" t="s">
        <v>76</v>
      </c>
      <c r="O1346" s="10">
        <v>5.36</v>
      </c>
      <c r="P1346" s="10">
        <v>0.42899999999999999</v>
      </c>
      <c r="Q1346" s="10">
        <v>296</v>
      </c>
      <c r="R1346" s="10" t="s">
        <v>77</v>
      </c>
      <c r="S1346" s="34">
        <f t="shared" si="154"/>
        <v>296</v>
      </c>
      <c r="T1346" s="10" t="s">
        <v>1103</v>
      </c>
      <c r="U1346" s="34">
        <f t="shared" ref="U1346:U1409" si="155">IF(OR(H1346="CHK",H1346="ATP",H1346="GUP",H1346="PER", H1346="NIC", H1346="UREA"),(S1346/V1346*100),IF(H1346="DUP",((ABS(S1346-S1345))/((S1345+S1346)/2))*100,IF(H1346="SPK",((S1346-S1345)/V1346*100),IF(OR(H1346="LAB",H1346="FLD",H1346="ESF"),S1346,""))))</f>
        <v>98.666666666666671</v>
      </c>
      <c r="V1346" s="31">
        <f>IF(H1346="CHK",VLOOKUP(I1346,QCCHK,3,),IF(H1346="GUP",VLOOKUP(E1346,QCGUP,2,),IF(AND(H1346="ATP",OR(I1346="TN",I1346="TDN",I1346="TNO2-3",I1346="NO2-3")),VLOOKUP(E1346,QCREC_N,2,),IF(AND(H1346="NIC",OR(I1346="TN",I1346="TDN",I1346="TNO2-3",I1346="NO2-3")),VLOOKUP(E1346,QCNIC_N,2,),IF(AND(H1346="UREA",OR(I1346="TN",I1346="TDN",I1346="TNO2-3",I1346="NO2-3")),VLOOKUP(E1346,QCUREA_N,2,),IF(H1346="PER",VLOOKUP(I1346,QCPER,MATCH(E1346,QCACTUAL!$J$25:$AA$25,0),),IF(H1346="SPK",VLOOKUP(I1346,QCSPK,3,),IF(AND(H1346="ATP",OR(I1346="TP",I1346="TDP")),VLOOKUP(E1346,QCATP_P,2,),""))))))))</f>
        <v>300</v>
      </c>
      <c r="W1346" s="31" t="str">
        <f t="shared" ref="W1346:W1409" si="156">IF(AND(OR(H1346="PER",H1346="ATP",H1346="GUP",H1346="CHK",H1346="SPK", H1346="NIC"),OR(U1346&gt;125,U1346&lt;75)),"FALSE",IF(AND(H1346="DUP",OR(U1346&gt;25, U1346&lt;-25)),"FALSE",IF(AND(OR(H1346="LAB",H1346="FLD",H1346="ESF"),U1346&gt;15),"FALSE","TRUE")))</f>
        <v>TRUE</v>
      </c>
      <c r="X1346" s="31" t="str">
        <f t="shared" si="153"/>
        <v>[chk]/[actual]*100</v>
      </c>
      <c r="Y1346" s="10" t="s">
        <v>1096</v>
      </c>
      <c r="AL1346" s="10" t="str">
        <f t="shared" si="151"/>
        <v>FALSE</v>
      </c>
      <c r="AM1346" s="10" t="str">
        <f t="shared" si="151"/>
        <v>FALSE</v>
      </c>
      <c r="AN1346" s="10" t="str">
        <f t="shared" si="151"/>
        <v>FALSE</v>
      </c>
      <c r="AO1346" s="10" t="str">
        <f t="shared" si="152"/>
        <v>FALSE</v>
      </c>
      <c r="AP1346" s="10" t="str">
        <f t="shared" si="152"/>
        <v>FALSE</v>
      </c>
      <c r="AQ1346" s="10" t="b">
        <f>IF(AND(I1346="TP",S1346&lt;=150),VLOOKUP(AF1346,TPCalibEq150!$AZ$2:$BB$55,3,),IF(AND(I1346="TDP",S1346&lt;=150),VLOOKUP(AF1346,TPCalibEq150!$AZ$2:$BB$55,3,)))</f>
        <v>0</v>
      </c>
      <c r="AR1346" s="10" t="b">
        <f>IF(AND(I1346="TP",S1346&lt;=300),VLOOKUP(AF1346,TPCalibEq300!$AZ$2:$BB$55,3,),IF(AND(I1346="TDP",S1346&lt;=300),VLOOKUP(AF1346,TPCalibEq300!$AZ$2:$BB$55,3,)))</f>
        <v>0</v>
      </c>
      <c r="AS1346" s="10" t="b">
        <f>IF(AND(I1346="TP",S1346&lt;=500),VLOOKUP(AF1346,TPCalibEq500!$AZ$2:$BB$56,3,),IF(AND(I1346="TDP",S1346&lt;=500),VLOOKUP(AF1346,TPCalibEq500!$AZ$2:$BB$56,3,)))</f>
        <v>0</v>
      </c>
      <c r="AT1346" s="10" t="b">
        <f>IF(AND(I1346="TN",S1346&lt;=2800),VLOOKUP(AF1346,TNCalibEq2500!$AZ$2:$BB$56,3,),IF(AND(I1346="TDN",S1346&lt;=2800),VLOOKUP(AF1346,TNCalibEq2500!$AZ$2:$BB$56,3,)))</f>
        <v>0</v>
      </c>
      <c r="AU1346" s="10" t="b">
        <f>IF(I1346="TP",VLOOKUP(AF1346,TPCalibEqFull!$AZ$2:$BB$56,3),IF(I1346="TDP",VLOOKUP(AF1346,TPCalibEqFull!$AZ$2:$BB$56,3),IF(I1346="TDN",VLOOKUP(AF1346,TNCalibEqFull!$AZ$1:$BB$56,3),IF(I1346="TN",VLOOKUP(AF1346,TNCalibEqFull!$AZ$1:$BB$56,3),FALSE))))</f>
        <v>0</v>
      </c>
      <c r="AV1346" s="10" t="str">
        <f t="shared" ref="AV1346:AV1409" si="157">TEXT(A1346, "MMDD")&amp;" "&amp;TEXT(B1346, "HH:MM:SS")&amp;"-"&amp;C1346&amp;"-"&amp;D1346&amp;"-"&amp;E1346&amp;"-"&amp;F1346&amp;"-"&amp;G1346&amp;"-"&amp;H1346</f>
        <v>0201 09:00:00-QAC-STD-D-1-DI-CHK</v>
      </c>
    </row>
    <row r="1347" spans="1:48" s="10" customFormat="1" x14ac:dyDescent="0.55000000000000004">
      <c r="A1347" s="32">
        <v>44949</v>
      </c>
      <c r="B1347" s="33">
        <v>0.49861111111111112</v>
      </c>
      <c r="C1347" s="10" t="s">
        <v>336</v>
      </c>
      <c r="D1347" s="10">
        <v>0</v>
      </c>
      <c r="E1347" s="10" t="s">
        <v>190</v>
      </c>
      <c r="F1347" s="10">
        <v>1</v>
      </c>
      <c r="G1347" s="10" t="s">
        <v>231</v>
      </c>
      <c r="H1347" s="10" t="s">
        <v>322</v>
      </c>
      <c r="I1347" s="10" t="s">
        <v>75</v>
      </c>
      <c r="J1347" s="10">
        <v>25</v>
      </c>
      <c r="K1347" s="12">
        <v>44958</v>
      </c>
      <c r="L1347" s="33">
        <v>0.53113425925925928</v>
      </c>
      <c r="M1347" s="10">
        <v>1</v>
      </c>
      <c r="N1347" s="10" t="s">
        <v>76</v>
      </c>
      <c r="O1347" s="10">
        <v>0.24</v>
      </c>
      <c r="P1347" s="10">
        <v>2.23E-2</v>
      </c>
      <c r="Q1347" s="10">
        <v>13.3</v>
      </c>
      <c r="R1347" s="10" t="s">
        <v>77</v>
      </c>
      <c r="S1347" s="34">
        <f t="shared" si="154"/>
        <v>13.3</v>
      </c>
      <c r="T1347" s="10" t="s">
        <v>1103</v>
      </c>
      <c r="U1347" s="34" t="str">
        <f t="shared" si="155"/>
        <v/>
      </c>
      <c r="V1347" s="31" t="str">
        <f>IF(H1347="CHK",VLOOKUP(I1347,QCCHK,3,),IF(H1347="GUP",VLOOKUP(E1347,QCGUP,2,),IF(AND(H1347="ATP",OR(I1347="TN",I1347="TDN",I1347="TNO2-3",I1347="NO2-3")),VLOOKUP(E1347,QCREC_N,2,),IF(AND(H1347="NIC",OR(I1347="TN",I1347="TDN",I1347="TNO2-3",I1347="NO2-3")),VLOOKUP(E1347,QCNIC_N,2,),IF(AND(H1347="UREA",OR(I1347="TN",I1347="TDN",I1347="TNO2-3",I1347="NO2-3")),VLOOKUP(E1347,QCUREA_N,2,),IF(H1347="PER",VLOOKUP(I1347,QCPER,MATCH(E1347,QCACTUAL!$J$25:$AA$25,0),),IF(H1347="SPK",VLOOKUP(I1347,QCSPK,3,),IF(AND(H1347="ATP",OR(I1347="TP",I1347="TDP")),VLOOKUP(E1347,QCATP_P,2,),""))))))))</f>
        <v/>
      </c>
      <c r="W1347" s="31" t="str">
        <f t="shared" si="156"/>
        <v>TRUE</v>
      </c>
      <c r="X1347" s="31" t="str">
        <f t="shared" si="153"/>
        <v/>
      </c>
      <c r="Y1347" s="10" t="s">
        <v>1096</v>
      </c>
      <c r="Z1347" s="10" t="s">
        <v>910</v>
      </c>
      <c r="AL1347" s="10" t="str">
        <f t="shared" si="151"/>
        <v>FALSE</v>
      </c>
      <c r="AM1347" s="10" t="str">
        <f t="shared" si="151"/>
        <v>FALSE</v>
      </c>
      <c r="AN1347" s="10" t="str">
        <f t="shared" si="151"/>
        <v>FALSE</v>
      </c>
      <c r="AO1347" s="10" t="str">
        <f t="shared" si="152"/>
        <v>FALSE</v>
      </c>
      <c r="AP1347" s="10" t="str">
        <f t="shared" si="152"/>
        <v>FALSE</v>
      </c>
      <c r="AQ1347" s="10" t="b">
        <f>IF(AND(I1347="TP",S1347&lt;=150),VLOOKUP(AF1347,TPCalibEq150!$AZ$2:$BB$55,3,),IF(AND(I1347="TDP",S1347&lt;=150),VLOOKUP(AF1347,TPCalibEq150!$AZ$2:$BB$55,3,)))</f>
        <v>0</v>
      </c>
      <c r="AR1347" s="10" t="b">
        <f>IF(AND(I1347="TP",S1347&lt;=300),VLOOKUP(AF1347,TPCalibEq300!$AZ$2:$BB$55,3,),IF(AND(I1347="TDP",S1347&lt;=300),VLOOKUP(AF1347,TPCalibEq300!$AZ$2:$BB$55,3,)))</f>
        <v>0</v>
      </c>
      <c r="AS1347" s="10" t="b">
        <f>IF(AND(I1347="TP",S1347&lt;=500),VLOOKUP(AF1347,TPCalibEq500!$AZ$2:$BB$56,3,),IF(AND(I1347="TDP",S1347&lt;=500),VLOOKUP(AF1347,TPCalibEq500!$AZ$2:$BB$56,3,)))</f>
        <v>0</v>
      </c>
      <c r="AT1347" s="10" t="b">
        <f>IF(AND(I1347="TN",S1347&lt;=2800),VLOOKUP(AF1347,TNCalibEq2500!$AZ$2:$BB$56,3,),IF(AND(I1347="TDN",S1347&lt;=2800),VLOOKUP(AF1347,TNCalibEq2500!$AZ$2:$BB$56,3,)))</f>
        <v>0</v>
      </c>
      <c r="AU1347" s="10" t="b">
        <f>IF(I1347="TP",VLOOKUP(AF1347,TPCalibEqFull!$AZ$2:$BB$56,3),IF(I1347="TDP",VLOOKUP(AF1347,TPCalibEqFull!$AZ$2:$BB$56,3),IF(I1347="TDN",VLOOKUP(AF1347,TNCalibEqFull!$AZ$1:$BB$56,3),IF(I1347="TN",VLOOKUP(AF1347,TNCalibEqFull!$AZ$1:$BB$56,3),FALSE))))</f>
        <v>0</v>
      </c>
      <c r="AV1347" s="10" t="str">
        <f t="shared" si="157"/>
        <v>0123 11:58:00-HWR-0-C-1-SW-UKN</v>
      </c>
    </row>
    <row r="1348" spans="1:48" s="10" customFormat="1" x14ac:dyDescent="0.55000000000000004">
      <c r="A1348" s="32">
        <v>44949</v>
      </c>
      <c r="B1348" s="33">
        <v>0.50555555555555554</v>
      </c>
      <c r="C1348" s="10" t="s">
        <v>295</v>
      </c>
      <c r="D1348" s="10">
        <v>0</v>
      </c>
      <c r="E1348" s="10" t="s">
        <v>190</v>
      </c>
      <c r="F1348" s="10">
        <v>1</v>
      </c>
      <c r="G1348" s="10" t="s">
        <v>231</v>
      </c>
      <c r="H1348" s="10" t="s">
        <v>322</v>
      </c>
      <c r="I1348" s="10" t="s">
        <v>75</v>
      </c>
      <c r="J1348" s="10">
        <v>26</v>
      </c>
      <c r="K1348" s="12">
        <v>44958</v>
      </c>
      <c r="L1348" s="33">
        <v>0.53194444444444444</v>
      </c>
      <c r="M1348" s="10">
        <v>1</v>
      </c>
      <c r="N1348" s="10" t="s">
        <v>76</v>
      </c>
      <c r="O1348" s="10">
        <v>0.72</v>
      </c>
      <c r="P1348" s="10">
        <v>5.3900000000000003E-2</v>
      </c>
      <c r="Q1348" s="10">
        <v>39.700000000000003</v>
      </c>
      <c r="R1348" s="10" t="s">
        <v>77</v>
      </c>
      <c r="S1348" s="34">
        <f t="shared" si="154"/>
        <v>39.700000000000003</v>
      </c>
      <c r="T1348" s="10" t="s">
        <v>1103</v>
      </c>
      <c r="U1348" s="34" t="str">
        <f t="shared" si="155"/>
        <v/>
      </c>
      <c r="V1348" s="31" t="str">
        <f>IF(H1348="CHK",VLOOKUP(I1348,QCCHK,3,),IF(H1348="GUP",VLOOKUP(E1348,QCGUP,2,),IF(AND(H1348="ATP",OR(I1348="TN",I1348="TDN",I1348="TNO2-3",I1348="NO2-3")),VLOOKUP(E1348,QCREC_N,2,),IF(AND(H1348="NIC",OR(I1348="TN",I1348="TDN",I1348="TNO2-3",I1348="NO2-3")),VLOOKUP(E1348,QCNIC_N,2,),IF(AND(H1348="UREA",OR(I1348="TN",I1348="TDN",I1348="TNO2-3",I1348="NO2-3")),VLOOKUP(E1348,QCUREA_N,2,),IF(H1348="PER",VLOOKUP(I1348,QCPER,MATCH(E1348,QCACTUAL!$J$25:$AA$25,0),),IF(H1348="SPK",VLOOKUP(I1348,QCSPK,3,),IF(AND(H1348="ATP",OR(I1348="TP",I1348="TDP")),VLOOKUP(E1348,QCATP_P,2,),""))))))))</f>
        <v/>
      </c>
      <c r="W1348" s="31" t="str">
        <f t="shared" si="156"/>
        <v>TRUE</v>
      </c>
      <c r="X1348" s="31" t="str">
        <f t="shared" si="153"/>
        <v/>
      </c>
      <c r="Y1348" s="10" t="s">
        <v>1096</v>
      </c>
      <c r="Z1348" s="10" t="s">
        <v>910</v>
      </c>
      <c r="AL1348" s="10" t="str">
        <f t="shared" si="151"/>
        <v>FALSE</v>
      </c>
      <c r="AM1348" s="10" t="str">
        <f t="shared" si="151"/>
        <v>FALSE</v>
      </c>
      <c r="AN1348" s="10" t="str">
        <f t="shared" si="151"/>
        <v>FALSE</v>
      </c>
      <c r="AO1348" s="10" t="str">
        <f t="shared" si="152"/>
        <v>FALSE</v>
      </c>
      <c r="AP1348" s="10" t="str">
        <f t="shared" si="152"/>
        <v>FALSE</v>
      </c>
      <c r="AQ1348" s="10" t="b">
        <f>IF(AND(I1348="TP",S1348&lt;=150),VLOOKUP(AF1348,TPCalibEq150!$AZ$2:$BB$55,3,),IF(AND(I1348="TDP",S1348&lt;=150),VLOOKUP(AF1348,TPCalibEq150!$AZ$2:$BB$55,3,)))</f>
        <v>0</v>
      </c>
      <c r="AR1348" s="10" t="b">
        <f>IF(AND(I1348="TP",S1348&lt;=300),VLOOKUP(AF1348,TPCalibEq300!$AZ$2:$BB$55,3,),IF(AND(I1348="TDP",S1348&lt;=300),VLOOKUP(AF1348,TPCalibEq300!$AZ$2:$BB$55,3,)))</f>
        <v>0</v>
      </c>
      <c r="AS1348" s="10" t="b">
        <f>IF(AND(I1348="TP",S1348&lt;=500),VLOOKUP(AF1348,TPCalibEq500!$AZ$2:$BB$56,3,),IF(AND(I1348="TDP",S1348&lt;=500),VLOOKUP(AF1348,TPCalibEq500!$AZ$2:$BB$56,3,)))</f>
        <v>0</v>
      </c>
      <c r="AT1348" s="10" t="b">
        <f>IF(AND(I1348="TN",S1348&lt;=2800),VLOOKUP(AF1348,TNCalibEq2500!$AZ$2:$BB$56,3,),IF(AND(I1348="TDN",S1348&lt;=2800),VLOOKUP(AF1348,TNCalibEq2500!$AZ$2:$BB$56,3,)))</f>
        <v>0</v>
      </c>
      <c r="AU1348" s="10" t="b">
        <f>IF(I1348="TP",VLOOKUP(AF1348,TPCalibEqFull!$AZ$2:$BB$56,3),IF(I1348="TDP",VLOOKUP(AF1348,TPCalibEqFull!$AZ$2:$BB$56,3),IF(I1348="TDN",VLOOKUP(AF1348,TNCalibEqFull!$AZ$1:$BB$56,3),IF(I1348="TN",VLOOKUP(AF1348,TNCalibEqFull!$AZ$1:$BB$56,3),FALSE))))</f>
        <v>0</v>
      </c>
      <c r="AV1348" s="10" t="str">
        <f t="shared" si="157"/>
        <v>0123 12:08:00-EFM-0-C-1-SW-UKN</v>
      </c>
    </row>
    <row r="1349" spans="1:48" s="10" customFormat="1" x14ac:dyDescent="0.55000000000000004">
      <c r="A1349" s="32">
        <v>44949</v>
      </c>
      <c r="B1349" s="33">
        <v>0.52500000000000002</v>
      </c>
      <c r="C1349" s="10" t="s">
        <v>999</v>
      </c>
      <c r="D1349" s="10">
        <v>0</v>
      </c>
      <c r="E1349" s="10" t="s">
        <v>190</v>
      </c>
      <c r="F1349" s="10">
        <v>1</v>
      </c>
      <c r="G1349" s="10" t="s">
        <v>231</v>
      </c>
      <c r="H1349" s="10" t="s">
        <v>322</v>
      </c>
      <c r="I1349" s="10" t="s">
        <v>75</v>
      </c>
      <c r="J1349" s="10">
        <v>27</v>
      </c>
      <c r="K1349" s="12">
        <v>44958</v>
      </c>
      <c r="L1349" s="33">
        <v>0.53275462962962961</v>
      </c>
      <c r="M1349" s="10">
        <v>1</v>
      </c>
      <c r="N1349" s="10" t="s">
        <v>76</v>
      </c>
      <c r="O1349" s="10">
        <v>0.60699999999999998</v>
      </c>
      <c r="P1349" s="10">
        <v>4.4200000000000003E-2</v>
      </c>
      <c r="Q1349" s="10">
        <v>33.5</v>
      </c>
      <c r="R1349" s="10" t="s">
        <v>77</v>
      </c>
      <c r="S1349" s="34">
        <f t="shared" si="154"/>
        <v>33.5</v>
      </c>
      <c r="T1349" s="10" t="s">
        <v>1103</v>
      </c>
      <c r="U1349" s="34" t="str">
        <f t="shared" si="155"/>
        <v/>
      </c>
      <c r="V1349" s="31" t="str">
        <f>IF(H1349="CHK",VLOOKUP(I1349,QCCHK,3,),IF(H1349="GUP",VLOOKUP(E1349,QCGUP,2,),IF(AND(H1349="ATP",OR(I1349="TN",I1349="TDN",I1349="TNO2-3",I1349="NO2-3")),VLOOKUP(E1349,QCREC_N,2,),IF(AND(H1349="NIC",OR(I1349="TN",I1349="TDN",I1349="TNO2-3",I1349="NO2-3")),VLOOKUP(E1349,QCNIC_N,2,),IF(AND(H1349="UREA",OR(I1349="TN",I1349="TDN",I1349="TNO2-3",I1349="NO2-3")),VLOOKUP(E1349,QCUREA_N,2,),IF(H1349="PER",VLOOKUP(I1349,QCPER,MATCH(E1349,QCACTUAL!$J$25:$AA$25,0),),IF(H1349="SPK",VLOOKUP(I1349,QCSPK,3,),IF(AND(H1349="ATP",OR(I1349="TP",I1349="TDP")),VLOOKUP(E1349,QCATP_P,2,),""))))))))</f>
        <v/>
      </c>
      <c r="W1349" s="31" t="str">
        <f t="shared" si="156"/>
        <v>TRUE</v>
      </c>
      <c r="X1349" s="31" t="str">
        <f t="shared" si="153"/>
        <v/>
      </c>
      <c r="Y1349" s="10" t="s">
        <v>1096</v>
      </c>
      <c r="Z1349" s="10" t="s">
        <v>910</v>
      </c>
      <c r="AL1349" s="10" t="str">
        <f t="shared" si="151"/>
        <v>FALSE</v>
      </c>
      <c r="AM1349" s="10" t="str">
        <f t="shared" si="151"/>
        <v>FALSE</v>
      </c>
      <c r="AN1349" s="10" t="str">
        <f t="shared" si="151"/>
        <v>FALSE</v>
      </c>
      <c r="AO1349" s="10" t="str">
        <f t="shared" si="152"/>
        <v>FALSE</v>
      </c>
      <c r="AP1349" s="10" t="str">
        <f t="shared" si="152"/>
        <v>FALSE</v>
      </c>
      <c r="AQ1349" s="10" t="b">
        <f>IF(AND(I1349="TP",S1349&lt;=150),VLOOKUP(AF1349,TPCalibEq150!$AZ$2:$BB$55,3,),IF(AND(I1349="TDP",S1349&lt;=150),VLOOKUP(AF1349,TPCalibEq150!$AZ$2:$BB$55,3,)))</f>
        <v>0</v>
      </c>
      <c r="AR1349" s="10" t="b">
        <f>IF(AND(I1349="TP",S1349&lt;=300),VLOOKUP(AF1349,TPCalibEq300!$AZ$2:$BB$55,3,),IF(AND(I1349="TDP",S1349&lt;=300),VLOOKUP(AF1349,TPCalibEq300!$AZ$2:$BB$55,3,)))</f>
        <v>0</v>
      </c>
      <c r="AS1349" s="10" t="b">
        <f>IF(AND(I1349="TP",S1349&lt;=500),VLOOKUP(AF1349,TPCalibEq500!$AZ$2:$BB$56,3,),IF(AND(I1349="TDP",S1349&lt;=500),VLOOKUP(AF1349,TPCalibEq500!$AZ$2:$BB$56,3,)))</f>
        <v>0</v>
      </c>
      <c r="AT1349" s="10" t="b">
        <f>IF(AND(I1349="TN",S1349&lt;=2800),VLOOKUP(AF1349,TNCalibEq2500!$AZ$2:$BB$56,3,),IF(AND(I1349="TDN",S1349&lt;=2800),VLOOKUP(AF1349,TNCalibEq2500!$AZ$2:$BB$56,3,)))</f>
        <v>0</v>
      </c>
      <c r="AU1349" s="10" t="b">
        <f>IF(I1349="TP",VLOOKUP(AF1349,TPCalibEqFull!$AZ$2:$BB$56,3),IF(I1349="TDP",VLOOKUP(AF1349,TPCalibEqFull!$AZ$2:$BB$56,3),IF(I1349="TDN",VLOOKUP(AF1349,TNCalibEqFull!$AZ$1:$BB$56,3),IF(I1349="TN",VLOOKUP(AF1349,TNCalibEqFull!$AZ$1:$BB$56,3),FALSE))))</f>
        <v>0</v>
      </c>
      <c r="AV1349" s="10" t="str">
        <f t="shared" si="157"/>
        <v>0123 12:36:00-EAW-0-C-1-SW-UKN</v>
      </c>
    </row>
    <row r="1350" spans="1:48" s="10" customFormat="1" x14ac:dyDescent="0.55000000000000004">
      <c r="A1350" s="32">
        <v>44949</v>
      </c>
      <c r="B1350" s="33">
        <v>0.52916666666666667</v>
      </c>
      <c r="C1350" s="10" t="s">
        <v>310</v>
      </c>
      <c r="D1350" s="10">
        <v>0</v>
      </c>
      <c r="E1350" s="10" t="s">
        <v>190</v>
      </c>
      <c r="F1350" s="10">
        <v>1</v>
      </c>
      <c r="G1350" s="10" t="s">
        <v>231</v>
      </c>
      <c r="H1350" s="10" t="s">
        <v>322</v>
      </c>
      <c r="I1350" s="10" t="s">
        <v>75</v>
      </c>
      <c r="J1350" s="10">
        <v>28</v>
      </c>
      <c r="K1350" s="12">
        <v>44958</v>
      </c>
      <c r="L1350" s="33">
        <v>0.53356481481481477</v>
      </c>
      <c r="M1350" s="10">
        <v>1</v>
      </c>
      <c r="N1350" s="10" t="s">
        <v>76</v>
      </c>
      <c r="O1350" s="10">
        <v>0.60399999999999998</v>
      </c>
      <c r="P1350" s="10">
        <v>5.0200000000000002E-2</v>
      </c>
      <c r="Q1350" s="10">
        <v>33.4</v>
      </c>
      <c r="R1350" s="10" t="s">
        <v>77</v>
      </c>
      <c r="S1350" s="34">
        <f t="shared" si="154"/>
        <v>33.4</v>
      </c>
      <c r="T1350" s="10" t="s">
        <v>1103</v>
      </c>
      <c r="U1350" s="34" t="str">
        <f t="shared" si="155"/>
        <v/>
      </c>
      <c r="V1350" s="31" t="str">
        <f>IF(H1350="CHK",VLOOKUP(I1350,QCCHK,3,),IF(H1350="GUP",VLOOKUP(E1350,QCGUP,2,),IF(AND(H1350="ATP",OR(I1350="TN",I1350="TDN",I1350="TNO2-3",I1350="NO2-3")),VLOOKUP(E1350,QCREC_N,2,),IF(AND(H1350="NIC",OR(I1350="TN",I1350="TDN",I1350="TNO2-3",I1350="NO2-3")),VLOOKUP(E1350,QCNIC_N,2,),IF(AND(H1350="UREA",OR(I1350="TN",I1350="TDN",I1350="TNO2-3",I1350="NO2-3")),VLOOKUP(E1350,QCUREA_N,2,),IF(H1350="PER",VLOOKUP(I1350,QCPER,MATCH(E1350,QCACTUAL!$J$25:$AA$25,0),),IF(H1350="SPK",VLOOKUP(I1350,QCSPK,3,),IF(AND(H1350="ATP",OR(I1350="TP",I1350="TDP")),VLOOKUP(E1350,QCATP_P,2,),""))))))))</f>
        <v/>
      </c>
      <c r="W1350" s="31" t="str">
        <f t="shared" si="156"/>
        <v>TRUE</v>
      </c>
      <c r="X1350" s="31" t="str">
        <f t="shared" si="153"/>
        <v/>
      </c>
      <c r="Y1350" s="10" t="s">
        <v>1096</v>
      </c>
      <c r="Z1350" s="10" t="s">
        <v>910</v>
      </c>
      <c r="AL1350" s="10" t="str">
        <f t="shared" si="151"/>
        <v>FALSE</v>
      </c>
      <c r="AM1350" s="10" t="str">
        <f t="shared" si="151"/>
        <v>FALSE</v>
      </c>
      <c r="AN1350" s="10" t="str">
        <f t="shared" si="151"/>
        <v>FALSE</v>
      </c>
      <c r="AO1350" s="10" t="str">
        <f t="shared" si="152"/>
        <v>FALSE</v>
      </c>
      <c r="AP1350" s="10" t="str">
        <f t="shared" si="152"/>
        <v>FALSE</v>
      </c>
      <c r="AQ1350" s="10" t="b">
        <f>IF(AND(I1350="TP",S1350&lt;=150),VLOOKUP(AF1350,TPCalibEq150!$AZ$2:$BB$55,3,),IF(AND(I1350="TDP",S1350&lt;=150),VLOOKUP(AF1350,TPCalibEq150!$AZ$2:$BB$55,3,)))</f>
        <v>0</v>
      </c>
      <c r="AR1350" s="10" t="b">
        <f>IF(AND(I1350="TP",S1350&lt;=300),VLOOKUP(AF1350,TPCalibEq300!$AZ$2:$BB$55,3,),IF(AND(I1350="TDP",S1350&lt;=300),VLOOKUP(AF1350,TPCalibEq300!$AZ$2:$BB$55,3,)))</f>
        <v>0</v>
      </c>
      <c r="AS1350" s="10" t="b">
        <f>IF(AND(I1350="TP",S1350&lt;=500),VLOOKUP(AF1350,TPCalibEq500!$AZ$2:$BB$56,3,),IF(AND(I1350="TDP",S1350&lt;=500),VLOOKUP(AF1350,TPCalibEq500!$AZ$2:$BB$56,3,)))</f>
        <v>0</v>
      </c>
      <c r="AT1350" s="10" t="b">
        <f>IF(AND(I1350="TN",S1350&lt;=2800),VLOOKUP(AF1350,TNCalibEq2500!$AZ$2:$BB$56,3,),IF(AND(I1350="TDN",S1350&lt;=2800),VLOOKUP(AF1350,TNCalibEq2500!$AZ$2:$BB$56,3,)))</f>
        <v>0</v>
      </c>
      <c r="AU1350" s="10" t="b">
        <f>IF(I1350="TP",VLOOKUP(AF1350,TPCalibEqFull!$AZ$2:$BB$56,3),IF(I1350="TDP",VLOOKUP(AF1350,TPCalibEqFull!$AZ$2:$BB$56,3),IF(I1350="TDN",VLOOKUP(AF1350,TNCalibEqFull!$AZ$1:$BB$56,3),IF(I1350="TN",VLOOKUP(AF1350,TNCalibEqFull!$AZ$1:$BB$56,3),FALSE))))</f>
        <v>0</v>
      </c>
      <c r="AV1350" s="10" t="str">
        <f t="shared" si="157"/>
        <v>0123 12:42:00-ELI-0-C-1-SW-UKN</v>
      </c>
    </row>
    <row r="1351" spans="1:48" s="10" customFormat="1" x14ac:dyDescent="0.55000000000000004">
      <c r="A1351" s="32">
        <v>44949</v>
      </c>
      <c r="B1351" s="33">
        <v>0.52916666666666667</v>
      </c>
      <c r="C1351" s="10" t="s">
        <v>310</v>
      </c>
      <c r="D1351" s="10">
        <v>0</v>
      </c>
      <c r="E1351" s="10" t="s">
        <v>190</v>
      </c>
      <c r="F1351" s="10">
        <v>1</v>
      </c>
      <c r="G1351" s="10" t="s">
        <v>231</v>
      </c>
      <c r="H1351" s="10" t="s">
        <v>233</v>
      </c>
      <c r="I1351" s="10" t="s">
        <v>75</v>
      </c>
      <c r="J1351" s="10">
        <v>28</v>
      </c>
      <c r="K1351" s="12">
        <v>44958</v>
      </c>
      <c r="L1351" s="33">
        <v>0.53437499999999993</v>
      </c>
      <c r="M1351" s="10">
        <v>1</v>
      </c>
      <c r="N1351" s="10" t="s">
        <v>76</v>
      </c>
      <c r="O1351" s="10">
        <v>0.56699999999999995</v>
      </c>
      <c r="P1351" s="10">
        <v>4.48E-2</v>
      </c>
      <c r="Q1351" s="10">
        <v>31.3</v>
      </c>
      <c r="R1351" s="10" t="s">
        <v>77</v>
      </c>
      <c r="S1351" s="34">
        <f t="shared" si="154"/>
        <v>31.3</v>
      </c>
      <c r="T1351" s="10" t="s">
        <v>1103</v>
      </c>
      <c r="U1351" s="34">
        <f t="shared" si="155"/>
        <v>6.4914992272024659</v>
      </c>
      <c r="V1351" s="31" t="str">
        <f>IF(H1351="CHK",VLOOKUP(I1351,QCCHK,3,),IF(H1351="GUP",VLOOKUP(E1351,QCGUP,2,),IF(AND(H1351="ATP",OR(I1351="TN",I1351="TDN",I1351="TNO2-3",I1351="NO2-3")),VLOOKUP(E1351,QCREC_N,2,),IF(AND(H1351="NIC",OR(I1351="TN",I1351="TDN",I1351="TNO2-3",I1351="NO2-3")),VLOOKUP(E1351,QCNIC_N,2,),IF(AND(H1351="UREA",OR(I1351="TN",I1351="TDN",I1351="TNO2-3",I1351="NO2-3")),VLOOKUP(E1351,QCUREA_N,2,),IF(H1351="PER",VLOOKUP(I1351,QCPER,MATCH(E1351,QCACTUAL!$J$25:$AA$25,0),),IF(H1351="SPK",VLOOKUP(I1351,QCSPK,3,),IF(AND(H1351="ATP",OR(I1351="TP",I1351="TDP")),VLOOKUP(E1351,QCATP_P,2,),""))))))))</f>
        <v/>
      </c>
      <c r="W1351" s="31" t="str">
        <f t="shared" si="156"/>
        <v>TRUE</v>
      </c>
      <c r="X1351" s="31" t="str">
        <f t="shared" si="153"/>
        <v>((ABS(rep1-rep2))/((rep1+rep2)/2)*100</v>
      </c>
      <c r="Y1351" s="10" t="s">
        <v>1096</v>
      </c>
      <c r="Z1351" s="10" t="s">
        <v>910</v>
      </c>
      <c r="AL1351" s="10" t="str">
        <f t="shared" si="151"/>
        <v>FALSE</v>
      </c>
      <c r="AM1351" s="10" t="str">
        <f t="shared" si="151"/>
        <v>FALSE</v>
      </c>
      <c r="AN1351" s="10" t="str">
        <f t="shared" si="151"/>
        <v>FALSE</v>
      </c>
      <c r="AO1351" s="10" t="str">
        <f t="shared" si="152"/>
        <v>FALSE</v>
      </c>
      <c r="AP1351" s="10" t="str">
        <f t="shared" si="152"/>
        <v>FALSE</v>
      </c>
      <c r="AQ1351" s="10" t="b">
        <f>IF(AND(I1351="TP",S1351&lt;=150),VLOOKUP(AF1351,TPCalibEq150!$AZ$2:$BB$55,3,),IF(AND(I1351="TDP",S1351&lt;=150),VLOOKUP(AF1351,TPCalibEq150!$AZ$2:$BB$55,3,)))</f>
        <v>0</v>
      </c>
      <c r="AR1351" s="10" t="b">
        <f>IF(AND(I1351="TP",S1351&lt;=300),VLOOKUP(AF1351,TPCalibEq300!$AZ$2:$BB$55,3,),IF(AND(I1351="TDP",S1351&lt;=300),VLOOKUP(AF1351,TPCalibEq300!$AZ$2:$BB$55,3,)))</f>
        <v>0</v>
      </c>
      <c r="AS1351" s="10" t="b">
        <f>IF(AND(I1351="TP",S1351&lt;=500),VLOOKUP(AF1351,TPCalibEq500!$AZ$2:$BB$56,3,),IF(AND(I1351="TDP",S1351&lt;=500),VLOOKUP(AF1351,TPCalibEq500!$AZ$2:$BB$56,3,)))</f>
        <v>0</v>
      </c>
      <c r="AT1351" s="10" t="b">
        <f>IF(AND(I1351="TN",S1351&lt;=2800),VLOOKUP(AF1351,TNCalibEq2500!$AZ$2:$BB$56,3,),IF(AND(I1351="TDN",S1351&lt;=2800),VLOOKUP(AF1351,TNCalibEq2500!$AZ$2:$BB$56,3,)))</f>
        <v>0</v>
      </c>
      <c r="AU1351" s="10" t="b">
        <f>IF(I1351="TP",VLOOKUP(AF1351,TPCalibEqFull!$AZ$2:$BB$56,3),IF(I1351="TDP",VLOOKUP(AF1351,TPCalibEqFull!$AZ$2:$BB$56,3),IF(I1351="TDN",VLOOKUP(AF1351,TNCalibEqFull!$AZ$1:$BB$56,3),IF(I1351="TN",VLOOKUP(AF1351,TNCalibEqFull!$AZ$1:$BB$56,3),FALSE))))</f>
        <v>0</v>
      </c>
      <c r="AV1351" s="10" t="str">
        <f t="shared" si="157"/>
        <v>0123 12:42:00-ELI-0-C-1-SW-DUP</v>
      </c>
    </row>
    <row r="1352" spans="1:48" s="10" customFormat="1" x14ac:dyDescent="0.55000000000000004">
      <c r="A1352" s="32">
        <v>44949</v>
      </c>
      <c r="B1352" s="33">
        <v>0.52916666666666667</v>
      </c>
      <c r="C1352" s="10" t="s">
        <v>310</v>
      </c>
      <c r="D1352" s="10">
        <v>0</v>
      </c>
      <c r="E1352" s="10" t="s">
        <v>190</v>
      </c>
      <c r="F1352" s="10">
        <v>1</v>
      </c>
      <c r="G1352" s="10" t="s">
        <v>231</v>
      </c>
      <c r="H1352" s="10" t="s">
        <v>314</v>
      </c>
      <c r="I1352" s="10" t="s">
        <v>75</v>
      </c>
      <c r="J1352" s="10">
        <v>84</v>
      </c>
      <c r="K1352" s="12">
        <v>44958</v>
      </c>
      <c r="L1352" s="33">
        <v>0.53518518518518521</v>
      </c>
      <c r="M1352" s="10">
        <v>1</v>
      </c>
      <c r="N1352" s="10" t="s">
        <v>76</v>
      </c>
      <c r="O1352" s="10">
        <v>12.5</v>
      </c>
      <c r="P1352" s="10">
        <v>0.99299999999999999</v>
      </c>
      <c r="Q1352" s="10">
        <v>692</v>
      </c>
      <c r="R1352" s="10" t="s">
        <v>77</v>
      </c>
      <c r="S1352" s="34">
        <f t="shared" si="154"/>
        <v>692</v>
      </c>
      <c r="T1352" s="10" t="s">
        <v>1103</v>
      </c>
      <c r="U1352" s="34">
        <f t="shared" si="155"/>
        <v>105.712</v>
      </c>
      <c r="V1352" s="31">
        <f>IF(H1352="CHK",VLOOKUP(I1352,QCCHK,3,),IF(H1352="GUP",VLOOKUP(E1352,QCGUP,2,),IF(AND(H1352="ATP",OR(I1352="TN",I1352="TDN",I1352="TNO2-3",I1352="NO2-3")),VLOOKUP(E1352,QCREC_N,2,),IF(AND(H1352="NIC",OR(I1352="TN",I1352="TDN",I1352="TNO2-3",I1352="NO2-3")),VLOOKUP(E1352,QCNIC_N,2,),IF(AND(H1352="UREA",OR(I1352="TN",I1352="TDN",I1352="TNO2-3",I1352="NO2-3")),VLOOKUP(E1352,QCUREA_N,2,),IF(H1352="PER",VLOOKUP(I1352,QCPER,MATCH(E1352,QCACTUAL!$J$25:$AA$25,0),),IF(H1352="SPK",VLOOKUP(I1352,QCSPK,3,),IF(AND(H1352="ATP",OR(I1352="TP",I1352="TDP")),VLOOKUP(E1352,QCATP_P,2,),""))))))))</f>
        <v>625</v>
      </c>
      <c r="W1352" s="31" t="str">
        <f t="shared" si="156"/>
        <v>TRUE</v>
      </c>
      <c r="X1352" s="31" t="str">
        <f t="shared" si="153"/>
        <v>([spikedunkn]-[unkn])/[spike]*100</v>
      </c>
      <c r="Y1352" s="10" t="s">
        <v>1096</v>
      </c>
      <c r="Z1352" s="10" t="s">
        <v>910</v>
      </c>
      <c r="AL1352" s="10" t="str">
        <f t="shared" si="151"/>
        <v>FALSE</v>
      </c>
      <c r="AM1352" s="10" t="str">
        <f t="shared" si="151"/>
        <v>FALSE</v>
      </c>
      <c r="AN1352" s="10" t="str">
        <f t="shared" si="151"/>
        <v>FALSE</v>
      </c>
      <c r="AO1352" s="10" t="str">
        <f t="shared" si="152"/>
        <v>FALSE</v>
      </c>
      <c r="AP1352" s="10" t="str">
        <f t="shared" si="152"/>
        <v>FALSE</v>
      </c>
      <c r="AQ1352" s="10" t="b">
        <f>IF(AND(I1352="TP",S1352&lt;=150),VLOOKUP(AF1352,TPCalibEq150!$AZ$2:$BB$55,3,),IF(AND(I1352="TDP",S1352&lt;=150),VLOOKUP(AF1352,TPCalibEq150!$AZ$2:$BB$55,3,)))</f>
        <v>0</v>
      </c>
      <c r="AR1352" s="10" t="b">
        <f>IF(AND(I1352="TP",S1352&lt;=300),VLOOKUP(AF1352,TPCalibEq300!$AZ$2:$BB$55,3,),IF(AND(I1352="TDP",S1352&lt;=300),VLOOKUP(AF1352,TPCalibEq300!$AZ$2:$BB$55,3,)))</f>
        <v>0</v>
      </c>
      <c r="AS1352" s="10" t="b">
        <f>IF(AND(I1352="TP",S1352&lt;=500),VLOOKUP(AF1352,TPCalibEq500!$AZ$2:$BB$56,3,),IF(AND(I1352="TDP",S1352&lt;=500),VLOOKUP(AF1352,TPCalibEq500!$AZ$2:$BB$56,3,)))</f>
        <v>0</v>
      </c>
      <c r="AT1352" s="10" t="b">
        <f>IF(AND(I1352="TN",S1352&lt;=2800),VLOOKUP(AF1352,TNCalibEq2500!$AZ$2:$BB$56,3,),IF(AND(I1352="TDN",S1352&lt;=2800),VLOOKUP(AF1352,TNCalibEq2500!$AZ$2:$BB$56,3,)))</f>
        <v>0</v>
      </c>
      <c r="AU1352" s="10" t="b">
        <f>IF(I1352="TP",VLOOKUP(AF1352,TPCalibEqFull!$AZ$2:$BB$56,3),IF(I1352="TDP",VLOOKUP(AF1352,TPCalibEqFull!$AZ$2:$BB$56,3),IF(I1352="TDN",VLOOKUP(AF1352,TNCalibEqFull!$AZ$1:$BB$56,3),IF(I1352="TN",VLOOKUP(AF1352,TNCalibEqFull!$AZ$1:$BB$56,3),FALSE))))</f>
        <v>0</v>
      </c>
      <c r="AV1352" s="10" t="str">
        <f t="shared" si="157"/>
        <v>0123 12:42:00-ELI-0-C-1-SW-SPK</v>
      </c>
    </row>
    <row r="1353" spans="1:48" s="10" customFormat="1" x14ac:dyDescent="0.55000000000000004">
      <c r="A1353" s="32">
        <v>44958</v>
      </c>
      <c r="B1353" s="33">
        <v>0.375</v>
      </c>
      <c r="C1353" s="10" t="s">
        <v>70</v>
      </c>
      <c r="D1353" s="10" t="s">
        <v>71</v>
      </c>
      <c r="E1353" s="10" t="s">
        <v>901</v>
      </c>
      <c r="F1353" s="10">
        <v>1</v>
      </c>
      <c r="G1353" s="10" t="s">
        <v>73</v>
      </c>
      <c r="H1353" s="10" t="s">
        <v>207</v>
      </c>
      <c r="I1353" s="10" t="s">
        <v>75</v>
      </c>
      <c r="J1353" s="10">
        <v>200</v>
      </c>
      <c r="K1353" s="12">
        <v>44958</v>
      </c>
      <c r="L1353" s="33">
        <v>0.53601851851851856</v>
      </c>
      <c r="M1353" s="10">
        <v>1</v>
      </c>
      <c r="N1353" s="10" t="s">
        <v>76</v>
      </c>
      <c r="O1353" s="10">
        <v>5.34</v>
      </c>
      <c r="P1353" s="10">
        <v>0.42799999999999999</v>
      </c>
      <c r="Q1353" s="10">
        <v>295</v>
      </c>
      <c r="R1353" s="10" t="s">
        <v>77</v>
      </c>
      <c r="S1353" s="34">
        <f t="shared" si="154"/>
        <v>295</v>
      </c>
      <c r="T1353" s="10" t="s">
        <v>1103</v>
      </c>
      <c r="U1353" s="34">
        <f t="shared" si="155"/>
        <v>98.333333333333329</v>
      </c>
      <c r="V1353" s="31">
        <f>IF(H1353="CHK",VLOOKUP(I1353,QCCHK,3,),IF(H1353="GUP",VLOOKUP(E1353,QCGUP,2,),IF(AND(H1353="ATP",OR(I1353="TN",I1353="TDN",I1353="TNO2-3",I1353="NO2-3")),VLOOKUP(E1353,QCREC_N,2,),IF(AND(H1353="NIC",OR(I1353="TN",I1353="TDN",I1353="TNO2-3",I1353="NO2-3")),VLOOKUP(E1353,QCNIC_N,2,),IF(AND(H1353="UREA",OR(I1353="TN",I1353="TDN",I1353="TNO2-3",I1353="NO2-3")),VLOOKUP(E1353,QCUREA_N,2,),IF(H1353="PER",VLOOKUP(I1353,QCPER,MATCH(E1353,QCACTUAL!$J$25:$AA$25,0),),IF(H1353="SPK",VLOOKUP(I1353,QCSPK,3,),IF(AND(H1353="ATP",OR(I1353="TP",I1353="TDP")),VLOOKUP(E1353,QCATP_P,2,),""))))))))</f>
        <v>300</v>
      </c>
      <c r="W1353" s="31" t="str">
        <f t="shared" si="156"/>
        <v>TRUE</v>
      </c>
      <c r="X1353" s="31" t="str">
        <f t="shared" si="153"/>
        <v>[chk]/[actual]*100</v>
      </c>
      <c r="Y1353" s="10" t="s">
        <v>1096</v>
      </c>
      <c r="AL1353" s="10" t="str">
        <f t="shared" si="151"/>
        <v>FALSE</v>
      </c>
      <c r="AM1353" s="10" t="str">
        <f t="shared" si="151"/>
        <v>FALSE</v>
      </c>
      <c r="AN1353" s="10" t="str">
        <f t="shared" si="151"/>
        <v>FALSE</v>
      </c>
      <c r="AO1353" s="10" t="str">
        <f t="shared" si="152"/>
        <v>FALSE</v>
      </c>
      <c r="AP1353" s="10" t="str">
        <f t="shared" si="152"/>
        <v>FALSE</v>
      </c>
      <c r="AQ1353" s="10" t="b">
        <f>IF(AND(I1353="TP",S1353&lt;=150),VLOOKUP(AF1353,TPCalibEq150!$AZ$2:$BB$55,3,),IF(AND(I1353="TDP",S1353&lt;=150),VLOOKUP(AF1353,TPCalibEq150!$AZ$2:$BB$55,3,)))</f>
        <v>0</v>
      </c>
      <c r="AR1353" s="10" t="b">
        <f>IF(AND(I1353="TP",S1353&lt;=300),VLOOKUP(AF1353,TPCalibEq300!$AZ$2:$BB$55,3,),IF(AND(I1353="TDP",S1353&lt;=300),VLOOKUP(AF1353,TPCalibEq300!$AZ$2:$BB$55,3,)))</f>
        <v>0</v>
      </c>
      <c r="AS1353" s="10" t="b">
        <f>IF(AND(I1353="TP",S1353&lt;=500),VLOOKUP(AF1353,TPCalibEq500!$AZ$2:$BB$56,3,),IF(AND(I1353="TDP",S1353&lt;=500),VLOOKUP(AF1353,TPCalibEq500!$AZ$2:$BB$56,3,)))</f>
        <v>0</v>
      </c>
      <c r="AT1353" s="10" t="b">
        <f>IF(AND(I1353="TN",S1353&lt;=2800),VLOOKUP(AF1353,TNCalibEq2500!$AZ$2:$BB$56,3,),IF(AND(I1353="TDN",S1353&lt;=2800),VLOOKUP(AF1353,TNCalibEq2500!$AZ$2:$BB$56,3,)))</f>
        <v>0</v>
      </c>
      <c r="AU1353" s="10" t="b">
        <f>IF(I1353="TP",VLOOKUP(AF1353,TPCalibEqFull!$AZ$2:$BB$56,3),IF(I1353="TDP",VLOOKUP(AF1353,TPCalibEqFull!$AZ$2:$BB$56,3),IF(I1353="TDN",VLOOKUP(AF1353,TNCalibEqFull!$AZ$1:$BB$56,3),IF(I1353="TN",VLOOKUP(AF1353,TNCalibEqFull!$AZ$1:$BB$56,3),FALSE))))</f>
        <v>0</v>
      </c>
      <c r="AV1353" s="10" t="str">
        <f t="shared" si="157"/>
        <v>0201 09:00:00-QAC-STD-D-1-DI-CHK</v>
      </c>
    </row>
    <row r="1354" spans="1:48" s="10" customFormat="1" x14ac:dyDescent="0.55000000000000004">
      <c r="A1354" s="32">
        <v>44956</v>
      </c>
      <c r="B1354" s="33">
        <v>0.35972222222222222</v>
      </c>
      <c r="C1354" s="10" t="s">
        <v>998</v>
      </c>
      <c r="D1354" s="10">
        <v>0</v>
      </c>
      <c r="E1354" s="10" t="s">
        <v>190</v>
      </c>
      <c r="F1354" s="10">
        <v>1</v>
      </c>
      <c r="G1354" s="10" t="s">
        <v>231</v>
      </c>
      <c r="H1354" s="10" t="s">
        <v>322</v>
      </c>
      <c r="I1354" s="10" t="s">
        <v>75</v>
      </c>
      <c r="J1354" s="10">
        <v>29</v>
      </c>
      <c r="K1354" s="12">
        <v>44958</v>
      </c>
      <c r="L1354" s="33">
        <v>0.53682870370370372</v>
      </c>
      <c r="M1354" s="10">
        <v>1</v>
      </c>
      <c r="N1354" s="10" t="s">
        <v>76</v>
      </c>
      <c r="O1354" s="10">
        <v>0.35699999999999998</v>
      </c>
      <c r="P1354" s="10">
        <v>2.4799999999999999E-2</v>
      </c>
      <c r="Q1354" s="10">
        <v>19.7</v>
      </c>
      <c r="R1354" s="10" t="s">
        <v>77</v>
      </c>
      <c r="S1354" s="34">
        <f t="shared" si="154"/>
        <v>19.7</v>
      </c>
      <c r="T1354" s="10" t="s">
        <v>1103</v>
      </c>
      <c r="U1354" s="34" t="str">
        <f t="shared" si="155"/>
        <v/>
      </c>
      <c r="V1354" s="31" t="str">
        <f>IF(H1354="CHK",VLOOKUP(I1354,QCCHK,3,),IF(H1354="GUP",VLOOKUP(E1354,QCGUP,2,),IF(AND(H1354="ATP",OR(I1354="TN",I1354="TDN",I1354="TNO2-3",I1354="NO2-3")),VLOOKUP(E1354,QCREC_N,2,),IF(AND(H1354="NIC",OR(I1354="TN",I1354="TDN",I1354="TNO2-3",I1354="NO2-3")),VLOOKUP(E1354,QCNIC_N,2,),IF(AND(H1354="UREA",OR(I1354="TN",I1354="TDN",I1354="TNO2-3",I1354="NO2-3")),VLOOKUP(E1354,QCUREA_N,2,),IF(H1354="PER",VLOOKUP(I1354,QCPER,MATCH(E1354,QCACTUAL!$J$25:$AA$25,0),),IF(H1354="SPK",VLOOKUP(I1354,QCSPK,3,),IF(AND(H1354="ATP",OR(I1354="TP",I1354="TDP")),VLOOKUP(E1354,QCATP_P,2,),""))))))))</f>
        <v/>
      </c>
      <c r="W1354" s="31" t="str">
        <f t="shared" si="156"/>
        <v>TRUE</v>
      </c>
      <c r="X1354" s="31" t="str">
        <f t="shared" si="153"/>
        <v/>
      </c>
      <c r="Y1354" s="10" t="s">
        <v>1096</v>
      </c>
      <c r="Z1354" s="10" t="s">
        <v>910</v>
      </c>
      <c r="AL1354" s="10" t="str">
        <f t="shared" si="151"/>
        <v>FALSE</v>
      </c>
      <c r="AM1354" s="10" t="str">
        <f t="shared" si="151"/>
        <v>FALSE</v>
      </c>
      <c r="AN1354" s="10" t="str">
        <f t="shared" si="151"/>
        <v>FALSE</v>
      </c>
      <c r="AO1354" s="10" t="str">
        <f t="shared" si="152"/>
        <v>FALSE</v>
      </c>
      <c r="AP1354" s="10" t="str">
        <f t="shared" si="152"/>
        <v>FALSE</v>
      </c>
      <c r="AQ1354" s="10" t="b">
        <f>IF(AND(I1354="TP",S1354&lt;=150),VLOOKUP(AF1354,TPCalibEq150!$AZ$2:$BB$55,3,),IF(AND(I1354="TDP",S1354&lt;=150),VLOOKUP(AF1354,TPCalibEq150!$AZ$2:$BB$55,3,)))</f>
        <v>0</v>
      </c>
      <c r="AR1354" s="10" t="b">
        <f>IF(AND(I1354="TP",S1354&lt;=300),VLOOKUP(AF1354,TPCalibEq300!$AZ$2:$BB$55,3,),IF(AND(I1354="TDP",S1354&lt;=300),VLOOKUP(AF1354,TPCalibEq300!$AZ$2:$BB$55,3,)))</f>
        <v>0</v>
      </c>
      <c r="AS1354" s="10" t="b">
        <f>IF(AND(I1354="TP",S1354&lt;=500),VLOOKUP(AF1354,TPCalibEq500!$AZ$2:$BB$56,3,),IF(AND(I1354="TDP",S1354&lt;=500),VLOOKUP(AF1354,TPCalibEq500!$AZ$2:$BB$56,3,)))</f>
        <v>0</v>
      </c>
      <c r="AT1354" s="10" t="b">
        <f>IF(AND(I1354="TN",S1354&lt;=2800),VLOOKUP(AF1354,TNCalibEq2500!$AZ$2:$BB$56,3,),IF(AND(I1354="TDN",S1354&lt;=2800),VLOOKUP(AF1354,TNCalibEq2500!$AZ$2:$BB$56,3,)))</f>
        <v>0</v>
      </c>
      <c r="AU1354" s="10" t="b">
        <f>IF(I1354="TP",VLOOKUP(AF1354,TPCalibEqFull!$AZ$2:$BB$56,3),IF(I1354="TDP",VLOOKUP(AF1354,TPCalibEqFull!$AZ$2:$BB$56,3),IF(I1354="TDN",VLOOKUP(AF1354,TNCalibEqFull!$AZ$1:$BB$56,3),IF(I1354="TN",VLOOKUP(AF1354,TNCalibEqFull!$AZ$1:$BB$56,3),FALSE))))</f>
        <v>0</v>
      </c>
      <c r="AV1354" s="10" t="str">
        <f t="shared" si="157"/>
        <v>0130 08:38:00-ELW-0-C-1-SW-UKN</v>
      </c>
    </row>
    <row r="1355" spans="1:48" s="10" customFormat="1" x14ac:dyDescent="0.55000000000000004">
      <c r="A1355" s="32">
        <v>44956</v>
      </c>
      <c r="B1355" s="33">
        <v>0.38055555555555554</v>
      </c>
      <c r="C1355" s="10" t="s">
        <v>357</v>
      </c>
      <c r="D1355" s="10">
        <v>0</v>
      </c>
      <c r="E1355" s="10" t="s">
        <v>190</v>
      </c>
      <c r="F1355" s="10">
        <v>1</v>
      </c>
      <c r="G1355" s="10" t="s">
        <v>231</v>
      </c>
      <c r="H1355" s="10" t="s">
        <v>322</v>
      </c>
      <c r="I1355" s="10" t="s">
        <v>75</v>
      </c>
      <c r="J1355" s="10">
        <v>30</v>
      </c>
      <c r="K1355" s="12">
        <v>44958</v>
      </c>
      <c r="L1355" s="33">
        <v>0.53762731481481485</v>
      </c>
      <c r="M1355" s="10">
        <v>1</v>
      </c>
      <c r="N1355" s="10" t="s">
        <v>76</v>
      </c>
      <c r="O1355" s="10">
        <v>0.114</v>
      </c>
      <c r="P1355" s="10">
        <v>9.5399999999999999E-3</v>
      </c>
      <c r="Q1355" s="10">
        <v>6.27</v>
      </c>
      <c r="R1355" s="10" t="s">
        <v>77</v>
      </c>
      <c r="S1355" s="34">
        <f t="shared" si="154"/>
        <v>6.27</v>
      </c>
      <c r="T1355" s="10" t="s">
        <v>1103</v>
      </c>
      <c r="U1355" s="34" t="str">
        <f t="shared" si="155"/>
        <v/>
      </c>
      <c r="V1355" s="31" t="str">
        <f>IF(H1355="CHK",VLOOKUP(I1355,QCCHK,3,),IF(H1355="GUP",VLOOKUP(E1355,QCGUP,2,),IF(AND(H1355="ATP",OR(I1355="TN",I1355="TDN",I1355="TNO2-3",I1355="NO2-3")),VLOOKUP(E1355,QCREC_N,2,),IF(AND(H1355="NIC",OR(I1355="TN",I1355="TDN",I1355="TNO2-3",I1355="NO2-3")),VLOOKUP(E1355,QCNIC_N,2,),IF(AND(H1355="UREA",OR(I1355="TN",I1355="TDN",I1355="TNO2-3",I1355="NO2-3")),VLOOKUP(E1355,QCUREA_N,2,),IF(H1355="PER",VLOOKUP(I1355,QCPER,MATCH(E1355,QCACTUAL!$J$25:$AA$25,0),),IF(H1355="SPK",VLOOKUP(I1355,QCSPK,3,),IF(AND(H1355="ATP",OR(I1355="TP",I1355="TDP")),VLOOKUP(E1355,QCATP_P,2,),""))))))))</f>
        <v/>
      </c>
      <c r="W1355" s="31" t="str">
        <f t="shared" si="156"/>
        <v>TRUE</v>
      </c>
      <c r="X1355" s="31" t="str">
        <f t="shared" si="153"/>
        <v/>
      </c>
      <c r="Y1355" s="10" t="s">
        <v>1096</v>
      </c>
      <c r="Z1355" s="10" t="s">
        <v>910</v>
      </c>
      <c r="AL1355" s="10" t="str">
        <f t="shared" si="151"/>
        <v>FALSE</v>
      </c>
      <c r="AM1355" s="10" t="str">
        <f t="shared" si="151"/>
        <v>FALSE</v>
      </c>
      <c r="AN1355" s="10" t="str">
        <f t="shared" si="151"/>
        <v>FALSE</v>
      </c>
      <c r="AO1355" s="10" t="str">
        <f t="shared" si="152"/>
        <v>FALSE</v>
      </c>
      <c r="AP1355" s="10" t="str">
        <f t="shared" si="152"/>
        <v>FALSE</v>
      </c>
      <c r="AQ1355" s="10" t="b">
        <f>IF(AND(I1355="TP",S1355&lt;=150),VLOOKUP(AF1355,TPCalibEq150!$AZ$2:$BB$55,3,),IF(AND(I1355="TDP",S1355&lt;=150),VLOOKUP(AF1355,TPCalibEq150!$AZ$2:$BB$55,3,)))</f>
        <v>0</v>
      </c>
      <c r="AR1355" s="10" t="b">
        <f>IF(AND(I1355="TP",S1355&lt;=300),VLOOKUP(AF1355,TPCalibEq300!$AZ$2:$BB$55,3,),IF(AND(I1355="TDP",S1355&lt;=300),VLOOKUP(AF1355,TPCalibEq300!$AZ$2:$BB$55,3,)))</f>
        <v>0</v>
      </c>
      <c r="AS1355" s="10" t="b">
        <f>IF(AND(I1355="TP",S1355&lt;=500),VLOOKUP(AF1355,TPCalibEq500!$AZ$2:$BB$56,3,),IF(AND(I1355="TDP",S1355&lt;=500),VLOOKUP(AF1355,TPCalibEq500!$AZ$2:$BB$56,3,)))</f>
        <v>0</v>
      </c>
      <c r="AT1355" s="10" t="b">
        <f>IF(AND(I1355="TN",S1355&lt;=2800),VLOOKUP(AF1355,TNCalibEq2500!$AZ$2:$BB$56,3,),IF(AND(I1355="TDN",S1355&lt;=2800),VLOOKUP(AF1355,TNCalibEq2500!$AZ$2:$BB$56,3,)))</f>
        <v>0</v>
      </c>
      <c r="AU1355" s="10" t="b">
        <f>IF(I1355="TP",VLOOKUP(AF1355,TPCalibEqFull!$AZ$2:$BB$56,3),IF(I1355="TDP",VLOOKUP(AF1355,TPCalibEqFull!$AZ$2:$BB$56,3),IF(I1355="TDN",VLOOKUP(AF1355,TNCalibEqFull!$AZ$1:$BB$56,3),IF(I1355="TN",VLOOKUP(AF1355,TNCalibEqFull!$AZ$1:$BB$56,3),FALSE))))</f>
        <v>0</v>
      </c>
      <c r="AV1355" s="10" t="str">
        <f t="shared" si="157"/>
        <v>0130 09:08:00-STC-0-C-1-SW-UKN</v>
      </c>
    </row>
    <row r="1356" spans="1:48" s="10" customFormat="1" x14ac:dyDescent="0.55000000000000004">
      <c r="A1356" s="32">
        <v>44956</v>
      </c>
      <c r="B1356" s="33">
        <v>0.3972222222222222</v>
      </c>
      <c r="C1356" s="10" t="s">
        <v>999</v>
      </c>
      <c r="D1356" s="10">
        <v>0</v>
      </c>
      <c r="E1356" s="10" t="s">
        <v>190</v>
      </c>
      <c r="F1356" s="10">
        <v>1</v>
      </c>
      <c r="G1356" s="10" t="s">
        <v>231</v>
      </c>
      <c r="H1356" s="10" t="s">
        <v>322</v>
      </c>
      <c r="I1356" s="10" t="s">
        <v>75</v>
      </c>
      <c r="J1356" s="10">
        <v>31</v>
      </c>
      <c r="K1356" s="12">
        <v>44958</v>
      </c>
      <c r="L1356" s="33">
        <v>0.53844907407407405</v>
      </c>
      <c r="M1356" s="10">
        <v>1</v>
      </c>
      <c r="N1356" s="10" t="s">
        <v>76</v>
      </c>
      <c r="O1356" s="10">
        <v>0.224</v>
      </c>
      <c r="P1356" s="10">
        <v>1.6299999999999999E-2</v>
      </c>
      <c r="Q1356" s="10">
        <v>12.4</v>
      </c>
      <c r="R1356" s="10" t="s">
        <v>77</v>
      </c>
      <c r="S1356" s="34">
        <f t="shared" si="154"/>
        <v>12.4</v>
      </c>
      <c r="T1356" s="10" t="s">
        <v>1103</v>
      </c>
      <c r="U1356" s="34" t="str">
        <f t="shared" si="155"/>
        <v/>
      </c>
      <c r="V1356" s="31" t="str">
        <f>IF(H1356="CHK",VLOOKUP(I1356,QCCHK,3,),IF(H1356="GUP",VLOOKUP(E1356,QCGUP,2,),IF(AND(H1356="ATP",OR(I1356="TN",I1356="TDN",I1356="TNO2-3",I1356="NO2-3")),VLOOKUP(E1356,QCREC_N,2,),IF(AND(H1356="NIC",OR(I1356="TN",I1356="TDN",I1356="TNO2-3",I1356="NO2-3")),VLOOKUP(E1356,QCNIC_N,2,),IF(AND(H1356="UREA",OR(I1356="TN",I1356="TDN",I1356="TNO2-3",I1356="NO2-3")),VLOOKUP(E1356,QCUREA_N,2,),IF(H1356="PER",VLOOKUP(I1356,QCPER,MATCH(E1356,QCACTUAL!$J$25:$AA$25,0),),IF(H1356="SPK",VLOOKUP(I1356,QCSPK,3,),IF(AND(H1356="ATP",OR(I1356="TP",I1356="TDP")),VLOOKUP(E1356,QCATP_P,2,),""))))))))</f>
        <v/>
      </c>
      <c r="W1356" s="31" t="str">
        <f t="shared" si="156"/>
        <v>TRUE</v>
      </c>
      <c r="X1356" s="31" t="str">
        <f t="shared" si="153"/>
        <v/>
      </c>
      <c r="Y1356" s="10" t="s">
        <v>1096</v>
      </c>
      <c r="Z1356" s="10" t="s">
        <v>910</v>
      </c>
      <c r="AL1356" s="10" t="str">
        <f t="shared" si="151"/>
        <v>FALSE</v>
      </c>
      <c r="AM1356" s="10" t="str">
        <f t="shared" si="151"/>
        <v>FALSE</v>
      </c>
      <c r="AN1356" s="10" t="str">
        <f t="shared" si="151"/>
        <v>FALSE</v>
      </c>
      <c r="AO1356" s="10" t="str">
        <f t="shared" si="152"/>
        <v>FALSE</v>
      </c>
      <c r="AP1356" s="10" t="str">
        <f t="shared" si="152"/>
        <v>FALSE</v>
      </c>
      <c r="AQ1356" s="10" t="b">
        <f>IF(AND(I1356="TP",S1356&lt;=150),VLOOKUP(AF1356,TPCalibEq150!$AZ$2:$BB$55,3,),IF(AND(I1356="TDP",S1356&lt;=150),VLOOKUP(AF1356,TPCalibEq150!$AZ$2:$BB$55,3,)))</f>
        <v>0</v>
      </c>
      <c r="AR1356" s="10" t="b">
        <f>IF(AND(I1356="TP",S1356&lt;=300),VLOOKUP(AF1356,TPCalibEq300!$AZ$2:$BB$55,3,),IF(AND(I1356="TDP",S1356&lt;=300),VLOOKUP(AF1356,TPCalibEq300!$AZ$2:$BB$55,3,)))</f>
        <v>0</v>
      </c>
      <c r="AS1356" s="10" t="b">
        <f>IF(AND(I1356="TP",S1356&lt;=500),VLOOKUP(AF1356,TPCalibEq500!$AZ$2:$BB$56,3,),IF(AND(I1356="TDP",S1356&lt;=500),VLOOKUP(AF1356,TPCalibEq500!$AZ$2:$BB$56,3,)))</f>
        <v>0</v>
      </c>
      <c r="AT1356" s="10" t="b">
        <f>IF(AND(I1356="TN",S1356&lt;=2800),VLOOKUP(AF1356,TNCalibEq2500!$AZ$2:$BB$56,3,),IF(AND(I1356="TDN",S1356&lt;=2800),VLOOKUP(AF1356,TNCalibEq2500!$AZ$2:$BB$56,3,)))</f>
        <v>0</v>
      </c>
      <c r="AU1356" s="10" t="b">
        <f>IF(I1356="TP",VLOOKUP(AF1356,TPCalibEqFull!$AZ$2:$BB$56,3),IF(I1356="TDP",VLOOKUP(AF1356,TPCalibEqFull!$AZ$2:$BB$56,3),IF(I1356="TDN",VLOOKUP(AF1356,TNCalibEqFull!$AZ$1:$BB$56,3),IF(I1356="TN",VLOOKUP(AF1356,TNCalibEqFull!$AZ$1:$BB$56,3),FALSE))))</f>
        <v>0</v>
      </c>
      <c r="AV1356" s="10" t="str">
        <f t="shared" si="157"/>
        <v>0130 09:32:00-EAW-0-C-1-SW-UKN</v>
      </c>
    </row>
    <row r="1357" spans="1:48" s="10" customFormat="1" x14ac:dyDescent="0.55000000000000004">
      <c r="A1357" s="32">
        <v>44956</v>
      </c>
      <c r="B1357" s="33">
        <v>0.40486111111111112</v>
      </c>
      <c r="C1357" s="10" t="s">
        <v>310</v>
      </c>
      <c r="D1357" s="10">
        <v>0</v>
      </c>
      <c r="E1357" s="10" t="s">
        <v>190</v>
      </c>
      <c r="F1357" s="10">
        <v>1</v>
      </c>
      <c r="G1357" s="10" t="s">
        <v>231</v>
      </c>
      <c r="H1357" s="10" t="s">
        <v>322</v>
      </c>
      <c r="I1357" s="10" t="s">
        <v>75</v>
      </c>
      <c r="J1357" s="10">
        <v>32</v>
      </c>
      <c r="K1357" s="12">
        <v>44958</v>
      </c>
      <c r="L1357" s="33">
        <v>0.5392824074074074</v>
      </c>
      <c r="M1357" s="10">
        <v>1</v>
      </c>
      <c r="N1357" s="10" t="s">
        <v>76</v>
      </c>
      <c r="O1357" s="10">
        <v>0.23599999999999999</v>
      </c>
      <c r="P1357" s="10">
        <v>1.7999999999999999E-2</v>
      </c>
      <c r="Q1357" s="10">
        <v>13</v>
      </c>
      <c r="R1357" s="10" t="s">
        <v>77</v>
      </c>
      <c r="S1357" s="34">
        <f t="shared" si="154"/>
        <v>13</v>
      </c>
      <c r="T1357" s="10" t="s">
        <v>1103</v>
      </c>
      <c r="U1357" s="34" t="str">
        <f t="shared" si="155"/>
        <v/>
      </c>
      <c r="V1357" s="31" t="str">
        <f>IF(H1357="CHK",VLOOKUP(I1357,QCCHK,3,),IF(H1357="GUP",VLOOKUP(E1357,QCGUP,2,),IF(AND(H1357="ATP",OR(I1357="TN",I1357="TDN",I1357="TNO2-3",I1357="NO2-3")),VLOOKUP(E1357,QCREC_N,2,),IF(AND(H1357="NIC",OR(I1357="TN",I1357="TDN",I1357="TNO2-3",I1357="NO2-3")),VLOOKUP(E1357,QCNIC_N,2,),IF(AND(H1357="UREA",OR(I1357="TN",I1357="TDN",I1357="TNO2-3",I1357="NO2-3")),VLOOKUP(E1357,QCUREA_N,2,),IF(H1357="PER",VLOOKUP(I1357,QCPER,MATCH(E1357,QCACTUAL!$J$25:$AA$25,0),),IF(H1357="SPK",VLOOKUP(I1357,QCSPK,3,),IF(AND(H1357="ATP",OR(I1357="TP",I1357="TDP")),VLOOKUP(E1357,QCATP_P,2,),""))))))))</f>
        <v/>
      </c>
      <c r="W1357" s="31" t="str">
        <f t="shared" si="156"/>
        <v>TRUE</v>
      </c>
      <c r="X1357" s="31" t="str">
        <f t="shared" si="153"/>
        <v/>
      </c>
      <c r="Y1357" s="10" t="s">
        <v>1096</v>
      </c>
      <c r="Z1357" s="10" t="s">
        <v>910</v>
      </c>
      <c r="AL1357" s="10" t="str">
        <f t="shared" si="151"/>
        <v>FALSE</v>
      </c>
      <c r="AM1357" s="10" t="str">
        <f t="shared" si="151"/>
        <v>FALSE</v>
      </c>
      <c r="AN1357" s="10" t="str">
        <f t="shared" si="151"/>
        <v>FALSE</v>
      </c>
      <c r="AO1357" s="10" t="str">
        <f t="shared" si="152"/>
        <v>FALSE</v>
      </c>
      <c r="AP1357" s="10" t="str">
        <f t="shared" si="152"/>
        <v>FALSE</v>
      </c>
      <c r="AQ1357" s="10" t="b">
        <f>IF(AND(I1357="TP",S1357&lt;=150),VLOOKUP(AF1357,TPCalibEq150!$AZ$2:$BB$55,3,),IF(AND(I1357="TDP",S1357&lt;=150),VLOOKUP(AF1357,TPCalibEq150!$AZ$2:$BB$55,3,)))</f>
        <v>0</v>
      </c>
      <c r="AR1357" s="10" t="b">
        <f>IF(AND(I1357="TP",S1357&lt;=300),VLOOKUP(AF1357,TPCalibEq300!$AZ$2:$BB$55,3,),IF(AND(I1357="TDP",S1357&lt;=300),VLOOKUP(AF1357,TPCalibEq300!$AZ$2:$BB$55,3,)))</f>
        <v>0</v>
      </c>
      <c r="AS1357" s="10" t="b">
        <f>IF(AND(I1357="TP",S1357&lt;=500),VLOOKUP(AF1357,TPCalibEq500!$AZ$2:$BB$56,3,),IF(AND(I1357="TDP",S1357&lt;=500),VLOOKUP(AF1357,TPCalibEq500!$AZ$2:$BB$56,3,)))</f>
        <v>0</v>
      </c>
      <c r="AT1357" s="10" t="b">
        <f>IF(AND(I1357="TN",S1357&lt;=2800),VLOOKUP(AF1357,TNCalibEq2500!$AZ$2:$BB$56,3,),IF(AND(I1357="TDN",S1357&lt;=2800),VLOOKUP(AF1357,TNCalibEq2500!$AZ$2:$BB$56,3,)))</f>
        <v>0</v>
      </c>
      <c r="AU1357" s="10" t="b">
        <f>IF(I1357="TP",VLOOKUP(AF1357,TPCalibEqFull!$AZ$2:$BB$56,3),IF(I1357="TDP",VLOOKUP(AF1357,TPCalibEqFull!$AZ$2:$BB$56,3),IF(I1357="TDN",VLOOKUP(AF1357,TNCalibEqFull!$AZ$1:$BB$56,3),IF(I1357="TN",VLOOKUP(AF1357,TNCalibEqFull!$AZ$1:$BB$56,3),FALSE))))</f>
        <v>0</v>
      </c>
      <c r="AV1357" s="10" t="str">
        <f t="shared" si="157"/>
        <v>0130 09:43:00-ELI-0-C-1-SW-UKN</v>
      </c>
    </row>
    <row r="1358" spans="1:48" s="10" customFormat="1" x14ac:dyDescent="0.55000000000000004">
      <c r="A1358" s="32">
        <v>44956</v>
      </c>
      <c r="B1358" s="33">
        <v>0.41597222222222219</v>
      </c>
      <c r="C1358" s="10" t="s">
        <v>408</v>
      </c>
      <c r="D1358" s="10">
        <v>0</v>
      </c>
      <c r="E1358" s="10" t="s">
        <v>190</v>
      </c>
      <c r="F1358" s="10">
        <v>1</v>
      </c>
      <c r="G1358" s="10" t="s">
        <v>231</v>
      </c>
      <c r="H1358" s="10" t="s">
        <v>322</v>
      </c>
      <c r="I1358" s="10" t="s">
        <v>75</v>
      </c>
      <c r="J1358" s="10">
        <v>33</v>
      </c>
      <c r="K1358" s="12">
        <v>44958</v>
      </c>
      <c r="L1358" s="33">
        <v>0.54010416666666672</v>
      </c>
      <c r="M1358" s="10">
        <v>1</v>
      </c>
      <c r="N1358" s="10" t="s">
        <v>76</v>
      </c>
      <c r="O1358" s="10">
        <v>0.156</v>
      </c>
      <c r="P1358" s="10">
        <v>1.0200000000000001E-2</v>
      </c>
      <c r="Q1358" s="10">
        <v>8.6</v>
      </c>
      <c r="R1358" s="10" t="s">
        <v>77</v>
      </c>
      <c r="S1358" s="34">
        <f t="shared" si="154"/>
        <v>8.6</v>
      </c>
      <c r="T1358" s="10" t="s">
        <v>1103</v>
      </c>
      <c r="U1358" s="34" t="str">
        <f t="shared" si="155"/>
        <v/>
      </c>
      <c r="V1358" s="31" t="str">
        <f>IF(H1358="CHK",VLOOKUP(I1358,QCCHK,3,),IF(H1358="GUP",VLOOKUP(E1358,QCGUP,2,),IF(AND(H1358="ATP",OR(I1358="TN",I1358="TDN",I1358="TNO2-3",I1358="NO2-3")),VLOOKUP(E1358,QCREC_N,2,),IF(AND(H1358="NIC",OR(I1358="TN",I1358="TDN",I1358="TNO2-3",I1358="NO2-3")),VLOOKUP(E1358,QCNIC_N,2,),IF(AND(H1358="UREA",OR(I1358="TN",I1358="TDN",I1358="TNO2-3",I1358="NO2-3")),VLOOKUP(E1358,QCUREA_N,2,),IF(H1358="PER",VLOOKUP(I1358,QCPER,MATCH(E1358,QCACTUAL!$J$25:$AA$25,0),),IF(H1358="SPK",VLOOKUP(I1358,QCSPK,3,),IF(AND(H1358="ATP",OR(I1358="TP",I1358="TDP")),VLOOKUP(E1358,QCATP_P,2,),""))))))))</f>
        <v/>
      </c>
      <c r="W1358" s="31" t="str">
        <f t="shared" si="156"/>
        <v>TRUE</v>
      </c>
      <c r="X1358" s="31" t="str">
        <f t="shared" si="153"/>
        <v/>
      </c>
      <c r="Y1358" s="10" t="s">
        <v>1096</v>
      </c>
      <c r="Z1358" s="10" t="s">
        <v>910</v>
      </c>
      <c r="AL1358" s="10" t="str">
        <f t="shared" si="151"/>
        <v>FALSE</v>
      </c>
      <c r="AM1358" s="10" t="str">
        <f t="shared" si="151"/>
        <v>FALSE</v>
      </c>
      <c r="AN1358" s="10" t="str">
        <f t="shared" si="151"/>
        <v>FALSE</v>
      </c>
      <c r="AO1358" s="10" t="str">
        <f t="shared" si="152"/>
        <v>FALSE</v>
      </c>
      <c r="AP1358" s="10" t="str">
        <f t="shared" si="152"/>
        <v>FALSE</v>
      </c>
      <c r="AQ1358" s="10" t="b">
        <f>IF(AND(I1358="TP",S1358&lt;=150),VLOOKUP(AF1358,TPCalibEq150!$AZ$2:$BB$55,3,),IF(AND(I1358="TDP",S1358&lt;=150),VLOOKUP(AF1358,TPCalibEq150!$AZ$2:$BB$55,3,)))</f>
        <v>0</v>
      </c>
      <c r="AR1358" s="10" t="b">
        <f>IF(AND(I1358="TP",S1358&lt;=300),VLOOKUP(AF1358,TPCalibEq300!$AZ$2:$BB$55,3,),IF(AND(I1358="TDP",S1358&lt;=300),VLOOKUP(AF1358,TPCalibEq300!$AZ$2:$BB$55,3,)))</f>
        <v>0</v>
      </c>
      <c r="AS1358" s="10" t="b">
        <f>IF(AND(I1358="TP",S1358&lt;=500),VLOOKUP(AF1358,TPCalibEq500!$AZ$2:$BB$56,3,),IF(AND(I1358="TDP",S1358&lt;=500),VLOOKUP(AF1358,TPCalibEq500!$AZ$2:$BB$56,3,)))</f>
        <v>0</v>
      </c>
      <c r="AT1358" s="10" t="b">
        <f>IF(AND(I1358="TN",S1358&lt;=2800),VLOOKUP(AF1358,TNCalibEq2500!$AZ$2:$BB$56,3,),IF(AND(I1358="TDN",S1358&lt;=2800),VLOOKUP(AF1358,TNCalibEq2500!$AZ$2:$BB$56,3,)))</f>
        <v>0</v>
      </c>
      <c r="AU1358" s="10" t="b">
        <f>IF(I1358="TP",VLOOKUP(AF1358,TPCalibEqFull!$AZ$2:$BB$56,3),IF(I1358="TDP",VLOOKUP(AF1358,TPCalibEqFull!$AZ$2:$BB$56,3),IF(I1358="TDN",VLOOKUP(AF1358,TNCalibEqFull!$AZ$1:$BB$56,3),IF(I1358="TN",VLOOKUP(AF1358,TNCalibEqFull!$AZ$1:$BB$56,3),FALSE))))</f>
        <v>0</v>
      </c>
      <c r="AV1358" s="10" t="str">
        <f t="shared" si="157"/>
        <v>0130 09:59:00-CLC-0-C-1-SW-UKN</v>
      </c>
    </row>
    <row r="1359" spans="1:48" s="10" customFormat="1" x14ac:dyDescent="0.55000000000000004">
      <c r="A1359" s="32">
        <v>44956</v>
      </c>
      <c r="B1359" s="33">
        <v>0.43055555555555558</v>
      </c>
      <c r="C1359" s="10" t="s">
        <v>349</v>
      </c>
      <c r="D1359" s="10">
        <v>0</v>
      </c>
      <c r="E1359" s="10" t="s">
        <v>190</v>
      </c>
      <c r="F1359" s="10">
        <v>1</v>
      </c>
      <c r="G1359" s="10" t="s">
        <v>231</v>
      </c>
      <c r="H1359" s="10" t="s">
        <v>322</v>
      </c>
      <c r="I1359" s="10" t="s">
        <v>75</v>
      </c>
      <c r="J1359" s="10">
        <v>34</v>
      </c>
      <c r="K1359" s="12">
        <v>44958</v>
      </c>
      <c r="L1359" s="33">
        <v>0.54091435185185188</v>
      </c>
      <c r="M1359" s="10">
        <v>1</v>
      </c>
      <c r="N1359" s="10" t="s">
        <v>76</v>
      </c>
      <c r="O1359" s="10">
        <v>0.311</v>
      </c>
      <c r="P1359" s="10">
        <v>2.4500000000000001E-2</v>
      </c>
      <c r="Q1359" s="10">
        <v>17.2</v>
      </c>
      <c r="R1359" s="10" t="s">
        <v>77</v>
      </c>
      <c r="S1359" s="34">
        <f t="shared" si="154"/>
        <v>17.2</v>
      </c>
      <c r="T1359" s="10" t="s">
        <v>1103</v>
      </c>
      <c r="U1359" s="34" t="str">
        <f t="shared" si="155"/>
        <v/>
      </c>
      <c r="V1359" s="31" t="str">
        <f>IF(H1359="CHK",VLOOKUP(I1359,QCCHK,3,),IF(H1359="GUP",VLOOKUP(E1359,QCGUP,2,),IF(AND(H1359="ATP",OR(I1359="TN",I1359="TDN",I1359="TNO2-3",I1359="NO2-3")),VLOOKUP(E1359,QCREC_N,2,),IF(AND(H1359="NIC",OR(I1359="TN",I1359="TDN",I1359="TNO2-3",I1359="NO2-3")),VLOOKUP(E1359,QCNIC_N,2,),IF(AND(H1359="UREA",OR(I1359="TN",I1359="TDN",I1359="TNO2-3",I1359="NO2-3")),VLOOKUP(E1359,QCUREA_N,2,),IF(H1359="PER",VLOOKUP(I1359,QCPER,MATCH(E1359,QCACTUAL!$J$25:$AA$25,0),),IF(H1359="SPK",VLOOKUP(I1359,QCSPK,3,),IF(AND(H1359="ATP",OR(I1359="TP",I1359="TDP")),VLOOKUP(E1359,QCATP_P,2,),""))))))))</f>
        <v/>
      </c>
      <c r="W1359" s="31" t="str">
        <f t="shared" si="156"/>
        <v>TRUE</v>
      </c>
      <c r="X1359" s="31" t="str">
        <f t="shared" si="153"/>
        <v/>
      </c>
      <c r="Y1359" s="10" t="s">
        <v>1096</v>
      </c>
      <c r="Z1359" s="10" t="s">
        <v>910</v>
      </c>
      <c r="AL1359" s="10" t="str">
        <f t="shared" si="151"/>
        <v>FALSE</v>
      </c>
      <c r="AM1359" s="10" t="str">
        <f t="shared" si="151"/>
        <v>FALSE</v>
      </c>
      <c r="AN1359" s="10" t="str">
        <f t="shared" si="151"/>
        <v>FALSE</v>
      </c>
      <c r="AO1359" s="10" t="str">
        <f t="shared" si="152"/>
        <v>FALSE</v>
      </c>
      <c r="AP1359" s="10" t="str">
        <f t="shared" si="152"/>
        <v>FALSE</v>
      </c>
      <c r="AQ1359" s="10" t="b">
        <f>IF(AND(I1359="TP",S1359&lt;=150),VLOOKUP(AF1359,TPCalibEq150!$AZ$2:$BB$55,3,),IF(AND(I1359="TDP",S1359&lt;=150),VLOOKUP(AF1359,TPCalibEq150!$AZ$2:$BB$55,3,)))</f>
        <v>0</v>
      </c>
      <c r="AR1359" s="10" t="b">
        <f>IF(AND(I1359="TP",S1359&lt;=300),VLOOKUP(AF1359,TPCalibEq300!$AZ$2:$BB$55,3,),IF(AND(I1359="TDP",S1359&lt;=300),VLOOKUP(AF1359,TPCalibEq300!$AZ$2:$BB$55,3,)))</f>
        <v>0</v>
      </c>
      <c r="AS1359" s="10" t="b">
        <f>IF(AND(I1359="TP",S1359&lt;=500),VLOOKUP(AF1359,TPCalibEq500!$AZ$2:$BB$56,3,),IF(AND(I1359="TDP",S1359&lt;=500),VLOOKUP(AF1359,TPCalibEq500!$AZ$2:$BB$56,3,)))</f>
        <v>0</v>
      </c>
      <c r="AT1359" s="10" t="b">
        <f>IF(AND(I1359="TN",S1359&lt;=2800),VLOOKUP(AF1359,TNCalibEq2500!$AZ$2:$BB$56,3,),IF(AND(I1359="TDN",S1359&lt;=2800),VLOOKUP(AF1359,TNCalibEq2500!$AZ$2:$BB$56,3,)))</f>
        <v>0</v>
      </c>
      <c r="AU1359" s="10" t="b">
        <f>IF(I1359="TP",VLOOKUP(AF1359,TPCalibEqFull!$AZ$2:$BB$56,3),IF(I1359="TDP",VLOOKUP(AF1359,TPCalibEqFull!$AZ$2:$BB$56,3),IF(I1359="TDN",VLOOKUP(AF1359,TNCalibEqFull!$AZ$1:$BB$56,3),IF(I1359="TN",VLOOKUP(AF1359,TNCalibEqFull!$AZ$1:$BB$56,3),FALSE))))</f>
        <v>0</v>
      </c>
      <c r="AV1359" s="10" t="str">
        <f t="shared" si="157"/>
        <v>0130 10:20:00-SHA-0-C-1-SW-UKN</v>
      </c>
    </row>
    <row r="1360" spans="1:48" s="10" customFormat="1" x14ac:dyDescent="0.55000000000000004">
      <c r="A1360" s="32">
        <v>44956</v>
      </c>
      <c r="B1360" s="33">
        <v>0.44166666666666665</v>
      </c>
      <c r="C1360" s="10" t="s">
        <v>646</v>
      </c>
      <c r="D1360" s="10">
        <v>0</v>
      </c>
      <c r="E1360" s="10" t="s">
        <v>190</v>
      </c>
      <c r="F1360" s="10">
        <v>1</v>
      </c>
      <c r="G1360" s="10" t="s">
        <v>231</v>
      </c>
      <c r="H1360" s="10" t="s">
        <v>322</v>
      </c>
      <c r="I1360" s="10" t="s">
        <v>75</v>
      </c>
      <c r="J1360" s="10">
        <v>35</v>
      </c>
      <c r="K1360" s="12">
        <v>44958</v>
      </c>
      <c r="L1360" s="33">
        <v>0.54173611111111108</v>
      </c>
      <c r="M1360" s="10">
        <v>1</v>
      </c>
      <c r="N1360" s="10" t="s">
        <v>76</v>
      </c>
      <c r="O1360" s="10">
        <v>1.24</v>
      </c>
      <c r="P1360" s="10">
        <v>9.8699999999999996E-2</v>
      </c>
      <c r="Q1360" s="10">
        <v>68.599999999999994</v>
      </c>
      <c r="R1360" s="10" t="s">
        <v>77</v>
      </c>
      <c r="S1360" s="34">
        <f t="shared" si="154"/>
        <v>68.599999999999994</v>
      </c>
      <c r="T1360" s="10" t="s">
        <v>1103</v>
      </c>
      <c r="U1360" s="34" t="str">
        <f t="shared" si="155"/>
        <v/>
      </c>
      <c r="V1360" s="31" t="str">
        <f>IF(H1360="CHK",VLOOKUP(I1360,QCCHK,3,),IF(H1360="GUP",VLOOKUP(E1360,QCGUP,2,),IF(AND(H1360="ATP",OR(I1360="TN",I1360="TDN",I1360="TNO2-3",I1360="NO2-3")),VLOOKUP(E1360,QCREC_N,2,),IF(AND(H1360="NIC",OR(I1360="TN",I1360="TDN",I1360="TNO2-3",I1360="NO2-3")),VLOOKUP(E1360,QCNIC_N,2,),IF(AND(H1360="UREA",OR(I1360="TN",I1360="TDN",I1360="TNO2-3",I1360="NO2-3")),VLOOKUP(E1360,QCUREA_N,2,),IF(H1360="PER",VLOOKUP(I1360,QCPER,MATCH(E1360,QCACTUAL!$J$25:$AA$25,0),),IF(H1360="SPK",VLOOKUP(I1360,QCSPK,3,),IF(AND(H1360="ATP",OR(I1360="TP",I1360="TDP")),VLOOKUP(E1360,QCATP_P,2,),""))))))))</f>
        <v/>
      </c>
      <c r="W1360" s="31" t="str">
        <f t="shared" si="156"/>
        <v>TRUE</v>
      </c>
      <c r="X1360" s="31" t="str">
        <f t="shared" si="153"/>
        <v/>
      </c>
      <c r="Y1360" s="10" t="s">
        <v>1096</v>
      </c>
      <c r="Z1360" s="10" t="s">
        <v>910</v>
      </c>
      <c r="AL1360" s="10" t="str">
        <f t="shared" si="151"/>
        <v>FALSE</v>
      </c>
      <c r="AM1360" s="10" t="str">
        <f t="shared" si="151"/>
        <v>FALSE</v>
      </c>
      <c r="AN1360" s="10" t="str">
        <f t="shared" si="151"/>
        <v>FALSE</v>
      </c>
      <c r="AO1360" s="10" t="str">
        <f t="shared" si="152"/>
        <v>FALSE</v>
      </c>
      <c r="AP1360" s="10" t="str">
        <f t="shared" si="152"/>
        <v>FALSE</v>
      </c>
      <c r="AQ1360" s="10" t="b">
        <f>IF(AND(I1360="TP",S1360&lt;=150),VLOOKUP(AF1360,TPCalibEq150!$AZ$2:$BB$55,3,),IF(AND(I1360="TDP",S1360&lt;=150),VLOOKUP(AF1360,TPCalibEq150!$AZ$2:$BB$55,3,)))</f>
        <v>0</v>
      </c>
      <c r="AR1360" s="10" t="b">
        <f>IF(AND(I1360="TP",S1360&lt;=300),VLOOKUP(AF1360,TPCalibEq300!$AZ$2:$BB$55,3,),IF(AND(I1360="TDP",S1360&lt;=300),VLOOKUP(AF1360,TPCalibEq300!$AZ$2:$BB$55,3,)))</f>
        <v>0</v>
      </c>
      <c r="AS1360" s="10" t="b">
        <f>IF(AND(I1360="TP",S1360&lt;=500),VLOOKUP(AF1360,TPCalibEq500!$AZ$2:$BB$56,3,),IF(AND(I1360="TDP",S1360&lt;=500),VLOOKUP(AF1360,TPCalibEq500!$AZ$2:$BB$56,3,)))</f>
        <v>0</v>
      </c>
      <c r="AT1360" s="10" t="b">
        <f>IF(AND(I1360="TN",S1360&lt;=2800),VLOOKUP(AF1360,TNCalibEq2500!$AZ$2:$BB$56,3,),IF(AND(I1360="TDN",S1360&lt;=2800),VLOOKUP(AF1360,TNCalibEq2500!$AZ$2:$BB$56,3,)))</f>
        <v>0</v>
      </c>
      <c r="AU1360" s="10" t="b">
        <f>IF(I1360="TP",VLOOKUP(AF1360,TPCalibEqFull!$AZ$2:$BB$56,3),IF(I1360="TDP",VLOOKUP(AF1360,TPCalibEqFull!$AZ$2:$BB$56,3),IF(I1360="TDN",VLOOKUP(AF1360,TNCalibEqFull!$AZ$1:$BB$56,3),IF(I1360="TN",VLOOKUP(AF1360,TNCalibEqFull!$AZ$1:$BB$56,3),FALSE))))</f>
        <v>0</v>
      </c>
      <c r="AV1360" s="10" t="str">
        <f t="shared" si="157"/>
        <v>0130 10:36:00-EMB-0-C-1-SW-UKN</v>
      </c>
    </row>
    <row r="1361" spans="1:48" s="10" customFormat="1" x14ac:dyDescent="0.55000000000000004">
      <c r="A1361" s="32">
        <v>44956</v>
      </c>
      <c r="B1361" s="33">
        <v>0.45208333333333334</v>
      </c>
      <c r="C1361" s="10" t="s">
        <v>214</v>
      </c>
      <c r="D1361" s="10">
        <v>0</v>
      </c>
      <c r="E1361" s="10" t="s">
        <v>190</v>
      </c>
      <c r="F1361" s="10">
        <v>1</v>
      </c>
      <c r="G1361" s="10" t="s">
        <v>231</v>
      </c>
      <c r="H1361" s="10" t="s">
        <v>322</v>
      </c>
      <c r="I1361" s="10" t="s">
        <v>75</v>
      </c>
      <c r="J1361" s="10">
        <v>36</v>
      </c>
      <c r="K1361" s="12">
        <v>44958</v>
      </c>
      <c r="L1361" s="33">
        <v>0.5425578703703704</v>
      </c>
      <c r="M1361" s="10">
        <v>1</v>
      </c>
      <c r="N1361" s="10" t="s">
        <v>76</v>
      </c>
      <c r="O1361" s="10">
        <v>1.69</v>
      </c>
      <c r="P1361" s="10">
        <v>0.13400000000000001</v>
      </c>
      <c r="Q1361" s="10">
        <v>93.2</v>
      </c>
      <c r="R1361" s="10" t="s">
        <v>77</v>
      </c>
      <c r="S1361" s="34">
        <f t="shared" si="154"/>
        <v>93.2</v>
      </c>
      <c r="T1361" s="10" t="s">
        <v>1103</v>
      </c>
      <c r="U1361" s="34" t="str">
        <f t="shared" si="155"/>
        <v/>
      </c>
      <c r="V1361" s="31" t="str">
        <f>IF(H1361="CHK",VLOOKUP(I1361,QCCHK,3,),IF(H1361="GUP",VLOOKUP(E1361,QCGUP,2,),IF(AND(H1361="ATP",OR(I1361="TN",I1361="TDN",I1361="TNO2-3",I1361="NO2-3")),VLOOKUP(E1361,QCREC_N,2,),IF(AND(H1361="NIC",OR(I1361="TN",I1361="TDN",I1361="TNO2-3",I1361="NO2-3")),VLOOKUP(E1361,QCNIC_N,2,),IF(AND(H1361="UREA",OR(I1361="TN",I1361="TDN",I1361="TNO2-3",I1361="NO2-3")),VLOOKUP(E1361,QCUREA_N,2,),IF(H1361="PER",VLOOKUP(I1361,QCPER,MATCH(E1361,QCACTUAL!$J$25:$AA$25,0),),IF(H1361="SPK",VLOOKUP(I1361,QCSPK,3,),IF(AND(H1361="ATP",OR(I1361="TP",I1361="TDP")),VLOOKUP(E1361,QCATP_P,2,),""))))))))</f>
        <v/>
      </c>
      <c r="W1361" s="31" t="str">
        <f t="shared" si="156"/>
        <v>TRUE</v>
      </c>
      <c r="X1361" s="31" t="str">
        <f t="shared" si="153"/>
        <v/>
      </c>
      <c r="Y1361" s="10" t="s">
        <v>1096</v>
      </c>
      <c r="Z1361" s="10" t="s">
        <v>910</v>
      </c>
      <c r="AL1361" s="10" t="str">
        <f t="shared" ref="AL1361:AN1424" si="158">IF($O1361="", "", IF(AQ1361&lt;&gt;"", SUBSTITUTE(SUBSTITUTE(AQ1361, "x", "*"&amp;$O1361&amp;"^", 1), "x", "*"&amp;$O1361, 1), ""))</f>
        <v>FALSE</v>
      </c>
      <c r="AM1361" s="10" t="str">
        <f t="shared" si="158"/>
        <v>FALSE</v>
      </c>
      <c r="AN1361" s="10" t="str">
        <f t="shared" si="158"/>
        <v>FALSE</v>
      </c>
      <c r="AO1361" s="10" t="str">
        <f t="shared" ref="AO1361:AP1424" si="159">IF($O1361="", "FALSE", IF(AT1361&lt;&gt;"FALSE", SUBSTITUTE(SUBSTITUTE(AT1361, "x", "*"&amp;$O1361&amp;"^", 1), "x", "*"&amp;$O1361, 1), ""))</f>
        <v>FALSE</v>
      </c>
      <c r="AP1361" s="10" t="str">
        <f t="shared" si="159"/>
        <v>FALSE</v>
      </c>
      <c r="AQ1361" s="10" t="b">
        <f>IF(AND(I1361="TP",S1361&lt;=150),VLOOKUP(AF1361,TPCalibEq150!$AZ$2:$BB$55,3,),IF(AND(I1361="TDP",S1361&lt;=150),VLOOKUP(AF1361,TPCalibEq150!$AZ$2:$BB$55,3,)))</f>
        <v>0</v>
      </c>
      <c r="AR1361" s="10" t="b">
        <f>IF(AND(I1361="TP",S1361&lt;=300),VLOOKUP(AF1361,TPCalibEq300!$AZ$2:$BB$55,3,),IF(AND(I1361="TDP",S1361&lt;=300),VLOOKUP(AF1361,TPCalibEq300!$AZ$2:$BB$55,3,)))</f>
        <v>0</v>
      </c>
      <c r="AS1361" s="10" t="b">
        <f>IF(AND(I1361="TP",S1361&lt;=500),VLOOKUP(AF1361,TPCalibEq500!$AZ$2:$BB$56,3,),IF(AND(I1361="TDP",S1361&lt;=500),VLOOKUP(AF1361,TPCalibEq500!$AZ$2:$BB$56,3,)))</f>
        <v>0</v>
      </c>
      <c r="AT1361" s="10" t="b">
        <f>IF(AND(I1361="TN",S1361&lt;=2800),VLOOKUP(AF1361,TNCalibEq2500!$AZ$2:$BB$56,3,),IF(AND(I1361="TDN",S1361&lt;=2800),VLOOKUP(AF1361,TNCalibEq2500!$AZ$2:$BB$56,3,)))</f>
        <v>0</v>
      </c>
      <c r="AU1361" s="10" t="b">
        <f>IF(I1361="TP",VLOOKUP(AF1361,TPCalibEqFull!$AZ$2:$BB$56,3),IF(I1361="TDP",VLOOKUP(AF1361,TPCalibEqFull!$AZ$2:$BB$56,3),IF(I1361="TDN",VLOOKUP(AF1361,TNCalibEqFull!$AZ$1:$BB$56,3),IF(I1361="TN",VLOOKUP(AF1361,TNCalibEqFull!$AZ$1:$BB$56,3),FALSE))))</f>
        <v>0</v>
      </c>
      <c r="AV1361" s="10" t="str">
        <f t="shared" si="157"/>
        <v>0130 10:51:00-DAM-0-C-1-SW-UKN</v>
      </c>
    </row>
    <row r="1362" spans="1:48" s="10" customFormat="1" x14ac:dyDescent="0.55000000000000004">
      <c r="A1362" s="32">
        <v>44956</v>
      </c>
      <c r="B1362" s="33">
        <v>0.45208333333333334</v>
      </c>
      <c r="C1362" s="10" t="s">
        <v>214</v>
      </c>
      <c r="D1362" s="10">
        <v>0</v>
      </c>
      <c r="E1362" s="10" t="s">
        <v>190</v>
      </c>
      <c r="F1362" s="10">
        <v>2</v>
      </c>
      <c r="G1362" s="10" t="s">
        <v>231</v>
      </c>
      <c r="H1362" s="10" t="s">
        <v>322</v>
      </c>
      <c r="I1362" s="10" t="s">
        <v>75</v>
      </c>
      <c r="J1362" s="10">
        <v>37</v>
      </c>
      <c r="K1362" s="12">
        <v>44958</v>
      </c>
      <c r="L1362" s="33">
        <v>0.54336805555555556</v>
      </c>
      <c r="M1362" s="10">
        <v>1</v>
      </c>
      <c r="N1362" s="10" t="s">
        <v>76</v>
      </c>
      <c r="O1362" s="10">
        <v>8.98</v>
      </c>
      <c r="P1362" s="10">
        <v>0.72</v>
      </c>
      <c r="Q1362" s="10">
        <v>496</v>
      </c>
      <c r="R1362" s="10" t="s">
        <v>77</v>
      </c>
      <c r="S1362" s="34">
        <f t="shared" si="154"/>
        <v>496</v>
      </c>
      <c r="T1362" s="10" t="s">
        <v>1103</v>
      </c>
      <c r="U1362" s="34" t="str">
        <f t="shared" si="155"/>
        <v/>
      </c>
      <c r="V1362" s="31" t="str">
        <f>IF(H1362="CHK",VLOOKUP(I1362,QCCHK,3,),IF(H1362="GUP",VLOOKUP(E1362,QCGUP,2,),IF(AND(H1362="ATP",OR(I1362="TN",I1362="TDN",I1362="TNO2-3",I1362="NO2-3")),VLOOKUP(E1362,QCREC_N,2,),IF(AND(H1362="NIC",OR(I1362="TN",I1362="TDN",I1362="TNO2-3",I1362="NO2-3")),VLOOKUP(E1362,QCNIC_N,2,),IF(AND(H1362="UREA",OR(I1362="TN",I1362="TDN",I1362="TNO2-3",I1362="NO2-3")),VLOOKUP(E1362,QCUREA_N,2,),IF(H1362="PER",VLOOKUP(I1362,QCPER,MATCH(E1362,QCACTUAL!$J$25:$AA$25,0),),IF(H1362="SPK",VLOOKUP(I1362,QCSPK,3,),IF(AND(H1362="ATP",OR(I1362="TP",I1362="TDP")),VLOOKUP(E1362,QCATP_P,2,),""))))))))</f>
        <v/>
      </c>
      <c r="W1362" s="31" t="str">
        <f t="shared" si="156"/>
        <v>TRUE</v>
      </c>
      <c r="X1362" s="31" t="str">
        <f t="shared" si="153"/>
        <v/>
      </c>
      <c r="Y1362" s="10" t="s">
        <v>1096</v>
      </c>
      <c r="Z1362" s="10" t="s">
        <v>910</v>
      </c>
      <c r="AL1362" s="10" t="str">
        <f t="shared" si="158"/>
        <v>FALSE</v>
      </c>
      <c r="AM1362" s="10" t="str">
        <f t="shared" si="158"/>
        <v>FALSE</v>
      </c>
      <c r="AN1362" s="10" t="str">
        <f t="shared" si="158"/>
        <v>FALSE</v>
      </c>
      <c r="AO1362" s="10" t="str">
        <f t="shared" si="159"/>
        <v>FALSE</v>
      </c>
      <c r="AP1362" s="10" t="str">
        <f t="shared" si="159"/>
        <v>FALSE</v>
      </c>
      <c r="AQ1362" s="10" t="b">
        <f>IF(AND(I1362="TP",S1362&lt;=150),VLOOKUP(AF1362,TPCalibEq150!$AZ$2:$BB$55,3,),IF(AND(I1362="TDP",S1362&lt;=150),VLOOKUP(AF1362,TPCalibEq150!$AZ$2:$BB$55,3,)))</f>
        <v>0</v>
      </c>
      <c r="AR1362" s="10" t="b">
        <f>IF(AND(I1362="TP",S1362&lt;=300),VLOOKUP(AF1362,TPCalibEq300!$AZ$2:$BB$55,3,),IF(AND(I1362="TDP",S1362&lt;=300),VLOOKUP(AF1362,TPCalibEq300!$AZ$2:$BB$55,3,)))</f>
        <v>0</v>
      </c>
      <c r="AS1362" s="10" t="b">
        <f>IF(AND(I1362="TP",S1362&lt;=500),VLOOKUP(AF1362,TPCalibEq500!$AZ$2:$BB$56,3,),IF(AND(I1362="TDP",S1362&lt;=500),VLOOKUP(AF1362,TPCalibEq500!$AZ$2:$BB$56,3,)))</f>
        <v>0</v>
      </c>
      <c r="AT1362" s="10" t="b">
        <f>IF(AND(I1362="TN",S1362&lt;=2800),VLOOKUP(AF1362,TNCalibEq2500!$AZ$2:$BB$56,3,),IF(AND(I1362="TDN",S1362&lt;=2800),VLOOKUP(AF1362,TNCalibEq2500!$AZ$2:$BB$56,3,)))</f>
        <v>0</v>
      </c>
      <c r="AU1362" s="10" t="b">
        <f>IF(I1362="TP",VLOOKUP(AF1362,TPCalibEqFull!$AZ$2:$BB$56,3),IF(I1362="TDP",VLOOKUP(AF1362,TPCalibEqFull!$AZ$2:$BB$56,3),IF(I1362="TDN",VLOOKUP(AF1362,TNCalibEqFull!$AZ$1:$BB$56,3),IF(I1362="TN",VLOOKUP(AF1362,TNCalibEqFull!$AZ$1:$BB$56,3),FALSE))))</f>
        <v>0</v>
      </c>
      <c r="AV1362" s="10" t="str">
        <f t="shared" si="157"/>
        <v>0130 10:51:00-DAM-0-C-2-SW-UKN</v>
      </c>
    </row>
    <row r="1363" spans="1:48" s="10" customFormat="1" x14ac:dyDescent="0.55000000000000004">
      <c r="A1363" s="32">
        <v>44956</v>
      </c>
      <c r="B1363" s="33">
        <v>0.45208333333333334</v>
      </c>
      <c r="C1363" s="10" t="s">
        <v>214</v>
      </c>
      <c r="D1363" s="10">
        <v>0</v>
      </c>
      <c r="E1363" s="10" t="s">
        <v>190</v>
      </c>
      <c r="F1363" s="10">
        <v>2</v>
      </c>
      <c r="G1363" s="10" t="s">
        <v>231</v>
      </c>
      <c r="H1363" s="10" t="s">
        <v>233</v>
      </c>
      <c r="I1363" s="10" t="s">
        <v>75</v>
      </c>
      <c r="J1363" s="10">
        <v>37</v>
      </c>
      <c r="K1363" s="12">
        <v>44958</v>
      </c>
      <c r="L1363" s="33">
        <v>0.54418981481481488</v>
      </c>
      <c r="M1363" s="10">
        <v>1</v>
      </c>
      <c r="N1363" s="10" t="s">
        <v>76</v>
      </c>
      <c r="O1363" s="10">
        <v>3.81</v>
      </c>
      <c r="P1363" s="10">
        <v>0.30499999999999999</v>
      </c>
      <c r="Q1363" s="10">
        <v>211</v>
      </c>
      <c r="R1363" s="10" t="s">
        <v>77</v>
      </c>
      <c r="S1363" s="34">
        <f t="shared" si="154"/>
        <v>211</v>
      </c>
      <c r="T1363" s="10" t="s">
        <v>1103</v>
      </c>
      <c r="U1363" s="34">
        <f t="shared" si="155"/>
        <v>80.62234794908062</v>
      </c>
      <c r="V1363" s="31" t="str">
        <f>IF(H1363="CHK",VLOOKUP(I1363,QCCHK,3,),IF(H1363="GUP",VLOOKUP(E1363,QCGUP,2,),IF(AND(H1363="ATP",OR(I1363="TN",I1363="TDN",I1363="TNO2-3",I1363="NO2-3")),VLOOKUP(E1363,QCREC_N,2,),IF(AND(H1363="NIC",OR(I1363="TN",I1363="TDN",I1363="TNO2-3",I1363="NO2-3")),VLOOKUP(E1363,QCNIC_N,2,),IF(AND(H1363="UREA",OR(I1363="TN",I1363="TDN",I1363="TNO2-3",I1363="NO2-3")),VLOOKUP(E1363,QCUREA_N,2,),IF(H1363="PER",VLOOKUP(I1363,QCPER,MATCH(E1363,QCACTUAL!$J$25:$AA$25,0),),IF(H1363="SPK",VLOOKUP(I1363,QCSPK,3,),IF(AND(H1363="ATP",OR(I1363="TP",I1363="TDP")),VLOOKUP(E1363,QCATP_P,2,),""))))))))</f>
        <v/>
      </c>
      <c r="W1363" s="31" t="str">
        <f t="shared" si="156"/>
        <v>FALSE</v>
      </c>
      <c r="X1363" s="31" t="str">
        <f t="shared" si="153"/>
        <v>((ABS(rep1-rep2))/((rep1+rep2)/2)*100</v>
      </c>
      <c r="Y1363" s="10" t="s">
        <v>1096</v>
      </c>
      <c r="Z1363" s="10" t="s">
        <v>910</v>
      </c>
      <c r="AL1363" s="10" t="str">
        <f t="shared" si="158"/>
        <v>FALSE</v>
      </c>
      <c r="AM1363" s="10" t="str">
        <f t="shared" si="158"/>
        <v>FALSE</v>
      </c>
      <c r="AN1363" s="10" t="str">
        <f t="shared" si="158"/>
        <v>FALSE</v>
      </c>
      <c r="AO1363" s="10" t="str">
        <f t="shared" si="159"/>
        <v>FALSE</v>
      </c>
      <c r="AP1363" s="10" t="str">
        <f t="shared" si="159"/>
        <v>FALSE</v>
      </c>
      <c r="AQ1363" s="10" t="b">
        <f>IF(AND(I1363="TP",S1363&lt;=150),VLOOKUP(AF1363,TPCalibEq150!$AZ$2:$BB$55,3,),IF(AND(I1363="TDP",S1363&lt;=150),VLOOKUP(AF1363,TPCalibEq150!$AZ$2:$BB$55,3,)))</f>
        <v>0</v>
      </c>
      <c r="AR1363" s="10" t="b">
        <f>IF(AND(I1363="TP",S1363&lt;=300),VLOOKUP(AF1363,TPCalibEq300!$AZ$2:$BB$55,3,),IF(AND(I1363="TDP",S1363&lt;=300),VLOOKUP(AF1363,TPCalibEq300!$AZ$2:$BB$55,3,)))</f>
        <v>0</v>
      </c>
      <c r="AS1363" s="10" t="b">
        <f>IF(AND(I1363="TP",S1363&lt;=500),VLOOKUP(AF1363,TPCalibEq500!$AZ$2:$BB$56,3,),IF(AND(I1363="TDP",S1363&lt;=500),VLOOKUP(AF1363,TPCalibEq500!$AZ$2:$BB$56,3,)))</f>
        <v>0</v>
      </c>
      <c r="AT1363" s="10" t="b">
        <f>IF(AND(I1363="TN",S1363&lt;=2800),VLOOKUP(AF1363,TNCalibEq2500!$AZ$2:$BB$56,3,),IF(AND(I1363="TDN",S1363&lt;=2800),VLOOKUP(AF1363,TNCalibEq2500!$AZ$2:$BB$56,3,)))</f>
        <v>0</v>
      </c>
      <c r="AU1363" s="10" t="b">
        <f>IF(I1363="TP",VLOOKUP(AF1363,TPCalibEqFull!$AZ$2:$BB$56,3),IF(I1363="TDP",VLOOKUP(AF1363,TPCalibEqFull!$AZ$2:$BB$56,3),IF(I1363="TDN",VLOOKUP(AF1363,TNCalibEqFull!$AZ$1:$BB$56,3),IF(I1363="TN",VLOOKUP(AF1363,TNCalibEqFull!$AZ$1:$BB$56,3),FALSE))))</f>
        <v>0</v>
      </c>
      <c r="AV1363" s="10" t="str">
        <f t="shared" si="157"/>
        <v>0130 10:51:00-DAM-0-C-2-SW-DUP</v>
      </c>
    </row>
    <row r="1364" spans="1:48" s="10" customFormat="1" x14ac:dyDescent="0.55000000000000004">
      <c r="A1364" s="32">
        <v>44956</v>
      </c>
      <c r="B1364" s="33">
        <v>0.45208333333333334</v>
      </c>
      <c r="C1364" s="10" t="s">
        <v>214</v>
      </c>
      <c r="D1364" s="10">
        <v>0</v>
      </c>
      <c r="E1364" s="10" t="s">
        <v>190</v>
      </c>
      <c r="F1364" s="10">
        <v>2</v>
      </c>
      <c r="G1364" s="10" t="s">
        <v>231</v>
      </c>
      <c r="H1364" s="10" t="s">
        <v>314</v>
      </c>
      <c r="I1364" s="10" t="s">
        <v>75</v>
      </c>
      <c r="J1364" s="10">
        <v>85</v>
      </c>
      <c r="K1364" s="12">
        <v>44958</v>
      </c>
      <c r="L1364" s="33">
        <v>0.54500000000000004</v>
      </c>
      <c r="M1364" s="10">
        <v>1</v>
      </c>
      <c r="N1364" s="10" t="s">
        <v>76</v>
      </c>
      <c r="O1364" s="10">
        <v>13.5</v>
      </c>
      <c r="P1364" s="10">
        <v>1.08</v>
      </c>
      <c r="Q1364" s="10">
        <v>745</v>
      </c>
      <c r="R1364" s="10" t="s">
        <v>77</v>
      </c>
      <c r="S1364" s="34">
        <f t="shared" si="154"/>
        <v>745</v>
      </c>
      <c r="T1364" s="10" t="s">
        <v>1103</v>
      </c>
      <c r="U1364" s="34">
        <f t="shared" si="155"/>
        <v>85.44</v>
      </c>
      <c r="V1364" s="31">
        <f>IF(H1364="CHK",VLOOKUP(I1364,QCCHK,3,),IF(H1364="GUP",VLOOKUP(E1364,QCGUP,2,),IF(AND(H1364="ATP",OR(I1364="TN",I1364="TDN",I1364="TNO2-3",I1364="NO2-3")),VLOOKUP(E1364,QCREC_N,2,),IF(AND(H1364="NIC",OR(I1364="TN",I1364="TDN",I1364="TNO2-3",I1364="NO2-3")),VLOOKUP(E1364,QCNIC_N,2,),IF(AND(H1364="UREA",OR(I1364="TN",I1364="TDN",I1364="TNO2-3",I1364="NO2-3")),VLOOKUP(E1364,QCUREA_N,2,),IF(H1364="PER",VLOOKUP(I1364,QCPER,MATCH(E1364,QCACTUAL!$J$25:$AA$25,0),),IF(H1364="SPK",VLOOKUP(I1364,QCSPK,3,),IF(AND(H1364="ATP",OR(I1364="TP",I1364="TDP")),VLOOKUP(E1364,QCATP_P,2,),""))))))))</f>
        <v>625</v>
      </c>
      <c r="W1364" s="31" t="str">
        <f t="shared" si="156"/>
        <v>TRUE</v>
      </c>
      <c r="X1364" s="31" t="str">
        <f t="shared" si="153"/>
        <v>([spikedunkn]-[unkn])/[spike]*100</v>
      </c>
      <c r="Y1364" s="10" t="s">
        <v>1096</v>
      </c>
      <c r="Z1364" s="10" t="s">
        <v>910</v>
      </c>
      <c r="AL1364" s="10" t="str">
        <f t="shared" si="158"/>
        <v>FALSE</v>
      </c>
      <c r="AM1364" s="10" t="str">
        <f t="shared" si="158"/>
        <v>FALSE</v>
      </c>
      <c r="AN1364" s="10" t="str">
        <f t="shared" si="158"/>
        <v>FALSE</v>
      </c>
      <c r="AO1364" s="10" t="str">
        <f t="shared" si="159"/>
        <v>FALSE</v>
      </c>
      <c r="AP1364" s="10" t="str">
        <f t="shared" si="159"/>
        <v>FALSE</v>
      </c>
      <c r="AQ1364" s="10" t="b">
        <f>IF(AND(I1364="TP",S1364&lt;=150),VLOOKUP(AF1364,TPCalibEq150!$AZ$2:$BB$55,3,),IF(AND(I1364="TDP",S1364&lt;=150),VLOOKUP(AF1364,TPCalibEq150!$AZ$2:$BB$55,3,)))</f>
        <v>0</v>
      </c>
      <c r="AR1364" s="10" t="b">
        <f>IF(AND(I1364="TP",S1364&lt;=300),VLOOKUP(AF1364,TPCalibEq300!$AZ$2:$BB$55,3,),IF(AND(I1364="TDP",S1364&lt;=300),VLOOKUP(AF1364,TPCalibEq300!$AZ$2:$BB$55,3,)))</f>
        <v>0</v>
      </c>
      <c r="AS1364" s="10" t="b">
        <f>IF(AND(I1364="TP",S1364&lt;=500),VLOOKUP(AF1364,TPCalibEq500!$AZ$2:$BB$56,3,),IF(AND(I1364="TDP",S1364&lt;=500),VLOOKUP(AF1364,TPCalibEq500!$AZ$2:$BB$56,3,)))</f>
        <v>0</v>
      </c>
      <c r="AT1364" s="10" t="b">
        <f>IF(AND(I1364="TN",S1364&lt;=2800),VLOOKUP(AF1364,TNCalibEq2500!$AZ$2:$BB$56,3,),IF(AND(I1364="TDN",S1364&lt;=2800),VLOOKUP(AF1364,TNCalibEq2500!$AZ$2:$BB$56,3,)))</f>
        <v>0</v>
      </c>
      <c r="AU1364" s="10" t="b">
        <f>IF(I1364="TP",VLOOKUP(AF1364,TPCalibEqFull!$AZ$2:$BB$56,3),IF(I1364="TDP",VLOOKUP(AF1364,TPCalibEqFull!$AZ$2:$BB$56,3),IF(I1364="TDN",VLOOKUP(AF1364,TNCalibEqFull!$AZ$1:$BB$56,3),IF(I1364="TN",VLOOKUP(AF1364,TNCalibEqFull!$AZ$1:$BB$56,3),FALSE))))</f>
        <v>0</v>
      </c>
      <c r="AV1364" s="10" t="str">
        <f t="shared" si="157"/>
        <v>0130 10:51:00-DAM-0-C-2-SW-SPK</v>
      </c>
    </row>
    <row r="1365" spans="1:48" s="10" customFormat="1" x14ac:dyDescent="0.55000000000000004">
      <c r="A1365" s="32">
        <v>44958</v>
      </c>
      <c r="B1365" s="33">
        <v>0.375</v>
      </c>
      <c r="C1365" s="10" t="s">
        <v>70</v>
      </c>
      <c r="D1365" s="10" t="s">
        <v>71</v>
      </c>
      <c r="E1365" s="10" t="s">
        <v>901</v>
      </c>
      <c r="F1365" s="10">
        <v>1</v>
      </c>
      <c r="G1365" s="10" t="s">
        <v>73</v>
      </c>
      <c r="H1365" s="10" t="s">
        <v>207</v>
      </c>
      <c r="I1365" s="10" t="s">
        <v>75</v>
      </c>
      <c r="J1365" s="10">
        <v>200</v>
      </c>
      <c r="K1365" s="12">
        <v>44958</v>
      </c>
      <c r="L1365" s="33">
        <v>0.54583333333333328</v>
      </c>
      <c r="M1365" s="10">
        <v>1</v>
      </c>
      <c r="N1365" s="10" t="s">
        <v>76</v>
      </c>
      <c r="O1365" s="10">
        <v>5.34</v>
      </c>
      <c r="P1365" s="10">
        <v>0.42899999999999999</v>
      </c>
      <c r="Q1365" s="10">
        <v>295</v>
      </c>
      <c r="R1365" s="10" t="s">
        <v>77</v>
      </c>
      <c r="S1365" s="34">
        <f t="shared" si="154"/>
        <v>295</v>
      </c>
      <c r="T1365" s="10" t="s">
        <v>1103</v>
      </c>
      <c r="U1365" s="34">
        <f t="shared" si="155"/>
        <v>98.333333333333329</v>
      </c>
      <c r="V1365" s="31">
        <f>IF(H1365="CHK",VLOOKUP(I1365,QCCHK,3,),IF(H1365="GUP",VLOOKUP(E1365,QCGUP,2,),IF(AND(H1365="ATP",OR(I1365="TN",I1365="TDN",I1365="TNO2-3",I1365="NO2-3")),VLOOKUP(E1365,QCREC_N,2,),IF(AND(H1365="NIC",OR(I1365="TN",I1365="TDN",I1365="TNO2-3",I1365="NO2-3")),VLOOKUP(E1365,QCNIC_N,2,),IF(AND(H1365="UREA",OR(I1365="TN",I1365="TDN",I1365="TNO2-3",I1365="NO2-3")),VLOOKUP(E1365,QCUREA_N,2,),IF(H1365="PER",VLOOKUP(I1365,QCPER,MATCH(E1365,QCACTUAL!$J$25:$AA$25,0),),IF(H1365="SPK",VLOOKUP(I1365,QCSPK,3,),IF(AND(H1365="ATP",OR(I1365="TP",I1365="TDP")),VLOOKUP(E1365,QCATP_P,2,),""))))))))</f>
        <v>300</v>
      </c>
      <c r="W1365" s="31" t="str">
        <f t="shared" si="156"/>
        <v>TRUE</v>
      </c>
      <c r="X1365" s="31" t="str">
        <f t="shared" si="153"/>
        <v>[chk]/[actual]*100</v>
      </c>
      <c r="Y1365" s="10" t="s">
        <v>1096</v>
      </c>
      <c r="AL1365" s="10" t="str">
        <f t="shared" si="158"/>
        <v>FALSE</v>
      </c>
      <c r="AM1365" s="10" t="str">
        <f t="shared" si="158"/>
        <v>FALSE</v>
      </c>
      <c r="AN1365" s="10" t="str">
        <f t="shared" si="158"/>
        <v>FALSE</v>
      </c>
      <c r="AO1365" s="10" t="str">
        <f t="shared" si="159"/>
        <v>FALSE</v>
      </c>
      <c r="AP1365" s="10" t="str">
        <f t="shared" si="159"/>
        <v>FALSE</v>
      </c>
      <c r="AQ1365" s="10" t="b">
        <f>IF(AND(I1365="TP",S1365&lt;=150),VLOOKUP(AF1365,TPCalibEq150!$AZ$2:$BB$55,3,),IF(AND(I1365="TDP",S1365&lt;=150),VLOOKUP(AF1365,TPCalibEq150!$AZ$2:$BB$55,3,)))</f>
        <v>0</v>
      </c>
      <c r="AR1365" s="10" t="b">
        <f>IF(AND(I1365="TP",S1365&lt;=300),VLOOKUP(AF1365,TPCalibEq300!$AZ$2:$BB$55,3,),IF(AND(I1365="TDP",S1365&lt;=300),VLOOKUP(AF1365,TPCalibEq300!$AZ$2:$BB$55,3,)))</f>
        <v>0</v>
      </c>
      <c r="AS1365" s="10" t="b">
        <f>IF(AND(I1365="TP",S1365&lt;=500),VLOOKUP(AF1365,TPCalibEq500!$AZ$2:$BB$56,3,),IF(AND(I1365="TDP",S1365&lt;=500),VLOOKUP(AF1365,TPCalibEq500!$AZ$2:$BB$56,3,)))</f>
        <v>0</v>
      </c>
      <c r="AT1365" s="10" t="b">
        <f>IF(AND(I1365="TN",S1365&lt;=2800),VLOOKUP(AF1365,TNCalibEq2500!$AZ$2:$BB$56,3,),IF(AND(I1365="TDN",S1365&lt;=2800),VLOOKUP(AF1365,TNCalibEq2500!$AZ$2:$BB$56,3,)))</f>
        <v>0</v>
      </c>
      <c r="AU1365" s="10" t="b">
        <f>IF(I1365="TP",VLOOKUP(AF1365,TPCalibEqFull!$AZ$2:$BB$56,3),IF(I1365="TDP",VLOOKUP(AF1365,TPCalibEqFull!$AZ$2:$BB$56,3),IF(I1365="TDN",VLOOKUP(AF1365,TNCalibEqFull!$AZ$1:$BB$56,3),IF(I1365="TN",VLOOKUP(AF1365,TNCalibEqFull!$AZ$1:$BB$56,3),FALSE))))</f>
        <v>0</v>
      </c>
      <c r="AV1365" s="10" t="str">
        <f t="shared" si="157"/>
        <v>0201 09:00:00-QAC-STD-D-1-DI-CHK</v>
      </c>
    </row>
    <row r="1366" spans="1:48" s="10" customFormat="1" x14ac:dyDescent="0.55000000000000004">
      <c r="A1366" s="32">
        <v>44956</v>
      </c>
      <c r="B1366" s="33">
        <v>0.46527777777777773</v>
      </c>
      <c r="C1366" s="10" t="s">
        <v>341</v>
      </c>
      <c r="D1366" s="10">
        <v>0</v>
      </c>
      <c r="E1366" s="10" t="s">
        <v>190</v>
      </c>
      <c r="F1366" s="10">
        <v>1</v>
      </c>
      <c r="G1366" s="10" t="s">
        <v>231</v>
      </c>
      <c r="H1366" s="10" t="s">
        <v>322</v>
      </c>
      <c r="I1366" s="10" t="s">
        <v>75</v>
      </c>
      <c r="J1366" s="10">
        <v>38</v>
      </c>
      <c r="K1366" s="12">
        <v>44958</v>
      </c>
      <c r="L1366" s="33">
        <v>0.54664351851851845</v>
      </c>
      <c r="M1366" s="10">
        <v>1</v>
      </c>
      <c r="N1366" s="10" t="s">
        <v>76</v>
      </c>
      <c r="O1366" s="10">
        <v>4.4999999999999998E-2</v>
      </c>
      <c r="P1366" s="10">
        <v>8.2199999999999999E-3</v>
      </c>
      <c r="Q1366" s="10">
        <v>2.4900000000000002</v>
      </c>
      <c r="R1366" s="10" t="s">
        <v>77</v>
      </c>
      <c r="S1366" s="34">
        <f t="shared" si="154"/>
        <v>2.4900000000000002</v>
      </c>
      <c r="T1366" s="10" t="s">
        <v>1103</v>
      </c>
      <c r="U1366" s="34" t="str">
        <f t="shared" si="155"/>
        <v/>
      </c>
      <c r="V1366" s="31" t="str">
        <f>IF(H1366="CHK",VLOOKUP(I1366,QCCHK,3,),IF(H1366="GUP",VLOOKUP(E1366,QCGUP,2,),IF(AND(H1366="ATP",OR(I1366="TN",I1366="TDN",I1366="TNO2-3",I1366="NO2-3")),VLOOKUP(E1366,QCREC_N,2,),IF(AND(H1366="NIC",OR(I1366="TN",I1366="TDN",I1366="TNO2-3",I1366="NO2-3")),VLOOKUP(E1366,QCNIC_N,2,),IF(AND(H1366="UREA",OR(I1366="TN",I1366="TDN",I1366="TNO2-3",I1366="NO2-3")),VLOOKUP(E1366,QCUREA_N,2,),IF(H1366="PER",VLOOKUP(I1366,QCPER,MATCH(E1366,QCACTUAL!$J$25:$AA$25,0),),IF(H1366="SPK",VLOOKUP(I1366,QCSPK,3,),IF(AND(H1366="ATP",OR(I1366="TP",I1366="TDP")),VLOOKUP(E1366,QCATP_P,2,),""))))))))</f>
        <v/>
      </c>
      <c r="W1366" s="31" t="str">
        <f t="shared" si="156"/>
        <v>TRUE</v>
      </c>
      <c r="X1366" s="31" t="str">
        <f t="shared" si="153"/>
        <v/>
      </c>
      <c r="Y1366" s="10" t="s">
        <v>1096</v>
      </c>
      <c r="Z1366" s="10" t="s">
        <v>910</v>
      </c>
      <c r="AL1366" s="10" t="str">
        <f t="shared" si="158"/>
        <v>FALSE</v>
      </c>
      <c r="AM1366" s="10" t="str">
        <f t="shared" si="158"/>
        <v>FALSE</v>
      </c>
      <c r="AN1366" s="10" t="str">
        <f t="shared" si="158"/>
        <v>FALSE</v>
      </c>
      <c r="AO1366" s="10" t="str">
        <f t="shared" si="159"/>
        <v>FALSE</v>
      </c>
      <c r="AP1366" s="10" t="str">
        <f t="shared" si="159"/>
        <v>FALSE</v>
      </c>
      <c r="AQ1366" s="10" t="b">
        <f>IF(AND(I1366="TP",S1366&lt;=150),VLOOKUP(AF1366,TPCalibEq150!$AZ$2:$BB$55,3,),IF(AND(I1366="TDP",S1366&lt;=150),VLOOKUP(AF1366,TPCalibEq150!$AZ$2:$BB$55,3,)))</f>
        <v>0</v>
      </c>
      <c r="AR1366" s="10" t="b">
        <f>IF(AND(I1366="TP",S1366&lt;=300),VLOOKUP(AF1366,TPCalibEq300!$AZ$2:$BB$55,3,),IF(AND(I1366="TDP",S1366&lt;=300),VLOOKUP(AF1366,TPCalibEq300!$AZ$2:$BB$55,3,)))</f>
        <v>0</v>
      </c>
      <c r="AS1366" s="10" t="b">
        <f>IF(AND(I1366="TP",S1366&lt;=500),VLOOKUP(AF1366,TPCalibEq500!$AZ$2:$BB$56,3,),IF(AND(I1366="TDP",S1366&lt;=500),VLOOKUP(AF1366,TPCalibEq500!$AZ$2:$BB$56,3,)))</f>
        <v>0</v>
      </c>
      <c r="AT1366" s="10" t="b">
        <f>IF(AND(I1366="TN",S1366&lt;=2800),VLOOKUP(AF1366,TNCalibEq2500!$AZ$2:$BB$56,3,),IF(AND(I1366="TDN",S1366&lt;=2800),VLOOKUP(AF1366,TNCalibEq2500!$AZ$2:$BB$56,3,)))</f>
        <v>0</v>
      </c>
      <c r="AU1366" s="10" t="b">
        <f>IF(I1366="TP",VLOOKUP(AF1366,TPCalibEqFull!$AZ$2:$BB$56,3),IF(I1366="TDP",VLOOKUP(AF1366,TPCalibEqFull!$AZ$2:$BB$56,3),IF(I1366="TDN",VLOOKUP(AF1366,TNCalibEqFull!$AZ$1:$BB$56,3),IF(I1366="TN",VLOOKUP(AF1366,TNCalibEqFull!$AZ$1:$BB$56,3),FALSE))))</f>
        <v>0</v>
      </c>
      <c r="AV1366" s="10" t="str">
        <f t="shared" si="157"/>
        <v>0130 11:10:00-LRC-0-C-1-SW-UKN</v>
      </c>
    </row>
    <row r="1367" spans="1:48" s="10" customFormat="1" x14ac:dyDescent="0.55000000000000004">
      <c r="A1367" s="32">
        <v>44956</v>
      </c>
      <c r="B1367" s="33">
        <v>0.4777777777777778</v>
      </c>
      <c r="C1367" s="10" t="s">
        <v>228</v>
      </c>
      <c r="D1367" s="10">
        <v>0</v>
      </c>
      <c r="E1367" s="10" t="s">
        <v>190</v>
      </c>
      <c r="F1367" s="10">
        <v>1</v>
      </c>
      <c r="G1367" s="10" t="s">
        <v>231</v>
      </c>
      <c r="H1367" s="10" t="s">
        <v>322</v>
      </c>
      <c r="I1367" s="10" t="s">
        <v>75</v>
      </c>
      <c r="J1367" s="10">
        <v>39</v>
      </c>
      <c r="K1367" s="12">
        <v>44958</v>
      </c>
      <c r="L1367" s="33">
        <v>0.54745370370370372</v>
      </c>
      <c r="M1367" s="10">
        <v>1</v>
      </c>
      <c r="N1367" s="10" t="s">
        <v>76</v>
      </c>
      <c r="O1367" s="10">
        <v>5.8599999999999999E-2</v>
      </c>
      <c r="P1367" s="10">
        <v>4.5300000000000002E-3</v>
      </c>
      <c r="Q1367" s="10">
        <v>3.23</v>
      </c>
      <c r="R1367" s="10" t="s">
        <v>77</v>
      </c>
      <c r="S1367" s="34">
        <f t="shared" si="154"/>
        <v>3.23</v>
      </c>
      <c r="T1367" s="10" t="s">
        <v>1103</v>
      </c>
      <c r="U1367" s="34" t="str">
        <f t="shared" si="155"/>
        <v/>
      </c>
      <c r="V1367" s="31" t="str">
        <f>IF(H1367="CHK",VLOOKUP(I1367,QCCHK,3,),IF(H1367="GUP",VLOOKUP(E1367,QCGUP,2,),IF(AND(H1367="ATP",OR(I1367="TN",I1367="TDN",I1367="TNO2-3",I1367="NO2-3")),VLOOKUP(E1367,QCREC_N,2,),IF(AND(H1367="NIC",OR(I1367="TN",I1367="TDN",I1367="TNO2-3",I1367="NO2-3")),VLOOKUP(E1367,QCNIC_N,2,),IF(AND(H1367="UREA",OR(I1367="TN",I1367="TDN",I1367="TNO2-3",I1367="NO2-3")),VLOOKUP(E1367,QCUREA_N,2,),IF(H1367="PER",VLOOKUP(I1367,QCPER,MATCH(E1367,QCACTUAL!$J$25:$AA$25,0),),IF(H1367="SPK",VLOOKUP(I1367,QCSPK,3,),IF(AND(H1367="ATP",OR(I1367="TP",I1367="TDP")),VLOOKUP(E1367,QCATP_P,2,),""))))))))</f>
        <v/>
      </c>
      <c r="W1367" s="31" t="str">
        <f t="shared" si="156"/>
        <v>TRUE</v>
      </c>
      <c r="X1367" s="31" t="str">
        <f t="shared" si="153"/>
        <v/>
      </c>
      <c r="Y1367" s="10" t="s">
        <v>1096</v>
      </c>
      <c r="Z1367" s="10" t="s">
        <v>910</v>
      </c>
      <c r="AL1367" s="10" t="str">
        <f t="shared" si="158"/>
        <v>FALSE</v>
      </c>
      <c r="AM1367" s="10" t="str">
        <f t="shared" si="158"/>
        <v>FALSE</v>
      </c>
      <c r="AN1367" s="10" t="str">
        <f t="shared" si="158"/>
        <v>FALSE</v>
      </c>
      <c r="AO1367" s="10" t="str">
        <f t="shared" si="159"/>
        <v>FALSE</v>
      </c>
      <c r="AP1367" s="10" t="str">
        <f t="shared" si="159"/>
        <v>FALSE</v>
      </c>
      <c r="AQ1367" s="10" t="b">
        <f>IF(AND(I1367="TP",S1367&lt;=150),VLOOKUP(AF1367,TPCalibEq150!$AZ$2:$BB$55,3,),IF(AND(I1367="TDP",S1367&lt;=150),VLOOKUP(AF1367,TPCalibEq150!$AZ$2:$BB$55,3,)))</f>
        <v>0</v>
      </c>
      <c r="AR1367" s="10" t="b">
        <f>IF(AND(I1367="TP",S1367&lt;=300),VLOOKUP(AF1367,TPCalibEq300!$AZ$2:$BB$55,3,),IF(AND(I1367="TDP",S1367&lt;=300),VLOOKUP(AF1367,TPCalibEq300!$AZ$2:$BB$55,3,)))</f>
        <v>0</v>
      </c>
      <c r="AS1367" s="10" t="b">
        <f>IF(AND(I1367="TP",S1367&lt;=500),VLOOKUP(AF1367,TPCalibEq500!$AZ$2:$BB$56,3,),IF(AND(I1367="TDP",S1367&lt;=500),VLOOKUP(AF1367,TPCalibEq500!$AZ$2:$BB$56,3,)))</f>
        <v>0</v>
      </c>
      <c r="AT1367" s="10" t="b">
        <f>IF(AND(I1367="TN",S1367&lt;=2800),VLOOKUP(AF1367,TNCalibEq2500!$AZ$2:$BB$56,3,),IF(AND(I1367="TDN",S1367&lt;=2800),VLOOKUP(AF1367,TNCalibEq2500!$AZ$2:$BB$56,3,)))</f>
        <v>0</v>
      </c>
      <c r="AU1367" s="10" t="b">
        <f>IF(I1367="TP",VLOOKUP(AF1367,TPCalibEqFull!$AZ$2:$BB$56,3),IF(I1367="TDP",VLOOKUP(AF1367,TPCalibEqFull!$AZ$2:$BB$56,3),IF(I1367="TDN",VLOOKUP(AF1367,TNCalibEqFull!$AZ$1:$BB$56,3),IF(I1367="TN",VLOOKUP(AF1367,TNCalibEqFull!$AZ$1:$BB$56,3),FALSE))))</f>
        <v>0</v>
      </c>
      <c r="AV1367" s="10" t="str">
        <f t="shared" si="157"/>
        <v>0130 11:28:00-DWT-0-C-1-SW-UKN</v>
      </c>
    </row>
    <row r="1368" spans="1:48" s="10" customFormat="1" x14ac:dyDescent="0.55000000000000004">
      <c r="A1368" s="32">
        <v>44956</v>
      </c>
      <c r="B1368" s="33">
        <v>0.49374999999999997</v>
      </c>
      <c r="C1368" s="10" t="s">
        <v>625</v>
      </c>
      <c r="D1368" s="10">
        <v>0</v>
      </c>
      <c r="E1368" s="10" t="s">
        <v>190</v>
      </c>
      <c r="F1368" s="10">
        <v>1</v>
      </c>
      <c r="G1368" s="10" t="s">
        <v>231</v>
      </c>
      <c r="H1368" s="10" t="s">
        <v>322</v>
      </c>
      <c r="I1368" s="10" t="s">
        <v>75</v>
      </c>
      <c r="J1368" s="10">
        <v>40</v>
      </c>
      <c r="K1368" s="12">
        <v>44958</v>
      </c>
      <c r="L1368" s="33">
        <v>0.54827546296296303</v>
      </c>
      <c r="M1368" s="10">
        <v>1</v>
      </c>
      <c r="N1368" s="10" t="s">
        <v>76</v>
      </c>
      <c r="O1368" s="10">
        <v>8.7099999999999997E-2</v>
      </c>
      <c r="P1368" s="10">
        <v>8.3700000000000007E-3</v>
      </c>
      <c r="Q1368" s="10">
        <v>4.8</v>
      </c>
      <c r="R1368" s="10" t="s">
        <v>77</v>
      </c>
      <c r="S1368" s="34">
        <f t="shared" si="154"/>
        <v>4.8</v>
      </c>
      <c r="T1368" s="10" t="s">
        <v>1103</v>
      </c>
      <c r="U1368" s="34" t="str">
        <f t="shared" si="155"/>
        <v/>
      </c>
      <c r="V1368" s="31" t="str">
        <f>IF(H1368="CHK",VLOOKUP(I1368,QCCHK,3,),IF(H1368="GUP",VLOOKUP(E1368,QCGUP,2,),IF(AND(H1368="ATP",OR(I1368="TN",I1368="TDN",I1368="TNO2-3",I1368="NO2-3")),VLOOKUP(E1368,QCREC_N,2,),IF(AND(H1368="NIC",OR(I1368="TN",I1368="TDN",I1368="TNO2-3",I1368="NO2-3")),VLOOKUP(E1368,QCNIC_N,2,),IF(AND(H1368="UREA",OR(I1368="TN",I1368="TDN",I1368="TNO2-3",I1368="NO2-3")),VLOOKUP(E1368,QCUREA_N,2,),IF(H1368="PER",VLOOKUP(I1368,QCPER,MATCH(E1368,QCACTUAL!$J$25:$AA$25,0),),IF(H1368="SPK",VLOOKUP(I1368,QCSPK,3,),IF(AND(H1368="ATP",OR(I1368="TP",I1368="TDP")),VLOOKUP(E1368,QCATP_P,2,),""))))))))</f>
        <v/>
      </c>
      <c r="W1368" s="31" t="str">
        <f t="shared" si="156"/>
        <v>TRUE</v>
      </c>
      <c r="X1368" s="31" t="str">
        <f t="shared" si="153"/>
        <v/>
      </c>
      <c r="Y1368" s="10" t="s">
        <v>1096</v>
      </c>
      <c r="Z1368" s="10" t="s">
        <v>910</v>
      </c>
      <c r="AL1368" s="10" t="str">
        <f t="shared" si="158"/>
        <v>FALSE</v>
      </c>
      <c r="AM1368" s="10" t="str">
        <f t="shared" si="158"/>
        <v>FALSE</v>
      </c>
      <c r="AN1368" s="10" t="str">
        <f t="shared" si="158"/>
        <v>FALSE</v>
      </c>
      <c r="AO1368" s="10" t="str">
        <f t="shared" si="159"/>
        <v>FALSE</v>
      </c>
      <c r="AP1368" s="10" t="str">
        <f t="shared" si="159"/>
        <v>FALSE</v>
      </c>
      <c r="AQ1368" s="10" t="b">
        <f>IF(AND(I1368="TP",S1368&lt;=150),VLOOKUP(AF1368,TPCalibEq150!$AZ$2:$BB$55,3,),IF(AND(I1368="TDP",S1368&lt;=150),VLOOKUP(AF1368,TPCalibEq150!$AZ$2:$BB$55,3,)))</f>
        <v>0</v>
      </c>
      <c r="AR1368" s="10" t="b">
        <f>IF(AND(I1368="TP",S1368&lt;=300),VLOOKUP(AF1368,TPCalibEq300!$AZ$2:$BB$55,3,),IF(AND(I1368="TDP",S1368&lt;=300),VLOOKUP(AF1368,TPCalibEq300!$AZ$2:$BB$55,3,)))</f>
        <v>0</v>
      </c>
      <c r="AS1368" s="10" t="b">
        <f>IF(AND(I1368="TP",S1368&lt;=500),VLOOKUP(AF1368,TPCalibEq500!$AZ$2:$BB$56,3,),IF(AND(I1368="TDP",S1368&lt;=500),VLOOKUP(AF1368,TPCalibEq500!$AZ$2:$BB$56,3,)))</f>
        <v>0</v>
      </c>
      <c r="AT1368" s="10" t="b">
        <f>IF(AND(I1368="TN",S1368&lt;=2800),VLOOKUP(AF1368,TNCalibEq2500!$AZ$2:$BB$56,3,),IF(AND(I1368="TDN",S1368&lt;=2800),VLOOKUP(AF1368,TNCalibEq2500!$AZ$2:$BB$56,3,)))</f>
        <v>0</v>
      </c>
      <c r="AU1368" s="10" t="b">
        <f>IF(I1368="TP",VLOOKUP(AF1368,TPCalibEqFull!$AZ$2:$BB$56,3),IF(I1368="TDP",VLOOKUP(AF1368,TPCalibEqFull!$AZ$2:$BB$56,3),IF(I1368="TDN",VLOOKUP(AF1368,TNCalibEqFull!$AZ$1:$BB$56,3),IF(I1368="TN",VLOOKUP(AF1368,TNCalibEqFull!$AZ$1:$BB$56,3),FALSE))))</f>
        <v>0</v>
      </c>
      <c r="AV1368" s="10" t="str">
        <f t="shared" si="157"/>
        <v>0130 11:51:00-TBS-0-C-1-SW-UKN</v>
      </c>
    </row>
    <row r="1369" spans="1:48" s="10" customFormat="1" x14ac:dyDescent="0.55000000000000004">
      <c r="A1369" s="32">
        <v>44949</v>
      </c>
      <c r="B1369" s="33">
        <v>0.33333333333333331</v>
      </c>
      <c r="C1369" s="10" t="s">
        <v>279</v>
      </c>
      <c r="D1369" s="10">
        <v>0</v>
      </c>
      <c r="E1369" s="10" t="s">
        <v>911</v>
      </c>
      <c r="F1369" s="10">
        <v>1</v>
      </c>
      <c r="G1369" s="10" t="s">
        <v>231</v>
      </c>
      <c r="H1369" s="10" t="s">
        <v>322</v>
      </c>
      <c r="I1369" s="10" t="s">
        <v>183</v>
      </c>
      <c r="J1369" s="10">
        <v>41</v>
      </c>
      <c r="K1369" s="12">
        <v>44958</v>
      </c>
      <c r="L1369" s="33">
        <v>0.5490856481481482</v>
      </c>
      <c r="M1369" s="10">
        <v>1</v>
      </c>
      <c r="N1369" s="10" t="s">
        <v>76</v>
      </c>
      <c r="O1369" s="10">
        <v>0.59</v>
      </c>
      <c r="P1369" s="10">
        <v>4.9000000000000002E-2</v>
      </c>
      <c r="Q1369" s="10">
        <v>32.6</v>
      </c>
      <c r="R1369" s="10" t="s">
        <v>77</v>
      </c>
      <c r="S1369" s="34">
        <f t="shared" si="154"/>
        <v>32.6</v>
      </c>
      <c r="T1369" s="10" t="s">
        <v>1103</v>
      </c>
      <c r="U1369" s="34" t="str">
        <f t="shared" si="155"/>
        <v/>
      </c>
      <c r="V1369" s="31" t="str">
        <f>IF(H1369="CHK",VLOOKUP(I1369,QCCHK,3,),IF(H1369="GUP",VLOOKUP(E1369,QCGUP,2,),IF(AND(H1369="ATP",OR(I1369="TN",I1369="TDN",I1369="TNO2-3",I1369="NO2-3")),VLOOKUP(E1369,QCREC_N,2,),IF(AND(H1369="NIC",OR(I1369="TN",I1369="TDN",I1369="TNO2-3",I1369="NO2-3")),VLOOKUP(E1369,QCNIC_N,2,),IF(AND(H1369="UREA",OR(I1369="TN",I1369="TDN",I1369="TNO2-3",I1369="NO2-3")),VLOOKUP(E1369,QCUREA_N,2,),IF(H1369="PER",VLOOKUP(I1369,QCPER,MATCH(E1369,QCACTUAL!$J$25:$AA$25,0),),IF(H1369="SPK",VLOOKUP(I1369,QCSPK,3,),IF(AND(H1369="ATP",OR(I1369="TP",I1369="TDP")),VLOOKUP(E1369,QCATP_P,2,),""))))))))</f>
        <v/>
      </c>
      <c r="W1369" s="31" t="str">
        <f t="shared" si="156"/>
        <v>TRUE</v>
      </c>
      <c r="X1369" s="31" t="str">
        <f t="shared" si="153"/>
        <v/>
      </c>
      <c r="Y1369" s="10" t="s">
        <v>1096</v>
      </c>
      <c r="Z1369" s="10" t="s">
        <v>910</v>
      </c>
      <c r="AL1369" s="10" t="str">
        <f t="shared" si="158"/>
        <v>FALSE</v>
      </c>
      <c r="AM1369" s="10" t="str">
        <f t="shared" si="158"/>
        <v>FALSE</v>
      </c>
      <c r="AN1369" s="10" t="str">
        <f t="shared" si="158"/>
        <v>FALSE</v>
      </c>
      <c r="AO1369" s="10" t="str">
        <f t="shared" si="159"/>
        <v>FALSE</v>
      </c>
      <c r="AP1369" s="10" t="str">
        <f t="shared" si="159"/>
        <v>FALSE</v>
      </c>
      <c r="AQ1369" s="10" t="b">
        <f>IF(AND(I1369="TP",S1369&lt;=150),VLOOKUP(AF1369,TPCalibEq150!$AZ$2:$BB$55,3,),IF(AND(I1369="TDP",S1369&lt;=150),VLOOKUP(AF1369,TPCalibEq150!$AZ$2:$BB$55,3,)))</f>
        <v>0</v>
      </c>
      <c r="AR1369" s="10" t="b">
        <f>IF(AND(I1369="TP",S1369&lt;=300),VLOOKUP(AF1369,TPCalibEq300!$AZ$2:$BB$55,3,),IF(AND(I1369="TDP",S1369&lt;=300),VLOOKUP(AF1369,TPCalibEq300!$AZ$2:$BB$55,3,)))</f>
        <v>0</v>
      </c>
      <c r="AS1369" s="10" t="b">
        <f>IF(AND(I1369="TP",S1369&lt;=500),VLOOKUP(AF1369,TPCalibEq500!$AZ$2:$BB$56,3,),IF(AND(I1369="TDP",S1369&lt;=500),VLOOKUP(AF1369,TPCalibEq500!$AZ$2:$BB$56,3,)))</f>
        <v>0</v>
      </c>
      <c r="AT1369" s="10" t="b">
        <f>IF(AND(I1369="TN",S1369&lt;=2800),VLOOKUP(AF1369,TNCalibEq2500!$AZ$2:$BB$56,3,),IF(AND(I1369="TDN",S1369&lt;=2800),VLOOKUP(AF1369,TNCalibEq2500!$AZ$2:$BB$56,3,)))</f>
        <v>0</v>
      </c>
      <c r="AU1369" s="10" t="b">
        <f>IF(I1369="TP",VLOOKUP(AF1369,TPCalibEqFull!$AZ$2:$BB$56,3),IF(I1369="TDP",VLOOKUP(AF1369,TPCalibEqFull!$AZ$2:$BB$56,3),IF(I1369="TDN",VLOOKUP(AF1369,TNCalibEqFull!$AZ$1:$BB$56,3),IF(I1369="TN",VLOOKUP(AF1369,TNCalibEqFull!$AZ$1:$BB$56,3),FALSE))))</f>
        <v>0</v>
      </c>
      <c r="AV1369" s="10" t="str">
        <f t="shared" si="157"/>
        <v>0123 08:00:00-EFK-0-FIL-1-SW-UKN</v>
      </c>
    </row>
    <row r="1370" spans="1:48" s="10" customFormat="1" x14ac:dyDescent="0.55000000000000004">
      <c r="A1370" s="32">
        <v>44949</v>
      </c>
      <c r="B1370" s="33">
        <v>0.32083333333333336</v>
      </c>
      <c r="C1370" s="10" t="s">
        <v>333</v>
      </c>
      <c r="D1370" s="10">
        <v>0</v>
      </c>
      <c r="E1370" s="10" t="s">
        <v>911</v>
      </c>
      <c r="F1370" s="10">
        <v>1</v>
      </c>
      <c r="G1370" s="10" t="s">
        <v>231</v>
      </c>
      <c r="H1370" s="10" t="s">
        <v>322</v>
      </c>
      <c r="I1370" s="10" t="s">
        <v>183</v>
      </c>
      <c r="J1370" s="10">
        <v>42</v>
      </c>
      <c r="K1370" s="12">
        <v>44958</v>
      </c>
      <c r="L1370" s="33">
        <v>0.54989583333333336</v>
      </c>
      <c r="M1370" s="10">
        <v>1</v>
      </c>
      <c r="N1370" s="10" t="s">
        <v>76</v>
      </c>
      <c r="O1370" s="10">
        <v>0.27700000000000002</v>
      </c>
      <c r="P1370" s="10">
        <v>2.1600000000000001E-2</v>
      </c>
      <c r="Q1370" s="10">
        <v>15.3</v>
      </c>
      <c r="R1370" s="10" t="s">
        <v>77</v>
      </c>
      <c r="S1370" s="34">
        <f t="shared" si="154"/>
        <v>15.3</v>
      </c>
      <c r="T1370" s="10" t="s">
        <v>1103</v>
      </c>
      <c r="U1370" s="34" t="str">
        <f t="shared" si="155"/>
        <v/>
      </c>
      <c r="V1370" s="31" t="str">
        <f>IF(H1370="CHK",VLOOKUP(I1370,QCCHK,3,),IF(H1370="GUP",VLOOKUP(E1370,QCGUP,2,),IF(AND(H1370="ATP",OR(I1370="TN",I1370="TDN",I1370="TNO2-3",I1370="NO2-3")),VLOOKUP(E1370,QCREC_N,2,),IF(AND(H1370="NIC",OR(I1370="TN",I1370="TDN",I1370="TNO2-3",I1370="NO2-3")),VLOOKUP(E1370,QCNIC_N,2,),IF(AND(H1370="UREA",OR(I1370="TN",I1370="TDN",I1370="TNO2-3",I1370="NO2-3")),VLOOKUP(E1370,QCUREA_N,2,),IF(H1370="PER",VLOOKUP(I1370,QCPER,MATCH(E1370,QCACTUAL!$J$25:$AA$25,0),),IF(H1370="SPK",VLOOKUP(I1370,QCSPK,3,),IF(AND(H1370="ATP",OR(I1370="TP",I1370="TDP")),VLOOKUP(E1370,QCATP_P,2,),""))))))))</f>
        <v/>
      </c>
      <c r="W1370" s="31" t="str">
        <f t="shared" si="156"/>
        <v>TRUE</v>
      </c>
      <c r="X1370" s="31" t="str">
        <f t="shared" si="153"/>
        <v/>
      </c>
      <c r="Y1370" s="10" t="s">
        <v>1096</v>
      </c>
      <c r="Z1370" s="10" t="s">
        <v>910</v>
      </c>
      <c r="AL1370" s="10" t="str">
        <f t="shared" si="158"/>
        <v>FALSE</v>
      </c>
      <c r="AM1370" s="10" t="str">
        <f t="shared" si="158"/>
        <v>FALSE</v>
      </c>
      <c r="AN1370" s="10" t="str">
        <f t="shared" si="158"/>
        <v>FALSE</v>
      </c>
      <c r="AO1370" s="10" t="str">
        <f t="shared" si="159"/>
        <v>FALSE</v>
      </c>
      <c r="AP1370" s="10" t="str">
        <f t="shared" si="159"/>
        <v>FALSE</v>
      </c>
      <c r="AQ1370" s="10" t="b">
        <f>IF(AND(I1370="TP",S1370&lt;=150),VLOOKUP(AF1370,TPCalibEq150!$AZ$2:$BB$55,3,),IF(AND(I1370="TDP",S1370&lt;=150),VLOOKUP(AF1370,TPCalibEq150!$AZ$2:$BB$55,3,)))</f>
        <v>0</v>
      </c>
      <c r="AR1370" s="10" t="b">
        <f>IF(AND(I1370="TP",S1370&lt;=300),VLOOKUP(AF1370,TPCalibEq300!$AZ$2:$BB$55,3,),IF(AND(I1370="TDP",S1370&lt;=300),VLOOKUP(AF1370,TPCalibEq300!$AZ$2:$BB$55,3,)))</f>
        <v>0</v>
      </c>
      <c r="AS1370" s="10" t="b">
        <f>IF(AND(I1370="TP",S1370&lt;=500),VLOOKUP(AF1370,TPCalibEq500!$AZ$2:$BB$56,3,),IF(AND(I1370="TDP",S1370&lt;=500),VLOOKUP(AF1370,TPCalibEq500!$AZ$2:$BB$56,3,)))</f>
        <v>0</v>
      </c>
      <c r="AT1370" s="10" t="b">
        <f>IF(AND(I1370="TN",S1370&lt;=2800),VLOOKUP(AF1370,TNCalibEq2500!$AZ$2:$BB$56,3,),IF(AND(I1370="TDN",S1370&lt;=2800),VLOOKUP(AF1370,TNCalibEq2500!$AZ$2:$BB$56,3,)))</f>
        <v>0</v>
      </c>
      <c r="AU1370" s="10" t="b">
        <f>IF(I1370="TP",VLOOKUP(AF1370,TPCalibEqFull!$AZ$2:$BB$56,3),IF(I1370="TDP",VLOOKUP(AF1370,TPCalibEqFull!$AZ$2:$BB$56,3),IF(I1370="TDN",VLOOKUP(AF1370,TNCalibEqFull!$AZ$1:$BB$56,3),IF(I1370="TN",VLOOKUP(AF1370,TNCalibEqFull!$AZ$1:$BB$56,3),FALSE))))</f>
        <v>0</v>
      </c>
      <c r="AV1370" s="10" t="str">
        <f t="shared" si="157"/>
        <v>0123 07:42:00-HST-0-FIL-1-SW-UKN</v>
      </c>
    </row>
    <row r="1371" spans="1:48" s="10" customFormat="1" x14ac:dyDescent="0.55000000000000004">
      <c r="A1371" s="32">
        <v>44950</v>
      </c>
      <c r="B1371" s="33">
        <v>0.5708333333333333</v>
      </c>
      <c r="C1371" s="10" t="s">
        <v>279</v>
      </c>
      <c r="D1371" s="10">
        <v>0</v>
      </c>
      <c r="E1371" s="10" t="s">
        <v>911</v>
      </c>
      <c r="F1371" s="10">
        <v>1</v>
      </c>
      <c r="G1371" s="10" t="s">
        <v>231</v>
      </c>
      <c r="H1371" s="10" t="s">
        <v>322</v>
      </c>
      <c r="I1371" s="10" t="s">
        <v>183</v>
      </c>
      <c r="J1371" s="10">
        <v>43</v>
      </c>
      <c r="K1371" s="12">
        <v>44958</v>
      </c>
      <c r="L1371" s="33">
        <v>0.55070601851851853</v>
      </c>
      <c r="M1371" s="10">
        <v>1</v>
      </c>
      <c r="N1371" s="10" t="s">
        <v>76</v>
      </c>
      <c r="O1371" s="10">
        <v>0.33600000000000002</v>
      </c>
      <c r="P1371" s="10">
        <v>2.7699999999999999E-2</v>
      </c>
      <c r="Q1371" s="10">
        <v>18.5</v>
      </c>
      <c r="R1371" s="10" t="s">
        <v>77</v>
      </c>
      <c r="S1371" s="34">
        <f t="shared" si="154"/>
        <v>18.5</v>
      </c>
      <c r="T1371" s="10" t="s">
        <v>1103</v>
      </c>
      <c r="U1371" s="34" t="str">
        <f t="shared" si="155"/>
        <v/>
      </c>
      <c r="V1371" s="31" t="str">
        <f>IF(H1371="CHK",VLOOKUP(I1371,QCCHK,3,),IF(H1371="GUP",VLOOKUP(E1371,QCGUP,2,),IF(AND(H1371="ATP",OR(I1371="TN",I1371="TDN",I1371="TNO2-3",I1371="NO2-3")),VLOOKUP(E1371,QCREC_N,2,),IF(AND(H1371="NIC",OR(I1371="TN",I1371="TDN",I1371="TNO2-3",I1371="NO2-3")),VLOOKUP(E1371,QCNIC_N,2,),IF(AND(H1371="UREA",OR(I1371="TN",I1371="TDN",I1371="TNO2-3",I1371="NO2-3")),VLOOKUP(E1371,QCUREA_N,2,),IF(H1371="PER",VLOOKUP(I1371,QCPER,MATCH(E1371,QCACTUAL!$J$25:$AA$25,0),),IF(H1371="SPK",VLOOKUP(I1371,QCSPK,3,),IF(AND(H1371="ATP",OR(I1371="TP",I1371="TDP")),VLOOKUP(E1371,QCATP_P,2,),""))))))))</f>
        <v/>
      </c>
      <c r="W1371" s="31" t="str">
        <f t="shared" si="156"/>
        <v>TRUE</v>
      </c>
      <c r="X1371" s="31" t="str">
        <f t="shared" si="153"/>
        <v/>
      </c>
      <c r="Y1371" s="10" t="s">
        <v>1096</v>
      </c>
      <c r="Z1371" s="10" t="s">
        <v>910</v>
      </c>
      <c r="AL1371" s="10" t="str">
        <f t="shared" si="158"/>
        <v>FALSE</v>
      </c>
      <c r="AM1371" s="10" t="str">
        <f t="shared" si="158"/>
        <v>FALSE</v>
      </c>
      <c r="AN1371" s="10" t="str">
        <f t="shared" si="158"/>
        <v>FALSE</v>
      </c>
      <c r="AO1371" s="10" t="str">
        <f t="shared" si="159"/>
        <v>FALSE</v>
      </c>
      <c r="AP1371" s="10" t="str">
        <f t="shared" si="159"/>
        <v>FALSE</v>
      </c>
      <c r="AQ1371" s="10" t="b">
        <f>IF(AND(I1371="TP",S1371&lt;=150),VLOOKUP(AF1371,TPCalibEq150!$AZ$2:$BB$55,3,),IF(AND(I1371="TDP",S1371&lt;=150),VLOOKUP(AF1371,TPCalibEq150!$AZ$2:$BB$55,3,)))</f>
        <v>0</v>
      </c>
      <c r="AR1371" s="10" t="b">
        <f>IF(AND(I1371="TP",S1371&lt;=300),VLOOKUP(AF1371,TPCalibEq300!$AZ$2:$BB$55,3,),IF(AND(I1371="TDP",S1371&lt;=300),VLOOKUP(AF1371,TPCalibEq300!$AZ$2:$BB$55,3,)))</f>
        <v>0</v>
      </c>
      <c r="AS1371" s="10" t="b">
        <f>IF(AND(I1371="TP",S1371&lt;=500),VLOOKUP(AF1371,TPCalibEq500!$AZ$2:$BB$56,3,),IF(AND(I1371="TDP",S1371&lt;=500),VLOOKUP(AF1371,TPCalibEq500!$AZ$2:$BB$56,3,)))</f>
        <v>0</v>
      </c>
      <c r="AT1371" s="10" t="b">
        <f>IF(AND(I1371="TN",S1371&lt;=2800),VLOOKUP(AF1371,TNCalibEq2500!$AZ$2:$BB$56,3,),IF(AND(I1371="TDN",S1371&lt;=2800),VLOOKUP(AF1371,TNCalibEq2500!$AZ$2:$BB$56,3,)))</f>
        <v>0</v>
      </c>
      <c r="AU1371" s="10" t="b">
        <f>IF(I1371="TP",VLOOKUP(AF1371,TPCalibEqFull!$AZ$2:$BB$56,3),IF(I1371="TDP",VLOOKUP(AF1371,TPCalibEqFull!$AZ$2:$BB$56,3),IF(I1371="TDN",VLOOKUP(AF1371,TNCalibEqFull!$AZ$1:$BB$56,3),IF(I1371="TN",VLOOKUP(AF1371,TNCalibEqFull!$AZ$1:$BB$56,3),FALSE))))</f>
        <v>0</v>
      </c>
      <c r="AV1371" s="10" t="str">
        <f t="shared" si="157"/>
        <v>0124 13:42:00-EFK-0-FIL-1-SW-UKN</v>
      </c>
    </row>
    <row r="1372" spans="1:48" s="10" customFormat="1" x14ac:dyDescent="0.55000000000000004">
      <c r="A1372" s="32">
        <v>44950</v>
      </c>
      <c r="B1372" s="33">
        <v>0.60555555555555551</v>
      </c>
      <c r="C1372" s="10" t="s">
        <v>333</v>
      </c>
      <c r="D1372" s="10">
        <v>0</v>
      </c>
      <c r="E1372" s="10" t="s">
        <v>911</v>
      </c>
      <c r="F1372" s="10">
        <v>1</v>
      </c>
      <c r="G1372" s="10" t="s">
        <v>231</v>
      </c>
      <c r="H1372" s="10" t="s">
        <v>322</v>
      </c>
      <c r="I1372" s="10" t="s">
        <v>183</v>
      </c>
      <c r="J1372" s="10">
        <v>44</v>
      </c>
      <c r="K1372" s="12">
        <v>44958</v>
      </c>
      <c r="L1372" s="33">
        <v>0.55150462962962965</v>
      </c>
      <c r="M1372" s="10">
        <v>1</v>
      </c>
      <c r="N1372" s="10" t="s">
        <v>76</v>
      </c>
      <c r="O1372" s="10">
        <v>0.38100000000000001</v>
      </c>
      <c r="P1372" s="10">
        <v>3.1699999999999999E-2</v>
      </c>
      <c r="Q1372" s="10">
        <v>21</v>
      </c>
      <c r="R1372" s="10" t="s">
        <v>77</v>
      </c>
      <c r="S1372" s="34">
        <f t="shared" si="154"/>
        <v>21</v>
      </c>
      <c r="T1372" s="10" t="s">
        <v>1103</v>
      </c>
      <c r="U1372" s="34" t="str">
        <f t="shared" si="155"/>
        <v/>
      </c>
      <c r="V1372" s="31" t="str">
        <f>IF(H1372="CHK",VLOOKUP(I1372,QCCHK,3,),IF(H1372="GUP",VLOOKUP(E1372,QCGUP,2,),IF(AND(H1372="ATP",OR(I1372="TN",I1372="TDN",I1372="TNO2-3",I1372="NO2-3")),VLOOKUP(E1372,QCREC_N,2,),IF(AND(H1372="NIC",OR(I1372="TN",I1372="TDN",I1372="TNO2-3",I1372="NO2-3")),VLOOKUP(E1372,QCNIC_N,2,),IF(AND(H1372="UREA",OR(I1372="TN",I1372="TDN",I1372="TNO2-3",I1372="NO2-3")),VLOOKUP(E1372,QCUREA_N,2,),IF(H1372="PER",VLOOKUP(I1372,QCPER,MATCH(E1372,QCACTUAL!$J$25:$AA$25,0),),IF(H1372="SPK",VLOOKUP(I1372,QCSPK,3,),IF(AND(H1372="ATP",OR(I1372="TP",I1372="TDP")),VLOOKUP(E1372,QCATP_P,2,),""))))))))</f>
        <v/>
      </c>
      <c r="W1372" s="31" t="str">
        <f t="shared" si="156"/>
        <v>TRUE</v>
      </c>
      <c r="X1372" s="31" t="str">
        <f t="shared" si="153"/>
        <v/>
      </c>
      <c r="Y1372" s="10" t="s">
        <v>1096</v>
      </c>
      <c r="Z1372" s="10" t="s">
        <v>910</v>
      </c>
      <c r="AL1372" s="10" t="str">
        <f t="shared" si="158"/>
        <v>FALSE</v>
      </c>
      <c r="AM1372" s="10" t="str">
        <f t="shared" si="158"/>
        <v>FALSE</v>
      </c>
      <c r="AN1372" s="10" t="str">
        <f t="shared" si="158"/>
        <v>FALSE</v>
      </c>
      <c r="AO1372" s="10" t="str">
        <f t="shared" si="159"/>
        <v>FALSE</v>
      </c>
      <c r="AP1372" s="10" t="str">
        <f t="shared" si="159"/>
        <v>FALSE</v>
      </c>
      <c r="AQ1372" s="10" t="b">
        <f>IF(AND(I1372="TP",S1372&lt;=150),VLOOKUP(AF1372,TPCalibEq150!$AZ$2:$BB$55,3,),IF(AND(I1372="TDP",S1372&lt;=150),VLOOKUP(AF1372,TPCalibEq150!$AZ$2:$BB$55,3,)))</f>
        <v>0</v>
      </c>
      <c r="AR1372" s="10" t="b">
        <f>IF(AND(I1372="TP",S1372&lt;=300),VLOOKUP(AF1372,TPCalibEq300!$AZ$2:$BB$55,3,),IF(AND(I1372="TDP",S1372&lt;=300),VLOOKUP(AF1372,TPCalibEq300!$AZ$2:$BB$55,3,)))</f>
        <v>0</v>
      </c>
      <c r="AS1372" s="10" t="b">
        <f>IF(AND(I1372="TP",S1372&lt;=500),VLOOKUP(AF1372,TPCalibEq500!$AZ$2:$BB$56,3,),IF(AND(I1372="TDP",S1372&lt;=500),VLOOKUP(AF1372,TPCalibEq500!$AZ$2:$BB$56,3,)))</f>
        <v>0</v>
      </c>
      <c r="AT1372" s="10" t="b">
        <f>IF(AND(I1372="TN",S1372&lt;=2800),VLOOKUP(AF1372,TNCalibEq2500!$AZ$2:$BB$56,3,),IF(AND(I1372="TDN",S1372&lt;=2800),VLOOKUP(AF1372,TNCalibEq2500!$AZ$2:$BB$56,3,)))</f>
        <v>0</v>
      </c>
      <c r="AU1372" s="10" t="b">
        <f>IF(I1372="TP",VLOOKUP(AF1372,TPCalibEqFull!$AZ$2:$BB$56,3),IF(I1372="TDP",VLOOKUP(AF1372,TPCalibEqFull!$AZ$2:$BB$56,3),IF(I1372="TDN",VLOOKUP(AF1372,TNCalibEqFull!$AZ$1:$BB$56,3),IF(I1372="TN",VLOOKUP(AF1372,TNCalibEqFull!$AZ$1:$BB$56,3),FALSE))))</f>
        <v>0</v>
      </c>
      <c r="AV1372" s="10" t="str">
        <f t="shared" si="157"/>
        <v>0124 14:32:00-HST-0-FIL-1-SW-UKN</v>
      </c>
    </row>
    <row r="1373" spans="1:48" s="10" customFormat="1" x14ac:dyDescent="0.55000000000000004">
      <c r="A1373" s="32">
        <v>44951</v>
      </c>
      <c r="B1373" s="33">
        <v>0.23541666666666669</v>
      </c>
      <c r="C1373" s="10" t="s">
        <v>279</v>
      </c>
      <c r="D1373" s="10">
        <v>0</v>
      </c>
      <c r="E1373" s="10" t="s">
        <v>911</v>
      </c>
      <c r="F1373" s="10">
        <v>1</v>
      </c>
      <c r="G1373" s="10" t="s">
        <v>231</v>
      </c>
      <c r="H1373" s="10" t="s">
        <v>322</v>
      </c>
      <c r="I1373" s="10" t="s">
        <v>183</v>
      </c>
      <c r="J1373" s="10">
        <v>45</v>
      </c>
      <c r="K1373" s="12">
        <v>44958</v>
      </c>
      <c r="L1373" s="33">
        <v>0.55231481481481481</v>
      </c>
      <c r="M1373" s="10">
        <v>1</v>
      </c>
      <c r="N1373" s="10" t="s">
        <v>76</v>
      </c>
      <c r="O1373" s="10">
        <v>0.39200000000000002</v>
      </c>
      <c r="P1373" s="10">
        <v>3.1600000000000003E-2</v>
      </c>
      <c r="Q1373" s="10">
        <v>21.6</v>
      </c>
      <c r="R1373" s="10" t="s">
        <v>77</v>
      </c>
      <c r="S1373" s="34">
        <f t="shared" si="154"/>
        <v>21.6</v>
      </c>
      <c r="T1373" s="10" t="s">
        <v>1103</v>
      </c>
      <c r="U1373" s="34" t="str">
        <f t="shared" si="155"/>
        <v/>
      </c>
      <c r="V1373" s="31" t="str">
        <f>IF(H1373="CHK",VLOOKUP(I1373,QCCHK,3,),IF(H1373="GUP",VLOOKUP(E1373,QCGUP,2,),IF(AND(H1373="ATP",OR(I1373="TN",I1373="TDN",I1373="TNO2-3",I1373="NO2-3")),VLOOKUP(E1373,QCREC_N,2,),IF(AND(H1373="NIC",OR(I1373="TN",I1373="TDN",I1373="TNO2-3",I1373="NO2-3")),VLOOKUP(E1373,QCNIC_N,2,),IF(AND(H1373="UREA",OR(I1373="TN",I1373="TDN",I1373="TNO2-3",I1373="NO2-3")),VLOOKUP(E1373,QCUREA_N,2,),IF(H1373="PER",VLOOKUP(I1373,QCPER,MATCH(E1373,QCACTUAL!$J$25:$AA$25,0),),IF(H1373="SPK",VLOOKUP(I1373,QCSPK,3,),IF(AND(H1373="ATP",OR(I1373="TP",I1373="TDP")),VLOOKUP(E1373,QCATP_P,2,),""))))))))</f>
        <v/>
      </c>
      <c r="W1373" s="31" t="str">
        <f t="shared" si="156"/>
        <v>TRUE</v>
      </c>
      <c r="X1373" s="31" t="str">
        <f t="shared" si="153"/>
        <v/>
      </c>
      <c r="Y1373" s="10" t="s">
        <v>1096</v>
      </c>
      <c r="Z1373" s="10" t="s">
        <v>910</v>
      </c>
      <c r="AL1373" s="10" t="str">
        <f t="shared" si="158"/>
        <v>FALSE</v>
      </c>
      <c r="AM1373" s="10" t="str">
        <f t="shared" si="158"/>
        <v>FALSE</v>
      </c>
      <c r="AN1373" s="10" t="str">
        <f t="shared" si="158"/>
        <v>FALSE</v>
      </c>
      <c r="AO1373" s="10" t="str">
        <f t="shared" si="159"/>
        <v>FALSE</v>
      </c>
      <c r="AP1373" s="10" t="str">
        <f t="shared" si="159"/>
        <v>FALSE</v>
      </c>
      <c r="AQ1373" s="10" t="b">
        <f>IF(AND(I1373="TP",S1373&lt;=150),VLOOKUP(AF1373,TPCalibEq150!$AZ$2:$BB$55,3,),IF(AND(I1373="TDP",S1373&lt;=150),VLOOKUP(AF1373,TPCalibEq150!$AZ$2:$BB$55,3,)))</f>
        <v>0</v>
      </c>
      <c r="AR1373" s="10" t="b">
        <f>IF(AND(I1373="TP",S1373&lt;=300),VLOOKUP(AF1373,TPCalibEq300!$AZ$2:$BB$55,3,),IF(AND(I1373="TDP",S1373&lt;=300),VLOOKUP(AF1373,TPCalibEq300!$AZ$2:$BB$55,3,)))</f>
        <v>0</v>
      </c>
      <c r="AS1373" s="10" t="b">
        <f>IF(AND(I1373="TP",S1373&lt;=500),VLOOKUP(AF1373,TPCalibEq500!$AZ$2:$BB$56,3,),IF(AND(I1373="TDP",S1373&lt;=500),VLOOKUP(AF1373,TPCalibEq500!$AZ$2:$BB$56,3,)))</f>
        <v>0</v>
      </c>
      <c r="AT1373" s="10" t="b">
        <f>IF(AND(I1373="TN",S1373&lt;=2800),VLOOKUP(AF1373,TNCalibEq2500!$AZ$2:$BB$56,3,),IF(AND(I1373="TDN",S1373&lt;=2800),VLOOKUP(AF1373,TNCalibEq2500!$AZ$2:$BB$56,3,)))</f>
        <v>0</v>
      </c>
      <c r="AU1373" s="10" t="b">
        <f>IF(I1373="TP",VLOOKUP(AF1373,TPCalibEqFull!$AZ$2:$BB$56,3),IF(I1373="TDP",VLOOKUP(AF1373,TPCalibEqFull!$AZ$2:$BB$56,3),IF(I1373="TDN",VLOOKUP(AF1373,TNCalibEqFull!$AZ$1:$BB$56,3),IF(I1373="TN",VLOOKUP(AF1373,TNCalibEqFull!$AZ$1:$BB$56,3),FALSE))))</f>
        <v>0</v>
      </c>
      <c r="AV1373" s="10" t="str">
        <f t="shared" si="157"/>
        <v>0125 05:39:00-EFK-0-FIL-1-SW-UKN</v>
      </c>
    </row>
    <row r="1374" spans="1:48" s="10" customFormat="1" x14ac:dyDescent="0.55000000000000004">
      <c r="A1374" s="32">
        <v>44951</v>
      </c>
      <c r="B1374" s="33">
        <v>0.23750000000000002</v>
      </c>
      <c r="C1374" s="10" t="s">
        <v>333</v>
      </c>
      <c r="D1374" s="10">
        <v>0</v>
      </c>
      <c r="E1374" s="10" t="s">
        <v>911</v>
      </c>
      <c r="F1374" s="10">
        <v>1</v>
      </c>
      <c r="G1374" s="10" t="s">
        <v>231</v>
      </c>
      <c r="H1374" s="10" t="s">
        <v>322</v>
      </c>
      <c r="I1374" s="10" t="s">
        <v>183</v>
      </c>
      <c r="J1374" s="10">
        <v>46</v>
      </c>
      <c r="K1374" s="12">
        <v>44958</v>
      </c>
      <c r="L1374" s="33">
        <v>0.55313657407407402</v>
      </c>
      <c r="M1374" s="10">
        <v>1</v>
      </c>
      <c r="N1374" s="10" t="s">
        <v>76</v>
      </c>
      <c r="O1374" s="10">
        <v>0.40200000000000002</v>
      </c>
      <c r="P1374" s="10">
        <v>3.3300000000000003E-2</v>
      </c>
      <c r="Q1374" s="10">
        <v>22.2</v>
      </c>
      <c r="R1374" s="10" t="s">
        <v>77</v>
      </c>
      <c r="S1374" s="34">
        <f t="shared" si="154"/>
        <v>22.2</v>
      </c>
      <c r="T1374" s="10" t="s">
        <v>1103</v>
      </c>
      <c r="U1374" s="34" t="str">
        <f t="shared" si="155"/>
        <v/>
      </c>
      <c r="V1374" s="31" t="str">
        <f>IF(H1374="CHK",VLOOKUP(I1374,QCCHK,3,),IF(H1374="GUP",VLOOKUP(E1374,QCGUP,2,),IF(AND(H1374="ATP",OR(I1374="TN",I1374="TDN",I1374="TNO2-3",I1374="NO2-3")),VLOOKUP(E1374,QCREC_N,2,),IF(AND(H1374="NIC",OR(I1374="TN",I1374="TDN",I1374="TNO2-3",I1374="NO2-3")),VLOOKUP(E1374,QCNIC_N,2,),IF(AND(H1374="UREA",OR(I1374="TN",I1374="TDN",I1374="TNO2-3",I1374="NO2-3")),VLOOKUP(E1374,QCUREA_N,2,),IF(H1374="PER",VLOOKUP(I1374,QCPER,MATCH(E1374,QCACTUAL!$J$25:$AA$25,0),),IF(H1374="SPK",VLOOKUP(I1374,QCSPK,3,),IF(AND(H1374="ATP",OR(I1374="TP",I1374="TDP")),VLOOKUP(E1374,QCATP_P,2,),""))))))))</f>
        <v/>
      </c>
      <c r="W1374" s="31" t="str">
        <f t="shared" si="156"/>
        <v>TRUE</v>
      </c>
      <c r="X1374" s="31" t="str">
        <f t="shared" si="153"/>
        <v/>
      </c>
      <c r="Y1374" s="10" t="s">
        <v>1096</v>
      </c>
      <c r="Z1374" s="10" t="s">
        <v>910</v>
      </c>
      <c r="AL1374" s="10" t="str">
        <f t="shared" si="158"/>
        <v>FALSE</v>
      </c>
      <c r="AM1374" s="10" t="str">
        <f t="shared" si="158"/>
        <v>FALSE</v>
      </c>
      <c r="AN1374" s="10" t="str">
        <f t="shared" si="158"/>
        <v>FALSE</v>
      </c>
      <c r="AO1374" s="10" t="str">
        <f t="shared" si="159"/>
        <v>FALSE</v>
      </c>
      <c r="AP1374" s="10" t="str">
        <f t="shared" si="159"/>
        <v>FALSE</v>
      </c>
      <c r="AQ1374" s="10" t="b">
        <f>IF(AND(I1374="TP",S1374&lt;=150),VLOOKUP(AF1374,TPCalibEq150!$AZ$2:$BB$55,3,),IF(AND(I1374="TDP",S1374&lt;=150),VLOOKUP(AF1374,TPCalibEq150!$AZ$2:$BB$55,3,)))</f>
        <v>0</v>
      </c>
      <c r="AR1374" s="10" t="b">
        <f>IF(AND(I1374="TP",S1374&lt;=300),VLOOKUP(AF1374,TPCalibEq300!$AZ$2:$BB$55,3,),IF(AND(I1374="TDP",S1374&lt;=300),VLOOKUP(AF1374,TPCalibEq300!$AZ$2:$BB$55,3,)))</f>
        <v>0</v>
      </c>
      <c r="AS1374" s="10" t="b">
        <f>IF(AND(I1374="TP",S1374&lt;=500),VLOOKUP(AF1374,TPCalibEq500!$AZ$2:$BB$56,3,),IF(AND(I1374="TDP",S1374&lt;=500),VLOOKUP(AF1374,TPCalibEq500!$AZ$2:$BB$56,3,)))</f>
        <v>0</v>
      </c>
      <c r="AT1374" s="10" t="b">
        <f>IF(AND(I1374="TN",S1374&lt;=2800),VLOOKUP(AF1374,TNCalibEq2500!$AZ$2:$BB$56,3,),IF(AND(I1374="TDN",S1374&lt;=2800),VLOOKUP(AF1374,TNCalibEq2500!$AZ$2:$BB$56,3,)))</f>
        <v>0</v>
      </c>
      <c r="AU1374" s="10" t="b">
        <f>IF(I1374="TP",VLOOKUP(AF1374,TPCalibEqFull!$AZ$2:$BB$56,3),IF(I1374="TDP",VLOOKUP(AF1374,TPCalibEqFull!$AZ$2:$BB$56,3),IF(I1374="TDN",VLOOKUP(AF1374,TNCalibEqFull!$AZ$1:$BB$56,3),IF(I1374="TN",VLOOKUP(AF1374,TNCalibEqFull!$AZ$1:$BB$56,3),FALSE))))</f>
        <v>0</v>
      </c>
      <c r="AV1374" s="10" t="str">
        <f t="shared" si="157"/>
        <v>0125 05:42:00-HST-0-FIL-1-SW-UKN</v>
      </c>
    </row>
    <row r="1375" spans="1:48" s="10" customFormat="1" x14ac:dyDescent="0.55000000000000004">
      <c r="A1375" s="32">
        <v>44952</v>
      </c>
      <c r="B1375" s="33">
        <v>0.39930555555555558</v>
      </c>
      <c r="C1375" s="10" t="s">
        <v>279</v>
      </c>
      <c r="D1375" s="10">
        <v>0</v>
      </c>
      <c r="E1375" s="10" t="s">
        <v>911</v>
      </c>
      <c r="F1375" s="10">
        <v>1</v>
      </c>
      <c r="G1375" s="10" t="s">
        <v>231</v>
      </c>
      <c r="H1375" s="10" t="s">
        <v>322</v>
      </c>
      <c r="I1375" s="10" t="s">
        <v>183</v>
      </c>
      <c r="J1375" s="10">
        <v>47</v>
      </c>
      <c r="K1375" s="12">
        <v>44958</v>
      </c>
      <c r="L1375" s="33">
        <v>0.55396990740740737</v>
      </c>
      <c r="M1375" s="10">
        <v>1</v>
      </c>
      <c r="N1375" s="10" t="s">
        <v>76</v>
      </c>
      <c r="O1375" s="10">
        <v>1.38</v>
      </c>
      <c r="P1375" s="10">
        <v>0.111</v>
      </c>
      <c r="Q1375" s="10">
        <v>76</v>
      </c>
      <c r="R1375" s="10" t="s">
        <v>77</v>
      </c>
      <c r="S1375" s="34">
        <f t="shared" si="154"/>
        <v>76</v>
      </c>
      <c r="T1375" s="10" t="s">
        <v>1103</v>
      </c>
      <c r="U1375" s="34" t="str">
        <f t="shared" si="155"/>
        <v/>
      </c>
      <c r="V1375" s="31" t="str">
        <f>IF(H1375="CHK",VLOOKUP(I1375,QCCHK,3,),IF(H1375="GUP",VLOOKUP(E1375,QCGUP,2,),IF(AND(H1375="ATP",OR(I1375="TN",I1375="TDN",I1375="TNO2-3",I1375="NO2-3")),VLOOKUP(E1375,QCREC_N,2,),IF(AND(H1375="NIC",OR(I1375="TN",I1375="TDN",I1375="TNO2-3",I1375="NO2-3")),VLOOKUP(E1375,QCNIC_N,2,),IF(AND(H1375="UREA",OR(I1375="TN",I1375="TDN",I1375="TNO2-3",I1375="NO2-3")),VLOOKUP(E1375,QCUREA_N,2,),IF(H1375="PER",VLOOKUP(I1375,QCPER,MATCH(E1375,QCACTUAL!$J$25:$AA$25,0),),IF(H1375="SPK",VLOOKUP(I1375,QCSPK,3,),IF(AND(H1375="ATP",OR(I1375="TP",I1375="TDP")),VLOOKUP(E1375,QCATP_P,2,),""))))))))</f>
        <v/>
      </c>
      <c r="W1375" s="31" t="str">
        <f t="shared" si="156"/>
        <v>TRUE</v>
      </c>
      <c r="X1375" s="31" t="str">
        <f t="shared" si="153"/>
        <v/>
      </c>
      <c r="Y1375" s="10" t="s">
        <v>1096</v>
      </c>
      <c r="Z1375" s="10" t="s">
        <v>910</v>
      </c>
      <c r="AL1375" s="10" t="str">
        <f t="shared" si="158"/>
        <v>FALSE</v>
      </c>
      <c r="AM1375" s="10" t="str">
        <f t="shared" si="158"/>
        <v>FALSE</v>
      </c>
      <c r="AN1375" s="10" t="str">
        <f t="shared" si="158"/>
        <v>FALSE</v>
      </c>
      <c r="AO1375" s="10" t="str">
        <f t="shared" si="159"/>
        <v>FALSE</v>
      </c>
      <c r="AP1375" s="10" t="str">
        <f t="shared" si="159"/>
        <v>FALSE</v>
      </c>
      <c r="AQ1375" s="10" t="b">
        <f>IF(AND(I1375="TP",S1375&lt;=150),VLOOKUP(AF1375,TPCalibEq150!$AZ$2:$BB$55,3,),IF(AND(I1375="TDP",S1375&lt;=150),VLOOKUP(AF1375,TPCalibEq150!$AZ$2:$BB$55,3,)))</f>
        <v>0</v>
      </c>
      <c r="AR1375" s="10" t="b">
        <f>IF(AND(I1375="TP",S1375&lt;=300),VLOOKUP(AF1375,TPCalibEq300!$AZ$2:$BB$55,3,),IF(AND(I1375="TDP",S1375&lt;=300),VLOOKUP(AF1375,TPCalibEq300!$AZ$2:$BB$55,3,)))</f>
        <v>0</v>
      </c>
      <c r="AS1375" s="10" t="b">
        <f>IF(AND(I1375="TP",S1375&lt;=500),VLOOKUP(AF1375,TPCalibEq500!$AZ$2:$BB$56,3,),IF(AND(I1375="TDP",S1375&lt;=500),VLOOKUP(AF1375,TPCalibEq500!$AZ$2:$BB$56,3,)))</f>
        <v>0</v>
      </c>
      <c r="AT1375" s="10" t="b">
        <f>IF(AND(I1375="TN",S1375&lt;=2800),VLOOKUP(AF1375,TNCalibEq2500!$AZ$2:$BB$56,3,),IF(AND(I1375="TDN",S1375&lt;=2800),VLOOKUP(AF1375,TNCalibEq2500!$AZ$2:$BB$56,3,)))</f>
        <v>0</v>
      </c>
      <c r="AU1375" s="10" t="b">
        <f>IF(I1375="TP",VLOOKUP(AF1375,TPCalibEqFull!$AZ$2:$BB$56,3),IF(I1375="TDP",VLOOKUP(AF1375,TPCalibEqFull!$AZ$2:$BB$56,3),IF(I1375="TDN",VLOOKUP(AF1375,TNCalibEqFull!$AZ$1:$BB$56,3),IF(I1375="TN",VLOOKUP(AF1375,TNCalibEqFull!$AZ$1:$BB$56,3),FALSE))))</f>
        <v>0</v>
      </c>
      <c r="AV1375" s="10" t="str">
        <f t="shared" si="157"/>
        <v>0126 09:35:00-EFK-0-FIL-1-SW-UKN</v>
      </c>
    </row>
    <row r="1376" spans="1:48" s="10" customFormat="1" x14ac:dyDescent="0.55000000000000004">
      <c r="A1376" s="32">
        <v>44952</v>
      </c>
      <c r="B1376" s="33">
        <v>0.40416666666666662</v>
      </c>
      <c r="C1376" s="10" t="s">
        <v>333</v>
      </c>
      <c r="D1376" s="10">
        <v>0</v>
      </c>
      <c r="E1376" s="10" t="s">
        <v>911</v>
      </c>
      <c r="F1376" s="10" t="s">
        <v>190</v>
      </c>
      <c r="G1376" s="10" t="s">
        <v>231</v>
      </c>
      <c r="H1376" s="10" t="s">
        <v>322</v>
      </c>
      <c r="I1376" s="10" t="s">
        <v>183</v>
      </c>
      <c r="J1376" s="10">
        <v>48</v>
      </c>
      <c r="K1376" s="12">
        <v>44958</v>
      </c>
      <c r="L1376" s="33">
        <v>0.55479166666666668</v>
      </c>
      <c r="M1376" s="10">
        <v>1</v>
      </c>
      <c r="N1376" s="10" t="s">
        <v>76</v>
      </c>
      <c r="O1376" s="10">
        <v>0.14099999999999999</v>
      </c>
      <c r="P1376" s="10">
        <v>1.0999999999999999E-2</v>
      </c>
      <c r="Q1376" s="10">
        <v>7.79</v>
      </c>
      <c r="R1376" s="10" t="s">
        <v>77</v>
      </c>
      <c r="S1376" s="34">
        <f t="shared" si="154"/>
        <v>7.79</v>
      </c>
      <c r="T1376" s="10" t="s">
        <v>1103</v>
      </c>
      <c r="U1376" s="34" t="str">
        <f t="shared" si="155"/>
        <v/>
      </c>
      <c r="V1376" s="31" t="str">
        <f>IF(H1376="CHK",VLOOKUP(I1376,QCCHK,3,),IF(H1376="GUP",VLOOKUP(E1376,QCGUP,2,),IF(AND(H1376="ATP",OR(I1376="TN",I1376="TDN",I1376="TNO2-3",I1376="NO2-3")),VLOOKUP(E1376,QCREC_N,2,),IF(AND(H1376="NIC",OR(I1376="TN",I1376="TDN",I1376="TNO2-3",I1376="NO2-3")),VLOOKUP(E1376,QCNIC_N,2,),IF(AND(H1376="UREA",OR(I1376="TN",I1376="TDN",I1376="TNO2-3",I1376="NO2-3")),VLOOKUP(E1376,QCUREA_N,2,),IF(H1376="PER",VLOOKUP(I1376,QCPER,MATCH(E1376,QCACTUAL!$J$25:$AA$25,0),),IF(H1376="SPK",VLOOKUP(I1376,QCSPK,3,),IF(AND(H1376="ATP",OR(I1376="TP",I1376="TDP")),VLOOKUP(E1376,QCATP_P,2,),""))))))))</f>
        <v/>
      </c>
      <c r="W1376" s="31" t="str">
        <f t="shared" si="156"/>
        <v>TRUE</v>
      </c>
      <c r="X1376" s="31" t="str">
        <f t="shared" si="153"/>
        <v/>
      </c>
      <c r="Y1376" s="10" t="s">
        <v>1096</v>
      </c>
      <c r="Z1376" s="10" t="s">
        <v>910</v>
      </c>
      <c r="AL1376" s="10" t="str">
        <f t="shared" si="158"/>
        <v>FALSE</v>
      </c>
      <c r="AM1376" s="10" t="str">
        <f t="shared" si="158"/>
        <v>FALSE</v>
      </c>
      <c r="AN1376" s="10" t="str">
        <f t="shared" si="158"/>
        <v>FALSE</v>
      </c>
      <c r="AO1376" s="10" t="str">
        <f t="shared" si="159"/>
        <v>FALSE</v>
      </c>
      <c r="AP1376" s="10" t="str">
        <f t="shared" si="159"/>
        <v>FALSE</v>
      </c>
      <c r="AQ1376" s="10" t="b">
        <f>IF(AND(I1376="TP",S1376&lt;=150),VLOOKUP(AF1376,TPCalibEq150!$AZ$2:$BB$55,3,),IF(AND(I1376="TDP",S1376&lt;=150),VLOOKUP(AF1376,TPCalibEq150!$AZ$2:$BB$55,3,)))</f>
        <v>0</v>
      </c>
      <c r="AR1376" s="10" t="b">
        <f>IF(AND(I1376="TP",S1376&lt;=300),VLOOKUP(AF1376,TPCalibEq300!$AZ$2:$BB$55,3,),IF(AND(I1376="TDP",S1376&lt;=300),VLOOKUP(AF1376,TPCalibEq300!$AZ$2:$BB$55,3,)))</f>
        <v>0</v>
      </c>
      <c r="AS1376" s="10" t="b">
        <f>IF(AND(I1376="TP",S1376&lt;=500),VLOOKUP(AF1376,TPCalibEq500!$AZ$2:$BB$56,3,),IF(AND(I1376="TDP",S1376&lt;=500),VLOOKUP(AF1376,TPCalibEq500!$AZ$2:$BB$56,3,)))</f>
        <v>0</v>
      </c>
      <c r="AT1376" s="10" t="b">
        <f>IF(AND(I1376="TN",S1376&lt;=2800),VLOOKUP(AF1376,TNCalibEq2500!$AZ$2:$BB$56,3,),IF(AND(I1376="TDN",S1376&lt;=2800),VLOOKUP(AF1376,TNCalibEq2500!$AZ$2:$BB$56,3,)))</f>
        <v>0</v>
      </c>
      <c r="AU1376" s="10" t="b">
        <f>IF(I1376="TP",VLOOKUP(AF1376,TPCalibEqFull!$AZ$2:$BB$56,3),IF(I1376="TDP",VLOOKUP(AF1376,TPCalibEqFull!$AZ$2:$BB$56,3),IF(I1376="TDN",VLOOKUP(AF1376,TNCalibEqFull!$AZ$1:$BB$56,3),IF(I1376="TN",VLOOKUP(AF1376,TNCalibEqFull!$AZ$1:$BB$56,3),FALSE))))</f>
        <v>0</v>
      </c>
      <c r="AV1376" s="10" t="str">
        <f t="shared" si="157"/>
        <v>0126 09:42:00-HST-0-FIL-C-SW-UKN</v>
      </c>
    </row>
    <row r="1377" spans="1:48" s="10" customFormat="1" x14ac:dyDescent="0.55000000000000004">
      <c r="A1377" s="32">
        <v>44953</v>
      </c>
      <c r="B1377" s="33">
        <v>0.53333333333333333</v>
      </c>
      <c r="C1377" s="10" t="s">
        <v>279</v>
      </c>
      <c r="D1377" s="10">
        <v>0</v>
      </c>
      <c r="E1377" s="10" t="s">
        <v>911</v>
      </c>
      <c r="F1377" s="10">
        <v>1</v>
      </c>
      <c r="G1377" s="10" t="s">
        <v>231</v>
      </c>
      <c r="H1377" s="10" t="s">
        <v>322</v>
      </c>
      <c r="I1377" s="10" t="s">
        <v>183</v>
      </c>
      <c r="J1377" s="10">
        <v>49</v>
      </c>
      <c r="K1377" s="12">
        <v>44958</v>
      </c>
      <c r="L1377" s="33">
        <v>0.55560185185185185</v>
      </c>
      <c r="M1377" s="10">
        <v>1</v>
      </c>
      <c r="N1377" s="10" t="s">
        <v>76</v>
      </c>
      <c r="O1377" s="10">
        <v>1.06</v>
      </c>
      <c r="P1377" s="10">
        <v>8.5500000000000007E-2</v>
      </c>
      <c r="Q1377" s="10">
        <v>58.7</v>
      </c>
      <c r="R1377" s="10" t="s">
        <v>77</v>
      </c>
      <c r="S1377" s="34">
        <f t="shared" si="154"/>
        <v>58.7</v>
      </c>
      <c r="T1377" s="10" t="s">
        <v>1103</v>
      </c>
      <c r="U1377" s="34" t="str">
        <f t="shared" si="155"/>
        <v/>
      </c>
      <c r="V1377" s="31" t="str">
        <f>IF(H1377="CHK",VLOOKUP(I1377,QCCHK,3,),IF(H1377="GUP",VLOOKUP(E1377,QCGUP,2,),IF(AND(H1377="ATP",OR(I1377="TN",I1377="TDN",I1377="TNO2-3",I1377="NO2-3")),VLOOKUP(E1377,QCREC_N,2,),IF(AND(H1377="NIC",OR(I1377="TN",I1377="TDN",I1377="TNO2-3",I1377="NO2-3")),VLOOKUP(E1377,QCNIC_N,2,),IF(AND(H1377="UREA",OR(I1377="TN",I1377="TDN",I1377="TNO2-3",I1377="NO2-3")),VLOOKUP(E1377,QCUREA_N,2,),IF(H1377="PER",VLOOKUP(I1377,QCPER,MATCH(E1377,QCACTUAL!$J$25:$AA$25,0),),IF(H1377="SPK",VLOOKUP(I1377,QCSPK,3,),IF(AND(H1377="ATP",OR(I1377="TP",I1377="TDP")),VLOOKUP(E1377,QCATP_P,2,),""))))))))</f>
        <v/>
      </c>
      <c r="W1377" s="31" t="str">
        <f t="shared" si="156"/>
        <v>TRUE</v>
      </c>
      <c r="X1377" s="31" t="str">
        <f t="shared" si="153"/>
        <v/>
      </c>
      <c r="Y1377" s="10" t="s">
        <v>1096</v>
      </c>
      <c r="Z1377" s="10" t="s">
        <v>910</v>
      </c>
      <c r="AL1377" s="10" t="str">
        <f t="shared" si="158"/>
        <v>FALSE</v>
      </c>
      <c r="AM1377" s="10" t="str">
        <f t="shared" si="158"/>
        <v>FALSE</v>
      </c>
      <c r="AN1377" s="10" t="str">
        <f t="shared" si="158"/>
        <v>FALSE</v>
      </c>
      <c r="AO1377" s="10" t="str">
        <f t="shared" si="159"/>
        <v>FALSE</v>
      </c>
      <c r="AP1377" s="10" t="str">
        <f t="shared" si="159"/>
        <v>FALSE</v>
      </c>
      <c r="AQ1377" s="10" t="b">
        <f>IF(AND(I1377="TP",S1377&lt;=150),VLOOKUP(AF1377,TPCalibEq150!$AZ$2:$BB$55,3,),IF(AND(I1377="TDP",S1377&lt;=150),VLOOKUP(AF1377,TPCalibEq150!$AZ$2:$BB$55,3,)))</f>
        <v>0</v>
      </c>
      <c r="AR1377" s="10" t="b">
        <f>IF(AND(I1377="TP",S1377&lt;=300),VLOOKUP(AF1377,TPCalibEq300!$AZ$2:$BB$55,3,),IF(AND(I1377="TDP",S1377&lt;=300),VLOOKUP(AF1377,TPCalibEq300!$AZ$2:$BB$55,3,)))</f>
        <v>0</v>
      </c>
      <c r="AS1377" s="10" t="b">
        <f>IF(AND(I1377="TP",S1377&lt;=500),VLOOKUP(AF1377,TPCalibEq500!$AZ$2:$BB$56,3,),IF(AND(I1377="TDP",S1377&lt;=500),VLOOKUP(AF1377,TPCalibEq500!$AZ$2:$BB$56,3,)))</f>
        <v>0</v>
      </c>
      <c r="AT1377" s="10" t="b">
        <f>IF(AND(I1377="TN",S1377&lt;=2800),VLOOKUP(AF1377,TNCalibEq2500!$AZ$2:$BB$56,3,),IF(AND(I1377="TDN",S1377&lt;=2800),VLOOKUP(AF1377,TNCalibEq2500!$AZ$2:$BB$56,3,)))</f>
        <v>0</v>
      </c>
      <c r="AU1377" s="10" t="b">
        <f>IF(I1377="TP",VLOOKUP(AF1377,TPCalibEqFull!$AZ$2:$BB$56,3),IF(I1377="TDP",VLOOKUP(AF1377,TPCalibEqFull!$AZ$2:$BB$56,3),IF(I1377="TDN",VLOOKUP(AF1377,TNCalibEqFull!$AZ$1:$BB$56,3),IF(I1377="TN",VLOOKUP(AF1377,TNCalibEqFull!$AZ$1:$BB$56,3),FALSE))))</f>
        <v>0</v>
      </c>
      <c r="AV1377" s="10" t="str">
        <f t="shared" si="157"/>
        <v>0127 12:48:00-EFK-0-FIL-1-SW-UKN</v>
      </c>
    </row>
    <row r="1378" spans="1:48" s="10" customFormat="1" x14ac:dyDescent="0.55000000000000004">
      <c r="A1378" s="32">
        <v>44953</v>
      </c>
      <c r="B1378" s="33">
        <v>0.53611111111111109</v>
      </c>
      <c r="C1378" s="10" t="s">
        <v>333</v>
      </c>
      <c r="D1378" s="10">
        <v>0</v>
      </c>
      <c r="E1378" s="10" t="s">
        <v>911</v>
      </c>
      <c r="F1378" s="10">
        <v>1</v>
      </c>
      <c r="G1378" s="10" t="s">
        <v>231</v>
      </c>
      <c r="H1378" s="10" t="s">
        <v>322</v>
      </c>
      <c r="I1378" s="10" t="s">
        <v>183</v>
      </c>
      <c r="J1378" s="10">
        <v>50</v>
      </c>
      <c r="K1378" s="12">
        <v>44958</v>
      </c>
      <c r="L1378" s="33">
        <v>0.55642361111111105</v>
      </c>
      <c r="M1378" s="10">
        <v>1</v>
      </c>
      <c r="N1378" s="10" t="s">
        <v>76</v>
      </c>
      <c r="O1378" s="10">
        <v>0.217</v>
      </c>
      <c r="P1378" s="10">
        <v>1.6899999999999998E-2</v>
      </c>
      <c r="Q1378" s="10">
        <v>12</v>
      </c>
      <c r="R1378" s="10" t="s">
        <v>77</v>
      </c>
      <c r="S1378" s="34">
        <f t="shared" si="154"/>
        <v>12</v>
      </c>
      <c r="T1378" s="10" t="s">
        <v>1103</v>
      </c>
      <c r="U1378" s="34" t="str">
        <f t="shared" si="155"/>
        <v/>
      </c>
      <c r="V1378" s="31" t="str">
        <f>IF(H1378="CHK",VLOOKUP(I1378,QCCHK,3,),IF(H1378="GUP",VLOOKUP(E1378,QCGUP,2,),IF(AND(H1378="ATP",OR(I1378="TN",I1378="TDN",I1378="TNO2-3",I1378="NO2-3")),VLOOKUP(E1378,QCREC_N,2,),IF(AND(H1378="NIC",OR(I1378="TN",I1378="TDN",I1378="TNO2-3",I1378="NO2-3")),VLOOKUP(E1378,QCNIC_N,2,),IF(AND(H1378="UREA",OR(I1378="TN",I1378="TDN",I1378="TNO2-3",I1378="NO2-3")),VLOOKUP(E1378,QCUREA_N,2,),IF(H1378="PER",VLOOKUP(I1378,QCPER,MATCH(E1378,QCACTUAL!$J$25:$AA$25,0),),IF(H1378="SPK",VLOOKUP(I1378,QCSPK,3,),IF(AND(H1378="ATP",OR(I1378="TP",I1378="TDP")),VLOOKUP(E1378,QCATP_P,2,),""))))))))</f>
        <v/>
      </c>
      <c r="W1378" s="31" t="str">
        <f t="shared" si="156"/>
        <v>TRUE</v>
      </c>
      <c r="X1378" s="31" t="str">
        <f t="shared" si="153"/>
        <v/>
      </c>
      <c r="Y1378" s="10" t="s">
        <v>1096</v>
      </c>
      <c r="Z1378" s="10" t="s">
        <v>910</v>
      </c>
      <c r="AL1378" s="10" t="str">
        <f t="shared" si="158"/>
        <v>FALSE</v>
      </c>
      <c r="AM1378" s="10" t="str">
        <f t="shared" si="158"/>
        <v>FALSE</v>
      </c>
      <c r="AN1378" s="10" t="str">
        <f t="shared" si="158"/>
        <v>FALSE</v>
      </c>
      <c r="AO1378" s="10" t="str">
        <f t="shared" si="159"/>
        <v>FALSE</v>
      </c>
      <c r="AP1378" s="10" t="str">
        <f t="shared" si="159"/>
        <v>FALSE</v>
      </c>
      <c r="AQ1378" s="10" t="b">
        <f>IF(AND(I1378="TP",S1378&lt;=150),VLOOKUP(AF1378,TPCalibEq150!$AZ$2:$BB$55,3,),IF(AND(I1378="TDP",S1378&lt;=150),VLOOKUP(AF1378,TPCalibEq150!$AZ$2:$BB$55,3,)))</f>
        <v>0</v>
      </c>
      <c r="AR1378" s="10" t="b">
        <f>IF(AND(I1378="TP",S1378&lt;=300),VLOOKUP(AF1378,TPCalibEq300!$AZ$2:$BB$55,3,),IF(AND(I1378="TDP",S1378&lt;=300),VLOOKUP(AF1378,TPCalibEq300!$AZ$2:$BB$55,3,)))</f>
        <v>0</v>
      </c>
      <c r="AS1378" s="10" t="b">
        <f>IF(AND(I1378="TP",S1378&lt;=500),VLOOKUP(AF1378,TPCalibEq500!$AZ$2:$BB$56,3,),IF(AND(I1378="TDP",S1378&lt;=500),VLOOKUP(AF1378,TPCalibEq500!$AZ$2:$BB$56,3,)))</f>
        <v>0</v>
      </c>
      <c r="AT1378" s="10" t="b">
        <f>IF(AND(I1378="TN",S1378&lt;=2800),VLOOKUP(AF1378,TNCalibEq2500!$AZ$2:$BB$56,3,),IF(AND(I1378="TDN",S1378&lt;=2800),VLOOKUP(AF1378,TNCalibEq2500!$AZ$2:$BB$56,3,)))</f>
        <v>0</v>
      </c>
      <c r="AU1378" s="10" t="b">
        <f>IF(I1378="TP",VLOOKUP(AF1378,TPCalibEqFull!$AZ$2:$BB$56,3),IF(I1378="TDP",VLOOKUP(AF1378,TPCalibEqFull!$AZ$2:$BB$56,3),IF(I1378="TDN",VLOOKUP(AF1378,TNCalibEqFull!$AZ$1:$BB$56,3),IF(I1378="TN",VLOOKUP(AF1378,TNCalibEqFull!$AZ$1:$BB$56,3),FALSE))))</f>
        <v>0</v>
      </c>
      <c r="AV1378" s="10" t="str">
        <f t="shared" si="157"/>
        <v>0127 12:52:00-HST-0-FIL-1-SW-UKN</v>
      </c>
    </row>
    <row r="1379" spans="1:48" s="10" customFormat="1" x14ac:dyDescent="0.55000000000000004">
      <c r="A1379" s="32">
        <v>44953</v>
      </c>
      <c r="B1379" s="33">
        <v>0.53611111111111109</v>
      </c>
      <c r="C1379" s="10" t="s">
        <v>333</v>
      </c>
      <c r="D1379" s="10">
        <v>0</v>
      </c>
      <c r="E1379" s="10" t="s">
        <v>911</v>
      </c>
      <c r="F1379" s="10">
        <v>1</v>
      </c>
      <c r="G1379" s="10" t="s">
        <v>231</v>
      </c>
      <c r="H1379" s="10" t="s">
        <v>233</v>
      </c>
      <c r="I1379" s="10" t="s">
        <v>183</v>
      </c>
      <c r="J1379" s="10">
        <v>50</v>
      </c>
      <c r="K1379" s="12">
        <v>44958</v>
      </c>
      <c r="L1379" s="33">
        <v>0.55724537037037036</v>
      </c>
      <c r="M1379" s="10">
        <v>1</v>
      </c>
      <c r="N1379" s="10" t="s">
        <v>76</v>
      </c>
      <c r="O1379" s="10">
        <v>0.156</v>
      </c>
      <c r="P1379" s="10">
        <v>1.2500000000000001E-2</v>
      </c>
      <c r="Q1379" s="10">
        <v>8.6300000000000008</v>
      </c>
      <c r="R1379" s="10" t="s">
        <v>77</v>
      </c>
      <c r="S1379" s="34">
        <f t="shared" si="154"/>
        <v>8.6300000000000008</v>
      </c>
      <c r="T1379" s="10" t="s">
        <v>1103</v>
      </c>
      <c r="U1379" s="34">
        <f t="shared" si="155"/>
        <v>32.670867668444004</v>
      </c>
      <c r="V1379" s="31" t="str">
        <f>IF(H1379="CHK",VLOOKUP(I1379,QCCHK,3,),IF(H1379="GUP",VLOOKUP(E1379,QCGUP,2,),IF(AND(H1379="ATP",OR(I1379="TN",I1379="TDN",I1379="TNO2-3",I1379="NO2-3")),VLOOKUP(E1379,QCREC_N,2,),IF(AND(H1379="NIC",OR(I1379="TN",I1379="TDN",I1379="TNO2-3",I1379="NO2-3")),VLOOKUP(E1379,QCNIC_N,2,),IF(AND(H1379="UREA",OR(I1379="TN",I1379="TDN",I1379="TNO2-3",I1379="NO2-3")),VLOOKUP(E1379,QCUREA_N,2,),IF(H1379="PER",VLOOKUP(I1379,QCPER,MATCH(E1379,QCACTUAL!$J$25:$AA$25,0),),IF(H1379="SPK",VLOOKUP(I1379,QCSPK,3,),IF(AND(H1379="ATP",OR(I1379="TP",I1379="TDP")),VLOOKUP(E1379,QCATP_P,2,),""))))))))</f>
        <v/>
      </c>
      <c r="W1379" s="31" t="b">
        <v>1</v>
      </c>
      <c r="X1379" s="31" t="str">
        <f t="shared" si="153"/>
        <v>((ABS(rep1-rep2))/((rep1+rep2)/2)*100</v>
      </c>
      <c r="Y1379" s="10" t="s">
        <v>1096</v>
      </c>
      <c r="Z1379" s="10" t="s">
        <v>1059</v>
      </c>
      <c r="AL1379" s="10" t="str">
        <f t="shared" si="158"/>
        <v>FALSE</v>
      </c>
      <c r="AM1379" s="10" t="str">
        <f t="shared" si="158"/>
        <v>FALSE</v>
      </c>
      <c r="AN1379" s="10" t="str">
        <f t="shared" si="158"/>
        <v>FALSE</v>
      </c>
      <c r="AO1379" s="10" t="str">
        <f t="shared" si="159"/>
        <v>FALSE</v>
      </c>
      <c r="AP1379" s="10" t="str">
        <f t="shared" si="159"/>
        <v>FALSE</v>
      </c>
      <c r="AQ1379" s="10" t="b">
        <f>IF(AND(I1379="TP",S1379&lt;=150),VLOOKUP(AF1379,TPCalibEq150!$AZ$2:$BB$55,3,),IF(AND(I1379="TDP",S1379&lt;=150),VLOOKUP(AF1379,TPCalibEq150!$AZ$2:$BB$55,3,)))</f>
        <v>0</v>
      </c>
      <c r="AR1379" s="10" t="b">
        <f>IF(AND(I1379="TP",S1379&lt;=300),VLOOKUP(AF1379,TPCalibEq300!$AZ$2:$BB$55,3,),IF(AND(I1379="TDP",S1379&lt;=300),VLOOKUP(AF1379,TPCalibEq300!$AZ$2:$BB$55,3,)))</f>
        <v>0</v>
      </c>
      <c r="AS1379" s="10" t="b">
        <f>IF(AND(I1379="TP",S1379&lt;=500),VLOOKUP(AF1379,TPCalibEq500!$AZ$2:$BB$56,3,),IF(AND(I1379="TDP",S1379&lt;=500),VLOOKUP(AF1379,TPCalibEq500!$AZ$2:$BB$56,3,)))</f>
        <v>0</v>
      </c>
      <c r="AT1379" s="10" t="b">
        <f>IF(AND(I1379="TN",S1379&lt;=2800),VLOOKUP(AF1379,TNCalibEq2500!$AZ$2:$BB$56,3,),IF(AND(I1379="TDN",S1379&lt;=2800),VLOOKUP(AF1379,TNCalibEq2500!$AZ$2:$BB$56,3,)))</f>
        <v>0</v>
      </c>
      <c r="AU1379" s="10" t="b">
        <f>IF(I1379="TP",VLOOKUP(AF1379,TPCalibEqFull!$AZ$2:$BB$56,3),IF(I1379="TDP",VLOOKUP(AF1379,TPCalibEqFull!$AZ$2:$BB$56,3),IF(I1379="TDN",VLOOKUP(AF1379,TNCalibEqFull!$AZ$1:$BB$56,3),IF(I1379="TN",VLOOKUP(AF1379,TNCalibEqFull!$AZ$1:$BB$56,3),FALSE))))</f>
        <v>0</v>
      </c>
      <c r="AV1379" s="10" t="str">
        <f t="shared" si="157"/>
        <v>0127 12:52:00-HST-0-FIL-1-SW-DUP</v>
      </c>
    </row>
    <row r="1380" spans="1:48" s="10" customFormat="1" x14ac:dyDescent="0.55000000000000004">
      <c r="A1380" s="32">
        <v>44953</v>
      </c>
      <c r="B1380" s="33">
        <v>0.53611111111111109</v>
      </c>
      <c r="C1380" s="10" t="s">
        <v>333</v>
      </c>
      <c r="D1380" s="10">
        <v>0</v>
      </c>
      <c r="E1380" s="10" t="s">
        <v>911</v>
      </c>
      <c r="F1380" s="10">
        <v>1</v>
      </c>
      <c r="G1380" s="10" t="s">
        <v>231</v>
      </c>
      <c r="H1380" s="10" t="s">
        <v>314</v>
      </c>
      <c r="I1380" s="10" t="s">
        <v>183</v>
      </c>
      <c r="J1380" s="10">
        <v>86</v>
      </c>
      <c r="K1380" s="12">
        <v>44958</v>
      </c>
      <c r="L1380" s="33">
        <v>0.55805555555555553</v>
      </c>
      <c r="M1380" s="10">
        <v>1</v>
      </c>
      <c r="N1380" s="10" t="s">
        <v>76</v>
      </c>
      <c r="O1380" s="10">
        <v>11.1</v>
      </c>
      <c r="P1380" s="10">
        <v>0.89200000000000002</v>
      </c>
      <c r="Q1380" s="10">
        <v>612</v>
      </c>
      <c r="R1380" s="10" t="s">
        <v>77</v>
      </c>
      <c r="S1380" s="34">
        <f t="shared" si="154"/>
        <v>612</v>
      </c>
      <c r="T1380" s="10" t="s">
        <v>1103</v>
      </c>
      <c r="U1380" s="34">
        <f t="shared" si="155"/>
        <v>96.539200000000008</v>
      </c>
      <c r="V1380" s="31">
        <f>IF(H1380="CHK",VLOOKUP(I1380,QCCHK,3,),IF(H1380="GUP",VLOOKUP(E1380,QCGUP,2,),IF(AND(H1380="ATP",OR(I1380="TN",I1380="TDN",I1380="TNO2-3",I1380="NO2-3")),VLOOKUP(E1380,QCREC_N,2,),IF(AND(H1380="NIC",OR(I1380="TN",I1380="TDN",I1380="TNO2-3",I1380="NO2-3")),VLOOKUP(E1380,QCNIC_N,2,),IF(AND(H1380="UREA",OR(I1380="TN",I1380="TDN",I1380="TNO2-3",I1380="NO2-3")),VLOOKUP(E1380,QCUREA_N,2,),IF(H1380="PER",VLOOKUP(I1380,QCPER,MATCH(E1380,QCACTUAL!$J$25:$AA$25,0),),IF(H1380="SPK",VLOOKUP(I1380,QCSPK,3,),IF(AND(H1380="ATP",OR(I1380="TP",I1380="TDP")),VLOOKUP(E1380,QCATP_P,2,),""))))))))</f>
        <v>625</v>
      </c>
      <c r="W1380" s="31" t="str">
        <f t="shared" si="156"/>
        <v>TRUE</v>
      </c>
      <c r="X1380" s="31" t="str">
        <f t="shared" si="153"/>
        <v>([spikedunkn]-[unkn])/[spike]*100</v>
      </c>
      <c r="Y1380" s="10" t="s">
        <v>1096</v>
      </c>
      <c r="Z1380" s="10" t="s">
        <v>910</v>
      </c>
      <c r="AL1380" s="10" t="str">
        <f t="shared" si="158"/>
        <v>FALSE</v>
      </c>
      <c r="AM1380" s="10" t="str">
        <f t="shared" si="158"/>
        <v>FALSE</v>
      </c>
      <c r="AN1380" s="10" t="str">
        <f t="shared" si="158"/>
        <v>FALSE</v>
      </c>
      <c r="AO1380" s="10" t="str">
        <f t="shared" si="159"/>
        <v>FALSE</v>
      </c>
      <c r="AP1380" s="10" t="str">
        <f t="shared" si="159"/>
        <v>FALSE</v>
      </c>
      <c r="AQ1380" s="10" t="b">
        <f>IF(AND(I1380="TP",S1380&lt;=150),VLOOKUP(AF1380,TPCalibEq150!$AZ$2:$BB$55,3,),IF(AND(I1380="TDP",S1380&lt;=150),VLOOKUP(AF1380,TPCalibEq150!$AZ$2:$BB$55,3,)))</f>
        <v>0</v>
      </c>
      <c r="AR1380" s="10" t="b">
        <f>IF(AND(I1380="TP",S1380&lt;=300),VLOOKUP(AF1380,TPCalibEq300!$AZ$2:$BB$55,3,),IF(AND(I1380="TDP",S1380&lt;=300),VLOOKUP(AF1380,TPCalibEq300!$AZ$2:$BB$55,3,)))</f>
        <v>0</v>
      </c>
      <c r="AS1380" s="10" t="b">
        <f>IF(AND(I1380="TP",S1380&lt;=500),VLOOKUP(AF1380,TPCalibEq500!$AZ$2:$BB$56,3,),IF(AND(I1380="TDP",S1380&lt;=500),VLOOKUP(AF1380,TPCalibEq500!$AZ$2:$BB$56,3,)))</f>
        <v>0</v>
      </c>
      <c r="AT1380" s="10" t="b">
        <f>IF(AND(I1380="TN",S1380&lt;=2800),VLOOKUP(AF1380,TNCalibEq2500!$AZ$2:$BB$56,3,),IF(AND(I1380="TDN",S1380&lt;=2800),VLOOKUP(AF1380,TNCalibEq2500!$AZ$2:$BB$56,3,)))</f>
        <v>0</v>
      </c>
      <c r="AU1380" s="10" t="b">
        <f>IF(I1380="TP",VLOOKUP(AF1380,TPCalibEqFull!$AZ$2:$BB$56,3),IF(I1380="TDP",VLOOKUP(AF1380,TPCalibEqFull!$AZ$2:$BB$56,3),IF(I1380="TDN",VLOOKUP(AF1380,TNCalibEqFull!$AZ$1:$BB$56,3),IF(I1380="TN",VLOOKUP(AF1380,TNCalibEqFull!$AZ$1:$BB$56,3),FALSE))))</f>
        <v>0</v>
      </c>
      <c r="AV1380" s="10" t="str">
        <f t="shared" si="157"/>
        <v>0127 12:52:00-HST-0-FIL-1-SW-SPK</v>
      </c>
    </row>
    <row r="1381" spans="1:48" s="10" customFormat="1" x14ac:dyDescent="0.55000000000000004">
      <c r="A1381" s="32">
        <v>44958</v>
      </c>
      <c r="B1381" s="33">
        <v>0.375</v>
      </c>
      <c r="C1381" s="10" t="s">
        <v>70</v>
      </c>
      <c r="D1381" s="10" t="s">
        <v>71</v>
      </c>
      <c r="E1381" s="10" t="s">
        <v>901</v>
      </c>
      <c r="F1381" s="10">
        <v>1</v>
      </c>
      <c r="G1381" s="10" t="s">
        <v>73</v>
      </c>
      <c r="H1381" s="10" t="s">
        <v>207</v>
      </c>
      <c r="I1381" s="10" t="s">
        <v>75</v>
      </c>
      <c r="J1381" s="10">
        <v>201</v>
      </c>
      <c r="K1381" s="12">
        <v>44958</v>
      </c>
      <c r="L1381" s="33">
        <v>0.55887731481481484</v>
      </c>
      <c r="M1381" s="10">
        <v>1</v>
      </c>
      <c r="N1381" s="10" t="s">
        <v>76</v>
      </c>
      <c r="O1381" s="10">
        <v>5.36</v>
      </c>
      <c r="P1381" s="10">
        <v>0.43</v>
      </c>
      <c r="Q1381" s="10">
        <v>296</v>
      </c>
      <c r="R1381" s="10" t="s">
        <v>77</v>
      </c>
      <c r="S1381" s="34">
        <f t="shared" si="154"/>
        <v>296</v>
      </c>
      <c r="T1381" s="10" t="s">
        <v>1103</v>
      </c>
      <c r="U1381" s="34">
        <f t="shared" si="155"/>
        <v>98.666666666666671</v>
      </c>
      <c r="V1381" s="31">
        <f>IF(H1381="CHK",VLOOKUP(I1381,QCCHK,3,),IF(H1381="GUP",VLOOKUP(E1381,QCGUP,2,),IF(AND(H1381="ATP",OR(I1381="TN",I1381="TDN",I1381="TNO2-3",I1381="NO2-3")),VLOOKUP(E1381,QCREC_N,2,),IF(AND(H1381="NIC",OR(I1381="TN",I1381="TDN",I1381="TNO2-3",I1381="NO2-3")),VLOOKUP(E1381,QCNIC_N,2,),IF(AND(H1381="UREA",OR(I1381="TN",I1381="TDN",I1381="TNO2-3",I1381="NO2-3")),VLOOKUP(E1381,QCUREA_N,2,),IF(H1381="PER",VLOOKUP(I1381,QCPER,MATCH(E1381,QCACTUAL!$J$25:$AA$25,0),),IF(H1381="SPK",VLOOKUP(I1381,QCSPK,3,),IF(AND(H1381="ATP",OR(I1381="TP",I1381="TDP")),VLOOKUP(E1381,QCATP_P,2,),""))))))))</f>
        <v>300</v>
      </c>
      <c r="W1381" s="31" t="str">
        <f t="shared" si="156"/>
        <v>TRUE</v>
      </c>
      <c r="X1381" s="31" t="str">
        <f t="shared" si="153"/>
        <v>[chk]/[actual]*100</v>
      </c>
      <c r="Y1381" s="10" t="s">
        <v>1096</v>
      </c>
      <c r="AL1381" s="10" t="str">
        <f t="shared" si="158"/>
        <v>FALSE</v>
      </c>
      <c r="AM1381" s="10" t="str">
        <f t="shared" si="158"/>
        <v>FALSE</v>
      </c>
      <c r="AN1381" s="10" t="str">
        <f t="shared" si="158"/>
        <v>FALSE</v>
      </c>
      <c r="AO1381" s="10" t="str">
        <f t="shared" si="159"/>
        <v>FALSE</v>
      </c>
      <c r="AP1381" s="10" t="str">
        <f t="shared" si="159"/>
        <v>FALSE</v>
      </c>
      <c r="AQ1381" s="10" t="b">
        <f>IF(AND(I1381="TP",S1381&lt;=150),VLOOKUP(AF1381,TPCalibEq150!$AZ$2:$BB$55,3,),IF(AND(I1381="TDP",S1381&lt;=150),VLOOKUP(AF1381,TPCalibEq150!$AZ$2:$BB$55,3,)))</f>
        <v>0</v>
      </c>
      <c r="AR1381" s="10" t="b">
        <f>IF(AND(I1381="TP",S1381&lt;=300),VLOOKUP(AF1381,TPCalibEq300!$AZ$2:$BB$55,3,),IF(AND(I1381="TDP",S1381&lt;=300),VLOOKUP(AF1381,TPCalibEq300!$AZ$2:$BB$55,3,)))</f>
        <v>0</v>
      </c>
      <c r="AS1381" s="10" t="b">
        <f>IF(AND(I1381="TP",S1381&lt;=500),VLOOKUP(AF1381,TPCalibEq500!$AZ$2:$BB$56,3,),IF(AND(I1381="TDP",S1381&lt;=500),VLOOKUP(AF1381,TPCalibEq500!$AZ$2:$BB$56,3,)))</f>
        <v>0</v>
      </c>
      <c r="AT1381" s="10" t="b">
        <f>IF(AND(I1381="TN",S1381&lt;=2800),VLOOKUP(AF1381,TNCalibEq2500!$AZ$2:$BB$56,3,),IF(AND(I1381="TDN",S1381&lt;=2800),VLOOKUP(AF1381,TNCalibEq2500!$AZ$2:$BB$56,3,)))</f>
        <v>0</v>
      </c>
      <c r="AU1381" s="10" t="b">
        <f>IF(I1381="TP",VLOOKUP(AF1381,TPCalibEqFull!$AZ$2:$BB$56,3),IF(I1381="TDP",VLOOKUP(AF1381,TPCalibEqFull!$AZ$2:$BB$56,3),IF(I1381="TDN",VLOOKUP(AF1381,TNCalibEqFull!$AZ$1:$BB$56,3),IF(I1381="TN",VLOOKUP(AF1381,TNCalibEqFull!$AZ$1:$BB$56,3),FALSE))))</f>
        <v>0</v>
      </c>
      <c r="AV1381" s="10" t="str">
        <f t="shared" si="157"/>
        <v>0201 09:00:00-QAC-STD-D-1-DI-CHK</v>
      </c>
    </row>
    <row r="1382" spans="1:48" s="10" customFormat="1" x14ac:dyDescent="0.55000000000000004">
      <c r="A1382" s="32">
        <v>44956</v>
      </c>
      <c r="B1382" s="33">
        <v>0.32500000000000001</v>
      </c>
      <c r="C1382" s="10" t="s">
        <v>279</v>
      </c>
      <c r="D1382" s="10">
        <v>0</v>
      </c>
      <c r="E1382" s="10" t="s">
        <v>911</v>
      </c>
      <c r="F1382" s="10">
        <v>1</v>
      </c>
      <c r="G1382" s="10" t="s">
        <v>231</v>
      </c>
      <c r="H1382" s="10" t="s">
        <v>322</v>
      </c>
      <c r="I1382" s="10" t="s">
        <v>183</v>
      </c>
      <c r="J1382" s="10">
        <v>51</v>
      </c>
      <c r="K1382" s="12">
        <v>44958</v>
      </c>
      <c r="L1382" s="33">
        <v>0.55969907407407404</v>
      </c>
      <c r="M1382" s="10">
        <v>1</v>
      </c>
      <c r="N1382" s="10" t="s">
        <v>76</v>
      </c>
      <c r="O1382" s="10">
        <v>0.48099999999999998</v>
      </c>
      <c r="P1382" s="10">
        <v>4.0399999999999998E-2</v>
      </c>
      <c r="Q1382" s="10">
        <v>26.5</v>
      </c>
      <c r="R1382" s="10" t="s">
        <v>77</v>
      </c>
      <c r="S1382" s="34">
        <f t="shared" si="154"/>
        <v>26.5</v>
      </c>
      <c r="T1382" s="10" t="s">
        <v>1103</v>
      </c>
      <c r="U1382" s="34" t="str">
        <f t="shared" si="155"/>
        <v/>
      </c>
      <c r="V1382" s="31" t="str">
        <f>IF(H1382="CHK",VLOOKUP(I1382,QCCHK,3,),IF(H1382="GUP",VLOOKUP(E1382,QCGUP,2,),IF(AND(H1382="ATP",OR(I1382="TN",I1382="TDN",I1382="TNO2-3",I1382="NO2-3")),VLOOKUP(E1382,QCREC_N,2,),IF(AND(H1382="NIC",OR(I1382="TN",I1382="TDN",I1382="TNO2-3",I1382="NO2-3")),VLOOKUP(E1382,QCNIC_N,2,),IF(AND(H1382="UREA",OR(I1382="TN",I1382="TDN",I1382="TNO2-3",I1382="NO2-3")),VLOOKUP(E1382,QCUREA_N,2,),IF(H1382="PER",VLOOKUP(I1382,QCPER,MATCH(E1382,QCACTUAL!$J$25:$AA$25,0),),IF(H1382="SPK",VLOOKUP(I1382,QCSPK,3,),IF(AND(H1382="ATP",OR(I1382="TP",I1382="TDP")),VLOOKUP(E1382,QCATP_P,2,),""))))))))</f>
        <v/>
      </c>
      <c r="W1382" s="31" t="str">
        <f t="shared" si="156"/>
        <v>TRUE</v>
      </c>
      <c r="X1382" s="31" t="str">
        <f t="shared" si="153"/>
        <v/>
      </c>
      <c r="Y1382" s="10" t="s">
        <v>1096</v>
      </c>
      <c r="Z1382" s="10" t="s">
        <v>910</v>
      </c>
      <c r="AL1382" s="10" t="str">
        <f t="shared" si="158"/>
        <v>FALSE</v>
      </c>
      <c r="AM1382" s="10" t="str">
        <f t="shared" si="158"/>
        <v>FALSE</v>
      </c>
      <c r="AN1382" s="10" t="str">
        <f t="shared" si="158"/>
        <v>FALSE</v>
      </c>
      <c r="AO1382" s="10" t="str">
        <f t="shared" si="159"/>
        <v>FALSE</v>
      </c>
      <c r="AP1382" s="10" t="str">
        <f t="shared" si="159"/>
        <v>FALSE</v>
      </c>
      <c r="AQ1382" s="10" t="b">
        <f>IF(AND(I1382="TP",S1382&lt;=150),VLOOKUP(AF1382,TPCalibEq150!$AZ$2:$BB$55,3,),IF(AND(I1382="TDP",S1382&lt;=150),VLOOKUP(AF1382,TPCalibEq150!$AZ$2:$BB$55,3,)))</f>
        <v>0</v>
      </c>
      <c r="AR1382" s="10" t="b">
        <f>IF(AND(I1382="TP",S1382&lt;=300),VLOOKUP(AF1382,TPCalibEq300!$AZ$2:$BB$55,3,),IF(AND(I1382="TDP",S1382&lt;=300),VLOOKUP(AF1382,TPCalibEq300!$AZ$2:$BB$55,3,)))</f>
        <v>0</v>
      </c>
      <c r="AS1382" s="10" t="b">
        <f>IF(AND(I1382="TP",S1382&lt;=500),VLOOKUP(AF1382,TPCalibEq500!$AZ$2:$BB$56,3,),IF(AND(I1382="TDP",S1382&lt;=500),VLOOKUP(AF1382,TPCalibEq500!$AZ$2:$BB$56,3,)))</f>
        <v>0</v>
      </c>
      <c r="AT1382" s="10" t="b">
        <f>IF(AND(I1382="TN",S1382&lt;=2800),VLOOKUP(AF1382,TNCalibEq2500!$AZ$2:$BB$56,3,),IF(AND(I1382="TDN",S1382&lt;=2800),VLOOKUP(AF1382,TNCalibEq2500!$AZ$2:$BB$56,3,)))</f>
        <v>0</v>
      </c>
      <c r="AU1382" s="10" t="b">
        <f>IF(I1382="TP",VLOOKUP(AF1382,TPCalibEqFull!$AZ$2:$BB$56,3),IF(I1382="TDP",VLOOKUP(AF1382,TPCalibEqFull!$AZ$2:$BB$56,3),IF(I1382="TDN",VLOOKUP(AF1382,TNCalibEqFull!$AZ$1:$BB$56,3),IF(I1382="TN",VLOOKUP(AF1382,TNCalibEqFull!$AZ$1:$BB$56,3),FALSE))))</f>
        <v>0</v>
      </c>
      <c r="AV1382" s="10" t="str">
        <f t="shared" si="157"/>
        <v>0130 07:48:00-EFK-0-FIL-1-SW-UKN</v>
      </c>
    </row>
    <row r="1383" spans="1:48" s="10" customFormat="1" x14ac:dyDescent="0.55000000000000004">
      <c r="A1383" s="32">
        <v>44956</v>
      </c>
      <c r="B1383" s="33">
        <v>0.33749999999999997</v>
      </c>
      <c r="C1383" s="10" t="s">
        <v>333</v>
      </c>
      <c r="D1383" s="10">
        <v>0</v>
      </c>
      <c r="E1383" s="10" t="s">
        <v>911</v>
      </c>
      <c r="F1383" s="10">
        <v>1</v>
      </c>
      <c r="G1383" s="10" t="s">
        <v>231</v>
      </c>
      <c r="H1383" s="10" t="s">
        <v>322</v>
      </c>
      <c r="I1383" s="10" t="s">
        <v>183</v>
      </c>
      <c r="J1383" s="10">
        <v>52</v>
      </c>
      <c r="K1383" s="12">
        <v>44958</v>
      </c>
      <c r="L1383" s="33">
        <v>0.56052083333333336</v>
      </c>
      <c r="M1383" s="10">
        <v>1</v>
      </c>
      <c r="N1383" s="10" t="s">
        <v>76</v>
      </c>
      <c r="O1383" s="10">
        <v>0.123</v>
      </c>
      <c r="P1383" s="10">
        <v>1.01E-2</v>
      </c>
      <c r="Q1383" s="10">
        <v>6.78</v>
      </c>
      <c r="R1383" s="10" t="s">
        <v>77</v>
      </c>
      <c r="S1383" s="34">
        <f t="shared" si="154"/>
        <v>6.78</v>
      </c>
      <c r="T1383" s="10" t="s">
        <v>1103</v>
      </c>
      <c r="U1383" s="34" t="str">
        <f t="shared" si="155"/>
        <v/>
      </c>
      <c r="V1383" s="31" t="str">
        <f>IF(H1383="CHK",VLOOKUP(I1383,QCCHK,3,),IF(H1383="GUP",VLOOKUP(E1383,QCGUP,2,),IF(AND(H1383="ATP",OR(I1383="TN",I1383="TDN",I1383="TNO2-3",I1383="NO2-3")),VLOOKUP(E1383,QCREC_N,2,),IF(AND(H1383="NIC",OR(I1383="TN",I1383="TDN",I1383="TNO2-3",I1383="NO2-3")),VLOOKUP(E1383,QCNIC_N,2,),IF(AND(H1383="UREA",OR(I1383="TN",I1383="TDN",I1383="TNO2-3",I1383="NO2-3")),VLOOKUP(E1383,QCUREA_N,2,),IF(H1383="PER",VLOOKUP(I1383,QCPER,MATCH(E1383,QCACTUAL!$J$25:$AA$25,0),),IF(H1383="SPK",VLOOKUP(I1383,QCSPK,3,),IF(AND(H1383="ATP",OR(I1383="TP",I1383="TDP")),VLOOKUP(E1383,QCATP_P,2,),""))))))))</f>
        <v/>
      </c>
      <c r="W1383" s="31" t="str">
        <f t="shared" si="156"/>
        <v>TRUE</v>
      </c>
      <c r="X1383" s="31" t="str">
        <f t="shared" si="153"/>
        <v/>
      </c>
      <c r="Y1383" s="10" t="s">
        <v>1096</v>
      </c>
      <c r="Z1383" s="10" t="s">
        <v>910</v>
      </c>
      <c r="AL1383" s="10" t="str">
        <f t="shared" si="158"/>
        <v>FALSE</v>
      </c>
      <c r="AM1383" s="10" t="str">
        <f t="shared" si="158"/>
        <v>FALSE</v>
      </c>
      <c r="AN1383" s="10" t="str">
        <f t="shared" si="158"/>
        <v>FALSE</v>
      </c>
      <c r="AO1383" s="10" t="str">
        <f t="shared" si="159"/>
        <v>FALSE</v>
      </c>
      <c r="AP1383" s="10" t="str">
        <f t="shared" si="159"/>
        <v>FALSE</v>
      </c>
      <c r="AQ1383" s="10" t="b">
        <f>IF(AND(I1383="TP",S1383&lt;=150),VLOOKUP(AF1383,TPCalibEq150!$AZ$2:$BB$55,3,),IF(AND(I1383="TDP",S1383&lt;=150),VLOOKUP(AF1383,TPCalibEq150!$AZ$2:$BB$55,3,)))</f>
        <v>0</v>
      </c>
      <c r="AR1383" s="10" t="b">
        <f>IF(AND(I1383="TP",S1383&lt;=300),VLOOKUP(AF1383,TPCalibEq300!$AZ$2:$BB$55,3,),IF(AND(I1383="TDP",S1383&lt;=300),VLOOKUP(AF1383,TPCalibEq300!$AZ$2:$BB$55,3,)))</f>
        <v>0</v>
      </c>
      <c r="AS1383" s="10" t="b">
        <f>IF(AND(I1383="TP",S1383&lt;=500),VLOOKUP(AF1383,TPCalibEq500!$AZ$2:$BB$56,3,),IF(AND(I1383="TDP",S1383&lt;=500),VLOOKUP(AF1383,TPCalibEq500!$AZ$2:$BB$56,3,)))</f>
        <v>0</v>
      </c>
      <c r="AT1383" s="10" t="b">
        <f>IF(AND(I1383="TN",S1383&lt;=2800),VLOOKUP(AF1383,TNCalibEq2500!$AZ$2:$BB$56,3,),IF(AND(I1383="TDN",S1383&lt;=2800),VLOOKUP(AF1383,TNCalibEq2500!$AZ$2:$BB$56,3,)))</f>
        <v>0</v>
      </c>
      <c r="AU1383" s="10" t="b">
        <f>IF(I1383="TP",VLOOKUP(AF1383,TPCalibEqFull!$AZ$2:$BB$56,3),IF(I1383="TDP",VLOOKUP(AF1383,TPCalibEqFull!$AZ$2:$BB$56,3),IF(I1383="TDN",VLOOKUP(AF1383,TNCalibEqFull!$AZ$1:$BB$56,3),IF(I1383="TN",VLOOKUP(AF1383,TNCalibEqFull!$AZ$1:$BB$56,3),FALSE))))</f>
        <v>0</v>
      </c>
      <c r="AV1383" s="10" t="str">
        <f t="shared" si="157"/>
        <v>0130 08:06:00-HST-0-FIL-1-SW-UKN</v>
      </c>
    </row>
    <row r="1384" spans="1:48" s="10" customFormat="1" x14ac:dyDescent="0.55000000000000004">
      <c r="A1384" s="32">
        <v>44957</v>
      </c>
      <c r="B1384" s="33">
        <v>0.41250000000000003</v>
      </c>
      <c r="C1384" s="10" t="s">
        <v>279</v>
      </c>
      <c r="D1384" s="10">
        <v>0</v>
      </c>
      <c r="E1384" s="10" t="s">
        <v>911</v>
      </c>
      <c r="F1384" s="10">
        <v>1</v>
      </c>
      <c r="G1384" s="10" t="s">
        <v>231</v>
      </c>
      <c r="H1384" s="10" t="s">
        <v>322</v>
      </c>
      <c r="I1384" s="10" t="s">
        <v>183</v>
      </c>
      <c r="J1384" s="10">
        <v>53</v>
      </c>
      <c r="K1384" s="12">
        <v>44958</v>
      </c>
      <c r="L1384" s="33">
        <v>0.56133101851851852</v>
      </c>
      <c r="M1384" s="10">
        <v>1</v>
      </c>
      <c r="N1384" s="10" t="s">
        <v>76</v>
      </c>
      <c r="O1384" s="10">
        <v>0.4</v>
      </c>
      <c r="P1384" s="10">
        <v>3.0599999999999999E-2</v>
      </c>
      <c r="Q1384" s="10">
        <v>22.1</v>
      </c>
      <c r="R1384" s="10" t="s">
        <v>77</v>
      </c>
      <c r="S1384" s="34">
        <f t="shared" si="154"/>
        <v>22.1</v>
      </c>
      <c r="T1384" s="10" t="s">
        <v>1103</v>
      </c>
      <c r="U1384" s="34" t="str">
        <f t="shared" si="155"/>
        <v/>
      </c>
      <c r="V1384" s="31" t="str">
        <f>IF(H1384="CHK",VLOOKUP(I1384,QCCHK,3,),IF(H1384="GUP",VLOOKUP(E1384,QCGUP,2,),IF(AND(H1384="ATP",OR(I1384="TN",I1384="TDN",I1384="TNO2-3",I1384="NO2-3")),VLOOKUP(E1384,QCREC_N,2,),IF(AND(H1384="NIC",OR(I1384="TN",I1384="TDN",I1384="TNO2-3",I1384="NO2-3")),VLOOKUP(E1384,QCNIC_N,2,),IF(AND(H1384="UREA",OR(I1384="TN",I1384="TDN",I1384="TNO2-3",I1384="NO2-3")),VLOOKUP(E1384,QCUREA_N,2,),IF(H1384="PER",VLOOKUP(I1384,QCPER,MATCH(E1384,QCACTUAL!$J$25:$AA$25,0),),IF(H1384="SPK",VLOOKUP(I1384,QCSPK,3,),IF(AND(H1384="ATP",OR(I1384="TP",I1384="TDP")),VLOOKUP(E1384,QCATP_P,2,),""))))))))</f>
        <v/>
      </c>
      <c r="W1384" s="31" t="str">
        <f t="shared" si="156"/>
        <v>TRUE</v>
      </c>
      <c r="X1384" s="31" t="str">
        <f t="shared" si="153"/>
        <v/>
      </c>
      <c r="Y1384" s="10" t="s">
        <v>1096</v>
      </c>
      <c r="AL1384" s="10" t="str">
        <f t="shared" si="158"/>
        <v>FALSE</v>
      </c>
      <c r="AM1384" s="10" t="str">
        <f t="shared" si="158"/>
        <v>FALSE</v>
      </c>
      <c r="AN1384" s="10" t="str">
        <f t="shared" si="158"/>
        <v>FALSE</v>
      </c>
      <c r="AO1384" s="10" t="str">
        <f t="shared" si="159"/>
        <v>FALSE</v>
      </c>
      <c r="AP1384" s="10" t="str">
        <f t="shared" si="159"/>
        <v>FALSE</v>
      </c>
      <c r="AQ1384" s="10" t="b">
        <f>IF(AND(I1384="TP",S1384&lt;=150),VLOOKUP(AF1384,TPCalibEq150!$AZ$2:$BB$55,3,),IF(AND(I1384="TDP",S1384&lt;=150),VLOOKUP(AF1384,TPCalibEq150!$AZ$2:$BB$55,3,)))</f>
        <v>0</v>
      </c>
      <c r="AR1384" s="10" t="b">
        <f>IF(AND(I1384="TP",S1384&lt;=300),VLOOKUP(AF1384,TPCalibEq300!$AZ$2:$BB$55,3,),IF(AND(I1384="TDP",S1384&lt;=300),VLOOKUP(AF1384,TPCalibEq300!$AZ$2:$BB$55,3,)))</f>
        <v>0</v>
      </c>
      <c r="AS1384" s="10" t="b">
        <f>IF(AND(I1384="TP",S1384&lt;=500),VLOOKUP(AF1384,TPCalibEq500!$AZ$2:$BB$56,3,),IF(AND(I1384="TDP",S1384&lt;=500),VLOOKUP(AF1384,TPCalibEq500!$AZ$2:$BB$56,3,)))</f>
        <v>0</v>
      </c>
      <c r="AT1384" s="10" t="b">
        <f>IF(AND(I1384="TN",S1384&lt;=2800),VLOOKUP(AF1384,TNCalibEq2500!$AZ$2:$BB$56,3,),IF(AND(I1384="TDN",S1384&lt;=2800),VLOOKUP(AF1384,TNCalibEq2500!$AZ$2:$BB$56,3,)))</f>
        <v>0</v>
      </c>
      <c r="AU1384" s="10" t="b">
        <f>IF(I1384="TP",VLOOKUP(AF1384,TPCalibEqFull!$AZ$2:$BB$56,3),IF(I1384="TDP",VLOOKUP(AF1384,TPCalibEqFull!$AZ$2:$BB$56,3),IF(I1384="TDN",VLOOKUP(AF1384,TNCalibEqFull!$AZ$1:$BB$56,3),IF(I1384="TN",VLOOKUP(AF1384,TNCalibEqFull!$AZ$1:$BB$56,3),FALSE))))</f>
        <v>0</v>
      </c>
      <c r="AV1384" s="10" t="str">
        <f t="shared" si="157"/>
        <v>0131 09:54:00-EFK-0-FIL-1-SW-UKN</v>
      </c>
    </row>
    <row r="1385" spans="1:48" s="10" customFormat="1" x14ac:dyDescent="0.55000000000000004">
      <c r="A1385" s="32">
        <v>44957</v>
      </c>
      <c r="B1385" s="33">
        <v>0.41597222222222219</v>
      </c>
      <c r="C1385" s="10" t="s">
        <v>333</v>
      </c>
      <c r="D1385" s="10">
        <v>0</v>
      </c>
      <c r="E1385" s="10" t="s">
        <v>911</v>
      </c>
      <c r="F1385" s="10">
        <v>1</v>
      </c>
      <c r="G1385" s="10" t="s">
        <v>231</v>
      </c>
      <c r="H1385" s="10" t="s">
        <v>322</v>
      </c>
      <c r="I1385" s="10" t="s">
        <v>183</v>
      </c>
      <c r="J1385" s="10">
        <v>54</v>
      </c>
      <c r="K1385" s="12">
        <v>44958</v>
      </c>
      <c r="L1385" s="33">
        <v>0.56215277777777783</v>
      </c>
      <c r="M1385" s="10">
        <v>1</v>
      </c>
      <c r="N1385" s="10" t="s">
        <v>76</v>
      </c>
      <c r="O1385" s="10">
        <v>8.3599999999999994E-2</v>
      </c>
      <c r="P1385" s="10">
        <v>4.4200000000000003E-3</v>
      </c>
      <c r="Q1385" s="10">
        <v>4.6100000000000003</v>
      </c>
      <c r="R1385" s="10" t="s">
        <v>77</v>
      </c>
      <c r="S1385" s="34">
        <f t="shared" si="154"/>
        <v>4.6100000000000003</v>
      </c>
      <c r="T1385" s="10" t="s">
        <v>1103</v>
      </c>
      <c r="U1385" s="34" t="str">
        <f t="shared" si="155"/>
        <v/>
      </c>
      <c r="V1385" s="31" t="str">
        <f>IF(H1385="CHK",VLOOKUP(I1385,QCCHK,3,),IF(H1385="GUP",VLOOKUP(E1385,QCGUP,2,),IF(AND(H1385="ATP",OR(I1385="TN",I1385="TDN",I1385="TNO2-3",I1385="NO2-3")),VLOOKUP(E1385,QCREC_N,2,),IF(AND(H1385="NIC",OR(I1385="TN",I1385="TDN",I1385="TNO2-3",I1385="NO2-3")),VLOOKUP(E1385,QCNIC_N,2,),IF(AND(H1385="UREA",OR(I1385="TN",I1385="TDN",I1385="TNO2-3",I1385="NO2-3")),VLOOKUP(E1385,QCUREA_N,2,),IF(H1385="PER",VLOOKUP(I1385,QCPER,MATCH(E1385,QCACTUAL!$J$25:$AA$25,0),),IF(H1385="SPK",VLOOKUP(I1385,QCSPK,3,),IF(AND(H1385="ATP",OR(I1385="TP",I1385="TDP")),VLOOKUP(E1385,QCATP_P,2,),""))))))))</f>
        <v/>
      </c>
      <c r="W1385" s="31" t="str">
        <f t="shared" si="156"/>
        <v>TRUE</v>
      </c>
      <c r="X1385" s="31" t="str">
        <f t="shared" si="153"/>
        <v/>
      </c>
      <c r="Y1385" s="10" t="s">
        <v>1096</v>
      </c>
      <c r="AL1385" s="10" t="str">
        <f t="shared" si="158"/>
        <v>FALSE</v>
      </c>
      <c r="AM1385" s="10" t="str">
        <f t="shared" si="158"/>
        <v>FALSE</v>
      </c>
      <c r="AN1385" s="10" t="str">
        <f t="shared" si="158"/>
        <v>FALSE</v>
      </c>
      <c r="AO1385" s="10" t="str">
        <f t="shared" si="159"/>
        <v>FALSE</v>
      </c>
      <c r="AP1385" s="10" t="str">
        <f t="shared" si="159"/>
        <v>FALSE</v>
      </c>
      <c r="AQ1385" s="10" t="b">
        <f>IF(AND(I1385="TP",S1385&lt;=150),VLOOKUP(AF1385,TPCalibEq150!$AZ$2:$BB$55,3,),IF(AND(I1385="TDP",S1385&lt;=150),VLOOKUP(AF1385,TPCalibEq150!$AZ$2:$BB$55,3,)))</f>
        <v>0</v>
      </c>
      <c r="AR1385" s="10" t="b">
        <f>IF(AND(I1385="TP",S1385&lt;=300),VLOOKUP(AF1385,TPCalibEq300!$AZ$2:$BB$55,3,),IF(AND(I1385="TDP",S1385&lt;=300),VLOOKUP(AF1385,TPCalibEq300!$AZ$2:$BB$55,3,)))</f>
        <v>0</v>
      </c>
      <c r="AS1385" s="10" t="b">
        <f>IF(AND(I1385="TP",S1385&lt;=500),VLOOKUP(AF1385,TPCalibEq500!$AZ$2:$BB$56,3,),IF(AND(I1385="TDP",S1385&lt;=500),VLOOKUP(AF1385,TPCalibEq500!$AZ$2:$BB$56,3,)))</f>
        <v>0</v>
      </c>
      <c r="AT1385" s="10" t="b">
        <f>IF(AND(I1385="TN",S1385&lt;=2800),VLOOKUP(AF1385,TNCalibEq2500!$AZ$2:$BB$56,3,),IF(AND(I1385="TDN",S1385&lt;=2800),VLOOKUP(AF1385,TNCalibEq2500!$AZ$2:$BB$56,3,)))</f>
        <v>0</v>
      </c>
      <c r="AU1385" s="10" t="b">
        <f>IF(I1385="TP",VLOOKUP(AF1385,TPCalibEqFull!$AZ$2:$BB$56,3),IF(I1385="TDP",VLOOKUP(AF1385,TPCalibEqFull!$AZ$2:$BB$56,3),IF(I1385="TDN",VLOOKUP(AF1385,TNCalibEqFull!$AZ$1:$BB$56,3),IF(I1385="TN",VLOOKUP(AF1385,TNCalibEqFull!$AZ$1:$BB$56,3),FALSE))))</f>
        <v>0</v>
      </c>
      <c r="AV1385" s="10" t="str">
        <f t="shared" si="157"/>
        <v>0131 09:59:00-HST-0-FIL-1-SW-UKN</v>
      </c>
    </row>
    <row r="1386" spans="1:48" s="10" customFormat="1" x14ac:dyDescent="0.55000000000000004">
      <c r="A1386" s="32">
        <v>44957</v>
      </c>
      <c r="B1386" s="33">
        <v>0.41597222222222219</v>
      </c>
      <c r="C1386" s="10" t="s">
        <v>333</v>
      </c>
      <c r="D1386" s="10">
        <v>0</v>
      </c>
      <c r="E1386" s="10" t="s">
        <v>911</v>
      </c>
      <c r="F1386" s="10">
        <v>1</v>
      </c>
      <c r="G1386" s="10" t="s">
        <v>231</v>
      </c>
      <c r="H1386" s="10" t="s">
        <v>233</v>
      </c>
      <c r="I1386" s="10" t="s">
        <v>183</v>
      </c>
      <c r="J1386" s="10">
        <v>54</v>
      </c>
      <c r="K1386" s="12">
        <v>44958</v>
      </c>
      <c r="L1386" s="33">
        <v>0.562962962962963</v>
      </c>
      <c r="M1386" s="10">
        <v>1</v>
      </c>
      <c r="N1386" s="10" t="s">
        <v>76</v>
      </c>
      <c r="O1386" s="10">
        <v>6.1100000000000002E-2</v>
      </c>
      <c r="P1386" s="10">
        <v>3.5500000000000002E-3</v>
      </c>
      <c r="Q1386" s="10">
        <v>3.37</v>
      </c>
      <c r="R1386" s="10" t="s">
        <v>77</v>
      </c>
      <c r="S1386" s="34">
        <f t="shared" si="154"/>
        <v>3.37</v>
      </c>
      <c r="T1386" s="10" t="s">
        <v>1103</v>
      </c>
      <c r="U1386" s="34">
        <f t="shared" si="155"/>
        <v>31.077694235588975</v>
      </c>
      <c r="V1386" s="31" t="str">
        <f>IF(H1386="CHK",VLOOKUP(I1386,QCCHK,3,),IF(H1386="GUP",VLOOKUP(E1386,QCGUP,2,),IF(AND(H1386="ATP",OR(I1386="TN",I1386="TDN",I1386="TNO2-3",I1386="NO2-3")),VLOOKUP(E1386,QCREC_N,2,),IF(AND(H1386="NIC",OR(I1386="TN",I1386="TDN",I1386="TNO2-3",I1386="NO2-3")),VLOOKUP(E1386,QCNIC_N,2,),IF(AND(H1386="UREA",OR(I1386="TN",I1386="TDN",I1386="TNO2-3",I1386="NO2-3")),VLOOKUP(E1386,QCUREA_N,2,),IF(H1386="PER",VLOOKUP(I1386,QCPER,MATCH(E1386,QCACTUAL!$J$25:$AA$25,0),),IF(H1386="SPK",VLOOKUP(I1386,QCSPK,3,),IF(AND(H1386="ATP",OR(I1386="TP",I1386="TDP")),VLOOKUP(E1386,QCATP_P,2,),""))))))))</f>
        <v/>
      </c>
      <c r="W1386" s="31" t="b">
        <v>1</v>
      </c>
      <c r="X1386" s="31" t="str">
        <f t="shared" si="153"/>
        <v>((ABS(rep1-rep2))/((rep1+rep2)/2)*100</v>
      </c>
      <c r="Y1386" s="10" t="s">
        <v>1096</v>
      </c>
      <c r="Z1386" s="10" t="s">
        <v>1115</v>
      </c>
      <c r="AL1386" s="10" t="str">
        <f t="shared" si="158"/>
        <v>FALSE</v>
      </c>
      <c r="AM1386" s="10" t="str">
        <f t="shared" si="158"/>
        <v>FALSE</v>
      </c>
      <c r="AN1386" s="10" t="str">
        <f t="shared" si="158"/>
        <v>FALSE</v>
      </c>
      <c r="AO1386" s="10" t="str">
        <f t="shared" si="159"/>
        <v>FALSE</v>
      </c>
      <c r="AP1386" s="10" t="str">
        <f t="shared" si="159"/>
        <v>FALSE</v>
      </c>
      <c r="AQ1386" s="10" t="b">
        <f>IF(AND(I1386="TP",S1386&lt;=150),VLOOKUP(AF1386,TPCalibEq150!$AZ$2:$BB$55,3,),IF(AND(I1386="TDP",S1386&lt;=150),VLOOKUP(AF1386,TPCalibEq150!$AZ$2:$BB$55,3,)))</f>
        <v>0</v>
      </c>
      <c r="AR1386" s="10" t="b">
        <f>IF(AND(I1386="TP",S1386&lt;=300),VLOOKUP(AF1386,TPCalibEq300!$AZ$2:$BB$55,3,),IF(AND(I1386="TDP",S1386&lt;=300),VLOOKUP(AF1386,TPCalibEq300!$AZ$2:$BB$55,3,)))</f>
        <v>0</v>
      </c>
      <c r="AS1386" s="10" t="b">
        <f>IF(AND(I1386="TP",S1386&lt;=500),VLOOKUP(AF1386,TPCalibEq500!$AZ$2:$BB$56,3,),IF(AND(I1386="TDP",S1386&lt;=500),VLOOKUP(AF1386,TPCalibEq500!$AZ$2:$BB$56,3,)))</f>
        <v>0</v>
      </c>
      <c r="AT1386" s="10" t="b">
        <f>IF(AND(I1386="TN",S1386&lt;=2800),VLOOKUP(AF1386,TNCalibEq2500!$AZ$2:$BB$56,3,),IF(AND(I1386="TDN",S1386&lt;=2800),VLOOKUP(AF1386,TNCalibEq2500!$AZ$2:$BB$56,3,)))</f>
        <v>0</v>
      </c>
      <c r="AU1386" s="10" t="b">
        <f>IF(I1386="TP",VLOOKUP(AF1386,TPCalibEqFull!$AZ$2:$BB$56,3),IF(I1386="TDP",VLOOKUP(AF1386,TPCalibEqFull!$AZ$2:$BB$56,3),IF(I1386="TDN",VLOOKUP(AF1386,TNCalibEqFull!$AZ$1:$BB$56,3),IF(I1386="TN",VLOOKUP(AF1386,TNCalibEqFull!$AZ$1:$BB$56,3),FALSE))))</f>
        <v>0</v>
      </c>
      <c r="AV1386" s="10" t="str">
        <f t="shared" si="157"/>
        <v>0131 09:59:00-HST-0-FIL-1-SW-DUP</v>
      </c>
    </row>
    <row r="1387" spans="1:48" s="10" customFormat="1" x14ac:dyDescent="0.55000000000000004">
      <c r="A1387" s="32">
        <v>44957</v>
      </c>
      <c r="B1387" s="33">
        <v>0.41597222222222219</v>
      </c>
      <c r="C1387" s="10" t="s">
        <v>912</v>
      </c>
      <c r="D1387" s="10">
        <v>0</v>
      </c>
      <c r="E1387" s="10" t="s">
        <v>911</v>
      </c>
      <c r="F1387" s="10">
        <v>1</v>
      </c>
      <c r="G1387" s="10" t="s">
        <v>231</v>
      </c>
      <c r="H1387" s="10" t="s">
        <v>314</v>
      </c>
      <c r="I1387" s="10" t="s">
        <v>183</v>
      </c>
      <c r="J1387" s="10">
        <v>87</v>
      </c>
      <c r="K1387" s="12">
        <v>44958</v>
      </c>
      <c r="L1387" s="33">
        <v>0.56377314814814816</v>
      </c>
      <c r="M1387" s="10">
        <v>1</v>
      </c>
      <c r="N1387" s="10" t="s">
        <v>76</v>
      </c>
      <c r="O1387" s="10">
        <v>11.7</v>
      </c>
      <c r="P1387" s="10">
        <v>0.94799999999999995</v>
      </c>
      <c r="Q1387" s="10">
        <v>644</v>
      </c>
      <c r="R1387" s="10" t="s">
        <v>77</v>
      </c>
      <c r="S1387" s="34">
        <f t="shared" si="154"/>
        <v>644</v>
      </c>
      <c r="T1387" s="10" t="s">
        <v>1103</v>
      </c>
      <c r="U1387" s="34">
        <f t="shared" si="155"/>
        <v>102.5008</v>
      </c>
      <c r="V1387" s="31">
        <f>IF(H1387="CHK",VLOOKUP(I1387,QCCHK,3,),IF(H1387="GUP",VLOOKUP(E1387,QCGUP,2,),IF(AND(H1387="ATP",OR(I1387="TN",I1387="TDN",I1387="TNO2-3",I1387="NO2-3")),VLOOKUP(E1387,QCREC_N,2,),IF(AND(H1387="NIC",OR(I1387="TN",I1387="TDN",I1387="TNO2-3",I1387="NO2-3")),VLOOKUP(E1387,QCNIC_N,2,),IF(AND(H1387="UREA",OR(I1387="TN",I1387="TDN",I1387="TNO2-3",I1387="NO2-3")),VLOOKUP(E1387,QCUREA_N,2,),IF(H1387="PER",VLOOKUP(I1387,QCPER,MATCH(E1387,QCACTUAL!$J$25:$AA$25,0),),IF(H1387="SPK",VLOOKUP(I1387,QCSPK,3,),IF(AND(H1387="ATP",OR(I1387="TP",I1387="TDP")),VLOOKUP(E1387,QCATP_P,2,),""))))))))</f>
        <v>625</v>
      </c>
      <c r="W1387" s="31" t="str">
        <f t="shared" si="156"/>
        <v>TRUE</v>
      </c>
      <c r="X1387" s="31" t="str">
        <f t="shared" si="153"/>
        <v>([spikedunkn]-[unkn])/[spike]*100</v>
      </c>
      <c r="Y1387" s="10" t="s">
        <v>1096</v>
      </c>
      <c r="AL1387" s="10" t="str">
        <f t="shared" si="158"/>
        <v>FALSE</v>
      </c>
      <c r="AM1387" s="10" t="str">
        <f t="shared" si="158"/>
        <v>FALSE</v>
      </c>
      <c r="AN1387" s="10" t="str">
        <f t="shared" si="158"/>
        <v>FALSE</v>
      </c>
      <c r="AO1387" s="10" t="str">
        <f t="shared" si="159"/>
        <v>FALSE</v>
      </c>
      <c r="AP1387" s="10" t="str">
        <f t="shared" si="159"/>
        <v>FALSE</v>
      </c>
      <c r="AQ1387" s="10" t="b">
        <f>IF(AND(I1387="TP",S1387&lt;=150),VLOOKUP(AF1387,TPCalibEq150!$AZ$2:$BB$55,3,),IF(AND(I1387="TDP",S1387&lt;=150),VLOOKUP(AF1387,TPCalibEq150!$AZ$2:$BB$55,3,)))</f>
        <v>0</v>
      </c>
      <c r="AR1387" s="10" t="b">
        <f>IF(AND(I1387="TP",S1387&lt;=300),VLOOKUP(AF1387,TPCalibEq300!$AZ$2:$BB$55,3,),IF(AND(I1387="TDP",S1387&lt;=300),VLOOKUP(AF1387,TPCalibEq300!$AZ$2:$BB$55,3,)))</f>
        <v>0</v>
      </c>
      <c r="AS1387" s="10" t="b">
        <f>IF(AND(I1387="TP",S1387&lt;=500),VLOOKUP(AF1387,TPCalibEq500!$AZ$2:$BB$56,3,),IF(AND(I1387="TDP",S1387&lt;=500),VLOOKUP(AF1387,TPCalibEq500!$AZ$2:$BB$56,3,)))</f>
        <v>0</v>
      </c>
      <c r="AT1387" s="10" t="b">
        <f>IF(AND(I1387="TN",S1387&lt;=2800),VLOOKUP(AF1387,TNCalibEq2500!$AZ$2:$BB$56,3,),IF(AND(I1387="TDN",S1387&lt;=2800),VLOOKUP(AF1387,TNCalibEq2500!$AZ$2:$BB$56,3,)))</f>
        <v>0</v>
      </c>
      <c r="AU1387" s="10" t="b">
        <f>IF(I1387="TP",VLOOKUP(AF1387,TPCalibEqFull!$AZ$2:$BB$56,3),IF(I1387="TDP",VLOOKUP(AF1387,TPCalibEqFull!$AZ$2:$BB$56,3),IF(I1387="TDN",VLOOKUP(AF1387,TNCalibEqFull!$AZ$1:$BB$56,3),IF(I1387="TN",VLOOKUP(AF1387,TNCalibEqFull!$AZ$1:$BB$56,3),FALSE))))</f>
        <v>0</v>
      </c>
      <c r="AV1387" s="10" t="str">
        <f t="shared" si="157"/>
        <v>0131 09:59:00-HST -0-FIL-1-SW-SPK</v>
      </c>
    </row>
    <row r="1388" spans="1:48" s="10" customFormat="1" x14ac:dyDescent="0.55000000000000004">
      <c r="A1388" s="32">
        <v>44958</v>
      </c>
      <c r="B1388" s="33">
        <v>0.375</v>
      </c>
      <c r="C1388" s="10" t="s">
        <v>70</v>
      </c>
      <c r="D1388" s="10" t="s">
        <v>71</v>
      </c>
      <c r="E1388" s="10" t="s">
        <v>901</v>
      </c>
      <c r="F1388" s="10">
        <v>1</v>
      </c>
      <c r="G1388" s="10" t="s">
        <v>73</v>
      </c>
      <c r="H1388" s="10" t="s">
        <v>207</v>
      </c>
      <c r="I1388" s="10" t="s">
        <v>75</v>
      </c>
      <c r="J1388" s="10">
        <v>201</v>
      </c>
      <c r="K1388" s="12">
        <v>44958</v>
      </c>
      <c r="L1388" s="33">
        <v>0.56459490740740736</v>
      </c>
      <c r="M1388" s="10">
        <v>1</v>
      </c>
      <c r="N1388" s="10" t="s">
        <v>76</v>
      </c>
      <c r="O1388" s="10">
        <v>5.38</v>
      </c>
      <c r="P1388" s="10">
        <v>0.432</v>
      </c>
      <c r="Q1388" s="10">
        <v>297</v>
      </c>
      <c r="R1388" s="10" t="s">
        <v>77</v>
      </c>
      <c r="S1388" s="34">
        <f t="shared" si="154"/>
        <v>297</v>
      </c>
      <c r="T1388" s="10" t="s">
        <v>1103</v>
      </c>
      <c r="U1388" s="34">
        <f t="shared" si="155"/>
        <v>99</v>
      </c>
      <c r="V1388" s="31">
        <f>IF(H1388="CHK",VLOOKUP(I1388,QCCHK,3,),IF(H1388="GUP",VLOOKUP(E1388,QCGUP,2,),IF(AND(H1388="ATP",OR(I1388="TN",I1388="TDN",I1388="TNO2-3",I1388="NO2-3")),VLOOKUP(E1388,QCREC_N,2,),IF(AND(H1388="NIC",OR(I1388="TN",I1388="TDN",I1388="TNO2-3",I1388="NO2-3")),VLOOKUP(E1388,QCNIC_N,2,),IF(AND(H1388="UREA",OR(I1388="TN",I1388="TDN",I1388="TNO2-3",I1388="NO2-3")),VLOOKUP(E1388,QCUREA_N,2,),IF(H1388="PER",VLOOKUP(I1388,QCPER,MATCH(E1388,QCACTUAL!$J$25:$AA$25,0),),IF(H1388="SPK",VLOOKUP(I1388,QCSPK,3,),IF(AND(H1388="ATP",OR(I1388="TP",I1388="TDP")),VLOOKUP(E1388,QCATP_P,2,),""))))))))</f>
        <v>300</v>
      </c>
      <c r="W1388" s="31" t="str">
        <f t="shared" si="156"/>
        <v>TRUE</v>
      </c>
      <c r="X1388" s="31" t="str">
        <f t="shared" si="153"/>
        <v>[chk]/[actual]*100</v>
      </c>
      <c r="Y1388" s="10" t="s">
        <v>1096</v>
      </c>
      <c r="AL1388" s="10" t="str">
        <f t="shared" si="158"/>
        <v>FALSE</v>
      </c>
      <c r="AM1388" s="10" t="str">
        <f t="shared" si="158"/>
        <v>FALSE</v>
      </c>
      <c r="AN1388" s="10" t="str">
        <f t="shared" si="158"/>
        <v>FALSE</v>
      </c>
      <c r="AO1388" s="10" t="str">
        <f t="shared" si="159"/>
        <v>FALSE</v>
      </c>
      <c r="AP1388" s="10" t="str">
        <f t="shared" si="159"/>
        <v>FALSE</v>
      </c>
      <c r="AQ1388" s="10" t="b">
        <f>IF(AND(I1388="TP",S1388&lt;=150),VLOOKUP(AF1388,TPCalibEq150!$AZ$2:$BB$55,3,),IF(AND(I1388="TDP",S1388&lt;=150),VLOOKUP(AF1388,TPCalibEq150!$AZ$2:$BB$55,3,)))</f>
        <v>0</v>
      </c>
      <c r="AR1388" s="10" t="b">
        <f>IF(AND(I1388="TP",S1388&lt;=300),VLOOKUP(AF1388,TPCalibEq300!$AZ$2:$BB$55,3,),IF(AND(I1388="TDP",S1388&lt;=300),VLOOKUP(AF1388,TPCalibEq300!$AZ$2:$BB$55,3,)))</f>
        <v>0</v>
      </c>
      <c r="AS1388" s="10" t="b">
        <f>IF(AND(I1388="TP",S1388&lt;=500),VLOOKUP(AF1388,TPCalibEq500!$AZ$2:$BB$56,3,),IF(AND(I1388="TDP",S1388&lt;=500),VLOOKUP(AF1388,TPCalibEq500!$AZ$2:$BB$56,3,)))</f>
        <v>0</v>
      </c>
      <c r="AT1388" s="10" t="b">
        <f>IF(AND(I1388="TN",S1388&lt;=2800),VLOOKUP(AF1388,TNCalibEq2500!$AZ$2:$BB$56,3,),IF(AND(I1388="TDN",S1388&lt;=2800),VLOOKUP(AF1388,TNCalibEq2500!$AZ$2:$BB$56,3,)))</f>
        <v>0</v>
      </c>
      <c r="AU1388" s="10" t="b">
        <f>IF(I1388="TP",VLOOKUP(AF1388,TPCalibEqFull!$AZ$2:$BB$56,3),IF(I1388="TDP",VLOOKUP(AF1388,TPCalibEqFull!$AZ$2:$BB$56,3),IF(I1388="TDN",VLOOKUP(AF1388,TNCalibEqFull!$AZ$1:$BB$56,3),IF(I1388="TN",VLOOKUP(AF1388,TNCalibEqFull!$AZ$1:$BB$56,3),FALSE))))</f>
        <v>0</v>
      </c>
      <c r="AV1388" s="10" t="str">
        <f t="shared" si="157"/>
        <v>0201 09:00:00-QAC-STD-D-1-DI-CHK</v>
      </c>
    </row>
    <row r="1389" spans="1:48" s="10" customFormat="1" x14ac:dyDescent="0.55000000000000004">
      <c r="A1389" s="32">
        <v>44949</v>
      </c>
      <c r="B1389" s="33">
        <v>0.34375</v>
      </c>
      <c r="C1389" s="10" t="s">
        <v>998</v>
      </c>
      <c r="D1389" s="10">
        <v>0</v>
      </c>
      <c r="E1389" s="10" t="s">
        <v>911</v>
      </c>
      <c r="F1389" s="10">
        <v>1</v>
      </c>
      <c r="G1389" s="10" t="s">
        <v>231</v>
      </c>
      <c r="H1389" s="10" t="s">
        <v>322</v>
      </c>
      <c r="I1389" s="10" t="s">
        <v>183</v>
      </c>
      <c r="J1389" s="10">
        <v>55</v>
      </c>
      <c r="K1389" s="12">
        <v>44958</v>
      </c>
      <c r="L1389" s="33">
        <v>0.56540509259259253</v>
      </c>
      <c r="M1389" s="10">
        <v>1</v>
      </c>
      <c r="N1389" s="10" t="s">
        <v>76</v>
      </c>
      <c r="O1389" s="10">
        <v>0.64600000000000002</v>
      </c>
      <c r="P1389" s="10">
        <v>5.2499999999999998E-2</v>
      </c>
      <c r="Q1389" s="10">
        <v>35.6</v>
      </c>
      <c r="R1389" s="10" t="s">
        <v>77</v>
      </c>
      <c r="S1389" s="34">
        <f t="shared" si="154"/>
        <v>35.6</v>
      </c>
      <c r="T1389" s="10" t="s">
        <v>1103</v>
      </c>
      <c r="U1389" s="34" t="str">
        <f t="shared" si="155"/>
        <v/>
      </c>
      <c r="V1389" s="31" t="str">
        <f>IF(H1389="CHK",VLOOKUP(I1389,QCCHK,3,),IF(H1389="GUP",VLOOKUP(E1389,QCGUP,2,),IF(AND(H1389="ATP",OR(I1389="TN",I1389="TDN",I1389="TNO2-3",I1389="NO2-3")),VLOOKUP(E1389,QCREC_N,2,),IF(AND(H1389="NIC",OR(I1389="TN",I1389="TDN",I1389="TNO2-3",I1389="NO2-3")),VLOOKUP(E1389,QCNIC_N,2,),IF(AND(H1389="UREA",OR(I1389="TN",I1389="TDN",I1389="TNO2-3",I1389="NO2-3")),VLOOKUP(E1389,QCUREA_N,2,),IF(H1389="PER",VLOOKUP(I1389,QCPER,MATCH(E1389,QCACTUAL!$J$25:$AA$25,0),),IF(H1389="SPK",VLOOKUP(I1389,QCSPK,3,),IF(AND(H1389="ATP",OR(I1389="TP",I1389="TDP")),VLOOKUP(E1389,QCATP_P,2,),""))))))))</f>
        <v/>
      </c>
      <c r="W1389" s="31" t="str">
        <f t="shared" si="156"/>
        <v>TRUE</v>
      </c>
      <c r="X1389" s="31" t="str">
        <f t="shared" si="153"/>
        <v/>
      </c>
      <c r="Y1389" s="10" t="s">
        <v>1096</v>
      </c>
      <c r="Z1389" s="10" t="s">
        <v>910</v>
      </c>
      <c r="AL1389" s="10" t="str">
        <f t="shared" si="158"/>
        <v>FALSE</v>
      </c>
      <c r="AM1389" s="10" t="str">
        <f t="shared" si="158"/>
        <v>FALSE</v>
      </c>
      <c r="AN1389" s="10" t="str">
        <f t="shared" si="158"/>
        <v>FALSE</v>
      </c>
      <c r="AO1389" s="10" t="str">
        <f t="shared" si="159"/>
        <v>FALSE</v>
      </c>
      <c r="AP1389" s="10" t="str">
        <f t="shared" si="159"/>
        <v>FALSE</v>
      </c>
      <c r="AQ1389" s="10" t="b">
        <f>IF(AND(I1389="TP",S1389&lt;=150),VLOOKUP(AF1389,TPCalibEq150!$AZ$2:$BB$55,3,),IF(AND(I1389="TDP",S1389&lt;=150),VLOOKUP(AF1389,TPCalibEq150!$AZ$2:$BB$55,3,)))</f>
        <v>0</v>
      </c>
      <c r="AR1389" s="10" t="b">
        <f>IF(AND(I1389="TP",S1389&lt;=300),VLOOKUP(AF1389,TPCalibEq300!$AZ$2:$BB$55,3,),IF(AND(I1389="TDP",S1389&lt;=300),VLOOKUP(AF1389,TPCalibEq300!$AZ$2:$BB$55,3,)))</f>
        <v>0</v>
      </c>
      <c r="AS1389" s="10" t="b">
        <f>IF(AND(I1389="TP",S1389&lt;=500),VLOOKUP(AF1389,TPCalibEq500!$AZ$2:$BB$56,3,),IF(AND(I1389="TDP",S1389&lt;=500),VLOOKUP(AF1389,TPCalibEq500!$AZ$2:$BB$56,3,)))</f>
        <v>0</v>
      </c>
      <c r="AT1389" s="10" t="b">
        <f>IF(AND(I1389="TN",S1389&lt;=2800),VLOOKUP(AF1389,TNCalibEq2500!$AZ$2:$BB$56,3,),IF(AND(I1389="TDN",S1389&lt;=2800),VLOOKUP(AF1389,TNCalibEq2500!$AZ$2:$BB$56,3,)))</f>
        <v>0</v>
      </c>
      <c r="AU1389" s="10" t="b">
        <f>IF(I1389="TP",VLOOKUP(AF1389,TPCalibEqFull!$AZ$2:$BB$56,3),IF(I1389="TDP",VLOOKUP(AF1389,TPCalibEqFull!$AZ$2:$BB$56,3),IF(I1389="TDN",VLOOKUP(AF1389,TNCalibEqFull!$AZ$1:$BB$56,3),IF(I1389="TN",VLOOKUP(AF1389,TNCalibEqFull!$AZ$1:$BB$56,3),FALSE))))</f>
        <v>0</v>
      </c>
      <c r="AV1389" s="10" t="str">
        <f t="shared" si="157"/>
        <v>0123 08:15:00-ELW-0-FIL-1-SW-UKN</v>
      </c>
    </row>
    <row r="1390" spans="1:48" s="10" customFormat="1" x14ac:dyDescent="0.55000000000000004">
      <c r="A1390" s="32">
        <v>44949</v>
      </c>
      <c r="B1390" s="33">
        <v>0.37777777777777777</v>
      </c>
      <c r="C1390" s="10" t="s">
        <v>270</v>
      </c>
      <c r="D1390" s="10">
        <v>0</v>
      </c>
      <c r="E1390" s="10" t="s">
        <v>911</v>
      </c>
      <c r="F1390" s="10">
        <v>1</v>
      </c>
      <c r="G1390" s="10" t="s">
        <v>231</v>
      </c>
      <c r="H1390" s="10" t="s">
        <v>322</v>
      </c>
      <c r="I1390" s="10" t="s">
        <v>183</v>
      </c>
      <c r="J1390" s="10">
        <v>56</v>
      </c>
      <c r="K1390" s="12">
        <v>44958</v>
      </c>
      <c r="L1390" s="33">
        <v>0.5662152777777778</v>
      </c>
      <c r="M1390" s="10">
        <v>1</v>
      </c>
      <c r="N1390" s="10" t="s">
        <v>76</v>
      </c>
      <c r="O1390" s="10">
        <v>0.47499999999999998</v>
      </c>
      <c r="P1390" s="10">
        <v>3.6499999999999998E-2</v>
      </c>
      <c r="Q1390" s="10">
        <v>26.2</v>
      </c>
      <c r="R1390" s="10" t="s">
        <v>77</v>
      </c>
      <c r="S1390" s="34">
        <f t="shared" si="154"/>
        <v>26.2</v>
      </c>
      <c r="T1390" s="10" t="s">
        <v>1103</v>
      </c>
      <c r="U1390" s="34" t="str">
        <f t="shared" si="155"/>
        <v/>
      </c>
      <c r="V1390" s="31" t="str">
        <f>IF(H1390="CHK",VLOOKUP(I1390,QCCHK,3,),IF(H1390="GUP",VLOOKUP(E1390,QCGUP,2,),IF(AND(H1390="ATP",OR(I1390="TN",I1390="TDN",I1390="TNO2-3",I1390="NO2-3")),VLOOKUP(E1390,QCREC_N,2,),IF(AND(H1390="NIC",OR(I1390="TN",I1390="TDN",I1390="TNO2-3",I1390="NO2-3")),VLOOKUP(E1390,QCNIC_N,2,),IF(AND(H1390="UREA",OR(I1390="TN",I1390="TDN",I1390="TNO2-3",I1390="NO2-3")),VLOOKUP(E1390,QCUREA_N,2,),IF(H1390="PER",VLOOKUP(I1390,QCPER,MATCH(E1390,QCACTUAL!$J$25:$AA$25,0),),IF(H1390="SPK",VLOOKUP(I1390,QCSPK,3,),IF(AND(H1390="ATP",OR(I1390="TP",I1390="TDP")),VLOOKUP(E1390,QCATP_P,2,),""))))))))</f>
        <v/>
      </c>
      <c r="W1390" s="31" t="str">
        <f t="shared" si="156"/>
        <v>TRUE</v>
      </c>
      <c r="X1390" s="31" t="str">
        <f t="shared" si="153"/>
        <v/>
      </c>
      <c r="Y1390" s="10" t="s">
        <v>1096</v>
      </c>
      <c r="Z1390" s="10" t="s">
        <v>910</v>
      </c>
      <c r="AL1390" s="10" t="str">
        <f t="shared" si="158"/>
        <v>FALSE</v>
      </c>
      <c r="AM1390" s="10" t="str">
        <f t="shared" si="158"/>
        <v>FALSE</v>
      </c>
      <c r="AN1390" s="10" t="str">
        <f t="shared" si="158"/>
        <v>FALSE</v>
      </c>
      <c r="AO1390" s="10" t="str">
        <f t="shared" si="159"/>
        <v>FALSE</v>
      </c>
      <c r="AP1390" s="10" t="str">
        <f t="shared" si="159"/>
        <v>FALSE</v>
      </c>
      <c r="AQ1390" s="10" t="b">
        <f>IF(AND(I1390="TP",S1390&lt;=150),VLOOKUP(AF1390,TPCalibEq150!$AZ$2:$BB$55,3,),IF(AND(I1390="TDP",S1390&lt;=150),VLOOKUP(AF1390,TPCalibEq150!$AZ$2:$BB$55,3,)))</f>
        <v>0</v>
      </c>
      <c r="AR1390" s="10" t="b">
        <f>IF(AND(I1390="TP",S1390&lt;=300),VLOOKUP(AF1390,TPCalibEq300!$AZ$2:$BB$55,3,),IF(AND(I1390="TDP",S1390&lt;=300),VLOOKUP(AF1390,TPCalibEq300!$AZ$2:$BB$55,3,)))</f>
        <v>0</v>
      </c>
      <c r="AS1390" s="10" t="b">
        <f>IF(AND(I1390="TP",S1390&lt;=500),VLOOKUP(AF1390,TPCalibEq500!$AZ$2:$BB$56,3,),IF(AND(I1390="TDP",S1390&lt;=500),VLOOKUP(AF1390,TPCalibEq500!$AZ$2:$BB$56,3,)))</f>
        <v>0</v>
      </c>
      <c r="AT1390" s="10" t="b">
        <f>IF(AND(I1390="TN",S1390&lt;=2800),VLOOKUP(AF1390,TNCalibEq2500!$AZ$2:$BB$56,3,),IF(AND(I1390="TDN",S1390&lt;=2800),VLOOKUP(AF1390,TNCalibEq2500!$AZ$2:$BB$56,3,)))</f>
        <v>0</v>
      </c>
      <c r="AU1390" s="10" t="b">
        <f>IF(I1390="TP",VLOOKUP(AF1390,TPCalibEqFull!$AZ$2:$BB$56,3),IF(I1390="TDP",VLOOKUP(AF1390,TPCalibEqFull!$AZ$2:$BB$56,3),IF(I1390="TDN",VLOOKUP(AF1390,TNCalibEqFull!$AZ$1:$BB$56,3),IF(I1390="TN",VLOOKUP(AF1390,TNCalibEqFull!$AZ$1:$BB$56,3),FALSE))))</f>
        <v>0</v>
      </c>
      <c r="AV1390" s="10" t="str">
        <f t="shared" si="157"/>
        <v>0123 09:04:00-EFG-0-FIL-1-SW-UKN</v>
      </c>
    </row>
    <row r="1391" spans="1:48" s="10" customFormat="1" x14ac:dyDescent="0.55000000000000004">
      <c r="A1391" s="32">
        <v>44949</v>
      </c>
      <c r="B1391" s="33">
        <v>0.39027777777777778</v>
      </c>
      <c r="C1391" s="10" t="s">
        <v>540</v>
      </c>
      <c r="D1391" s="10">
        <v>0</v>
      </c>
      <c r="E1391" s="10" t="s">
        <v>911</v>
      </c>
      <c r="F1391" s="10">
        <v>1</v>
      </c>
      <c r="G1391" s="10" t="s">
        <v>231</v>
      </c>
      <c r="H1391" s="10" t="s">
        <v>322</v>
      </c>
      <c r="I1391" s="10" t="s">
        <v>183</v>
      </c>
      <c r="J1391" s="10">
        <v>57</v>
      </c>
      <c r="K1391" s="12">
        <v>44958</v>
      </c>
      <c r="L1391" s="33">
        <v>0.56702546296296297</v>
      </c>
      <c r="M1391" s="10">
        <v>1</v>
      </c>
      <c r="N1391" s="10" t="s">
        <v>76</v>
      </c>
      <c r="O1391" s="10">
        <v>0.45400000000000001</v>
      </c>
      <c r="P1391" s="10">
        <v>3.6499999999999998E-2</v>
      </c>
      <c r="Q1391" s="10">
        <v>25.1</v>
      </c>
      <c r="R1391" s="10" t="s">
        <v>77</v>
      </c>
      <c r="S1391" s="34">
        <f t="shared" si="154"/>
        <v>25.1</v>
      </c>
      <c r="T1391" s="10" t="s">
        <v>1103</v>
      </c>
      <c r="U1391" s="34" t="str">
        <f t="shared" si="155"/>
        <v/>
      </c>
      <c r="V1391" s="31" t="str">
        <f>IF(H1391="CHK",VLOOKUP(I1391,QCCHK,3,),IF(H1391="GUP",VLOOKUP(E1391,QCGUP,2,),IF(AND(H1391="ATP",OR(I1391="TN",I1391="TDN",I1391="TNO2-3",I1391="NO2-3")),VLOOKUP(E1391,QCREC_N,2,),IF(AND(H1391="NIC",OR(I1391="TN",I1391="TDN",I1391="TNO2-3",I1391="NO2-3")),VLOOKUP(E1391,QCNIC_N,2,),IF(AND(H1391="UREA",OR(I1391="TN",I1391="TDN",I1391="TNO2-3",I1391="NO2-3")),VLOOKUP(E1391,QCUREA_N,2,),IF(H1391="PER",VLOOKUP(I1391,QCPER,MATCH(E1391,QCACTUAL!$J$25:$AA$25,0),),IF(H1391="SPK",VLOOKUP(I1391,QCSPK,3,),IF(AND(H1391="ATP",OR(I1391="TP",I1391="TDP")),VLOOKUP(E1391,QCATP_P,2,),""))))))))</f>
        <v/>
      </c>
      <c r="W1391" s="31" t="str">
        <f t="shared" si="156"/>
        <v>TRUE</v>
      </c>
      <c r="X1391" s="31" t="str">
        <f t="shared" si="153"/>
        <v/>
      </c>
      <c r="Y1391" s="10" t="s">
        <v>1096</v>
      </c>
      <c r="Z1391" s="10" t="s">
        <v>910</v>
      </c>
      <c r="AL1391" s="10" t="str">
        <f t="shared" si="158"/>
        <v>FALSE</v>
      </c>
      <c r="AM1391" s="10" t="str">
        <f t="shared" si="158"/>
        <v>FALSE</v>
      </c>
      <c r="AN1391" s="10" t="str">
        <f t="shared" si="158"/>
        <v>FALSE</v>
      </c>
      <c r="AO1391" s="10" t="str">
        <f t="shared" si="159"/>
        <v>FALSE</v>
      </c>
      <c r="AP1391" s="10" t="str">
        <f t="shared" si="159"/>
        <v>FALSE</v>
      </c>
      <c r="AQ1391" s="10" t="b">
        <f>IF(AND(I1391="TP",S1391&lt;=150),VLOOKUP(AF1391,TPCalibEq150!$AZ$2:$BB$55,3,),IF(AND(I1391="TDP",S1391&lt;=150),VLOOKUP(AF1391,TPCalibEq150!$AZ$2:$BB$55,3,)))</f>
        <v>0</v>
      </c>
      <c r="AR1391" s="10" t="b">
        <f>IF(AND(I1391="TP",S1391&lt;=300),VLOOKUP(AF1391,TPCalibEq300!$AZ$2:$BB$55,3,),IF(AND(I1391="TDP",S1391&lt;=300),VLOOKUP(AF1391,TPCalibEq300!$AZ$2:$BB$55,3,)))</f>
        <v>0</v>
      </c>
      <c r="AS1391" s="10" t="b">
        <f>IF(AND(I1391="TP",S1391&lt;=500),VLOOKUP(AF1391,TPCalibEq500!$AZ$2:$BB$56,3,),IF(AND(I1391="TDP",S1391&lt;=500),VLOOKUP(AF1391,TPCalibEq500!$AZ$2:$BB$56,3,)))</f>
        <v>0</v>
      </c>
      <c r="AT1391" s="10" t="b">
        <f>IF(AND(I1391="TN",S1391&lt;=2800),VLOOKUP(AF1391,TNCalibEq2500!$AZ$2:$BB$56,3,),IF(AND(I1391="TDN",S1391&lt;=2800),VLOOKUP(AF1391,TNCalibEq2500!$AZ$2:$BB$56,3,)))</f>
        <v>0</v>
      </c>
      <c r="AU1391" s="10" t="b">
        <f>IF(I1391="TP",VLOOKUP(AF1391,TPCalibEqFull!$AZ$2:$BB$56,3),IF(I1391="TDP",VLOOKUP(AF1391,TPCalibEqFull!$AZ$2:$BB$56,3),IF(I1391="TDN",VLOOKUP(AF1391,TNCalibEqFull!$AZ$1:$BB$56,3),IF(I1391="TN",VLOOKUP(AF1391,TNCalibEqFull!$AZ$1:$BB$56,3),FALSE))))</f>
        <v>0</v>
      </c>
      <c r="AV1391" s="10" t="str">
        <f t="shared" si="157"/>
        <v>0123 09:22:00-S50-0-FIL-1-SW-UKN</v>
      </c>
    </row>
    <row r="1392" spans="1:48" s="10" customFormat="1" x14ac:dyDescent="0.55000000000000004">
      <c r="A1392" s="32">
        <v>44949</v>
      </c>
      <c r="B1392" s="33">
        <v>0.41250000000000003</v>
      </c>
      <c r="C1392" s="10" t="s">
        <v>528</v>
      </c>
      <c r="D1392" s="10">
        <v>0</v>
      </c>
      <c r="E1392" s="10" t="s">
        <v>911</v>
      </c>
      <c r="F1392" s="10">
        <v>1</v>
      </c>
      <c r="G1392" s="10" t="s">
        <v>231</v>
      </c>
      <c r="H1392" s="10" t="s">
        <v>322</v>
      </c>
      <c r="I1392" s="10" t="s">
        <v>183</v>
      </c>
      <c r="J1392" s="10">
        <v>58</v>
      </c>
      <c r="K1392" s="12">
        <v>44958</v>
      </c>
      <c r="L1392" s="33">
        <v>0.56784722222222228</v>
      </c>
      <c r="M1392" s="10">
        <v>1</v>
      </c>
      <c r="N1392" s="10" t="s">
        <v>76</v>
      </c>
      <c r="O1392" s="10">
        <v>0.54100000000000004</v>
      </c>
      <c r="P1392" s="10">
        <v>4.2700000000000002E-2</v>
      </c>
      <c r="Q1392" s="10">
        <v>29.8</v>
      </c>
      <c r="R1392" s="10" t="s">
        <v>77</v>
      </c>
      <c r="S1392" s="34">
        <f t="shared" si="154"/>
        <v>29.8</v>
      </c>
      <c r="T1392" s="10" t="s">
        <v>1103</v>
      </c>
      <c r="U1392" s="34" t="str">
        <f t="shared" si="155"/>
        <v/>
      </c>
      <c r="V1392" s="31" t="str">
        <f>IF(H1392="CHK",VLOOKUP(I1392,QCCHK,3,),IF(H1392="GUP",VLOOKUP(E1392,QCGUP,2,),IF(AND(H1392="ATP",OR(I1392="TN",I1392="TDN",I1392="TNO2-3",I1392="NO2-3")),VLOOKUP(E1392,QCREC_N,2,),IF(AND(H1392="NIC",OR(I1392="TN",I1392="TDN",I1392="TNO2-3",I1392="NO2-3")),VLOOKUP(E1392,QCNIC_N,2,),IF(AND(H1392="UREA",OR(I1392="TN",I1392="TDN",I1392="TNO2-3",I1392="NO2-3")),VLOOKUP(E1392,QCUREA_N,2,),IF(H1392="PER",VLOOKUP(I1392,QCPER,MATCH(E1392,QCACTUAL!$J$25:$AA$25,0),),IF(H1392="SPK",VLOOKUP(I1392,QCSPK,3,),IF(AND(H1392="ATP",OR(I1392="TP",I1392="TDP")),VLOOKUP(E1392,QCATP_P,2,),""))))))))</f>
        <v/>
      </c>
      <c r="W1392" s="31" t="str">
        <f t="shared" si="156"/>
        <v>TRUE</v>
      </c>
      <c r="X1392" s="31" t="str">
        <f t="shared" si="153"/>
        <v/>
      </c>
      <c r="Y1392" s="10" t="s">
        <v>1096</v>
      </c>
      <c r="Z1392" s="10" t="s">
        <v>910</v>
      </c>
      <c r="AL1392" s="10" t="str">
        <f t="shared" si="158"/>
        <v>FALSE</v>
      </c>
      <c r="AM1392" s="10" t="str">
        <f t="shared" si="158"/>
        <v>FALSE</v>
      </c>
      <c r="AN1392" s="10" t="str">
        <f t="shared" si="158"/>
        <v>FALSE</v>
      </c>
      <c r="AO1392" s="10" t="str">
        <f t="shared" si="159"/>
        <v>FALSE</v>
      </c>
      <c r="AP1392" s="10" t="str">
        <f t="shared" si="159"/>
        <v>FALSE</v>
      </c>
      <c r="AQ1392" s="10" t="b">
        <f>IF(AND(I1392="TP",S1392&lt;=150),VLOOKUP(AF1392,TPCalibEq150!$AZ$2:$BB$55,3,),IF(AND(I1392="TDP",S1392&lt;=150),VLOOKUP(AF1392,TPCalibEq150!$AZ$2:$BB$55,3,)))</f>
        <v>0</v>
      </c>
      <c r="AR1392" s="10" t="b">
        <f>IF(AND(I1392="TP",S1392&lt;=300),VLOOKUP(AF1392,TPCalibEq300!$AZ$2:$BB$55,3,),IF(AND(I1392="TDP",S1392&lt;=300),VLOOKUP(AF1392,TPCalibEq300!$AZ$2:$BB$55,3,)))</f>
        <v>0</v>
      </c>
      <c r="AS1392" s="10" t="b">
        <f>IF(AND(I1392="TP",S1392&lt;=500),VLOOKUP(AF1392,TPCalibEq500!$AZ$2:$BB$56,3,),IF(AND(I1392="TDP",S1392&lt;=500),VLOOKUP(AF1392,TPCalibEq500!$AZ$2:$BB$56,3,)))</f>
        <v>0</v>
      </c>
      <c r="AT1392" s="10" t="b">
        <f>IF(AND(I1392="TN",S1392&lt;=2800),VLOOKUP(AF1392,TNCalibEq2500!$AZ$2:$BB$56,3,),IF(AND(I1392="TDN",S1392&lt;=2800),VLOOKUP(AF1392,TNCalibEq2500!$AZ$2:$BB$56,3,)))</f>
        <v>0</v>
      </c>
      <c r="AU1392" s="10" t="b">
        <f>IF(I1392="TP",VLOOKUP(AF1392,TPCalibEqFull!$AZ$2:$BB$56,3),IF(I1392="TDP",VLOOKUP(AF1392,TPCalibEqFull!$AZ$2:$BB$56,3),IF(I1392="TDN",VLOOKUP(AF1392,TNCalibEqFull!$AZ$1:$BB$56,3),IF(I1392="TN",VLOOKUP(AF1392,TNCalibEqFull!$AZ$1:$BB$56,3),FALSE))))</f>
        <v>0</v>
      </c>
      <c r="AV1392" s="10" t="str">
        <f t="shared" si="157"/>
        <v>0123 09:54:00-P04-0-FIL-1-SW-UKN</v>
      </c>
    </row>
    <row r="1393" spans="1:48" s="10" customFormat="1" x14ac:dyDescent="0.55000000000000004">
      <c r="A1393" s="32">
        <v>44949</v>
      </c>
      <c r="B1393" s="33">
        <v>0.42569444444444443</v>
      </c>
      <c r="C1393" s="10">
        <v>506</v>
      </c>
      <c r="D1393" s="10">
        <v>0</v>
      </c>
      <c r="E1393" s="10" t="s">
        <v>911</v>
      </c>
      <c r="F1393" s="10">
        <v>1</v>
      </c>
      <c r="G1393" s="10" t="s">
        <v>231</v>
      </c>
      <c r="H1393" s="10" t="s">
        <v>322</v>
      </c>
      <c r="I1393" s="10" t="s">
        <v>183</v>
      </c>
      <c r="J1393" s="10">
        <v>59</v>
      </c>
      <c r="K1393" s="12">
        <v>44958</v>
      </c>
      <c r="L1393" s="33">
        <v>0.56864583333333341</v>
      </c>
      <c r="M1393" s="10">
        <v>1</v>
      </c>
      <c r="N1393" s="10" t="s">
        <v>76</v>
      </c>
      <c r="O1393" s="10">
        <v>0.21199999999999999</v>
      </c>
      <c r="P1393" s="10">
        <v>1.6799999999999999E-2</v>
      </c>
      <c r="Q1393" s="10">
        <v>11.7</v>
      </c>
      <c r="R1393" s="10" t="s">
        <v>77</v>
      </c>
      <c r="S1393" s="34">
        <f t="shared" si="154"/>
        <v>11.7</v>
      </c>
      <c r="T1393" s="10" t="s">
        <v>1103</v>
      </c>
      <c r="U1393" s="34" t="str">
        <f t="shared" si="155"/>
        <v/>
      </c>
      <c r="V1393" s="31" t="str">
        <f>IF(H1393="CHK",VLOOKUP(I1393,QCCHK,3,),IF(H1393="GUP",VLOOKUP(E1393,QCGUP,2,),IF(AND(H1393="ATP",OR(I1393="TN",I1393="TDN",I1393="TNO2-3",I1393="NO2-3")),VLOOKUP(E1393,QCREC_N,2,),IF(AND(H1393="NIC",OR(I1393="TN",I1393="TDN",I1393="TNO2-3",I1393="NO2-3")),VLOOKUP(E1393,QCNIC_N,2,),IF(AND(H1393="UREA",OR(I1393="TN",I1393="TDN",I1393="TNO2-3",I1393="NO2-3")),VLOOKUP(E1393,QCUREA_N,2,),IF(H1393="PER",VLOOKUP(I1393,QCPER,MATCH(E1393,QCACTUAL!$J$25:$AA$25,0),),IF(H1393="SPK",VLOOKUP(I1393,QCSPK,3,),IF(AND(H1393="ATP",OR(I1393="TP",I1393="TDP")),VLOOKUP(E1393,QCATP_P,2,),""))))))))</f>
        <v/>
      </c>
      <c r="W1393" s="31" t="str">
        <f t="shared" si="156"/>
        <v>TRUE</v>
      </c>
      <c r="X1393" s="31" t="str">
        <f t="shared" si="153"/>
        <v/>
      </c>
      <c r="Y1393" s="10" t="s">
        <v>1096</v>
      </c>
      <c r="Z1393" s="10" t="s">
        <v>910</v>
      </c>
      <c r="AL1393" s="10" t="str">
        <f t="shared" si="158"/>
        <v>FALSE</v>
      </c>
      <c r="AM1393" s="10" t="str">
        <f t="shared" si="158"/>
        <v>FALSE</v>
      </c>
      <c r="AN1393" s="10" t="str">
        <f t="shared" si="158"/>
        <v>FALSE</v>
      </c>
      <c r="AO1393" s="10" t="str">
        <f t="shared" si="159"/>
        <v>FALSE</v>
      </c>
      <c r="AP1393" s="10" t="str">
        <f t="shared" si="159"/>
        <v>FALSE</v>
      </c>
      <c r="AQ1393" s="10" t="b">
        <f>IF(AND(I1393="TP",S1393&lt;=150),VLOOKUP(AF1393,TPCalibEq150!$AZ$2:$BB$55,3,),IF(AND(I1393="TDP",S1393&lt;=150),VLOOKUP(AF1393,TPCalibEq150!$AZ$2:$BB$55,3,)))</f>
        <v>0</v>
      </c>
      <c r="AR1393" s="10" t="b">
        <f>IF(AND(I1393="TP",S1393&lt;=300),VLOOKUP(AF1393,TPCalibEq300!$AZ$2:$BB$55,3,),IF(AND(I1393="TDP",S1393&lt;=300),VLOOKUP(AF1393,TPCalibEq300!$AZ$2:$BB$55,3,)))</f>
        <v>0</v>
      </c>
      <c r="AS1393" s="10" t="b">
        <f>IF(AND(I1393="TP",S1393&lt;=500),VLOOKUP(AF1393,TPCalibEq500!$AZ$2:$BB$56,3,),IF(AND(I1393="TDP",S1393&lt;=500),VLOOKUP(AF1393,TPCalibEq500!$AZ$2:$BB$56,3,)))</f>
        <v>0</v>
      </c>
      <c r="AT1393" s="10" t="b">
        <f>IF(AND(I1393="TN",S1393&lt;=2800),VLOOKUP(AF1393,TNCalibEq2500!$AZ$2:$BB$56,3,),IF(AND(I1393="TDN",S1393&lt;=2800),VLOOKUP(AF1393,TNCalibEq2500!$AZ$2:$BB$56,3,)))</f>
        <v>0</v>
      </c>
      <c r="AU1393" s="10" t="b">
        <f>IF(I1393="TP",VLOOKUP(AF1393,TPCalibEqFull!$AZ$2:$BB$56,3),IF(I1393="TDP",VLOOKUP(AF1393,TPCalibEqFull!$AZ$2:$BB$56,3),IF(I1393="TDN",VLOOKUP(AF1393,TNCalibEqFull!$AZ$1:$BB$56,3),IF(I1393="TN",VLOOKUP(AF1393,TNCalibEqFull!$AZ$1:$BB$56,3),FALSE))))</f>
        <v>0</v>
      </c>
      <c r="AV1393" s="10" t="str">
        <f t="shared" si="157"/>
        <v>0123 10:13:00-506-0-FIL-1-SW-UKN</v>
      </c>
    </row>
    <row r="1394" spans="1:48" s="10" customFormat="1" x14ac:dyDescent="0.55000000000000004">
      <c r="A1394" s="32">
        <v>44949</v>
      </c>
      <c r="B1394" s="33">
        <v>0.43333333333333335</v>
      </c>
      <c r="C1394" s="10" t="s">
        <v>1104</v>
      </c>
      <c r="D1394" s="10">
        <v>0</v>
      </c>
      <c r="E1394" s="10" t="s">
        <v>911</v>
      </c>
      <c r="F1394" s="10">
        <v>1</v>
      </c>
      <c r="G1394" s="10" t="s">
        <v>231</v>
      </c>
      <c r="H1394" s="10" t="s">
        <v>322</v>
      </c>
      <c r="I1394" s="10" t="s">
        <v>183</v>
      </c>
      <c r="J1394" s="10">
        <v>60</v>
      </c>
      <c r="K1394" s="12">
        <v>44958</v>
      </c>
      <c r="L1394" s="33">
        <v>0.56945601851851857</v>
      </c>
      <c r="M1394" s="10">
        <v>1</v>
      </c>
      <c r="N1394" s="10" t="s">
        <v>76</v>
      </c>
      <c r="O1394" s="10">
        <v>0.17399999999999999</v>
      </c>
      <c r="P1394" s="10">
        <v>1.43E-2</v>
      </c>
      <c r="Q1394" s="10">
        <v>9.61</v>
      </c>
      <c r="R1394" s="10" t="s">
        <v>77</v>
      </c>
      <c r="S1394" s="34">
        <f t="shared" si="154"/>
        <v>9.61</v>
      </c>
      <c r="T1394" s="10" t="s">
        <v>1103</v>
      </c>
      <c r="U1394" s="34" t="str">
        <f t="shared" si="155"/>
        <v/>
      </c>
      <c r="V1394" s="31" t="str">
        <f>IF(H1394="CHK",VLOOKUP(I1394,QCCHK,3,),IF(H1394="GUP",VLOOKUP(E1394,QCGUP,2,),IF(AND(H1394="ATP",OR(I1394="TN",I1394="TDN",I1394="TNO2-3",I1394="NO2-3")),VLOOKUP(E1394,QCREC_N,2,),IF(AND(H1394="NIC",OR(I1394="TN",I1394="TDN",I1394="TNO2-3",I1394="NO2-3")),VLOOKUP(E1394,QCNIC_N,2,),IF(AND(H1394="UREA",OR(I1394="TN",I1394="TDN",I1394="TNO2-3",I1394="NO2-3")),VLOOKUP(E1394,QCUREA_N,2,),IF(H1394="PER",VLOOKUP(I1394,QCPER,MATCH(E1394,QCACTUAL!$J$25:$AA$25,0),),IF(H1394="SPK",VLOOKUP(I1394,QCSPK,3,),IF(AND(H1394="ATP",OR(I1394="TP",I1394="TDP")),VLOOKUP(E1394,QCATP_P,2,),""))))))))</f>
        <v/>
      </c>
      <c r="W1394" s="31" t="str">
        <f t="shared" si="156"/>
        <v>TRUE</v>
      </c>
      <c r="X1394" s="31" t="str">
        <f t="shared" si="153"/>
        <v/>
      </c>
      <c r="Y1394" s="10" t="s">
        <v>1096</v>
      </c>
      <c r="Z1394" s="10" t="s">
        <v>910</v>
      </c>
      <c r="AL1394" s="10" t="str">
        <f t="shared" si="158"/>
        <v>FALSE</v>
      </c>
      <c r="AM1394" s="10" t="str">
        <f t="shared" si="158"/>
        <v>FALSE</v>
      </c>
      <c r="AN1394" s="10" t="str">
        <f t="shared" si="158"/>
        <v>FALSE</v>
      </c>
      <c r="AO1394" s="10" t="str">
        <f t="shared" si="159"/>
        <v>FALSE</v>
      </c>
      <c r="AP1394" s="10" t="str">
        <f t="shared" si="159"/>
        <v>FALSE</v>
      </c>
      <c r="AQ1394" s="10" t="b">
        <f>IF(AND(I1394="TP",S1394&lt;=150),VLOOKUP(AF1394,TPCalibEq150!$AZ$2:$BB$55,3,),IF(AND(I1394="TDP",S1394&lt;=150),VLOOKUP(AF1394,TPCalibEq150!$AZ$2:$BB$55,3,)))</f>
        <v>0</v>
      </c>
      <c r="AR1394" s="10" t="b">
        <f>IF(AND(I1394="TP",S1394&lt;=300),VLOOKUP(AF1394,TPCalibEq300!$AZ$2:$BB$55,3,),IF(AND(I1394="TDP",S1394&lt;=300),VLOOKUP(AF1394,TPCalibEq300!$AZ$2:$BB$55,3,)))</f>
        <v>0</v>
      </c>
      <c r="AS1394" s="10" t="b">
        <f>IF(AND(I1394="TP",S1394&lt;=500),VLOOKUP(AF1394,TPCalibEq500!$AZ$2:$BB$56,3,),IF(AND(I1394="TDP",S1394&lt;=500),VLOOKUP(AF1394,TPCalibEq500!$AZ$2:$BB$56,3,)))</f>
        <v>0</v>
      </c>
      <c r="AT1394" s="10" t="b">
        <f>IF(AND(I1394="TN",S1394&lt;=2800),VLOOKUP(AF1394,TNCalibEq2500!$AZ$2:$BB$56,3,),IF(AND(I1394="TDN",S1394&lt;=2800),VLOOKUP(AF1394,TNCalibEq2500!$AZ$2:$BB$56,3,)))</f>
        <v>0</v>
      </c>
      <c r="AU1394" s="10" t="b">
        <f>IF(I1394="TP",VLOOKUP(AF1394,TPCalibEqFull!$AZ$2:$BB$56,3),IF(I1394="TDP",VLOOKUP(AF1394,TPCalibEqFull!$AZ$2:$BB$56,3),IF(I1394="TDN",VLOOKUP(AF1394,TNCalibEqFull!$AZ$1:$BB$56,3),IF(I1394="TN",VLOOKUP(AF1394,TNCalibEqFull!$AZ$1:$BB$56,3),FALSE))))</f>
        <v>0</v>
      </c>
      <c r="AV1394" s="10" t="str">
        <f t="shared" si="157"/>
        <v>0123 10:24:00-LBW-0-FIL-1-SW-UKN</v>
      </c>
    </row>
    <row r="1395" spans="1:48" s="10" customFormat="1" x14ac:dyDescent="0.55000000000000004">
      <c r="A1395" s="32">
        <v>44949</v>
      </c>
      <c r="B1395" s="33">
        <v>0.45</v>
      </c>
      <c r="C1395" s="10" t="s">
        <v>537</v>
      </c>
      <c r="D1395" s="10">
        <v>0</v>
      </c>
      <c r="E1395" s="10" t="s">
        <v>911</v>
      </c>
      <c r="F1395" s="10">
        <v>1</v>
      </c>
      <c r="G1395" s="10" t="s">
        <v>231</v>
      </c>
      <c r="H1395" s="10" t="s">
        <v>322</v>
      </c>
      <c r="I1395" s="10" t="s">
        <v>183</v>
      </c>
      <c r="J1395" s="10">
        <v>61</v>
      </c>
      <c r="K1395" s="12">
        <v>44958</v>
      </c>
      <c r="L1395" s="33">
        <v>0.57027777777777777</v>
      </c>
      <c r="M1395" s="10">
        <v>1</v>
      </c>
      <c r="N1395" s="10" t="s">
        <v>76</v>
      </c>
      <c r="O1395" s="10">
        <v>0.314</v>
      </c>
      <c r="P1395" s="10">
        <v>2.6499999999999999E-2</v>
      </c>
      <c r="Q1395" s="10">
        <v>17.3</v>
      </c>
      <c r="R1395" s="10" t="s">
        <v>77</v>
      </c>
      <c r="S1395" s="34">
        <f t="shared" si="154"/>
        <v>17.3</v>
      </c>
      <c r="T1395" s="10" t="s">
        <v>1103</v>
      </c>
      <c r="U1395" s="34" t="str">
        <f t="shared" si="155"/>
        <v/>
      </c>
      <c r="V1395" s="31" t="str">
        <f>IF(H1395="CHK",VLOOKUP(I1395,QCCHK,3,),IF(H1395="GUP",VLOOKUP(E1395,QCGUP,2,),IF(AND(H1395="ATP",OR(I1395="TN",I1395="TDN",I1395="TNO2-3",I1395="NO2-3")),VLOOKUP(E1395,QCREC_N,2,),IF(AND(H1395="NIC",OR(I1395="TN",I1395="TDN",I1395="TNO2-3",I1395="NO2-3")),VLOOKUP(E1395,QCNIC_N,2,),IF(AND(H1395="UREA",OR(I1395="TN",I1395="TDN",I1395="TNO2-3",I1395="NO2-3")),VLOOKUP(E1395,QCUREA_N,2,),IF(H1395="PER",VLOOKUP(I1395,QCPER,MATCH(E1395,QCACTUAL!$J$25:$AA$25,0),),IF(H1395="SPK",VLOOKUP(I1395,QCSPK,3,),IF(AND(H1395="ATP",OR(I1395="TP",I1395="TDP")),VLOOKUP(E1395,QCATP_P,2,),""))))))))</f>
        <v/>
      </c>
      <c r="W1395" s="31" t="str">
        <f t="shared" si="156"/>
        <v>TRUE</v>
      </c>
      <c r="X1395" s="31" t="str">
        <f t="shared" si="153"/>
        <v/>
      </c>
      <c r="Y1395" s="10" t="s">
        <v>1096</v>
      </c>
      <c r="Z1395" s="10" t="s">
        <v>910</v>
      </c>
      <c r="AL1395" s="10" t="str">
        <f t="shared" si="158"/>
        <v>FALSE</v>
      </c>
      <c r="AM1395" s="10" t="str">
        <f t="shared" si="158"/>
        <v>FALSE</v>
      </c>
      <c r="AN1395" s="10" t="str">
        <f t="shared" si="158"/>
        <v>FALSE</v>
      </c>
      <c r="AO1395" s="10" t="str">
        <f t="shared" si="159"/>
        <v>FALSE</v>
      </c>
      <c r="AP1395" s="10" t="str">
        <f t="shared" si="159"/>
        <v>FALSE</v>
      </c>
      <c r="AQ1395" s="10" t="b">
        <f>IF(AND(I1395="TP",S1395&lt;=150),VLOOKUP(AF1395,TPCalibEq150!$AZ$2:$BB$55,3,),IF(AND(I1395="TDP",S1395&lt;=150),VLOOKUP(AF1395,TPCalibEq150!$AZ$2:$BB$55,3,)))</f>
        <v>0</v>
      </c>
      <c r="AR1395" s="10" t="b">
        <f>IF(AND(I1395="TP",S1395&lt;=300),VLOOKUP(AF1395,TPCalibEq300!$AZ$2:$BB$55,3,),IF(AND(I1395="TDP",S1395&lt;=300),VLOOKUP(AF1395,TPCalibEq300!$AZ$2:$BB$55,3,)))</f>
        <v>0</v>
      </c>
      <c r="AS1395" s="10" t="b">
        <f>IF(AND(I1395="TP",S1395&lt;=500),VLOOKUP(AF1395,TPCalibEq500!$AZ$2:$BB$56,3,),IF(AND(I1395="TDP",S1395&lt;=500),VLOOKUP(AF1395,TPCalibEq500!$AZ$2:$BB$56,3,)))</f>
        <v>0</v>
      </c>
      <c r="AT1395" s="10" t="b">
        <f>IF(AND(I1395="TN",S1395&lt;=2800),VLOOKUP(AF1395,TNCalibEq2500!$AZ$2:$BB$56,3,),IF(AND(I1395="TDN",S1395&lt;=2800),VLOOKUP(AF1395,TNCalibEq2500!$AZ$2:$BB$56,3,)))</f>
        <v>0</v>
      </c>
      <c r="AU1395" s="10" t="b">
        <f>IF(I1395="TP",VLOOKUP(AF1395,TPCalibEqFull!$AZ$2:$BB$56,3),IF(I1395="TDP",VLOOKUP(AF1395,TPCalibEqFull!$AZ$2:$BB$56,3),IF(I1395="TDN",VLOOKUP(AF1395,TNCalibEqFull!$AZ$1:$BB$56,3),IF(I1395="TN",VLOOKUP(AF1395,TNCalibEqFull!$AZ$1:$BB$56,3),FALSE))))</f>
        <v>0</v>
      </c>
      <c r="AV1395" s="10" t="str">
        <f t="shared" si="157"/>
        <v>0123 10:48:00-S51-0-FIL-1-SW-UKN</v>
      </c>
    </row>
    <row r="1396" spans="1:48" s="10" customFormat="1" x14ac:dyDescent="0.55000000000000004">
      <c r="A1396" s="32">
        <v>44949</v>
      </c>
      <c r="B1396" s="33">
        <v>0.46736111111111112</v>
      </c>
      <c r="C1396" s="10">
        <v>890</v>
      </c>
      <c r="D1396" s="10">
        <v>0</v>
      </c>
      <c r="E1396" s="10" t="s">
        <v>911</v>
      </c>
      <c r="F1396" s="10">
        <v>1</v>
      </c>
      <c r="G1396" s="10" t="s">
        <v>231</v>
      </c>
      <c r="H1396" s="10" t="s">
        <v>322</v>
      </c>
      <c r="I1396" s="10" t="s">
        <v>183</v>
      </c>
      <c r="J1396" s="10">
        <v>62</v>
      </c>
      <c r="K1396" s="12">
        <v>44958</v>
      </c>
      <c r="L1396" s="33">
        <v>0.57109953703703698</v>
      </c>
      <c r="M1396" s="10">
        <v>1</v>
      </c>
      <c r="N1396" s="10" t="s">
        <v>76</v>
      </c>
      <c r="O1396" s="10">
        <v>0.52600000000000002</v>
      </c>
      <c r="P1396" s="10">
        <v>4.2700000000000002E-2</v>
      </c>
      <c r="Q1396" s="10">
        <v>29</v>
      </c>
      <c r="R1396" s="10" t="s">
        <v>77</v>
      </c>
      <c r="S1396" s="34">
        <f t="shared" si="154"/>
        <v>29</v>
      </c>
      <c r="T1396" s="10" t="s">
        <v>1103</v>
      </c>
      <c r="U1396" s="34" t="str">
        <f t="shared" si="155"/>
        <v/>
      </c>
      <c r="V1396" s="31" t="str">
        <f>IF(H1396="CHK",VLOOKUP(I1396,QCCHK,3,),IF(H1396="GUP",VLOOKUP(E1396,QCGUP,2,),IF(AND(H1396="ATP",OR(I1396="TN",I1396="TDN",I1396="TNO2-3",I1396="NO2-3")),VLOOKUP(E1396,QCREC_N,2,),IF(AND(H1396="NIC",OR(I1396="TN",I1396="TDN",I1396="TNO2-3",I1396="NO2-3")),VLOOKUP(E1396,QCNIC_N,2,),IF(AND(H1396="UREA",OR(I1396="TN",I1396="TDN",I1396="TNO2-3",I1396="NO2-3")),VLOOKUP(E1396,QCUREA_N,2,),IF(H1396="PER",VLOOKUP(I1396,QCPER,MATCH(E1396,QCACTUAL!$J$25:$AA$25,0),),IF(H1396="SPK",VLOOKUP(I1396,QCSPK,3,),IF(AND(H1396="ATP",OR(I1396="TP",I1396="TDP")),VLOOKUP(E1396,QCATP_P,2,),""))))))))</f>
        <v/>
      </c>
      <c r="W1396" s="31" t="str">
        <f t="shared" si="156"/>
        <v>TRUE</v>
      </c>
      <c r="X1396" s="31" t="str">
        <f t="shared" si="153"/>
        <v/>
      </c>
      <c r="Y1396" s="10" t="s">
        <v>1096</v>
      </c>
      <c r="Z1396" s="10" t="s">
        <v>910</v>
      </c>
      <c r="AL1396" s="10" t="str">
        <f t="shared" si="158"/>
        <v>FALSE</v>
      </c>
      <c r="AM1396" s="10" t="str">
        <f t="shared" si="158"/>
        <v>FALSE</v>
      </c>
      <c r="AN1396" s="10" t="str">
        <f t="shared" si="158"/>
        <v>FALSE</v>
      </c>
      <c r="AO1396" s="10" t="str">
        <f t="shared" si="159"/>
        <v>FALSE</v>
      </c>
      <c r="AP1396" s="10" t="str">
        <f t="shared" si="159"/>
        <v>FALSE</v>
      </c>
      <c r="AQ1396" s="10" t="b">
        <f>IF(AND(I1396="TP",S1396&lt;=150),VLOOKUP(AF1396,TPCalibEq150!$AZ$2:$BB$55,3,),IF(AND(I1396="TDP",S1396&lt;=150),VLOOKUP(AF1396,TPCalibEq150!$AZ$2:$BB$55,3,)))</f>
        <v>0</v>
      </c>
      <c r="AR1396" s="10" t="b">
        <f>IF(AND(I1396="TP",S1396&lt;=300),VLOOKUP(AF1396,TPCalibEq300!$AZ$2:$BB$55,3,),IF(AND(I1396="TDP",S1396&lt;=300),VLOOKUP(AF1396,TPCalibEq300!$AZ$2:$BB$55,3,)))</f>
        <v>0</v>
      </c>
      <c r="AS1396" s="10" t="b">
        <f>IF(AND(I1396="TP",S1396&lt;=500),VLOOKUP(AF1396,TPCalibEq500!$AZ$2:$BB$56,3,),IF(AND(I1396="TDP",S1396&lt;=500),VLOOKUP(AF1396,TPCalibEq500!$AZ$2:$BB$56,3,)))</f>
        <v>0</v>
      </c>
      <c r="AT1396" s="10" t="b">
        <f>IF(AND(I1396="TN",S1396&lt;=2800),VLOOKUP(AF1396,TNCalibEq2500!$AZ$2:$BB$56,3,),IF(AND(I1396="TDN",S1396&lt;=2800),VLOOKUP(AF1396,TNCalibEq2500!$AZ$2:$BB$56,3,)))</f>
        <v>0</v>
      </c>
      <c r="AU1396" s="10" t="b">
        <f>IF(I1396="TP",VLOOKUP(AF1396,TPCalibEqFull!$AZ$2:$BB$56,3),IF(I1396="TDP",VLOOKUP(AF1396,TPCalibEqFull!$AZ$2:$BB$56,3),IF(I1396="TDN",VLOOKUP(AF1396,TNCalibEqFull!$AZ$1:$BB$56,3),IF(I1396="TN",VLOOKUP(AF1396,TNCalibEqFull!$AZ$1:$BB$56,3),FALSE))))</f>
        <v>0</v>
      </c>
      <c r="AV1396" s="10" t="str">
        <f t="shared" si="157"/>
        <v>0123 11:13:00-890-0-FIL-1-SW-UKN</v>
      </c>
    </row>
    <row r="1397" spans="1:48" s="10" customFormat="1" x14ac:dyDescent="0.55000000000000004">
      <c r="A1397" s="32">
        <v>44949</v>
      </c>
      <c r="B1397" s="33">
        <v>0.4861111111111111</v>
      </c>
      <c r="C1397" s="10" t="s">
        <v>437</v>
      </c>
      <c r="D1397" s="10">
        <v>0</v>
      </c>
      <c r="E1397" s="10" t="s">
        <v>911</v>
      </c>
      <c r="F1397" s="10">
        <v>1</v>
      </c>
      <c r="G1397" s="10" t="s">
        <v>231</v>
      </c>
      <c r="H1397" s="10" t="s">
        <v>322</v>
      </c>
      <c r="I1397" s="10" t="s">
        <v>183</v>
      </c>
      <c r="J1397" s="10">
        <v>63</v>
      </c>
      <c r="K1397" s="12">
        <v>44958</v>
      </c>
      <c r="L1397" s="33">
        <v>0.57193287037037044</v>
      </c>
      <c r="M1397" s="10">
        <v>1</v>
      </c>
      <c r="N1397" s="10" t="s">
        <v>76</v>
      </c>
      <c r="O1397" s="10">
        <v>0.95099999999999996</v>
      </c>
      <c r="P1397" s="10">
        <v>7.5899999999999995E-2</v>
      </c>
      <c r="Q1397" s="10">
        <v>52.5</v>
      </c>
      <c r="R1397" s="10" t="s">
        <v>77</v>
      </c>
      <c r="S1397" s="34">
        <f t="shared" si="154"/>
        <v>52.5</v>
      </c>
      <c r="T1397" s="10" t="s">
        <v>1103</v>
      </c>
      <c r="U1397" s="34" t="str">
        <f t="shared" si="155"/>
        <v/>
      </c>
      <c r="V1397" s="31" t="str">
        <f>IF(H1397="CHK",VLOOKUP(I1397,QCCHK,3,),IF(H1397="GUP",VLOOKUP(E1397,QCGUP,2,),IF(AND(H1397="ATP",OR(I1397="TN",I1397="TDN",I1397="TNO2-3",I1397="NO2-3")),VLOOKUP(E1397,QCREC_N,2,),IF(AND(H1397="NIC",OR(I1397="TN",I1397="TDN",I1397="TNO2-3",I1397="NO2-3")),VLOOKUP(E1397,QCNIC_N,2,),IF(AND(H1397="UREA",OR(I1397="TN",I1397="TDN",I1397="TNO2-3",I1397="NO2-3")),VLOOKUP(E1397,QCUREA_N,2,),IF(H1397="PER",VLOOKUP(I1397,QCPER,MATCH(E1397,QCACTUAL!$J$25:$AA$25,0),),IF(H1397="SPK",VLOOKUP(I1397,QCSPK,3,),IF(AND(H1397="ATP",OR(I1397="TP",I1397="TDP")),VLOOKUP(E1397,QCATP_P,2,),""))))))))</f>
        <v/>
      </c>
      <c r="W1397" s="31" t="str">
        <f t="shared" si="156"/>
        <v>TRUE</v>
      </c>
      <c r="X1397" s="31" t="str">
        <f t="shared" si="153"/>
        <v/>
      </c>
      <c r="Y1397" s="10" t="s">
        <v>1096</v>
      </c>
      <c r="Z1397" s="10" t="s">
        <v>910</v>
      </c>
      <c r="AL1397" s="10" t="str">
        <f t="shared" si="158"/>
        <v>FALSE</v>
      </c>
      <c r="AM1397" s="10" t="str">
        <f t="shared" si="158"/>
        <v>FALSE</v>
      </c>
      <c r="AN1397" s="10" t="str">
        <f t="shared" si="158"/>
        <v>FALSE</v>
      </c>
      <c r="AO1397" s="10" t="str">
        <f t="shared" si="159"/>
        <v>FALSE</v>
      </c>
      <c r="AP1397" s="10" t="str">
        <f t="shared" si="159"/>
        <v>FALSE</v>
      </c>
      <c r="AQ1397" s="10" t="b">
        <f>IF(AND(I1397="TP",S1397&lt;=150),VLOOKUP(AF1397,TPCalibEq150!$AZ$2:$BB$55,3,),IF(AND(I1397="TDP",S1397&lt;=150),VLOOKUP(AF1397,TPCalibEq150!$AZ$2:$BB$55,3,)))</f>
        <v>0</v>
      </c>
      <c r="AR1397" s="10" t="b">
        <f>IF(AND(I1397="TP",S1397&lt;=300),VLOOKUP(AF1397,TPCalibEq300!$AZ$2:$BB$55,3,),IF(AND(I1397="TDP",S1397&lt;=300),VLOOKUP(AF1397,TPCalibEq300!$AZ$2:$BB$55,3,)))</f>
        <v>0</v>
      </c>
      <c r="AS1397" s="10" t="b">
        <f>IF(AND(I1397="TP",S1397&lt;=500),VLOOKUP(AF1397,TPCalibEq500!$AZ$2:$BB$56,3,),IF(AND(I1397="TDP",S1397&lt;=500),VLOOKUP(AF1397,TPCalibEq500!$AZ$2:$BB$56,3,)))</f>
        <v>0</v>
      </c>
      <c r="AT1397" s="10" t="b">
        <f>IF(AND(I1397="TN",S1397&lt;=2800),VLOOKUP(AF1397,TNCalibEq2500!$AZ$2:$BB$56,3,),IF(AND(I1397="TDN",S1397&lt;=2800),VLOOKUP(AF1397,TNCalibEq2500!$AZ$2:$BB$56,3,)))</f>
        <v>0</v>
      </c>
      <c r="AU1397" s="10" t="b">
        <f>IF(I1397="TP",VLOOKUP(AF1397,TPCalibEqFull!$AZ$2:$BB$56,3),IF(I1397="TDP",VLOOKUP(AF1397,TPCalibEqFull!$AZ$2:$BB$56,3),IF(I1397="TDN",VLOOKUP(AF1397,TNCalibEqFull!$AZ$1:$BB$56,3),IF(I1397="TN",VLOOKUP(AF1397,TNCalibEqFull!$AZ$1:$BB$56,3),FALSE))))</f>
        <v>0</v>
      </c>
      <c r="AV1397" s="10" t="str">
        <f t="shared" si="157"/>
        <v>0123 11:40:00-FVM-0-FIL-1-SW-UKN</v>
      </c>
    </row>
    <row r="1398" spans="1:48" s="10" customFormat="1" x14ac:dyDescent="0.55000000000000004">
      <c r="A1398" s="32">
        <v>44949</v>
      </c>
      <c r="B1398" s="33">
        <v>0.4861111111111111</v>
      </c>
      <c r="C1398" s="10" t="s">
        <v>437</v>
      </c>
      <c r="D1398" s="10">
        <v>0</v>
      </c>
      <c r="E1398" s="10" t="s">
        <v>911</v>
      </c>
      <c r="F1398" s="10">
        <v>2</v>
      </c>
      <c r="G1398" s="10" t="s">
        <v>231</v>
      </c>
      <c r="H1398" s="10" t="s">
        <v>322</v>
      </c>
      <c r="I1398" s="10" t="s">
        <v>183</v>
      </c>
      <c r="J1398" s="10">
        <v>64</v>
      </c>
      <c r="K1398" s="12">
        <v>44958</v>
      </c>
      <c r="L1398" s="33">
        <v>0.5727430555555556</v>
      </c>
      <c r="M1398" s="10">
        <v>1</v>
      </c>
      <c r="N1398" s="10" t="s">
        <v>76</v>
      </c>
      <c r="O1398" s="10">
        <v>0.83</v>
      </c>
      <c r="P1398" s="10">
        <v>6.6500000000000004E-2</v>
      </c>
      <c r="Q1398" s="10">
        <v>45.8</v>
      </c>
      <c r="R1398" s="10" t="s">
        <v>77</v>
      </c>
      <c r="S1398" s="34">
        <f t="shared" si="154"/>
        <v>45.8</v>
      </c>
      <c r="T1398" s="10" t="s">
        <v>1103</v>
      </c>
      <c r="U1398" s="34" t="str">
        <f t="shared" si="155"/>
        <v/>
      </c>
      <c r="V1398" s="31" t="str">
        <f>IF(H1398="CHK",VLOOKUP(I1398,QCCHK,3,),IF(H1398="GUP",VLOOKUP(E1398,QCGUP,2,),IF(AND(H1398="ATP",OR(I1398="TN",I1398="TDN",I1398="TNO2-3",I1398="NO2-3")),VLOOKUP(E1398,QCREC_N,2,),IF(AND(H1398="NIC",OR(I1398="TN",I1398="TDN",I1398="TNO2-3",I1398="NO2-3")),VLOOKUP(E1398,QCNIC_N,2,),IF(AND(H1398="UREA",OR(I1398="TN",I1398="TDN",I1398="TNO2-3",I1398="NO2-3")),VLOOKUP(E1398,QCUREA_N,2,),IF(H1398="PER",VLOOKUP(I1398,QCPER,MATCH(E1398,QCACTUAL!$J$25:$AA$25,0),),IF(H1398="SPK",VLOOKUP(I1398,QCSPK,3,),IF(AND(H1398="ATP",OR(I1398="TP",I1398="TDP")),VLOOKUP(E1398,QCATP_P,2,),""))))))))</f>
        <v/>
      </c>
      <c r="W1398" s="31" t="str">
        <f t="shared" si="156"/>
        <v>TRUE</v>
      </c>
      <c r="X1398" s="31" t="str">
        <f t="shared" si="153"/>
        <v/>
      </c>
      <c r="Y1398" s="10" t="s">
        <v>1096</v>
      </c>
      <c r="Z1398" s="10" t="s">
        <v>910</v>
      </c>
      <c r="AL1398" s="10" t="str">
        <f t="shared" si="158"/>
        <v>FALSE</v>
      </c>
      <c r="AM1398" s="10" t="str">
        <f t="shared" si="158"/>
        <v>FALSE</v>
      </c>
      <c r="AN1398" s="10" t="str">
        <f t="shared" si="158"/>
        <v>FALSE</v>
      </c>
      <c r="AO1398" s="10" t="str">
        <f t="shared" si="159"/>
        <v>FALSE</v>
      </c>
      <c r="AP1398" s="10" t="str">
        <f t="shared" si="159"/>
        <v>FALSE</v>
      </c>
      <c r="AQ1398" s="10" t="b">
        <f>IF(AND(I1398="TP",S1398&lt;=150),VLOOKUP(AF1398,TPCalibEq150!$AZ$2:$BB$55,3,),IF(AND(I1398="TDP",S1398&lt;=150),VLOOKUP(AF1398,TPCalibEq150!$AZ$2:$BB$55,3,)))</f>
        <v>0</v>
      </c>
      <c r="AR1398" s="10" t="b">
        <f>IF(AND(I1398="TP",S1398&lt;=300),VLOOKUP(AF1398,TPCalibEq300!$AZ$2:$BB$55,3,),IF(AND(I1398="TDP",S1398&lt;=300),VLOOKUP(AF1398,TPCalibEq300!$AZ$2:$BB$55,3,)))</f>
        <v>0</v>
      </c>
      <c r="AS1398" s="10" t="b">
        <f>IF(AND(I1398="TP",S1398&lt;=500),VLOOKUP(AF1398,TPCalibEq500!$AZ$2:$BB$56,3,),IF(AND(I1398="TDP",S1398&lt;=500),VLOOKUP(AF1398,TPCalibEq500!$AZ$2:$BB$56,3,)))</f>
        <v>0</v>
      </c>
      <c r="AT1398" s="10" t="b">
        <f>IF(AND(I1398="TN",S1398&lt;=2800),VLOOKUP(AF1398,TNCalibEq2500!$AZ$2:$BB$56,3,),IF(AND(I1398="TDN",S1398&lt;=2800),VLOOKUP(AF1398,TNCalibEq2500!$AZ$2:$BB$56,3,)))</f>
        <v>0</v>
      </c>
      <c r="AU1398" s="10" t="b">
        <f>IF(I1398="TP",VLOOKUP(AF1398,TPCalibEqFull!$AZ$2:$BB$56,3),IF(I1398="TDP",VLOOKUP(AF1398,TPCalibEqFull!$AZ$2:$BB$56,3),IF(I1398="TDN",VLOOKUP(AF1398,TNCalibEqFull!$AZ$1:$BB$56,3),IF(I1398="TN",VLOOKUP(AF1398,TNCalibEqFull!$AZ$1:$BB$56,3),FALSE))))</f>
        <v>0</v>
      </c>
      <c r="AV1398" s="10" t="str">
        <f t="shared" si="157"/>
        <v>0123 11:40:00-FVM-0-FIL-2-SW-UKN</v>
      </c>
    </row>
    <row r="1399" spans="1:48" s="10" customFormat="1" x14ac:dyDescent="0.55000000000000004">
      <c r="A1399" s="32">
        <v>44949</v>
      </c>
      <c r="B1399" s="33">
        <v>0.4861111111111111</v>
      </c>
      <c r="C1399" s="10" t="s">
        <v>437</v>
      </c>
      <c r="D1399" s="10">
        <v>0</v>
      </c>
      <c r="E1399" s="10" t="s">
        <v>911</v>
      </c>
      <c r="F1399" s="10">
        <v>2</v>
      </c>
      <c r="G1399" s="10" t="s">
        <v>231</v>
      </c>
      <c r="H1399" s="10" t="s">
        <v>233</v>
      </c>
      <c r="I1399" s="10" t="s">
        <v>183</v>
      </c>
      <c r="J1399" s="10">
        <v>64</v>
      </c>
      <c r="K1399" s="12">
        <v>44958</v>
      </c>
      <c r="L1399" s="33">
        <v>0.57356481481481481</v>
      </c>
      <c r="M1399" s="10">
        <v>1</v>
      </c>
      <c r="N1399" s="10" t="s">
        <v>76</v>
      </c>
      <c r="O1399" s="10">
        <v>0.64800000000000002</v>
      </c>
      <c r="P1399" s="10">
        <v>5.2499999999999998E-2</v>
      </c>
      <c r="Q1399" s="10">
        <v>35.700000000000003</v>
      </c>
      <c r="R1399" s="10" t="s">
        <v>77</v>
      </c>
      <c r="S1399" s="34">
        <f t="shared" si="154"/>
        <v>35.700000000000003</v>
      </c>
      <c r="T1399" s="10" t="s">
        <v>1103</v>
      </c>
      <c r="U1399" s="34">
        <f t="shared" si="155"/>
        <v>24.78527607361962</v>
      </c>
      <c r="V1399" s="31" t="str">
        <f>IF(H1399="CHK",VLOOKUP(I1399,QCCHK,3,),IF(H1399="GUP",VLOOKUP(E1399,QCGUP,2,),IF(AND(H1399="ATP",OR(I1399="TN",I1399="TDN",I1399="TNO2-3",I1399="NO2-3")),VLOOKUP(E1399,QCREC_N,2,),IF(AND(H1399="NIC",OR(I1399="TN",I1399="TDN",I1399="TNO2-3",I1399="NO2-3")),VLOOKUP(E1399,QCNIC_N,2,),IF(AND(H1399="UREA",OR(I1399="TN",I1399="TDN",I1399="TNO2-3",I1399="NO2-3")),VLOOKUP(E1399,QCUREA_N,2,),IF(H1399="PER",VLOOKUP(I1399,QCPER,MATCH(E1399,QCACTUAL!$J$25:$AA$25,0),),IF(H1399="SPK",VLOOKUP(I1399,QCSPK,3,),IF(AND(H1399="ATP",OR(I1399="TP",I1399="TDP")),VLOOKUP(E1399,QCATP_P,2,),""))))))))</f>
        <v/>
      </c>
      <c r="W1399" s="31" t="str">
        <f t="shared" si="156"/>
        <v>TRUE</v>
      </c>
      <c r="X1399" s="31" t="str">
        <f t="shared" si="153"/>
        <v>((ABS(rep1-rep2))/((rep1+rep2)/2)*100</v>
      </c>
      <c r="Y1399" s="10" t="s">
        <v>1096</v>
      </c>
      <c r="Z1399" s="10" t="s">
        <v>910</v>
      </c>
      <c r="AL1399" s="10" t="str">
        <f t="shared" si="158"/>
        <v>FALSE</v>
      </c>
      <c r="AM1399" s="10" t="str">
        <f t="shared" si="158"/>
        <v>FALSE</v>
      </c>
      <c r="AN1399" s="10" t="str">
        <f t="shared" si="158"/>
        <v>FALSE</v>
      </c>
      <c r="AO1399" s="10" t="str">
        <f t="shared" si="159"/>
        <v>FALSE</v>
      </c>
      <c r="AP1399" s="10" t="str">
        <f t="shared" si="159"/>
        <v>FALSE</v>
      </c>
      <c r="AQ1399" s="10" t="b">
        <f>IF(AND(I1399="TP",S1399&lt;=150),VLOOKUP(AF1399,TPCalibEq150!$AZ$2:$BB$55,3,),IF(AND(I1399="TDP",S1399&lt;=150),VLOOKUP(AF1399,TPCalibEq150!$AZ$2:$BB$55,3,)))</f>
        <v>0</v>
      </c>
      <c r="AR1399" s="10" t="b">
        <f>IF(AND(I1399="TP",S1399&lt;=300),VLOOKUP(AF1399,TPCalibEq300!$AZ$2:$BB$55,3,),IF(AND(I1399="TDP",S1399&lt;=300),VLOOKUP(AF1399,TPCalibEq300!$AZ$2:$BB$55,3,)))</f>
        <v>0</v>
      </c>
      <c r="AS1399" s="10" t="b">
        <f>IF(AND(I1399="TP",S1399&lt;=500),VLOOKUP(AF1399,TPCalibEq500!$AZ$2:$BB$56,3,),IF(AND(I1399="TDP",S1399&lt;=500),VLOOKUP(AF1399,TPCalibEq500!$AZ$2:$BB$56,3,)))</f>
        <v>0</v>
      </c>
      <c r="AT1399" s="10" t="b">
        <f>IF(AND(I1399="TN",S1399&lt;=2800),VLOOKUP(AF1399,TNCalibEq2500!$AZ$2:$BB$56,3,),IF(AND(I1399="TDN",S1399&lt;=2800),VLOOKUP(AF1399,TNCalibEq2500!$AZ$2:$BB$56,3,)))</f>
        <v>0</v>
      </c>
      <c r="AU1399" s="10" t="b">
        <f>IF(I1399="TP",VLOOKUP(AF1399,TPCalibEqFull!$AZ$2:$BB$56,3),IF(I1399="TDP",VLOOKUP(AF1399,TPCalibEqFull!$AZ$2:$BB$56,3),IF(I1399="TDN",VLOOKUP(AF1399,TNCalibEqFull!$AZ$1:$BB$56,3),IF(I1399="TN",VLOOKUP(AF1399,TNCalibEqFull!$AZ$1:$BB$56,3),FALSE))))</f>
        <v>0</v>
      </c>
      <c r="AV1399" s="10" t="str">
        <f t="shared" si="157"/>
        <v>0123 11:40:00-FVM-0-FIL-2-SW-DUP</v>
      </c>
    </row>
    <row r="1400" spans="1:48" s="10" customFormat="1" x14ac:dyDescent="0.55000000000000004">
      <c r="A1400" s="32">
        <v>44949</v>
      </c>
      <c r="B1400" s="33">
        <v>0.4861111111111111</v>
      </c>
      <c r="C1400" s="10" t="s">
        <v>437</v>
      </c>
      <c r="D1400" s="10">
        <v>0</v>
      </c>
      <c r="E1400" s="10" t="s">
        <v>911</v>
      </c>
      <c r="F1400" s="10">
        <v>2</v>
      </c>
      <c r="G1400" s="10" t="s">
        <v>231</v>
      </c>
      <c r="H1400" s="10" t="s">
        <v>314</v>
      </c>
      <c r="I1400" s="10" t="s">
        <v>183</v>
      </c>
      <c r="J1400" s="10">
        <v>88</v>
      </c>
      <c r="K1400" s="12">
        <v>44958</v>
      </c>
      <c r="L1400" s="33">
        <v>0.57437499999999997</v>
      </c>
      <c r="M1400" s="10">
        <v>1</v>
      </c>
      <c r="N1400" s="10" t="s">
        <v>76</v>
      </c>
      <c r="O1400" s="10">
        <v>12.6</v>
      </c>
      <c r="P1400" s="10">
        <v>0.999</v>
      </c>
      <c r="Q1400" s="10">
        <v>695</v>
      </c>
      <c r="R1400" s="10" t="s">
        <v>77</v>
      </c>
      <c r="S1400" s="34">
        <f t="shared" si="154"/>
        <v>695</v>
      </c>
      <c r="T1400" s="10" t="s">
        <v>1103</v>
      </c>
      <c r="U1400" s="34">
        <f t="shared" si="155"/>
        <v>105.48799999999999</v>
      </c>
      <c r="V1400" s="31">
        <f>IF(H1400="CHK",VLOOKUP(I1400,QCCHK,3,),IF(H1400="GUP",VLOOKUP(E1400,QCGUP,2,),IF(AND(H1400="ATP",OR(I1400="TN",I1400="TDN",I1400="TNO2-3",I1400="NO2-3")),VLOOKUP(E1400,QCREC_N,2,),IF(AND(H1400="NIC",OR(I1400="TN",I1400="TDN",I1400="TNO2-3",I1400="NO2-3")),VLOOKUP(E1400,QCNIC_N,2,),IF(AND(H1400="UREA",OR(I1400="TN",I1400="TDN",I1400="TNO2-3",I1400="NO2-3")),VLOOKUP(E1400,QCUREA_N,2,),IF(H1400="PER",VLOOKUP(I1400,QCPER,MATCH(E1400,QCACTUAL!$J$25:$AA$25,0),),IF(H1400="SPK",VLOOKUP(I1400,QCSPK,3,),IF(AND(H1400="ATP",OR(I1400="TP",I1400="TDP")),VLOOKUP(E1400,QCATP_P,2,),""))))))))</f>
        <v>625</v>
      </c>
      <c r="W1400" s="31" t="str">
        <f t="shared" si="156"/>
        <v>TRUE</v>
      </c>
      <c r="X1400" s="31" t="str">
        <f t="shared" si="153"/>
        <v>([spikedunkn]-[unkn])/[spike]*100</v>
      </c>
      <c r="Y1400" s="10" t="s">
        <v>1096</v>
      </c>
      <c r="Z1400" s="10" t="s">
        <v>910</v>
      </c>
      <c r="AL1400" s="10" t="str">
        <f t="shared" si="158"/>
        <v>FALSE</v>
      </c>
      <c r="AM1400" s="10" t="str">
        <f t="shared" si="158"/>
        <v>FALSE</v>
      </c>
      <c r="AN1400" s="10" t="str">
        <f t="shared" si="158"/>
        <v>FALSE</v>
      </c>
      <c r="AO1400" s="10" t="str">
        <f t="shared" si="159"/>
        <v>FALSE</v>
      </c>
      <c r="AP1400" s="10" t="str">
        <f t="shared" si="159"/>
        <v>FALSE</v>
      </c>
      <c r="AQ1400" s="10" t="b">
        <f>IF(AND(I1400="TP",S1400&lt;=150),VLOOKUP(AF1400,TPCalibEq150!$AZ$2:$BB$55,3,),IF(AND(I1400="TDP",S1400&lt;=150),VLOOKUP(AF1400,TPCalibEq150!$AZ$2:$BB$55,3,)))</f>
        <v>0</v>
      </c>
      <c r="AR1400" s="10" t="b">
        <f>IF(AND(I1400="TP",S1400&lt;=300),VLOOKUP(AF1400,TPCalibEq300!$AZ$2:$BB$55,3,),IF(AND(I1400="TDP",S1400&lt;=300),VLOOKUP(AF1400,TPCalibEq300!$AZ$2:$BB$55,3,)))</f>
        <v>0</v>
      </c>
      <c r="AS1400" s="10" t="b">
        <f>IF(AND(I1400="TP",S1400&lt;=500),VLOOKUP(AF1400,TPCalibEq500!$AZ$2:$BB$56,3,),IF(AND(I1400="TDP",S1400&lt;=500),VLOOKUP(AF1400,TPCalibEq500!$AZ$2:$BB$56,3,)))</f>
        <v>0</v>
      </c>
      <c r="AT1400" s="10" t="b">
        <f>IF(AND(I1400="TN",S1400&lt;=2800),VLOOKUP(AF1400,TNCalibEq2500!$AZ$2:$BB$56,3,),IF(AND(I1400="TDN",S1400&lt;=2800),VLOOKUP(AF1400,TNCalibEq2500!$AZ$2:$BB$56,3,)))</f>
        <v>0</v>
      </c>
      <c r="AU1400" s="10" t="b">
        <f>IF(I1400="TP",VLOOKUP(AF1400,TPCalibEqFull!$AZ$2:$BB$56,3),IF(I1400="TDP",VLOOKUP(AF1400,TPCalibEqFull!$AZ$2:$BB$56,3),IF(I1400="TDN",VLOOKUP(AF1400,TNCalibEqFull!$AZ$1:$BB$56,3),IF(I1400="TN",VLOOKUP(AF1400,TNCalibEqFull!$AZ$1:$BB$56,3),FALSE))))</f>
        <v>0</v>
      </c>
      <c r="AV1400" s="10" t="str">
        <f t="shared" si="157"/>
        <v>0123 11:40:00-FVM-0-FIL-2-SW-SPK</v>
      </c>
    </row>
    <row r="1401" spans="1:48" s="10" customFormat="1" x14ac:dyDescent="0.55000000000000004">
      <c r="A1401" s="32">
        <v>44958</v>
      </c>
      <c r="B1401" s="33">
        <v>0.375</v>
      </c>
      <c r="C1401" s="10" t="s">
        <v>70</v>
      </c>
      <c r="D1401" s="10" t="s">
        <v>71</v>
      </c>
      <c r="E1401" s="10" t="s">
        <v>901</v>
      </c>
      <c r="F1401" s="10">
        <v>1</v>
      </c>
      <c r="G1401" s="10" t="s">
        <v>73</v>
      </c>
      <c r="H1401" s="10" t="s">
        <v>207</v>
      </c>
      <c r="I1401" s="10" t="s">
        <v>75</v>
      </c>
      <c r="J1401" s="10">
        <v>201</v>
      </c>
      <c r="K1401" s="12">
        <v>44958</v>
      </c>
      <c r="L1401" s="33">
        <v>0.57520833333333332</v>
      </c>
      <c r="M1401" s="10">
        <v>1</v>
      </c>
      <c r="N1401" s="10" t="s">
        <v>76</v>
      </c>
      <c r="O1401" s="10">
        <v>5.37</v>
      </c>
      <c r="P1401" s="10">
        <v>0.43</v>
      </c>
      <c r="Q1401" s="10">
        <v>297</v>
      </c>
      <c r="R1401" s="10" t="s">
        <v>77</v>
      </c>
      <c r="S1401" s="34">
        <f t="shared" si="154"/>
        <v>297</v>
      </c>
      <c r="T1401" s="10" t="s">
        <v>1103</v>
      </c>
      <c r="U1401" s="34">
        <f t="shared" si="155"/>
        <v>99</v>
      </c>
      <c r="V1401" s="31">
        <f>IF(H1401="CHK",VLOOKUP(I1401,QCCHK,3,),IF(H1401="GUP",VLOOKUP(E1401,QCGUP,2,),IF(AND(H1401="ATP",OR(I1401="TN",I1401="TDN",I1401="TNO2-3",I1401="NO2-3")),VLOOKUP(E1401,QCREC_N,2,),IF(AND(H1401="NIC",OR(I1401="TN",I1401="TDN",I1401="TNO2-3",I1401="NO2-3")),VLOOKUP(E1401,QCNIC_N,2,),IF(AND(H1401="UREA",OR(I1401="TN",I1401="TDN",I1401="TNO2-3",I1401="NO2-3")),VLOOKUP(E1401,QCUREA_N,2,),IF(H1401="PER",VLOOKUP(I1401,QCPER,MATCH(E1401,QCACTUAL!$J$25:$AA$25,0),),IF(H1401="SPK",VLOOKUP(I1401,QCSPK,3,),IF(AND(H1401="ATP",OR(I1401="TP",I1401="TDP")),VLOOKUP(E1401,QCATP_P,2,),""))))))))</f>
        <v>300</v>
      </c>
      <c r="W1401" s="31" t="str">
        <f t="shared" si="156"/>
        <v>TRUE</v>
      </c>
      <c r="X1401" s="31" t="str">
        <f t="shared" si="153"/>
        <v>[chk]/[actual]*100</v>
      </c>
      <c r="Y1401" s="10" t="s">
        <v>1096</v>
      </c>
      <c r="AL1401" s="10" t="str">
        <f t="shared" si="158"/>
        <v>FALSE</v>
      </c>
      <c r="AM1401" s="10" t="str">
        <f t="shared" si="158"/>
        <v>FALSE</v>
      </c>
      <c r="AN1401" s="10" t="str">
        <f t="shared" si="158"/>
        <v>FALSE</v>
      </c>
      <c r="AO1401" s="10" t="str">
        <f t="shared" si="159"/>
        <v>FALSE</v>
      </c>
      <c r="AP1401" s="10" t="str">
        <f t="shared" si="159"/>
        <v>FALSE</v>
      </c>
      <c r="AQ1401" s="10" t="b">
        <f>IF(AND(I1401="TP",S1401&lt;=150),VLOOKUP(AF1401,TPCalibEq150!$AZ$2:$BB$55,3,),IF(AND(I1401="TDP",S1401&lt;=150),VLOOKUP(AF1401,TPCalibEq150!$AZ$2:$BB$55,3,)))</f>
        <v>0</v>
      </c>
      <c r="AR1401" s="10" t="b">
        <f>IF(AND(I1401="TP",S1401&lt;=300),VLOOKUP(AF1401,TPCalibEq300!$AZ$2:$BB$55,3,),IF(AND(I1401="TDP",S1401&lt;=300),VLOOKUP(AF1401,TPCalibEq300!$AZ$2:$BB$55,3,)))</f>
        <v>0</v>
      </c>
      <c r="AS1401" s="10" t="b">
        <f>IF(AND(I1401="TP",S1401&lt;=500),VLOOKUP(AF1401,TPCalibEq500!$AZ$2:$BB$56,3,),IF(AND(I1401="TDP",S1401&lt;=500),VLOOKUP(AF1401,TPCalibEq500!$AZ$2:$BB$56,3,)))</f>
        <v>0</v>
      </c>
      <c r="AT1401" s="10" t="b">
        <f>IF(AND(I1401="TN",S1401&lt;=2800),VLOOKUP(AF1401,TNCalibEq2500!$AZ$2:$BB$56,3,),IF(AND(I1401="TDN",S1401&lt;=2800),VLOOKUP(AF1401,TNCalibEq2500!$AZ$2:$BB$56,3,)))</f>
        <v>0</v>
      </c>
      <c r="AU1401" s="10" t="b">
        <f>IF(I1401="TP",VLOOKUP(AF1401,TPCalibEqFull!$AZ$2:$BB$56,3),IF(I1401="TDP",VLOOKUP(AF1401,TPCalibEqFull!$AZ$2:$BB$56,3),IF(I1401="TDN",VLOOKUP(AF1401,TNCalibEqFull!$AZ$1:$BB$56,3),IF(I1401="TN",VLOOKUP(AF1401,TNCalibEqFull!$AZ$1:$BB$56,3),FALSE))))</f>
        <v>0</v>
      </c>
      <c r="AV1401" s="10" t="str">
        <f t="shared" si="157"/>
        <v>0201 09:00:00-QAC-STD-D-1-DI-CHK</v>
      </c>
    </row>
    <row r="1402" spans="1:48" s="10" customFormat="1" x14ac:dyDescent="0.55000000000000004">
      <c r="A1402" s="32">
        <v>44949</v>
      </c>
      <c r="B1402" s="33">
        <v>0.49861111111111112</v>
      </c>
      <c r="C1402" s="10" t="s">
        <v>336</v>
      </c>
      <c r="D1402" s="10">
        <v>0</v>
      </c>
      <c r="E1402" s="10" t="s">
        <v>911</v>
      </c>
      <c r="F1402" s="10">
        <v>1</v>
      </c>
      <c r="G1402" s="10" t="s">
        <v>231</v>
      </c>
      <c r="H1402" s="10" t="s">
        <v>322</v>
      </c>
      <c r="I1402" s="10" t="s">
        <v>183</v>
      </c>
      <c r="J1402" s="10">
        <v>65</v>
      </c>
      <c r="K1402" s="12">
        <v>44958</v>
      </c>
      <c r="L1402" s="33">
        <v>0.57601851851851849</v>
      </c>
      <c r="M1402" s="10">
        <v>1</v>
      </c>
      <c r="N1402" s="10" t="s">
        <v>76</v>
      </c>
      <c r="O1402" s="10">
        <v>0.218</v>
      </c>
      <c r="P1402" s="10">
        <v>1.72E-2</v>
      </c>
      <c r="Q1402" s="10">
        <v>12</v>
      </c>
      <c r="R1402" s="10" t="s">
        <v>77</v>
      </c>
      <c r="S1402" s="34">
        <f t="shared" si="154"/>
        <v>12</v>
      </c>
      <c r="T1402" s="10" t="s">
        <v>1103</v>
      </c>
      <c r="U1402" s="34" t="str">
        <f t="shared" si="155"/>
        <v/>
      </c>
      <c r="V1402" s="31" t="str">
        <f>IF(H1402="CHK",VLOOKUP(I1402,QCCHK,3,),IF(H1402="GUP",VLOOKUP(E1402,QCGUP,2,),IF(AND(H1402="ATP",OR(I1402="TN",I1402="TDN",I1402="TNO2-3",I1402="NO2-3")),VLOOKUP(E1402,QCREC_N,2,),IF(AND(H1402="NIC",OR(I1402="TN",I1402="TDN",I1402="TNO2-3",I1402="NO2-3")),VLOOKUP(E1402,QCNIC_N,2,),IF(AND(H1402="UREA",OR(I1402="TN",I1402="TDN",I1402="TNO2-3",I1402="NO2-3")),VLOOKUP(E1402,QCUREA_N,2,),IF(H1402="PER",VLOOKUP(I1402,QCPER,MATCH(E1402,QCACTUAL!$J$25:$AA$25,0),),IF(H1402="SPK",VLOOKUP(I1402,QCSPK,3,),IF(AND(H1402="ATP",OR(I1402="TP",I1402="TDP")),VLOOKUP(E1402,QCATP_P,2,),""))))))))</f>
        <v/>
      </c>
      <c r="W1402" s="31" t="str">
        <f t="shared" si="156"/>
        <v>TRUE</v>
      </c>
      <c r="X1402" s="31" t="str">
        <f t="shared" si="153"/>
        <v/>
      </c>
      <c r="Y1402" s="10" t="s">
        <v>1096</v>
      </c>
      <c r="Z1402" s="10" t="s">
        <v>910</v>
      </c>
      <c r="AL1402" s="10" t="str">
        <f t="shared" si="158"/>
        <v>FALSE</v>
      </c>
      <c r="AM1402" s="10" t="str">
        <f t="shared" si="158"/>
        <v>FALSE</v>
      </c>
      <c r="AN1402" s="10" t="str">
        <f t="shared" si="158"/>
        <v>FALSE</v>
      </c>
      <c r="AO1402" s="10" t="str">
        <f t="shared" si="159"/>
        <v>FALSE</v>
      </c>
      <c r="AP1402" s="10" t="str">
        <f t="shared" si="159"/>
        <v>FALSE</v>
      </c>
      <c r="AQ1402" s="10" t="b">
        <f>IF(AND(I1402="TP",S1402&lt;=150),VLOOKUP(AF1402,TPCalibEq150!$AZ$2:$BB$55,3,),IF(AND(I1402="TDP",S1402&lt;=150),VLOOKUP(AF1402,TPCalibEq150!$AZ$2:$BB$55,3,)))</f>
        <v>0</v>
      </c>
      <c r="AR1402" s="10" t="b">
        <f>IF(AND(I1402="TP",S1402&lt;=300),VLOOKUP(AF1402,TPCalibEq300!$AZ$2:$BB$55,3,),IF(AND(I1402="TDP",S1402&lt;=300),VLOOKUP(AF1402,TPCalibEq300!$AZ$2:$BB$55,3,)))</f>
        <v>0</v>
      </c>
      <c r="AS1402" s="10" t="b">
        <f>IF(AND(I1402="TP",S1402&lt;=500),VLOOKUP(AF1402,TPCalibEq500!$AZ$2:$BB$56,3,),IF(AND(I1402="TDP",S1402&lt;=500),VLOOKUP(AF1402,TPCalibEq500!$AZ$2:$BB$56,3,)))</f>
        <v>0</v>
      </c>
      <c r="AT1402" s="10" t="b">
        <f>IF(AND(I1402="TN",S1402&lt;=2800),VLOOKUP(AF1402,TNCalibEq2500!$AZ$2:$BB$56,3,),IF(AND(I1402="TDN",S1402&lt;=2800),VLOOKUP(AF1402,TNCalibEq2500!$AZ$2:$BB$56,3,)))</f>
        <v>0</v>
      </c>
      <c r="AU1402" s="10" t="b">
        <f>IF(I1402="TP",VLOOKUP(AF1402,TPCalibEqFull!$AZ$2:$BB$56,3),IF(I1402="TDP",VLOOKUP(AF1402,TPCalibEqFull!$AZ$2:$BB$56,3),IF(I1402="TDN",VLOOKUP(AF1402,TNCalibEqFull!$AZ$1:$BB$56,3),IF(I1402="TN",VLOOKUP(AF1402,TNCalibEqFull!$AZ$1:$BB$56,3),FALSE))))</f>
        <v>0</v>
      </c>
      <c r="AV1402" s="10" t="str">
        <f t="shared" si="157"/>
        <v>0123 11:58:00-HWR-0-FIL-1-SW-UKN</v>
      </c>
    </row>
    <row r="1403" spans="1:48" s="10" customFormat="1" x14ac:dyDescent="0.55000000000000004">
      <c r="A1403" s="32">
        <v>44949</v>
      </c>
      <c r="B1403" s="33">
        <v>0.50555555555555554</v>
      </c>
      <c r="C1403" s="10" t="s">
        <v>295</v>
      </c>
      <c r="D1403" s="10">
        <v>0</v>
      </c>
      <c r="E1403" s="10" t="s">
        <v>911</v>
      </c>
      <c r="F1403" s="10">
        <v>1</v>
      </c>
      <c r="G1403" s="10" t="s">
        <v>231</v>
      </c>
      <c r="H1403" s="10" t="s">
        <v>322</v>
      </c>
      <c r="I1403" s="10" t="s">
        <v>183</v>
      </c>
      <c r="J1403" s="10">
        <v>66</v>
      </c>
      <c r="K1403" s="12">
        <v>44958</v>
      </c>
      <c r="L1403" s="33">
        <v>0.5768402777777778</v>
      </c>
      <c r="M1403" s="10">
        <v>1</v>
      </c>
      <c r="N1403" s="10" t="s">
        <v>76</v>
      </c>
      <c r="O1403" s="10">
        <v>8.0399999999999991</v>
      </c>
      <c r="P1403" s="10">
        <v>0.64700000000000002</v>
      </c>
      <c r="Q1403" s="10">
        <v>444</v>
      </c>
      <c r="R1403" s="10" t="s">
        <v>77</v>
      </c>
      <c r="S1403" s="34">
        <f t="shared" si="154"/>
        <v>444</v>
      </c>
      <c r="T1403" s="10" t="s">
        <v>1103</v>
      </c>
      <c r="U1403" s="34" t="str">
        <f t="shared" si="155"/>
        <v/>
      </c>
      <c r="V1403" s="31" t="str">
        <f>IF(H1403="CHK",VLOOKUP(I1403,QCCHK,3,),IF(H1403="GUP",VLOOKUP(E1403,QCGUP,2,),IF(AND(H1403="ATP",OR(I1403="TN",I1403="TDN",I1403="TNO2-3",I1403="NO2-3")),VLOOKUP(E1403,QCREC_N,2,),IF(AND(H1403="NIC",OR(I1403="TN",I1403="TDN",I1403="TNO2-3",I1403="NO2-3")),VLOOKUP(E1403,QCNIC_N,2,),IF(AND(H1403="UREA",OR(I1403="TN",I1403="TDN",I1403="TNO2-3",I1403="NO2-3")),VLOOKUP(E1403,QCUREA_N,2,),IF(H1403="PER",VLOOKUP(I1403,QCPER,MATCH(E1403,QCACTUAL!$J$25:$AA$25,0),),IF(H1403="SPK",VLOOKUP(I1403,QCSPK,3,),IF(AND(H1403="ATP",OR(I1403="TP",I1403="TDP")),VLOOKUP(E1403,QCATP_P,2,),""))))))))</f>
        <v/>
      </c>
      <c r="W1403" s="31" t="str">
        <f t="shared" si="156"/>
        <v>TRUE</v>
      </c>
      <c r="X1403" s="31" t="str">
        <f t="shared" si="153"/>
        <v/>
      </c>
      <c r="Y1403" s="10" t="s">
        <v>1096</v>
      </c>
      <c r="Z1403" s="10" t="s">
        <v>910</v>
      </c>
      <c r="AL1403" s="10" t="str">
        <f t="shared" si="158"/>
        <v>FALSE</v>
      </c>
      <c r="AM1403" s="10" t="str">
        <f t="shared" si="158"/>
        <v>FALSE</v>
      </c>
      <c r="AN1403" s="10" t="str">
        <f t="shared" si="158"/>
        <v>FALSE</v>
      </c>
      <c r="AO1403" s="10" t="str">
        <f t="shared" si="159"/>
        <v>FALSE</v>
      </c>
      <c r="AP1403" s="10" t="str">
        <f t="shared" si="159"/>
        <v>FALSE</v>
      </c>
      <c r="AQ1403" s="10" t="b">
        <f>IF(AND(I1403="TP",S1403&lt;=150),VLOOKUP(AF1403,TPCalibEq150!$AZ$2:$BB$55,3,),IF(AND(I1403="TDP",S1403&lt;=150),VLOOKUP(AF1403,TPCalibEq150!$AZ$2:$BB$55,3,)))</f>
        <v>0</v>
      </c>
      <c r="AR1403" s="10" t="b">
        <f>IF(AND(I1403="TP",S1403&lt;=300),VLOOKUP(AF1403,TPCalibEq300!$AZ$2:$BB$55,3,),IF(AND(I1403="TDP",S1403&lt;=300),VLOOKUP(AF1403,TPCalibEq300!$AZ$2:$BB$55,3,)))</f>
        <v>0</v>
      </c>
      <c r="AS1403" s="10" t="b">
        <f>IF(AND(I1403="TP",S1403&lt;=500),VLOOKUP(AF1403,TPCalibEq500!$AZ$2:$BB$56,3,),IF(AND(I1403="TDP",S1403&lt;=500),VLOOKUP(AF1403,TPCalibEq500!$AZ$2:$BB$56,3,)))</f>
        <v>0</v>
      </c>
      <c r="AT1403" s="10" t="b">
        <f>IF(AND(I1403="TN",S1403&lt;=2800),VLOOKUP(AF1403,TNCalibEq2500!$AZ$2:$BB$56,3,),IF(AND(I1403="TDN",S1403&lt;=2800),VLOOKUP(AF1403,TNCalibEq2500!$AZ$2:$BB$56,3,)))</f>
        <v>0</v>
      </c>
      <c r="AU1403" s="10" t="b">
        <f>IF(I1403="TP",VLOOKUP(AF1403,TPCalibEqFull!$AZ$2:$BB$56,3),IF(I1403="TDP",VLOOKUP(AF1403,TPCalibEqFull!$AZ$2:$BB$56,3),IF(I1403="TDN",VLOOKUP(AF1403,TNCalibEqFull!$AZ$1:$BB$56,3),IF(I1403="TN",VLOOKUP(AF1403,TNCalibEqFull!$AZ$1:$BB$56,3),FALSE))))</f>
        <v>0</v>
      </c>
      <c r="AV1403" s="10" t="str">
        <f t="shared" si="157"/>
        <v>0123 12:08:00-EFM-0-FIL-1-SW-UKN</v>
      </c>
    </row>
    <row r="1404" spans="1:48" s="10" customFormat="1" x14ac:dyDescent="0.55000000000000004">
      <c r="A1404" s="32">
        <v>44949</v>
      </c>
      <c r="B1404" s="33">
        <v>0.52500000000000002</v>
      </c>
      <c r="C1404" s="10" t="s">
        <v>999</v>
      </c>
      <c r="D1404" s="10">
        <v>0</v>
      </c>
      <c r="E1404" s="10" t="s">
        <v>911</v>
      </c>
      <c r="F1404" s="10">
        <v>1</v>
      </c>
      <c r="G1404" s="10" t="s">
        <v>231</v>
      </c>
      <c r="H1404" s="10" t="s">
        <v>322</v>
      </c>
      <c r="I1404" s="10" t="s">
        <v>183</v>
      </c>
      <c r="J1404" s="10">
        <v>67</v>
      </c>
      <c r="K1404" s="12">
        <v>44958</v>
      </c>
      <c r="L1404" s="33">
        <v>0.57765046296296296</v>
      </c>
      <c r="M1404" s="10">
        <v>1</v>
      </c>
      <c r="N1404" s="10" t="s">
        <v>76</v>
      </c>
      <c r="O1404" s="10">
        <v>0.49099999999999999</v>
      </c>
      <c r="P1404" s="10">
        <v>3.8800000000000001E-2</v>
      </c>
      <c r="Q1404" s="10">
        <v>27.1</v>
      </c>
      <c r="R1404" s="10" t="s">
        <v>77</v>
      </c>
      <c r="S1404" s="34">
        <f t="shared" si="154"/>
        <v>27.1</v>
      </c>
      <c r="T1404" s="10" t="s">
        <v>1103</v>
      </c>
      <c r="U1404" s="34" t="str">
        <f t="shared" si="155"/>
        <v/>
      </c>
      <c r="V1404" s="31" t="str">
        <f>IF(H1404="CHK",VLOOKUP(I1404,QCCHK,3,),IF(H1404="GUP",VLOOKUP(E1404,QCGUP,2,),IF(AND(H1404="ATP",OR(I1404="TN",I1404="TDN",I1404="TNO2-3",I1404="NO2-3")),VLOOKUP(E1404,QCREC_N,2,),IF(AND(H1404="NIC",OR(I1404="TN",I1404="TDN",I1404="TNO2-3",I1404="NO2-3")),VLOOKUP(E1404,QCNIC_N,2,),IF(AND(H1404="UREA",OR(I1404="TN",I1404="TDN",I1404="TNO2-3",I1404="NO2-3")),VLOOKUP(E1404,QCUREA_N,2,),IF(H1404="PER",VLOOKUP(I1404,QCPER,MATCH(E1404,QCACTUAL!$J$25:$AA$25,0),),IF(H1404="SPK",VLOOKUP(I1404,QCSPK,3,),IF(AND(H1404="ATP",OR(I1404="TP",I1404="TDP")),VLOOKUP(E1404,QCATP_P,2,),""))))))))</f>
        <v/>
      </c>
      <c r="W1404" s="31" t="str">
        <f t="shared" si="156"/>
        <v>TRUE</v>
      </c>
      <c r="X1404" s="31" t="str">
        <f t="shared" si="153"/>
        <v/>
      </c>
      <c r="Y1404" s="10" t="s">
        <v>1096</v>
      </c>
      <c r="Z1404" s="10" t="s">
        <v>910</v>
      </c>
      <c r="AL1404" s="10" t="str">
        <f t="shared" si="158"/>
        <v>FALSE</v>
      </c>
      <c r="AM1404" s="10" t="str">
        <f t="shared" si="158"/>
        <v>FALSE</v>
      </c>
      <c r="AN1404" s="10" t="str">
        <f t="shared" si="158"/>
        <v>FALSE</v>
      </c>
      <c r="AO1404" s="10" t="str">
        <f t="shared" si="159"/>
        <v>FALSE</v>
      </c>
      <c r="AP1404" s="10" t="str">
        <f t="shared" si="159"/>
        <v>FALSE</v>
      </c>
      <c r="AQ1404" s="10" t="b">
        <f>IF(AND(I1404="TP",S1404&lt;=150),VLOOKUP(AF1404,TPCalibEq150!$AZ$2:$BB$55,3,),IF(AND(I1404="TDP",S1404&lt;=150),VLOOKUP(AF1404,TPCalibEq150!$AZ$2:$BB$55,3,)))</f>
        <v>0</v>
      </c>
      <c r="AR1404" s="10" t="b">
        <f>IF(AND(I1404="TP",S1404&lt;=300),VLOOKUP(AF1404,TPCalibEq300!$AZ$2:$BB$55,3,),IF(AND(I1404="TDP",S1404&lt;=300),VLOOKUP(AF1404,TPCalibEq300!$AZ$2:$BB$55,3,)))</f>
        <v>0</v>
      </c>
      <c r="AS1404" s="10" t="b">
        <f>IF(AND(I1404="TP",S1404&lt;=500),VLOOKUP(AF1404,TPCalibEq500!$AZ$2:$BB$56,3,),IF(AND(I1404="TDP",S1404&lt;=500),VLOOKUP(AF1404,TPCalibEq500!$AZ$2:$BB$56,3,)))</f>
        <v>0</v>
      </c>
      <c r="AT1404" s="10" t="b">
        <f>IF(AND(I1404="TN",S1404&lt;=2800),VLOOKUP(AF1404,TNCalibEq2500!$AZ$2:$BB$56,3,),IF(AND(I1404="TDN",S1404&lt;=2800),VLOOKUP(AF1404,TNCalibEq2500!$AZ$2:$BB$56,3,)))</f>
        <v>0</v>
      </c>
      <c r="AU1404" s="10" t="b">
        <f>IF(I1404="TP",VLOOKUP(AF1404,TPCalibEqFull!$AZ$2:$BB$56,3),IF(I1404="TDP",VLOOKUP(AF1404,TPCalibEqFull!$AZ$2:$BB$56,3),IF(I1404="TDN",VLOOKUP(AF1404,TNCalibEqFull!$AZ$1:$BB$56,3),IF(I1404="TN",VLOOKUP(AF1404,TNCalibEqFull!$AZ$1:$BB$56,3),FALSE))))</f>
        <v>0</v>
      </c>
      <c r="AV1404" s="10" t="str">
        <f t="shared" si="157"/>
        <v>0123 12:36:00-EAW-0-FIL-1-SW-UKN</v>
      </c>
    </row>
    <row r="1405" spans="1:48" s="10" customFormat="1" x14ac:dyDescent="0.55000000000000004">
      <c r="A1405" s="32">
        <v>44949</v>
      </c>
      <c r="B1405" s="33">
        <v>0.52916666666666667</v>
      </c>
      <c r="C1405" s="10" t="s">
        <v>310</v>
      </c>
      <c r="D1405" s="10">
        <v>0</v>
      </c>
      <c r="E1405" s="10" t="s">
        <v>911</v>
      </c>
      <c r="F1405" s="10">
        <v>1</v>
      </c>
      <c r="G1405" s="10" t="s">
        <v>231</v>
      </c>
      <c r="H1405" s="10" t="s">
        <v>322</v>
      </c>
      <c r="I1405" s="10" t="s">
        <v>183</v>
      </c>
      <c r="J1405" s="10">
        <v>68</v>
      </c>
      <c r="K1405" s="12">
        <v>44958</v>
      </c>
      <c r="L1405" s="33">
        <v>0.57847222222222217</v>
      </c>
      <c r="M1405" s="10">
        <v>1</v>
      </c>
      <c r="N1405" s="10" t="s">
        <v>76</v>
      </c>
      <c r="O1405" s="10">
        <v>0.48299999999999998</v>
      </c>
      <c r="P1405" s="10">
        <v>3.9100000000000003E-2</v>
      </c>
      <c r="Q1405" s="10">
        <v>26.6</v>
      </c>
      <c r="R1405" s="10" t="s">
        <v>77</v>
      </c>
      <c r="S1405" s="34">
        <f t="shared" si="154"/>
        <v>26.6</v>
      </c>
      <c r="T1405" s="10" t="s">
        <v>1103</v>
      </c>
      <c r="U1405" s="34" t="str">
        <f t="shared" si="155"/>
        <v/>
      </c>
      <c r="V1405" s="31" t="str">
        <f>IF(H1405="CHK",VLOOKUP(I1405,QCCHK,3,),IF(H1405="GUP",VLOOKUP(E1405,QCGUP,2,),IF(AND(H1405="ATP",OR(I1405="TN",I1405="TDN",I1405="TNO2-3",I1405="NO2-3")),VLOOKUP(E1405,QCREC_N,2,),IF(AND(H1405="NIC",OR(I1405="TN",I1405="TDN",I1405="TNO2-3",I1405="NO2-3")),VLOOKUP(E1405,QCNIC_N,2,),IF(AND(H1405="UREA",OR(I1405="TN",I1405="TDN",I1405="TNO2-3",I1405="NO2-3")),VLOOKUP(E1405,QCUREA_N,2,),IF(H1405="PER",VLOOKUP(I1405,QCPER,MATCH(E1405,QCACTUAL!$J$25:$AA$25,0),),IF(H1405="SPK",VLOOKUP(I1405,QCSPK,3,),IF(AND(H1405="ATP",OR(I1405="TP",I1405="TDP")),VLOOKUP(E1405,QCATP_P,2,),""))))))))</f>
        <v/>
      </c>
      <c r="W1405" s="31" t="str">
        <f t="shared" si="156"/>
        <v>TRUE</v>
      </c>
      <c r="X1405" s="31" t="str">
        <f t="shared" si="153"/>
        <v/>
      </c>
      <c r="Y1405" s="10" t="s">
        <v>1096</v>
      </c>
      <c r="Z1405" s="10" t="s">
        <v>910</v>
      </c>
      <c r="AL1405" s="10" t="str">
        <f t="shared" si="158"/>
        <v>FALSE</v>
      </c>
      <c r="AM1405" s="10" t="str">
        <f t="shared" si="158"/>
        <v>FALSE</v>
      </c>
      <c r="AN1405" s="10" t="str">
        <f t="shared" si="158"/>
        <v>FALSE</v>
      </c>
      <c r="AO1405" s="10" t="str">
        <f t="shared" si="159"/>
        <v>FALSE</v>
      </c>
      <c r="AP1405" s="10" t="str">
        <f t="shared" si="159"/>
        <v>FALSE</v>
      </c>
      <c r="AQ1405" s="10" t="b">
        <f>IF(AND(I1405="TP",S1405&lt;=150),VLOOKUP(AF1405,TPCalibEq150!$AZ$2:$BB$55,3,),IF(AND(I1405="TDP",S1405&lt;=150),VLOOKUP(AF1405,TPCalibEq150!$AZ$2:$BB$55,3,)))</f>
        <v>0</v>
      </c>
      <c r="AR1405" s="10" t="b">
        <f>IF(AND(I1405="TP",S1405&lt;=300),VLOOKUP(AF1405,TPCalibEq300!$AZ$2:$BB$55,3,),IF(AND(I1405="TDP",S1405&lt;=300),VLOOKUP(AF1405,TPCalibEq300!$AZ$2:$BB$55,3,)))</f>
        <v>0</v>
      </c>
      <c r="AS1405" s="10" t="b">
        <f>IF(AND(I1405="TP",S1405&lt;=500),VLOOKUP(AF1405,TPCalibEq500!$AZ$2:$BB$56,3,),IF(AND(I1405="TDP",S1405&lt;=500),VLOOKUP(AF1405,TPCalibEq500!$AZ$2:$BB$56,3,)))</f>
        <v>0</v>
      </c>
      <c r="AT1405" s="10" t="b">
        <f>IF(AND(I1405="TN",S1405&lt;=2800),VLOOKUP(AF1405,TNCalibEq2500!$AZ$2:$BB$56,3,),IF(AND(I1405="TDN",S1405&lt;=2800),VLOOKUP(AF1405,TNCalibEq2500!$AZ$2:$BB$56,3,)))</f>
        <v>0</v>
      </c>
      <c r="AU1405" s="10" t="b">
        <f>IF(I1405="TP",VLOOKUP(AF1405,TPCalibEqFull!$AZ$2:$BB$56,3),IF(I1405="TDP",VLOOKUP(AF1405,TPCalibEqFull!$AZ$2:$BB$56,3),IF(I1405="TDN",VLOOKUP(AF1405,TNCalibEqFull!$AZ$1:$BB$56,3),IF(I1405="TN",VLOOKUP(AF1405,TNCalibEqFull!$AZ$1:$BB$56,3),FALSE))))</f>
        <v>0</v>
      </c>
      <c r="AV1405" s="10" t="str">
        <f t="shared" si="157"/>
        <v>0123 12:42:00-ELI-0-FIL-1-SW-UKN</v>
      </c>
    </row>
    <row r="1406" spans="1:48" s="10" customFormat="1" x14ac:dyDescent="0.55000000000000004">
      <c r="A1406" s="32">
        <v>44949</v>
      </c>
      <c r="B1406" s="33">
        <v>0.52916666666666667</v>
      </c>
      <c r="C1406" s="10" t="s">
        <v>310</v>
      </c>
      <c r="D1406" s="10">
        <v>0</v>
      </c>
      <c r="E1406" s="10" t="s">
        <v>911</v>
      </c>
      <c r="F1406" s="10">
        <v>1</v>
      </c>
      <c r="G1406" s="10" t="s">
        <v>231</v>
      </c>
      <c r="H1406" s="10" t="s">
        <v>233</v>
      </c>
      <c r="I1406" s="10" t="s">
        <v>183</v>
      </c>
      <c r="J1406" s="10">
        <v>68</v>
      </c>
      <c r="K1406" s="12">
        <v>44958</v>
      </c>
      <c r="L1406" s="33">
        <v>0.57929398148148148</v>
      </c>
      <c r="M1406" s="10">
        <v>1</v>
      </c>
      <c r="N1406" s="10" t="s">
        <v>76</v>
      </c>
      <c r="O1406" s="10">
        <v>0.41199999999999998</v>
      </c>
      <c r="P1406" s="10">
        <v>3.3300000000000003E-2</v>
      </c>
      <c r="Q1406" s="10">
        <v>22.7</v>
      </c>
      <c r="R1406" s="10" t="s">
        <v>77</v>
      </c>
      <c r="S1406" s="34">
        <f t="shared" si="154"/>
        <v>22.7</v>
      </c>
      <c r="T1406" s="10" t="s">
        <v>1103</v>
      </c>
      <c r="U1406" s="34">
        <f t="shared" si="155"/>
        <v>15.821501014198795</v>
      </c>
      <c r="V1406" s="31" t="str">
        <f>IF(H1406="CHK",VLOOKUP(I1406,QCCHK,3,),IF(H1406="GUP",VLOOKUP(E1406,QCGUP,2,),IF(AND(H1406="ATP",OR(I1406="TN",I1406="TDN",I1406="TNO2-3",I1406="NO2-3")),VLOOKUP(E1406,QCREC_N,2,),IF(AND(H1406="NIC",OR(I1406="TN",I1406="TDN",I1406="TNO2-3",I1406="NO2-3")),VLOOKUP(E1406,QCNIC_N,2,),IF(AND(H1406="UREA",OR(I1406="TN",I1406="TDN",I1406="TNO2-3",I1406="NO2-3")),VLOOKUP(E1406,QCUREA_N,2,),IF(H1406="PER",VLOOKUP(I1406,QCPER,MATCH(E1406,QCACTUAL!$J$25:$AA$25,0),),IF(H1406="SPK",VLOOKUP(I1406,QCSPK,3,),IF(AND(H1406="ATP",OR(I1406="TP",I1406="TDP")),VLOOKUP(E1406,QCATP_P,2,),""))))))))</f>
        <v/>
      </c>
      <c r="W1406" s="31" t="str">
        <f t="shared" si="156"/>
        <v>TRUE</v>
      </c>
      <c r="X1406" s="31" t="str">
        <f t="shared" si="153"/>
        <v>((ABS(rep1-rep2))/((rep1+rep2)/2)*100</v>
      </c>
      <c r="Y1406" s="10" t="s">
        <v>1096</v>
      </c>
      <c r="Z1406" s="10" t="s">
        <v>910</v>
      </c>
      <c r="AL1406" s="10" t="str">
        <f t="shared" si="158"/>
        <v>FALSE</v>
      </c>
      <c r="AM1406" s="10" t="str">
        <f t="shared" si="158"/>
        <v>FALSE</v>
      </c>
      <c r="AN1406" s="10" t="str">
        <f t="shared" si="158"/>
        <v>FALSE</v>
      </c>
      <c r="AO1406" s="10" t="str">
        <f t="shared" si="159"/>
        <v>FALSE</v>
      </c>
      <c r="AP1406" s="10" t="str">
        <f t="shared" si="159"/>
        <v>FALSE</v>
      </c>
      <c r="AQ1406" s="10" t="b">
        <f>IF(AND(I1406="TP",S1406&lt;=150),VLOOKUP(AF1406,TPCalibEq150!$AZ$2:$BB$55,3,),IF(AND(I1406="TDP",S1406&lt;=150),VLOOKUP(AF1406,TPCalibEq150!$AZ$2:$BB$55,3,)))</f>
        <v>0</v>
      </c>
      <c r="AR1406" s="10" t="b">
        <f>IF(AND(I1406="TP",S1406&lt;=300),VLOOKUP(AF1406,TPCalibEq300!$AZ$2:$BB$55,3,),IF(AND(I1406="TDP",S1406&lt;=300),VLOOKUP(AF1406,TPCalibEq300!$AZ$2:$BB$55,3,)))</f>
        <v>0</v>
      </c>
      <c r="AS1406" s="10" t="b">
        <f>IF(AND(I1406="TP",S1406&lt;=500),VLOOKUP(AF1406,TPCalibEq500!$AZ$2:$BB$56,3,),IF(AND(I1406="TDP",S1406&lt;=500),VLOOKUP(AF1406,TPCalibEq500!$AZ$2:$BB$56,3,)))</f>
        <v>0</v>
      </c>
      <c r="AT1406" s="10" t="b">
        <f>IF(AND(I1406="TN",S1406&lt;=2800),VLOOKUP(AF1406,TNCalibEq2500!$AZ$2:$BB$56,3,),IF(AND(I1406="TDN",S1406&lt;=2800),VLOOKUP(AF1406,TNCalibEq2500!$AZ$2:$BB$56,3,)))</f>
        <v>0</v>
      </c>
      <c r="AU1406" s="10" t="b">
        <f>IF(I1406="TP",VLOOKUP(AF1406,TPCalibEqFull!$AZ$2:$BB$56,3),IF(I1406="TDP",VLOOKUP(AF1406,TPCalibEqFull!$AZ$2:$BB$56,3),IF(I1406="TDN",VLOOKUP(AF1406,TNCalibEqFull!$AZ$1:$BB$56,3),IF(I1406="TN",VLOOKUP(AF1406,TNCalibEqFull!$AZ$1:$BB$56,3),FALSE))))</f>
        <v>0</v>
      </c>
      <c r="AV1406" s="10" t="str">
        <f t="shared" si="157"/>
        <v>0123 12:42:00-ELI-0-FIL-1-SW-DUP</v>
      </c>
    </row>
    <row r="1407" spans="1:48" s="10" customFormat="1" x14ac:dyDescent="0.55000000000000004">
      <c r="A1407" s="32">
        <v>44949</v>
      </c>
      <c r="B1407" s="33">
        <v>0.52916666666666667</v>
      </c>
      <c r="C1407" s="10" t="s">
        <v>310</v>
      </c>
      <c r="D1407" s="10">
        <v>0</v>
      </c>
      <c r="E1407" s="10" t="s">
        <v>911</v>
      </c>
      <c r="F1407" s="10">
        <v>1</v>
      </c>
      <c r="G1407" s="10" t="s">
        <v>231</v>
      </c>
      <c r="H1407" s="10" t="s">
        <v>314</v>
      </c>
      <c r="I1407" s="10" t="s">
        <v>183</v>
      </c>
      <c r="J1407" s="10">
        <v>89</v>
      </c>
      <c r="K1407" s="12">
        <v>44958</v>
      </c>
      <c r="L1407" s="33">
        <v>0.58010416666666664</v>
      </c>
      <c r="M1407" s="10">
        <v>1</v>
      </c>
      <c r="N1407" s="10" t="s">
        <v>76</v>
      </c>
      <c r="O1407" s="10">
        <v>15.3</v>
      </c>
      <c r="P1407" s="10">
        <v>1.23</v>
      </c>
      <c r="Q1407" s="10">
        <v>845</v>
      </c>
      <c r="R1407" s="10" t="s">
        <v>77</v>
      </c>
      <c r="S1407" s="34">
        <f t="shared" si="154"/>
        <v>845</v>
      </c>
      <c r="T1407" s="10" t="s">
        <v>1103</v>
      </c>
      <c r="U1407" s="34">
        <f t="shared" si="155"/>
        <v>131.56799999999998</v>
      </c>
      <c r="V1407" s="31">
        <f>IF(H1407="CHK",VLOOKUP(I1407,QCCHK,3,),IF(H1407="GUP",VLOOKUP(E1407,QCGUP,2,),IF(AND(H1407="ATP",OR(I1407="TN",I1407="TDN",I1407="TNO2-3",I1407="NO2-3")),VLOOKUP(E1407,QCREC_N,2,),IF(AND(H1407="NIC",OR(I1407="TN",I1407="TDN",I1407="TNO2-3",I1407="NO2-3")),VLOOKUP(E1407,QCNIC_N,2,),IF(AND(H1407="UREA",OR(I1407="TN",I1407="TDN",I1407="TNO2-3",I1407="NO2-3")),VLOOKUP(E1407,QCUREA_N,2,),IF(H1407="PER",VLOOKUP(I1407,QCPER,MATCH(E1407,QCACTUAL!$J$25:$AA$25,0),),IF(H1407="SPK",VLOOKUP(I1407,QCSPK,3,),IF(AND(H1407="ATP",OR(I1407="TP",I1407="TDP")),VLOOKUP(E1407,QCATP_P,2,),""))))))))</f>
        <v>625</v>
      </c>
      <c r="W1407" s="31" t="str">
        <f t="shared" si="156"/>
        <v>FALSE</v>
      </c>
      <c r="X1407" s="31" t="str">
        <f t="shared" ref="X1407:X1470" si="160">IF(ISNA(VLOOKUP(H1407,QCEQUATIONS,2,)),"",(VLOOKUP(H1407,QCEQUATIONS,2,)))</f>
        <v>([spikedunkn]-[unkn])/[spike]*100</v>
      </c>
      <c r="Y1407" s="10" t="s">
        <v>1096</v>
      </c>
      <c r="Z1407" s="10" t="s">
        <v>910</v>
      </c>
      <c r="AL1407" s="10" t="str">
        <f t="shared" si="158"/>
        <v>FALSE</v>
      </c>
      <c r="AM1407" s="10" t="str">
        <f t="shared" si="158"/>
        <v>FALSE</v>
      </c>
      <c r="AN1407" s="10" t="str">
        <f t="shared" si="158"/>
        <v>FALSE</v>
      </c>
      <c r="AO1407" s="10" t="str">
        <f t="shared" si="159"/>
        <v>FALSE</v>
      </c>
      <c r="AP1407" s="10" t="str">
        <f t="shared" si="159"/>
        <v>FALSE</v>
      </c>
      <c r="AQ1407" s="10" t="b">
        <f>IF(AND(I1407="TP",S1407&lt;=150),VLOOKUP(AF1407,TPCalibEq150!$AZ$2:$BB$55,3,),IF(AND(I1407="TDP",S1407&lt;=150),VLOOKUP(AF1407,TPCalibEq150!$AZ$2:$BB$55,3,)))</f>
        <v>0</v>
      </c>
      <c r="AR1407" s="10" t="b">
        <f>IF(AND(I1407="TP",S1407&lt;=300),VLOOKUP(AF1407,TPCalibEq300!$AZ$2:$BB$55,3,),IF(AND(I1407="TDP",S1407&lt;=300),VLOOKUP(AF1407,TPCalibEq300!$AZ$2:$BB$55,3,)))</f>
        <v>0</v>
      </c>
      <c r="AS1407" s="10" t="b">
        <f>IF(AND(I1407="TP",S1407&lt;=500),VLOOKUP(AF1407,TPCalibEq500!$AZ$2:$BB$56,3,),IF(AND(I1407="TDP",S1407&lt;=500),VLOOKUP(AF1407,TPCalibEq500!$AZ$2:$BB$56,3,)))</f>
        <v>0</v>
      </c>
      <c r="AT1407" s="10" t="b">
        <f>IF(AND(I1407="TN",S1407&lt;=2800),VLOOKUP(AF1407,TNCalibEq2500!$AZ$2:$BB$56,3,),IF(AND(I1407="TDN",S1407&lt;=2800),VLOOKUP(AF1407,TNCalibEq2500!$AZ$2:$BB$56,3,)))</f>
        <v>0</v>
      </c>
      <c r="AU1407" s="10" t="b">
        <f>IF(I1407="TP",VLOOKUP(AF1407,TPCalibEqFull!$AZ$2:$BB$56,3),IF(I1407="TDP",VLOOKUP(AF1407,TPCalibEqFull!$AZ$2:$BB$56,3),IF(I1407="TDN",VLOOKUP(AF1407,TNCalibEqFull!$AZ$1:$BB$56,3),IF(I1407="TN",VLOOKUP(AF1407,TNCalibEqFull!$AZ$1:$BB$56,3),FALSE))))</f>
        <v>0</v>
      </c>
      <c r="AV1407" s="10" t="str">
        <f t="shared" si="157"/>
        <v>0123 12:42:00-ELI-0-FIL-1-SW-SPK</v>
      </c>
    </row>
    <row r="1408" spans="1:48" s="10" customFormat="1" x14ac:dyDescent="0.55000000000000004">
      <c r="A1408" s="32">
        <v>44958</v>
      </c>
      <c r="B1408" s="33">
        <v>0.375</v>
      </c>
      <c r="C1408" s="10" t="s">
        <v>70</v>
      </c>
      <c r="D1408" s="10" t="s">
        <v>71</v>
      </c>
      <c r="E1408" s="10" t="s">
        <v>901</v>
      </c>
      <c r="F1408" s="10">
        <v>1</v>
      </c>
      <c r="G1408" s="10" t="s">
        <v>73</v>
      </c>
      <c r="H1408" s="10" t="s">
        <v>207</v>
      </c>
      <c r="I1408" s="10" t="s">
        <v>75</v>
      </c>
      <c r="J1408" s="10">
        <v>202</v>
      </c>
      <c r="K1408" s="12">
        <v>44958</v>
      </c>
      <c r="L1408" s="33">
        <v>0.58092592592592596</v>
      </c>
      <c r="M1408" s="10">
        <v>1</v>
      </c>
      <c r="N1408" s="10" t="s">
        <v>76</v>
      </c>
      <c r="O1408" s="10">
        <v>5.42</v>
      </c>
      <c r="P1408" s="10">
        <v>0.432</v>
      </c>
      <c r="Q1408" s="10">
        <v>300</v>
      </c>
      <c r="R1408" s="10" t="s">
        <v>77</v>
      </c>
      <c r="S1408" s="34">
        <f t="shared" ref="S1408:S1471" si="161">IF(OR(AND(I1408&lt;&gt;"TP", I1408&lt;&gt;"TDP",I1408&lt;&gt;"TN", I1408&lt;&gt;"TDN"),H1408="CAL"), Q1408*M1408, IF(OR(AND(I1408="TN", Q1408&gt;2500), AND(I1408="TDN", Q1408&gt;2500)),MAX(Q1408, AK1408)*M1408, IF(OR(AND(I1408="TN", Q1408&lt;=2500), AND(I1408="TDN", Q1408&lt;=2500)),MAX(Q1408, AJ1408,AK1408)*M1408, IF(OR(AND(I1408="TP",Q1408&gt;500), AND(I1408="TDP", Q1408&gt;500)),MAX(Q1408,AK1408)*M1408,IF(OR(AND(I1408="TP",Q1408&lt;=150), AND(I1408="TDP", Q1408&lt;=150)),MAX(Q1408,AG1408:AI1408,AK1408)*M1408,IF(OR(AND(I1408="TP",Q1408&lt;=300), AND(I1408="TDP", Q1408&lt;=300)),MAX(Q1408,AH1408,AI1408,AK1408)*M1408,IF(OR(AND(I1408="TP",Q1408&lt;=500), AND(I1408="TDP", Q1408&lt;=500)),MAX(Q1408,AI1408,AK1408)*M1408,"")))))))</f>
        <v>300</v>
      </c>
      <c r="T1408" s="10" t="s">
        <v>1103</v>
      </c>
      <c r="U1408" s="34">
        <f t="shared" si="155"/>
        <v>100</v>
      </c>
      <c r="V1408" s="31">
        <f>IF(H1408="CHK",VLOOKUP(I1408,QCCHK,3,),IF(H1408="GUP",VLOOKUP(E1408,QCGUP,2,),IF(AND(H1408="ATP",OR(I1408="TN",I1408="TDN",I1408="TNO2-3",I1408="NO2-3")),VLOOKUP(E1408,QCREC_N,2,),IF(AND(H1408="NIC",OR(I1408="TN",I1408="TDN",I1408="TNO2-3",I1408="NO2-3")),VLOOKUP(E1408,QCNIC_N,2,),IF(AND(H1408="UREA",OR(I1408="TN",I1408="TDN",I1408="TNO2-3",I1408="NO2-3")),VLOOKUP(E1408,QCUREA_N,2,),IF(H1408="PER",VLOOKUP(I1408,QCPER,MATCH(E1408,QCACTUAL!$J$25:$AA$25,0),),IF(H1408="SPK",VLOOKUP(I1408,QCSPK,3,),IF(AND(H1408="ATP",OR(I1408="TP",I1408="TDP")),VLOOKUP(E1408,QCATP_P,2,),""))))))))</f>
        <v>300</v>
      </c>
      <c r="W1408" s="31" t="str">
        <f t="shared" si="156"/>
        <v>TRUE</v>
      </c>
      <c r="X1408" s="31" t="str">
        <f t="shared" si="160"/>
        <v>[chk]/[actual]*100</v>
      </c>
      <c r="Y1408" s="10" t="s">
        <v>1096</v>
      </c>
      <c r="AL1408" s="10" t="str">
        <f t="shared" si="158"/>
        <v>FALSE</v>
      </c>
      <c r="AM1408" s="10" t="str">
        <f t="shared" si="158"/>
        <v>FALSE</v>
      </c>
      <c r="AN1408" s="10" t="str">
        <f t="shared" si="158"/>
        <v>FALSE</v>
      </c>
      <c r="AO1408" s="10" t="str">
        <f t="shared" si="159"/>
        <v>FALSE</v>
      </c>
      <c r="AP1408" s="10" t="str">
        <f t="shared" si="159"/>
        <v>FALSE</v>
      </c>
      <c r="AQ1408" s="10" t="b">
        <f>IF(AND(I1408="TP",S1408&lt;=150),VLOOKUP(AF1408,TPCalibEq150!$AZ$2:$BB$55,3,),IF(AND(I1408="TDP",S1408&lt;=150),VLOOKUP(AF1408,TPCalibEq150!$AZ$2:$BB$55,3,)))</f>
        <v>0</v>
      </c>
      <c r="AR1408" s="10" t="b">
        <f>IF(AND(I1408="TP",S1408&lt;=300),VLOOKUP(AF1408,TPCalibEq300!$AZ$2:$BB$55,3,),IF(AND(I1408="TDP",S1408&lt;=300),VLOOKUP(AF1408,TPCalibEq300!$AZ$2:$BB$55,3,)))</f>
        <v>0</v>
      </c>
      <c r="AS1408" s="10" t="b">
        <f>IF(AND(I1408="TP",S1408&lt;=500),VLOOKUP(AF1408,TPCalibEq500!$AZ$2:$BB$56,3,),IF(AND(I1408="TDP",S1408&lt;=500),VLOOKUP(AF1408,TPCalibEq500!$AZ$2:$BB$56,3,)))</f>
        <v>0</v>
      </c>
      <c r="AT1408" s="10" t="b">
        <f>IF(AND(I1408="TN",S1408&lt;=2800),VLOOKUP(AF1408,TNCalibEq2500!$AZ$2:$BB$56,3,),IF(AND(I1408="TDN",S1408&lt;=2800),VLOOKUP(AF1408,TNCalibEq2500!$AZ$2:$BB$56,3,)))</f>
        <v>0</v>
      </c>
      <c r="AU1408" s="10" t="b">
        <f>IF(I1408="TP",VLOOKUP(AF1408,TPCalibEqFull!$AZ$2:$BB$56,3),IF(I1408="TDP",VLOOKUP(AF1408,TPCalibEqFull!$AZ$2:$BB$56,3),IF(I1408="TDN",VLOOKUP(AF1408,TNCalibEqFull!$AZ$1:$BB$56,3),IF(I1408="TN",VLOOKUP(AF1408,TNCalibEqFull!$AZ$1:$BB$56,3),FALSE))))</f>
        <v>0</v>
      </c>
      <c r="AV1408" s="10" t="str">
        <f t="shared" si="157"/>
        <v>0201 09:00:00-QAC-STD-D-1-DI-CHK</v>
      </c>
    </row>
    <row r="1409" spans="1:48" s="10" customFormat="1" x14ac:dyDescent="0.55000000000000004">
      <c r="A1409" s="32">
        <v>44956</v>
      </c>
      <c r="B1409" s="33">
        <v>0.35972222222222222</v>
      </c>
      <c r="C1409" s="10" t="s">
        <v>998</v>
      </c>
      <c r="D1409" s="10">
        <v>0</v>
      </c>
      <c r="E1409" s="10" t="s">
        <v>911</v>
      </c>
      <c r="F1409" s="10">
        <v>1</v>
      </c>
      <c r="G1409" s="10" t="s">
        <v>231</v>
      </c>
      <c r="H1409" s="10" t="s">
        <v>322</v>
      </c>
      <c r="I1409" s="10" t="s">
        <v>183</v>
      </c>
      <c r="J1409" s="10">
        <v>69</v>
      </c>
      <c r="K1409" s="12">
        <v>44958</v>
      </c>
      <c r="L1409" s="33">
        <v>0.58173611111111112</v>
      </c>
      <c r="M1409" s="10">
        <v>1</v>
      </c>
      <c r="N1409" s="10" t="s">
        <v>76</v>
      </c>
      <c r="O1409" s="10">
        <v>0.61399999999999999</v>
      </c>
      <c r="P1409" s="10">
        <v>4.9599999999999998E-2</v>
      </c>
      <c r="Q1409" s="10">
        <v>33.9</v>
      </c>
      <c r="R1409" s="10" t="s">
        <v>77</v>
      </c>
      <c r="S1409" s="34">
        <f t="shared" si="161"/>
        <v>33.9</v>
      </c>
      <c r="T1409" s="10" t="s">
        <v>1103</v>
      </c>
      <c r="U1409" s="34" t="str">
        <f t="shared" si="155"/>
        <v/>
      </c>
      <c r="V1409" s="31" t="str">
        <f>IF(H1409="CHK",VLOOKUP(I1409,QCCHK,3,),IF(H1409="GUP",VLOOKUP(E1409,QCGUP,2,),IF(AND(H1409="ATP",OR(I1409="TN",I1409="TDN",I1409="TNO2-3",I1409="NO2-3")),VLOOKUP(E1409,QCREC_N,2,),IF(AND(H1409="NIC",OR(I1409="TN",I1409="TDN",I1409="TNO2-3",I1409="NO2-3")),VLOOKUP(E1409,QCNIC_N,2,),IF(AND(H1409="UREA",OR(I1409="TN",I1409="TDN",I1409="TNO2-3",I1409="NO2-3")),VLOOKUP(E1409,QCUREA_N,2,),IF(H1409="PER",VLOOKUP(I1409,QCPER,MATCH(E1409,QCACTUAL!$J$25:$AA$25,0),),IF(H1409="SPK",VLOOKUP(I1409,QCSPK,3,),IF(AND(H1409="ATP",OR(I1409="TP",I1409="TDP")),VLOOKUP(E1409,QCATP_P,2,),""))))))))</f>
        <v/>
      </c>
      <c r="W1409" s="31" t="str">
        <f t="shared" si="156"/>
        <v>TRUE</v>
      </c>
      <c r="X1409" s="31" t="str">
        <f t="shared" si="160"/>
        <v/>
      </c>
      <c r="Y1409" s="10" t="s">
        <v>1096</v>
      </c>
      <c r="Z1409" s="10" t="s">
        <v>910</v>
      </c>
      <c r="AL1409" s="10" t="str">
        <f t="shared" si="158"/>
        <v>FALSE</v>
      </c>
      <c r="AM1409" s="10" t="str">
        <f t="shared" si="158"/>
        <v>FALSE</v>
      </c>
      <c r="AN1409" s="10" t="str">
        <f t="shared" si="158"/>
        <v>FALSE</v>
      </c>
      <c r="AO1409" s="10" t="str">
        <f t="shared" si="159"/>
        <v>FALSE</v>
      </c>
      <c r="AP1409" s="10" t="str">
        <f t="shared" si="159"/>
        <v>FALSE</v>
      </c>
      <c r="AQ1409" s="10" t="b">
        <f>IF(AND(I1409="TP",S1409&lt;=150),VLOOKUP(AF1409,TPCalibEq150!$AZ$2:$BB$55,3,),IF(AND(I1409="TDP",S1409&lt;=150),VLOOKUP(AF1409,TPCalibEq150!$AZ$2:$BB$55,3,)))</f>
        <v>0</v>
      </c>
      <c r="AR1409" s="10" t="b">
        <f>IF(AND(I1409="TP",S1409&lt;=300),VLOOKUP(AF1409,TPCalibEq300!$AZ$2:$BB$55,3,),IF(AND(I1409="TDP",S1409&lt;=300),VLOOKUP(AF1409,TPCalibEq300!$AZ$2:$BB$55,3,)))</f>
        <v>0</v>
      </c>
      <c r="AS1409" s="10" t="b">
        <f>IF(AND(I1409="TP",S1409&lt;=500),VLOOKUP(AF1409,TPCalibEq500!$AZ$2:$BB$56,3,),IF(AND(I1409="TDP",S1409&lt;=500),VLOOKUP(AF1409,TPCalibEq500!$AZ$2:$BB$56,3,)))</f>
        <v>0</v>
      </c>
      <c r="AT1409" s="10" t="b">
        <f>IF(AND(I1409="TN",S1409&lt;=2800),VLOOKUP(AF1409,TNCalibEq2500!$AZ$2:$BB$56,3,),IF(AND(I1409="TDN",S1409&lt;=2800),VLOOKUP(AF1409,TNCalibEq2500!$AZ$2:$BB$56,3,)))</f>
        <v>0</v>
      </c>
      <c r="AU1409" s="10" t="b">
        <f>IF(I1409="TP",VLOOKUP(AF1409,TPCalibEqFull!$AZ$2:$BB$56,3),IF(I1409="TDP",VLOOKUP(AF1409,TPCalibEqFull!$AZ$2:$BB$56,3),IF(I1409="TDN",VLOOKUP(AF1409,TNCalibEqFull!$AZ$1:$BB$56,3),IF(I1409="TN",VLOOKUP(AF1409,TNCalibEqFull!$AZ$1:$BB$56,3),FALSE))))</f>
        <v>0</v>
      </c>
      <c r="AV1409" s="10" t="str">
        <f t="shared" si="157"/>
        <v>0130 08:38:00-ELW-0-FIL-1-SW-UKN</v>
      </c>
    </row>
    <row r="1410" spans="1:48" s="10" customFormat="1" x14ac:dyDescent="0.55000000000000004">
      <c r="A1410" s="32">
        <v>44956</v>
      </c>
      <c r="B1410" s="33">
        <v>0.38055555555555554</v>
      </c>
      <c r="C1410" s="10" t="s">
        <v>357</v>
      </c>
      <c r="D1410" s="10">
        <v>0</v>
      </c>
      <c r="E1410" s="10" t="s">
        <v>911</v>
      </c>
      <c r="F1410" s="10">
        <v>1</v>
      </c>
      <c r="G1410" s="10" t="s">
        <v>231</v>
      </c>
      <c r="H1410" s="10" t="s">
        <v>322</v>
      </c>
      <c r="I1410" s="10" t="s">
        <v>183</v>
      </c>
      <c r="J1410" s="10">
        <v>70</v>
      </c>
      <c r="K1410" s="12">
        <v>44958</v>
      </c>
      <c r="L1410" s="33">
        <v>0.58255787037037032</v>
      </c>
      <c r="M1410" s="10">
        <v>1</v>
      </c>
      <c r="N1410" s="10" t="s">
        <v>76</v>
      </c>
      <c r="O1410" s="10">
        <v>0.159</v>
      </c>
      <c r="P1410" s="10">
        <v>1.2699999999999999E-2</v>
      </c>
      <c r="Q1410" s="10">
        <v>8.7799999999999994</v>
      </c>
      <c r="R1410" s="10" t="s">
        <v>77</v>
      </c>
      <c r="S1410" s="34">
        <f t="shared" si="161"/>
        <v>8.7799999999999994</v>
      </c>
      <c r="T1410" s="10" t="s">
        <v>1103</v>
      </c>
      <c r="U1410" s="34" t="str">
        <f t="shared" ref="U1410:U1473" si="162">IF(OR(H1410="CHK",H1410="ATP",H1410="GUP",H1410="PER", H1410="NIC", H1410="UREA"),(S1410/V1410*100),IF(H1410="DUP",((ABS(S1410-S1409))/((S1409+S1410)/2))*100,IF(H1410="SPK",((S1410-S1409)/V1410*100),IF(OR(H1410="LAB",H1410="FLD",H1410="ESF"),S1410,""))))</f>
        <v/>
      </c>
      <c r="V1410" s="31" t="str">
        <f>IF(H1410="CHK",VLOOKUP(I1410,QCCHK,3,),IF(H1410="GUP",VLOOKUP(E1410,QCGUP,2,),IF(AND(H1410="ATP",OR(I1410="TN",I1410="TDN",I1410="TNO2-3",I1410="NO2-3")),VLOOKUP(E1410,QCREC_N,2,),IF(AND(H1410="NIC",OR(I1410="TN",I1410="TDN",I1410="TNO2-3",I1410="NO2-3")),VLOOKUP(E1410,QCNIC_N,2,),IF(AND(H1410="UREA",OR(I1410="TN",I1410="TDN",I1410="TNO2-3",I1410="NO2-3")),VLOOKUP(E1410,QCUREA_N,2,),IF(H1410="PER",VLOOKUP(I1410,QCPER,MATCH(E1410,QCACTUAL!$J$25:$AA$25,0),),IF(H1410="SPK",VLOOKUP(I1410,QCSPK,3,),IF(AND(H1410="ATP",OR(I1410="TP",I1410="TDP")),VLOOKUP(E1410,QCATP_P,2,),""))))))))</f>
        <v/>
      </c>
      <c r="W1410" s="31" t="str">
        <f t="shared" ref="W1410:W1473" si="163">IF(AND(OR(H1410="PER",H1410="ATP",H1410="GUP",H1410="CHK",H1410="SPK", H1410="NIC"),OR(U1410&gt;125,U1410&lt;75)),"FALSE",IF(AND(H1410="DUP",OR(U1410&gt;25, U1410&lt;-25)),"FALSE",IF(AND(OR(H1410="LAB",H1410="FLD",H1410="ESF"),U1410&gt;15),"FALSE","TRUE")))</f>
        <v>TRUE</v>
      </c>
      <c r="X1410" s="31" t="str">
        <f t="shared" si="160"/>
        <v/>
      </c>
      <c r="Y1410" s="10" t="s">
        <v>1096</v>
      </c>
      <c r="Z1410" s="10" t="s">
        <v>910</v>
      </c>
      <c r="AL1410" s="10" t="str">
        <f t="shared" si="158"/>
        <v>FALSE</v>
      </c>
      <c r="AM1410" s="10" t="str">
        <f t="shared" si="158"/>
        <v>FALSE</v>
      </c>
      <c r="AN1410" s="10" t="str">
        <f t="shared" si="158"/>
        <v>FALSE</v>
      </c>
      <c r="AO1410" s="10" t="str">
        <f t="shared" si="159"/>
        <v>FALSE</v>
      </c>
      <c r="AP1410" s="10" t="str">
        <f t="shared" si="159"/>
        <v>FALSE</v>
      </c>
      <c r="AQ1410" s="10" t="b">
        <f>IF(AND(I1410="TP",S1410&lt;=150),VLOOKUP(AF1410,TPCalibEq150!$AZ$2:$BB$55,3,),IF(AND(I1410="TDP",S1410&lt;=150),VLOOKUP(AF1410,TPCalibEq150!$AZ$2:$BB$55,3,)))</f>
        <v>0</v>
      </c>
      <c r="AR1410" s="10" t="b">
        <f>IF(AND(I1410="TP",S1410&lt;=300),VLOOKUP(AF1410,TPCalibEq300!$AZ$2:$BB$55,3,),IF(AND(I1410="TDP",S1410&lt;=300),VLOOKUP(AF1410,TPCalibEq300!$AZ$2:$BB$55,3,)))</f>
        <v>0</v>
      </c>
      <c r="AS1410" s="10" t="b">
        <f>IF(AND(I1410="TP",S1410&lt;=500),VLOOKUP(AF1410,TPCalibEq500!$AZ$2:$BB$56,3,),IF(AND(I1410="TDP",S1410&lt;=500),VLOOKUP(AF1410,TPCalibEq500!$AZ$2:$BB$56,3,)))</f>
        <v>0</v>
      </c>
      <c r="AT1410" s="10" t="b">
        <f>IF(AND(I1410="TN",S1410&lt;=2800),VLOOKUP(AF1410,TNCalibEq2500!$AZ$2:$BB$56,3,),IF(AND(I1410="TDN",S1410&lt;=2800),VLOOKUP(AF1410,TNCalibEq2500!$AZ$2:$BB$56,3,)))</f>
        <v>0</v>
      </c>
      <c r="AU1410" s="10" t="b">
        <f>IF(I1410="TP",VLOOKUP(AF1410,TPCalibEqFull!$AZ$2:$BB$56,3),IF(I1410="TDP",VLOOKUP(AF1410,TPCalibEqFull!$AZ$2:$BB$56,3),IF(I1410="TDN",VLOOKUP(AF1410,TNCalibEqFull!$AZ$1:$BB$56,3),IF(I1410="TN",VLOOKUP(AF1410,TNCalibEqFull!$AZ$1:$BB$56,3),FALSE))))</f>
        <v>0</v>
      </c>
      <c r="AV1410" s="10" t="str">
        <f t="shared" ref="AV1410:AV1473" si="164">TEXT(A1410, "MMDD")&amp;" "&amp;TEXT(B1410, "HH:MM:SS")&amp;"-"&amp;C1410&amp;"-"&amp;D1410&amp;"-"&amp;E1410&amp;"-"&amp;F1410&amp;"-"&amp;G1410&amp;"-"&amp;H1410</f>
        <v>0130 09:08:00-STC-0-FIL-1-SW-UKN</v>
      </c>
    </row>
    <row r="1411" spans="1:48" s="10" customFormat="1" x14ac:dyDescent="0.55000000000000004">
      <c r="A1411" s="32">
        <v>44956</v>
      </c>
      <c r="B1411" s="33">
        <v>0.3972222222222222</v>
      </c>
      <c r="C1411" s="10" t="s">
        <v>999</v>
      </c>
      <c r="D1411" s="10">
        <v>0</v>
      </c>
      <c r="E1411" s="10" t="s">
        <v>911</v>
      </c>
      <c r="F1411" s="10">
        <v>1</v>
      </c>
      <c r="G1411" s="10" t="s">
        <v>231</v>
      </c>
      <c r="H1411" s="10" t="s">
        <v>322</v>
      </c>
      <c r="I1411" s="10" t="s">
        <v>183</v>
      </c>
      <c r="J1411" s="10">
        <v>71</v>
      </c>
      <c r="K1411" s="12">
        <v>44958</v>
      </c>
      <c r="L1411" s="33">
        <v>0.58336805555555549</v>
      </c>
      <c r="M1411" s="10">
        <v>1</v>
      </c>
      <c r="N1411" s="10" t="s">
        <v>76</v>
      </c>
      <c r="O1411" s="10">
        <v>0.23100000000000001</v>
      </c>
      <c r="P1411" s="10">
        <v>1.8499999999999999E-2</v>
      </c>
      <c r="Q1411" s="10">
        <v>12.7</v>
      </c>
      <c r="R1411" s="10" t="s">
        <v>77</v>
      </c>
      <c r="S1411" s="34">
        <f t="shared" si="161"/>
        <v>12.7</v>
      </c>
      <c r="T1411" s="10" t="s">
        <v>1103</v>
      </c>
      <c r="U1411" s="34" t="str">
        <f t="shared" si="162"/>
        <v/>
      </c>
      <c r="V1411" s="31" t="str">
        <f>IF(H1411="CHK",VLOOKUP(I1411,QCCHK,3,),IF(H1411="GUP",VLOOKUP(E1411,QCGUP,2,),IF(AND(H1411="ATP",OR(I1411="TN",I1411="TDN",I1411="TNO2-3",I1411="NO2-3")),VLOOKUP(E1411,QCREC_N,2,),IF(AND(H1411="NIC",OR(I1411="TN",I1411="TDN",I1411="TNO2-3",I1411="NO2-3")),VLOOKUP(E1411,QCNIC_N,2,),IF(AND(H1411="UREA",OR(I1411="TN",I1411="TDN",I1411="TNO2-3",I1411="NO2-3")),VLOOKUP(E1411,QCUREA_N,2,),IF(H1411="PER",VLOOKUP(I1411,QCPER,MATCH(E1411,QCACTUAL!$J$25:$AA$25,0),),IF(H1411="SPK",VLOOKUP(I1411,QCSPK,3,),IF(AND(H1411="ATP",OR(I1411="TP",I1411="TDP")),VLOOKUP(E1411,QCATP_P,2,),""))))))))</f>
        <v/>
      </c>
      <c r="W1411" s="31" t="str">
        <f t="shared" si="163"/>
        <v>TRUE</v>
      </c>
      <c r="X1411" s="31" t="str">
        <f t="shared" si="160"/>
        <v/>
      </c>
      <c r="Y1411" s="10" t="s">
        <v>1096</v>
      </c>
      <c r="Z1411" s="10" t="s">
        <v>910</v>
      </c>
      <c r="AL1411" s="10" t="str">
        <f t="shared" si="158"/>
        <v>FALSE</v>
      </c>
      <c r="AM1411" s="10" t="str">
        <f t="shared" si="158"/>
        <v>FALSE</v>
      </c>
      <c r="AN1411" s="10" t="str">
        <f t="shared" si="158"/>
        <v>FALSE</v>
      </c>
      <c r="AO1411" s="10" t="str">
        <f t="shared" si="159"/>
        <v>FALSE</v>
      </c>
      <c r="AP1411" s="10" t="str">
        <f t="shared" si="159"/>
        <v>FALSE</v>
      </c>
      <c r="AQ1411" s="10" t="b">
        <f>IF(AND(I1411="TP",S1411&lt;=150),VLOOKUP(AF1411,TPCalibEq150!$AZ$2:$BB$55,3,),IF(AND(I1411="TDP",S1411&lt;=150),VLOOKUP(AF1411,TPCalibEq150!$AZ$2:$BB$55,3,)))</f>
        <v>0</v>
      </c>
      <c r="AR1411" s="10" t="b">
        <f>IF(AND(I1411="TP",S1411&lt;=300),VLOOKUP(AF1411,TPCalibEq300!$AZ$2:$BB$55,3,),IF(AND(I1411="TDP",S1411&lt;=300),VLOOKUP(AF1411,TPCalibEq300!$AZ$2:$BB$55,3,)))</f>
        <v>0</v>
      </c>
      <c r="AS1411" s="10" t="b">
        <f>IF(AND(I1411="TP",S1411&lt;=500),VLOOKUP(AF1411,TPCalibEq500!$AZ$2:$BB$56,3,),IF(AND(I1411="TDP",S1411&lt;=500),VLOOKUP(AF1411,TPCalibEq500!$AZ$2:$BB$56,3,)))</f>
        <v>0</v>
      </c>
      <c r="AT1411" s="10" t="b">
        <f>IF(AND(I1411="TN",S1411&lt;=2800),VLOOKUP(AF1411,TNCalibEq2500!$AZ$2:$BB$56,3,),IF(AND(I1411="TDN",S1411&lt;=2800),VLOOKUP(AF1411,TNCalibEq2500!$AZ$2:$BB$56,3,)))</f>
        <v>0</v>
      </c>
      <c r="AU1411" s="10" t="b">
        <f>IF(I1411="TP",VLOOKUP(AF1411,TPCalibEqFull!$AZ$2:$BB$56,3),IF(I1411="TDP",VLOOKUP(AF1411,TPCalibEqFull!$AZ$2:$BB$56,3),IF(I1411="TDN",VLOOKUP(AF1411,TNCalibEqFull!$AZ$1:$BB$56,3),IF(I1411="TN",VLOOKUP(AF1411,TNCalibEqFull!$AZ$1:$BB$56,3),FALSE))))</f>
        <v>0</v>
      </c>
      <c r="AV1411" s="10" t="str">
        <f t="shared" si="164"/>
        <v>0130 09:32:00-EAW-0-FIL-1-SW-UKN</v>
      </c>
    </row>
    <row r="1412" spans="1:48" s="10" customFormat="1" x14ac:dyDescent="0.55000000000000004">
      <c r="A1412" s="32">
        <v>44956</v>
      </c>
      <c r="B1412" s="33">
        <v>0.40486111111111112</v>
      </c>
      <c r="C1412" s="10" t="s">
        <v>310</v>
      </c>
      <c r="D1412" s="10">
        <v>0</v>
      </c>
      <c r="E1412" s="10" t="s">
        <v>911</v>
      </c>
      <c r="F1412" s="10">
        <v>1</v>
      </c>
      <c r="G1412" s="10" t="s">
        <v>231</v>
      </c>
      <c r="H1412" s="10" t="s">
        <v>322</v>
      </c>
      <c r="I1412" s="10" t="s">
        <v>183</v>
      </c>
      <c r="J1412" s="10">
        <v>72</v>
      </c>
      <c r="K1412" s="12">
        <v>44958</v>
      </c>
      <c r="L1412" s="33">
        <v>0.58417824074074076</v>
      </c>
      <c r="M1412" s="10">
        <v>1</v>
      </c>
      <c r="N1412" s="10" t="s">
        <v>76</v>
      </c>
      <c r="O1412" s="10">
        <v>0.23499999999999999</v>
      </c>
      <c r="P1412" s="10">
        <v>1.78E-2</v>
      </c>
      <c r="Q1412" s="10">
        <v>13</v>
      </c>
      <c r="R1412" s="10" t="s">
        <v>77</v>
      </c>
      <c r="S1412" s="34">
        <f t="shared" si="161"/>
        <v>13</v>
      </c>
      <c r="T1412" s="10" t="s">
        <v>1103</v>
      </c>
      <c r="U1412" s="34" t="str">
        <f t="shared" si="162"/>
        <v/>
      </c>
      <c r="V1412" s="31" t="str">
        <f>IF(H1412="CHK",VLOOKUP(I1412,QCCHK,3,),IF(H1412="GUP",VLOOKUP(E1412,QCGUP,2,),IF(AND(H1412="ATP",OR(I1412="TN",I1412="TDN",I1412="TNO2-3",I1412="NO2-3")),VLOOKUP(E1412,QCREC_N,2,),IF(AND(H1412="NIC",OR(I1412="TN",I1412="TDN",I1412="TNO2-3",I1412="NO2-3")),VLOOKUP(E1412,QCNIC_N,2,),IF(AND(H1412="UREA",OR(I1412="TN",I1412="TDN",I1412="TNO2-3",I1412="NO2-3")),VLOOKUP(E1412,QCUREA_N,2,),IF(H1412="PER",VLOOKUP(I1412,QCPER,MATCH(E1412,QCACTUAL!$J$25:$AA$25,0),),IF(H1412="SPK",VLOOKUP(I1412,QCSPK,3,),IF(AND(H1412="ATP",OR(I1412="TP",I1412="TDP")),VLOOKUP(E1412,QCATP_P,2,),""))))))))</f>
        <v/>
      </c>
      <c r="W1412" s="31" t="str">
        <f t="shared" si="163"/>
        <v>TRUE</v>
      </c>
      <c r="X1412" s="31" t="str">
        <f t="shared" si="160"/>
        <v/>
      </c>
      <c r="Y1412" s="10" t="s">
        <v>1096</v>
      </c>
      <c r="Z1412" s="10" t="s">
        <v>910</v>
      </c>
      <c r="AL1412" s="10" t="str">
        <f t="shared" si="158"/>
        <v>FALSE</v>
      </c>
      <c r="AM1412" s="10" t="str">
        <f t="shared" si="158"/>
        <v>FALSE</v>
      </c>
      <c r="AN1412" s="10" t="str">
        <f t="shared" si="158"/>
        <v>FALSE</v>
      </c>
      <c r="AO1412" s="10" t="str">
        <f t="shared" si="159"/>
        <v>FALSE</v>
      </c>
      <c r="AP1412" s="10" t="str">
        <f t="shared" si="159"/>
        <v>FALSE</v>
      </c>
      <c r="AQ1412" s="10" t="b">
        <f>IF(AND(I1412="TP",S1412&lt;=150),VLOOKUP(AF1412,TPCalibEq150!$AZ$2:$BB$55,3,),IF(AND(I1412="TDP",S1412&lt;=150),VLOOKUP(AF1412,TPCalibEq150!$AZ$2:$BB$55,3,)))</f>
        <v>0</v>
      </c>
      <c r="AR1412" s="10" t="b">
        <f>IF(AND(I1412="TP",S1412&lt;=300),VLOOKUP(AF1412,TPCalibEq300!$AZ$2:$BB$55,3,),IF(AND(I1412="TDP",S1412&lt;=300),VLOOKUP(AF1412,TPCalibEq300!$AZ$2:$BB$55,3,)))</f>
        <v>0</v>
      </c>
      <c r="AS1412" s="10" t="b">
        <f>IF(AND(I1412="TP",S1412&lt;=500),VLOOKUP(AF1412,TPCalibEq500!$AZ$2:$BB$56,3,),IF(AND(I1412="TDP",S1412&lt;=500),VLOOKUP(AF1412,TPCalibEq500!$AZ$2:$BB$56,3,)))</f>
        <v>0</v>
      </c>
      <c r="AT1412" s="10" t="b">
        <f>IF(AND(I1412="TN",S1412&lt;=2800),VLOOKUP(AF1412,TNCalibEq2500!$AZ$2:$BB$56,3,),IF(AND(I1412="TDN",S1412&lt;=2800),VLOOKUP(AF1412,TNCalibEq2500!$AZ$2:$BB$56,3,)))</f>
        <v>0</v>
      </c>
      <c r="AU1412" s="10" t="b">
        <f>IF(I1412="TP",VLOOKUP(AF1412,TPCalibEqFull!$AZ$2:$BB$56,3),IF(I1412="TDP",VLOOKUP(AF1412,TPCalibEqFull!$AZ$2:$BB$56,3),IF(I1412="TDN",VLOOKUP(AF1412,TNCalibEqFull!$AZ$1:$BB$56,3),IF(I1412="TN",VLOOKUP(AF1412,TNCalibEqFull!$AZ$1:$BB$56,3),FALSE))))</f>
        <v>0</v>
      </c>
      <c r="AV1412" s="10" t="str">
        <f t="shared" si="164"/>
        <v>0130 09:43:00-ELI-0-FIL-1-SW-UKN</v>
      </c>
    </row>
    <row r="1413" spans="1:48" s="10" customFormat="1" x14ac:dyDescent="0.55000000000000004">
      <c r="A1413" s="32">
        <v>44956</v>
      </c>
      <c r="B1413" s="33">
        <v>0.41597222222222219</v>
      </c>
      <c r="C1413" s="10" t="s">
        <v>408</v>
      </c>
      <c r="D1413" s="10">
        <v>0</v>
      </c>
      <c r="E1413" s="10" t="s">
        <v>911</v>
      </c>
      <c r="F1413" s="10">
        <v>1</v>
      </c>
      <c r="G1413" s="10" t="s">
        <v>231</v>
      </c>
      <c r="H1413" s="10" t="s">
        <v>322</v>
      </c>
      <c r="I1413" s="10" t="s">
        <v>183</v>
      </c>
      <c r="J1413" s="10">
        <v>73</v>
      </c>
      <c r="K1413" s="12">
        <v>44958</v>
      </c>
      <c r="L1413" s="33">
        <v>0.58498842592592593</v>
      </c>
      <c r="M1413" s="10">
        <v>1</v>
      </c>
      <c r="N1413" s="10" t="s">
        <v>76</v>
      </c>
      <c r="O1413" s="10">
        <v>0.17199999999999999</v>
      </c>
      <c r="P1413" s="10">
        <v>1.3599999999999999E-2</v>
      </c>
      <c r="Q1413" s="10">
        <v>9.48</v>
      </c>
      <c r="R1413" s="10" t="s">
        <v>77</v>
      </c>
      <c r="S1413" s="34">
        <f t="shared" si="161"/>
        <v>9.48</v>
      </c>
      <c r="T1413" s="10" t="s">
        <v>1103</v>
      </c>
      <c r="U1413" s="34" t="str">
        <f t="shared" si="162"/>
        <v/>
      </c>
      <c r="V1413" s="31" t="str">
        <f>IF(H1413="CHK",VLOOKUP(I1413,QCCHK,3,),IF(H1413="GUP",VLOOKUP(E1413,QCGUP,2,),IF(AND(H1413="ATP",OR(I1413="TN",I1413="TDN",I1413="TNO2-3",I1413="NO2-3")),VLOOKUP(E1413,QCREC_N,2,),IF(AND(H1413="NIC",OR(I1413="TN",I1413="TDN",I1413="TNO2-3",I1413="NO2-3")),VLOOKUP(E1413,QCNIC_N,2,),IF(AND(H1413="UREA",OR(I1413="TN",I1413="TDN",I1413="TNO2-3",I1413="NO2-3")),VLOOKUP(E1413,QCUREA_N,2,),IF(H1413="PER",VLOOKUP(I1413,QCPER,MATCH(E1413,QCACTUAL!$J$25:$AA$25,0),),IF(H1413="SPK",VLOOKUP(I1413,QCSPK,3,),IF(AND(H1413="ATP",OR(I1413="TP",I1413="TDP")),VLOOKUP(E1413,QCATP_P,2,),""))))))))</f>
        <v/>
      </c>
      <c r="W1413" s="31" t="str">
        <f t="shared" si="163"/>
        <v>TRUE</v>
      </c>
      <c r="X1413" s="31" t="str">
        <f t="shared" si="160"/>
        <v/>
      </c>
      <c r="Y1413" s="10" t="s">
        <v>1096</v>
      </c>
      <c r="Z1413" s="10" t="s">
        <v>910</v>
      </c>
      <c r="AL1413" s="10" t="str">
        <f t="shared" si="158"/>
        <v>FALSE</v>
      </c>
      <c r="AM1413" s="10" t="str">
        <f t="shared" si="158"/>
        <v>FALSE</v>
      </c>
      <c r="AN1413" s="10" t="str">
        <f t="shared" si="158"/>
        <v>FALSE</v>
      </c>
      <c r="AO1413" s="10" t="str">
        <f t="shared" si="159"/>
        <v>FALSE</v>
      </c>
      <c r="AP1413" s="10" t="str">
        <f t="shared" si="159"/>
        <v>FALSE</v>
      </c>
      <c r="AQ1413" s="10" t="b">
        <f>IF(AND(I1413="TP",S1413&lt;=150),VLOOKUP(AF1413,TPCalibEq150!$AZ$2:$BB$55,3,),IF(AND(I1413="TDP",S1413&lt;=150),VLOOKUP(AF1413,TPCalibEq150!$AZ$2:$BB$55,3,)))</f>
        <v>0</v>
      </c>
      <c r="AR1413" s="10" t="b">
        <f>IF(AND(I1413="TP",S1413&lt;=300),VLOOKUP(AF1413,TPCalibEq300!$AZ$2:$BB$55,3,),IF(AND(I1413="TDP",S1413&lt;=300),VLOOKUP(AF1413,TPCalibEq300!$AZ$2:$BB$55,3,)))</f>
        <v>0</v>
      </c>
      <c r="AS1413" s="10" t="b">
        <f>IF(AND(I1413="TP",S1413&lt;=500),VLOOKUP(AF1413,TPCalibEq500!$AZ$2:$BB$56,3,),IF(AND(I1413="TDP",S1413&lt;=500),VLOOKUP(AF1413,TPCalibEq500!$AZ$2:$BB$56,3,)))</f>
        <v>0</v>
      </c>
      <c r="AT1413" s="10" t="b">
        <f>IF(AND(I1413="TN",S1413&lt;=2800),VLOOKUP(AF1413,TNCalibEq2500!$AZ$2:$BB$56,3,),IF(AND(I1413="TDN",S1413&lt;=2800),VLOOKUP(AF1413,TNCalibEq2500!$AZ$2:$BB$56,3,)))</f>
        <v>0</v>
      </c>
      <c r="AU1413" s="10" t="b">
        <f>IF(I1413="TP",VLOOKUP(AF1413,TPCalibEqFull!$AZ$2:$BB$56,3),IF(I1413="TDP",VLOOKUP(AF1413,TPCalibEqFull!$AZ$2:$BB$56,3),IF(I1413="TDN",VLOOKUP(AF1413,TNCalibEqFull!$AZ$1:$BB$56,3),IF(I1413="TN",VLOOKUP(AF1413,TNCalibEqFull!$AZ$1:$BB$56,3),FALSE))))</f>
        <v>0</v>
      </c>
      <c r="AV1413" s="10" t="str">
        <f t="shared" si="164"/>
        <v>0130 09:59:00-CLC-0-FIL-1-SW-UKN</v>
      </c>
    </row>
    <row r="1414" spans="1:48" s="10" customFormat="1" x14ac:dyDescent="0.55000000000000004">
      <c r="A1414" s="32">
        <v>44956</v>
      </c>
      <c r="B1414" s="33">
        <v>0.43055555555555558</v>
      </c>
      <c r="C1414" s="10" t="s">
        <v>349</v>
      </c>
      <c r="D1414" s="10">
        <v>0</v>
      </c>
      <c r="E1414" s="10" t="s">
        <v>911</v>
      </c>
      <c r="F1414" s="10">
        <v>1</v>
      </c>
      <c r="G1414" s="10" t="s">
        <v>231</v>
      </c>
      <c r="H1414" s="10" t="s">
        <v>322</v>
      </c>
      <c r="I1414" s="10" t="s">
        <v>183</v>
      </c>
      <c r="J1414" s="10">
        <v>74</v>
      </c>
      <c r="K1414" s="12">
        <v>44958</v>
      </c>
      <c r="L1414" s="33">
        <v>0.58579861111111109</v>
      </c>
      <c r="M1414" s="10">
        <v>1</v>
      </c>
      <c r="N1414" s="10" t="s">
        <v>76</v>
      </c>
      <c r="O1414" s="10">
        <v>0.314</v>
      </c>
      <c r="P1414" s="10">
        <v>2.5499999999999998E-2</v>
      </c>
      <c r="Q1414" s="10">
        <v>17.3</v>
      </c>
      <c r="R1414" s="10" t="s">
        <v>77</v>
      </c>
      <c r="S1414" s="34">
        <f t="shared" si="161"/>
        <v>17.3</v>
      </c>
      <c r="T1414" s="10" t="s">
        <v>1103</v>
      </c>
      <c r="U1414" s="34" t="str">
        <f t="shared" si="162"/>
        <v/>
      </c>
      <c r="V1414" s="31" t="str">
        <f>IF(H1414="CHK",VLOOKUP(I1414,QCCHK,3,),IF(H1414="GUP",VLOOKUP(E1414,QCGUP,2,),IF(AND(H1414="ATP",OR(I1414="TN",I1414="TDN",I1414="TNO2-3",I1414="NO2-3")),VLOOKUP(E1414,QCREC_N,2,),IF(AND(H1414="NIC",OR(I1414="TN",I1414="TDN",I1414="TNO2-3",I1414="NO2-3")),VLOOKUP(E1414,QCNIC_N,2,),IF(AND(H1414="UREA",OR(I1414="TN",I1414="TDN",I1414="TNO2-3",I1414="NO2-3")),VLOOKUP(E1414,QCUREA_N,2,),IF(H1414="PER",VLOOKUP(I1414,QCPER,MATCH(E1414,QCACTUAL!$J$25:$AA$25,0),),IF(H1414="SPK",VLOOKUP(I1414,QCSPK,3,),IF(AND(H1414="ATP",OR(I1414="TP",I1414="TDP")),VLOOKUP(E1414,QCATP_P,2,),""))))))))</f>
        <v/>
      </c>
      <c r="W1414" s="31" t="str">
        <f t="shared" si="163"/>
        <v>TRUE</v>
      </c>
      <c r="X1414" s="31" t="str">
        <f t="shared" si="160"/>
        <v/>
      </c>
      <c r="Y1414" s="10" t="s">
        <v>1096</v>
      </c>
      <c r="Z1414" s="10" t="s">
        <v>910</v>
      </c>
      <c r="AL1414" s="10" t="str">
        <f t="shared" si="158"/>
        <v>FALSE</v>
      </c>
      <c r="AM1414" s="10" t="str">
        <f t="shared" si="158"/>
        <v>FALSE</v>
      </c>
      <c r="AN1414" s="10" t="str">
        <f t="shared" si="158"/>
        <v>FALSE</v>
      </c>
      <c r="AO1414" s="10" t="str">
        <f t="shared" si="159"/>
        <v>FALSE</v>
      </c>
      <c r="AP1414" s="10" t="str">
        <f t="shared" si="159"/>
        <v>FALSE</v>
      </c>
      <c r="AQ1414" s="10" t="b">
        <f>IF(AND(I1414="TP",S1414&lt;=150),VLOOKUP(AF1414,TPCalibEq150!$AZ$2:$BB$55,3,),IF(AND(I1414="TDP",S1414&lt;=150),VLOOKUP(AF1414,TPCalibEq150!$AZ$2:$BB$55,3,)))</f>
        <v>0</v>
      </c>
      <c r="AR1414" s="10" t="b">
        <f>IF(AND(I1414="TP",S1414&lt;=300),VLOOKUP(AF1414,TPCalibEq300!$AZ$2:$BB$55,3,),IF(AND(I1414="TDP",S1414&lt;=300),VLOOKUP(AF1414,TPCalibEq300!$AZ$2:$BB$55,3,)))</f>
        <v>0</v>
      </c>
      <c r="AS1414" s="10" t="b">
        <f>IF(AND(I1414="TP",S1414&lt;=500),VLOOKUP(AF1414,TPCalibEq500!$AZ$2:$BB$56,3,),IF(AND(I1414="TDP",S1414&lt;=500),VLOOKUP(AF1414,TPCalibEq500!$AZ$2:$BB$56,3,)))</f>
        <v>0</v>
      </c>
      <c r="AT1414" s="10" t="b">
        <f>IF(AND(I1414="TN",S1414&lt;=2800),VLOOKUP(AF1414,TNCalibEq2500!$AZ$2:$BB$56,3,),IF(AND(I1414="TDN",S1414&lt;=2800),VLOOKUP(AF1414,TNCalibEq2500!$AZ$2:$BB$56,3,)))</f>
        <v>0</v>
      </c>
      <c r="AU1414" s="10" t="b">
        <f>IF(I1414="TP",VLOOKUP(AF1414,TPCalibEqFull!$AZ$2:$BB$56,3),IF(I1414="TDP",VLOOKUP(AF1414,TPCalibEqFull!$AZ$2:$BB$56,3),IF(I1414="TDN",VLOOKUP(AF1414,TNCalibEqFull!$AZ$1:$BB$56,3),IF(I1414="TN",VLOOKUP(AF1414,TNCalibEqFull!$AZ$1:$BB$56,3),FALSE))))</f>
        <v>0</v>
      </c>
      <c r="AV1414" s="10" t="str">
        <f t="shared" si="164"/>
        <v>0130 10:20:00-SHA-0-FIL-1-SW-UKN</v>
      </c>
    </row>
    <row r="1415" spans="1:48" s="10" customFormat="1" x14ac:dyDescent="0.55000000000000004">
      <c r="A1415" s="32">
        <v>44956</v>
      </c>
      <c r="B1415" s="33">
        <v>0.44166666666666665</v>
      </c>
      <c r="C1415" s="10" t="s">
        <v>646</v>
      </c>
      <c r="D1415" s="10">
        <v>0</v>
      </c>
      <c r="E1415" s="10" t="s">
        <v>911</v>
      </c>
      <c r="F1415" s="10">
        <v>1</v>
      </c>
      <c r="G1415" s="10" t="s">
        <v>231</v>
      </c>
      <c r="H1415" s="10" t="s">
        <v>322</v>
      </c>
      <c r="I1415" s="10" t="s">
        <v>183</v>
      </c>
      <c r="J1415" s="10">
        <v>75</v>
      </c>
      <c r="K1415" s="12">
        <v>44958</v>
      </c>
      <c r="L1415" s="33">
        <v>0.58660879629629636</v>
      </c>
      <c r="M1415" s="10">
        <v>1</v>
      </c>
      <c r="N1415" s="10" t="s">
        <v>76</v>
      </c>
      <c r="O1415" s="10">
        <v>0.94799999999999995</v>
      </c>
      <c r="P1415" s="10">
        <v>7.5399999999999995E-2</v>
      </c>
      <c r="Q1415" s="10">
        <v>52.3</v>
      </c>
      <c r="R1415" s="10" t="s">
        <v>77</v>
      </c>
      <c r="S1415" s="34">
        <f t="shared" si="161"/>
        <v>52.3</v>
      </c>
      <c r="T1415" s="10" t="s">
        <v>1103</v>
      </c>
      <c r="U1415" s="34" t="str">
        <f t="shared" si="162"/>
        <v/>
      </c>
      <c r="V1415" s="31" t="str">
        <f>IF(H1415="CHK",VLOOKUP(I1415,QCCHK,3,),IF(H1415="GUP",VLOOKUP(E1415,QCGUP,2,),IF(AND(H1415="ATP",OR(I1415="TN",I1415="TDN",I1415="TNO2-3",I1415="NO2-3")),VLOOKUP(E1415,QCREC_N,2,),IF(AND(H1415="NIC",OR(I1415="TN",I1415="TDN",I1415="TNO2-3",I1415="NO2-3")),VLOOKUP(E1415,QCNIC_N,2,),IF(AND(H1415="UREA",OR(I1415="TN",I1415="TDN",I1415="TNO2-3",I1415="NO2-3")),VLOOKUP(E1415,QCUREA_N,2,),IF(H1415="PER",VLOOKUP(I1415,QCPER,MATCH(E1415,QCACTUAL!$J$25:$AA$25,0),),IF(H1415="SPK",VLOOKUP(I1415,QCSPK,3,),IF(AND(H1415="ATP",OR(I1415="TP",I1415="TDP")),VLOOKUP(E1415,QCATP_P,2,),""))))))))</f>
        <v/>
      </c>
      <c r="W1415" s="31" t="str">
        <f t="shared" si="163"/>
        <v>TRUE</v>
      </c>
      <c r="X1415" s="31" t="str">
        <f t="shared" si="160"/>
        <v/>
      </c>
      <c r="Y1415" s="10" t="s">
        <v>1096</v>
      </c>
      <c r="Z1415" s="10" t="s">
        <v>910</v>
      </c>
      <c r="AL1415" s="10" t="str">
        <f t="shared" si="158"/>
        <v>FALSE</v>
      </c>
      <c r="AM1415" s="10" t="str">
        <f t="shared" si="158"/>
        <v>FALSE</v>
      </c>
      <c r="AN1415" s="10" t="str">
        <f t="shared" si="158"/>
        <v>FALSE</v>
      </c>
      <c r="AO1415" s="10" t="str">
        <f t="shared" si="159"/>
        <v>FALSE</v>
      </c>
      <c r="AP1415" s="10" t="str">
        <f t="shared" si="159"/>
        <v>FALSE</v>
      </c>
      <c r="AQ1415" s="10" t="b">
        <f>IF(AND(I1415="TP",S1415&lt;=150),VLOOKUP(AF1415,TPCalibEq150!$AZ$2:$BB$55,3,),IF(AND(I1415="TDP",S1415&lt;=150),VLOOKUP(AF1415,TPCalibEq150!$AZ$2:$BB$55,3,)))</f>
        <v>0</v>
      </c>
      <c r="AR1415" s="10" t="b">
        <f>IF(AND(I1415="TP",S1415&lt;=300),VLOOKUP(AF1415,TPCalibEq300!$AZ$2:$BB$55,3,),IF(AND(I1415="TDP",S1415&lt;=300),VLOOKUP(AF1415,TPCalibEq300!$AZ$2:$BB$55,3,)))</f>
        <v>0</v>
      </c>
      <c r="AS1415" s="10" t="b">
        <f>IF(AND(I1415="TP",S1415&lt;=500),VLOOKUP(AF1415,TPCalibEq500!$AZ$2:$BB$56,3,),IF(AND(I1415="TDP",S1415&lt;=500),VLOOKUP(AF1415,TPCalibEq500!$AZ$2:$BB$56,3,)))</f>
        <v>0</v>
      </c>
      <c r="AT1415" s="10" t="b">
        <f>IF(AND(I1415="TN",S1415&lt;=2800),VLOOKUP(AF1415,TNCalibEq2500!$AZ$2:$BB$56,3,),IF(AND(I1415="TDN",S1415&lt;=2800),VLOOKUP(AF1415,TNCalibEq2500!$AZ$2:$BB$56,3,)))</f>
        <v>0</v>
      </c>
      <c r="AU1415" s="10" t="b">
        <f>IF(I1415="TP",VLOOKUP(AF1415,TPCalibEqFull!$AZ$2:$BB$56,3),IF(I1415="TDP",VLOOKUP(AF1415,TPCalibEqFull!$AZ$2:$BB$56,3),IF(I1415="TDN",VLOOKUP(AF1415,TNCalibEqFull!$AZ$1:$BB$56,3),IF(I1415="TN",VLOOKUP(AF1415,TNCalibEqFull!$AZ$1:$BB$56,3),FALSE))))</f>
        <v>0</v>
      </c>
      <c r="AV1415" s="10" t="str">
        <f t="shared" si="164"/>
        <v>0130 10:36:00-EMB-0-FIL-1-SW-UKN</v>
      </c>
    </row>
    <row r="1416" spans="1:48" s="10" customFormat="1" x14ac:dyDescent="0.55000000000000004">
      <c r="A1416" s="32">
        <v>44956</v>
      </c>
      <c r="B1416" s="33">
        <v>0.45208333333333334</v>
      </c>
      <c r="C1416" s="10" t="s">
        <v>214</v>
      </c>
      <c r="D1416" s="10">
        <v>0</v>
      </c>
      <c r="E1416" s="10" t="s">
        <v>911</v>
      </c>
      <c r="F1416" s="10">
        <v>1</v>
      </c>
      <c r="G1416" s="10" t="s">
        <v>231</v>
      </c>
      <c r="H1416" s="10" t="s">
        <v>322</v>
      </c>
      <c r="I1416" s="10" t="s">
        <v>183</v>
      </c>
      <c r="J1416" s="10">
        <v>76</v>
      </c>
      <c r="K1416" s="12">
        <v>44958</v>
      </c>
      <c r="L1416" s="33">
        <v>0.58743055555555557</v>
      </c>
      <c r="M1416" s="10">
        <v>1</v>
      </c>
      <c r="N1416" s="10" t="s">
        <v>76</v>
      </c>
      <c r="O1416" s="10">
        <v>1.25</v>
      </c>
      <c r="P1416" s="10">
        <v>9.98E-2</v>
      </c>
      <c r="Q1416" s="10">
        <v>69.2</v>
      </c>
      <c r="R1416" s="10" t="s">
        <v>77</v>
      </c>
      <c r="S1416" s="34">
        <f t="shared" si="161"/>
        <v>69.2</v>
      </c>
      <c r="T1416" s="10" t="s">
        <v>1103</v>
      </c>
      <c r="U1416" s="34" t="str">
        <f t="shared" si="162"/>
        <v/>
      </c>
      <c r="V1416" s="31" t="str">
        <f>IF(H1416="CHK",VLOOKUP(I1416,QCCHK,3,),IF(H1416="GUP",VLOOKUP(E1416,QCGUP,2,),IF(AND(H1416="ATP",OR(I1416="TN",I1416="TDN",I1416="TNO2-3",I1416="NO2-3")),VLOOKUP(E1416,QCREC_N,2,),IF(AND(H1416="NIC",OR(I1416="TN",I1416="TDN",I1416="TNO2-3",I1416="NO2-3")),VLOOKUP(E1416,QCNIC_N,2,),IF(AND(H1416="UREA",OR(I1416="TN",I1416="TDN",I1416="TNO2-3",I1416="NO2-3")),VLOOKUP(E1416,QCUREA_N,2,),IF(H1416="PER",VLOOKUP(I1416,QCPER,MATCH(E1416,QCACTUAL!$J$25:$AA$25,0),),IF(H1416="SPK",VLOOKUP(I1416,QCSPK,3,),IF(AND(H1416="ATP",OR(I1416="TP",I1416="TDP")),VLOOKUP(E1416,QCATP_P,2,),""))))))))</f>
        <v/>
      </c>
      <c r="W1416" s="31" t="str">
        <f t="shared" si="163"/>
        <v>TRUE</v>
      </c>
      <c r="X1416" s="31" t="str">
        <f t="shared" si="160"/>
        <v/>
      </c>
      <c r="Y1416" s="10" t="s">
        <v>1096</v>
      </c>
      <c r="Z1416" s="10" t="s">
        <v>910</v>
      </c>
      <c r="AL1416" s="10" t="str">
        <f t="shared" si="158"/>
        <v>FALSE</v>
      </c>
      <c r="AM1416" s="10" t="str">
        <f t="shared" si="158"/>
        <v>FALSE</v>
      </c>
      <c r="AN1416" s="10" t="str">
        <f t="shared" si="158"/>
        <v>FALSE</v>
      </c>
      <c r="AO1416" s="10" t="str">
        <f t="shared" si="159"/>
        <v>FALSE</v>
      </c>
      <c r="AP1416" s="10" t="str">
        <f t="shared" si="159"/>
        <v>FALSE</v>
      </c>
      <c r="AQ1416" s="10" t="b">
        <f>IF(AND(I1416="TP",S1416&lt;=150),VLOOKUP(AF1416,TPCalibEq150!$AZ$2:$BB$55,3,),IF(AND(I1416="TDP",S1416&lt;=150),VLOOKUP(AF1416,TPCalibEq150!$AZ$2:$BB$55,3,)))</f>
        <v>0</v>
      </c>
      <c r="AR1416" s="10" t="b">
        <f>IF(AND(I1416="TP",S1416&lt;=300),VLOOKUP(AF1416,TPCalibEq300!$AZ$2:$BB$55,3,),IF(AND(I1416="TDP",S1416&lt;=300),VLOOKUP(AF1416,TPCalibEq300!$AZ$2:$BB$55,3,)))</f>
        <v>0</v>
      </c>
      <c r="AS1416" s="10" t="b">
        <f>IF(AND(I1416="TP",S1416&lt;=500),VLOOKUP(AF1416,TPCalibEq500!$AZ$2:$BB$56,3,),IF(AND(I1416="TDP",S1416&lt;=500),VLOOKUP(AF1416,TPCalibEq500!$AZ$2:$BB$56,3,)))</f>
        <v>0</v>
      </c>
      <c r="AT1416" s="10" t="b">
        <f>IF(AND(I1416="TN",S1416&lt;=2800),VLOOKUP(AF1416,TNCalibEq2500!$AZ$2:$BB$56,3,),IF(AND(I1416="TDN",S1416&lt;=2800),VLOOKUP(AF1416,TNCalibEq2500!$AZ$2:$BB$56,3,)))</f>
        <v>0</v>
      </c>
      <c r="AU1416" s="10" t="b">
        <f>IF(I1416="TP",VLOOKUP(AF1416,TPCalibEqFull!$AZ$2:$BB$56,3),IF(I1416="TDP",VLOOKUP(AF1416,TPCalibEqFull!$AZ$2:$BB$56,3),IF(I1416="TDN",VLOOKUP(AF1416,TNCalibEqFull!$AZ$1:$BB$56,3),IF(I1416="TN",VLOOKUP(AF1416,TNCalibEqFull!$AZ$1:$BB$56,3),FALSE))))</f>
        <v>0</v>
      </c>
      <c r="AV1416" s="10" t="str">
        <f t="shared" si="164"/>
        <v>0130 10:51:00-DAM-0-FIL-1-SW-UKN</v>
      </c>
    </row>
    <row r="1417" spans="1:48" s="10" customFormat="1" x14ac:dyDescent="0.55000000000000004">
      <c r="A1417" s="32">
        <v>44956</v>
      </c>
      <c r="B1417" s="33">
        <v>0.45208333333333334</v>
      </c>
      <c r="C1417" s="10" t="s">
        <v>214</v>
      </c>
      <c r="D1417" s="10">
        <v>0</v>
      </c>
      <c r="E1417" s="10" t="s">
        <v>911</v>
      </c>
      <c r="F1417" s="10">
        <v>2</v>
      </c>
      <c r="G1417" s="10" t="s">
        <v>231</v>
      </c>
      <c r="H1417" s="10" t="s">
        <v>322</v>
      </c>
      <c r="I1417" s="10" t="s">
        <v>183</v>
      </c>
      <c r="J1417" s="10">
        <v>77</v>
      </c>
      <c r="K1417" s="12">
        <v>44958</v>
      </c>
      <c r="L1417" s="33">
        <v>0.58825231481481477</v>
      </c>
      <c r="M1417" s="10">
        <v>1</v>
      </c>
      <c r="N1417" s="10" t="s">
        <v>76</v>
      </c>
      <c r="O1417" s="10">
        <v>1.4</v>
      </c>
      <c r="P1417" s="10">
        <v>0.109</v>
      </c>
      <c r="Q1417" s="10">
        <v>77.2</v>
      </c>
      <c r="R1417" s="10" t="s">
        <v>77</v>
      </c>
      <c r="S1417" s="34">
        <f t="shared" si="161"/>
        <v>77.2</v>
      </c>
      <c r="T1417" s="10" t="s">
        <v>1103</v>
      </c>
      <c r="U1417" s="34" t="str">
        <f t="shared" si="162"/>
        <v/>
      </c>
      <c r="V1417" s="31" t="str">
        <f>IF(H1417="CHK",VLOOKUP(I1417,QCCHK,3,),IF(H1417="GUP",VLOOKUP(E1417,QCGUP,2,),IF(AND(H1417="ATP",OR(I1417="TN",I1417="TDN",I1417="TNO2-3",I1417="NO2-3")),VLOOKUP(E1417,QCREC_N,2,),IF(AND(H1417="NIC",OR(I1417="TN",I1417="TDN",I1417="TNO2-3",I1417="NO2-3")),VLOOKUP(E1417,QCNIC_N,2,),IF(AND(H1417="UREA",OR(I1417="TN",I1417="TDN",I1417="TNO2-3",I1417="NO2-3")),VLOOKUP(E1417,QCUREA_N,2,),IF(H1417="PER",VLOOKUP(I1417,QCPER,MATCH(E1417,QCACTUAL!$J$25:$AA$25,0),),IF(H1417="SPK",VLOOKUP(I1417,QCSPK,3,),IF(AND(H1417="ATP",OR(I1417="TP",I1417="TDP")),VLOOKUP(E1417,QCATP_P,2,),""))))))))</f>
        <v/>
      </c>
      <c r="W1417" s="31" t="str">
        <f t="shared" si="163"/>
        <v>TRUE</v>
      </c>
      <c r="X1417" s="31" t="str">
        <f t="shared" si="160"/>
        <v/>
      </c>
      <c r="Y1417" s="10" t="s">
        <v>1096</v>
      </c>
      <c r="Z1417" s="10" t="s">
        <v>910</v>
      </c>
      <c r="AL1417" s="10" t="str">
        <f t="shared" si="158"/>
        <v>FALSE</v>
      </c>
      <c r="AM1417" s="10" t="str">
        <f t="shared" si="158"/>
        <v>FALSE</v>
      </c>
      <c r="AN1417" s="10" t="str">
        <f t="shared" si="158"/>
        <v>FALSE</v>
      </c>
      <c r="AO1417" s="10" t="str">
        <f t="shared" si="159"/>
        <v>FALSE</v>
      </c>
      <c r="AP1417" s="10" t="str">
        <f t="shared" si="159"/>
        <v>FALSE</v>
      </c>
      <c r="AQ1417" s="10" t="b">
        <f>IF(AND(I1417="TP",S1417&lt;=150),VLOOKUP(AF1417,TPCalibEq150!$AZ$2:$BB$55,3,),IF(AND(I1417="TDP",S1417&lt;=150),VLOOKUP(AF1417,TPCalibEq150!$AZ$2:$BB$55,3,)))</f>
        <v>0</v>
      </c>
      <c r="AR1417" s="10" t="b">
        <f>IF(AND(I1417="TP",S1417&lt;=300),VLOOKUP(AF1417,TPCalibEq300!$AZ$2:$BB$55,3,),IF(AND(I1417="TDP",S1417&lt;=300),VLOOKUP(AF1417,TPCalibEq300!$AZ$2:$BB$55,3,)))</f>
        <v>0</v>
      </c>
      <c r="AS1417" s="10" t="b">
        <f>IF(AND(I1417="TP",S1417&lt;=500),VLOOKUP(AF1417,TPCalibEq500!$AZ$2:$BB$56,3,),IF(AND(I1417="TDP",S1417&lt;=500),VLOOKUP(AF1417,TPCalibEq500!$AZ$2:$BB$56,3,)))</f>
        <v>0</v>
      </c>
      <c r="AT1417" s="10" t="b">
        <f>IF(AND(I1417="TN",S1417&lt;=2800),VLOOKUP(AF1417,TNCalibEq2500!$AZ$2:$BB$56,3,),IF(AND(I1417="TDN",S1417&lt;=2800),VLOOKUP(AF1417,TNCalibEq2500!$AZ$2:$BB$56,3,)))</f>
        <v>0</v>
      </c>
      <c r="AU1417" s="10" t="b">
        <f>IF(I1417="TP",VLOOKUP(AF1417,TPCalibEqFull!$AZ$2:$BB$56,3),IF(I1417="TDP",VLOOKUP(AF1417,TPCalibEqFull!$AZ$2:$BB$56,3),IF(I1417="TDN",VLOOKUP(AF1417,TNCalibEqFull!$AZ$1:$BB$56,3),IF(I1417="TN",VLOOKUP(AF1417,TNCalibEqFull!$AZ$1:$BB$56,3),FALSE))))</f>
        <v>0</v>
      </c>
      <c r="AV1417" s="10" t="str">
        <f t="shared" si="164"/>
        <v>0130 10:51:00-DAM-0-FIL-2-SW-UKN</v>
      </c>
    </row>
    <row r="1418" spans="1:48" s="10" customFormat="1" x14ac:dyDescent="0.55000000000000004">
      <c r="A1418" s="32">
        <v>44956</v>
      </c>
      <c r="B1418" s="33">
        <v>0.45208333333333334</v>
      </c>
      <c r="C1418" s="10" t="s">
        <v>214</v>
      </c>
      <c r="D1418" s="10">
        <v>0</v>
      </c>
      <c r="E1418" s="10" t="s">
        <v>911</v>
      </c>
      <c r="F1418" s="10">
        <v>2</v>
      </c>
      <c r="G1418" s="10" t="s">
        <v>231</v>
      </c>
      <c r="H1418" s="10" t="s">
        <v>233</v>
      </c>
      <c r="I1418" s="10" t="s">
        <v>183</v>
      </c>
      <c r="J1418" s="10">
        <v>77</v>
      </c>
      <c r="K1418" s="12">
        <v>44958</v>
      </c>
      <c r="L1418" s="33">
        <v>0.58908564814814812</v>
      </c>
      <c r="M1418" s="10">
        <v>1</v>
      </c>
      <c r="N1418" s="10" t="s">
        <v>76</v>
      </c>
      <c r="O1418" s="10">
        <v>1.1200000000000001</v>
      </c>
      <c r="P1418" s="10">
        <v>8.9300000000000004E-2</v>
      </c>
      <c r="Q1418" s="10">
        <v>61.9</v>
      </c>
      <c r="R1418" s="10" t="s">
        <v>77</v>
      </c>
      <c r="S1418" s="34">
        <f t="shared" si="161"/>
        <v>61.9</v>
      </c>
      <c r="T1418" s="10" t="s">
        <v>1103</v>
      </c>
      <c r="U1418" s="34">
        <f t="shared" si="162"/>
        <v>21.998562185478079</v>
      </c>
      <c r="V1418" s="31" t="str">
        <f>IF(H1418="CHK",VLOOKUP(I1418,QCCHK,3,),IF(H1418="GUP",VLOOKUP(E1418,QCGUP,2,),IF(AND(H1418="ATP",OR(I1418="TN",I1418="TDN",I1418="TNO2-3",I1418="NO2-3")),VLOOKUP(E1418,QCREC_N,2,),IF(AND(H1418="NIC",OR(I1418="TN",I1418="TDN",I1418="TNO2-3",I1418="NO2-3")),VLOOKUP(E1418,QCNIC_N,2,),IF(AND(H1418="UREA",OR(I1418="TN",I1418="TDN",I1418="TNO2-3",I1418="NO2-3")),VLOOKUP(E1418,QCUREA_N,2,),IF(H1418="PER",VLOOKUP(I1418,QCPER,MATCH(E1418,QCACTUAL!$J$25:$AA$25,0),),IF(H1418="SPK",VLOOKUP(I1418,QCSPK,3,),IF(AND(H1418="ATP",OR(I1418="TP",I1418="TDP")),VLOOKUP(E1418,QCATP_P,2,),""))))))))</f>
        <v/>
      </c>
      <c r="W1418" s="31" t="str">
        <f t="shared" si="163"/>
        <v>TRUE</v>
      </c>
      <c r="X1418" s="31" t="str">
        <f t="shared" si="160"/>
        <v>((ABS(rep1-rep2))/((rep1+rep2)/2)*100</v>
      </c>
      <c r="Y1418" s="10" t="s">
        <v>1096</v>
      </c>
      <c r="Z1418" s="10" t="s">
        <v>910</v>
      </c>
      <c r="AL1418" s="10" t="str">
        <f t="shared" si="158"/>
        <v>FALSE</v>
      </c>
      <c r="AM1418" s="10" t="str">
        <f t="shared" si="158"/>
        <v>FALSE</v>
      </c>
      <c r="AN1418" s="10" t="str">
        <f t="shared" si="158"/>
        <v>FALSE</v>
      </c>
      <c r="AO1418" s="10" t="str">
        <f t="shared" si="159"/>
        <v>FALSE</v>
      </c>
      <c r="AP1418" s="10" t="str">
        <f t="shared" si="159"/>
        <v>FALSE</v>
      </c>
      <c r="AQ1418" s="10" t="b">
        <f>IF(AND(I1418="TP",S1418&lt;=150),VLOOKUP(AF1418,TPCalibEq150!$AZ$2:$BB$55,3,),IF(AND(I1418="TDP",S1418&lt;=150),VLOOKUP(AF1418,TPCalibEq150!$AZ$2:$BB$55,3,)))</f>
        <v>0</v>
      </c>
      <c r="AR1418" s="10" t="b">
        <f>IF(AND(I1418="TP",S1418&lt;=300),VLOOKUP(AF1418,TPCalibEq300!$AZ$2:$BB$55,3,),IF(AND(I1418="TDP",S1418&lt;=300),VLOOKUP(AF1418,TPCalibEq300!$AZ$2:$BB$55,3,)))</f>
        <v>0</v>
      </c>
      <c r="AS1418" s="10" t="b">
        <f>IF(AND(I1418="TP",S1418&lt;=500),VLOOKUP(AF1418,TPCalibEq500!$AZ$2:$BB$56,3,),IF(AND(I1418="TDP",S1418&lt;=500),VLOOKUP(AF1418,TPCalibEq500!$AZ$2:$BB$56,3,)))</f>
        <v>0</v>
      </c>
      <c r="AT1418" s="10" t="b">
        <f>IF(AND(I1418="TN",S1418&lt;=2800),VLOOKUP(AF1418,TNCalibEq2500!$AZ$2:$BB$56,3,),IF(AND(I1418="TDN",S1418&lt;=2800),VLOOKUP(AF1418,TNCalibEq2500!$AZ$2:$BB$56,3,)))</f>
        <v>0</v>
      </c>
      <c r="AU1418" s="10" t="b">
        <f>IF(I1418="TP",VLOOKUP(AF1418,TPCalibEqFull!$AZ$2:$BB$56,3),IF(I1418="TDP",VLOOKUP(AF1418,TPCalibEqFull!$AZ$2:$BB$56,3),IF(I1418="TDN",VLOOKUP(AF1418,TNCalibEqFull!$AZ$1:$BB$56,3),IF(I1418="TN",VLOOKUP(AF1418,TNCalibEqFull!$AZ$1:$BB$56,3),FALSE))))</f>
        <v>0</v>
      </c>
      <c r="AV1418" s="10" t="str">
        <f t="shared" si="164"/>
        <v>0130 10:51:00-DAM-0-FIL-2-SW-DUP</v>
      </c>
    </row>
    <row r="1419" spans="1:48" s="10" customFormat="1" x14ac:dyDescent="0.55000000000000004">
      <c r="A1419" s="32">
        <v>44956</v>
      </c>
      <c r="B1419" s="33">
        <v>0.45208333333333334</v>
      </c>
      <c r="C1419" s="10" t="s">
        <v>214</v>
      </c>
      <c r="D1419" s="10">
        <v>0</v>
      </c>
      <c r="E1419" s="10" t="s">
        <v>911</v>
      </c>
      <c r="F1419" s="10">
        <v>2</v>
      </c>
      <c r="G1419" s="10" t="s">
        <v>231</v>
      </c>
      <c r="H1419" s="10" t="s">
        <v>314</v>
      </c>
      <c r="I1419" s="10" t="s">
        <v>183</v>
      </c>
      <c r="J1419" s="10">
        <v>90</v>
      </c>
      <c r="K1419" s="12">
        <v>44958</v>
      </c>
      <c r="L1419" s="33">
        <v>0.5898958333333334</v>
      </c>
      <c r="M1419" s="10">
        <v>1</v>
      </c>
      <c r="N1419" s="10" t="s">
        <v>76</v>
      </c>
      <c r="O1419" s="10">
        <v>12.9</v>
      </c>
      <c r="P1419" s="10">
        <v>1.04</v>
      </c>
      <c r="Q1419" s="10">
        <v>714</v>
      </c>
      <c r="R1419" s="10" t="s">
        <v>77</v>
      </c>
      <c r="S1419" s="34">
        <f t="shared" si="161"/>
        <v>714</v>
      </c>
      <c r="T1419" s="10" t="s">
        <v>1103</v>
      </c>
      <c r="U1419" s="34">
        <f t="shared" si="162"/>
        <v>104.33600000000001</v>
      </c>
      <c r="V1419" s="31">
        <f>IF(H1419="CHK",VLOOKUP(I1419,QCCHK,3,),IF(H1419="GUP",VLOOKUP(E1419,QCGUP,2,),IF(AND(H1419="ATP",OR(I1419="TN",I1419="TDN",I1419="TNO2-3",I1419="NO2-3")),VLOOKUP(E1419,QCREC_N,2,),IF(AND(H1419="NIC",OR(I1419="TN",I1419="TDN",I1419="TNO2-3",I1419="NO2-3")),VLOOKUP(E1419,QCNIC_N,2,),IF(AND(H1419="UREA",OR(I1419="TN",I1419="TDN",I1419="TNO2-3",I1419="NO2-3")),VLOOKUP(E1419,QCUREA_N,2,),IF(H1419="PER",VLOOKUP(I1419,QCPER,MATCH(E1419,QCACTUAL!$J$25:$AA$25,0),),IF(H1419="SPK",VLOOKUP(I1419,QCSPK,3,),IF(AND(H1419="ATP",OR(I1419="TP",I1419="TDP")),VLOOKUP(E1419,QCATP_P,2,),""))))))))</f>
        <v>625</v>
      </c>
      <c r="W1419" s="31" t="str">
        <f t="shared" si="163"/>
        <v>TRUE</v>
      </c>
      <c r="X1419" s="31" t="str">
        <f t="shared" si="160"/>
        <v>([spikedunkn]-[unkn])/[spike]*100</v>
      </c>
      <c r="Y1419" s="10" t="s">
        <v>1096</v>
      </c>
      <c r="Z1419" s="10" t="s">
        <v>910</v>
      </c>
      <c r="AL1419" s="10" t="str">
        <f t="shared" si="158"/>
        <v>FALSE</v>
      </c>
      <c r="AM1419" s="10" t="str">
        <f t="shared" si="158"/>
        <v>FALSE</v>
      </c>
      <c r="AN1419" s="10" t="str">
        <f t="shared" si="158"/>
        <v>FALSE</v>
      </c>
      <c r="AO1419" s="10" t="str">
        <f t="shared" si="159"/>
        <v>FALSE</v>
      </c>
      <c r="AP1419" s="10" t="str">
        <f t="shared" si="159"/>
        <v>FALSE</v>
      </c>
      <c r="AQ1419" s="10" t="b">
        <f>IF(AND(I1419="TP",S1419&lt;=150),VLOOKUP(AF1419,TPCalibEq150!$AZ$2:$BB$55,3,),IF(AND(I1419="TDP",S1419&lt;=150),VLOOKUP(AF1419,TPCalibEq150!$AZ$2:$BB$55,3,)))</f>
        <v>0</v>
      </c>
      <c r="AR1419" s="10" t="b">
        <f>IF(AND(I1419="TP",S1419&lt;=300),VLOOKUP(AF1419,TPCalibEq300!$AZ$2:$BB$55,3,),IF(AND(I1419="TDP",S1419&lt;=300),VLOOKUP(AF1419,TPCalibEq300!$AZ$2:$BB$55,3,)))</f>
        <v>0</v>
      </c>
      <c r="AS1419" s="10" t="b">
        <f>IF(AND(I1419="TP",S1419&lt;=500),VLOOKUP(AF1419,TPCalibEq500!$AZ$2:$BB$56,3,),IF(AND(I1419="TDP",S1419&lt;=500),VLOOKUP(AF1419,TPCalibEq500!$AZ$2:$BB$56,3,)))</f>
        <v>0</v>
      </c>
      <c r="AT1419" s="10" t="b">
        <f>IF(AND(I1419="TN",S1419&lt;=2800),VLOOKUP(AF1419,TNCalibEq2500!$AZ$2:$BB$56,3,),IF(AND(I1419="TDN",S1419&lt;=2800),VLOOKUP(AF1419,TNCalibEq2500!$AZ$2:$BB$56,3,)))</f>
        <v>0</v>
      </c>
      <c r="AU1419" s="10" t="b">
        <f>IF(I1419="TP",VLOOKUP(AF1419,TPCalibEqFull!$AZ$2:$BB$56,3),IF(I1419="TDP",VLOOKUP(AF1419,TPCalibEqFull!$AZ$2:$BB$56,3),IF(I1419="TDN",VLOOKUP(AF1419,TNCalibEqFull!$AZ$1:$BB$56,3),IF(I1419="TN",VLOOKUP(AF1419,TNCalibEqFull!$AZ$1:$BB$56,3),FALSE))))</f>
        <v>0</v>
      </c>
      <c r="AV1419" s="10" t="str">
        <f t="shared" si="164"/>
        <v>0130 10:51:00-DAM-0-FIL-2-SW-SPK</v>
      </c>
    </row>
    <row r="1420" spans="1:48" s="10" customFormat="1" x14ac:dyDescent="0.55000000000000004">
      <c r="A1420" s="32">
        <v>44958</v>
      </c>
      <c r="B1420" s="33">
        <v>0.375</v>
      </c>
      <c r="C1420" s="10" t="s">
        <v>70</v>
      </c>
      <c r="D1420" s="10" t="s">
        <v>71</v>
      </c>
      <c r="E1420" s="10" t="s">
        <v>901</v>
      </c>
      <c r="F1420" s="10">
        <v>1</v>
      </c>
      <c r="G1420" s="10" t="s">
        <v>73</v>
      </c>
      <c r="H1420" s="10" t="s">
        <v>207</v>
      </c>
      <c r="I1420" s="10" t="s">
        <v>75</v>
      </c>
      <c r="J1420" s="10">
        <v>202</v>
      </c>
      <c r="K1420" s="12">
        <v>44958</v>
      </c>
      <c r="L1420" s="33">
        <v>0.59072916666666664</v>
      </c>
      <c r="M1420" s="10">
        <v>1</v>
      </c>
      <c r="N1420" s="10" t="s">
        <v>76</v>
      </c>
      <c r="O1420" s="10">
        <v>5.37</v>
      </c>
      <c r="P1420" s="10">
        <v>0.43</v>
      </c>
      <c r="Q1420" s="10">
        <v>297</v>
      </c>
      <c r="R1420" s="10" t="s">
        <v>77</v>
      </c>
      <c r="S1420" s="34">
        <f t="shared" si="161"/>
        <v>297</v>
      </c>
      <c r="T1420" s="10" t="s">
        <v>1103</v>
      </c>
      <c r="U1420" s="34">
        <f t="shared" si="162"/>
        <v>99</v>
      </c>
      <c r="V1420" s="31">
        <f>IF(H1420="CHK",VLOOKUP(I1420,QCCHK,3,),IF(H1420="GUP",VLOOKUP(E1420,QCGUP,2,),IF(AND(H1420="ATP",OR(I1420="TN",I1420="TDN",I1420="TNO2-3",I1420="NO2-3")),VLOOKUP(E1420,QCREC_N,2,),IF(AND(H1420="NIC",OR(I1420="TN",I1420="TDN",I1420="TNO2-3",I1420="NO2-3")),VLOOKUP(E1420,QCNIC_N,2,),IF(AND(H1420="UREA",OR(I1420="TN",I1420="TDN",I1420="TNO2-3",I1420="NO2-3")),VLOOKUP(E1420,QCUREA_N,2,),IF(H1420="PER",VLOOKUP(I1420,QCPER,MATCH(E1420,QCACTUAL!$J$25:$AA$25,0),),IF(H1420="SPK",VLOOKUP(I1420,QCSPK,3,),IF(AND(H1420="ATP",OR(I1420="TP",I1420="TDP")),VLOOKUP(E1420,QCATP_P,2,),""))))))))</f>
        <v>300</v>
      </c>
      <c r="W1420" s="31" t="str">
        <f t="shared" si="163"/>
        <v>TRUE</v>
      </c>
      <c r="X1420" s="31" t="str">
        <f t="shared" si="160"/>
        <v>[chk]/[actual]*100</v>
      </c>
      <c r="Y1420" s="10" t="s">
        <v>1096</v>
      </c>
      <c r="AL1420" s="10" t="str">
        <f t="shared" si="158"/>
        <v>FALSE</v>
      </c>
      <c r="AM1420" s="10" t="str">
        <f t="shared" si="158"/>
        <v>FALSE</v>
      </c>
      <c r="AN1420" s="10" t="str">
        <f t="shared" si="158"/>
        <v>FALSE</v>
      </c>
      <c r="AO1420" s="10" t="str">
        <f t="shared" si="159"/>
        <v>FALSE</v>
      </c>
      <c r="AP1420" s="10" t="str">
        <f t="shared" si="159"/>
        <v>FALSE</v>
      </c>
      <c r="AQ1420" s="10" t="b">
        <f>IF(AND(I1420="TP",S1420&lt;=150),VLOOKUP(AF1420,TPCalibEq150!$AZ$2:$BB$55,3,),IF(AND(I1420="TDP",S1420&lt;=150),VLOOKUP(AF1420,TPCalibEq150!$AZ$2:$BB$55,3,)))</f>
        <v>0</v>
      </c>
      <c r="AR1420" s="10" t="b">
        <f>IF(AND(I1420="TP",S1420&lt;=300),VLOOKUP(AF1420,TPCalibEq300!$AZ$2:$BB$55,3,),IF(AND(I1420="TDP",S1420&lt;=300),VLOOKUP(AF1420,TPCalibEq300!$AZ$2:$BB$55,3,)))</f>
        <v>0</v>
      </c>
      <c r="AS1420" s="10" t="b">
        <f>IF(AND(I1420="TP",S1420&lt;=500),VLOOKUP(AF1420,TPCalibEq500!$AZ$2:$BB$56,3,),IF(AND(I1420="TDP",S1420&lt;=500),VLOOKUP(AF1420,TPCalibEq500!$AZ$2:$BB$56,3,)))</f>
        <v>0</v>
      </c>
      <c r="AT1420" s="10" t="b">
        <f>IF(AND(I1420="TN",S1420&lt;=2800),VLOOKUP(AF1420,TNCalibEq2500!$AZ$2:$BB$56,3,),IF(AND(I1420="TDN",S1420&lt;=2800),VLOOKUP(AF1420,TNCalibEq2500!$AZ$2:$BB$56,3,)))</f>
        <v>0</v>
      </c>
      <c r="AU1420" s="10" t="b">
        <f>IF(I1420="TP",VLOOKUP(AF1420,TPCalibEqFull!$AZ$2:$BB$56,3),IF(I1420="TDP",VLOOKUP(AF1420,TPCalibEqFull!$AZ$2:$BB$56,3),IF(I1420="TDN",VLOOKUP(AF1420,TNCalibEqFull!$AZ$1:$BB$56,3),IF(I1420="TN",VLOOKUP(AF1420,TNCalibEqFull!$AZ$1:$BB$56,3),FALSE))))</f>
        <v>0</v>
      </c>
      <c r="AV1420" s="10" t="str">
        <f t="shared" si="164"/>
        <v>0201 09:00:00-QAC-STD-D-1-DI-CHK</v>
      </c>
    </row>
    <row r="1421" spans="1:48" s="10" customFormat="1" x14ac:dyDescent="0.55000000000000004">
      <c r="A1421" s="32">
        <v>44956</v>
      </c>
      <c r="B1421" s="33">
        <v>0.46527777777777773</v>
      </c>
      <c r="C1421" s="10" t="s">
        <v>341</v>
      </c>
      <c r="D1421" s="10">
        <v>0</v>
      </c>
      <c r="E1421" s="10" t="s">
        <v>911</v>
      </c>
      <c r="F1421" s="10">
        <v>1</v>
      </c>
      <c r="G1421" s="10" t="s">
        <v>231</v>
      </c>
      <c r="H1421" s="10" t="s">
        <v>322</v>
      </c>
      <c r="I1421" s="10" t="s">
        <v>183</v>
      </c>
      <c r="J1421" s="10">
        <v>78</v>
      </c>
      <c r="K1421" s="12">
        <v>44958</v>
      </c>
      <c r="L1421" s="33">
        <v>0.5915393518518518</v>
      </c>
      <c r="M1421" s="10">
        <v>1</v>
      </c>
      <c r="N1421" s="10" t="s">
        <v>76</v>
      </c>
      <c r="O1421" s="10">
        <v>1.2200000000000001E-2</v>
      </c>
      <c r="P1421" s="10">
        <v>1.8E-3</v>
      </c>
      <c r="Q1421" s="10">
        <v>0.67400000000000004</v>
      </c>
      <c r="R1421" s="10" t="s">
        <v>77</v>
      </c>
      <c r="S1421" s="34">
        <f t="shared" si="161"/>
        <v>0.67400000000000004</v>
      </c>
      <c r="T1421" s="10" t="s">
        <v>1103</v>
      </c>
      <c r="U1421" s="34" t="str">
        <f t="shared" si="162"/>
        <v/>
      </c>
      <c r="V1421" s="31" t="str">
        <f>IF(H1421="CHK",VLOOKUP(I1421,QCCHK,3,),IF(H1421="GUP",VLOOKUP(E1421,QCGUP,2,),IF(AND(H1421="ATP",OR(I1421="TN",I1421="TDN",I1421="TNO2-3",I1421="NO2-3")),VLOOKUP(E1421,QCREC_N,2,),IF(AND(H1421="NIC",OR(I1421="TN",I1421="TDN",I1421="TNO2-3",I1421="NO2-3")),VLOOKUP(E1421,QCNIC_N,2,),IF(AND(H1421="UREA",OR(I1421="TN",I1421="TDN",I1421="TNO2-3",I1421="NO2-3")),VLOOKUP(E1421,QCUREA_N,2,),IF(H1421="PER",VLOOKUP(I1421,QCPER,MATCH(E1421,QCACTUAL!$J$25:$AA$25,0),),IF(H1421="SPK",VLOOKUP(I1421,QCSPK,3,),IF(AND(H1421="ATP",OR(I1421="TP",I1421="TDP")),VLOOKUP(E1421,QCATP_P,2,),""))))))))</f>
        <v/>
      </c>
      <c r="W1421" s="31" t="str">
        <f t="shared" si="163"/>
        <v>TRUE</v>
      </c>
      <c r="X1421" s="31" t="str">
        <f t="shared" si="160"/>
        <v/>
      </c>
      <c r="Y1421" s="10" t="s">
        <v>1096</v>
      </c>
      <c r="Z1421" s="10" t="s">
        <v>910</v>
      </c>
      <c r="AL1421" s="10" t="str">
        <f t="shared" si="158"/>
        <v>FALSE</v>
      </c>
      <c r="AM1421" s="10" t="str">
        <f t="shared" si="158"/>
        <v>FALSE</v>
      </c>
      <c r="AN1421" s="10" t="str">
        <f t="shared" si="158"/>
        <v>FALSE</v>
      </c>
      <c r="AO1421" s="10" t="str">
        <f t="shared" si="159"/>
        <v>FALSE</v>
      </c>
      <c r="AP1421" s="10" t="str">
        <f t="shared" si="159"/>
        <v>FALSE</v>
      </c>
      <c r="AQ1421" s="10" t="b">
        <f>IF(AND(I1421="TP",S1421&lt;=150),VLOOKUP(AF1421,TPCalibEq150!$AZ$2:$BB$55,3,),IF(AND(I1421="TDP",S1421&lt;=150),VLOOKUP(AF1421,TPCalibEq150!$AZ$2:$BB$55,3,)))</f>
        <v>0</v>
      </c>
      <c r="AR1421" s="10" t="b">
        <f>IF(AND(I1421="TP",S1421&lt;=300),VLOOKUP(AF1421,TPCalibEq300!$AZ$2:$BB$55,3,),IF(AND(I1421="TDP",S1421&lt;=300),VLOOKUP(AF1421,TPCalibEq300!$AZ$2:$BB$55,3,)))</f>
        <v>0</v>
      </c>
      <c r="AS1421" s="10" t="b">
        <f>IF(AND(I1421="TP",S1421&lt;=500),VLOOKUP(AF1421,TPCalibEq500!$AZ$2:$BB$56,3,),IF(AND(I1421="TDP",S1421&lt;=500),VLOOKUP(AF1421,TPCalibEq500!$AZ$2:$BB$56,3,)))</f>
        <v>0</v>
      </c>
      <c r="AT1421" s="10" t="b">
        <f>IF(AND(I1421="TN",S1421&lt;=2800),VLOOKUP(AF1421,TNCalibEq2500!$AZ$2:$BB$56,3,),IF(AND(I1421="TDN",S1421&lt;=2800),VLOOKUP(AF1421,TNCalibEq2500!$AZ$2:$BB$56,3,)))</f>
        <v>0</v>
      </c>
      <c r="AU1421" s="10" t="b">
        <f>IF(I1421="TP",VLOOKUP(AF1421,TPCalibEqFull!$AZ$2:$BB$56,3),IF(I1421="TDP",VLOOKUP(AF1421,TPCalibEqFull!$AZ$2:$BB$56,3),IF(I1421="TDN",VLOOKUP(AF1421,TNCalibEqFull!$AZ$1:$BB$56,3),IF(I1421="TN",VLOOKUP(AF1421,TNCalibEqFull!$AZ$1:$BB$56,3),FALSE))))</f>
        <v>0</v>
      </c>
      <c r="AV1421" s="10" t="str">
        <f t="shared" si="164"/>
        <v>0130 11:10:00-LRC-0-FIL-1-SW-UKN</v>
      </c>
    </row>
    <row r="1422" spans="1:48" s="10" customFormat="1" x14ac:dyDescent="0.55000000000000004">
      <c r="A1422" s="32">
        <v>44956</v>
      </c>
      <c r="B1422" s="33">
        <v>0.4777777777777778</v>
      </c>
      <c r="C1422" s="10" t="s">
        <v>228</v>
      </c>
      <c r="D1422" s="10">
        <v>0</v>
      </c>
      <c r="E1422" s="10" t="s">
        <v>911</v>
      </c>
      <c r="F1422" s="10">
        <v>1</v>
      </c>
      <c r="G1422" s="10" t="s">
        <v>231</v>
      </c>
      <c r="H1422" s="10" t="s">
        <v>322</v>
      </c>
      <c r="I1422" s="10" t="s">
        <v>183</v>
      </c>
      <c r="J1422" s="10">
        <v>79</v>
      </c>
      <c r="K1422" s="12">
        <v>44958</v>
      </c>
      <c r="L1422" s="33">
        <v>0.59236111111111112</v>
      </c>
      <c r="M1422" s="10">
        <v>1</v>
      </c>
      <c r="N1422" s="10" t="s">
        <v>76</v>
      </c>
      <c r="O1422" s="10">
        <v>4.5400000000000003E-2</v>
      </c>
      <c r="P1422" s="10">
        <v>3.3700000000000002E-3</v>
      </c>
      <c r="Q1422" s="10">
        <v>2.5099999999999998</v>
      </c>
      <c r="R1422" s="10" t="s">
        <v>77</v>
      </c>
      <c r="S1422" s="34">
        <f t="shared" si="161"/>
        <v>2.5099999999999998</v>
      </c>
      <c r="T1422" s="10" t="s">
        <v>1103</v>
      </c>
      <c r="U1422" s="34" t="str">
        <f t="shared" si="162"/>
        <v/>
      </c>
      <c r="V1422" s="31" t="str">
        <f>IF(H1422="CHK",VLOOKUP(I1422,QCCHK,3,),IF(H1422="GUP",VLOOKUP(E1422,QCGUP,2,),IF(AND(H1422="ATP",OR(I1422="TN",I1422="TDN",I1422="TNO2-3",I1422="NO2-3")),VLOOKUP(E1422,QCREC_N,2,),IF(AND(H1422="NIC",OR(I1422="TN",I1422="TDN",I1422="TNO2-3",I1422="NO2-3")),VLOOKUP(E1422,QCNIC_N,2,),IF(AND(H1422="UREA",OR(I1422="TN",I1422="TDN",I1422="TNO2-3",I1422="NO2-3")),VLOOKUP(E1422,QCUREA_N,2,),IF(H1422="PER",VLOOKUP(I1422,QCPER,MATCH(E1422,QCACTUAL!$J$25:$AA$25,0),),IF(H1422="SPK",VLOOKUP(I1422,QCSPK,3,),IF(AND(H1422="ATP",OR(I1422="TP",I1422="TDP")),VLOOKUP(E1422,QCATP_P,2,),""))))))))</f>
        <v/>
      </c>
      <c r="W1422" s="31" t="str">
        <f t="shared" si="163"/>
        <v>TRUE</v>
      </c>
      <c r="X1422" s="31" t="str">
        <f t="shared" si="160"/>
        <v/>
      </c>
      <c r="Y1422" s="10" t="s">
        <v>1096</v>
      </c>
      <c r="Z1422" s="10" t="s">
        <v>910</v>
      </c>
      <c r="AL1422" s="10" t="str">
        <f t="shared" si="158"/>
        <v>FALSE</v>
      </c>
      <c r="AM1422" s="10" t="str">
        <f t="shared" si="158"/>
        <v>FALSE</v>
      </c>
      <c r="AN1422" s="10" t="str">
        <f t="shared" si="158"/>
        <v>FALSE</v>
      </c>
      <c r="AO1422" s="10" t="str">
        <f t="shared" si="159"/>
        <v>FALSE</v>
      </c>
      <c r="AP1422" s="10" t="str">
        <f t="shared" si="159"/>
        <v>FALSE</v>
      </c>
      <c r="AQ1422" s="10" t="b">
        <f>IF(AND(I1422="TP",S1422&lt;=150),VLOOKUP(AF1422,TPCalibEq150!$AZ$2:$BB$55,3,),IF(AND(I1422="TDP",S1422&lt;=150),VLOOKUP(AF1422,TPCalibEq150!$AZ$2:$BB$55,3,)))</f>
        <v>0</v>
      </c>
      <c r="AR1422" s="10" t="b">
        <f>IF(AND(I1422="TP",S1422&lt;=300),VLOOKUP(AF1422,TPCalibEq300!$AZ$2:$BB$55,3,),IF(AND(I1422="TDP",S1422&lt;=300),VLOOKUP(AF1422,TPCalibEq300!$AZ$2:$BB$55,3,)))</f>
        <v>0</v>
      </c>
      <c r="AS1422" s="10" t="b">
        <f>IF(AND(I1422="TP",S1422&lt;=500),VLOOKUP(AF1422,TPCalibEq500!$AZ$2:$BB$56,3,),IF(AND(I1422="TDP",S1422&lt;=500),VLOOKUP(AF1422,TPCalibEq500!$AZ$2:$BB$56,3,)))</f>
        <v>0</v>
      </c>
      <c r="AT1422" s="10" t="b">
        <f>IF(AND(I1422="TN",S1422&lt;=2800),VLOOKUP(AF1422,TNCalibEq2500!$AZ$2:$BB$56,3,),IF(AND(I1422="TDN",S1422&lt;=2800),VLOOKUP(AF1422,TNCalibEq2500!$AZ$2:$BB$56,3,)))</f>
        <v>0</v>
      </c>
      <c r="AU1422" s="10" t="b">
        <f>IF(I1422="TP",VLOOKUP(AF1422,TPCalibEqFull!$AZ$2:$BB$56,3),IF(I1422="TDP",VLOOKUP(AF1422,TPCalibEqFull!$AZ$2:$BB$56,3),IF(I1422="TDN",VLOOKUP(AF1422,TNCalibEqFull!$AZ$1:$BB$56,3),IF(I1422="TN",VLOOKUP(AF1422,TNCalibEqFull!$AZ$1:$BB$56,3),FALSE))))</f>
        <v>0</v>
      </c>
      <c r="AV1422" s="10" t="str">
        <f t="shared" si="164"/>
        <v>0130 11:28:00-DWT-0-FIL-1-SW-UKN</v>
      </c>
    </row>
    <row r="1423" spans="1:48" s="10" customFormat="1" x14ac:dyDescent="0.55000000000000004">
      <c r="A1423" s="32">
        <v>44956</v>
      </c>
      <c r="B1423" s="33">
        <v>0.49374999999999997</v>
      </c>
      <c r="C1423" s="10" t="s">
        <v>625</v>
      </c>
      <c r="D1423" s="10">
        <v>0</v>
      </c>
      <c r="E1423" s="10" t="s">
        <v>911</v>
      </c>
      <c r="F1423" s="10">
        <v>1</v>
      </c>
      <c r="G1423" s="10" t="s">
        <v>231</v>
      </c>
      <c r="H1423" s="10" t="s">
        <v>322</v>
      </c>
      <c r="I1423" s="10" t="s">
        <v>183</v>
      </c>
      <c r="J1423" s="10">
        <v>80</v>
      </c>
      <c r="K1423" s="12">
        <v>44958</v>
      </c>
      <c r="L1423" s="33">
        <v>0.59318287037037043</v>
      </c>
      <c r="M1423" s="10">
        <v>1</v>
      </c>
      <c r="N1423" s="10" t="s">
        <v>76</v>
      </c>
      <c r="O1423" s="10">
        <v>0.159</v>
      </c>
      <c r="P1423" s="10">
        <v>1.2999999999999999E-2</v>
      </c>
      <c r="Q1423" s="10">
        <v>8.76</v>
      </c>
      <c r="R1423" s="10" t="s">
        <v>77</v>
      </c>
      <c r="S1423" s="34">
        <f t="shared" si="161"/>
        <v>8.76</v>
      </c>
      <c r="T1423" s="10" t="s">
        <v>1103</v>
      </c>
      <c r="U1423" s="34" t="str">
        <f t="shared" si="162"/>
        <v/>
      </c>
      <c r="V1423" s="31" t="str">
        <f>IF(H1423="CHK",VLOOKUP(I1423,QCCHK,3,),IF(H1423="GUP",VLOOKUP(E1423,QCGUP,2,),IF(AND(H1423="ATP",OR(I1423="TN",I1423="TDN",I1423="TNO2-3",I1423="NO2-3")),VLOOKUP(E1423,QCREC_N,2,),IF(AND(H1423="NIC",OR(I1423="TN",I1423="TDN",I1423="TNO2-3",I1423="NO2-3")),VLOOKUP(E1423,QCNIC_N,2,),IF(AND(H1423="UREA",OR(I1423="TN",I1423="TDN",I1423="TNO2-3",I1423="NO2-3")),VLOOKUP(E1423,QCUREA_N,2,),IF(H1423="PER",VLOOKUP(I1423,QCPER,MATCH(E1423,QCACTUAL!$J$25:$AA$25,0),),IF(H1423="SPK",VLOOKUP(I1423,QCSPK,3,),IF(AND(H1423="ATP",OR(I1423="TP",I1423="TDP")),VLOOKUP(E1423,QCATP_P,2,),""))))))))</f>
        <v/>
      </c>
      <c r="W1423" s="31" t="str">
        <f t="shared" si="163"/>
        <v>TRUE</v>
      </c>
      <c r="X1423" s="31" t="str">
        <f t="shared" si="160"/>
        <v/>
      </c>
      <c r="Y1423" s="10" t="s">
        <v>1096</v>
      </c>
      <c r="Z1423" s="10" t="s">
        <v>910</v>
      </c>
      <c r="AL1423" s="10" t="str">
        <f t="shared" si="158"/>
        <v>FALSE</v>
      </c>
      <c r="AM1423" s="10" t="str">
        <f t="shared" si="158"/>
        <v>FALSE</v>
      </c>
      <c r="AN1423" s="10" t="str">
        <f t="shared" si="158"/>
        <v>FALSE</v>
      </c>
      <c r="AO1423" s="10" t="str">
        <f t="shared" si="159"/>
        <v>FALSE</v>
      </c>
      <c r="AP1423" s="10" t="str">
        <f t="shared" si="159"/>
        <v>FALSE</v>
      </c>
      <c r="AQ1423" s="10" t="b">
        <f>IF(AND(I1423="TP",S1423&lt;=150),VLOOKUP(AF1423,TPCalibEq150!$AZ$2:$BB$55,3,),IF(AND(I1423="TDP",S1423&lt;=150),VLOOKUP(AF1423,TPCalibEq150!$AZ$2:$BB$55,3,)))</f>
        <v>0</v>
      </c>
      <c r="AR1423" s="10" t="b">
        <f>IF(AND(I1423="TP",S1423&lt;=300),VLOOKUP(AF1423,TPCalibEq300!$AZ$2:$BB$55,3,),IF(AND(I1423="TDP",S1423&lt;=300),VLOOKUP(AF1423,TPCalibEq300!$AZ$2:$BB$55,3,)))</f>
        <v>0</v>
      </c>
      <c r="AS1423" s="10" t="b">
        <f>IF(AND(I1423="TP",S1423&lt;=500),VLOOKUP(AF1423,TPCalibEq500!$AZ$2:$BB$56,3,),IF(AND(I1423="TDP",S1423&lt;=500),VLOOKUP(AF1423,TPCalibEq500!$AZ$2:$BB$56,3,)))</f>
        <v>0</v>
      </c>
      <c r="AT1423" s="10" t="b">
        <f>IF(AND(I1423="TN",S1423&lt;=2800),VLOOKUP(AF1423,TNCalibEq2500!$AZ$2:$BB$56,3,),IF(AND(I1423="TDN",S1423&lt;=2800),VLOOKUP(AF1423,TNCalibEq2500!$AZ$2:$BB$56,3,)))</f>
        <v>0</v>
      </c>
      <c r="AU1423" s="10" t="b">
        <f>IF(I1423="TP",VLOOKUP(AF1423,TPCalibEqFull!$AZ$2:$BB$56,3),IF(I1423="TDP",VLOOKUP(AF1423,TPCalibEqFull!$AZ$2:$BB$56,3),IF(I1423="TDN",VLOOKUP(AF1423,TNCalibEqFull!$AZ$1:$BB$56,3),IF(I1423="TN",VLOOKUP(AF1423,TNCalibEqFull!$AZ$1:$BB$56,3),FALSE))))</f>
        <v>0</v>
      </c>
      <c r="AV1423" s="10" t="str">
        <f t="shared" si="164"/>
        <v>0130 11:51:00-TBS-0-FIL-1-SW-UKN</v>
      </c>
    </row>
    <row r="1424" spans="1:48" s="10" customFormat="1" x14ac:dyDescent="0.55000000000000004">
      <c r="A1424" s="32">
        <v>44956</v>
      </c>
      <c r="B1424" s="33">
        <v>0.49374999999999997</v>
      </c>
      <c r="C1424" s="10" t="s">
        <v>625</v>
      </c>
      <c r="D1424" s="10">
        <v>0</v>
      </c>
      <c r="E1424" s="10" t="s">
        <v>911</v>
      </c>
      <c r="F1424" s="10">
        <v>1</v>
      </c>
      <c r="G1424" s="10" t="s">
        <v>231</v>
      </c>
      <c r="H1424" s="10" t="s">
        <v>233</v>
      </c>
      <c r="I1424" s="10" t="s">
        <v>183</v>
      </c>
      <c r="J1424" s="10">
        <v>80</v>
      </c>
      <c r="K1424" s="12">
        <v>44958</v>
      </c>
      <c r="L1424" s="33">
        <v>0.59400462962962963</v>
      </c>
      <c r="M1424" s="10">
        <v>1</v>
      </c>
      <c r="N1424" s="10" t="s">
        <v>76</v>
      </c>
      <c r="O1424" s="10">
        <v>0.14299999999999999</v>
      </c>
      <c r="P1424" s="10">
        <v>1.12E-2</v>
      </c>
      <c r="Q1424" s="10">
        <v>7.92</v>
      </c>
      <c r="R1424" s="10" t="s">
        <v>77</v>
      </c>
      <c r="S1424" s="34">
        <f t="shared" si="161"/>
        <v>7.92</v>
      </c>
      <c r="T1424" s="10" t="s">
        <v>1103</v>
      </c>
      <c r="U1424" s="34">
        <f t="shared" si="162"/>
        <v>10.071942446043163</v>
      </c>
      <c r="V1424" s="31" t="str">
        <f>IF(H1424="CHK",VLOOKUP(I1424,QCCHK,3,),IF(H1424="GUP",VLOOKUP(E1424,QCGUP,2,),IF(AND(H1424="ATP",OR(I1424="TN",I1424="TDN",I1424="TNO2-3",I1424="NO2-3")),VLOOKUP(E1424,QCREC_N,2,),IF(AND(H1424="NIC",OR(I1424="TN",I1424="TDN",I1424="TNO2-3",I1424="NO2-3")),VLOOKUP(E1424,QCNIC_N,2,),IF(AND(H1424="UREA",OR(I1424="TN",I1424="TDN",I1424="TNO2-3",I1424="NO2-3")),VLOOKUP(E1424,QCUREA_N,2,),IF(H1424="PER",VLOOKUP(I1424,QCPER,MATCH(E1424,QCACTUAL!$J$25:$AA$25,0),),IF(H1424="SPK",VLOOKUP(I1424,QCSPK,3,),IF(AND(H1424="ATP",OR(I1424="TP",I1424="TDP")),VLOOKUP(E1424,QCATP_P,2,),""))))))))</f>
        <v/>
      </c>
      <c r="W1424" s="31" t="str">
        <f t="shared" si="163"/>
        <v>TRUE</v>
      </c>
      <c r="X1424" s="31" t="str">
        <f t="shared" si="160"/>
        <v>((ABS(rep1-rep2))/((rep1+rep2)/2)*100</v>
      </c>
      <c r="Y1424" s="10" t="s">
        <v>1096</v>
      </c>
      <c r="Z1424" s="10" t="s">
        <v>910</v>
      </c>
      <c r="AL1424" s="10" t="str">
        <f t="shared" si="158"/>
        <v>FALSE</v>
      </c>
      <c r="AM1424" s="10" t="str">
        <f t="shared" si="158"/>
        <v>FALSE</v>
      </c>
      <c r="AN1424" s="10" t="str">
        <f t="shared" si="158"/>
        <v>FALSE</v>
      </c>
      <c r="AO1424" s="10" t="str">
        <f t="shared" si="159"/>
        <v>FALSE</v>
      </c>
      <c r="AP1424" s="10" t="str">
        <f t="shared" si="159"/>
        <v>FALSE</v>
      </c>
      <c r="AQ1424" s="10" t="b">
        <f>IF(AND(I1424="TP",S1424&lt;=150),VLOOKUP(AF1424,TPCalibEq150!$AZ$2:$BB$55,3,),IF(AND(I1424="TDP",S1424&lt;=150),VLOOKUP(AF1424,TPCalibEq150!$AZ$2:$BB$55,3,)))</f>
        <v>0</v>
      </c>
      <c r="AR1424" s="10" t="b">
        <f>IF(AND(I1424="TP",S1424&lt;=300),VLOOKUP(AF1424,TPCalibEq300!$AZ$2:$BB$55,3,),IF(AND(I1424="TDP",S1424&lt;=300),VLOOKUP(AF1424,TPCalibEq300!$AZ$2:$BB$55,3,)))</f>
        <v>0</v>
      </c>
      <c r="AS1424" s="10" t="b">
        <f>IF(AND(I1424="TP",S1424&lt;=500),VLOOKUP(AF1424,TPCalibEq500!$AZ$2:$BB$56,3,),IF(AND(I1424="TDP",S1424&lt;=500),VLOOKUP(AF1424,TPCalibEq500!$AZ$2:$BB$56,3,)))</f>
        <v>0</v>
      </c>
      <c r="AT1424" s="10" t="b">
        <f>IF(AND(I1424="TN",S1424&lt;=2800),VLOOKUP(AF1424,TNCalibEq2500!$AZ$2:$BB$56,3,),IF(AND(I1424="TDN",S1424&lt;=2800),VLOOKUP(AF1424,TNCalibEq2500!$AZ$2:$BB$56,3,)))</f>
        <v>0</v>
      </c>
      <c r="AU1424" s="10" t="b">
        <f>IF(I1424="TP",VLOOKUP(AF1424,TPCalibEqFull!$AZ$2:$BB$56,3),IF(I1424="TDP",VLOOKUP(AF1424,TPCalibEqFull!$AZ$2:$BB$56,3),IF(I1424="TDN",VLOOKUP(AF1424,TNCalibEqFull!$AZ$1:$BB$56,3),IF(I1424="TN",VLOOKUP(AF1424,TNCalibEqFull!$AZ$1:$BB$56,3),FALSE))))</f>
        <v>0</v>
      </c>
      <c r="AV1424" s="10" t="str">
        <f t="shared" si="164"/>
        <v>0130 11:51:00-TBS-0-FIL-1-SW-DUP</v>
      </c>
    </row>
    <row r="1425" spans="1:48" s="10" customFormat="1" x14ac:dyDescent="0.55000000000000004">
      <c r="A1425" s="32">
        <v>44958</v>
      </c>
      <c r="B1425" s="33">
        <v>0.375</v>
      </c>
      <c r="C1425" s="10" t="s">
        <v>70</v>
      </c>
      <c r="D1425" s="10" t="s">
        <v>71</v>
      </c>
      <c r="E1425" s="10" t="s">
        <v>901</v>
      </c>
      <c r="F1425" s="10">
        <v>1</v>
      </c>
      <c r="G1425" s="10" t="s">
        <v>73</v>
      </c>
      <c r="H1425" s="10" t="s">
        <v>207</v>
      </c>
      <c r="I1425" s="10" t="s">
        <v>75</v>
      </c>
      <c r="J1425" s="10">
        <v>202</v>
      </c>
      <c r="K1425" s="12">
        <v>44958</v>
      </c>
      <c r="L1425" s="33">
        <v>0.59482638888888884</v>
      </c>
      <c r="M1425" s="10">
        <v>1</v>
      </c>
      <c r="N1425" s="10" t="s">
        <v>76</v>
      </c>
      <c r="O1425" s="10">
        <v>5.18</v>
      </c>
      <c r="P1425" s="10">
        <v>0.46300000000000002</v>
      </c>
      <c r="Q1425" s="10">
        <v>286</v>
      </c>
      <c r="R1425" s="10" t="s">
        <v>77</v>
      </c>
      <c r="S1425" s="34">
        <f t="shared" si="161"/>
        <v>286</v>
      </c>
      <c r="T1425" s="10" t="s">
        <v>1103</v>
      </c>
      <c r="U1425" s="34">
        <f t="shared" si="162"/>
        <v>95.333333333333343</v>
      </c>
      <c r="V1425" s="31">
        <f>IF(H1425="CHK",VLOOKUP(I1425,QCCHK,3,),IF(H1425="GUP",VLOOKUP(E1425,QCGUP,2,),IF(AND(H1425="ATP",OR(I1425="TN",I1425="TDN",I1425="TNO2-3",I1425="NO2-3")),VLOOKUP(E1425,QCREC_N,2,),IF(AND(H1425="NIC",OR(I1425="TN",I1425="TDN",I1425="TNO2-3",I1425="NO2-3")),VLOOKUP(E1425,QCNIC_N,2,),IF(AND(H1425="UREA",OR(I1425="TN",I1425="TDN",I1425="TNO2-3",I1425="NO2-3")),VLOOKUP(E1425,QCUREA_N,2,),IF(H1425="PER",VLOOKUP(I1425,QCPER,MATCH(E1425,QCACTUAL!$J$25:$AA$25,0),),IF(H1425="SPK",VLOOKUP(I1425,QCSPK,3,),IF(AND(H1425="ATP",OR(I1425="TP",I1425="TDP")),VLOOKUP(E1425,QCATP_P,2,),""))))))))</f>
        <v>300</v>
      </c>
      <c r="W1425" s="31" t="str">
        <f t="shared" si="163"/>
        <v>TRUE</v>
      </c>
      <c r="X1425" s="31" t="str">
        <f t="shared" si="160"/>
        <v>[chk]/[actual]*100</v>
      </c>
      <c r="Y1425" s="10" t="s">
        <v>1096</v>
      </c>
      <c r="AL1425" s="10" t="str">
        <f t="shared" ref="AL1425:AN1488" si="165">IF($O1425="", "", IF(AQ1425&lt;&gt;"", SUBSTITUTE(SUBSTITUTE(AQ1425, "x", "*"&amp;$O1425&amp;"^", 1), "x", "*"&amp;$O1425, 1), ""))</f>
        <v>FALSE</v>
      </c>
      <c r="AM1425" s="10" t="str">
        <f t="shared" si="165"/>
        <v>FALSE</v>
      </c>
      <c r="AN1425" s="10" t="str">
        <f t="shared" si="165"/>
        <v>FALSE</v>
      </c>
      <c r="AO1425" s="10" t="str">
        <f t="shared" ref="AO1425:AP1488" si="166">IF($O1425="", "FALSE", IF(AT1425&lt;&gt;"FALSE", SUBSTITUTE(SUBSTITUTE(AT1425, "x", "*"&amp;$O1425&amp;"^", 1), "x", "*"&amp;$O1425, 1), ""))</f>
        <v>FALSE</v>
      </c>
      <c r="AP1425" s="10" t="str">
        <f t="shared" si="166"/>
        <v>FALSE</v>
      </c>
      <c r="AQ1425" s="10" t="b">
        <f>IF(AND(I1425="TP",S1425&lt;=150),VLOOKUP(AF1425,TPCalibEq150!$AZ$2:$BB$55,3,),IF(AND(I1425="TDP",S1425&lt;=150),VLOOKUP(AF1425,TPCalibEq150!$AZ$2:$BB$55,3,)))</f>
        <v>0</v>
      </c>
      <c r="AR1425" s="10" t="b">
        <f>IF(AND(I1425="TP",S1425&lt;=300),VLOOKUP(AF1425,TPCalibEq300!$AZ$2:$BB$55,3,),IF(AND(I1425="TDP",S1425&lt;=300),VLOOKUP(AF1425,TPCalibEq300!$AZ$2:$BB$55,3,)))</f>
        <v>0</v>
      </c>
      <c r="AS1425" s="10" t="b">
        <f>IF(AND(I1425="TP",S1425&lt;=500),VLOOKUP(AF1425,TPCalibEq500!$AZ$2:$BB$56,3,),IF(AND(I1425="TDP",S1425&lt;=500),VLOOKUP(AF1425,TPCalibEq500!$AZ$2:$BB$56,3,)))</f>
        <v>0</v>
      </c>
      <c r="AT1425" s="10" t="b">
        <f>IF(AND(I1425="TN",S1425&lt;=2800),VLOOKUP(AF1425,TNCalibEq2500!$AZ$2:$BB$56,3,),IF(AND(I1425="TDN",S1425&lt;=2800),VLOOKUP(AF1425,TNCalibEq2500!$AZ$2:$BB$56,3,)))</f>
        <v>0</v>
      </c>
      <c r="AU1425" s="10" t="b">
        <f>IF(I1425="TP",VLOOKUP(AF1425,TPCalibEqFull!$AZ$2:$BB$56,3),IF(I1425="TDP",VLOOKUP(AF1425,TPCalibEqFull!$AZ$2:$BB$56,3),IF(I1425="TDN",VLOOKUP(AF1425,TNCalibEqFull!$AZ$1:$BB$56,3),IF(I1425="TN",VLOOKUP(AF1425,TNCalibEqFull!$AZ$1:$BB$56,3),FALSE))))</f>
        <v>0</v>
      </c>
      <c r="AV1425" s="10" t="str">
        <f t="shared" si="164"/>
        <v>0201 09:00:00-QAC-STD-D-1-DI-CHK</v>
      </c>
    </row>
    <row r="1426" spans="1:48" s="10" customFormat="1" x14ac:dyDescent="0.55000000000000004">
      <c r="A1426" s="32">
        <v>44958</v>
      </c>
      <c r="B1426" s="33">
        <v>0.375</v>
      </c>
      <c r="C1426" s="10" t="s">
        <v>70</v>
      </c>
      <c r="D1426" s="10" t="s">
        <v>71</v>
      </c>
      <c r="E1426" s="10" t="s">
        <v>901</v>
      </c>
      <c r="F1426" s="10">
        <v>1</v>
      </c>
      <c r="G1426" s="10" t="s">
        <v>73</v>
      </c>
      <c r="H1426" s="10" t="s">
        <v>207</v>
      </c>
      <c r="I1426" s="10" t="s">
        <v>75</v>
      </c>
      <c r="J1426" s="10">
        <v>202</v>
      </c>
      <c r="K1426" s="12">
        <v>44958</v>
      </c>
      <c r="L1426" s="33">
        <v>0.60053240740740743</v>
      </c>
      <c r="M1426" s="10">
        <v>1</v>
      </c>
      <c r="N1426" s="10" t="s">
        <v>76</v>
      </c>
      <c r="O1426" s="10">
        <v>5.31</v>
      </c>
      <c r="P1426" s="10">
        <v>0.43099999999999999</v>
      </c>
      <c r="Q1426" s="10">
        <v>293</v>
      </c>
      <c r="R1426" s="10" t="s">
        <v>77</v>
      </c>
      <c r="S1426" s="34">
        <f t="shared" si="161"/>
        <v>293</v>
      </c>
      <c r="T1426" s="10" t="s">
        <v>1103</v>
      </c>
      <c r="U1426" s="34">
        <f t="shared" si="162"/>
        <v>97.666666666666671</v>
      </c>
      <c r="V1426" s="31">
        <f>IF(H1426="CHK",VLOOKUP(I1426,QCCHK,3,),IF(H1426="GUP",VLOOKUP(E1426,QCGUP,2,),IF(AND(H1426="ATP",OR(I1426="TN",I1426="TDN",I1426="TNO2-3",I1426="NO2-3")),VLOOKUP(E1426,QCREC_N,2,),IF(AND(H1426="NIC",OR(I1426="TN",I1426="TDN",I1426="TNO2-3",I1426="NO2-3")),VLOOKUP(E1426,QCNIC_N,2,),IF(AND(H1426="UREA",OR(I1426="TN",I1426="TDN",I1426="TNO2-3",I1426="NO2-3")),VLOOKUP(E1426,QCUREA_N,2,),IF(H1426="PER",VLOOKUP(I1426,QCPER,MATCH(E1426,QCACTUAL!$J$25:$AA$25,0),),IF(H1426="SPK",VLOOKUP(I1426,QCSPK,3,),IF(AND(H1426="ATP",OR(I1426="TP",I1426="TDP")),VLOOKUP(E1426,QCATP_P,2,),""))))))))</f>
        <v>300</v>
      </c>
      <c r="W1426" s="31" t="str">
        <f t="shared" si="163"/>
        <v>TRUE</v>
      </c>
      <c r="X1426" s="31" t="str">
        <f t="shared" si="160"/>
        <v>[chk]/[actual]*100</v>
      </c>
      <c r="Y1426" s="10" t="s">
        <v>1096</v>
      </c>
      <c r="AL1426" s="10" t="str">
        <f t="shared" si="165"/>
        <v>FALSE</v>
      </c>
      <c r="AM1426" s="10" t="str">
        <f t="shared" si="165"/>
        <v>FALSE</v>
      </c>
      <c r="AN1426" s="10" t="str">
        <f t="shared" si="165"/>
        <v>FALSE</v>
      </c>
      <c r="AO1426" s="10" t="str">
        <f t="shared" si="166"/>
        <v>FALSE</v>
      </c>
      <c r="AP1426" s="10" t="str">
        <f t="shared" si="166"/>
        <v>FALSE</v>
      </c>
      <c r="AQ1426" s="10" t="b">
        <f>IF(AND(I1426="TP",S1426&lt;=150),VLOOKUP(AF1426,TPCalibEq150!$AZ$2:$BB$55,3,),IF(AND(I1426="TDP",S1426&lt;=150),VLOOKUP(AF1426,TPCalibEq150!$AZ$2:$BB$55,3,)))</f>
        <v>0</v>
      </c>
      <c r="AR1426" s="10" t="b">
        <f>IF(AND(I1426="TP",S1426&lt;=300),VLOOKUP(AF1426,TPCalibEq300!$AZ$2:$BB$55,3,),IF(AND(I1426="TDP",S1426&lt;=300),VLOOKUP(AF1426,TPCalibEq300!$AZ$2:$BB$55,3,)))</f>
        <v>0</v>
      </c>
      <c r="AS1426" s="10" t="b">
        <f>IF(AND(I1426="TP",S1426&lt;=500),VLOOKUP(AF1426,TPCalibEq500!$AZ$2:$BB$56,3,),IF(AND(I1426="TDP",S1426&lt;=500),VLOOKUP(AF1426,TPCalibEq500!$AZ$2:$BB$56,3,)))</f>
        <v>0</v>
      </c>
      <c r="AT1426" s="10" t="b">
        <f>IF(AND(I1426="TN",S1426&lt;=2800),VLOOKUP(AF1426,TNCalibEq2500!$AZ$2:$BB$56,3,),IF(AND(I1426="TDN",S1426&lt;=2800),VLOOKUP(AF1426,TNCalibEq2500!$AZ$2:$BB$56,3,)))</f>
        <v>0</v>
      </c>
      <c r="AU1426" s="10" t="b">
        <f>IF(I1426="TP",VLOOKUP(AF1426,TPCalibEqFull!$AZ$2:$BB$56,3),IF(I1426="TDP",VLOOKUP(AF1426,TPCalibEqFull!$AZ$2:$BB$56,3),IF(I1426="TDN",VLOOKUP(AF1426,TNCalibEqFull!$AZ$1:$BB$56,3),IF(I1426="TN",VLOOKUP(AF1426,TNCalibEqFull!$AZ$1:$BB$56,3),FALSE))))</f>
        <v>0</v>
      </c>
      <c r="AV1426" s="10" t="str">
        <f t="shared" si="164"/>
        <v>0201 09:00:00-QAC-STD-D-1-DI-CHK</v>
      </c>
    </row>
    <row r="1427" spans="1:48" s="10" customFormat="1" x14ac:dyDescent="0.55000000000000004">
      <c r="A1427" s="32">
        <v>44958</v>
      </c>
      <c r="B1427" s="33">
        <v>0.375</v>
      </c>
      <c r="C1427" s="10" t="s">
        <v>70</v>
      </c>
      <c r="D1427" s="10" t="s">
        <v>71</v>
      </c>
      <c r="E1427" s="10" t="s">
        <v>72</v>
      </c>
      <c r="F1427" s="10">
        <v>1</v>
      </c>
      <c r="G1427" s="10" t="s">
        <v>73</v>
      </c>
      <c r="H1427" s="10" t="s">
        <v>74</v>
      </c>
      <c r="I1427" s="10" t="s">
        <v>285</v>
      </c>
      <c r="J1427" s="10">
        <v>181</v>
      </c>
      <c r="K1427" s="12">
        <v>44958</v>
      </c>
      <c r="L1427" s="33">
        <v>0.48605324074074074</v>
      </c>
      <c r="M1427" s="10">
        <v>1</v>
      </c>
      <c r="N1427" s="10" t="s">
        <v>211</v>
      </c>
      <c r="O1427" s="10">
        <v>1.38E-2</v>
      </c>
      <c r="P1427" s="10">
        <v>9.0200000000000002E-4</v>
      </c>
      <c r="Q1427" s="10">
        <v>0</v>
      </c>
      <c r="R1427" s="10" t="s">
        <v>913</v>
      </c>
      <c r="S1427" s="34">
        <f t="shared" si="161"/>
        <v>0</v>
      </c>
      <c r="T1427" s="10" t="s">
        <v>914</v>
      </c>
      <c r="U1427" s="34" t="str">
        <f t="shared" si="162"/>
        <v/>
      </c>
      <c r="V1427" s="31" t="str">
        <f>IF(H1427="CHK",VLOOKUP(I1427,QCCHK,3,),IF(H1427="GUP",VLOOKUP(E1427,QCGUP,2,),IF(AND(H1427="ATP",OR(I1427="TN",I1427="TDN",I1427="TNO2-3",I1427="NO2-3")),VLOOKUP(E1427,QCREC_N,2,),IF(AND(H1427="NIC",OR(I1427="TN",I1427="TDN",I1427="TNO2-3",I1427="NO2-3")),VLOOKUP(E1427,QCNIC_N,2,),IF(AND(H1427="UREA",OR(I1427="TN",I1427="TDN",I1427="TNO2-3",I1427="NO2-3")),VLOOKUP(E1427,QCUREA_N,2,),IF(H1427="PER",VLOOKUP(I1427,QCPER,MATCH(E1427,QCACTUAL!$J$25:$AA$25,0),),IF(H1427="SPK",VLOOKUP(I1427,QCSPK,3,),IF(AND(H1427="ATP",OR(I1427="TP",I1427="TDP")),VLOOKUP(E1427,QCATP_P,2,),""))))))))</f>
        <v/>
      </c>
      <c r="W1427" s="31" t="str">
        <f t="shared" si="163"/>
        <v>TRUE</v>
      </c>
      <c r="X1427" s="31" t="str">
        <f t="shared" si="160"/>
        <v/>
      </c>
      <c r="Y1427" s="10" t="s">
        <v>1096</v>
      </c>
      <c r="AL1427" s="10" t="str">
        <f t="shared" si="165"/>
        <v>FALSE</v>
      </c>
      <c r="AM1427" s="10" t="str">
        <f t="shared" si="165"/>
        <v>FALSE</v>
      </c>
      <c r="AN1427" s="10" t="str">
        <f t="shared" si="165"/>
        <v>FALSE</v>
      </c>
      <c r="AO1427" s="10" t="str">
        <f t="shared" si="166"/>
        <v>FALSE</v>
      </c>
      <c r="AP1427" s="10" t="str">
        <f t="shared" si="166"/>
        <v>FALSE</v>
      </c>
      <c r="AQ1427" s="10" t="b">
        <f>IF(AND(I1427="TP",S1427&lt;=150),VLOOKUP(AF1427,TPCalibEq150!$AZ$2:$BB$55,3,),IF(AND(I1427="TDP",S1427&lt;=150),VLOOKUP(AF1427,TPCalibEq150!$AZ$2:$BB$55,3,)))</f>
        <v>0</v>
      </c>
      <c r="AR1427" s="10" t="b">
        <f>IF(AND(I1427="TP",S1427&lt;=300),VLOOKUP(AF1427,TPCalibEq300!$AZ$2:$BB$55,3,),IF(AND(I1427="TDP",S1427&lt;=300),VLOOKUP(AF1427,TPCalibEq300!$AZ$2:$BB$55,3,)))</f>
        <v>0</v>
      </c>
      <c r="AS1427" s="10" t="b">
        <f>IF(AND(I1427="TP",S1427&lt;=500),VLOOKUP(AF1427,TPCalibEq500!$AZ$2:$BB$56,3,),IF(AND(I1427="TDP",S1427&lt;=500),VLOOKUP(AF1427,TPCalibEq500!$AZ$2:$BB$56,3,)))</f>
        <v>0</v>
      </c>
      <c r="AT1427" s="10" t="b">
        <f>IF(AND(I1427="TN",S1427&lt;=2800),VLOOKUP(AF1427,TNCalibEq2500!$AZ$2:$BB$56,3,),IF(AND(I1427="TDN",S1427&lt;=2800),VLOOKUP(AF1427,TNCalibEq2500!$AZ$2:$BB$56,3,)))</f>
        <v>0</v>
      </c>
      <c r="AU1427" s="10" t="b">
        <f>IF(I1427="TP",VLOOKUP(AF1427,TPCalibEqFull!$AZ$2:$BB$56,3),IF(I1427="TDP",VLOOKUP(AF1427,TPCalibEqFull!$AZ$2:$BB$56,3),IF(I1427="TDN",VLOOKUP(AF1427,TNCalibEqFull!$AZ$1:$BB$56,3),IF(I1427="TN",VLOOKUP(AF1427,TNCalibEqFull!$AZ$1:$BB$56,3),FALSE))))</f>
        <v>0</v>
      </c>
      <c r="AV1427" s="10" t="str">
        <f t="shared" si="164"/>
        <v>0201 09:00:00-QAC-STD-H-1-DI-CAL</v>
      </c>
    </row>
    <row r="1428" spans="1:48" s="10" customFormat="1" x14ac:dyDescent="0.55000000000000004">
      <c r="A1428" s="32">
        <v>44958</v>
      </c>
      <c r="B1428" s="33">
        <v>0.375</v>
      </c>
      <c r="C1428" s="10" t="s">
        <v>70</v>
      </c>
      <c r="D1428" s="10" t="s">
        <v>71</v>
      </c>
      <c r="E1428" s="10" t="s">
        <v>908</v>
      </c>
      <c r="F1428" s="10">
        <v>1</v>
      </c>
      <c r="G1428" s="10" t="s">
        <v>73</v>
      </c>
      <c r="H1428" s="10" t="s">
        <v>74</v>
      </c>
      <c r="I1428" s="10" t="s">
        <v>285</v>
      </c>
      <c r="J1428" s="10">
        <v>182</v>
      </c>
      <c r="K1428" s="12">
        <v>44958</v>
      </c>
      <c r="L1428" s="33">
        <v>0.48689814814814819</v>
      </c>
      <c r="M1428" s="10">
        <v>1</v>
      </c>
      <c r="N1428" s="10" t="s">
        <v>211</v>
      </c>
      <c r="O1428" s="10">
        <v>4.0500000000000001E-2</v>
      </c>
      <c r="P1428" s="10">
        <v>3.6800000000000001E-3</v>
      </c>
      <c r="Q1428" s="10">
        <v>5</v>
      </c>
      <c r="R1428" s="10" t="s">
        <v>913</v>
      </c>
      <c r="S1428" s="34">
        <f t="shared" si="161"/>
        <v>5</v>
      </c>
      <c r="T1428" s="10" t="s">
        <v>1105</v>
      </c>
      <c r="U1428" s="34" t="str">
        <f t="shared" si="162"/>
        <v/>
      </c>
      <c r="V1428" s="31" t="str">
        <f>IF(H1428="CHK",VLOOKUP(I1428,QCCHK,3,),IF(H1428="GUP",VLOOKUP(E1428,QCGUP,2,),IF(AND(H1428="ATP",OR(I1428="TN",I1428="TDN",I1428="TNO2-3",I1428="NO2-3")),VLOOKUP(E1428,QCREC_N,2,),IF(AND(H1428="NIC",OR(I1428="TN",I1428="TDN",I1428="TNO2-3",I1428="NO2-3")),VLOOKUP(E1428,QCNIC_N,2,),IF(AND(H1428="UREA",OR(I1428="TN",I1428="TDN",I1428="TNO2-3",I1428="NO2-3")),VLOOKUP(E1428,QCUREA_N,2,),IF(H1428="PER",VLOOKUP(I1428,QCPER,MATCH(E1428,QCACTUAL!$J$25:$AA$25,0),),IF(H1428="SPK",VLOOKUP(I1428,QCSPK,3,),IF(AND(H1428="ATP",OR(I1428="TP",I1428="TDP")),VLOOKUP(E1428,QCATP_P,2,),""))))))))</f>
        <v/>
      </c>
      <c r="W1428" s="31" t="str">
        <f t="shared" si="163"/>
        <v>TRUE</v>
      </c>
      <c r="X1428" s="31" t="str">
        <f t="shared" si="160"/>
        <v/>
      </c>
      <c r="Y1428" s="10" t="s">
        <v>1096</v>
      </c>
      <c r="AL1428" s="10" t="str">
        <f t="shared" si="165"/>
        <v>FALSE</v>
      </c>
      <c r="AM1428" s="10" t="str">
        <f t="shared" si="165"/>
        <v>FALSE</v>
      </c>
      <c r="AN1428" s="10" t="str">
        <f t="shared" si="165"/>
        <v>FALSE</v>
      </c>
      <c r="AO1428" s="10" t="str">
        <f t="shared" si="166"/>
        <v>FALSE</v>
      </c>
      <c r="AP1428" s="10" t="str">
        <f t="shared" si="166"/>
        <v>FALSE</v>
      </c>
      <c r="AQ1428" s="10" t="b">
        <f>IF(AND(I1428="TP",S1428&lt;=150),VLOOKUP(AF1428,TPCalibEq150!$AZ$2:$BB$55,3,),IF(AND(I1428="TDP",S1428&lt;=150),VLOOKUP(AF1428,TPCalibEq150!$AZ$2:$BB$55,3,)))</f>
        <v>0</v>
      </c>
      <c r="AR1428" s="10" t="b">
        <f>IF(AND(I1428="TP",S1428&lt;=300),VLOOKUP(AF1428,TPCalibEq300!$AZ$2:$BB$55,3,),IF(AND(I1428="TDP",S1428&lt;=300),VLOOKUP(AF1428,TPCalibEq300!$AZ$2:$BB$55,3,)))</f>
        <v>0</v>
      </c>
      <c r="AS1428" s="10" t="b">
        <f>IF(AND(I1428="TP",S1428&lt;=500),VLOOKUP(AF1428,TPCalibEq500!$AZ$2:$BB$56,3,),IF(AND(I1428="TDP",S1428&lt;=500),VLOOKUP(AF1428,TPCalibEq500!$AZ$2:$BB$56,3,)))</f>
        <v>0</v>
      </c>
      <c r="AT1428" s="10" t="b">
        <f>IF(AND(I1428="TN",S1428&lt;=2800),VLOOKUP(AF1428,TNCalibEq2500!$AZ$2:$BB$56,3,),IF(AND(I1428="TDN",S1428&lt;=2800),VLOOKUP(AF1428,TNCalibEq2500!$AZ$2:$BB$56,3,)))</f>
        <v>0</v>
      </c>
      <c r="AU1428" s="10" t="b">
        <f>IF(I1428="TP",VLOOKUP(AF1428,TPCalibEqFull!$AZ$2:$BB$56,3),IF(I1428="TDP",VLOOKUP(AF1428,TPCalibEqFull!$AZ$2:$BB$56,3),IF(I1428="TDN",VLOOKUP(AF1428,TNCalibEqFull!$AZ$1:$BB$56,3),IF(I1428="TN",VLOOKUP(AF1428,TNCalibEqFull!$AZ$1:$BB$56,3),FALSE))))</f>
        <v>0</v>
      </c>
      <c r="AV1428" s="10" t="str">
        <f t="shared" si="164"/>
        <v>0201 09:00:00-QAC-STD-G-1-DI-CAL</v>
      </c>
    </row>
    <row r="1429" spans="1:48" s="10" customFormat="1" x14ac:dyDescent="0.55000000000000004">
      <c r="A1429" s="32">
        <v>44958</v>
      </c>
      <c r="B1429" s="33">
        <v>0.375</v>
      </c>
      <c r="C1429" s="10" t="s">
        <v>70</v>
      </c>
      <c r="D1429" s="10" t="s">
        <v>71</v>
      </c>
      <c r="E1429" s="10" t="s">
        <v>550</v>
      </c>
      <c r="F1429" s="10">
        <v>1</v>
      </c>
      <c r="G1429" s="10" t="s">
        <v>73</v>
      </c>
      <c r="H1429" s="10" t="s">
        <v>74</v>
      </c>
      <c r="I1429" s="10" t="s">
        <v>285</v>
      </c>
      <c r="J1429" s="10">
        <v>183</v>
      </c>
      <c r="K1429" s="12">
        <v>44958</v>
      </c>
      <c r="L1429" s="33">
        <v>0.48774305555555553</v>
      </c>
      <c r="M1429" s="10">
        <v>1</v>
      </c>
      <c r="N1429" s="10" t="s">
        <v>211</v>
      </c>
      <c r="O1429" s="10">
        <v>8.8400000000000006E-2</v>
      </c>
      <c r="P1429" s="10">
        <v>8.2199999999999999E-3</v>
      </c>
      <c r="Q1429" s="10">
        <v>15</v>
      </c>
      <c r="R1429" s="10" t="s">
        <v>913</v>
      </c>
      <c r="S1429" s="34">
        <f t="shared" si="161"/>
        <v>15</v>
      </c>
      <c r="T1429" s="10" t="s">
        <v>1106</v>
      </c>
      <c r="U1429" s="34" t="str">
        <f t="shared" si="162"/>
        <v/>
      </c>
      <c r="V1429" s="31" t="str">
        <f>IF(H1429="CHK",VLOOKUP(I1429,QCCHK,3,),IF(H1429="GUP",VLOOKUP(E1429,QCGUP,2,),IF(AND(H1429="ATP",OR(I1429="TN",I1429="TDN",I1429="TNO2-3",I1429="NO2-3")),VLOOKUP(E1429,QCREC_N,2,),IF(AND(H1429="NIC",OR(I1429="TN",I1429="TDN",I1429="TNO2-3",I1429="NO2-3")),VLOOKUP(E1429,QCNIC_N,2,),IF(AND(H1429="UREA",OR(I1429="TN",I1429="TDN",I1429="TNO2-3",I1429="NO2-3")),VLOOKUP(E1429,QCUREA_N,2,),IF(H1429="PER",VLOOKUP(I1429,QCPER,MATCH(E1429,QCACTUAL!$J$25:$AA$25,0),),IF(H1429="SPK",VLOOKUP(I1429,QCSPK,3,),IF(AND(H1429="ATP",OR(I1429="TP",I1429="TDP")),VLOOKUP(E1429,QCATP_P,2,),""))))))))</f>
        <v/>
      </c>
      <c r="W1429" s="31" t="str">
        <f t="shared" si="163"/>
        <v>TRUE</v>
      </c>
      <c r="X1429" s="31" t="str">
        <f t="shared" si="160"/>
        <v/>
      </c>
      <c r="Y1429" s="10" t="s">
        <v>1096</v>
      </c>
      <c r="AL1429" s="10" t="str">
        <f t="shared" si="165"/>
        <v>FALSE</v>
      </c>
      <c r="AM1429" s="10" t="str">
        <f t="shared" si="165"/>
        <v>FALSE</v>
      </c>
      <c r="AN1429" s="10" t="str">
        <f t="shared" si="165"/>
        <v>FALSE</v>
      </c>
      <c r="AO1429" s="10" t="str">
        <f t="shared" si="166"/>
        <v>FALSE</v>
      </c>
      <c r="AP1429" s="10" t="str">
        <f t="shared" si="166"/>
        <v>FALSE</v>
      </c>
      <c r="AQ1429" s="10" t="b">
        <f>IF(AND(I1429="TP",S1429&lt;=150),VLOOKUP(AF1429,TPCalibEq150!$AZ$2:$BB$55,3,),IF(AND(I1429="TDP",S1429&lt;=150),VLOOKUP(AF1429,TPCalibEq150!$AZ$2:$BB$55,3,)))</f>
        <v>0</v>
      </c>
      <c r="AR1429" s="10" t="b">
        <f>IF(AND(I1429="TP",S1429&lt;=300),VLOOKUP(AF1429,TPCalibEq300!$AZ$2:$BB$55,3,),IF(AND(I1429="TDP",S1429&lt;=300),VLOOKUP(AF1429,TPCalibEq300!$AZ$2:$BB$55,3,)))</f>
        <v>0</v>
      </c>
      <c r="AS1429" s="10" t="b">
        <f>IF(AND(I1429="TP",S1429&lt;=500),VLOOKUP(AF1429,TPCalibEq500!$AZ$2:$BB$56,3,),IF(AND(I1429="TDP",S1429&lt;=500),VLOOKUP(AF1429,TPCalibEq500!$AZ$2:$BB$56,3,)))</f>
        <v>0</v>
      </c>
      <c r="AT1429" s="10" t="b">
        <f>IF(AND(I1429="TN",S1429&lt;=2800),VLOOKUP(AF1429,TNCalibEq2500!$AZ$2:$BB$56,3,),IF(AND(I1429="TDN",S1429&lt;=2800),VLOOKUP(AF1429,TNCalibEq2500!$AZ$2:$BB$56,3,)))</f>
        <v>0</v>
      </c>
      <c r="AU1429" s="10" t="b">
        <f>IF(I1429="TP",VLOOKUP(AF1429,TPCalibEqFull!$AZ$2:$BB$56,3),IF(I1429="TDP",VLOOKUP(AF1429,TPCalibEqFull!$AZ$2:$BB$56,3),IF(I1429="TDN",VLOOKUP(AF1429,TNCalibEqFull!$AZ$1:$BB$56,3),IF(I1429="TN",VLOOKUP(AF1429,TNCalibEqFull!$AZ$1:$BB$56,3),FALSE))))</f>
        <v>0</v>
      </c>
      <c r="AV1429" s="10" t="str">
        <f t="shared" si="164"/>
        <v>0201 09:00:00-QAC-STD-F-1-DI-CAL</v>
      </c>
    </row>
    <row r="1430" spans="1:48" s="10" customFormat="1" x14ac:dyDescent="0.55000000000000004">
      <c r="A1430" s="32">
        <v>44958</v>
      </c>
      <c r="B1430" s="33">
        <v>0.375</v>
      </c>
      <c r="C1430" s="10" t="s">
        <v>70</v>
      </c>
      <c r="D1430" s="10" t="s">
        <v>71</v>
      </c>
      <c r="E1430" s="10" t="s">
        <v>909</v>
      </c>
      <c r="F1430" s="10">
        <v>1</v>
      </c>
      <c r="G1430" s="10" t="s">
        <v>73</v>
      </c>
      <c r="H1430" s="10" t="s">
        <v>74</v>
      </c>
      <c r="I1430" s="10" t="s">
        <v>285</v>
      </c>
      <c r="J1430" s="10">
        <v>184</v>
      </c>
      <c r="K1430" s="12">
        <v>44958</v>
      </c>
      <c r="L1430" s="33">
        <v>0.48856481481481479</v>
      </c>
      <c r="M1430" s="10">
        <v>1</v>
      </c>
      <c r="N1430" s="10" t="s">
        <v>211</v>
      </c>
      <c r="O1430" s="10">
        <v>0.122</v>
      </c>
      <c r="P1430" s="10">
        <v>1.1299999999999999E-2</v>
      </c>
      <c r="Q1430" s="10">
        <v>20</v>
      </c>
      <c r="R1430" s="10" t="s">
        <v>913</v>
      </c>
      <c r="S1430" s="34">
        <f t="shared" si="161"/>
        <v>20</v>
      </c>
      <c r="T1430" s="10" t="s">
        <v>1107</v>
      </c>
      <c r="U1430" s="34" t="str">
        <f t="shared" si="162"/>
        <v/>
      </c>
      <c r="V1430" s="31" t="str">
        <f>IF(H1430="CHK",VLOOKUP(I1430,QCCHK,3,),IF(H1430="GUP",VLOOKUP(E1430,QCGUP,2,),IF(AND(H1430="ATP",OR(I1430="TN",I1430="TDN",I1430="TNO2-3",I1430="NO2-3")),VLOOKUP(E1430,QCREC_N,2,),IF(AND(H1430="NIC",OR(I1430="TN",I1430="TDN",I1430="TNO2-3",I1430="NO2-3")),VLOOKUP(E1430,QCNIC_N,2,),IF(AND(H1430="UREA",OR(I1430="TN",I1430="TDN",I1430="TNO2-3",I1430="NO2-3")),VLOOKUP(E1430,QCUREA_N,2,),IF(H1430="PER",VLOOKUP(I1430,QCPER,MATCH(E1430,QCACTUAL!$J$25:$AA$25,0),),IF(H1430="SPK",VLOOKUP(I1430,QCSPK,3,),IF(AND(H1430="ATP",OR(I1430="TP",I1430="TDP")),VLOOKUP(E1430,QCATP_P,2,),""))))))))</f>
        <v/>
      </c>
      <c r="W1430" s="31" t="str">
        <f t="shared" si="163"/>
        <v>TRUE</v>
      </c>
      <c r="X1430" s="31" t="str">
        <f t="shared" si="160"/>
        <v/>
      </c>
      <c r="Y1430" s="10" t="s">
        <v>1096</v>
      </c>
      <c r="AL1430" s="10" t="str">
        <f t="shared" si="165"/>
        <v>FALSE</v>
      </c>
      <c r="AM1430" s="10" t="str">
        <f t="shared" si="165"/>
        <v>FALSE</v>
      </c>
      <c r="AN1430" s="10" t="str">
        <f t="shared" si="165"/>
        <v>FALSE</v>
      </c>
      <c r="AO1430" s="10" t="str">
        <f t="shared" si="166"/>
        <v>FALSE</v>
      </c>
      <c r="AP1430" s="10" t="str">
        <f t="shared" si="166"/>
        <v>FALSE</v>
      </c>
      <c r="AQ1430" s="10" t="b">
        <f>IF(AND(I1430="TP",S1430&lt;=150),VLOOKUP(AF1430,TPCalibEq150!$AZ$2:$BB$55,3,),IF(AND(I1430="TDP",S1430&lt;=150),VLOOKUP(AF1430,TPCalibEq150!$AZ$2:$BB$55,3,)))</f>
        <v>0</v>
      </c>
      <c r="AR1430" s="10" t="b">
        <f>IF(AND(I1430="TP",S1430&lt;=300),VLOOKUP(AF1430,TPCalibEq300!$AZ$2:$BB$55,3,),IF(AND(I1430="TDP",S1430&lt;=300),VLOOKUP(AF1430,TPCalibEq300!$AZ$2:$BB$55,3,)))</f>
        <v>0</v>
      </c>
      <c r="AS1430" s="10" t="b">
        <f>IF(AND(I1430="TP",S1430&lt;=500),VLOOKUP(AF1430,TPCalibEq500!$AZ$2:$BB$56,3,),IF(AND(I1430="TDP",S1430&lt;=500),VLOOKUP(AF1430,TPCalibEq500!$AZ$2:$BB$56,3,)))</f>
        <v>0</v>
      </c>
      <c r="AT1430" s="10" t="b">
        <f>IF(AND(I1430="TN",S1430&lt;=2800),VLOOKUP(AF1430,TNCalibEq2500!$AZ$2:$BB$56,3,),IF(AND(I1430="TDN",S1430&lt;=2800),VLOOKUP(AF1430,TNCalibEq2500!$AZ$2:$BB$56,3,)))</f>
        <v>0</v>
      </c>
      <c r="AU1430" s="10" t="b">
        <f>IF(I1430="TP",VLOOKUP(AF1430,TPCalibEqFull!$AZ$2:$BB$56,3),IF(I1430="TDP",VLOOKUP(AF1430,TPCalibEqFull!$AZ$2:$BB$56,3),IF(I1430="TDN",VLOOKUP(AF1430,TNCalibEqFull!$AZ$1:$BB$56,3),IF(I1430="TN",VLOOKUP(AF1430,TNCalibEqFull!$AZ$1:$BB$56,3),FALSE))))</f>
        <v>0</v>
      </c>
      <c r="AV1430" s="10" t="str">
        <f t="shared" si="164"/>
        <v>0201 09:00:00-QAC-STD-E-1-DI-CAL</v>
      </c>
    </row>
    <row r="1431" spans="1:48" s="10" customFormat="1" x14ac:dyDescent="0.55000000000000004">
      <c r="A1431" s="32">
        <v>44958</v>
      </c>
      <c r="B1431" s="33">
        <v>0.375</v>
      </c>
      <c r="C1431" s="10" t="s">
        <v>70</v>
      </c>
      <c r="D1431" s="10" t="s">
        <v>71</v>
      </c>
      <c r="E1431" s="10" t="s">
        <v>901</v>
      </c>
      <c r="F1431" s="10">
        <v>1</v>
      </c>
      <c r="G1431" s="10" t="s">
        <v>73</v>
      </c>
      <c r="H1431" s="10" t="s">
        <v>74</v>
      </c>
      <c r="I1431" s="10" t="s">
        <v>285</v>
      </c>
      <c r="J1431" s="10">
        <v>185</v>
      </c>
      <c r="K1431" s="12">
        <v>44958</v>
      </c>
      <c r="L1431" s="33">
        <v>0.48939814814814814</v>
      </c>
      <c r="M1431" s="10">
        <v>1</v>
      </c>
      <c r="N1431" s="10" t="s">
        <v>211</v>
      </c>
      <c r="O1431" s="10">
        <v>0.42899999999999999</v>
      </c>
      <c r="P1431" s="10">
        <v>4.24E-2</v>
      </c>
      <c r="Q1431" s="10">
        <v>75</v>
      </c>
      <c r="R1431" s="10" t="s">
        <v>913</v>
      </c>
      <c r="S1431" s="34">
        <f t="shared" si="161"/>
        <v>75</v>
      </c>
      <c r="T1431" s="10" t="s">
        <v>1108</v>
      </c>
      <c r="U1431" s="34" t="str">
        <f t="shared" si="162"/>
        <v/>
      </c>
      <c r="V1431" s="31" t="str">
        <f>IF(H1431="CHK",VLOOKUP(I1431,QCCHK,3,),IF(H1431="GUP",VLOOKUP(E1431,QCGUP,2,),IF(AND(H1431="ATP",OR(I1431="TN",I1431="TDN",I1431="TNO2-3",I1431="NO2-3")),VLOOKUP(E1431,QCREC_N,2,),IF(AND(H1431="NIC",OR(I1431="TN",I1431="TDN",I1431="TNO2-3",I1431="NO2-3")),VLOOKUP(E1431,QCNIC_N,2,),IF(AND(H1431="UREA",OR(I1431="TN",I1431="TDN",I1431="TNO2-3",I1431="NO2-3")),VLOOKUP(E1431,QCUREA_N,2,),IF(H1431="PER",VLOOKUP(I1431,QCPER,MATCH(E1431,QCACTUAL!$J$25:$AA$25,0),),IF(H1431="SPK",VLOOKUP(I1431,QCSPK,3,),IF(AND(H1431="ATP",OR(I1431="TP",I1431="TDP")),VLOOKUP(E1431,QCATP_P,2,),""))))))))</f>
        <v/>
      </c>
      <c r="W1431" s="31" t="str">
        <f t="shared" si="163"/>
        <v>TRUE</v>
      </c>
      <c r="X1431" s="31" t="str">
        <f t="shared" si="160"/>
        <v/>
      </c>
      <c r="Y1431" s="10" t="s">
        <v>1096</v>
      </c>
      <c r="AL1431" s="10" t="str">
        <f t="shared" si="165"/>
        <v>FALSE</v>
      </c>
      <c r="AM1431" s="10" t="str">
        <f t="shared" si="165"/>
        <v>FALSE</v>
      </c>
      <c r="AN1431" s="10" t="str">
        <f t="shared" si="165"/>
        <v>FALSE</v>
      </c>
      <c r="AO1431" s="10" t="str">
        <f t="shared" si="166"/>
        <v>FALSE</v>
      </c>
      <c r="AP1431" s="10" t="str">
        <f t="shared" si="166"/>
        <v>FALSE</v>
      </c>
      <c r="AQ1431" s="10" t="b">
        <f>IF(AND(I1431="TP",S1431&lt;=150),VLOOKUP(AF1431,TPCalibEq150!$AZ$2:$BB$55,3,),IF(AND(I1431="TDP",S1431&lt;=150),VLOOKUP(AF1431,TPCalibEq150!$AZ$2:$BB$55,3,)))</f>
        <v>0</v>
      </c>
      <c r="AR1431" s="10" t="b">
        <f>IF(AND(I1431="TP",S1431&lt;=300),VLOOKUP(AF1431,TPCalibEq300!$AZ$2:$BB$55,3,),IF(AND(I1431="TDP",S1431&lt;=300),VLOOKUP(AF1431,TPCalibEq300!$AZ$2:$BB$55,3,)))</f>
        <v>0</v>
      </c>
      <c r="AS1431" s="10" t="b">
        <f>IF(AND(I1431="TP",S1431&lt;=500),VLOOKUP(AF1431,TPCalibEq500!$AZ$2:$BB$56,3,),IF(AND(I1431="TDP",S1431&lt;=500),VLOOKUP(AF1431,TPCalibEq500!$AZ$2:$BB$56,3,)))</f>
        <v>0</v>
      </c>
      <c r="AT1431" s="10" t="b">
        <f>IF(AND(I1431="TN",S1431&lt;=2800),VLOOKUP(AF1431,TNCalibEq2500!$AZ$2:$BB$56,3,),IF(AND(I1431="TDN",S1431&lt;=2800),VLOOKUP(AF1431,TNCalibEq2500!$AZ$2:$BB$56,3,)))</f>
        <v>0</v>
      </c>
      <c r="AU1431" s="10" t="b">
        <f>IF(I1431="TP",VLOOKUP(AF1431,TPCalibEqFull!$AZ$2:$BB$56,3),IF(I1431="TDP",VLOOKUP(AF1431,TPCalibEqFull!$AZ$2:$BB$56,3),IF(I1431="TDN",VLOOKUP(AF1431,TNCalibEqFull!$AZ$1:$BB$56,3),IF(I1431="TN",VLOOKUP(AF1431,TNCalibEqFull!$AZ$1:$BB$56,3),FALSE))))</f>
        <v>0</v>
      </c>
      <c r="AV1431" s="10" t="str">
        <f t="shared" si="164"/>
        <v>0201 09:00:00-QAC-STD-D-1-DI-CAL</v>
      </c>
    </row>
    <row r="1432" spans="1:48" s="10" customFormat="1" x14ac:dyDescent="0.55000000000000004">
      <c r="A1432" s="32">
        <v>44958</v>
      </c>
      <c r="B1432" s="33">
        <v>0.375</v>
      </c>
      <c r="C1432" s="10" t="s">
        <v>70</v>
      </c>
      <c r="D1432" s="10" t="s">
        <v>71</v>
      </c>
      <c r="E1432" s="10" t="s">
        <v>190</v>
      </c>
      <c r="F1432" s="10">
        <v>1</v>
      </c>
      <c r="G1432" s="10" t="s">
        <v>73</v>
      </c>
      <c r="H1432" s="10" t="s">
        <v>74</v>
      </c>
      <c r="I1432" s="10" t="s">
        <v>285</v>
      </c>
      <c r="J1432" s="10">
        <v>186</v>
      </c>
      <c r="K1432" s="12">
        <v>44958</v>
      </c>
      <c r="L1432" s="33">
        <v>0.4902199074074074</v>
      </c>
      <c r="M1432" s="10">
        <v>1</v>
      </c>
      <c r="N1432" s="10" t="s">
        <v>211</v>
      </c>
      <c r="O1432" s="10">
        <v>0.86</v>
      </c>
      <c r="P1432" s="10">
        <v>8.5800000000000001E-2</v>
      </c>
      <c r="Q1432" s="10">
        <v>150</v>
      </c>
      <c r="R1432" s="10" t="s">
        <v>913</v>
      </c>
      <c r="S1432" s="34">
        <f t="shared" si="161"/>
        <v>150</v>
      </c>
      <c r="T1432" s="10" t="s">
        <v>1109</v>
      </c>
      <c r="U1432" s="34" t="str">
        <f t="shared" si="162"/>
        <v/>
      </c>
      <c r="V1432" s="31" t="str">
        <f>IF(H1432="CHK",VLOOKUP(I1432,QCCHK,3,),IF(H1432="GUP",VLOOKUP(E1432,QCGUP,2,),IF(AND(H1432="ATP",OR(I1432="TN",I1432="TDN",I1432="TNO2-3",I1432="NO2-3")),VLOOKUP(E1432,QCREC_N,2,),IF(AND(H1432="NIC",OR(I1432="TN",I1432="TDN",I1432="TNO2-3",I1432="NO2-3")),VLOOKUP(E1432,QCNIC_N,2,),IF(AND(H1432="UREA",OR(I1432="TN",I1432="TDN",I1432="TNO2-3",I1432="NO2-3")),VLOOKUP(E1432,QCUREA_N,2,),IF(H1432="PER",VLOOKUP(I1432,QCPER,MATCH(E1432,QCACTUAL!$J$25:$AA$25,0),),IF(H1432="SPK",VLOOKUP(I1432,QCSPK,3,),IF(AND(H1432="ATP",OR(I1432="TP",I1432="TDP")),VLOOKUP(E1432,QCATP_P,2,),""))))))))</f>
        <v/>
      </c>
      <c r="W1432" s="31" t="str">
        <f t="shared" si="163"/>
        <v>TRUE</v>
      </c>
      <c r="X1432" s="31" t="str">
        <f t="shared" si="160"/>
        <v/>
      </c>
      <c r="Y1432" s="10" t="s">
        <v>1096</v>
      </c>
      <c r="AL1432" s="10" t="str">
        <f t="shared" si="165"/>
        <v>FALSE</v>
      </c>
      <c r="AM1432" s="10" t="str">
        <f t="shared" si="165"/>
        <v>FALSE</v>
      </c>
      <c r="AN1432" s="10" t="str">
        <f t="shared" si="165"/>
        <v>FALSE</v>
      </c>
      <c r="AO1432" s="10" t="str">
        <f t="shared" si="166"/>
        <v>FALSE</v>
      </c>
      <c r="AP1432" s="10" t="str">
        <f t="shared" si="166"/>
        <v>FALSE</v>
      </c>
      <c r="AQ1432" s="10" t="b">
        <f>IF(AND(I1432="TP",S1432&lt;=150),VLOOKUP(AF1432,TPCalibEq150!$AZ$2:$BB$55,3,),IF(AND(I1432="TDP",S1432&lt;=150),VLOOKUP(AF1432,TPCalibEq150!$AZ$2:$BB$55,3,)))</f>
        <v>0</v>
      </c>
      <c r="AR1432" s="10" t="b">
        <f>IF(AND(I1432="TP",S1432&lt;=300),VLOOKUP(AF1432,TPCalibEq300!$AZ$2:$BB$55,3,),IF(AND(I1432="TDP",S1432&lt;=300),VLOOKUP(AF1432,TPCalibEq300!$AZ$2:$BB$55,3,)))</f>
        <v>0</v>
      </c>
      <c r="AS1432" s="10" t="b">
        <f>IF(AND(I1432="TP",S1432&lt;=500),VLOOKUP(AF1432,TPCalibEq500!$AZ$2:$BB$56,3,),IF(AND(I1432="TDP",S1432&lt;=500),VLOOKUP(AF1432,TPCalibEq500!$AZ$2:$BB$56,3,)))</f>
        <v>0</v>
      </c>
      <c r="AT1432" s="10" t="b">
        <f>IF(AND(I1432="TN",S1432&lt;=2800),VLOOKUP(AF1432,TNCalibEq2500!$AZ$2:$BB$56,3,),IF(AND(I1432="TDN",S1432&lt;=2800),VLOOKUP(AF1432,TNCalibEq2500!$AZ$2:$BB$56,3,)))</f>
        <v>0</v>
      </c>
      <c r="AU1432" s="10" t="b">
        <f>IF(I1432="TP",VLOOKUP(AF1432,TPCalibEqFull!$AZ$2:$BB$56,3),IF(I1432="TDP",VLOOKUP(AF1432,TPCalibEqFull!$AZ$2:$BB$56,3),IF(I1432="TDN",VLOOKUP(AF1432,TNCalibEqFull!$AZ$1:$BB$56,3),IF(I1432="TN",VLOOKUP(AF1432,TNCalibEqFull!$AZ$1:$BB$56,3),FALSE))))</f>
        <v>0</v>
      </c>
      <c r="AV1432" s="10" t="str">
        <f t="shared" si="164"/>
        <v>0201 09:00:00-QAC-STD-C-1-DI-CAL</v>
      </c>
    </row>
    <row r="1433" spans="1:48" s="10" customFormat="1" x14ac:dyDescent="0.55000000000000004">
      <c r="A1433" s="32">
        <v>44958</v>
      </c>
      <c r="B1433" s="33">
        <v>0.375</v>
      </c>
      <c r="C1433" s="10" t="s">
        <v>70</v>
      </c>
      <c r="D1433" s="10" t="s">
        <v>71</v>
      </c>
      <c r="E1433" s="10" t="s">
        <v>583</v>
      </c>
      <c r="F1433" s="10">
        <v>1</v>
      </c>
      <c r="G1433" s="10" t="s">
        <v>73</v>
      </c>
      <c r="H1433" s="10" t="s">
        <v>74</v>
      </c>
      <c r="I1433" s="10" t="s">
        <v>285</v>
      </c>
      <c r="J1433" s="10">
        <v>187</v>
      </c>
      <c r="K1433" s="12">
        <v>44958</v>
      </c>
      <c r="L1433" s="33">
        <v>0.49104166666666665</v>
      </c>
      <c r="M1433" s="10">
        <v>1</v>
      </c>
      <c r="N1433" s="10" t="s">
        <v>211</v>
      </c>
      <c r="O1433" s="10">
        <v>1.75</v>
      </c>
      <c r="P1433" s="10">
        <v>0.17499999999999999</v>
      </c>
      <c r="Q1433" s="10">
        <v>300</v>
      </c>
      <c r="R1433" s="10" t="s">
        <v>913</v>
      </c>
      <c r="S1433" s="34">
        <f t="shared" si="161"/>
        <v>300</v>
      </c>
      <c r="T1433" s="10" t="s">
        <v>1110</v>
      </c>
      <c r="U1433" s="34" t="str">
        <f t="shared" si="162"/>
        <v/>
      </c>
      <c r="V1433" s="31" t="str">
        <f>IF(H1433="CHK",VLOOKUP(I1433,QCCHK,3,),IF(H1433="GUP",VLOOKUP(E1433,QCGUP,2,),IF(AND(H1433="ATP",OR(I1433="TN",I1433="TDN",I1433="TNO2-3",I1433="NO2-3")),VLOOKUP(E1433,QCREC_N,2,),IF(AND(H1433="NIC",OR(I1433="TN",I1433="TDN",I1433="TNO2-3",I1433="NO2-3")),VLOOKUP(E1433,QCNIC_N,2,),IF(AND(H1433="UREA",OR(I1433="TN",I1433="TDN",I1433="TNO2-3",I1433="NO2-3")),VLOOKUP(E1433,QCUREA_N,2,),IF(H1433="PER",VLOOKUP(I1433,QCPER,MATCH(E1433,QCACTUAL!$J$25:$AA$25,0),),IF(H1433="SPK",VLOOKUP(I1433,QCSPK,3,),IF(AND(H1433="ATP",OR(I1433="TP",I1433="TDP")),VLOOKUP(E1433,QCATP_P,2,),""))))))))</f>
        <v/>
      </c>
      <c r="W1433" s="31" t="str">
        <f t="shared" si="163"/>
        <v>TRUE</v>
      </c>
      <c r="X1433" s="31" t="str">
        <f t="shared" si="160"/>
        <v/>
      </c>
      <c r="Y1433" s="10" t="s">
        <v>1096</v>
      </c>
      <c r="AL1433" s="10" t="str">
        <f t="shared" si="165"/>
        <v>FALSE</v>
      </c>
      <c r="AM1433" s="10" t="str">
        <f t="shared" si="165"/>
        <v>FALSE</v>
      </c>
      <c r="AN1433" s="10" t="str">
        <f t="shared" si="165"/>
        <v>FALSE</v>
      </c>
      <c r="AO1433" s="10" t="str">
        <f t="shared" si="166"/>
        <v>FALSE</v>
      </c>
      <c r="AP1433" s="10" t="str">
        <f t="shared" si="166"/>
        <v>FALSE</v>
      </c>
      <c r="AQ1433" s="10" t="b">
        <f>IF(AND(I1433="TP",S1433&lt;=150),VLOOKUP(AF1433,TPCalibEq150!$AZ$2:$BB$55,3,),IF(AND(I1433="TDP",S1433&lt;=150),VLOOKUP(AF1433,TPCalibEq150!$AZ$2:$BB$55,3,)))</f>
        <v>0</v>
      </c>
      <c r="AR1433" s="10" t="b">
        <f>IF(AND(I1433="TP",S1433&lt;=300),VLOOKUP(AF1433,TPCalibEq300!$AZ$2:$BB$55,3,),IF(AND(I1433="TDP",S1433&lt;=300),VLOOKUP(AF1433,TPCalibEq300!$AZ$2:$BB$55,3,)))</f>
        <v>0</v>
      </c>
      <c r="AS1433" s="10" t="b">
        <f>IF(AND(I1433="TP",S1433&lt;=500),VLOOKUP(AF1433,TPCalibEq500!$AZ$2:$BB$56,3,),IF(AND(I1433="TDP",S1433&lt;=500),VLOOKUP(AF1433,TPCalibEq500!$AZ$2:$BB$56,3,)))</f>
        <v>0</v>
      </c>
      <c r="AT1433" s="10" t="b">
        <f>IF(AND(I1433="TN",S1433&lt;=2800),VLOOKUP(AF1433,TNCalibEq2500!$AZ$2:$BB$56,3,),IF(AND(I1433="TDN",S1433&lt;=2800),VLOOKUP(AF1433,TNCalibEq2500!$AZ$2:$BB$56,3,)))</f>
        <v>0</v>
      </c>
      <c r="AU1433" s="10" t="b">
        <f>IF(I1433="TP",VLOOKUP(AF1433,TPCalibEqFull!$AZ$2:$BB$56,3),IF(I1433="TDP",VLOOKUP(AF1433,TPCalibEqFull!$AZ$2:$BB$56,3),IF(I1433="TDN",VLOOKUP(AF1433,TNCalibEqFull!$AZ$1:$BB$56,3),IF(I1433="TN",VLOOKUP(AF1433,TNCalibEqFull!$AZ$1:$BB$56,3),FALSE))))</f>
        <v>0</v>
      </c>
      <c r="AV1433" s="10" t="str">
        <f t="shared" si="164"/>
        <v>0201 09:00:00-QAC-STD-B-1-DI-CAL</v>
      </c>
    </row>
    <row r="1434" spans="1:48" s="10" customFormat="1" x14ac:dyDescent="0.55000000000000004">
      <c r="A1434" s="32">
        <v>44958</v>
      </c>
      <c r="B1434" s="33">
        <v>0.375</v>
      </c>
      <c r="C1434" s="10" t="s">
        <v>70</v>
      </c>
      <c r="D1434" s="10" t="s">
        <v>71</v>
      </c>
      <c r="E1434" s="10" t="s">
        <v>866</v>
      </c>
      <c r="F1434" s="10">
        <v>1</v>
      </c>
      <c r="G1434" s="10" t="s">
        <v>73</v>
      </c>
      <c r="H1434" s="10" t="s">
        <v>74</v>
      </c>
      <c r="I1434" s="10" t="s">
        <v>285</v>
      </c>
      <c r="J1434" s="10">
        <v>188</v>
      </c>
      <c r="K1434" s="12">
        <v>44958</v>
      </c>
      <c r="L1434" s="33">
        <v>0.49186342592592597</v>
      </c>
      <c r="M1434" s="10">
        <v>1</v>
      </c>
      <c r="N1434" s="10" t="s">
        <v>211</v>
      </c>
      <c r="O1434" s="10">
        <v>2.91</v>
      </c>
      <c r="P1434" s="10">
        <v>0.29399999999999998</v>
      </c>
      <c r="Q1434" s="10">
        <v>500</v>
      </c>
      <c r="R1434" s="10" t="s">
        <v>913</v>
      </c>
      <c r="S1434" s="34">
        <f t="shared" si="161"/>
        <v>500</v>
      </c>
      <c r="T1434" s="10" t="s">
        <v>1111</v>
      </c>
      <c r="U1434" s="34" t="str">
        <f t="shared" si="162"/>
        <v/>
      </c>
      <c r="V1434" s="31" t="str">
        <f>IF(H1434="CHK",VLOOKUP(I1434,QCCHK,3,),IF(H1434="GUP",VLOOKUP(E1434,QCGUP,2,),IF(AND(H1434="ATP",OR(I1434="TN",I1434="TDN",I1434="TNO2-3",I1434="NO2-3")),VLOOKUP(E1434,QCREC_N,2,),IF(AND(H1434="NIC",OR(I1434="TN",I1434="TDN",I1434="TNO2-3",I1434="NO2-3")),VLOOKUP(E1434,QCNIC_N,2,),IF(AND(H1434="UREA",OR(I1434="TN",I1434="TDN",I1434="TNO2-3",I1434="NO2-3")),VLOOKUP(E1434,QCUREA_N,2,),IF(H1434="PER",VLOOKUP(I1434,QCPER,MATCH(E1434,QCACTUAL!$J$25:$AA$25,0),),IF(H1434="SPK",VLOOKUP(I1434,QCSPK,3,),IF(AND(H1434="ATP",OR(I1434="TP",I1434="TDP")),VLOOKUP(E1434,QCATP_P,2,),""))))))))</f>
        <v/>
      </c>
      <c r="W1434" s="31" t="str">
        <f t="shared" si="163"/>
        <v>TRUE</v>
      </c>
      <c r="X1434" s="31" t="str">
        <f t="shared" si="160"/>
        <v/>
      </c>
      <c r="Y1434" s="10" t="s">
        <v>1096</v>
      </c>
      <c r="AL1434" s="10" t="str">
        <f t="shared" si="165"/>
        <v>FALSE</v>
      </c>
      <c r="AM1434" s="10" t="str">
        <f t="shared" si="165"/>
        <v>FALSE</v>
      </c>
      <c r="AN1434" s="10" t="str">
        <f t="shared" si="165"/>
        <v>FALSE</v>
      </c>
      <c r="AO1434" s="10" t="str">
        <f t="shared" si="166"/>
        <v>FALSE</v>
      </c>
      <c r="AP1434" s="10" t="str">
        <f t="shared" si="166"/>
        <v>FALSE</v>
      </c>
      <c r="AQ1434" s="10" t="b">
        <f>IF(AND(I1434="TP",S1434&lt;=150),VLOOKUP(AF1434,TPCalibEq150!$AZ$2:$BB$55,3,),IF(AND(I1434="TDP",S1434&lt;=150),VLOOKUP(AF1434,TPCalibEq150!$AZ$2:$BB$55,3,)))</f>
        <v>0</v>
      </c>
      <c r="AR1434" s="10" t="b">
        <f>IF(AND(I1434="TP",S1434&lt;=300),VLOOKUP(AF1434,TPCalibEq300!$AZ$2:$BB$55,3,),IF(AND(I1434="TDP",S1434&lt;=300),VLOOKUP(AF1434,TPCalibEq300!$AZ$2:$BB$55,3,)))</f>
        <v>0</v>
      </c>
      <c r="AS1434" s="10" t="b">
        <f>IF(AND(I1434="TP",S1434&lt;=500),VLOOKUP(AF1434,TPCalibEq500!$AZ$2:$BB$56,3,),IF(AND(I1434="TDP",S1434&lt;=500),VLOOKUP(AF1434,TPCalibEq500!$AZ$2:$BB$56,3,)))</f>
        <v>0</v>
      </c>
      <c r="AT1434" s="10" t="b">
        <f>IF(AND(I1434="TN",S1434&lt;=2800),VLOOKUP(AF1434,TNCalibEq2500!$AZ$2:$BB$56,3,),IF(AND(I1434="TDN",S1434&lt;=2800),VLOOKUP(AF1434,TNCalibEq2500!$AZ$2:$BB$56,3,)))</f>
        <v>0</v>
      </c>
      <c r="AU1434" s="10" t="b">
        <f>IF(I1434="TP",VLOOKUP(AF1434,TPCalibEqFull!$AZ$2:$BB$56,3),IF(I1434="TDP",VLOOKUP(AF1434,TPCalibEqFull!$AZ$2:$BB$56,3),IF(I1434="TDN",VLOOKUP(AF1434,TNCalibEqFull!$AZ$1:$BB$56,3),IF(I1434="TN",VLOOKUP(AF1434,TNCalibEqFull!$AZ$1:$BB$56,3),FALSE))))</f>
        <v>0</v>
      </c>
      <c r="AV1434" s="10" t="str">
        <f t="shared" si="164"/>
        <v>0201 09:00:00-QAC-STD-A-1-DI-CAL</v>
      </c>
    </row>
    <row r="1435" spans="1:48" s="10" customFormat="1" x14ac:dyDescent="0.55000000000000004">
      <c r="A1435" s="32">
        <v>44958</v>
      </c>
      <c r="B1435" s="33">
        <v>0.375</v>
      </c>
      <c r="C1435" s="10" t="s">
        <v>70</v>
      </c>
      <c r="D1435" s="10" t="s">
        <v>241</v>
      </c>
      <c r="E1435" s="10" t="s">
        <v>866</v>
      </c>
      <c r="F1435" s="10">
        <v>1</v>
      </c>
      <c r="G1435" s="10" t="s">
        <v>73</v>
      </c>
      <c r="H1435" s="10" t="s">
        <v>283</v>
      </c>
      <c r="I1435" s="10" t="s">
        <v>285</v>
      </c>
      <c r="J1435" s="10">
        <v>198</v>
      </c>
      <c r="K1435" s="12">
        <v>44958</v>
      </c>
      <c r="L1435" s="33">
        <v>0.49349537037037039</v>
      </c>
      <c r="M1435" s="10">
        <v>1</v>
      </c>
      <c r="N1435" s="10" t="s">
        <v>211</v>
      </c>
      <c r="O1435" s="10">
        <v>2.7400000000000001E-2</v>
      </c>
      <c r="P1435" s="10">
        <v>2.2100000000000002E-3</v>
      </c>
      <c r="Q1435" s="10">
        <v>4.17</v>
      </c>
      <c r="R1435" s="10" t="s">
        <v>913</v>
      </c>
      <c r="S1435" s="34">
        <f t="shared" si="161"/>
        <v>4.17</v>
      </c>
      <c r="T1435" s="10" t="s">
        <v>1111</v>
      </c>
      <c r="U1435" s="34">
        <f t="shared" si="162"/>
        <v>4.17</v>
      </c>
      <c r="V1435" s="31" t="str">
        <f>IF(H1435="CHK",VLOOKUP(I1435,QCCHK,3,),IF(H1435="GUP",VLOOKUP(E1435,QCGUP,2,),IF(AND(H1435="ATP",OR(I1435="TN",I1435="TDN",I1435="TNO2-3",I1435="NO2-3")),VLOOKUP(E1435,QCREC_N,2,),IF(AND(H1435="NIC",OR(I1435="TN",I1435="TDN",I1435="TNO2-3",I1435="NO2-3")),VLOOKUP(E1435,QCNIC_N,2,),IF(AND(H1435="UREA",OR(I1435="TN",I1435="TDN",I1435="TNO2-3",I1435="NO2-3")),VLOOKUP(E1435,QCUREA_N,2,),IF(H1435="PER",VLOOKUP(I1435,QCPER,MATCH(E1435,QCACTUAL!$J$25:$AA$25,0),),IF(H1435="SPK",VLOOKUP(I1435,QCSPK,3,),IF(AND(H1435="ATP",OR(I1435="TP",I1435="TDP")),VLOOKUP(E1435,QCATP_P,2,),""))))))))</f>
        <v/>
      </c>
      <c r="W1435" s="31" t="str">
        <f t="shared" si="163"/>
        <v>TRUE</v>
      </c>
      <c r="X1435" s="31" t="str">
        <f t="shared" si="160"/>
        <v>nominal concentration</v>
      </c>
      <c r="Y1435" s="10" t="s">
        <v>1096</v>
      </c>
      <c r="AL1435" s="10" t="str">
        <f t="shared" si="165"/>
        <v>FALSE</v>
      </c>
      <c r="AM1435" s="10" t="str">
        <f t="shared" si="165"/>
        <v>FALSE</v>
      </c>
      <c r="AN1435" s="10" t="str">
        <f t="shared" si="165"/>
        <v>FALSE</v>
      </c>
      <c r="AO1435" s="10" t="str">
        <f t="shared" si="166"/>
        <v>FALSE</v>
      </c>
      <c r="AP1435" s="10" t="str">
        <f t="shared" si="166"/>
        <v>FALSE</v>
      </c>
      <c r="AQ1435" s="10" t="b">
        <f>IF(AND(I1435="TP",S1435&lt;=150),VLOOKUP(AF1435,TPCalibEq150!$AZ$2:$BB$55,3,),IF(AND(I1435="TDP",S1435&lt;=150),VLOOKUP(AF1435,TPCalibEq150!$AZ$2:$BB$55,3,)))</f>
        <v>0</v>
      </c>
      <c r="AR1435" s="10" t="b">
        <f>IF(AND(I1435="TP",S1435&lt;=300),VLOOKUP(AF1435,TPCalibEq300!$AZ$2:$BB$55,3,),IF(AND(I1435="TDP",S1435&lt;=300),VLOOKUP(AF1435,TPCalibEq300!$AZ$2:$BB$55,3,)))</f>
        <v>0</v>
      </c>
      <c r="AS1435" s="10" t="b">
        <f>IF(AND(I1435="TP",S1435&lt;=500),VLOOKUP(AF1435,TPCalibEq500!$AZ$2:$BB$56,3,),IF(AND(I1435="TDP",S1435&lt;=500),VLOOKUP(AF1435,TPCalibEq500!$AZ$2:$BB$56,3,)))</f>
        <v>0</v>
      </c>
      <c r="AT1435" s="10" t="b">
        <f>IF(AND(I1435="TN",S1435&lt;=2800),VLOOKUP(AF1435,TNCalibEq2500!$AZ$2:$BB$56,3,),IF(AND(I1435="TDN",S1435&lt;=2800),VLOOKUP(AF1435,TNCalibEq2500!$AZ$2:$BB$56,3,)))</f>
        <v>0</v>
      </c>
      <c r="AU1435" s="10" t="b">
        <f>IF(I1435="TP",VLOOKUP(AF1435,TPCalibEqFull!$AZ$2:$BB$56,3),IF(I1435="TDP",VLOOKUP(AF1435,TPCalibEqFull!$AZ$2:$BB$56,3),IF(I1435="TDN",VLOOKUP(AF1435,TNCalibEqFull!$AZ$1:$BB$56,3),IF(I1435="TN",VLOOKUP(AF1435,TNCalibEqFull!$AZ$1:$BB$56,3),FALSE))))</f>
        <v>0</v>
      </c>
      <c r="AV1435" s="10" t="str">
        <f t="shared" si="164"/>
        <v>0201 09:00:00-QAC-BLK-A-1-DI-LAB</v>
      </c>
    </row>
    <row r="1436" spans="1:48" s="10" customFormat="1" x14ac:dyDescent="0.55000000000000004">
      <c r="A1436" s="32">
        <v>44958</v>
      </c>
      <c r="B1436" s="33">
        <v>0.375</v>
      </c>
      <c r="C1436" s="10" t="s">
        <v>70</v>
      </c>
      <c r="D1436" s="10" t="s">
        <v>241</v>
      </c>
      <c r="E1436" s="10" t="s">
        <v>866</v>
      </c>
      <c r="F1436" s="10">
        <v>1</v>
      </c>
      <c r="G1436" s="10" t="s">
        <v>73</v>
      </c>
      <c r="H1436" s="10" t="s">
        <v>314</v>
      </c>
      <c r="I1436" s="10" t="s">
        <v>285</v>
      </c>
      <c r="J1436" s="10">
        <v>225</v>
      </c>
      <c r="K1436" s="12">
        <v>44958</v>
      </c>
      <c r="L1436" s="33">
        <v>0.49431712962962965</v>
      </c>
      <c r="M1436" s="10">
        <v>1</v>
      </c>
      <c r="N1436" s="10" t="s">
        <v>211</v>
      </c>
      <c r="O1436" s="10">
        <v>0.95099999999999996</v>
      </c>
      <c r="P1436" s="10">
        <v>9.35E-2</v>
      </c>
      <c r="Q1436" s="10">
        <v>163</v>
      </c>
      <c r="R1436" s="10" t="s">
        <v>913</v>
      </c>
      <c r="S1436" s="34">
        <f t="shared" si="161"/>
        <v>163</v>
      </c>
      <c r="T1436" s="10" t="s">
        <v>1111</v>
      </c>
      <c r="U1436" s="34">
        <f t="shared" si="162"/>
        <v>101.6512</v>
      </c>
      <c r="V1436" s="31">
        <f>IF(H1436="CHK",VLOOKUP(I1436,QCCHK,3,),IF(H1436="GUP",VLOOKUP(E1436,QCGUP,2,),IF(AND(H1436="ATP",OR(I1436="TN",I1436="TDN",I1436="TNO2-3",I1436="NO2-3")),VLOOKUP(E1436,QCREC_N,2,),IF(AND(H1436="NIC",OR(I1436="TN",I1436="TDN",I1436="TNO2-3",I1436="NO2-3")),VLOOKUP(E1436,QCNIC_N,2,),IF(AND(H1436="UREA",OR(I1436="TN",I1436="TDN",I1436="TNO2-3",I1436="NO2-3")),VLOOKUP(E1436,QCUREA_N,2,),IF(H1436="PER",VLOOKUP(I1436,QCPER,MATCH(E1436,QCACTUAL!$J$25:$AA$25,0),),IF(H1436="SPK",VLOOKUP(I1436,QCSPK,3,),IF(AND(H1436="ATP",OR(I1436="TP",I1436="TDP")),VLOOKUP(E1436,QCATP_P,2,),""))))))))</f>
        <v>156.25</v>
      </c>
      <c r="W1436" s="31" t="str">
        <f t="shared" si="163"/>
        <v>TRUE</v>
      </c>
      <c r="X1436" s="31" t="str">
        <f t="shared" si="160"/>
        <v>([spikedunkn]-[unkn])/[spike]*100</v>
      </c>
      <c r="Y1436" s="10" t="s">
        <v>1096</v>
      </c>
      <c r="AL1436" s="10" t="str">
        <f t="shared" si="165"/>
        <v>FALSE</v>
      </c>
      <c r="AM1436" s="10" t="str">
        <f t="shared" si="165"/>
        <v>FALSE</v>
      </c>
      <c r="AN1436" s="10" t="str">
        <f t="shared" si="165"/>
        <v>FALSE</v>
      </c>
      <c r="AO1436" s="10" t="str">
        <f t="shared" si="166"/>
        <v>FALSE</v>
      </c>
      <c r="AP1436" s="10" t="str">
        <f t="shared" si="166"/>
        <v>FALSE</v>
      </c>
      <c r="AQ1436" s="10" t="b">
        <f>IF(AND(I1436="TP",S1436&lt;=150),VLOOKUP(AF1436,TPCalibEq150!$AZ$2:$BB$55,3,),IF(AND(I1436="TDP",S1436&lt;=150),VLOOKUP(AF1436,TPCalibEq150!$AZ$2:$BB$55,3,)))</f>
        <v>0</v>
      </c>
      <c r="AR1436" s="10" t="b">
        <f>IF(AND(I1436="TP",S1436&lt;=300),VLOOKUP(AF1436,TPCalibEq300!$AZ$2:$BB$55,3,),IF(AND(I1436="TDP",S1436&lt;=300),VLOOKUP(AF1436,TPCalibEq300!$AZ$2:$BB$55,3,)))</f>
        <v>0</v>
      </c>
      <c r="AS1436" s="10" t="b">
        <f>IF(AND(I1436="TP",S1436&lt;=500),VLOOKUP(AF1436,TPCalibEq500!$AZ$2:$BB$56,3,),IF(AND(I1436="TDP",S1436&lt;=500),VLOOKUP(AF1436,TPCalibEq500!$AZ$2:$BB$56,3,)))</f>
        <v>0</v>
      </c>
      <c r="AT1436" s="10" t="b">
        <f>IF(AND(I1436="TN",S1436&lt;=2800),VLOOKUP(AF1436,TNCalibEq2500!$AZ$2:$BB$56,3,),IF(AND(I1436="TDN",S1436&lt;=2800),VLOOKUP(AF1436,TNCalibEq2500!$AZ$2:$BB$56,3,)))</f>
        <v>0</v>
      </c>
      <c r="AU1436" s="10" t="b">
        <f>IF(I1436="TP",VLOOKUP(AF1436,TPCalibEqFull!$AZ$2:$BB$56,3),IF(I1436="TDP",VLOOKUP(AF1436,TPCalibEqFull!$AZ$2:$BB$56,3),IF(I1436="TDN",VLOOKUP(AF1436,TNCalibEqFull!$AZ$1:$BB$56,3),IF(I1436="TN",VLOOKUP(AF1436,TNCalibEqFull!$AZ$1:$BB$56,3),FALSE))))</f>
        <v>0</v>
      </c>
      <c r="AV1436" s="10" t="str">
        <f t="shared" si="164"/>
        <v>0201 09:00:00-QAC-BLK-A-1-DI-SPK</v>
      </c>
    </row>
    <row r="1437" spans="1:48" s="10" customFormat="1" x14ac:dyDescent="0.55000000000000004">
      <c r="A1437" s="32">
        <v>44958</v>
      </c>
      <c r="B1437" s="33">
        <v>0.375</v>
      </c>
      <c r="C1437" s="10" t="s">
        <v>70</v>
      </c>
      <c r="D1437" s="10" t="s">
        <v>71</v>
      </c>
      <c r="E1437" s="10" t="s">
        <v>948</v>
      </c>
      <c r="F1437" s="10">
        <v>1</v>
      </c>
      <c r="G1437" s="10" t="s">
        <v>73</v>
      </c>
      <c r="H1437" s="10" t="s">
        <v>299</v>
      </c>
      <c r="I1437" s="10" t="s">
        <v>285</v>
      </c>
      <c r="J1437" s="10">
        <v>197</v>
      </c>
      <c r="K1437" s="12">
        <v>44958</v>
      </c>
      <c r="L1437" s="33">
        <v>0.495150462962963</v>
      </c>
      <c r="M1437" s="10">
        <v>1</v>
      </c>
      <c r="N1437" s="10" t="s">
        <v>211</v>
      </c>
      <c r="O1437" s="10">
        <v>1.95</v>
      </c>
      <c r="P1437" s="10">
        <v>0.19500000000000001</v>
      </c>
      <c r="Q1437" s="10">
        <v>334</v>
      </c>
      <c r="R1437" s="10" t="s">
        <v>913</v>
      </c>
      <c r="S1437" s="34">
        <f t="shared" si="161"/>
        <v>334</v>
      </c>
      <c r="T1437" s="10" t="s">
        <v>1111</v>
      </c>
      <c r="U1437" s="34">
        <f t="shared" si="162"/>
        <v>94.350282485875709</v>
      </c>
      <c r="V1437" s="31">
        <f>IF(H1437="CHK",VLOOKUP(I1437,QCCHK,3,),IF(H1437="GUP",VLOOKUP(E1437,QCGUP,2,),IF(AND(H1437="ATP",OR(I1437="TN",I1437="TDN",I1437="TNO2-3",I1437="NO2-3")),VLOOKUP(E1437,QCREC_N,2,),IF(AND(H1437="NIC",OR(I1437="TN",I1437="TDN",I1437="TNO2-3",I1437="NO2-3")),VLOOKUP(E1437,QCNIC_N,2,),IF(AND(H1437="UREA",OR(I1437="TN",I1437="TDN",I1437="TNO2-3",I1437="NO2-3")),VLOOKUP(E1437,QCUREA_N,2,),IF(H1437="PER",VLOOKUP(I1437,QCPER,MATCH(E1437,QCACTUAL!$J$25:$AA$25,0),),IF(H1437="SPK",VLOOKUP(I1437,QCSPK,3,),IF(AND(H1437="ATP",OR(I1437="TP",I1437="TDP")),VLOOKUP(E1437,QCATP_P,2,),""))))))))</f>
        <v>354</v>
      </c>
      <c r="W1437" s="31" t="str">
        <f t="shared" si="163"/>
        <v>TRUE</v>
      </c>
      <c r="X1437" s="31" t="str">
        <f t="shared" si="160"/>
        <v>[per]/[actual]*100</v>
      </c>
      <c r="Y1437" s="10" t="s">
        <v>1096</v>
      </c>
      <c r="AL1437" s="10" t="str">
        <f t="shared" si="165"/>
        <v>FALSE</v>
      </c>
      <c r="AM1437" s="10" t="str">
        <f t="shared" si="165"/>
        <v>FALSE</v>
      </c>
      <c r="AN1437" s="10" t="str">
        <f t="shared" si="165"/>
        <v>FALSE</v>
      </c>
      <c r="AO1437" s="10" t="str">
        <f t="shared" si="166"/>
        <v>FALSE</v>
      </c>
      <c r="AP1437" s="10" t="str">
        <f t="shared" si="166"/>
        <v>FALSE</v>
      </c>
      <c r="AQ1437" s="10" t="b">
        <f>IF(AND(I1437="TP",S1437&lt;=150),VLOOKUP(AF1437,TPCalibEq150!$AZ$2:$BB$55,3,),IF(AND(I1437="TDP",S1437&lt;=150),VLOOKUP(AF1437,TPCalibEq150!$AZ$2:$BB$55,3,)))</f>
        <v>0</v>
      </c>
      <c r="AR1437" s="10" t="b">
        <f>IF(AND(I1437="TP",S1437&lt;=300),VLOOKUP(AF1437,TPCalibEq300!$AZ$2:$BB$55,3,),IF(AND(I1437="TDP",S1437&lt;=300),VLOOKUP(AF1437,TPCalibEq300!$AZ$2:$BB$55,3,)))</f>
        <v>0</v>
      </c>
      <c r="AS1437" s="10" t="b">
        <f>IF(AND(I1437="TP",S1437&lt;=500),VLOOKUP(AF1437,TPCalibEq500!$AZ$2:$BB$56,3,),IF(AND(I1437="TDP",S1437&lt;=500),VLOOKUP(AF1437,TPCalibEq500!$AZ$2:$BB$56,3,)))</f>
        <v>0</v>
      </c>
      <c r="AT1437" s="10" t="b">
        <f>IF(AND(I1437="TN",S1437&lt;=2800),VLOOKUP(AF1437,TNCalibEq2500!$AZ$2:$BB$56,3,),IF(AND(I1437="TDN",S1437&lt;=2800),VLOOKUP(AF1437,TNCalibEq2500!$AZ$2:$BB$56,3,)))</f>
        <v>0</v>
      </c>
      <c r="AU1437" s="10" t="b">
        <f>IF(I1437="TP",VLOOKUP(AF1437,TPCalibEqFull!$AZ$2:$BB$56,3),IF(I1437="TDP",VLOOKUP(AF1437,TPCalibEqFull!$AZ$2:$BB$56,3),IF(I1437="TDN",VLOOKUP(AF1437,TNCalibEqFull!$AZ$1:$BB$56,3),IF(I1437="TN",VLOOKUP(AF1437,TNCalibEqFull!$AZ$1:$BB$56,3),FALSE))))</f>
        <v>0</v>
      </c>
      <c r="AV1437" s="10" t="str">
        <f t="shared" si="164"/>
        <v>0201 09:00:00-QAC-STD-22A-1-DI-PER</v>
      </c>
    </row>
    <row r="1438" spans="1:48" s="10" customFormat="1" x14ac:dyDescent="0.55000000000000004">
      <c r="A1438" s="32">
        <v>44958</v>
      </c>
      <c r="B1438" s="33">
        <v>0.375</v>
      </c>
      <c r="C1438" s="10" t="s">
        <v>70</v>
      </c>
      <c r="D1438" s="10" t="s">
        <v>71</v>
      </c>
      <c r="E1438" s="10" t="s">
        <v>1060</v>
      </c>
      <c r="F1438" s="10">
        <v>1</v>
      </c>
      <c r="G1438" s="10" t="s">
        <v>73</v>
      </c>
      <c r="H1438" s="10" t="s">
        <v>299</v>
      </c>
      <c r="I1438" s="10" t="s">
        <v>285</v>
      </c>
      <c r="J1438" s="10">
        <v>196</v>
      </c>
      <c r="K1438" s="12">
        <v>44958</v>
      </c>
      <c r="L1438" s="33">
        <v>0.49597222222222226</v>
      </c>
      <c r="M1438" s="10">
        <v>1</v>
      </c>
      <c r="N1438" s="10" t="s">
        <v>211</v>
      </c>
      <c r="O1438" s="10">
        <v>1.23</v>
      </c>
      <c r="P1438" s="10">
        <v>0.122</v>
      </c>
      <c r="Q1438" s="10">
        <v>211</v>
      </c>
      <c r="R1438" s="10" t="s">
        <v>913</v>
      </c>
      <c r="S1438" s="34">
        <f t="shared" si="161"/>
        <v>211</v>
      </c>
      <c r="T1438" s="10" t="s">
        <v>1111</v>
      </c>
      <c r="U1438" s="34">
        <f t="shared" si="162"/>
        <v>105.5</v>
      </c>
      <c r="V1438" s="31">
        <f>IF(H1438="CHK",VLOOKUP(I1438,QCCHK,3,),IF(H1438="GUP",VLOOKUP(E1438,QCGUP,2,),IF(AND(H1438="ATP",OR(I1438="TN",I1438="TDN",I1438="TNO2-3",I1438="NO2-3")),VLOOKUP(E1438,QCREC_N,2,),IF(AND(H1438="NIC",OR(I1438="TN",I1438="TDN",I1438="TNO2-3",I1438="NO2-3")),VLOOKUP(E1438,QCNIC_N,2,),IF(AND(H1438="UREA",OR(I1438="TN",I1438="TDN",I1438="TNO2-3",I1438="NO2-3")),VLOOKUP(E1438,QCUREA_N,2,),IF(H1438="PER",VLOOKUP(I1438,QCPER,MATCH(E1438,QCACTUAL!$J$25:$AA$25,0),),IF(H1438="SPK",VLOOKUP(I1438,QCSPK,3,),IF(AND(H1438="ATP",OR(I1438="TP",I1438="TDP")),VLOOKUP(E1438,QCATP_P,2,),""))))))))</f>
        <v>200</v>
      </c>
      <c r="W1438" s="31" t="str">
        <f t="shared" si="163"/>
        <v>TRUE</v>
      </c>
      <c r="X1438" s="31" t="str">
        <f t="shared" si="160"/>
        <v>[per]/[actual]*100</v>
      </c>
      <c r="Y1438" s="10" t="s">
        <v>1096</v>
      </c>
      <c r="AL1438" s="10" t="str">
        <f t="shared" si="165"/>
        <v>FALSE</v>
      </c>
      <c r="AM1438" s="10" t="str">
        <f t="shared" si="165"/>
        <v>FALSE</v>
      </c>
      <c r="AN1438" s="10" t="str">
        <f t="shared" si="165"/>
        <v>FALSE</v>
      </c>
      <c r="AO1438" s="10" t="str">
        <f t="shared" si="166"/>
        <v>FALSE</v>
      </c>
      <c r="AP1438" s="10" t="str">
        <f t="shared" si="166"/>
        <v>FALSE</v>
      </c>
      <c r="AQ1438" s="10" t="b">
        <f>IF(AND(I1438="TP",S1438&lt;=150),VLOOKUP(AF1438,TPCalibEq150!$AZ$2:$BB$55,3,),IF(AND(I1438="TDP",S1438&lt;=150),VLOOKUP(AF1438,TPCalibEq150!$AZ$2:$BB$55,3,)))</f>
        <v>0</v>
      </c>
      <c r="AR1438" s="10" t="b">
        <f>IF(AND(I1438="TP",S1438&lt;=300),VLOOKUP(AF1438,TPCalibEq300!$AZ$2:$BB$55,3,),IF(AND(I1438="TDP",S1438&lt;=300),VLOOKUP(AF1438,TPCalibEq300!$AZ$2:$BB$55,3,)))</f>
        <v>0</v>
      </c>
      <c r="AS1438" s="10" t="b">
        <f>IF(AND(I1438="TP",S1438&lt;=500),VLOOKUP(AF1438,TPCalibEq500!$AZ$2:$BB$56,3,),IF(AND(I1438="TDP",S1438&lt;=500),VLOOKUP(AF1438,TPCalibEq500!$AZ$2:$BB$56,3,)))</f>
        <v>0</v>
      </c>
      <c r="AT1438" s="10" t="b">
        <f>IF(AND(I1438="TN",S1438&lt;=2800),VLOOKUP(AF1438,TNCalibEq2500!$AZ$2:$BB$56,3,),IF(AND(I1438="TDN",S1438&lt;=2800),VLOOKUP(AF1438,TNCalibEq2500!$AZ$2:$BB$56,3,)))</f>
        <v>0</v>
      </c>
      <c r="AU1438" s="10" t="b">
        <f>IF(I1438="TP",VLOOKUP(AF1438,TPCalibEqFull!$AZ$2:$BB$56,3),IF(I1438="TDP",VLOOKUP(AF1438,TPCalibEqFull!$AZ$2:$BB$56,3),IF(I1438="TDN",VLOOKUP(AF1438,TNCalibEqFull!$AZ$1:$BB$56,3),IF(I1438="TN",VLOOKUP(AF1438,TNCalibEqFull!$AZ$1:$BB$56,3),FALSE))))</f>
        <v>0</v>
      </c>
      <c r="AV1438" s="10" t="str">
        <f t="shared" si="164"/>
        <v>0201 09:00:00-QAC-STD-22B-1-DI-PER</v>
      </c>
    </row>
    <row r="1439" spans="1:48" s="10" customFormat="1" x14ac:dyDescent="0.55000000000000004">
      <c r="A1439" s="32">
        <v>44949</v>
      </c>
      <c r="B1439" s="33">
        <v>0.25</v>
      </c>
      <c r="C1439" s="10" t="s">
        <v>70</v>
      </c>
      <c r="D1439" s="10" t="s">
        <v>241</v>
      </c>
      <c r="E1439" s="10" t="s">
        <v>866</v>
      </c>
      <c r="F1439" s="10">
        <v>1</v>
      </c>
      <c r="G1439" s="10" t="s">
        <v>73</v>
      </c>
      <c r="H1439" s="10" t="s">
        <v>264</v>
      </c>
      <c r="I1439" s="10" t="s">
        <v>285</v>
      </c>
      <c r="J1439" s="10">
        <v>91</v>
      </c>
      <c r="K1439" s="12">
        <v>44958</v>
      </c>
      <c r="L1439" s="33">
        <v>0.49842592592592588</v>
      </c>
      <c r="M1439" s="10">
        <v>1</v>
      </c>
      <c r="N1439" s="10" t="s">
        <v>211</v>
      </c>
      <c r="O1439" s="10">
        <v>1.3599999999999999E-2</v>
      </c>
      <c r="P1439" s="10">
        <v>5.0299999999999997E-4</v>
      </c>
      <c r="Q1439" s="10">
        <v>1.79</v>
      </c>
      <c r="R1439" s="10" t="s">
        <v>913</v>
      </c>
      <c r="S1439" s="34">
        <f t="shared" si="161"/>
        <v>1.79</v>
      </c>
      <c r="T1439" s="10" t="s">
        <v>1111</v>
      </c>
      <c r="U1439" s="34">
        <f t="shared" si="162"/>
        <v>1.79</v>
      </c>
      <c r="V1439" s="31" t="str">
        <f>IF(H1439="CHK",VLOOKUP(I1439,QCCHK,3,),IF(H1439="GUP",VLOOKUP(E1439,QCGUP,2,),IF(AND(H1439="ATP",OR(I1439="TN",I1439="TDN",I1439="TNO2-3",I1439="NO2-3")),VLOOKUP(E1439,QCREC_N,2,),IF(AND(H1439="NIC",OR(I1439="TN",I1439="TDN",I1439="TNO2-3",I1439="NO2-3")),VLOOKUP(E1439,QCNIC_N,2,),IF(AND(H1439="UREA",OR(I1439="TN",I1439="TDN",I1439="TNO2-3",I1439="NO2-3")),VLOOKUP(E1439,QCUREA_N,2,),IF(H1439="PER",VLOOKUP(I1439,QCPER,MATCH(E1439,QCACTUAL!$J$25:$AA$25,0),),IF(H1439="SPK",VLOOKUP(I1439,QCSPK,3,),IF(AND(H1439="ATP",OR(I1439="TP",I1439="TDP")),VLOOKUP(E1439,QCATP_P,2,),""))))))))</f>
        <v/>
      </c>
      <c r="W1439" s="31" t="str">
        <f t="shared" si="163"/>
        <v>TRUE</v>
      </c>
      <c r="X1439" s="31" t="str">
        <f t="shared" si="160"/>
        <v>nominal concentration</v>
      </c>
      <c r="Y1439" s="10" t="s">
        <v>1096</v>
      </c>
      <c r="Z1439" s="10" t="s">
        <v>910</v>
      </c>
      <c r="AL1439" s="10" t="str">
        <f t="shared" si="165"/>
        <v>FALSE</v>
      </c>
      <c r="AM1439" s="10" t="str">
        <f t="shared" si="165"/>
        <v>FALSE</v>
      </c>
      <c r="AN1439" s="10" t="str">
        <f t="shared" si="165"/>
        <v>FALSE</v>
      </c>
      <c r="AO1439" s="10" t="str">
        <f t="shared" si="166"/>
        <v>FALSE</v>
      </c>
      <c r="AP1439" s="10" t="str">
        <f t="shared" si="166"/>
        <v>FALSE</v>
      </c>
      <c r="AQ1439" s="10" t="b">
        <f>IF(AND(I1439="TP",S1439&lt;=150),VLOOKUP(AF1439,TPCalibEq150!$AZ$2:$BB$55,3,),IF(AND(I1439="TDP",S1439&lt;=150),VLOOKUP(AF1439,TPCalibEq150!$AZ$2:$BB$55,3,)))</f>
        <v>0</v>
      </c>
      <c r="AR1439" s="10" t="b">
        <f>IF(AND(I1439="TP",S1439&lt;=300),VLOOKUP(AF1439,TPCalibEq300!$AZ$2:$BB$55,3,),IF(AND(I1439="TDP",S1439&lt;=300),VLOOKUP(AF1439,TPCalibEq300!$AZ$2:$BB$55,3,)))</f>
        <v>0</v>
      </c>
      <c r="AS1439" s="10" t="b">
        <f>IF(AND(I1439="TP",S1439&lt;=500),VLOOKUP(AF1439,TPCalibEq500!$AZ$2:$BB$56,3,),IF(AND(I1439="TDP",S1439&lt;=500),VLOOKUP(AF1439,TPCalibEq500!$AZ$2:$BB$56,3,)))</f>
        <v>0</v>
      </c>
      <c r="AT1439" s="10" t="b">
        <f>IF(AND(I1439="TN",S1439&lt;=2800),VLOOKUP(AF1439,TNCalibEq2500!$AZ$2:$BB$56,3,),IF(AND(I1439="TDN",S1439&lt;=2800),VLOOKUP(AF1439,TNCalibEq2500!$AZ$2:$BB$56,3,)))</f>
        <v>0</v>
      </c>
      <c r="AU1439" s="10" t="b">
        <f>IF(I1439="TP",VLOOKUP(AF1439,TPCalibEqFull!$AZ$2:$BB$56,3),IF(I1439="TDP",VLOOKUP(AF1439,TPCalibEqFull!$AZ$2:$BB$56,3),IF(I1439="TDN",VLOOKUP(AF1439,TNCalibEqFull!$AZ$1:$BB$56,3),IF(I1439="TN",VLOOKUP(AF1439,TNCalibEqFull!$AZ$1:$BB$56,3),FALSE))))</f>
        <v>0</v>
      </c>
      <c r="AV1439" s="10" t="str">
        <f t="shared" si="164"/>
        <v>0123 06:00:00-QAC-BLK-A-1-DI-FLD</v>
      </c>
    </row>
    <row r="1440" spans="1:48" s="10" customFormat="1" x14ac:dyDescent="0.55000000000000004">
      <c r="A1440" s="32">
        <v>44956</v>
      </c>
      <c r="B1440" s="33">
        <v>0.25</v>
      </c>
      <c r="C1440" s="10" t="s">
        <v>70</v>
      </c>
      <c r="D1440" s="10" t="s">
        <v>241</v>
      </c>
      <c r="E1440" s="10" t="s">
        <v>866</v>
      </c>
      <c r="F1440" s="10">
        <v>1</v>
      </c>
      <c r="G1440" s="10" t="s">
        <v>73</v>
      </c>
      <c r="H1440" s="10" t="s">
        <v>264</v>
      </c>
      <c r="I1440" s="10" t="s">
        <v>285</v>
      </c>
      <c r="J1440" s="10">
        <v>92</v>
      </c>
      <c r="K1440" s="12">
        <v>44958</v>
      </c>
      <c r="L1440" s="33">
        <v>0.4992476851851852</v>
      </c>
      <c r="M1440" s="10">
        <v>1</v>
      </c>
      <c r="N1440" s="10" t="s">
        <v>211</v>
      </c>
      <c r="O1440" s="10">
        <v>9.3799999999999994E-3</v>
      </c>
      <c r="P1440" s="10">
        <v>5.2099999999999998E-4</v>
      </c>
      <c r="Q1440" s="10">
        <v>1.06</v>
      </c>
      <c r="R1440" s="10" t="s">
        <v>913</v>
      </c>
      <c r="S1440" s="34">
        <f t="shared" si="161"/>
        <v>1.06</v>
      </c>
      <c r="T1440" s="10" t="s">
        <v>1111</v>
      </c>
      <c r="U1440" s="34">
        <f t="shared" si="162"/>
        <v>1.06</v>
      </c>
      <c r="V1440" s="31" t="str">
        <f>IF(H1440="CHK",VLOOKUP(I1440,QCCHK,3,),IF(H1440="GUP",VLOOKUP(E1440,QCGUP,2,),IF(AND(H1440="ATP",OR(I1440="TN",I1440="TDN",I1440="TNO2-3",I1440="NO2-3")),VLOOKUP(E1440,QCREC_N,2,),IF(AND(H1440="NIC",OR(I1440="TN",I1440="TDN",I1440="TNO2-3",I1440="NO2-3")),VLOOKUP(E1440,QCNIC_N,2,),IF(AND(H1440="UREA",OR(I1440="TN",I1440="TDN",I1440="TNO2-3",I1440="NO2-3")),VLOOKUP(E1440,QCUREA_N,2,),IF(H1440="PER",VLOOKUP(I1440,QCPER,MATCH(E1440,QCACTUAL!$J$25:$AA$25,0),),IF(H1440="SPK",VLOOKUP(I1440,QCSPK,3,),IF(AND(H1440="ATP",OR(I1440="TP",I1440="TDP")),VLOOKUP(E1440,QCATP_P,2,),""))))))))</f>
        <v/>
      </c>
      <c r="W1440" s="31" t="str">
        <f t="shared" si="163"/>
        <v>TRUE</v>
      </c>
      <c r="X1440" s="31" t="str">
        <f t="shared" si="160"/>
        <v>nominal concentration</v>
      </c>
      <c r="Y1440" s="10" t="s">
        <v>1096</v>
      </c>
      <c r="Z1440" s="10" t="s">
        <v>910</v>
      </c>
      <c r="AL1440" s="10" t="str">
        <f t="shared" si="165"/>
        <v>FALSE</v>
      </c>
      <c r="AM1440" s="10" t="str">
        <f t="shared" si="165"/>
        <v>FALSE</v>
      </c>
      <c r="AN1440" s="10" t="str">
        <f t="shared" si="165"/>
        <v>FALSE</v>
      </c>
      <c r="AO1440" s="10" t="str">
        <f t="shared" si="166"/>
        <v>FALSE</v>
      </c>
      <c r="AP1440" s="10" t="str">
        <f t="shared" si="166"/>
        <v>FALSE</v>
      </c>
      <c r="AQ1440" s="10" t="b">
        <f>IF(AND(I1440="TP",S1440&lt;=150),VLOOKUP(AF1440,TPCalibEq150!$AZ$2:$BB$55,3,),IF(AND(I1440="TDP",S1440&lt;=150),VLOOKUP(AF1440,TPCalibEq150!$AZ$2:$BB$55,3,)))</f>
        <v>0</v>
      </c>
      <c r="AR1440" s="10" t="b">
        <f>IF(AND(I1440="TP",S1440&lt;=300),VLOOKUP(AF1440,TPCalibEq300!$AZ$2:$BB$55,3,),IF(AND(I1440="TDP",S1440&lt;=300),VLOOKUP(AF1440,TPCalibEq300!$AZ$2:$BB$55,3,)))</f>
        <v>0</v>
      </c>
      <c r="AS1440" s="10" t="b">
        <f>IF(AND(I1440="TP",S1440&lt;=500),VLOOKUP(AF1440,TPCalibEq500!$AZ$2:$BB$56,3,),IF(AND(I1440="TDP",S1440&lt;=500),VLOOKUP(AF1440,TPCalibEq500!$AZ$2:$BB$56,3,)))</f>
        <v>0</v>
      </c>
      <c r="AT1440" s="10" t="b">
        <f>IF(AND(I1440="TN",S1440&lt;=2800),VLOOKUP(AF1440,TNCalibEq2500!$AZ$2:$BB$56,3,),IF(AND(I1440="TDN",S1440&lt;=2800),VLOOKUP(AF1440,TNCalibEq2500!$AZ$2:$BB$56,3,)))</f>
        <v>0</v>
      </c>
      <c r="AU1440" s="10" t="b">
        <f>IF(I1440="TP",VLOOKUP(AF1440,TPCalibEqFull!$AZ$2:$BB$56,3),IF(I1440="TDP",VLOOKUP(AF1440,TPCalibEqFull!$AZ$2:$BB$56,3),IF(I1440="TDN",VLOOKUP(AF1440,TNCalibEqFull!$AZ$1:$BB$56,3),IF(I1440="TN",VLOOKUP(AF1440,TNCalibEqFull!$AZ$1:$BB$56,3),FALSE))))</f>
        <v>0</v>
      </c>
      <c r="AV1440" s="10" t="str">
        <f t="shared" si="164"/>
        <v>0130 06:00:00-QAC-BLK-A-1-DI-FLD</v>
      </c>
    </row>
    <row r="1441" spans="1:48" s="10" customFormat="1" x14ac:dyDescent="0.55000000000000004">
      <c r="A1441" s="32">
        <v>44956</v>
      </c>
      <c r="B1441" s="33">
        <v>0.22569444444444445</v>
      </c>
      <c r="C1441" s="10" t="s">
        <v>70</v>
      </c>
      <c r="D1441" s="10" t="s">
        <v>241</v>
      </c>
      <c r="E1441" s="10" t="s">
        <v>866</v>
      </c>
      <c r="F1441" s="10">
        <v>1</v>
      </c>
      <c r="G1441" s="10" t="s">
        <v>73</v>
      </c>
      <c r="H1441" s="10" t="s">
        <v>245</v>
      </c>
      <c r="I1441" s="10" t="s">
        <v>285</v>
      </c>
      <c r="J1441" s="10">
        <v>93</v>
      </c>
      <c r="K1441" s="12">
        <v>44958</v>
      </c>
      <c r="L1441" s="33">
        <v>0.50006944444444446</v>
      </c>
      <c r="M1441" s="10">
        <v>1</v>
      </c>
      <c r="N1441" s="10" t="s">
        <v>211</v>
      </c>
      <c r="O1441" s="10">
        <v>1.3100000000000001E-2</v>
      </c>
      <c r="P1441" s="10">
        <v>9.2699999999999998E-4</v>
      </c>
      <c r="Q1441" s="10">
        <v>1.71</v>
      </c>
      <c r="R1441" s="10" t="s">
        <v>913</v>
      </c>
      <c r="S1441" s="34">
        <f t="shared" si="161"/>
        <v>1.71</v>
      </c>
      <c r="T1441" s="10" t="s">
        <v>1111</v>
      </c>
      <c r="U1441" s="34">
        <f t="shared" si="162"/>
        <v>1.71</v>
      </c>
      <c r="V1441" s="31" t="str">
        <f>IF(H1441="CHK",VLOOKUP(I1441,QCCHK,3,),IF(H1441="GUP",VLOOKUP(E1441,QCGUP,2,),IF(AND(H1441="ATP",OR(I1441="TN",I1441="TDN",I1441="TNO2-3",I1441="NO2-3")),VLOOKUP(E1441,QCREC_N,2,),IF(AND(H1441="NIC",OR(I1441="TN",I1441="TDN",I1441="TNO2-3",I1441="NO2-3")),VLOOKUP(E1441,QCNIC_N,2,),IF(AND(H1441="UREA",OR(I1441="TN",I1441="TDN",I1441="TNO2-3",I1441="NO2-3")),VLOOKUP(E1441,QCUREA_N,2,),IF(H1441="PER",VLOOKUP(I1441,QCPER,MATCH(E1441,QCACTUAL!$J$25:$AA$25,0),),IF(H1441="SPK",VLOOKUP(I1441,QCSPK,3,),IF(AND(H1441="ATP",OR(I1441="TP",I1441="TDP")),VLOOKUP(E1441,QCATP_P,2,),""))))))))</f>
        <v/>
      </c>
      <c r="W1441" s="31" t="str">
        <f t="shared" si="163"/>
        <v>TRUE</v>
      </c>
      <c r="X1441" s="31" t="str">
        <f t="shared" si="160"/>
        <v>nominal concentration</v>
      </c>
      <c r="Y1441" s="10" t="s">
        <v>1096</v>
      </c>
      <c r="Z1441" s="10" t="s">
        <v>910</v>
      </c>
      <c r="AL1441" s="10" t="str">
        <f t="shared" si="165"/>
        <v>FALSE</v>
      </c>
      <c r="AM1441" s="10" t="str">
        <f t="shared" si="165"/>
        <v>FALSE</v>
      </c>
      <c r="AN1441" s="10" t="str">
        <f t="shared" si="165"/>
        <v>FALSE</v>
      </c>
      <c r="AO1441" s="10" t="str">
        <f t="shared" si="166"/>
        <v>FALSE</v>
      </c>
      <c r="AP1441" s="10" t="str">
        <f t="shared" si="166"/>
        <v>FALSE</v>
      </c>
      <c r="AQ1441" s="10" t="b">
        <f>IF(AND(I1441="TP",S1441&lt;=150),VLOOKUP(AF1441,TPCalibEq150!$AZ$2:$BB$55,3,),IF(AND(I1441="TDP",S1441&lt;=150),VLOOKUP(AF1441,TPCalibEq150!$AZ$2:$BB$55,3,)))</f>
        <v>0</v>
      </c>
      <c r="AR1441" s="10" t="b">
        <f>IF(AND(I1441="TP",S1441&lt;=300),VLOOKUP(AF1441,TPCalibEq300!$AZ$2:$BB$55,3,),IF(AND(I1441="TDP",S1441&lt;=300),VLOOKUP(AF1441,TPCalibEq300!$AZ$2:$BB$55,3,)))</f>
        <v>0</v>
      </c>
      <c r="AS1441" s="10" t="b">
        <f>IF(AND(I1441="TP",S1441&lt;=500),VLOOKUP(AF1441,TPCalibEq500!$AZ$2:$BB$56,3,),IF(AND(I1441="TDP",S1441&lt;=500),VLOOKUP(AF1441,TPCalibEq500!$AZ$2:$BB$56,3,)))</f>
        <v>0</v>
      </c>
      <c r="AT1441" s="10" t="b">
        <f>IF(AND(I1441="TN",S1441&lt;=2800),VLOOKUP(AF1441,TNCalibEq2500!$AZ$2:$BB$56,3,),IF(AND(I1441="TDN",S1441&lt;=2800),VLOOKUP(AF1441,TNCalibEq2500!$AZ$2:$BB$56,3,)))</f>
        <v>0</v>
      </c>
      <c r="AU1441" s="10" t="b">
        <f>IF(I1441="TP",VLOOKUP(AF1441,TPCalibEqFull!$AZ$2:$BB$56,3),IF(I1441="TDP",VLOOKUP(AF1441,TPCalibEqFull!$AZ$2:$BB$56,3),IF(I1441="TDN",VLOOKUP(AF1441,TNCalibEqFull!$AZ$1:$BB$56,3),IF(I1441="TN",VLOOKUP(AF1441,TNCalibEqFull!$AZ$1:$BB$56,3),FALSE))))</f>
        <v>0</v>
      </c>
      <c r="AV1441" s="10" t="str">
        <f t="shared" si="164"/>
        <v>0130 05:25:00-QAC-BLK-A-1-DI-ESF</v>
      </c>
    </row>
    <row r="1442" spans="1:48" s="10" customFormat="1" x14ac:dyDescent="0.55000000000000004">
      <c r="A1442" s="32">
        <v>44949</v>
      </c>
      <c r="B1442" s="33">
        <v>0.25</v>
      </c>
      <c r="C1442" s="10" t="s">
        <v>70</v>
      </c>
      <c r="D1442" s="10" t="s">
        <v>241</v>
      </c>
      <c r="E1442" s="10" t="s">
        <v>911</v>
      </c>
      <c r="F1442" s="10">
        <v>1</v>
      </c>
      <c r="G1442" s="10" t="s">
        <v>73</v>
      </c>
      <c r="H1442" s="10" t="s">
        <v>264</v>
      </c>
      <c r="I1442" s="10" t="s">
        <v>167</v>
      </c>
      <c r="J1442" s="10">
        <v>94</v>
      </c>
      <c r="K1442" s="12">
        <v>44958</v>
      </c>
      <c r="L1442" s="33">
        <v>0.50089120370370377</v>
      </c>
      <c r="M1442" s="10">
        <v>1</v>
      </c>
      <c r="N1442" s="10" t="s">
        <v>211</v>
      </c>
      <c r="O1442" s="10">
        <v>1.7899999999999999E-2</v>
      </c>
      <c r="P1442" s="10">
        <v>1.41E-3</v>
      </c>
      <c r="Q1442" s="10">
        <v>2.52</v>
      </c>
      <c r="R1442" s="10" t="s">
        <v>913</v>
      </c>
      <c r="S1442" s="34">
        <f t="shared" si="161"/>
        <v>2.52</v>
      </c>
      <c r="T1442" s="10" t="s">
        <v>1111</v>
      </c>
      <c r="U1442" s="34">
        <f t="shared" si="162"/>
        <v>2.52</v>
      </c>
      <c r="V1442" s="31" t="str">
        <f>IF(H1442="CHK",VLOOKUP(I1442,QCCHK,3,),IF(H1442="GUP",VLOOKUP(E1442,QCGUP,2,),IF(AND(H1442="ATP",OR(I1442="TN",I1442="TDN",I1442="TNO2-3",I1442="NO2-3")),VLOOKUP(E1442,QCREC_N,2,),IF(AND(H1442="NIC",OR(I1442="TN",I1442="TDN",I1442="TNO2-3",I1442="NO2-3")),VLOOKUP(E1442,QCNIC_N,2,),IF(AND(H1442="UREA",OR(I1442="TN",I1442="TDN",I1442="TNO2-3",I1442="NO2-3")),VLOOKUP(E1442,QCUREA_N,2,),IF(H1442="PER",VLOOKUP(I1442,QCPER,MATCH(E1442,QCACTUAL!$J$25:$AA$25,0),),IF(H1442="SPK",VLOOKUP(I1442,QCSPK,3,),IF(AND(H1442="ATP",OR(I1442="TP",I1442="TDP")),VLOOKUP(E1442,QCATP_P,2,),""))))))))</f>
        <v/>
      </c>
      <c r="W1442" s="31" t="str">
        <f t="shared" si="163"/>
        <v>TRUE</v>
      </c>
      <c r="X1442" s="31" t="str">
        <f t="shared" si="160"/>
        <v>nominal concentration</v>
      </c>
      <c r="Y1442" s="10" t="s">
        <v>1096</v>
      </c>
      <c r="Z1442" s="10" t="s">
        <v>910</v>
      </c>
      <c r="AL1442" s="10" t="str">
        <f t="shared" si="165"/>
        <v>FALSE</v>
      </c>
      <c r="AM1442" s="10" t="str">
        <f t="shared" si="165"/>
        <v>FALSE</v>
      </c>
      <c r="AN1442" s="10" t="str">
        <f t="shared" si="165"/>
        <v>FALSE</v>
      </c>
      <c r="AO1442" s="10" t="str">
        <f t="shared" si="166"/>
        <v>FALSE</v>
      </c>
      <c r="AP1442" s="10" t="str">
        <f t="shared" si="166"/>
        <v>FALSE</v>
      </c>
      <c r="AQ1442" s="10" t="b">
        <f>IF(AND(I1442="TP",S1442&lt;=150),VLOOKUP(AF1442,TPCalibEq150!$AZ$2:$BB$55,3,),IF(AND(I1442="TDP",S1442&lt;=150),VLOOKUP(AF1442,TPCalibEq150!$AZ$2:$BB$55,3,)))</f>
        <v>0</v>
      </c>
      <c r="AR1442" s="10" t="b">
        <f>IF(AND(I1442="TP",S1442&lt;=300),VLOOKUP(AF1442,TPCalibEq300!$AZ$2:$BB$55,3,),IF(AND(I1442="TDP",S1442&lt;=300),VLOOKUP(AF1442,TPCalibEq300!$AZ$2:$BB$55,3,)))</f>
        <v>0</v>
      </c>
      <c r="AS1442" s="10" t="b">
        <f>IF(AND(I1442="TP",S1442&lt;=500),VLOOKUP(AF1442,TPCalibEq500!$AZ$2:$BB$56,3,),IF(AND(I1442="TDP",S1442&lt;=500),VLOOKUP(AF1442,TPCalibEq500!$AZ$2:$BB$56,3,)))</f>
        <v>0</v>
      </c>
      <c r="AT1442" s="10" t="b">
        <f>IF(AND(I1442="TN",S1442&lt;=2800),VLOOKUP(AF1442,TNCalibEq2500!$AZ$2:$BB$56,3,),IF(AND(I1442="TDN",S1442&lt;=2800),VLOOKUP(AF1442,TNCalibEq2500!$AZ$2:$BB$56,3,)))</f>
        <v>0</v>
      </c>
      <c r="AU1442" s="10" t="b">
        <f>IF(I1442="TP",VLOOKUP(AF1442,TPCalibEqFull!$AZ$2:$BB$56,3),IF(I1442="TDP",VLOOKUP(AF1442,TPCalibEqFull!$AZ$2:$BB$56,3),IF(I1442="TDN",VLOOKUP(AF1442,TNCalibEqFull!$AZ$1:$BB$56,3),IF(I1442="TN",VLOOKUP(AF1442,TNCalibEqFull!$AZ$1:$BB$56,3),FALSE))))</f>
        <v>0</v>
      </c>
      <c r="AV1442" s="10" t="str">
        <f t="shared" si="164"/>
        <v>0123 06:00:00-QAC-BLK-FIL-1-DI-FLD</v>
      </c>
    </row>
    <row r="1443" spans="1:48" s="10" customFormat="1" x14ac:dyDescent="0.55000000000000004">
      <c r="A1443" s="32">
        <v>44956</v>
      </c>
      <c r="B1443" s="33">
        <v>0.25</v>
      </c>
      <c r="C1443" s="10" t="s">
        <v>70</v>
      </c>
      <c r="D1443" s="10" t="s">
        <v>241</v>
      </c>
      <c r="E1443" s="10" t="s">
        <v>911</v>
      </c>
      <c r="F1443" s="10">
        <v>1</v>
      </c>
      <c r="G1443" s="10" t="s">
        <v>73</v>
      </c>
      <c r="H1443" s="10" t="s">
        <v>264</v>
      </c>
      <c r="I1443" s="10" t="s">
        <v>167</v>
      </c>
      <c r="J1443" s="10">
        <v>95</v>
      </c>
      <c r="K1443" s="12">
        <v>44958</v>
      </c>
      <c r="L1443" s="33">
        <v>0.50171296296296297</v>
      </c>
      <c r="M1443" s="10">
        <v>1</v>
      </c>
      <c r="N1443" s="10" t="s">
        <v>211</v>
      </c>
      <c r="O1443" s="10">
        <v>7.9399999999999991E-3</v>
      </c>
      <c r="P1443" s="10">
        <v>1.08E-3</v>
      </c>
      <c r="Q1443" s="10">
        <v>0.81100000000000005</v>
      </c>
      <c r="R1443" s="10" t="s">
        <v>913</v>
      </c>
      <c r="S1443" s="34">
        <f t="shared" si="161"/>
        <v>0.81100000000000005</v>
      </c>
      <c r="T1443" s="10" t="s">
        <v>1111</v>
      </c>
      <c r="U1443" s="34">
        <f t="shared" si="162"/>
        <v>0.81100000000000005</v>
      </c>
      <c r="V1443" s="31" t="str">
        <f>IF(H1443="CHK",VLOOKUP(I1443,QCCHK,3,),IF(H1443="GUP",VLOOKUP(E1443,QCGUP,2,),IF(AND(H1443="ATP",OR(I1443="TN",I1443="TDN",I1443="TNO2-3",I1443="NO2-3")),VLOOKUP(E1443,QCREC_N,2,),IF(AND(H1443="NIC",OR(I1443="TN",I1443="TDN",I1443="TNO2-3",I1443="NO2-3")),VLOOKUP(E1443,QCNIC_N,2,),IF(AND(H1443="UREA",OR(I1443="TN",I1443="TDN",I1443="TNO2-3",I1443="NO2-3")),VLOOKUP(E1443,QCUREA_N,2,),IF(H1443="PER",VLOOKUP(I1443,QCPER,MATCH(E1443,QCACTUAL!$J$25:$AA$25,0),),IF(H1443="SPK",VLOOKUP(I1443,QCSPK,3,),IF(AND(H1443="ATP",OR(I1443="TP",I1443="TDP")),VLOOKUP(E1443,QCATP_P,2,),""))))))))</f>
        <v/>
      </c>
      <c r="W1443" s="31" t="str">
        <f t="shared" si="163"/>
        <v>TRUE</v>
      </c>
      <c r="X1443" s="31" t="str">
        <f t="shared" si="160"/>
        <v>nominal concentration</v>
      </c>
      <c r="Y1443" s="10" t="s">
        <v>1096</v>
      </c>
      <c r="Z1443" s="10" t="s">
        <v>910</v>
      </c>
      <c r="AL1443" s="10" t="str">
        <f t="shared" si="165"/>
        <v>FALSE</v>
      </c>
      <c r="AM1443" s="10" t="str">
        <f t="shared" si="165"/>
        <v>FALSE</v>
      </c>
      <c r="AN1443" s="10" t="str">
        <f t="shared" si="165"/>
        <v>FALSE</v>
      </c>
      <c r="AO1443" s="10" t="str">
        <f t="shared" si="166"/>
        <v>FALSE</v>
      </c>
      <c r="AP1443" s="10" t="str">
        <f t="shared" si="166"/>
        <v>FALSE</v>
      </c>
      <c r="AQ1443" s="10" t="b">
        <f>IF(AND(I1443="TP",S1443&lt;=150),VLOOKUP(AF1443,TPCalibEq150!$AZ$2:$BB$55,3,),IF(AND(I1443="TDP",S1443&lt;=150),VLOOKUP(AF1443,TPCalibEq150!$AZ$2:$BB$55,3,)))</f>
        <v>0</v>
      </c>
      <c r="AR1443" s="10" t="b">
        <f>IF(AND(I1443="TP",S1443&lt;=300),VLOOKUP(AF1443,TPCalibEq300!$AZ$2:$BB$55,3,),IF(AND(I1443="TDP",S1443&lt;=300),VLOOKUP(AF1443,TPCalibEq300!$AZ$2:$BB$55,3,)))</f>
        <v>0</v>
      </c>
      <c r="AS1443" s="10" t="b">
        <f>IF(AND(I1443="TP",S1443&lt;=500),VLOOKUP(AF1443,TPCalibEq500!$AZ$2:$BB$56,3,),IF(AND(I1443="TDP",S1443&lt;=500),VLOOKUP(AF1443,TPCalibEq500!$AZ$2:$BB$56,3,)))</f>
        <v>0</v>
      </c>
      <c r="AT1443" s="10" t="b">
        <f>IF(AND(I1443="TN",S1443&lt;=2800),VLOOKUP(AF1443,TNCalibEq2500!$AZ$2:$BB$56,3,),IF(AND(I1443="TDN",S1443&lt;=2800),VLOOKUP(AF1443,TNCalibEq2500!$AZ$2:$BB$56,3,)))</f>
        <v>0</v>
      </c>
      <c r="AU1443" s="10" t="b">
        <f>IF(I1443="TP",VLOOKUP(AF1443,TPCalibEqFull!$AZ$2:$BB$56,3),IF(I1443="TDP",VLOOKUP(AF1443,TPCalibEqFull!$AZ$2:$BB$56,3),IF(I1443="TDN",VLOOKUP(AF1443,TNCalibEqFull!$AZ$1:$BB$56,3),IF(I1443="TN",VLOOKUP(AF1443,TNCalibEqFull!$AZ$1:$BB$56,3),FALSE))))</f>
        <v>0</v>
      </c>
      <c r="AV1443" s="10" t="str">
        <f t="shared" si="164"/>
        <v>0130 06:00:00-QAC-BLK-FIL-1-DI-FLD</v>
      </c>
    </row>
    <row r="1444" spans="1:48" s="10" customFormat="1" x14ac:dyDescent="0.55000000000000004">
      <c r="A1444" s="32">
        <v>44956</v>
      </c>
      <c r="B1444" s="33">
        <v>0.22569444444444445</v>
      </c>
      <c r="C1444" s="10" t="s">
        <v>70</v>
      </c>
      <c r="D1444" s="10" t="s">
        <v>241</v>
      </c>
      <c r="E1444" s="10" t="s">
        <v>911</v>
      </c>
      <c r="F1444" s="10">
        <v>1</v>
      </c>
      <c r="G1444" s="10" t="s">
        <v>73</v>
      </c>
      <c r="H1444" s="10" t="s">
        <v>245</v>
      </c>
      <c r="I1444" s="10" t="s">
        <v>167</v>
      </c>
      <c r="J1444" s="10">
        <v>96</v>
      </c>
      <c r="K1444" s="12">
        <v>44958</v>
      </c>
      <c r="L1444" s="33">
        <v>0.50253472222222217</v>
      </c>
      <c r="M1444" s="10">
        <v>1</v>
      </c>
      <c r="N1444" s="10" t="s">
        <v>211</v>
      </c>
      <c r="O1444" s="10">
        <v>1.0500000000000001E-2</v>
      </c>
      <c r="P1444" s="10">
        <v>6.69E-4</v>
      </c>
      <c r="Q1444" s="10">
        <v>1.24</v>
      </c>
      <c r="R1444" s="10" t="s">
        <v>913</v>
      </c>
      <c r="S1444" s="34">
        <f t="shared" si="161"/>
        <v>1.24</v>
      </c>
      <c r="T1444" s="10" t="s">
        <v>1111</v>
      </c>
      <c r="U1444" s="34">
        <f t="shared" si="162"/>
        <v>1.24</v>
      </c>
      <c r="V1444" s="31" t="str">
        <f>IF(H1444="CHK",VLOOKUP(I1444,QCCHK,3,),IF(H1444="GUP",VLOOKUP(E1444,QCGUP,2,),IF(AND(H1444="ATP",OR(I1444="TN",I1444="TDN",I1444="TNO2-3",I1444="NO2-3")),VLOOKUP(E1444,QCREC_N,2,),IF(AND(H1444="NIC",OR(I1444="TN",I1444="TDN",I1444="TNO2-3",I1444="NO2-3")),VLOOKUP(E1444,QCNIC_N,2,),IF(AND(H1444="UREA",OR(I1444="TN",I1444="TDN",I1444="TNO2-3",I1444="NO2-3")),VLOOKUP(E1444,QCUREA_N,2,),IF(H1444="PER",VLOOKUP(I1444,QCPER,MATCH(E1444,QCACTUAL!$J$25:$AA$25,0),),IF(H1444="SPK",VLOOKUP(I1444,QCSPK,3,),IF(AND(H1444="ATP",OR(I1444="TP",I1444="TDP")),VLOOKUP(E1444,QCATP_P,2,),""))))))))</f>
        <v/>
      </c>
      <c r="W1444" s="31" t="str">
        <f t="shared" si="163"/>
        <v>TRUE</v>
      </c>
      <c r="X1444" s="31" t="str">
        <f t="shared" si="160"/>
        <v>nominal concentration</v>
      </c>
      <c r="Y1444" s="10" t="s">
        <v>1096</v>
      </c>
      <c r="Z1444" s="10" t="s">
        <v>910</v>
      </c>
      <c r="AL1444" s="10" t="str">
        <f t="shared" si="165"/>
        <v>FALSE</v>
      </c>
      <c r="AM1444" s="10" t="str">
        <f t="shared" si="165"/>
        <v>FALSE</v>
      </c>
      <c r="AN1444" s="10" t="str">
        <f t="shared" si="165"/>
        <v>FALSE</v>
      </c>
      <c r="AO1444" s="10" t="str">
        <f t="shared" si="166"/>
        <v>FALSE</v>
      </c>
      <c r="AP1444" s="10" t="str">
        <f t="shared" si="166"/>
        <v>FALSE</v>
      </c>
      <c r="AQ1444" s="10" t="b">
        <f>IF(AND(I1444="TP",S1444&lt;=150),VLOOKUP(AF1444,TPCalibEq150!$AZ$2:$BB$55,3,),IF(AND(I1444="TDP",S1444&lt;=150),VLOOKUP(AF1444,TPCalibEq150!$AZ$2:$BB$55,3,)))</f>
        <v>0</v>
      </c>
      <c r="AR1444" s="10" t="b">
        <f>IF(AND(I1444="TP",S1444&lt;=300),VLOOKUP(AF1444,TPCalibEq300!$AZ$2:$BB$55,3,),IF(AND(I1444="TDP",S1444&lt;=300),VLOOKUP(AF1444,TPCalibEq300!$AZ$2:$BB$55,3,)))</f>
        <v>0</v>
      </c>
      <c r="AS1444" s="10" t="b">
        <f>IF(AND(I1444="TP",S1444&lt;=500),VLOOKUP(AF1444,TPCalibEq500!$AZ$2:$BB$56,3,),IF(AND(I1444="TDP",S1444&lt;=500),VLOOKUP(AF1444,TPCalibEq500!$AZ$2:$BB$56,3,)))</f>
        <v>0</v>
      </c>
      <c r="AT1444" s="10" t="b">
        <f>IF(AND(I1444="TN",S1444&lt;=2800),VLOOKUP(AF1444,TNCalibEq2500!$AZ$2:$BB$56,3,),IF(AND(I1444="TDN",S1444&lt;=2800),VLOOKUP(AF1444,TNCalibEq2500!$AZ$2:$BB$56,3,)))</f>
        <v>0</v>
      </c>
      <c r="AU1444" s="10" t="b">
        <f>IF(I1444="TP",VLOOKUP(AF1444,TPCalibEqFull!$AZ$2:$BB$56,3),IF(I1444="TDP",VLOOKUP(AF1444,TPCalibEqFull!$AZ$2:$BB$56,3),IF(I1444="TDN",VLOOKUP(AF1444,TNCalibEqFull!$AZ$1:$BB$56,3),IF(I1444="TN",VLOOKUP(AF1444,TNCalibEqFull!$AZ$1:$BB$56,3),FALSE))))</f>
        <v>0</v>
      </c>
      <c r="AV1444" s="10" t="str">
        <f t="shared" si="164"/>
        <v>0130 05:25:00-QAC-BLK-FIL-1-DI-ESF</v>
      </c>
    </row>
    <row r="1445" spans="1:48" s="10" customFormat="1" x14ac:dyDescent="0.55000000000000004">
      <c r="A1445" s="32">
        <v>44958</v>
      </c>
      <c r="B1445" s="33">
        <v>0.375</v>
      </c>
      <c r="C1445" s="10" t="s">
        <v>70</v>
      </c>
      <c r="D1445" s="10" t="s">
        <v>71</v>
      </c>
      <c r="E1445" s="10" t="s">
        <v>901</v>
      </c>
      <c r="F1445" s="10">
        <v>1</v>
      </c>
      <c r="G1445" s="10" t="s">
        <v>73</v>
      </c>
      <c r="H1445" s="10" t="s">
        <v>207</v>
      </c>
      <c r="I1445" s="10" t="s">
        <v>285</v>
      </c>
      <c r="J1445" s="10">
        <v>199</v>
      </c>
      <c r="K1445" s="12">
        <v>44958</v>
      </c>
      <c r="L1445" s="33">
        <v>0.50335648148148149</v>
      </c>
      <c r="M1445" s="10">
        <v>1</v>
      </c>
      <c r="N1445" s="10" t="s">
        <v>211</v>
      </c>
      <c r="O1445" s="10">
        <v>0.42799999999999999</v>
      </c>
      <c r="P1445" s="10">
        <v>4.1200000000000001E-2</v>
      </c>
      <c r="Q1445" s="10">
        <v>73</v>
      </c>
      <c r="R1445" s="10" t="s">
        <v>913</v>
      </c>
      <c r="S1445" s="34">
        <f t="shared" si="161"/>
        <v>73</v>
      </c>
      <c r="T1445" s="10" t="s">
        <v>1111</v>
      </c>
      <c r="U1445" s="34">
        <f t="shared" si="162"/>
        <v>97.333333333333343</v>
      </c>
      <c r="V1445" s="31">
        <f>IF(H1445="CHK",VLOOKUP(I1445,QCCHK,3,),IF(H1445="GUP",VLOOKUP(E1445,QCGUP,2,),IF(AND(H1445="ATP",OR(I1445="TN",I1445="TDN",I1445="TNO2-3",I1445="NO2-3")),VLOOKUP(E1445,QCREC_N,2,),IF(AND(H1445="NIC",OR(I1445="TN",I1445="TDN",I1445="TNO2-3",I1445="NO2-3")),VLOOKUP(E1445,QCNIC_N,2,),IF(AND(H1445="UREA",OR(I1445="TN",I1445="TDN",I1445="TNO2-3",I1445="NO2-3")),VLOOKUP(E1445,QCUREA_N,2,),IF(H1445="PER",VLOOKUP(I1445,QCPER,MATCH(E1445,QCACTUAL!$J$25:$AA$25,0),),IF(H1445="SPK",VLOOKUP(I1445,QCSPK,3,),IF(AND(H1445="ATP",OR(I1445="TP",I1445="TDP")),VLOOKUP(E1445,QCATP_P,2,),""))))))))</f>
        <v>75</v>
      </c>
      <c r="W1445" s="31" t="str">
        <f t="shared" si="163"/>
        <v>TRUE</v>
      </c>
      <c r="X1445" s="31" t="str">
        <f t="shared" si="160"/>
        <v>[chk]/[actual]*100</v>
      </c>
      <c r="Y1445" s="10" t="s">
        <v>1096</v>
      </c>
      <c r="AL1445" s="10" t="str">
        <f t="shared" si="165"/>
        <v>FALSE</v>
      </c>
      <c r="AM1445" s="10" t="str">
        <f t="shared" si="165"/>
        <v>FALSE</v>
      </c>
      <c r="AN1445" s="10" t="str">
        <f t="shared" si="165"/>
        <v>FALSE</v>
      </c>
      <c r="AO1445" s="10" t="str">
        <f t="shared" si="166"/>
        <v>FALSE</v>
      </c>
      <c r="AP1445" s="10" t="str">
        <f t="shared" si="166"/>
        <v>FALSE</v>
      </c>
      <c r="AQ1445" s="10" t="b">
        <f>IF(AND(I1445="TP",S1445&lt;=150),VLOOKUP(AF1445,TPCalibEq150!$AZ$2:$BB$55,3,),IF(AND(I1445="TDP",S1445&lt;=150),VLOOKUP(AF1445,TPCalibEq150!$AZ$2:$BB$55,3,)))</f>
        <v>0</v>
      </c>
      <c r="AR1445" s="10" t="b">
        <f>IF(AND(I1445="TP",S1445&lt;=300),VLOOKUP(AF1445,TPCalibEq300!$AZ$2:$BB$55,3,),IF(AND(I1445="TDP",S1445&lt;=300),VLOOKUP(AF1445,TPCalibEq300!$AZ$2:$BB$55,3,)))</f>
        <v>0</v>
      </c>
      <c r="AS1445" s="10" t="b">
        <f>IF(AND(I1445="TP",S1445&lt;=500),VLOOKUP(AF1445,TPCalibEq500!$AZ$2:$BB$56,3,),IF(AND(I1445="TDP",S1445&lt;=500),VLOOKUP(AF1445,TPCalibEq500!$AZ$2:$BB$56,3,)))</f>
        <v>0</v>
      </c>
      <c r="AT1445" s="10" t="b">
        <f>IF(AND(I1445="TN",S1445&lt;=2800),VLOOKUP(AF1445,TNCalibEq2500!$AZ$2:$BB$56,3,),IF(AND(I1445="TDN",S1445&lt;=2800),VLOOKUP(AF1445,TNCalibEq2500!$AZ$2:$BB$56,3,)))</f>
        <v>0</v>
      </c>
      <c r="AU1445" s="10" t="b">
        <f>IF(I1445="TP",VLOOKUP(AF1445,TPCalibEqFull!$AZ$2:$BB$56,3),IF(I1445="TDP",VLOOKUP(AF1445,TPCalibEqFull!$AZ$2:$BB$56,3),IF(I1445="TDN",VLOOKUP(AF1445,TNCalibEqFull!$AZ$1:$BB$56,3),IF(I1445="TN",VLOOKUP(AF1445,TNCalibEqFull!$AZ$1:$BB$56,3),FALSE))))</f>
        <v>0</v>
      </c>
      <c r="AV1445" s="10" t="str">
        <f t="shared" si="164"/>
        <v>0201 09:00:00-QAC-STD-D-1-DI-CHK</v>
      </c>
    </row>
    <row r="1446" spans="1:48" s="10" customFormat="1" x14ac:dyDescent="0.55000000000000004">
      <c r="A1446" s="32">
        <v>44949</v>
      </c>
      <c r="B1446" s="33">
        <v>0.33333333333333331</v>
      </c>
      <c r="C1446" s="10" t="s">
        <v>279</v>
      </c>
      <c r="D1446" s="10">
        <v>0</v>
      </c>
      <c r="E1446" s="10" t="s">
        <v>190</v>
      </c>
      <c r="F1446" s="10">
        <v>1</v>
      </c>
      <c r="G1446" s="10" t="s">
        <v>231</v>
      </c>
      <c r="H1446" s="10" t="s">
        <v>322</v>
      </c>
      <c r="I1446" s="10" t="s">
        <v>285</v>
      </c>
      <c r="J1446" s="10">
        <v>1</v>
      </c>
      <c r="K1446" s="12">
        <v>44958</v>
      </c>
      <c r="L1446" s="33">
        <v>0.5041782407407408</v>
      </c>
      <c r="M1446" s="10">
        <v>1</v>
      </c>
      <c r="N1446" s="10" t="s">
        <v>211</v>
      </c>
      <c r="O1446" s="10">
        <v>0.59299999999999997</v>
      </c>
      <c r="P1446" s="10">
        <v>5.6899999999999999E-2</v>
      </c>
      <c r="Q1446" s="10">
        <v>102</v>
      </c>
      <c r="R1446" s="10" t="s">
        <v>913</v>
      </c>
      <c r="S1446" s="34">
        <f t="shared" si="161"/>
        <v>102</v>
      </c>
      <c r="T1446" s="10" t="s">
        <v>1111</v>
      </c>
      <c r="U1446" s="34" t="str">
        <f t="shared" si="162"/>
        <v/>
      </c>
      <c r="V1446" s="31" t="str">
        <f>IF(H1446="CHK",VLOOKUP(I1446,QCCHK,3,),IF(H1446="GUP",VLOOKUP(E1446,QCGUP,2,),IF(AND(H1446="ATP",OR(I1446="TN",I1446="TDN",I1446="TNO2-3",I1446="NO2-3")),VLOOKUP(E1446,QCREC_N,2,),IF(AND(H1446="NIC",OR(I1446="TN",I1446="TDN",I1446="TNO2-3",I1446="NO2-3")),VLOOKUP(E1446,QCNIC_N,2,),IF(AND(H1446="UREA",OR(I1446="TN",I1446="TDN",I1446="TNO2-3",I1446="NO2-3")),VLOOKUP(E1446,QCUREA_N,2,),IF(H1446="PER",VLOOKUP(I1446,QCPER,MATCH(E1446,QCACTUAL!$J$25:$AA$25,0),),IF(H1446="SPK",VLOOKUP(I1446,QCSPK,3,),IF(AND(H1446="ATP",OR(I1446="TP",I1446="TDP")),VLOOKUP(E1446,QCATP_P,2,),""))))))))</f>
        <v/>
      </c>
      <c r="W1446" s="31" t="str">
        <f t="shared" si="163"/>
        <v>TRUE</v>
      </c>
      <c r="X1446" s="31" t="str">
        <f t="shared" si="160"/>
        <v/>
      </c>
      <c r="Y1446" s="10" t="s">
        <v>1096</v>
      </c>
      <c r="Z1446" s="10" t="s">
        <v>910</v>
      </c>
      <c r="AL1446" s="10" t="str">
        <f t="shared" si="165"/>
        <v>FALSE</v>
      </c>
      <c r="AM1446" s="10" t="str">
        <f t="shared" si="165"/>
        <v>FALSE</v>
      </c>
      <c r="AN1446" s="10" t="str">
        <f t="shared" si="165"/>
        <v>FALSE</v>
      </c>
      <c r="AO1446" s="10" t="str">
        <f t="shared" si="166"/>
        <v>FALSE</v>
      </c>
      <c r="AP1446" s="10" t="str">
        <f t="shared" si="166"/>
        <v>FALSE</v>
      </c>
      <c r="AQ1446" s="10" t="b">
        <f>IF(AND(I1446="TP",S1446&lt;=150),VLOOKUP(AF1446,TPCalibEq150!$AZ$2:$BB$55,3,),IF(AND(I1446="TDP",S1446&lt;=150),VLOOKUP(AF1446,TPCalibEq150!$AZ$2:$BB$55,3,)))</f>
        <v>0</v>
      </c>
      <c r="AR1446" s="10" t="b">
        <f>IF(AND(I1446="TP",S1446&lt;=300),VLOOKUP(AF1446,TPCalibEq300!$AZ$2:$BB$55,3,),IF(AND(I1446="TDP",S1446&lt;=300),VLOOKUP(AF1446,TPCalibEq300!$AZ$2:$BB$55,3,)))</f>
        <v>0</v>
      </c>
      <c r="AS1446" s="10" t="b">
        <f>IF(AND(I1446="TP",S1446&lt;=500),VLOOKUP(AF1446,TPCalibEq500!$AZ$2:$BB$56,3,),IF(AND(I1446="TDP",S1446&lt;=500),VLOOKUP(AF1446,TPCalibEq500!$AZ$2:$BB$56,3,)))</f>
        <v>0</v>
      </c>
      <c r="AT1446" s="10" t="b">
        <f>IF(AND(I1446="TN",S1446&lt;=2800),VLOOKUP(AF1446,TNCalibEq2500!$AZ$2:$BB$56,3,),IF(AND(I1446="TDN",S1446&lt;=2800),VLOOKUP(AF1446,TNCalibEq2500!$AZ$2:$BB$56,3,)))</f>
        <v>0</v>
      </c>
      <c r="AU1446" s="10" t="b">
        <f>IF(I1446="TP",VLOOKUP(AF1446,TPCalibEqFull!$AZ$2:$BB$56,3),IF(I1446="TDP",VLOOKUP(AF1446,TPCalibEqFull!$AZ$2:$BB$56,3),IF(I1446="TDN",VLOOKUP(AF1446,TNCalibEqFull!$AZ$1:$BB$56,3),IF(I1446="TN",VLOOKUP(AF1446,TNCalibEqFull!$AZ$1:$BB$56,3),FALSE))))</f>
        <v>0</v>
      </c>
      <c r="AV1446" s="10" t="str">
        <f t="shared" si="164"/>
        <v>0123 08:00:00-EFK-0-C-1-SW-UKN</v>
      </c>
    </row>
    <row r="1447" spans="1:48" s="10" customFormat="1" x14ac:dyDescent="0.55000000000000004">
      <c r="A1447" s="32">
        <v>44949</v>
      </c>
      <c r="B1447" s="33">
        <v>0.32083333333333336</v>
      </c>
      <c r="C1447" s="10" t="s">
        <v>333</v>
      </c>
      <c r="D1447" s="10">
        <v>0</v>
      </c>
      <c r="E1447" s="10" t="s">
        <v>190</v>
      </c>
      <c r="F1447" s="10">
        <v>1</v>
      </c>
      <c r="G1447" s="10" t="s">
        <v>231</v>
      </c>
      <c r="H1447" s="10" t="s">
        <v>322</v>
      </c>
      <c r="I1447" s="10" t="s">
        <v>285</v>
      </c>
      <c r="J1447" s="10">
        <v>2</v>
      </c>
      <c r="K1447" s="12">
        <v>44958</v>
      </c>
      <c r="L1447" s="33">
        <v>0.505</v>
      </c>
      <c r="M1447" s="10">
        <v>1</v>
      </c>
      <c r="N1447" s="10" t="s">
        <v>211</v>
      </c>
      <c r="O1447" s="10">
        <v>0.26100000000000001</v>
      </c>
      <c r="P1447" s="10">
        <v>2.3900000000000001E-2</v>
      </c>
      <c r="Q1447" s="10">
        <v>44.3</v>
      </c>
      <c r="R1447" s="10" t="s">
        <v>913</v>
      </c>
      <c r="S1447" s="34">
        <f t="shared" si="161"/>
        <v>44.3</v>
      </c>
      <c r="T1447" s="10" t="s">
        <v>1111</v>
      </c>
      <c r="U1447" s="34" t="str">
        <f t="shared" si="162"/>
        <v/>
      </c>
      <c r="V1447" s="31" t="str">
        <f>IF(H1447="CHK",VLOOKUP(I1447,QCCHK,3,),IF(H1447="GUP",VLOOKUP(E1447,QCGUP,2,),IF(AND(H1447="ATP",OR(I1447="TN",I1447="TDN",I1447="TNO2-3",I1447="NO2-3")),VLOOKUP(E1447,QCREC_N,2,),IF(AND(H1447="NIC",OR(I1447="TN",I1447="TDN",I1447="TNO2-3",I1447="NO2-3")),VLOOKUP(E1447,QCNIC_N,2,),IF(AND(H1447="UREA",OR(I1447="TN",I1447="TDN",I1447="TNO2-3",I1447="NO2-3")),VLOOKUP(E1447,QCUREA_N,2,),IF(H1447="PER",VLOOKUP(I1447,QCPER,MATCH(E1447,QCACTUAL!$J$25:$AA$25,0),),IF(H1447="SPK",VLOOKUP(I1447,QCSPK,3,),IF(AND(H1447="ATP",OR(I1447="TP",I1447="TDP")),VLOOKUP(E1447,QCATP_P,2,),""))))))))</f>
        <v/>
      </c>
      <c r="W1447" s="31" t="str">
        <f t="shared" si="163"/>
        <v>TRUE</v>
      </c>
      <c r="X1447" s="31" t="str">
        <f t="shared" si="160"/>
        <v/>
      </c>
      <c r="Y1447" s="10" t="s">
        <v>1096</v>
      </c>
      <c r="Z1447" s="10" t="s">
        <v>910</v>
      </c>
      <c r="AL1447" s="10" t="str">
        <f t="shared" si="165"/>
        <v>FALSE</v>
      </c>
      <c r="AM1447" s="10" t="str">
        <f t="shared" si="165"/>
        <v>FALSE</v>
      </c>
      <c r="AN1447" s="10" t="str">
        <f t="shared" si="165"/>
        <v>FALSE</v>
      </c>
      <c r="AO1447" s="10" t="str">
        <f t="shared" si="166"/>
        <v>FALSE</v>
      </c>
      <c r="AP1447" s="10" t="str">
        <f t="shared" si="166"/>
        <v>FALSE</v>
      </c>
      <c r="AQ1447" s="10" t="b">
        <f>IF(AND(I1447="TP",S1447&lt;=150),VLOOKUP(AF1447,TPCalibEq150!$AZ$2:$BB$55,3,),IF(AND(I1447="TDP",S1447&lt;=150),VLOOKUP(AF1447,TPCalibEq150!$AZ$2:$BB$55,3,)))</f>
        <v>0</v>
      </c>
      <c r="AR1447" s="10" t="b">
        <f>IF(AND(I1447="TP",S1447&lt;=300),VLOOKUP(AF1447,TPCalibEq300!$AZ$2:$BB$55,3,),IF(AND(I1447="TDP",S1447&lt;=300),VLOOKUP(AF1447,TPCalibEq300!$AZ$2:$BB$55,3,)))</f>
        <v>0</v>
      </c>
      <c r="AS1447" s="10" t="b">
        <f>IF(AND(I1447="TP",S1447&lt;=500),VLOOKUP(AF1447,TPCalibEq500!$AZ$2:$BB$56,3,),IF(AND(I1447="TDP",S1447&lt;=500),VLOOKUP(AF1447,TPCalibEq500!$AZ$2:$BB$56,3,)))</f>
        <v>0</v>
      </c>
      <c r="AT1447" s="10" t="b">
        <f>IF(AND(I1447="TN",S1447&lt;=2800),VLOOKUP(AF1447,TNCalibEq2500!$AZ$2:$BB$56,3,),IF(AND(I1447="TDN",S1447&lt;=2800),VLOOKUP(AF1447,TNCalibEq2500!$AZ$2:$BB$56,3,)))</f>
        <v>0</v>
      </c>
      <c r="AU1447" s="10" t="b">
        <f>IF(I1447="TP",VLOOKUP(AF1447,TPCalibEqFull!$AZ$2:$BB$56,3),IF(I1447="TDP",VLOOKUP(AF1447,TPCalibEqFull!$AZ$2:$BB$56,3),IF(I1447="TDN",VLOOKUP(AF1447,TNCalibEqFull!$AZ$1:$BB$56,3),IF(I1447="TN",VLOOKUP(AF1447,TNCalibEqFull!$AZ$1:$BB$56,3),FALSE))))</f>
        <v>0</v>
      </c>
      <c r="AV1447" s="10" t="str">
        <f t="shared" si="164"/>
        <v>0123 07:42:00-HST-0-C-1-SW-UKN</v>
      </c>
    </row>
    <row r="1448" spans="1:48" s="10" customFormat="1" x14ac:dyDescent="0.55000000000000004">
      <c r="A1448" s="32">
        <v>44950</v>
      </c>
      <c r="B1448" s="33">
        <v>0.5708333333333333</v>
      </c>
      <c r="C1448" s="10" t="s">
        <v>279</v>
      </c>
      <c r="D1448" s="10">
        <v>0</v>
      </c>
      <c r="E1448" s="10" t="s">
        <v>190</v>
      </c>
      <c r="F1448" s="10">
        <v>1</v>
      </c>
      <c r="G1448" s="10" t="s">
        <v>231</v>
      </c>
      <c r="H1448" s="10" t="s">
        <v>322</v>
      </c>
      <c r="I1448" s="10" t="s">
        <v>285</v>
      </c>
      <c r="J1448" s="10">
        <v>3</v>
      </c>
      <c r="K1448" s="12">
        <v>44958</v>
      </c>
      <c r="L1448" s="33">
        <v>0.50583333333333336</v>
      </c>
      <c r="M1448" s="10">
        <v>1</v>
      </c>
      <c r="N1448" s="10" t="s">
        <v>211</v>
      </c>
      <c r="O1448" s="10">
        <v>0.56699999999999995</v>
      </c>
      <c r="P1448" s="10">
        <v>5.4800000000000001E-2</v>
      </c>
      <c r="Q1448" s="10">
        <v>97</v>
      </c>
      <c r="R1448" s="10" t="s">
        <v>913</v>
      </c>
      <c r="S1448" s="34">
        <f t="shared" si="161"/>
        <v>97</v>
      </c>
      <c r="T1448" s="10" t="s">
        <v>1111</v>
      </c>
      <c r="U1448" s="34" t="str">
        <f t="shared" si="162"/>
        <v/>
      </c>
      <c r="V1448" s="31" t="str">
        <f>IF(H1448="CHK",VLOOKUP(I1448,QCCHK,3,),IF(H1448="GUP",VLOOKUP(E1448,QCGUP,2,),IF(AND(H1448="ATP",OR(I1448="TN",I1448="TDN",I1448="TNO2-3",I1448="NO2-3")),VLOOKUP(E1448,QCREC_N,2,),IF(AND(H1448="NIC",OR(I1448="TN",I1448="TDN",I1448="TNO2-3",I1448="NO2-3")),VLOOKUP(E1448,QCNIC_N,2,),IF(AND(H1448="UREA",OR(I1448="TN",I1448="TDN",I1448="TNO2-3",I1448="NO2-3")),VLOOKUP(E1448,QCUREA_N,2,),IF(H1448="PER",VLOOKUP(I1448,QCPER,MATCH(E1448,QCACTUAL!$J$25:$AA$25,0),),IF(H1448="SPK",VLOOKUP(I1448,QCSPK,3,),IF(AND(H1448="ATP",OR(I1448="TP",I1448="TDP")),VLOOKUP(E1448,QCATP_P,2,),""))))))))</f>
        <v/>
      </c>
      <c r="W1448" s="31" t="str">
        <f t="shared" si="163"/>
        <v>TRUE</v>
      </c>
      <c r="X1448" s="31" t="str">
        <f t="shared" si="160"/>
        <v/>
      </c>
      <c r="Y1448" s="10" t="s">
        <v>1096</v>
      </c>
      <c r="Z1448" s="10" t="s">
        <v>910</v>
      </c>
      <c r="AL1448" s="10" t="str">
        <f t="shared" si="165"/>
        <v>FALSE</v>
      </c>
      <c r="AM1448" s="10" t="str">
        <f t="shared" si="165"/>
        <v>FALSE</v>
      </c>
      <c r="AN1448" s="10" t="str">
        <f t="shared" si="165"/>
        <v>FALSE</v>
      </c>
      <c r="AO1448" s="10" t="str">
        <f t="shared" si="166"/>
        <v>FALSE</v>
      </c>
      <c r="AP1448" s="10" t="str">
        <f t="shared" si="166"/>
        <v>FALSE</v>
      </c>
      <c r="AQ1448" s="10" t="b">
        <f>IF(AND(I1448="TP",S1448&lt;=150),VLOOKUP(AF1448,TPCalibEq150!$AZ$2:$BB$55,3,),IF(AND(I1448="TDP",S1448&lt;=150),VLOOKUP(AF1448,TPCalibEq150!$AZ$2:$BB$55,3,)))</f>
        <v>0</v>
      </c>
      <c r="AR1448" s="10" t="b">
        <f>IF(AND(I1448="TP",S1448&lt;=300),VLOOKUP(AF1448,TPCalibEq300!$AZ$2:$BB$55,3,),IF(AND(I1448="TDP",S1448&lt;=300),VLOOKUP(AF1448,TPCalibEq300!$AZ$2:$BB$55,3,)))</f>
        <v>0</v>
      </c>
      <c r="AS1448" s="10" t="b">
        <f>IF(AND(I1448="TP",S1448&lt;=500),VLOOKUP(AF1448,TPCalibEq500!$AZ$2:$BB$56,3,),IF(AND(I1448="TDP",S1448&lt;=500),VLOOKUP(AF1448,TPCalibEq500!$AZ$2:$BB$56,3,)))</f>
        <v>0</v>
      </c>
      <c r="AT1448" s="10" t="b">
        <f>IF(AND(I1448="TN",S1448&lt;=2800),VLOOKUP(AF1448,TNCalibEq2500!$AZ$2:$BB$56,3,),IF(AND(I1448="TDN",S1448&lt;=2800),VLOOKUP(AF1448,TNCalibEq2500!$AZ$2:$BB$56,3,)))</f>
        <v>0</v>
      </c>
      <c r="AU1448" s="10" t="b">
        <f>IF(I1448="TP",VLOOKUP(AF1448,TPCalibEqFull!$AZ$2:$BB$56,3),IF(I1448="TDP",VLOOKUP(AF1448,TPCalibEqFull!$AZ$2:$BB$56,3),IF(I1448="TDN",VLOOKUP(AF1448,TNCalibEqFull!$AZ$1:$BB$56,3),IF(I1448="TN",VLOOKUP(AF1448,TNCalibEqFull!$AZ$1:$BB$56,3),FALSE))))</f>
        <v>0</v>
      </c>
      <c r="AV1448" s="10" t="str">
        <f t="shared" si="164"/>
        <v>0124 13:42:00-EFK-0-C-1-SW-UKN</v>
      </c>
    </row>
    <row r="1449" spans="1:48" s="10" customFormat="1" x14ac:dyDescent="0.55000000000000004">
      <c r="A1449" s="32">
        <v>44950</v>
      </c>
      <c r="B1449" s="33">
        <v>0.60555555555555551</v>
      </c>
      <c r="C1449" s="10" t="s">
        <v>333</v>
      </c>
      <c r="D1449" s="10">
        <v>0</v>
      </c>
      <c r="E1449" s="10" t="s">
        <v>190</v>
      </c>
      <c r="F1449" s="10">
        <v>1</v>
      </c>
      <c r="G1449" s="10" t="s">
        <v>231</v>
      </c>
      <c r="H1449" s="10" t="s">
        <v>322</v>
      </c>
      <c r="I1449" s="10" t="s">
        <v>285</v>
      </c>
      <c r="J1449" s="10">
        <v>4</v>
      </c>
      <c r="K1449" s="12">
        <v>44958</v>
      </c>
      <c r="L1449" s="33">
        <v>0.50664351851851852</v>
      </c>
      <c r="M1449" s="10">
        <v>1</v>
      </c>
      <c r="N1449" s="10" t="s">
        <v>211</v>
      </c>
      <c r="O1449" s="10">
        <v>0.67400000000000004</v>
      </c>
      <c r="P1449" s="10">
        <v>6.4799999999999996E-2</v>
      </c>
      <c r="Q1449" s="10">
        <v>115</v>
      </c>
      <c r="R1449" s="10" t="s">
        <v>913</v>
      </c>
      <c r="S1449" s="34">
        <f t="shared" si="161"/>
        <v>115</v>
      </c>
      <c r="T1449" s="10" t="s">
        <v>1111</v>
      </c>
      <c r="U1449" s="34" t="str">
        <f t="shared" si="162"/>
        <v/>
      </c>
      <c r="V1449" s="31" t="str">
        <f>IF(H1449="CHK",VLOOKUP(I1449,QCCHK,3,),IF(H1449="GUP",VLOOKUP(E1449,QCGUP,2,),IF(AND(H1449="ATP",OR(I1449="TN",I1449="TDN",I1449="TNO2-3",I1449="NO2-3")),VLOOKUP(E1449,QCREC_N,2,),IF(AND(H1449="NIC",OR(I1449="TN",I1449="TDN",I1449="TNO2-3",I1449="NO2-3")),VLOOKUP(E1449,QCNIC_N,2,),IF(AND(H1449="UREA",OR(I1449="TN",I1449="TDN",I1449="TNO2-3",I1449="NO2-3")),VLOOKUP(E1449,QCUREA_N,2,),IF(H1449="PER",VLOOKUP(I1449,QCPER,MATCH(E1449,QCACTUAL!$J$25:$AA$25,0),),IF(H1449="SPK",VLOOKUP(I1449,QCSPK,3,),IF(AND(H1449="ATP",OR(I1449="TP",I1449="TDP")),VLOOKUP(E1449,QCATP_P,2,),""))))))))</f>
        <v/>
      </c>
      <c r="W1449" s="31" t="str">
        <f t="shared" si="163"/>
        <v>TRUE</v>
      </c>
      <c r="X1449" s="31" t="str">
        <f t="shared" si="160"/>
        <v/>
      </c>
      <c r="Y1449" s="10" t="s">
        <v>1096</v>
      </c>
      <c r="Z1449" s="10" t="s">
        <v>910</v>
      </c>
      <c r="AL1449" s="10" t="str">
        <f t="shared" si="165"/>
        <v>FALSE</v>
      </c>
      <c r="AM1449" s="10" t="str">
        <f t="shared" si="165"/>
        <v>FALSE</v>
      </c>
      <c r="AN1449" s="10" t="str">
        <f t="shared" si="165"/>
        <v>FALSE</v>
      </c>
      <c r="AO1449" s="10" t="str">
        <f t="shared" si="166"/>
        <v>FALSE</v>
      </c>
      <c r="AP1449" s="10" t="str">
        <f t="shared" si="166"/>
        <v>FALSE</v>
      </c>
      <c r="AQ1449" s="10" t="b">
        <f>IF(AND(I1449="TP",S1449&lt;=150),VLOOKUP(AF1449,TPCalibEq150!$AZ$2:$BB$55,3,),IF(AND(I1449="TDP",S1449&lt;=150),VLOOKUP(AF1449,TPCalibEq150!$AZ$2:$BB$55,3,)))</f>
        <v>0</v>
      </c>
      <c r="AR1449" s="10" t="b">
        <f>IF(AND(I1449="TP",S1449&lt;=300),VLOOKUP(AF1449,TPCalibEq300!$AZ$2:$BB$55,3,),IF(AND(I1449="TDP",S1449&lt;=300),VLOOKUP(AF1449,TPCalibEq300!$AZ$2:$BB$55,3,)))</f>
        <v>0</v>
      </c>
      <c r="AS1449" s="10" t="b">
        <f>IF(AND(I1449="TP",S1449&lt;=500),VLOOKUP(AF1449,TPCalibEq500!$AZ$2:$BB$56,3,),IF(AND(I1449="TDP",S1449&lt;=500),VLOOKUP(AF1449,TPCalibEq500!$AZ$2:$BB$56,3,)))</f>
        <v>0</v>
      </c>
      <c r="AT1449" s="10" t="b">
        <f>IF(AND(I1449="TN",S1449&lt;=2800),VLOOKUP(AF1449,TNCalibEq2500!$AZ$2:$BB$56,3,),IF(AND(I1449="TDN",S1449&lt;=2800),VLOOKUP(AF1449,TNCalibEq2500!$AZ$2:$BB$56,3,)))</f>
        <v>0</v>
      </c>
      <c r="AU1449" s="10" t="b">
        <f>IF(I1449="TP",VLOOKUP(AF1449,TPCalibEqFull!$AZ$2:$BB$56,3),IF(I1449="TDP",VLOOKUP(AF1449,TPCalibEqFull!$AZ$2:$BB$56,3),IF(I1449="TDN",VLOOKUP(AF1449,TNCalibEqFull!$AZ$1:$BB$56,3),IF(I1449="TN",VLOOKUP(AF1449,TNCalibEqFull!$AZ$1:$BB$56,3),FALSE))))</f>
        <v>0</v>
      </c>
      <c r="AV1449" s="10" t="str">
        <f t="shared" si="164"/>
        <v>0124 14:32:00-HST-0-C-1-SW-UKN</v>
      </c>
    </row>
    <row r="1450" spans="1:48" s="10" customFormat="1" x14ac:dyDescent="0.55000000000000004">
      <c r="A1450" s="32">
        <v>44951</v>
      </c>
      <c r="B1450" s="33">
        <v>0.23541666666666669</v>
      </c>
      <c r="C1450" s="10" t="s">
        <v>279</v>
      </c>
      <c r="D1450" s="10">
        <v>0</v>
      </c>
      <c r="E1450" s="10" t="s">
        <v>190</v>
      </c>
      <c r="F1450" s="10">
        <v>1</v>
      </c>
      <c r="G1450" s="10" t="s">
        <v>231</v>
      </c>
      <c r="H1450" s="10" t="s">
        <v>322</v>
      </c>
      <c r="I1450" s="10" t="s">
        <v>285</v>
      </c>
      <c r="J1450" s="10">
        <v>5</v>
      </c>
      <c r="K1450" s="12">
        <v>44958</v>
      </c>
      <c r="L1450" s="33">
        <v>0.50746527777777783</v>
      </c>
      <c r="M1450" s="10">
        <v>1</v>
      </c>
      <c r="N1450" s="10" t="s">
        <v>211</v>
      </c>
      <c r="O1450" s="10">
        <v>0.52100000000000002</v>
      </c>
      <c r="P1450" s="10">
        <v>5.0299999999999997E-2</v>
      </c>
      <c r="Q1450" s="10">
        <v>89.1</v>
      </c>
      <c r="R1450" s="10" t="s">
        <v>913</v>
      </c>
      <c r="S1450" s="34">
        <f t="shared" si="161"/>
        <v>89.1</v>
      </c>
      <c r="T1450" s="10" t="s">
        <v>1111</v>
      </c>
      <c r="U1450" s="34" t="str">
        <f t="shared" si="162"/>
        <v/>
      </c>
      <c r="V1450" s="31" t="str">
        <f>IF(H1450="CHK",VLOOKUP(I1450,QCCHK,3,),IF(H1450="GUP",VLOOKUP(E1450,QCGUP,2,),IF(AND(H1450="ATP",OR(I1450="TN",I1450="TDN",I1450="TNO2-3",I1450="NO2-3")),VLOOKUP(E1450,QCREC_N,2,),IF(AND(H1450="NIC",OR(I1450="TN",I1450="TDN",I1450="TNO2-3",I1450="NO2-3")),VLOOKUP(E1450,QCNIC_N,2,),IF(AND(H1450="UREA",OR(I1450="TN",I1450="TDN",I1450="TNO2-3",I1450="NO2-3")),VLOOKUP(E1450,QCUREA_N,2,),IF(H1450="PER",VLOOKUP(I1450,QCPER,MATCH(E1450,QCACTUAL!$J$25:$AA$25,0),),IF(H1450="SPK",VLOOKUP(I1450,QCSPK,3,),IF(AND(H1450="ATP",OR(I1450="TP",I1450="TDP")),VLOOKUP(E1450,QCATP_P,2,),""))))))))</f>
        <v/>
      </c>
      <c r="W1450" s="31" t="str">
        <f t="shared" si="163"/>
        <v>TRUE</v>
      </c>
      <c r="X1450" s="31" t="str">
        <f t="shared" si="160"/>
        <v/>
      </c>
      <c r="Y1450" s="10" t="s">
        <v>1096</v>
      </c>
      <c r="Z1450" s="10" t="s">
        <v>910</v>
      </c>
      <c r="AL1450" s="10" t="str">
        <f t="shared" si="165"/>
        <v>FALSE</v>
      </c>
      <c r="AM1450" s="10" t="str">
        <f t="shared" si="165"/>
        <v>FALSE</v>
      </c>
      <c r="AN1450" s="10" t="str">
        <f t="shared" si="165"/>
        <v>FALSE</v>
      </c>
      <c r="AO1450" s="10" t="str">
        <f t="shared" si="166"/>
        <v>FALSE</v>
      </c>
      <c r="AP1450" s="10" t="str">
        <f t="shared" si="166"/>
        <v>FALSE</v>
      </c>
      <c r="AQ1450" s="10" t="b">
        <f>IF(AND(I1450="TP",S1450&lt;=150),VLOOKUP(AF1450,TPCalibEq150!$AZ$2:$BB$55,3,),IF(AND(I1450="TDP",S1450&lt;=150),VLOOKUP(AF1450,TPCalibEq150!$AZ$2:$BB$55,3,)))</f>
        <v>0</v>
      </c>
      <c r="AR1450" s="10" t="b">
        <f>IF(AND(I1450="TP",S1450&lt;=300),VLOOKUP(AF1450,TPCalibEq300!$AZ$2:$BB$55,3,),IF(AND(I1450="TDP",S1450&lt;=300),VLOOKUP(AF1450,TPCalibEq300!$AZ$2:$BB$55,3,)))</f>
        <v>0</v>
      </c>
      <c r="AS1450" s="10" t="b">
        <f>IF(AND(I1450="TP",S1450&lt;=500),VLOOKUP(AF1450,TPCalibEq500!$AZ$2:$BB$56,3,),IF(AND(I1450="TDP",S1450&lt;=500),VLOOKUP(AF1450,TPCalibEq500!$AZ$2:$BB$56,3,)))</f>
        <v>0</v>
      </c>
      <c r="AT1450" s="10" t="b">
        <f>IF(AND(I1450="TN",S1450&lt;=2800),VLOOKUP(AF1450,TNCalibEq2500!$AZ$2:$BB$56,3,),IF(AND(I1450="TDN",S1450&lt;=2800),VLOOKUP(AF1450,TNCalibEq2500!$AZ$2:$BB$56,3,)))</f>
        <v>0</v>
      </c>
      <c r="AU1450" s="10" t="b">
        <f>IF(I1450="TP",VLOOKUP(AF1450,TPCalibEqFull!$AZ$2:$BB$56,3),IF(I1450="TDP",VLOOKUP(AF1450,TPCalibEqFull!$AZ$2:$BB$56,3),IF(I1450="TDN",VLOOKUP(AF1450,TNCalibEqFull!$AZ$1:$BB$56,3),IF(I1450="TN",VLOOKUP(AF1450,TNCalibEqFull!$AZ$1:$BB$56,3),FALSE))))</f>
        <v>0</v>
      </c>
      <c r="AV1450" s="10" t="str">
        <f t="shared" si="164"/>
        <v>0125 05:39:00-EFK-0-C-1-SW-UKN</v>
      </c>
    </row>
    <row r="1451" spans="1:48" s="10" customFormat="1" x14ac:dyDescent="0.55000000000000004">
      <c r="A1451" s="32">
        <v>44951</v>
      </c>
      <c r="B1451" s="33">
        <v>0.23750000000000002</v>
      </c>
      <c r="C1451" s="10" t="s">
        <v>333</v>
      </c>
      <c r="D1451" s="10">
        <v>0</v>
      </c>
      <c r="E1451" s="10" t="s">
        <v>190</v>
      </c>
      <c r="F1451" s="10">
        <v>1</v>
      </c>
      <c r="G1451" s="10" t="s">
        <v>231</v>
      </c>
      <c r="H1451" s="10" t="s">
        <v>322</v>
      </c>
      <c r="I1451" s="10" t="s">
        <v>285</v>
      </c>
      <c r="J1451" s="10">
        <v>6</v>
      </c>
      <c r="K1451" s="12">
        <v>44958</v>
      </c>
      <c r="L1451" s="33">
        <v>0.50828703703703704</v>
      </c>
      <c r="M1451" s="10">
        <v>1</v>
      </c>
      <c r="N1451" s="10" t="s">
        <v>211</v>
      </c>
      <c r="O1451" s="10">
        <v>0.38700000000000001</v>
      </c>
      <c r="P1451" s="10">
        <v>3.7999999999999999E-2</v>
      </c>
      <c r="Q1451" s="10">
        <v>66</v>
      </c>
      <c r="R1451" s="10" t="s">
        <v>913</v>
      </c>
      <c r="S1451" s="34">
        <f t="shared" si="161"/>
        <v>66</v>
      </c>
      <c r="T1451" s="10" t="s">
        <v>1111</v>
      </c>
      <c r="U1451" s="34" t="str">
        <f t="shared" si="162"/>
        <v/>
      </c>
      <c r="V1451" s="31" t="str">
        <f>IF(H1451="CHK",VLOOKUP(I1451,QCCHK,3,),IF(H1451="GUP",VLOOKUP(E1451,QCGUP,2,),IF(AND(H1451="ATP",OR(I1451="TN",I1451="TDN",I1451="TNO2-3",I1451="NO2-3")),VLOOKUP(E1451,QCREC_N,2,),IF(AND(H1451="NIC",OR(I1451="TN",I1451="TDN",I1451="TNO2-3",I1451="NO2-3")),VLOOKUP(E1451,QCNIC_N,2,),IF(AND(H1451="UREA",OR(I1451="TN",I1451="TDN",I1451="TNO2-3",I1451="NO2-3")),VLOOKUP(E1451,QCUREA_N,2,),IF(H1451="PER",VLOOKUP(I1451,QCPER,MATCH(E1451,QCACTUAL!$J$25:$AA$25,0),),IF(H1451="SPK",VLOOKUP(I1451,QCSPK,3,),IF(AND(H1451="ATP",OR(I1451="TP",I1451="TDP")),VLOOKUP(E1451,QCATP_P,2,),""))))))))</f>
        <v/>
      </c>
      <c r="W1451" s="31" t="str">
        <f t="shared" si="163"/>
        <v>TRUE</v>
      </c>
      <c r="X1451" s="31" t="str">
        <f t="shared" si="160"/>
        <v/>
      </c>
      <c r="Y1451" s="10" t="s">
        <v>1096</v>
      </c>
      <c r="Z1451" s="10" t="s">
        <v>910</v>
      </c>
      <c r="AL1451" s="10" t="str">
        <f t="shared" si="165"/>
        <v>FALSE</v>
      </c>
      <c r="AM1451" s="10" t="str">
        <f t="shared" si="165"/>
        <v>FALSE</v>
      </c>
      <c r="AN1451" s="10" t="str">
        <f t="shared" si="165"/>
        <v>FALSE</v>
      </c>
      <c r="AO1451" s="10" t="str">
        <f t="shared" si="166"/>
        <v>FALSE</v>
      </c>
      <c r="AP1451" s="10" t="str">
        <f t="shared" si="166"/>
        <v>FALSE</v>
      </c>
      <c r="AQ1451" s="10" t="b">
        <f>IF(AND(I1451="TP",S1451&lt;=150),VLOOKUP(AF1451,TPCalibEq150!$AZ$2:$BB$55,3,),IF(AND(I1451="TDP",S1451&lt;=150),VLOOKUP(AF1451,TPCalibEq150!$AZ$2:$BB$55,3,)))</f>
        <v>0</v>
      </c>
      <c r="AR1451" s="10" t="b">
        <f>IF(AND(I1451="TP",S1451&lt;=300),VLOOKUP(AF1451,TPCalibEq300!$AZ$2:$BB$55,3,),IF(AND(I1451="TDP",S1451&lt;=300),VLOOKUP(AF1451,TPCalibEq300!$AZ$2:$BB$55,3,)))</f>
        <v>0</v>
      </c>
      <c r="AS1451" s="10" t="b">
        <f>IF(AND(I1451="TP",S1451&lt;=500),VLOOKUP(AF1451,TPCalibEq500!$AZ$2:$BB$56,3,),IF(AND(I1451="TDP",S1451&lt;=500),VLOOKUP(AF1451,TPCalibEq500!$AZ$2:$BB$56,3,)))</f>
        <v>0</v>
      </c>
      <c r="AT1451" s="10" t="b">
        <f>IF(AND(I1451="TN",S1451&lt;=2800),VLOOKUP(AF1451,TNCalibEq2500!$AZ$2:$BB$56,3,),IF(AND(I1451="TDN",S1451&lt;=2800),VLOOKUP(AF1451,TNCalibEq2500!$AZ$2:$BB$56,3,)))</f>
        <v>0</v>
      </c>
      <c r="AU1451" s="10" t="b">
        <f>IF(I1451="TP",VLOOKUP(AF1451,TPCalibEqFull!$AZ$2:$BB$56,3),IF(I1451="TDP",VLOOKUP(AF1451,TPCalibEqFull!$AZ$2:$BB$56,3),IF(I1451="TDN",VLOOKUP(AF1451,TNCalibEqFull!$AZ$1:$BB$56,3),IF(I1451="TN",VLOOKUP(AF1451,TNCalibEqFull!$AZ$1:$BB$56,3),FALSE))))</f>
        <v>0</v>
      </c>
      <c r="AV1451" s="10" t="str">
        <f t="shared" si="164"/>
        <v>0125 05:42:00-HST-0-C-1-SW-UKN</v>
      </c>
    </row>
    <row r="1452" spans="1:48" s="10" customFormat="1" x14ac:dyDescent="0.55000000000000004">
      <c r="A1452" s="32">
        <v>44952</v>
      </c>
      <c r="B1452" s="33">
        <v>0.39930555555555558</v>
      </c>
      <c r="C1452" s="10" t="s">
        <v>279</v>
      </c>
      <c r="D1452" s="10">
        <v>0</v>
      </c>
      <c r="E1452" s="10" t="s">
        <v>190</v>
      </c>
      <c r="F1452" s="10">
        <v>1</v>
      </c>
      <c r="G1452" s="10" t="s">
        <v>231</v>
      </c>
      <c r="H1452" s="10" t="s">
        <v>322</v>
      </c>
      <c r="I1452" s="10" t="s">
        <v>285</v>
      </c>
      <c r="J1452" s="10">
        <v>7</v>
      </c>
      <c r="K1452" s="12">
        <v>44958</v>
      </c>
      <c r="L1452" s="33">
        <v>0.5090972222222222</v>
      </c>
      <c r="M1452" s="10">
        <v>1</v>
      </c>
      <c r="N1452" s="10" t="s">
        <v>211</v>
      </c>
      <c r="O1452" s="10">
        <v>0.63900000000000001</v>
      </c>
      <c r="P1452" s="10">
        <v>6.2399999999999997E-2</v>
      </c>
      <c r="Q1452" s="10">
        <v>109</v>
      </c>
      <c r="R1452" s="10" t="s">
        <v>913</v>
      </c>
      <c r="S1452" s="34">
        <f t="shared" si="161"/>
        <v>109</v>
      </c>
      <c r="T1452" s="10" t="s">
        <v>1111</v>
      </c>
      <c r="U1452" s="34" t="str">
        <f t="shared" si="162"/>
        <v/>
      </c>
      <c r="V1452" s="31" t="str">
        <f>IF(H1452="CHK",VLOOKUP(I1452,QCCHK,3,),IF(H1452="GUP",VLOOKUP(E1452,QCGUP,2,),IF(AND(H1452="ATP",OR(I1452="TN",I1452="TDN",I1452="TNO2-3",I1452="NO2-3")),VLOOKUP(E1452,QCREC_N,2,),IF(AND(H1452="NIC",OR(I1452="TN",I1452="TDN",I1452="TNO2-3",I1452="NO2-3")),VLOOKUP(E1452,QCNIC_N,2,),IF(AND(H1452="UREA",OR(I1452="TN",I1452="TDN",I1452="TNO2-3",I1452="NO2-3")),VLOOKUP(E1452,QCUREA_N,2,),IF(H1452="PER",VLOOKUP(I1452,QCPER,MATCH(E1452,QCACTUAL!$J$25:$AA$25,0),),IF(H1452="SPK",VLOOKUP(I1452,QCSPK,3,),IF(AND(H1452="ATP",OR(I1452="TP",I1452="TDP")),VLOOKUP(E1452,QCATP_P,2,),""))))))))</f>
        <v/>
      </c>
      <c r="W1452" s="31" t="str">
        <f t="shared" si="163"/>
        <v>TRUE</v>
      </c>
      <c r="X1452" s="31" t="str">
        <f t="shared" si="160"/>
        <v/>
      </c>
      <c r="Y1452" s="10" t="s">
        <v>1096</v>
      </c>
      <c r="Z1452" s="10" t="s">
        <v>910</v>
      </c>
      <c r="AL1452" s="10" t="str">
        <f t="shared" si="165"/>
        <v>FALSE</v>
      </c>
      <c r="AM1452" s="10" t="str">
        <f t="shared" si="165"/>
        <v>FALSE</v>
      </c>
      <c r="AN1452" s="10" t="str">
        <f t="shared" si="165"/>
        <v>FALSE</v>
      </c>
      <c r="AO1452" s="10" t="str">
        <f t="shared" si="166"/>
        <v>FALSE</v>
      </c>
      <c r="AP1452" s="10" t="str">
        <f t="shared" si="166"/>
        <v>FALSE</v>
      </c>
      <c r="AQ1452" s="10" t="b">
        <f>IF(AND(I1452="TP",S1452&lt;=150),VLOOKUP(AF1452,TPCalibEq150!$AZ$2:$BB$55,3,),IF(AND(I1452="TDP",S1452&lt;=150),VLOOKUP(AF1452,TPCalibEq150!$AZ$2:$BB$55,3,)))</f>
        <v>0</v>
      </c>
      <c r="AR1452" s="10" t="b">
        <f>IF(AND(I1452="TP",S1452&lt;=300),VLOOKUP(AF1452,TPCalibEq300!$AZ$2:$BB$55,3,),IF(AND(I1452="TDP",S1452&lt;=300),VLOOKUP(AF1452,TPCalibEq300!$AZ$2:$BB$55,3,)))</f>
        <v>0</v>
      </c>
      <c r="AS1452" s="10" t="b">
        <f>IF(AND(I1452="TP",S1452&lt;=500),VLOOKUP(AF1452,TPCalibEq500!$AZ$2:$BB$56,3,),IF(AND(I1452="TDP",S1452&lt;=500),VLOOKUP(AF1452,TPCalibEq500!$AZ$2:$BB$56,3,)))</f>
        <v>0</v>
      </c>
      <c r="AT1452" s="10" t="b">
        <f>IF(AND(I1452="TN",S1452&lt;=2800),VLOOKUP(AF1452,TNCalibEq2500!$AZ$2:$BB$56,3,),IF(AND(I1452="TDN",S1452&lt;=2800),VLOOKUP(AF1452,TNCalibEq2500!$AZ$2:$BB$56,3,)))</f>
        <v>0</v>
      </c>
      <c r="AU1452" s="10" t="b">
        <f>IF(I1452="TP",VLOOKUP(AF1452,TPCalibEqFull!$AZ$2:$BB$56,3),IF(I1452="TDP",VLOOKUP(AF1452,TPCalibEqFull!$AZ$2:$BB$56,3),IF(I1452="TDN",VLOOKUP(AF1452,TNCalibEqFull!$AZ$1:$BB$56,3),IF(I1452="TN",VLOOKUP(AF1452,TNCalibEqFull!$AZ$1:$BB$56,3),FALSE))))</f>
        <v>0</v>
      </c>
      <c r="AV1452" s="10" t="str">
        <f t="shared" si="164"/>
        <v>0126 09:35:00-EFK-0-C-1-SW-UKN</v>
      </c>
    </row>
    <row r="1453" spans="1:48" s="10" customFormat="1" x14ac:dyDescent="0.55000000000000004">
      <c r="A1453" s="32">
        <v>44952</v>
      </c>
      <c r="B1453" s="33">
        <v>0.40416666666666662</v>
      </c>
      <c r="C1453" s="10" t="s">
        <v>333</v>
      </c>
      <c r="D1453" s="10">
        <v>0</v>
      </c>
      <c r="E1453" s="10" t="s">
        <v>190</v>
      </c>
      <c r="F1453" s="10">
        <v>1</v>
      </c>
      <c r="G1453" s="10" t="s">
        <v>231</v>
      </c>
      <c r="H1453" s="10" t="s">
        <v>322</v>
      </c>
      <c r="I1453" s="10" t="s">
        <v>285</v>
      </c>
      <c r="J1453" s="10">
        <v>8</v>
      </c>
      <c r="K1453" s="12">
        <v>44958</v>
      </c>
      <c r="L1453" s="33">
        <v>0.50991898148148151</v>
      </c>
      <c r="M1453" s="10">
        <v>1</v>
      </c>
      <c r="N1453" s="10" t="s">
        <v>211</v>
      </c>
      <c r="O1453" s="10">
        <v>0.34799999999999998</v>
      </c>
      <c r="P1453" s="10">
        <v>3.3000000000000002E-2</v>
      </c>
      <c r="Q1453" s="10">
        <v>59.4</v>
      </c>
      <c r="R1453" s="10" t="s">
        <v>913</v>
      </c>
      <c r="S1453" s="34">
        <f t="shared" si="161"/>
        <v>59.4</v>
      </c>
      <c r="T1453" s="10" t="s">
        <v>1111</v>
      </c>
      <c r="U1453" s="34" t="str">
        <f t="shared" si="162"/>
        <v/>
      </c>
      <c r="V1453" s="31" t="str">
        <f>IF(H1453="CHK",VLOOKUP(I1453,QCCHK,3,),IF(H1453="GUP",VLOOKUP(E1453,QCGUP,2,),IF(AND(H1453="ATP",OR(I1453="TN",I1453="TDN",I1453="TNO2-3",I1453="NO2-3")),VLOOKUP(E1453,QCREC_N,2,),IF(AND(H1453="NIC",OR(I1453="TN",I1453="TDN",I1453="TNO2-3",I1453="NO2-3")),VLOOKUP(E1453,QCNIC_N,2,),IF(AND(H1453="UREA",OR(I1453="TN",I1453="TDN",I1453="TNO2-3",I1453="NO2-3")),VLOOKUP(E1453,QCUREA_N,2,),IF(H1453="PER",VLOOKUP(I1453,QCPER,MATCH(E1453,QCACTUAL!$J$25:$AA$25,0),),IF(H1453="SPK",VLOOKUP(I1453,QCSPK,3,),IF(AND(H1453="ATP",OR(I1453="TP",I1453="TDP")),VLOOKUP(E1453,QCATP_P,2,),""))))))))</f>
        <v/>
      </c>
      <c r="W1453" s="31" t="str">
        <f t="shared" si="163"/>
        <v>TRUE</v>
      </c>
      <c r="X1453" s="31" t="str">
        <f t="shared" si="160"/>
        <v/>
      </c>
      <c r="Y1453" s="10" t="s">
        <v>1096</v>
      </c>
      <c r="Z1453" s="10" t="s">
        <v>910</v>
      </c>
      <c r="AL1453" s="10" t="str">
        <f t="shared" si="165"/>
        <v>FALSE</v>
      </c>
      <c r="AM1453" s="10" t="str">
        <f t="shared" si="165"/>
        <v>FALSE</v>
      </c>
      <c r="AN1453" s="10" t="str">
        <f t="shared" si="165"/>
        <v>FALSE</v>
      </c>
      <c r="AO1453" s="10" t="str">
        <f t="shared" si="166"/>
        <v>FALSE</v>
      </c>
      <c r="AP1453" s="10" t="str">
        <f t="shared" si="166"/>
        <v>FALSE</v>
      </c>
      <c r="AQ1453" s="10" t="b">
        <f>IF(AND(I1453="TP",S1453&lt;=150),VLOOKUP(AF1453,TPCalibEq150!$AZ$2:$BB$55,3,),IF(AND(I1453="TDP",S1453&lt;=150),VLOOKUP(AF1453,TPCalibEq150!$AZ$2:$BB$55,3,)))</f>
        <v>0</v>
      </c>
      <c r="AR1453" s="10" t="b">
        <f>IF(AND(I1453="TP",S1453&lt;=300),VLOOKUP(AF1453,TPCalibEq300!$AZ$2:$BB$55,3,),IF(AND(I1453="TDP",S1453&lt;=300),VLOOKUP(AF1453,TPCalibEq300!$AZ$2:$BB$55,3,)))</f>
        <v>0</v>
      </c>
      <c r="AS1453" s="10" t="b">
        <f>IF(AND(I1453="TP",S1453&lt;=500),VLOOKUP(AF1453,TPCalibEq500!$AZ$2:$BB$56,3,),IF(AND(I1453="TDP",S1453&lt;=500),VLOOKUP(AF1453,TPCalibEq500!$AZ$2:$BB$56,3,)))</f>
        <v>0</v>
      </c>
      <c r="AT1453" s="10" t="b">
        <f>IF(AND(I1453="TN",S1453&lt;=2800),VLOOKUP(AF1453,TNCalibEq2500!$AZ$2:$BB$56,3,),IF(AND(I1453="TDN",S1453&lt;=2800),VLOOKUP(AF1453,TNCalibEq2500!$AZ$2:$BB$56,3,)))</f>
        <v>0</v>
      </c>
      <c r="AU1453" s="10" t="b">
        <f>IF(I1453="TP",VLOOKUP(AF1453,TPCalibEqFull!$AZ$2:$BB$56,3),IF(I1453="TDP",VLOOKUP(AF1453,TPCalibEqFull!$AZ$2:$BB$56,3),IF(I1453="TDN",VLOOKUP(AF1453,TNCalibEqFull!$AZ$1:$BB$56,3),IF(I1453="TN",VLOOKUP(AF1453,TNCalibEqFull!$AZ$1:$BB$56,3),FALSE))))</f>
        <v>0</v>
      </c>
      <c r="AV1453" s="10" t="str">
        <f t="shared" si="164"/>
        <v>0126 09:42:00-HST-0-C-1-SW-UKN</v>
      </c>
    </row>
    <row r="1454" spans="1:48" s="10" customFormat="1" x14ac:dyDescent="0.55000000000000004">
      <c r="A1454" s="32">
        <v>44953</v>
      </c>
      <c r="B1454" s="33">
        <v>0.53333333333333333</v>
      </c>
      <c r="C1454" s="10" t="s">
        <v>279</v>
      </c>
      <c r="D1454" s="10">
        <v>0</v>
      </c>
      <c r="E1454" s="10" t="s">
        <v>190</v>
      </c>
      <c r="F1454" s="10">
        <v>1</v>
      </c>
      <c r="G1454" s="10" t="s">
        <v>231</v>
      </c>
      <c r="H1454" s="10" t="s">
        <v>322</v>
      </c>
      <c r="I1454" s="10" t="s">
        <v>285</v>
      </c>
      <c r="J1454" s="10">
        <v>9</v>
      </c>
      <c r="K1454" s="12">
        <v>44958</v>
      </c>
      <c r="L1454" s="33">
        <v>0.51072916666666668</v>
      </c>
      <c r="M1454" s="10">
        <v>1</v>
      </c>
      <c r="N1454" s="10" t="s">
        <v>211</v>
      </c>
      <c r="O1454" s="10">
        <v>0.52</v>
      </c>
      <c r="P1454" s="10">
        <v>5.0799999999999998E-2</v>
      </c>
      <c r="Q1454" s="10">
        <v>89</v>
      </c>
      <c r="R1454" s="10" t="s">
        <v>913</v>
      </c>
      <c r="S1454" s="34">
        <f t="shared" si="161"/>
        <v>89</v>
      </c>
      <c r="T1454" s="10" t="s">
        <v>1111</v>
      </c>
      <c r="U1454" s="34" t="str">
        <f t="shared" si="162"/>
        <v/>
      </c>
      <c r="V1454" s="31" t="str">
        <f>IF(H1454="CHK",VLOOKUP(I1454,QCCHK,3,),IF(H1454="GUP",VLOOKUP(E1454,QCGUP,2,),IF(AND(H1454="ATP",OR(I1454="TN",I1454="TDN",I1454="TNO2-3",I1454="NO2-3")),VLOOKUP(E1454,QCREC_N,2,),IF(AND(H1454="NIC",OR(I1454="TN",I1454="TDN",I1454="TNO2-3",I1454="NO2-3")),VLOOKUP(E1454,QCNIC_N,2,),IF(AND(H1454="UREA",OR(I1454="TN",I1454="TDN",I1454="TNO2-3",I1454="NO2-3")),VLOOKUP(E1454,QCUREA_N,2,),IF(H1454="PER",VLOOKUP(I1454,QCPER,MATCH(E1454,QCACTUAL!$J$25:$AA$25,0),),IF(H1454="SPK",VLOOKUP(I1454,QCSPK,3,),IF(AND(H1454="ATP",OR(I1454="TP",I1454="TDP")),VLOOKUP(E1454,QCATP_P,2,),""))))))))</f>
        <v/>
      </c>
      <c r="W1454" s="31" t="str">
        <f t="shared" si="163"/>
        <v>TRUE</v>
      </c>
      <c r="X1454" s="31" t="str">
        <f t="shared" si="160"/>
        <v/>
      </c>
      <c r="Y1454" s="10" t="s">
        <v>1096</v>
      </c>
      <c r="Z1454" s="10" t="s">
        <v>910</v>
      </c>
      <c r="AL1454" s="10" t="str">
        <f t="shared" si="165"/>
        <v>FALSE</v>
      </c>
      <c r="AM1454" s="10" t="str">
        <f t="shared" si="165"/>
        <v>FALSE</v>
      </c>
      <c r="AN1454" s="10" t="str">
        <f t="shared" si="165"/>
        <v>FALSE</v>
      </c>
      <c r="AO1454" s="10" t="str">
        <f t="shared" si="166"/>
        <v>FALSE</v>
      </c>
      <c r="AP1454" s="10" t="str">
        <f t="shared" si="166"/>
        <v>FALSE</v>
      </c>
      <c r="AQ1454" s="10" t="b">
        <f>IF(AND(I1454="TP",S1454&lt;=150),VLOOKUP(AF1454,TPCalibEq150!$AZ$2:$BB$55,3,),IF(AND(I1454="TDP",S1454&lt;=150),VLOOKUP(AF1454,TPCalibEq150!$AZ$2:$BB$55,3,)))</f>
        <v>0</v>
      </c>
      <c r="AR1454" s="10" t="b">
        <f>IF(AND(I1454="TP",S1454&lt;=300),VLOOKUP(AF1454,TPCalibEq300!$AZ$2:$BB$55,3,),IF(AND(I1454="TDP",S1454&lt;=300),VLOOKUP(AF1454,TPCalibEq300!$AZ$2:$BB$55,3,)))</f>
        <v>0</v>
      </c>
      <c r="AS1454" s="10" t="b">
        <f>IF(AND(I1454="TP",S1454&lt;=500),VLOOKUP(AF1454,TPCalibEq500!$AZ$2:$BB$56,3,),IF(AND(I1454="TDP",S1454&lt;=500),VLOOKUP(AF1454,TPCalibEq500!$AZ$2:$BB$56,3,)))</f>
        <v>0</v>
      </c>
      <c r="AT1454" s="10" t="b">
        <f>IF(AND(I1454="TN",S1454&lt;=2800),VLOOKUP(AF1454,TNCalibEq2500!$AZ$2:$BB$56,3,),IF(AND(I1454="TDN",S1454&lt;=2800),VLOOKUP(AF1454,TNCalibEq2500!$AZ$2:$BB$56,3,)))</f>
        <v>0</v>
      </c>
      <c r="AU1454" s="10" t="b">
        <f>IF(I1454="TP",VLOOKUP(AF1454,TPCalibEqFull!$AZ$2:$BB$56,3),IF(I1454="TDP",VLOOKUP(AF1454,TPCalibEqFull!$AZ$2:$BB$56,3),IF(I1454="TDN",VLOOKUP(AF1454,TNCalibEqFull!$AZ$1:$BB$56,3),IF(I1454="TN",VLOOKUP(AF1454,TNCalibEqFull!$AZ$1:$BB$56,3),FALSE))))</f>
        <v>0</v>
      </c>
      <c r="AV1454" s="10" t="str">
        <f t="shared" si="164"/>
        <v>0127 12:48:00-EFK-0-C-1-SW-UKN</v>
      </c>
    </row>
    <row r="1455" spans="1:48" s="10" customFormat="1" x14ac:dyDescent="0.55000000000000004">
      <c r="A1455" s="32">
        <v>44953</v>
      </c>
      <c r="B1455" s="33">
        <v>0.53611111111111109</v>
      </c>
      <c r="C1455" s="10" t="s">
        <v>333</v>
      </c>
      <c r="D1455" s="10">
        <v>0</v>
      </c>
      <c r="E1455" s="10" t="s">
        <v>190</v>
      </c>
      <c r="F1455" s="10">
        <v>1</v>
      </c>
      <c r="G1455" s="10" t="s">
        <v>231</v>
      </c>
      <c r="H1455" s="10" t="s">
        <v>322</v>
      </c>
      <c r="I1455" s="10" t="s">
        <v>285</v>
      </c>
      <c r="J1455" s="10">
        <v>10</v>
      </c>
      <c r="K1455" s="12">
        <v>44958</v>
      </c>
      <c r="L1455" s="33">
        <v>0.51153935185185184</v>
      </c>
      <c r="M1455" s="10">
        <v>1</v>
      </c>
      <c r="N1455" s="10" t="s">
        <v>211</v>
      </c>
      <c r="O1455" s="10">
        <v>0.26900000000000002</v>
      </c>
      <c r="P1455" s="10">
        <v>2.5000000000000001E-2</v>
      </c>
      <c r="Q1455" s="10">
        <v>45.8</v>
      </c>
      <c r="R1455" s="10" t="s">
        <v>913</v>
      </c>
      <c r="S1455" s="34">
        <f t="shared" si="161"/>
        <v>45.8</v>
      </c>
      <c r="T1455" s="10" t="s">
        <v>1111</v>
      </c>
      <c r="U1455" s="34" t="str">
        <f t="shared" si="162"/>
        <v/>
      </c>
      <c r="V1455" s="31" t="str">
        <f>IF(H1455="CHK",VLOOKUP(I1455,QCCHK,3,),IF(H1455="GUP",VLOOKUP(E1455,QCGUP,2,),IF(AND(H1455="ATP",OR(I1455="TN",I1455="TDN",I1455="TNO2-3",I1455="NO2-3")),VLOOKUP(E1455,QCREC_N,2,),IF(AND(H1455="NIC",OR(I1455="TN",I1455="TDN",I1455="TNO2-3",I1455="NO2-3")),VLOOKUP(E1455,QCNIC_N,2,),IF(AND(H1455="UREA",OR(I1455="TN",I1455="TDN",I1455="TNO2-3",I1455="NO2-3")),VLOOKUP(E1455,QCUREA_N,2,),IF(H1455="PER",VLOOKUP(I1455,QCPER,MATCH(E1455,QCACTUAL!$J$25:$AA$25,0),),IF(H1455="SPK",VLOOKUP(I1455,QCSPK,3,),IF(AND(H1455="ATP",OR(I1455="TP",I1455="TDP")),VLOOKUP(E1455,QCATP_P,2,),""))))))))</f>
        <v/>
      </c>
      <c r="W1455" s="31" t="str">
        <f t="shared" si="163"/>
        <v>TRUE</v>
      </c>
      <c r="X1455" s="31" t="str">
        <f t="shared" si="160"/>
        <v/>
      </c>
      <c r="Y1455" s="10" t="s">
        <v>1096</v>
      </c>
      <c r="Z1455" s="10" t="s">
        <v>910</v>
      </c>
      <c r="AL1455" s="10" t="str">
        <f t="shared" si="165"/>
        <v>FALSE</v>
      </c>
      <c r="AM1455" s="10" t="str">
        <f t="shared" si="165"/>
        <v>FALSE</v>
      </c>
      <c r="AN1455" s="10" t="str">
        <f t="shared" si="165"/>
        <v>FALSE</v>
      </c>
      <c r="AO1455" s="10" t="str">
        <f t="shared" si="166"/>
        <v>FALSE</v>
      </c>
      <c r="AP1455" s="10" t="str">
        <f t="shared" si="166"/>
        <v>FALSE</v>
      </c>
      <c r="AQ1455" s="10" t="b">
        <f>IF(AND(I1455="TP",S1455&lt;=150),VLOOKUP(AF1455,TPCalibEq150!$AZ$2:$BB$55,3,),IF(AND(I1455="TDP",S1455&lt;=150),VLOOKUP(AF1455,TPCalibEq150!$AZ$2:$BB$55,3,)))</f>
        <v>0</v>
      </c>
      <c r="AR1455" s="10" t="b">
        <f>IF(AND(I1455="TP",S1455&lt;=300),VLOOKUP(AF1455,TPCalibEq300!$AZ$2:$BB$55,3,),IF(AND(I1455="TDP",S1455&lt;=300),VLOOKUP(AF1455,TPCalibEq300!$AZ$2:$BB$55,3,)))</f>
        <v>0</v>
      </c>
      <c r="AS1455" s="10" t="b">
        <f>IF(AND(I1455="TP",S1455&lt;=500),VLOOKUP(AF1455,TPCalibEq500!$AZ$2:$BB$56,3,),IF(AND(I1455="TDP",S1455&lt;=500),VLOOKUP(AF1455,TPCalibEq500!$AZ$2:$BB$56,3,)))</f>
        <v>0</v>
      </c>
      <c r="AT1455" s="10" t="b">
        <f>IF(AND(I1455="TN",S1455&lt;=2800),VLOOKUP(AF1455,TNCalibEq2500!$AZ$2:$BB$56,3,),IF(AND(I1455="TDN",S1455&lt;=2800),VLOOKUP(AF1455,TNCalibEq2500!$AZ$2:$BB$56,3,)))</f>
        <v>0</v>
      </c>
      <c r="AU1455" s="10" t="b">
        <f>IF(I1455="TP",VLOOKUP(AF1455,TPCalibEqFull!$AZ$2:$BB$56,3),IF(I1455="TDP",VLOOKUP(AF1455,TPCalibEqFull!$AZ$2:$BB$56,3),IF(I1455="TDN",VLOOKUP(AF1455,TNCalibEqFull!$AZ$1:$BB$56,3),IF(I1455="TN",VLOOKUP(AF1455,TNCalibEqFull!$AZ$1:$BB$56,3),FALSE))))</f>
        <v>0</v>
      </c>
      <c r="AV1455" s="10" t="str">
        <f t="shared" si="164"/>
        <v>0127 12:52:00-HST-0-C-1-SW-UKN</v>
      </c>
    </row>
    <row r="1456" spans="1:48" s="10" customFormat="1" x14ac:dyDescent="0.55000000000000004">
      <c r="A1456" s="32">
        <v>44953</v>
      </c>
      <c r="B1456" s="33">
        <v>0.53611111111111109</v>
      </c>
      <c r="C1456" s="10" t="s">
        <v>333</v>
      </c>
      <c r="D1456" s="10">
        <v>0</v>
      </c>
      <c r="E1456" s="10" t="s">
        <v>190</v>
      </c>
      <c r="F1456" s="10">
        <v>1</v>
      </c>
      <c r="G1456" s="10" t="s">
        <v>231</v>
      </c>
      <c r="H1456" s="10" t="s">
        <v>233</v>
      </c>
      <c r="I1456" s="10" t="s">
        <v>285</v>
      </c>
      <c r="J1456" s="10">
        <v>10</v>
      </c>
      <c r="K1456" s="12">
        <v>44958</v>
      </c>
      <c r="L1456" s="33">
        <v>0.51234953703703701</v>
      </c>
      <c r="M1456" s="10">
        <v>1</v>
      </c>
      <c r="N1456" s="10" t="s">
        <v>211</v>
      </c>
      <c r="O1456" s="10">
        <v>0.26600000000000001</v>
      </c>
      <c r="P1456" s="10">
        <v>2.47E-2</v>
      </c>
      <c r="Q1456" s="10">
        <v>45.3</v>
      </c>
      <c r="R1456" s="10" t="s">
        <v>913</v>
      </c>
      <c r="S1456" s="34">
        <f t="shared" si="161"/>
        <v>45.3</v>
      </c>
      <c r="T1456" s="10" t="s">
        <v>1111</v>
      </c>
      <c r="U1456" s="34">
        <f t="shared" si="162"/>
        <v>1.0976948408342482</v>
      </c>
      <c r="V1456" s="31" t="str">
        <f>IF(H1456="CHK",VLOOKUP(I1456,QCCHK,3,),IF(H1456="GUP",VLOOKUP(E1456,QCGUP,2,),IF(AND(H1456="ATP",OR(I1456="TN",I1456="TDN",I1456="TNO2-3",I1456="NO2-3")),VLOOKUP(E1456,QCREC_N,2,),IF(AND(H1456="NIC",OR(I1456="TN",I1456="TDN",I1456="TNO2-3",I1456="NO2-3")),VLOOKUP(E1456,QCNIC_N,2,),IF(AND(H1456="UREA",OR(I1456="TN",I1456="TDN",I1456="TNO2-3",I1456="NO2-3")),VLOOKUP(E1456,QCUREA_N,2,),IF(H1456="PER",VLOOKUP(I1456,QCPER,MATCH(E1456,QCACTUAL!$J$25:$AA$25,0),),IF(H1456="SPK",VLOOKUP(I1456,QCSPK,3,),IF(AND(H1456="ATP",OR(I1456="TP",I1456="TDP")),VLOOKUP(E1456,QCATP_P,2,),""))))))))</f>
        <v/>
      </c>
      <c r="W1456" s="31" t="str">
        <f t="shared" si="163"/>
        <v>TRUE</v>
      </c>
      <c r="X1456" s="31" t="str">
        <f t="shared" si="160"/>
        <v>((ABS(rep1-rep2))/((rep1+rep2)/2)*100</v>
      </c>
      <c r="Y1456" s="10" t="s">
        <v>1096</v>
      </c>
      <c r="Z1456" s="10" t="s">
        <v>910</v>
      </c>
      <c r="AL1456" s="10" t="str">
        <f t="shared" si="165"/>
        <v>FALSE</v>
      </c>
      <c r="AM1456" s="10" t="str">
        <f t="shared" si="165"/>
        <v>FALSE</v>
      </c>
      <c r="AN1456" s="10" t="str">
        <f t="shared" si="165"/>
        <v>FALSE</v>
      </c>
      <c r="AO1456" s="10" t="str">
        <f t="shared" si="166"/>
        <v>FALSE</v>
      </c>
      <c r="AP1456" s="10" t="str">
        <f t="shared" si="166"/>
        <v>FALSE</v>
      </c>
      <c r="AQ1456" s="10" t="b">
        <f>IF(AND(I1456="TP",S1456&lt;=150),VLOOKUP(AF1456,TPCalibEq150!$AZ$2:$BB$55,3,),IF(AND(I1456="TDP",S1456&lt;=150),VLOOKUP(AF1456,TPCalibEq150!$AZ$2:$BB$55,3,)))</f>
        <v>0</v>
      </c>
      <c r="AR1456" s="10" t="b">
        <f>IF(AND(I1456="TP",S1456&lt;=300),VLOOKUP(AF1456,TPCalibEq300!$AZ$2:$BB$55,3,),IF(AND(I1456="TDP",S1456&lt;=300),VLOOKUP(AF1456,TPCalibEq300!$AZ$2:$BB$55,3,)))</f>
        <v>0</v>
      </c>
      <c r="AS1456" s="10" t="b">
        <f>IF(AND(I1456="TP",S1456&lt;=500),VLOOKUP(AF1456,TPCalibEq500!$AZ$2:$BB$56,3,),IF(AND(I1456="TDP",S1456&lt;=500),VLOOKUP(AF1456,TPCalibEq500!$AZ$2:$BB$56,3,)))</f>
        <v>0</v>
      </c>
      <c r="AT1456" s="10" t="b">
        <f>IF(AND(I1456="TN",S1456&lt;=2800),VLOOKUP(AF1456,TNCalibEq2500!$AZ$2:$BB$56,3,),IF(AND(I1456="TDN",S1456&lt;=2800),VLOOKUP(AF1456,TNCalibEq2500!$AZ$2:$BB$56,3,)))</f>
        <v>0</v>
      </c>
      <c r="AU1456" s="10" t="b">
        <f>IF(I1456="TP",VLOOKUP(AF1456,TPCalibEqFull!$AZ$2:$BB$56,3),IF(I1456="TDP",VLOOKUP(AF1456,TPCalibEqFull!$AZ$2:$BB$56,3),IF(I1456="TDN",VLOOKUP(AF1456,TNCalibEqFull!$AZ$1:$BB$56,3),IF(I1456="TN",VLOOKUP(AF1456,TNCalibEqFull!$AZ$1:$BB$56,3),FALSE))))</f>
        <v>0</v>
      </c>
      <c r="AV1456" s="10" t="str">
        <f t="shared" si="164"/>
        <v>0127 12:52:00-HST-0-C-1-SW-DUP</v>
      </c>
    </row>
    <row r="1457" spans="1:48" s="10" customFormat="1" x14ac:dyDescent="0.55000000000000004">
      <c r="A1457" s="32">
        <v>44953</v>
      </c>
      <c r="B1457" s="33">
        <v>0.53611111111111109</v>
      </c>
      <c r="C1457" s="10" t="s">
        <v>912</v>
      </c>
      <c r="D1457" s="10">
        <v>0</v>
      </c>
      <c r="E1457" s="10" t="s">
        <v>190</v>
      </c>
      <c r="F1457" s="10">
        <v>1</v>
      </c>
      <c r="G1457" s="10" t="s">
        <v>231</v>
      </c>
      <c r="H1457" s="10" t="s">
        <v>314</v>
      </c>
      <c r="I1457" s="10" t="s">
        <v>285</v>
      </c>
      <c r="J1457" s="10">
        <v>81</v>
      </c>
      <c r="K1457" s="12">
        <v>44958</v>
      </c>
      <c r="L1457" s="33">
        <v>0.51317129629629632</v>
      </c>
      <c r="M1457" s="10">
        <v>1</v>
      </c>
      <c r="N1457" s="10" t="s">
        <v>211</v>
      </c>
      <c r="O1457" s="10">
        <v>1.1599999999999999</v>
      </c>
      <c r="P1457" s="10">
        <v>0.113</v>
      </c>
      <c r="Q1457" s="10">
        <v>199</v>
      </c>
      <c r="R1457" s="10" t="s">
        <v>913</v>
      </c>
      <c r="S1457" s="34">
        <f t="shared" si="161"/>
        <v>199</v>
      </c>
      <c r="T1457" s="10" t="s">
        <v>1111</v>
      </c>
      <c r="U1457" s="34">
        <f t="shared" si="162"/>
        <v>98.367999999999995</v>
      </c>
      <c r="V1457" s="31">
        <f>IF(H1457="CHK",VLOOKUP(I1457,QCCHK,3,),IF(H1457="GUP",VLOOKUP(E1457,QCGUP,2,),IF(AND(H1457="ATP",OR(I1457="TN",I1457="TDN",I1457="TNO2-3",I1457="NO2-3")),VLOOKUP(E1457,QCREC_N,2,),IF(AND(H1457="NIC",OR(I1457="TN",I1457="TDN",I1457="TNO2-3",I1457="NO2-3")),VLOOKUP(E1457,QCNIC_N,2,),IF(AND(H1457="UREA",OR(I1457="TN",I1457="TDN",I1457="TNO2-3",I1457="NO2-3")),VLOOKUP(E1457,QCUREA_N,2,),IF(H1457="PER",VLOOKUP(I1457,QCPER,MATCH(E1457,QCACTUAL!$J$25:$AA$25,0),),IF(H1457="SPK",VLOOKUP(I1457,QCSPK,3,),IF(AND(H1457="ATP",OR(I1457="TP",I1457="TDP")),VLOOKUP(E1457,QCATP_P,2,),""))))))))</f>
        <v>156.25</v>
      </c>
      <c r="W1457" s="31" t="str">
        <f t="shared" si="163"/>
        <v>TRUE</v>
      </c>
      <c r="X1457" s="31" t="str">
        <f t="shared" si="160"/>
        <v>([spikedunkn]-[unkn])/[spike]*100</v>
      </c>
      <c r="Y1457" s="10" t="s">
        <v>1096</v>
      </c>
      <c r="Z1457" s="10" t="s">
        <v>910</v>
      </c>
      <c r="AL1457" s="10" t="str">
        <f t="shared" si="165"/>
        <v>FALSE</v>
      </c>
      <c r="AM1457" s="10" t="str">
        <f t="shared" si="165"/>
        <v>FALSE</v>
      </c>
      <c r="AN1457" s="10" t="str">
        <f t="shared" si="165"/>
        <v>FALSE</v>
      </c>
      <c r="AO1457" s="10" t="str">
        <f t="shared" si="166"/>
        <v>FALSE</v>
      </c>
      <c r="AP1457" s="10" t="str">
        <f t="shared" si="166"/>
        <v>FALSE</v>
      </c>
      <c r="AQ1457" s="10" t="b">
        <f>IF(AND(I1457="TP",S1457&lt;=150),VLOOKUP(AF1457,TPCalibEq150!$AZ$2:$BB$55,3,),IF(AND(I1457="TDP",S1457&lt;=150),VLOOKUP(AF1457,TPCalibEq150!$AZ$2:$BB$55,3,)))</f>
        <v>0</v>
      </c>
      <c r="AR1457" s="10" t="b">
        <f>IF(AND(I1457="TP",S1457&lt;=300),VLOOKUP(AF1457,TPCalibEq300!$AZ$2:$BB$55,3,),IF(AND(I1457="TDP",S1457&lt;=300),VLOOKUP(AF1457,TPCalibEq300!$AZ$2:$BB$55,3,)))</f>
        <v>0</v>
      </c>
      <c r="AS1457" s="10" t="b">
        <f>IF(AND(I1457="TP",S1457&lt;=500),VLOOKUP(AF1457,TPCalibEq500!$AZ$2:$BB$56,3,),IF(AND(I1457="TDP",S1457&lt;=500),VLOOKUP(AF1457,TPCalibEq500!$AZ$2:$BB$56,3,)))</f>
        <v>0</v>
      </c>
      <c r="AT1457" s="10" t="b">
        <f>IF(AND(I1457="TN",S1457&lt;=2800),VLOOKUP(AF1457,TNCalibEq2500!$AZ$2:$BB$56,3,),IF(AND(I1457="TDN",S1457&lt;=2800),VLOOKUP(AF1457,TNCalibEq2500!$AZ$2:$BB$56,3,)))</f>
        <v>0</v>
      </c>
      <c r="AU1457" s="10" t="b">
        <f>IF(I1457="TP",VLOOKUP(AF1457,TPCalibEqFull!$AZ$2:$BB$56,3),IF(I1457="TDP",VLOOKUP(AF1457,TPCalibEqFull!$AZ$2:$BB$56,3),IF(I1457="TDN",VLOOKUP(AF1457,TNCalibEqFull!$AZ$1:$BB$56,3),IF(I1457="TN",VLOOKUP(AF1457,TNCalibEqFull!$AZ$1:$BB$56,3),FALSE))))</f>
        <v>0</v>
      </c>
      <c r="AV1457" s="10" t="str">
        <f t="shared" si="164"/>
        <v>0127 12:52:00-HST -0-C-1-SW-SPK</v>
      </c>
    </row>
    <row r="1458" spans="1:48" s="10" customFormat="1" x14ac:dyDescent="0.55000000000000004">
      <c r="A1458" s="32">
        <v>44958</v>
      </c>
      <c r="B1458" s="33">
        <v>0.375</v>
      </c>
      <c r="C1458" s="10" t="s">
        <v>70</v>
      </c>
      <c r="D1458" s="10" t="s">
        <v>71</v>
      </c>
      <c r="E1458" s="10" t="s">
        <v>901</v>
      </c>
      <c r="F1458" s="10">
        <v>1</v>
      </c>
      <c r="G1458" s="10" t="s">
        <v>73</v>
      </c>
      <c r="H1458" s="10" t="s">
        <v>207</v>
      </c>
      <c r="I1458" s="10" t="s">
        <v>285</v>
      </c>
      <c r="J1458" s="10">
        <v>199</v>
      </c>
      <c r="K1458" s="12">
        <v>44958</v>
      </c>
      <c r="L1458" s="33">
        <v>0.51399305555555552</v>
      </c>
      <c r="M1458" s="10">
        <v>1</v>
      </c>
      <c r="N1458" s="10" t="s">
        <v>211</v>
      </c>
      <c r="O1458" s="10">
        <v>0.46100000000000002</v>
      </c>
      <c r="P1458" s="10">
        <v>4.4299999999999999E-2</v>
      </c>
      <c r="Q1458" s="10">
        <v>78.8</v>
      </c>
      <c r="R1458" s="10" t="s">
        <v>913</v>
      </c>
      <c r="S1458" s="34">
        <f t="shared" si="161"/>
        <v>78.8</v>
      </c>
      <c r="T1458" s="10" t="s">
        <v>1111</v>
      </c>
      <c r="U1458" s="34">
        <f t="shared" si="162"/>
        <v>105.06666666666666</v>
      </c>
      <c r="V1458" s="31">
        <f>IF(H1458="CHK",VLOOKUP(I1458,QCCHK,3,),IF(H1458="GUP",VLOOKUP(E1458,QCGUP,2,),IF(AND(H1458="ATP",OR(I1458="TN",I1458="TDN",I1458="TNO2-3",I1458="NO2-3")),VLOOKUP(E1458,QCREC_N,2,),IF(AND(H1458="NIC",OR(I1458="TN",I1458="TDN",I1458="TNO2-3",I1458="NO2-3")),VLOOKUP(E1458,QCNIC_N,2,),IF(AND(H1458="UREA",OR(I1458="TN",I1458="TDN",I1458="TNO2-3",I1458="NO2-3")),VLOOKUP(E1458,QCUREA_N,2,),IF(H1458="PER",VLOOKUP(I1458,QCPER,MATCH(E1458,QCACTUAL!$J$25:$AA$25,0),),IF(H1458="SPK",VLOOKUP(I1458,QCSPK,3,),IF(AND(H1458="ATP",OR(I1458="TP",I1458="TDP")),VLOOKUP(E1458,QCATP_P,2,),""))))))))</f>
        <v>75</v>
      </c>
      <c r="W1458" s="31" t="str">
        <f t="shared" si="163"/>
        <v>TRUE</v>
      </c>
      <c r="X1458" s="31" t="str">
        <f t="shared" si="160"/>
        <v>[chk]/[actual]*100</v>
      </c>
      <c r="Y1458" s="10" t="s">
        <v>1096</v>
      </c>
      <c r="AL1458" s="10" t="str">
        <f t="shared" si="165"/>
        <v>FALSE</v>
      </c>
      <c r="AM1458" s="10" t="str">
        <f t="shared" si="165"/>
        <v>FALSE</v>
      </c>
      <c r="AN1458" s="10" t="str">
        <f t="shared" si="165"/>
        <v>FALSE</v>
      </c>
      <c r="AO1458" s="10" t="str">
        <f t="shared" si="166"/>
        <v>FALSE</v>
      </c>
      <c r="AP1458" s="10" t="str">
        <f t="shared" si="166"/>
        <v>FALSE</v>
      </c>
      <c r="AQ1458" s="10" t="b">
        <f>IF(AND(I1458="TP",S1458&lt;=150),VLOOKUP(AF1458,TPCalibEq150!$AZ$2:$BB$55,3,),IF(AND(I1458="TDP",S1458&lt;=150),VLOOKUP(AF1458,TPCalibEq150!$AZ$2:$BB$55,3,)))</f>
        <v>0</v>
      </c>
      <c r="AR1458" s="10" t="b">
        <f>IF(AND(I1458="TP",S1458&lt;=300),VLOOKUP(AF1458,TPCalibEq300!$AZ$2:$BB$55,3,),IF(AND(I1458="TDP",S1458&lt;=300),VLOOKUP(AF1458,TPCalibEq300!$AZ$2:$BB$55,3,)))</f>
        <v>0</v>
      </c>
      <c r="AS1458" s="10" t="b">
        <f>IF(AND(I1458="TP",S1458&lt;=500),VLOOKUP(AF1458,TPCalibEq500!$AZ$2:$BB$56,3,),IF(AND(I1458="TDP",S1458&lt;=500),VLOOKUP(AF1458,TPCalibEq500!$AZ$2:$BB$56,3,)))</f>
        <v>0</v>
      </c>
      <c r="AT1458" s="10" t="b">
        <f>IF(AND(I1458="TN",S1458&lt;=2800),VLOOKUP(AF1458,TNCalibEq2500!$AZ$2:$BB$56,3,),IF(AND(I1458="TDN",S1458&lt;=2800),VLOOKUP(AF1458,TNCalibEq2500!$AZ$2:$BB$56,3,)))</f>
        <v>0</v>
      </c>
      <c r="AU1458" s="10" t="b">
        <f>IF(I1458="TP",VLOOKUP(AF1458,TPCalibEqFull!$AZ$2:$BB$56,3),IF(I1458="TDP",VLOOKUP(AF1458,TPCalibEqFull!$AZ$2:$BB$56,3),IF(I1458="TDN",VLOOKUP(AF1458,TNCalibEqFull!$AZ$1:$BB$56,3),IF(I1458="TN",VLOOKUP(AF1458,TNCalibEqFull!$AZ$1:$BB$56,3),FALSE))))</f>
        <v>0</v>
      </c>
      <c r="AV1458" s="10" t="str">
        <f t="shared" si="164"/>
        <v>0201 09:00:00-QAC-STD-D-1-DI-CHK</v>
      </c>
    </row>
    <row r="1459" spans="1:48" s="10" customFormat="1" x14ac:dyDescent="0.55000000000000004">
      <c r="A1459" s="32">
        <v>44956</v>
      </c>
      <c r="B1459" s="33">
        <v>0.32500000000000001</v>
      </c>
      <c r="C1459" s="10" t="s">
        <v>279</v>
      </c>
      <c r="D1459" s="10">
        <v>0</v>
      </c>
      <c r="E1459" s="10" t="s">
        <v>190</v>
      </c>
      <c r="F1459" s="10">
        <v>1</v>
      </c>
      <c r="G1459" s="10" t="s">
        <v>231</v>
      </c>
      <c r="H1459" s="10" t="s">
        <v>322</v>
      </c>
      <c r="I1459" s="10" t="s">
        <v>285</v>
      </c>
      <c r="J1459" s="10">
        <v>11</v>
      </c>
      <c r="K1459" s="12">
        <v>44958</v>
      </c>
      <c r="L1459" s="33">
        <v>0.51480324074074069</v>
      </c>
      <c r="M1459" s="10">
        <v>1</v>
      </c>
      <c r="N1459" s="10" t="s">
        <v>211</v>
      </c>
      <c r="O1459" s="10">
        <v>0.61299999999999999</v>
      </c>
      <c r="P1459" s="10">
        <v>5.9400000000000001E-2</v>
      </c>
      <c r="Q1459" s="10">
        <v>105</v>
      </c>
      <c r="R1459" s="10" t="s">
        <v>913</v>
      </c>
      <c r="S1459" s="34">
        <f t="shared" si="161"/>
        <v>105</v>
      </c>
      <c r="T1459" s="10" t="s">
        <v>1111</v>
      </c>
      <c r="U1459" s="34" t="str">
        <f t="shared" si="162"/>
        <v/>
      </c>
      <c r="V1459" s="31" t="str">
        <f>IF(H1459="CHK",VLOOKUP(I1459,QCCHK,3,),IF(H1459="GUP",VLOOKUP(E1459,QCGUP,2,),IF(AND(H1459="ATP",OR(I1459="TN",I1459="TDN",I1459="TNO2-3",I1459="NO2-3")),VLOOKUP(E1459,QCREC_N,2,),IF(AND(H1459="NIC",OR(I1459="TN",I1459="TDN",I1459="TNO2-3",I1459="NO2-3")),VLOOKUP(E1459,QCNIC_N,2,),IF(AND(H1459="UREA",OR(I1459="TN",I1459="TDN",I1459="TNO2-3",I1459="NO2-3")),VLOOKUP(E1459,QCUREA_N,2,),IF(H1459="PER",VLOOKUP(I1459,QCPER,MATCH(E1459,QCACTUAL!$J$25:$AA$25,0),),IF(H1459="SPK",VLOOKUP(I1459,QCSPK,3,),IF(AND(H1459="ATP",OR(I1459="TP",I1459="TDP")),VLOOKUP(E1459,QCATP_P,2,),""))))))))</f>
        <v/>
      </c>
      <c r="W1459" s="31" t="str">
        <f t="shared" si="163"/>
        <v>TRUE</v>
      </c>
      <c r="X1459" s="31" t="str">
        <f t="shared" si="160"/>
        <v/>
      </c>
      <c r="Y1459" s="10" t="s">
        <v>1096</v>
      </c>
      <c r="Z1459" s="10" t="s">
        <v>910</v>
      </c>
      <c r="AL1459" s="10" t="str">
        <f t="shared" si="165"/>
        <v>FALSE</v>
      </c>
      <c r="AM1459" s="10" t="str">
        <f t="shared" si="165"/>
        <v>FALSE</v>
      </c>
      <c r="AN1459" s="10" t="str">
        <f t="shared" si="165"/>
        <v>FALSE</v>
      </c>
      <c r="AO1459" s="10" t="str">
        <f t="shared" si="166"/>
        <v>FALSE</v>
      </c>
      <c r="AP1459" s="10" t="str">
        <f t="shared" si="166"/>
        <v>FALSE</v>
      </c>
      <c r="AQ1459" s="10" t="b">
        <f>IF(AND(I1459="TP",S1459&lt;=150),VLOOKUP(AF1459,TPCalibEq150!$AZ$2:$BB$55,3,),IF(AND(I1459="TDP",S1459&lt;=150),VLOOKUP(AF1459,TPCalibEq150!$AZ$2:$BB$55,3,)))</f>
        <v>0</v>
      </c>
      <c r="AR1459" s="10" t="b">
        <f>IF(AND(I1459="TP",S1459&lt;=300),VLOOKUP(AF1459,TPCalibEq300!$AZ$2:$BB$55,3,),IF(AND(I1459="TDP",S1459&lt;=300),VLOOKUP(AF1459,TPCalibEq300!$AZ$2:$BB$55,3,)))</f>
        <v>0</v>
      </c>
      <c r="AS1459" s="10" t="b">
        <f>IF(AND(I1459="TP",S1459&lt;=500),VLOOKUP(AF1459,TPCalibEq500!$AZ$2:$BB$56,3,),IF(AND(I1459="TDP",S1459&lt;=500),VLOOKUP(AF1459,TPCalibEq500!$AZ$2:$BB$56,3,)))</f>
        <v>0</v>
      </c>
      <c r="AT1459" s="10" t="b">
        <f>IF(AND(I1459="TN",S1459&lt;=2800),VLOOKUP(AF1459,TNCalibEq2500!$AZ$2:$BB$56,3,),IF(AND(I1459="TDN",S1459&lt;=2800),VLOOKUP(AF1459,TNCalibEq2500!$AZ$2:$BB$56,3,)))</f>
        <v>0</v>
      </c>
      <c r="AU1459" s="10" t="b">
        <f>IF(I1459="TP",VLOOKUP(AF1459,TPCalibEqFull!$AZ$2:$BB$56,3),IF(I1459="TDP",VLOOKUP(AF1459,TPCalibEqFull!$AZ$2:$BB$56,3),IF(I1459="TDN",VLOOKUP(AF1459,TNCalibEqFull!$AZ$1:$BB$56,3),IF(I1459="TN",VLOOKUP(AF1459,TNCalibEqFull!$AZ$1:$BB$56,3),FALSE))))</f>
        <v>0</v>
      </c>
      <c r="AV1459" s="10" t="str">
        <f t="shared" si="164"/>
        <v>0130 07:48:00-EFK-0-C-1-SW-UKN</v>
      </c>
    </row>
    <row r="1460" spans="1:48" s="10" customFormat="1" x14ac:dyDescent="0.55000000000000004">
      <c r="A1460" s="32">
        <v>44956</v>
      </c>
      <c r="B1460" s="33">
        <v>0.33749999999999997</v>
      </c>
      <c r="C1460" s="10" t="s">
        <v>333</v>
      </c>
      <c r="D1460" s="10">
        <v>0</v>
      </c>
      <c r="E1460" s="10" t="s">
        <v>190</v>
      </c>
      <c r="F1460" s="10">
        <v>1</v>
      </c>
      <c r="G1460" s="10" t="s">
        <v>231</v>
      </c>
      <c r="H1460" s="10" t="s">
        <v>322</v>
      </c>
      <c r="I1460" s="10" t="s">
        <v>285</v>
      </c>
      <c r="J1460" s="10">
        <v>12</v>
      </c>
      <c r="K1460" s="12">
        <v>44958</v>
      </c>
      <c r="L1460" s="33">
        <v>0.515625</v>
      </c>
      <c r="M1460" s="10">
        <v>1</v>
      </c>
      <c r="N1460" s="10" t="s">
        <v>211</v>
      </c>
      <c r="O1460" s="10">
        <v>0.35</v>
      </c>
      <c r="P1460" s="10">
        <v>3.3000000000000002E-2</v>
      </c>
      <c r="Q1460" s="10">
        <v>59.7</v>
      </c>
      <c r="R1460" s="10" t="s">
        <v>913</v>
      </c>
      <c r="S1460" s="34">
        <f t="shared" si="161"/>
        <v>59.7</v>
      </c>
      <c r="T1460" s="10" t="s">
        <v>1111</v>
      </c>
      <c r="U1460" s="34" t="str">
        <f t="shared" si="162"/>
        <v/>
      </c>
      <c r="V1460" s="31" t="str">
        <f>IF(H1460="CHK",VLOOKUP(I1460,QCCHK,3,),IF(H1460="GUP",VLOOKUP(E1460,QCGUP,2,),IF(AND(H1460="ATP",OR(I1460="TN",I1460="TDN",I1460="TNO2-3",I1460="NO2-3")),VLOOKUP(E1460,QCREC_N,2,),IF(AND(H1460="NIC",OR(I1460="TN",I1460="TDN",I1460="TNO2-3",I1460="NO2-3")),VLOOKUP(E1460,QCNIC_N,2,),IF(AND(H1460="UREA",OR(I1460="TN",I1460="TDN",I1460="TNO2-3",I1460="NO2-3")),VLOOKUP(E1460,QCUREA_N,2,),IF(H1460="PER",VLOOKUP(I1460,QCPER,MATCH(E1460,QCACTUAL!$J$25:$AA$25,0),),IF(H1460="SPK",VLOOKUP(I1460,QCSPK,3,),IF(AND(H1460="ATP",OR(I1460="TP",I1460="TDP")),VLOOKUP(E1460,QCATP_P,2,),""))))))))</f>
        <v/>
      </c>
      <c r="W1460" s="31" t="str">
        <f t="shared" si="163"/>
        <v>TRUE</v>
      </c>
      <c r="X1460" s="31" t="str">
        <f t="shared" si="160"/>
        <v/>
      </c>
      <c r="Y1460" s="10" t="s">
        <v>1096</v>
      </c>
      <c r="Z1460" s="10" t="s">
        <v>910</v>
      </c>
      <c r="AL1460" s="10" t="str">
        <f t="shared" si="165"/>
        <v>FALSE</v>
      </c>
      <c r="AM1460" s="10" t="str">
        <f t="shared" si="165"/>
        <v>FALSE</v>
      </c>
      <c r="AN1460" s="10" t="str">
        <f t="shared" si="165"/>
        <v>FALSE</v>
      </c>
      <c r="AO1460" s="10" t="str">
        <f t="shared" si="166"/>
        <v>FALSE</v>
      </c>
      <c r="AP1460" s="10" t="str">
        <f t="shared" si="166"/>
        <v>FALSE</v>
      </c>
      <c r="AQ1460" s="10" t="b">
        <f>IF(AND(I1460="TP",S1460&lt;=150),VLOOKUP(AF1460,TPCalibEq150!$AZ$2:$BB$55,3,),IF(AND(I1460="TDP",S1460&lt;=150),VLOOKUP(AF1460,TPCalibEq150!$AZ$2:$BB$55,3,)))</f>
        <v>0</v>
      </c>
      <c r="AR1460" s="10" t="b">
        <f>IF(AND(I1460="TP",S1460&lt;=300),VLOOKUP(AF1460,TPCalibEq300!$AZ$2:$BB$55,3,),IF(AND(I1460="TDP",S1460&lt;=300),VLOOKUP(AF1460,TPCalibEq300!$AZ$2:$BB$55,3,)))</f>
        <v>0</v>
      </c>
      <c r="AS1460" s="10" t="b">
        <f>IF(AND(I1460="TP",S1460&lt;=500),VLOOKUP(AF1460,TPCalibEq500!$AZ$2:$BB$56,3,),IF(AND(I1460="TDP",S1460&lt;=500),VLOOKUP(AF1460,TPCalibEq500!$AZ$2:$BB$56,3,)))</f>
        <v>0</v>
      </c>
      <c r="AT1460" s="10" t="b">
        <f>IF(AND(I1460="TN",S1460&lt;=2800),VLOOKUP(AF1460,TNCalibEq2500!$AZ$2:$BB$56,3,),IF(AND(I1460="TDN",S1460&lt;=2800),VLOOKUP(AF1460,TNCalibEq2500!$AZ$2:$BB$56,3,)))</f>
        <v>0</v>
      </c>
      <c r="AU1460" s="10" t="b">
        <f>IF(I1460="TP",VLOOKUP(AF1460,TPCalibEqFull!$AZ$2:$BB$56,3),IF(I1460="TDP",VLOOKUP(AF1460,TPCalibEqFull!$AZ$2:$BB$56,3),IF(I1460="TDN",VLOOKUP(AF1460,TNCalibEqFull!$AZ$1:$BB$56,3),IF(I1460="TN",VLOOKUP(AF1460,TNCalibEqFull!$AZ$1:$BB$56,3),FALSE))))</f>
        <v>0</v>
      </c>
      <c r="AV1460" s="10" t="str">
        <f t="shared" si="164"/>
        <v>0130 08:06:00-HST-0-C-1-SW-UKN</v>
      </c>
    </row>
    <row r="1461" spans="1:48" s="10" customFormat="1" x14ac:dyDescent="0.55000000000000004">
      <c r="A1461" s="32">
        <v>44957</v>
      </c>
      <c r="B1461" s="33">
        <v>0.41250000000000003</v>
      </c>
      <c r="C1461" s="10" t="s">
        <v>279</v>
      </c>
      <c r="D1461" s="10">
        <v>0</v>
      </c>
      <c r="E1461" s="10" t="s">
        <v>190</v>
      </c>
      <c r="F1461" s="10">
        <v>1</v>
      </c>
      <c r="G1461" s="10" t="s">
        <v>231</v>
      </c>
      <c r="H1461" s="10" t="s">
        <v>322</v>
      </c>
      <c r="I1461" s="10" t="s">
        <v>285</v>
      </c>
      <c r="J1461" s="10">
        <v>13</v>
      </c>
      <c r="K1461" s="12">
        <v>44958</v>
      </c>
      <c r="L1461" s="33">
        <v>0.51643518518518516</v>
      </c>
      <c r="M1461" s="10">
        <v>1</v>
      </c>
      <c r="N1461" s="10" t="s">
        <v>211</v>
      </c>
      <c r="O1461" s="10">
        <v>0.80700000000000005</v>
      </c>
      <c r="P1461" s="10">
        <v>7.6799999999999993E-2</v>
      </c>
      <c r="Q1461" s="10">
        <v>138</v>
      </c>
      <c r="R1461" s="10" t="s">
        <v>913</v>
      </c>
      <c r="S1461" s="34">
        <f t="shared" si="161"/>
        <v>138</v>
      </c>
      <c r="T1461" s="10" t="s">
        <v>1111</v>
      </c>
      <c r="U1461" s="34" t="str">
        <f t="shared" si="162"/>
        <v/>
      </c>
      <c r="V1461" s="31" t="str">
        <f>IF(H1461="CHK",VLOOKUP(I1461,QCCHK,3,),IF(H1461="GUP",VLOOKUP(E1461,QCGUP,2,),IF(AND(H1461="ATP",OR(I1461="TN",I1461="TDN",I1461="TNO2-3",I1461="NO2-3")),VLOOKUP(E1461,QCREC_N,2,),IF(AND(H1461="NIC",OR(I1461="TN",I1461="TDN",I1461="TNO2-3",I1461="NO2-3")),VLOOKUP(E1461,QCNIC_N,2,),IF(AND(H1461="UREA",OR(I1461="TN",I1461="TDN",I1461="TNO2-3",I1461="NO2-3")),VLOOKUP(E1461,QCUREA_N,2,),IF(H1461="PER",VLOOKUP(I1461,QCPER,MATCH(E1461,QCACTUAL!$J$25:$AA$25,0),),IF(H1461="SPK",VLOOKUP(I1461,QCSPK,3,),IF(AND(H1461="ATP",OR(I1461="TP",I1461="TDP")),VLOOKUP(E1461,QCATP_P,2,),""))))))))</f>
        <v/>
      </c>
      <c r="W1461" s="31" t="str">
        <f t="shared" si="163"/>
        <v>TRUE</v>
      </c>
      <c r="X1461" s="31" t="str">
        <f t="shared" si="160"/>
        <v/>
      </c>
      <c r="Y1461" s="10" t="s">
        <v>1096</v>
      </c>
      <c r="AL1461" s="10" t="str">
        <f t="shared" si="165"/>
        <v>FALSE</v>
      </c>
      <c r="AM1461" s="10" t="str">
        <f t="shared" si="165"/>
        <v>FALSE</v>
      </c>
      <c r="AN1461" s="10" t="str">
        <f t="shared" si="165"/>
        <v>FALSE</v>
      </c>
      <c r="AO1461" s="10" t="str">
        <f t="shared" si="166"/>
        <v>FALSE</v>
      </c>
      <c r="AP1461" s="10" t="str">
        <f t="shared" si="166"/>
        <v>FALSE</v>
      </c>
      <c r="AQ1461" s="10" t="b">
        <f>IF(AND(I1461="TP",S1461&lt;=150),VLOOKUP(AF1461,TPCalibEq150!$AZ$2:$BB$55,3,),IF(AND(I1461="TDP",S1461&lt;=150),VLOOKUP(AF1461,TPCalibEq150!$AZ$2:$BB$55,3,)))</f>
        <v>0</v>
      </c>
      <c r="AR1461" s="10" t="b">
        <f>IF(AND(I1461="TP",S1461&lt;=300),VLOOKUP(AF1461,TPCalibEq300!$AZ$2:$BB$55,3,),IF(AND(I1461="TDP",S1461&lt;=300),VLOOKUP(AF1461,TPCalibEq300!$AZ$2:$BB$55,3,)))</f>
        <v>0</v>
      </c>
      <c r="AS1461" s="10" t="b">
        <f>IF(AND(I1461="TP",S1461&lt;=500),VLOOKUP(AF1461,TPCalibEq500!$AZ$2:$BB$56,3,),IF(AND(I1461="TDP",S1461&lt;=500),VLOOKUP(AF1461,TPCalibEq500!$AZ$2:$BB$56,3,)))</f>
        <v>0</v>
      </c>
      <c r="AT1461" s="10" t="b">
        <f>IF(AND(I1461="TN",S1461&lt;=2800),VLOOKUP(AF1461,TNCalibEq2500!$AZ$2:$BB$56,3,),IF(AND(I1461="TDN",S1461&lt;=2800),VLOOKUP(AF1461,TNCalibEq2500!$AZ$2:$BB$56,3,)))</f>
        <v>0</v>
      </c>
      <c r="AU1461" s="10" t="b">
        <f>IF(I1461="TP",VLOOKUP(AF1461,TPCalibEqFull!$AZ$2:$BB$56,3),IF(I1461="TDP",VLOOKUP(AF1461,TPCalibEqFull!$AZ$2:$BB$56,3),IF(I1461="TDN",VLOOKUP(AF1461,TNCalibEqFull!$AZ$1:$BB$56,3),IF(I1461="TN",VLOOKUP(AF1461,TNCalibEqFull!$AZ$1:$BB$56,3),FALSE))))</f>
        <v>0</v>
      </c>
      <c r="AV1461" s="10" t="str">
        <f t="shared" si="164"/>
        <v>0131 09:54:00-EFK-0-C-1-SW-UKN</v>
      </c>
    </row>
    <row r="1462" spans="1:48" s="10" customFormat="1" x14ac:dyDescent="0.55000000000000004">
      <c r="A1462" s="32">
        <v>44957</v>
      </c>
      <c r="B1462" s="33">
        <v>0.41597222222222219</v>
      </c>
      <c r="C1462" s="10" t="s">
        <v>333</v>
      </c>
      <c r="D1462" s="10">
        <v>0</v>
      </c>
      <c r="E1462" s="10" t="s">
        <v>190</v>
      </c>
      <c r="F1462" s="10">
        <v>1</v>
      </c>
      <c r="G1462" s="10" t="s">
        <v>231</v>
      </c>
      <c r="H1462" s="10" t="s">
        <v>322</v>
      </c>
      <c r="I1462" s="10" t="s">
        <v>285</v>
      </c>
      <c r="J1462" s="10">
        <v>14</v>
      </c>
      <c r="K1462" s="12">
        <v>44958</v>
      </c>
      <c r="L1462" s="33">
        <v>0.51723379629629629</v>
      </c>
      <c r="M1462" s="10">
        <v>1</v>
      </c>
      <c r="N1462" s="10" t="s">
        <v>211</v>
      </c>
      <c r="O1462" s="10">
        <v>0.45600000000000002</v>
      </c>
      <c r="P1462" s="10">
        <v>4.2799999999999998E-2</v>
      </c>
      <c r="Q1462" s="10">
        <v>77.900000000000006</v>
      </c>
      <c r="R1462" s="10" t="s">
        <v>913</v>
      </c>
      <c r="S1462" s="34">
        <f t="shared" si="161"/>
        <v>77.900000000000006</v>
      </c>
      <c r="T1462" s="10" t="s">
        <v>1111</v>
      </c>
      <c r="U1462" s="34" t="str">
        <f t="shared" si="162"/>
        <v/>
      </c>
      <c r="V1462" s="31" t="str">
        <f>IF(H1462="CHK",VLOOKUP(I1462,QCCHK,3,),IF(H1462="GUP",VLOOKUP(E1462,QCGUP,2,),IF(AND(H1462="ATP",OR(I1462="TN",I1462="TDN",I1462="TNO2-3",I1462="NO2-3")),VLOOKUP(E1462,QCREC_N,2,),IF(AND(H1462="NIC",OR(I1462="TN",I1462="TDN",I1462="TNO2-3",I1462="NO2-3")),VLOOKUP(E1462,QCNIC_N,2,),IF(AND(H1462="UREA",OR(I1462="TN",I1462="TDN",I1462="TNO2-3",I1462="NO2-3")),VLOOKUP(E1462,QCUREA_N,2,),IF(H1462="PER",VLOOKUP(I1462,QCPER,MATCH(E1462,QCACTUAL!$J$25:$AA$25,0),),IF(H1462="SPK",VLOOKUP(I1462,QCSPK,3,),IF(AND(H1462="ATP",OR(I1462="TP",I1462="TDP")),VLOOKUP(E1462,QCATP_P,2,),""))))))))</f>
        <v/>
      </c>
      <c r="W1462" s="31" t="str">
        <f t="shared" si="163"/>
        <v>TRUE</v>
      </c>
      <c r="X1462" s="31" t="str">
        <f t="shared" si="160"/>
        <v/>
      </c>
      <c r="Y1462" s="10" t="s">
        <v>1096</v>
      </c>
      <c r="AL1462" s="10" t="str">
        <f t="shared" si="165"/>
        <v>FALSE</v>
      </c>
      <c r="AM1462" s="10" t="str">
        <f t="shared" si="165"/>
        <v>FALSE</v>
      </c>
      <c r="AN1462" s="10" t="str">
        <f t="shared" si="165"/>
        <v>FALSE</v>
      </c>
      <c r="AO1462" s="10" t="str">
        <f t="shared" si="166"/>
        <v>FALSE</v>
      </c>
      <c r="AP1462" s="10" t="str">
        <f t="shared" si="166"/>
        <v>FALSE</v>
      </c>
      <c r="AQ1462" s="10" t="b">
        <f>IF(AND(I1462="TP",S1462&lt;=150),VLOOKUP(AF1462,TPCalibEq150!$AZ$2:$BB$55,3,),IF(AND(I1462="TDP",S1462&lt;=150),VLOOKUP(AF1462,TPCalibEq150!$AZ$2:$BB$55,3,)))</f>
        <v>0</v>
      </c>
      <c r="AR1462" s="10" t="b">
        <f>IF(AND(I1462="TP",S1462&lt;=300),VLOOKUP(AF1462,TPCalibEq300!$AZ$2:$BB$55,3,),IF(AND(I1462="TDP",S1462&lt;=300),VLOOKUP(AF1462,TPCalibEq300!$AZ$2:$BB$55,3,)))</f>
        <v>0</v>
      </c>
      <c r="AS1462" s="10" t="b">
        <f>IF(AND(I1462="TP",S1462&lt;=500),VLOOKUP(AF1462,TPCalibEq500!$AZ$2:$BB$56,3,),IF(AND(I1462="TDP",S1462&lt;=500),VLOOKUP(AF1462,TPCalibEq500!$AZ$2:$BB$56,3,)))</f>
        <v>0</v>
      </c>
      <c r="AT1462" s="10" t="b">
        <f>IF(AND(I1462="TN",S1462&lt;=2800),VLOOKUP(AF1462,TNCalibEq2500!$AZ$2:$BB$56,3,),IF(AND(I1462="TDN",S1462&lt;=2800),VLOOKUP(AF1462,TNCalibEq2500!$AZ$2:$BB$56,3,)))</f>
        <v>0</v>
      </c>
      <c r="AU1462" s="10" t="b">
        <f>IF(I1462="TP",VLOOKUP(AF1462,TPCalibEqFull!$AZ$2:$BB$56,3),IF(I1462="TDP",VLOOKUP(AF1462,TPCalibEqFull!$AZ$2:$BB$56,3),IF(I1462="TDN",VLOOKUP(AF1462,TNCalibEqFull!$AZ$1:$BB$56,3),IF(I1462="TN",VLOOKUP(AF1462,TNCalibEqFull!$AZ$1:$BB$56,3),FALSE))))</f>
        <v>0</v>
      </c>
      <c r="AV1462" s="10" t="str">
        <f t="shared" si="164"/>
        <v>0131 09:59:00-HST-0-C-1-SW-UKN</v>
      </c>
    </row>
    <row r="1463" spans="1:48" s="10" customFormat="1" x14ac:dyDescent="0.55000000000000004">
      <c r="A1463" s="32">
        <v>44957</v>
      </c>
      <c r="B1463" s="33">
        <v>0.41597222222222219</v>
      </c>
      <c r="C1463" s="10" t="s">
        <v>333</v>
      </c>
      <c r="D1463" s="10">
        <v>0</v>
      </c>
      <c r="E1463" s="10" t="s">
        <v>190</v>
      </c>
      <c r="F1463" s="10">
        <v>1</v>
      </c>
      <c r="G1463" s="10" t="s">
        <v>231</v>
      </c>
      <c r="H1463" s="10" t="s">
        <v>233</v>
      </c>
      <c r="I1463" s="10" t="s">
        <v>285</v>
      </c>
      <c r="J1463" s="10">
        <v>14</v>
      </c>
      <c r="K1463" s="12">
        <v>44958</v>
      </c>
      <c r="L1463" s="33">
        <v>0.51804398148148145</v>
      </c>
      <c r="M1463" s="10">
        <v>1</v>
      </c>
      <c r="N1463" s="10" t="s">
        <v>211</v>
      </c>
      <c r="O1463" s="10">
        <v>0.45100000000000001</v>
      </c>
      <c r="P1463" s="10">
        <v>4.24E-2</v>
      </c>
      <c r="Q1463" s="10">
        <v>77.2</v>
      </c>
      <c r="R1463" s="10" t="s">
        <v>913</v>
      </c>
      <c r="S1463" s="34">
        <f t="shared" si="161"/>
        <v>77.2</v>
      </c>
      <c r="T1463" s="10" t="s">
        <v>1111</v>
      </c>
      <c r="U1463" s="34">
        <f t="shared" si="162"/>
        <v>0.90264345583494876</v>
      </c>
      <c r="V1463" s="31" t="str">
        <f>IF(H1463="CHK",VLOOKUP(I1463,QCCHK,3,),IF(H1463="GUP",VLOOKUP(E1463,QCGUP,2,),IF(AND(H1463="ATP",OR(I1463="TN",I1463="TDN",I1463="TNO2-3",I1463="NO2-3")),VLOOKUP(E1463,QCREC_N,2,),IF(AND(H1463="NIC",OR(I1463="TN",I1463="TDN",I1463="TNO2-3",I1463="NO2-3")),VLOOKUP(E1463,QCNIC_N,2,),IF(AND(H1463="UREA",OR(I1463="TN",I1463="TDN",I1463="TNO2-3",I1463="NO2-3")),VLOOKUP(E1463,QCUREA_N,2,),IF(H1463="PER",VLOOKUP(I1463,QCPER,MATCH(E1463,QCACTUAL!$J$25:$AA$25,0),),IF(H1463="SPK",VLOOKUP(I1463,QCSPK,3,),IF(AND(H1463="ATP",OR(I1463="TP",I1463="TDP")),VLOOKUP(E1463,QCATP_P,2,),""))))))))</f>
        <v/>
      </c>
      <c r="W1463" s="31" t="str">
        <f t="shared" si="163"/>
        <v>TRUE</v>
      </c>
      <c r="X1463" s="31" t="str">
        <f t="shared" si="160"/>
        <v>((ABS(rep1-rep2))/((rep1+rep2)/2)*100</v>
      </c>
      <c r="Y1463" s="10" t="s">
        <v>1096</v>
      </c>
      <c r="AL1463" s="10" t="str">
        <f t="shared" si="165"/>
        <v>FALSE</v>
      </c>
      <c r="AM1463" s="10" t="str">
        <f t="shared" si="165"/>
        <v>FALSE</v>
      </c>
      <c r="AN1463" s="10" t="str">
        <f t="shared" si="165"/>
        <v>FALSE</v>
      </c>
      <c r="AO1463" s="10" t="str">
        <f t="shared" si="166"/>
        <v>FALSE</v>
      </c>
      <c r="AP1463" s="10" t="str">
        <f t="shared" si="166"/>
        <v>FALSE</v>
      </c>
      <c r="AQ1463" s="10" t="b">
        <f>IF(AND(I1463="TP",S1463&lt;=150),VLOOKUP(AF1463,TPCalibEq150!$AZ$2:$BB$55,3,),IF(AND(I1463="TDP",S1463&lt;=150),VLOOKUP(AF1463,TPCalibEq150!$AZ$2:$BB$55,3,)))</f>
        <v>0</v>
      </c>
      <c r="AR1463" s="10" t="b">
        <f>IF(AND(I1463="TP",S1463&lt;=300),VLOOKUP(AF1463,TPCalibEq300!$AZ$2:$BB$55,3,),IF(AND(I1463="TDP",S1463&lt;=300),VLOOKUP(AF1463,TPCalibEq300!$AZ$2:$BB$55,3,)))</f>
        <v>0</v>
      </c>
      <c r="AS1463" s="10" t="b">
        <f>IF(AND(I1463="TP",S1463&lt;=500),VLOOKUP(AF1463,TPCalibEq500!$AZ$2:$BB$56,3,),IF(AND(I1463="TDP",S1463&lt;=500),VLOOKUP(AF1463,TPCalibEq500!$AZ$2:$BB$56,3,)))</f>
        <v>0</v>
      </c>
      <c r="AT1463" s="10" t="b">
        <f>IF(AND(I1463="TN",S1463&lt;=2800),VLOOKUP(AF1463,TNCalibEq2500!$AZ$2:$BB$56,3,),IF(AND(I1463="TDN",S1463&lt;=2800),VLOOKUP(AF1463,TNCalibEq2500!$AZ$2:$BB$56,3,)))</f>
        <v>0</v>
      </c>
      <c r="AU1463" s="10" t="b">
        <f>IF(I1463="TP",VLOOKUP(AF1463,TPCalibEqFull!$AZ$2:$BB$56,3),IF(I1463="TDP",VLOOKUP(AF1463,TPCalibEqFull!$AZ$2:$BB$56,3),IF(I1463="TDN",VLOOKUP(AF1463,TNCalibEqFull!$AZ$1:$BB$56,3),IF(I1463="TN",VLOOKUP(AF1463,TNCalibEqFull!$AZ$1:$BB$56,3),FALSE))))</f>
        <v>0</v>
      </c>
      <c r="AV1463" s="10" t="str">
        <f t="shared" si="164"/>
        <v>0131 09:59:00-HST-0-C-1-SW-DUP</v>
      </c>
    </row>
    <row r="1464" spans="1:48" s="10" customFormat="1" x14ac:dyDescent="0.55000000000000004">
      <c r="A1464" s="32">
        <v>44957</v>
      </c>
      <c r="B1464" s="33">
        <v>0.41597222222222219</v>
      </c>
      <c r="C1464" s="10" t="s">
        <v>912</v>
      </c>
      <c r="D1464" s="10">
        <v>0</v>
      </c>
      <c r="E1464" s="10" t="s">
        <v>190</v>
      </c>
      <c r="F1464" s="10">
        <v>1</v>
      </c>
      <c r="G1464" s="10" t="s">
        <v>231</v>
      </c>
      <c r="H1464" s="10" t="s">
        <v>314</v>
      </c>
      <c r="I1464" s="10" t="s">
        <v>285</v>
      </c>
      <c r="J1464" s="10">
        <v>82</v>
      </c>
      <c r="K1464" s="12">
        <v>44958</v>
      </c>
      <c r="L1464" s="33">
        <v>0.51886574074074077</v>
      </c>
      <c r="M1464" s="10">
        <v>1</v>
      </c>
      <c r="N1464" s="10" t="s">
        <v>211</v>
      </c>
      <c r="O1464" s="10">
        <v>1.48</v>
      </c>
      <c r="P1464" s="10">
        <v>0.14399999999999999</v>
      </c>
      <c r="Q1464" s="10">
        <v>253</v>
      </c>
      <c r="R1464" s="10" t="s">
        <v>913</v>
      </c>
      <c r="S1464" s="34">
        <f t="shared" si="161"/>
        <v>253</v>
      </c>
      <c r="T1464" s="10" t="s">
        <v>1111</v>
      </c>
      <c r="U1464" s="34">
        <f t="shared" si="162"/>
        <v>112.51200000000001</v>
      </c>
      <c r="V1464" s="31">
        <f>IF(H1464="CHK",VLOOKUP(I1464,QCCHK,3,),IF(H1464="GUP",VLOOKUP(E1464,QCGUP,2,),IF(AND(H1464="ATP",OR(I1464="TN",I1464="TDN",I1464="TNO2-3",I1464="NO2-3")),VLOOKUP(E1464,QCREC_N,2,),IF(AND(H1464="NIC",OR(I1464="TN",I1464="TDN",I1464="TNO2-3",I1464="NO2-3")),VLOOKUP(E1464,QCNIC_N,2,),IF(AND(H1464="UREA",OR(I1464="TN",I1464="TDN",I1464="TNO2-3",I1464="NO2-3")),VLOOKUP(E1464,QCUREA_N,2,),IF(H1464="PER",VLOOKUP(I1464,QCPER,MATCH(E1464,QCACTUAL!$J$25:$AA$25,0),),IF(H1464="SPK",VLOOKUP(I1464,QCSPK,3,),IF(AND(H1464="ATP",OR(I1464="TP",I1464="TDP")),VLOOKUP(E1464,QCATP_P,2,),""))))))))</f>
        <v>156.25</v>
      </c>
      <c r="W1464" s="31" t="str">
        <f t="shared" si="163"/>
        <v>TRUE</v>
      </c>
      <c r="X1464" s="31" t="str">
        <f t="shared" si="160"/>
        <v>([spikedunkn]-[unkn])/[spike]*100</v>
      </c>
      <c r="Y1464" s="10" t="s">
        <v>1096</v>
      </c>
      <c r="AL1464" s="10" t="str">
        <f t="shared" si="165"/>
        <v>FALSE</v>
      </c>
      <c r="AM1464" s="10" t="str">
        <f t="shared" si="165"/>
        <v>FALSE</v>
      </c>
      <c r="AN1464" s="10" t="str">
        <f t="shared" si="165"/>
        <v>FALSE</v>
      </c>
      <c r="AO1464" s="10" t="str">
        <f t="shared" si="166"/>
        <v>FALSE</v>
      </c>
      <c r="AP1464" s="10" t="str">
        <f t="shared" si="166"/>
        <v>FALSE</v>
      </c>
      <c r="AQ1464" s="10" t="b">
        <f>IF(AND(I1464="TP",S1464&lt;=150),VLOOKUP(AF1464,TPCalibEq150!$AZ$2:$BB$55,3,),IF(AND(I1464="TDP",S1464&lt;=150),VLOOKUP(AF1464,TPCalibEq150!$AZ$2:$BB$55,3,)))</f>
        <v>0</v>
      </c>
      <c r="AR1464" s="10" t="b">
        <f>IF(AND(I1464="TP",S1464&lt;=300),VLOOKUP(AF1464,TPCalibEq300!$AZ$2:$BB$55,3,),IF(AND(I1464="TDP",S1464&lt;=300),VLOOKUP(AF1464,TPCalibEq300!$AZ$2:$BB$55,3,)))</f>
        <v>0</v>
      </c>
      <c r="AS1464" s="10" t="b">
        <f>IF(AND(I1464="TP",S1464&lt;=500),VLOOKUP(AF1464,TPCalibEq500!$AZ$2:$BB$56,3,),IF(AND(I1464="TDP",S1464&lt;=500),VLOOKUP(AF1464,TPCalibEq500!$AZ$2:$BB$56,3,)))</f>
        <v>0</v>
      </c>
      <c r="AT1464" s="10" t="b">
        <f>IF(AND(I1464="TN",S1464&lt;=2800),VLOOKUP(AF1464,TNCalibEq2500!$AZ$2:$BB$56,3,),IF(AND(I1464="TDN",S1464&lt;=2800),VLOOKUP(AF1464,TNCalibEq2500!$AZ$2:$BB$56,3,)))</f>
        <v>0</v>
      </c>
      <c r="AU1464" s="10" t="b">
        <f>IF(I1464="TP",VLOOKUP(AF1464,TPCalibEqFull!$AZ$2:$BB$56,3),IF(I1464="TDP",VLOOKUP(AF1464,TPCalibEqFull!$AZ$2:$BB$56,3),IF(I1464="TDN",VLOOKUP(AF1464,TNCalibEqFull!$AZ$1:$BB$56,3),IF(I1464="TN",VLOOKUP(AF1464,TNCalibEqFull!$AZ$1:$BB$56,3),FALSE))))</f>
        <v>0</v>
      </c>
      <c r="AV1464" s="10" t="str">
        <f t="shared" si="164"/>
        <v>0131 09:59:00-HST -0-C-1-SW-SPK</v>
      </c>
    </row>
    <row r="1465" spans="1:48" s="10" customFormat="1" x14ac:dyDescent="0.55000000000000004">
      <c r="A1465" s="32">
        <v>44958</v>
      </c>
      <c r="B1465" s="33">
        <v>0.375</v>
      </c>
      <c r="C1465" s="10" t="s">
        <v>70</v>
      </c>
      <c r="D1465" s="10" t="s">
        <v>71</v>
      </c>
      <c r="E1465" s="10" t="s">
        <v>901</v>
      </c>
      <c r="F1465" s="10">
        <v>1</v>
      </c>
      <c r="G1465" s="10" t="s">
        <v>73</v>
      </c>
      <c r="H1465" s="10" t="s">
        <v>207</v>
      </c>
      <c r="I1465" s="10" t="s">
        <v>285</v>
      </c>
      <c r="J1465" s="10">
        <v>199</v>
      </c>
      <c r="K1465" s="12">
        <v>44958</v>
      </c>
      <c r="L1465" s="33">
        <v>0.51968749999999997</v>
      </c>
      <c r="M1465" s="10">
        <v>1</v>
      </c>
      <c r="N1465" s="10" t="s">
        <v>211</v>
      </c>
      <c r="O1465" s="10">
        <v>0.46100000000000002</v>
      </c>
      <c r="P1465" s="10">
        <v>4.4400000000000002E-2</v>
      </c>
      <c r="Q1465" s="10">
        <v>78.8</v>
      </c>
      <c r="R1465" s="10" t="s">
        <v>913</v>
      </c>
      <c r="S1465" s="34">
        <f t="shared" si="161"/>
        <v>78.8</v>
      </c>
      <c r="T1465" s="10" t="s">
        <v>1111</v>
      </c>
      <c r="U1465" s="34">
        <f t="shared" si="162"/>
        <v>105.06666666666666</v>
      </c>
      <c r="V1465" s="31">
        <f>IF(H1465="CHK",VLOOKUP(I1465,QCCHK,3,),IF(H1465="GUP",VLOOKUP(E1465,QCGUP,2,),IF(AND(H1465="ATP",OR(I1465="TN",I1465="TDN",I1465="TNO2-3",I1465="NO2-3")),VLOOKUP(E1465,QCREC_N,2,),IF(AND(H1465="NIC",OR(I1465="TN",I1465="TDN",I1465="TNO2-3",I1465="NO2-3")),VLOOKUP(E1465,QCNIC_N,2,),IF(AND(H1465="UREA",OR(I1465="TN",I1465="TDN",I1465="TNO2-3",I1465="NO2-3")),VLOOKUP(E1465,QCUREA_N,2,),IF(H1465="PER",VLOOKUP(I1465,QCPER,MATCH(E1465,QCACTUAL!$J$25:$AA$25,0),),IF(H1465="SPK",VLOOKUP(I1465,QCSPK,3,),IF(AND(H1465="ATP",OR(I1465="TP",I1465="TDP")),VLOOKUP(E1465,QCATP_P,2,),""))))))))</f>
        <v>75</v>
      </c>
      <c r="W1465" s="31" t="str">
        <f t="shared" si="163"/>
        <v>TRUE</v>
      </c>
      <c r="X1465" s="31" t="str">
        <f t="shared" si="160"/>
        <v>[chk]/[actual]*100</v>
      </c>
      <c r="Y1465" s="10" t="s">
        <v>1096</v>
      </c>
      <c r="AL1465" s="10" t="str">
        <f t="shared" si="165"/>
        <v>FALSE</v>
      </c>
      <c r="AM1465" s="10" t="str">
        <f t="shared" si="165"/>
        <v>FALSE</v>
      </c>
      <c r="AN1465" s="10" t="str">
        <f t="shared" si="165"/>
        <v>FALSE</v>
      </c>
      <c r="AO1465" s="10" t="str">
        <f t="shared" si="166"/>
        <v>FALSE</v>
      </c>
      <c r="AP1465" s="10" t="str">
        <f t="shared" si="166"/>
        <v>FALSE</v>
      </c>
      <c r="AQ1465" s="10" t="b">
        <f>IF(AND(I1465="TP",S1465&lt;=150),VLOOKUP(AF1465,TPCalibEq150!$AZ$2:$BB$55,3,),IF(AND(I1465="TDP",S1465&lt;=150),VLOOKUP(AF1465,TPCalibEq150!$AZ$2:$BB$55,3,)))</f>
        <v>0</v>
      </c>
      <c r="AR1465" s="10" t="b">
        <f>IF(AND(I1465="TP",S1465&lt;=300),VLOOKUP(AF1465,TPCalibEq300!$AZ$2:$BB$55,3,),IF(AND(I1465="TDP",S1465&lt;=300),VLOOKUP(AF1465,TPCalibEq300!$AZ$2:$BB$55,3,)))</f>
        <v>0</v>
      </c>
      <c r="AS1465" s="10" t="b">
        <f>IF(AND(I1465="TP",S1465&lt;=500),VLOOKUP(AF1465,TPCalibEq500!$AZ$2:$BB$56,3,),IF(AND(I1465="TDP",S1465&lt;=500),VLOOKUP(AF1465,TPCalibEq500!$AZ$2:$BB$56,3,)))</f>
        <v>0</v>
      </c>
      <c r="AT1465" s="10" t="b">
        <f>IF(AND(I1465="TN",S1465&lt;=2800),VLOOKUP(AF1465,TNCalibEq2500!$AZ$2:$BB$56,3,),IF(AND(I1465="TDN",S1465&lt;=2800),VLOOKUP(AF1465,TNCalibEq2500!$AZ$2:$BB$56,3,)))</f>
        <v>0</v>
      </c>
      <c r="AU1465" s="10" t="b">
        <f>IF(I1465="TP",VLOOKUP(AF1465,TPCalibEqFull!$AZ$2:$BB$56,3),IF(I1465="TDP",VLOOKUP(AF1465,TPCalibEqFull!$AZ$2:$BB$56,3),IF(I1465="TDN",VLOOKUP(AF1465,TNCalibEqFull!$AZ$1:$BB$56,3),IF(I1465="TN",VLOOKUP(AF1465,TNCalibEqFull!$AZ$1:$BB$56,3),FALSE))))</f>
        <v>0</v>
      </c>
      <c r="AV1465" s="10" t="str">
        <f t="shared" si="164"/>
        <v>0201 09:00:00-QAC-STD-D-1-DI-CHK</v>
      </c>
    </row>
    <row r="1466" spans="1:48" s="10" customFormat="1" x14ac:dyDescent="0.55000000000000004">
      <c r="A1466" s="32">
        <v>44949</v>
      </c>
      <c r="B1466" s="33">
        <v>0.34375</v>
      </c>
      <c r="C1466" s="10" t="s">
        <v>998</v>
      </c>
      <c r="D1466" s="10">
        <v>0</v>
      </c>
      <c r="E1466" s="10" t="s">
        <v>190</v>
      </c>
      <c r="F1466" s="10">
        <v>1</v>
      </c>
      <c r="G1466" s="10" t="s">
        <v>231</v>
      </c>
      <c r="H1466" s="10" t="s">
        <v>322</v>
      </c>
      <c r="I1466" s="10" t="s">
        <v>285</v>
      </c>
      <c r="J1466" s="10">
        <v>15</v>
      </c>
      <c r="K1466" s="12">
        <v>44958</v>
      </c>
      <c r="L1466" s="33">
        <v>0.52048611111111109</v>
      </c>
      <c r="M1466" s="10">
        <v>1</v>
      </c>
      <c r="N1466" s="10" t="s">
        <v>211</v>
      </c>
      <c r="O1466" s="10">
        <v>0.91300000000000003</v>
      </c>
      <c r="P1466" s="10">
        <v>8.5199999999999998E-2</v>
      </c>
      <c r="Q1466" s="10">
        <v>157</v>
      </c>
      <c r="R1466" s="10" t="s">
        <v>913</v>
      </c>
      <c r="S1466" s="34">
        <f t="shared" si="161"/>
        <v>157</v>
      </c>
      <c r="T1466" s="10" t="s">
        <v>1111</v>
      </c>
      <c r="U1466" s="34" t="str">
        <f t="shared" si="162"/>
        <v/>
      </c>
      <c r="V1466" s="31" t="str">
        <f>IF(H1466="CHK",VLOOKUP(I1466,QCCHK,3,),IF(H1466="GUP",VLOOKUP(E1466,QCGUP,2,),IF(AND(H1466="ATP",OR(I1466="TN",I1466="TDN",I1466="TNO2-3",I1466="NO2-3")),VLOOKUP(E1466,QCREC_N,2,),IF(AND(H1466="NIC",OR(I1466="TN",I1466="TDN",I1466="TNO2-3",I1466="NO2-3")),VLOOKUP(E1466,QCNIC_N,2,),IF(AND(H1466="UREA",OR(I1466="TN",I1466="TDN",I1466="TNO2-3",I1466="NO2-3")),VLOOKUP(E1466,QCUREA_N,2,),IF(H1466="PER",VLOOKUP(I1466,QCPER,MATCH(E1466,QCACTUAL!$J$25:$AA$25,0),),IF(H1466="SPK",VLOOKUP(I1466,QCSPK,3,),IF(AND(H1466="ATP",OR(I1466="TP",I1466="TDP")),VLOOKUP(E1466,QCATP_P,2,),""))))))))</f>
        <v/>
      </c>
      <c r="W1466" s="31" t="str">
        <f t="shared" si="163"/>
        <v>TRUE</v>
      </c>
      <c r="X1466" s="31" t="str">
        <f t="shared" si="160"/>
        <v/>
      </c>
      <c r="Y1466" s="10" t="s">
        <v>1096</v>
      </c>
      <c r="Z1466" s="10" t="s">
        <v>910</v>
      </c>
      <c r="AL1466" s="10" t="str">
        <f t="shared" si="165"/>
        <v>FALSE</v>
      </c>
      <c r="AM1466" s="10" t="str">
        <f t="shared" si="165"/>
        <v>FALSE</v>
      </c>
      <c r="AN1466" s="10" t="str">
        <f t="shared" si="165"/>
        <v>FALSE</v>
      </c>
      <c r="AO1466" s="10" t="str">
        <f t="shared" si="166"/>
        <v>FALSE</v>
      </c>
      <c r="AP1466" s="10" t="str">
        <f t="shared" si="166"/>
        <v>FALSE</v>
      </c>
      <c r="AQ1466" s="10" t="b">
        <f>IF(AND(I1466="TP",S1466&lt;=150),VLOOKUP(AF1466,TPCalibEq150!$AZ$2:$BB$55,3,),IF(AND(I1466="TDP",S1466&lt;=150),VLOOKUP(AF1466,TPCalibEq150!$AZ$2:$BB$55,3,)))</f>
        <v>0</v>
      </c>
      <c r="AR1466" s="10" t="b">
        <f>IF(AND(I1466="TP",S1466&lt;=300),VLOOKUP(AF1466,TPCalibEq300!$AZ$2:$BB$55,3,),IF(AND(I1466="TDP",S1466&lt;=300),VLOOKUP(AF1466,TPCalibEq300!$AZ$2:$BB$55,3,)))</f>
        <v>0</v>
      </c>
      <c r="AS1466" s="10" t="b">
        <f>IF(AND(I1466="TP",S1466&lt;=500),VLOOKUP(AF1466,TPCalibEq500!$AZ$2:$BB$56,3,),IF(AND(I1466="TDP",S1466&lt;=500),VLOOKUP(AF1466,TPCalibEq500!$AZ$2:$BB$56,3,)))</f>
        <v>0</v>
      </c>
      <c r="AT1466" s="10" t="b">
        <f>IF(AND(I1466="TN",S1466&lt;=2800),VLOOKUP(AF1466,TNCalibEq2500!$AZ$2:$BB$56,3,),IF(AND(I1466="TDN",S1466&lt;=2800),VLOOKUP(AF1466,TNCalibEq2500!$AZ$2:$BB$56,3,)))</f>
        <v>0</v>
      </c>
      <c r="AU1466" s="10" t="b">
        <f>IF(I1466="TP",VLOOKUP(AF1466,TPCalibEqFull!$AZ$2:$BB$56,3),IF(I1466="TDP",VLOOKUP(AF1466,TPCalibEqFull!$AZ$2:$BB$56,3),IF(I1466="TDN",VLOOKUP(AF1466,TNCalibEqFull!$AZ$1:$BB$56,3),IF(I1466="TN",VLOOKUP(AF1466,TNCalibEqFull!$AZ$1:$BB$56,3),FALSE))))</f>
        <v>0</v>
      </c>
      <c r="AV1466" s="10" t="str">
        <f t="shared" si="164"/>
        <v>0123 08:15:00-ELW-0-C-1-SW-UKN</v>
      </c>
    </row>
    <row r="1467" spans="1:48" s="10" customFormat="1" x14ac:dyDescent="0.55000000000000004">
      <c r="A1467" s="32">
        <v>44949</v>
      </c>
      <c r="B1467" s="33">
        <v>0.37777777777777777</v>
      </c>
      <c r="C1467" s="10" t="s">
        <v>270</v>
      </c>
      <c r="D1467" s="10">
        <v>0</v>
      </c>
      <c r="E1467" s="10" t="s">
        <v>190</v>
      </c>
      <c r="F1467" s="10">
        <v>1</v>
      </c>
      <c r="G1467" s="10" t="s">
        <v>231</v>
      </c>
      <c r="H1467" s="10" t="s">
        <v>322</v>
      </c>
      <c r="I1467" s="10" t="s">
        <v>285</v>
      </c>
      <c r="J1467" s="10">
        <v>16</v>
      </c>
      <c r="K1467" s="12">
        <v>44958</v>
      </c>
      <c r="L1467" s="33">
        <v>0.52131944444444445</v>
      </c>
      <c r="M1467" s="10">
        <v>1</v>
      </c>
      <c r="N1467" s="10" t="s">
        <v>211</v>
      </c>
      <c r="O1467" s="10">
        <v>0.34</v>
      </c>
      <c r="P1467" s="10">
        <v>3.2099999999999997E-2</v>
      </c>
      <c r="Q1467" s="10">
        <v>57.9</v>
      </c>
      <c r="R1467" s="10" t="s">
        <v>913</v>
      </c>
      <c r="S1467" s="34">
        <f t="shared" si="161"/>
        <v>57.9</v>
      </c>
      <c r="T1467" s="10" t="s">
        <v>1111</v>
      </c>
      <c r="U1467" s="34" t="str">
        <f t="shared" si="162"/>
        <v/>
      </c>
      <c r="V1467" s="31" t="str">
        <f>IF(H1467="CHK",VLOOKUP(I1467,QCCHK,3,),IF(H1467="GUP",VLOOKUP(E1467,QCGUP,2,),IF(AND(H1467="ATP",OR(I1467="TN",I1467="TDN",I1467="TNO2-3",I1467="NO2-3")),VLOOKUP(E1467,QCREC_N,2,),IF(AND(H1467="NIC",OR(I1467="TN",I1467="TDN",I1467="TNO2-3",I1467="NO2-3")),VLOOKUP(E1467,QCNIC_N,2,),IF(AND(H1467="UREA",OR(I1467="TN",I1467="TDN",I1467="TNO2-3",I1467="NO2-3")),VLOOKUP(E1467,QCUREA_N,2,),IF(H1467="PER",VLOOKUP(I1467,QCPER,MATCH(E1467,QCACTUAL!$J$25:$AA$25,0),),IF(H1467="SPK",VLOOKUP(I1467,QCSPK,3,),IF(AND(H1467="ATP",OR(I1467="TP",I1467="TDP")),VLOOKUP(E1467,QCATP_P,2,),""))))))))</f>
        <v/>
      </c>
      <c r="W1467" s="31" t="str">
        <f t="shared" si="163"/>
        <v>TRUE</v>
      </c>
      <c r="X1467" s="31" t="str">
        <f t="shared" si="160"/>
        <v/>
      </c>
      <c r="Y1467" s="10" t="s">
        <v>1096</v>
      </c>
      <c r="Z1467" s="10" t="s">
        <v>910</v>
      </c>
      <c r="AL1467" s="10" t="str">
        <f t="shared" si="165"/>
        <v>FALSE</v>
      </c>
      <c r="AM1467" s="10" t="str">
        <f t="shared" si="165"/>
        <v>FALSE</v>
      </c>
      <c r="AN1467" s="10" t="str">
        <f t="shared" si="165"/>
        <v>FALSE</v>
      </c>
      <c r="AO1467" s="10" t="str">
        <f t="shared" si="166"/>
        <v>FALSE</v>
      </c>
      <c r="AP1467" s="10" t="str">
        <f t="shared" si="166"/>
        <v>FALSE</v>
      </c>
      <c r="AQ1467" s="10" t="b">
        <f>IF(AND(I1467="TP",S1467&lt;=150),VLOOKUP(AF1467,TPCalibEq150!$AZ$2:$BB$55,3,),IF(AND(I1467="TDP",S1467&lt;=150),VLOOKUP(AF1467,TPCalibEq150!$AZ$2:$BB$55,3,)))</f>
        <v>0</v>
      </c>
      <c r="AR1467" s="10" t="b">
        <f>IF(AND(I1467="TP",S1467&lt;=300),VLOOKUP(AF1467,TPCalibEq300!$AZ$2:$BB$55,3,),IF(AND(I1467="TDP",S1467&lt;=300),VLOOKUP(AF1467,TPCalibEq300!$AZ$2:$BB$55,3,)))</f>
        <v>0</v>
      </c>
      <c r="AS1467" s="10" t="b">
        <f>IF(AND(I1467="TP",S1467&lt;=500),VLOOKUP(AF1467,TPCalibEq500!$AZ$2:$BB$56,3,),IF(AND(I1467="TDP",S1467&lt;=500),VLOOKUP(AF1467,TPCalibEq500!$AZ$2:$BB$56,3,)))</f>
        <v>0</v>
      </c>
      <c r="AT1467" s="10" t="b">
        <f>IF(AND(I1467="TN",S1467&lt;=2800),VLOOKUP(AF1467,TNCalibEq2500!$AZ$2:$BB$56,3,),IF(AND(I1467="TDN",S1467&lt;=2800),VLOOKUP(AF1467,TNCalibEq2500!$AZ$2:$BB$56,3,)))</f>
        <v>0</v>
      </c>
      <c r="AU1467" s="10" t="b">
        <f>IF(I1467="TP",VLOOKUP(AF1467,TPCalibEqFull!$AZ$2:$BB$56,3),IF(I1467="TDP",VLOOKUP(AF1467,TPCalibEqFull!$AZ$2:$BB$56,3),IF(I1467="TDN",VLOOKUP(AF1467,TNCalibEqFull!$AZ$1:$BB$56,3),IF(I1467="TN",VLOOKUP(AF1467,TNCalibEqFull!$AZ$1:$BB$56,3),FALSE))))</f>
        <v>0</v>
      </c>
      <c r="AV1467" s="10" t="str">
        <f t="shared" si="164"/>
        <v>0123 09:04:00-EFG-0-C-1-SW-UKN</v>
      </c>
    </row>
    <row r="1468" spans="1:48" s="10" customFormat="1" x14ac:dyDescent="0.55000000000000004">
      <c r="A1468" s="32">
        <v>44949</v>
      </c>
      <c r="B1468" s="33">
        <v>0.39027777777777778</v>
      </c>
      <c r="C1468" s="10" t="s">
        <v>540</v>
      </c>
      <c r="D1468" s="10">
        <v>0</v>
      </c>
      <c r="E1468" s="10" t="s">
        <v>190</v>
      </c>
      <c r="F1468" s="10">
        <v>1</v>
      </c>
      <c r="G1468" s="10" t="s">
        <v>231</v>
      </c>
      <c r="H1468" s="10" t="s">
        <v>322</v>
      </c>
      <c r="I1468" s="10" t="s">
        <v>285</v>
      </c>
      <c r="J1468" s="10">
        <v>17</v>
      </c>
      <c r="K1468" s="12">
        <v>44958</v>
      </c>
      <c r="L1468" s="33">
        <v>0.52214120370370376</v>
      </c>
      <c r="M1468" s="10">
        <v>1</v>
      </c>
      <c r="N1468" s="10" t="s">
        <v>211</v>
      </c>
      <c r="O1468" s="10">
        <v>0.78600000000000003</v>
      </c>
      <c r="P1468" s="10">
        <v>7.5600000000000001E-2</v>
      </c>
      <c r="Q1468" s="10">
        <v>135</v>
      </c>
      <c r="R1468" s="10" t="s">
        <v>913</v>
      </c>
      <c r="S1468" s="34">
        <f t="shared" si="161"/>
        <v>135</v>
      </c>
      <c r="T1468" s="10" t="s">
        <v>1111</v>
      </c>
      <c r="U1468" s="34" t="str">
        <f t="shared" si="162"/>
        <v/>
      </c>
      <c r="V1468" s="31" t="str">
        <f>IF(H1468="CHK",VLOOKUP(I1468,QCCHK,3,),IF(H1468="GUP",VLOOKUP(E1468,QCGUP,2,),IF(AND(H1468="ATP",OR(I1468="TN",I1468="TDN",I1468="TNO2-3",I1468="NO2-3")),VLOOKUP(E1468,QCREC_N,2,),IF(AND(H1468="NIC",OR(I1468="TN",I1468="TDN",I1468="TNO2-3",I1468="NO2-3")),VLOOKUP(E1468,QCNIC_N,2,),IF(AND(H1468="UREA",OR(I1468="TN",I1468="TDN",I1468="TNO2-3",I1468="NO2-3")),VLOOKUP(E1468,QCUREA_N,2,),IF(H1468="PER",VLOOKUP(I1468,QCPER,MATCH(E1468,QCACTUAL!$J$25:$AA$25,0),),IF(H1468="SPK",VLOOKUP(I1468,QCSPK,3,),IF(AND(H1468="ATP",OR(I1468="TP",I1468="TDP")),VLOOKUP(E1468,QCATP_P,2,),""))))))))</f>
        <v/>
      </c>
      <c r="W1468" s="31" t="str">
        <f t="shared" si="163"/>
        <v>TRUE</v>
      </c>
      <c r="X1468" s="31" t="str">
        <f t="shared" si="160"/>
        <v/>
      </c>
      <c r="Y1468" s="10" t="s">
        <v>1096</v>
      </c>
      <c r="Z1468" s="10" t="s">
        <v>910</v>
      </c>
      <c r="AL1468" s="10" t="str">
        <f t="shared" si="165"/>
        <v>FALSE</v>
      </c>
      <c r="AM1468" s="10" t="str">
        <f t="shared" si="165"/>
        <v>FALSE</v>
      </c>
      <c r="AN1468" s="10" t="str">
        <f t="shared" si="165"/>
        <v>FALSE</v>
      </c>
      <c r="AO1468" s="10" t="str">
        <f t="shared" si="166"/>
        <v>FALSE</v>
      </c>
      <c r="AP1468" s="10" t="str">
        <f t="shared" si="166"/>
        <v>FALSE</v>
      </c>
      <c r="AQ1468" s="10" t="b">
        <f>IF(AND(I1468="TP",S1468&lt;=150),VLOOKUP(AF1468,TPCalibEq150!$AZ$2:$BB$55,3,),IF(AND(I1468="TDP",S1468&lt;=150),VLOOKUP(AF1468,TPCalibEq150!$AZ$2:$BB$55,3,)))</f>
        <v>0</v>
      </c>
      <c r="AR1468" s="10" t="b">
        <f>IF(AND(I1468="TP",S1468&lt;=300),VLOOKUP(AF1468,TPCalibEq300!$AZ$2:$BB$55,3,),IF(AND(I1468="TDP",S1468&lt;=300),VLOOKUP(AF1468,TPCalibEq300!$AZ$2:$BB$55,3,)))</f>
        <v>0</v>
      </c>
      <c r="AS1468" s="10" t="b">
        <f>IF(AND(I1468="TP",S1468&lt;=500),VLOOKUP(AF1468,TPCalibEq500!$AZ$2:$BB$56,3,),IF(AND(I1468="TDP",S1468&lt;=500),VLOOKUP(AF1468,TPCalibEq500!$AZ$2:$BB$56,3,)))</f>
        <v>0</v>
      </c>
      <c r="AT1468" s="10" t="b">
        <f>IF(AND(I1468="TN",S1468&lt;=2800),VLOOKUP(AF1468,TNCalibEq2500!$AZ$2:$BB$56,3,),IF(AND(I1468="TDN",S1468&lt;=2800),VLOOKUP(AF1468,TNCalibEq2500!$AZ$2:$BB$56,3,)))</f>
        <v>0</v>
      </c>
      <c r="AU1468" s="10" t="b">
        <f>IF(I1468="TP",VLOOKUP(AF1468,TPCalibEqFull!$AZ$2:$BB$56,3),IF(I1468="TDP",VLOOKUP(AF1468,TPCalibEqFull!$AZ$2:$BB$56,3),IF(I1468="TDN",VLOOKUP(AF1468,TNCalibEqFull!$AZ$1:$BB$56,3),IF(I1468="TN",VLOOKUP(AF1468,TNCalibEqFull!$AZ$1:$BB$56,3),FALSE))))</f>
        <v>0</v>
      </c>
      <c r="AV1468" s="10" t="str">
        <f t="shared" si="164"/>
        <v>0123 09:22:00-S50-0-C-1-SW-UKN</v>
      </c>
    </row>
    <row r="1469" spans="1:48" s="10" customFormat="1" x14ac:dyDescent="0.55000000000000004">
      <c r="A1469" s="32">
        <v>44949</v>
      </c>
      <c r="B1469" s="33">
        <v>0.41250000000000003</v>
      </c>
      <c r="C1469" s="10" t="s">
        <v>528</v>
      </c>
      <c r="D1469" s="10">
        <v>0</v>
      </c>
      <c r="E1469" s="10" t="s">
        <v>190</v>
      </c>
      <c r="F1469" s="10">
        <v>1</v>
      </c>
      <c r="G1469" s="10" t="s">
        <v>231</v>
      </c>
      <c r="H1469" s="10" t="s">
        <v>322</v>
      </c>
      <c r="I1469" s="10" t="s">
        <v>285</v>
      </c>
      <c r="J1469" s="10">
        <v>18</v>
      </c>
      <c r="K1469" s="12">
        <v>44958</v>
      </c>
      <c r="L1469" s="33">
        <v>0.52296296296296296</v>
      </c>
      <c r="M1469" s="10">
        <v>1</v>
      </c>
      <c r="N1469" s="10" t="s">
        <v>211</v>
      </c>
      <c r="O1469" s="10">
        <v>0.19700000000000001</v>
      </c>
      <c r="P1469" s="10">
        <v>1.8499999999999999E-2</v>
      </c>
      <c r="Q1469" s="10">
        <v>33.299999999999997</v>
      </c>
      <c r="R1469" s="10" t="s">
        <v>913</v>
      </c>
      <c r="S1469" s="34">
        <f t="shared" si="161"/>
        <v>33.299999999999997</v>
      </c>
      <c r="T1469" s="10" t="s">
        <v>1111</v>
      </c>
      <c r="U1469" s="34" t="str">
        <f t="shared" si="162"/>
        <v/>
      </c>
      <c r="V1469" s="31" t="str">
        <f>IF(H1469="CHK",VLOOKUP(I1469,QCCHK,3,),IF(H1469="GUP",VLOOKUP(E1469,QCGUP,2,),IF(AND(H1469="ATP",OR(I1469="TN",I1469="TDN",I1469="TNO2-3",I1469="NO2-3")),VLOOKUP(E1469,QCREC_N,2,),IF(AND(H1469="NIC",OR(I1469="TN",I1469="TDN",I1469="TNO2-3",I1469="NO2-3")),VLOOKUP(E1469,QCNIC_N,2,),IF(AND(H1469="UREA",OR(I1469="TN",I1469="TDN",I1469="TNO2-3",I1469="NO2-3")),VLOOKUP(E1469,QCUREA_N,2,),IF(H1469="PER",VLOOKUP(I1469,QCPER,MATCH(E1469,QCACTUAL!$J$25:$AA$25,0),),IF(H1469="SPK",VLOOKUP(I1469,QCSPK,3,),IF(AND(H1469="ATP",OR(I1469="TP",I1469="TDP")),VLOOKUP(E1469,QCATP_P,2,),""))))))))</f>
        <v/>
      </c>
      <c r="W1469" s="31" t="str">
        <f t="shared" si="163"/>
        <v>TRUE</v>
      </c>
      <c r="X1469" s="31" t="str">
        <f t="shared" si="160"/>
        <v/>
      </c>
      <c r="Y1469" s="10" t="s">
        <v>1096</v>
      </c>
      <c r="Z1469" s="10" t="s">
        <v>910</v>
      </c>
      <c r="AL1469" s="10" t="str">
        <f t="shared" si="165"/>
        <v>FALSE</v>
      </c>
      <c r="AM1469" s="10" t="str">
        <f t="shared" si="165"/>
        <v>FALSE</v>
      </c>
      <c r="AN1469" s="10" t="str">
        <f t="shared" si="165"/>
        <v>FALSE</v>
      </c>
      <c r="AO1469" s="10" t="str">
        <f t="shared" si="166"/>
        <v>FALSE</v>
      </c>
      <c r="AP1469" s="10" t="str">
        <f t="shared" si="166"/>
        <v>FALSE</v>
      </c>
      <c r="AQ1469" s="10" t="b">
        <f>IF(AND(I1469="TP",S1469&lt;=150),VLOOKUP(AF1469,TPCalibEq150!$AZ$2:$BB$55,3,),IF(AND(I1469="TDP",S1469&lt;=150),VLOOKUP(AF1469,TPCalibEq150!$AZ$2:$BB$55,3,)))</f>
        <v>0</v>
      </c>
      <c r="AR1469" s="10" t="b">
        <f>IF(AND(I1469="TP",S1469&lt;=300),VLOOKUP(AF1469,TPCalibEq300!$AZ$2:$BB$55,3,),IF(AND(I1469="TDP",S1469&lt;=300),VLOOKUP(AF1469,TPCalibEq300!$AZ$2:$BB$55,3,)))</f>
        <v>0</v>
      </c>
      <c r="AS1469" s="10" t="b">
        <f>IF(AND(I1469="TP",S1469&lt;=500),VLOOKUP(AF1469,TPCalibEq500!$AZ$2:$BB$56,3,),IF(AND(I1469="TDP",S1469&lt;=500),VLOOKUP(AF1469,TPCalibEq500!$AZ$2:$BB$56,3,)))</f>
        <v>0</v>
      </c>
      <c r="AT1469" s="10" t="b">
        <f>IF(AND(I1469="TN",S1469&lt;=2800),VLOOKUP(AF1469,TNCalibEq2500!$AZ$2:$BB$56,3,),IF(AND(I1469="TDN",S1469&lt;=2800),VLOOKUP(AF1469,TNCalibEq2500!$AZ$2:$BB$56,3,)))</f>
        <v>0</v>
      </c>
      <c r="AU1469" s="10" t="b">
        <f>IF(I1469="TP",VLOOKUP(AF1469,TPCalibEqFull!$AZ$2:$BB$56,3),IF(I1469="TDP",VLOOKUP(AF1469,TPCalibEqFull!$AZ$2:$BB$56,3),IF(I1469="TDN",VLOOKUP(AF1469,TNCalibEqFull!$AZ$1:$BB$56,3),IF(I1469="TN",VLOOKUP(AF1469,TNCalibEqFull!$AZ$1:$BB$56,3),FALSE))))</f>
        <v>0</v>
      </c>
      <c r="AV1469" s="10" t="str">
        <f t="shared" si="164"/>
        <v>0123 09:54:00-P04-0-C-1-SW-UKN</v>
      </c>
    </row>
    <row r="1470" spans="1:48" s="10" customFormat="1" x14ac:dyDescent="0.55000000000000004">
      <c r="A1470" s="32">
        <v>44949</v>
      </c>
      <c r="B1470" s="33">
        <v>0.42569444444444443</v>
      </c>
      <c r="C1470" s="10">
        <v>506</v>
      </c>
      <c r="D1470" s="10">
        <v>0</v>
      </c>
      <c r="E1470" s="10" t="s">
        <v>190</v>
      </c>
      <c r="F1470" s="10">
        <v>1</v>
      </c>
      <c r="G1470" s="10" t="s">
        <v>231</v>
      </c>
      <c r="H1470" s="10" t="s">
        <v>322</v>
      </c>
      <c r="I1470" s="10" t="s">
        <v>285</v>
      </c>
      <c r="J1470" s="10">
        <v>19</v>
      </c>
      <c r="K1470" s="12">
        <v>44958</v>
      </c>
      <c r="L1470" s="33">
        <v>0.52378472222222217</v>
      </c>
      <c r="M1470" s="10">
        <v>1</v>
      </c>
      <c r="N1470" s="10" t="s">
        <v>211</v>
      </c>
      <c r="O1470" s="10">
        <v>0.16600000000000001</v>
      </c>
      <c r="P1470" s="10">
        <v>1.54E-2</v>
      </c>
      <c r="Q1470" s="10">
        <v>28.1</v>
      </c>
      <c r="R1470" s="10" t="s">
        <v>913</v>
      </c>
      <c r="S1470" s="34">
        <f t="shared" si="161"/>
        <v>28.1</v>
      </c>
      <c r="T1470" s="10" t="s">
        <v>1111</v>
      </c>
      <c r="U1470" s="34" t="str">
        <f t="shared" si="162"/>
        <v/>
      </c>
      <c r="V1470" s="31" t="str">
        <f>IF(H1470="CHK",VLOOKUP(I1470,QCCHK,3,),IF(H1470="GUP",VLOOKUP(E1470,QCGUP,2,),IF(AND(H1470="ATP",OR(I1470="TN",I1470="TDN",I1470="TNO2-3",I1470="NO2-3")),VLOOKUP(E1470,QCREC_N,2,),IF(AND(H1470="NIC",OR(I1470="TN",I1470="TDN",I1470="TNO2-3",I1470="NO2-3")),VLOOKUP(E1470,QCNIC_N,2,),IF(AND(H1470="UREA",OR(I1470="TN",I1470="TDN",I1470="TNO2-3",I1470="NO2-3")),VLOOKUP(E1470,QCUREA_N,2,),IF(H1470="PER",VLOOKUP(I1470,QCPER,MATCH(E1470,QCACTUAL!$J$25:$AA$25,0),),IF(H1470="SPK",VLOOKUP(I1470,QCSPK,3,),IF(AND(H1470="ATP",OR(I1470="TP",I1470="TDP")),VLOOKUP(E1470,QCATP_P,2,),""))))))))</f>
        <v/>
      </c>
      <c r="W1470" s="31" t="str">
        <f t="shared" si="163"/>
        <v>TRUE</v>
      </c>
      <c r="X1470" s="31" t="str">
        <f t="shared" si="160"/>
        <v/>
      </c>
      <c r="Y1470" s="10" t="s">
        <v>1096</v>
      </c>
      <c r="Z1470" s="10" t="s">
        <v>910</v>
      </c>
      <c r="AL1470" s="10" t="str">
        <f t="shared" si="165"/>
        <v>FALSE</v>
      </c>
      <c r="AM1470" s="10" t="str">
        <f t="shared" si="165"/>
        <v>FALSE</v>
      </c>
      <c r="AN1470" s="10" t="str">
        <f t="shared" si="165"/>
        <v>FALSE</v>
      </c>
      <c r="AO1470" s="10" t="str">
        <f t="shared" si="166"/>
        <v>FALSE</v>
      </c>
      <c r="AP1470" s="10" t="str">
        <f t="shared" si="166"/>
        <v>FALSE</v>
      </c>
      <c r="AQ1470" s="10" t="b">
        <f>IF(AND(I1470="TP",S1470&lt;=150),VLOOKUP(AF1470,TPCalibEq150!$AZ$2:$BB$55,3,),IF(AND(I1470="TDP",S1470&lt;=150),VLOOKUP(AF1470,TPCalibEq150!$AZ$2:$BB$55,3,)))</f>
        <v>0</v>
      </c>
      <c r="AR1470" s="10" t="b">
        <f>IF(AND(I1470="TP",S1470&lt;=300),VLOOKUP(AF1470,TPCalibEq300!$AZ$2:$BB$55,3,),IF(AND(I1470="TDP",S1470&lt;=300),VLOOKUP(AF1470,TPCalibEq300!$AZ$2:$BB$55,3,)))</f>
        <v>0</v>
      </c>
      <c r="AS1470" s="10" t="b">
        <f>IF(AND(I1470="TP",S1470&lt;=500),VLOOKUP(AF1470,TPCalibEq500!$AZ$2:$BB$56,3,),IF(AND(I1470="TDP",S1470&lt;=500),VLOOKUP(AF1470,TPCalibEq500!$AZ$2:$BB$56,3,)))</f>
        <v>0</v>
      </c>
      <c r="AT1470" s="10" t="b">
        <f>IF(AND(I1470="TN",S1470&lt;=2800),VLOOKUP(AF1470,TNCalibEq2500!$AZ$2:$BB$56,3,),IF(AND(I1470="TDN",S1470&lt;=2800),VLOOKUP(AF1470,TNCalibEq2500!$AZ$2:$BB$56,3,)))</f>
        <v>0</v>
      </c>
      <c r="AU1470" s="10" t="b">
        <f>IF(I1470="TP",VLOOKUP(AF1470,TPCalibEqFull!$AZ$2:$BB$56,3),IF(I1470="TDP",VLOOKUP(AF1470,TPCalibEqFull!$AZ$2:$BB$56,3),IF(I1470="TDN",VLOOKUP(AF1470,TNCalibEqFull!$AZ$1:$BB$56,3),IF(I1470="TN",VLOOKUP(AF1470,TNCalibEqFull!$AZ$1:$BB$56,3),FALSE))))</f>
        <v>0</v>
      </c>
      <c r="AV1470" s="10" t="str">
        <f t="shared" si="164"/>
        <v>0123 10:13:00-506-0-C-1-SW-UKN</v>
      </c>
    </row>
    <row r="1471" spans="1:48" s="10" customFormat="1" x14ac:dyDescent="0.55000000000000004">
      <c r="A1471" s="32">
        <v>44949</v>
      </c>
      <c r="B1471" s="33">
        <v>0.43333333333333335</v>
      </c>
      <c r="C1471" s="10" t="s">
        <v>1104</v>
      </c>
      <c r="D1471" s="10">
        <v>0</v>
      </c>
      <c r="E1471" s="10" t="s">
        <v>190</v>
      </c>
      <c r="F1471" s="10">
        <v>1</v>
      </c>
      <c r="G1471" s="10" t="s">
        <v>231</v>
      </c>
      <c r="H1471" s="10" t="s">
        <v>322</v>
      </c>
      <c r="I1471" s="10" t="s">
        <v>285</v>
      </c>
      <c r="J1471" s="10">
        <v>20</v>
      </c>
      <c r="K1471" s="12">
        <v>44958</v>
      </c>
      <c r="L1471" s="33">
        <v>0.52459490740740744</v>
      </c>
      <c r="M1471" s="10">
        <v>1</v>
      </c>
      <c r="N1471" s="10" t="s">
        <v>211</v>
      </c>
      <c r="O1471" s="10">
        <v>0.33500000000000002</v>
      </c>
      <c r="P1471" s="10">
        <v>3.1699999999999999E-2</v>
      </c>
      <c r="Q1471" s="10">
        <v>57.1</v>
      </c>
      <c r="R1471" s="10" t="s">
        <v>913</v>
      </c>
      <c r="S1471" s="34">
        <f t="shared" si="161"/>
        <v>57.1</v>
      </c>
      <c r="T1471" s="10" t="s">
        <v>1111</v>
      </c>
      <c r="U1471" s="34" t="str">
        <f t="shared" si="162"/>
        <v/>
      </c>
      <c r="V1471" s="31" t="str">
        <f>IF(H1471="CHK",VLOOKUP(I1471,QCCHK,3,),IF(H1471="GUP",VLOOKUP(E1471,QCGUP,2,),IF(AND(H1471="ATP",OR(I1471="TN",I1471="TDN",I1471="TNO2-3",I1471="NO2-3")),VLOOKUP(E1471,QCREC_N,2,),IF(AND(H1471="NIC",OR(I1471="TN",I1471="TDN",I1471="TNO2-3",I1471="NO2-3")),VLOOKUP(E1471,QCNIC_N,2,),IF(AND(H1471="UREA",OR(I1471="TN",I1471="TDN",I1471="TNO2-3",I1471="NO2-3")),VLOOKUP(E1471,QCUREA_N,2,),IF(H1471="PER",VLOOKUP(I1471,QCPER,MATCH(E1471,QCACTUAL!$J$25:$AA$25,0),),IF(H1471="SPK",VLOOKUP(I1471,QCSPK,3,),IF(AND(H1471="ATP",OR(I1471="TP",I1471="TDP")),VLOOKUP(E1471,QCATP_P,2,),""))))))))</f>
        <v/>
      </c>
      <c r="W1471" s="31" t="str">
        <f t="shared" si="163"/>
        <v>TRUE</v>
      </c>
      <c r="X1471" s="31" t="str">
        <f t="shared" ref="X1471:X1534" si="167">IF(ISNA(VLOOKUP(H1471,QCEQUATIONS,2,)),"",(VLOOKUP(H1471,QCEQUATIONS,2,)))</f>
        <v/>
      </c>
      <c r="Y1471" s="10" t="s">
        <v>1096</v>
      </c>
      <c r="Z1471" s="10" t="s">
        <v>910</v>
      </c>
      <c r="AL1471" s="10" t="str">
        <f t="shared" si="165"/>
        <v>FALSE</v>
      </c>
      <c r="AM1471" s="10" t="str">
        <f t="shared" si="165"/>
        <v>FALSE</v>
      </c>
      <c r="AN1471" s="10" t="str">
        <f t="shared" si="165"/>
        <v>FALSE</v>
      </c>
      <c r="AO1471" s="10" t="str">
        <f t="shared" si="166"/>
        <v>FALSE</v>
      </c>
      <c r="AP1471" s="10" t="str">
        <f t="shared" si="166"/>
        <v>FALSE</v>
      </c>
      <c r="AQ1471" s="10" t="b">
        <f>IF(AND(I1471="TP",S1471&lt;=150),VLOOKUP(AF1471,TPCalibEq150!$AZ$2:$BB$55,3,),IF(AND(I1471="TDP",S1471&lt;=150),VLOOKUP(AF1471,TPCalibEq150!$AZ$2:$BB$55,3,)))</f>
        <v>0</v>
      </c>
      <c r="AR1471" s="10" t="b">
        <f>IF(AND(I1471="TP",S1471&lt;=300),VLOOKUP(AF1471,TPCalibEq300!$AZ$2:$BB$55,3,),IF(AND(I1471="TDP",S1471&lt;=300),VLOOKUP(AF1471,TPCalibEq300!$AZ$2:$BB$55,3,)))</f>
        <v>0</v>
      </c>
      <c r="AS1471" s="10" t="b">
        <f>IF(AND(I1471="TP",S1471&lt;=500),VLOOKUP(AF1471,TPCalibEq500!$AZ$2:$BB$56,3,),IF(AND(I1471="TDP",S1471&lt;=500),VLOOKUP(AF1471,TPCalibEq500!$AZ$2:$BB$56,3,)))</f>
        <v>0</v>
      </c>
      <c r="AT1471" s="10" t="b">
        <f>IF(AND(I1471="TN",S1471&lt;=2800),VLOOKUP(AF1471,TNCalibEq2500!$AZ$2:$BB$56,3,),IF(AND(I1471="TDN",S1471&lt;=2800),VLOOKUP(AF1471,TNCalibEq2500!$AZ$2:$BB$56,3,)))</f>
        <v>0</v>
      </c>
      <c r="AU1471" s="10" t="b">
        <f>IF(I1471="TP",VLOOKUP(AF1471,TPCalibEqFull!$AZ$2:$BB$56,3),IF(I1471="TDP",VLOOKUP(AF1471,TPCalibEqFull!$AZ$2:$BB$56,3),IF(I1471="TDN",VLOOKUP(AF1471,TNCalibEqFull!$AZ$1:$BB$56,3),IF(I1471="TN",VLOOKUP(AF1471,TNCalibEqFull!$AZ$1:$BB$56,3),FALSE))))</f>
        <v>0</v>
      </c>
      <c r="AV1471" s="10" t="str">
        <f t="shared" si="164"/>
        <v>0123 10:24:00-LBW-0-C-1-SW-UKN</v>
      </c>
    </row>
    <row r="1472" spans="1:48" s="10" customFormat="1" x14ac:dyDescent="0.55000000000000004">
      <c r="A1472" s="32">
        <v>44949</v>
      </c>
      <c r="B1472" s="33">
        <v>0.45</v>
      </c>
      <c r="C1472" s="10" t="s">
        <v>537</v>
      </c>
      <c r="D1472" s="10">
        <v>0</v>
      </c>
      <c r="E1472" s="10" t="s">
        <v>190</v>
      </c>
      <c r="F1472" s="10">
        <v>1</v>
      </c>
      <c r="G1472" s="10" t="s">
        <v>231</v>
      </c>
      <c r="H1472" s="10" t="s">
        <v>322</v>
      </c>
      <c r="I1472" s="10" t="s">
        <v>285</v>
      </c>
      <c r="J1472" s="10">
        <v>21</v>
      </c>
      <c r="K1472" s="12">
        <v>44958</v>
      </c>
      <c r="L1472" s="33">
        <v>0.52541666666666664</v>
      </c>
      <c r="M1472" s="10">
        <v>1</v>
      </c>
      <c r="N1472" s="10" t="s">
        <v>211</v>
      </c>
      <c r="O1472" s="10">
        <v>0.153</v>
      </c>
      <c r="P1472" s="10">
        <v>1.44E-2</v>
      </c>
      <c r="Q1472" s="10">
        <v>25.9</v>
      </c>
      <c r="R1472" s="10" t="s">
        <v>913</v>
      </c>
      <c r="S1472" s="34">
        <f t="shared" ref="S1472:S1535" si="168">IF(OR(AND(I1472&lt;&gt;"TP", I1472&lt;&gt;"TDP",I1472&lt;&gt;"TN", I1472&lt;&gt;"TDN"),H1472="CAL"), Q1472*M1472, IF(OR(AND(I1472="TN", Q1472&gt;2500), AND(I1472="TDN", Q1472&gt;2500)),MAX(Q1472, AK1472)*M1472, IF(OR(AND(I1472="TN", Q1472&lt;=2500), AND(I1472="TDN", Q1472&lt;=2500)),MAX(Q1472, AJ1472,AK1472)*M1472, IF(OR(AND(I1472="TP",Q1472&gt;500), AND(I1472="TDP", Q1472&gt;500)),MAX(Q1472,AK1472)*M1472,IF(OR(AND(I1472="TP",Q1472&lt;=150), AND(I1472="TDP", Q1472&lt;=150)),MAX(Q1472,AG1472:AI1472,AK1472)*M1472,IF(OR(AND(I1472="TP",Q1472&lt;=300), AND(I1472="TDP", Q1472&lt;=300)),MAX(Q1472,AH1472,AI1472,AK1472)*M1472,IF(OR(AND(I1472="TP",Q1472&lt;=500), AND(I1472="TDP", Q1472&lt;=500)),MAX(Q1472,AI1472,AK1472)*M1472,"")))))))</f>
        <v>25.9</v>
      </c>
      <c r="T1472" s="10" t="s">
        <v>1111</v>
      </c>
      <c r="U1472" s="34" t="str">
        <f t="shared" si="162"/>
        <v/>
      </c>
      <c r="V1472" s="31" t="str">
        <f>IF(H1472="CHK",VLOOKUP(I1472,QCCHK,3,),IF(H1472="GUP",VLOOKUP(E1472,QCGUP,2,),IF(AND(H1472="ATP",OR(I1472="TN",I1472="TDN",I1472="TNO2-3",I1472="NO2-3")),VLOOKUP(E1472,QCREC_N,2,),IF(AND(H1472="NIC",OR(I1472="TN",I1472="TDN",I1472="TNO2-3",I1472="NO2-3")),VLOOKUP(E1472,QCNIC_N,2,),IF(AND(H1472="UREA",OR(I1472="TN",I1472="TDN",I1472="TNO2-3",I1472="NO2-3")),VLOOKUP(E1472,QCUREA_N,2,),IF(H1472="PER",VLOOKUP(I1472,QCPER,MATCH(E1472,QCACTUAL!$J$25:$AA$25,0),),IF(H1472="SPK",VLOOKUP(I1472,QCSPK,3,),IF(AND(H1472="ATP",OR(I1472="TP",I1472="TDP")),VLOOKUP(E1472,QCATP_P,2,),""))))))))</f>
        <v/>
      </c>
      <c r="W1472" s="31" t="str">
        <f t="shared" si="163"/>
        <v>TRUE</v>
      </c>
      <c r="X1472" s="31" t="str">
        <f t="shared" si="167"/>
        <v/>
      </c>
      <c r="Y1472" s="10" t="s">
        <v>1096</v>
      </c>
      <c r="Z1472" s="10" t="s">
        <v>910</v>
      </c>
      <c r="AL1472" s="10" t="str">
        <f t="shared" si="165"/>
        <v>FALSE</v>
      </c>
      <c r="AM1472" s="10" t="str">
        <f t="shared" si="165"/>
        <v>FALSE</v>
      </c>
      <c r="AN1472" s="10" t="str">
        <f t="shared" si="165"/>
        <v>FALSE</v>
      </c>
      <c r="AO1472" s="10" t="str">
        <f t="shared" si="166"/>
        <v>FALSE</v>
      </c>
      <c r="AP1472" s="10" t="str">
        <f t="shared" si="166"/>
        <v>FALSE</v>
      </c>
      <c r="AQ1472" s="10" t="b">
        <f>IF(AND(I1472="TP",S1472&lt;=150),VLOOKUP(AF1472,TPCalibEq150!$AZ$2:$BB$55,3,),IF(AND(I1472="TDP",S1472&lt;=150),VLOOKUP(AF1472,TPCalibEq150!$AZ$2:$BB$55,3,)))</f>
        <v>0</v>
      </c>
      <c r="AR1472" s="10" t="b">
        <f>IF(AND(I1472="TP",S1472&lt;=300),VLOOKUP(AF1472,TPCalibEq300!$AZ$2:$BB$55,3,),IF(AND(I1472="TDP",S1472&lt;=300),VLOOKUP(AF1472,TPCalibEq300!$AZ$2:$BB$55,3,)))</f>
        <v>0</v>
      </c>
      <c r="AS1472" s="10" t="b">
        <f>IF(AND(I1472="TP",S1472&lt;=500),VLOOKUP(AF1472,TPCalibEq500!$AZ$2:$BB$56,3,),IF(AND(I1472="TDP",S1472&lt;=500),VLOOKUP(AF1472,TPCalibEq500!$AZ$2:$BB$56,3,)))</f>
        <v>0</v>
      </c>
      <c r="AT1472" s="10" t="b">
        <f>IF(AND(I1472="TN",S1472&lt;=2800),VLOOKUP(AF1472,TNCalibEq2500!$AZ$2:$BB$56,3,),IF(AND(I1472="TDN",S1472&lt;=2800),VLOOKUP(AF1472,TNCalibEq2500!$AZ$2:$BB$56,3,)))</f>
        <v>0</v>
      </c>
      <c r="AU1472" s="10" t="b">
        <f>IF(I1472="TP",VLOOKUP(AF1472,TPCalibEqFull!$AZ$2:$BB$56,3),IF(I1472="TDP",VLOOKUP(AF1472,TPCalibEqFull!$AZ$2:$BB$56,3),IF(I1472="TDN",VLOOKUP(AF1472,TNCalibEqFull!$AZ$1:$BB$56,3),IF(I1472="TN",VLOOKUP(AF1472,TNCalibEqFull!$AZ$1:$BB$56,3),FALSE))))</f>
        <v>0</v>
      </c>
      <c r="AV1472" s="10" t="str">
        <f t="shared" si="164"/>
        <v>0123 10:48:00-S51-0-C-1-SW-UKN</v>
      </c>
    </row>
    <row r="1473" spans="1:48" s="10" customFormat="1" x14ac:dyDescent="0.55000000000000004">
      <c r="A1473" s="32">
        <v>44949</v>
      </c>
      <c r="B1473" s="33">
        <v>0.46736111111111112</v>
      </c>
      <c r="C1473" s="10">
        <v>890</v>
      </c>
      <c r="D1473" s="10">
        <v>0</v>
      </c>
      <c r="E1473" s="10" t="s">
        <v>190</v>
      </c>
      <c r="F1473" s="10">
        <v>1</v>
      </c>
      <c r="G1473" s="10" t="s">
        <v>231</v>
      </c>
      <c r="H1473" s="10" t="s">
        <v>322</v>
      </c>
      <c r="I1473" s="10" t="s">
        <v>285</v>
      </c>
      <c r="J1473" s="10">
        <v>22</v>
      </c>
      <c r="K1473" s="12">
        <v>44958</v>
      </c>
      <c r="L1473" s="33">
        <v>0.52623842592592596</v>
      </c>
      <c r="M1473" s="10">
        <v>1</v>
      </c>
      <c r="N1473" s="10" t="s">
        <v>211</v>
      </c>
      <c r="O1473" s="10">
        <v>0.182</v>
      </c>
      <c r="P1473" s="10">
        <v>1.7500000000000002E-2</v>
      </c>
      <c r="Q1473" s="10">
        <v>30.8</v>
      </c>
      <c r="R1473" s="10" t="s">
        <v>913</v>
      </c>
      <c r="S1473" s="34">
        <f t="shared" si="168"/>
        <v>30.8</v>
      </c>
      <c r="T1473" s="10" t="s">
        <v>1111</v>
      </c>
      <c r="U1473" s="34" t="str">
        <f t="shared" si="162"/>
        <v/>
      </c>
      <c r="V1473" s="31" t="str">
        <f>IF(H1473="CHK",VLOOKUP(I1473,QCCHK,3,),IF(H1473="GUP",VLOOKUP(E1473,QCGUP,2,),IF(AND(H1473="ATP",OR(I1473="TN",I1473="TDN",I1473="TNO2-3",I1473="NO2-3")),VLOOKUP(E1473,QCREC_N,2,),IF(AND(H1473="NIC",OR(I1473="TN",I1473="TDN",I1473="TNO2-3",I1473="NO2-3")),VLOOKUP(E1473,QCNIC_N,2,),IF(AND(H1473="UREA",OR(I1473="TN",I1473="TDN",I1473="TNO2-3",I1473="NO2-3")),VLOOKUP(E1473,QCUREA_N,2,),IF(H1473="PER",VLOOKUP(I1473,QCPER,MATCH(E1473,QCACTUAL!$J$25:$AA$25,0),),IF(H1473="SPK",VLOOKUP(I1473,QCSPK,3,),IF(AND(H1473="ATP",OR(I1473="TP",I1473="TDP")),VLOOKUP(E1473,QCATP_P,2,),""))))))))</f>
        <v/>
      </c>
      <c r="W1473" s="31" t="str">
        <f t="shared" si="163"/>
        <v>TRUE</v>
      </c>
      <c r="X1473" s="31" t="str">
        <f t="shared" si="167"/>
        <v/>
      </c>
      <c r="Y1473" s="10" t="s">
        <v>1096</v>
      </c>
      <c r="Z1473" s="10" t="s">
        <v>910</v>
      </c>
      <c r="AL1473" s="10" t="str">
        <f t="shared" si="165"/>
        <v>FALSE</v>
      </c>
      <c r="AM1473" s="10" t="str">
        <f t="shared" si="165"/>
        <v>FALSE</v>
      </c>
      <c r="AN1473" s="10" t="str">
        <f t="shared" si="165"/>
        <v>FALSE</v>
      </c>
      <c r="AO1473" s="10" t="str">
        <f t="shared" si="166"/>
        <v>FALSE</v>
      </c>
      <c r="AP1473" s="10" t="str">
        <f t="shared" si="166"/>
        <v>FALSE</v>
      </c>
      <c r="AQ1473" s="10" t="b">
        <f>IF(AND(I1473="TP",S1473&lt;=150),VLOOKUP(AF1473,TPCalibEq150!$AZ$2:$BB$55,3,),IF(AND(I1473="TDP",S1473&lt;=150),VLOOKUP(AF1473,TPCalibEq150!$AZ$2:$BB$55,3,)))</f>
        <v>0</v>
      </c>
      <c r="AR1473" s="10" t="b">
        <f>IF(AND(I1473="TP",S1473&lt;=300),VLOOKUP(AF1473,TPCalibEq300!$AZ$2:$BB$55,3,),IF(AND(I1473="TDP",S1473&lt;=300),VLOOKUP(AF1473,TPCalibEq300!$AZ$2:$BB$55,3,)))</f>
        <v>0</v>
      </c>
      <c r="AS1473" s="10" t="b">
        <f>IF(AND(I1473="TP",S1473&lt;=500),VLOOKUP(AF1473,TPCalibEq500!$AZ$2:$BB$56,3,),IF(AND(I1473="TDP",S1473&lt;=500),VLOOKUP(AF1473,TPCalibEq500!$AZ$2:$BB$56,3,)))</f>
        <v>0</v>
      </c>
      <c r="AT1473" s="10" t="b">
        <f>IF(AND(I1473="TN",S1473&lt;=2800),VLOOKUP(AF1473,TNCalibEq2500!$AZ$2:$BB$56,3,),IF(AND(I1473="TDN",S1473&lt;=2800),VLOOKUP(AF1473,TNCalibEq2500!$AZ$2:$BB$56,3,)))</f>
        <v>0</v>
      </c>
      <c r="AU1473" s="10" t="b">
        <f>IF(I1473="TP",VLOOKUP(AF1473,TPCalibEqFull!$AZ$2:$BB$56,3),IF(I1473="TDP",VLOOKUP(AF1473,TPCalibEqFull!$AZ$2:$BB$56,3),IF(I1473="TDN",VLOOKUP(AF1473,TNCalibEqFull!$AZ$1:$BB$56,3),IF(I1473="TN",VLOOKUP(AF1473,TNCalibEqFull!$AZ$1:$BB$56,3),FALSE))))</f>
        <v>0</v>
      </c>
      <c r="AV1473" s="10" t="str">
        <f t="shared" si="164"/>
        <v>0123 11:13:00-890-0-C-1-SW-UKN</v>
      </c>
    </row>
    <row r="1474" spans="1:48" s="10" customFormat="1" x14ac:dyDescent="0.55000000000000004">
      <c r="A1474" s="32">
        <v>44949</v>
      </c>
      <c r="B1474" s="33">
        <v>0.4861111111111111</v>
      </c>
      <c r="C1474" s="10" t="s">
        <v>437</v>
      </c>
      <c r="D1474" s="10">
        <v>0</v>
      </c>
      <c r="E1474" s="10" t="s">
        <v>190</v>
      </c>
      <c r="F1474" s="10">
        <v>1</v>
      </c>
      <c r="G1474" s="10" t="s">
        <v>231</v>
      </c>
      <c r="H1474" s="10" t="s">
        <v>322</v>
      </c>
      <c r="I1474" s="10" t="s">
        <v>285</v>
      </c>
      <c r="J1474" s="10">
        <v>23</v>
      </c>
      <c r="K1474" s="12">
        <v>44958</v>
      </c>
      <c r="L1474" s="33">
        <v>0.52706018518518516</v>
      </c>
      <c r="M1474" s="10">
        <v>1</v>
      </c>
      <c r="N1474" s="10" t="s">
        <v>211</v>
      </c>
      <c r="O1474" s="10">
        <v>0.95</v>
      </c>
      <c r="P1474" s="10">
        <v>9.1999999999999998E-2</v>
      </c>
      <c r="Q1474" s="10">
        <v>163</v>
      </c>
      <c r="R1474" s="10" t="s">
        <v>913</v>
      </c>
      <c r="S1474" s="34">
        <f t="shared" si="168"/>
        <v>163</v>
      </c>
      <c r="T1474" s="10" t="s">
        <v>1111</v>
      </c>
      <c r="U1474" s="34" t="str">
        <f t="shared" ref="U1474:U1537" si="169">IF(OR(H1474="CHK",H1474="ATP",H1474="GUP",H1474="PER", H1474="NIC", H1474="UREA"),(S1474/V1474*100),IF(H1474="DUP",((ABS(S1474-S1473))/((S1473+S1474)/2))*100,IF(H1474="SPK",((S1474-S1473)/V1474*100),IF(OR(H1474="LAB",H1474="FLD",H1474="ESF"),S1474,""))))</f>
        <v/>
      </c>
      <c r="V1474" s="31" t="str">
        <f>IF(H1474="CHK",VLOOKUP(I1474,QCCHK,3,),IF(H1474="GUP",VLOOKUP(E1474,QCGUP,2,),IF(AND(H1474="ATP",OR(I1474="TN",I1474="TDN",I1474="TNO2-3",I1474="NO2-3")),VLOOKUP(E1474,QCREC_N,2,),IF(AND(H1474="NIC",OR(I1474="TN",I1474="TDN",I1474="TNO2-3",I1474="NO2-3")),VLOOKUP(E1474,QCNIC_N,2,),IF(AND(H1474="UREA",OR(I1474="TN",I1474="TDN",I1474="TNO2-3",I1474="NO2-3")),VLOOKUP(E1474,QCUREA_N,2,),IF(H1474="PER",VLOOKUP(I1474,QCPER,MATCH(E1474,QCACTUAL!$J$25:$AA$25,0),),IF(H1474="SPK",VLOOKUP(I1474,QCSPK,3,),IF(AND(H1474="ATP",OR(I1474="TP",I1474="TDP")),VLOOKUP(E1474,QCATP_P,2,),""))))))))</f>
        <v/>
      </c>
      <c r="W1474" s="31" t="str">
        <f t="shared" ref="W1474:W1537" si="170">IF(AND(OR(H1474="PER",H1474="ATP",H1474="GUP",H1474="CHK",H1474="SPK", H1474="NIC"),OR(U1474&gt;125,U1474&lt;75)),"FALSE",IF(AND(H1474="DUP",OR(U1474&gt;25, U1474&lt;-25)),"FALSE",IF(AND(OR(H1474="LAB",H1474="FLD",H1474="ESF"),U1474&gt;15),"FALSE","TRUE")))</f>
        <v>TRUE</v>
      </c>
      <c r="X1474" s="31" t="str">
        <f t="shared" si="167"/>
        <v/>
      </c>
      <c r="Y1474" s="10" t="s">
        <v>1096</v>
      </c>
      <c r="Z1474" s="10" t="s">
        <v>910</v>
      </c>
      <c r="AL1474" s="10" t="str">
        <f t="shared" si="165"/>
        <v>FALSE</v>
      </c>
      <c r="AM1474" s="10" t="str">
        <f t="shared" si="165"/>
        <v>FALSE</v>
      </c>
      <c r="AN1474" s="10" t="str">
        <f t="shared" si="165"/>
        <v>FALSE</v>
      </c>
      <c r="AO1474" s="10" t="str">
        <f t="shared" si="166"/>
        <v>FALSE</v>
      </c>
      <c r="AP1474" s="10" t="str">
        <f t="shared" si="166"/>
        <v>FALSE</v>
      </c>
      <c r="AQ1474" s="10" t="b">
        <f>IF(AND(I1474="TP",S1474&lt;=150),VLOOKUP(AF1474,TPCalibEq150!$AZ$2:$BB$55,3,),IF(AND(I1474="TDP",S1474&lt;=150),VLOOKUP(AF1474,TPCalibEq150!$AZ$2:$BB$55,3,)))</f>
        <v>0</v>
      </c>
      <c r="AR1474" s="10" t="b">
        <f>IF(AND(I1474="TP",S1474&lt;=300),VLOOKUP(AF1474,TPCalibEq300!$AZ$2:$BB$55,3,),IF(AND(I1474="TDP",S1474&lt;=300),VLOOKUP(AF1474,TPCalibEq300!$AZ$2:$BB$55,3,)))</f>
        <v>0</v>
      </c>
      <c r="AS1474" s="10" t="b">
        <f>IF(AND(I1474="TP",S1474&lt;=500),VLOOKUP(AF1474,TPCalibEq500!$AZ$2:$BB$56,3,),IF(AND(I1474="TDP",S1474&lt;=500),VLOOKUP(AF1474,TPCalibEq500!$AZ$2:$BB$56,3,)))</f>
        <v>0</v>
      </c>
      <c r="AT1474" s="10" t="b">
        <f>IF(AND(I1474="TN",S1474&lt;=2800),VLOOKUP(AF1474,TNCalibEq2500!$AZ$2:$BB$56,3,),IF(AND(I1474="TDN",S1474&lt;=2800),VLOOKUP(AF1474,TNCalibEq2500!$AZ$2:$BB$56,3,)))</f>
        <v>0</v>
      </c>
      <c r="AU1474" s="10" t="b">
        <f>IF(I1474="TP",VLOOKUP(AF1474,TPCalibEqFull!$AZ$2:$BB$56,3),IF(I1474="TDP",VLOOKUP(AF1474,TPCalibEqFull!$AZ$2:$BB$56,3),IF(I1474="TDN",VLOOKUP(AF1474,TNCalibEqFull!$AZ$1:$BB$56,3),IF(I1474="TN",VLOOKUP(AF1474,TNCalibEqFull!$AZ$1:$BB$56,3),FALSE))))</f>
        <v>0</v>
      </c>
      <c r="AV1474" s="10" t="str">
        <f t="shared" ref="AV1474:AV1537" si="171">TEXT(A1474, "MMDD")&amp;" "&amp;TEXT(B1474, "HH:MM:SS")&amp;"-"&amp;C1474&amp;"-"&amp;D1474&amp;"-"&amp;E1474&amp;"-"&amp;F1474&amp;"-"&amp;G1474&amp;"-"&amp;H1474</f>
        <v>0123 11:40:00-FVM-0-C-1-SW-UKN</v>
      </c>
    </row>
    <row r="1475" spans="1:48" s="10" customFormat="1" x14ac:dyDescent="0.55000000000000004">
      <c r="A1475" s="32">
        <v>44949</v>
      </c>
      <c r="B1475" s="33">
        <v>0.4861111111111111</v>
      </c>
      <c r="C1475" s="10" t="s">
        <v>437</v>
      </c>
      <c r="D1475" s="10">
        <v>0</v>
      </c>
      <c r="E1475" s="10" t="s">
        <v>190</v>
      </c>
      <c r="F1475" s="10">
        <v>2</v>
      </c>
      <c r="G1475" s="10" t="s">
        <v>231</v>
      </c>
      <c r="H1475" s="10" t="s">
        <v>322</v>
      </c>
      <c r="I1475" s="10" t="s">
        <v>285</v>
      </c>
      <c r="J1475" s="10">
        <v>24</v>
      </c>
      <c r="K1475" s="12">
        <v>44958</v>
      </c>
      <c r="L1475" s="33">
        <v>0.52787037037037032</v>
      </c>
      <c r="M1475" s="10">
        <v>1</v>
      </c>
      <c r="N1475" s="10" t="s">
        <v>211</v>
      </c>
      <c r="O1475" s="10">
        <v>1.1000000000000001</v>
      </c>
      <c r="P1475" s="10">
        <v>0.105</v>
      </c>
      <c r="Q1475" s="10">
        <v>190</v>
      </c>
      <c r="R1475" s="10" t="s">
        <v>913</v>
      </c>
      <c r="S1475" s="34">
        <f t="shared" si="168"/>
        <v>190</v>
      </c>
      <c r="T1475" s="10" t="s">
        <v>1111</v>
      </c>
      <c r="U1475" s="34" t="str">
        <f t="shared" si="169"/>
        <v/>
      </c>
      <c r="V1475" s="31" t="str">
        <f>IF(H1475="CHK",VLOOKUP(I1475,QCCHK,3,),IF(H1475="GUP",VLOOKUP(E1475,QCGUP,2,),IF(AND(H1475="ATP",OR(I1475="TN",I1475="TDN",I1475="TNO2-3",I1475="NO2-3")),VLOOKUP(E1475,QCREC_N,2,),IF(AND(H1475="NIC",OR(I1475="TN",I1475="TDN",I1475="TNO2-3",I1475="NO2-3")),VLOOKUP(E1475,QCNIC_N,2,),IF(AND(H1475="UREA",OR(I1475="TN",I1475="TDN",I1475="TNO2-3",I1475="NO2-3")),VLOOKUP(E1475,QCUREA_N,2,),IF(H1475="PER",VLOOKUP(I1475,QCPER,MATCH(E1475,QCACTUAL!$J$25:$AA$25,0),),IF(H1475="SPK",VLOOKUP(I1475,QCSPK,3,),IF(AND(H1475="ATP",OR(I1475="TP",I1475="TDP")),VLOOKUP(E1475,QCATP_P,2,),""))))))))</f>
        <v/>
      </c>
      <c r="W1475" s="31" t="str">
        <f t="shared" si="170"/>
        <v>TRUE</v>
      </c>
      <c r="X1475" s="31" t="str">
        <f t="shared" si="167"/>
        <v/>
      </c>
      <c r="Y1475" s="10" t="s">
        <v>1096</v>
      </c>
      <c r="Z1475" s="10" t="s">
        <v>910</v>
      </c>
      <c r="AL1475" s="10" t="str">
        <f t="shared" si="165"/>
        <v>FALSE</v>
      </c>
      <c r="AM1475" s="10" t="str">
        <f t="shared" si="165"/>
        <v>FALSE</v>
      </c>
      <c r="AN1475" s="10" t="str">
        <f t="shared" si="165"/>
        <v>FALSE</v>
      </c>
      <c r="AO1475" s="10" t="str">
        <f t="shared" si="166"/>
        <v>FALSE</v>
      </c>
      <c r="AP1475" s="10" t="str">
        <f t="shared" si="166"/>
        <v>FALSE</v>
      </c>
      <c r="AQ1475" s="10" t="b">
        <f>IF(AND(I1475="TP",S1475&lt;=150),VLOOKUP(AF1475,TPCalibEq150!$AZ$2:$BB$55,3,),IF(AND(I1475="TDP",S1475&lt;=150),VLOOKUP(AF1475,TPCalibEq150!$AZ$2:$BB$55,3,)))</f>
        <v>0</v>
      </c>
      <c r="AR1475" s="10" t="b">
        <f>IF(AND(I1475="TP",S1475&lt;=300),VLOOKUP(AF1475,TPCalibEq300!$AZ$2:$BB$55,3,),IF(AND(I1475="TDP",S1475&lt;=300),VLOOKUP(AF1475,TPCalibEq300!$AZ$2:$BB$55,3,)))</f>
        <v>0</v>
      </c>
      <c r="AS1475" s="10" t="b">
        <f>IF(AND(I1475="TP",S1475&lt;=500),VLOOKUP(AF1475,TPCalibEq500!$AZ$2:$BB$56,3,),IF(AND(I1475="TDP",S1475&lt;=500),VLOOKUP(AF1475,TPCalibEq500!$AZ$2:$BB$56,3,)))</f>
        <v>0</v>
      </c>
      <c r="AT1475" s="10" t="b">
        <f>IF(AND(I1475="TN",S1475&lt;=2800),VLOOKUP(AF1475,TNCalibEq2500!$AZ$2:$BB$56,3,),IF(AND(I1475="TDN",S1475&lt;=2800),VLOOKUP(AF1475,TNCalibEq2500!$AZ$2:$BB$56,3,)))</f>
        <v>0</v>
      </c>
      <c r="AU1475" s="10" t="b">
        <f>IF(I1475="TP",VLOOKUP(AF1475,TPCalibEqFull!$AZ$2:$BB$56,3),IF(I1475="TDP",VLOOKUP(AF1475,TPCalibEqFull!$AZ$2:$BB$56,3),IF(I1475="TDN",VLOOKUP(AF1475,TNCalibEqFull!$AZ$1:$BB$56,3),IF(I1475="TN",VLOOKUP(AF1475,TNCalibEqFull!$AZ$1:$BB$56,3),FALSE))))</f>
        <v>0</v>
      </c>
      <c r="AV1475" s="10" t="str">
        <f t="shared" si="171"/>
        <v>0123 11:40:00-FVM-0-C-2-SW-UKN</v>
      </c>
    </row>
    <row r="1476" spans="1:48" s="10" customFormat="1" x14ac:dyDescent="0.55000000000000004">
      <c r="A1476" s="32">
        <v>44949</v>
      </c>
      <c r="B1476" s="33">
        <v>0.4861111111111111</v>
      </c>
      <c r="C1476" s="10" t="s">
        <v>437</v>
      </c>
      <c r="D1476" s="10">
        <v>0</v>
      </c>
      <c r="E1476" s="10" t="s">
        <v>190</v>
      </c>
      <c r="F1476" s="10">
        <v>2</v>
      </c>
      <c r="G1476" s="10" t="s">
        <v>231</v>
      </c>
      <c r="H1476" s="10" t="s">
        <v>233</v>
      </c>
      <c r="I1476" s="10" t="s">
        <v>285</v>
      </c>
      <c r="J1476" s="10">
        <v>24</v>
      </c>
      <c r="K1476" s="12">
        <v>44958</v>
      </c>
      <c r="L1476" s="33">
        <v>0.52868055555555549</v>
      </c>
      <c r="M1476" s="10">
        <v>1</v>
      </c>
      <c r="N1476" s="10" t="s">
        <v>211</v>
      </c>
      <c r="O1476" s="10">
        <v>0.84099999999999997</v>
      </c>
      <c r="P1476" s="10">
        <v>8.1100000000000005E-2</v>
      </c>
      <c r="Q1476" s="10">
        <v>144</v>
      </c>
      <c r="R1476" s="10" t="s">
        <v>913</v>
      </c>
      <c r="S1476" s="34">
        <f t="shared" si="168"/>
        <v>144</v>
      </c>
      <c r="T1476" s="10" t="s">
        <v>1111</v>
      </c>
      <c r="U1476" s="34">
        <f t="shared" si="169"/>
        <v>27.54491017964072</v>
      </c>
      <c r="V1476" s="31" t="str">
        <f>IF(H1476="CHK",VLOOKUP(I1476,QCCHK,3,),IF(H1476="GUP",VLOOKUP(E1476,QCGUP,2,),IF(AND(H1476="ATP",OR(I1476="TN",I1476="TDN",I1476="TNO2-3",I1476="NO2-3")),VLOOKUP(E1476,QCREC_N,2,),IF(AND(H1476="NIC",OR(I1476="TN",I1476="TDN",I1476="TNO2-3",I1476="NO2-3")),VLOOKUP(E1476,QCNIC_N,2,),IF(AND(H1476="UREA",OR(I1476="TN",I1476="TDN",I1476="TNO2-3",I1476="NO2-3")),VLOOKUP(E1476,QCUREA_N,2,),IF(H1476="PER",VLOOKUP(I1476,QCPER,MATCH(E1476,QCACTUAL!$J$25:$AA$25,0),),IF(H1476="SPK",VLOOKUP(I1476,QCSPK,3,),IF(AND(H1476="ATP",OR(I1476="TP",I1476="TDP")),VLOOKUP(E1476,QCATP_P,2,),""))))))))</f>
        <v/>
      </c>
      <c r="W1476" s="31" t="str">
        <f t="shared" si="170"/>
        <v>FALSE</v>
      </c>
      <c r="X1476" s="31" t="str">
        <f t="shared" si="167"/>
        <v>((ABS(rep1-rep2))/((rep1+rep2)/2)*100</v>
      </c>
      <c r="Y1476" s="10" t="s">
        <v>1096</v>
      </c>
      <c r="Z1476" s="10" t="s">
        <v>910</v>
      </c>
      <c r="AL1476" s="10" t="str">
        <f t="shared" si="165"/>
        <v>FALSE</v>
      </c>
      <c r="AM1476" s="10" t="str">
        <f t="shared" si="165"/>
        <v>FALSE</v>
      </c>
      <c r="AN1476" s="10" t="str">
        <f t="shared" si="165"/>
        <v>FALSE</v>
      </c>
      <c r="AO1476" s="10" t="str">
        <f t="shared" si="166"/>
        <v>FALSE</v>
      </c>
      <c r="AP1476" s="10" t="str">
        <f t="shared" si="166"/>
        <v>FALSE</v>
      </c>
      <c r="AQ1476" s="10" t="b">
        <f>IF(AND(I1476="TP",S1476&lt;=150),VLOOKUP(AF1476,TPCalibEq150!$AZ$2:$BB$55,3,),IF(AND(I1476="TDP",S1476&lt;=150),VLOOKUP(AF1476,TPCalibEq150!$AZ$2:$BB$55,3,)))</f>
        <v>0</v>
      </c>
      <c r="AR1476" s="10" t="b">
        <f>IF(AND(I1476="TP",S1476&lt;=300),VLOOKUP(AF1476,TPCalibEq300!$AZ$2:$BB$55,3,),IF(AND(I1476="TDP",S1476&lt;=300),VLOOKUP(AF1476,TPCalibEq300!$AZ$2:$BB$55,3,)))</f>
        <v>0</v>
      </c>
      <c r="AS1476" s="10" t="b">
        <f>IF(AND(I1476="TP",S1476&lt;=500),VLOOKUP(AF1476,TPCalibEq500!$AZ$2:$BB$56,3,),IF(AND(I1476="TDP",S1476&lt;=500),VLOOKUP(AF1476,TPCalibEq500!$AZ$2:$BB$56,3,)))</f>
        <v>0</v>
      </c>
      <c r="AT1476" s="10" t="b">
        <f>IF(AND(I1476="TN",S1476&lt;=2800),VLOOKUP(AF1476,TNCalibEq2500!$AZ$2:$BB$56,3,),IF(AND(I1476="TDN",S1476&lt;=2800),VLOOKUP(AF1476,TNCalibEq2500!$AZ$2:$BB$56,3,)))</f>
        <v>0</v>
      </c>
      <c r="AU1476" s="10" t="b">
        <f>IF(I1476="TP",VLOOKUP(AF1476,TPCalibEqFull!$AZ$2:$BB$56,3),IF(I1476="TDP",VLOOKUP(AF1476,TPCalibEqFull!$AZ$2:$BB$56,3),IF(I1476="TDN",VLOOKUP(AF1476,TNCalibEqFull!$AZ$1:$BB$56,3),IF(I1476="TN",VLOOKUP(AF1476,TNCalibEqFull!$AZ$1:$BB$56,3),FALSE))))</f>
        <v>0</v>
      </c>
      <c r="AV1476" s="10" t="str">
        <f t="shared" si="171"/>
        <v>0123 11:40:00-FVM-0-C-2-SW-DUP</v>
      </c>
    </row>
    <row r="1477" spans="1:48" s="10" customFormat="1" x14ac:dyDescent="0.55000000000000004">
      <c r="A1477" s="32">
        <v>44949</v>
      </c>
      <c r="B1477" s="33">
        <v>0.4861111111111111</v>
      </c>
      <c r="C1477" s="10" t="s">
        <v>437</v>
      </c>
      <c r="D1477" s="10">
        <v>0</v>
      </c>
      <c r="E1477" s="10" t="s">
        <v>190</v>
      </c>
      <c r="F1477" s="10">
        <v>2</v>
      </c>
      <c r="G1477" s="10" t="s">
        <v>231</v>
      </c>
      <c r="H1477" s="10" t="s">
        <v>314</v>
      </c>
      <c r="I1477" s="10" t="s">
        <v>285</v>
      </c>
      <c r="J1477" s="10">
        <v>83</v>
      </c>
      <c r="K1477" s="12">
        <v>44958</v>
      </c>
      <c r="L1477" s="33">
        <v>0.5295023148148148</v>
      </c>
      <c r="M1477" s="10">
        <v>1</v>
      </c>
      <c r="N1477" s="10" t="s">
        <v>211</v>
      </c>
      <c r="O1477" s="10">
        <v>2.02</v>
      </c>
      <c r="P1477" s="10">
        <v>0.19900000000000001</v>
      </c>
      <c r="Q1477" s="10">
        <v>348</v>
      </c>
      <c r="R1477" s="10" t="s">
        <v>913</v>
      </c>
      <c r="S1477" s="34">
        <f t="shared" si="168"/>
        <v>348</v>
      </c>
      <c r="T1477" s="10" t="s">
        <v>1111</v>
      </c>
      <c r="U1477" s="34">
        <f t="shared" si="169"/>
        <v>130.56</v>
      </c>
      <c r="V1477" s="31">
        <f>IF(H1477="CHK",VLOOKUP(I1477,QCCHK,3,),IF(H1477="GUP",VLOOKUP(E1477,QCGUP,2,),IF(AND(H1477="ATP",OR(I1477="TN",I1477="TDN",I1477="TNO2-3",I1477="NO2-3")),VLOOKUP(E1477,QCREC_N,2,),IF(AND(H1477="NIC",OR(I1477="TN",I1477="TDN",I1477="TNO2-3",I1477="NO2-3")),VLOOKUP(E1477,QCNIC_N,2,),IF(AND(H1477="UREA",OR(I1477="TN",I1477="TDN",I1477="TNO2-3",I1477="NO2-3")),VLOOKUP(E1477,QCUREA_N,2,),IF(H1477="PER",VLOOKUP(I1477,QCPER,MATCH(E1477,QCACTUAL!$J$25:$AA$25,0),),IF(H1477="SPK",VLOOKUP(I1477,QCSPK,3,),IF(AND(H1477="ATP",OR(I1477="TP",I1477="TDP")),VLOOKUP(E1477,QCATP_P,2,),""))))))))</f>
        <v>156.25</v>
      </c>
      <c r="W1477" s="31" t="str">
        <f t="shared" si="170"/>
        <v>FALSE</v>
      </c>
      <c r="X1477" s="31" t="str">
        <f t="shared" si="167"/>
        <v>([spikedunkn]-[unkn])/[spike]*100</v>
      </c>
      <c r="Y1477" s="10" t="s">
        <v>1096</v>
      </c>
      <c r="Z1477" s="10" t="s">
        <v>910</v>
      </c>
      <c r="AL1477" s="10" t="str">
        <f t="shared" si="165"/>
        <v>FALSE</v>
      </c>
      <c r="AM1477" s="10" t="str">
        <f t="shared" si="165"/>
        <v>FALSE</v>
      </c>
      <c r="AN1477" s="10" t="str">
        <f t="shared" si="165"/>
        <v>FALSE</v>
      </c>
      <c r="AO1477" s="10" t="str">
        <f t="shared" si="166"/>
        <v>FALSE</v>
      </c>
      <c r="AP1477" s="10" t="str">
        <f t="shared" si="166"/>
        <v>FALSE</v>
      </c>
      <c r="AQ1477" s="10" t="b">
        <f>IF(AND(I1477="TP",S1477&lt;=150),VLOOKUP(AF1477,TPCalibEq150!$AZ$2:$BB$55,3,),IF(AND(I1477="TDP",S1477&lt;=150),VLOOKUP(AF1477,TPCalibEq150!$AZ$2:$BB$55,3,)))</f>
        <v>0</v>
      </c>
      <c r="AR1477" s="10" t="b">
        <f>IF(AND(I1477="TP",S1477&lt;=300),VLOOKUP(AF1477,TPCalibEq300!$AZ$2:$BB$55,3,),IF(AND(I1477="TDP",S1477&lt;=300),VLOOKUP(AF1477,TPCalibEq300!$AZ$2:$BB$55,3,)))</f>
        <v>0</v>
      </c>
      <c r="AS1477" s="10" t="b">
        <f>IF(AND(I1477="TP",S1477&lt;=500),VLOOKUP(AF1477,TPCalibEq500!$AZ$2:$BB$56,3,),IF(AND(I1477="TDP",S1477&lt;=500),VLOOKUP(AF1477,TPCalibEq500!$AZ$2:$BB$56,3,)))</f>
        <v>0</v>
      </c>
      <c r="AT1477" s="10" t="b">
        <f>IF(AND(I1477="TN",S1477&lt;=2800),VLOOKUP(AF1477,TNCalibEq2500!$AZ$2:$BB$56,3,),IF(AND(I1477="TDN",S1477&lt;=2800),VLOOKUP(AF1477,TNCalibEq2500!$AZ$2:$BB$56,3,)))</f>
        <v>0</v>
      </c>
      <c r="AU1477" s="10" t="b">
        <f>IF(I1477="TP",VLOOKUP(AF1477,TPCalibEqFull!$AZ$2:$BB$56,3),IF(I1477="TDP",VLOOKUP(AF1477,TPCalibEqFull!$AZ$2:$BB$56,3),IF(I1477="TDN",VLOOKUP(AF1477,TNCalibEqFull!$AZ$1:$BB$56,3),IF(I1477="TN",VLOOKUP(AF1477,TNCalibEqFull!$AZ$1:$BB$56,3),FALSE))))</f>
        <v>0</v>
      </c>
      <c r="AV1477" s="10" t="str">
        <f t="shared" si="171"/>
        <v>0123 11:40:00-FVM-0-C-2-SW-SPK</v>
      </c>
    </row>
    <row r="1478" spans="1:48" s="10" customFormat="1" x14ac:dyDescent="0.55000000000000004">
      <c r="A1478" s="32">
        <v>44958</v>
      </c>
      <c r="B1478" s="33">
        <v>0.375</v>
      </c>
      <c r="C1478" s="10" t="s">
        <v>70</v>
      </c>
      <c r="D1478" s="10" t="s">
        <v>71</v>
      </c>
      <c r="E1478" s="10" t="s">
        <v>901</v>
      </c>
      <c r="F1478" s="10">
        <v>1</v>
      </c>
      <c r="G1478" s="10" t="s">
        <v>73</v>
      </c>
      <c r="H1478" s="10" t="s">
        <v>207</v>
      </c>
      <c r="I1478" s="10" t="s">
        <v>285</v>
      </c>
      <c r="J1478" s="10">
        <v>200</v>
      </c>
      <c r="K1478" s="12">
        <v>44958</v>
      </c>
      <c r="L1478" s="33">
        <v>0.53032407407407411</v>
      </c>
      <c r="M1478" s="10">
        <v>1</v>
      </c>
      <c r="N1478" s="10" t="s">
        <v>211</v>
      </c>
      <c r="O1478" s="10">
        <v>0.44900000000000001</v>
      </c>
      <c r="P1478" s="10">
        <v>4.2999999999999997E-2</v>
      </c>
      <c r="Q1478" s="10">
        <v>76.7</v>
      </c>
      <c r="R1478" s="10" t="s">
        <v>913</v>
      </c>
      <c r="S1478" s="34">
        <f t="shared" si="168"/>
        <v>76.7</v>
      </c>
      <c r="T1478" s="10" t="s">
        <v>1111</v>
      </c>
      <c r="U1478" s="34">
        <f t="shared" si="169"/>
        <v>102.26666666666667</v>
      </c>
      <c r="V1478" s="31">
        <f>IF(H1478="CHK",VLOOKUP(I1478,QCCHK,3,),IF(H1478="GUP",VLOOKUP(E1478,QCGUP,2,),IF(AND(H1478="ATP",OR(I1478="TN",I1478="TDN",I1478="TNO2-3",I1478="NO2-3")),VLOOKUP(E1478,QCREC_N,2,),IF(AND(H1478="NIC",OR(I1478="TN",I1478="TDN",I1478="TNO2-3",I1478="NO2-3")),VLOOKUP(E1478,QCNIC_N,2,),IF(AND(H1478="UREA",OR(I1478="TN",I1478="TDN",I1478="TNO2-3",I1478="NO2-3")),VLOOKUP(E1478,QCUREA_N,2,),IF(H1478="PER",VLOOKUP(I1478,QCPER,MATCH(E1478,QCACTUAL!$J$25:$AA$25,0),),IF(H1478="SPK",VLOOKUP(I1478,QCSPK,3,),IF(AND(H1478="ATP",OR(I1478="TP",I1478="TDP")),VLOOKUP(E1478,QCATP_P,2,),""))))))))</f>
        <v>75</v>
      </c>
      <c r="W1478" s="31" t="str">
        <f t="shared" si="170"/>
        <v>TRUE</v>
      </c>
      <c r="X1478" s="31" t="str">
        <f t="shared" si="167"/>
        <v>[chk]/[actual]*100</v>
      </c>
      <c r="Y1478" s="10" t="s">
        <v>1096</v>
      </c>
      <c r="AL1478" s="10" t="str">
        <f t="shared" si="165"/>
        <v>FALSE</v>
      </c>
      <c r="AM1478" s="10" t="str">
        <f t="shared" si="165"/>
        <v>FALSE</v>
      </c>
      <c r="AN1478" s="10" t="str">
        <f t="shared" si="165"/>
        <v>FALSE</v>
      </c>
      <c r="AO1478" s="10" t="str">
        <f t="shared" si="166"/>
        <v>FALSE</v>
      </c>
      <c r="AP1478" s="10" t="str">
        <f t="shared" si="166"/>
        <v>FALSE</v>
      </c>
      <c r="AQ1478" s="10" t="b">
        <f>IF(AND(I1478="TP",S1478&lt;=150),VLOOKUP(AF1478,TPCalibEq150!$AZ$2:$BB$55,3,),IF(AND(I1478="TDP",S1478&lt;=150),VLOOKUP(AF1478,TPCalibEq150!$AZ$2:$BB$55,3,)))</f>
        <v>0</v>
      </c>
      <c r="AR1478" s="10" t="b">
        <f>IF(AND(I1478="TP",S1478&lt;=300),VLOOKUP(AF1478,TPCalibEq300!$AZ$2:$BB$55,3,),IF(AND(I1478="TDP",S1478&lt;=300),VLOOKUP(AF1478,TPCalibEq300!$AZ$2:$BB$55,3,)))</f>
        <v>0</v>
      </c>
      <c r="AS1478" s="10" t="b">
        <f>IF(AND(I1478="TP",S1478&lt;=500),VLOOKUP(AF1478,TPCalibEq500!$AZ$2:$BB$56,3,),IF(AND(I1478="TDP",S1478&lt;=500),VLOOKUP(AF1478,TPCalibEq500!$AZ$2:$BB$56,3,)))</f>
        <v>0</v>
      </c>
      <c r="AT1478" s="10" t="b">
        <f>IF(AND(I1478="TN",S1478&lt;=2800),VLOOKUP(AF1478,TNCalibEq2500!$AZ$2:$BB$56,3,),IF(AND(I1478="TDN",S1478&lt;=2800),VLOOKUP(AF1478,TNCalibEq2500!$AZ$2:$BB$56,3,)))</f>
        <v>0</v>
      </c>
      <c r="AU1478" s="10" t="b">
        <f>IF(I1478="TP",VLOOKUP(AF1478,TPCalibEqFull!$AZ$2:$BB$56,3),IF(I1478="TDP",VLOOKUP(AF1478,TPCalibEqFull!$AZ$2:$BB$56,3),IF(I1478="TDN",VLOOKUP(AF1478,TNCalibEqFull!$AZ$1:$BB$56,3),IF(I1478="TN",VLOOKUP(AF1478,TNCalibEqFull!$AZ$1:$BB$56,3),FALSE))))</f>
        <v>0</v>
      </c>
      <c r="AV1478" s="10" t="str">
        <f t="shared" si="171"/>
        <v>0201 09:00:00-QAC-STD-D-1-DI-CHK</v>
      </c>
    </row>
    <row r="1479" spans="1:48" s="10" customFormat="1" x14ac:dyDescent="0.55000000000000004">
      <c r="A1479" s="32">
        <v>44949</v>
      </c>
      <c r="B1479" s="33">
        <v>0.49861111111111112</v>
      </c>
      <c r="C1479" s="10" t="s">
        <v>336</v>
      </c>
      <c r="D1479" s="10">
        <v>0</v>
      </c>
      <c r="E1479" s="10" t="s">
        <v>190</v>
      </c>
      <c r="F1479" s="10">
        <v>1</v>
      </c>
      <c r="G1479" s="10" t="s">
        <v>231</v>
      </c>
      <c r="H1479" s="10" t="s">
        <v>322</v>
      </c>
      <c r="I1479" s="10" t="s">
        <v>285</v>
      </c>
      <c r="J1479" s="10">
        <v>25</v>
      </c>
      <c r="K1479" s="12">
        <v>44958</v>
      </c>
      <c r="L1479" s="33">
        <v>0.53113425925925928</v>
      </c>
      <c r="M1479" s="10">
        <v>1</v>
      </c>
      <c r="N1479" s="10" t="s">
        <v>211</v>
      </c>
      <c r="O1479" s="10">
        <v>0.38</v>
      </c>
      <c r="P1479" s="10">
        <v>3.5700000000000003E-2</v>
      </c>
      <c r="Q1479" s="10">
        <v>64.900000000000006</v>
      </c>
      <c r="R1479" s="10" t="s">
        <v>913</v>
      </c>
      <c r="S1479" s="34">
        <f t="shared" si="168"/>
        <v>64.900000000000006</v>
      </c>
      <c r="T1479" s="10" t="s">
        <v>1111</v>
      </c>
      <c r="U1479" s="34" t="str">
        <f t="shared" si="169"/>
        <v/>
      </c>
      <c r="V1479" s="31" t="str">
        <f>IF(H1479="CHK",VLOOKUP(I1479,QCCHK,3,),IF(H1479="GUP",VLOOKUP(E1479,QCGUP,2,),IF(AND(H1479="ATP",OR(I1479="TN",I1479="TDN",I1479="TNO2-3",I1479="NO2-3")),VLOOKUP(E1479,QCREC_N,2,),IF(AND(H1479="NIC",OR(I1479="TN",I1479="TDN",I1479="TNO2-3",I1479="NO2-3")),VLOOKUP(E1479,QCNIC_N,2,),IF(AND(H1479="UREA",OR(I1479="TN",I1479="TDN",I1479="TNO2-3",I1479="NO2-3")),VLOOKUP(E1479,QCUREA_N,2,),IF(H1479="PER",VLOOKUP(I1479,QCPER,MATCH(E1479,QCACTUAL!$J$25:$AA$25,0),),IF(H1479="SPK",VLOOKUP(I1479,QCSPK,3,),IF(AND(H1479="ATP",OR(I1479="TP",I1479="TDP")),VLOOKUP(E1479,QCATP_P,2,),""))))))))</f>
        <v/>
      </c>
      <c r="W1479" s="31" t="str">
        <f t="shared" si="170"/>
        <v>TRUE</v>
      </c>
      <c r="X1479" s="31" t="str">
        <f t="shared" si="167"/>
        <v/>
      </c>
      <c r="Y1479" s="10" t="s">
        <v>1096</v>
      </c>
      <c r="Z1479" s="10" t="s">
        <v>910</v>
      </c>
      <c r="AL1479" s="10" t="str">
        <f t="shared" si="165"/>
        <v>FALSE</v>
      </c>
      <c r="AM1479" s="10" t="str">
        <f t="shared" si="165"/>
        <v>FALSE</v>
      </c>
      <c r="AN1479" s="10" t="str">
        <f t="shared" si="165"/>
        <v>FALSE</v>
      </c>
      <c r="AO1479" s="10" t="str">
        <f t="shared" si="166"/>
        <v>FALSE</v>
      </c>
      <c r="AP1479" s="10" t="str">
        <f t="shared" si="166"/>
        <v>FALSE</v>
      </c>
      <c r="AQ1479" s="10" t="b">
        <f>IF(AND(I1479="TP",S1479&lt;=150),VLOOKUP(AF1479,TPCalibEq150!$AZ$2:$BB$55,3,),IF(AND(I1479="TDP",S1479&lt;=150),VLOOKUP(AF1479,TPCalibEq150!$AZ$2:$BB$55,3,)))</f>
        <v>0</v>
      </c>
      <c r="AR1479" s="10" t="b">
        <f>IF(AND(I1479="TP",S1479&lt;=300),VLOOKUP(AF1479,TPCalibEq300!$AZ$2:$BB$55,3,),IF(AND(I1479="TDP",S1479&lt;=300),VLOOKUP(AF1479,TPCalibEq300!$AZ$2:$BB$55,3,)))</f>
        <v>0</v>
      </c>
      <c r="AS1479" s="10" t="b">
        <f>IF(AND(I1479="TP",S1479&lt;=500),VLOOKUP(AF1479,TPCalibEq500!$AZ$2:$BB$56,3,),IF(AND(I1479="TDP",S1479&lt;=500),VLOOKUP(AF1479,TPCalibEq500!$AZ$2:$BB$56,3,)))</f>
        <v>0</v>
      </c>
      <c r="AT1479" s="10" t="b">
        <f>IF(AND(I1479="TN",S1479&lt;=2800),VLOOKUP(AF1479,TNCalibEq2500!$AZ$2:$BB$56,3,),IF(AND(I1479="TDN",S1479&lt;=2800),VLOOKUP(AF1479,TNCalibEq2500!$AZ$2:$BB$56,3,)))</f>
        <v>0</v>
      </c>
      <c r="AU1479" s="10" t="b">
        <f>IF(I1479="TP",VLOOKUP(AF1479,TPCalibEqFull!$AZ$2:$BB$56,3),IF(I1479="TDP",VLOOKUP(AF1479,TPCalibEqFull!$AZ$2:$BB$56,3),IF(I1479="TDN",VLOOKUP(AF1479,TNCalibEqFull!$AZ$1:$BB$56,3),IF(I1479="TN",VLOOKUP(AF1479,TNCalibEqFull!$AZ$1:$BB$56,3),FALSE))))</f>
        <v>0</v>
      </c>
      <c r="AV1479" s="10" t="str">
        <f t="shared" si="171"/>
        <v>0123 11:58:00-HWR-0-C-1-SW-UKN</v>
      </c>
    </row>
    <row r="1480" spans="1:48" s="10" customFormat="1" x14ac:dyDescent="0.55000000000000004">
      <c r="A1480" s="32">
        <v>44949</v>
      </c>
      <c r="B1480" s="33">
        <v>0.50555555555555554</v>
      </c>
      <c r="C1480" s="10" t="s">
        <v>295</v>
      </c>
      <c r="D1480" s="10">
        <v>0</v>
      </c>
      <c r="E1480" s="10" t="s">
        <v>190</v>
      </c>
      <c r="F1480" s="10">
        <v>1</v>
      </c>
      <c r="G1480" s="10" t="s">
        <v>231</v>
      </c>
      <c r="H1480" s="10" t="s">
        <v>322</v>
      </c>
      <c r="I1480" s="10" t="s">
        <v>285</v>
      </c>
      <c r="J1480" s="10">
        <v>26</v>
      </c>
      <c r="K1480" s="12">
        <v>44958</v>
      </c>
      <c r="L1480" s="33">
        <v>0.53194444444444444</v>
      </c>
      <c r="M1480" s="10">
        <v>1</v>
      </c>
      <c r="N1480" s="10" t="s">
        <v>211</v>
      </c>
      <c r="O1480" s="10">
        <v>0.47299999999999998</v>
      </c>
      <c r="P1480" s="10">
        <v>4.4499999999999998E-2</v>
      </c>
      <c r="Q1480" s="10">
        <v>80.8</v>
      </c>
      <c r="R1480" s="10" t="s">
        <v>913</v>
      </c>
      <c r="S1480" s="34">
        <f t="shared" si="168"/>
        <v>80.8</v>
      </c>
      <c r="T1480" s="10" t="s">
        <v>1111</v>
      </c>
      <c r="U1480" s="34" t="str">
        <f t="shared" si="169"/>
        <v/>
      </c>
      <c r="V1480" s="31" t="str">
        <f>IF(H1480="CHK",VLOOKUP(I1480,QCCHK,3,),IF(H1480="GUP",VLOOKUP(E1480,QCGUP,2,),IF(AND(H1480="ATP",OR(I1480="TN",I1480="TDN",I1480="TNO2-3",I1480="NO2-3")),VLOOKUP(E1480,QCREC_N,2,),IF(AND(H1480="NIC",OR(I1480="TN",I1480="TDN",I1480="TNO2-3",I1480="NO2-3")),VLOOKUP(E1480,QCNIC_N,2,),IF(AND(H1480="UREA",OR(I1480="TN",I1480="TDN",I1480="TNO2-3",I1480="NO2-3")),VLOOKUP(E1480,QCUREA_N,2,),IF(H1480="PER",VLOOKUP(I1480,QCPER,MATCH(E1480,QCACTUAL!$J$25:$AA$25,0),),IF(H1480="SPK",VLOOKUP(I1480,QCSPK,3,),IF(AND(H1480="ATP",OR(I1480="TP",I1480="TDP")),VLOOKUP(E1480,QCATP_P,2,),""))))))))</f>
        <v/>
      </c>
      <c r="W1480" s="31" t="str">
        <f t="shared" si="170"/>
        <v>TRUE</v>
      </c>
      <c r="X1480" s="31" t="str">
        <f t="shared" si="167"/>
        <v/>
      </c>
      <c r="Y1480" s="10" t="s">
        <v>1096</v>
      </c>
      <c r="Z1480" s="10" t="s">
        <v>910</v>
      </c>
      <c r="AL1480" s="10" t="str">
        <f t="shared" si="165"/>
        <v>FALSE</v>
      </c>
      <c r="AM1480" s="10" t="str">
        <f t="shared" si="165"/>
        <v>FALSE</v>
      </c>
      <c r="AN1480" s="10" t="str">
        <f t="shared" si="165"/>
        <v>FALSE</v>
      </c>
      <c r="AO1480" s="10" t="str">
        <f t="shared" si="166"/>
        <v>FALSE</v>
      </c>
      <c r="AP1480" s="10" t="str">
        <f t="shared" si="166"/>
        <v>FALSE</v>
      </c>
      <c r="AQ1480" s="10" t="b">
        <f>IF(AND(I1480="TP",S1480&lt;=150),VLOOKUP(AF1480,TPCalibEq150!$AZ$2:$BB$55,3,),IF(AND(I1480="TDP",S1480&lt;=150),VLOOKUP(AF1480,TPCalibEq150!$AZ$2:$BB$55,3,)))</f>
        <v>0</v>
      </c>
      <c r="AR1480" s="10" t="b">
        <f>IF(AND(I1480="TP",S1480&lt;=300),VLOOKUP(AF1480,TPCalibEq300!$AZ$2:$BB$55,3,),IF(AND(I1480="TDP",S1480&lt;=300),VLOOKUP(AF1480,TPCalibEq300!$AZ$2:$BB$55,3,)))</f>
        <v>0</v>
      </c>
      <c r="AS1480" s="10" t="b">
        <f>IF(AND(I1480="TP",S1480&lt;=500),VLOOKUP(AF1480,TPCalibEq500!$AZ$2:$BB$56,3,),IF(AND(I1480="TDP",S1480&lt;=500),VLOOKUP(AF1480,TPCalibEq500!$AZ$2:$BB$56,3,)))</f>
        <v>0</v>
      </c>
      <c r="AT1480" s="10" t="b">
        <f>IF(AND(I1480="TN",S1480&lt;=2800),VLOOKUP(AF1480,TNCalibEq2500!$AZ$2:$BB$56,3,),IF(AND(I1480="TDN",S1480&lt;=2800),VLOOKUP(AF1480,TNCalibEq2500!$AZ$2:$BB$56,3,)))</f>
        <v>0</v>
      </c>
      <c r="AU1480" s="10" t="b">
        <f>IF(I1480="TP",VLOOKUP(AF1480,TPCalibEqFull!$AZ$2:$BB$56,3),IF(I1480="TDP",VLOOKUP(AF1480,TPCalibEqFull!$AZ$2:$BB$56,3),IF(I1480="TDN",VLOOKUP(AF1480,TNCalibEqFull!$AZ$1:$BB$56,3),IF(I1480="TN",VLOOKUP(AF1480,TNCalibEqFull!$AZ$1:$BB$56,3),FALSE))))</f>
        <v>0</v>
      </c>
      <c r="AV1480" s="10" t="str">
        <f t="shared" si="171"/>
        <v>0123 12:08:00-EFM-0-C-1-SW-UKN</v>
      </c>
    </row>
    <row r="1481" spans="1:48" s="10" customFormat="1" x14ac:dyDescent="0.55000000000000004">
      <c r="A1481" s="32">
        <v>44949</v>
      </c>
      <c r="B1481" s="33">
        <v>0.52500000000000002</v>
      </c>
      <c r="C1481" s="10" t="s">
        <v>999</v>
      </c>
      <c r="D1481" s="10">
        <v>0</v>
      </c>
      <c r="E1481" s="10" t="s">
        <v>190</v>
      </c>
      <c r="F1481" s="10">
        <v>1</v>
      </c>
      <c r="G1481" s="10" t="s">
        <v>231</v>
      </c>
      <c r="H1481" s="10" t="s">
        <v>322</v>
      </c>
      <c r="I1481" s="10" t="s">
        <v>285</v>
      </c>
      <c r="J1481" s="10">
        <v>27</v>
      </c>
      <c r="K1481" s="12">
        <v>44958</v>
      </c>
      <c r="L1481" s="33">
        <v>0.53275462962962961</v>
      </c>
      <c r="M1481" s="10">
        <v>1</v>
      </c>
      <c r="N1481" s="10" t="s">
        <v>211</v>
      </c>
      <c r="O1481" s="10">
        <v>0.56599999999999995</v>
      </c>
      <c r="P1481" s="10">
        <v>5.4100000000000002E-2</v>
      </c>
      <c r="Q1481" s="10">
        <v>96.8</v>
      </c>
      <c r="R1481" s="10" t="s">
        <v>913</v>
      </c>
      <c r="S1481" s="34">
        <f t="shared" si="168"/>
        <v>96.8</v>
      </c>
      <c r="T1481" s="10" t="s">
        <v>1111</v>
      </c>
      <c r="U1481" s="34" t="str">
        <f t="shared" si="169"/>
        <v/>
      </c>
      <c r="V1481" s="31" t="str">
        <f>IF(H1481="CHK",VLOOKUP(I1481,QCCHK,3,),IF(H1481="GUP",VLOOKUP(E1481,QCGUP,2,),IF(AND(H1481="ATP",OR(I1481="TN",I1481="TDN",I1481="TNO2-3",I1481="NO2-3")),VLOOKUP(E1481,QCREC_N,2,),IF(AND(H1481="NIC",OR(I1481="TN",I1481="TDN",I1481="TNO2-3",I1481="NO2-3")),VLOOKUP(E1481,QCNIC_N,2,),IF(AND(H1481="UREA",OR(I1481="TN",I1481="TDN",I1481="TNO2-3",I1481="NO2-3")),VLOOKUP(E1481,QCUREA_N,2,),IF(H1481="PER",VLOOKUP(I1481,QCPER,MATCH(E1481,QCACTUAL!$J$25:$AA$25,0),),IF(H1481="SPK",VLOOKUP(I1481,QCSPK,3,),IF(AND(H1481="ATP",OR(I1481="TP",I1481="TDP")),VLOOKUP(E1481,QCATP_P,2,),""))))))))</f>
        <v/>
      </c>
      <c r="W1481" s="31" t="str">
        <f t="shared" si="170"/>
        <v>TRUE</v>
      </c>
      <c r="X1481" s="31" t="str">
        <f t="shared" si="167"/>
        <v/>
      </c>
      <c r="Y1481" s="10" t="s">
        <v>1096</v>
      </c>
      <c r="Z1481" s="10" t="s">
        <v>910</v>
      </c>
      <c r="AL1481" s="10" t="str">
        <f t="shared" si="165"/>
        <v>FALSE</v>
      </c>
      <c r="AM1481" s="10" t="str">
        <f t="shared" si="165"/>
        <v>FALSE</v>
      </c>
      <c r="AN1481" s="10" t="str">
        <f t="shared" si="165"/>
        <v>FALSE</v>
      </c>
      <c r="AO1481" s="10" t="str">
        <f t="shared" si="166"/>
        <v>FALSE</v>
      </c>
      <c r="AP1481" s="10" t="str">
        <f t="shared" si="166"/>
        <v>FALSE</v>
      </c>
      <c r="AQ1481" s="10" t="b">
        <f>IF(AND(I1481="TP",S1481&lt;=150),VLOOKUP(AF1481,TPCalibEq150!$AZ$2:$BB$55,3,),IF(AND(I1481="TDP",S1481&lt;=150),VLOOKUP(AF1481,TPCalibEq150!$AZ$2:$BB$55,3,)))</f>
        <v>0</v>
      </c>
      <c r="AR1481" s="10" t="b">
        <f>IF(AND(I1481="TP",S1481&lt;=300),VLOOKUP(AF1481,TPCalibEq300!$AZ$2:$BB$55,3,),IF(AND(I1481="TDP",S1481&lt;=300),VLOOKUP(AF1481,TPCalibEq300!$AZ$2:$BB$55,3,)))</f>
        <v>0</v>
      </c>
      <c r="AS1481" s="10" t="b">
        <f>IF(AND(I1481="TP",S1481&lt;=500),VLOOKUP(AF1481,TPCalibEq500!$AZ$2:$BB$56,3,),IF(AND(I1481="TDP",S1481&lt;=500),VLOOKUP(AF1481,TPCalibEq500!$AZ$2:$BB$56,3,)))</f>
        <v>0</v>
      </c>
      <c r="AT1481" s="10" t="b">
        <f>IF(AND(I1481="TN",S1481&lt;=2800),VLOOKUP(AF1481,TNCalibEq2500!$AZ$2:$BB$56,3,),IF(AND(I1481="TDN",S1481&lt;=2800),VLOOKUP(AF1481,TNCalibEq2500!$AZ$2:$BB$56,3,)))</f>
        <v>0</v>
      </c>
      <c r="AU1481" s="10" t="b">
        <f>IF(I1481="TP",VLOOKUP(AF1481,TPCalibEqFull!$AZ$2:$BB$56,3),IF(I1481="TDP",VLOOKUP(AF1481,TPCalibEqFull!$AZ$2:$BB$56,3),IF(I1481="TDN",VLOOKUP(AF1481,TNCalibEqFull!$AZ$1:$BB$56,3),IF(I1481="TN",VLOOKUP(AF1481,TNCalibEqFull!$AZ$1:$BB$56,3),FALSE))))</f>
        <v>0</v>
      </c>
      <c r="AV1481" s="10" t="str">
        <f t="shared" si="171"/>
        <v>0123 12:36:00-EAW-0-C-1-SW-UKN</v>
      </c>
    </row>
    <row r="1482" spans="1:48" s="10" customFormat="1" x14ac:dyDescent="0.55000000000000004">
      <c r="A1482" s="32">
        <v>44949</v>
      </c>
      <c r="B1482" s="33">
        <v>0.52916666666666667</v>
      </c>
      <c r="C1482" s="10" t="s">
        <v>310</v>
      </c>
      <c r="D1482" s="10">
        <v>0</v>
      </c>
      <c r="E1482" s="10" t="s">
        <v>190</v>
      </c>
      <c r="F1482" s="10">
        <v>1</v>
      </c>
      <c r="G1482" s="10" t="s">
        <v>231</v>
      </c>
      <c r="H1482" s="10" t="s">
        <v>322</v>
      </c>
      <c r="I1482" s="10" t="s">
        <v>285</v>
      </c>
      <c r="J1482" s="10">
        <v>28</v>
      </c>
      <c r="K1482" s="12">
        <v>44958</v>
      </c>
      <c r="L1482" s="33">
        <v>0.53356481481481477</v>
      </c>
      <c r="M1482" s="10">
        <v>1</v>
      </c>
      <c r="N1482" s="10" t="s">
        <v>211</v>
      </c>
      <c r="O1482" s="10">
        <v>0.60499999999999998</v>
      </c>
      <c r="P1482" s="10">
        <v>5.8099999999999999E-2</v>
      </c>
      <c r="Q1482" s="10">
        <v>104</v>
      </c>
      <c r="R1482" s="10" t="s">
        <v>913</v>
      </c>
      <c r="S1482" s="34">
        <f t="shared" si="168"/>
        <v>104</v>
      </c>
      <c r="T1482" s="10" t="s">
        <v>1111</v>
      </c>
      <c r="U1482" s="34" t="str">
        <f t="shared" si="169"/>
        <v/>
      </c>
      <c r="V1482" s="31" t="str">
        <f>IF(H1482="CHK",VLOOKUP(I1482,QCCHK,3,),IF(H1482="GUP",VLOOKUP(E1482,QCGUP,2,),IF(AND(H1482="ATP",OR(I1482="TN",I1482="TDN",I1482="TNO2-3",I1482="NO2-3")),VLOOKUP(E1482,QCREC_N,2,),IF(AND(H1482="NIC",OR(I1482="TN",I1482="TDN",I1482="TNO2-3",I1482="NO2-3")),VLOOKUP(E1482,QCNIC_N,2,),IF(AND(H1482="UREA",OR(I1482="TN",I1482="TDN",I1482="TNO2-3",I1482="NO2-3")),VLOOKUP(E1482,QCUREA_N,2,),IF(H1482="PER",VLOOKUP(I1482,QCPER,MATCH(E1482,QCACTUAL!$J$25:$AA$25,0),),IF(H1482="SPK",VLOOKUP(I1482,QCSPK,3,),IF(AND(H1482="ATP",OR(I1482="TP",I1482="TDP")),VLOOKUP(E1482,QCATP_P,2,),""))))))))</f>
        <v/>
      </c>
      <c r="W1482" s="31" t="str">
        <f t="shared" si="170"/>
        <v>TRUE</v>
      </c>
      <c r="X1482" s="31" t="str">
        <f t="shared" si="167"/>
        <v/>
      </c>
      <c r="Y1482" s="10" t="s">
        <v>1096</v>
      </c>
      <c r="Z1482" s="10" t="s">
        <v>910</v>
      </c>
      <c r="AL1482" s="10" t="str">
        <f t="shared" si="165"/>
        <v>FALSE</v>
      </c>
      <c r="AM1482" s="10" t="str">
        <f t="shared" si="165"/>
        <v>FALSE</v>
      </c>
      <c r="AN1482" s="10" t="str">
        <f t="shared" si="165"/>
        <v>FALSE</v>
      </c>
      <c r="AO1482" s="10" t="str">
        <f t="shared" si="166"/>
        <v>FALSE</v>
      </c>
      <c r="AP1482" s="10" t="str">
        <f t="shared" si="166"/>
        <v>FALSE</v>
      </c>
      <c r="AQ1482" s="10" t="b">
        <f>IF(AND(I1482="TP",S1482&lt;=150),VLOOKUP(AF1482,TPCalibEq150!$AZ$2:$BB$55,3,),IF(AND(I1482="TDP",S1482&lt;=150),VLOOKUP(AF1482,TPCalibEq150!$AZ$2:$BB$55,3,)))</f>
        <v>0</v>
      </c>
      <c r="AR1482" s="10" t="b">
        <f>IF(AND(I1482="TP",S1482&lt;=300),VLOOKUP(AF1482,TPCalibEq300!$AZ$2:$BB$55,3,),IF(AND(I1482="TDP",S1482&lt;=300),VLOOKUP(AF1482,TPCalibEq300!$AZ$2:$BB$55,3,)))</f>
        <v>0</v>
      </c>
      <c r="AS1482" s="10" t="b">
        <f>IF(AND(I1482="TP",S1482&lt;=500),VLOOKUP(AF1482,TPCalibEq500!$AZ$2:$BB$56,3,),IF(AND(I1482="TDP",S1482&lt;=500),VLOOKUP(AF1482,TPCalibEq500!$AZ$2:$BB$56,3,)))</f>
        <v>0</v>
      </c>
      <c r="AT1482" s="10" t="b">
        <f>IF(AND(I1482="TN",S1482&lt;=2800),VLOOKUP(AF1482,TNCalibEq2500!$AZ$2:$BB$56,3,),IF(AND(I1482="TDN",S1482&lt;=2800),VLOOKUP(AF1482,TNCalibEq2500!$AZ$2:$BB$56,3,)))</f>
        <v>0</v>
      </c>
      <c r="AU1482" s="10" t="b">
        <f>IF(I1482="TP",VLOOKUP(AF1482,TPCalibEqFull!$AZ$2:$BB$56,3),IF(I1482="TDP",VLOOKUP(AF1482,TPCalibEqFull!$AZ$2:$BB$56,3),IF(I1482="TDN",VLOOKUP(AF1482,TNCalibEqFull!$AZ$1:$BB$56,3),IF(I1482="TN",VLOOKUP(AF1482,TNCalibEqFull!$AZ$1:$BB$56,3),FALSE))))</f>
        <v>0</v>
      </c>
      <c r="AV1482" s="10" t="str">
        <f t="shared" si="171"/>
        <v>0123 12:42:00-ELI-0-C-1-SW-UKN</v>
      </c>
    </row>
    <row r="1483" spans="1:48" s="10" customFormat="1" x14ac:dyDescent="0.55000000000000004">
      <c r="A1483" s="32">
        <v>44949</v>
      </c>
      <c r="B1483" s="33">
        <v>0.52916666666666667</v>
      </c>
      <c r="C1483" s="10" t="s">
        <v>310</v>
      </c>
      <c r="D1483" s="10">
        <v>0</v>
      </c>
      <c r="E1483" s="10" t="s">
        <v>190</v>
      </c>
      <c r="F1483" s="10">
        <v>1</v>
      </c>
      <c r="G1483" s="10" t="s">
        <v>231</v>
      </c>
      <c r="H1483" s="10" t="s">
        <v>233</v>
      </c>
      <c r="I1483" s="10" t="s">
        <v>285</v>
      </c>
      <c r="J1483" s="10">
        <v>28</v>
      </c>
      <c r="K1483" s="12">
        <v>44958</v>
      </c>
      <c r="L1483" s="33">
        <v>0.53437499999999993</v>
      </c>
      <c r="M1483" s="10">
        <v>1</v>
      </c>
      <c r="N1483" s="10" t="s">
        <v>211</v>
      </c>
      <c r="O1483" s="10">
        <v>0.60599999999999998</v>
      </c>
      <c r="P1483" s="10">
        <v>5.7500000000000002E-2</v>
      </c>
      <c r="Q1483" s="10">
        <v>104</v>
      </c>
      <c r="R1483" s="10" t="s">
        <v>913</v>
      </c>
      <c r="S1483" s="34">
        <f t="shared" si="168"/>
        <v>104</v>
      </c>
      <c r="T1483" s="10" t="s">
        <v>1111</v>
      </c>
      <c r="U1483" s="34">
        <f t="shared" si="169"/>
        <v>0</v>
      </c>
      <c r="V1483" s="31" t="str">
        <f>IF(H1483="CHK",VLOOKUP(I1483,QCCHK,3,),IF(H1483="GUP",VLOOKUP(E1483,QCGUP,2,),IF(AND(H1483="ATP",OR(I1483="TN",I1483="TDN",I1483="TNO2-3",I1483="NO2-3")),VLOOKUP(E1483,QCREC_N,2,),IF(AND(H1483="NIC",OR(I1483="TN",I1483="TDN",I1483="TNO2-3",I1483="NO2-3")),VLOOKUP(E1483,QCNIC_N,2,),IF(AND(H1483="UREA",OR(I1483="TN",I1483="TDN",I1483="TNO2-3",I1483="NO2-3")),VLOOKUP(E1483,QCUREA_N,2,),IF(H1483="PER",VLOOKUP(I1483,QCPER,MATCH(E1483,QCACTUAL!$J$25:$AA$25,0),),IF(H1483="SPK",VLOOKUP(I1483,QCSPK,3,),IF(AND(H1483="ATP",OR(I1483="TP",I1483="TDP")),VLOOKUP(E1483,QCATP_P,2,),""))))))))</f>
        <v/>
      </c>
      <c r="W1483" s="31" t="str">
        <f t="shared" si="170"/>
        <v>TRUE</v>
      </c>
      <c r="X1483" s="31" t="str">
        <f t="shared" si="167"/>
        <v>((ABS(rep1-rep2))/((rep1+rep2)/2)*100</v>
      </c>
      <c r="Y1483" s="10" t="s">
        <v>1096</v>
      </c>
      <c r="Z1483" s="10" t="s">
        <v>910</v>
      </c>
      <c r="AL1483" s="10" t="str">
        <f t="shared" si="165"/>
        <v>FALSE</v>
      </c>
      <c r="AM1483" s="10" t="str">
        <f t="shared" si="165"/>
        <v>FALSE</v>
      </c>
      <c r="AN1483" s="10" t="str">
        <f t="shared" si="165"/>
        <v>FALSE</v>
      </c>
      <c r="AO1483" s="10" t="str">
        <f t="shared" si="166"/>
        <v>FALSE</v>
      </c>
      <c r="AP1483" s="10" t="str">
        <f t="shared" si="166"/>
        <v>FALSE</v>
      </c>
      <c r="AQ1483" s="10" t="b">
        <f>IF(AND(I1483="TP",S1483&lt;=150),VLOOKUP(AF1483,TPCalibEq150!$AZ$2:$BB$55,3,),IF(AND(I1483="TDP",S1483&lt;=150),VLOOKUP(AF1483,TPCalibEq150!$AZ$2:$BB$55,3,)))</f>
        <v>0</v>
      </c>
      <c r="AR1483" s="10" t="b">
        <f>IF(AND(I1483="TP",S1483&lt;=300),VLOOKUP(AF1483,TPCalibEq300!$AZ$2:$BB$55,3,),IF(AND(I1483="TDP",S1483&lt;=300),VLOOKUP(AF1483,TPCalibEq300!$AZ$2:$BB$55,3,)))</f>
        <v>0</v>
      </c>
      <c r="AS1483" s="10" t="b">
        <f>IF(AND(I1483="TP",S1483&lt;=500),VLOOKUP(AF1483,TPCalibEq500!$AZ$2:$BB$56,3,),IF(AND(I1483="TDP",S1483&lt;=500),VLOOKUP(AF1483,TPCalibEq500!$AZ$2:$BB$56,3,)))</f>
        <v>0</v>
      </c>
      <c r="AT1483" s="10" t="b">
        <f>IF(AND(I1483="TN",S1483&lt;=2800),VLOOKUP(AF1483,TNCalibEq2500!$AZ$2:$BB$56,3,),IF(AND(I1483="TDN",S1483&lt;=2800),VLOOKUP(AF1483,TNCalibEq2500!$AZ$2:$BB$56,3,)))</f>
        <v>0</v>
      </c>
      <c r="AU1483" s="10" t="b">
        <f>IF(I1483="TP",VLOOKUP(AF1483,TPCalibEqFull!$AZ$2:$BB$56,3),IF(I1483="TDP",VLOOKUP(AF1483,TPCalibEqFull!$AZ$2:$BB$56,3),IF(I1483="TDN",VLOOKUP(AF1483,TNCalibEqFull!$AZ$1:$BB$56,3),IF(I1483="TN",VLOOKUP(AF1483,TNCalibEqFull!$AZ$1:$BB$56,3),FALSE))))</f>
        <v>0</v>
      </c>
      <c r="AV1483" s="10" t="str">
        <f t="shared" si="171"/>
        <v>0123 12:42:00-ELI-0-C-1-SW-DUP</v>
      </c>
    </row>
    <row r="1484" spans="1:48" s="10" customFormat="1" x14ac:dyDescent="0.55000000000000004">
      <c r="A1484" s="32">
        <v>44949</v>
      </c>
      <c r="B1484" s="33">
        <v>0.52916666666666667</v>
      </c>
      <c r="C1484" s="10" t="s">
        <v>310</v>
      </c>
      <c r="D1484" s="10">
        <v>0</v>
      </c>
      <c r="E1484" s="10" t="s">
        <v>190</v>
      </c>
      <c r="F1484" s="10">
        <v>1</v>
      </c>
      <c r="G1484" s="10" t="s">
        <v>231</v>
      </c>
      <c r="H1484" s="10" t="s">
        <v>314</v>
      </c>
      <c r="I1484" s="10" t="s">
        <v>285</v>
      </c>
      <c r="J1484" s="10">
        <v>84</v>
      </c>
      <c r="K1484" s="12">
        <v>44958</v>
      </c>
      <c r="L1484" s="33">
        <v>0.53518518518518521</v>
      </c>
      <c r="M1484" s="10">
        <v>1</v>
      </c>
      <c r="N1484" s="10" t="s">
        <v>211</v>
      </c>
      <c r="O1484" s="10">
        <v>1.63</v>
      </c>
      <c r="P1484" s="10">
        <v>0.158</v>
      </c>
      <c r="Q1484" s="10">
        <v>280</v>
      </c>
      <c r="R1484" s="10" t="s">
        <v>913</v>
      </c>
      <c r="S1484" s="34">
        <f t="shared" si="168"/>
        <v>280</v>
      </c>
      <c r="T1484" s="10" t="s">
        <v>1111</v>
      </c>
      <c r="U1484" s="34">
        <f t="shared" si="169"/>
        <v>112.64</v>
      </c>
      <c r="V1484" s="31">
        <f>IF(H1484="CHK",VLOOKUP(I1484,QCCHK,3,),IF(H1484="GUP",VLOOKUP(E1484,QCGUP,2,),IF(AND(H1484="ATP",OR(I1484="TN",I1484="TDN",I1484="TNO2-3",I1484="NO2-3")),VLOOKUP(E1484,QCREC_N,2,),IF(AND(H1484="NIC",OR(I1484="TN",I1484="TDN",I1484="TNO2-3",I1484="NO2-3")),VLOOKUP(E1484,QCNIC_N,2,),IF(AND(H1484="UREA",OR(I1484="TN",I1484="TDN",I1484="TNO2-3",I1484="NO2-3")),VLOOKUP(E1484,QCUREA_N,2,),IF(H1484="PER",VLOOKUP(I1484,QCPER,MATCH(E1484,QCACTUAL!$J$25:$AA$25,0),),IF(H1484="SPK",VLOOKUP(I1484,QCSPK,3,),IF(AND(H1484="ATP",OR(I1484="TP",I1484="TDP")),VLOOKUP(E1484,QCATP_P,2,),""))))))))</f>
        <v>156.25</v>
      </c>
      <c r="W1484" s="31" t="str">
        <f t="shared" si="170"/>
        <v>TRUE</v>
      </c>
      <c r="X1484" s="31" t="str">
        <f t="shared" si="167"/>
        <v>([spikedunkn]-[unkn])/[spike]*100</v>
      </c>
      <c r="Y1484" s="10" t="s">
        <v>1096</v>
      </c>
      <c r="Z1484" s="10" t="s">
        <v>910</v>
      </c>
      <c r="AL1484" s="10" t="str">
        <f t="shared" si="165"/>
        <v>FALSE</v>
      </c>
      <c r="AM1484" s="10" t="str">
        <f t="shared" si="165"/>
        <v>FALSE</v>
      </c>
      <c r="AN1484" s="10" t="str">
        <f t="shared" si="165"/>
        <v>FALSE</v>
      </c>
      <c r="AO1484" s="10" t="str">
        <f t="shared" si="166"/>
        <v>FALSE</v>
      </c>
      <c r="AP1484" s="10" t="str">
        <f t="shared" si="166"/>
        <v>FALSE</v>
      </c>
      <c r="AQ1484" s="10" t="b">
        <f>IF(AND(I1484="TP",S1484&lt;=150),VLOOKUP(AF1484,TPCalibEq150!$AZ$2:$BB$55,3,),IF(AND(I1484="TDP",S1484&lt;=150),VLOOKUP(AF1484,TPCalibEq150!$AZ$2:$BB$55,3,)))</f>
        <v>0</v>
      </c>
      <c r="AR1484" s="10" t="b">
        <f>IF(AND(I1484="TP",S1484&lt;=300),VLOOKUP(AF1484,TPCalibEq300!$AZ$2:$BB$55,3,),IF(AND(I1484="TDP",S1484&lt;=300),VLOOKUP(AF1484,TPCalibEq300!$AZ$2:$BB$55,3,)))</f>
        <v>0</v>
      </c>
      <c r="AS1484" s="10" t="b">
        <f>IF(AND(I1484="TP",S1484&lt;=500),VLOOKUP(AF1484,TPCalibEq500!$AZ$2:$BB$56,3,),IF(AND(I1484="TDP",S1484&lt;=500),VLOOKUP(AF1484,TPCalibEq500!$AZ$2:$BB$56,3,)))</f>
        <v>0</v>
      </c>
      <c r="AT1484" s="10" t="b">
        <f>IF(AND(I1484="TN",S1484&lt;=2800),VLOOKUP(AF1484,TNCalibEq2500!$AZ$2:$BB$56,3,),IF(AND(I1484="TDN",S1484&lt;=2800),VLOOKUP(AF1484,TNCalibEq2500!$AZ$2:$BB$56,3,)))</f>
        <v>0</v>
      </c>
      <c r="AU1484" s="10" t="b">
        <f>IF(I1484="TP",VLOOKUP(AF1484,TPCalibEqFull!$AZ$2:$BB$56,3),IF(I1484="TDP",VLOOKUP(AF1484,TPCalibEqFull!$AZ$2:$BB$56,3),IF(I1484="TDN",VLOOKUP(AF1484,TNCalibEqFull!$AZ$1:$BB$56,3),IF(I1484="TN",VLOOKUP(AF1484,TNCalibEqFull!$AZ$1:$BB$56,3),FALSE))))</f>
        <v>0</v>
      </c>
      <c r="AV1484" s="10" t="str">
        <f t="shared" si="171"/>
        <v>0123 12:42:00-ELI-0-C-1-SW-SPK</v>
      </c>
    </row>
    <row r="1485" spans="1:48" s="10" customFormat="1" x14ac:dyDescent="0.55000000000000004">
      <c r="A1485" s="32">
        <v>44958</v>
      </c>
      <c r="B1485" s="33">
        <v>0.375</v>
      </c>
      <c r="C1485" s="10" t="s">
        <v>70</v>
      </c>
      <c r="D1485" s="10" t="s">
        <v>71</v>
      </c>
      <c r="E1485" s="10" t="s">
        <v>901</v>
      </c>
      <c r="F1485" s="10">
        <v>1</v>
      </c>
      <c r="G1485" s="10" t="s">
        <v>73</v>
      </c>
      <c r="H1485" s="10" t="s">
        <v>207</v>
      </c>
      <c r="I1485" s="10" t="s">
        <v>285</v>
      </c>
      <c r="J1485" s="10">
        <v>200</v>
      </c>
      <c r="K1485" s="12">
        <v>44958</v>
      </c>
      <c r="L1485" s="33">
        <v>0.53601851851851856</v>
      </c>
      <c r="M1485" s="10">
        <v>1</v>
      </c>
      <c r="N1485" s="10" t="s">
        <v>211</v>
      </c>
      <c r="O1485" s="10">
        <v>0.44500000000000001</v>
      </c>
      <c r="P1485" s="10">
        <v>4.2500000000000003E-2</v>
      </c>
      <c r="Q1485" s="10">
        <v>76</v>
      </c>
      <c r="R1485" s="10" t="s">
        <v>913</v>
      </c>
      <c r="S1485" s="34">
        <f t="shared" si="168"/>
        <v>76</v>
      </c>
      <c r="T1485" s="10" t="s">
        <v>1111</v>
      </c>
      <c r="U1485" s="34">
        <f t="shared" si="169"/>
        <v>101.33333333333334</v>
      </c>
      <c r="V1485" s="31">
        <f>IF(H1485="CHK",VLOOKUP(I1485,QCCHK,3,),IF(H1485="GUP",VLOOKUP(E1485,QCGUP,2,),IF(AND(H1485="ATP",OR(I1485="TN",I1485="TDN",I1485="TNO2-3",I1485="NO2-3")),VLOOKUP(E1485,QCREC_N,2,),IF(AND(H1485="NIC",OR(I1485="TN",I1485="TDN",I1485="TNO2-3",I1485="NO2-3")),VLOOKUP(E1485,QCNIC_N,2,),IF(AND(H1485="UREA",OR(I1485="TN",I1485="TDN",I1485="TNO2-3",I1485="NO2-3")),VLOOKUP(E1485,QCUREA_N,2,),IF(H1485="PER",VLOOKUP(I1485,QCPER,MATCH(E1485,QCACTUAL!$J$25:$AA$25,0),),IF(H1485="SPK",VLOOKUP(I1485,QCSPK,3,),IF(AND(H1485="ATP",OR(I1485="TP",I1485="TDP")),VLOOKUP(E1485,QCATP_P,2,),""))))))))</f>
        <v>75</v>
      </c>
      <c r="W1485" s="31" t="str">
        <f t="shared" si="170"/>
        <v>TRUE</v>
      </c>
      <c r="X1485" s="31" t="str">
        <f t="shared" si="167"/>
        <v>[chk]/[actual]*100</v>
      </c>
      <c r="Y1485" s="10" t="s">
        <v>1096</v>
      </c>
      <c r="AL1485" s="10" t="str">
        <f t="shared" si="165"/>
        <v>FALSE</v>
      </c>
      <c r="AM1485" s="10" t="str">
        <f t="shared" si="165"/>
        <v>FALSE</v>
      </c>
      <c r="AN1485" s="10" t="str">
        <f t="shared" si="165"/>
        <v>FALSE</v>
      </c>
      <c r="AO1485" s="10" t="str">
        <f t="shared" si="166"/>
        <v>FALSE</v>
      </c>
      <c r="AP1485" s="10" t="str">
        <f t="shared" si="166"/>
        <v>FALSE</v>
      </c>
      <c r="AQ1485" s="10" t="b">
        <f>IF(AND(I1485="TP",S1485&lt;=150),VLOOKUP(AF1485,TPCalibEq150!$AZ$2:$BB$55,3,),IF(AND(I1485="TDP",S1485&lt;=150),VLOOKUP(AF1485,TPCalibEq150!$AZ$2:$BB$55,3,)))</f>
        <v>0</v>
      </c>
      <c r="AR1485" s="10" t="b">
        <f>IF(AND(I1485="TP",S1485&lt;=300),VLOOKUP(AF1485,TPCalibEq300!$AZ$2:$BB$55,3,),IF(AND(I1485="TDP",S1485&lt;=300),VLOOKUP(AF1485,TPCalibEq300!$AZ$2:$BB$55,3,)))</f>
        <v>0</v>
      </c>
      <c r="AS1485" s="10" t="b">
        <f>IF(AND(I1485="TP",S1485&lt;=500),VLOOKUP(AF1485,TPCalibEq500!$AZ$2:$BB$56,3,),IF(AND(I1485="TDP",S1485&lt;=500),VLOOKUP(AF1485,TPCalibEq500!$AZ$2:$BB$56,3,)))</f>
        <v>0</v>
      </c>
      <c r="AT1485" s="10" t="b">
        <f>IF(AND(I1485="TN",S1485&lt;=2800),VLOOKUP(AF1485,TNCalibEq2500!$AZ$2:$BB$56,3,),IF(AND(I1485="TDN",S1485&lt;=2800),VLOOKUP(AF1485,TNCalibEq2500!$AZ$2:$BB$56,3,)))</f>
        <v>0</v>
      </c>
      <c r="AU1485" s="10" t="b">
        <f>IF(I1485="TP",VLOOKUP(AF1485,TPCalibEqFull!$AZ$2:$BB$56,3),IF(I1485="TDP",VLOOKUP(AF1485,TPCalibEqFull!$AZ$2:$BB$56,3),IF(I1485="TDN",VLOOKUP(AF1485,TNCalibEqFull!$AZ$1:$BB$56,3),IF(I1485="TN",VLOOKUP(AF1485,TNCalibEqFull!$AZ$1:$BB$56,3),FALSE))))</f>
        <v>0</v>
      </c>
      <c r="AV1485" s="10" t="str">
        <f t="shared" si="171"/>
        <v>0201 09:00:00-QAC-STD-D-1-DI-CHK</v>
      </c>
    </row>
    <row r="1486" spans="1:48" s="10" customFormat="1" x14ac:dyDescent="0.55000000000000004">
      <c r="A1486" s="32">
        <v>44956</v>
      </c>
      <c r="B1486" s="33">
        <v>0.35972222222222222</v>
      </c>
      <c r="C1486" s="10" t="s">
        <v>998</v>
      </c>
      <c r="D1486" s="10">
        <v>0</v>
      </c>
      <c r="E1486" s="10" t="s">
        <v>190</v>
      </c>
      <c r="F1486" s="10">
        <v>1</v>
      </c>
      <c r="G1486" s="10" t="s">
        <v>231</v>
      </c>
      <c r="H1486" s="10" t="s">
        <v>322</v>
      </c>
      <c r="I1486" s="10" t="s">
        <v>285</v>
      </c>
      <c r="J1486" s="10">
        <v>29</v>
      </c>
      <c r="K1486" s="12">
        <v>44958</v>
      </c>
      <c r="L1486" s="33">
        <v>0.53682870370370372</v>
      </c>
      <c r="M1486" s="10">
        <v>1</v>
      </c>
      <c r="N1486" s="10" t="s">
        <v>211</v>
      </c>
      <c r="O1486" s="10">
        <v>0.85399999999999998</v>
      </c>
      <c r="P1486" s="10">
        <v>8.2299999999999998E-2</v>
      </c>
      <c r="Q1486" s="10">
        <v>146</v>
      </c>
      <c r="R1486" s="10" t="s">
        <v>913</v>
      </c>
      <c r="S1486" s="34">
        <f t="shared" si="168"/>
        <v>146</v>
      </c>
      <c r="T1486" s="10" t="s">
        <v>1111</v>
      </c>
      <c r="U1486" s="34" t="str">
        <f t="shared" si="169"/>
        <v/>
      </c>
      <c r="V1486" s="31" t="str">
        <f>IF(H1486="CHK",VLOOKUP(I1486,QCCHK,3,),IF(H1486="GUP",VLOOKUP(E1486,QCGUP,2,),IF(AND(H1486="ATP",OR(I1486="TN",I1486="TDN",I1486="TNO2-3",I1486="NO2-3")),VLOOKUP(E1486,QCREC_N,2,),IF(AND(H1486="NIC",OR(I1486="TN",I1486="TDN",I1486="TNO2-3",I1486="NO2-3")),VLOOKUP(E1486,QCNIC_N,2,),IF(AND(H1486="UREA",OR(I1486="TN",I1486="TDN",I1486="TNO2-3",I1486="NO2-3")),VLOOKUP(E1486,QCUREA_N,2,),IF(H1486="PER",VLOOKUP(I1486,QCPER,MATCH(E1486,QCACTUAL!$J$25:$AA$25,0),),IF(H1486="SPK",VLOOKUP(I1486,QCSPK,3,),IF(AND(H1486="ATP",OR(I1486="TP",I1486="TDP")),VLOOKUP(E1486,QCATP_P,2,),""))))))))</f>
        <v/>
      </c>
      <c r="W1486" s="31" t="str">
        <f t="shared" si="170"/>
        <v>TRUE</v>
      </c>
      <c r="X1486" s="31" t="str">
        <f t="shared" si="167"/>
        <v/>
      </c>
      <c r="Y1486" s="10" t="s">
        <v>1096</v>
      </c>
      <c r="Z1486" s="10" t="s">
        <v>910</v>
      </c>
      <c r="AL1486" s="10" t="str">
        <f t="shared" si="165"/>
        <v>FALSE</v>
      </c>
      <c r="AM1486" s="10" t="str">
        <f t="shared" si="165"/>
        <v>FALSE</v>
      </c>
      <c r="AN1486" s="10" t="str">
        <f t="shared" si="165"/>
        <v>FALSE</v>
      </c>
      <c r="AO1486" s="10" t="str">
        <f t="shared" si="166"/>
        <v>FALSE</v>
      </c>
      <c r="AP1486" s="10" t="str">
        <f t="shared" si="166"/>
        <v>FALSE</v>
      </c>
      <c r="AQ1486" s="10" t="b">
        <f>IF(AND(I1486="TP",S1486&lt;=150),VLOOKUP(AF1486,TPCalibEq150!$AZ$2:$BB$55,3,),IF(AND(I1486="TDP",S1486&lt;=150),VLOOKUP(AF1486,TPCalibEq150!$AZ$2:$BB$55,3,)))</f>
        <v>0</v>
      </c>
      <c r="AR1486" s="10" t="b">
        <f>IF(AND(I1486="TP",S1486&lt;=300),VLOOKUP(AF1486,TPCalibEq300!$AZ$2:$BB$55,3,),IF(AND(I1486="TDP",S1486&lt;=300),VLOOKUP(AF1486,TPCalibEq300!$AZ$2:$BB$55,3,)))</f>
        <v>0</v>
      </c>
      <c r="AS1486" s="10" t="b">
        <f>IF(AND(I1486="TP",S1486&lt;=500),VLOOKUP(AF1486,TPCalibEq500!$AZ$2:$BB$56,3,),IF(AND(I1486="TDP",S1486&lt;=500),VLOOKUP(AF1486,TPCalibEq500!$AZ$2:$BB$56,3,)))</f>
        <v>0</v>
      </c>
      <c r="AT1486" s="10" t="b">
        <f>IF(AND(I1486="TN",S1486&lt;=2800),VLOOKUP(AF1486,TNCalibEq2500!$AZ$2:$BB$56,3,),IF(AND(I1486="TDN",S1486&lt;=2800),VLOOKUP(AF1486,TNCalibEq2500!$AZ$2:$BB$56,3,)))</f>
        <v>0</v>
      </c>
      <c r="AU1486" s="10" t="b">
        <f>IF(I1486="TP",VLOOKUP(AF1486,TPCalibEqFull!$AZ$2:$BB$56,3),IF(I1486="TDP",VLOOKUP(AF1486,TPCalibEqFull!$AZ$2:$BB$56,3),IF(I1486="TDN",VLOOKUP(AF1486,TNCalibEqFull!$AZ$1:$BB$56,3),IF(I1486="TN",VLOOKUP(AF1486,TNCalibEqFull!$AZ$1:$BB$56,3),FALSE))))</f>
        <v>0</v>
      </c>
      <c r="AV1486" s="10" t="str">
        <f t="shared" si="171"/>
        <v>0130 08:38:00-ELW-0-C-1-SW-UKN</v>
      </c>
    </row>
    <row r="1487" spans="1:48" s="10" customFormat="1" x14ac:dyDescent="0.55000000000000004">
      <c r="A1487" s="32">
        <v>44956</v>
      </c>
      <c r="B1487" s="33">
        <v>0.38055555555555554</v>
      </c>
      <c r="C1487" s="10" t="s">
        <v>357</v>
      </c>
      <c r="D1487" s="10">
        <v>0</v>
      </c>
      <c r="E1487" s="10" t="s">
        <v>190</v>
      </c>
      <c r="F1487" s="10">
        <v>1</v>
      </c>
      <c r="G1487" s="10" t="s">
        <v>231</v>
      </c>
      <c r="H1487" s="10" t="s">
        <v>322</v>
      </c>
      <c r="I1487" s="10" t="s">
        <v>285</v>
      </c>
      <c r="J1487" s="10">
        <v>30</v>
      </c>
      <c r="K1487" s="12">
        <v>44958</v>
      </c>
      <c r="L1487" s="33">
        <v>0.53762731481481485</v>
      </c>
      <c r="M1487" s="10">
        <v>1</v>
      </c>
      <c r="N1487" s="10" t="s">
        <v>211</v>
      </c>
      <c r="O1487" s="10">
        <v>0.41399999999999998</v>
      </c>
      <c r="P1487" s="10">
        <v>3.9E-2</v>
      </c>
      <c r="Q1487" s="10">
        <v>70.599999999999994</v>
      </c>
      <c r="R1487" s="10" t="s">
        <v>913</v>
      </c>
      <c r="S1487" s="34">
        <f t="shared" si="168"/>
        <v>70.599999999999994</v>
      </c>
      <c r="T1487" s="10" t="s">
        <v>1111</v>
      </c>
      <c r="U1487" s="34" t="str">
        <f t="shared" si="169"/>
        <v/>
      </c>
      <c r="V1487" s="31" t="str">
        <f>IF(H1487="CHK",VLOOKUP(I1487,QCCHK,3,),IF(H1487="GUP",VLOOKUP(E1487,QCGUP,2,),IF(AND(H1487="ATP",OR(I1487="TN",I1487="TDN",I1487="TNO2-3",I1487="NO2-3")),VLOOKUP(E1487,QCREC_N,2,),IF(AND(H1487="NIC",OR(I1487="TN",I1487="TDN",I1487="TNO2-3",I1487="NO2-3")),VLOOKUP(E1487,QCNIC_N,2,),IF(AND(H1487="UREA",OR(I1487="TN",I1487="TDN",I1487="TNO2-3",I1487="NO2-3")),VLOOKUP(E1487,QCUREA_N,2,),IF(H1487="PER",VLOOKUP(I1487,QCPER,MATCH(E1487,QCACTUAL!$J$25:$AA$25,0),),IF(H1487="SPK",VLOOKUP(I1487,QCSPK,3,),IF(AND(H1487="ATP",OR(I1487="TP",I1487="TDP")),VLOOKUP(E1487,QCATP_P,2,),""))))))))</f>
        <v/>
      </c>
      <c r="W1487" s="31" t="str">
        <f t="shared" si="170"/>
        <v>TRUE</v>
      </c>
      <c r="X1487" s="31" t="str">
        <f t="shared" si="167"/>
        <v/>
      </c>
      <c r="Y1487" s="10" t="s">
        <v>1096</v>
      </c>
      <c r="Z1487" s="10" t="s">
        <v>910</v>
      </c>
      <c r="AL1487" s="10" t="str">
        <f t="shared" si="165"/>
        <v>FALSE</v>
      </c>
      <c r="AM1487" s="10" t="str">
        <f t="shared" si="165"/>
        <v>FALSE</v>
      </c>
      <c r="AN1487" s="10" t="str">
        <f t="shared" si="165"/>
        <v>FALSE</v>
      </c>
      <c r="AO1487" s="10" t="str">
        <f t="shared" si="166"/>
        <v>FALSE</v>
      </c>
      <c r="AP1487" s="10" t="str">
        <f t="shared" si="166"/>
        <v>FALSE</v>
      </c>
      <c r="AQ1487" s="10" t="b">
        <f>IF(AND(I1487="TP",S1487&lt;=150),VLOOKUP(AF1487,TPCalibEq150!$AZ$2:$BB$55,3,),IF(AND(I1487="TDP",S1487&lt;=150),VLOOKUP(AF1487,TPCalibEq150!$AZ$2:$BB$55,3,)))</f>
        <v>0</v>
      </c>
      <c r="AR1487" s="10" t="b">
        <f>IF(AND(I1487="TP",S1487&lt;=300),VLOOKUP(AF1487,TPCalibEq300!$AZ$2:$BB$55,3,),IF(AND(I1487="TDP",S1487&lt;=300),VLOOKUP(AF1487,TPCalibEq300!$AZ$2:$BB$55,3,)))</f>
        <v>0</v>
      </c>
      <c r="AS1487" s="10" t="b">
        <f>IF(AND(I1487="TP",S1487&lt;=500),VLOOKUP(AF1487,TPCalibEq500!$AZ$2:$BB$56,3,),IF(AND(I1487="TDP",S1487&lt;=500),VLOOKUP(AF1487,TPCalibEq500!$AZ$2:$BB$56,3,)))</f>
        <v>0</v>
      </c>
      <c r="AT1487" s="10" t="b">
        <f>IF(AND(I1487="TN",S1487&lt;=2800),VLOOKUP(AF1487,TNCalibEq2500!$AZ$2:$BB$56,3,),IF(AND(I1487="TDN",S1487&lt;=2800),VLOOKUP(AF1487,TNCalibEq2500!$AZ$2:$BB$56,3,)))</f>
        <v>0</v>
      </c>
      <c r="AU1487" s="10" t="b">
        <f>IF(I1487="TP",VLOOKUP(AF1487,TPCalibEqFull!$AZ$2:$BB$56,3),IF(I1487="TDP",VLOOKUP(AF1487,TPCalibEqFull!$AZ$2:$BB$56,3),IF(I1487="TDN",VLOOKUP(AF1487,TNCalibEqFull!$AZ$1:$BB$56,3),IF(I1487="TN",VLOOKUP(AF1487,TNCalibEqFull!$AZ$1:$BB$56,3),FALSE))))</f>
        <v>0</v>
      </c>
      <c r="AV1487" s="10" t="str">
        <f t="shared" si="171"/>
        <v>0130 09:08:00-STC-0-C-1-SW-UKN</v>
      </c>
    </row>
    <row r="1488" spans="1:48" s="10" customFormat="1" x14ac:dyDescent="0.55000000000000004">
      <c r="A1488" s="32">
        <v>44956</v>
      </c>
      <c r="B1488" s="33">
        <v>0.3972222222222222</v>
      </c>
      <c r="C1488" s="10" t="s">
        <v>999</v>
      </c>
      <c r="D1488" s="10">
        <v>0</v>
      </c>
      <c r="E1488" s="10" t="s">
        <v>190</v>
      </c>
      <c r="F1488" s="10">
        <v>1</v>
      </c>
      <c r="G1488" s="10" t="s">
        <v>231</v>
      </c>
      <c r="H1488" s="10" t="s">
        <v>322</v>
      </c>
      <c r="I1488" s="10" t="s">
        <v>285</v>
      </c>
      <c r="J1488" s="10">
        <v>31</v>
      </c>
      <c r="K1488" s="12">
        <v>44958</v>
      </c>
      <c r="L1488" s="33">
        <v>0.53844907407407405</v>
      </c>
      <c r="M1488" s="10">
        <v>1</v>
      </c>
      <c r="N1488" s="10" t="s">
        <v>211</v>
      </c>
      <c r="O1488" s="10">
        <v>0.49399999999999999</v>
      </c>
      <c r="P1488" s="10">
        <v>4.6699999999999998E-2</v>
      </c>
      <c r="Q1488" s="10">
        <v>84.5</v>
      </c>
      <c r="R1488" s="10" t="s">
        <v>913</v>
      </c>
      <c r="S1488" s="34">
        <f t="shared" si="168"/>
        <v>84.5</v>
      </c>
      <c r="T1488" s="10" t="s">
        <v>1111</v>
      </c>
      <c r="U1488" s="34" t="str">
        <f t="shared" si="169"/>
        <v/>
      </c>
      <c r="V1488" s="31" t="str">
        <f>IF(H1488="CHK",VLOOKUP(I1488,QCCHK,3,),IF(H1488="GUP",VLOOKUP(E1488,QCGUP,2,),IF(AND(H1488="ATP",OR(I1488="TN",I1488="TDN",I1488="TNO2-3",I1488="NO2-3")),VLOOKUP(E1488,QCREC_N,2,),IF(AND(H1488="NIC",OR(I1488="TN",I1488="TDN",I1488="TNO2-3",I1488="NO2-3")),VLOOKUP(E1488,QCNIC_N,2,),IF(AND(H1488="UREA",OR(I1488="TN",I1488="TDN",I1488="TNO2-3",I1488="NO2-3")),VLOOKUP(E1488,QCUREA_N,2,),IF(H1488="PER",VLOOKUP(I1488,QCPER,MATCH(E1488,QCACTUAL!$J$25:$AA$25,0),),IF(H1488="SPK",VLOOKUP(I1488,QCSPK,3,),IF(AND(H1488="ATP",OR(I1488="TP",I1488="TDP")),VLOOKUP(E1488,QCATP_P,2,),""))))))))</f>
        <v/>
      </c>
      <c r="W1488" s="31" t="str">
        <f t="shared" si="170"/>
        <v>TRUE</v>
      </c>
      <c r="X1488" s="31" t="str">
        <f t="shared" si="167"/>
        <v/>
      </c>
      <c r="Y1488" s="10" t="s">
        <v>1096</v>
      </c>
      <c r="Z1488" s="10" t="s">
        <v>910</v>
      </c>
      <c r="AL1488" s="10" t="str">
        <f t="shared" si="165"/>
        <v>FALSE</v>
      </c>
      <c r="AM1488" s="10" t="str">
        <f t="shared" si="165"/>
        <v>FALSE</v>
      </c>
      <c r="AN1488" s="10" t="str">
        <f t="shared" si="165"/>
        <v>FALSE</v>
      </c>
      <c r="AO1488" s="10" t="str">
        <f t="shared" si="166"/>
        <v>FALSE</v>
      </c>
      <c r="AP1488" s="10" t="str">
        <f t="shared" si="166"/>
        <v>FALSE</v>
      </c>
      <c r="AQ1488" s="10" t="b">
        <f>IF(AND(I1488="TP",S1488&lt;=150),VLOOKUP(AF1488,TPCalibEq150!$AZ$2:$BB$55,3,),IF(AND(I1488="TDP",S1488&lt;=150),VLOOKUP(AF1488,TPCalibEq150!$AZ$2:$BB$55,3,)))</f>
        <v>0</v>
      </c>
      <c r="AR1488" s="10" t="b">
        <f>IF(AND(I1488="TP",S1488&lt;=300),VLOOKUP(AF1488,TPCalibEq300!$AZ$2:$BB$55,3,),IF(AND(I1488="TDP",S1488&lt;=300),VLOOKUP(AF1488,TPCalibEq300!$AZ$2:$BB$55,3,)))</f>
        <v>0</v>
      </c>
      <c r="AS1488" s="10" t="b">
        <f>IF(AND(I1488="TP",S1488&lt;=500),VLOOKUP(AF1488,TPCalibEq500!$AZ$2:$BB$56,3,),IF(AND(I1488="TDP",S1488&lt;=500),VLOOKUP(AF1488,TPCalibEq500!$AZ$2:$BB$56,3,)))</f>
        <v>0</v>
      </c>
      <c r="AT1488" s="10" t="b">
        <f>IF(AND(I1488="TN",S1488&lt;=2800),VLOOKUP(AF1488,TNCalibEq2500!$AZ$2:$BB$56,3,),IF(AND(I1488="TDN",S1488&lt;=2800),VLOOKUP(AF1488,TNCalibEq2500!$AZ$2:$BB$56,3,)))</f>
        <v>0</v>
      </c>
      <c r="AU1488" s="10" t="b">
        <f>IF(I1488="TP",VLOOKUP(AF1488,TPCalibEqFull!$AZ$2:$BB$56,3),IF(I1488="TDP",VLOOKUP(AF1488,TPCalibEqFull!$AZ$2:$BB$56,3),IF(I1488="TDN",VLOOKUP(AF1488,TNCalibEqFull!$AZ$1:$BB$56,3),IF(I1488="TN",VLOOKUP(AF1488,TNCalibEqFull!$AZ$1:$BB$56,3),FALSE))))</f>
        <v>0</v>
      </c>
      <c r="AV1488" s="10" t="str">
        <f t="shared" si="171"/>
        <v>0130 09:32:00-EAW-0-C-1-SW-UKN</v>
      </c>
    </row>
    <row r="1489" spans="1:48" s="10" customFormat="1" x14ac:dyDescent="0.55000000000000004">
      <c r="A1489" s="32">
        <v>44956</v>
      </c>
      <c r="B1489" s="33">
        <v>0.40486111111111112</v>
      </c>
      <c r="C1489" s="10" t="s">
        <v>310</v>
      </c>
      <c r="D1489" s="10">
        <v>0</v>
      </c>
      <c r="E1489" s="10" t="s">
        <v>190</v>
      </c>
      <c r="F1489" s="10">
        <v>1</v>
      </c>
      <c r="G1489" s="10" t="s">
        <v>231</v>
      </c>
      <c r="H1489" s="10" t="s">
        <v>322</v>
      </c>
      <c r="I1489" s="10" t="s">
        <v>285</v>
      </c>
      <c r="J1489" s="10">
        <v>32</v>
      </c>
      <c r="K1489" s="12">
        <v>44958</v>
      </c>
      <c r="L1489" s="33">
        <v>0.5392824074074074</v>
      </c>
      <c r="M1489" s="10">
        <v>1</v>
      </c>
      <c r="N1489" s="10" t="s">
        <v>211</v>
      </c>
      <c r="O1489" s="10">
        <v>0.47699999999999998</v>
      </c>
      <c r="P1489" s="10">
        <v>4.5100000000000001E-2</v>
      </c>
      <c r="Q1489" s="10">
        <v>81.5</v>
      </c>
      <c r="R1489" s="10" t="s">
        <v>913</v>
      </c>
      <c r="S1489" s="34">
        <f t="shared" si="168"/>
        <v>81.5</v>
      </c>
      <c r="T1489" s="10" t="s">
        <v>1111</v>
      </c>
      <c r="U1489" s="34" t="str">
        <f t="shared" si="169"/>
        <v/>
      </c>
      <c r="V1489" s="31" t="str">
        <f>IF(H1489="CHK",VLOOKUP(I1489,QCCHK,3,),IF(H1489="GUP",VLOOKUP(E1489,QCGUP,2,),IF(AND(H1489="ATP",OR(I1489="TN",I1489="TDN",I1489="TNO2-3",I1489="NO2-3")),VLOOKUP(E1489,QCREC_N,2,),IF(AND(H1489="NIC",OR(I1489="TN",I1489="TDN",I1489="TNO2-3",I1489="NO2-3")),VLOOKUP(E1489,QCNIC_N,2,),IF(AND(H1489="UREA",OR(I1489="TN",I1489="TDN",I1489="TNO2-3",I1489="NO2-3")),VLOOKUP(E1489,QCUREA_N,2,),IF(H1489="PER",VLOOKUP(I1489,QCPER,MATCH(E1489,QCACTUAL!$J$25:$AA$25,0),),IF(H1489="SPK",VLOOKUP(I1489,QCSPK,3,),IF(AND(H1489="ATP",OR(I1489="TP",I1489="TDP")),VLOOKUP(E1489,QCATP_P,2,),""))))))))</f>
        <v/>
      </c>
      <c r="W1489" s="31" t="str">
        <f t="shared" si="170"/>
        <v>TRUE</v>
      </c>
      <c r="X1489" s="31" t="str">
        <f t="shared" si="167"/>
        <v/>
      </c>
      <c r="Y1489" s="10" t="s">
        <v>1096</v>
      </c>
      <c r="Z1489" s="10" t="s">
        <v>910</v>
      </c>
      <c r="AL1489" s="10" t="str">
        <f t="shared" ref="AL1489:AN1552" si="172">IF($O1489="", "", IF(AQ1489&lt;&gt;"", SUBSTITUTE(SUBSTITUTE(AQ1489, "x", "*"&amp;$O1489&amp;"^", 1), "x", "*"&amp;$O1489, 1), ""))</f>
        <v>FALSE</v>
      </c>
      <c r="AM1489" s="10" t="str">
        <f t="shared" si="172"/>
        <v>FALSE</v>
      </c>
      <c r="AN1489" s="10" t="str">
        <f t="shared" si="172"/>
        <v>FALSE</v>
      </c>
      <c r="AO1489" s="10" t="str">
        <f t="shared" ref="AO1489:AP1552" si="173">IF($O1489="", "FALSE", IF(AT1489&lt;&gt;"FALSE", SUBSTITUTE(SUBSTITUTE(AT1489, "x", "*"&amp;$O1489&amp;"^", 1), "x", "*"&amp;$O1489, 1), ""))</f>
        <v>FALSE</v>
      </c>
      <c r="AP1489" s="10" t="str">
        <f t="shared" si="173"/>
        <v>FALSE</v>
      </c>
      <c r="AQ1489" s="10" t="b">
        <f>IF(AND(I1489="TP",S1489&lt;=150),VLOOKUP(AF1489,TPCalibEq150!$AZ$2:$BB$55,3,),IF(AND(I1489="TDP",S1489&lt;=150),VLOOKUP(AF1489,TPCalibEq150!$AZ$2:$BB$55,3,)))</f>
        <v>0</v>
      </c>
      <c r="AR1489" s="10" t="b">
        <f>IF(AND(I1489="TP",S1489&lt;=300),VLOOKUP(AF1489,TPCalibEq300!$AZ$2:$BB$55,3,),IF(AND(I1489="TDP",S1489&lt;=300),VLOOKUP(AF1489,TPCalibEq300!$AZ$2:$BB$55,3,)))</f>
        <v>0</v>
      </c>
      <c r="AS1489" s="10" t="b">
        <f>IF(AND(I1489="TP",S1489&lt;=500),VLOOKUP(AF1489,TPCalibEq500!$AZ$2:$BB$56,3,),IF(AND(I1489="TDP",S1489&lt;=500),VLOOKUP(AF1489,TPCalibEq500!$AZ$2:$BB$56,3,)))</f>
        <v>0</v>
      </c>
      <c r="AT1489" s="10" t="b">
        <f>IF(AND(I1489="TN",S1489&lt;=2800),VLOOKUP(AF1489,TNCalibEq2500!$AZ$2:$BB$56,3,),IF(AND(I1489="TDN",S1489&lt;=2800),VLOOKUP(AF1489,TNCalibEq2500!$AZ$2:$BB$56,3,)))</f>
        <v>0</v>
      </c>
      <c r="AU1489" s="10" t="b">
        <f>IF(I1489="TP",VLOOKUP(AF1489,TPCalibEqFull!$AZ$2:$BB$56,3),IF(I1489="TDP",VLOOKUP(AF1489,TPCalibEqFull!$AZ$2:$BB$56,3),IF(I1489="TDN",VLOOKUP(AF1489,TNCalibEqFull!$AZ$1:$BB$56,3),IF(I1489="TN",VLOOKUP(AF1489,TNCalibEqFull!$AZ$1:$BB$56,3),FALSE))))</f>
        <v>0</v>
      </c>
      <c r="AV1489" s="10" t="str">
        <f t="shared" si="171"/>
        <v>0130 09:43:00-ELI-0-C-1-SW-UKN</v>
      </c>
    </row>
    <row r="1490" spans="1:48" s="10" customFormat="1" x14ac:dyDescent="0.55000000000000004">
      <c r="A1490" s="32">
        <v>44956</v>
      </c>
      <c r="B1490" s="33">
        <v>0.41597222222222219</v>
      </c>
      <c r="C1490" s="10" t="s">
        <v>408</v>
      </c>
      <c r="D1490" s="10">
        <v>0</v>
      </c>
      <c r="E1490" s="10" t="s">
        <v>190</v>
      </c>
      <c r="F1490" s="10">
        <v>1</v>
      </c>
      <c r="G1490" s="10" t="s">
        <v>231</v>
      </c>
      <c r="H1490" s="10" t="s">
        <v>322</v>
      </c>
      <c r="I1490" s="10" t="s">
        <v>285</v>
      </c>
      <c r="J1490" s="10">
        <v>33</v>
      </c>
      <c r="K1490" s="12">
        <v>44958</v>
      </c>
      <c r="L1490" s="33">
        <v>0.54010416666666672</v>
      </c>
      <c r="M1490" s="10">
        <v>1</v>
      </c>
      <c r="N1490" s="10" t="s">
        <v>211</v>
      </c>
      <c r="O1490" s="10">
        <v>0.32</v>
      </c>
      <c r="P1490" s="10">
        <v>0.03</v>
      </c>
      <c r="Q1490" s="10">
        <v>54.5</v>
      </c>
      <c r="R1490" s="10" t="s">
        <v>913</v>
      </c>
      <c r="S1490" s="34">
        <f t="shared" si="168"/>
        <v>54.5</v>
      </c>
      <c r="T1490" s="10" t="s">
        <v>1111</v>
      </c>
      <c r="U1490" s="34" t="str">
        <f t="shared" si="169"/>
        <v/>
      </c>
      <c r="V1490" s="31" t="str">
        <f>IF(H1490="CHK",VLOOKUP(I1490,QCCHK,3,),IF(H1490="GUP",VLOOKUP(E1490,QCGUP,2,),IF(AND(H1490="ATP",OR(I1490="TN",I1490="TDN",I1490="TNO2-3",I1490="NO2-3")),VLOOKUP(E1490,QCREC_N,2,),IF(AND(H1490="NIC",OR(I1490="TN",I1490="TDN",I1490="TNO2-3",I1490="NO2-3")),VLOOKUP(E1490,QCNIC_N,2,),IF(AND(H1490="UREA",OR(I1490="TN",I1490="TDN",I1490="TNO2-3",I1490="NO2-3")),VLOOKUP(E1490,QCUREA_N,2,),IF(H1490="PER",VLOOKUP(I1490,QCPER,MATCH(E1490,QCACTUAL!$J$25:$AA$25,0),),IF(H1490="SPK",VLOOKUP(I1490,QCSPK,3,),IF(AND(H1490="ATP",OR(I1490="TP",I1490="TDP")),VLOOKUP(E1490,QCATP_P,2,),""))))))))</f>
        <v/>
      </c>
      <c r="W1490" s="31" t="str">
        <f t="shared" si="170"/>
        <v>TRUE</v>
      </c>
      <c r="X1490" s="31" t="str">
        <f t="shared" si="167"/>
        <v/>
      </c>
      <c r="Y1490" s="10" t="s">
        <v>1096</v>
      </c>
      <c r="Z1490" s="10" t="s">
        <v>910</v>
      </c>
      <c r="AL1490" s="10" t="str">
        <f t="shared" si="172"/>
        <v>FALSE</v>
      </c>
      <c r="AM1490" s="10" t="str">
        <f t="shared" si="172"/>
        <v>FALSE</v>
      </c>
      <c r="AN1490" s="10" t="str">
        <f t="shared" si="172"/>
        <v>FALSE</v>
      </c>
      <c r="AO1490" s="10" t="str">
        <f t="shared" si="173"/>
        <v>FALSE</v>
      </c>
      <c r="AP1490" s="10" t="str">
        <f t="shared" si="173"/>
        <v>FALSE</v>
      </c>
      <c r="AQ1490" s="10" t="b">
        <f>IF(AND(I1490="TP",S1490&lt;=150),VLOOKUP(AF1490,TPCalibEq150!$AZ$2:$BB$55,3,),IF(AND(I1490="TDP",S1490&lt;=150),VLOOKUP(AF1490,TPCalibEq150!$AZ$2:$BB$55,3,)))</f>
        <v>0</v>
      </c>
      <c r="AR1490" s="10" t="b">
        <f>IF(AND(I1490="TP",S1490&lt;=300),VLOOKUP(AF1490,TPCalibEq300!$AZ$2:$BB$55,3,),IF(AND(I1490="TDP",S1490&lt;=300),VLOOKUP(AF1490,TPCalibEq300!$AZ$2:$BB$55,3,)))</f>
        <v>0</v>
      </c>
      <c r="AS1490" s="10" t="b">
        <f>IF(AND(I1490="TP",S1490&lt;=500),VLOOKUP(AF1490,TPCalibEq500!$AZ$2:$BB$56,3,),IF(AND(I1490="TDP",S1490&lt;=500),VLOOKUP(AF1490,TPCalibEq500!$AZ$2:$BB$56,3,)))</f>
        <v>0</v>
      </c>
      <c r="AT1490" s="10" t="b">
        <f>IF(AND(I1490="TN",S1490&lt;=2800),VLOOKUP(AF1490,TNCalibEq2500!$AZ$2:$BB$56,3,),IF(AND(I1490="TDN",S1490&lt;=2800),VLOOKUP(AF1490,TNCalibEq2500!$AZ$2:$BB$56,3,)))</f>
        <v>0</v>
      </c>
      <c r="AU1490" s="10" t="b">
        <f>IF(I1490="TP",VLOOKUP(AF1490,TPCalibEqFull!$AZ$2:$BB$56,3),IF(I1490="TDP",VLOOKUP(AF1490,TPCalibEqFull!$AZ$2:$BB$56,3),IF(I1490="TDN",VLOOKUP(AF1490,TNCalibEqFull!$AZ$1:$BB$56,3),IF(I1490="TN",VLOOKUP(AF1490,TNCalibEqFull!$AZ$1:$BB$56,3),FALSE))))</f>
        <v>0</v>
      </c>
      <c r="AV1490" s="10" t="str">
        <f t="shared" si="171"/>
        <v>0130 09:59:00-CLC-0-C-1-SW-UKN</v>
      </c>
    </row>
    <row r="1491" spans="1:48" s="10" customFormat="1" x14ac:dyDescent="0.55000000000000004">
      <c r="A1491" s="32">
        <v>44956</v>
      </c>
      <c r="B1491" s="33">
        <v>0.43055555555555558</v>
      </c>
      <c r="C1491" s="10" t="s">
        <v>349</v>
      </c>
      <c r="D1491" s="10">
        <v>0</v>
      </c>
      <c r="E1491" s="10" t="s">
        <v>190</v>
      </c>
      <c r="F1491" s="10">
        <v>1</v>
      </c>
      <c r="G1491" s="10" t="s">
        <v>231</v>
      </c>
      <c r="H1491" s="10" t="s">
        <v>322</v>
      </c>
      <c r="I1491" s="10" t="s">
        <v>285</v>
      </c>
      <c r="J1491" s="10">
        <v>34</v>
      </c>
      <c r="K1491" s="12">
        <v>44958</v>
      </c>
      <c r="L1491" s="33">
        <v>0.54091435185185188</v>
      </c>
      <c r="M1491" s="10">
        <v>1</v>
      </c>
      <c r="N1491" s="10" t="s">
        <v>211</v>
      </c>
      <c r="O1491" s="10">
        <v>0.31900000000000001</v>
      </c>
      <c r="P1491" s="10">
        <v>0.03</v>
      </c>
      <c r="Q1491" s="10">
        <v>54.3</v>
      </c>
      <c r="R1491" s="10" t="s">
        <v>913</v>
      </c>
      <c r="S1491" s="34">
        <f t="shared" si="168"/>
        <v>54.3</v>
      </c>
      <c r="T1491" s="10" t="s">
        <v>1111</v>
      </c>
      <c r="U1491" s="34" t="str">
        <f t="shared" si="169"/>
        <v/>
      </c>
      <c r="V1491" s="31" t="str">
        <f>IF(H1491="CHK",VLOOKUP(I1491,QCCHK,3,),IF(H1491="GUP",VLOOKUP(E1491,QCGUP,2,),IF(AND(H1491="ATP",OR(I1491="TN",I1491="TDN",I1491="TNO2-3",I1491="NO2-3")),VLOOKUP(E1491,QCREC_N,2,),IF(AND(H1491="NIC",OR(I1491="TN",I1491="TDN",I1491="TNO2-3",I1491="NO2-3")),VLOOKUP(E1491,QCNIC_N,2,),IF(AND(H1491="UREA",OR(I1491="TN",I1491="TDN",I1491="TNO2-3",I1491="NO2-3")),VLOOKUP(E1491,QCUREA_N,2,),IF(H1491="PER",VLOOKUP(I1491,QCPER,MATCH(E1491,QCACTUAL!$J$25:$AA$25,0),),IF(H1491="SPK",VLOOKUP(I1491,QCSPK,3,),IF(AND(H1491="ATP",OR(I1491="TP",I1491="TDP")),VLOOKUP(E1491,QCATP_P,2,),""))))))))</f>
        <v/>
      </c>
      <c r="W1491" s="31" t="str">
        <f t="shared" si="170"/>
        <v>TRUE</v>
      </c>
      <c r="X1491" s="31" t="str">
        <f t="shared" si="167"/>
        <v/>
      </c>
      <c r="Y1491" s="10" t="s">
        <v>1096</v>
      </c>
      <c r="Z1491" s="10" t="s">
        <v>910</v>
      </c>
      <c r="AL1491" s="10" t="str">
        <f t="shared" si="172"/>
        <v>FALSE</v>
      </c>
      <c r="AM1491" s="10" t="str">
        <f t="shared" si="172"/>
        <v>FALSE</v>
      </c>
      <c r="AN1491" s="10" t="str">
        <f t="shared" si="172"/>
        <v>FALSE</v>
      </c>
      <c r="AO1491" s="10" t="str">
        <f t="shared" si="173"/>
        <v>FALSE</v>
      </c>
      <c r="AP1491" s="10" t="str">
        <f t="shared" si="173"/>
        <v>FALSE</v>
      </c>
      <c r="AQ1491" s="10" t="b">
        <f>IF(AND(I1491="TP",S1491&lt;=150),VLOOKUP(AF1491,TPCalibEq150!$AZ$2:$BB$55,3,),IF(AND(I1491="TDP",S1491&lt;=150),VLOOKUP(AF1491,TPCalibEq150!$AZ$2:$BB$55,3,)))</f>
        <v>0</v>
      </c>
      <c r="AR1491" s="10" t="b">
        <f>IF(AND(I1491="TP",S1491&lt;=300),VLOOKUP(AF1491,TPCalibEq300!$AZ$2:$BB$55,3,),IF(AND(I1491="TDP",S1491&lt;=300),VLOOKUP(AF1491,TPCalibEq300!$AZ$2:$BB$55,3,)))</f>
        <v>0</v>
      </c>
      <c r="AS1491" s="10" t="b">
        <f>IF(AND(I1491="TP",S1491&lt;=500),VLOOKUP(AF1491,TPCalibEq500!$AZ$2:$BB$56,3,),IF(AND(I1491="TDP",S1491&lt;=500),VLOOKUP(AF1491,TPCalibEq500!$AZ$2:$BB$56,3,)))</f>
        <v>0</v>
      </c>
      <c r="AT1491" s="10" t="b">
        <f>IF(AND(I1491="TN",S1491&lt;=2800),VLOOKUP(AF1491,TNCalibEq2500!$AZ$2:$BB$56,3,),IF(AND(I1491="TDN",S1491&lt;=2800),VLOOKUP(AF1491,TNCalibEq2500!$AZ$2:$BB$56,3,)))</f>
        <v>0</v>
      </c>
      <c r="AU1491" s="10" t="b">
        <f>IF(I1491="TP",VLOOKUP(AF1491,TPCalibEqFull!$AZ$2:$BB$56,3),IF(I1491="TDP",VLOOKUP(AF1491,TPCalibEqFull!$AZ$2:$BB$56,3),IF(I1491="TDN",VLOOKUP(AF1491,TNCalibEqFull!$AZ$1:$BB$56,3),IF(I1491="TN",VLOOKUP(AF1491,TNCalibEqFull!$AZ$1:$BB$56,3),FALSE))))</f>
        <v>0</v>
      </c>
      <c r="AV1491" s="10" t="str">
        <f t="shared" si="171"/>
        <v>0130 10:20:00-SHA-0-C-1-SW-UKN</v>
      </c>
    </row>
    <row r="1492" spans="1:48" s="10" customFormat="1" x14ac:dyDescent="0.55000000000000004">
      <c r="A1492" s="32">
        <v>44956</v>
      </c>
      <c r="B1492" s="33">
        <v>0.44166666666666665</v>
      </c>
      <c r="C1492" s="10" t="s">
        <v>646</v>
      </c>
      <c r="D1492" s="10">
        <v>0</v>
      </c>
      <c r="E1492" s="10" t="s">
        <v>190</v>
      </c>
      <c r="F1492" s="10">
        <v>1</v>
      </c>
      <c r="G1492" s="10" t="s">
        <v>231</v>
      </c>
      <c r="H1492" s="10" t="s">
        <v>322</v>
      </c>
      <c r="I1492" s="10" t="s">
        <v>285</v>
      </c>
      <c r="J1492" s="10">
        <v>35</v>
      </c>
      <c r="K1492" s="12">
        <v>44958</v>
      </c>
      <c r="L1492" s="33">
        <v>0.54173611111111108</v>
      </c>
      <c r="M1492" s="10">
        <v>1</v>
      </c>
      <c r="N1492" s="10" t="s">
        <v>211</v>
      </c>
      <c r="O1492" s="10">
        <v>0.93</v>
      </c>
      <c r="P1492" s="10">
        <v>8.8200000000000001E-2</v>
      </c>
      <c r="Q1492" s="10">
        <v>160</v>
      </c>
      <c r="R1492" s="10" t="s">
        <v>913</v>
      </c>
      <c r="S1492" s="34">
        <f t="shared" si="168"/>
        <v>160</v>
      </c>
      <c r="T1492" s="10" t="s">
        <v>1111</v>
      </c>
      <c r="U1492" s="34" t="str">
        <f t="shared" si="169"/>
        <v/>
      </c>
      <c r="V1492" s="31" t="str">
        <f>IF(H1492="CHK",VLOOKUP(I1492,QCCHK,3,),IF(H1492="GUP",VLOOKUP(E1492,QCGUP,2,),IF(AND(H1492="ATP",OR(I1492="TN",I1492="TDN",I1492="TNO2-3",I1492="NO2-3")),VLOOKUP(E1492,QCREC_N,2,),IF(AND(H1492="NIC",OR(I1492="TN",I1492="TDN",I1492="TNO2-3",I1492="NO2-3")),VLOOKUP(E1492,QCNIC_N,2,),IF(AND(H1492="UREA",OR(I1492="TN",I1492="TDN",I1492="TNO2-3",I1492="NO2-3")),VLOOKUP(E1492,QCUREA_N,2,),IF(H1492="PER",VLOOKUP(I1492,QCPER,MATCH(E1492,QCACTUAL!$J$25:$AA$25,0),),IF(H1492="SPK",VLOOKUP(I1492,QCSPK,3,),IF(AND(H1492="ATP",OR(I1492="TP",I1492="TDP")),VLOOKUP(E1492,QCATP_P,2,),""))))))))</f>
        <v/>
      </c>
      <c r="W1492" s="31" t="str">
        <f t="shared" si="170"/>
        <v>TRUE</v>
      </c>
      <c r="X1492" s="31" t="str">
        <f t="shared" si="167"/>
        <v/>
      </c>
      <c r="Y1492" s="10" t="s">
        <v>1096</v>
      </c>
      <c r="Z1492" s="10" t="s">
        <v>910</v>
      </c>
      <c r="AL1492" s="10" t="str">
        <f t="shared" si="172"/>
        <v>FALSE</v>
      </c>
      <c r="AM1492" s="10" t="str">
        <f t="shared" si="172"/>
        <v>FALSE</v>
      </c>
      <c r="AN1492" s="10" t="str">
        <f t="shared" si="172"/>
        <v>FALSE</v>
      </c>
      <c r="AO1492" s="10" t="str">
        <f t="shared" si="173"/>
        <v>FALSE</v>
      </c>
      <c r="AP1492" s="10" t="str">
        <f t="shared" si="173"/>
        <v>FALSE</v>
      </c>
      <c r="AQ1492" s="10" t="b">
        <f>IF(AND(I1492="TP",S1492&lt;=150),VLOOKUP(AF1492,TPCalibEq150!$AZ$2:$BB$55,3,),IF(AND(I1492="TDP",S1492&lt;=150),VLOOKUP(AF1492,TPCalibEq150!$AZ$2:$BB$55,3,)))</f>
        <v>0</v>
      </c>
      <c r="AR1492" s="10" t="b">
        <f>IF(AND(I1492="TP",S1492&lt;=300),VLOOKUP(AF1492,TPCalibEq300!$AZ$2:$BB$55,3,),IF(AND(I1492="TDP",S1492&lt;=300),VLOOKUP(AF1492,TPCalibEq300!$AZ$2:$BB$55,3,)))</f>
        <v>0</v>
      </c>
      <c r="AS1492" s="10" t="b">
        <f>IF(AND(I1492="TP",S1492&lt;=500),VLOOKUP(AF1492,TPCalibEq500!$AZ$2:$BB$56,3,),IF(AND(I1492="TDP",S1492&lt;=500),VLOOKUP(AF1492,TPCalibEq500!$AZ$2:$BB$56,3,)))</f>
        <v>0</v>
      </c>
      <c r="AT1492" s="10" t="b">
        <f>IF(AND(I1492="TN",S1492&lt;=2800),VLOOKUP(AF1492,TNCalibEq2500!$AZ$2:$BB$56,3,),IF(AND(I1492="TDN",S1492&lt;=2800),VLOOKUP(AF1492,TNCalibEq2500!$AZ$2:$BB$56,3,)))</f>
        <v>0</v>
      </c>
      <c r="AU1492" s="10" t="b">
        <f>IF(I1492="TP",VLOOKUP(AF1492,TPCalibEqFull!$AZ$2:$BB$56,3),IF(I1492="TDP",VLOOKUP(AF1492,TPCalibEqFull!$AZ$2:$BB$56,3),IF(I1492="TDN",VLOOKUP(AF1492,TNCalibEqFull!$AZ$1:$BB$56,3),IF(I1492="TN",VLOOKUP(AF1492,TNCalibEqFull!$AZ$1:$BB$56,3),FALSE))))</f>
        <v>0</v>
      </c>
      <c r="AV1492" s="10" t="str">
        <f t="shared" si="171"/>
        <v>0130 10:36:00-EMB-0-C-1-SW-UKN</v>
      </c>
    </row>
    <row r="1493" spans="1:48" s="10" customFormat="1" x14ac:dyDescent="0.55000000000000004">
      <c r="A1493" s="32">
        <v>44956</v>
      </c>
      <c r="B1493" s="33">
        <v>0.45208333333333334</v>
      </c>
      <c r="C1493" s="10" t="s">
        <v>214</v>
      </c>
      <c r="D1493" s="10">
        <v>0</v>
      </c>
      <c r="E1493" s="10" t="s">
        <v>190</v>
      </c>
      <c r="F1493" s="10">
        <v>1</v>
      </c>
      <c r="G1493" s="10" t="s">
        <v>231</v>
      </c>
      <c r="H1493" s="10" t="s">
        <v>322</v>
      </c>
      <c r="I1493" s="10" t="s">
        <v>285</v>
      </c>
      <c r="J1493" s="10">
        <v>36</v>
      </c>
      <c r="K1493" s="12">
        <v>44958</v>
      </c>
      <c r="L1493" s="33">
        <v>0.5425578703703704</v>
      </c>
      <c r="M1493" s="10">
        <v>1</v>
      </c>
      <c r="N1493" s="10" t="s">
        <v>211</v>
      </c>
      <c r="O1493" s="10">
        <v>0.92800000000000005</v>
      </c>
      <c r="P1493" s="10">
        <v>8.8599999999999998E-2</v>
      </c>
      <c r="Q1493" s="10">
        <v>159</v>
      </c>
      <c r="R1493" s="10" t="s">
        <v>913</v>
      </c>
      <c r="S1493" s="34">
        <f t="shared" si="168"/>
        <v>159</v>
      </c>
      <c r="T1493" s="10" t="s">
        <v>1111</v>
      </c>
      <c r="U1493" s="34" t="str">
        <f t="shared" si="169"/>
        <v/>
      </c>
      <c r="V1493" s="31" t="str">
        <f>IF(H1493="CHK",VLOOKUP(I1493,QCCHK,3,),IF(H1493="GUP",VLOOKUP(E1493,QCGUP,2,),IF(AND(H1493="ATP",OR(I1493="TN",I1493="TDN",I1493="TNO2-3",I1493="NO2-3")),VLOOKUP(E1493,QCREC_N,2,),IF(AND(H1493="NIC",OR(I1493="TN",I1493="TDN",I1493="TNO2-3",I1493="NO2-3")),VLOOKUP(E1493,QCNIC_N,2,),IF(AND(H1493="UREA",OR(I1493="TN",I1493="TDN",I1493="TNO2-3",I1493="NO2-3")),VLOOKUP(E1493,QCUREA_N,2,),IF(H1493="PER",VLOOKUP(I1493,QCPER,MATCH(E1493,QCACTUAL!$J$25:$AA$25,0),),IF(H1493="SPK",VLOOKUP(I1493,QCSPK,3,),IF(AND(H1493="ATP",OR(I1493="TP",I1493="TDP")),VLOOKUP(E1493,QCATP_P,2,),""))))))))</f>
        <v/>
      </c>
      <c r="W1493" s="31" t="str">
        <f t="shared" si="170"/>
        <v>TRUE</v>
      </c>
      <c r="X1493" s="31" t="str">
        <f t="shared" si="167"/>
        <v/>
      </c>
      <c r="Y1493" s="10" t="s">
        <v>1096</v>
      </c>
      <c r="Z1493" s="10" t="s">
        <v>910</v>
      </c>
      <c r="AL1493" s="10" t="str">
        <f t="shared" si="172"/>
        <v>FALSE</v>
      </c>
      <c r="AM1493" s="10" t="str">
        <f t="shared" si="172"/>
        <v>FALSE</v>
      </c>
      <c r="AN1493" s="10" t="str">
        <f t="shared" si="172"/>
        <v>FALSE</v>
      </c>
      <c r="AO1493" s="10" t="str">
        <f t="shared" si="173"/>
        <v>FALSE</v>
      </c>
      <c r="AP1493" s="10" t="str">
        <f t="shared" si="173"/>
        <v>FALSE</v>
      </c>
      <c r="AQ1493" s="10" t="b">
        <f>IF(AND(I1493="TP",S1493&lt;=150),VLOOKUP(AF1493,TPCalibEq150!$AZ$2:$BB$55,3,),IF(AND(I1493="TDP",S1493&lt;=150),VLOOKUP(AF1493,TPCalibEq150!$AZ$2:$BB$55,3,)))</f>
        <v>0</v>
      </c>
      <c r="AR1493" s="10" t="b">
        <f>IF(AND(I1493="TP",S1493&lt;=300),VLOOKUP(AF1493,TPCalibEq300!$AZ$2:$BB$55,3,),IF(AND(I1493="TDP",S1493&lt;=300),VLOOKUP(AF1493,TPCalibEq300!$AZ$2:$BB$55,3,)))</f>
        <v>0</v>
      </c>
      <c r="AS1493" s="10" t="b">
        <f>IF(AND(I1493="TP",S1493&lt;=500),VLOOKUP(AF1493,TPCalibEq500!$AZ$2:$BB$56,3,),IF(AND(I1493="TDP",S1493&lt;=500),VLOOKUP(AF1493,TPCalibEq500!$AZ$2:$BB$56,3,)))</f>
        <v>0</v>
      </c>
      <c r="AT1493" s="10" t="b">
        <f>IF(AND(I1493="TN",S1493&lt;=2800),VLOOKUP(AF1493,TNCalibEq2500!$AZ$2:$BB$56,3,),IF(AND(I1493="TDN",S1493&lt;=2800),VLOOKUP(AF1493,TNCalibEq2500!$AZ$2:$BB$56,3,)))</f>
        <v>0</v>
      </c>
      <c r="AU1493" s="10" t="b">
        <f>IF(I1493="TP",VLOOKUP(AF1493,TPCalibEqFull!$AZ$2:$BB$56,3),IF(I1493="TDP",VLOOKUP(AF1493,TPCalibEqFull!$AZ$2:$BB$56,3),IF(I1493="TDN",VLOOKUP(AF1493,TNCalibEqFull!$AZ$1:$BB$56,3),IF(I1493="TN",VLOOKUP(AF1493,TNCalibEqFull!$AZ$1:$BB$56,3),FALSE))))</f>
        <v>0</v>
      </c>
      <c r="AV1493" s="10" t="str">
        <f t="shared" si="171"/>
        <v>0130 10:51:00-DAM-0-C-1-SW-UKN</v>
      </c>
    </row>
    <row r="1494" spans="1:48" s="10" customFormat="1" x14ac:dyDescent="0.55000000000000004">
      <c r="A1494" s="32">
        <v>44956</v>
      </c>
      <c r="B1494" s="33">
        <v>0.45208333333333334</v>
      </c>
      <c r="C1494" s="10" t="s">
        <v>214</v>
      </c>
      <c r="D1494" s="10">
        <v>0</v>
      </c>
      <c r="E1494" s="10" t="s">
        <v>190</v>
      </c>
      <c r="F1494" s="10">
        <v>2</v>
      </c>
      <c r="G1494" s="10" t="s">
        <v>231</v>
      </c>
      <c r="H1494" s="10" t="s">
        <v>322</v>
      </c>
      <c r="I1494" s="10" t="s">
        <v>285</v>
      </c>
      <c r="J1494" s="10">
        <v>37</v>
      </c>
      <c r="K1494" s="12">
        <v>44958</v>
      </c>
      <c r="L1494" s="33">
        <v>0.54336805555555556</v>
      </c>
      <c r="M1494" s="10">
        <v>1</v>
      </c>
      <c r="N1494" s="10" t="s">
        <v>211</v>
      </c>
      <c r="O1494" s="10">
        <v>0.88100000000000001</v>
      </c>
      <c r="P1494" s="10">
        <v>8.43E-2</v>
      </c>
      <c r="Q1494" s="10">
        <v>151</v>
      </c>
      <c r="R1494" s="10" t="s">
        <v>913</v>
      </c>
      <c r="S1494" s="34">
        <f t="shared" si="168"/>
        <v>151</v>
      </c>
      <c r="T1494" s="10" t="s">
        <v>1111</v>
      </c>
      <c r="U1494" s="34" t="str">
        <f t="shared" si="169"/>
        <v/>
      </c>
      <c r="V1494" s="31" t="str">
        <f>IF(H1494="CHK",VLOOKUP(I1494,QCCHK,3,),IF(H1494="GUP",VLOOKUP(E1494,QCGUP,2,),IF(AND(H1494="ATP",OR(I1494="TN",I1494="TDN",I1494="TNO2-3",I1494="NO2-3")),VLOOKUP(E1494,QCREC_N,2,),IF(AND(H1494="NIC",OR(I1494="TN",I1494="TDN",I1494="TNO2-3",I1494="NO2-3")),VLOOKUP(E1494,QCNIC_N,2,),IF(AND(H1494="UREA",OR(I1494="TN",I1494="TDN",I1494="TNO2-3",I1494="NO2-3")),VLOOKUP(E1494,QCUREA_N,2,),IF(H1494="PER",VLOOKUP(I1494,QCPER,MATCH(E1494,QCACTUAL!$J$25:$AA$25,0),),IF(H1494="SPK",VLOOKUP(I1494,QCSPK,3,),IF(AND(H1494="ATP",OR(I1494="TP",I1494="TDP")),VLOOKUP(E1494,QCATP_P,2,),""))))))))</f>
        <v/>
      </c>
      <c r="W1494" s="31" t="str">
        <f t="shared" si="170"/>
        <v>TRUE</v>
      </c>
      <c r="X1494" s="31" t="str">
        <f t="shared" si="167"/>
        <v/>
      </c>
      <c r="Y1494" s="10" t="s">
        <v>1096</v>
      </c>
      <c r="Z1494" s="10" t="s">
        <v>910</v>
      </c>
      <c r="AL1494" s="10" t="str">
        <f t="shared" si="172"/>
        <v>FALSE</v>
      </c>
      <c r="AM1494" s="10" t="str">
        <f t="shared" si="172"/>
        <v>FALSE</v>
      </c>
      <c r="AN1494" s="10" t="str">
        <f t="shared" si="172"/>
        <v>FALSE</v>
      </c>
      <c r="AO1494" s="10" t="str">
        <f t="shared" si="173"/>
        <v>FALSE</v>
      </c>
      <c r="AP1494" s="10" t="str">
        <f t="shared" si="173"/>
        <v>FALSE</v>
      </c>
      <c r="AQ1494" s="10" t="b">
        <f>IF(AND(I1494="TP",S1494&lt;=150),VLOOKUP(AF1494,TPCalibEq150!$AZ$2:$BB$55,3,),IF(AND(I1494="TDP",S1494&lt;=150),VLOOKUP(AF1494,TPCalibEq150!$AZ$2:$BB$55,3,)))</f>
        <v>0</v>
      </c>
      <c r="AR1494" s="10" t="b">
        <f>IF(AND(I1494="TP",S1494&lt;=300),VLOOKUP(AF1494,TPCalibEq300!$AZ$2:$BB$55,3,),IF(AND(I1494="TDP",S1494&lt;=300),VLOOKUP(AF1494,TPCalibEq300!$AZ$2:$BB$55,3,)))</f>
        <v>0</v>
      </c>
      <c r="AS1494" s="10" t="b">
        <f>IF(AND(I1494="TP",S1494&lt;=500),VLOOKUP(AF1494,TPCalibEq500!$AZ$2:$BB$56,3,),IF(AND(I1494="TDP",S1494&lt;=500),VLOOKUP(AF1494,TPCalibEq500!$AZ$2:$BB$56,3,)))</f>
        <v>0</v>
      </c>
      <c r="AT1494" s="10" t="b">
        <f>IF(AND(I1494="TN",S1494&lt;=2800),VLOOKUP(AF1494,TNCalibEq2500!$AZ$2:$BB$56,3,),IF(AND(I1494="TDN",S1494&lt;=2800),VLOOKUP(AF1494,TNCalibEq2500!$AZ$2:$BB$56,3,)))</f>
        <v>0</v>
      </c>
      <c r="AU1494" s="10" t="b">
        <f>IF(I1494="TP",VLOOKUP(AF1494,TPCalibEqFull!$AZ$2:$BB$56,3),IF(I1494="TDP",VLOOKUP(AF1494,TPCalibEqFull!$AZ$2:$BB$56,3),IF(I1494="TDN",VLOOKUP(AF1494,TNCalibEqFull!$AZ$1:$BB$56,3),IF(I1494="TN",VLOOKUP(AF1494,TNCalibEqFull!$AZ$1:$BB$56,3),FALSE))))</f>
        <v>0</v>
      </c>
      <c r="AV1494" s="10" t="str">
        <f t="shared" si="171"/>
        <v>0130 10:51:00-DAM-0-C-2-SW-UKN</v>
      </c>
    </row>
    <row r="1495" spans="1:48" s="10" customFormat="1" x14ac:dyDescent="0.55000000000000004">
      <c r="A1495" s="32">
        <v>44956</v>
      </c>
      <c r="B1495" s="33">
        <v>0.45208333333333334</v>
      </c>
      <c r="C1495" s="10" t="s">
        <v>214</v>
      </c>
      <c r="D1495" s="10">
        <v>0</v>
      </c>
      <c r="E1495" s="10" t="s">
        <v>190</v>
      </c>
      <c r="F1495" s="10">
        <v>2</v>
      </c>
      <c r="G1495" s="10" t="s">
        <v>231</v>
      </c>
      <c r="H1495" s="10" t="s">
        <v>233</v>
      </c>
      <c r="I1495" s="10" t="s">
        <v>285</v>
      </c>
      <c r="J1495" s="10">
        <v>37</v>
      </c>
      <c r="K1495" s="12">
        <v>44958</v>
      </c>
      <c r="L1495" s="33">
        <v>0.54418981481481488</v>
      </c>
      <c r="M1495" s="10">
        <v>1</v>
      </c>
      <c r="N1495" s="10" t="s">
        <v>211</v>
      </c>
      <c r="O1495" s="10">
        <v>0.41099999999999998</v>
      </c>
      <c r="P1495" s="10">
        <v>3.9199999999999999E-2</v>
      </c>
      <c r="Q1495" s="10">
        <v>70.3</v>
      </c>
      <c r="R1495" s="10" t="s">
        <v>913</v>
      </c>
      <c r="S1495" s="34">
        <f t="shared" si="168"/>
        <v>70.3</v>
      </c>
      <c r="T1495" s="10" t="s">
        <v>1111</v>
      </c>
      <c r="U1495" s="34">
        <f t="shared" si="169"/>
        <v>72.932670582919116</v>
      </c>
      <c r="V1495" s="31" t="str">
        <f>IF(H1495="CHK",VLOOKUP(I1495,QCCHK,3,),IF(H1495="GUP",VLOOKUP(E1495,QCGUP,2,),IF(AND(H1495="ATP",OR(I1495="TN",I1495="TDN",I1495="TNO2-3",I1495="NO2-3")),VLOOKUP(E1495,QCREC_N,2,),IF(AND(H1495="NIC",OR(I1495="TN",I1495="TDN",I1495="TNO2-3",I1495="NO2-3")),VLOOKUP(E1495,QCNIC_N,2,),IF(AND(H1495="UREA",OR(I1495="TN",I1495="TDN",I1495="TNO2-3",I1495="NO2-3")),VLOOKUP(E1495,QCUREA_N,2,),IF(H1495="PER",VLOOKUP(I1495,QCPER,MATCH(E1495,QCACTUAL!$J$25:$AA$25,0),),IF(H1495="SPK",VLOOKUP(I1495,QCSPK,3,),IF(AND(H1495="ATP",OR(I1495="TP",I1495="TDP")),VLOOKUP(E1495,QCATP_P,2,),""))))))))</f>
        <v/>
      </c>
      <c r="W1495" s="31" t="str">
        <f t="shared" si="170"/>
        <v>FALSE</v>
      </c>
      <c r="X1495" s="31" t="str">
        <f t="shared" si="167"/>
        <v>((ABS(rep1-rep2))/((rep1+rep2)/2)*100</v>
      </c>
      <c r="Y1495" s="10" t="s">
        <v>1096</v>
      </c>
      <c r="Z1495" s="10" t="s">
        <v>910</v>
      </c>
      <c r="AL1495" s="10" t="str">
        <f t="shared" si="172"/>
        <v>FALSE</v>
      </c>
      <c r="AM1495" s="10" t="str">
        <f t="shared" si="172"/>
        <v>FALSE</v>
      </c>
      <c r="AN1495" s="10" t="str">
        <f t="shared" si="172"/>
        <v>FALSE</v>
      </c>
      <c r="AO1495" s="10" t="str">
        <f t="shared" si="173"/>
        <v>FALSE</v>
      </c>
      <c r="AP1495" s="10" t="str">
        <f t="shared" si="173"/>
        <v>FALSE</v>
      </c>
      <c r="AQ1495" s="10" t="b">
        <f>IF(AND(I1495="TP",S1495&lt;=150),VLOOKUP(AF1495,TPCalibEq150!$AZ$2:$BB$55,3,),IF(AND(I1495="TDP",S1495&lt;=150),VLOOKUP(AF1495,TPCalibEq150!$AZ$2:$BB$55,3,)))</f>
        <v>0</v>
      </c>
      <c r="AR1495" s="10" t="b">
        <f>IF(AND(I1495="TP",S1495&lt;=300),VLOOKUP(AF1495,TPCalibEq300!$AZ$2:$BB$55,3,),IF(AND(I1495="TDP",S1495&lt;=300),VLOOKUP(AF1495,TPCalibEq300!$AZ$2:$BB$55,3,)))</f>
        <v>0</v>
      </c>
      <c r="AS1495" s="10" t="b">
        <f>IF(AND(I1495="TP",S1495&lt;=500),VLOOKUP(AF1495,TPCalibEq500!$AZ$2:$BB$56,3,),IF(AND(I1495="TDP",S1495&lt;=500),VLOOKUP(AF1495,TPCalibEq500!$AZ$2:$BB$56,3,)))</f>
        <v>0</v>
      </c>
      <c r="AT1495" s="10" t="b">
        <f>IF(AND(I1495="TN",S1495&lt;=2800),VLOOKUP(AF1495,TNCalibEq2500!$AZ$2:$BB$56,3,),IF(AND(I1495="TDN",S1495&lt;=2800),VLOOKUP(AF1495,TNCalibEq2500!$AZ$2:$BB$56,3,)))</f>
        <v>0</v>
      </c>
      <c r="AU1495" s="10" t="b">
        <f>IF(I1495="TP",VLOOKUP(AF1495,TPCalibEqFull!$AZ$2:$BB$56,3),IF(I1495="TDP",VLOOKUP(AF1495,TPCalibEqFull!$AZ$2:$BB$56,3),IF(I1495="TDN",VLOOKUP(AF1495,TNCalibEqFull!$AZ$1:$BB$56,3),IF(I1495="TN",VLOOKUP(AF1495,TNCalibEqFull!$AZ$1:$BB$56,3),FALSE))))</f>
        <v>0</v>
      </c>
      <c r="AV1495" s="10" t="str">
        <f t="shared" si="171"/>
        <v>0130 10:51:00-DAM-0-C-2-SW-DUP</v>
      </c>
    </row>
    <row r="1496" spans="1:48" s="10" customFormat="1" x14ac:dyDescent="0.55000000000000004">
      <c r="A1496" s="32">
        <v>44956</v>
      </c>
      <c r="B1496" s="33">
        <v>0.45208333333333334</v>
      </c>
      <c r="C1496" s="10" t="s">
        <v>214</v>
      </c>
      <c r="D1496" s="10">
        <v>0</v>
      </c>
      <c r="E1496" s="10" t="s">
        <v>190</v>
      </c>
      <c r="F1496" s="10">
        <v>2</v>
      </c>
      <c r="G1496" s="10" t="s">
        <v>231</v>
      </c>
      <c r="H1496" s="10" t="s">
        <v>314</v>
      </c>
      <c r="I1496" s="10" t="s">
        <v>285</v>
      </c>
      <c r="J1496" s="10">
        <v>85</v>
      </c>
      <c r="K1496" s="12">
        <v>44958</v>
      </c>
      <c r="L1496" s="33">
        <v>0.54500000000000004</v>
      </c>
      <c r="M1496" s="10">
        <v>1</v>
      </c>
      <c r="N1496" s="10" t="s">
        <v>211</v>
      </c>
      <c r="O1496" s="10">
        <v>1.57</v>
      </c>
      <c r="P1496" s="10">
        <v>0.153</v>
      </c>
      <c r="Q1496" s="10">
        <v>270</v>
      </c>
      <c r="R1496" s="10" t="s">
        <v>913</v>
      </c>
      <c r="S1496" s="34">
        <f t="shared" si="168"/>
        <v>270</v>
      </c>
      <c r="T1496" s="10" t="s">
        <v>1111</v>
      </c>
      <c r="U1496" s="34">
        <f t="shared" si="169"/>
        <v>127.80799999999999</v>
      </c>
      <c r="V1496" s="31">
        <f>IF(H1496="CHK",VLOOKUP(I1496,QCCHK,3,),IF(H1496="GUP",VLOOKUP(E1496,QCGUP,2,),IF(AND(H1496="ATP",OR(I1496="TN",I1496="TDN",I1496="TNO2-3",I1496="NO2-3")),VLOOKUP(E1496,QCREC_N,2,),IF(AND(H1496="NIC",OR(I1496="TN",I1496="TDN",I1496="TNO2-3",I1496="NO2-3")),VLOOKUP(E1496,QCNIC_N,2,),IF(AND(H1496="UREA",OR(I1496="TN",I1496="TDN",I1496="TNO2-3",I1496="NO2-3")),VLOOKUP(E1496,QCUREA_N,2,),IF(H1496="PER",VLOOKUP(I1496,QCPER,MATCH(E1496,QCACTUAL!$J$25:$AA$25,0),),IF(H1496="SPK",VLOOKUP(I1496,QCSPK,3,),IF(AND(H1496="ATP",OR(I1496="TP",I1496="TDP")),VLOOKUP(E1496,QCATP_P,2,),""))))))))</f>
        <v>156.25</v>
      </c>
      <c r="W1496" s="31" t="str">
        <f t="shared" si="170"/>
        <v>FALSE</v>
      </c>
      <c r="X1496" s="31" t="str">
        <f t="shared" si="167"/>
        <v>([spikedunkn]-[unkn])/[spike]*100</v>
      </c>
      <c r="Y1496" s="10" t="s">
        <v>1096</v>
      </c>
      <c r="Z1496" s="10" t="s">
        <v>910</v>
      </c>
      <c r="AL1496" s="10" t="str">
        <f t="shared" si="172"/>
        <v>FALSE</v>
      </c>
      <c r="AM1496" s="10" t="str">
        <f t="shared" si="172"/>
        <v>FALSE</v>
      </c>
      <c r="AN1496" s="10" t="str">
        <f t="shared" si="172"/>
        <v>FALSE</v>
      </c>
      <c r="AO1496" s="10" t="str">
        <f t="shared" si="173"/>
        <v>FALSE</v>
      </c>
      <c r="AP1496" s="10" t="str">
        <f t="shared" si="173"/>
        <v>FALSE</v>
      </c>
      <c r="AQ1496" s="10" t="b">
        <f>IF(AND(I1496="TP",S1496&lt;=150),VLOOKUP(AF1496,TPCalibEq150!$AZ$2:$BB$55,3,),IF(AND(I1496="TDP",S1496&lt;=150),VLOOKUP(AF1496,TPCalibEq150!$AZ$2:$BB$55,3,)))</f>
        <v>0</v>
      </c>
      <c r="AR1496" s="10" t="b">
        <f>IF(AND(I1496="TP",S1496&lt;=300),VLOOKUP(AF1496,TPCalibEq300!$AZ$2:$BB$55,3,),IF(AND(I1496="TDP",S1496&lt;=300),VLOOKUP(AF1496,TPCalibEq300!$AZ$2:$BB$55,3,)))</f>
        <v>0</v>
      </c>
      <c r="AS1496" s="10" t="b">
        <f>IF(AND(I1496="TP",S1496&lt;=500),VLOOKUP(AF1496,TPCalibEq500!$AZ$2:$BB$56,3,),IF(AND(I1496="TDP",S1496&lt;=500),VLOOKUP(AF1496,TPCalibEq500!$AZ$2:$BB$56,3,)))</f>
        <v>0</v>
      </c>
      <c r="AT1496" s="10" t="b">
        <f>IF(AND(I1496="TN",S1496&lt;=2800),VLOOKUP(AF1496,TNCalibEq2500!$AZ$2:$BB$56,3,),IF(AND(I1496="TDN",S1496&lt;=2800),VLOOKUP(AF1496,TNCalibEq2500!$AZ$2:$BB$56,3,)))</f>
        <v>0</v>
      </c>
      <c r="AU1496" s="10" t="b">
        <f>IF(I1496="TP",VLOOKUP(AF1496,TPCalibEqFull!$AZ$2:$BB$56,3),IF(I1496="TDP",VLOOKUP(AF1496,TPCalibEqFull!$AZ$2:$BB$56,3),IF(I1496="TDN",VLOOKUP(AF1496,TNCalibEqFull!$AZ$1:$BB$56,3),IF(I1496="TN",VLOOKUP(AF1496,TNCalibEqFull!$AZ$1:$BB$56,3),FALSE))))</f>
        <v>0</v>
      </c>
      <c r="AV1496" s="10" t="str">
        <f t="shared" si="171"/>
        <v>0130 10:51:00-DAM-0-C-2-SW-SPK</v>
      </c>
    </row>
    <row r="1497" spans="1:48" s="10" customFormat="1" x14ac:dyDescent="0.55000000000000004">
      <c r="A1497" s="32">
        <v>44958</v>
      </c>
      <c r="B1497" s="33">
        <v>0.375</v>
      </c>
      <c r="C1497" s="10" t="s">
        <v>70</v>
      </c>
      <c r="D1497" s="10" t="s">
        <v>71</v>
      </c>
      <c r="E1497" s="10" t="s">
        <v>901</v>
      </c>
      <c r="F1497" s="10">
        <v>1</v>
      </c>
      <c r="G1497" s="10" t="s">
        <v>73</v>
      </c>
      <c r="H1497" s="10" t="s">
        <v>207</v>
      </c>
      <c r="I1497" s="10" t="s">
        <v>285</v>
      </c>
      <c r="J1497" s="10">
        <v>200</v>
      </c>
      <c r="K1497" s="12">
        <v>44958</v>
      </c>
      <c r="L1497" s="33">
        <v>0.54583333333333328</v>
      </c>
      <c r="M1497" s="10">
        <v>1</v>
      </c>
      <c r="N1497" s="10" t="s">
        <v>211</v>
      </c>
      <c r="O1497" s="10">
        <v>0.45500000000000002</v>
      </c>
      <c r="P1497" s="10">
        <v>4.2599999999999999E-2</v>
      </c>
      <c r="Q1497" s="10">
        <v>77.7</v>
      </c>
      <c r="R1497" s="10" t="s">
        <v>913</v>
      </c>
      <c r="S1497" s="34">
        <f t="shared" si="168"/>
        <v>77.7</v>
      </c>
      <c r="T1497" s="10" t="s">
        <v>1111</v>
      </c>
      <c r="U1497" s="34">
        <f t="shared" si="169"/>
        <v>103.60000000000001</v>
      </c>
      <c r="V1497" s="31">
        <f>IF(H1497="CHK",VLOOKUP(I1497,QCCHK,3,),IF(H1497="GUP",VLOOKUP(E1497,QCGUP,2,),IF(AND(H1497="ATP",OR(I1497="TN",I1497="TDN",I1497="TNO2-3",I1497="NO2-3")),VLOOKUP(E1497,QCREC_N,2,),IF(AND(H1497="NIC",OR(I1497="TN",I1497="TDN",I1497="TNO2-3",I1497="NO2-3")),VLOOKUP(E1497,QCNIC_N,2,),IF(AND(H1497="UREA",OR(I1497="TN",I1497="TDN",I1497="TNO2-3",I1497="NO2-3")),VLOOKUP(E1497,QCUREA_N,2,),IF(H1497="PER",VLOOKUP(I1497,QCPER,MATCH(E1497,QCACTUAL!$J$25:$AA$25,0),),IF(H1497="SPK",VLOOKUP(I1497,QCSPK,3,),IF(AND(H1497="ATP",OR(I1497="TP",I1497="TDP")),VLOOKUP(E1497,QCATP_P,2,),""))))))))</f>
        <v>75</v>
      </c>
      <c r="W1497" s="31" t="str">
        <f t="shared" si="170"/>
        <v>TRUE</v>
      </c>
      <c r="X1497" s="31" t="str">
        <f t="shared" si="167"/>
        <v>[chk]/[actual]*100</v>
      </c>
      <c r="Y1497" s="10" t="s">
        <v>1096</v>
      </c>
      <c r="AL1497" s="10" t="str">
        <f t="shared" si="172"/>
        <v>FALSE</v>
      </c>
      <c r="AM1497" s="10" t="str">
        <f t="shared" si="172"/>
        <v>FALSE</v>
      </c>
      <c r="AN1497" s="10" t="str">
        <f t="shared" si="172"/>
        <v>FALSE</v>
      </c>
      <c r="AO1497" s="10" t="str">
        <f t="shared" si="173"/>
        <v>FALSE</v>
      </c>
      <c r="AP1497" s="10" t="str">
        <f t="shared" si="173"/>
        <v>FALSE</v>
      </c>
      <c r="AQ1497" s="10" t="b">
        <f>IF(AND(I1497="TP",S1497&lt;=150),VLOOKUP(AF1497,TPCalibEq150!$AZ$2:$BB$55,3,),IF(AND(I1497="TDP",S1497&lt;=150),VLOOKUP(AF1497,TPCalibEq150!$AZ$2:$BB$55,3,)))</f>
        <v>0</v>
      </c>
      <c r="AR1497" s="10" t="b">
        <f>IF(AND(I1497="TP",S1497&lt;=300),VLOOKUP(AF1497,TPCalibEq300!$AZ$2:$BB$55,3,),IF(AND(I1497="TDP",S1497&lt;=300),VLOOKUP(AF1497,TPCalibEq300!$AZ$2:$BB$55,3,)))</f>
        <v>0</v>
      </c>
      <c r="AS1497" s="10" t="b">
        <f>IF(AND(I1497="TP",S1497&lt;=500),VLOOKUP(AF1497,TPCalibEq500!$AZ$2:$BB$56,3,),IF(AND(I1497="TDP",S1497&lt;=500),VLOOKUP(AF1497,TPCalibEq500!$AZ$2:$BB$56,3,)))</f>
        <v>0</v>
      </c>
      <c r="AT1497" s="10" t="b">
        <f>IF(AND(I1497="TN",S1497&lt;=2800),VLOOKUP(AF1497,TNCalibEq2500!$AZ$2:$BB$56,3,),IF(AND(I1497="TDN",S1497&lt;=2800),VLOOKUP(AF1497,TNCalibEq2500!$AZ$2:$BB$56,3,)))</f>
        <v>0</v>
      </c>
      <c r="AU1497" s="10" t="b">
        <f>IF(I1497="TP",VLOOKUP(AF1497,TPCalibEqFull!$AZ$2:$BB$56,3),IF(I1497="TDP",VLOOKUP(AF1497,TPCalibEqFull!$AZ$2:$BB$56,3),IF(I1497="TDN",VLOOKUP(AF1497,TNCalibEqFull!$AZ$1:$BB$56,3),IF(I1497="TN",VLOOKUP(AF1497,TNCalibEqFull!$AZ$1:$BB$56,3),FALSE))))</f>
        <v>0</v>
      </c>
      <c r="AV1497" s="10" t="str">
        <f t="shared" si="171"/>
        <v>0201 09:00:00-QAC-STD-D-1-DI-CHK</v>
      </c>
    </row>
    <row r="1498" spans="1:48" s="10" customFormat="1" x14ac:dyDescent="0.55000000000000004">
      <c r="A1498" s="32">
        <v>44956</v>
      </c>
      <c r="B1498" s="33">
        <v>0.46527777777777773</v>
      </c>
      <c r="C1498" s="10" t="s">
        <v>341</v>
      </c>
      <c r="D1498" s="10">
        <v>0</v>
      </c>
      <c r="E1498" s="10" t="s">
        <v>190</v>
      </c>
      <c r="F1498" s="10">
        <v>1</v>
      </c>
      <c r="G1498" s="10" t="s">
        <v>231</v>
      </c>
      <c r="H1498" s="10" t="s">
        <v>322</v>
      </c>
      <c r="I1498" s="10" t="s">
        <v>285</v>
      </c>
      <c r="J1498" s="10">
        <v>38</v>
      </c>
      <c r="K1498" s="12">
        <v>44958</v>
      </c>
      <c r="L1498" s="33">
        <v>0.54664351851851845</v>
      </c>
      <c r="M1498" s="10">
        <v>1</v>
      </c>
      <c r="N1498" s="10" t="s">
        <v>211</v>
      </c>
      <c r="O1498" s="10">
        <v>0.14599999999999999</v>
      </c>
      <c r="P1498" s="10">
        <v>1.2999999999999999E-2</v>
      </c>
      <c r="Q1498" s="10">
        <v>24.6</v>
      </c>
      <c r="R1498" s="10" t="s">
        <v>913</v>
      </c>
      <c r="S1498" s="34">
        <f t="shared" si="168"/>
        <v>24.6</v>
      </c>
      <c r="T1498" s="10" t="s">
        <v>1111</v>
      </c>
      <c r="U1498" s="34" t="str">
        <f t="shared" si="169"/>
        <v/>
      </c>
      <c r="V1498" s="31" t="str">
        <f>IF(H1498="CHK",VLOOKUP(I1498,QCCHK,3,),IF(H1498="GUP",VLOOKUP(E1498,QCGUP,2,),IF(AND(H1498="ATP",OR(I1498="TN",I1498="TDN",I1498="TNO2-3",I1498="NO2-3")),VLOOKUP(E1498,QCREC_N,2,),IF(AND(H1498="NIC",OR(I1498="TN",I1498="TDN",I1498="TNO2-3",I1498="NO2-3")),VLOOKUP(E1498,QCNIC_N,2,),IF(AND(H1498="UREA",OR(I1498="TN",I1498="TDN",I1498="TNO2-3",I1498="NO2-3")),VLOOKUP(E1498,QCUREA_N,2,),IF(H1498="PER",VLOOKUP(I1498,QCPER,MATCH(E1498,QCACTUAL!$J$25:$AA$25,0),),IF(H1498="SPK",VLOOKUP(I1498,QCSPK,3,),IF(AND(H1498="ATP",OR(I1498="TP",I1498="TDP")),VLOOKUP(E1498,QCATP_P,2,),""))))))))</f>
        <v/>
      </c>
      <c r="W1498" s="31" t="str">
        <f t="shared" si="170"/>
        <v>TRUE</v>
      </c>
      <c r="X1498" s="31" t="str">
        <f t="shared" si="167"/>
        <v/>
      </c>
      <c r="Y1498" s="10" t="s">
        <v>1096</v>
      </c>
      <c r="Z1498" s="10" t="s">
        <v>910</v>
      </c>
      <c r="AL1498" s="10" t="str">
        <f t="shared" si="172"/>
        <v>FALSE</v>
      </c>
      <c r="AM1498" s="10" t="str">
        <f t="shared" si="172"/>
        <v>FALSE</v>
      </c>
      <c r="AN1498" s="10" t="str">
        <f t="shared" si="172"/>
        <v>FALSE</v>
      </c>
      <c r="AO1498" s="10" t="str">
        <f t="shared" si="173"/>
        <v>FALSE</v>
      </c>
      <c r="AP1498" s="10" t="str">
        <f t="shared" si="173"/>
        <v>FALSE</v>
      </c>
      <c r="AQ1498" s="10" t="b">
        <f>IF(AND(I1498="TP",S1498&lt;=150),VLOOKUP(AF1498,TPCalibEq150!$AZ$2:$BB$55,3,),IF(AND(I1498="TDP",S1498&lt;=150),VLOOKUP(AF1498,TPCalibEq150!$AZ$2:$BB$55,3,)))</f>
        <v>0</v>
      </c>
      <c r="AR1498" s="10" t="b">
        <f>IF(AND(I1498="TP",S1498&lt;=300),VLOOKUP(AF1498,TPCalibEq300!$AZ$2:$BB$55,3,),IF(AND(I1498="TDP",S1498&lt;=300),VLOOKUP(AF1498,TPCalibEq300!$AZ$2:$BB$55,3,)))</f>
        <v>0</v>
      </c>
      <c r="AS1498" s="10" t="b">
        <f>IF(AND(I1498="TP",S1498&lt;=500),VLOOKUP(AF1498,TPCalibEq500!$AZ$2:$BB$56,3,),IF(AND(I1498="TDP",S1498&lt;=500),VLOOKUP(AF1498,TPCalibEq500!$AZ$2:$BB$56,3,)))</f>
        <v>0</v>
      </c>
      <c r="AT1498" s="10" t="b">
        <f>IF(AND(I1498="TN",S1498&lt;=2800),VLOOKUP(AF1498,TNCalibEq2500!$AZ$2:$BB$56,3,),IF(AND(I1498="TDN",S1498&lt;=2800),VLOOKUP(AF1498,TNCalibEq2500!$AZ$2:$BB$56,3,)))</f>
        <v>0</v>
      </c>
      <c r="AU1498" s="10" t="b">
        <f>IF(I1498="TP",VLOOKUP(AF1498,TPCalibEqFull!$AZ$2:$BB$56,3),IF(I1498="TDP",VLOOKUP(AF1498,TPCalibEqFull!$AZ$2:$BB$56,3),IF(I1498="TDN",VLOOKUP(AF1498,TNCalibEqFull!$AZ$1:$BB$56,3),IF(I1498="TN",VLOOKUP(AF1498,TNCalibEqFull!$AZ$1:$BB$56,3),FALSE))))</f>
        <v>0</v>
      </c>
      <c r="AV1498" s="10" t="str">
        <f t="shared" si="171"/>
        <v>0130 11:10:00-LRC-0-C-1-SW-UKN</v>
      </c>
    </row>
    <row r="1499" spans="1:48" s="10" customFormat="1" x14ac:dyDescent="0.55000000000000004">
      <c r="A1499" s="32">
        <v>44956</v>
      </c>
      <c r="B1499" s="33">
        <v>0.4777777777777778</v>
      </c>
      <c r="C1499" s="10" t="s">
        <v>228</v>
      </c>
      <c r="D1499" s="10">
        <v>0</v>
      </c>
      <c r="E1499" s="10" t="s">
        <v>190</v>
      </c>
      <c r="F1499" s="10">
        <v>1</v>
      </c>
      <c r="G1499" s="10" t="s">
        <v>231</v>
      </c>
      <c r="H1499" s="10" t="s">
        <v>322</v>
      </c>
      <c r="I1499" s="10" t="s">
        <v>285</v>
      </c>
      <c r="J1499" s="10">
        <v>39</v>
      </c>
      <c r="K1499" s="12">
        <v>44958</v>
      </c>
      <c r="L1499" s="33">
        <v>0.54745370370370372</v>
      </c>
      <c r="M1499" s="10">
        <v>1</v>
      </c>
      <c r="N1499" s="10" t="s">
        <v>211</v>
      </c>
      <c r="O1499" s="10">
        <v>0.85499999999999998</v>
      </c>
      <c r="P1499" s="10">
        <v>8.1900000000000001E-2</v>
      </c>
      <c r="Q1499" s="10">
        <v>147</v>
      </c>
      <c r="R1499" s="10" t="s">
        <v>913</v>
      </c>
      <c r="S1499" s="34">
        <f t="shared" si="168"/>
        <v>147</v>
      </c>
      <c r="T1499" s="10" t="s">
        <v>1111</v>
      </c>
      <c r="U1499" s="34" t="str">
        <f t="shared" si="169"/>
        <v/>
      </c>
      <c r="V1499" s="31" t="str">
        <f>IF(H1499="CHK",VLOOKUP(I1499,QCCHK,3,),IF(H1499="GUP",VLOOKUP(E1499,QCGUP,2,),IF(AND(H1499="ATP",OR(I1499="TN",I1499="TDN",I1499="TNO2-3",I1499="NO2-3")),VLOOKUP(E1499,QCREC_N,2,),IF(AND(H1499="NIC",OR(I1499="TN",I1499="TDN",I1499="TNO2-3",I1499="NO2-3")),VLOOKUP(E1499,QCNIC_N,2,),IF(AND(H1499="UREA",OR(I1499="TN",I1499="TDN",I1499="TNO2-3",I1499="NO2-3")),VLOOKUP(E1499,QCUREA_N,2,),IF(H1499="PER",VLOOKUP(I1499,QCPER,MATCH(E1499,QCACTUAL!$J$25:$AA$25,0),),IF(H1499="SPK",VLOOKUP(I1499,QCSPK,3,),IF(AND(H1499="ATP",OR(I1499="TP",I1499="TDP")),VLOOKUP(E1499,QCATP_P,2,),""))))))))</f>
        <v/>
      </c>
      <c r="W1499" s="31" t="str">
        <f t="shared" si="170"/>
        <v>TRUE</v>
      </c>
      <c r="X1499" s="31" t="str">
        <f t="shared" si="167"/>
        <v/>
      </c>
      <c r="Y1499" s="10" t="s">
        <v>1096</v>
      </c>
      <c r="Z1499" s="10" t="s">
        <v>910</v>
      </c>
      <c r="AL1499" s="10" t="str">
        <f t="shared" si="172"/>
        <v>FALSE</v>
      </c>
      <c r="AM1499" s="10" t="str">
        <f t="shared" si="172"/>
        <v>FALSE</v>
      </c>
      <c r="AN1499" s="10" t="str">
        <f t="shared" si="172"/>
        <v>FALSE</v>
      </c>
      <c r="AO1499" s="10" t="str">
        <f t="shared" si="173"/>
        <v>FALSE</v>
      </c>
      <c r="AP1499" s="10" t="str">
        <f t="shared" si="173"/>
        <v>FALSE</v>
      </c>
      <c r="AQ1499" s="10" t="b">
        <f>IF(AND(I1499="TP",S1499&lt;=150),VLOOKUP(AF1499,TPCalibEq150!$AZ$2:$BB$55,3,),IF(AND(I1499="TDP",S1499&lt;=150),VLOOKUP(AF1499,TPCalibEq150!$AZ$2:$BB$55,3,)))</f>
        <v>0</v>
      </c>
      <c r="AR1499" s="10" t="b">
        <f>IF(AND(I1499="TP",S1499&lt;=300),VLOOKUP(AF1499,TPCalibEq300!$AZ$2:$BB$55,3,),IF(AND(I1499="TDP",S1499&lt;=300),VLOOKUP(AF1499,TPCalibEq300!$AZ$2:$BB$55,3,)))</f>
        <v>0</v>
      </c>
      <c r="AS1499" s="10" t="b">
        <f>IF(AND(I1499="TP",S1499&lt;=500),VLOOKUP(AF1499,TPCalibEq500!$AZ$2:$BB$56,3,),IF(AND(I1499="TDP",S1499&lt;=500),VLOOKUP(AF1499,TPCalibEq500!$AZ$2:$BB$56,3,)))</f>
        <v>0</v>
      </c>
      <c r="AT1499" s="10" t="b">
        <f>IF(AND(I1499="TN",S1499&lt;=2800),VLOOKUP(AF1499,TNCalibEq2500!$AZ$2:$BB$56,3,),IF(AND(I1499="TDN",S1499&lt;=2800),VLOOKUP(AF1499,TNCalibEq2500!$AZ$2:$BB$56,3,)))</f>
        <v>0</v>
      </c>
      <c r="AU1499" s="10" t="b">
        <f>IF(I1499="TP",VLOOKUP(AF1499,TPCalibEqFull!$AZ$2:$BB$56,3),IF(I1499="TDP",VLOOKUP(AF1499,TPCalibEqFull!$AZ$2:$BB$56,3),IF(I1499="TDN",VLOOKUP(AF1499,TNCalibEqFull!$AZ$1:$BB$56,3),IF(I1499="TN",VLOOKUP(AF1499,TNCalibEqFull!$AZ$1:$BB$56,3),FALSE))))</f>
        <v>0</v>
      </c>
      <c r="AV1499" s="10" t="str">
        <f t="shared" si="171"/>
        <v>0130 11:28:00-DWT-0-C-1-SW-UKN</v>
      </c>
    </row>
    <row r="1500" spans="1:48" s="10" customFormat="1" x14ac:dyDescent="0.55000000000000004">
      <c r="A1500" s="32">
        <v>44956</v>
      </c>
      <c r="B1500" s="33">
        <v>0.49374999999999997</v>
      </c>
      <c r="C1500" s="10" t="s">
        <v>625</v>
      </c>
      <c r="D1500" s="10">
        <v>0</v>
      </c>
      <c r="E1500" s="10" t="s">
        <v>190</v>
      </c>
      <c r="F1500" s="10">
        <v>1</v>
      </c>
      <c r="G1500" s="10" t="s">
        <v>231</v>
      </c>
      <c r="H1500" s="10" t="s">
        <v>322</v>
      </c>
      <c r="I1500" s="10" t="s">
        <v>285</v>
      </c>
      <c r="J1500" s="10">
        <v>40</v>
      </c>
      <c r="K1500" s="12">
        <v>44958</v>
      </c>
      <c r="L1500" s="33">
        <v>0.54827546296296303</v>
      </c>
      <c r="M1500" s="10">
        <v>1</v>
      </c>
      <c r="N1500" s="10" t="s">
        <v>211</v>
      </c>
      <c r="O1500" s="10">
        <v>0.182</v>
      </c>
      <c r="P1500" s="10">
        <v>1.6899999999999998E-2</v>
      </c>
      <c r="Q1500" s="10">
        <v>30.8</v>
      </c>
      <c r="R1500" s="10" t="s">
        <v>913</v>
      </c>
      <c r="S1500" s="34">
        <f t="shared" si="168"/>
        <v>30.8</v>
      </c>
      <c r="T1500" s="10" t="s">
        <v>1111</v>
      </c>
      <c r="U1500" s="34" t="str">
        <f t="shared" si="169"/>
        <v/>
      </c>
      <c r="V1500" s="31" t="str">
        <f>IF(H1500="CHK",VLOOKUP(I1500,QCCHK,3,),IF(H1500="GUP",VLOOKUP(E1500,QCGUP,2,),IF(AND(H1500="ATP",OR(I1500="TN",I1500="TDN",I1500="TNO2-3",I1500="NO2-3")),VLOOKUP(E1500,QCREC_N,2,),IF(AND(H1500="NIC",OR(I1500="TN",I1500="TDN",I1500="TNO2-3",I1500="NO2-3")),VLOOKUP(E1500,QCNIC_N,2,),IF(AND(H1500="UREA",OR(I1500="TN",I1500="TDN",I1500="TNO2-3",I1500="NO2-3")),VLOOKUP(E1500,QCUREA_N,2,),IF(H1500="PER",VLOOKUP(I1500,QCPER,MATCH(E1500,QCACTUAL!$J$25:$AA$25,0),),IF(H1500="SPK",VLOOKUP(I1500,QCSPK,3,),IF(AND(H1500="ATP",OR(I1500="TP",I1500="TDP")),VLOOKUP(E1500,QCATP_P,2,),""))))))))</f>
        <v/>
      </c>
      <c r="W1500" s="31" t="str">
        <f t="shared" si="170"/>
        <v>TRUE</v>
      </c>
      <c r="X1500" s="31" t="str">
        <f t="shared" si="167"/>
        <v/>
      </c>
      <c r="Y1500" s="10" t="s">
        <v>1096</v>
      </c>
      <c r="Z1500" s="10" t="s">
        <v>910</v>
      </c>
      <c r="AL1500" s="10" t="str">
        <f t="shared" si="172"/>
        <v>FALSE</v>
      </c>
      <c r="AM1500" s="10" t="str">
        <f t="shared" si="172"/>
        <v>FALSE</v>
      </c>
      <c r="AN1500" s="10" t="str">
        <f t="shared" si="172"/>
        <v>FALSE</v>
      </c>
      <c r="AO1500" s="10" t="str">
        <f t="shared" si="173"/>
        <v>FALSE</v>
      </c>
      <c r="AP1500" s="10" t="str">
        <f t="shared" si="173"/>
        <v>FALSE</v>
      </c>
      <c r="AQ1500" s="10" t="b">
        <f>IF(AND(I1500="TP",S1500&lt;=150),VLOOKUP(AF1500,TPCalibEq150!$AZ$2:$BB$55,3,),IF(AND(I1500="TDP",S1500&lt;=150),VLOOKUP(AF1500,TPCalibEq150!$AZ$2:$BB$55,3,)))</f>
        <v>0</v>
      </c>
      <c r="AR1500" s="10" t="b">
        <f>IF(AND(I1500="TP",S1500&lt;=300),VLOOKUP(AF1500,TPCalibEq300!$AZ$2:$BB$55,3,),IF(AND(I1500="TDP",S1500&lt;=300),VLOOKUP(AF1500,TPCalibEq300!$AZ$2:$BB$55,3,)))</f>
        <v>0</v>
      </c>
      <c r="AS1500" s="10" t="b">
        <f>IF(AND(I1500="TP",S1500&lt;=500),VLOOKUP(AF1500,TPCalibEq500!$AZ$2:$BB$56,3,),IF(AND(I1500="TDP",S1500&lt;=500),VLOOKUP(AF1500,TPCalibEq500!$AZ$2:$BB$56,3,)))</f>
        <v>0</v>
      </c>
      <c r="AT1500" s="10" t="b">
        <f>IF(AND(I1500="TN",S1500&lt;=2800),VLOOKUP(AF1500,TNCalibEq2500!$AZ$2:$BB$56,3,),IF(AND(I1500="TDN",S1500&lt;=2800),VLOOKUP(AF1500,TNCalibEq2500!$AZ$2:$BB$56,3,)))</f>
        <v>0</v>
      </c>
      <c r="AU1500" s="10" t="b">
        <f>IF(I1500="TP",VLOOKUP(AF1500,TPCalibEqFull!$AZ$2:$BB$56,3),IF(I1500="TDP",VLOOKUP(AF1500,TPCalibEqFull!$AZ$2:$BB$56,3),IF(I1500="TDN",VLOOKUP(AF1500,TNCalibEqFull!$AZ$1:$BB$56,3),IF(I1500="TN",VLOOKUP(AF1500,TNCalibEqFull!$AZ$1:$BB$56,3),FALSE))))</f>
        <v>0</v>
      </c>
      <c r="AV1500" s="10" t="str">
        <f t="shared" si="171"/>
        <v>0130 11:51:00-TBS-0-C-1-SW-UKN</v>
      </c>
    </row>
    <row r="1501" spans="1:48" s="10" customFormat="1" x14ac:dyDescent="0.55000000000000004">
      <c r="A1501" s="32">
        <v>44949</v>
      </c>
      <c r="B1501" s="33">
        <v>0.33333333333333331</v>
      </c>
      <c r="C1501" s="10" t="s">
        <v>279</v>
      </c>
      <c r="D1501" s="10">
        <v>0</v>
      </c>
      <c r="E1501" s="10" t="s">
        <v>911</v>
      </c>
      <c r="F1501" s="10">
        <v>1</v>
      </c>
      <c r="G1501" s="10" t="s">
        <v>231</v>
      </c>
      <c r="H1501" s="10" t="s">
        <v>322</v>
      </c>
      <c r="I1501" s="10" t="s">
        <v>167</v>
      </c>
      <c r="J1501" s="10">
        <v>41</v>
      </c>
      <c r="K1501" s="12">
        <v>44958</v>
      </c>
      <c r="L1501" s="33">
        <v>0.5490856481481482</v>
      </c>
      <c r="M1501" s="10">
        <v>1</v>
      </c>
      <c r="N1501" s="10" t="s">
        <v>211</v>
      </c>
      <c r="O1501" s="10">
        <v>0.90600000000000003</v>
      </c>
      <c r="P1501" s="10">
        <v>8.5699999999999998E-2</v>
      </c>
      <c r="Q1501" s="10">
        <v>155</v>
      </c>
      <c r="R1501" s="10" t="s">
        <v>913</v>
      </c>
      <c r="S1501" s="34">
        <f t="shared" si="168"/>
        <v>155</v>
      </c>
      <c r="T1501" s="10" t="s">
        <v>1111</v>
      </c>
      <c r="U1501" s="34" t="str">
        <f t="shared" si="169"/>
        <v/>
      </c>
      <c r="V1501" s="31" t="str">
        <f>IF(H1501="CHK",VLOOKUP(I1501,QCCHK,3,),IF(H1501="GUP",VLOOKUP(E1501,QCGUP,2,),IF(AND(H1501="ATP",OR(I1501="TN",I1501="TDN",I1501="TNO2-3",I1501="NO2-3")),VLOOKUP(E1501,QCREC_N,2,),IF(AND(H1501="NIC",OR(I1501="TN",I1501="TDN",I1501="TNO2-3",I1501="NO2-3")),VLOOKUP(E1501,QCNIC_N,2,),IF(AND(H1501="UREA",OR(I1501="TN",I1501="TDN",I1501="TNO2-3",I1501="NO2-3")),VLOOKUP(E1501,QCUREA_N,2,),IF(H1501="PER",VLOOKUP(I1501,QCPER,MATCH(E1501,QCACTUAL!$J$25:$AA$25,0),),IF(H1501="SPK",VLOOKUP(I1501,QCSPK,3,),IF(AND(H1501="ATP",OR(I1501="TP",I1501="TDP")),VLOOKUP(E1501,QCATP_P,2,),""))))))))</f>
        <v/>
      </c>
      <c r="W1501" s="31" t="str">
        <f t="shared" si="170"/>
        <v>TRUE</v>
      </c>
      <c r="X1501" s="31" t="str">
        <f t="shared" si="167"/>
        <v/>
      </c>
      <c r="Y1501" s="10" t="s">
        <v>1096</v>
      </c>
      <c r="Z1501" s="10" t="s">
        <v>910</v>
      </c>
      <c r="AL1501" s="10" t="str">
        <f t="shared" si="172"/>
        <v>FALSE</v>
      </c>
      <c r="AM1501" s="10" t="str">
        <f t="shared" si="172"/>
        <v>FALSE</v>
      </c>
      <c r="AN1501" s="10" t="str">
        <f t="shared" si="172"/>
        <v>FALSE</v>
      </c>
      <c r="AO1501" s="10" t="str">
        <f t="shared" si="173"/>
        <v>FALSE</v>
      </c>
      <c r="AP1501" s="10" t="str">
        <f t="shared" si="173"/>
        <v>FALSE</v>
      </c>
      <c r="AQ1501" s="10" t="b">
        <f>IF(AND(I1501="TP",S1501&lt;=150),VLOOKUP(AF1501,TPCalibEq150!$AZ$2:$BB$55,3,),IF(AND(I1501="TDP",S1501&lt;=150),VLOOKUP(AF1501,TPCalibEq150!$AZ$2:$BB$55,3,)))</f>
        <v>0</v>
      </c>
      <c r="AR1501" s="10" t="b">
        <f>IF(AND(I1501="TP",S1501&lt;=300),VLOOKUP(AF1501,TPCalibEq300!$AZ$2:$BB$55,3,),IF(AND(I1501="TDP",S1501&lt;=300),VLOOKUP(AF1501,TPCalibEq300!$AZ$2:$BB$55,3,)))</f>
        <v>0</v>
      </c>
      <c r="AS1501" s="10" t="b">
        <f>IF(AND(I1501="TP",S1501&lt;=500),VLOOKUP(AF1501,TPCalibEq500!$AZ$2:$BB$56,3,),IF(AND(I1501="TDP",S1501&lt;=500),VLOOKUP(AF1501,TPCalibEq500!$AZ$2:$BB$56,3,)))</f>
        <v>0</v>
      </c>
      <c r="AT1501" s="10" t="b">
        <f>IF(AND(I1501="TN",S1501&lt;=2800),VLOOKUP(AF1501,TNCalibEq2500!$AZ$2:$BB$56,3,),IF(AND(I1501="TDN",S1501&lt;=2800),VLOOKUP(AF1501,TNCalibEq2500!$AZ$2:$BB$56,3,)))</f>
        <v>0</v>
      </c>
      <c r="AU1501" s="10" t="b">
        <f>IF(I1501="TP",VLOOKUP(AF1501,TPCalibEqFull!$AZ$2:$BB$56,3),IF(I1501="TDP",VLOOKUP(AF1501,TPCalibEqFull!$AZ$2:$BB$56,3),IF(I1501="TDN",VLOOKUP(AF1501,TNCalibEqFull!$AZ$1:$BB$56,3),IF(I1501="TN",VLOOKUP(AF1501,TNCalibEqFull!$AZ$1:$BB$56,3),FALSE))))</f>
        <v>0</v>
      </c>
      <c r="AV1501" s="10" t="str">
        <f t="shared" si="171"/>
        <v>0123 08:00:00-EFK-0-FIL-1-SW-UKN</v>
      </c>
    </row>
    <row r="1502" spans="1:48" s="10" customFormat="1" x14ac:dyDescent="0.55000000000000004">
      <c r="A1502" s="32">
        <v>44949</v>
      </c>
      <c r="B1502" s="33">
        <v>0.32083333333333336</v>
      </c>
      <c r="C1502" s="10" t="s">
        <v>333</v>
      </c>
      <c r="D1502" s="10">
        <v>0</v>
      </c>
      <c r="E1502" s="10" t="s">
        <v>911</v>
      </c>
      <c r="F1502" s="10">
        <v>1</v>
      </c>
      <c r="G1502" s="10" t="s">
        <v>231</v>
      </c>
      <c r="H1502" s="10" t="s">
        <v>322</v>
      </c>
      <c r="I1502" s="10" t="s">
        <v>167</v>
      </c>
      <c r="J1502" s="10">
        <v>42</v>
      </c>
      <c r="K1502" s="12">
        <v>44958</v>
      </c>
      <c r="L1502" s="33">
        <v>0.54989583333333336</v>
      </c>
      <c r="M1502" s="10">
        <v>1</v>
      </c>
      <c r="N1502" s="10" t="s">
        <v>211</v>
      </c>
      <c r="O1502" s="10">
        <v>0.32</v>
      </c>
      <c r="P1502" s="10">
        <v>2.93E-2</v>
      </c>
      <c r="Q1502" s="10">
        <v>54.5</v>
      </c>
      <c r="R1502" s="10" t="s">
        <v>913</v>
      </c>
      <c r="S1502" s="34">
        <f t="shared" si="168"/>
        <v>54.5</v>
      </c>
      <c r="T1502" s="10" t="s">
        <v>1111</v>
      </c>
      <c r="U1502" s="34" t="str">
        <f t="shared" si="169"/>
        <v/>
      </c>
      <c r="V1502" s="31" t="str">
        <f>IF(H1502="CHK",VLOOKUP(I1502,QCCHK,3,),IF(H1502="GUP",VLOOKUP(E1502,QCGUP,2,),IF(AND(H1502="ATP",OR(I1502="TN",I1502="TDN",I1502="TNO2-3",I1502="NO2-3")),VLOOKUP(E1502,QCREC_N,2,),IF(AND(H1502="NIC",OR(I1502="TN",I1502="TDN",I1502="TNO2-3",I1502="NO2-3")),VLOOKUP(E1502,QCNIC_N,2,),IF(AND(H1502="UREA",OR(I1502="TN",I1502="TDN",I1502="TNO2-3",I1502="NO2-3")),VLOOKUP(E1502,QCUREA_N,2,),IF(H1502="PER",VLOOKUP(I1502,QCPER,MATCH(E1502,QCACTUAL!$J$25:$AA$25,0),),IF(H1502="SPK",VLOOKUP(I1502,QCSPK,3,),IF(AND(H1502="ATP",OR(I1502="TP",I1502="TDP")),VLOOKUP(E1502,QCATP_P,2,),""))))))))</f>
        <v/>
      </c>
      <c r="W1502" s="31" t="str">
        <f t="shared" si="170"/>
        <v>TRUE</v>
      </c>
      <c r="X1502" s="31" t="str">
        <f t="shared" si="167"/>
        <v/>
      </c>
      <c r="Y1502" s="10" t="s">
        <v>1096</v>
      </c>
      <c r="Z1502" s="10" t="s">
        <v>910</v>
      </c>
      <c r="AL1502" s="10" t="str">
        <f t="shared" si="172"/>
        <v>FALSE</v>
      </c>
      <c r="AM1502" s="10" t="str">
        <f t="shared" si="172"/>
        <v>FALSE</v>
      </c>
      <c r="AN1502" s="10" t="str">
        <f t="shared" si="172"/>
        <v>FALSE</v>
      </c>
      <c r="AO1502" s="10" t="str">
        <f t="shared" si="173"/>
        <v>FALSE</v>
      </c>
      <c r="AP1502" s="10" t="str">
        <f t="shared" si="173"/>
        <v>FALSE</v>
      </c>
      <c r="AQ1502" s="10" t="b">
        <f>IF(AND(I1502="TP",S1502&lt;=150),VLOOKUP(AF1502,TPCalibEq150!$AZ$2:$BB$55,3,),IF(AND(I1502="TDP",S1502&lt;=150),VLOOKUP(AF1502,TPCalibEq150!$AZ$2:$BB$55,3,)))</f>
        <v>0</v>
      </c>
      <c r="AR1502" s="10" t="b">
        <f>IF(AND(I1502="TP",S1502&lt;=300),VLOOKUP(AF1502,TPCalibEq300!$AZ$2:$BB$55,3,),IF(AND(I1502="TDP",S1502&lt;=300),VLOOKUP(AF1502,TPCalibEq300!$AZ$2:$BB$55,3,)))</f>
        <v>0</v>
      </c>
      <c r="AS1502" s="10" t="b">
        <f>IF(AND(I1502="TP",S1502&lt;=500),VLOOKUP(AF1502,TPCalibEq500!$AZ$2:$BB$56,3,),IF(AND(I1502="TDP",S1502&lt;=500),VLOOKUP(AF1502,TPCalibEq500!$AZ$2:$BB$56,3,)))</f>
        <v>0</v>
      </c>
      <c r="AT1502" s="10" t="b">
        <f>IF(AND(I1502="TN",S1502&lt;=2800),VLOOKUP(AF1502,TNCalibEq2500!$AZ$2:$BB$56,3,),IF(AND(I1502="TDN",S1502&lt;=2800),VLOOKUP(AF1502,TNCalibEq2500!$AZ$2:$BB$56,3,)))</f>
        <v>0</v>
      </c>
      <c r="AU1502" s="10" t="b">
        <f>IF(I1502="TP",VLOOKUP(AF1502,TPCalibEqFull!$AZ$2:$BB$56,3),IF(I1502="TDP",VLOOKUP(AF1502,TPCalibEqFull!$AZ$2:$BB$56,3),IF(I1502="TDN",VLOOKUP(AF1502,TNCalibEqFull!$AZ$1:$BB$56,3),IF(I1502="TN",VLOOKUP(AF1502,TNCalibEqFull!$AZ$1:$BB$56,3),FALSE))))</f>
        <v>0</v>
      </c>
      <c r="AV1502" s="10" t="str">
        <f t="shared" si="171"/>
        <v>0123 07:42:00-HST-0-FIL-1-SW-UKN</v>
      </c>
    </row>
    <row r="1503" spans="1:48" s="10" customFormat="1" x14ac:dyDescent="0.55000000000000004">
      <c r="A1503" s="32">
        <v>44950</v>
      </c>
      <c r="B1503" s="33">
        <v>0.5708333333333333</v>
      </c>
      <c r="C1503" s="10" t="s">
        <v>279</v>
      </c>
      <c r="D1503" s="10">
        <v>0</v>
      </c>
      <c r="E1503" s="10" t="s">
        <v>911</v>
      </c>
      <c r="F1503" s="10">
        <v>1</v>
      </c>
      <c r="G1503" s="10" t="s">
        <v>231</v>
      </c>
      <c r="H1503" s="10" t="s">
        <v>322</v>
      </c>
      <c r="I1503" s="10" t="s">
        <v>167</v>
      </c>
      <c r="J1503" s="10">
        <v>43</v>
      </c>
      <c r="K1503" s="12">
        <v>44958</v>
      </c>
      <c r="L1503" s="33">
        <v>0.55070601851851853</v>
      </c>
      <c r="M1503" s="10">
        <v>1</v>
      </c>
      <c r="N1503" s="10" t="s">
        <v>211</v>
      </c>
      <c r="O1503" s="10">
        <v>0.71</v>
      </c>
      <c r="P1503" s="10">
        <v>6.6500000000000004E-2</v>
      </c>
      <c r="Q1503" s="10">
        <v>122</v>
      </c>
      <c r="R1503" s="10" t="s">
        <v>913</v>
      </c>
      <c r="S1503" s="34">
        <f t="shared" si="168"/>
        <v>122</v>
      </c>
      <c r="T1503" s="10" t="s">
        <v>1111</v>
      </c>
      <c r="U1503" s="34" t="str">
        <f t="shared" si="169"/>
        <v/>
      </c>
      <c r="V1503" s="31" t="str">
        <f>IF(H1503="CHK",VLOOKUP(I1503,QCCHK,3,),IF(H1503="GUP",VLOOKUP(E1503,QCGUP,2,),IF(AND(H1503="ATP",OR(I1503="TN",I1503="TDN",I1503="TNO2-3",I1503="NO2-3")),VLOOKUP(E1503,QCREC_N,2,),IF(AND(H1503="NIC",OR(I1503="TN",I1503="TDN",I1503="TNO2-3",I1503="NO2-3")),VLOOKUP(E1503,QCNIC_N,2,),IF(AND(H1503="UREA",OR(I1503="TN",I1503="TDN",I1503="TNO2-3",I1503="NO2-3")),VLOOKUP(E1503,QCUREA_N,2,),IF(H1503="PER",VLOOKUP(I1503,QCPER,MATCH(E1503,QCACTUAL!$J$25:$AA$25,0),),IF(H1503="SPK",VLOOKUP(I1503,QCSPK,3,),IF(AND(H1503="ATP",OR(I1503="TP",I1503="TDP")),VLOOKUP(E1503,QCATP_P,2,),""))))))))</f>
        <v/>
      </c>
      <c r="W1503" s="31" t="str">
        <f t="shared" si="170"/>
        <v>TRUE</v>
      </c>
      <c r="X1503" s="31" t="str">
        <f t="shared" si="167"/>
        <v/>
      </c>
      <c r="Y1503" s="10" t="s">
        <v>1096</v>
      </c>
      <c r="Z1503" s="10" t="s">
        <v>910</v>
      </c>
      <c r="AL1503" s="10" t="str">
        <f t="shared" si="172"/>
        <v>FALSE</v>
      </c>
      <c r="AM1503" s="10" t="str">
        <f t="shared" si="172"/>
        <v>FALSE</v>
      </c>
      <c r="AN1503" s="10" t="str">
        <f t="shared" si="172"/>
        <v>FALSE</v>
      </c>
      <c r="AO1503" s="10" t="str">
        <f t="shared" si="173"/>
        <v>FALSE</v>
      </c>
      <c r="AP1503" s="10" t="str">
        <f t="shared" si="173"/>
        <v>FALSE</v>
      </c>
      <c r="AQ1503" s="10" t="b">
        <f>IF(AND(I1503="TP",S1503&lt;=150),VLOOKUP(AF1503,TPCalibEq150!$AZ$2:$BB$55,3,),IF(AND(I1503="TDP",S1503&lt;=150),VLOOKUP(AF1503,TPCalibEq150!$AZ$2:$BB$55,3,)))</f>
        <v>0</v>
      </c>
      <c r="AR1503" s="10" t="b">
        <f>IF(AND(I1503="TP",S1503&lt;=300),VLOOKUP(AF1503,TPCalibEq300!$AZ$2:$BB$55,3,),IF(AND(I1503="TDP",S1503&lt;=300),VLOOKUP(AF1503,TPCalibEq300!$AZ$2:$BB$55,3,)))</f>
        <v>0</v>
      </c>
      <c r="AS1503" s="10" t="b">
        <f>IF(AND(I1503="TP",S1503&lt;=500),VLOOKUP(AF1503,TPCalibEq500!$AZ$2:$BB$56,3,),IF(AND(I1503="TDP",S1503&lt;=500),VLOOKUP(AF1503,TPCalibEq500!$AZ$2:$BB$56,3,)))</f>
        <v>0</v>
      </c>
      <c r="AT1503" s="10" t="b">
        <f>IF(AND(I1503="TN",S1503&lt;=2800),VLOOKUP(AF1503,TNCalibEq2500!$AZ$2:$BB$56,3,),IF(AND(I1503="TDN",S1503&lt;=2800),VLOOKUP(AF1503,TNCalibEq2500!$AZ$2:$BB$56,3,)))</f>
        <v>0</v>
      </c>
      <c r="AU1503" s="10" t="b">
        <f>IF(I1503="TP",VLOOKUP(AF1503,TPCalibEqFull!$AZ$2:$BB$56,3),IF(I1503="TDP",VLOOKUP(AF1503,TPCalibEqFull!$AZ$2:$BB$56,3),IF(I1503="TDN",VLOOKUP(AF1503,TNCalibEqFull!$AZ$1:$BB$56,3),IF(I1503="TN",VLOOKUP(AF1503,TNCalibEqFull!$AZ$1:$BB$56,3),FALSE))))</f>
        <v>0</v>
      </c>
      <c r="AV1503" s="10" t="str">
        <f t="shared" si="171"/>
        <v>0124 13:42:00-EFK-0-FIL-1-SW-UKN</v>
      </c>
    </row>
    <row r="1504" spans="1:48" s="10" customFormat="1" x14ac:dyDescent="0.55000000000000004">
      <c r="A1504" s="32">
        <v>44950</v>
      </c>
      <c r="B1504" s="33">
        <v>0.60555555555555551</v>
      </c>
      <c r="C1504" s="10" t="s">
        <v>333</v>
      </c>
      <c r="D1504" s="10">
        <v>0</v>
      </c>
      <c r="E1504" s="10" t="s">
        <v>911</v>
      </c>
      <c r="F1504" s="10">
        <v>1</v>
      </c>
      <c r="G1504" s="10" t="s">
        <v>231</v>
      </c>
      <c r="H1504" s="10" t="s">
        <v>322</v>
      </c>
      <c r="I1504" s="10" t="s">
        <v>167</v>
      </c>
      <c r="J1504" s="10">
        <v>44</v>
      </c>
      <c r="K1504" s="12">
        <v>44958</v>
      </c>
      <c r="L1504" s="33">
        <v>0.55150462962962965</v>
      </c>
      <c r="M1504" s="10">
        <v>1</v>
      </c>
      <c r="N1504" s="10" t="s">
        <v>211</v>
      </c>
      <c r="O1504" s="10">
        <v>0.81399999999999995</v>
      </c>
      <c r="P1504" s="10">
        <v>7.7600000000000002E-2</v>
      </c>
      <c r="Q1504" s="10">
        <v>140</v>
      </c>
      <c r="R1504" s="10" t="s">
        <v>913</v>
      </c>
      <c r="S1504" s="34">
        <f t="shared" si="168"/>
        <v>140</v>
      </c>
      <c r="T1504" s="10" t="s">
        <v>1111</v>
      </c>
      <c r="U1504" s="34" t="str">
        <f t="shared" si="169"/>
        <v/>
      </c>
      <c r="V1504" s="31" t="str">
        <f>IF(H1504="CHK",VLOOKUP(I1504,QCCHK,3,),IF(H1504="GUP",VLOOKUP(E1504,QCGUP,2,),IF(AND(H1504="ATP",OR(I1504="TN",I1504="TDN",I1504="TNO2-3",I1504="NO2-3")),VLOOKUP(E1504,QCREC_N,2,),IF(AND(H1504="NIC",OR(I1504="TN",I1504="TDN",I1504="TNO2-3",I1504="NO2-3")),VLOOKUP(E1504,QCNIC_N,2,),IF(AND(H1504="UREA",OR(I1504="TN",I1504="TDN",I1504="TNO2-3",I1504="NO2-3")),VLOOKUP(E1504,QCUREA_N,2,),IF(H1504="PER",VLOOKUP(I1504,QCPER,MATCH(E1504,QCACTUAL!$J$25:$AA$25,0),),IF(H1504="SPK",VLOOKUP(I1504,QCSPK,3,),IF(AND(H1504="ATP",OR(I1504="TP",I1504="TDP")),VLOOKUP(E1504,QCATP_P,2,),""))))))))</f>
        <v/>
      </c>
      <c r="W1504" s="31" t="str">
        <f t="shared" si="170"/>
        <v>TRUE</v>
      </c>
      <c r="X1504" s="31" t="str">
        <f t="shared" si="167"/>
        <v/>
      </c>
      <c r="Y1504" s="10" t="s">
        <v>1096</v>
      </c>
      <c r="Z1504" s="10" t="s">
        <v>910</v>
      </c>
      <c r="AL1504" s="10" t="str">
        <f t="shared" si="172"/>
        <v>FALSE</v>
      </c>
      <c r="AM1504" s="10" t="str">
        <f t="shared" si="172"/>
        <v>FALSE</v>
      </c>
      <c r="AN1504" s="10" t="str">
        <f t="shared" si="172"/>
        <v>FALSE</v>
      </c>
      <c r="AO1504" s="10" t="str">
        <f t="shared" si="173"/>
        <v>FALSE</v>
      </c>
      <c r="AP1504" s="10" t="str">
        <f t="shared" si="173"/>
        <v>FALSE</v>
      </c>
      <c r="AQ1504" s="10" t="b">
        <f>IF(AND(I1504="TP",S1504&lt;=150),VLOOKUP(AF1504,TPCalibEq150!$AZ$2:$BB$55,3,),IF(AND(I1504="TDP",S1504&lt;=150),VLOOKUP(AF1504,TPCalibEq150!$AZ$2:$BB$55,3,)))</f>
        <v>0</v>
      </c>
      <c r="AR1504" s="10" t="b">
        <f>IF(AND(I1504="TP",S1504&lt;=300),VLOOKUP(AF1504,TPCalibEq300!$AZ$2:$BB$55,3,),IF(AND(I1504="TDP",S1504&lt;=300),VLOOKUP(AF1504,TPCalibEq300!$AZ$2:$BB$55,3,)))</f>
        <v>0</v>
      </c>
      <c r="AS1504" s="10" t="b">
        <f>IF(AND(I1504="TP",S1504&lt;=500),VLOOKUP(AF1504,TPCalibEq500!$AZ$2:$BB$56,3,),IF(AND(I1504="TDP",S1504&lt;=500),VLOOKUP(AF1504,TPCalibEq500!$AZ$2:$BB$56,3,)))</f>
        <v>0</v>
      </c>
      <c r="AT1504" s="10" t="b">
        <f>IF(AND(I1504="TN",S1504&lt;=2800),VLOOKUP(AF1504,TNCalibEq2500!$AZ$2:$BB$56,3,),IF(AND(I1504="TDN",S1504&lt;=2800),VLOOKUP(AF1504,TNCalibEq2500!$AZ$2:$BB$56,3,)))</f>
        <v>0</v>
      </c>
      <c r="AU1504" s="10" t="b">
        <f>IF(I1504="TP",VLOOKUP(AF1504,TPCalibEqFull!$AZ$2:$BB$56,3),IF(I1504="TDP",VLOOKUP(AF1504,TPCalibEqFull!$AZ$2:$BB$56,3),IF(I1504="TDN",VLOOKUP(AF1504,TNCalibEqFull!$AZ$1:$BB$56,3),IF(I1504="TN",VLOOKUP(AF1504,TNCalibEqFull!$AZ$1:$BB$56,3),FALSE))))</f>
        <v>0</v>
      </c>
      <c r="AV1504" s="10" t="str">
        <f t="shared" si="171"/>
        <v>0124 14:32:00-HST-0-FIL-1-SW-UKN</v>
      </c>
    </row>
    <row r="1505" spans="1:48" s="10" customFormat="1" x14ac:dyDescent="0.55000000000000004">
      <c r="A1505" s="32">
        <v>44951</v>
      </c>
      <c r="B1505" s="33">
        <v>0.23541666666666669</v>
      </c>
      <c r="C1505" s="10" t="s">
        <v>279</v>
      </c>
      <c r="D1505" s="10">
        <v>0</v>
      </c>
      <c r="E1505" s="10" t="s">
        <v>911</v>
      </c>
      <c r="F1505" s="10">
        <v>1</v>
      </c>
      <c r="G1505" s="10" t="s">
        <v>231</v>
      </c>
      <c r="H1505" s="10" t="s">
        <v>322</v>
      </c>
      <c r="I1505" s="10" t="s">
        <v>167</v>
      </c>
      <c r="J1505" s="10">
        <v>45</v>
      </c>
      <c r="K1505" s="12">
        <v>44958</v>
      </c>
      <c r="L1505" s="33">
        <v>0.55231481481481481</v>
      </c>
      <c r="M1505" s="10">
        <v>1</v>
      </c>
      <c r="N1505" s="10" t="s">
        <v>211</v>
      </c>
      <c r="O1505" s="10">
        <v>0.63500000000000001</v>
      </c>
      <c r="P1505" s="10">
        <v>5.9799999999999999E-2</v>
      </c>
      <c r="Q1505" s="10">
        <v>109</v>
      </c>
      <c r="R1505" s="10" t="s">
        <v>913</v>
      </c>
      <c r="S1505" s="34">
        <f t="shared" si="168"/>
        <v>109</v>
      </c>
      <c r="T1505" s="10" t="s">
        <v>1111</v>
      </c>
      <c r="U1505" s="34" t="str">
        <f t="shared" si="169"/>
        <v/>
      </c>
      <c r="V1505" s="31" t="str">
        <f>IF(H1505="CHK",VLOOKUP(I1505,QCCHK,3,),IF(H1505="GUP",VLOOKUP(E1505,QCGUP,2,),IF(AND(H1505="ATP",OR(I1505="TN",I1505="TDN",I1505="TNO2-3",I1505="NO2-3")),VLOOKUP(E1505,QCREC_N,2,),IF(AND(H1505="NIC",OR(I1505="TN",I1505="TDN",I1505="TNO2-3",I1505="NO2-3")),VLOOKUP(E1505,QCNIC_N,2,),IF(AND(H1505="UREA",OR(I1505="TN",I1505="TDN",I1505="TNO2-3",I1505="NO2-3")),VLOOKUP(E1505,QCUREA_N,2,),IF(H1505="PER",VLOOKUP(I1505,QCPER,MATCH(E1505,QCACTUAL!$J$25:$AA$25,0),),IF(H1505="SPK",VLOOKUP(I1505,QCSPK,3,),IF(AND(H1505="ATP",OR(I1505="TP",I1505="TDP")),VLOOKUP(E1505,QCATP_P,2,),""))))))))</f>
        <v/>
      </c>
      <c r="W1505" s="31" t="str">
        <f t="shared" si="170"/>
        <v>TRUE</v>
      </c>
      <c r="X1505" s="31" t="str">
        <f t="shared" si="167"/>
        <v/>
      </c>
      <c r="Y1505" s="10" t="s">
        <v>1096</v>
      </c>
      <c r="Z1505" s="10" t="s">
        <v>910</v>
      </c>
      <c r="AL1505" s="10" t="str">
        <f t="shared" si="172"/>
        <v>FALSE</v>
      </c>
      <c r="AM1505" s="10" t="str">
        <f t="shared" si="172"/>
        <v>FALSE</v>
      </c>
      <c r="AN1505" s="10" t="str">
        <f t="shared" si="172"/>
        <v>FALSE</v>
      </c>
      <c r="AO1505" s="10" t="str">
        <f t="shared" si="173"/>
        <v>FALSE</v>
      </c>
      <c r="AP1505" s="10" t="str">
        <f t="shared" si="173"/>
        <v>FALSE</v>
      </c>
      <c r="AQ1505" s="10" t="b">
        <f>IF(AND(I1505="TP",S1505&lt;=150),VLOOKUP(AF1505,TPCalibEq150!$AZ$2:$BB$55,3,),IF(AND(I1505="TDP",S1505&lt;=150),VLOOKUP(AF1505,TPCalibEq150!$AZ$2:$BB$55,3,)))</f>
        <v>0</v>
      </c>
      <c r="AR1505" s="10" t="b">
        <f>IF(AND(I1505="TP",S1505&lt;=300),VLOOKUP(AF1505,TPCalibEq300!$AZ$2:$BB$55,3,),IF(AND(I1505="TDP",S1505&lt;=300),VLOOKUP(AF1505,TPCalibEq300!$AZ$2:$BB$55,3,)))</f>
        <v>0</v>
      </c>
      <c r="AS1505" s="10" t="b">
        <f>IF(AND(I1505="TP",S1505&lt;=500),VLOOKUP(AF1505,TPCalibEq500!$AZ$2:$BB$56,3,),IF(AND(I1505="TDP",S1505&lt;=500),VLOOKUP(AF1505,TPCalibEq500!$AZ$2:$BB$56,3,)))</f>
        <v>0</v>
      </c>
      <c r="AT1505" s="10" t="b">
        <f>IF(AND(I1505="TN",S1505&lt;=2800),VLOOKUP(AF1505,TNCalibEq2500!$AZ$2:$BB$56,3,),IF(AND(I1505="TDN",S1505&lt;=2800),VLOOKUP(AF1505,TNCalibEq2500!$AZ$2:$BB$56,3,)))</f>
        <v>0</v>
      </c>
      <c r="AU1505" s="10" t="b">
        <f>IF(I1505="TP",VLOOKUP(AF1505,TPCalibEqFull!$AZ$2:$BB$56,3),IF(I1505="TDP",VLOOKUP(AF1505,TPCalibEqFull!$AZ$2:$BB$56,3),IF(I1505="TDN",VLOOKUP(AF1505,TNCalibEqFull!$AZ$1:$BB$56,3),IF(I1505="TN",VLOOKUP(AF1505,TNCalibEqFull!$AZ$1:$BB$56,3),FALSE))))</f>
        <v>0</v>
      </c>
      <c r="AV1505" s="10" t="str">
        <f t="shared" si="171"/>
        <v>0125 05:39:00-EFK-0-FIL-1-SW-UKN</v>
      </c>
    </row>
    <row r="1506" spans="1:48" s="10" customFormat="1" x14ac:dyDescent="0.55000000000000004">
      <c r="A1506" s="32">
        <v>44951</v>
      </c>
      <c r="B1506" s="33">
        <v>0.23750000000000002</v>
      </c>
      <c r="C1506" s="10" t="s">
        <v>333</v>
      </c>
      <c r="D1506" s="10">
        <v>0</v>
      </c>
      <c r="E1506" s="10" t="s">
        <v>911</v>
      </c>
      <c r="F1506" s="10">
        <v>1</v>
      </c>
      <c r="G1506" s="10" t="s">
        <v>231</v>
      </c>
      <c r="H1506" s="10" t="s">
        <v>322</v>
      </c>
      <c r="I1506" s="10" t="s">
        <v>167</v>
      </c>
      <c r="J1506" s="10">
        <v>46</v>
      </c>
      <c r="K1506" s="12">
        <v>44958</v>
      </c>
      <c r="L1506" s="33">
        <v>0.55313657407407402</v>
      </c>
      <c r="M1506" s="10">
        <v>1</v>
      </c>
      <c r="N1506" s="10" t="s">
        <v>211</v>
      </c>
      <c r="O1506" s="10">
        <v>0.42499999999999999</v>
      </c>
      <c r="P1506" s="10">
        <v>3.9699999999999999E-2</v>
      </c>
      <c r="Q1506" s="10">
        <v>72.5</v>
      </c>
      <c r="R1506" s="10" t="s">
        <v>913</v>
      </c>
      <c r="S1506" s="34">
        <f t="shared" si="168"/>
        <v>72.5</v>
      </c>
      <c r="T1506" s="10" t="s">
        <v>1111</v>
      </c>
      <c r="U1506" s="34" t="str">
        <f t="shared" si="169"/>
        <v/>
      </c>
      <c r="V1506" s="31" t="str">
        <f>IF(H1506="CHK",VLOOKUP(I1506,QCCHK,3,),IF(H1506="GUP",VLOOKUP(E1506,QCGUP,2,),IF(AND(H1506="ATP",OR(I1506="TN",I1506="TDN",I1506="TNO2-3",I1506="NO2-3")),VLOOKUP(E1506,QCREC_N,2,),IF(AND(H1506="NIC",OR(I1506="TN",I1506="TDN",I1506="TNO2-3",I1506="NO2-3")),VLOOKUP(E1506,QCNIC_N,2,),IF(AND(H1506="UREA",OR(I1506="TN",I1506="TDN",I1506="TNO2-3",I1506="NO2-3")),VLOOKUP(E1506,QCUREA_N,2,),IF(H1506="PER",VLOOKUP(I1506,QCPER,MATCH(E1506,QCACTUAL!$J$25:$AA$25,0),),IF(H1506="SPK",VLOOKUP(I1506,QCSPK,3,),IF(AND(H1506="ATP",OR(I1506="TP",I1506="TDP")),VLOOKUP(E1506,QCATP_P,2,),""))))))))</f>
        <v/>
      </c>
      <c r="W1506" s="31" t="str">
        <f t="shared" si="170"/>
        <v>TRUE</v>
      </c>
      <c r="X1506" s="31" t="str">
        <f t="shared" si="167"/>
        <v/>
      </c>
      <c r="Y1506" s="10" t="s">
        <v>1096</v>
      </c>
      <c r="Z1506" s="10" t="s">
        <v>910</v>
      </c>
      <c r="AL1506" s="10" t="str">
        <f t="shared" si="172"/>
        <v>FALSE</v>
      </c>
      <c r="AM1506" s="10" t="str">
        <f t="shared" si="172"/>
        <v>FALSE</v>
      </c>
      <c r="AN1506" s="10" t="str">
        <f t="shared" si="172"/>
        <v>FALSE</v>
      </c>
      <c r="AO1506" s="10" t="str">
        <f t="shared" si="173"/>
        <v>FALSE</v>
      </c>
      <c r="AP1506" s="10" t="str">
        <f t="shared" si="173"/>
        <v>FALSE</v>
      </c>
      <c r="AQ1506" s="10" t="b">
        <f>IF(AND(I1506="TP",S1506&lt;=150),VLOOKUP(AF1506,TPCalibEq150!$AZ$2:$BB$55,3,),IF(AND(I1506="TDP",S1506&lt;=150),VLOOKUP(AF1506,TPCalibEq150!$AZ$2:$BB$55,3,)))</f>
        <v>0</v>
      </c>
      <c r="AR1506" s="10" t="b">
        <f>IF(AND(I1506="TP",S1506&lt;=300),VLOOKUP(AF1506,TPCalibEq300!$AZ$2:$BB$55,3,),IF(AND(I1506="TDP",S1506&lt;=300),VLOOKUP(AF1506,TPCalibEq300!$AZ$2:$BB$55,3,)))</f>
        <v>0</v>
      </c>
      <c r="AS1506" s="10" t="b">
        <f>IF(AND(I1506="TP",S1506&lt;=500),VLOOKUP(AF1506,TPCalibEq500!$AZ$2:$BB$56,3,),IF(AND(I1506="TDP",S1506&lt;=500),VLOOKUP(AF1506,TPCalibEq500!$AZ$2:$BB$56,3,)))</f>
        <v>0</v>
      </c>
      <c r="AT1506" s="10" t="b">
        <f>IF(AND(I1506="TN",S1506&lt;=2800),VLOOKUP(AF1506,TNCalibEq2500!$AZ$2:$BB$56,3,),IF(AND(I1506="TDN",S1506&lt;=2800),VLOOKUP(AF1506,TNCalibEq2500!$AZ$2:$BB$56,3,)))</f>
        <v>0</v>
      </c>
      <c r="AU1506" s="10" t="b">
        <f>IF(I1506="TP",VLOOKUP(AF1506,TPCalibEqFull!$AZ$2:$BB$56,3),IF(I1506="TDP",VLOOKUP(AF1506,TPCalibEqFull!$AZ$2:$BB$56,3),IF(I1506="TDN",VLOOKUP(AF1506,TNCalibEqFull!$AZ$1:$BB$56,3),IF(I1506="TN",VLOOKUP(AF1506,TNCalibEqFull!$AZ$1:$BB$56,3),FALSE))))</f>
        <v>0</v>
      </c>
      <c r="AV1506" s="10" t="str">
        <f t="shared" si="171"/>
        <v>0125 05:42:00-HST-0-FIL-1-SW-UKN</v>
      </c>
    </row>
    <row r="1507" spans="1:48" s="10" customFormat="1" x14ac:dyDescent="0.55000000000000004">
      <c r="A1507" s="32">
        <v>44952</v>
      </c>
      <c r="B1507" s="33">
        <v>0.39930555555555558</v>
      </c>
      <c r="C1507" s="10" t="s">
        <v>279</v>
      </c>
      <c r="D1507" s="10">
        <v>0</v>
      </c>
      <c r="E1507" s="10" t="s">
        <v>911</v>
      </c>
      <c r="F1507" s="10">
        <v>1</v>
      </c>
      <c r="G1507" s="10" t="s">
        <v>231</v>
      </c>
      <c r="H1507" s="10" t="s">
        <v>322</v>
      </c>
      <c r="I1507" s="10" t="s">
        <v>167</v>
      </c>
      <c r="J1507" s="10">
        <v>47</v>
      </c>
      <c r="K1507" s="12">
        <v>44958</v>
      </c>
      <c r="L1507" s="33">
        <v>0.55396990740740737</v>
      </c>
      <c r="M1507" s="10">
        <v>1</v>
      </c>
      <c r="N1507" s="10" t="s">
        <v>211</v>
      </c>
      <c r="O1507" s="10">
        <v>0.70499999999999996</v>
      </c>
      <c r="P1507" s="10">
        <v>6.7400000000000002E-2</v>
      </c>
      <c r="Q1507" s="10">
        <v>121</v>
      </c>
      <c r="R1507" s="10" t="s">
        <v>913</v>
      </c>
      <c r="S1507" s="34">
        <f t="shared" si="168"/>
        <v>121</v>
      </c>
      <c r="T1507" s="10" t="s">
        <v>1111</v>
      </c>
      <c r="U1507" s="34" t="str">
        <f t="shared" si="169"/>
        <v/>
      </c>
      <c r="V1507" s="31" t="str">
        <f>IF(H1507="CHK",VLOOKUP(I1507,QCCHK,3,),IF(H1507="GUP",VLOOKUP(E1507,QCGUP,2,),IF(AND(H1507="ATP",OR(I1507="TN",I1507="TDN",I1507="TNO2-3",I1507="NO2-3")),VLOOKUP(E1507,QCREC_N,2,),IF(AND(H1507="NIC",OR(I1507="TN",I1507="TDN",I1507="TNO2-3",I1507="NO2-3")),VLOOKUP(E1507,QCNIC_N,2,),IF(AND(H1507="UREA",OR(I1507="TN",I1507="TDN",I1507="TNO2-3",I1507="NO2-3")),VLOOKUP(E1507,QCUREA_N,2,),IF(H1507="PER",VLOOKUP(I1507,QCPER,MATCH(E1507,QCACTUAL!$J$25:$AA$25,0),),IF(H1507="SPK",VLOOKUP(I1507,QCSPK,3,),IF(AND(H1507="ATP",OR(I1507="TP",I1507="TDP")),VLOOKUP(E1507,QCATP_P,2,),""))))))))</f>
        <v/>
      </c>
      <c r="W1507" s="31" t="str">
        <f t="shared" si="170"/>
        <v>TRUE</v>
      </c>
      <c r="X1507" s="31" t="str">
        <f t="shared" si="167"/>
        <v/>
      </c>
      <c r="Y1507" s="10" t="s">
        <v>1096</v>
      </c>
      <c r="Z1507" s="10" t="s">
        <v>910</v>
      </c>
      <c r="AL1507" s="10" t="str">
        <f t="shared" si="172"/>
        <v>FALSE</v>
      </c>
      <c r="AM1507" s="10" t="str">
        <f t="shared" si="172"/>
        <v>FALSE</v>
      </c>
      <c r="AN1507" s="10" t="str">
        <f t="shared" si="172"/>
        <v>FALSE</v>
      </c>
      <c r="AO1507" s="10" t="str">
        <f t="shared" si="173"/>
        <v>FALSE</v>
      </c>
      <c r="AP1507" s="10" t="str">
        <f t="shared" si="173"/>
        <v>FALSE</v>
      </c>
      <c r="AQ1507" s="10" t="b">
        <f>IF(AND(I1507="TP",S1507&lt;=150),VLOOKUP(AF1507,TPCalibEq150!$AZ$2:$BB$55,3,),IF(AND(I1507="TDP",S1507&lt;=150),VLOOKUP(AF1507,TPCalibEq150!$AZ$2:$BB$55,3,)))</f>
        <v>0</v>
      </c>
      <c r="AR1507" s="10" t="b">
        <f>IF(AND(I1507="TP",S1507&lt;=300),VLOOKUP(AF1507,TPCalibEq300!$AZ$2:$BB$55,3,),IF(AND(I1507="TDP",S1507&lt;=300),VLOOKUP(AF1507,TPCalibEq300!$AZ$2:$BB$55,3,)))</f>
        <v>0</v>
      </c>
      <c r="AS1507" s="10" t="b">
        <f>IF(AND(I1507="TP",S1507&lt;=500),VLOOKUP(AF1507,TPCalibEq500!$AZ$2:$BB$56,3,),IF(AND(I1507="TDP",S1507&lt;=500),VLOOKUP(AF1507,TPCalibEq500!$AZ$2:$BB$56,3,)))</f>
        <v>0</v>
      </c>
      <c r="AT1507" s="10" t="b">
        <f>IF(AND(I1507="TN",S1507&lt;=2800),VLOOKUP(AF1507,TNCalibEq2500!$AZ$2:$BB$56,3,),IF(AND(I1507="TDN",S1507&lt;=2800),VLOOKUP(AF1507,TNCalibEq2500!$AZ$2:$BB$56,3,)))</f>
        <v>0</v>
      </c>
      <c r="AU1507" s="10" t="b">
        <f>IF(I1507="TP",VLOOKUP(AF1507,TPCalibEqFull!$AZ$2:$BB$56,3),IF(I1507="TDP",VLOOKUP(AF1507,TPCalibEqFull!$AZ$2:$BB$56,3),IF(I1507="TDN",VLOOKUP(AF1507,TNCalibEqFull!$AZ$1:$BB$56,3),IF(I1507="TN",VLOOKUP(AF1507,TNCalibEqFull!$AZ$1:$BB$56,3),FALSE))))</f>
        <v>0</v>
      </c>
      <c r="AV1507" s="10" t="str">
        <f t="shared" si="171"/>
        <v>0126 09:35:00-EFK-0-FIL-1-SW-UKN</v>
      </c>
    </row>
    <row r="1508" spans="1:48" s="10" customFormat="1" x14ac:dyDescent="0.55000000000000004">
      <c r="A1508" s="32">
        <v>44952</v>
      </c>
      <c r="B1508" s="33">
        <v>0.40416666666666662</v>
      </c>
      <c r="C1508" s="10" t="s">
        <v>333</v>
      </c>
      <c r="D1508" s="10">
        <v>0</v>
      </c>
      <c r="E1508" s="10" t="s">
        <v>911</v>
      </c>
      <c r="F1508" s="10" t="s">
        <v>190</v>
      </c>
      <c r="G1508" s="10" t="s">
        <v>231</v>
      </c>
      <c r="H1508" s="10" t="s">
        <v>322</v>
      </c>
      <c r="I1508" s="10" t="s">
        <v>167</v>
      </c>
      <c r="J1508" s="10">
        <v>48</v>
      </c>
      <c r="K1508" s="12">
        <v>44958</v>
      </c>
      <c r="L1508" s="33">
        <v>0.55479166666666668</v>
      </c>
      <c r="M1508" s="10">
        <v>1</v>
      </c>
      <c r="N1508" s="10" t="s">
        <v>211</v>
      </c>
      <c r="O1508" s="10">
        <v>0.38100000000000001</v>
      </c>
      <c r="P1508" s="10">
        <v>3.49E-2</v>
      </c>
      <c r="Q1508" s="10">
        <v>65.099999999999994</v>
      </c>
      <c r="R1508" s="10" t="s">
        <v>913</v>
      </c>
      <c r="S1508" s="34">
        <f t="shared" si="168"/>
        <v>65.099999999999994</v>
      </c>
      <c r="T1508" s="10" t="s">
        <v>1111</v>
      </c>
      <c r="U1508" s="34" t="str">
        <f t="shared" si="169"/>
        <v/>
      </c>
      <c r="V1508" s="31" t="str">
        <f>IF(H1508="CHK",VLOOKUP(I1508,QCCHK,3,),IF(H1508="GUP",VLOOKUP(E1508,QCGUP,2,),IF(AND(H1508="ATP",OR(I1508="TN",I1508="TDN",I1508="TNO2-3",I1508="NO2-3")),VLOOKUP(E1508,QCREC_N,2,),IF(AND(H1508="NIC",OR(I1508="TN",I1508="TDN",I1508="TNO2-3",I1508="NO2-3")),VLOOKUP(E1508,QCNIC_N,2,),IF(AND(H1508="UREA",OR(I1508="TN",I1508="TDN",I1508="TNO2-3",I1508="NO2-3")),VLOOKUP(E1508,QCUREA_N,2,),IF(H1508="PER",VLOOKUP(I1508,QCPER,MATCH(E1508,QCACTUAL!$J$25:$AA$25,0),),IF(H1508="SPK",VLOOKUP(I1508,QCSPK,3,),IF(AND(H1508="ATP",OR(I1508="TP",I1508="TDP")),VLOOKUP(E1508,QCATP_P,2,),""))))))))</f>
        <v/>
      </c>
      <c r="W1508" s="31" t="str">
        <f t="shared" si="170"/>
        <v>TRUE</v>
      </c>
      <c r="X1508" s="31" t="str">
        <f t="shared" si="167"/>
        <v/>
      </c>
      <c r="Y1508" s="10" t="s">
        <v>1096</v>
      </c>
      <c r="Z1508" s="10" t="s">
        <v>910</v>
      </c>
      <c r="AL1508" s="10" t="str">
        <f t="shared" si="172"/>
        <v>FALSE</v>
      </c>
      <c r="AM1508" s="10" t="str">
        <f t="shared" si="172"/>
        <v>FALSE</v>
      </c>
      <c r="AN1508" s="10" t="str">
        <f t="shared" si="172"/>
        <v>FALSE</v>
      </c>
      <c r="AO1508" s="10" t="str">
        <f t="shared" si="173"/>
        <v>FALSE</v>
      </c>
      <c r="AP1508" s="10" t="str">
        <f t="shared" si="173"/>
        <v>FALSE</v>
      </c>
      <c r="AQ1508" s="10" t="b">
        <f>IF(AND(I1508="TP",S1508&lt;=150),VLOOKUP(AF1508,TPCalibEq150!$AZ$2:$BB$55,3,),IF(AND(I1508="TDP",S1508&lt;=150),VLOOKUP(AF1508,TPCalibEq150!$AZ$2:$BB$55,3,)))</f>
        <v>0</v>
      </c>
      <c r="AR1508" s="10" t="b">
        <f>IF(AND(I1508="TP",S1508&lt;=300),VLOOKUP(AF1508,TPCalibEq300!$AZ$2:$BB$55,3,),IF(AND(I1508="TDP",S1508&lt;=300),VLOOKUP(AF1508,TPCalibEq300!$AZ$2:$BB$55,3,)))</f>
        <v>0</v>
      </c>
      <c r="AS1508" s="10" t="b">
        <f>IF(AND(I1508="TP",S1508&lt;=500),VLOOKUP(AF1508,TPCalibEq500!$AZ$2:$BB$56,3,),IF(AND(I1508="TDP",S1508&lt;=500),VLOOKUP(AF1508,TPCalibEq500!$AZ$2:$BB$56,3,)))</f>
        <v>0</v>
      </c>
      <c r="AT1508" s="10" t="b">
        <f>IF(AND(I1508="TN",S1508&lt;=2800),VLOOKUP(AF1508,TNCalibEq2500!$AZ$2:$BB$56,3,),IF(AND(I1508="TDN",S1508&lt;=2800),VLOOKUP(AF1508,TNCalibEq2500!$AZ$2:$BB$56,3,)))</f>
        <v>0</v>
      </c>
      <c r="AU1508" s="10" t="b">
        <f>IF(I1508="TP",VLOOKUP(AF1508,TPCalibEqFull!$AZ$2:$BB$56,3),IF(I1508="TDP",VLOOKUP(AF1508,TPCalibEqFull!$AZ$2:$BB$56,3),IF(I1508="TDN",VLOOKUP(AF1508,TNCalibEqFull!$AZ$1:$BB$56,3),IF(I1508="TN",VLOOKUP(AF1508,TNCalibEqFull!$AZ$1:$BB$56,3),FALSE))))</f>
        <v>0</v>
      </c>
      <c r="AV1508" s="10" t="str">
        <f t="shared" si="171"/>
        <v>0126 09:42:00-HST-0-FIL-C-SW-UKN</v>
      </c>
    </row>
    <row r="1509" spans="1:48" s="10" customFormat="1" x14ac:dyDescent="0.55000000000000004">
      <c r="A1509" s="32">
        <v>44953</v>
      </c>
      <c r="B1509" s="33">
        <v>0.53333333333333333</v>
      </c>
      <c r="C1509" s="10" t="s">
        <v>279</v>
      </c>
      <c r="D1509" s="10">
        <v>0</v>
      </c>
      <c r="E1509" s="10" t="s">
        <v>911</v>
      </c>
      <c r="F1509" s="10">
        <v>1</v>
      </c>
      <c r="G1509" s="10" t="s">
        <v>231</v>
      </c>
      <c r="H1509" s="10" t="s">
        <v>322</v>
      </c>
      <c r="I1509" s="10" t="s">
        <v>167</v>
      </c>
      <c r="J1509" s="10">
        <v>49</v>
      </c>
      <c r="K1509" s="12">
        <v>44958</v>
      </c>
      <c r="L1509" s="33">
        <v>0.55560185185185185</v>
      </c>
      <c r="M1509" s="10">
        <v>1</v>
      </c>
      <c r="N1509" s="10" t="s">
        <v>211</v>
      </c>
      <c r="O1509" s="10">
        <v>0.626</v>
      </c>
      <c r="P1509" s="10">
        <v>5.9900000000000002E-2</v>
      </c>
      <c r="Q1509" s="10">
        <v>107</v>
      </c>
      <c r="R1509" s="10" t="s">
        <v>913</v>
      </c>
      <c r="S1509" s="34">
        <f t="shared" si="168"/>
        <v>107</v>
      </c>
      <c r="T1509" s="10" t="s">
        <v>1111</v>
      </c>
      <c r="U1509" s="34" t="str">
        <f t="shared" si="169"/>
        <v/>
      </c>
      <c r="V1509" s="31" t="str">
        <f>IF(H1509="CHK",VLOOKUP(I1509,QCCHK,3,),IF(H1509="GUP",VLOOKUP(E1509,QCGUP,2,),IF(AND(H1509="ATP",OR(I1509="TN",I1509="TDN",I1509="TNO2-3",I1509="NO2-3")),VLOOKUP(E1509,QCREC_N,2,),IF(AND(H1509="NIC",OR(I1509="TN",I1509="TDN",I1509="TNO2-3",I1509="NO2-3")),VLOOKUP(E1509,QCNIC_N,2,),IF(AND(H1509="UREA",OR(I1509="TN",I1509="TDN",I1509="TNO2-3",I1509="NO2-3")),VLOOKUP(E1509,QCUREA_N,2,),IF(H1509="PER",VLOOKUP(I1509,QCPER,MATCH(E1509,QCACTUAL!$J$25:$AA$25,0),),IF(H1509="SPK",VLOOKUP(I1509,QCSPK,3,),IF(AND(H1509="ATP",OR(I1509="TP",I1509="TDP")),VLOOKUP(E1509,QCATP_P,2,),""))))))))</f>
        <v/>
      </c>
      <c r="W1509" s="31" t="str">
        <f t="shared" si="170"/>
        <v>TRUE</v>
      </c>
      <c r="X1509" s="31" t="str">
        <f t="shared" si="167"/>
        <v/>
      </c>
      <c r="Y1509" s="10" t="s">
        <v>1096</v>
      </c>
      <c r="Z1509" s="10" t="s">
        <v>910</v>
      </c>
      <c r="AL1509" s="10" t="str">
        <f t="shared" si="172"/>
        <v>FALSE</v>
      </c>
      <c r="AM1509" s="10" t="str">
        <f t="shared" si="172"/>
        <v>FALSE</v>
      </c>
      <c r="AN1509" s="10" t="str">
        <f t="shared" si="172"/>
        <v>FALSE</v>
      </c>
      <c r="AO1509" s="10" t="str">
        <f t="shared" si="173"/>
        <v>FALSE</v>
      </c>
      <c r="AP1509" s="10" t="str">
        <f t="shared" si="173"/>
        <v>FALSE</v>
      </c>
      <c r="AQ1509" s="10" t="b">
        <f>IF(AND(I1509="TP",S1509&lt;=150),VLOOKUP(AF1509,TPCalibEq150!$AZ$2:$BB$55,3,),IF(AND(I1509="TDP",S1509&lt;=150),VLOOKUP(AF1509,TPCalibEq150!$AZ$2:$BB$55,3,)))</f>
        <v>0</v>
      </c>
      <c r="AR1509" s="10" t="b">
        <f>IF(AND(I1509="TP",S1509&lt;=300),VLOOKUP(AF1509,TPCalibEq300!$AZ$2:$BB$55,3,),IF(AND(I1509="TDP",S1509&lt;=300),VLOOKUP(AF1509,TPCalibEq300!$AZ$2:$BB$55,3,)))</f>
        <v>0</v>
      </c>
      <c r="AS1509" s="10" t="b">
        <f>IF(AND(I1509="TP",S1509&lt;=500),VLOOKUP(AF1509,TPCalibEq500!$AZ$2:$BB$56,3,),IF(AND(I1509="TDP",S1509&lt;=500),VLOOKUP(AF1509,TPCalibEq500!$AZ$2:$BB$56,3,)))</f>
        <v>0</v>
      </c>
      <c r="AT1509" s="10" t="b">
        <f>IF(AND(I1509="TN",S1509&lt;=2800),VLOOKUP(AF1509,TNCalibEq2500!$AZ$2:$BB$56,3,),IF(AND(I1509="TDN",S1509&lt;=2800),VLOOKUP(AF1509,TNCalibEq2500!$AZ$2:$BB$56,3,)))</f>
        <v>0</v>
      </c>
      <c r="AU1509" s="10" t="b">
        <f>IF(I1509="TP",VLOOKUP(AF1509,TPCalibEqFull!$AZ$2:$BB$56,3),IF(I1509="TDP",VLOOKUP(AF1509,TPCalibEqFull!$AZ$2:$BB$56,3),IF(I1509="TDN",VLOOKUP(AF1509,TNCalibEqFull!$AZ$1:$BB$56,3),IF(I1509="TN",VLOOKUP(AF1509,TNCalibEqFull!$AZ$1:$BB$56,3),FALSE))))</f>
        <v>0</v>
      </c>
      <c r="AV1509" s="10" t="str">
        <f t="shared" si="171"/>
        <v>0127 12:48:00-EFK-0-FIL-1-SW-UKN</v>
      </c>
    </row>
    <row r="1510" spans="1:48" s="10" customFormat="1" x14ac:dyDescent="0.55000000000000004">
      <c r="A1510" s="32">
        <v>44953</v>
      </c>
      <c r="B1510" s="33">
        <v>0.53611111111111109</v>
      </c>
      <c r="C1510" s="10" t="s">
        <v>333</v>
      </c>
      <c r="D1510" s="10">
        <v>0</v>
      </c>
      <c r="E1510" s="10" t="s">
        <v>911</v>
      </c>
      <c r="F1510" s="10">
        <v>1</v>
      </c>
      <c r="G1510" s="10" t="s">
        <v>231</v>
      </c>
      <c r="H1510" s="10" t="s">
        <v>322</v>
      </c>
      <c r="I1510" s="10" t="s">
        <v>167</v>
      </c>
      <c r="J1510" s="10">
        <v>50</v>
      </c>
      <c r="K1510" s="12">
        <v>44958</v>
      </c>
      <c r="L1510" s="33">
        <v>0.55642361111111105</v>
      </c>
      <c r="M1510" s="10">
        <v>1</v>
      </c>
      <c r="N1510" s="10" t="s">
        <v>211</v>
      </c>
      <c r="O1510" s="10">
        <v>0.35099999999999998</v>
      </c>
      <c r="P1510" s="10">
        <v>3.2199999999999999E-2</v>
      </c>
      <c r="Q1510" s="10">
        <v>59.8</v>
      </c>
      <c r="R1510" s="10" t="s">
        <v>913</v>
      </c>
      <c r="S1510" s="34">
        <f t="shared" si="168"/>
        <v>59.8</v>
      </c>
      <c r="T1510" s="10" t="s">
        <v>1111</v>
      </c>
      <c r="U1510" s="34" t="str">
        <f t="shared" si="169"/>
        <v/>
      </c>
      <c r="V1510" s="31" t="str">
        <f>IF(H1510="CHK",VLOOKUP(I1510,QCCHK,3,),IF(H1510="GUP",VLOOKUP(E1510,QCGUP,2,),IF(AND(H1510="ATP",OR(I1510="TN",I1510="TDN",I1510="TNO2-3",I1510="NO2-3")),VLOOKUP(E1510,QCREC_N,2,),IF(AND(H1510="NIC",OR(I1510="TN",I1510="TDN",I1510="TNO2-3",I1510="NO2-3")),VLOOKUP(E1510,QCNIC_N,2,),IF(AND(H1510="UREA",OR(I1510="TN",I1510="TDN",I1510="TNO2-3",I1510="NO2-3")),VLOOKUP(E1510,QCUREA_N,2,),IF(H1510="PER",VLOOKUP(I1510,QCPER,MATCH(E1510,QCACTUAL!$J$25:$AA$25,0),),IF(H1510="SPK",VLOOKUP(I1510,QCSPK,3,),IF(AND(H1510="ATP",OR(I1510="TP",I1510="TDP")),VLOOKUP(E1510,QCATP_P,2,),""))))))))</f>
        <v/>
      </c>
      <c r="W1510" s="31" t="str">
        <f t="shared" si="170"/>
        <v>TRUE</v>
      </c>
      <c r="X1510" s="31" t="str">
        <f t="shared" si="167"/>
        <v/>
      </c>
      <c r="Y1510" s="10" t="s">
        <v>1096</v>
      </c>
      <c r="Z1510" s="10" t="s">
        <v>910</v>
      </c>
      <c r="AL1510" s="10" t="str">
        <f t="shared" si="172"/>
        <v>FALSE</v>
      </c>
      <c r="AM1510" s="10" t="str">
        <f t="shared" si="172"/>
        <v>FALSE</v>
      </c>
      <c r="AN1510" s="10" t="str">
        <f t="shared" si="172"/>
        <v>FALSE</v>
      </c>
      <c r="AO1510" s="10" t="str">
        <f t="shared" si="173"/>
        <v>FALSE</v>
      </c>
      <c r="AP1510" s="10" t="str">
        <f t="shared" si="173"/>
        <v>FALSE</v>
      </c>
      <c r="AQ1510" s="10" t="b">
        <f>IF(AND(I1510="TP",S1510&lt;=150),VLOOKUP(AF1510,TPCalibEq150!$AZ$2:$BB$55,3,),IF(AND(I1510="TDP",S1510&lt;=150),VLOOKUP(AF1510,TPCalibEq150!$AZ$2:$BB$55,3,)))</f>
        <v>0</v>
      </c>
      <c r="AR1510" s="10" t="b">
        <f>IF(AND(I1510="TP",S1510&lt;=300),VLOOKUP(AF1510,TPCalibEq300!$AZ$2:$BB$55,3,),IF(AND(I1510="TDP",S1510&lt;=300),VLOOKUP(AF1510,TPCalibEq300!$AZ$2:$BB$55,3,)))</f>
        <v>0</v>
      </c>
      <c r="AS1510" s="10" t="b">
        <f>IF(AND(I1510="TP",S1510&lt;=500),VLOOKUP(AF1510,TPCalibEq500!$AZ$2:$BB$56,3,),IF(AND(I1510="TDP",S1510&lt;=500),VLOOKUP(AF1510,TPCalibEq500!$AZ$2:$BB$56,3,)))</f>
        <v>0</v>
      </c>
      <c r="AT1510" s="10" t="b">
        <f>IF(AND(I1510="TN",S1510&lt;=2800),VLOOKUP(AF1510,TNCalibEq2500!$AZ$2:$BB$56,3,),IF(AND(I1510="TDN",S1510&lt;=2800),VLOOKUP(AF1510,TNCalibEq2500!$AZ$2:$BB$56,3,)))</f>
        <v>0</v>
      </c>
      <c r="AU1510" s="10" t="b">
        <f>IF(I1510="TP",VLOOKUP(AF1510,TPCalibEqFull!$AZ$2:$BB$56,3),IF(I1510="TDP",VLOOKUP(AF1510,TPCalibEqFull!$AZ$2:$BB$56,3),IF(I1510="TDN",VLOOKUP(AF1510,TNCalibEqFull!$AZ$1:$BB$56,3),IF(I1510="TN",VLOOKUP(AF1510,TNCalibEqFull!$AZ$1:$BB$56,3),FALSE))))</f>
        <v>0</v>
      </c>
      <c r="AV1510" s="10" t="str">
        <f t="shared" si="171"/>
        <v>0127 12:52:00-HST-0-FIL-1-SW-UKN</v>
      </c>
    </row>
    <row r="1511" spans="1:48" s="10" customFormat="1" x14ac:dyDescent="0.55000000000000004">
      <c r="A1511" s="32">
        <v>44953</v>
      </c>
      <c r="B1511" s="33">
        <v>0.53611111111111109</v>
      </c>
      <c r="C1511" s="10" t="s">
        <v>333</v>
      </c>
      <c r="D1511" s="10">
        <v>0</v>
      </c>
      <c r="E1511" s="10" t="s">
        <v>911</v>
      </c>
      <c r="F1511" s="10">
        <v>1</v>
      </c>
      <c r="G1511" s="10" t="s">
        <v>231</v>
      </c>
      <c r="H1511" s="10" t="s">
        <v>233</v>
      </c>
      <c r="I1511" s="10" t="s">
        <v>167</v>
      </c>
      <c r="J1511" s="10">
        <v>50</v>
      </c>
      <c r="K1511" s="12">
        <v>44958</v>
      </c>
      <c r="L1511" s="33">
        <v>0.55724537037037036</v>
      </c>
      <c r="M1511" s="10">
        <v>1</v>
      </c>
      <c r="N1511" s="10" t="s">
        <v>211</v>
      </c>
      <c r="O1511" s="10">
        <v>0.218</v>
      </c>
      <c r="P1511" s="10">
        <v>1.9800000000000002E-2</v>
      </c>
      <c r="Q1511" s="10">
        <v>36.9</v>
      </c>
      <c r="R1511" s="10" t="s">
        <v>913</v>
      </c>
      <c r="S1511" s="34">
        <f t="shared" si="168"/>
        <v>36.9</v>
      </c>
      <c r="T1511" s="10" t="s">
        <v>1111</v>
      </c>
      <c r="U1511" s="34">
        <f t="shared" si="169"/>
        <v>47.362978283350571</v>
      </c>
      <c r="V1511" s="31" t="str">
        <f>IF(H1511="CHK",VLOOKUP(I1511,QCCHK,3,),IF(H1511="GUP",VLOOKUP(E1511,QCGUP,2,),IF(AND(H1511="ATP",OR(I1511="TN",I1511="TDN",I1511="TNO2-3",I1511="NO2-3")),VLOOKUP(E1511,QCREC_N,2,),IF(AND(H1511="NIC",OR(I1511="TN",I1511="TDN",I1511="TNO2-3",I1511="NO2-3")),VLOOKUP(E1511,QCNIC_N,2,),IF(AND(H1511="UREA",OR(I1511="TN",I1511="TDN",I1511="TNO2-3",I1511="NO2-3")),VLOOKUP(E1511,QCUREA_N,2,),IF(H1511="PER",VLOOKUP(I1511,QCPER,MATCH(E1511,QCACTUAL!$J$25:$AA$25,0),),IF(H1511="SPK",VLOOKUP(I1511,QCSPK,3,),IF(AND(H1511="ATP",OR(I1511="TP",I1511="TDP")),VLOOKUP(E1511,QCATP_P,2,),""))))))))</f>
        <v/>
      </c>
      <c r="W1511" s="31" t="str">
        <f t="shared" si="170"/>
        <v>FALSE</v>
      </c>
      <c r="X1511" s="31" t="str">
        <f t="shared" si="167"/>
        <v>((ABS(rep1-rep2))/((rep1+rep2)/2)*100</v>
      </c>
      <c r="Y1511" s="10" t="s">
        <v>1096</v>
      </c>
      <c r="Z1511" s="10" t="s">
        <v>910</v>
      </c>
      <c r="AL1511" s="10" t="str">
        <f t="shared" si="172"/>
        <v>FALSE</v>
      </c>
      <c r="AM1511" s="10" t="str">
        <f t="shared" si="172"/>
        <v>FALSE</v>
      </c>
      <c r="AN1511" s="10" t="str">
        <f t="shared" si="172"/>
        <v>FALSE</v>
      </c>
      <c r="AO1511" s="10" t="str">
        <f t="shared" si="173"/>
        <v>FALSE</v>
      </c>
      <c r="AP1511" s="10" t="str">
        <f t="shared" si="173"/>
        <v>FALSE</v>
      </c>
      <c r="AQ1511" s="10" t="b">
        <f>IF(AND(I1511="TP",S1511&lt;=150),VLOOKUP(AF1511,TPCalibEq150!$AZ$2:$BB$55,3,),IF(AND(I1511="TDP",S1511&lt;=150),VLOOKUP(AF1511,TPCalibEq150!$AZ$2:$BB$55,3,)))</f>
        <v>0</v>
      </c>
      <c r="AR1511" s="10" t="b">
        <f>IF(AND(I1511="TP",S1511&lt;=300),VLOOKUP(AF1511,TPCalibEq300!$AZ$2:$BB$55,3,),IF(AND(I1511="TDP",S1511&lt;=300),VLOOKUP(AF1511,TPCalibEq300!$AZ$2:$BB$55,3,)))</f>
        <v>0</v>
      </c>
      <c r="AS1511" s="10" t="b">
        <f>IF(AND(I1511="TP",S1511&lt;=500),VLOOKUP(AF1511,TPCalibEq500!$AZ$2:$BB$56,3,),IF(AND(I1511="TDP",S1511&lt;=500),VLOOKUP(AF1511,TPCalibEq500!$AZ$2:$BB$56,3,)))</f>
        <v>0</v>
      </c>
      <c r="AT1511" s="10" t="b">
        <f>IF(AND(I1511="TN",S1511&lt;=2800),VLOOKUP(AF1511,TNCalibEq2500!$AZ$2:$BB$56,3,),IF(AND(I1511="TDN",S1511&lt;=2800),VLOOKUP(AF1511,TNCalibEq2500!$AZ$2:$BB$56,3,)))</f>
        <v>0</v>
      </c>
      <c r="AU1511" s="10" t="b">
        <f>IF(I1511="TP",VLOOKUP(AF1511,TPCalibEqFull!$AZ$2:$BB$56,3),IF(I1511="TDP",VLOOKUP(AF1511,TPCalibEqFull!$AZ$2:$BB$56,3),IF(I1511="TDN",VLOOKUP(AF1511,TNCalibEqFull!$AZ$1:$BB$56,3),IF(I1511="TN",VLOOKUP(AF1511,TNCalibEqFull!$AZ$1:$BB$56,3),FALSE))))</f>
        <v>0</v>
      </c>
      <c r="AV1511" s="10" t="str">
        <f t="shared" si="171"/>
        <v>0127 12:52:00-HST-0-FIL-1-SW-DUP</v>
      </c>
    </row>
    <row r="1512" spans="1:48" s="10" customFormat="1" x14ac:dyDescent="0.55000000000000004">
      <c r="A1512" s="32">
        <v>44953</v>
      </c>
      <c r="B1512" s="33">
        <v>0.53611111111111109</v>
      </c>
      <c r="C1512" s="10" t="s">
        <v>333</v>
      </c>
      <c r="D1512" s="10">
        <v>0</v>
      </c>
      <c r="E1512" s="10" t="s">
        <v>911</v>
      </c>
      <c r="F1512" s="10">
        <v>1</v>
      </c>
      <c r="G1512" s="10" t="s">
        <v>231</v>
      </c>
      <c r="H1512" s="10" t="s">
        <v>314</v>
      </c>
      <c r="I1512" s="10" t="s">
        <v>167</v>
      </c>
      <c r="J1512" s="10">
        <v>86</v>
      </c>
      <c r="K1512" s="12">
        <v>44958</v>
      </c>
      <c r="L1512" s="33">
        <v>0.55805555555555553</v>
      </c>
      <c r="M1512" s="10">
        <v>1</v>
      </c>
      <c r="N1512" s="10" t="s">
        <v>211</v>
      </c>
      <c r="O1512" s="10">
        <v>1.1200000000000001</v>
      </c>
      <c r="P1512" s="10">
        <v>0.107</v>
      </c>
      <c r="Q1512" s="10">
        <v>192</v>
      </c>
      <c r="R1512" s="10" t="s">
        <v>913</v>
      </c>
      <c r="S1512" s="34">
        <f t="shared" si="168"/>
        <v>192</v>
      </c>
      <c r="T1512" s="10" t="s">
        <v>1111</v>
      </c>
      <c r="U1512" s="34">
        <f t="shared" si="169"/>
        <v>99.263999999999996</v>
      </c>
      <c r="V1512" s="31">
        <f>IF(H1512="CHK",VLOOKUP(I1512,QCCHK,3,),IF(H1512="GUP",VLOOKUP(E1512,QCGUP,2,),IF(AND(H1512="ATP",OR(I1512="TN",I1512="TDN",I1512="TNO2-3",I1512="NO2-3")),VLOOKUP(E1512,QCREC_N,2,),IF(AND(H1512="NIC",OR(I1512="TN",I1512="TDN",I1512="TNO2-3",I1512="NO2-3")),VLOOKUP(E1512,QCNIC_N,2,),IF(AND(H1512="UREA",OR(I1512="TN",I1512="TDN",I1512="TNO2-3",I1512="NO2-3")),VLOOKUP(E1512,QCUREA_N,2,),IF(H1512="PER",VLOOKUP(I1512,QCPER,MATCH(E1512,QCACTUAL!$J$25:$AA$25,0),),IF(H1512="SPK",VLOOKUP(I1512,QCSPK,3,),IF(AND(H1512="ATP",OR(I1512="TP",I1512="TDP")),VLOOKUP(E1512,QCATP_P,2,),""))))))))</f>
        <v>156.25</v>
      </c>
      <c r="W1512" s="31" t="str">
        <f t="shared" si="170"/>
        <v>TRUE</v>
      </c>
      <c r="X1512" s="31" t="str">
        <f t="shared" si="167"/>
        <v>([spikedunkn]-[unkn])/[spike]*100</v>
      </c>
      <c r="Y1512" s="10" t="s">
        <v>1096</v>
      </c>
      <c r="Z1512" s="10" t="s">
        <v>910</v>
      </c>
      <c r="AL1512" s="10" t="str">
        <f t="shared" si="172"/>
        <v>FALSE</v>
      </c>
      <c r="AM1512" s="10" t="str">
        <f t="shared" si="172"/>
        <v>FALSE</v>
      </c>
      <c r="AN1512" s="10" t="str">
        <f t="shared" si="172"/>
        <v>FALSE</v>
      </c>
      <c r="AO1512" s="10" t="str">
        <f t="shared" si="173"/>
        <v>FALSE</v>
      </c>
      <c r="AP1512" s="10" t="str">
        <f t="shared" si="173"/>
        <v>FALSE</v>
      </c>
      <c r="AQ1512" s="10" t="b">
        <f>IF(AND(I1512="TP",S1512&lt;=150),VLOOKUP(AF1512,TPCalibEq150!$AZ$2:$BB$55,3,),IF(AND(I1512="TDP",S1512&lt;=150),VLOOKUP(AF1512,TPCalibEq150!$AZ$2:$BB$55,3,)))</f>
        <v>0</v>
      </c>
      <c r="AR1512" s="10" t="b">
        <f>IF(AND(I1512="TP",S1512&lt;=300),VLOOKUP(AF1512,TPCalibEq300!$AZ$2:$BB$55,3,),IF(AND(I1512="TDP",S1512&lt;=300),VLOOKUP(AF1512,TPCalibEq300!$AZ$2:$BB$55,3,)))</f>
        <v>0</v>
      </c>
      <c r="AS1512" s="10" t="b">
        <f>IF(AND(I1512="TP",S1512&lt;=500),VLOOKUP(AF1512,TPCalibEq500!$AZ$2:$BB$56,3,),IF(AND(I1512="TDP",S1512&lt;=500),VLOOKUP(AF1512,TPCalibEq500!$AZ$2:$BB$56,3,)))</f>
        <v>0</v>
      </c>
      <c r="AT1512" s="10" t="b">
        <f>IF(AND(I1512="TN",S1512&lt;=2800),VLOOKUP(AF1512,TNCalibEq2500!$AZ$2:$BB$56,3,),IF(AND(I1512="TDN",S1512&lt;=2800),VLOOKUP(AF1512,TNCalibEq2500!$AZ$2:$BB$56,3,)))</f>
        <v>0</v>
      </c>
      <c r="AU1512" s="10" t="b">
        <f>IF(I1512="TP",VLOOKUP(AF1512,TPCalibEqFull!$AZ$2:$BB$56,3),IF(I1512="TDP",VLOOKUP(AF1512,TPCalibEqFull!$AZ$2:$BB$56,3),IF(I1512="TDN",VLOOKUP(AF1512,TNCalibEqFull!$AZ$1:$BB$56,3),IF(I1512="TN",VLOOKUP(AF1512,TNCalibEqFull!$AZ$1:$BB$56,3),FALSE))))</f>
        <v>0</v>
      </c>
      <c r="AV1512" s="10" t="str">
        <f t="shared" si="171"/>
        <v>0127 12:52:00-HST-0-FIL-1-SW-SPK</v>
      </c>
    </row>
    <row r="1513" spans="1:48" s="10" customFormat="1" x14ac:dyDescent="0.55000000000000004">
      <c r="A1513" s="32">
        <v>44958</v>
      </c>
      <c r="B1513" s="33">
        <v>0.375</v>
      </c>
      <c r="C1513" s="10" t="s">
        <v>70</v>
      </c>
      <c r="D1513" s="10" t="s">
        <v>71</v>
      </c>
      <c r="E1513" s="10" t="s">
        <v>901</v>
      </c>
      <c r="F1513" s="10">
        <v>1</v>
      </c>
      <c r="G1513" s="10" t="s">
        <v>73</v>
      </c>
      <c r="H1513" s="10" t="s">
        <v>207</v>
      </c>
      <c r="I1513" s="10" t="s">
        <v>285</v>
      </c>
      <c r="J1513" s="10">
        <v>201</v>
      </c>
      <c r="K1513" s="12">
        <v>44958</v>
      </c>
      <c r="L1513" s="33">
        <v>0.55887731481481484</v>
      </c>
      <c r="M1513" s="10">
        <v>1</v>
      </c>
      <c r="N1513" s="10" t="s">
        <v>211</v>
      </c>
      <c r="O1513" s="10">
        <v>0.44800000000000001</v>
      </c>
      <c r="P1513" s="10">
        <v>4.2000000000000003E-2</v>
      </c>
      <c r="Q1513" s="10">
        <v>76.5</v>
      </c>
      <c r="R1513" s="10" t="s">
        <v>913</v>
      </c>
      <c r="S1513" s="34">
        <f t="shared" si="168"/>
        <v>76.5</v>
      </c>
      <c r="T1513" s="10" t="s">
        <v>1111</v>
      </c>
      <c r="U1513" s="34">
        <f t="shared" si="169"/>
        <v>102</v>
      </c>
      <c r="V1513" s="31">
        <f>IF(H1513="CHK",VLOOKUP(I1513,QCCHK,3,),IF(H1513="GUP",VLOOKUP(E1513,QCGUP,2,),IF(AND(H1513="ATP",OR(I1513="TN",I1513="TDN",I1513="TNO2-3",I1513="NO2-3")),VLOOKUP(E1513,QCREC_N,2,),IF(AND(H1513="NIC",OR(I1513="TN",I1513="TDN",I1513="TNO2-3",I1513="NO2-3")),VLOOKUP(E1513,QCNIC_N,2,),IF(AND(H1513="UREA",OR(I1513="TN",I1513="TDN",I1513="TNO2-3",I1513="NO2-3")),VLOOKUP(E1513,QCUREA_N,2,),IF(H1513="PER",VLOOKUP(I1513,QCPER,MATCH(E1513,QCACTUAL!$J$25:$AA$25,0),),IF(H1513="SPK",VLOOKUP(I1513,QCSPK,3,),IF(AND(H1513="ATP",OR(I1513="TP",I1513="TDP")),VLOOKUP(E1513,QCATP_P,2,),""))))))))</f>
        <v>75</v>
      </c>
      <c r="W1513" s="31" t="str">
        <f t="shared" si="170"/>
        <v>TRUE</v>
      </c>
      <c r="X1513" s="31" t="str">
        <f t="shared" si="167"/>
        <v>[chk]/[actual]*100</v>
      </c>
      <c r="Y1513" s="10" t="s">
        <v>1096</v>
      </c>
      <c r="AL1513" s="10" t="str">
        <f t="shared" si="172"/>
        <v>FALSE</v>
      </c>
      <c r="AM1513" s="10" t="str">
        <f t="shared" si="172"/>
        <v>FALSE</v>
      </c>
      <c r="AN1513" s="10" t="str">
        <f t="shared" si="172"/>
        <v>FALSE</v>
      </c>
      <c r="AO1513" s="10" t="str">
        <f t="shared" si="173"/>
        <v>FALSE</v>
      </c>
      <c r="AP1513" s="10" t="str">
        <f t="shared" si="173"/>
        <v>FALSE</v>
      </c>
      <c r="AQ1513" s="10" t="b">
        <f>IF(AND(I1513="TP",S1513&lt;=150),VLOOKUP(AF1513,TPCalibEq150!$AZ$2:$BB$55,3,),IF(AND(I1513="TDP",S1513&lt;=150),VLOOKUP(AF1513,TPCalibEq150!$AZ$2:$BB$55,3,)))</f>
        <v>0</v>
      </c>
      <c r="AR1513" s="10" t="b">
        <f>IF(AND(I1513="TP",S1513&lt;=300),VLOOKUP(AF1513,TPCalibEq300!$AZ$2:$BB$55,3,),IF(AND(I1513="TDP",S1513&lt;=300),VLOOKUP(AF1513,TPCalibEq300!$AZ$2:$BB$55,3,)))</f>
        <v>0</v>
      </c>
      <c r="AS1513" s="10" t="b">
        <f>IF(AND(I1513="TP",S1513&lt;=500),VLOOKUP(AF1513,TPCalibEq500!$AZ$2:$BB$56,3,),IF(AND(I1513="TDP",S1513&lt;=500),VLOOKUP(AF1513,TPCalibEq500!$AZ$2:$BB$56,3,)))</f>
        <v>0</v>
      </c>
      <c r="AT1513" s="10" t="b">
        <f>IF(AND(I1513="TN",S1513&lt;=2800),VLOOKUP(AF1513,TNCalibEq2500!$AZ$2:$BB$56,3,),IF(AND(I1513="TDN",S1513&lt;=2800),VLOOKUP(AF1513,TNCalibEq2500!$AZ$2:$BB$56,3,)))</f>
        <v>0</v>
      </c>
      <c r="AU1513" s="10" t="b">
        <f>IF(I1513="TP",VLOOKUP(AF1513,TPCalibEqFull!$AZ$2:$BB$56,3),IF(I1513="TDP",VLOOKUP(AF1513,TPCalibEqFull!$AZ$2:$BB$56,3),IF(I1513="TDN",VLOOKUP(AF1513,TNCalibEqFull!$AZ$1:$BB$56,3),IF(I1513="TN",VLOOKUP(AF1513,TNCalibEqFull!$AZ$1:$BB$56,3),FALSE))))</f>
        <v>0</v>
      </c>
      <c r="AV1513" s="10" t="str">
        <f t="shared" si="171"/>
        <v>0201 09:00:00-QAC-STD-D-1-DI-CHK</v>
      </c>
    </row>
    <row r="1514" spans="1:48" s="10" customFormat="1" x14ac:dyDescent="0.55000000000000004">
      <c r="A1514" s="32">
        <v>44956</v>
      </c>
      <c r="B1514" s="33">
        <v>0.32500000000000001</v>
      </c>
      <c r="C1514" s="10" t="s">
        <v>279</v>
      </c>
      <c r="D1514" s="10">
        <v>0</v>
      </c>
      <c r="E1514" s="10" t="s">
        <v>911</v>
      </c>
      <c r="F1514" s="10">
        <v>1</v>
      </c>
      <c r="G1514" s="10" t="s">
        <v>231</v>
      </c>
      <c r="H1514" s="10" t="s">
        <v>322</v>
      </c>
      <c r="I1514" s="10" t="s">
        <v>167</v>
      </c>
      <c r="J1514" s="10">
        <v>51</v>
      </c>
      <c r="K1514" s="12">
        <v>44958</v>
      </c>
      <c r="L1514" s="33">
        <v>0.55969907407407404</v>
      </c>
      <c r="M1514" s="10">
        <v>1</v>
      </c>
      <c r="N1514" s="10" t="s">
        <v>211</v>
      </c>
      <c r="O1514" s="10">
        <v>0.75700000000000001</v>
      </c>
      <c r="P1514" s="10">
        <v>7.0800000000000002E-2</v>
      </c>
      <c r="Q1514" s="10">
        <v>130</v>
      </c>
      <c r="R1514" s="10" t="s">
        <v>913</v>
      </c>
      <c r="S1514" s="34">
        <f t="shared" si="168"/>
        <v>130</v>
      </c>
      <c r="T1514" s="10" t="s">
        <v>1111</v>
      </c>
      <c r="U1514" s="34" t="str">
        <f t="shared" si="169"/>
        <v/>
      </c>
      <c r="V1514" s="31" t="str">
        <f>IF(H1514="CHK",VLOOKUP(I1514,QCCHK,3,),IF(H1514="GUP",VLOOKUP(E1514,QCGUP,2,),IF(AND(H1514="ATP",OR(I1514="TN",I1514="TDN",I1514="TNO2-3",I1514="NO2-3")),VLOOKUP(E1514,QCREC_N,2,),IF(AND(H1514="NIC",OR(I1514="TN",I1514="TDN",I1514="TNO2-3",I1514="NO2-3")),VLOOKUP(E1514,QCNIC_N,2,),IF(AND(H1514="UREA",OR(I1514="TN",I1514="TDN",I1514="TNO2-3",I1514="NO2-3")),VLOOKUP(E1514,QCUREA_N,2,),IF(H1514="PER",VLOOKUP(I1514,QCPER,MATCH(E1514,QCACTUAL!$J$25:$AA$25,0),),IF(H1514="SPK",VLOOKUP(I1514,QCSPK,3,),IF(AND(H1514="ATP",OR(I1514="TP",I1514="TDP")),VLOOKUP(E1514,QCATP_P,2,),""))))))))</f>
        <v/>
      </c>
      <c r="W1514" s="31" t="str">
        <f t="shared" si="170"/>
        <v>TRUE</v>
      </c>
      <c r="X1514" s="31" t="str">
        <f t="shared" si="167"/>
        <v/>
      </c>
      <c r="Y1514" s="10" t="s">
        <v>1096</v>
      </c>
      <c r="Z1514" s="10" t="s">
        <v>910</v>
      </c>
      <c r="AL1514" s="10" t="str">
        <f t="shared" si="172"/>
        <v>FALSE</v>
      </c>
      <c r="AM1514" s="10" t="str">
        <f t="shared" si="172"/>
        <v>FALSE</v>
      </c>
      <c r="AN1514" s="10" t="str">
        <f t="shared" si="172"/>
        <v>FALSE</v>
      </c>
      <c r="AO1514" s="10" t="str">
        <f t="shared" si="173"/>
        <v>FALSE</v>
      </c>
      <c r="AP1514" s="10" t="str">
        <f t="shared" si="173"/>
        <v>FALSE</v>
      </c>
      <c r="AQ1514" s="10" t="b">
        <f>IF(AND(I1514="TP",S1514&lt;=150),VLOOKUP(AF1514,TPCalibEq150!$AZ$2:$BB$55,3,),IF(AND(I1514="TDP",S1514&lt;=150),VLOOKUP(AF1514,TPCalibEq150!$AZ$2:$BB$55,3,)))</f>
        <v>0</v>
      </c>
      <c r="AR1514" s="10" t="b">
        <f>IF(AND(I1514="TP",S1514&lt;=300),VLOOKUP(AF1514,TPCalibEq300!$AZ$2:$BB$55,3,),IF(AND(I1514="TDP",S1514&lt;=300),VLOOKUP(AF1514,TPCalibEq300!$AZ$2:$BB$55,3,)))</f>
        <v>0</v>
      </c>
      <c r="AS1514" s="10" t="b">
        <f>IF(AND(I1514="TP",S1514&lt;=500),VLOOKUP(AF1514,TPCalibEq500!$AZ$2:$BB$56,3,),IF(AND(I1514="TDP",S1514&lt;=500),VLOOKUP(AF1514,TPCalibEq500!$AZ$2:$BB$56,3,)))</f>
        <v>0</v>
      </c>
      <c r="AT1514" s="10" t="b">
        <f>IF(AND(I1514="TN",S1514&lt;=2800),VLOOKUP(AF1514,TNCalibEq2500!$AZ$2:$BB$56,3,),IF(AND(I1514="TDN",S1514&lt;=2800),VLOOKUP(AF1514,TNCalibEq2500!$AZ$2:$BB$56,3,)))</f>
        <v>0</v>
      </c>
      <c r="AU1514" s="10" t="b">
        <f>IF(I1514="TP",VLOOKUP(AF1514,TPCalibEqFull!$AZ$2:$BB$56,3),IF(I1514="TDP",VLOOKUP(AF1514,TPCalibEqFull!$AZ$2:$BB$56,3),IF(I1514="TDN",VLOOKUP(AF1514,TNCalibEqFull!$AZ$1:$BB$56,3),IF(I1514="TN",VLOOKUP(AF1514,TNCalibEqFull!$AZ$1:$BB$56,3),FALSE))))</f>
        <v>0</v>
      </c>
      <c r="AV1514" s="10" t="str">
        <f t="shared" si="171"/>
        <v>0130 07:48:00-EFK-0-FIL-1-SW-UKN</v>
      </c>
    </row>
    <row r="1515" spans="1:48" s="10" customFormat="1" x14ac:dyDescent="0.55000000000000004">
      <c r="A1515" s="32">
        <v>44956</v>
      </c>
      <c r="B1515" s="33">
        <v>0.33749999999999997</v>
      </c>
      <c r="C1515" s="10" t="s">
        <v>333</v>
      </c>
      <c r="D1515" s="10">
        <v>0</v>
      </c>
      <c r="E1515" s="10" t="s">
        <v>911</v>
      </c>
      <c r="F1515" s="10">
        <v>1</v>
      </c>
      <c r="G1515" s="10" t="s">
        <v>231</v>
      </c>
      <c r="H1515" s="10" t="s">
        <v>322</v>
      </c>
      <c r="I1515" s="10" t="s">
        <v>167</v>
      </c>
      <c r="J1515" s="10">
        <v>52</v>
      </c>
      <c r="K1515" s="12">
        <v>44958</v>
      </c>
      <c r="L1515" s="33">
        <v>0.56052083333333336</v>
      </c>
      <c r="M1515" s="10">
        <v>1</v>
      </c>
      <c r="N1515" s="10" t="s">
        <v>211</v>
      </c>
      <c r="O1515" s="10">
        <v>0.33</v>
      </c>
      <c r="P1515" s="10">
        <v>3.0300000000000001E-2</v>
      </c>
      <c r="Q1515" s="10">
        <v>56.2</v>
      </c>
      <c r="R1515" s="10" t="s">
        <v>913</v>
      </c>
      <c r="S1515" s="34">
        <f t="shared" si="168"/>
        <v>56.2</v>
      </c>
      <c r="T1515" s="10" t="s">
        <v>1111</v>
      </c>
      <c r="U1515" s="34" t="str">
        <f t="shared" si="169"/>
        <v/>
      </c>
      <c r="V1515" s="31" t="str">
        <f>IF(H1515="CHK",VLOOKUP(I1515,QCCHK,3,),IF(H1515="GUP",VLOOKUP(E1515,QCGUP,2,),IF(AND(H1515="ATP",OR(I1515="TN",I1515="TDN",I1515="TNO2-3",I1515="NO2-3")),VLOOKUP(E1515,QCREC_N,2,),IF(AND(H1515="NIC",OR(I1515="TN",I1515="TDN",I1515="TNO2-3",I1515="NO2-3")),VLOOKUP(E1515,QCNIC_N,2,),IF(AND(H1515="UREA",OR(I1515="TN",I1515="TDN",I1515="TNO2-3",I1515="NO2-3")),VLOOKUP(E1515,QCUREA_N,2,),IF(H1515="PER",VLOOKUP(I1515,QCPER,MATCH(E1515,QCACTUAL!$J$25:$AA$25,0),),IF(H1515="SPK",VLOOKUP(I1515,QCSPK,3,),IF(AND(H1515="ATP",OR(I1515="TP",I1515="TDP")),VLOOKUP(E1515,QCATP_P,2,),""))))))))</f>
        <v/>
      </c>
      <c r="W1515" s="31" t="str">
        <f t="shared" si="170"/>
        <v>TRUE</v>
      </c>
      <c r="X1515" s="31" t="str">
        <f t="shared" si="167"/>
        <v/>
      </c>
      <c r="Y1515" s="10" t="s">
        <v>1096</v>
      </c>
      <c r="Z1515" s="10" t="s">
        <v>910</v>
      </c>
      <c r="AL1515" s="10" t="str">
        <f t="shared" si="172"/>
        <v>FALSE</v>
      </c>
      <c r="AM1515" s="10" t="str">
        <f t="shared" si="172"/>
        <v>FALSE</v>
      </c>
      <c r="AN1515" s="10" t="str">
        <f t="shared" si="172"/>
        <v>FALSE</v>
      </c>
      <c r="AO1515" s="10" t="str">
        <f t="shared" si="173"/>
        <v>FALSE</v>
      </c>
      <c r="AP1515" s="10" t="str">
        <f t="shared" si="173"/>
        <v>FALSE</v>
      </c>
      <c r="AQ1515" s="10" t="b">
        <f>IF(AND(I1515="TP",S1515&lt;=150),VLOOKUP(AF1515,TPCalibEq150!$AZ$2:$BB$55,3,),IF(AND(I1515="TDP",S1515&lt;=150),VLOOKUP(AF1515,TPCalibEq150!$AZ$2:$BB$55,3,)))</f>
        <v>0</v>
      </c>
      <c r="AR1515" s="10" t="b">
        <f>IF(AND(I1515="TP",S1515&lt;=300),VLOOKUP(AF1515,TPCalibEq300!$AZ$2:$BB$55,3,),IF(AND(I1515="TDP",S1515&lt;=300),VLOOKUP(AF1515,TPCalibEq300!$AZ$2:$BB$55,3,)))</f>
        <v>0</v>
      </c>
      <c r="AS1515" s="10" t="b">
        <f>IF(AND(I1515="TP",S1515&lt;=500),VLOOKUP(AF1515,TPCalibEq500!$AZ$2:$BB$56,3,),IF(AND(I1515="TDP",S1515&lt;=500),VLOOKUP(AF1515,TPCalibEq500!$AZ$2:$BB$56,3,)))</f>
        <v>0</v>
      </c>
      <c r="AT1515" s="10" t="b">
        <f>IF(AND(I1515="TN",S1515&lt;=2800),VLOOKUP(AF1515,TNCalibEq2500!$AZ$2:$BB$56,3,),IF(AND(I1515="TDN",S1515&lt;=2800),VLOOKUP(AF1515,TNCalibEq2500!$AZ$2:$BB$56,3,)))</f>
        <v>0</v>
      </c>
      <c r="AU1515" s="10" t="b">
        <f>IF(I1515="TP",VLOOKUP(AF1515,TPCalibEqFull!$AZ$2:$BB$56,3),IF(I1515="TDP",VLOOKUP(AF1515,TPCalibEqFull!$AZ$2:$BB$56,3),IF(I1515="TDN",VLOOKUP(AF1515,TNCalibEqFull!$AZ$1:$BB$56,3),IF(I1515="TN",VLOOKUP(AF1515,TNCalibEqFull!$AZ$1:$BB$56,3),FALSE))))</f>
        <v>0</v>
      </c>
      <c r="AV1515" s="10" t="str">
        <f t="shared" si="171"/>
        <v>0130 08:06:00-HST-0-FIL-1-SW-UKN</v>
      </c>
    </row>
    <row r="1516" spans="1:48" s="10" customFormat="1" x14ac:dyDescent="0.55000000000000004">
      <c r="A1516" s="32">
        <v>44957</v>
      </c>
      <c r="B1516" s="33">
        <v>0.41250000000000003</v>
      </c>
      <c r="C1516" s="10" t="s">
        <v>279</v>
      </c>
      <c r="D1516" s="10">
        <v>0</v>
      </c>
      <c r="E1516" s="10" t="s">
        <v>911</v>
      </c>
      <c r="F1516" s="10">
        <v>1</v>
      </c>
      <c r="G1516" s="10" t="s">
        <v>231</v>
      </c>
      <c r="H1516" s="10" t="s">
        <v>322</v>
      </c>
      <c r="I1516" s="10" t="s">
        <v>167</v>
      </c>
      <c r="J1516" s="10">
        <v>53</v>
      </c>
      <c r="K1516" s="12">
        <v>44958</v>
      </c>
      <c r="L1516" s="33">
        <v>0.56133101851851852</v>
      </c>
      <c r="M1516" s="10">
        <v>1</v>
      </c>
      <c r="N1516" s="10" t="s">
        <v>211</v>
      </c>
      <c r="O1516" s="10">
        <v>0.71799999999999997</v>
      </c>
      <c r="P1516" s="10">
        <v>6.7900000000000002E-2</v>
      </c>
      <c r="Q1516" s="10">
        <v>123</v>
      </c>
      <c r="R1516" s="10" t="s">
        <v>913</v>
      </c>
      <c r="S1516" s="34">
        <f t="shared" si="168"/>
        <v>123</v>
      </c>
      <c r="T1516" s="10" t="s">
        <v>1111</v>
      </c>
      <c r="U1516" s="34" t="str">
        <f t="shared" si="169"/>
        <v/>
      </c>
      <c r="V1516" s="31" t="str">
        <f>IF(H1516="CHK",VLOOKUP(I1516,QCCHK,3,),IF(H1516="GUP",VLOOKUP(E1516,QCGUP,2,),IF(AND(H1516="ATP",OR(I1516="TN",I1516="TDN",I1516="TNO2-3",I1516="NO2-3")),VLOOKUP(E1516,QCREC_N,2,),IF(AND(H1516="NIC",OR(I1516="TN",I1516="TDN",I1516="TNO2-3",I1516="NO2-3")),VLOOKUP(E1516,QCNIC_N,2,),IF(AND(H1516="UREA",OR(I1516="TN",I1516="TDN",I1516="TNO2-3",I1516="NO2-3")),VLOOKUP(E1516,QCUREA_N,2,),IF(H1516="PER",VLOOKUP(I1516,QCPER,MATCH(E1516,QCACTUAL!$J$25:$AA$25,0),),IF(H1516="SPK",VLOOKUP(I1516,QCSPK,3,),IF(AND(H1516="ATP",OR(I1516="TP",I1516="TDP")),VLOOKUP(E1516,QCATP_P,2,),""))))))))</f>
        <v/>
      </c>
      <c r="W1516" s="31" t="str">
        <f t="shared" si="170"/>
        <v>TRUE</v>
      </c>
      <c r="X1516" s="31" t="str">
        <f t="shared" si="167"/>
        <v/>
      </c>
      <c r="Y1516" s="10" t="s">
        <v>1096</v>
      </c>
      <c r="AL1516" s="10" t="str">
        <f t="shared" si="172"/>
        <v>FALSE</v>
      </c>
      <c r="AM1516" s="10" t="str">
        <f t="shared" si="172"/>
        <v>FALSE</v>
      </c>
      <c r="AN1516" s="10" t="str">
        <f t="shared" si="172"/>
        <v>FALSE</v>
      </c>
      <c r="AO1516" s="10" t="str">
        <f t="shared" si="173"/>
        <v>FALSE</v>
      </c>
      <c r="AP1516" s="10" t="str">
        <f t="shared" si="173"/>
        <v>FALSE</v>
      </c>
      <c r="AQ1516" s="10" t="b">
        <f>IF(AND(I1516="TP",S1516&lt;=150),VLOOKUP(AF1516,TPCalibEq150!$AZ$2:$BB$55,3,),IF(AND(I1516="TDP",S1516&lt;=150),VLOOKUP(AF1516,TPCalibEq150!$AZ$2:$BB$55,3,)))</f>
        <v>0</v>
      </c>
      <c r="AR1516" s="10" t="b">
        <f>IF(AND(I1516="TP",S1516&lt;=300),VLOOKUP(AF1516,TPCalibEq300!$AZ$2:$BB$55,3,),IF(AND(I1516="TDP",S1516&lt;=300),VLOOKUP(AF1516,TPCalibEq300!$AZ$2:$BB$55,3,)))</f>
        <v>0</v>
      </c>
      <c r="AS1516" s="10" t="b">
        <f>IF(AND(I1516="TP",S1516&lt;=500),VLOOKUP(AF1516,TPCalibEq500!$AZ$2:$BB$56,3,),IF(AND(I1516="TDP",S1516&lt;=500),VLOOKUP(AF1516,TPCalibEq500!$AZ$2:$BB$56,3,)))</f>
        <v>0</v>
      </c>
      <c r="AT1516" s="10" t="b">
        <f>IF(AND(I1516="TN",S1516&lt;=2800),VLOOKUP(AF1516,TNCalibEq2500!$AZ$2:$BB$56,3,),IF(AND(I1516="TDN",S1516&lt;=2800),VLOOKUP(AF1516,TNCalibEq2500!$AZ$2:$BB$56,3,)))</f>
        <v>0</v>
      </c>
      <c r="AU1516" s="10" t="b">
        <f>IF(I1516="TP",VLOOKUP(AF1516,TPCalibEqFull!$AZ$2:$BB$56,3),IF(I1516="TDP",VLOOKUP(AF1516,TPCalibEqFull!$AZ$2:$BB$56,3),IF(I1516="TDN",VLOOKUP(AF1516,TNCalibEqFull!$AZ$1:$BB$56,3),IF(I1516="TN",VLOOKUP(AF1516,TNCalibEqFull!$AZ$1:$BB$56,3),FALSE))))</f>
        <v>0</v>
      </c>
      <c r="AV1516" s="10" t="str">
        <f t="shared" si="171"/>
        <v>0131 09:54:00-EFK-0-FIL-1-SW-UKN</v>
      </c>
    </row>
    <row r="1517" spans="1:48" s="10" customFormat="1" x14ac:dyDescent="0.55000000000000004">
      <c r="A1517" s="32">
        <v>44957</v>
      </c>
      <c r="B1517" s="33">
        <v>0.41597222222222219</v>
      </c>
      <c r="C1517" s="10" t="s">
        <v>333</v>
      </c>
      <c r="D1517" s="10">
        <v>0</v>
      </c>
      <c r="E1517" s="10" t="s">
        <v>911</v>
      </c>
      <c r="F1517" s="10">
        <v>1</v>
      </c>
      <c r="G1517" s="10" t="s">
        <v>231</v>
      </c>
      <c r="H1517" s="10" t="s">
        <v>322</v>
      </c>
      <c r="I1517" s="10" t="s">
        <v>167</v>
      </c>
      <c r="J1517" s="10">
        <v>54</v>
      </c>
      <c r="K1517" s="12">
        <v>44958</v>
      </c>
      <c r="L1517" s="33">
        <v>0.56215277777777783</v>
      </c>
      <c r="M1517" s="10">
        <v>1</v>
      </c>
      <c r="N1517" s="10" t="s">
        <v>211</v>
      </c>
      <c r="O1517" s="10">
        <v>0.44900000000000001</v>
      </c>
      <c r="P1517" s="10">
        <v>4.1599999999999998E-2</v>
      </c>
      <c r="Q1517" s="10">
        <v>76.8</v>
      </c>
      <c r="R1517" s="10" t="s">
        <v>913</v>
      </c>
      <c r="S1517" s="34">
        <f t="shared" si="168"/>
        <v>76.8</v>
      </c>
      <c r="T1517" s="10" t="s">
        <v>1111</v>
      </c>
      <c r="U1517" s="34" t="str">
        <f t="shared" si="169"/>
        <v/>
      </c>
      <c r="V1517" s="31" t="str">
        <f>IF(H1517="CHK",VLOOKUP(I1517,QCCHK,3,),IF(H1517="GUP",VLOOKUP(E1517,QCGUP,2,),IF(AND(H1517="ATP",OR(I1517="TN",I1517="TDN",I1517="TNO2-3",I1517="NO2-3")),VLOOKUP(E1517,QCREC_N,2,),IF(AND(H1517="NIC",OR(I1517="TN",I1517="TDN",I1517="TNO2-3",I1517="NO2-3")),VLOOKUP(E1517,QCNIC_N,2,),IF(AND(H1517="UREA",OR(I1517="TN",I1517="TDN",I1517="TNO2-3",I1517="NO2-3")),VLOOKUP(E1517,QCUREA_N,2,),IF(H1517="PER",VLOOKUP(I1517,QCPER,MATCH(E1517,QCACTUAL!$J$25:$AA$25,0),),IF(H1517="SPK",VLOOKUP(I1517,QCSPK,3,),IF(AND(H1517="ATP",OR(I1517="TP",I1517="TDP")),VLOOKUP(E1517,QCATP_P,2,),""))))))))</f>
        <v/>
      </c>
      <c r="W1517" s="31" t="str">
        <f t="shared" si="170"/>
        <v>TRUE</v>
      </c>
      <c r="X1517" s="31" t="str">
        <f t="shared" si="167"/>
        <v/>
      </c>
      <c r="Y1517" s="10" t="s">
        <v>1096</v>
      </c>
      <c r="AL1517" s="10" t="str">
        <f t="shared" si="172"/>
        <v>FALSE</v>
      </c>
      <c r="AM1517" s="10" t="str">
        <f t="shared" si="172"/>
        <v>FALSE</v>
      </c>
      <c r="AN1517" s="10" t="str">
        <f t="shared" si="172"/>
        <v>FALSE</v>
      </c>
      <c r="AO1517" s="10" t="str">
        <f t="shared" si="173"/>
        <v>FALSE</v>
      </c>
      <c r="AP1517" s="10" t="str">
        <f t="shared" si="173"/>
        <v>FALSE</v>
      </c>
      <c r="AQ1517" s="10" t="b">
        <f>IF(AND(I1517="TP",S1517&lt;=150),VLOOKUP(AF1517,TPCalibEq150!$AZ$2:$BB$55,3,),IF(AND(I1517="TDP",S1517&lt;=150),VLOOKUP(AF1517,TPCalibEq150!$AZ$2:$BB$55,3,)))</f>
        <v>0</v>
      </c>
      <c r="AR1517" s="10" t="b">
        <f>IF(AND(I1517="TP",S1517&lt;=300),VLOOKUP(AF1517,TPCalibEq300!$AZ$2:$BB$55,3,),IF(AND(I1517="TDP",S1517&lt;=300),VLOOKUP(AF1517,TPCalibEq300!$AZ$2:$BB$55,3,)))</f>
        <v>0</v>
      </c>
      <c r="AS1517" s="10" t="b">
        <f>IF(AND(I1517="TP",S1517&lt;=500),VLOOKUP(AF1517,TPCalibEq500!$AZ$2:$BB$56,3,),IF(AND(I1517="TDP",S1517&lt;=500),VLOOKUP(AF1517,TPCalibEq500!$AZ$2:$BB$56,3,)))</f>
        <v>0</v>
      </c>
      <c r="AT1517" s="10" t="b">
        <f>IF(AND(I1517="TN",S1517&lt;=2800),VLOOKUP(AF1517,TNCalibEq2500!$AZ$2:$BB$56,3,),IF(AND(I1517="TDN",S1517&lt;=2800),VLOOKUP(AF1517,TNCalibEq2500!$AZ$2:$BB$56,3,)))</f>
        <v>0</v>
      </c>
      <c r="AU1517" s="10" t="b">
        <f>IF(I1517="TP",VLOOKUP(AF1517,TPCalibEqFull!$AZ$2:$BB$56,3),IF(I1517="TDP",VLOOKUP(AF1517,TPCalibEqFull!$AZ$2:$BB$56,3),IF(I1517="TDN",VLOOKUP(AF1517,TNCalibEqFull!$AZ$1:$BB$56,3),IF(I1517="TN",VLOOKUP(AF1517,TNCalibEqFull!$AZ$1:$BB$56,3),FALSE))))</f>
        <v>0</v>
      </c>
      <c r="AV1517" s="10" t="str">
        <f t="shared" si="171"/>
        <v>0131 09:59:00-HST-0-FIL-1-SW-UKN</v>
      </c>
    </row>
    <row r="1518" spans="1:48" s="10" customFormat="1" x14ac:dyDescent="0.55000000000000004">
      <c r="A1518" s="32">
        <v>44957</v>
      </c>
      <c r="B1518" s="33">
        <v>0.41597222222222219</v>
      </c>
      <c r="C1518" s="10" t="s">
        <v>333</v>
      </c>
      <c r="D1518" s="10">
        <v>0</v>
      </c>
      <c r="E1518" s="10" t="s">
        <v>911</v>
      </c>
      <c r="F1518" s="10">
        <v>1</v>
      </c>
      <c r="G1518" s="10" t="s">
        <v>231</v>
      </c>
      <c r="H1518" s="10" t="s">
        <v>233</v>
      </c>
      <c r="I1518" s="10" t="s">
        <v>167</v>
      </c>
      <c r="J1518" s="10">
        <v>54</v>
      </c>
      <c r="K1518" s="12">
        <v>44958</v>
      </c>
      <c r="L1518" s="33">
        <v>0.562962962962963</v>
      </c>
      <c r="M1518" s="10">
        <v>1</v>
      </c>
      <c r="N1518" s="10" t="s">
        <v>211</v>
      </c>
      <c r="O1518" s="10">
        <v>0.44700000000000001</v>
      </c>
      <c r="P1518" s="10">
        <v>4.1399999999999999E-2</v>
      </c>
      <c r="Q1518" s="10">
        <v>76.400000000000006</v>
      </c>
      <c r="R1518" s="10" t="s">
        <v>913</v>
      </c>
      <c r="S1518" s="34">
        <f t="shared" si="168"/>
        <v>76.400000000000006</v>
      </c>
      <c r="T1518" s="10" t="s">
        <v>1111</v>
      </c>
      <c r="U1518" s="34">
        <f t="shared" si="169"/>
        <v>0.52219321148823961</v>
      </c>
      <c r="V1518" s="31" t="str">
        <f>IF(H1518="CHK",VLOOKUP(I1518,QCCHK,3,),IF(H1518="GUP",VLOOKUP(E1518,QCGUP,2,),IF(AND(H1518="ATP",OR(I1518="TN",I1518="TDN",I1518="TNO2-3",I1518="NO2-3")),VLOOKUP(E1518,QCREC_N,2,),IF(AND(H1518="NIC",OR(I1518="TN",I1518="TDN",I1518="TNO2-3",I1518="NO2-3")),VLOOKUP(E1518,QCNIC_N,2,),IF(AND(H1518="UREA",OR(I1518="TN",I1518="TDN",I1518="TNO2-3",I1518="NO2-3")),VLOOKUP(E1518,QCUREA_N,2,),IF(H1518="PER",VLOOKUP(I1518,QCPER,MATCH(E1518,QCACTUAL!$J$25:$AA$25,0),),IF(H1518="SPK",VLOOKUP(I1518,QCSPK,3,),IF(AND(H1518="ATP",OR(I1518="TP",I1518="TDP")),VLOOKUP(E1518,QCATP_P,2,),""))))))))</f>
        <v/>
      </c>
      <c r="W1518" s="31" t="str">
        <f t="shared" si="170"/>
        <v>TRUE</v>
      </c>
      <c r="X1518" s="31" t="str">
        <f t="shared" si="167"/>
        <v>((ABS(rep1-rep2))/((rep1+rep2)/2)*100</v>
      </c>
      <c r="Y1518" s="10" t="s">
        <v>1096</v>
      </c>
      <c r="AL1518" s="10" t="str">
        <f t="shared" si="172"/>
        <v>FALSE</v>
      </c>
      <c r="AM1518" s="10" t="str">
        <f t="shared" si="172"/>
        <v>FALSE</v>
      </c>
      <c r="AN1518" s="10" t="str">
        <f t="shared" si="172"/>
        <v>FALSE</v>
      </c>
      <c r="AO1518" s="10" t="str">
        <f t="shared" si="173"/>
        <v>FALSE</v>
      </c>
      <c r="AP1518" s="10" t="str">
        <f t="shared" si="173"/>
        <v>FALSE</v>
      </c>
      <c r="AQ1518" s="10" t="b">
        <f>IF(AND(I1518="TP",S1518&lt;=150),VLOOKUP(AF1518,TPCalibEq150!$AZ$2:$BB$55,3,),IF(AND(I1518="TDP",S1518&lt;=150),VLOOKUP(AF1518,TPCalibEq150!$AZ$2:$BB$55,3,)))</f>
        <v>0</v>
      </c>
      <c r="AR1518" s="10" t="b">
        <f>IF(AND(I1518="TP",S1518&lt;=300),VLOOKUP(AF1518,TPCalibEq300!$AZ$2:$BB$55,3,),IF(AND(I1518="TDP",S1518&lt;=300),VLOOKUP(AF1518,TPCalibEq300!$AZ$2:$BB$55,3,)))</f>
        <v>0</v>
      </c>
      <c r="AS1518" s="10" t="b">
        <f>IF(AND(I1518="TP",S1518&lt;=500),VLOOKUP(AF1518,TPCalibEq500!$AZ$2:$BB$56,3,),IF(AND(I1518="TDP",S1518&lt;=500),VLOOKUP(AF1518,TPCalibEq500!$AZ$2:$BB$56,3,)))</f>
        <v>0</v>
      </c>
      <c r="AT1518" s="10" t="b">
        <f>IF(AND(I1518="TN",S1518&lt;=2800),VLOOKUP(AF1518,TNCalibEq2500!$AZ$2:$BB$56,3,),IF(AND(I1518="TDN",S1518&lt;=2800),VLOOKUP(AF1518,TNCalibEq2500!$AZ$2:$BB$56,3,)))</f>
        <v>0</v>
      </c>
      <c r="AU1518" s="10" t="b">
        <f>IF(I1518="TP",VLOOKUP(AF1518,TPCalibEqFull!$AZ$2:$BB$56,3),IF(I1518="TDP",VLOOKUP(AF1518,TPCalibEqFull!$AZ$2:$BB$56,3),IF(I1518="TDN",VLOOKUP(AF1518,TNCalibEqFull!$AZ$1:$BB$56,3),IF(I1518="TN",VLOOKUP(AF1518,TNCalibEqFull!$AZ$1:$BB$56,3),FALSE))))</f>
        <v>0</v>
      </c>
      <c r="AV1518" s="10" t="str">
        <f t="shared" si="171"/>
        <v>0131 09:59:00-HST-0-FIL-1-SW-DUP</v>
      </c>
    </row>
    <row r="1519" spans="1:48" s="10" customFormat="1" x14ac:dyDescent="0.55000000000000004">
      <c r="A1519" s="32">
        <v>44957</v>
      </c>
      <c r="B1519" s="33">
        <v>0.41597222222222219</v>
      </c>
      <c r="C1519" s="10" t="s">
        <v>912</v>
      </c>
      <c r="D1519" s="10">
        <v>0</v>
      </c>
      <c r="E1519" s="10" t="s">
        <v>911</v>
      </c>
      <c r="F1519" s="10">
        <v>1</v>
      </c>
      <c r="G1519" s="10" t="s">
        <v>231</v>
      </c>
      <c r="H1519" s="10" t="s">
        <v>314</v>
      </c>
      <c r="I1519" s="10" t="s">
        <v>167</v>
      </c>
      <c r="J1519" s="10">
        <v>87</v>
      </c>
      <c r="K1519" s="12">
        <v>44958</v>
      </c>
      <c r="L1519" s="33">
        <v>0.56377314814814816</v>
      </c>
      <c r="M1519" s="10">
        <v>1</v>
      </c>
      <c r="N1519" s="10" t="s">
        <v>211</v>
      </c>
      <c r="O1519" s="10">
        <v>1.39</v>
      </c>
      <c r="P1519" s="10">
        <v>0.13300000000000001</v>
      </c>
      <c r="Q1519" s="10">
        <v>238</v>
      </c>
      <c r="R1519" s="10" t="s">
        <v>913</v>
      </c>
      <c r="S1519" s="34">
        <f t="shared" si="168"/>
        <v>238</v>
      </c>
      <c r="T1519" s="10" t="s">
        <v>1111</v>
      </c>
      <c r="U1519" s="34">
        <f t="shared" si="169"/>
        <v>103.42400000000001</v>
      </c>
      <c r="V1519" s="31">
        <f>IF(H1519="CHK",VLOOKUP(I1519,QCCHK,3,),IF(H1519="GUP",VLOOKUP(E1519,QCGUP,2,),IF(AND(H1519="ATP",OR(I1519="TN",I1519="TDN",I1519="TNO2-3",I1519="NO2-3")),VLOOKUP(E1519,QCREC_N,2,),IF(AND(H1519="NIC",OR(I1519="TN",I1519="TDN",I1519="TNO2-3",I1519="NO2-3")),VLOOKUP(E1519,QCNIC_N,2,),IF(AND(H1519="UREA",OR(I1519="TN",I1519="TDN",I1519="TNO2-3",I1519="NO2-3")),VLOOKUP(E1519,QCUREA_N,2,),IF(H1519="PER",VLOOKUP(I1519,QCPER,MATCH(E1519,QCACTUAL!$J$25:$AA$25,0),),IF(H1519="SPK",VLOOKUP(I1519,QCSPK,3,),IF(AND(H1519="ATP",OR(I1519="TP",I1519="TDP")),VLOOKUP(E1519,QCATP_P,2,),""))))))))</f>
        <v>156.25</v>
      </c>
      <c r="W1519" s="31" t="str">
        <f t="shared" si="170"/>
        <v>TRUE</v>
      </c>
      <c r="X1519" s="31" t="str">
        <f t="shared" si="167"/>
        <v>([spikedunkn]-[unkn])/[spike]*100</v>
      </c>
      <c r="Y1519" s="10" t="s">
        <v>1096</v>
      </c>
      <c r="AL1519" s="10" t="str">
        <f t="shared" si="172"/>
        <v>FALSE</v>
      </c>
      <c r="AM1519" s="10" t="str">
        <f t="shared" si="172"/>
        <v>FALSE</v>
      </c>
      <c r="AN1519" s="10" t="str">
        <f t="shared" si="172"/>
        <v>FALSE</v>
      </c>
      <c r="AO1519" s="10" t="str">
        <f t="shared" si="173"/>
        <v>FALSE</v>
      </c>
      <c r="AP1519" s="10" t="str">
        <f t="shared" si="173"/>
        <v>FALSE</v>
      </c>
      <c r="AQ1519" s="10" t="b">
        <f>IF(AND(I1519="TP",S1519&lt;=150),VLOOKUP(AF1519,TPCalibEq150!$AZ$2:$BB$55,3,),IF(AND(I1519="TDP",S1519&lt;=150),VLOOKUP(AF1519,TPCalibEq150!$AZ$2:$BB$55,3,)))</f>
        <v>0</v>
      </c>
      <c r="AR1519" s="10" t="b">
        <f>IF(AND(I1519="TP",S1519&lt;=300),VLOOKUP(AF1519,TPCalibEq300!$AZ$2:$BB$55,3,),IF(AND(I1519="TDP",S1519&lt;=300),VLOOKUP(AF1519,TPCalibEq300!$AZ$2:$BB$55,3,)))</f>
        <v>0</v>
      </c>
      <c r="AS1519" s="10" t="b">
        <f>IF(AND(I1519="TP",S1519&lt;=500),VLOOKUP(AF1519,TPCalibEq500!$AZ$2:$BB$56,3,),IF(AND(I1519="TDP",S1519&lt;=500),VLOOKUP(AF1519,TPCalibEq500!$AZ$2:$BB$56,3,)))</f>
        <v>0</v>
      </c>
      <c r="AT1519" s="10" t="b">
        <f>IF(AND(I1519="TN",S1519&lt;=2800),VLOOKUP(AF1519,TNCalibEq2500!$AZ$2:$BB$56,3,),IF(AND(I1519="TDN",S1519&lt;=2800),VLOOKUP(AF1519,TNCalibEq2500!$AZ$2:$BB$56,3,)))</f>
        <v>0</v>
      </c>
      <c r="AU1519" s="10" t="b">
        <f>IF(I1519="TP",VLOOKUP(AF1519,TPCalibEqFull!$AZ$2:$BB$56,3),IF(I1519="TDP",VLOOKUP(AF1519,TPCalibEqFull!$AZ$2:$BB$56,3),IF(I1519="TDN",VLOOKUP(AF1519,TNCalibEqFull!$AZ$1:$BB$56,3),IF(I1519="TN",VLOOKUP(AF1519,TNCalibEqFull!$AZ$1:$BB$56,3),FALSE))))</f>
        <v>0</v>
      </c>
      <c r="AV1519" s="10" t="str">
        <f t="shared" si="171"/>
        <v>0131 09:59:00-HST -0-FIL-1-SW-SPK</v>
      </c>
    </row>
    <row r="1520" spans="1:48" s="10" customFormat="1" x14ac:dyDescent="0.55000000000000004">
      <c r="A1520" s="32">
        <v>44958</v>
      </c>
      <c r="B1520" s="33">
        <v>0.375</v>
      </c>
      <c r="C1520" s="10" t="s">
        <v>70</v>
      </c>
      <c r="D1520" s="10" t="s">
        <v>71</v>
      </c>
      <c r="E1520" s="10" t="s">
        <v>901</v>
      </c>
      <c r="F1520" s="10">
        <v>1</v>
      </c>
      <c r="G1520" s="10" t="s">
        <v>73</v>
      </c>
      <c r="H1520" s="10" t="s">
        <v>207</v>
      </c>
      <c r="I1520" s="10" t="s">
        <v>285</v>
      </c>
      <c r="J1520" s="10">
        <v>201</v>
      </c>
      <c r="K1520" s="12">
        <v>44958</v>
      </c>
      <c r="L1520" s="33">
        <v>0.56459490740740736</v>
      </c>
      <c r="M1520" s="10">
        <v>1</v>
      </c>
      <c r="N1520" s="10" t="s">
        <v>211</v>
      </c>
      <c r="O1520" s="10">
        <v>0.44700000000000001</v>
      </c>
      <c r="P1520" s="10">
        <v>4.1799999999999997E-2</v>
      </c>
      <c r="Q1520" s="10">
        <v>76.400000000000006</v>
      </c>
      <c r="R1520" s="10" t="s">
        <v>913</v>
      </c>
      <c r="S1520" s="34">
        <f t="shared" si="168"/>
        <v>76.400000000000006</v>
      </c>
      <c r="T1520" s="10" t="s">
        <v>1111</v>
      </c>
      <c r="U1520" s="34">
        <f t="shared" si="169"/>
        <v>101.86666666666669</v>
      </c>
      <c r="V1520" s="31">
        <f>IF(H1520="CHK",VLOOKUP(I1520,QCCHK,3,),IF(H1520="GUP",VLOOKUP(E1520,QCGUP,2,),IF(AND(H1520="ATP",OR(I1520="TN",I1520="TDN",I1520="TNO2-3",I1520="NO2-3")),VLOOKUP(E1520,QCREC_N,2,),IF(AND(H1520="NIC",OR(I1520="TN",I1520="TDN",I1520="TNO2-3",I1520="NO2-3")),VLOOKUP(E1520,QCNIC_N,2,),IF(AND(H1520="UREA",OR(I1520="TN",I1520="TDN",I1520="TNO2-3",I1520="NO2-3")),VLOOKUP(E1520,QCUREA_N,2,),IF(H1520="PER",VLOOKUP(I1520,QCPER,MATCH(E1520,QCACTUAL!$J$25:$AA$25,0),),IF(H1520="SPK",VLOOKUP(I1520,QCSPK,3,),IF(AND(H1520="ATP",OR(I1520="TP",I1520="TDP")),VLOOKUP(E1520,QCATP_P,2,),""))))))))</f>
        <v>75</v>
      </c>
      <c r="W1520" s="31" t="str">
        <f t="shared" si="170"/>
        <v>TRUE</v>
      </c>
      <c r="X1520" s="31" t="str">
        <f t="shared" si="167"/>
        <v>[chk]/[actual]*100</v>
      </c>
      <c r="Y1520" s="10" t="s">
        <v>1096</v>
      </c>
      <c r="AL1520" s="10" t="str">
        <f t="shared" si="172"/>
        <v>FALSE</v>
      </c>
      <c r="AM1520" s="10" t="str">
        <f t="shared" si="172"/>
        <v>FALSE</v>
      </c>
      <c r="AN1520" s="10" t="str">
        <f t="shared" si="172"/>
        <v>FALSE</v>
      </c>
      <c r="AO1520" s="10" t="str">
        <f t="shared" si="173"/>
        <v>FALSE</v>
      </c>
      <c r="AP1520" s="10" t="str">
        <f t="shared" si="173"/>
        <v>FALSE</v>
      </c>
      <c r="AQ1520" s="10" t="b">
        <f>IF(AND(I1520="TP",S1520&lt;=150),VLOOKUP(AF1520,TPCalibEq150!$AZ$2:$BB$55,3,),IF(AND(I1520="TDP",S1520&lt;=150),VLOOKUP(AF1520,TPCalibEq150!$AZ$2:$BB$55,3,)))</f>
        <v>0</v>
      </c>
      <c r="AR1520" s="10" t="b">
        <f>IF(AND(I1520="TP",S1520&lt;=300),VLOOKUP(AF1520,TPCalibEq300!$AZ$2:$BB$55,3,),IF(AND(I1520="TDP",S1520&lt;=300),VLOOKUP(AF1520,TPCalibEq300!$AZ$2:$BB$55,3,)))</f>
        <v>0</v>
      </c>
      <c r="AS1520" s="10" t="b">
        <f>IF(AND(I1520="TP",S1520&lt;=500),VLOOKUP(AF1520,TPCalibEq500!$AZ$2:$BB$56,3,),IF(AND(I1520="TDP",S1520&lt;=500),VLOOKUP(AF1520,TPCalibEq500!$AZ$2:$BB$56,3,)))</f>
        <v>0</v>
      </c>
      <c r="AT1520" s="10" t="b">
        <f>IF(AND(I1520="TN",S1520&lt;=2800),VLOOKUP(AF1520,TNCalibEq2500!$AZ$2:$BB$56,3,),IF(AND(I1520="TDN",S1520&lt;=2800),VLOOKUP(AF1520,TNCalibEq2500!$AZ$2:$BB$56,3,)))</f>
        <v>0</v>
      </c>
      <c r="AU1520" s="10" t="b">
        <f>IF(I1520="TP",VLOOKUP(AF1520,TPCalibEqFull!$AZ$2:$BB$56,3),IF(I1520="TDP",VLOOKUP(AF1520,TPCalibEqFull!$AZ$2:$BB$56,3),IF(I1520="TDN",VLOOKUP(AF1520,TNCalibEqFull!$AZ$1:$BB$56,3),IF(I1520="TN",VLOOKUP(AF1520,TNCalibEqFull!$AZ$1:$BB$56,3),FALSE))))</f>
        <v>0</v>
      </c>
      <c r="AV1520" s="10" t="str">
        <f t="shared" si="171"/>
        <v>0201 09:00:00-QAC-STD-D-1-DI-CHK</v>
      </c>
    </row>
    <row r="1521" spans="1:48" s="10" customFormat="1" x14ac:dyDescent="0.55000000000000004">
      <c r="A1521" s="32">
        <v>44949</v>
      </c>
      <c r="B1521" s="33">
        <v>0.34375</v>
      </c>
      <c r="C1521" s="10" t="s">
        <v>998</v>
      </c>
      <c r="D1521" s="10">
        <v>0</v>
      </c>
      <c r="E1521" s="10" t="s">
        <v>911</v>
      </c>
      <c r="F1521" s="10">
        <v>1</v>
      </c>
      <c r="G1521" s="10" t="s">
        <v>231</v>
      </c>
      <c r="H1521" s="10" t="s">
        <v>322</v>
      </c>
      <c r="I1521" s="10" t="s">
        <v>167</v>
      </c>
      <c r="J1521" s="10">
        <v>55</v>
      </c>
      <c r="K1521" s="12">
        <v>44958</v>
      </c>
      <c r="L1521" s="33">
        <v>0.56540509259259253</v>
      </c>
      <c r="M1521" s="10">
        <v>1</v>
      </c>
      <c r="N1521" s="10" t="s">
        <v>211</v>
      </c>
      <c r="O1521" s="10">
        <v>1.1100000000000001</v>
      </c>
      <c r="P1521" s="10">
        <v>0.105</v>
      </c>
      <c r="Q1521" s="10">
        <v>190</v>
      </c>
      <c r="R1521" s="10" t="s">
        <v>913</v>
      </c>
      <c r="S1521" s="34">
        <f t="shared" si="168"/>
        <v>190</v>
      </c>
      <c r="T1521" s="10" t="s">
        <v>1111</v>
      </c>
      <c r="U1521" s="34" t="str">
        <f t="shared" si="169"/>
        <v/>
      </c>
      <c r="V1521" s="31" t="str">
        <f>IF(H1521="CHK",VLOOKUP(I1521,QCCHK,3,),IF(H1521="GUP",VLOOKUP(E1521,QCGUP,2,),IF(AND(H1521="ATP",OR(I1521="TN",I1521="TDN",I1521="TNO2-3",I1521="NO2-3")),VLOOKUP(E1521,QCREC_N,2,),IF(AND(H1521="NIC",OR(I1521="TN",I1521="TDN",I1521="TNO2-3",I1521="NO2-3")),VLOOKUP(E1521,QCNIC_N,2,),IF(AND(H1521="UREA",OR(I1521="TN",I1521="TDN",I1521="TNO2-3",I1521="NO2-3")),VLOOKUP(E1521,QCUREA_N,2,),IF(H1521="PER",VLOOKUP(I1521,QCPER,MATCH(E1521,QCACTUAL!$J$25:$AA$25,0),),IF(H1521="SPK",VLOOKUP(I1521,QCSPK,3,),IF(AND(H1521="ATP",OR(I1521="TP",I1521="TDP")),VLOOKUP(E1521,QCATP_P,2,),""))))))))</f>
        <v/>
      </c>
      <c r="W1521" s="31" t="str">
        <f t="shared" si="170"/>
        <v>TRUE</v>
      </c>
      <c r="X1521" s="31" t="str">
        <f t="shared" si="167"/>
        <v/>
      </c>
      <c r="Y1521" s="10" t="s">
        <v>1096</v>
      </c>
      <c r="Z1521" s="10" t="s">
        <v>910</v>
      </c>
      <c r="AL1521" s="10" t="str">
        <f t="shared" si="172"/>
        <v>FALSE</v>
      </c>
      <c r="AM1521" s="10" t="str">
        <f t="shared" si="172"/>
        <v>FALSE</v>
      </c>
      <c r="AN1521" s="10" t="str">
        <f t="shared" si="172"/>
        <v>FALSE</v>
      </c>
      <c r="AO1521" s="10" t="str">
        <f t="shared" si="173"/>
        <v>FALSE</v>
      </c>
      <c r="AP1521" s="10" t="str">
        <f t="shared" si="173"/>
        <v>FALSE</v>
      </c>
      <c r="AQ1521" s="10" t="b">
        <f>IF(AND(I1521="TP",S1521&lt;=150),VLOOKUP(AF1521,TPCalibEq150!$AZ$2:$BB$55,3,),IF(AND(I1521="TDP",S1521&lt;=150),VLOOKUP(AF1521,TPCalibEq150!$AZ$2:$BB$55,3,)))</f>
        <v>0</v>
      </c>
      <c r="AR1521" s="10" t="b">
        <f>IF(AND(I1521="TP",S1521&lt;=300),VLOOKUP(AF1521,TPCalibEq300!$AZ$2:$BB$55,3,),IF(AND(I1521="TDP",S1521&lt;=300),VLOOKUP(AF1521,TPCalibEq300!$AZ$2:$BB$55,3,)))</f>
        <v>0</v>
      </c>
      <c r="AS1521" s="10" t="b">
        <f>IF(AND(I1521="TP",S1521&lt;=500),VLOOKUP(AF1521,TPCalibEq500!$AZ$2:$BB$56,3,),IF(AND(I1521="TDP",S1521&lt;=500),VLOOKUP(AF1521,TPCalibEq500!$AZ$2:$BB$56,3,)))</f>
        <v>0</v>
      </c>
      <c r="AT1521" s="10" t="b">
        <f>IF(AND(I1521="TN",S1521&lt;=2800),VLOOKUP(AF1521,TNCalibEq2500!$AZ$2:$BB$56,3,),IF(AND(I1521="TDN",S1521&lt;=2800),VLOOKUP(AF1521,TNCalibEq2500!$AZ$2:$BB$56,3,)))</f>
        <v>0</v>
      </c>
      <c r="AU1521" s="10" t="b">
        <f>IF(I1521="TP",VLOOKUP(AF1521,TPCalibEqFull!$AZ$2:$BB$56,3),IF(I1521="TDP",VLOOKUP(AF1521,TPCalibEqFull!$AZ$2:$BB$56,3),IF(I1521="TDN",VLOOKUP(AF1521,TNCalibEqFull!$AZ$1:$BB$56,3),IF(I1521="TN",VLOOKUP(AF1521,TNCalibEqFull!$AZ$1:$BB$56,3),FALSE))))</f>
        <v>0</v>
      </c>
      <c r="AV1521" s="10" t="str">
        <f t="shared" si="171"/>
        <v>0123 08:15:00-ELW-0-FIL-1-SW-UKN</v>
      </c>
    </row>
    <row r="1522" spans="1:48" s="10" customFormat="1" x14ac:dyDescent="0.55000000000000004">
      <c r="A1522" s="32">
        <v>44949</v>
      </c>
      <c r="B1522" s="33">
        <v>0.37777777777777777</v>
      </c>
      <c r="C1522" s="10" t="s">
        <v>270</v>
      </c>
      <c r="D1522" s="10">
        <v>0</v>
      </c>
      <c r="E1522" s="10" t="s">
        <v>911</v>
      </c>
      <c r="F1522" s="10">
        <v>1</v>
      </c>
      <c r="G1522" s="10" t="s">
        <v>231</v>
      </c>
      <c r="H1522" s="10" t="s">
        <v>322</v>
      </c>
      <c r="I1522" s="10" t="s">
        <v>167</v>
      </c>
      <c r="J1522" s="10">
        <v>56</v>
      </c>
      <c r="K1522" s="12">
        <v>44958</v>
      </c>
      <c r="L1522" s="33">
        <v>0.5662152777777778</v>
      </c>
      <c r="M1522" s="10">
        <v>1</v>
      </c>
      <c r="N1522" s="10" t="s">
        <v>211</v>
      </c>
      <c r="O1522" s="10">
        <v>0.41299999999999998</v>
      </c>
      <c r="P1522" s="10">
        <v>3.85E-2</v>
      </c>
      <c r="Q1522" s="10">
        <v>70.5</v>
      </c>
      <c r="R1522" s="10" t="s">
        <v>913</v>
      </c>
      <c r="S1522" s="34">
        <f t="shared" si="168"/>
        <v>70.5</v>
      </c>
      <c r="T1522" s="10" t="s">
        <v>1111</v>
      </c>
      <c r="U1522" s="34" t="str">
        <f t="shared" si="169"/>
        <v/>
      </c>
      <c r="V1522" s="31" t="str">
        <f>IF(H1522="CHK",VLOOKUP(I1522,QCCHK,3,),IF(H1522="GUP",VLOOKUP(E1522,QCGUP,2,),IF(AND(H1522="ATP",OR(I1522="TN",I1522="TDN",I1522="TNO2-3",I1522="NO2-3")),VLOOKUP(E1522,QCREC_N,2,),IF(AND(H1522="NIC",OR(I1522="TN",I1522="TDN",I1522="TNO2-3",I1522="NO2-3")),VLOOKUP(E1522,QCNIC_N,2,),IF(AND(H1522="UREA",OR(I1522="TN",I1522="TDN",I1522="TNO2-3",I1522="NO2-3")),VLOOKUP(E1522,QCUREA_N,2,),IF(H1522="PER",VLOOKUP(I1522,QCPER,MATCH(E1522,QCACTUAL!$J$25:$AA$25,0),),IF(H1522="SPK",VLOOKUP(I1522,QCSPK,3,),IF(AND(H1522="ATP",OR(I1522="TP",I1522="TDP")),VLOOKUP(E1522,QCATP_P,2,),""))))))))</f>
        <v/>
      </c>
      <c r="W1522" s="31" t="str">
        <f t="shared" si="170"/>
        <v>TRUE</v>
      </c>
      <c r="X1522" s="31" t="str">
        <f t="shared" si="167"/>
        <v/>
      </c>
      <c r="Y1522" s="10" t="s">
        <v>1096</v>
      </c>
      <c r="Z1522" s="10" t="s">
        <v>910</v>
      </c>
      <c r="AL1522" s="10" t="str">
        <f t="shared" si="172"/>
        <v>FALSE</v>
      </c>
      <c r="AM1522" s="10" t="str">
        <f t="shared" si="172"/>
        <v>FALSE</v>
      </c>
      <c r="AN1522" s="10" t="str">
        <f t="shared" si="172"/>
        <v>FALSE</v>
      </c>
      <c r="AO1522" s="10" t="str">
        <f t="shared" si="173"/>
        <v>FALSE</v>
      </c>
      <c r="AP1522" s="10" t="str">
        <f t="shared" si="173"/>
        <v>FALSE</v>
      </c>
      <c r="AQ1522" s="10" t="b">
        <f>IF(AND(I1522="TP",S1522&lt;=150),VLOOKUP(AF1522,TPCalibEq150!$AZ$2:$BB$55,3,),IF(AND(I1522="TDP",S1522&lt;=150),VLOOKUP(AF1522,TPCalibEq150!$AZ$2:$BB$55,3,)))</f>
        <v>0</v>
      </c>
      <c r="AR1522" s="10" t="b">
        <f>IF(AND(I1522="TP",S1522&lt;=300),VLOOKUP(AF1522,TPCalibEq300!$AZ$2:$BB$55,3,),IF(AND(I1522="TDP",S1522&lt;=300),VLOOKUP(AF1522,TPCalibEq300!$AZ$2:$BB$55,3,)))</f>
        <v>0</v>
      </c>
      <c r="AS1522" s="10" t="b">
        <f>IF(AND(I1522="TP",S1522&lt;=500),VLOOKUP(AF1522,TPCalibEq500!$AZ$2:$BB$56,3,),IF(AND(I1522="TDP",S1522&lt;=500),VLOOKUP(AF1522,TPCalibEq500!$AZ$2:$BB$56,3,)))</f>
        <v>0</v>
      </c>
      <c r="AT1522" s="10" t="b">
        <f>IF(AND(I1522="TN",S1522&lt;=2800),VLOOKUP(AF1522,TNCalibEq2500!$AZ$2:$BB$56,3,),IF(AND(I1522="TDN",S1522&lt;=2800),VLOOKUP(AF1522,TNCalibEq2500!$AZ$2:$BB$56,3,)))</f>
        <v>0</v>
      </c>
      <c r="AU1522" s="10" t="b">
        <f>IF(I1522="TP",VLOOKUP(AF1522,TPCalibEqFull!$AZ$2:$BB$56,3),IF(I1522="TDP",VLOOKUP(AF1522,TPCalibEqFull!$AZ$2:$BB$56,3),IF(I1522="TDN",VLOOKUP(AF1522,TNCalibEqFull!$AZ$1:$BB$56,3),IF(I1522="TN",VLOOKUP(AF1522,TNCalibEqFull!$AZ$1:$BB$56,3),FALSE))))</f>
        <v>0</v>
      </c>
      <c r="AV1522" s="10" t="str">
        <f t="shared" si="171"/>
        <v>0123 09:04:00-EFG-0-FIL-1-SW-UKN</v>
      </c>
    </row>
    <row r="1523" spans="1:48" s="10" customFormat="1" x14ac:dyDescent="0.55000000000000004">
      <c r="A1523" s="32">
        <v>44949</v>
      </c>
      <c r="B1523" s="33">
        <v>0.39027777777777778</v>
      </c>
      <c r="C1523" s="10" t="s">
        <v>540</v>
      </c>
      <c r="D1523" s="10">
        <v>0</v>
      </c>
      <c r="E1523" s="10" t="s">
        <v>911</v>
      </c>
      <c r="F1523" s="10">
        <v>1</v>
      </c>
      <c r="G1523" s="10" t="s">
        <v>231</v>
      </c>
      <c r="H1523" s="10" t="s">
        <v>322</v>
      </c>
      <c r="I1523" s="10" t="s">
        <v>167</v>
      </c>
      <c r="J1523" s="10">
        <v>57</v>
      </c>
      <c r="K1523" s="12">
        <v>44958</v>
      </c>
      <c r="L1523" s="33">
        <v>0.56702546296296297</v>
      </c>
      <c r="M1523" s="10">
        <v>1</v>
      </c>
      <c r="N1523" s="10" t="s">
        <v>211</v>
      </c>
      <c r="O1523" s="10">
        <v>0.81499999999999995</v>
      </c>
      <c r="P1523" s="10">
        <v>7.6799999999999993E-2</v>
      </c>
      <c r="Q1523" s="10">
        <v>140</v>
      </c>
      <c r="R1523" s="10" t="s">
        <v>913</v>
      </c>
      <c r="S1523" s="34">
        <f t="shared" si="168"/>
        <v>140</v>
      </c>
      <c r="T1523" s="10" t="s">
        <v>1111</v>
      </c>
      <c r="U1523" s="34" t="str">
        <f t="shared" si="169"/>
        <v/>
      </c>
      <c r="V1523" s="31" t="str">
        <f>IF(H1523="CHK",VLOOKUP(I1523,QCCHK,3,),IF(H1523="GUP",VLOOKUP(E1523,QCGUP,2,),IF(AND(H1523="ATP",OR(I1523="TN",I1523="TDN",I1523="TNO2-3",I1523="NO2-3")),VLOOKUP(E1523,QCREC_N,2,),IF(AND(H1523="NIC",OR(I1523="TN",I1523="TDN",I1523="TNO2-3",I1523="NO2-3")),VLOOKUP(E1523,QCNIC_N,2,),IF(AND(H1523="UREA",OR(I1523="TN",I1523="TDN",I1523="TNO2-3",I1523="NO2-3")),VLOOKUP(E1523,QCUREA_N,2,),IF(H1523="PER",VLOOKUP(I1523,QCPER,MATCH(E1523,QCACTUAL!$J$25:$AA$25,0),),IF(H1523="SPK",VLOOKUP(I1523,QCSPK,3,),IF(AND(H1523="ATP",OR(I1523="TP",I1523="TDP")),VLOOKUP(E1523,QCATP_P,2,),""))))))))</f>
        <v/>
      </c>
      <c r="W1523" s="31" t="str">
        <f t="shared" si="170"/>
        <v>TRUE</v>
      </c>
      <c r="X1523" s="31" t="str">
        <f t="shared" si="167"/>
        <v/>
      </c>
      <c r="Y1523" s="10" t="s">
        <v>1096</v>
      </c>
      <c r="Z1523" s="10" t="s">
        <v>910</v>
      </c>
      <c r="AL1523" s="10" t="str">
        <f t="shared" si="172"/>
        <v>FALSE</v>
      </c>
      <c r="AM1523" s="10" t="str">
        <f t="shared" si="172"/>
        <v>FALSE</v>
      </c>
      <c r="AN1523" s="10" t="str">
        <f t="shared" si="172"/>
        <v>FALSE</v>
      </c>
      <c r="AO1523" s="10" t="str">
        <f t="shared" si="173"/>
        <v>FALSE</v>
      </c>
      <c r="AP1523" s="10" t="str">
        <f t="shared" si="173"/>
        <v>FALSE</v>
      </c>
      <c r="AQ1523" s="10" t="b">
        <f>IF(AND(I1523="TP",S1523&lt;=150),VLOOKUP(AF1523,TPCalibEq150!$AZ$2:$BB$55,3,),IF(AND(I1523="TDP",S1523&lt;=150),VLOOKUP(AF1523,TPCalibEq150!$AZ$2:$BB$55,3,)))</f>
        <v>0</v>
      </c>
      <c r="AR1523" s="10" t="b">
        <f>IF(AND(I1523="TP",S1523&lt;=300),VLOOKUP(AF1523,TPCalibEq300!$AZ$2:$BB$55,3,),IF(AND(I1523="TDP",S1523&lt;=300),VLOOKUP(AF1523,TPCalibEq300!$AZ$2:$BB$55,3,)))</f>
        <v>0</v>
      </c>
      <c r="AS1523" s="10" t="b">
        <f>IF(AND(I1523="TP",S1523&lt;=500),VLOOKUP(AF1523,TPCalibEq500!$AZ$2:$BB$56,3,),IF(AND(I1523="TDP",S1523&lt;=500),VLOOKUP(AF1523,TPCalibEq500!$AZ$2:$BB$56,3,)))</f>
        <v>0</v>
      </c>
      <c r="AT1523" s="10" t="b">
        <f>IF(AND(I1523="TN",S1523&lt;=2800),VLOOKUP(AF1523,TNCalibEq2500!$AZ$2:$BB$56,3,),IF(AND(I1523="TDN",S1523&lt;=2800),VLOOKUP(AF1523,TNCalibEq2500!$AZ$2:$BB$56,3,)))</f>
        <v>0</v>
      </c>
      <c r="AU1523" s="10" t="b">
        <f>IF(I1523="TP",VLOOKUP(AF1523,TPCalibEqFull!$AZ$2:$BB$56,3),IF(I1523="TDP",VLOOKUP(AF1523,TPCalibEqFull!$AZ$2:$BB$56,3),IF(I1523="TDN",VLOOKUP(AF1523,TNCalibEqFull!$AZ$1:$BB$56,3),IF(I1523="TN",VLOOKUP(AF1523,TNCalibEqFull!$AZ$1:$BB$56,3),FALSE))))</f>
        <v>0</v>
      </c>
      <c r="AV1523" s="10" t="str">
        <f t="shared" si="171"/>
        <v>0123 09:22:00-S50-0-FIL-1-SW-UKN</v>
      </c>
    </row>
    <row r="1524" spans="1:48" s="10" customFormat="1" x14ac:dyDescent="0.55000000000000004">
      <c r="A1524" s="32">
        <v>44949</v>
      </c>
      <c r="B1524" s="33">
        <v>0.41250000000000003</v>
      </c>
      <c r="C1524" s="10" t="s">
        <v>528</v>
      </c>
      <c r="D1524" s="10">
        <v>0</v>
      </c>
      <c r="E1524" s="10" t="s">
        <v>911</v>
      </c>
      <c r="F1524" s="10">
        <v>1</v>
      </c>
      <c r="G1524" s="10" t="s">
        <v>231</v>
      </c>
      <c r="H1524" s="10" t="s">
        <v>322</v>
      </c>
      <c r="I1524" s="10" t="s">
        <v>167</v>
      </c>
      <c r="J1524" s="10">
        <v>58</v>
      </c>
      <c r="K1524" s="12">
        <v>44958</v>
      </c>
      <c r="L1524" s="33">
        <v>0.56784722222222228</v>
      </c>
      <c r="M1524" s="10">
        <v>1</v>
      </c>
      <c r="N1524" s="10" t="s">
        <v>211</v>
      </c>
      <c r="O1524" s="10">
        <v>0.214</v>
      </c>
      <c r="P1524" s="10">
        <v>1.9800000000000002E-2</v>
      </c>
      <c r="Q1524" s="10">
        <v>36.299999999999997</v>
      </c>
      <c r="R1524" s="10" t="s">
        <v>913</v>
      </c>
      <c r="S1524" s="34">
        <f t="shared" si="168"/>
        <v>36.299999999999997</v>
      </c>
      <c r="T1524" s="10" t="s">
        <v>1111</v>
      </c>
      <c r="U1524" s="34" t="str">
        <f t="shared" si="169"/>
        <v/>
      </c>
      <c r="V1524" s="31" t="str">
        <f>IF(H1524="CHK",VLOOKUP(I1524,QCCHK,3,),IF(H1524="GUP",VLOOKUP(E1524,QCGUP,2,),IF(AND(H1524="ATP",OR(I1524="TN",I1524="TDN",I1524="TNO2-3",I1524="NO2-3")),VLOOKUP(E1524,QCREC_N,2,),IF(AND(H1524="NIC",OR(I1524="TN",I1524="TDN",I1524="TNO2-3",I1524="NO2-3")),VLOOKUP(E1524,QCNIC_N,2,),IF(AND(H1524="UREA",OR(I1524="TN",I1524="TDN",I1524="TNO2-3",I1524="NO2-3")),VLOOKUP(E1524,QCUREA_N,2,),IF(H1524="PER",VLOOKUP(I1524,QCPER,MATCH(E1524,QCACTUAL!$J$25:$AA$25,0),),IF(H1524="SPK",VLOOKUP(I1524,QCSPK,3,),IF(AND(H1524="ATP",OR(I1524="TP",I1524="TDP")),VLOOKUP(E1524,QCATP_P,2,),""))))))))</f>
        <v/>
      </c>
      <c r="W1524" s="31" t="str">
        <f t="shared" si="170"/>
        <v>TRUE</v>
      </c>
      <c r="X1524" s="31" t="str">
        <f t="shared" si="167"/>
        <v/>
      </c>
      <c r="Y1524" s="10" t="s">
        <v>1096</v>
      </c>
      <c r="Z1524" s="10" t="s">
        <v>910</v>
      </c>
      <c r="AL1524" s="10" t="str">
        <f t="shared" si="172"/>
        <v>FALSE</v>
      </c>
      <c r="AM1524" s="10" t="str">
        <f t="shared" si="172"/>
        <v>FALSE</v>
      </c>
      <c r="AN1524" s="10" t="str">
        <f t="shared" si="172"/>
        <v>FALSE</v>
      </c>
      <c r="AO1524" s="10" t="str">
        <f t="shared" si="173"/>
        <v>FALSE</v>
      </c>
      <c r="AP1524" s="10" t="str">
        <f t="shared" si="173"/>
        <v>FALSE</v>
      </c>
      <c r="AQ1524" s="10" t="b">
        <f>IF(AND(I1524="TP",S1524&lt;=150),VLOOKUP(AF1524,TPCalibEq150!$AZ$2:$BB$55,3,),IF(AND(I1524="TDP",S1524&lt;=150),VLOOKUP(AF1524,TPCalibEq150!$AZ$2:$BB$55,3,)))</f>
        <v>0</v>
      </c>
      <c r="AR1524" s="10" t="b">
        <f>IF(AND(I1524="TP",S1524&lt;=300),VLOOKUP(AF1524,TPCalibEq300!$AZ$2:$BB$55,3,),IF(AND(I1524="TDP",S1524&lt;=300),VLOOKUP(AF1524,TPCalibEq300!$AZ$2:$BB$55,3,)))</f>
        <v>0</v>
      </c>
      <c r="AS1524" s="10" t="b">
        <f>IF(AND(I1524="TP",S1524&lt;=500),VLOOKUP(AF1524,TPCalibEq500!$AZ$2:$BB$56,3,),IF(AND(I1524="TDP",S1524&lt;=500),VLOOKUP(AF1524,TPCalibEq500!$AZ$2:$BB$56,3,)))</f>
        <v>0</v>
      </c>
      <c r="AT1524" s="10" t="b">
        <f>IF(AND(I1524="TN",S1524&lt;=2800),VLOOKUP(AF1524,TNCalibEq2500!$AZ$2:$BB$56,3,),IF(AND(I1524="TDN",S1524&lt;=2800),VLOOKUP(AF1524,TNCalibEq2500!$AZ$2:$BB$56,3,)))</f>
        <v>0</v>
      </c>
      <c r="AU1524" s="10" t="b">
        <f>IF(I1524="TP",VLOOKUP(AF1524,TPCalibEqFull!$AZ$2:$BB$56,3),IF(I1524="TDP",VLOOKUP(AF1524,TPCalibEqFull!$AZ$2:$BB$56,3),IF(I1524="TDN",VLOOKUP(AF1524,TNCalibEqFull!$AZ$1:$BB$56,3),IF(I1524="TN",VLOOKUP(AF1524,TNCalibEqFull!$AZ$1:$BB$56,3),FALSE))))</f>
        <v>0</v>
      </c>
      <c r="AV1524" s="10" t="str">
        <f t="shared" si="171"/>
        <v>0123 09:54:00-P04-0-FIL-1-SW-UKN</v>
      </c>
    </row>
    <row r="1525" spans="1:48" s="10" customFormat="1" x14ac:dyDescent="0.55000000000000004">
      <c r="A1525" s="32">
        <v>44949</v>
      </c>
      <c r="B1525" s="33">
        <v>0.42569444444444443</v>
      </c>
      <c r="C1525" s="10">
        <v>506</v>
      </c>
      <c r="D1525" s="10">
        <v>0</v>
      </c>
      <c r="E1525" s="10" t="s">
        <v>911</v>
      </c>
      <c r="F1525" s="10">
        <v>1</v>
      </c>
      <c r="G1525" s="10" t="s">
        <v>231</v>
      </c>
      <c r="H1525" s="10" t="s">
        <v>322</v>
      </c>
      <c r="I1525" s="10" t="s">
        <v>167</v>
      </c>
      <c r="J1525" s="10">
        <v>59</v>
      </c>
      <c r="K1525" s="12">
        <v>44958</v>
      </c>
      <c r="L1525" s="33">
        <v>0.56864583333333341</v>
      </c>
      <c r="M1525" s="10">
        <v>1</v>
      </c>
      <c r="N1525" s="10" t="s">
        <v>211</v>
      </c>
      <c r="O1525" s="10">
        <v>0.17199999999999999</v>
      </c>
      <c r="P1525" s="10">
        <v>1.6E-2</v>
      </c>
      <c r="Q1525" s="10">
        <v>29.1</v>
      </c>
      <c r="R1525" s="10" t="s">
        <v>913</v>
      </c>
      <c r="S1525" s="34">
        <f t="shared" si="168"/>
        <v>29.1</v>
      </c>
      <c r="T1525" s="10" t="s">
        <v>1111</v>
      </c>
      <c r="U1525" s="34" t="str">
        <f t="shared" si="169"/>
        <v/>
      </c>
      <c r="V1525" s="31" t="str">
        <f>IF(H1525="CHK",VLOOKUP(I1525,QCCHK,3,),IF(H1525="GUP",VLOOKUP(E1525,QCGUP,2,),IF(AND(H1525="ATP",OR(I1525="TN",I1525="TDN",I1525="TNO2-3",I1525="NO2-3")),VLOOKUP(E1525,QCREC_N,2,),IF(AND(H1525="NIC",OR(I1525="TN",I1525="TDN",I1525="TNO2-3",I1525="NO2-3")),VLOOKUP(E1525,QCNIC_N,2,),IF(AND(H1525="UREA",OR(I1525="TN",I1525="TDN",I1525="TNO2-3",I1525="NO2-3")),VLOOKUP(E1525,QCUREA_N,2,),IF(H1525="PER",VLOOKUP(I1525,QCPER,MATCH(E1525,QCACTUAL!$J$25:$AA$25,0),),IF(H1525="SPK",VLOOKUP(I1525,QCSPK,3,),IF(AND(H1525="ATP",OR(I1525="TP",I1525="TDP")),VLOOKUP(E1525,QCATP_P,2,),""))))))))</f>
        <v/>
      </c>
      <c r="W1525" s="31" t="str">
        <f t="shared" si="170"/>
        <v>TRUE</v>
      </c>
      <c r="X1525" s="31" t="str">
        <f t="shared" si="167"/>
        <v/>
      </c>
      <c r="Y1525" s="10" t="s">
        <v>1096</v>
      </c>
      <c r="Z1525" s="10" t="s">
        <v>910</v>
      </c>
      <c r="AL1525" s="10" t="str">
        <f t="shared" si="172"/>
        <v>FALSE</v>
      </c>
      <c r="AM1525" s="10" t="str">
        <f t="shared" si="172"/>
        <v>FALSE</v>
      </c>
      <c r="AN1525" s="10" t="str">
        <f t="shared" si="172"/>
        <v>FALSE</v>
      </c>
      <c r="AO1525" s="10" t="str">
        <f t="shared" si="173"/>
        <v>FALSE</v>
      </c>
      <c r="AP1525" s="10" t="str">
        <f t="shared" si="173"/>
        <v>FALSE</v>
      </c>
      <c r="AQ1525" s="10" t="b">
        <f>IF(AND(I1525="TP",S1525&lt;=150),VLOOKUP(AF1525,TPCalibEq150!$AZ$2:$BB$55,3,),IF(AND(I1525="TDP",S1525&lt;=150),VLOOKUP(AF1525,TPCalibEq150!$AZ$2:$BB$55,3,)))</f>
        <v>0</v>
      </c>
      <c r="AR1525" s="10" t="b">
        <f>IF(AND(I1525="TP",S1525&lt;=300),VLOOKUP(AF1525,TPCalibEq300!$AZ$2:$BB$55,3,),IF(AND(I1525="TDP",S1525&lt;=300),VLOOKUP(AF1525,TPCalibEq300!$AZ$2:$BB$55,3,)))</f>
        <v>0</v>
      </c>
      <c r="AS1525" s="10" t="b">
        <f>IF(AND(I1525="TP",S1525&lt;=500),VLOOKUP(AF1525,TPCalibEq500!$AZ$2:$BB$56,3,),IF(AND(I1525="TDP",S1525&lt;=500),VLOOKUP(AF1525,TPCalibEq500!$AZ$2:$BB$56,3,)))</f>
        <v>0</v>
      </c>
      <c r="AT1525" s="10" t="b">
        <f>IF(AND(I1525="TN",S1525&lt;=2800),VLOOKUP(AF1525,TNCalibEq2500!$AZ$2:$BB$56,3,),IF(AND(I1525="TDN",S1525&lt;=2800),VLOOKUP(AF1525,TNCalibEq2500!$AZ$2:$BB$56,3,)))</f>
        <v>0</v>
      </c>
      <c r="AU1525" s="10" t="b">
        <f>IF(I1525="TP",VLOOKUP(AF1525,TPCalibEqFull!$AZ$2:$BB$56,3),IF(I1525="TDP",VLOOKUP(AF1525,TPCalibEqFull!$AZ$2:$BB$56,3),IF(I1525="TDN",VLOOKUP(AF1525,TNCalibEqFull!$AZ$1:$BB$56,3),IF(I1525="TN",VLOOKUP(AF1525,TNCalibEqFull!$AZ$1:$BB$56,3),FALSE))))</f>
        <v>0</v>
      </c>
      <c r="AV1525" s="10" t="str">
        <f t="shared" si="171"/>
        <v>0123 10:13:00-506-0-FIL-1-SW-UKN</v>
      </c>
    </row>
    <row r="1526" spans="1:48" s="10" customFormat="1" x14ac:dyDescent="0.55000000000000004">
      <c r="A1526" s="32">
        <v>44949</v>
      </c>
      <c r="B1526" s="33">
        <v>0.43333333333333335</v>
      </c>
      <c r="C1526" s="10" t="s">
        <v>1104</v>
      </c>
      <c r="D1526" s="10">
        <v>0</v>
      </c>
      <c r="E1526" s="10" t="s">
        <v>911</v>
      </c>
      <c r="F1526" s="10">
        <v>1</v>
      </c>
      <c r="G1526" s="10" t="s">
        <v>231</v>
      </c>
      <c r="H1526" s="10" t="s">
        <v>322</v>
      </c>
      <c r="I1526" s="10" t="s">
        <v>167</v>
      </c>
      <c r="J1526" s="10">
        <v>60</v>
      </c>
      <c r="K1526" s="12">
        <v>44958</v>
      </c>
      <c r="L1526" s="33">
        <v>0.56945601851851857</v>
      </c>
      <c r="M1526" s="10">
        <v>1</v>
      </c>
      <c r="N1526" s="10" t="s">
        <v>211</v>
      </c>
      <c r="O1526" s="10">
        <v>0.33200000000000002</v>
      </c>
      <c r="P1526" s="10">
        <v>3.0099999999999998E-2</v>
      </c>
      <c r="Q1526" s="10">
        <v>56.6</v>
      </c>
      <c r="R1526" s="10" t="s">
        <v>913</v>
      </c>
      <c r="S1526" s="34">
        <f t="shared" si="168"/>
        <v>56.6</v>
      </c>
      <c r="T1526" s="10" t="s">
        <v>1111</v>
      </c>
      <c r="U1526" s="34" t="str">
        <f t="shared" si="169"/>
        <v/>
      </c>
      <c r="V1526" s="31" t="str">
        <f>IF(H1526="CHK",VLOOKUP(I1526,QCCHK,3,),IF(H1526="GUP",VLOOKUP(E1526,QCGUP,2,),IF(AND(H1526="ATP",OR(I1526="TN",I1526="TDN",I1526="TNO2-3",I1526="NO2-3")),VLOOKUP(E1526,QCREC_N,2,),IF(AND(H1526="NIC",OR(I1526="TN",I1526="TDN",I1526="TNO2-3",I1526="NO2-3")),VLOOKUP(E1526,QCNIC_N,2,),IF(AND(H1526="UREA",OR(I1526="TN",I1526="TDN",I1526="TNO2-3",I1526="NO2-3")),VLOOKUP(E1526,QCUREA_N,2,),IF(H1526="PER",VLOOKUP(I1526,QCPER,MATCH(E1526,QCACTUAL!$J$25:$AA$25,0),),IF(H1526="SPK",VLOOKUP(I1526,QCSPK,3,),IF(AND(H1526="ATP",OR(I1526="TP",I1526="TDP")),VLOOKUP(E1526,QCATP_P,2,),""))))))))</f>
        <v/>
      </c>
      <c r="W1526" s="31" t="str">
        <f t="shared" si="170"/>
        <v>TRUE</v>
      </c>
      <c r="X1526" s="31" t="str">
        <f t="shared" si="167"/>
        <v/>
      </c>
      <c r="Y1526" s="10" t="s">
        <v>1096</v>
      </c>
      <c r="Z1526" s="10" t="s">
        <v>910</v>
      </c>
      <c r="AL1526" s="10" t="str">
        <f t="shared" si="172"/>
        <v>FALSE</v>
      </c>
      <c r="AM1526" s="10" t="str">
        <f t="shared" si="172"/>
        <v>FALSE</v>
      </c>
      <c r="AN1526" s="10" t="str">
        <f t="shared" si="172"/>
        <v>FALSE</v>
      </c>
      <c r="AO1526" s="10" t="str">
        <f t="shared" si="173"/>
        <v>FALSE</v>
      </c>
      <c r="AP1526" s="10" t="str">
        <f t="shared" si="173"/>
        <v>FALSE</v>
      </c>
      <c r="AQ1526" s="10" t="b">
        <f>IF(AND(I1526="TP",S1526&lt;=150),VLOOKUP(AF1526,TPCalibEq150!$AZ$2:$BB$55,3,),IF(AND(I1526="TDP",S1526&lt;=150),VLOOKUP(AF1526,TPCalibEq150!$AZ$2:$BB$55,3,)))</f>
        <v>0</v>
      </c>
      <c r="AR1526" s="10" t="b">
        <f>IF(AND(I1526="TP",S1526&lt;=300),VLOOKUP(AF1526,TPCalibEq300!$AZ$2:$BB$55,3,),IF(AND(I1526="TDP",S1526&lt;=300),VLOOKUP(AF1526,TPCalibEq300!$AZ$2:$BB$55,3,)))</f>
        <v>0</v>
      </c>
      <c r="AS1526" s="10" t="b">
        <f>IF(AND(I1526="TP",S1526&lt;=500),VLOOKUP(AF1526,TPCalibEq500!$AZ$2:$BB$56,3,),IF(AND(I1526="TDP",S1526&lt;=500),VLOOKUP(AF1526,TPCalibEq500!$AZ$2:$BB$56,3,)))</f>
        <v>0</v>
      </c>
      <c r="AT1526" s="10" t="b">
        <f>IF(AND(I1526="TN",S1526&lt;=2800),VLOOKUP(AF1526,TNCalibEq2500!$AZ$2:$BB$56,3,),IF(AND(I1526="TDN",S1526&lt;=2800),VLOOKUP(AF1526,TNCalibEq2500!$AZ$2:$BB$56,3,)))</f>
        <v>0</v>
      </c>
      <c r="AU1526" s="10" t="b">
        <f>IF(I1526="TP",VLOOKUP(AF1526,TPCalibEqFull!$AZ$2:$BB$56,3),IF(I1526="TDP",VLOOKUP(AF1526,TPCalibEqFull!$AZ$2:$BB$56,3),IF(I1526="TDN",VLOOKUP(AF1526,TNCalibEqFull!$AZ$1:$BB$56,3),IF(I1526="TN",VLOOKUP(AF1526,TNCalibEqFull!$AZ$1:$BB$56,3),FALSE))))</f>
        <v>0</v>
      </c>
      <c r="AV1526" s="10" t="str">
        <f t="shared" si="171"/>
        <v>0123 10:24:00-LBW-0-FIL-1-SW-UKN</v>
      </c>
    </row>
    <row r="1527" spans="1:48" s="10" customFormat="1" x14ac:dyDescent="0.55000000000000004">
      <c r="A1527" s="32">
        <v>44949</v>
      </c>
      <c r="B1527" s="33">
        <v>0.45</v>
      </c>
      <c r="C1527" s="10" t="s">
        <v>537</v>
      </c>
      <c r="D1527" s="10">
        <v>0</v>
      </c>
      <c r="E1527" s="10" t="s">
        <v>911</v>
      </c>
      <c r="F1527" s="10">
        <v>1</v>
      </c>
      <c r="G1527" s="10" t="s">
        <v>231</v>
      </c>
      <c r="H1527" s="10" t="s">
        <v>322</v>
      </c>
      <c r="I1527" s="10" t="s">
        <v>167</v>
      </c>
      <c r="J1527" s="10">
        <v>61</v>
      </c>
      <c r="K1527" s="12">
        <v>44958</v>
      </c>
      <c r="L1527" s="33">
        <v>0.57027777777777777</v>
      </c>
      <c r="M1527" s="10">
        <v>1</v>
      </c>
      <c r="N1527" s="10" t="s">
        <v>211</v>
      </c>
      <c r="O1527" s="10">
        <v>0.16</v>
      </c>
      <c r="P1527" s="10">
        <v>1.44E-2</v>
      </c>
      <c r="Q1527" s="10">
        <v>27</v>
      </c>
      <c r="R1527" s="10" t="s">
        <v>913</v>
      </c>
      <c r="S1527" s="34">
        <f t="shared" si="168"/>
        <v>27</v>
      </c>
      <c r="T1527" s="10" t="s">
        <v>1111</v>
      </c>
      <c r="U1527" s="34" t="str">
        <f t="shared" si="169"/>
        <v/>
      </c>
      <c r="V1527" s="31" t="str">
        <f>IF(H1527="CHK",VLOOKUP(I1527,QCCHK,3,),IF(H1527="GUP",VLOOKUP(E1527,QCGUP,2,),IF(AND(H1527="ATP",OR(I1527="TN",I1527="TDN",I1527="TNO2-3",I1527="NO2-3")),VLOOKUP(E1527,QCREC_N,2,),IF(AND(H1527="NIC",OR(I1527="TN",I1527="TDN",I1527="TNO2-3",I1527="NO2-3")),VLOOKUP(E1527,QCNIC_N,2,),IF(AND(H1527="UREA",OR(I1527="TN",I1527="TDN",I1527="TNO2-3",I1527="NO2-3")),VLOOKUP(E1527,QCUREA_N,2,),IF(H1527="PER",VLOOKUP(I1527,QCPER,MATCH(E1527,QCACTUAL!$J$25:$AA$25,0),),IF(H1527="SPK",VLOOKUP(I1527,QCSPK,3,),IF(AND(H1527="ATP",OR(I1527="TP",I1527="TDP")),VLOOKUP(E1527,QCATP_P,2,),""))))))))</f>
        <v/>
      </c>
      <c r="W1527" s="31" t="str">
        <f t="shared" si="170"/>
        <v>TRUE</v>
      </c>
      <c r="X1527" s="31" t="str">
        <f t="shared" si="167"/>
        <v/>
      </c>
      <c r="Y1527" s="10" t="s">
        <v>1096</v>
      </c>
      <c r="Z1527" s="10" t="s">
        <v>910</v>
      </c>
      <c r="AL1527" s="10" t="str">
        <f t="shared" si="172"/>
        <v>FALSE</v>
      </c>
      <c r="AM1527" s="10" t="str">
        <f t="shared" si="172"/>
        <v>FALSE</v>
      </c>
      <c r="AN1527" s="10" t="str">
        <f t="shared" si="172"/>
        <v>FALSE</v>
      </c>
      <c r="AO1527" s="10" t="str">
        <f t="shared" si="173"/>
        <v>FALSE</v>
      </c>
      <c r="AP1527" s="10" t="str">
        <f t="shared" si="173"/>
        <v>FALSE</v>
      </c>
      <c r="AQ1527" s="10" t="b">
        <f>IF(AND(I1527="TP",S1527&lt;=150),VLOOKUP(AF1527,TPCalibEq150!$AZ$2:$BB$55,3,),IF(AND(I1527="TDP",S1527&lt;=150),VLOOKUP(AF1527,TPCalibEq150!$AZ$2:$BB$55,3,)))</f>
        <v>0</v>
      </c>
      <c r="AR1527" s="10" t="b">
        <f>IF(AND(I1527="TP",S1527&lt;=300),VLOOKUP(AF1527,TPCalibEq300!$AZ$2:$BB$55,3,),IF(AND(I1527="TDP",S1527&lt;=300),VLOOKUP(AF1527,TPCalibEq300!$AZ$2:$BB$55,3,)))</f>
        <v>0</v>
      </c>
      <c r="AS1527" s="10" t="b">
        <f>IF(AND(I1527="TP",S1527&lt;=500),VLOOKUP(AF1527,TPCalibEq500!$AZ$2:$BB$56,3,),IF(AND(I1527="TDP",S1527&lt;=500),VLOOKUP(AF1527,TPCalibEq500!$AZ$2:$BB$56,3,)))</f>
        <v>0</v>
      </c>
      <c r="AT1527" s="10" t="b">
        <f>IF(AND(I1527="TN",S1527&lt;=2800),VLOOKUP(AF1527,TNCalibEq2500!$AZ$2:$BB$56,3,),IF(AND(I1527="TDN",S1527&lt;=2800),VLOOKUP(AF1527,TNCalibEq2500!$AZ$2:$BB$56,3,)))</f>
        <v>0</v>
      </c>
      <c r="AU1527" s="10" t="b">
        <f>IF(I1527="TP",VLOOKUP(AF1527,TPCalibEqFull!$AZ$2:$BB$56,3),IF(I1527="TDP",VLOOKUP(AF1527,TPCalibEqFull!$AZ$2:$BB$56,3),IF(I1527="TDN",VLOOKUP(AF1527,TNCalibEqFull!$AZ$1:$BB$56,3),IF(I1527="TN",VLOOKUP(AF1527,TNCalibEqFull!$AZ$1:$BB$56,3),FALSE))))</f>
        <v>0</v>
      </c>
      <c r="AV1527" s="10" t="str">
        <f t="shared" si="171"/>
        <v>0123 10:48:00-S51-0-FIL-1-SW-UKN</v>
      </c>
    </row>
    <row r="1528" spans="1:48" s="10" customFormat="1" x14ac:dyDescent="0.55000000000000004">
      <c r="A1528" s="32">
        <v>44949</v>
      </c>
      <c r="B1528" s="33">
        <v>0.46736111111111112</v>
      </c>
      <c r="C1528" s="10">
        <v>890</v>
      </c>
      <c r="D1528" s="10">
        <v>0</v>
      </c>
      <c r="E1528" s="10" t="s">
        <v>911</v>
      </c>
      <c r="F1528" s="10">
        <v>1</v>
      </c>
      <c r="G1528" s="10" t="s">
        <v>231</v>
      </c>
      <c r="H1528" s="10" t="s">
        <v>322</v>
      </c>
      <c r="I1528" s="10" t="s">
        <v>167</v>
      </c>
      <c r="J1528" s="10">
        <v>62</v>
      </c>
      <c r="K1528" s="12">
        <v>44958</v>
      </c>
      <c r="L1528" s="33">
        <v>0.57109953703703698</v>
      </c>
      <c r="M1528" s="10">
        <v>1</v>
      </c>
      <c r="N1528" s="10" t="s">
        <v>211</v>
      </c>
      <c r="O1528" s="10">
        <v>0.153</v>
      </c>
      <c r="P1528" s="10">
        <v>1.41E-2</v>
      </c>
      <c r="Q1528" s="10">
        <v>25.8</v>
      </c>
      <c r="R1528" s="10" t="s">
        <v>913</v>
      </c>
      <c r="S1528" s="34">
        <f t="shared" si="168"/>
        <v>25.8</v>
      </c>
      <c r="T1528" s="10" t="s">
        <v>1111</v>
      </c>
      <c r="U1528" s="34" t="str">
        <f t="shared" si="169"/>
        <v/>
      </c>
      <c r="V1528" s="31" t="str">
        <f>IF(H1528="CHK",VLOOKUP(I1528,QCCHK,3,),IF(H1528="GUP",VLOOKUP(E1528,QCGUP,2,),IF(AND(H1528="ATP",OR(I1528="TN",I1528="TDN",I1528="TNO2-3",I1528="NO2-3")),VLOOKUP(E1528,QCREC_N,2,),IF(AND(H1528="NIC",OR(I1528="TN",I1528="TDN",I1528="TNO2-3",I1528="NO2-3")),VLOOKUP(E1528,QCNIC_N,2,),IF(AND(H1528="UREA",OR(I1528="TN",I1528="TDN",I1528="TNO2-3",I1528="NO2-3")),VLOOKUP(E1528,QCUREA_N,2,),IF(H1528="PER",VLOOKUP(I1528,QCPER,MATCH(E1528,QCACTUAL!$J$25:$AA$25,0),),IF(H1528="SPK",VLOOKUP(I1528,QCSPK,3,),IF(AND(H1528="ATP",OR(I1528="TP",I1528="TDP")),VLOOKUP(E1528,QCATP_P,2,),""))))))))</f>
        <v/>
      </c>
      <c r="W1528" s="31" t="str">
        <f t="shared" si="170"/>
        <v>TRUE</v>
      </c>
      <c r="X1528" s="31" t="str">
        <f t="shared" si="167"/>
        <v/>
      </c>
      <c r="Y1528" s="10" t="s">
        <v>1096</v>
      </c>
      <c r="Z1528" s="10" t="s">
        <v>910</v>
      </c>
      <c r="AL1528" s="10" t="str">
        <f t="shared" si="172"/>
        <v>FALSE</v>
      </c>
      <c r="AM1528" s="10" t="str">
        <f t="shared" si="172"/>
        <v>FALSE</v>
      </c>
      <c r="AN1528" s="10" t="str">
        <f t="shared" si="172"/>
        <v>FALSE</v>
      </c>
      <c r="AO1528" s="10" t="str">
        <f t="shared" si="173"/>
        <v>FALSE</v>
      </c>
      <c r="AP1528" s="10" t="str">
        <f t="shared" si="173"/>
        <v>FALSE</v>
      </c>
      <c r="AQ1528" s="10" t="b">
        <f>IF(AND(I1528="TP",S1528&lt;=150),VLOOKUP(AF1528,TPCalibEq150!$AZ$2:$BB$55,3,),IF(AND(I1528="TDP",S1528&lt;=150),VLOOKUP(AF1528,TPCalibEq150!$AZ$2:$BB$55,3,)))</f>
        <v>0</v>
      </c>
      <c r="AR1528" s="10" t="b">
        <f>IF(AND(I1528="TP",S1528&lt;=300),VLOOKUP(AF1528,TPCalibEq300!$AZ$2:$BB$55,3,),IF(AND(I1528="TDP",S1528&lt;=300),VLOOKUP(AF1528,TPCalibEq300!$AZ$2:$BB$55,3,)))</f>
        <v>0</v>
      </c>
      <c r="AS1528" s="10" t="b">
        <f>IF(AND(I1528="TP",S1528&lt;=500),VLOOKUP(AF1528,TPCalibEq500!$AZ$2:$BB$56,3,),IF(AND(I1528="TDP",S1528&lt;=500),VLOOKUP(AF1528,TPCalibEq500!$AZ$2:$BB$56,3,)))</f>
        <v>0</v>
      </c>
      <c r="AT1528" s="10" t="b">
        <f>IF(AND(I1528="TN",S1528&lt;=2800),VLOOKUP(AF1528,TNCalibEq2500!$AZ$2:$BB$56,3,),IF(AND(I1528="TDN",S1528&lt;=2800),VLOOKUP(AF1528,TNCalibEq2500!$AZ$2:$BB$56,3,)))</f>
        <v>0</v>
      </c>
      <c r="AU1528" s="10" t="b">
        <f>IF(I1528="TP",VLOOKUP(AF1528,TPCalibEqFull!$AZ$2:$BB$56,3),IF(I1528="TDP",VLOOKUP(AF1528,TPCalibEqFull!$AZ$2:$BB$56,3),IF(I1528="TDN",VLOOKUP(AF1528,TNCalibEqFull!$AZ$1:$BB$56,3),IF(I1528="TN",VLOOKUP(AF1528,TNCalibEqFull!$AZ$1:$BB$56,3),FALSE))))</f>
        <v>0</v>
      </c>
      <c r="AV1528" s="10" t="str">
        <f t="shared" si="171"/>
        <v>0123 11:13:00-890-0-FIL-1-SW-UKN</v>
      </c>
    </row>
    <row r="1529" spans="1:48" s="10" customFormat="1" x14ac:dyDescent="0.55000000000000004">
      <c r="A1529" s="32">
        <v>44949</v>
      </c>
      <c r="B1529" s="33">
        <v>0.4861111111111111</v>
      </c>
      <c r="C1529" s="10" t="s">
        <v>437</v>
      </c>
      <c r="D1529" s="10">
        <v>0</v>
      </c>
      <c r="E1529" s="10" t="s">
        <v>911</v>
      </c>
      <c r="F1529" s="10">
        <v>1</v>
      </c>
      <c r="G1529" s="10" t="s">
        <v>231</v>
      </c>
      <c r="H1529" s="10" t="s">
        <v>322</v>
      </c>
      <c r="I1529" s="10" t="s">
        <v>167</v>
      </c>
      <c r="J1529" s="10">
        <v>63</v>
      </c>
      <c r="K1529" s="12">
        <v>44958</v>
      </c>
      <c r="L1529" s="33">
        <v>0.57193287037037044</v>
      </c>
      <c r="M1529" s="10">
        <v>1</v>
      </c>
      <c r="N1529" s="10" t="s">
        <v>211</v>
      </c>
      <c r="O1529" s="10">
        <v>1.1000000000000001</v>
      </c>
      <c r="P1529" s="10">
        <v>0.104</v>
      </c>
      <c r="Q1529" s="10">
        <v>189</v>
      </c>
      <c r="R1529" s="10" t="s">
        <v>913</v>
      </c>
      <c r="S1529" s="34">
        <f t="shared" si="168"/>
        <v>189</v>
      </c>
      <c r="T1529" s="10" t="s">
        <v>1111</v>
      </c>
      <c r="U1529" s="34" t="str">
        <f t="shared" si="169"/>
        <v/>
      </c>
      <c r="V1529" s="31" t="str">
        <f>IF(H1529="CHK",VLOOKUP(I1529,QCCHK,3,),IF(H1529="GUP",VLOOKUP(E1529,QCGUP,2,),IF(AND(H1529="ATP",OR(I1529="TN",I1529="TDN",I1529="TNO2-3",I1529="NO2-3")),VLOOKUP(E1529,QCREC_N,2,),IF(AND(H1529="NIC",OR(I1529="TN",I1529="TDN",I1529="TNO2-3",I1529="NO2-3")),VLOOKUP(E1529,QCNIC_N,2,),IF(AND(H1529="UREA",OR(I1529="TN",I1529="TDN",I1529="TNO2-3",I1529="NO2-3")),VLOOKUP(E1529,QCUREA_N,2,),IF(H1529="PER",VLOOKUP(I1529,QCPER,MATCH(E1529,QCACTUAL!$J$25:$AA$25,0),),IF(H1529="SPK",VLOOKUP(I1529,QCSPK,3,),IF(AND(H1529="ATP",OR(I1529="TP",I1529="TDP")),VLOOKUP(E1529,QCATP_P,2,),""))))))))</f>
        <v/>
      </c>
      <c r="W1529" s="31" t="str">
        <f t="shared" si="170"/>
        <v>TRUE</v>
      </c>
      <c r="X1529" s="31" t="str">
        <f t="shared" si="167"/>
        <v/>
      </c>
      <c r="Y1529" s="10" t="s">
        <v>1096</v>
      </c>
      <c r="Z1529" s="10" t="s">
        <v>910</v>
      </c>
      <c r="AL1529" s="10" t="str">
        <f t="shared" si="172"/>
        <v>FALSE</v>
      </c>
      <c r="AM1529" s="10" t="str">
        <f t="shared" si="172"/>
        <v>FALSE</v>
      </c>
      <c r="AN1529" s="10" t="str">
        <f t="shared" si="172"/>
        <v>FALSE</v>
      </c>
      <c r="AO1529" s="10" t="str">
        <f t="shared" si="173"/>
        <v>FALSE</v>
      </c>
      <c r="AP1529" s="10" t="str">
        <f t="shared" si="173"/>
        <v>FALSE</v>
      </c>
      <c r="AQ1529" s="10" t="b">
        <f>IF(AND(I1529="TP",S1529&lt;=150),VLOOKUP(AF1529,TPCalibEq150!$AZ$2:$BB$55,3,),IF(AND(I1529="TDP",S1529&lt;=150),VLOOKUP(AF1529,TPCalibEq150!$AZ$2:$BB$55,3,)))</f>
        <v>0</v>
      </c>
      <c r="AR1529" s="10" t="b">
        <f>IF(AND(I1529="TP",S1529&lt;=300),VLOOKUP(AF1529,TPCalibEq300!$AZ$2:$BB$55,3,),IF(AND(I1529="TDP",S1529&lt;=300),VLOOKUP(AF1529,TPCalibEq300!$AZ$2:$BB$55,3,)))</f>
        <v>0</v>
      </c>
      <c r="AS1529" s="10" t="b">
        <f>IF(AND(I1529="TP",S1529&lt;=500),VLOOKUP(AF1529,TPCalibEq500!$AZ$2:$BB$56,3,),IF(AND(I1529="TDP",S1529&lt;=500),VLOOKUP(AF1529,TPCalibEq500!$AZ$2:$BB$56,3,)))</f>
        <v>0</v>
      </c>
      <c r="AT1529" s="10" t="b">
        <f>IF(AND(I1529="TN",S1529&lt;=2800),VLOOKUP(AF1529,TNCalibEq2500!$AZ$2:$BB$56,3,),IF(AND(I1529="TDN",S1529&lt;=2800),VLOOKUP(AF1529,TNCalibEq2500!$AZ$2:$BB$56,3,)))</f>
        <v>0</v>
      </c>
      <c r="AU1529" s="10" t="b">
        <f>IF(I1529="TP",VLOOKUP(AF1529,TPCalibEqFull!$AZ$2:$BB$56,3),IF(I1529="TDP",VLOOKUP(AF1529,TPCalibEqFull!$AZ$2:$BB$56,3),IF(I1529="TDN",VLOOKUP(AF1529,TNCalibEqFull!$AZ$1:$BB$56,3),IF(I1529="TN",VLOOKUP(AF1529,TNCalibEqFull!$AZ$1:$BB$56,3),FALSE))))</f>
        <v>0</v>
      </c>
      <c r="AV1529" s="10" t="str">
        <f t="shared" si="171"/>
        <v>0123 11:40:00-FVM-0-FIL-1-SW-UKN</v>
      </c>
    </row>
    <row r="1530" spans="1:48" s="10" customFormat="1" x14ac:dyDescent="0.55000000000000004">
      <c r="A1530" s="32">
        <v>44949</v>
      </c>
      <c r="B1530" s="33">
        <v>0.4861111111111111</v>
      </c>
      <c r="C1530" s="10" t="s">
        <v>437</v>
      </c>
      <c r="D1530" s="10">
        <v>0</v>
      </c>
      <c r="E1530" s="10" t="s">
        <v>911</v>
      </c>
      <c r="F1530" s="10">
        <v>2</v>
      </c>
      <c r="G1530" s="10" t="s">
        <v>231</v>
      </c>
      <c r="H1530" s="10" t="s">
        <v>322</v>
      </c>
      <c r="I1530" s="10" t="s">
        <v>167</v>
      </c>
      <c r="J1530" s="10">
        <v>64</v>
      </c>
      <c r="K1530" s="12">
        <v>44958</v>
      </c>
      <c r="L1530" s="33">
        <v>0.5727430555555556</v>
      </c>
      <c r="M1530" s="10">
        <v>1</v>
      </c>
      <c r="N1530" s="10" t="s">
        <v>211</v>
      </c>
      <c r="O1530" s="10">
        <v>1.28</v>
      </c>
      <c r="P1530" s="10">
        <v>0.122</v>
      </c>
      <c r="Q1530" s="10">
        <v>221</v>
      </c>
      <c r="R1530" s="10" t="s">
        <v>913</v>
      </c>
      <c r="S1530" s="34">
        <f t="shared" si="168"/>
        <v>221</v>
      </c>
      <c r="T1530" s="10" t="s">
        <v>1111</v>
      </c>
      <c r="U1530" s="34" t="str">
        <f t="shared" si="169"/>
        <v/>
      </c>
      <c r="V1530" s="31" t="str">
        <f>IF(H1530="CHK",VLOOKUP(I1530,QCCHK,3,),IF(H1530="GUP",VLOOKUP(E1530,QCGUP,2,),IF(AND(H1530="ATP",OR(I1530="TN",I1530="TDN",I1530="TNO2-3",I1530="NO2-3")),VLOOKUP(E1530,QCREC_N,2,),IF(AND(H1530="NIC",OR(I1530="TN",I1530="TDN",I1530="TNO2-3",I1530="NO2-3")),VLOOKUP(E1530,QCNIC_N,2,),IF(AND(H1530="UREA",OR(I1530="TN",I1530="TDN",I1530="TNO2-3",I1530="NO2-3")),VLOOKUP(E1530,QCUREA_N,2,),IF(H1530="PER",VLOOKUP(I1530,QCPER,MATCH(E1530,QCACTUAL!$J$25:$AA$25,0),),IF(H1530="SPK",VLOOKUP(I1530,QCSPK,3,),IF(AND(H1530="ATP",OR(I1530="TP",I1530="TDP")),VLOOKUP(E1530,QCATP_P,2,),""))))))))</f>
        <v/>
      </c>
      <c r="W1530" s="31" t="str">
        <f t="shared" si="170"/>
        <v>TRUE</v>
      </c>
      <c r="X1530" s="31" t="str">
        <f t="shared" si="167"/>
        <v/>
      </c>
      <c r="Y1530" s="10" t="s">
        <v>1096</v>
      </c>
      <c r="Z1530" s="10" t="s">
        <v>910</v>
      </c>
      <c r="AL1530" s="10" t="str">
        <f t="shared" si="172"/>
        <v>FALSE</v>
      </c>
      <c r="AM1530" s="10" t="str">
        <f t="shared" si="172"/>
        <v>FALSE</v>
      </c>
      <c r="AN1530" s="10" t="str">
        <f t="shared" si="172"/>
        <v>FALSE</v>
      </c>
      <c r="AO1530" s="10" t="str">
        <f t="shared" si="173"/>
        <v>FALSE</v>
      </c>
      <c r="AP1530" s="10" t="str">
        <f t="shared" si="173"/>
        <v>FALSE</v>
      </c>
      <c r="AQ1530" s="10" t="b">
        <f>IF(AND(I1530="TP",S1530&lt;=150),VLOOKUP(AF1530,TPCalibEq150!$AZ$2:$BB$55,3,),IF(AND(I1530="TDP",S1530&lt;=150),VLOOKUP(AF1530,TPCalibEq150!$AZ$2:$BB$55,3,)))</f>
        <v>0</v>
      </c>
      <c r="AR1530" s="10" t="b">
        <f>IF(AND(I1530="TP",S1530&lt;=300),VLOOKUP(AF1530,TPCalibEq300!$AZ$2:$BB$55,3,),IF(AND(I1530="TDP",S1530&lt;=300),VLOOKUP(AF1530,TPCalibEq300!$AZ$2:$BB$55,3,)))</f>
        <v>0</v>
      </c>
      <c r="AS1530" s="10" t="b">
        <f>IF(AND(I1530="TP",S1530&lt;=500),VLOOKUP(AF1530,TPCalibEq500!$AZ$2:$BB$56,3,),IF(AND(I1530="TDP",S1530&lt;=500),VLOOKUP(AF1530,TPCalibEq500!$AZ$2:$BB$56,3,)))</f>
        <v>0</v>
      </c>
      <c r="AT1530" s="10" t="b">
        <f>IF(AND(I1530="TN",S1530&lt;=2800),VLOOKUP(AF1530,TNCalibEq2500!$AZ$2:$BB$56,3,),IF(AND(I1530="TDN",S1530&lt;=2800),VLOOKUP(AF1530,TNCalibEq2500!$AZ$2:$BB$56,3,)))</f>
        <v>0</v>
      </c>
      <c r="AU1530" s="10" t="b">
        <f>IF(I1530="TP",VLOOKUP(AF1530,TPCalibEqFull!$AZ$2:$BB$56,3),IF(I1530="TDP",VLOOKUP(AF1530,TPCalibEqFull!$AZ$2:$BB$56,3),IF(I1530="TDN",VLOOKUP(AF1530,TNCalibEqFull!$AZ$1:$BB$56,3),IF(I1530="TN",VLOOKUP(AF1530,TNCalibEqFull!$AZ$1:$BB$56,3),FALSE))))</f>
        <v>0</v>
      </c>
      <c r="AV1530" s="10" t="str">
        <f t="shared" si="171"/>
        <v>0123 11:40:00-FVM-0-FIL-2-SW-UKN</v>
      </c>
    </row>
    <row r="1531" spans="1:48" s="10" customFormat="1" x14ac:dyDescent="0.55000000000000004">
      <c r="A1531" s="32">
        <v>44949</v>
      </c>
      <c r="B1531" s="33">
        <v>0.4861111111111111</v>
      </c>
      <c r="C1531" s="10" t="s">
        <v>437</v>
      </c>
      <c r="D1531" s="10">
        <v>0</v>
      </c>
      <c r="E1531" s="10" t="s">
        <v>911</v>
      </c>
      <c r="F1531" s="10">
        <v>2</v>
      </c>
      <c r="G1531" s="10" t="s">
        <v>231</v>
      </c>
      <c r="H1531" s="10" t="s">
        <v>233</v>
      </c>
      <c r="I1531" s="10" t="s">
        <v>167</v>
      </c>
      <c r="J1531" s="10">
        <v>64</v>
      </c>
      <c r="K1531" s="12">
        <v>44958</v>
      </c>
      <c r="L1531" s="33">
        <v>0.57356481481481481</v>
      </c>
      <c r="M1531" s="10">
        <v>1</v>
      </c>
      <c r="N1531" s="10" t="s">
        <v>211</v>
      </c>
      <c r="O1531" s="10">
        <v>0.75</v>
      </c>
      <c r="P1531" s="10">
        <v>7.0300000000000001E-2</v>
      </c>
      <c r="Q1531" s="10">
        <v>129</v>
      </c>
      <c r="R1531" s="10" t="s">
        <v>913</v>
      </c>
      <c r="S1531" s="34">
        <f t="shared" si="168"/>
        <v>129</v>
      </c>
      <c r="T1531" s="10" t="s">
        <v>1111</v>
      </c>
      <c r="U1531" s="34">
        <f t="shared" si="169"/>
        <v>52.571428571428569</v>
      </c>
      <c r="V1531" s="31" t="str">
        <f>IF(H1531="CHK",VLOOKUP(I1531,QCCHK,3,),IF(H1531="GUP",VLOOKUP(E1531,QCGUP,2,),IF(AND(H1531="ATP",OR(I1531="TN",I1531="TDN",I1531="TNO2-3",I1531="NO2-3")),VLOOKUP(E1531,QCREC_N,2,),IF(AND(H1531="NIC",OR(I1531="TN",I1531="TDN",I1531="TNO2-3",I1531="NO2-3")),VLOOKUP(E1531,QCNIC_N,2,),IF(AND(H1531="UREA",OR(I1531="TN",I1531="TDN",I1531="TNO2-3",I1531="NO2-3")),VLOOKUP(E1531,QCUREA_N,2,),IF(H1531="PER",VLOOKUP(I1531,QCPER,MATCH(E1531,QCACTUAL!$J$25:$AA$25,0),),IF(H1531="SPK",VLOOKUP(I1531,QCSPK,3,),IF(AND(H1531="ATP",OR(I1531="TP",I1531="TDP")),VLOOKUP(E1531,QCATP_P,2,),""))))))))</f>
        <v/>
      </c>
      <c r="W1531" s="31" t="str">
        <f t="shared" si="170"/>
        <v>FALSE</v>
      </c>
      <c r="X1531" s="31" t="str">
        <f t="shared" si="167"/>
        <v>((ABS(rep1-rep2))/((rep1+rep2)/2)*100</v>
      </c>
      <c r="Y1531" s="10" t="s">
        <v>1096</v>
      </c>
      <c r="Z1531" s="10" t="s">
        <v>910</v>
      </c>
      <c r="AL1531" s="10" t="str">
        <f t="shared" si="172"/>
        <v>FALSE</v>
      </c>
      <c r="AM1531" s="10" t="str">
        <f t="shared" si="172"/>
        <v>FALSE</v>
      </c>
      <c r="AN1531" s="10" t="str">
        <f t="shared" si="172"/>
        <v>FALSE</v>
      </c>
      <c r="AO1531" s="10" t="str">
        <f t="shared" si="173"/>
        <v>FALSE</v>
      </c>
      <c r="AP1531" s="10" t="str">
        <f t="shared" si="173"/>
        <v>FALSE</v>
      </c>
      <c r="AQ1531" s="10" t="b">
        <f>IF(AND(I1531="TP",S1531&lt;=150),VLOOKUP(AF1531,TPCalibEq150!$AZ$2:$BB$55,3,),IF(AND(I1531="TDP",S1531&lt;=150),VLOOKUP(AF1531,TPCalibEq150!$AZ$2:$BB$55,3,)))</f>
        <v>0</v>
      </c>
      <c r="AR1531" s="10" t="b">
        <f>IF(AND(I1531="TP",S1531&lt;=300),VLOOKUP(AF1531,TPCalibEq300!$AZ$2:$BB$55,3,),IF(AND(I1531="TDP",S1531&lt;=300),VLOOKUP(AF1531,TPCalibEq300!$AZ$2:$BB$55,3,)))</f>
        <v>0</v>
      </c>
      <c r="AS1531" s="10" t="b">
        <f>IF(AND(I1531="TP",S1531&lt;=500),VLOOKUP(AF1531,TPCalibEq500!$AZ$2:$BB$56,3,),IF(AND(I1531="TDP",S1531&lt;=500),VLOOKUP(AF1531,TPCalibEq500!$AZ$2:$BB$56,3,)))</f>
        <v>0</v>
      </c>
      <c r="AT1531" s="10" t="b">
        <f>IF(AND(I1531="TN",S1531&lt;=2800),VLOOKUP(AF1531,TNCalibEq2500!$AZ$2:$BB$56,3,),IF(AND(I1531="TDN",S1531&lt;=2800),VLOOKUP(AF1531,TNCalibEq2500!$AZ$2:$BB$56,3,)))</f>
        <v>0</v>
      </c>
      <c r="AU1531" s="10" t="b">
        <f>IF(I1531="TP",VLOOKUP(AF1531,TPCalibEqFull!$AZ$2:$BB$56,3),IF(I1531="TDP",VLOOKUP(AF1531,TPCalibEqFull!$AZ$2:$BB$56,3),IF(I1531="TDN",VLOOKUP(AF1531,TNCalibEqFull!$AZ$1:$BB$56,3),IF(I1531="TN",VLOOKUP(AF1531,TNCalibEqFull!$AZ$1:$BB$56,3),FALSE))))</f>
        <v>0</v>
      </c>
      <c r="AV1531" s="10" t="str">
        <f t="shared" si="171"/>
        <v>0123 11:40:00-FVM-0-FIL-2-SW-DUP</v>
      </c>
    </row>
    <row r="1532" spans="1:48" s="10" customFormat="1" x14ac:dyDescent="0.55000000000000004">
      <c r="A1532" s="32">
        <v>44949</v>
      </c>
      <c r="B1532" s="33">
        <v>0.4861111111111111</v>
      </c>
      <c r="C1532" s="10" t="s">
        <v>437</v>
      </c>
      <c r="D1532" s="10">
        <v>0</v>
      </c>
      <c r="E1532" s="10" t="s">
        <v>911</v>
      </c>
      <c r="F1532" s="10">
        <v>2</v>
      </c>
      <c r="G1532" s="10" t="s">
        <v>231</v>
      </c>
      <c r="H1532" s="10" t="s">
        <v>314</v>
      </c>
      <c r="I1532" s="10" t="s">
        <v>167</v>
      </c>
      <c r="J1532" s="10">
        <v>88</v>
      </c>
      <c r="K1532" s="12">
        <v>44958</v>
      </c>
      <c r="L1532" s="33">
        <v>0.57437499999999997</v>
      </c>
      <c r="M1532" s="10">
        <v>1</v>
      </c>
      <c r="N1532" s="10" t="s">
        <v>211</v>
      </c>
      <c r="O1532" s="10">
        <v>1.87</v>
      </c>
      <c r="P1532" s="10">
        <v>0.18</v>
      </c>
      <c r="Q1532" s="10">
        <v>322</v>
      </c>
      <c r="R1532" s="10" t="s">
        <v>913</v>
      </c>
      <c r="S1532" s="34">
        <f t="shared" si="168"/>
        <v>322</v>
      </c>
      <c r="T1532" s="10" t="s">
        <v>1111</v>
      </c>
      <c r="U1532" s="34">
        <f t="shared" si="169"/>
        <v>123.52000000000001</v>
      </c>
      <c r="V1532" s="31">
        <f>IF(H1532="CHK",VLOOKUP(I1532,QCCHK,3,),IF(H1532="GUP",VLOOKUP(E1532,QCGUP,2,),IF(AND(H1532="ATP",OR(I1532="TN",I1532="TDN",I1532="TNO2-3",I1532="NO2-3")),VLOOKUP(E1532,QCREC_N,2,),IF(AND(H1532="NIC",OR(I1532="TN",I1532="TDN",I1532="TNO2-3",I1532="NO2-3")),VLOOKUP(E1532,QCNIC_N,2,),IF(AND(H1532="UREA",OR(I1532="TN",I1532="TDN",I1532="TNO2-3",I1532="NO2-3")),VLOOKUP(E1532,QCUREA_N,2,),IF(H1532="PER",VLOOKUP(I1532,QCPER,MATCH(E1532,QCACTUAL!$J$25:$AA$25,0),),IF(H1532="SPK",VLOOKUP(I1532,QCSPK,3,),IF(AND(H1532="ATP",OR(I1532="TP",I1532="TDP")),VLOOKUP(E1532,QCATP_P,2,),""))))))))</f>
        <v>156.25</v>
      </c>
      <c r="W1532" s="31" t="str">
        <f t="shared" si="170"/>
        <v>TRUE</v>
      </c>
      <c r="X1532" s="31" t="str">
        <f t="shared" si="167"/>
        <v>([spikedunkn]-[unkn])/[spike]*100</v>
      </c>
      <c r="Y1532" s="10" t="s">
        <v>1096</v>
      </c>
      <c r="Z1532" s="10" t="s">
        <v>910</v>
      </c>
      <c r="AL1532" s="10" t="str">
        <f t="shared" si="172"/>
        <v>FALSE</v>
      </c>
      <c r="AM1532" s="10" t="str">
        <f t="shared" si="172"/>
        <v>FALSE</v>
      </c>
      <c r="AN1532" s="10" t="str">
        <f t="shared" si="172"/>
        <v>FALSE</v>
      </c>
      <c r="AO1532" s="10" t="str">
        <f t="shared" si="173"/>
        <v>FALSE</v>
      </c>
      <c r="AP1532" s="10" t="str">
        <f t="shared" si="173"/>
        <v>FALSE</v>
      </c>
      <c r="AQ1532" s="10" t="b">
        <f>IF(AND(I1532="TP",S1532&lt;=150),VLOOKUP(AF1532,TPCalibEq150!$AZ$2:$BB$55,3,),IF(AND(I1532="TDP",S1532&lt;=150),VLOOKUP(AF1532,TPCalibEq150!$AZ$2:$BB$55,3,)))</f>
        <v>0</v>
      </c>
      <c r="AR1532" s="10" t="b">
        <f>IF(AND(I1532="TP",S1532&lt;=300),VLOOKUP(AF1532,TPCalibEq300!$AZ$2:$BB$55,3,),IF(AND(I1532="TDP",S1532&lt;=300),VLOOKUP(AF1532,TPCalibEq300!$AZ$2:$BB$55,3,)))</f>
        <v>0</v>
      </c>
      <c r="AS1532" s="10" t="b">
        <f>IF(AND(I1532="TP",S1532&lt;=500),VLOOKUP(AF1532,TPCalibEq500!$AZ$2:$BB$56,3,),IF(AND(I1532="TDP",S1532&lt;=500),VLOOKUP(AF1532,TPCalibEq500!$AZ$2:$BB$56,3,)))</f>
        <v>0</v>
      </c>
      <c r="AT1532" s="10" t="b">
        <f>IF(AND(I1532="TN",S1532&lt;=2800),VLOOKUP(AF1532,TNCalibEq2500!$AZ$2:$BB$56,3,),IF(AND(I1532="TDN",S1532&lt;=2800),VLOOKUP(AF1532,TNCalibEq2500!$AZ$2:$BB$56,3,)))</f>
        <v>0</v>
      </c>
      <c r="AU1532" s="10" t="b">
        <f>IF(I1532="TP",VLOOKUP(AF1532,TPCalibEqFull!$AZ$2:$BB$56,3),IF(I1532="TDP",VLOOKUP(AF1532,TPCalibEqFull!$AZ$2:$BB$56,3),IF(I1532="TDN",VLOOKUP(AF1532,TNCalibEqFull!$AZ$1:$BB$56,3),IF(I1532="TN",VLOOKUP(AF1532,TNCalibEqFull!$AZ$1:$BB$56,3),FALSE))))</f>
        <v>0</v>
      </c>
      <c r="AV1532" s="10" t="str">
        <f t="shared" si="171"/>
        <v>0123 11:40:00-FVM-0-FIL-2-SW-SPK</v>
      </c>
    </row>
    <row r="1533" spans="1:48" s="10" customFormat="1" x14ac:dyDescent="0.55000000000000004">
      <c r="A1533" s="32">
        <v>44958</v>
      </c>
      <c r="B1533" s="33">
        <v>0.375</v>
      </c>
      <c r="C1533" s="10" t="s">
        <v>70</v>
      </c>
      <c r="D1533" s="10" t="s">
        <v>71</v>
      </c>
      <c r="E1533" s="10" t="s">
        <v>901</v>
      </c>
      <c r="F1533" s="10">
        <v>1</v>
      </c>
      <c r="G1533" s="10" t="s">
        <v>73</v>
      </c>
      <c r="H1533" s="10" t="s">
        <v>207</v>
      </c>
      <c r="I1533" s="10" t="s">
        <v>285</v>
      </c>
      <c r="J1533" s="10">
        <v>201</v>
      </c>
      <c r="K1533" s="12">
        <v>44958</v>
      </c>
      <c r="L1533" s="33">
        <v>0.57520833333333332</v>
      </c>
      <c r="M1533" s="10">
        <v>1</v>
      </c>
      <c r="N1533" s="10" t="s">
        <v>211</v>
      </c>
      <c r="O1533" s="10">
        <v>0.44900000000000001</v>
      </c>
      <c r="P1533" s="10">
        <v>4.1799999999999997E-2</v>
      </c>
      <c r="Q1533" s="10">
        <v>76.8</v>
      </c>
      <c r="R1533" s="10" t="s">
        <v>913</v>
      </c>
      <c r="S1533" s="34">
        <f t="shared" si="168"/>
        <v>76.8</v>
      </c>
      <c r="T1533" s="10" t="s">
        <v>1111</v>
      </c>
      <c r="U1533" s="34">
        <f t="shared" si="169"/>
        <v>102.4</v>
      </c>
      <c r="V1533" s="31">
        <f>IF(H1533="CHK",VLOOKUP(I1533,QCCHK,3,),IF(H1533="GUP",VLOOKUP(E1533,QCGUP,2,),IF(AND(H1533="ATP",OR(I1533="TN",I1533="TDN",I1533="TNO2-3",I1533="NO2-3")),VLOOKUP(E1533,QCREC_N,2,),IF(AND(H1533="NIC",OR(I1533="TN",I1533="TDN",I1533="TNO2-3",I1533="NO2-3")),VLOOKUP(E1533,QCNIC_N,2,),IF(AND(H1533="UREA",OR(I1533="TN",I1533="TDN",I1533="TNO2-3",I1533="NO2-3")),VLOOKUP(E1533,QCUREA_N,2,),IF(H1533="PER",VLOOKUP(I1533,QCPER,MATCH(E1533,QCACTUAL!$J$25:$AA$25,0),),IF(H1533="SPK",VLOOKUP(I1533,QCSPK,3,),IF(AND(H1533="ATP",OR(I1533="TP",I1533="TDP")),VLOOKUP(E1533,QCATP_P,2,),""))))))))</f>
        <v>75</v>
      </c>
      <c r="W1533" s="31" t="str">
        <f t="shared" si="170"/>
        <v>TRUE</v>
      </c>
      <c r="X1533" s="31" t="str">
        <f t="shared" si="167"/>
        <v>[chk]/[actual]*100</v>
      </c>
      <c r="Y1533" s="10" t="s">
        <v>1096</v>
      </c>
      <c r="AL1533" s="10" t="str">
        <f t="shared" si="172"/>
        <v>FALSE</v>
      </c>
      <c r="AM1533" s="10" t="str">
        <f t="shared" si="172"/>
        <v>FALSE</v>
      </c>
      <c r="AN1533" s="10" t="str">
        <f t="shared" si="172"/>
        <v>FALSE</v>
      </c>
      <c r="AO1533" s="10" t="str">
        <f t="shared" si="173"/>
        <v>FALSE</v>
      </c>
      <c r="AP1533" s="10" t="str">
        <f t="shared" si="173"/>
        <v>FALSE</v>
      </c>
      <c r="AQ1533" s="10" t="b">
        <f>IF(AND(I1533="TP",S1533&lt;=150),VLOOKUP(AF1533,TPCalibEq150!$AZ$2:$BB$55,3,),IF(AND(I1533="TDP",S1533&lt;=150),VLOOKUP(AF1533,TPCalibEq150!$AZ$2:$BB$55,3,)))</f>
        <v>0</v>
      </c>
      <c r="AR1533" s="10" t="b">
        <f>IF(AND(I1533="TP",S1533&lt;=300),VLOOKUP(AF1533,TPCalibEq300!$AZ$2:$BB$55,3,),IF(AND(I1533="TDP",S1533&lt;=300),VLOOKUP(AF1533,TPCalibEq300!$AZ$2:$BB$55,3,)))</f>
        <v>0</v>
      </c>
      <c r="AS1533" s="10" t="b">
        <f>IF(AND(I1533="TP",S1533&lt;=500),VLOOKUP(AF1533,TPCalibEq500!$AZ$2:$BB$56,3,),IF(AND(I1533="TDP",S1533&lt;=500),VLOOKUP(AF1533,TPCalibEq500!$AZ$2:$BB$56,3,)))</f>
        <v>0</v>
      </c>
      <c r="AT1533" s="10" t="b">
        <f>IF(AND(I1533="TN",S1533&lt;=2800),VLOOKUP(AF1533,TNCalibEq2500!$AZ$2:$BB$56,3,),IF(AND(I1533="TDN",S1533&lt;=2800),VLOOKUP(AF1533,TNCalibEq2500!$AZ$2:$BB$56,3,)))</f>
        <v>0</v>
      </c>
      <c r="AU1533" s="10" t="b">
        <f>IF(I1533="TP",VLOOKUP(AF1533,TPCalibEqFull!$AZ$2:$BB$56,3),IF(I1533="TDP",VLOOKUP(AF1533,TPCalibEqFull!$AZ$2:$BB$56,3),IF(I1533="TDN",VLOOKUP(AF1533,TNCalibEqFull!$AZ$1:$BB$56,3),IF(I1533="TN",VLOOKUP(AF1533,TNCalibEqFull!$AZ$1:$BB$56,3),FALSE))))</f>
        <v>0</v>
      </c>
      <c r="AV1533" s="10" t="str">
        <f t="shared" si="171"/>
        <v>0201 09:00:00-QAC-STD-D-1-DI-CHK</v>
      </c>
    </row>
    <row r="1534" spans="1:48" s="10" customFormat="1" x14ac:dyDescent="0.55000000000000004">
      <c r="A1534" s="32">
        <v>44949</v>
      </c>
      <c r="B1534" s="33">
        <v>0.49861111111111112</v>
      </c>
      <c r="C1534" s="10" t="s">
        <v>336</v>
      </c>
      <c r="D1534" s="10">
        <v>0</v>
      </c>
      <c r="E1534" s="10" t="s">
        <v>911</v>
      </c>
      <c r="F1534" s="10">
        <v>1</v>
      </c>
      <c r="G1534" s="10" t="s">
        <v>231</v>
      </c>
      <c r="H1534" s="10" t="s">
        <v>322</v>
      </c>
      <c r="I1534" s="10" t="s">
        <v>167</v>
      </c>
      <c r="J1534" s="10">
        <v>65</v>
      </c>
      <c r="K1534" s="12">
        <v>44958</v>
      </c>
      <c r="L1534" s="33">
        <v>0.57601851851851849</v>
      </c>
      <c r="M1534" s="10">
        <v>1</v>
      </c>
      <c r="N1534" s="10" t="s">
        <v>211</v>
      </c>
      <c r="O1534" s="10">
        <v>0.42899999999999999</v>
      </c>
      <c r="P1534" s="10">
        <v>4.0099999999999997E-2</v>
      </c>
      <c r="Q1534" s="10">
        <v>73.2</v>
      </c>
      <c r="R1534" s="10" t="s">
        <v>913</v>
      </c>
      <c r="S1534" s="34">
        <f t="shared" si="168"/>
        <v>73.2</v>
      </c>
      <c r="T1534" s="10" t="s">
        <v>1111</v>
      </c>
      <c r="U1534" s="34" t="str">
        <f t="shared" si="169"/>
        <v/>
      </c>
      <c r="V1534" s="31" t="str">
        <f>IF(H1534="CHK",VLOOKUP(I1534,QCCHK,3,),IF(H1534="GUP",VLOOKUP(E1534,QCGUP,2,),IF(AND(H1534="ATP",OR(I1534="TN",I1534="TDN",I1534="TNO2-3",I1534="NO2-3")),VLOOKUP(E1534,QCREC_N,2,),IF(AND(H1534="NIC",OR(I1534="TN",I1534="TDN",I1534="TNO2-3",I1534="NO2-3")),VLOOKUP(E1534,QCNIC_N,2,),IF(AND(H1534="UREA",OR(I1534="TN",I1534="TDN",I1534="TNO2-3",I1534="NO2-3")),VLOOKUP(E1534,QCUREA_N,2,),IF(H1534="PER",VLOOKUP(I1534,QCPER,MATCH(E1534,QCACTUAL!$J$25:$AA$25,0),),IF(H1534="SPK",VLOOKUP(I1534,QCSPK,3,),IF(AND(H1534="ATP",OR(I1534="TP",I1534="TDP")),VLOOKUP(E1534,QCATP_P,2,),""))))))))</f>
        <v/>
      </c>
      <c r="W1534" s="31" t="str">
        <f t="shared" si="170"/>
        <v>TRUE</v>
      </c>
      <c r="X1534" s="31" t="str">
        <f t="shared" si="167"/>
        <v/>
      </c>
      <c r="Y1534" s="10" t="s">
        <v>1096</v>
      </c>
      <c r="Z1534" s="10" t="s">
        <v>910</v>
      </c>
      <c r="AL1534" s="10" t="str">
        <f t="shared" si="172"/>
        <v>FALSE</v>
      </c>
      <c r="AM1534" s="10" t="str">
        <f t="shared" si="172"/>
        <v>FALSE</v>
      </c>
      <c r="AN1534" s="10" t="str">
        <f t="shared" si="172"/>
        <v>FALSE</v>
      </c>
      <c r="AO1534" s="10" t="str">
        <f t="shared" si="173"/>
        <v>FALSE</v>
      </c>
      <c r="AP1534" s="10" t="str">
        <f t="shared" si="173"/>
        <v>FALSE</v>
      </c>
      <c r="AQ1534" s="10" t="b">
        <f>IF(AND(I1534="TP",S1534&lt;=150),VLOOKUP(AF1534,TPCalibEq150!$AZ$2:$BB$55,3,),IF(AND(I1534="TDP",S1534&lt;=150),VLOOKUP(AF1534,TPCalibEq150!$AZ$2:$BB$55,3,)))</f>
        <v>0</v>
      </c>
      <c r="AR1534" s="10" t="b">
        <f>IF(AND(I1534="TP",S1534&lt;=300),VLOOKUP(AF1534,TPCalibEq300!$AZ$2:$BB$55,3,),IF(AND(I1534="TDP",S1534&lt;=300),VLOOKUP(AF1534,TPCalibEq300!$AZ$2:$BB$55,3,)))</f>
        <v>0</v>
      </c>
      <c r="AS1534" s="10" t="b">
        <f>IF(AND(I1534="TP",S1534&lt;=500),VLOOKUP(AF1534,TPCalibEq500!$AZ$2:$BB$56,3,),IF(AND(I1534="TDP",S1534&lt;=500),VLOOKUP(AF1534,TPCalibEq500!$AZ$2:$BB$56,3,)))</f>
        <v>0</v>
      </c>
      <c r="AT1534" s="10" t="b">
        <f>IF(AND(I1534="TN",S1534&lt;=2800),VLOOKUP(AF1534,TNCalibEq2500!$AZ$2:$BB$56,3,),IF(AND(I1534="TDN",S1534&lt;=2800),VLOOKUP(AF1534,TNCalibEq2500!$AZ$2:$BB$56,3,)))</f>
        <v>0</v>
      </c>
      <c r="AU1534" s="10" t="b">
        <f>IF(I1534="TP",VLOOKUP(AF1534,TPCalibEqFull!$AZ$2:$BB$56,3),IF(I1534="TDP",VLOOKUP(AF1534,TPCalibEqFull!$AZ$2:$BB$56,3),IF(I1534="TDN",VLOOKUP(AF1534,TNCalibEqFull!$AZ$1:$BB$56,3),IF(I1534="TN",VLOOKUP(AF1534,TNCalibEqFull!$AZ$1:$BB$56,3),FALSE))))</f>
        <v>0</v>
      </c>
      <c r="AV1534" s="10" t="str">
        <f t="shared" si="171"/>
        <v>0123 11:58:00-HWR-0-FIL-1-SW-UKN</v>
      </c>
    </row>
    <row r="1535" spans="1:48" s="10" customFormat="1" x14ac:dyDescent="0.55000000000000004">
      <c r="A1535" s="32">
        <v>44949</v>
      </c>
      <c r="B1535" s="33">
        <v>0.50555555555555554</v>
      </c>
      <c r="C1535" s="10" t="s">
        <v>295</v>
      </c>
      <c r="D1535" s="10">
        <v>0</v>
      </c>
      <c r="E1535" s="10" t="s">
        <v>911</v>
      </c>
      <c r="F1535" s="10">
        <v>1</v>
      </c>
      <c r="G1535" s="10" t="s">
        <v>231</v>
      </c>
      <c r="H1535" s="10" t="s">
        <v>322</v>
      </c>
      <c r="I1535" s="10" t="s">
        <v>167</v>
      </c>
      <c r="J1535" s="10">
        <v>66</v>
      </c>
      <c r="K1535" s="12">
        <v>44958</v>
      </c>
      <c r="L1535" s="33">
        <v>0.5768402777777778</v>
      </c>
      <c r="M1535" s="10">
        <v>1</v>
      </c>
      <c r="N1535" s="10" t="s">
        <v>211</v>
      </c>
      <c r="O1535" s="10">
        <v>0.41399999999999998</v>
      </c>
      <c r="P1535" s="10">
        <v>3.8699999999999998E-2</v>
      </c>
      <c r="Q1535" s="10">
        <v>70.599999999999994</v>
      </c>
      <c r="R1535" s="10" t="s">
        <v>913</v>
      </c>
      <c r="S1535" s="34">
        <f t="shared" si="168"/>
        <v>70.599999999999994</v>
      </c>
      <c r="T1535" s="10" t="s">
        <v>1111</v>
      </c>
      <c r="U1535" s="34" t="str">
        <f t="shared" si="169"/>
        <v/>
      </c>
      <c r="V1535" s="31" t="str">
        <f>IF(H1535="CHK",VLOOKUP(I1535,QCCHK,3,),IF(H1535="GUP",VLOOKUP(E1535,QCGUP,2,),IF(AND(H1535="ATP",OR(I1535="TN",I1535="TDN",I1535="TNO2-3",I1535="NO2-3")),VLOOKUP(E1535,QCREC_N,2,),IF(AND(H1535="NIC",OR(I1535="TN",I1535="TDN",I1535="TNO2-3",I1535="NO2-3")),VLOOKUP(E1535,QCNIC_N,2,),IF(AND(H1535="UREA",OR(I1535="TN",I1535="TDN",I1535="TNO2-3",I1535="NO2-3")),VLOOKUP(E1535,QCUREA_N,2,),IF(H1535="PER",VLOOKUP(I1535,QCPER,MATCH(E1535,QCACTUAL!$J$25:$AA$25,0),),IF(H1535="SPK",VLOOKUP(I1535,QCSPK,3,),IF(AND(H1535="ATP",OR(I1535="TP",I1535="TDP")),VLOOKUP(E1535,QCATP_P,2,),""))))))))</f>
        <v/>
      </c>
      <c r="W1535" s="31" t="str">
        <f t="shared" si="170"/>
        <v>TRUE</v>
      </c>
      <c r="X1535" s="31" t="str">
        <f t="shared" ref="X1535:X1598" si="174">IF(ISNA(VLOOKUP(H1535,QCEQUATIONS,2,)),"",(VLOOKUP(H1535,QCEQUATIONS,2,)))</f>
        <v/>
      </c>
      <c r="Y1535" s="10" t="s">
        <v>1096</v>
      </c>
      <c r="Z1535" s="10" t="s">
        <v>910</v>
      </c>
      <c r="AL1535" s="10" t="str">
        <f t="shared" si="172"/>
        <v>FALSE</v>
      </c>
      <c r="AM1535" s="10" t="str">
        <f t="shared" si="172"/>
        <v>FALSE</v>
      </c>
      <c r="AN1535" s="10" t="str">
        <f t="shared" si="172"/>
        <v>FALSE</v>
      </c>
      <c r="AO1535" s="10" t="str">
        <f t="shared" si="173"/>
        <v>FALSE</v>
      </c>
      <c r="AP1535" s="10" t="str">
        <f t="shared" si="173"/>
        <v>FALSE</v>
      </c>
      <c r="AQ1535" s="10" t="b">
        <f>IF(AND(I1535="TP",S1535&lt;=150),VLOOKUP(AF1535,TPCalibEq150!$AZ$2:$BB$55,3,),IF(AND(I1535="TDP",S1535&lt;=150),VLOOKUP(AF1535,TPCalibEq150!$AZ$2:$BB$55,3,)))</f>
        <v>0</v>
      </c>
      <c r="AR1535" s="10" t="b">
        <f>IF(AND(I1535="TP",S1535&lt;=300),VLOOKUP(AF1535,TPCalibEq300!$AZ$2:$BB$55,3,),IF(AND(I1535="TDP",S1535&lt;=300),VLOOKUP(AF1535,TPCalibEq300!$AZ$2:$BB$55,3,)))</f>
        <v>0</v>
      </c>
      <c r="AS1535" s="10" t="b">
        <f>IF(AND(I1535="TP",S1535&lt;=500),VLOOKUP(AF1535,TPCalibEq500!$AZ$2:$BB$56,3,),IF(AND(I1535="TDP",S1535&lt;=500),VLOOKUP(AF1535,TPCalibEq500!$AZ$2:$BB$56,3,)))</f>
        <v>0</v>
      </c>
      <c r="AT1535" s="10" t="b">
        <f>IF(AND(I1535="TN",S1535&lt;=2800),VLOOKUP(AF1535,TNCalibEq2500!$AZ$2:$BB$56,3,),IF(AND(I1535="TDN",S1535&lt;=2800),VLOOKUP(AF1535,TNCalibEq2500!$AZ$2:$BB$56,3,)))</f>
        <v>0</v>
      </c>
      <c r="AU1535" s="10" t="b">
        <f>IF(I1535="TP",VLOOKUP(AF1535,TPCalibEqFull!$AZ$2:$BB$56,3),IF(I1535="TDP",VLOOKUP(AF1535,TPCalibEqFull!$AZ$2:$BB$56,3),IF(I1535="TDN",VLOOKUP(AF1535,TNCalibEqFull!$AZ$1:$BB$56,3),IF(I1535="TN",VLOOKUP(AF1535,TNCalibEqFull!$AZ$1:$BB$56,3),FALSE))))</f>
        <v>0</v>
      </c>
      <c r="AV1535" s="10" t="str">
        <f t="shared" si="171"/>
        <v>0123 12:08:00-EFM-0-FIL-1-SW-UKN</v>
      </c>
    </row>
    <row r="1536" spans="1:48" s="10" customFormat="1" x14ac:dyDescent="0.55000000000000004">
      <c r="A1536" s="32">
        <v>44949</v>
      </c>
      <c r="B1536" s="33">
        <v>0.52500000000000002</v>
      </c>
      <c r="C1536" s="10" t="s">
        <v>999</v>
      </c>
      <c r="D1536" s="10">
        <v>0</v>
      </c>
      <c r="E1536" s="10" t="s">
        <v>911</v>
      </c>
      <c r="F1536" s="10">
        <v>1</v>
      </c>
      <c r="G1536" s="10" t="s">
        <v>231</v>
      </c>
      <c r="H1536" s="10" t="s">
        <v>322</v>
      </c>
      <c r="I1536" s="10" t="s">
        <v>167</v>
      </c>
      <c r="J1536" s="10">
        <v>67</v>
      </c>
      <c r="K1536" s="12">
        <v>44958</v>
      </c>
      <c r="L1536" s="33">
        <v>0.57765046296296296</v>
      </c>
      <c r="M1536" s="10">
        <v>1</v>
      </c>
      <c r="N1536" s="10" t="s">
        <v>211</v>
      </c>
      <c r="O1536" s="10">
        <v>0.58899999999999997</v>
      </c>
      <c r="P1536" s="10">
        <v>5.4399999999999997E-2</v>
      </c>
      <c r="Q1536" s="10">
        <v>101</v>
      </c>
      <c r="R1536" s="10" t="s">
        <v>913</v>
      </c>
      <c r="S1536" s="34">
        <f t="shared" ref="S1536:S1599" si="175">IF(OR(AND(I1536&lt;&gt;"TP", I1536&lt;&gt;"TDP",I1536&lt;&gt;"TN", I1536&lt;&gt;"TDN"),H1536="CAL"), Q1536*M1536, IF(OR(AND(I1536="TN", Q1536&gt;2500), AND(I1536="TDN", Q1536&gt;2500)),MAX(Q1536, AK1536)*M1536, IF(OR(AND(I1536="TN", Q1536&lt;=2500), AND(I1536="TDN", Q1536&lt;=2500)),MAX(Q1536, AJ1536,AK1536)*M1536, IF(OR(AND(I1536="TP",Q1536&gt;500), AND(I1536="TDP", Q1536&gt;500)),MAX(Q1536,AK1536)*M1536,IF(OR(AND(I1536="TP",Q1536&lt;=150), AND(I1536="TDP", Q1536&lt;=150)),MAX(Q1536,AG1536:AI1536,AK1536)*M1536,IF(OR(AND(I1536="TP",Q1536&lt;=300), AND(I1536="TDP", Q1536&lt;=300)),MAX(Q1536,AH1536,AI1536,AK1536)*M1536,IF(OR(AND(I1536="TP",Q1536&lt;=500), AND(I1536="TDP", Q1536&lt;=500)),MAX(Q1536,AI1536,AK1536)*M1536,"")))))))</f>
        <v>101</v>
      </c>
      <c r="T1536" s="10" t="s">
        <v>1111</v>
      </c>
      <c r="U1536" s="34" t="str">
        <f t="shared" si="169"/>
        <v/>
      </c>
      <c r="V1536" s="31" t="str">
        <f>IF(H1536="CHK",VLOOKUP(I1536,QCCHK,3,),IF(H1536="GUP",VLOOKUP(E1536,QCGUP,2,),IF(AND(H1536="ATP",OR(I1536="TN",I1536="TDN",I1536="TNO2-3",I1536="NO2-3")),VLOOKUP(E1536,QCREC_N,2,),IF(AND(H1536="NIC",OR(I1536="TN",I1536="TDN",I1536="TNO2-3",I1536="NO2-3")),VLOOKUP(E1536,QCNIC_N,2,),IF(AND(H1536="UREA",OR(I1536="TN",I1536="TDN",I1536="TNO2-3",I1536="NO2-3")),VLOOKUP(E1536,QCUREA_N,2,),IF(H1536="PER",VLOOKUP(I1536,QCPER,MATCH(E1536,QCACTUAL!$J$25:$AA$25,0),),IF(H1536="SPK",VLOOKUP(I1536,QCSPK,3,),IF(AND(H1536="ATP",OR(I1536="TP",I1536="TDP")),VLOOKUP(E1536,QCATP_P,2,),""))))))))</f>
        <v/>
      </c>
      <c r="W1536" s="31" t="str">
        <f t="shared" si="170"/>
        <v>TRUE</v>
      </c>
      <c r="X1536" s="31" t="str">
        <f t="shared" si="174"/>
        <v/>
      </c>
      <c r="Y1536" s="10" t="s">
        <v>1096</v>
      </c>
      <c r="Z1536" s="10" t="s">
        <v>910</v>
      </c>
      <c r="AL1536" s="10" t="str">
        <f t="shared" si="172"/>
        <v>FALSE</v>
      </c>
      <c r="AM1536" s="10" t="str">
        <f t="shared" si="172"/>
        <v>FALSE</v>
      </c>
      <c r="AN1536" s="10" t="str">
        <f t="shared" si="172"/>
        <v>FALSE</v>
      </c>
      <c r="AO1536" s="10" t="str">
        <f t="shared" si="173"/>
        <v>FALSE</v>
      </c>
      <c r="AP1536" s="10" t="str">
        <f t="shared" si="173"/>
        <v>FALSE</v>
      </c>
      <c r="AQ1536" s="10" t="b">
        <f>IF(AND(I1536="TP",S1536&lt;=150),VLOOKUP(AF1536,TPCalibEq150!$AZ$2:$BB$55,3,),IF(AND(I1536="TDP",S1536&lt;=150),VLOOKUP(AF1536,TPCalibEq150!$AZ$2:$BB$55,3,)))</f>
        <v>0</v>
      </c>
      <c r="AR1536" s="10" t="b">
        <f>IF(AND(I1536="TP",S1536&lt;=300),VLOOKUP(AF1536,TPCalibEq300!$AZ$2:$BB$55,3,),IF(AND(I1536="TDP",S1536&lt;=300),VLOOKUP(AF1536,TPCalibEq300!$AZ$2:$BB$55,3,)))</f>
        <v>0</v>
      </c>
      <c r="AS1536" s="10" t="b">
        <f>IF(AND(I1536="TP",S1536&lt;=500),VLOOKUP(AF1536,TPCalibEq500!$AZ$2:$BB$56,3,),IF(AND(I1536="TDP",S1536&lt;=500),VLOOKUP(AF1536,TPCalibEq500!$AZ$2:$BB$56,3,)))</f>
        <v>0</v>
      </c>
      <c r="AT1536" s="10" t="b">
        <f>IF(AND(I1536="TN",S1536&lt;=2800),VLOOKUP(AF1536,TNCalibEq2500!$AZ$2:$BB$56,3,),IF(AND(I1536="TDN",S1536&lt;=2800),VLOOKUP(AF1536,TNCalibEq2500!$AZ$2:$BB$56,3,)))</f>
        <v>0</v>
      </c>
      <c r="AU1536" s="10" t="b">
        <f>IF(I1536="TP",VLOOKUP(AF1536,TPCalibEqFull!$AZ$2:$BB$56,3),IF(I1536="TDP",VLOOKUP(AF1536,TPCalibEqFull!$AZ$2:$BB$56,3),IF(I1536="TDN",VLOOKUP(AF1536,TNCalibEqFull!$AZ$1:$BB$56,3),IF(I1536="TN",VLOOKUP(AF1536,TNCalibEqFull!$AZ$1:$BB$56,3),FALSE))))</f>
        <v>0</v>
      </c>
      <c r="AV1536" s="10" t="str">
        <f t="shared" si="171"/>
        <v>0123 12:36:00-EAW-0-FIL-1-SW-UKN</v>
      </c>
    </row>
    <row r="1537" spans="1:48" s="10" customFormat="1" x14ac:dyDescent="0.55000000000000004">
      <c r="A1537" s="32">
        <v>44949</v>
      </c>
      <c r="B1537" s="33">
        <v>0.52916666666666667</v>
      </c>
      <c r="C1537" s="10" t="s">
        <v>310</v>
      </c>
      <c r="D1537" s="10">
        <v>0</v>
      </c>
      <c r="E1537" s="10" t="s">
        <v>911</v>
      </c>
      <c r="F1537" s="10">
        <v>1</v>
      </c>
      <c r="G1537" s="10" t="s">
        <v>231</v>
      </c>
      <c r="H1537" s="10" t="s">
        <v>322</v>
      </c>
      <c r="I1537" s="10" t="s">
        <v>167</v>
      </c>
      <c r="J1537" s="10">
        <v>68</v>
      </c>
      <c r="K1537" s="12">
        <v>44958</v>
      </c>
      <c r="L1537" s="33">
        <v>0.57847222222222217</v>
      </c>
      <c r="M1537" s="10">
        <v>1</v>
      </c>
      <c r="N1537" s="10" t="s">
        <v>211</v>
      </c>
      <c r="O1537" s="10">
        <v>0.67700000000000005</v>
      </c>
      <c r="P1537" s="10">
        <v>6.3299999999999995E-2</v>
      </c>
      <c r="Q1537" s="10">
        <v>116</v>
      </c>
      <c r="R1537" s="10" t="s">
        <v>913</v>
      </c>
      <c r="S1537" s="34">
        <f t="shared" si="175"/>
        <v>116</v>
      </c>
      <c r="T1537" s="10" t="s">
        <v>1111</v>
      </c>
      <c r="U1537" s="34" t="str">
        <f t="shared" si="169"/>
        <v/>
      </c>
      <c r="V1537" s="31" t="str">
        <f>IF(H1537="CHK",VLOOKUP(I1537,QCCHK,3,),IF(H1537="GUP",VLOOKUP(E1537,QCGUP,2,),IF(AND(H1537="ATP",OR(I1537="TN",I1537="TDN",I1537="TNO2-3",I1537="NO2-3")),VLOOKUP(E1537,QCREC_N,2,),IF(AND(H1537="NIC",OR(I1537="TN",I1537="TDN",I1537="TNO2-3",I1537="NO2-3")),VLOOKUP(E1537,QCNIC_N,2,),IF(AND(H1537="UREA",OR(I1537="TN",I1537="TDN",I1537="TNO2-3",I1537="NO2-3")),VLOOKUP(E1537,QCUREA_N,2,),IF(H1537="PER",VLOOKUP(I1537,QCPER,MATCH(E1537,QCACTUAL!$J$25:$AA$25,0),),IF(H1537="SPK",VLOOKUP(I1537,QCSPK,3,),IF(AND(H1537="ATP",OR(I1537="TP",I1537="TDP")),VLOOKUP(E1537,QCATP_P,2,),""))))))))</f>
        <v/>
      </c>
      <c r="W1537" s="31" t="str">
        <f t="shared" si="170"/>
        <v>TRUE</v>
      </c>
      <c r="X1537" s="31" t="str">
        <f t="shared" si="174"/>
        <v/>
      </c>
      <c r="Y1537" s="10" t="s">
        <v>1096</v>
      </c>
      <c r="Z1537" s="10" t="s">
        <v>910</v>
      </c>
      <c r="AL1537" s="10" t="str">
        <f t="shared" si="172"/>
        <v>FALSE</v>
      </c>
      <c r="AM1537" s="10" t="str">
        <f t="shared" si="172"/>
        <v>FALSE</v>
      </c>
      <c r="AN1537" s="10" t="str">
        <f t="shared" si="172"/>
        <v>FALSE</v>
      </c>
      <c r="AO1537" s="10" t="str">
        <f t="shared" si="173"/>
        <v>FALSE</v>
      </c>
      <c r="AP1537" s="10" t="str">
        <f t="shared" si="173"/>
        <v>FALSE</v>
      </c>
      <c r="AQ1537" s="10" t="b">
        <f>IF(AND(I1537="TP",S1537&lt;=150),VLOOKUP(AF1537,TPCalibEq150!$AZ$2:$BB$55,3,),IF(AND(I1537="TDP",S1537&lt;=150),VLOOKUP(AF1537,TPCalibEq150!$AZ$2:$BB$55,3,)))</f>
        <v>0</v>
      </c>
      <c r="AR1537" s="10" t="b">
        <f>IF(AND(I1537="TP",S1537&lt;=300),VLOOKUP(AF1537,TPCalibEq300!$AZ$2:$BB$55,3,),IF(AND(I1537="TDP",S1537&lt;=300),VLOOKUP(AF1537,TPCalibEq300!$AZ$2:$BB$55,3,)))</f>
        <v>0</v>
      </c>
      <c r="AS1537" s="10" t="b">
        <f>IF(AND(I1537="TP",S1537&lt;=500),VLOOKUP(AF1537,TPCalibEq500!$AZ$2:$BB$56,3,),IF(AND(I1537="TDP",S1537&lt;=500),VLOOKUP(AF1537,TPCalibEq500!$AZ$2:$BB$56,3,)))</f>
        <v>0</v>
      </c>
      <c r="AT1537" s="10" t="b">
        <f>IF(AND(I1537="TN",S1537&lt;=2800),VLOOKUP(AF1537,TNCalibEq2500!$AZ$2:$BB$56,3,),IF(AND(I1537="TDN",S1537&lt;=2800),VLOOKUP(AF1537,TNCalibEq2500!$AZ$2:$BB$56,3,)))</f>
        <v>0</v>
      </c>
      <c r="AU1537" s="10" t="b">
        <f>IF(I1537="TP",VLOOKUP(AF1537,TPCalibEqFull!$AZ$2:$BB$56,3),IF(I1537="TDP",VLOOKUP(AF1537,TPCalibEqFull!$AZ$2:$BB$56,3),IF(I1537="TDN",VLOOKUP(AF1537,TNCalibEqFull!$AZ$1:$BB$56,3),IF(I1537="TN",VLOOKUP(AF1537,TNCalibEqFull!$AZ$1:$BB$56,3),FALSE))))</f>
        <v>0</v>
      </c>
      <c r="AV1537" s="10" t="str">
        <f t="shared" si="171"/>
        <v>0123 12:42:00-ELI-0-FIL-1-SW-UKN</v>
      </c>
    </row>
    <row r="1538" spans="1:48" s="10" customFormat="1" x14ac:dyDescent="0.55000000000000004">
      <c r="A1538" s="32">
        <v>44949</v>
      </c>
      <c r="B1538" s="33">
        <v>0.52916666666666667</v>
      </c>
      <c r="C1538" s="10" t="s">
        <v>310</v>
      </c>
      <c r="D1538" s="10">
        <v>0</v>
      </c>
      <c r="E1538" s="10" t="s">
        <v>911</v>
      </c>
      <c r="F1538" s="10">
        <v>1</v>
      </c>
      <c r="G1538" s="10" t="s">
        <v>231</v>
      </c>
      <c r="H1538" s="10" t="s">
        <v>233</v>
      </c>
      <c r="I1538" s="10" t="s">
        <v>167</v>
      </c>
      <c r="J1538" s="10">
        <v>68</v>
      </c>
      <c r="K1538" s="12">
        <v>44958</v>
      </c>
      <c r="L1538" s="33">
        <v>0.57929398148148148</v>
      </c>
      <c r="M1538" s="10">
        <v>1</v>
      </c>
      <c r="N1538" s="10" t="s">
        <v>211</v>
      </c>
      <c r="O1538" s="10">
        <v>0.44700000000000001</v>
      </c>
      <c r="P1538" s="10">
        <v>4.1300000000000003E-2</v>
      </c>
      <c r="Q1538" s="10">
        <v>76.3</v>
      </c>
      <c r="R1538" s="10" t="s">
        <v>913</v>
      </c>
      <c r="S1538" s="34">
        <f t="shared" si="175"/>
        <v>76.3</v>
      </c>
      <c r="T1538" s="10" t="s">
        <v>1111</v>
      </c>
      <c r="U1538" s="34">
        <f t="shared" ref="U1538:U1601" si="176">IF(OR(H1538="CHK",H1538="ATP",H1538="GUP",H1538="PER", H1538="NIC", H1538="UREA"),(S1538/V1538*100),IF(H1538="DUP",((ABS(S1538-S1537))/((S1537+S1538)/2))*100,IF(H1538="SPK",((S1538-S1537)/V1538*100),IF(OR(H1538="LAB",H1538="FLD",H1538="ESF"),S1538,""))))</f>
        <v>41.289651586063442</v>
      </c>
      <c r="V1538" s="31" t="str">
        <f>IF(H1538="CHK",VLOOKUP(I1538,QCCHK,3,),IF(H1538="GUP",VLOOKUP(E1538,QCGUP,2,),IF(AND(H1538="ATP",OR(I1538="TN",I1538="TDN",I1538="TNO2-3",I1538="NO2-3")),VLOOKUP(E1538,QCREC_N,2,),IF(AND(H1538="NIC",OR(I1538="TN",I1538="TDN",I1538="TNO2-3",I1538="NO2-3")),VLOOKUP(E1538,QCNIC_N,2,),IF(AND(H1538="UREA",OR(I1538="TN",I1538="TDN",I1538="TNO2-3",I1538="NO2-3")),VLOOKUP(E1538,QCUREA_N,2,),IF(H1538="PER",VLOOKUP(I1538,QCPER,MATCH(E1538,QCACTUAL!$J$25:$AA$25,0),),IF(H1538="SPK",VLOOKUP(I1538,QCSPK,3,),IF(AND(H1538="ATP",OR(I1538="TP",I1538="TDP")),VLOOKUP(E1538,QCATP_P,2,),""))))))))</f>
        <v/>
      </c>
      <c r="W1538" s="31" t="str">
        <f t="shared" ref="W1538:W1601" si="177">IF(AND(OR(H1538="PER",H1538="ATP",H1538="GUP",H1538="CHK",H1538="SPK", H1538="NIC"),OR(U1538&gt;125,U1538&lt;75)),"FALSE",IF(AND(H1538="DUP",OR(U1538&gt;25, U1538&lt;-25)),"FALSE",IF(AND(OR(H1538="LAB",H1538="FLD",H1538="ESF"),U1538&gt;15),"FALSE","TRUE")))</f>
        <v>FALSE</v>
      </c>
      <c r="X1538" s="31" t="str">
        <f t="shared" si="174"/>
        <v>((ABS(rep1-rep2))/((rep1+rep2)/2)*100</v>
      </c>
      <c r="Y1538" s="10" t="s">
        <v>1096</v>
      </c>
      <c r="Z1538" s="10" t="s">
        <v>910</v>
      </c>
      <c r="AL1538" s="10" t="str">
        <f t="shared" si="172"/>
        <v>FALSE</v>
      </c>
      <c r="AM1538" s="10" t="str">
        <f t="shared" si="172"/>
        <v>FALSE</v>
      </c>
      <c r="AN1538" s="10" t="str">
        <f t="shared" si="172"/>
        <v>FALSE</v>
      </c>
      <c r="AO1538" s="10" t="str">
        <f t="shared" si="173"/>
        <v>FALSE</v>
      </c>
      <c r="AP1538" s="10" t="str">
        <f t="shared" si="173"/>
        <v>FALSE</v>
      </c>
      <c r="AQ1538" s="10" t="b">
        <f>IF(AND(I1538="TP",S1538&lt;=150),VLOOKUP(AF1538,TPCalibEq150!$AZ$2:$BB$55,3,),IF(AND(I1538="TDP",S1538&lt;=150),VLOOKUP(AF1538,TPCalibEq150!$AZ$2:$BB$55,3,)))</f>
        <v>0</v>
      </c>
      <c r="AR1538" s="10" t="b">
        <f>IF(AND(I1538="TP",S1538&lt;=300),VLOOKUP(AF1538,TPCalibEq300!$AZ$2:$BB$55,3,),IF(AND(I1538="TDP",S1538&lt;=300),VLOOKUP(AF1538,TPCalibEq300!$AZ$2:$BB$55,3,)))</f>
        <v>0</v>
      </c>
      <c r="AS1538" s="10" t="b">
        <f>IF(AND(I1538="TP",S1538&lt;=500),VLOOKUP(AF1538,TPCalibEq500!$AZ$2:$BB$56,3,),IF(AND(I1538="TDP",S1538&lt;=500),VLOOKUP(AF1538,TPCalibEq500!$AZ$2:$BB$56,3,)))</f>
        <v>0</v>
      </c>
      <c r="AT1538" s="10" t="b">
        <f>IF(AND(I1538="TN",S1538&lt;=2800),VLOOKUP(AF1538,TNCalibEq2500!$AZ$2:$BB$56,3,),IF(AND(I1538="TDN",S1538&lt;=2800),VLOOKUP(AF1538,TNCalibEq2500!$AZ$2:$BB$56,3,)))</f>
        <v>0</v>
      </c>
      <c r="AU1538" s="10" t="b">
        <f>IF(I1538="TP",VLOOKUP(AF1538,TPCalibEqFull!$AZ$2:$BB$56,3),IF(I1538="TDP",VLOOKUP(AF1538,TPCalibEqFull!$AZ$2:$BB$56,3),IF(I1538="TDN",VLOOKUP(AF1538,TNCalibEqFull!$AZ$1:$BB$56,3),IF(I1538="TN",VLOOKUP(AF1538,TNCalibEqFull!$AZ$1:$BB$56,3),FALSE))))</f>
        <v>0</v>
      </c>
      <c r="AV1538" s="10" t="str">
        <f t="shared" ref="AV1538:AV1601" si="178">TEXT(A1538, "MMDD")&amp;" "&amp;TEXT(B1538, "HH:MM:SS")&amp;"-"&amp;C1538&amp;"-"&amp;D1538&amp;"-"&amp;E1538&amp;"-"&amp;F1538&amp;"-"&amp;G1538&amp;"-"&amp;H1538</f>
        <v>0123 12:42:00-ELI-0-FIL-1-SW-DUP</v>
      </c>
    </row>
    <row r="1539" spans="1:48" s="10" customFormat="1" x14ac:dyDescent="0.55000000000000004">
      <c r="A1539" s="32">
        <v>44949</v>
      </c>
      <c r="B1539" s="33">
        <v>0.52916666666666667</v>
      </c>
      <c r="C1539" s="10" t="s">
        <v>310</v>
      </c>
      <c r="D1539" s="10">
        <v>0</v>
      </c>
      <c r="E1539" s="10" t="s">
        <v>911</v>
      </c>
      <c r="F1539" s="10">
        <v>1</v>
      </c>
      <c r="G1539" s="10" t="s">
        <v>231</v>
      </c>
      <c r="H1539" s="10" t="s">
        <v>314</v>
      </c>
      <c r="I1539" s="10" t="s">
        <v>167</v>
      </c>
      <c r="J1539" s="10">
        <v>89</v>
      </c>
      <c r="K1539" s="12">
        <v>44958</v>
      </c>
      <c r="L1539" s="33">
        <v>0.58010416666666664</v>
      </c>
      <c r="M1539" s="10">
        <v>1</v>
      </c>
      <c r="N1539" s="10" t="s">
        <v>211</v>
      </c>
      <c r="O1539" s="10">
        <v>1.57</v>
      </c>
      <c r="P1539" s="10">
        <v>0.15</v>
      </c>
      <c r="Q1539" s="10">
        <v>270</v>
      </c>
      <c r="R1539" s="10" t="s">
        <v>913</v>
      </c>
      <c r="S1539" s="34">
        <f t="shared" si="175"/>
        <v>270</v>
      </c>
      <c r="T1539" s="10" t="s">
        <v>1111</v>
      </c>
      <c r="U1539" s="34">
        <f t="shared" si="176"/>
        <v>123.96799999999999</v>
      </c>
      <c r="V1539" s="31">
        <f>IF(H1539="CHK",VLOOKUP(I1539,QCCHK,3,),IF(H1539="GUP",VLOOKUP(E1539,QCGUP,2,),IF(AND(H1539="ATP",OR(I1539="TN",I1539="TDN",I1539="TNO2-3",I1539="NO2-3")),VLOOKUP(E1539,QCREC_N,2,),IF(AND(H1539="NIC",OR(I1539="TN",I1539="TDN",I1539="TNO2-3",I1539="NO2-3")),VLOOKUP(E1539,QCNIC_N,2,),IF(AND(H1539="UREA",OR(I1539="TN",I1539="TDN",I1539="TNO2-3",I1539="NO2-3")),VLOOKUP(E1539,QCUREA_N,2,),IF(H1539="PER",VLOOKUP(I1539,QCPER,MATCH(E1539,QCACTUAL!$J$25:$AA$25,0),),IF(H1539="SPK",VLOOKUP(I1539,QCSPK,3,),IF(AND(H1539="ATP",OR(I1539="TP",I1539="TDP")),VLOOKUP(E1539,QCATP_P,2,),""))))))))</f>
        <v>156.25</v>
      </c>
      <c r="W1539" s="31" t="str">
        <f t="shared" si="177"/>
        <v>TRUE</v>
      </c>
      <c r="X1539" s="31" t="str">
        <f t="shared" si="174"/>
        <v>([spikedunkn]-[unkn])/[spike]*100</v>
      </c>
      <c r="Y1539" s="10" t="s">
        <v>1096</v>
      </c>
      <c r="Z1539" s="10" t="s">
        <v>910</v>
      </c>
      <c r="AL1539" s="10" t="str">
        <f t="shared" si="172"/>
        <v>FALSE</v>
      </c>
      <c r="AM1539" s="10" t="str">
        <f t="shared" si="172"/>
        <v>FALSE</v>
      </c>
      <c r="AN1539" s="10" t="str">
        <f t="shared" si="172"/>
        <v>FALSE</v>
      </c>
      <c r="AO1539" s="10" t="str">
        <f t="shared" si="173"/>
        <v>FALSE</v>
      </c>
      <c r="AP1539" s="10" t="str">
        <f t="shared" si="173"/>
        <v>FALSE</v>
      </c>
      <c r="AQ1539" s="10" t="b">
        <f>IF(AND(I1539="TP",S1539&lt;=150),VLOOKUP(AF1539,TPCalibEq150!$AZ$2:$BB$55,3,),IF(AND(I1539="TDP",S1539&lt;=150),VLOOKUP(AF1539,TPCalibEq150!$AZ$2:$BB$55,3,)))</f>
        <v>0</v>
      </c>
      <c r="AR1539" s="10" t="b">
        <f>IF(AND(I1539="TP",S1539&lt;=300),VLOOKUP(AF1539,TPCalibEq300!$AZ$2:$BB$55,3,),IF(AND(I1539="TDP",S1539&lt;=300),VLOOKUP(AF1539,TPCalibEq300!$AZ$2:$BB$55,3,)))</f>
        <v>0</v>
      </c>
      <c r="AS1539" s="10" t="b">
        <f>IF(AND(I1539="TP",S1539&lt;=500),VLOOKUP(AF1539,TPCalibEq500!$AZ$2:$BB$56,3,),IF(AND(I1539="TDP",S1539&lt;=500),VLOOKUP(AF1539,TPCalibEq500!$AZ$2:$BB$56,3,)))</f>
        <v>0</v>
      </c>
      <c r="AT1539" s="10" t="b">
        <f>IF(AND(I1539="TN",S1539&lt;=2800),VLOOKUP(AF1539,TNCalibEq2500!$AZ$2:$BB$56,3,),IF(AND(I1539="TDN",S1539&lt;=2800),VLOOKUP(AF1539,TNCalibEq2500!$AZ$2:$BB$56,3,)))</f>
        <v>0</v>
      </c>
      <c r="AU1539" s="10" t="b">
        <f>IF(I1539="TP",VLOOKUP(AF1539,TPCalibEqFull!$AZ$2:$BB$56,3),IF(I1539="TDP",VLOOKUP(AF1539,TPCalibEqFull!$AZ$2:$BB$56,3),IF(I1539="TDN",VLOOKUP(AF1539,TNCalibEqFull!$AZ$1:$BB$56,3),IF(I1539="TN",VLOOKUP(AF1539,TNCalibEqFull!$AZ$1:$BB$56,3),FALSE))))</f>
        <v>0</v>
      </c>
      <c r="AV1539" s="10" t="str">
        <f t="shared" si="178"/>
        <v>0123 12:42:00-ELI-0-FIL-1-SW-SPK</v>
      </c>
    </row>
    <row r="1540" spans="1:48" s="10" customFormat="1" x14ac:dyDescent="0.55000000000000004">
      <c r="A1540" s="32">
        <v>44958</v>
      </c>
      <c r="B1540" s="33">
        <v>0.375</v>
      </c>
      <c r="C1540" s="10" t="s">
        <v>70</v>
      </c>
      <c r="D1540" s="10" t="s">
        <v>71</v>
      </c>
      <c r="E1540" s="10" t="s">
        <v>901</v>
      </c>
      <c r="F1540" s="10">
        <v>1</v>
      </c>
      <c r="G1540" s="10" t="s">
        <v>73</v>
      </c>
      <c r="H1540" s="10" t="s">
        <v>207</v>
      </c>
      <c r="I1540" s="10" t="s">
        <v>285</v>
      </c>
      <c r="J1540" s="10">
        <v>202</v>
      </c>
      <c r="K1540" s="12">
        <v>44958</v>
      </c>
      <c r="L1540" s="33">
        <v>0.58092592592592596</v>
      </c>
      <c r="M1540" s="10">
        <v>1</v>
      </c>
      <c r="N1540" s="10" t="s">
        <v>211</v>
      </c>
      <c r="O1540" s="10">
        <v>0.44500000000000001</v>
      </c>
      <c r="P1540" s="10">
        <v>4.1700000000000001E-2</v>
      </c>
      <c r="Q1540" s="10">
        <v>76.099999999999994</v>
      </c>
      <c r="R1540" s="10" t="s">
        <v>913</v>
      </c>
      <c r="S1540" s="34">
        <f t="shared" si="175"/>
        <v>76.099999999999994</v>
      </c>
      <c r="T1540" s="10" t="s">
        <v>1111</v>
      </c>
      <c r="U1540" s="34">
        <f t="shared" si="176"/>
        <v>101.46666666666665</v>
      </c>
      <c r="V1540" s="31">
        <f>IF(H1540="CHK",VLOOKUP(I1540,QCCHK,3,),IF(H1540="GUP",VLOOKUP(E1540,QCGUP,2,),IF(AND(H1540="ATP",OR(I1540="TN",I1540="TDN",I1540="TNO2-3",I1540="NO2-3")),VLOOKUP(E1540,QCREC_N,2,),IF(AND(H1540="NIC",OR(I1540="TN",I1540="TDN",I1540="TNO2-3",I1540="NO2-3")),VLOOKUP(E1540,QCNIC_N,2,),IF(AND(H1540="UREA",OR(I1540="TN",I1540="TDN",I1540="TNO2-3",I1540="NO2-3")),VLOOKUP(E1540,QCUREA_N,2,),IF(H1540="PER",VLOOKUP(I1540,QCPER,MATCH(E1540,QCACTUAL!$J$25:$AA$25,0),),IF(H1540="SPK",VLOOKUP(I1540,QCSPK,3,),IF(AND(H1540="ATP",OR(I1540="TP",I1540="TDP")),VLOOKUP(E1540,QCATP_P,2,),""))))))))</f>
        <v>75</v>
      </c>
      <c r="W1540" s="31" t="str">
        <f t="shared" si="177"/>
        <v>TRUE</v>
      </c>
      <c r="X1540" s="31" t="str">
        <f t="shared" si="174"/>
        <v>[chk]/[actual]*100</v>
      </c>
      <c r="Y1540" s="10" t="s">
        <v>1096</v>
      </c>
      <c r="AL1540" s="10" t="str">
        <f t="shared" si="172"/>
        <v>FALSE</v>
      </c>
      <c r="AM1540" s="10" t="str">
        <f t="shared" si="172"/>
        <v>FALSE</v>
      </c>
      <c r="AN1540" s="10" t="str">
        <f t="shared" si="172"/>
        <v>FALSE</v>
      </c>
      <c r="AO1540" s="10" t="str">
        <f t="shared" si="173"/>
        <v>FALSE</v>
      </c>
      <c r="AP1540" s="10" t="str">
        <f t="shared" si="173"/>
        <v>FALSE</v>
      </c>
      <c r="AQ1540" s="10" t="b">
        <f>IF(AND(I1540="TP",S1540&lt;=150),VLOOKUP(AF1540,TPCalibEq150!$AZ$2:$BB$55,3,),IF(AND(I1540="TDP",S1540&lt;=150),VLOOKUP(AF1540,TPCalibEq150!$AZ$2:$BB$55,3,)))</f>
        <v>0</v>
      </c>
      <c r="AR1540" s="10" t="b">
        <f>IF(AND(I1540="TP",S1540&lt;=300),VLOOKUP(AF1540,TPCalibEq300!$AZ$2:$BB$55,3,),IF(AND(I1540="TDP",S1540&lt;=300),VLOOKUP(AF1540,TPCalibEq300!$AZ$2:$BB$55,3,)))</f>
        <v>0</v>
      </c>
      <c r="AS1540" s="10" t="b">
        <f>IF(AND(I1540="TP",S1540&lt;=500),VLOOKUP(AF1540,TPCalibEq500!$AZ$2:$BB$56,3,),IF(AND(I1540="TDP",S1540&lt;=500),VLOOKUP(AF1540,TPCalibEq500!$AZ$2:$BB$56,3,)))</f>
        <v>0</v>
      </c>
      <c r="AT1540" s="10" t="b">
        <f>IF(AND(I1540="TN",S1540&lt;=2800),VLOOKUP(AF1540,TNCalibEq2500!$AZ$2:$BB$56,3,),IF(AND(I1540="TDN",S1540&lt;=2800),VLOOKUP(AF1540,TNCalibEq2500!$AZ$2:$BB$56,3,)))</f>
        <v>0</v>
      </c>
      <c r="AU1540" s="10" t="b">
        <f>IF(I1540="TP",VLOOKUP(AF1540,TPCalibEqFull!$AZ$2:$BB$56,3),IF(I1540="TDP",VLOOKUP(AF1540,TPCalibEqFull!$AZ$2:$BB$56,3),IF(I1540="TDN",VLOOKUP(AF1540,TNCalibEqFull!$AZ$1:$BB$56,3),IF(I1540="TN",VLOOKUP(AF1540,TNCalibEqFull!$AZ$1:$BB$56,3),FALSE))))</f>
        <v>0</v>
      </c>
      <c r="AV1540" s="10" t="str">
        <f t="shared" si="178"/>
        <v>0201 09:00:00-QAC-STD-D-1-DI-CHK</v>
      </c>
    </row>
    <row r="1541" spans="1:48" s="10" customFormat="1" x14ac:dyDescent="0.55000000000000004">
      <c r="A1541" s="32">
        <v>44956</v>
      </c>
      <c r="B1541" s="33">
        <v>0.35972222222222222</v>
      </c>
      <c r="C1541" s="10" t="s">
        <v>998</v>
      </c>
      <c r="D1541" s="10">
        <v>0</v>
      </c>
      <c r="E1541" s="10" t="s">
        <v>911</v>
      </c>
      <c r="F1541" s="10">
        <v>1</v>
      </c>
      <c r="G1541" s="10" t="s">
        <v>231</v>
      </c>
      <c r="H1541" s="10" t="s">
        <v>322</v>
      </c>
      <c r="I1541" s="10" t="s">
        <v>167</v>
      </c>
      <c r="J1541" s="10">
        <v>69</v>
      </c>
      <c r="K1541" s="12">
        <v>44958</v>
      </c>
      <c r="L1541" s="33">
        <v>0.58173611111111112</v>
      </c>
      <c r="M1541" s="10">
        <v>1</v>
      </c>
      <c r="N1541" s="10" t="s">
        <v>211</v>
      </c>
      <c r="O1541" s="10">
        <v>1.1499999999999999</v>
      </c>
      <c r="P1541" s="10">
        <v>0.109</v>
      </c>
      <c r="Q1541" s="10">
        <v>198</v>
      </c>
      <c r="R1541" s="10" t="s">
        <v>913</v>
      </c>
      <c r="S1541" s="34">
        <f t="shared" si="175"/>
        <v>198</v>
      </c>
      <c r="T1541" s="10" t="s">
        <v>1111</v>
      </c>
      <c r="U1541" s="34" t="str">
        <f t="shared" si="176"/>
        <v/>
      </c>
      <c r="V1541" s="31" t="str">
        <f>IF(H1541="CHK",VLOOKUP(I1541,QCCHK,3,),IF(H1541="GUP",VLOOKUP(E1541,QCGUP,2,),IF(AND(H1541="ATP",OR(I1541="TN",I1541="TDN",I1541="TNO2-3",I1541="NO2-3")),VLOOKUP(E1541,QCREC_N,2,),IF(AND(H1541="NIC",OR(I1541="TN",I1541="TDN",I1541="TNO2-3",I1541="NO2-3")),VLOOKUP(E1541,QCNIC_N,2,),IF(AND(H1541="UREA",OR(I1541="TN",I1541="TDN",I1541="TNO2-3",I1541="NO2-3")),VLOOKUP(E1541,QCUREA_N,2,),IF(H1541="PER",VLOOKUP(I1541,QCPER,MATCH(E1541,QCACTUAL!$J$25:$AA$25,0),),IF(H1541="SPK",VLOOKUP(I1541,QCSPK,3,),IF(AND(H1541="ATP",OR(I1541="TP",I1541="TDP")),VLOOKUP(E1541,QCATP_P,2,),""))))))))</f>
        <v/>
      </c>
      <c r="W1541" s="31" t="str">
        <f t="shared" si="177"/>
        <v>TRUE</v>
      </c>
      <c r="X1541" s="31" t="str">
        <f t="shared" si="174"/>
        <v/>
      </c>
      <c r="Y1541" s="10" t="s">
        <v>1096</v>
      </c>
      <c r="Z1541" s="10" t="s">
        <v>910</v>
      </c>
      <c r="AL1541" s="10" t="str">
        <f t="shared" si="172"/>
        <v>FALSE</v>
      </c>
      <c r="AM1541" s="10" t="str">
        <f t="shared" si="172"/>
        <v>FALSE</v>
      </c>
      <c r="AN1541" s="10" t="str">
        <f t="shared" si="172"/>
        <v>FALSE</v>
      </c>
      <c r="AO1541" s="10" t="str">
        <f t="shared" si="173"/>
        <v>FALSE</v>
      </c>
      <c r="AP1541" s="10" t="str">
        <f t="shared" si="173"/>
        <v>FALSE</v>
      </c>
      <c r="AQ1541" s="10" t="b">
        <f>IF(AND(I1541="TP",S1541&lt;=150),VLOOKUP(AF1541,TPCalibEq150!$AZ$2:$BB$55,3,),IF(AND(I1541="TDP",S1541&lt;=150),VLOOKUP(AF1541,TPCalibEq150!$AZ$2:$BB$55,3,)))</f>
        <v>0</v>
      </c>
      <c r="AR1541" s="10" t="b">
        <f>IF(AND(I1541="TP",S1541&lt;=300),VLOOKUP(AF1541,TPCalibEq300!$AZ$2:$BB$55,3,),IF(AND(I1541="TDP",S1541&lt;=300),VLOOKUP(AF1541,TPCalibEq300!$AZ$2:$BB$55,3,)))</f>
        <v>0</v>
      </c>
      <c r="AS1541" s="10" t="b">
        <f>IF(AND(I1541="TP",S1541&lt;=500),VLOOKUP(AF1541,TPCalibEq500!$AZ$2:$BB$56,3,),IF(AND(I1541="TDP",S1541&lt;=500),VLOOKUP(AF1541,TPCalibEq500!$AZ$2:$BB$56,3,)))</f>
        <v>0</v>
      </c>
      <c r="AT1541" s="10" t="b">
        <f>IF(AND(I1541="TN",S1541&lt;=2800),VLOOKUP(AF1541,TNCalibEq2500!$AZ$2:$BB$56,3,),IF(AND(I1541="TDN",S1541&lt;=2800),VLOOKUP(AF1541,TNCalibEq2500!$AZ$2:$BB$56,3,)))</f>
        <v>0</v>
      </c>
      <c r="AU1541" s="10" t="b">
        <f>IF(I1541="TP",VLOOKUP(AF1541,TPCalibEqFull!$AZ$2:$BB$56,3),IF(I1541="TDP",VLOOKUP(AF1541,TPCalibEqFull!$AZ$2:$BB$56,3),IF(I1541="TDN",VLOOKUP(AF1541,TNCalibEqFull!$AZ$1:$BB$56,3),IF(I1541="TN",VLOOKUP(AF1541,TNCalibEqFull!$AZ$1:$BB$56,3),FALSE))))</f>
        <v>0</v>
      </c>
      <c r="AV1541" s="10" t="str">
        <f t="shared" si="178"/>
        <v>0130 08:38:00-ELW-0-FIL-1-SW-UKN</v>
      </c>
    </row>
    <row r="1542" spans="1:48" s="10" customFormat="1" x14ac:dyDescent="0.55000000000000004">
      <c r="A1542" s="32">
        <v>44956</v>
      </c>
      <c r="B1542" s="33">
        <v>0.38055555555555554</v>
      </c>
      <c r="C1542" s="10" t="s">
        <v>357</v>
      </c>
      <c r="D1542" s="10">
        <v>0</v>
      </c>
      <c r="E1542" s="10" t="s">
        <v>911</v>
      </c>
      <c r="F1542" s="10">
        <v>1</v>
      </c>
      <c r="G1542" s="10" t="s">
        <v>231</v>
      </c>
      <c r="H1542" s="10" t="s">
        <v>322</v>
      </c>
      <c r="I1542" s="10" t="s">
        <v>167</v>
      </c>
      <c r="J1542" s="10">
        <v>70</v>
      </c>
      <c r="K1542" s="12">
        <v>44958</v>
      </c>
      <c r="L1542" s="33">
        <v>0.58255787037037032</v>
      </c>
      <c r="M1542" s="10">
        <v>1</v>
      </c>
      <c r="N1542" s="10" t="s">
        <v>211</v>
      </c>
      <c r="O1542" s="10">
        <v>0.44500000000000001</v>
      </c>
      <c r="P1542" s="10">
        <v>4.0899999999999999E-2</v>
      </c>
      <c r="Q1542" s="10">
        <v>76</v>
      </c>
      <c r="R1542" s="10" t="s">
        <v>913</v>
      </c>
      <c r="S1542" s="34">
        <f t="shared" si="175"/>
        <v>76</v>
      </c>
      <c r="T1542" s="10" t="s">
        <v>1111</v>
      </c>
      <c r="U1542" s="34" t="str">
        <f t="shared" si="176"/>
        <v/>
      </c>
      <c r="V1542" s="31" t="str">
        <f>IF(H1542="CHK",VLOOKUP(I1542,QCCHK,3,),IF(H1542="GUP",VLOOKUP(E1542,QCGUP,2,),IF(AND(H1542="ATP",OR(I1542="TN",I1542="TDN",I1542="TNO2-3",I1542="NO2-3")),VLOOKUP(E1542,QCREC_N,2,),IF(AND(H1542="NIC",OR(I1542="TN",I1542="TDN",I1542="TNO2-3",I1542="NO2-3")),VLOOKUP(E1542,QCNIC_N,2,),IF(AND(H1542="UREA",OR(I1542="TN",I1542="TDN",I1542="TNO2-3",I1542="NO2-3")),VLOOKUP(E1542,QCUREA_N,2,),IF(H1542="PER",VLOOKUP(I1542,QCPER,MATCH(E1542,QCACTUAL!$J$25:$AA$25,0),),IF(H1542="SPK",VLOOKUP(I1542,QCSPK,3,),IF(AND(H1542="ATP",OR(I1542="TP",I1542="TDP")),VLOOKUP(E1542,QCATP_P,2,),""))))))))</f>
        <v/>
      </c>
      <c r="W1542" s="31" t="str">
        <f t="shared" si="177"/>
        <v>TRUE</v>
      </c>
      <c r="X1542" s="31" t="str">
        <f t="shared" si="174"/>
        <v/>
      </c>
      <c r="Y1542" s="10" t="s">
        <v>1096</v>
      </c>
      <c r="Z1542" s="10" t="s">
        <v>910</v>
      </c>
      <c r="AL1542" s="10" t="str">
        <f t="shared" si="172"/>
        <v>FALSE</v>
      </c>
      <c r="AM1542" s="10" t="str">
        <f t="shared" si="172"/>
        <v>FALSE</v>
      </c>
      <c r="AN1542" s="10" t="str">
        <f t="shared" si="172"/>
        <v>FALSE</v>
      </c>
      <c r="AO1542" s="10" t="str">
        <f t="shared" si="173"/>
        <v>FALSE</v>
      </c>
      <c r="AP1542" s="10" t="str">
        <f t="shared" si="173"/>
        <v>FALSE</v>
      </c>
      <c r="AQ1542" s="10" t="b">
        <f>IF(AND(I1542="TP",S1542&lt;=150),VLOOKUP(AF1542,TPCalibEq150!$AZ$2:$BB$55,3,),IF(AND(I1542="TDP",S1542&lt;=150),VLOOKUP(AF1542,TPCalibEq150!$AZ$2:$BB$55,3,)))</f>
        <v>0</v>
      </c>
      <c r="AR1542" s="10" t="b">
        <f>IF(AND(I1542="TP",S1542&lt;=300),VLOOKUP(AF1542,TPCalibEq300!$AZ$2:$BB$55,3,),IF(AND(I1542="TDP",S1542&lt;=300),VLOOKUP(AF1542,TPCalibEq300!$AZ$2:$BB$55,3,)))</f>
        <v>0</v>
      </c>
      <c r="AS1542" s="10" t="b">
        <f>IF(AND(I1542="TP",S1542&lt;=500),VLOOKUP(AF1542,TPCalibEq500!$AZ$2:$BB$56,3,),IF(AND(I1542="TDP",S1542&lt;=500),VLOOKUP(AF1542,TPCalibEq500!$AZ$2:$BB$56,3,)))</f>
        <v>0</v>
      </c>
      <c r="AT1542" s="10" t="b">
        <f>IF(AND(I1542="TN",S1542&lt;=2800),VLOOKUP(AF1542,TNCalibEq2500!$AZ$2:$BB$56,3,),IF(AND(I1542="TDN",S1542&lt;=2800),VLOOKUP(AF1542,TNCalibEq2500!$AZ$2:$BB$56,3,)))</f>
        <v>0</v>
      </c>
      <c r="AU1542" s="10" t="b">
        <f>IF(I1542="TP",VLOOKUP(AF1542,TPCalibEqFull!$AZ$2:$BB$56,3),IF(I1542="TDP",VLOOKUP(AF1542,TPCalibEqFull!$AZ$2:$BB$56,3),IF(I1542="TDN",VLOOKUP(AF1542,TNCalibEqFull!$AZ$1:$BB$56,3),IF(I1542="TN",VLOOKUP(AF1542,TNCalibEqFull!$AZ$1:$BB$56,3),FALSE))))</f>
        <v>0</v>
      </c>
      <c r="AV1542" s="10" t="str">
        <f t="shared" si="178"/>
        <v>0130 09:08:00-STC-0-FIL-1-SW-UKN</v>
      </c>
    </row>
    <row r="1543" spans="1:48" s="10" customFormat="1" x14ac:dyDescent="0.55000000000000004">
      <c r="A1543" s="32">
        <v>44956</v>
      </c>
      <c r="B1543" s="33">
        <v>0.3972222222222222</v>
      </c>
      <c r="C1543" s="10" t="s">
        <v>999</v>
      </c>
      <c r="D1543" s="10">
        <v>0</v>
      </c>
      <c r="E1543" s="10" t="s">
        <v>911</v>
      </c>
      <c r="F1543" s="10">
        <v>1</v>
      </c>
      <c r="G1543" s="10" t="s">
        <v>231</v>
      </c>
      <c r="H1543" s="10" t="s">
        <v>322</v>
      </c>
      <c r="I1543" s="10" t="s">
        <v>167</v>
      </c>
      <c r="J1543" s="10">
        <v>71</v>
      </c>
      <c r="K1543" s="12">
        <v>44958</v>
      </c>
      <c r="L1543" s="33">
        <v>0.58336805555555549</v>
      </c>
      <c r="M1543" s="10">
        <v>1</v>
      </c>
      <c r="N1543" s="10" t="s">
        <v>211</v>
      </c>
      <c r="O1543" s="10">
        <v>0.57899999999999996</v>
      </c>
      <c r="P1543" s="10">
        <v>5.4100000000000002E-2</v>
      </c>
      <c r="Q1543" s="10">
        <v>99</v>
      </c>
      <c r="R1543" s="10" t="s">
        <v>913</v>
      </c>
      <c r="S1543" s="34">
        <f t="shared" si="175"/>
        <v>99</v>
      </c>
      <c r="T1543" s="10" t="s">
        <v>1111</v>
      </c>
      <c r="U1543" s="34" t="str">
        <f t="shared" si="176"/>
        <v/>
      </c>
      <c r="V1543" s="31" t="str">
        <f>IF(H1543="CHK",VLOOKUP(I1543,QCCHK,3,),IF(H1543="GUP",VLOOKUP(E1543,QCGUP,2,),IF(AND(H1543="ATP",OR(I1543="TN",I1543="TDN",I1543="TNO2-3",I1543="NO2-3")),VLOOKUP(E1543,QCREC_N,2,),IF(AND(H1543="NIC",OR(I1543="TN",I1543="TDN",I1543="TNO2-3",I1543="NO2-3")),VLOOKUP(E1543,QCNIC_N,2,),IF(AND(H1543="UREA",OR(I1543="TN",I1543="TDN",I1543="TNO2-3",I1543="NO2-3")),VLOOKUP(E1543,QCUREA_N,2,),IF(H1543="PER",VLOOKUP(I1543,QCPER,MATCH(E1543,QCACTUAL!$J$25:$AA$25,0),),IF(H1543="SPK",VLOOKUP(I1543,QCSPK,3,),IF(AND(H1543="ATP",OR(I1543="TP",I1543="TDP")),VLOOKUP(E1543,QCATP_P,2,),""))))))))</f>
        <v/>
      </c>
      <c r="W1543" s="31" t="str">
        <f t="shared" si="177"/>
        <v>TRUE</v>
      </c>
      <c r="X1543" s="31" t="str">
        <f t="shared" si="174"/>
        <v/>
      </c>
      <c r="Y1543" s="10" t="s">
        <v>1096</v>
      </c>
      <c r="Z1543" s="10" t="s">
        <v>910</v>
      </c>
      <c r="AL1543" s="10" t="str">
        <f t="shared" si="172"/>
        <v>FALSE</v>
      </c>
      <c r="AM1543" s="10" t="str">
        <f t="shared" si="172"/>
        <v>FALSE</v>
      </c>
      <c r="AN1543" s="10" t="str">
        <f t="shared" si="172"/>
        <v>FALSE</v>
      </c>
      <c r="AO1543" s="10" t="str">
        <f t="shared" si="173"/>
        <v>FALSE</v>
      </c>
      <c r="AP1543" s="10" t="str">
        <f t="shared" si="173"/>
        <v>FALSE</v>
      </c>
      <c r="AQ1543" s="10" t="b">
        <f>IF(AND(I1543="TP",S1543&lt;=150),VLOOKUP(AF1543,TPCalibEq150!$AZ$2:$BB$55,3,),IF(AND(I1543="TDP",S1543&lt;=150),VLOOKUP(AF1543,TPCalibEq150!$AZ$2:$BB$55,3,)))</f>
        <v>0</v>
      </c>
      <c r="AR1543" s="10" t="b">
        <f>IF(AND(I1543="TP",S1543&lt;=300),VLOOKUP(AF1543,TPCalibEq300!$AZ$2:$BB$55,3,),IF(AND(I1543="TDP",S1543&lt;=300),VLOOKUP(AF1543,TPCalibEq300!$AZ$2:$BB$55,3,)))</f>
        <v>0</v>
      </c>
      <c r="AS1543" s="10" t="b">
        <f>IF(AND(I1543="TP",S1543&lt;=500),VLOOKUP(AF1543,TPCalibEq500!$AZ$2:$BB$56,3,),IF(AND(I1543="TDP",S1543&lt;=500),VLOOKUP(AF1543,TPCalibEq500!$AZ$2:$BB$56,3,)))</f>
        <v>0</v>
      </c>
      <c r="AT1543" s="10" t="b">
        <f>IF(AND(I1543="TN",S1543&lt;=2800),VLOOKUP(AF1543,TNCalibEq2500!$AZ$2:$BB$56,3,),IF(AND(I1543="TDN",S1543&lt;=2800),VLOOKUP(AF1543,TNCalibEq2500!$AZ$2:$BB$56,3,)))</f>
        <v>0</v>
      </c>
      <c r="AU1543" s="10" t="b">
        <f>IF(I1543="TP",VLOOKUP(AF1543,TPCalibEqFull!$AZ$2:$BB$56,3),IF(I1543="TDP",VLOOKUP(AF1543,TPCalibEqFull!$AZ$2:$BB$56,3),IF(I1543="TDN",VLOOKUP(AF1543,TNCalibEqFull!$AZ$1:$BB$56,3),IF(I1543="TN",VLOOKUP(AF1543,TNCalibEqFull!$AZ$1:$BB$56,3),FALSE))))</f>
        <v>0</v>
      </c>
      <c r="AV1543" s="10" t="str">
        <f t="shared" si="178"/>
        <v>0130 09:32:00-EAW-0-FIL-1-SW-UKN</v>
      </c>
    </row>
    <row r="1544" spans="1:48" s="10" customFormat="1" x14ac:dyDescent="0.55000000000000004">
      <c r="A1544" s="32">
        <v>44956</v>
      </c>
      <c r="B1544" s="33">
        <v>0.40486111111111112</v>
      </c>
      <c r="C1544" s="10" t="s">
        <v>310</v>
      </c>
      <c r="D1544" s="10">
        <v>0</v>
      </c>
      <c r="E1544" s="10" t="s">
        <v>911</v>
      </c>
      <c r="F1544" s="10">
        <v>1</v>
      </c>
      <c r="G1544" s="10" t="s">
        <v>231</v>
      </c>
      <c r="H1544" s="10" t="s">
        <v>322</v>
      </c>
      <c r="I1544" s="10" t="s">
        <v>167</v>
      </c>
      <c r="J1544" s="10">
        <v>72</v>
      </c>
      <c r="K1544" s="12">
        <v>44958</v>
      </c>
      <c r="L1544" s="33">
        <v>0.58417824074074076</v>
      </c>
      <c r="M1544" s="10">
        <v>1</v>
      </c>
      <c r="N1544" s="10" t="s">
        <v>211</v>
      </c>
      <c r="O1544" s="10">
        <v>0.61299999999999999</v>
      </c>
      <c r="P1544" s="10">
        <v>5.67E-2</v>
      </c>
      <c r="Q1544" s="10">
        <v>105</v>
      </c>
      <c r="R1544" s="10" t="s">
        <v>913</v>
      </c>
      <c r="S1544" s="34">
        <f t="shared" si="175"/>
        <v>105</v>
      </c>
      <c r="T1544" s="10" t="s">
        <v>1111</v>
      </c>
      <c r="U1544" s="34" t="str">
        <f t="shared" si="176"/>
        <v/>
      </c>
      <c r="V1544" s="31" t="str">
        <f>IF(H1544="CHK",VLOOKUP(I1544,QCCHK,3,),IF(H1544="GUP",VLOOKUP(E1544,QCGUP,2,),IF(AND(H1544="ATP",OR(I1544="TN",I1544="TDN",I1544="TNO2-3",I1544="NO2-3")),VLOOKUP(E1544,QCREC_N,2,),IF(AND(H1544="NIC",OR(I1544="TN",I1544="TDN",I1544="TNO2-3",I1544="NO2-3")),VLOOKUP(E1544,QCNIC_N,2,),IF(AND(H1544="UREA",OR(I1544="TN",I1544="TDN",I1544="TNO2-3",I1544="NO2-3")),VLOOKUP(E1544,QCUREA_N,2,),IF(H1544="PER",VLOOKUP(I1544,QCPER,MATCH(E1544,QCACTUAL!$J$25:$AA$25,0),),IF(H1544="SPK",VLOOKUP(I1544,QCSPK,3,),IF(AND(H1544="ATP",OR(I1544="TP",I1544="TDP")),VLOOKUP(E1544,QCATP_P,2,),""))))))))</f>
        <v/>
      </c>
      <c r="W1544" s="31" t="str">
        <f t="shared" si="177"/>
        <v>TRUE</v>
      </c>
      <c r="X1544" s="31" t="str">
        <f t="shared" si="174"/>
        <v/>
      </c>
      <c r="Y1544" s="10" t="s">
        <v>1096</v>
      </c>
      <c r="Z1544" s="10" t="s">
        <v>910</v>
      </c>
      <c r="AL1544" s="10" t="str">
        <f t="shared" si="172"/>
        <v>FALSE</v>
      </c>
      <c r="AM1544" s="10" t="str">
        <f t="shared" si="172"/>
        <v>FALSE</v>
      </c>
      <c r="AN1544" s="10" t="str">
        <f t="shared" si="172"/>
        <v>FALSE</v>
      </c>
      <c r="AO1544" s="10" t="str">
        <f t="shared" si="173"/>
        <v>FALSE</v>
      </c>
      <c r="AP1544" s="10" t="str">
        <f t="shared" si="173"/>
        <v>FALSE</v>
      </c>
      <c r="AQ1544" s="10" t="b">
        <f>IF(AND(I1544="TP",S1544&lt;=150),VLOOKUP(AF1544,TPCalibEq150!$AZ$2:$BB$55,3,),IF(AND(I1544="TDP",S1544&lt;=150),VLOOKUP(AF1544,TPCalibEq150!$AZ$2:$BB$55,3,)))</f>
        <v>0</v>
      </c>
      <c r="AR1544" s="10" t="b">
        <f>IF(AND(I1544="TP",S1544&lt;=300),VLOOKUP(AF1544,TPCalibEq300!$AZ$2:$BB$55,3,),IF(AND(I1544="TDP",S1544&lt;=300),VLOOKUP(AF1544,TPCalibEq300!$AZ$2:$BB$55,3,)))</f>
        <v>0</v>
      </c>
      <c r="AS1544" s="10" t="b">
        <f>IF(AND(I1544="TP",S1544&lt;=500),VLOOKUP(AF1544,TPCalibEq500!$AZ$2:$BB$56,3,),IF(AND(I1544="TDP",S1544&lt;=500),VLOOKUP(AF1544,TPCalibEq500!$AZ$2:$BB$56,3,)))</f>
        <v>0</v>
      </c>
      <c r="AT1544" s="10" t="b">
        <f>IF(AND(I1544="TN",S1544&lt;=2800),VLOOKUP(AF1544,TNCalibEq2500!$AZ$2:$BB$56,3,),IF(AND(I1544="TDN",S1544&lt;=2800),VLOOKUP(AF1544,TNCalibEq2500!$AZ$2:$BB$56,3,)))</f>
        <v>0</v>
      </c>
      <c r="AU1544" s="10" t="b">
        <f>IF(I1544="TP",VLOOKUP(AF1544,TPCalibEqFull!$AZ$2:$BB$56,3),IF(I1544="TDP",VLOOKUP(AF1544,TPCalibEqFull!$AZ$2:$BB$56,3),IF(I1544="TDN",VLOOKUP(AF1544,TNCalibEqFull!$AZ$1:$BB$56,3),IF(I1544="TN",VLOOKUP(AF1544,TNCalibEqFull!$AZ$1:$BB$56,3),FALSE))))</f>
        <v>0</v>
      </c>
      <c r="AV1544" s="10" t="str">
        <f t="shared" si="178"/>
        <v>0130 09:43:00-ELI-0-FIL-1-SW-UKN</v>
      </c>
    </row>
    <row r="1545" spans="1:48" s="10" customFormat="1" x14ac:dyDescent="0.55000000000000004">
      <c r="A1545" s="32">
        <v>44956</v>
      </c>
      <c r="B1545" s="33">
        <v>0.41597222222222219</v>
      </c>
      <c r="C1545" s="10" t="s">
        <v>408</v>
      </c>
      <c r="D1545" s="10">
        <v>0</v>
      </c>
      <c r="E1545" s="10" t="s">
        <v>911</v>
      </c>
      <c r="F1545" s="10">
        <v>1</v>
      </c>
      <c r="G1545" s="10" t="s">
        <v>231</v>
      </c>
      <c r="H1545" s="10" t="s">
        <v>322</v>
      </c>
      <c r="I1545" s="10" t="s">
        <v>167</v>
      </c>
      <c r="J1545" s="10">
        <v>73</v>
      </c>
      <c r="K1545" s="12">
        <v>44958</v>
      </c>
      <c r="L1545" s="33">
        <v>0.58498842592592593</v>
      </c>
      <c r="M1545" s="10">
        <v>1</v>
      </c>
      <c r="N1545" s="10" t="s">
        <v>211</v>
      </c>
      <c r="O1545" s="10">
        <v>0.36899999999999999</v>
      </c>
      <c r="P1545" s="10">
        <v>3.39E-2</v>
      </c>
      <c r="Q1545" s="10">
        <v>63</v>
      </c>
      <c r="R1545" s="10" t="s">
        <v>913</v>
      </c>
      <c r="S1545" s="34">
        <f t="shared" si="175"/>
        <v>63</v>
      </c>
      <c r="T1545" s="10" t="s">
        <v>1111</v>
      </c>
      <c r="U1545" s="34" t="str">
        <f t="shared" si="176"/>
        <v/>
      </c>
      <c r="V1545" s="31" t="str">
        <f>IF(H1545="CHK",VLOOKUP(I1545,QCCHK,3,),IF(H1545="GUP",VLOOKUP(E1545,QCGUP,2,),IF(AND(H1545="ATP",OR(I1545="TN",I1545="TDN",I1545="TNO2-3",I1545="NO2-3")),VLOOKUP(E1545,QCREC_N,2,),IF(AND(H1545="NIC",OR(I1545="TN",I1545="TDN",I1545="TNO2-3",I1545="NO2-3")),VLOOKUP(E1545,QCNIC_N,2,),IF(AND(H1545="UREA",OR(I1545="TN",I1545="TDN",I1545="TNO2-3",I1545="NO2-3")),VLOOKUP(E1545,QCUREA_N,2,),IF(H1545="PER",VLOOKUP(I1545,QCPER,MATCH(E1545,QCACTUAL!$J$25:$AA$25,0),),IF(H1545="SPK",VLOOKUP(I1545,QCSPK,3,),IF(AND(H1545="ATP",OR(I1545="TP",I1545="TDP")),VLOOKUP(E1545,QCATP_P,2,),""))))))))</f>
        <v/>
      </c>
      <c r="W1545" s="31" t="str">
        <f t="shared" si="177"/>
        <v>TRUE</v>
      </c>
      <c r="X1545" s="31" t="str">
        <f t="shared" si="174"/>
        <v/>
      </c>
      <c r="Y1545" s="10" t="s">
        <v>1096</v>
      </c>
      <c r="Z1545" s="10" t="s">
        <v>910</v>
      </c>
      <c r="AL1545" s="10" t="str">
        <f t="shared" si="172"/>
        <v>FALSE</v>
      </c>
      <c r="AM1545" s="10" t="str">
        <f t="shared" si="172"/>
        <v>FALSE</v>
      </c>
      <c r="AN1545" s="10" t="str">
        <f t="shared" si="172"/>
        <v>FALSE</v>
      </c>
      <c r="AO1545" s="10" t="str">
        <f t="shared" si="173"/>
        <v>FALSE</v>
      </c>
      <c r="AP1545" s="10" t="str">
        <f t="shared" si="173"/>
        <v>FALSE</v>
      </c>
      <c r="AQ1545" s="10" t="b">
        <f>IF(AND(I1545="TP",S1545&lt;=150),VLOOKUP(AF1545,TPCalibEq150!$AZ$2:$BB$55,3,),IF(AND(I1545="TDP",S1545&lt;=150),VLOOKUP(AF1545,TPCalibEq150!$AZ$2:$BB$55,3,)))</f>
        <v>0</v>
      </c>
      <c r="AR1545" s="10" t="b">
        <f>IF(AND(I1545="TP",S1545&lt;=300),VLOOKUP(AF1545,TPCalibEq300!$AZ$2:$BB$55,3,),IF(AND(I1545="TDP",S1545&lt;=300),VLOOKUP(AF1545,TPCalibEq300!$AZ$2:$BB$55,3,)))</f>
        <v>0</v>
      </c>
      <c r="AS1545" s="10" t="b">
        <f>IF(AND(I1545="TP",S1545&lt;=500),VLOOKUP(AF1545,TPCalibEq500!$AZ$2:$BB$56,3,),IF(AND(I1545="TDP",S1545&lt;=500),VLOOKUP(AF1545,TPCalibEq500!$AZ$2:$BB$56,3,)))</f>
        <v>0</v>
      </c>
      <c r="AT1545" s="10" t="b">
        <f>IF(AND(I1545="TN",S1545&lt;=2800),VLOOKUP(AF1545,TNCalibEq2500!$AZ$2:$BB$56,3,),IF(AND(I1545="TDN",S1545&lt;=2800),VLOOKUP(AF1545,TNCalibEq2500!$AZ$2:$BB$56,3,)))</f>
        <v>0</v>
      </c>
      <c r="AU1545" s="10" t="b">
        <f>IF(I1545="TP",VLOOKUP(AF1545,TPCalibEqFull!$AZ$2:$BB$56,3),IF(I1545="TDP",VLOOKUP(AF1545,TPCalibEqFull!$AZ$2:$BB$56,3),IF(I1545="TDN",VLOOKUP(AF1545,TNCalibEqFull!$AZ$1:$BB$56,3),IF(I1545="TN",VLOOKUP(AF1545,TNCalibEqFull!$AZ$1:$BB$56,3),FALSE))))</f>
        <v>0</v>
      </c>
      <c r="AV1545" s="10" t="str">
        <f t="shared" si="178"/>
        <v>0130 09:59:00-CLC-0-FIL-1-SW-UKN</v>
      </c>
    </row>
    <row r="1546" spans="1:48" s="10" customFormat="1" x14ac:dyDescent="0.55000000000000004">
      <c r="A1546" s="32">
        <v>44956</v>
      </c>
      <c r="B1546" s="33">
        <v>0.43055555555555558</v>
      </c>
      <c r="C1546" s="10" t="s">
        <v>349</v>
      </c>
      <c r="D1546" s="10">
        <v>0</v>
      </c>
      <c r="E1546" s="10" t="s">
        <v>911</v>
      </c>
      <c r="F1546" s="10">
        <v>1</v>
      </c>
      <c r="G1546" s="10" t="s">
        <v>231</v>
      </c>
      <c r="H1546" s="10" t="s">
        <v>322</v>
      </c>
      <c r="I1546" s="10" t="s">
        <v>167</v>
      </c>
      <c r="J1546" s="10">
        <v>74</v>
      </c>
      <c r="K1546" s="12">
        <v>44958</v>
      </c>
      <c r="L1546" s="33">
        <v>0.58579861111111109</v>
      </c>
      <c r="M1546" s="10">
        <v>1</v>
      </c>
      <c r="N1546" s="10" t="s">
        <v>211</v>
      </c>
      <c r="O1546" s="10">
        <v>0.309</v>
      </c>
      <c r="P1546" s="10">
        <v>2.8000000000000001E-2</v>
      </c>
      <c r="Q1546" s="10">
        <v>52.6</v>
      </c>
      <c r="R1546" s="10" t="s">
        <v>913</v>
      </c>
      <c r="S1546" s="34">
        <f t="shared" si="175"/>
        <v>52.6</v>
      </c>
      <c r="T1546" s="10" t="s">
        <v>1111</v>
      </c>
      <c r="U1546" s="34" t="str">
        <f t="shared" si="176"/>
        <v/>
      </c>
      <c r="V1546" s="31" t="str">
        <f>IF(H1546="CHK",VLOOKUP(I1546,QCCHK,3,),IF(H1546="GUP",VLOOKUP(E1546,QCGUP,2,),IF(AND(H1546="ATP",OR(I1546="TN",I1546="TDN",I1546="TNO2-3",I1546="NO2-3")),VLOOKUP(E1546,QCREC_N,2,),IF(AND(H1546="NIC",OR(I1546="TN",I1546="TDN",I1546="TNO2-3",I1546="NO2-3")),VLOOKUP(E1546,QCNIC_N,2,),IF(AND(H1546="UREA",OR(I1546="TN",I1546="TDN",I1546="TNO2-3",I1546="NO2-3")),VLOOKUP(E1546,QCUREA_N,2,),IF(H1546="PER",VLOOKUP(I1546,QCPER,MATCH(E1546,QCACTUAL!$J$25:$AA$25,0),),IF(H1546="SPK",VLOOKUP(I1546,QCSPK,3,),IF(AND(H1546="ATP",OR(I1546="TP",I1546="TDP")),VLOOKUP(E1546,QCATP_P,2,),""))))))))</f>
        <v/>
      </c>
      <c r="W1546" s="31" t="str">
        <f t="shared" si="177"/>
        <v>TRUE</v>
      </c>
      <c r="X1546" s="31" t="str">
        <f t="shared" si="174"/>
        <v/>
      </c>
      <c r="Y1546" s="10" t="s">
        <v>1096</v>
      </c>
      <c r="Z1546" s="10" t="s">
        <v>910</v>
      </c>
      <c r="AL1546" s="10" t="str">
        <f t="shared" si="172"/>
        <v>FALSE</v>
      </c>
      <c r="AM1546" s="10" t="str">
        <f t="shared" si="172"/>
        <v>FALSE</v>
      </c>
      <c r="AN1546" s="10" t="str">
        <f t="shared" si="172"/>
        <v>FALSE</v>
      </c>
      <c r="AO1546" s="10" t="str">
        <f t="shared" si="173"/>
        <v>FALSE</v>
      </c>
      <c r="AP1546" s="10" t="str">
        <f t="shared" si="173"/>
        <v>FALSE</v>
      </c>
      <c r="AQ1546" s="10" t="b">
        <f>IF(AND(I1546="TP",S1546&lt;=150),VLOOKUP(AF1546,TPCalibEq150!$AZ$2:$BB$55,3,),IF(AND(I1546="TDP",S1546&lt;=150),VLOOKUP(AF1546,TPCalibEq150!$AZ$2:$BB$55,3,)))</f>
        <v>0</v>
      </c>
      <c r="AR1546" s="10" t="b">
        <f>IF(AND(I1546="TP",S1546&lt;=300),VLOOKUP(AF1546,TPCalibEq300!$AZ$2:$BB$55,3,),IF(AND(I1546="TDP",S1546&lt;=300),VLOOKUP(AF1546,TPCalibEq300!$AZ$2:$BB$55,3,)))</f>
        <v>0</v>
      </c>
      <c r="AS1546" s="10" t="b">
        <f>IF(AND(I1546="TP",S1546&lt;=500),VLOOKUP(AF1546,TPCalibEq500!$AZ$2:$BB$56,3,),IF(AND(I1546="TDP",S1546&lt;=500),VLOOKUP(AF1546,TPCalibEq500!$AZ$2:$BB$56,3,)))</f>
        <v>0</v>
      </c>
      <c r="AT1546" s="10" t="b">
        <f>IF(AND(I1546="TN",S1546&lt;=2800),VLOOKUP(AF1546,TNCalibEq2500!$AZ$2:$BB$56,3,),IF(AND(I1546="TDN",S1546&lt;=2800),VLOOKUP(AF1546,TNCalibEq2500!$AZ$2:$BB$56,3,)))</f>
        <v>0</v>
      </c>
      <c r="AU1546" s="10" t="b">
        <f>IF(I1546="TP",VLOOKUP(AF1546,TPCalibEqFull!$AZ$2:$BB$56,3),IF(I1546="TDP",VLOOKUP(AF1546,TPCalibEqFull!$AZ$2:$BB$56,3),IF(I1546="TDN",VLOOKUP(AF1546,TNCalibEqFull!$AZ$1:$BB$56,3),IF(I1546="TN",VLOOKUP(AF1546,TNCalibEqFull!$AZ$1:$BB$56,3),FALSE))))</f>
        <v>0</v>
      </c>
      <c r="AV1546" s="10" t="str">
        <f t="shared" si="178"/>
        <v>0130 10:20:00-SHA-0-FIL-1-SW-UKN</v>
      </c>
    </row>
    <row r="1547" spans="1:48" s="10" customFormat="1" x14ac:dyDescent="0.55000000000000004">
      <c r="A1547" s="32">
        <v>44956</v>
      </c>
      <c r="B1547" s="33">
        <v>0.44166666666666665</v>
      </c>
      <c r="C1547" s="10" t="s">
        <v>646</v>
      </c>
      <c r="D1547" s="10">
        <v>0</v>
      </c>
      <c r="E1547" s="10" t="s">
        <v>911</v>
      </c>
      <c r="F1547" s="10">
        <v>1</v>
      </c>
      <c r="G1547" s="10" t="s">
        <v>231</v>
      </c>
      <c r="H1547" s="10" t="s">
        <v>322</v>
      </c>
      <c r="I1547" s="10" t="s">
        <v>167</v>
      </c>
      <c r="J1547" s="10">
        <v>75</v>
      </c>
      <c r="K1547" s="12">
        <v>44958</v>
      </c>
      <c r="L1547" s="33">
        <v>0.58660879629629636</v>
      </c>
      <c r="M1547" s="10">
        <v>1</v>
      </c>
      <c r="N1547" s="10" t="s">
        <v>211</v>
      </c>
      <c r="O1547" s="10">
        <v>0.54600000000000004</v>
      </c>
      <c r="P1547" s="10">
        <v>5.0500000000000003E-2</v>
      </c>
      <c r="Q1547" s="10">
        <v>93.5</v>
      </c>
      <c r="R1547" s="10" t="s">
        <v>913</v>
      </c>
      <c r="S1547" s="34">
        <f t="shared" si="175"/>
        <v>93.5</v>
      </c>
      <c r="T1547" s="10" t="s">
        <v>1111</v>
      </c>
      <c r="U1547" s="34" t="str">
        <f t="shared" si="176"/>
        <v/>
      </c>
      <c r="V1547" s="31" t="str">
        <f>IF(H1547="CHK",VLOOKUP(I1547,QCCHK,3,),IF(H1547="GUP",VLOOKUP(E1547,QCGUP,2,),IF(AND(H1547="ATP",OR(I1547="TN",I1547="TDN",I1547="TNO2-3",I1547="NO2-3")),VLOOKUP(E1547,QCREC_N,2,),IF(AND(H1547="NIC",OR(I1547="TN",I1547="TDN",I1547="TNO2-3",I1547="NO2-3")),VLOOKUP(E1547,QCNIC_N,2,),IF(AND(H1547="UREA",OR(I1547="TN",I1547="TDN",I1547="TNO2-3",I1547="NO2-3")),VLOOKUP(E1547,QCUREA_N,2,),IF(H1547="PER",VLOOKUP(I1547,QCPER,MATCH(E1547,QCACTUAL!$J$25:$AA$25,0),),IF(H1547="SPK",VLOOKUP(I1547,QCSPK,3,),IF(AND(H1547="ATP",OR(I1547="TP",I1547="TDP")),VLOOKUP(E1547,QCATP_P,2,),""))))))))</f>
        <v/>
      </c>
      <c r="W1547" s="31" t="str">
        <f t="shared" si="177"/>
        <v>TRUE</v>
      </c>
      <c r="X1547" s="31" t="str">
        <f t="shared" si="174"/>
        <v/>
      </c>
      <c r="Y1547" s="10" t="s">
        <v>1096</v>
      </c>
      <c r="Z1547" s="10" t="s">
        <v>910</v>
      </c>
      <c r="AL1547" s="10" t="str">
        <f t="shared" si="172"/>
        <v>FALSE</v>
      </c>
      <c r="AM1547" s="10" t="str">
        <f t="shared" si="172"/>
        <v>FALSE</v>
      </c>
      <c r="AN1547" s="10" t="str">
        <f t="shared" si="172"/>
        <v>FALSE</v>
      </c>
      <c r="AO1547" s="10" t="str">
        <f t="shared" si="173"/>
        <v>FALSE</v>
      </c>
      <c r="AP1547" s="10" t="str">
        <f t="shared" si="173"/>
        <v>FALSE</v>
      </c>
      <c r="AQ1547" s="10" t="b">
        <f>IF(AND(I1547="TP",S1547&lt;=150),VLOOKUP(AF1547,TPCalibEq150!$AZ$2:$BB$55,3,),IF(AND(I1547="TDP",S1547&lt;=150),VLOOKUP(AF1547,TPCalibEq150!$AZ$2:$BB$55,3,)))</f>
        <v>0</v>
      </c>
      <c r="AR1547" s="10" t="b">
        <f>IF(AND(I1547="TP",S1547&lt;=300),VLOOKUP(AF1547,TPCalibEq300!$AZ$2:$BB$55,3,),IF(AND(I1547="TDP",S1547&lt;=300),VLOOKUP(AF1547,TPCalibEq300!$AZ$2:$BB$55,3,)))</f>
        <v>0</v>
      </c>
      <c r="AS1547" s="10" t="b">
        <f>IF(AND(I1547="TP",S1547&lt;=500),VLOOKUP(AF1547,TPCalibEq500!$AZ$2:$BB$56,3,),IF(AND(I1547="TDP",S1547&lt;=500),VLOOKUP(AF1547,TPCalibEq500!$AZ$2:$BB$56,3,)))</f>
        <v>0</v>
      </c>
      <c r="AT1547" s="10" t="b">
        <f>IF(AND(I1547="TN",S1547&lt;=2800),VLOOKUP(AF1547,TNCalibEq2500!$AZ$2:$BB$56,3,),IF(AND(I1547="TDN",S1547&lt;=2800),VLOOKUP(AF1547,TNCalibEq2500!$AZ$2:$BB$56,3,)))</f>
        <v>0</v>
      </c>
      <c r="AU1547" s="10" t="b">
        <f>IF(I1547="TP",VLOOKUP(AF1547,TPCalibEqFull!$AZ$2:$BB$56,3),IF(I1547="TDP",VLOOKUP(AF1547,TPCalibEqFull!$AZ$2:$BB$56,3),IF(I1547="TDN",VLOOKUP(AF1547,TNCalibEqFull!$AZ$1:$BB$56,3),IF(I1547="TN",VLOOKUP(AF1547,TNCalibEqFull!$AZ$1:$BB$56,3),FALSE))))</f>
        <v>0</v>
      </c>
      <c r="AV1547" s="10" t="str">
        <f t="shared" si="178"/>
        <v>0130 10:36:00-EMB-0-FIL-1-SW-UKN</v>
      </c>
    </row>
    <row r="1548" spans="1:48" s="10" customFormat="1" x14ac:dyDescent="0.55000000000000004">
      <c r="A1548" s="32">
        <v>44956</v>
      </c>
      <c r="B1548" s="33">
        <v>0.45208333333333334</v>
      </c>
      <c r="C1548" s="10" t="s">
        <v>214</v>
      </c>
      <c r="D1548" s="10">
        <v>0</v>
      </c>
      <c r="E1548" s="10" t="s">
        <v>911</v>
      </c>
      <c r="F1548" s="10">
        <v>1</v>
      </c>
      <c r="G1548" s="10" t="s">
        <v>231</v>
      </c>
      <c r="H1548" s="10" t="s">
        <v>322</v>
      </c>
      <c r="I1548" s="10" t="s">
        <v>167</v>
      </c>
      <c r="J1548" s="10">
        <v>76</v>
      </c>
      <c r="K1548" s="12">
        <v>44958</v>
      </c>
      <c r="L1548" s="33">
        <v>0.58743055555555557</v>
      </c>
      <c r="M1548" s="10">
        <v>1</v>
      </c>
      <c r="N1548" s="10" t="s">
        <v>211</v>
      </c>
      <c r="O1548" s="10">
        <v>0.68200000000000005</v>
      </c>
      <c r="P1548" s="10">
        <v>6.3200000000000006E-2</v>
      </c>
      <c r="Q1548" s="10">
        <v>117</v>
      </c>
      <c r="R1548" s="10" t="s">
        <v>913</v>
      </c>
      <c r="S1548" s="34">
        <f t="shared" si="175"/>
        <v>117</v>
      </c>
      <c r="T1548" s="10" t="s">
        <v>1111</v>
      </c>
      <c r="U1548" s="34" t="str">
        <f t="shared" si="176"/>
        <v/>
      </c>
      <c r="V1548" s="31" t="str">
        <f>IF(H1548="CHK",VLOOKUP(I1548,QCCHK,3,),IF(H1548="GUP",VLOOKUP(E1548,QCGUP,2,),IF(AND(H1548="ATP",OR(I1548="TN",I1548="TDN",I1548="TNO2-3",I1548="NO2-3")),VLOOKUP(E1548,QCREC_N,2,),IF(AND(H1548="NIC",OR(I1548="TN",I1548="TDN",I1548="TNO2-3",I1548="NO2-3")),VLOOKUP(E1548,QCNIC_N,2,),IF(AND(H1548="UREA",OR(I1548="TN",I1548="TDN",I1548="TNO2-3",I1548="NO2-3")),VLOOKUP(E1548,QCUREA_N,2,),IF(H1548="PER",VLOOKUP(I1548,QCPER,MATCH(E1548,QCACTUAL!$J$25:$AA$25,0),),IF(H1548="SPK",VLOOKUP(I1548,QCSPK,3,),IF(AND(H1548="ATP",OR(I1548="TP",I1548="TDP")),VLOOKUP(E1548,QCATP_P,2,),""))))))))</f>
        <v/>
      </c>
      <c r="W1548" s="31" t="str">
        <f t="shared" si="177"/>
        <v>TRUE</v>
      </c>
      <c r="X1548" s="31" t="str">
        <f t="shared" si="174"/>
        <v/>
      </c>
      <c r="Y1548" s="10" t="s">
        <v>1096</v>
      </c>
      <c r="Z1548" s="10" t="s">
        <v>910</v>
      </c>
      <c r="AL1548" s="10" t="str">
        <f t="shared" si="172"/>
        <v>FALSE</v>
      </c>
      <c r="AM1548" s="10" t="str">
        <f t="shared" si="172"/>
        <v>FALSE</v>
      </c>
      <c r="AN1548" s="10" t="str">
        <f t="shared" si="172"/>
        <v>FALSE</v>
      </c>
      <c r="AO1548" s="10" t="str">
        <f t="shared" si="173"/>
        <v>FALSE</v>
      </c>
      <c r="AP1548" s="10" t="str">
        <f t="shared" si="173"/>
        <v>FALSE</v>
      </c>
      <c r="AQ1548" s="10" t="b">
        <f>IF(AND(I1548="TP",S1548&lt;=150),VLOOKUP(AF1548,TPCalibEq150!$AZ$2:$BB$55,3,),IF(AND(I1548="TDP",S1548&lt;=150),VLOOKUP(AF1548,TPCalibEq150!$AZ$2:$BB$55,3,)))</f>
        <v>0</v>
      </c>
      <c r="AR1548" s="10" t="b">
        <f>IF(AND(I1548="TP",S1548&lt;=300),VLOOKUP(AF1548,TPCalibEq300!$AZ$2:$BB$55,3,),IF(AND(I1548="TDP",S1548&lt;=300),VLOOKUP(AF1548,TPCalibEq300!$AZ$2:$BB$55,3,)))</f>
        <v>0</v>
      </c>
      <c r="AS1548" s="10" t="b">
        <f>IF(AND(I1548="TP",S1548&lt;=500),VLOOKUP(AF1548,TPCalibEq500!$AZ$2:$BB$56,3,),IF(AND(I1548="TDP",S1548&lt;=500),VLOOKUP(AF1548,TPCalibEq500!$AZ$2:$BB$56,3,)))</f>
        <v>0</v>
      </c>
      <c r="AT1548" s="10" t="b">
        <f>IF(AND(I1548="TN",S1548&lt;=2800),VLOOKUP(AF1548,TNCalibEq2500!$AZ$2:$BB$56,3,),IF(AND(I1548="TDN",S1548&lt;=2800),VLOOKUP(AF1548,TNCalibEq2500!$AZ$2:$BB$56,3,)))</f>
        <v>0</v>
      </c>
      <c r="AU1548" s="10" t="b">
        <f>IF(I1548="TP",VLOOKUP(AF1548,TPCalibEqFull!$AZ$2:$BB$56,3),IF(I1548="TDP",VLOOKUP(AF1548,TPCalibEqFull!$AZ$2:$BB$56,3),IF(I1548="TDN",VLOOKUP(AF1548,TNCalibEqFull!$AZ$1:$BB$56,3),IF(I1548="TN",VLOOKUP(AF1548,TNCalibEqFull!$AZ$1:$BB$56,3),FALSE))))</f>
        <v>0</v>
      </c>
      <c r="AV1548" s="10" t="str">
        <f t="shared" si="178"/>
        <v>0130 10:51:00-DAM-0-FIL-1-SW-UKN</v>
      </c>
    </row>
    <row r="1549" spans="1:48" s="10" customFormat="1" x14ac:dyDescent="0.55000000000000004">
      <c r="A1549" s="32">
        <v>44956</v>
      </c>
      <c r="B1549" s="33">
        <v>0.45208333333333334</v>
      </c>
      <c r="C1549" s="10" t="s">
        <v>214</v>
      </c>
      <c r="D1549" s="10">
        <v>0</v>
      </c>
      <c r="E1549" s="10" t="s">
        <v>911</v>
      </c>
      <c r="F1549" s="10">
        <v>2</v>
      </c>
      <c r="G1549" s="10" t="s">
        <v>231</v>
      </c>
      <c r="H1549" s="10" t="s">
        <v>322</v>
      </c>
      <c r="I1549" s="10" t="s">
        <v>167</v>
      </c>
      <c r="J1549" s="10">
        <v>77</v>
      </c>
      <c r="K1549" s="12">
        <v>44958</v>
      </c>
      <c r="L1549" s="33">
        <v>0.58825231481481477</v>
      </c>
      <c r="M1549" s="10">
        <v>1</v>
      </c>
      <c r="N1549" s="10" t="s">
        <v>211</v>
      </c>
      <c r="O1549" s="10">
        <v>0.70499999999999996</v>
      </c>
      <c r="P1549" s="10">
        <v>6.5199999999999994E-2</v>
      </c>
      <c r="Q1549" s="10">
        <v>121</v>
      </c>
      <c r="R1549" s="10" t="s">
        <v>913</v>
      </c>
      <c r="S1549" s="34">
        <f t="shared" si="175"/>
        <v>121</v>
      </c>
      <c r="T1549" s="10" t="s">
        <v>1111</v>
      </c>
      <c r="U1549" s="34" t="str">
        <f t="shared" si="176"/>
        <v/>
      </c>
      <c r="V1549" s="31" t="str">
        <f>IF(H1549="CHK",VLOOKUP(I1549,QCCHK,3,),IF(H1549="GUP",VLOOKUP(E1549,QCGUP,2,),IF(AND(H1549="ATP",OR(I1549="TN",I1549="TDN",I1549="TNO2-3",I1549="NO2-3")),VLOOKUP(E1549,QCREC_N,2,),IF(AND(H1549="NIC",OR(I1549="TN",I1549="TDN",I1549="TNO2-3",I1549="NO2-3")),VLOOKUP(E1549,QCNIC_N,2,),IF(AND(H1549="UREA",OR(I1549="TN",I1549="TDN",I1549="TNO2-3",I1549="NO2-3")),VLOOKUP(E1549,QCUREA_N,2,),IF(H1549="PER",VLOOKUP(I1549,QCPER,MATCH(E1549,QCACTUAL!$J$25:$AA$25,0),),IF(H1549="SPK",VLOOKUP(I1549,QCSPK,3,),IF(AND(H1549="ATP",OR(I1549="TP",I1549="TDP")),VLOOKUP(E1549,QCATP_P,2,),""))))))))</f>
        <v/>
      </c>
      <c r="W1549" s="31" t="str">
        <f t="shared" si="177"/>
        <v>TRUE</v>
      </c>
      <c r="X1549" s="31" t="str">
        <f t="shared" si="174"/>
        <v/>
      </c>
      <c r="Y1549" s="10" t="s">
        <v>1096</v>
      </c>
      <c r="Z1549" s="10" t="s">
        <v>910</v>
      </c>
      <c r="AL1549" s="10" t="str">
        <f t="shared" si="172"/>
        <v>FALSE</v>
      </c>
      <c r="AM1549" s="10" t="str">
        <f t="shared" si="172"/>
        <v>FALSE</v>
      </c>
      <c r="AN1549" s="10" t="str">
        <f t="shared" si="172"/>
        <v>FALSE</v>
      </c>
      <c r="AO1549" s="10" t="str">
        <f t="shared" si="173"/>
        <v>FALSE</v>
      </c>
      <c r="AP1549" s="10" t="str">
        <f t="shared" si="173"/>
        <v>FALSE</v>
      </c>
      <c r="AQ1549" s="10" t="b">
        <f>IF(AND(I1549="TP",S1549&lt;=150),VLOOKUP(AF1549,TPCalibEq150!$AZ$2:$BB$55,3,),IF(AND(I1549="TDP",S1549&lt;=150),VLOOKUP(AF1549,TPCalibEq150!$AZ$2:$BB$55,3,)))</f>
        <v>0</v>
      </c>
      <c r="AR1549" s="10" t="b">
        <f>IF(AND(I1549="TP",S1549&lt;=300),VLOOKUP(AF1549,TPCalibEq300!$AZ$2:$BB$55,3,),IF(AND(I1549="TDP",S1549&lt;=300),VLOOKUP(AF1549,TPCalibEq300!$AZ$2:$BB$55,3,)))</f>
        <v>0</v>
      </c>
      <c r="AS1549" s="10" t="b">
        <f>IF(AND(I1549="TP",S1549&lt;=500),VLOOKUP(AF1549,TPCalibEq500!$AZ$2:$BB$56,3,),IF(AND(I1549="TDP",S1549&lt;=500),VLOOKUP(AF1549,TPCalibEq500!$AZ$2:$BB$56,3,)))</f>
        <v>0</v>
      </c>
      <c r="AT1549" s="10" t="b">
        <f>IF(AND(I1549="TN",S1549&lt;=2800),VLOOKUP(AF1549,TNCalibEq2500!$AZ$2:$BB$56,3,),IF(AND(I1549="TDN",S1549&lt;=2800),VLOOKUP(AF1549,TNCalibEq2500!$AZ$2:$BB$56,3,)))</f>
        <v>0</v>
      </c>
      <c r="AU1549" s="10" t="b">
        <f>IF(I1549="TP",VLOOKUP(AF1549,TPCalibEqFull!$AZ$2:$BB$56,3),IF(I1549="TDP",VLOOKUP(AF1549,TPCalibEqFull!$AZ$2:$BB$56,3),IF(I1549="TDN",VLOOKUP(AF1549,TNCalibEqFull!$AZ$1:$BB$56,3),IF(I1549="TN",VLOOKUP(AF1549,TNCalibEqFull!$AZ$1:$BB$56,3),FALSE))))</f>
        <v>0</v>
      </c>
      <c r="AV1549" s="10" t="str">
        <f t="shared" si="178"/>
        <v>0130 10:51:00-DAM-0-FIL-2-SW-UKN</v>
      </c>
    </row>
    <row r="1550" spans="1:48" s="10" customFormat="1" x14ac:dyDescent="0.55000000000000004">
      <c r="A1550" s="32">
        <v>44956</v>
      </c>
      <c r="B1550" s="33">
        <v>0.45208333333333334</v>
      </c>
      <c r="C1550" s="10" t="s">
        <v>214</v>
      </c>
      <c r="D1550" s="10">
        <v>0</v>
      </c>
      <c r="E1550" s="10" t="s">
        <v>911</v>
      </c>
      <c r="F1550" s="10">
        <v>2</v>
      </c>
      <c r="G1550" s="10" t="s">
        <v>231</v>
      </c>
      <c r="H1550" s="10" t="s">
        <v>233</v>
      </c>
      <c r="I1550" s="10" t="s">
        <v>167</v>
      </c>
      <c r="J1550" s="10">
        <v>77</v>
      </c>
      <c r="K1550" s="12">
        <v>44958</v>
      </c>
      <c r="L1550" s="33">
        <v>0.58908564814814812</v>
      </c>
      <c r="M1550" s="10">
        <v>1</v>
      </c>
      <c r="N1550" s="10" t="s">
        <v>211</v>
      </c>
      <c r="O1550" s="10">
        <v>0.46</v>
      </c>
      <c r="P1550" s="10">
        <v>4.24E-2</v>
      </c>
      <c r="Q1550" s="10">
        <v>78.599999999999994</v>
      </c>
      <c r="R1550" s="10" t="s">
        <v>913</v>
      </c>
      <c r="S1550" s="34">
        <f t="shared" si="175"/>
        <v>78.599999999999994</v>
      </c>
      <c r="T1550" s="10" t="s">
        <v>1111</v>
      </c>
      <c r="U1550" s="34">
        <f t="shared" si="176"/>
        <v>42.484969939879768</v>
      </c>
      <c r="V1550" s="31" t="str">
        <f>IF(H1550="CHK",VLOOKUP(I1550,QCCHK,3,),IF(H1550="GUP",VLOOKUP(E1550,QCGUP,2,),IF(AND(H1550="ATP",OR(I1550="TN",I1550="TDN",I1550="TNO2-3",I1550="NO2-3")),VLOOKUP(E1550,QCREC_N,2,),IF(AND(H1550="NIC",OR(I1550="TN",I1550="TDN",I1550="TNO2-3",I1550="NO2-3")),VLOOKUP(E1550,QCNIC_N,2,),IF(AND(H1550="UREA",OR(I1550="TN",I1550="TDN",I1550="TNO2-3",I1550="NO2-3")),VLOOKUP(E1550,QCUREA_N,2,),IF(H1550="PER",VLOOKUP(I1550,QCPER,MATCH(E1550,QCACTUAL!$J$25:$AA$25,0),),IF(H1550="SPK",VLOOKUP(I1550,QCSPK,3,),IF(AND(H1550="ATP",OR(I1550="TP",I1550="TDP")),VLOOKUP(E1550,QCATP_P,2,),""))))))))</f>
        <v/>
      </c>
      <c r="W1550" s="31" t="str">
        <f t="shared" si="177"/>
        <v>FALSE</v>
      </c>
      <c r="X1550" s="31" t="str">
        <f t="shared" si="174"/>
        <v>((ABS(rep1-rep2))/((rep1+rep2)/2)*100</v>
      </c>
      <c r="Y1550" s="10" t="s">
        <v>1096</v>
      </c>
      <c r="Z1550" s="10" t="s">
        <v>910</v>
      </c>
      <c r="AL1550" s="10" t="str">
        <f t="shared" si="172"/>
        <v>FALSE</v>
      </c>
      <c r="AM1550" s="10" t="str">
        <f t="shared" si="172"/>
        <v>FALSE</v>
      </c>
      <c r="AN1550" s="10" t="str">
        <f t="shared" si="172"/>
        <v>FALSE</v>
      </c>
      <c r="AO1550" s="10" t="str">
        <f t="shared" si="173"/>
        <v>FALSE</v>
      </c>
      <c r="AP1550" s="10" t="str">
        <f t="shared" si="173"/>
        <v>FALSE</v>
      </c>
      <c r="AQ1550" s="10" t="b">
        <f>IF(AND(I1550="TP",S1550&lt;=150),VLOOKUP(AF1550,TPCalibEq150!$AZ$2:$BB$55,3,),IF(AND(I1550="TDP",S1550&lt;=150),VLOOKUP(AF1550,TPCalibEq150!$AZ$2:$BB$55,3,)))</f>
        <v>0</v>
      </c>
      <c r="AR1550" s="10" t="b">
        <f>IF(AND(I1550="TP",S1550&lt;=300),VLOOKUP(AF1550,TPCalibEq300!$AZ$2:$BB$55,3,),IF(AND(I1550="TDP",S1550&lt;=300),VLOOKUP(AF1550,TPCalibEq300!$AZ$2:$BB$55,3,)))</f>
        <v>0</v>
      </c>
      <c r="AS1550" s="10" t="b">
        <f>IF(AND(I1550="TP",S1550&lt;=500),VLOOKUP(AF1550,TPCalibEq500!$AZ$2:$BB$56,3,),IF(AND(I1550="TDP",S1550&lt;=500),VLOOKUP(AF1550,TPCalibEq500!$AZ$2:$BB$56,3,)))</f>
        <v>0</v>
      </c>
      <c r="AT1550" s="10" t="b">
        <f>IF(AND(I1550="TN",S1550&lt;=2800),VLOOKUP(AF1550,TNCalibEq2500!$AZ$2:$BB$56,3,),IF(AND(I1550="TDN",S1550&lt;=2800),VLOOKUP(AF1550,TNCalibEq2500!$AZ$2:$BB$56,3,)))</f>
        <v>0</v>
      </c>
      <c r="AU1550" s="10" t="b">
        <f>IF(I1550="TP",VLOOKUP(AF1550,TPCalibEqFull!$AZ$2:$BB$56,3),IF(I1550="TDP",VLOOKUP(AF1550,TPCalibEqFull!$AZ$2:$BB$56,3),IF(I1550="TDN",VLOOKUP(AF1550,TNCalibEqFull!$AZ$1:$BB$56,3),IF(I1550="TN",VLOOKUP(AF1550,TNCalibEqFull!$AZ$1:$BB$56,3),FALSE))))</f>
        <v>0</v>
      </c>
      <c r="AV1550" s="10" t="str">
        <f t="shared" si="178"/>
        <v>0130 10:51:00-DAM-0-FIL-2-SW-DUP</v>
      </c>
    </row>
    <row r="1551" spans="1:48" s="10" customFormat="1" x14ac:dyDescent="0.55000000000000004">
      <c r="A1551" s="32">
        <v>44956</v>
      </c>
      <c r="B1551" s="33">
        <v>0.45208333333333334</v>
      </c>
      <c r="C1551" s="10" t="s">
        <v>214</v>
      </c>
      <c r="D1551" s="10">
        <v>0</v>
      </c>
      <c r="E1551" s="10" t="s">
        <v>911</v>
      </c>
      <c r="F1551" s="10">
        <v>2</v>
      </c>
      <c r="G1551" s="10" t="s">
        <v>231</v>
      </c>
      <c r="H1551" s="10" t="s">
        <v>314</v>
      </c>
      <c r="I1551" s="10" t="s">
        <v>167</v>
      </c>
      <c r="J1551" s="10">
        <v>90</v>
      </c>
      <c r="K1551" s="12">
        <v>44958</v>
      </c>
      <c r="L1551" s="33">
        <v>0.5898958333333334</v>
      </c>
      <c r="M1551" s="10">
        <v>1</v>
      </c>
      <c r="N1551" s="10" t="s">
        <v>211</v>
      </c>
      <c r="O1551" s="10">
        <v>1.49</v>
      </c>
      <c r="P1551" s="10">
        <v>0.14199999999999999</v>
      </c>
      <c r="Q1551" s="10">
        <v>256</v>
      </c>
      <c r="R1551" s="10" t="s">
        <v>913</v>
      </c>
      <c r="S1551" s="34">
        <f t="shared" si="175"/>
        <v>256</v>
      </c>
      <c r="T1551" s="10" t="s">
        <v>1111</v>
      </c>
      <c r="U1551" s="34">
        <f t="shared" si="176"/>
        <v>113.53600000000002</v>
      </c>
      <c r="V1551" s="31">
        <f>IF(H1551="CHK",VLOOKUP(I1551,QCCHK,3,),IF(H1551="GUP",VLOOKUP(E1551,QCGUP,2,),IF(AND(H1551="ATP",OR(I1551="TN",I1551="TDN",I1551="TNO2-3",I1551="NO2-3")),VLOOKUP(E1551,QCREC_N,2,),IF(AND(H1551="NIC",OR(I1551="TN",I1551="TDN",I1551="TNO2-3",I1551="NO2-3")),VLOOKUP(E1551,QCNIC_N,2,),IF(AND(H1551="UREA",OR(I1551="TN",I1551="TDN",I1551="TNO2-3",I1551="NO2-3")),VLOOKUP(E1551,QCUREA_N,2,),IF(H1551="PER",VLOOKUP(I1551,QCPER,MATCH(E1551,QCACTUAL!$J$25:$AA$25,0),),IF(H1551="SPK",VLOOKUP(I1551,QCSPK,3,),IF(AND(H1551="ATP",OR(I1551="TP",I1551="TDP")),VLOOKUP(E1551,QCATP_P,2,),""))))))))</f>
        <v>156.25</v>
      </c>
      <c r="W1551" s="31" t="str">
        <f t="shared" si="177"/>
        <v>TRUE</v>
      </c>
      <c r="X1551" s="31" t="str">
        <f t="shared" si="174"/>
        <v>([spikedunkn]-[unkn])/[spike]*100</v>
      </c>
      <c r="Y1551" s="10" t="s">
        <v>1096</v>
      </c>
      <c r="Z1551" s="10" t="s">
        <v>910</v>
      </c>
      <c r="AL1551" s="10" t="str">
        <f t="shared" si="172"/>
        <v>FALSE</v>
      </c>
      <c r="AM1551" s="10" t="str">
        <f t="shared" si="172"/>
        <v>FALSE</v>
      </c>
      <c r="AN1551" s="10" t="str">
        <f t="shared" si="172"/>
        <v>FALSE</v>
      </c>
      <c r="AO1551" s="10" t="str">
        <f t="shared" si="173"/>
        <v>FALSE</v>
      </c>
      <c r="AP1551" s="10" t="str">
        <f t="shared" si="173"/>
        <v>FALSE</v>
      </c>
      <c r="AQ1551" s="10" t="b">
        <f>IF(AND(I1551="TP",S1551&lt;=150),VLOOKUP(AF1551,TPCalibEq150!$AZ$2:$BB$55,3,),IF(AND(I1551="TDP",S1551&lt;=150),VLOOKUP(AF1551,TPCalibEq150!$AZ$2:$BB$55,3,)))</f>
        <v>0</v>
      </c>
      <c r="AR1551" s="10" t="b">
        <f>IF(AND(I1551="TP",S1551&lt;=300),VLOOKUP(AF1551,TPCalibEq300!$AZ$2:$BB$55,3,),IF(AND(I1551="TDP",S1551&lt;=300),VLOOKUP(AF1551,TPCalibEq300!$AZ$2:$BB$55,3,)))</f>
        <v>0</v>
      </c>
      <c r="AS1551" s="10" t="b">
        <f>IF(AND(I1551="TP",S1551&lt;=500),VLOOKUP(AF1551,TPCalibEq500!$AZ$2:$BB$56,3,),IF(AND(I1551="TDP",S1551&lt;=500),VLOOKUP(AF1551,TPCalibEq500!$AZ$2:$BB$56,3,)))</f>
        <v>0</v>
      </c>
      <c r="AT1551" s="10" t="b">
        <f>IF(AND(I1551="TN",S1551&lt;=2800),VLOOKUP(AF1551,TNCalibEq2500!$AZ$2:$BB$56,3,),IF(AND(I1551="TDN",S1551&lt;=2800),VLOOKUP(AF1551,TNCalibEq2500!$AZ$2:$BB$56,3,)))</f>
        <v>0</v>
      </c>
      <c r="AU1551" s="10" t="b">
        <f>IF(I1551="TP",VLOOKUP(AF1551,TPCalibEqFull!$AZ$2:$BB$56,3),IF(I1551="TDP",VLOOKUP(AF1551,TPCalibEqFull!$AZ$2:$BB$56,3),IF(I1551="TDN",VLOOKUP(AF1551,TNCalibEqFull!$AZ$1:$BB$56,3),IF(I1551="TN",VLOOKUP(AF1551,TNCalibEqFull!$AZ$1:$BB$56,3),FALSE))))</f>
        <v>0</v>
      </c>
      <c r="AV1551" s="10" t="str">
        <f t="shared" si="178"/>
        <v>0130 10:51:00-DAM-0-FIL-2-SW-SPK</v>
      </c>
    </row>
    <row r="1552" spans="1:48" s="10" customFormat="1" x14ac:dyDescent="0.55000000000000004">
      <c r="A1552" s="32">
        <v>44958</v>
      </c>
      <c r="B1552" s="33">
        <v>0.375</v>
      </c>
      <c r="C1552" s="10" t="s">
        <v>70</v>
      </c>
      <c r="D1552" s="10" t="s">
        <v>71</v>
      </c>
      <c r="E1552" s="10" t="s">
        <v>901</v>
      </c>
      <c r="F1552" s="10">
        <v>1</v>
      </c>
      <c r="G1552" s="10" t="s">
        <v>73</v>
      </c>
      <c r="H1552" s="10" t="s">
        <v>207</v>
      </c>
      <c r="I1552" s="10" t="s">
        <v>285</v>
      </c>
      <c r="J1552" s="10">
        <v>202</v>
      </c>
      <c r="K1552" s="12">
        <v>44958</v>
      </c>
      <c r="L1552" s="33">
        <v>0.59072916666666664</v>
      </c>
      <c r="M1552" s="10">
        <v>1</v>
      </c>
      <c r="N1552" s="10" t="s">
        <v>211</v>
      </c>
      <c r="O1552" s="10">
        <v>0.44600000000000001</v>
      </c>
      <c r="P1552" s="10">
        <v>4.1200000000000001E-2</v>
      </c>
      <c r="Q1552" s="10">
        <v>76.2</v>
      </c>
      <c r="R1552" s="10" t="s">
        <v>913</v>
      </c>
      <c r="S1552" s="34">
        <f t="shared" si="175"/>
        <v>76.2</v>
      </c>
      <c r="T1552" s="10" t="s">
        <v>1111</v>
      </c>
      <c r="U1552" s="34">
        <f t="shared" si="176"/>
        <v>101.6</v>
      </c>
      <c r="V1552" s="31">
        <f>IF(H1552="CHK",VLOOKUP(I1552,QCCHK,3,),IF(H1552="GUP",VLOOKUP(E1552,QCGUP,2,),IF(AND(H1552="ATP",OR(I1552="TN",I1552="TDN",I1552="TNO2-3",I1552="NO2-3")),VLOOKUP(E1552,QCREC_N,2,),IF(AND(H1552="NIC",OR(I1552="TN",I1552="TDN",I1552="TNO2-3",I1552="NO2-3")),VLOOKUP(E1552,QCNIC_N,2,),IF(AND(H1552="UREA",OR(I1552="TN",I1552="TDN",I1552="TNO2-3",I1552="NO2-3")),VLOOKUP(E1552,QCUREA_N,2,),IF(H1552="PER",VLOOKUP(I1552,QCPER,MATCH(E1552,QCACTUAL!$J$25:$AA$25,0),),IF(H1552="SPK",VLOOKUP(I1552,QCSPK,3,),IF(AND(H1552="ATP",OR(I1552="TP",I1552="TDP")),VLOOKUP(E1552,QCATP_P,2,),""))))))))</f>
        <v>75</v>
      </c>
      <c r="W1552" s="31" t="str">
        <f t="shared" si="177"/>
        <v>TRUE</v>
      </c>
      <c r="X1552" s="31" t="str">
        <f t="shared" si="174"/>
        <v>[chk]/[actual]*100</v>
      </c>
      <c r="Y1552" s="10" t="s">
        <v>1096</v>
      </c>
      <c r="AL1552" s="10" t="str">
        <f t="shared" si="172"/>
        <v>FALSE</v>
      </c>
      <c r="AM1552" s="10" t="str">
        <f t="shared" si="172"/>
        <v>FALSE</v>
      </c>
      <c r="AN1552" s="10" t="str">
        <f t="shared" si="172"/>
        <v>FALSE</v>
      </c>
      <c r="AO1552" s="10" t="str">
        <f t="shared" si="173"/>
        <v>FALSE</v>
      </c>
      <c r="AP1552" s="10" t="str">
        <f t="shared" si="173"/>
        <v>FALSE</v>
      </c>
      <c r="AQ1552" s="10" t="b">
        <f>IF(AND(I1552="TP",S1552&lt;=150),VLOOKUP(AF1552,TPCalibEq150!$AZ$2:$BB$55,3,),IF(AND(I1552="TDP",S1552&lt;=150),VLOOKUP(AF1552,TPCalibEq150!$AZ$2:$BB$55,3,)))</f>
        <v>0</v>
      </c>
      <c r="AR1552" s="10" t="b">
        <f>IF(AND(I1552="TP",S1552&lt;=300),VLOOKUP(AF1552,TPCalibEq300!$AZ$2:$BB$55,3,),IF(AND(I1552="TDP",S1552&lt;=300),VLOOKUP(AF1552,TPCalibEq300!$AZ$2:$BB$55,3,)))</f>
        <v>0</v>
      </c>
      <c r="AS1552" s="10" t="b">
        <f>IF(AND(I1552="TP",S1552&lt;=500),VLOOKUP(AF1552,TPCalibEq500!$AZ$2:$BB$56,3,),IF(AND(I1552="TDP",S1552&lt;=500),VLOOKUP(AF1552,TPCalibEq500!$AZ$2:$BB$56,3,)))</f>
        <v>0</v>
      </c>
      <c r="AT1552" s="10" t="b">
        <f>IF(AND(I1552="TN",S1552&lt;=2800),VLOOKUP(AF1552,TNCalibEq2500!$AZ$2:$BB$56,3,),IF(AND(I1552="TDN",S1552&lt;=2800),VLOOKUP(AF1552,TNCalibEq2500!$AZ$2:$BB$56,3,)))</f>
        <v>0</v>
      </c>
      <c r="AU1552" s="10" t="b">
        <f>IF(I1552="TP",VLOOKUP(AF1552,TPCalibEqFull!$AZ$2:$BB$56,3),IF(I1552="TDP",VLOOKUP(AF1552,TPCalibEqFull!$AZ$2:$BB$56,3),IF(I1552="TDN",VLOOKUP(AF1552,TNCalibEqFull!$AZ$1:$BB$56,3),IF(I1552="TN",VLOOKUP(AF1552,TNCalibEqFull!$AZ$1:$BB$56,3),FALSE))))</f>
        <v>0</v>
      </c>
      <c r="AV1552" s="10" t="str">
        <f t="shared" si="178"/>
        <v>0201 09:00:00-QAC-STD-D-1-DI-CHK</v>
      </c>
    </row>
    <row r="1553" spans="1:48" s="10" customFormat="1" x14ac:dyDescent="0.55000000000000004">
      <c r="A1553" s="32">
        <v>44956</v>
      </c>
      <c r="B1553" s="33">
        <v>0.46527777777777773</v>
      </c>
      <c r="C1553" s="10" t="s">
        <v>341</v>
      </c>
      <c r="D1553" s="10">
        <v>0</v>
      </c>
      <c r="E1553" s="10" t="s">
        <v>911</v>
      </c>
      <c r="F1553" s="10">
        <v>1</v>
      </c>
      <c r="G1553" s="10" t="s">
        <v>231</v>
      </c>
      <c r="H1553" s="10" t="s">
        <v>322</v>
      </c>
      <c r="I1553" s="10" t="s">
        <v>167</v>
      </c>
      <c r="J1553" s="10">
        <v>78</v>
      </c>
      <c r="K1553" s="12">
        <v>44958</v>
      </c>
      <c r="L1553" s="33">
        <v>0.5915393518518518</v>
      </c>
      <c r="M1553" s="10">
        <v>1</v>
      </c>
      <c r="N1553" s="10" t="s">
        <v>211</v>
      </c>
      <c r="O1553" s="10">
        <v>0.14000000000000001</v>
      </c>
      <c r="P1553" s="10">
        <v>1.26E-2</v>
      </c>
      <c r="Q1553" s="10">
        <v>23.6</v>
      </c>
      <c r="R1553" s="10" t="s">
        <v>913</v>
      </c>
      <c r="S1553" s="34">
        <f t="shared" si="175"/>
        <v>23.6</v>
      </c>
      <c r="T1553" s="10" t="s">
        <v>1111</v>
      </c>
      <c r="U1553" s="34" t="str">
        <f t="shared" si="176"/>
        <v/>
      </c>
      <c r="V1553" s="31" t="str">
        <f>IF(H1553="CHK",VLOOKUP(I1553,QCCHK,3,),IF(H1553="GUP",VLOOKUP(E1553,QCGUP,2,),IF(AND(H1553="ATP",OR(I1553="TN",I1553="TDN",I1553="TNO2-3",I1553="NO2-3")),VLOOKUP(E1553,QCREC_N,2,),IF(AND(H1553="NIC",OR(I1553="TN",I1553="TDN",I1553="TNO2-3",I1553="NO2-3")),VLOOKUP(E1553,QCNIC_N,2,),IF(AND(H1553="UREA",OR(I1553="TN",I1553="TDN",I1553="TNO2-3",I1553="NO2-3")),VLOOKUP(E1553,QCUREA_N,2,),IF(H1553="PER",VLOOKUP(I1553,QCPER,MATCH(E1553,QCACTUAL!$J$25:$AA$25,0),),IF(H1553="SPK",VLOOKUP(I1553,QCSPK,3,),IF(AND(H1553="ATP",OR(I1553="TP",I1553="TDP")),VLOOKUP(E1553,QCATP_P,2,),""))))))))</f>
        <v/>
      </c>
      <c r="W1553" s="31" t="str">
        <f t="shared" si="177"/>
        <v>TRUE</v>
      </c>
      <c r="X1553" s="31" t="str">
        <f t="shared" si="174"/>
        <v/>
      </c>
      <c r="Y1553" s="10" t="s">
        <v>1096</v>
      </c>
      <c r="Z1553" s="10" t="s">
        <v>910</v>
      </c>
      <c r="AL1553" s="10" t="str">
        <f t="shared" ref="AL1553:AN1616" si="179">IF($O1553="", "", IF(AQ1553&lt;&gt;"", SUBSTITUTE(SUBSTITUTE(AQ1553, "x", "*"&amp;$O1553&amp;"^", 1), "x", "*"&amp;$O1553, 1), ""))</f>
        <v>FALSE</v>
      </c>
      <c r="AM1553" s="10" t="str">
        <f t="shared" si="179"/>
        <v>FALSE</v>
      </c>
      <c r="AN1553" s="10" t="str">
        <f t="shared" si="179"/>
        <v>FALSE</v>
      </c>
      <c r="AO1553" s="10" t="str">
        <f t="shared" ref="AO1553:AP1616" si="180">IF($O1553="", "FALSE", IF(AT1553&lt;&gt;"FALSE", SUBSTITUTE(SUBSTITUTE(AT1553, "x", "*"&amp;$O1553&amp;"^", 1), "x", "*"&amp;$O1553, 1), ""))</f>
        <v>FALSE</v>
      </c>
      <c r="AP1553" s="10" t="str">
        <f t="shared" si="180"/>
        <v>FALSE</v>
      </c>
      <c r="AQ1553" s="10" t="b">
        <f>IF(AND(I1553="TP",S1553&lt;=150),VLOOKUP(AF1553,TPCalibEq150!$AZ$2:$BB$55,3,),IF(AND(I1553="TDP",S1553&lt;=150),VLOOKUP(AF1553,TPCalibEq150!$AZ$2:$BB$55,3,)))</f>
        <v>0</v>
      </c>
      <c r="AR1553" s="10" t="b">
        <f>IF(AND(I1553="TP",S1553&lt;=300),VLOOKUP(AF1553,TPCalibEq300!$AZ$2:$BB$55,3,),IF(AND(I1553="TDP",S1553&lt;=300),VLOOKUP(AF1553,TPCalibEq300!$AZ$2:$BB$55,3,)))</f>
        <v>0</v>
      </c>
      <c r="AS1553" s="10" t="b">
        <f>IF(AND(I1553="TP",S1553&lt;=500),VLOOKUP(AF1553,TPCalibEq500!$AZ$2:$BB$56,3,),IF(AND(I1553="TDP",S1553&lt;=500),VLOOKUP(AF1553,TPCalibEq500!$AZ$2:$BB$56,3,)))</f>
        <v>0</v>
      </c>
      <c r="AT1553" s="10" t="b">
        <f>IF(AND(I1553="TN",S1553&lt;=2800),VLOOKUP(AF1553,TNCalibEq2500!$AZ$2:$BB$56,3,),IF(AND(I1553="TDN",S1553&lt;=2800),VLOOKUP(AF1553,TNCalibEq2500!$AZ$2:$BB$56,3,)))</f>
        <v>0</v>
      </c>
      <c r="AU1553" s="10" t="b">
        <f>IF(I1553="TP",VLOOKUP(AF1553,TPCalibEqFull!$AZ$2:$BB$56,3),IF(I1553="TDP",VLOOKUP(AF1553,TPCalibEqFull!$AZ$2:$BB$56,3),IF(I1553="TDN",VLOOKUP(AF1553,TNCalibEqFull!$AZ$1:$BB$56,3),IF(I1553="TN",VLOOKUP(AF1553,TNCalibEqFull!$AZ$1:$BB$56,3),FALSE))))</f>
        <v>0</v>
      </c>
      <c r="AV1553" s="10" t="str">
        <f t="shared" si="178"/>
        <v>0130 11:10:00-LRC-0-FIL-1-SW-UKN</v>
      </c>
    </row>
    <row r="1554" spans="1:48" s="10" customFormat="1" x14ac:dyDescent="0.55000000000000004">
      <c r="A1554" s="32">
        <v>44956</v>
      </c>
      <c r="B1554" s="33">
        <v>0.4777777777777778</v>
      </c>
      <c r="C1554" s="10" t="s">
        <v>228</v>
      </c>
      <c r="D1554" s="10">
        <v>0</v>
      </c>
      <c r="E1554" s="10" t="s">
        <v>911</v>
      </c>
      <c r="F1554" s="10">
        <v>1</v>
      </c>
      <c r="G1554" s="10" t="s">
        <v>231</v>
      </c>
      <c r="H1554" s="10" t="s">
        <v>322</v>
      </c>
      <c r="I1554" s="10" t="s">
        <v>167</v>
      </c>
      <c r="J1554" s="10">
        <v>79</v>
      </c>
      <c r="K1554" s="12">
        <v>44958</v>
      </c>
      <c r="L1554" s="33">
        <v>0.59236111111111112</v>
      </c>
      <c r="M1554" s="10">
        <v>1</v>
      </c>
      <c r="N1554" s="10" t="s">
        <v>211</v>
      </c>
      <c r="O1554" s="10">
        <v>0.60099999999999998</v>
      </c>
      <c r="P1554" s="10">
        <v>5.5300000000000002E-2</v>
      </c>
      <c r="Q1554" s="10">
        <v>103</v>
      </c>
      <c r="R1554" s="10" t="s">
        <v>913</v>
      </c>
      <c r="S1554" s="34">
        <f t="shared" si="175"/>
        <v>103</v>
      </c>
      <c r="T1554" s="10" t="s">
        <v>1111</v>
      </c>
      <c r="U1554" s="34" t="str">
        <f t="shared" si="176"/>
        <v/>
      </c>
      <c r="V1554" s="31" t="str">
        <f>IF(H1554="CHK",VLOOKUP(I1554,QCCHK,3,),IF(H1554="GUP",VLOOKUP(E1554,QCGUP,2,),IF(AND(H1554="ATP",OR(I1554="TN",I1554="TDN",I1554="TNO2-3",I1554="NO2-3")),VLOOKUP(E1554,QCREC_N,2,),IF(AND(H1554="NIC",OR(I1554="TN",I1554="TDN",I1554="TNO2-3",I1554="NO2-3")),VLOOKUP(E1554,QCNIC_N,2,),IF(AND(H1554="UREA",OR(I1554="TN",I1554="TDN",I1554="TNO2-3",I1554="NO2-3")),VLOOKUP(E1554,QCUREA_N,2,),IF(H1554="PER",VLOOKUP(I1554,QCPER,MATCH(E1554,QCACTUAL!$J$25:$AA$25,0),),IF(H1554="SPK",VLOOKUP(I1554,QCSPK,3,),IF(AND(H1554="ATP",OR(I1554="TP",I1554="TDP")),VLOOKUP(E1554,QCATP_P,2,),""))))))))</f>
        <v/>
      </c>
      <c r="W1554" s="31" t="str">
        <f t="shared" si="177"/>
        <v>TRUE</v>
      </c>
      <c r="X1554" s="31" t="str">
        <f t="shared" si="174"/>
        <v/>
      </c>
      <c r="Y1554" s="10" t="s">
        <v>1096</v>
      </c>
      <c r="Z1554" s="10" t="s">
        <v>910</v>
      </c>
      <c r="AL1554" s="10" t="str">
        <f t="shared" si="179"/>
        <v>FALSE</v>
      </c>
      <c r="AM1554" s="10" t="str">
        <f t="shared" si="179"/>
        <v>FALSE</v>
      </c>
      <c r="AN1554" s="10" t="str">
        <f t="shared" si="179"/>
        <v>FALSE</v>
      </c>
      <c r="AO1554" s="10" t="str">
        <f t="shared" si="180"/>
        <v>FALSE</v>
      </c>
      <c r="AP1554" s="10" t="str">
        <f t="shared" si="180"/>
        <v>FALSE</v>
      </c>
      <c r="AQ1554" s="10" t="b">
        <f>IF(AND(I1554="TP",S1554&lt;=150),VLOOKUP(AF1554,TPCalibEq150!$AZ$2:$BB$55,3,),IF(AND(I1554="TDP",S1554&lt;=150),VLOOKUP(AF1554,TPCalibEq150!$AZ$2:$BB$55,3,)))</f>
        <v>0</v>
      </c>
      <c r="AR1554" s="10" t="b">
        <f>IF(AND(I1554="TP",S1554&lt;=300),VLOOKUP(AF1554,TPCalibEq300!$AZ$2:$BB$55,3,),IF(AND(I1554="TDP",S1554&lt;=300),VLOOKUP(AF1554,TPCalibEq300!$AZ$2:$BB$55,3,)))</f>
        <v>0</v>
      </c>
      <c r="AS1554" s="10" t="b">
        <f>IF(AND(I1554="TP",S1554&lt;=500),VLOOKUP(AF1554,TPCalibEq500!$AZ$2:$BB$56,3,),IF(AND(I1554="TDP",S1554&lt;=500),VLOOKUP(AF1554,TPCalibEq500!$AZ$2:$BB$56,3,)))</f>
        <v>0</v>
      </c>
      <c r="AT1554" s="10" t="b">
        <f>IF(AND(I1554="TN",S1554&lt;=2800),VLOOKUP(AF1554,TNCalibEq2500!$AZ$2:$BB$56,3,),IF(AND(I1554="TDN",S1554&lt;=2800),VLOOKUP(AF1554,TNCalibEq2500!$AZ$2:$BB$56,3,)))</f>
        <v>0</v>
      </c>
      <c r="AU1554" s="10" t="b">
        <f>IF(I1554="TP",VLOOKUP(AF1554,TPCalibEqFull!$AZ$2:$BB$56,3),IF(I1554="TDP",VLOOKUP(AF1554,TPCalibEqFull!$AZ$2:$BB$56,3),IF(I1554="TDN",VLOOKUP(AF1554,TNCalibEqFull!$AZ$1:$BB$56,3),IF(I1554="TN",VLOOKUP(AF1554,TNCalibEqFull!$AZ$1:$BB$56,3),FALSE))))</f>
        <v>0</v>
      </c>
      <c r="AV1554" s="10" t="str">
        <f t="shared" si="178"/>
        <v>0130 11:28:00-DWT-0-FIL-1-SW-UKN</v>
      </c>
    </row>
    <row r="1555" spans="1:48" s="10" customFormat="1" x14ac:dyDescent="0.55000000000000004">
      <c r="A1555" s="32">
        <v>44956</v>
      </c>
      <c r="B1555" s="33">
        <v>0.49374999999999997</v>
      </c>
      <c r="C1555" s="10" t="s">
        <v>625</v>
      </c>
      <c r="D1555" s="10">
        <v>0</v>
      </c>
      <c r="E1555" s="10" t="s">
        <v>911</v>
      </c>
      <c r="F1555" s="10">
        <v>1</v>
      </c>
      <c r="G1555" s="10" t="s">
        <v>231</v>
      </c>
      <c r="H1555" s="10" t="s">
        <v>322</v>
      </c>
      <c r="I1555" s="10" t="s">
        <v>167</v>
      </c>
      <c r="J1555" s="10">
        <v>80</v>
      </c>
      <c r="K1555" s="12">
        <v>44958</v>
      </c>
      <c r="L1555" s="33">
        <v>0.59318287037037043</v>
      </c>
      <c r="M1555" s="10">
        <v>1</v>
      </c>
      <c r="N1555" s="10" t="s">
        <v>211</v>
      </c>
      <c r="O1555" s="10">
        <v>0.127</v>
      </c>
      <c r="P1555" s="10">
        <v>1.15E-2</v>
      </c>
      <c r="Q1555" s="10">
        <v>21.4</v>
      </c>
      <c r="R1555" s="10" t="s">
        <v>913</v>
      </c>
      <c r="S1555" s="34">
        <f t="shared" si="175"/>
        <v>21.4</v>
      </c>
      <c r="T1555" s="10" t="s">
        <v>1111</v>
      </c>
      <c r="U1555" s="34" t="str">
        <f t="shared" si="176"/>
        <v/>
      </c>
      <c r="V1555" s="31" t="str">
        <f>IF(H1555="CHK",VLOOKUP(I1555,QCCHK,3,),IF(H1555="GUP",VLOOKUP(E1555,QCGUP,2,),IF(AND(H1555="ATP",OR(I1555="TN",I1555="TDN",I1555="TNO2-3",I1555="NO2-3")),VLOOKUP(E1555,QCREC_N,2,),IF(AND(H1555="NIC",OR(I1555="TN",I1555="TDN",I1555="TNO2-3",I1555="NO2-3")),VLOOKUP(E1555,QCNIC_N,2,),IF(AND(H1555="UREA",OR(I1555="TN",I1555="TDN",I1555="TNO2-3",I1555="NO2-3")),VLOOKUP(E1555,QCUREA_N,2,),IF(H1555="PER",VLOOKUP(I1555,QCPER,MATCH(E1555,QCACTUAL!$J$25:$AA$25,0),),IF(H1555="SPK",VLOOKUP(I1555,QCSPK,3,),IF(AND(H1555="ATP",OR(I1555="TP",I1555="TDP")),VLOOKUP(E1555,QCATP_P,2,),""))))))))</f>
        <v/>
      </c>
      <c r="W1555" s="31" t="str">
        <f t="shared" si="177"/>
        <v>TRUE</v>
      </c>
      <c r="X1555" s="31" t="str">
        <f t="shared" si="174"/>
        <v/>
      </c>
      <c r="Y1555" s="10" t="s">
        <v>1096</v>
      </c>
      <c r="Z1555" s="10" t="s">
        <v>910</v>
      </c>
      <c r="AL1555" s="10" t="str">
        <f t="shared" si="179"/>
        <v>FALSE</v>
      </c>
      <c r="AM1555" s="10" t="str">
        <f t="shared" si="179"/>
        <v>FALSE</v>
      </c>
      <c r="AN1555" s="10" t="str">
        <f t="shared" si="179"/>
        <v>FALSE</v>
      </c>
      <c r="AO1555" s="10" t="str">
        <f t="shared" si="180"/>
        <v>FALSE</v>
      </c>
      <c r="AP1555" s="10" t="str">
        <f t="shared" si="180"/>
        <v>FALSE</v>
      </c>
      <c r="AQ1555" s="10" t="b">
        <f>IF(AND(I1555="TP",S1555&lt;=150),VLOOKUP(AF1555,TPCalibEq150!$AZ$2:$BB$55,3,),IF(AND(I1555="TDP",S1555&lt;=150),VLOOKUP(AF1555,TPCalibEq150!$AZ$2:$BB$55,3,)))</f>
        <v>0</v>
      </c>
      <c r="AR1555" s="10" t="b">
        <f>IF(AND(I1555="TP",S1555&lt;=300),VLOOKUP(AF1555,TPCalibEq300!$AZ$2:$BB$55,3,),IF(AND(I1555="TDP",S1555&lt;=300),VLOOKUP(AF1555,TPCalibEq300!$AZ$2:$BB$55,3,)))</f>
        <v>0</v>
      </c>
      <c r="AS1555" s="10" t="b">
        <f>IF(AND(I1555="TP",S1555&lt;=500),VLOOKUP(AF1555,TPCalibEq500!$AZ$2:$BB$56,3,),IF(AND(I1555="TDP",S1555&lt;=500),VLOOKUP(AF1555,TPCalibEq500!$AZ$2:$BB$56,3,)))</f>
        <v>0</v>
      </c>
      <c r="AT1555" s="10" t="b">
        <f>IF(AND(I1555="TN",S1555&lt;=2800),VLOOKUP(AF1555,TNCalibEq2500!$AZ$2:$BB$56,3,),IF(AND(I1555="TDN",S1555&lt;=2800),VLOOKUP(AF1555,TNCalibEq2500!$AZ$2:$BB$56,3,)))</f>
        <v>0</v>
      </c>
      <c r="AU1555" s="10" t="b">
        <f>IF(I1555="TP",VLOOKUP(AF1555,TPCalibEqFull!$AZ$2:$BB$56,3),IF(I1555="TDP",VLOOKUP(AF1555,TPCalibEqFull!$AZ$2:$BB$56,3),IF(I1555="TDN",VLOOKUP(AF1555,TNCalibEqFull!$AZ$1:$BB$56,3),IF(I1555="TN",VLOOKUP(AF1555,TNCalibEqFull!$AZ$1:$BB$56,3),FALSE))))</f>
        <v>0</v>
      </c>
      <c r="AV1555" s="10" t="str">
        <f t="shared" si="178"/>
        <v>0130 11:51:00-TBS-0-FIL-1-SW-UKN</v>
      </c>
    </row>
    <row r="1556" spans="1:48" s="10" customFormat="1" x14ac:dyDescent="0.55000000000000004">
      <c r="A1556" s="32">
        <v>44956</v>
      </c>
      <c r="B1556" s="33">
        <v>0.49374999999999997</v>
      </c>
      <c r="C1556" s="10" t="s">
        <v>625</v>
      </c>
      <c r="D1556" s="10">
        <v>0</v>
      </c>
      <c r="E1556" s="10" t="s">
        <v>911</v>
      </c>
      <c r="F1556" s="10">
        <v>1</v>
      </c>
      <c r="G1556" s="10" t="s">
        <v>231</v>
      </c>
      <c r="H1556" s="10" t="s">
        <v>233</v>
      </c>
      <c r="I1556" s="10" t="s">
        <v>167</v>
      </c>
      <c r="J1556" s="10">
        <v>80</v>
      </c>
      <c r="K1556" s="12">
        <v>44958</v>
      </c>
      <c r="L1556" s="33">
        <v>0.59400462962962963</v>
      </c>
      <c r="M1556" s="10">
        <v>1</v>
      </c>
      <c r="N1556" s="10" t="s">
        <v>211</v>
      </c>
      <c r="O1556" s="10">
        <v>9.1200000000000003E-2</v>
      </c>
      <c r="P1556" s="10">
        <v>8.3599999999999994E-3</v>
      </c>
      <c r="Q1556" s="10">
        <v>15.1</v>
      </c>
      <c r="R1556" s="10" t="s">
        <v>913</v>
      </c>
      <c r="S1556" s="34">
        <f t="shared" si="175"/>
        <v>15.1</v>
      </c>
      <c r="T1556" s="10" t="s">
        <v>1111</v>
      </c>
      <c r="U1556" s="34">
        <f t="shared" si="176"/>
        <v>34.520547945205472</v>
      </c>
      <c r="V1556" s="31" t="str">
        <f>IF(H1556="CHK",VLOOKUP(I1556,QCCHK,3,),IF(H1556="GUP",VLOOKUP(E1556,QCGUP,2,),IF(AND(H1556="ATP",OR(I1556="TN",I1556="TDN",I1556="TNO2-3",I1556="NO2-3")),VLOOKUP(E1556,QCREC_N,2,),IF(AND(H1556="NIC",OR(I1556="TN",I1556="TDN",I1556="TNO2-3",I1556="NO2-3")),VLOOKUP(E1556,QCNIC_N,2,),IF(AND(H1556="UREA",OR(I1556="TN",I1556="TDN",I1556="TNO2-3",I1556="NO2-3")),VLOOKUP(E1556,QCUREA_N,2,),IF(H1556="PER",VLOOKUP(I1556,QCPER,MATCH(E1556,QCACTUAL!$J$25:$AA$25,0),),IF(H1556="SPK",VLOOKUP(I1556,QCSPK,3,),IF(AND(H1556="ATP",OR(I1556="TP",I1556="TDP")),VLOOKUP(E1556,QCATP_P,2,),""))))))))</f>
        <v/>
      </c>
      <c r="W1556" s="31" t="b">
        <v>1</v>
      </c>
      <c r="X1556" s="31" t="str">
        <f t="shared" si="174"/>
        <v>((ABS(rep1-rep2))/((rep1+rep2)/2)*100</v>
      </c>
      <c r="Y1556" s="10" t="s">
        <v>1096</v>
      </c>
      <c r="Z1556" s="10" t="s">
        <v>1059</v>
      </c>
      <c r="AL1556" s="10" t="str">
        <f t="shared" si="179"/>
        <v>FALSE</v>
      </c>
      <c r="AM1556" s="10" t="str">
        <f t="shared" si="179"/>
        <v>FALSE</v>
      </c>
      <c r="AN1556" s="10" t="str">
        <f t="shared" si="179"/>
        <v>FALSE</v>
      </c>
      <c r="AO1556" s="10" t="str">
        <f t="shared" si="180"/>
        <v>FALSE</v>
      </c>
      <c r="AP1556" s="10" t="str">
        <f t="shared" si="180"/>
        <v>FALSE</v>
      </c>
      <c r="AQ1556" s="10" t="b">
        <f>IF(AND(I1556="TP",S1556&lt;=150),VLOOKUP(AF1556,TPCalibEq150!$AZ$2:$BB$55,3,),IF(AND(I1556="TDP",S1556&lt;=150),VLOOKUP(AF1556,TPCalibEq150!$AZ$2:$BB$55,3,)))</f>
        <v>0</v>
      </c>
      <c r="AR1556" s="10" t="b">
        <f>IF(AND(I1556="TP",S1556&lt;=300),VLOOKUP(AF1556,TPCalibEq300!$AZ$2:$BB$55,3,),IF(AND(I1556="TDP",S1556&lt;=300),VLOOKUP(AF1556,TPCalibEq300!$AZ$2:$BB$55,3,)))</f>
        <v>0</v>
      </c>
      <c r="AS1556" s="10" t="b">
        <f>IF(AND(I1556="TP",S1556&lt;=500),VLOOKUP(AF1556,TPCalibEq500!$AZ$2:$BB$56,3,),IF(AND(I1556="TDP",S1556&lt;=500),VLOOKUP(AF1556,TPCalibEq500!$AZ$2:$BB$56,3,)))</f>
        <v>0</v>
      </c>
      <c r="AT1556" s="10" t="b">
        <f>IF(AND(I1556="TN",S1556&lt;=2800),VLOOKUP(AF1556,TNCalibEq2500!$AZ$2:$BB$56,3,),IF(AND(I1556="TDN",S1556&lt;=2800),VLOOKUP(AF1556,TNCalibEq2500!$AZ$2:$BB$56,3,)))</f>
        <v>0</v>
      </c>
      <c r="AU1556" s="10" t="b">
        <f>IF(I1556="TP",VLOOKUP(AF1556,TPCalibEqFull!$AZ$2:$BB$56,3),IF(I1556="TDP",VLOOKUP(AF1556,TPCalibEqFull!$AZ$2:$BB$56,3),IF(I1556="TDN",VLOOKUP(AF1556,TNCalibEqFull!$AZ$1:$BB$56,3),IF(I1556="TN",VLOOKUP(AF1556,TNCalibEqFull!$AZ$1:$BB$56,3),FALSE))))</f>
        <v>0</v>
      </c>
      <c r="AV1556" s="10" t="str">
        <f t="shared" si="178"/>
        <v>0130 11:51:00-TBS-0-FIL-1-SW-DUP</v>
      </c>
    </row>
    <row r="1557" spans="1:48" s="10" customFormat="1" x14ac:dyDescent="0.55000000000000004">
      <c r="A1557" s="32">
        <v>44958</v>
      </c>
      <c r="B1557" s="33">
        <v>0.375</v>
      </c>
      <c r="C1557" s="10" t="s">
        <v>70</v>
      </c>
      <c r="D1557" s="10" t="s">
        <v>71</v>
      </c>
      <c r="E1557" s="10" t="s">
        <v>901</v>
      </c>
      <c r="F1557" s="10">
        <v>1</v>
      </c>
      <c r="G1557" s="10" t="s">
        <v>73</v>
      </c>
      <c r="H1557" s="10" t="s">
        <v>207</v>
      </c>
      <c r="I1557" s="10" t="s">
        <v>285</v>
      </c>
      <c r="J1557" s="10">
        <v>202</v>
      </c>
      <c r="K1557" s="12">
        <v>44958</v>
      </c>
      <c r="L1557" s="33">
        <v>0.59482638888888884</v>
      </c>
      <c r="M1557" s="10">
        <v>1</v>
      </c>
      <c r="N1557" s="10" t="s">
        <v>211</v>
      </c>
      <c r="O1557" s="10">
        <v>0.438</v>
      </c>
      <c r="P1557" s="10">
        <v>3.9300000000000002E-2</v>
      </c>
      <c r="Q1557" s="10">
        <v>74.900000000000006</v>
      </c>
      <c r="R1557" s="10" t="s">
        <v>913</v>
      </c>
      <c r="S1557" s="34">
        <f t="shared" si="175"/>
        <v>74.900000000000006</v>
      </c>
      <c r="T1557" s="10" t="s">
        <v>1111</v>
      </c>
      <c r="U1557" s="34">
        <f t="shared" si="176"/>
        <v>99.866666666666674</v>
      </c>
      <c r="V1557" s="31">
        <f>IF(H1557="CHK",VLOOKUP(I1557,QCCHK,3,),IF(H1557="GUP",VLOOKUP(E1557,QCGUP,2,),IF(AND(H1557="ATP",OR(I1557="TN",I1557="TDN",I1557="TNO2-3",I1557="NO2-3")),VLOOKUP(E1557,QCREC_N,2,),IF(AND(H1557="NIC",OR(I1557="TN",I1557="TDN",I1557="TNO2-3",I1557="NO2-3")),VLOOKUP(E1557,QCNIC_N,2,),IF(AND(H1557="UREA",OR(I1557="TN",I1557="TDN",I1557="TNO2-3",I1557="NO2-3")),VLOOKUP(E1557,QCUREA_N,2,),IF(H1557="PER",VLOOKUP(I1557,QCPER,MATCH(E1557,QCACTUAL!$J$25:$AA$25,0),),IF(H1557="SPK",VLOOKUP(I1557,QCSPK,3,),IF(AND(H1557="ATP",OR(I1557="TP",I1557="TDP")),VLOOKUP(E1557,QCATP_P,2,),""))))))))</f>
        <v>75</v>
      </c>
      <c r="W1557" s="31" t="str">
        <f t="shared" si="177"/>
        <v>TRUE</v>
      </c>
      <c r="X1557" s="31" t="str">
        <f t="shared" si="174"/>
        <v>[chk]/[actual]*100</v>
      </c>
      <c r="Y1557" s="10" t="s">
        <v>1096</v>
      </c>
      <c r="AL1557" s="10" t="str">
        <f t="shared" si="179"/>
        <v>FALSE</v>
      </c>
      <c r="AM1557" s="10" t="str">
        <f t="shared" si="179"/>
        <v>FALSE</v>
      </c>
      <c r="AN1557" s="10" t="str">
        <f t="shared" si="179"/>
        <v>FALSE</v>
      </c>
      <c r="AO1557" s="10" t="str">
        <f t="shared" si="180"/>
        <v>FALSE</v>
      </c>
      <c r="AP1557" s="10" t="str">
        <f t="shared" si="180"/>
        <v>FALSE</v>
      </c>
      <c r="AQ1557" s="10" t="b">
        <f>IF(AND(I1557="TP",S1557&lt;=150),VLOOKUP(AF1557,TPCalibEq150!$AZ$2:$BB$55,3,),IF(AND(I1557="TDP",S1557&lt;=150),VLOOKUP(AF1557,TPCalibEq150!$AZ$2:$BB$55,3,)))</f>
        <v>0</v>
      </c>
      <c r="AR1557" s="10" t="b">
        <f>IF(AND(I1557="TP",S1557&lt;=300),VLOOKUP(AF1557,TPCalibEq300!$AZ$2:$BB$55,3,),IF(AND(I1557="TDP",S1557&lt;=300),VLOOKUP(AF1557,TPCalibEq300!$AZ$2:$BB$55,3,)))</f>
        <v>0</v>
      </c>
      <c r="AS1557" s="10" t="b">
        <f>IF(AND(I1557="TP",S1557&lt;=500),VLOOKUP(AF1557,TPCalibEq500!$AZ$2:$BB$56,3,),IF(AND(I1557="TDP",S1557&lt;=500),VLOOKUP(AF1557,TPCalibEq500!$AZ$2:$BB$56,3,)))</f>
        <v>0</v>
      </c>
      <c r="AT1557" s="10" t="b">
        <f>IF(AND(I1557="TN",S1557&lt;=2800),VLOOKUP(AF1557,TNCalibEq2500!$AZ$2:$BB$56,3,),IF(AND(I1557="TDN",S1557&lt;=2800),VLOOKUP(AF1557,TNCalibEq2500!$AZ$2:$BB$56,3,)))</f>
        <v>0</v>
      </c>
      <c r="AU1557" s="10" t="b">
        <f>IF(I1557="TP",VLOOKUP(AF1557,TPCalibEqFull!$AZ$2:$BB$56,3),IF(I1557="TDP",VLOOKUP(AF1557,TPCalibEqFull!$AZ$2:$BB$56,3),IF(I1557="TDN",VLOOKUP(AF1557,TNCalibEqFull!$AZ$1:$BB$56,3),IF(I1557="TN",VLOOKUP(AF1557,TNCalibEqFull!$AZ$1:$BB$56,3),FALSE))))</f>
        <v>0</v>
      </c>
      <c r="AV1557" s="10" t="str">
        <f t="shared" si="178"/>
        <v>0201 09:00:00-QAC-STD-D-1-DI-CHK</v>
      </c>
    </row>
    <row r="1558" spans="1:48" s="10" customFormat="1" x14ac:dyDescent="0.55000000000000004">
      <c r="A1558" s="32">
        <v>44958</v>
      </c>
      <c r="B1558" s="33">
        <v>0.375</v>
      </c>
      <c r="C1558" s="10" t="s">
        <v>70</v>
      </c>
      <c r="D1558" s="10" t="s">
        <v>71</v>
      </c>
      <c r="E1558" s="10" t="s">
        <v>72</v>
      </c>
      <c r="F1558" s="10">
        <v>1</v>
      </c>
      <c r="G1558" s="10" t="s">
        <v>73</v>
      </c>
      <c r="H1558" s="10" t="s">
        <v>74</v>
      </c>
      <c r="I1558" s="10" t="s">
        <v>256</v>
      </c>
      <c r="J1558" s="10">
        <v>181</v>
      </c>
      <c r="K1558" s="12">
        <v>44958</v>
      </c>
      <c r="L1558" s="33">
        <v>0.48605324074074074</v>
      </c>
      <c r="M1558" s="10">
        <v>1</v>
      </c>
      <c r="N1558" s="10" t="s">
        <v>169</v>
      </c>
      <c r="O1558" s="10">
        <v>4.6300000000000001E-2</v>
      </c>
      <c r="P1558" s="10">
        <v>2.2000000000000001E-3</v>
      </c>
      <c r="Q1558" s="10">
        <v>0</v>
      </c>
      <c r="R1558" s="10" t="s">
        <v>77</v>
      </c>
      <c r="S1558" s="34">
        <f t="shared" si="175"/>
        <v>0</v>
      </c>
      <c r="T1558" s="10" t="s">
        <v>914</v>
      </c>
      <c r="U1558" s="34" t="str">
        <f t="shared" si="176"/>
        <v/>
      </c>
      <c r="V1558" s="31" t="str">
        <f>IF(H1558="CHK",VLOOKUP(I1558,QCCHK,3,),IF(H1558="GUP",VLOOKUP(E1558,QCGUP,2,),IF(AND(H1558="ATP",OR(I1558="TN",I1558="TDN",I1558="TNO2-3",I1558="NO2-3")),VLOOKUP(E1558,QCREC_N,2,),IF(AND(H1558="NIC",OR(I1558="TN",I1558="TDN",I1558="TNO2-3",I1558="NO2-3")),VLOOKUP(E1558,QCNIC_N,2,),IF(AND(H1558="UREA",OR(I1558="TN",I1558="TDN",I1558="TNO2-3",I1558="NO2-3")),VLOOKUP(E1558,QCUREA_N,2,),IF(H1558="PER",VLOOKUP(I1558,QCPER,MATCH(E1558,QCACTUAL!$J$25:$AA$25,0),),IF(H1558="SPK",VLOOKUP(I1558,QCSPK,3,),IF(AND(H1558="ATP",OR(I1558="TP",I1558="TDP")),VLOOKUP(E1558,QCATP_P,2,),""))))))))</f>
        <v/>
      </c>
      <c r="W1558" s="31" t="str">
        <f t="shared" si="177"/>
        <v>TRUE</v>
      </c>
      <c r="X1558" s="31" t="str">
        <f t="shared" si="174"/>
        <v/>
      </c>
      <c r="Y1558" s="10" t="s">
        <v>1096</v>
      </c>
      <c r="AL1558" s="10" t="str">
        <f t="shared" si="179"/>
        <v>FALSE</v>
      </c>
      <c r="AM1558" s="10" t="str">
        <f t="shared" si="179"/>
        <v>FALSE</v>
      </c>
      <c r="AN1558" s="10" t="str">
        <f t="shared" si="179"/>
        <v>FALSE</v>
      </c>
      <c r="AO1558" s="10" t="str">
        <f t="shared" si="180"/>
        <v>FALSE</v>
      </c>
      <c r="AP1558" s="10" t="str">
        <f t="shared" si="180"/>
        <v>FALSE</v>
      </c>
      <c r="AQ1558" s="10" t="b">
        <f>IF(AND(I1558="TP",S1558&lt;=150),VLOOKUP(AF1558,TPCalibEq150!$AZ$2:$BB$55,3,),IF(AND(I1558="TDP",S1558&lt;=150),VLOOKUP(AF1558,TPCalibEq150!$AZ$2:$BB$55,3,)))</f>
        <v>0</v>
      </c>
      <c r="AR1558" s="10" t="b">
        <f>IF(AND(I1558="TP",S1558&lt;=300),VLOOKUP(AF1558,TPCalibEq300!$AZ$2:$BB$55,3,),IF(AND(I1558="TDP",S1558&lt;=300),VLOOKUP(AF1558,TPCalibEq300!$AZ$2:$BB$55,3,)))</f>
        <v>0</v>
      </c>
      <c r="AS1558" s="10" t="b">
        <f>IF(AND(I1558="TP",S1558&lt;=500),VLOOKUP(AF1558,TPCalibEq500!$AZ$2:$BB$56,3,),IF(AND(I1558="TDP",S1558&lt;=500),VLOOKUP(AF1558,TPCalibEq500!$AZ$2:$BB$56,3,)))</f>
        <v>0</v>
      </c>
      <c r="AT1558" s="10" t="b">
        <f>IF(AND(I1558="TN",S1558&lt;=2800),VLOOKUP(AF1558,TNCalibEq2500!$AZ$2:$BB$56,3,),IF(AND(I1558="TDN",S1558&lt;=2800),VLOOKUP(AF1558,TNCalibEq2500!$AZ$2:$BB$56,3,)))</f>
        <v>0</v>
      </c>
      <c r="AU1558" s="10" t="b">
        <f>IF(I1558="TP",VLOOKUP(AF1558,TPCalibEqFull!$AZ$2:$BB$56,3),IF(I1558="TDP",VLOOKUP(AF1558,TPCalibEqFull!$AZ$2:$BB$56,3),IF(I1558="TDN",VLOOKUP(AF1558,TNCalibEqFull!$AZ$1:$BB$56,3),IF(I1558="TN",VLOOKUP(AF1558,TNCalibEqFull!$AZ$1:$BB$56,3),FALSE))))</f>
        <v>0</v>
      </c>
      <c r="AV1558" s="10" t="str">
        <f t="shared" si="178"/>
        <v>0201 09:00:00-QAC-STD-H-1-DI-CAL</v>
      </c>
    </row>
    <row r="1559" spans="1:48" s="10" customFormat="1" x14ac:dyDescent="0.55000000000000004">
      <c r="A1559" s="32">
        <v>44958</v>
      </c>
      <c r="B1559" s="33">
        <v>0.375</v>
      </c>
      <c r="C1559" s="10" t="s">
        <v>70</v>
      </c>
      <c r="D1559" s="10" t="s">
        <v>71</v>
      </c>
      <c r="E1559" s="10" t="s">
        <v>908</v>
      </c>
      <c r="F1559" s="10">
        <v>1</v>
      </c>
      <c r="G1559" s="10" t="s">
        <v>73</v>
      </c>
      <c r="H1559" s="10" t="s">
        <v>74</v>
      </c>
      <c r="I1559" s="10" t="s">
        <v>256</v>
      </c>
      <c r="J1559" s="10">
        <v>182</v>
      </c>
      <c r="K1559" s="12">
        <v>44958</v>
      </c>
      <c r="L1559" s="33">
        <v>0.48689814814814819</v>
      </c>
      <c r="M1559" s="10">
        <v>1</v>
      </c>
      <c r="N1559" s="10" t="s">
        <v>169</v>
      </c>
      <c r="O1559" s="10">
        <v>0.20100000000000001</v>
      </c>
      <c r="P1559" s="10">
        <v>1.0200000000000001E-2</v>
      </c>
      <c r="Q1559" s="10">
        <v>20</v>
      </c>
      <c r="R1559" s="10" t="s">
        <v>77</v>
      </c>
      <c r="S1559" s="34">
        <f t="shared" si="175"/>
        <v>20</v>
      </c>
      <c r="T1559" s="10" t="s">
        <v>957</v>
      </c>
      <c r="U1559" s="34" t="str">
        <f t="shared" si="176"/>
        <v/>
      </c>
      <c r="V1559" s="31" t="str">
        <f>IF(H1559="CHK",VLOOKUP(I1559,QCCHK,3,),IF(H1559="GUP",VLOOKUP(E1559,QCGUP,2,),IF(AND(H1559="ATP",OR(I1559="TN",I1559="TDN",I1559="TNO2-3",I1559="NO2-3")),VLOOKUP(E1559,QCREC_N,2,),IF(AND(H1559="NIC",OR(I1559="TN",I1559="TDN",I1559="TNO2-3",I1559="NO2-3")),VLOOKUP(E1559,QCNIC_N,2,),IF(AND(H1559="UREA",OR(I1559="TN",I1559="TDN",I1559="TNO2-3",I1559="NO2-3")),VLOOKUP(E1559,QCUREA_N,2,),IF(H1559="PER",VLOOKUP(I1559,QCPER,MATCH(E1559,QCACTUAL!$J$25:$AA$25,0),),IF(H1559="SPK",VLOOKUP(I1559,QCSPK,3,),IF(AND(H1559="ATP",OR(I1559="TP",I1559="TDP")),VLOOKUP(E1559,QCATP_P,2,),""))))))))</f>
        <v/>
      </c>
      <c r="W1559" s="31" t="str">
        <f t="shared" si="177"/>
        <v>TRUE</v>
      </c>
      <c r="X1559" s="31" t="str">
        <f t="shared" si="174"/>
        <v/>
      </c>
      <c r="Y1559" s="10" t="s">
        <v>1096</v>
      </c>
      <c r="AL1559" s="10" t="str">
        <f t="shared" si="179"/>
        <v>FALSE</v>
      </c>
      <c r="AM1559" s="10" t="str">
        <f t="shared" si="179"/>
        <v>FALSE</v>
      </c>
      <c r="AN1559" s="10" t="str">
        <f t="shared" si="179"/>
        <v>FALSE</v>
      </c>
      <c r="AO1559" s="10" t="str">
        <f t="shared" si="180"/>
        <v>FALSE</v>
      </c>
      <c r="AP1559" s="10" t="str">
        <f t="shared" si="180"/>
        <v>FALSE</v>
      </c>
      <c r="AQ1559" s="10" t="b">
        <f>IF(AND(I1559="TP",S1559&lt;=150),VLOOKUP(AF1559,TPCalibEq150!$AZ$2:$BB$55,3,),IF(AND(I1559="TDP",S1559&lt;=150),VLOOKUP(AF1559,TPCalibEq150!$AZ$2:$BB$55,3,)))</f>
        <v>0</v>
      </c>
      <c r="AR1559" s="10" t="b">
        <f>IF(AND(I1559="TP",S1559&lt;=300),VLOOKUP(AF1559,TPCalibEq300!$AZ$2:$BB$55,3,),IF(AND(I1559="TDP",S1559&lt;=300),VLOOKUP(AF1559,TPCalibEq300!$AZ$2:$BB$55,3,)))</f>
        <v>0</v>
      </c>
      <c r="AS1559" s="10" t="b">
        <f>IF(AND(I1559="TP",S1559&lt;=500),VLOOKUP(AF1559,TPCalibEq500!$AZ$2:$BB$56,3,),IF(AND(I1559="TDP",S1559&lt;=500),VLOOKUP(AF1559,TPCalibEq500!$AZ$2:$BB$56,3,)))</f>
        <v>0</v>
      </c>
      <c r="AT1559" s="10" t="b">
        <f>IF(AND(I1559="TN",S1559&lt;=2800),VLOOKUP(AF1559,TNCalibEq2500!$AZ$2:$BB$56,3,),IF(AND(I1559="TDN",S1559&lt;=2800),VLOOKUP(AF1559,TNCalibEq2500!$AZ$2:$BB$56,3,)))</f>
        <v>0</v>
      </c>
      <c r="AU1559" s="10" t="b">
        <f>IF(I1559="TP",VLOOKUP(AF1559,TPCalibEqFull!$AZ$2:$BB$56,3),IF(I1559="TDP",VLOOKUP(AF1559,TPCalibEqFull!$AZ$2:$BB$56,3),IF(I1559="TDN",VLOOKUP(AF1559,TNCalibEqFull!$AZ$1:$BB$56,3),IF(I1559="TN",VLOOKUP(AF1559,TNCalibEqFull!$AZ$1:$BB$56,3),FALSE))))</f>
        <v>0</v>
      </c>
      <c r="AV1559" s="10" t="str">
        <f t="shared" si="178"/>
        <v>0201 09:00:00-QAC-STD-G-1-DI-CAL</v>
      </c>
    </row>
    <row r="1560" spans="1:48" s="10" customFormat="1" x14ac:dyDescent="0.55000000000000004">
      <c r="A1560" s="32">
        <v>44958</v>
      </c>
      <c r="B1560" s="33">
        <v>0.375</v>
      </c>
      <c r="C1560" s="10" t="s">
        <v>70</v>
      </c>
      <c r="D1560" s="10" t="s">
        <v>71</v>
      </c>
      <c r="E1560" s="10" t="s">
        <v>550</v>
      </c>
      <c r="F1560" s="10">
        <v>1</v>
      </c>
      <c r="G1560" s="10" t="s">
        <v>73</v>
      </c>
      <c r="H1560" s="10" t="s">
        <v>74</v>
      </c>
      <c r="I1560" s="10" t="s">
        <v>256</v>
      </c>
      <c r="J1560" s="10">
        <v>183</v>
      </c>
      <c r="K1560" s="12">
        <v>44958</v>
      </c>
      <c r="L1560" s="33">
        <v>0.48774305555555553</v>
      </c>
      <c r="M1560" s="10">
        <v>1</v>
      </c>
      <c r="N1560" s="10" t="s">
        <v>169</v>
      </c>
      <c r="O1560" s="10">
        <v>0.50700000000000001</v>
      </c>
      <c r="P1560" s="10">
        <v>2.47E-2</v>
      </c>
      <c r="Q1560" s="10">
        <v>60</v>
      </c>
      <c r="R1560" s="10" t="s">
        <v>77</v>
      </c>
      <c r="S1560" s="34">
        <f t="shared" si="175"/>
        <v>60</v>
      </c>
      <c r="T1560" s="10" t="s">
        <v>958</v>
      </c>
      <c r="U1560" s="34" t="str">
        <f t="shared" si="176"/>
        <v/>
      </c>
      <c r="V1560" s="31" t="str">
        <f>IF(H1560="CHK",VLOOKUP(I1560,QCCHK,3,),IF(H1560="GUP",VLOOKUP(E1560,QCGUP,2,),IF(AND(H1560="ATP",OR(I1560="TN",I1560="TDN",I1560="TNO2-3",I1560="NO2-3")),VLOOKUP(E1560,QCREC_N,2,),IF(AND(H1560="NIC",OR(I1560="TN",I1560="TDN",I1560="TNO2-3",I1560="NO2-3")),VLOOKUP(E1560,QCNIC_N,2,),IF(AND(H1560="UREA",OR(I1560="TN",I1560="TDN",I1560="TNO2-3",I1560="NO2-3")),VLOOKUP(E1560,QCUREA_N,2,),IF(H1560="PER",VLOOKUP(I1560,QCPER,MATCH(E1560,QCACTUAL!$J$25:$AA$25,0),),IF(H1560="SPK",VLOOKUP(I1560,QCSPK,3,),IF(AND(H1560="ATP",OR(I1560="TP",I1560="TDP")),VLOOKUP(E1560,QCATP_P,2,),""))))))))</f>
        <v/>
      </c>
      <c r="W1560" s="31" t="str">
        <f t="shared" si="177"/>
        <v>TRUE</v>
      </c>
      <c r="X1560" s="31" t="str">
        <f t="shared" si="174"/>
        <v/>
      </c>
      <c r="Y1560" s="10" t="s">
        <v>1096</v>
      </c>
      <c r="AL1560" s="10" t="str">
        <f t="shared" si="179"/>
        <v>FALSE</v>
      </c>
      <c r="AM1560" s="10" t="str">
        <f t="shared" si="179"/>
        <v>FALSE</v>
      </c>
      <c r="AN1560" s="10" t="str">
        <f t="shared" si="179"/>
        <v>FALSE</v>
      </c>
      <c r="AO1560" s="10" t="str">
        <f t="shared" si="180"/>
        <v>FALSE</v>
      </c>
      <c r="AP1560" s="10" t="str">
        <f t="shared" si="180"/>
        <v>FALSE</v>
      </c>
      <c r="AQ1560" s="10" t="b">
        <f>IF(AND(I1560="TP",S1560&lt;=150),VLOOKUP(AF1560,TPCalibEq150!$AZ$2:$BB$55,3,),IF(AND(I1560="TDP",S1560&lt;=150),VLOOKUP(AF1560,TPCalibEq150!$AZ$2:$BB$55,3,)))</f>
        <v>0</v>
      </c>
      <c r="AR1560" s="10" t="b">
        <f>IF(AND(I1560="TP",S1560&lt;=300),VLOOKUP(AF1560,TPCalibEq300!$AZ$2:$BB$55,3,),IF(AND(I1560="TDP",S1560&lt;=300),VLOOKUP(AF1560,TPCalibEq300!$AZ$2:$BB$55,3,)))</f>
        <v>0</v>
      </c>
      <c r="AS1560" s="10" t="b">
        <f>IF(AND(I1560="TP",S1560&lt;=500),VLOOKUP(AF1560,TPCalibEq500!$AZ$2:$BB$56,3,),IF(AND(I1560="TDP",S1560&lt;=500),VLOOKUP(AF1560,TPCalibEq500!$AZ$2:$BB$56,3,)))</f>
        <v>0</v>
      </c>
      <c r="AT1560" s="10" t="b">
        <f>IF(AND(I1560="TN",S1560&lt;=2800),VLOOKUP(AF1560,TNCalibEq2500!$AZ$2:$BB$56,3,),IF(AND(I1560="TDN",S1560&lt;=2800),VLOOKUP(AF1560,TNCalibEq2500!$AZ$2:$BB$56,3,)))</f>
        <v>0</v>
      </c>
      <c r="AU1560" s="10" t="b">
        <f>IF(I1560="TP",VLOOKUP(AF1560,TPCalibEqFull!$AZ$2:$BB$56,3),IF(I1560="TDP",VLOOKUP(AF1560,TPCalibEqFull!$AZ$2:$BB$56,3),IF(I1560="TDN",VLOOKUP(AF1560,TNCalibEqFull!$AZ$1:$BB$56,3),IF(I1560="TN",VLOOKUP(AF1560,TNCalibEqFull!$AZ$1:$BB$56,3),FALSE))))</f>
        <v>0</v>
      </c>
      <c r="AV1560" s="10" t="str">
        <f t="shared" si="178"/>
        <v>0201 09:00:00-QAC-STD-F-1-DI-CAL</v>
      </c>
    </row>
    <row r="1561" spans="1:48" s="10" customFormat="1" x14ac:dyDescent="0.55000000000000004">
      <c r="A1561" s="32">
        <v>44958</v>
      </c>
      <c r="B1561" s="33">
        <v>0.375</v>
      </c>
      <c r="C1561" s="10" t="s">
        <v>70</v>
      </c>
      <c r="D1561" s="10" t="s">
        <v>71</v>
      </c>
      <c r="E1561" s="10" t="s">
        <v>909</v>
      </c>
      <c r="F1561" s="10">
        <v>1</v>
      </c>
      <c r="G1561" s="10" t="s">
        <v>73</v>
      </c>
      <c r="H1561" s="10" t="s">
        <v>74</v>
      </c>
      <c r="I1561" s="10" t="s">
        <v>256</v>
      </c>
      <c r="J1561" s="10">
        <v>184</v>
      </c>
      <c r="K1561" s="12">
        <v>44958</v>
      </c>
      <c r="L1561" s="33">
        <v>0.48856481481481479</v>
      </c>
      <c r="M1561" s="10">
        <v>1</v>
      </c>
      <c r="N1561" s="10" t="s">
        <v>169</v>
      </c>
      <c r="O1561" s="10">
        <v>0.66400000000000003</v>
      </c>
      <c r="P1561" s="10">
        <v>3.3799999999999997E-2</v>
      </c>
      <c r="Q1561" s="10">
        <v>80</v>
      </c>
      <c r="R1561" s="10" t="s">
        <v>77</v>
      </c>
      <c r="S1561" s="34">
        <f t="shared" si="175"/>
        <v>80</v>
      </c>
      <c r="T1561" s="10" t="s">
        <v>1112</v>
      </c>
      <c r="U1561" s="34" t="str">
        <f t="shared" si="176"/>
        <v/>
      </c>
      <c r="V1561" s="31" t="str">
        <f>IF(H1561="CHK",VLOOKUP(I1561,QCCHK,3,),IF(H1561="GUP",VLOOKUP(E1561,QCGUP,2,),IF(AND(H1561="ATP",OR(I1561="TN",I1561="TDN",I1561="TNO2-3",I1561="NO2-3")),VLOOKUP(E1561,QCREC_N,2,),IF(AND(H1561="NIC",OR(I1561="TN",I1561="TDN",I1561="TNO2-3",I1561="NO2-3")),VLOOKUP(E1561,QCNIC_N,2,),IF(AND(H1561="UREA",OR(I1561="TN",I1561="TDN",I1561="TNO2-3",I1561="NO2-3")),VLOOKUP(E1561,QCUREA_N,2,),IF(H1561="PER",VLOOKUP(I1561,QCPER,MATCH(E1561,QCACTUAL!$J$25:$AA$25,0),),IF(H1561="SPK",VLOOKUP(I1561,QCSPK,3,),IF(AND(H1561="ATP",OR(I1561="TP",I1561="TDP")),VLOOKUP(E1561,QCATP_P,2,),""))))))))</f>
        <v/>
      </c>
      <c r="W1561" s="31" t="str">
        <f t="shared" si="177"/>
        <v>TRUE</v>
      </c>
      <c r="X1561" s="31" t="str">
        <f t="shared" si="174"/>
        <v/>
      </c>
      <c r="Y1561" s="10" t="s">
        <v>1096</v>
      </c>
      <c r="AL1561" s="10" t="str">
        <f t="shared" si="179"/>
        <v>FALSE</v>
      </c>
      <c r="AM1561" s="10" t="str">
        <f t="shared" si="179"/>
        <v>FALSE</v>
      </c>
      <c r="AN1561" s="10" t="str">
        <f t="shared" si="179"/>
        <v>FALSE</v>
      </c>
      <c r="AO1561" s="10" t="str">
        <f t="shared" si="180"/>
        <v>FALSE</v>
      </c>
      <c r="AP1561" s="10" t="str">
        <f t="shared" si="180"/>
        <v>FALSE</v>
      </c>
      <c r="AQ1561" s="10" t="b">
        <f>IF(AND(I1561="TP",S1561&lt;=150),VLOOKUP(AF1561,TPCalibEq150!$AZ$2:$BB$55,3,),IF(AND(I1561="TDP",S1561&lt;=150),VLOOKUP(AF1561,TPCalibEq150!$AZ$2:$BB$55,3,)))</f>
        <v>0</v>
      </c>
      <c r="AR1561" s="10" t="b">
        <f>IF(AND(I1561="TP",S1561&lt;=300),VLOOKUP(AF1561,TPCalibEq300!$AZ$2:$BB$55,3,),IF(AND(I1561="TDP",S1561&lt;=300),VLOOKUP(AF1561,TPCalibEq300!$AZ$2:$BB$55,3,)))</f>
        <v>0</v>
      </c>
      <c r="AS1561" s="10" t="b">
        <f>IF(AND(I1561="TP",S1561&lt;=500),VLOOKUP(AF1561,TPCalibEq500!$AZ$2:$BB$56,3,),IF(AND(I1561="TDP",S1561&lt;=500),VLOOKUP(AF1561,TPCalibEq500!$AZ$2:$BB$56,3,)))</f>
        <v>0</v>
      </c>
      <c r="AT1561" s="10" t="b">
        <f>IF(AND(I1561="TN",S1561&lt;=2800),VLOOKUP(AF1561,TNCalibEq2500!$AZ$2:$BB$56,3,),IF(AND(I1561="TDN",S1561&lt;=2800),VLOOKUP(AF1561,TNCalibEq2500!$AZ$2:$BB$56,3,)))</f>
        <v>0</v>
      </c>
      <c r="AU1561" s="10" t="b">
        <f>IF(I1561="TP",VLOOKUP(AF1561,TPCalibEqFull!$AZ$2:$BB$56,3),IF(I1561="TDP",VLOOKUP(AF1561,TPCalibEqFull!$AZ$2:$BB$56,3),IF(I1561="TDN",VLOOKUP(AF1561,TNCalibEqFull!$AZ$1:$BB$56,3),IF(I1561="TN",VLOOKUP(AF1561,TNCalibEqFull!$AZ$1:$BB$56,3),FALSE))))</f>
        <v>0</v>
      </c>
      <c r="AV1561" s="10" t="str">
        <f t="shared" si="178"/>
        <v>0201 09:00:00-QAC-STD-E-1-DI-CAL</v>
      </c>
    </row>
    <row r="1562" spans="1:48" s="10" customFormat="1" x14ac:dyDescent="0.55000000000000004">
      <c r="A1562" s="32">
        <v>44958</v>
      </c>
      <c r="B1562" s="33">
        <v>0.375</v>
      </c>
      <c r="C1562" s="10" t="s">
        <v>70</v>
      </c>
      <c r="D1562" s="10" t="s">
        <v>71</v>
      </c>
      <c r="E1562" s="10" t="s">
        <v>901</v>
      </c>
      <c r="F1562" s="10">
        <v>1</v>
      </c>
      <c r="G1562" s="10" t="s">
        <v>73</v>
      </c>
      <c r="H1562" s="10" t="s">
        <v>74</v>
      </c>
      <c r="I1562" s="10" t="s">
        <v>256</v>
      </c>
      <c r="J1562" s="10">
        <v>185</v>
      </c>
      <c r="K1562" s="12">
        <v>44958</v>
      </c>
      <c r="L1562" s="33">
        <v>0.48939814814814814</v>
      </c>
      <c r="M1562" s="10">
        <v>1</v>
      </c>
      <c r="N1562" s="10" t="s">
        <v>169</v>
      </c>
      <c r="O1562" s="10">
        <v>2.39</v>
      </c>
      <c r="P1562" s="10">
        <v>0.11700000000000001</v>
      </c>
      <c r="Q1562" s="10">
        <v>300</v>
      </c>
      <c r="R1562" s="10" t="s">
        <v>77</v>
      </c>
      <c r="S1562" s="34">
        <f t="shared" si="175"/>
        <v>300</v>
      </c>
      <c r="T1562" s="10" t="s">
        <v>1113</v>
      </c>
      <c r="U1562" s="34" t="str">
        <f t="shared" si="176"/>
        <v/>
      </c>
      <c r="V1562" s="31" t="str">
        <f>IF(H1562="CHK",VLOOKUP(I1562,QCCHK,3,),IF(H1562="GUP",VLOOKUP(E1562,QCGUP,2,),IF(AND(H1562="ATP",OR(I1562="TN",I1562="TDN",I1562="TNO2-3",I1562="NO2-3")),VLOOKUP(E1562,QCREC_N,2,),IF(AND(H1562="NIC",OR(I1562="TN",I1562="TDN",I1562="TNO2-3",I1562="NO2-3")),VLOOKUP(E1562,QCNIC_N,2,),IF(AND(H1562="UREA",OR(I1562="TN",I1562="TDN",I1562="TNO2-3",I1562="NO2-3")),VLOOKUP(E1562,QCUREA_N,2,),IF(H1562="PER",VLOOKUP(I1562,QCPER,MATCH(E1562,QCACTUAL!$J$25:$AA$25,0),),IF(H1562="SPK",VLOOKUP(I1562,QCSPK,3,),IF(AND(H1562="ATP",OR(I1562="TP",I1562="TDP")),VLOOKUP(E1562,QCATP_P,2,),""))))))))</f>
        <v/>
      </c>
      <c r="W1562" s="31" t="str">
        <f t="shared" si="177"/>
        <v>TRUE</v>
      </c>
      <c r="X1562" s="31" t="str">
        <f t="shared" si="174"/>
        <v/>
      </c>
      <c r="Y1562" s="10" t="s">
        <v>1096</v>
      </c>
      <c r="AL1562" s="10" t="str">
        <f t="shared" si="179"/>
        <v>FALSE</v>
      </c>
      <c r="AM1562" s="10" t="str">
        <f t="shared" si="179"/>
        <v>FALSE</v>
      </c>
      <c r="AN1562" s="10" t="str">
        <f t="shared" si="179"/>
        <v>FALSE</v>
      </c>
      <c r="AO1562" s="10" t="str">
        <f t="shared" si="180"/>
        <v>FALSE</v>
      </c>
      <c r="AP1562" s="10" t="str">
        <f t="shared" si="180"/>
        <v>FALSE</v>
      </c>
      <c r="AQ1562" s="10" t="b">
        <f>IF(AND(I1562="TP",S1562&lt;=150),VLOOKUP(AF1562,TPCalibEq150!$AZ$2:$BB$55,3,),IF(AND(I1562="TDP",S1562&lt;=150),VLOOKUP(AF1562,TPCalibEq150!$AZ$2:$BB$55,3,)))</f>
        <v>0</v>
      </c>
      <c r="AR1562" s="10" t="b">
        <f>IF(AND(I1562="TP",S1562&lt;=300),VLOOKUP(AF1562,TPCalibEq300!$AZ$2:$BB$55,3,),IF(AND(I1562="TDP",S1562&lt;=300),VLOOKUP(AF1562,TPCalibEq300!$AZ$2:$BB$55,3,)))</f>
        <v>0</v>
      </c>
      <c r="AS1562" s="10" t="b">
        <f>IF(AND(I1562="TP",S1562&lt;=500),VLOOKUP(AF1562,TPCalibEq500!$AZ$2:$BB$56,3,),IF(AND(I1562="TDP",S1562&lt;=500),VLOOKUP(AF1562,TPCalibEq500!$AZ$2:$BB$56,3,)))</f>
        <v>0</v>
      </c>
      <c r="AT1562" s="10" t="b">
        <f>IF(AND(I1562="TN",S1562&lt;=2800),VLOOKUP(AF1562,TNCalibEq2500!$AZ$2:$BB$56,3,),IF(AND(I1562="TDN",S1562&lt;=2800),VLOOKUP(AF1562,TNCalibEq2500!$AZ$2:$BB$56,3,)))</f>
        <v>0</v>
      </c>
      <c r="AU1562" s="10" t="b">
        <f>IF(I1562="TP",VLOOKUP(AF1562,TPCalibEqFull!$AZ$2:$BB$56,3),IF(I1562="TDP",VLOOKUP(AF1562,TPCalibEqFull!$AZ$2:$BB$56,3),IF(I1562="TDN",VLOOKUP(AF1562,TNCalibEqFull!$AZ$1:$BB$56,3),IF(I1562="TN",VLOOKUP(AF1562,TNCalibEqFull!$AZ$1:$BB$56,3),FALSE))))</f>
        <v>0</v>
      </c>
      <c r="AV1562" s="10" t="str">
        <f t="shared" si="178"/>
        <v>0201 09:00:00-QAC-STD-D-1-DI-CAL</v>
      </c>
    </row>
    <row r="1563" spans="1:48" s="10" customFormat="1" x14ac:dyDescent="0.55000000000000004">
      <c r="A1563" s="32">
        <v>44958</v>
      </c>
      <c r="B1563" s="33">
        <v>0.375</v>
      </c>
      <c r="C1563" s="10" t="s">
        <v>70</v>
      </c>
      <c r="D1563" s="10" t="s">
        <v>71</v>
      </c>
      <c r="E1563" s="10" t="s">
        <v>190</v>
      </c>
      <c r="F1563" s="10">
        <v>1</v>
      </c>
      <c r="G1563" s="10" t="s">
        <v>73</v>
      </c>
      <c r="H1563" s="10" t="s">
        <v>74</v>
      </c>
      <c r="I1563" s="10" t="s">
        <v>256</v>
      </c>
      <c r="J1563" s="10">
        <v>186</v>
      </c>
      <c r="K1563" s="12">
        <v>44958</v>
      </c>
      <c r="L1563" s="33">
        <v>0.4902199074074074</v>
      </c>
      <c r="M1563" s="10">
        <v>1</v>
      </c>
      <c r="N1563" s="10" t="s">
        <v>169</v>
      </c>
      <c r="O1563" s="10">
        <v>4.78</v>
      </c>
      <c r="P1563" s="10">
        <v>0.23799999999999999</v>
      </c>
      <c r="Q1563" s="10">
        <v>600</v>
      </c>
      <c r="R1563" s="10" t="s">
        <v>77</v>
      </c>
      <c r="S1563" s="34">
        <f t="shared" si="175"/>
        <v>600</v>
      </c>
      <c r="T1563" s="10" t="s">
        <v>1113</v>
      </c>
      <c r="U1563" s="34" t="str">
        <f t="shared" si="176"/>
        <v/>
      </c>
      <c r="V1563" s="31" t="str">
        <f>IF(H1563="CHK",VLOOKUP(I1563,QCCHK,3,),IF(H1563="GUP",VLOOKUP(E1563,QCGUP,2,),IF(AND(H1563="ATP",OR(I1563="TN",I1563="TDN",I1563="TNO2-3",I1563="NO2-3")),VLOOKUP(E1563,QCREC_N,2,),IF(AND(H1563="NIC",OR(I1563="TN",I1563="TDN",I1563="TNO2-3",I1563="NO2-3")),VLOOKUP(E1563,QCNIC_N,2,),IF(AND(H1563="UREA",OR(I1563="TN",I1563="TDN",I1563="TNO2-3",I1563="NO2-3")),VLOOKUP(E1563,QCUREA_N,2,),IF(H1563="PER",VLOOKUP(I1563,QCPER,MATCH(E1563,QCACTUAL!$J$25:$AA$25,0),),IF(H1563="SPK",VLOOKUP(I1563,QCSPK,3,),IF(AND(H1563="ATP",OR(I1563="TP",I1563="TDP")),VLOOKUP(E1563,QCATP_P,2,),""))))))))</f>
        <v/>
      </c>
      <c r="W1563" s="31" t="str">
        <f t="shared" si="177"/>
        <v>TRUE</v>
      </c>
      <c r="X1563" s="31" t="str">
        <f t="shared" si="174"/>
        <v/>
      </c>
      <c r="Y1563" s="10" t="s">
        <v>1096</v>
      </c>
      <c r="AL1563" s="10" t="str">
        <f t="shared" si="179"/>
        <v>FALSE</v>
      </c>
      <c r="AM1563" s="10" t="str">
        <f t="shared" si="179"/>
        <v>FALSE</v>
      </c>
      <c r="AN1563" s="10" t="str">
        <f t="shared" si="179"/>
        <v>FALSE</v>
      </c>
      <c r="AO1563" s="10" t="str">
        <f t="shared" si="180"/>
        <v>FALSE</v>
      </c>
      <c r="AP1563" s="10" t="str">
        <f t="shared" si="180"/>
        <v>FALSE</v>
      </c>
      <c r="AQ1563" s="10" t="b">
        <f>IF(AND(I1563="TP",S1563&lt;=150),VLOOKUP(AF1563,TPCalibEq150!$AZ$2:$BB$55,3,),IF(AND(I1563="TDP",S1563&lt;=150),VLOOKUP(AF1563,TPCalibEq150!$AZ$2:$BB$55,3,)))</f>
        <v>0</v>
      </c>
      <c r="AR1563" s="10" t="b">
        <f>IF(AND(I1563="TP",S1563&lt;=300),VLOOKUP(AF1563,TPCalibEq300!$AZ$2:$BB$55,3,),IF(AND(I1563="TDP",S1563&lt;=300),VLOOKUP(AF1563,TPCalibEq300!$AZ$2:$BB$55,3,)))</f>
        <v>0</v>
      </c>
      <c r="AS1563" s="10" t="b">
        <f>IF(AND(I1563="TP",S1563&lt;=500),VLOOKUP(AF1563,TPCalibEq500!$AZ$2:$BB$56,3,),IF(AND(I1563="TDP",S1563&lt;=500),VLOOKUP(AF1563,TPCalibEq500!$AZ$2:$BB$56,3,)))</f>
        <v>0</v>
      </c>
      <c r="AT1563" s="10" t="b">
        <f>IF(AND(I1563="TN",S1563&lt;=2800),VLOOKUP(AF1563,TNCalibEq2500!$AZ$2:$BB$56,3,),IF(AND(I1563="TDN",S1563&lt;=2800),VLOOKUP(AF1563,TNCalibEq2500!$AZ$2:$BB$56,3,)))</f>
        <v>0</v>
      </c>
      <c r="AU1563" s="10" t="b">
        <f>IF(I1563="TP",VLOOKUP(AF1563,TPCalibEqFull!$AZ$2:$BB$56,3),IF(I1563="TDP",VLOOKUP(AF1563,TPCalibEqFull!$AZ$2:$BB$56,3),IF(I1563="TDN",VLOOKUP(AF1563,TNCalibEqFull!$AZ$1:$BB$56,3),IF(I1563="TN",VLOOKUP(AF1563,TNCalibEqFull!$AZ$1:$BB$56,3),FALSE))))</f>
        <v>0</v>
      </c>
      <c r="AV1563" s="10" t="str">
        <f t="shared" si="178"/>
        <v>0201 09:00:00-QAC-STD-C-1-DI-CAL</v>
      </c>
    </row>
    <row r="1564" spans="1:48" s="10" customFormat="1" x14ac:dyDescent="0.55000000000000004">
      <c r="A1564" s="32">
        <v>44958</v>
      </c>
      <c r="B1564" s="33">
        <v>0.375</v>
      </c>
      <c r="C1564" s="10" t="s">
        <v>70</v>
      </c>
      <c r="D1564" s="10" t="s">
        <v>71</v>
      </c>
      <c r="E1564" s="10" t="s">
        <v>583</v>
      </c>
      <c r="F1564" s="10">
        <v>1</v>
      </c>
      <c r="G1564" s="10" t="s">
        <v>73</v>
      </c>
      <c r="H1564" s="10" t="s">
        <v>74</v>
      </c>
      <c r="I1564" s="10" t="s">
        <v>256</v>
      </c>
      <c r="J1564" s="10">
        <v>187</v>
      </c>
      <c r="K1564" s="12">
        <v>44958</v>
      </c>
      <c r="L1564" s="33">
        <v>0.49104166666666665</v>
      </c>
      <c r="M1564" s="10">
        <v>1</v>
      </c>
      <c r="N1564" s="10" t="s">
        <v>169</v>
      </c>
      <c r="O1564" s="10">
        <v>9.6199999999999992</v>
      </c>
      <c r="P1564" s="10">
        <v>0.47699999999999998</v>
      </c>
      <c r="Q1564" s="10">
        <v>1200</v>
      </c>
      <c r="R1564" s="10" t="s">
        <v>77</v>
      </c>
      <c r="S1564" s="34">
        <f t="shared" si="175"/>
        <v>1200</v>
      </c>
      <c r="T1564" s="10" t="s">
        <v>1113</v>
      </c>
      <c r="U1564" s="34" t="str">
        <f t="shared" si="176"/>
        <v/>
      </c>
      <c r="V1564" s="31" t="str">
        <f>IF(H1564="CHK",VLOOKUP(I1564,QCCHK,3,),IF(H1564="GUP",VLOOKUP(E1564,QCGUP,2,),IF(AND(H1564="ATP",OR(I1564="TN",I1564="TDN",I1564="TNO2-3",I1564="NO2-3")),VLOOKUP(E1564,QCREC_N,2,),IF(AND(H1564="NIC",OR(I1564="TN",I1564="TDN",I1564="TNO2-3",I1564="NO2-3")),VLOOKUP(E1564,QCNIC_N,2,),IF(AND(H1564="UREA",OR(I1564="TN",I1564="TDN",I1564="TNO2-3",I1564="NO2-3")),VLOOKUP(E1564,QCUREA_N,2,),IF(H1564="PER",VLOOKUP(I1564,QCPER,MATCH(E1564,QCACTUAL!$J$25:$AA$25,0),),IF(H1564="SPK",VLOOKUP(I1564,QCSPK,3,),IF(AND(H1564="ATP",OR(I1564="TP",I1564="TDP")),VLOOKUP(E1564,QCATP_P,2,),""))))))))</f>
        <v/>
      </c>
      <c r="W1564" s="31" t="str">
        <f t="shared" si="177"/>
        <v>TRUE</v>
      </c>
      <c r="X1564" s="31" t="str">
        <f t="shared" si="174"/>
        <v/>
      </c>
      <c r="Y1564" s="10" t="s">
        <v>1096</v>
      </c>
      <c r="AL1564" s="10" t="str">
        <f t="shared" si="179"/>
        <v>FALSE</v>
      </c>
      <c r="AM1564" s="10" t="str">
        <f t="shared" si="179"/>
        <v>FALSE</v>
      </c>
      <c r="AN1564" s="10" t="str">
        <f t="shared" si="179"/>
        <v>FALSE</v>
      </c>
      <c r="AO1564" s="10" t="str">
        <f t="shared" si="180"/>
        <v>FALSE</v>
      </c>
      <c r="AP1564" s="10" t="str">
        <f t="shared" si="180"/>
        <v>FALSE</v>
      </c>
      <c r="AQ1564" s="10" t="b">
        <f>IF(AND(I1564="TP",S1564&lt;=150),VLOOKUP(AF1564,TPCalibEq150!$AZ$2:$BB$55,3,),IF(AND(I1564="TDP",S1564&lt;=150),VLOOKUP(AF1564,TPCalibEq150!$AZ$2:$BB$55,3,)))</f>
        <v>0</v>
      </c>
      <c r="AR1564" s="10" t="b">
        <f>IF(AND(I1564="TP",S1564&lt;=300),VLOOKUP(AF1564,TPCalibEq300!$AZ$2:$BB$55,3,),IF(AND(I1564="TDP",S1564&lt;=300),VLOOKUP(AF1564,TPCalibEq300!$AZ$2:$BB$55,3,)))</f>
        <v>0</v>
      </c>
      <c r="AS1564" s="10" t="b">
        <f>IF(AND(I1564="TP",S1564&lt;=500),VLOOKUP(AF1564,TPCalibEq500!$AZ$2:$BB$56,3,),IF(AND(I1564="TDP",S1564&lt;=500),VLOOKUP(AF1564,TPCalibEq500!$AZ$2:$BB$56,3,)))</f>
        <v>0</v>
      </c>
      <c r="AT1564" s="10" t="b">
        <f>IF(AND(I1564="TN",S1564&lt;=2800),VLOOKUP(AF1564,TNCalibEq2500!$AZ$2:$BB$56,3,),IF(AND(I1564="TDN",S1564&lt;=2800),VLOOKUP(AF1564,TNCalibEq2500!$AZ$2:$BB$56,3,)))</f>
        <v>0</v>
      </c>
      <c r="AU1564" s="10" t="b">
        <f>IF(I1564="TP",VLOOKUP(AF1564,TPCalibEqFull!$AZ$2:$BB$56,3),IF(I1564="TDP",VLOOKUP(AF1564,TPCalibEqFull!$AZ$2:$BB$56,3),IF(I1564="TDN",VLOOKUP(AF1564,TNCalibEqFull!$AZ$1:$BB$56,3),IF(I1564="TN",VLOOKUP(AF1564,TNCalibEqFull!$AZ$1:$BB$56,3),FALSE))))</f>
        <v>0</v>
      </c>
      <c r="AV1564" s="10" t="str">
        <f t="shared" si="178"/>
        <v>0201 09:00:00-QAC-STD-B-1-DI-CAL</v>
      </c>
    </row>
    <row r="1565" spans="1:48" s="10" customFormat="1" x14ac:dyDescent="0.55000000000000004">
      <c r="A1565" s="32">
        <v>44958</v>
      </c>
      <c r="B1565" s="33">
        <v>0.375</v>
      </c>
      <c r="C1565" s="10" t="s">
        <v>70</v>
      </c>
      <c r="D1565" s="10" t="s">
        <v>71</v>
      </c>
      <c r="E1565" s="10" t="s">
        <v>866</v>
      </c>
      <c r="F1565" s="10">
        <v>1</v>
      </c>
      <c r="G1565" s="10" t="s">
        <v>73</v>
      </c>
      <c r="H1565" s="10" t="s">
        <v>74</v>
      </c>
      <c r="I1565" s="10" t="s">
        <v>256</v>
      </c>
      <c r="J1565" s="10">
        <v>188</v>
      </c>
      <c r="K1565" s="12">
        <v>44958</v>
      </c>
      <c r="L1565" s="33">
        <v>0.49186342592592597</v>
      </c>
      <c r="M1565" s="10">
        <v>1</v>
      </c>
      <c r="N1565" s="10" t="s">
        <v>169</v>
      </c>
      <c r="O1565" s="10">
        <v>15.8</v>
      </c>
      <c r="P1565" s="10">
        <v>0.79200000000000004</v>
      </c>
      <c r="Q1565" s="10">
        <v>2000</v>
      </c>
      <c r="R1565" s="10" t="s">
        <v>77</v>
      </c>
      <c r="S1565" s="34">
        <f t="shared" si="175"/>
        <v>2000</v>
      </c>
      <c r="T1565" s="10" t="s">
        <v>1114</v>
      </c>
      <c r="U1565" s="34" t="str">
        <f t="shared" si="176"/>
        <v/>
      </c>
      <c r="V1565" s="31" t="str">
        <f>IF(H1565="CHK",VLOOKUP(I1565,QCCHK,3,),IF(H1565="GUP",VLOOKUP(E1565,QCGUP,2,),IF(AND(H1565="ATP",OR(I1565="TN",I1565="TDN",I1565="TNO2-3",I1565="NO2-3")),VLOOKUP(E1565,QCREC_N,2,),IF(AND(H1565="NIC",OR(I1565="TN",I1565="TDN",I1565="TNO2-3",I1565="NO2-3")),VLOOKUP(E1565,QCNIC_N,2,),IF(AND(H1565="UREA",OR(I1565="TN",I1565="TDN",I1565="TNO2-3",I1565="NO2-3")),VLOOKUP(E1565,QCUREA_N,2,),IF(H1565="PER",VLOOKUP(I1565,QCPER,MATCH(E1565,QCACTUAL!$J$25:$AA$25,0),),IF(H1565="SPK",VLOOKUP(I1565,QCSPK,3,),IF(AND(H1565="ATP",OR(I1565="TP",I1565="TDP")),VLOOKUP(E1565,QCATP_P,2,),""))))))))</f>
        <v/>
      </c>
      <c r="W1565" s="31" t="str">
        <f t="shared" si="177"/>
        <v>TRUE</v>
      </c>
      <c r="X1565" s="31" t="str">
        <f t="shared" si="174"/>
        <v/>
      </c>
      <c r="Y1565" s="10" t="s">
        <v>1096</v>
      </c>
      <c r="AL1565" s="10" t="str">
        <f t="shared" si="179"/>
        <v>FALSE</v>
      </c>
      <c r="AM1565" s="10" t="str">
        <f t="shared" si="179"/>
        <v>FALSE</v>
      </c>
      <c r="AN1565" s="10" t="str">
        <f t="shared" si="179"/>
        <v>FALSE</v>
      </c>
      <c r="AO1565" s="10" t="str">
        <f t="shared" si="180"/>
        <v>FALSE</v>
      </c>
      <c r="AP1565" s="10" t="str">
        <f t="shared" si="180"/>
        <v>FALSE</v>
      </c>
      <c r="AQ1565" s="10" t="b">
        <f>IF(AND(I1565="TP",S1565&lt;=150),VLOOKUP(AF1565,TPCalibEq150!$AZ$2:$BB$55,3,),IF(AND(I1565="TDP",S1565&lt;=150),VLOOKUP(AF1565,TPCalibEq150!$AZ$2:$BB$55,3,)))</f>
        <v>0</v>
      </c>
      <c r="AR1565" s="10" t="b">
        <f>IF(AND(I1565="TP",S1565&lt;=300),VLOOKUP(AF1565,TPCalibEq300!$AZ$2:$BB$55,3,),IF(AND(I1565="TDP",S1565&lt;=300),VLOOKUP(AF1565,TPCalibEq300!$AZ$2:$BB$55,3,)))</f>
        <v>0</v>
      </c>
      <c r="AS1565" s="10" t="b">
        <f>IF(AND(I1565="TP",S1565&lt;=500),VLOOKUP(AF1565,TPCalibEq500!$AZ$2:$BB$56,3,),IF(AND(I1565="TDP",S1565&lt;=500),VLOOKUP(AF1565,TPCalibEq500!$AZ$2:$BB$56,3,)))</f>
        <v>0</v>
      </c>
      <c r="AT1565" s="10" t="b">
        <f>IF(AND(I1565="TN",S1565&lt;=2800),VLOOKUP(AF1565,TNCalibEq2500!$AZ$2:$BB$56,3,),IF(AND(I1565="TDN",S1565&lt;=2800),VLOOKUP(AF1565,TNCalibEq2500!$AZ$2:$BB$56,3,)))</f>
        <v>0</v>
      </c>
      <c r="AU1565" s="10" t="b">
        <f>IF(I1565="TP",VLOOKUP(AF1565,TPCalibEqFull!$AZ$2:$BB$56,3),IF(I1565="TDP",VLOOKUP(AF1565,TPCalibEqFull!$AZ$2:$BB$56,3),IF(I1565="TDN",VLOOKUP(AF1565,TNCalibEqFull!$AZ$1:$BB$56,3),IF(I1565="TN",VLOOKUP(AF1565,TNCalibEqFull!$AZ$1:$BB$56,3),FALSE))))</f>
        <v>0</v>
      </c>
      <c r="AV1565" s="10" t="str">
        <f t="shared" si="178"/>
        <v>0201 09:00:00-QAC-STD-A-1-DI-CAL</v>
      </c>
    </row>
    <row r="1566" spans="1:48" s="10" customFormat="1" x14ac:dyDescent="0.55000000000000004">
      <c r="A1566" s="32">
        <v>44958</v>
      </c>
      <c r="B1566" s="33">
        <v>0.375</v>
      </c>
      <c r="C1566" s="10" t="s">
        <v>70</v>
      </c>
      <c r="D1566" s="10" t="s">
        <v>241</v>
      </c>
      <c r="E1566" s="10" t="s">
        <v>866</v>
      </c>
      <c r="F1566" s="10">
        <v>1</v>
      </c>
      <c r="G1566" s="10" t="s">
        <v>73</v>
      </c>
      <c r="H1566" s="10" t="s">
        <v>283</v>
      </c>
      <c r="I1566" s="10" t="s">
        <v>256</v>
      </c>
      <c r="J1566" s="10">
        <v>198</v>
      </c>
      <c r="K1566" s="12">
        <v>44958</v>
      </c>
      <c r="L1566" s="33">
        <v>0.49349537037037039</v>
      </c>
      <c r="M1566" s="10">
        <v>1</v>
      </c>
      <c r="N1566" s="10" t="s">
        <v>169</v>
      </c>
      <c r="O1566" s="10">
        <v>6.3899999999999998E-2</v>
      </c>
      <c r="P1566" s="10">
        <v>2.8400000000000001E-3</v>
      </c>
      <c r="Q1566" s="10">
        <v>8.0500000000000007</v>
      </c>
      <c r="R1566" s="10" t="s">
        <v>77</v>
      </c>
      <c r="S1566" s="34">
        <f t="shared" si="175"/>
        <v>8.0500000000000007</v>
      </c>
      <c r="T1566" s="10" t="s">
        <v>1114</v>
      </c>
      <c r="U1566" s="34">
        <f t="shared" si="176"/>
        <v>8.0500000000000007</v>
      </c>
      <c r="V1566" s="31" t="str">
        <f>IF(H1566="CHK",VLOOKUP(I1566,QCCHK,3,),IF(H1566="GUP",VLOOKUP(E1566,QCGUP,2,),IF(AND(H1566="ATP",OR(I1566="TN",I1566="TDN",I1566="TNO2-3",I1566="NO2-3")),VLOOKUP(E1566,QCREC_N,2,),IF(AND(H1566="NIC",OR(I1566="TN",I1566="TDN",I1566="TNO2-3",I1566="NO2-3")),VLOOKUP(E1566,QCNIC_N,2,),IF(AND(H1566="UREA",OR(I1566="TN",I1566="TDN",I1566="TNO2-3",I1566="NO2-3")),VLOOKUP(E1566,QCUREA_N,2,),IF(H1566="PER",VLOOKUP(I1566,QCPER,MATCH(E1566,QCACTUAL!$J$25:$AA$25,0),),IF(H1566="SPK",VLOOKUP(I1566,QCSPK,3,),IF(AND(H1566="ATP",OR(I1566="TP",I1566="TDP")),VLOOKUP(E1566,QCATP_P,2,),""))))))))</f>
        <v/>
      </c>
      <c r="W1566" s="31" t="str">
        <f t="shared" si="177"/>
        <v>TRUE</v>
      </c>
      <c r="X1566" s="31" t="str">
        <f t="shared" si="174"/>
        <v>nominal concentration</v>
      </c>
      <c r="Y1566" s="10" t="s">
        <v>1096</v>
      </c>
      <c r="AL1566" s="10" t="str">
        <f t="shared" si="179"/>
        <v>FALSE</v>
      </c>
      <c r="AM1566" s="10" t="str">
        <f t="shared" si="179"/>
        <v>FALSE</v>
      </c>
      <c r="AN1566" s="10" t="str">
        <f t="shared" si="179"/>
        <v>FALSE</v>
      </c>
      <c r="AO1566" s="10" t="str">
        <f t="shared" si="180"/>
        <v>FALSE</v>
      </c>
      <c r="AP1566" s="10" t="str">
        <f t="shared" si="180"/>
        <v>FALSE</v>
      </c>
      <c r="AQ1566" s="10" t="b">
        <f>IF(AND(I1566="TP",S1566&lt;=150),VLOOKUP(AF1566,TPCalibEq150!$AZ$2:$BB$55,3,),IF(AND(I1566="TDP",S1566&lt;=150),VLOOKUP(AF1566,TPCalibEq150!$AZ$2:$BB$55,3,)))</f>
        <v>0</v>
      </c>
      <c r="AR1566" s="10" t="b">
        <f>IF(AND(I1566="TP",S1566&lt;=300),VLOOKUP(AF1566,TPCalibEq300!$AZ$2:$BB$55,3,),IF(AND(I1566="TDP",S1566&lt;=300),VLOOKUP(AF1566,TPCalibEq300!$AZ$2:$BB$55,3,)))</f>
        <v>0</v>
      </c>
      <c r="AS1566" s="10" t="b">
        <f>IF(AND(I1566="TP",S1566&lt;=500),VLOOKUP(AF1566,TPCalibEq500!$AZ$2:$BB$56,3,),IF(AND(I1566="TDP",S1566&lt;=500),VLOOKUP(AF1566,TPCalibEq500!$AZ$2:$BB$56,3,)))</f>
        <v>0</v>
      </c>
      <c r="AT1566" s="10" t="b">
        <f>IF(AND(I1566="TN",S1566&lt;=2800),VLOOKUP(AF1566,TNCalibEq2500!$AZ$2:$BB$56,3,),IF(AND(I1566="TDN",S1566&lt;=2800),VLOOKUP(AF1566,TNCalibEq2500!$AZ$2:$BB$56,3,)))</f>
        <v>0</v>
      </c>
      <c r="AU1566" s="10" t="b">
        <f>IF(I1566="TP",VLOOKUP(AF1566,TPCalibEqFull!$AZ$2:$BB$56,3),IF(I1566="TDP",VLOOKUP(AF1566,TPCalibEqFull!$AZ$2:$BB$56,3),IF(I1566="TDN",VLOOKUP(AF1566,TNCalibEqFull!$AZ$1:$BB$56,3),IF(I1566="TN",VLOOKUP(AF1566,TNCalibEqFull!$AZ$1:$BB$56,3),FALSE))))</f>
        <v>0</v>
      </c>
      <c r="AV1566" s="10" t="str">
        <f t="shared" si="178"/>
        <v>0201 09:00:00-QAC-BLK-A-1-DI-LAB</v>
      </c>
    </row>
    <row r="1567" spans="1:48" s="10" customFormat="1" x14ac:dyDescent="0.55000000000000004">
      <c r="A1567" s="32">
        <v>44958</v>
      </c>
      <c r="B1567" s="33">
        <v>0.375</v>
      </c>
      <c r="C1567" s="10" t="s">
        <v>70</v>
      </c>
      <c r="D1567" s="10" t="s">
        <v>241</v>
      </c>
      <c r="E1567" s="10" t="s">
        <v>866</v>
      </c>
      <c r="F1567" s="10">
        <v>1</v>
      </c>
      <c r="G1567" s="10" t="s">
        <v>73</v>
      </c>
      <c r="H1567" s="10" t="s">
        <v>314</v>
      </c>
      <c r="I1567" s="10" t="s">
        <v>256</v>
      </c>
      <c r="J1567" s="10">
        <v>225</v>
      </c>
      <c r="K1567" s="12">
        <v>44958</v>
      </c>
      <c r="L1567" s="33">
        <v>0.49431712962962965</v>
      </c>
      <c r="M1567" s="10">
        <v>1</v>
      </c>
      <c r="N1567" s="10" t="s">
        <v>169</v>
      </c>
      <c r="O1567" s="10">
        <v>5.23</v>
      </c>
      <c r="P1567" s="10">
        <v>0.26</v>
      </c>
      <c r="Q1567" s="10">
        <v>659</v>
      </c>
      <c r="R1567" s="10" t="s">
        <v>77</v>
      </c>
      <c r="S1567" s="34">
        <f t="shared" si="175"/>
        <v>659</v>
      </c>
      <c r="T1567" s="10" t="s">
        <v>1114</v>
      </c>
      <c r="U1567" s="34">
        <f t="shared" si="176"/>
        <v>104.152</v>
      </c>
      <c r="V1567" s="31">
        <f>IF(H1567="CHK",VLOOKUP(I1567,QCCHK,3,),IF(H1567="GUP",VLOOKUP(E1567,QCGUP,2,),IF(AND(H1567="ATP",OR(I1567="TN",I1567="TDN",I1567="TNO2-3",I1567="NO2-3")),VLOOKUP(E1567,QCREC_N,2,),IF(AND(H1567="NIC",OR(I1567="TN",I1567="TDN",I1567="TNO2-3",I1567="NO2-3")),VLOOKUP(E1567,QCNIC_N,2,),IF(AND(H1567="UREA",OR(I1567="TN",I1567="TDN",I1567="TNO2-3",I1567="NO2-3")),VLOOKUP(E1567,QCUREA_N,2,),IF(H1567="PER",VLOOKUP(I1567,QCPER,MATCH(E1567,QCACTUAL!$J$25:$AA$25,0),),IF(H1567="SPK",VLOOKUP(I1567,QCSPK,3,),IF(AND(H1567="ATP",OR(I1567="TP",I1567="TDP")),VLOOKUP(E1567,QCATP_P,2,),""))))))))</f>
        <v>625</v>
      </c>
      <c r="W1567" s="31" t="str">
        <f t="shared" si="177"/>
        <v>TRUE</v>
      </c>
      <c r="X1567" s="31" t="str">
        <f t="shared" si="174"/>
        <v>([spikedunkn]-[unkn])/[spike]*100</v>
      </c>
      <c r="Y1567" s="10" t="s">
        <v>1096</v>
      </c>
      <c r="AL1567" s="10" t="str">
        <f t="shared" si="179"/>
        <v>FALSE</v>
      </c>
      <c r="AM1567" s="10" t="str">
        <f t="shared" si="179"/>
        <v>FALSE</v>
      </c>
      <c r="AN1567" s="10" t="str">
        <f t="shared" si="179"/>
        <v>FALSE</v>
      </c>
      <c r="AO1567" s="10" t="str">
        <f t="shared" si="180"/>
        <v>FALSE</v>
      </c>
      <c r="AP1567" s="10" t="str">
        <f t="shared" si="180"/>
        <v>FALSE</v>
      </c>
      <c r="AQ1567" s="10" t="b">
        <f>IF(AND(I1567="TP",S1567&lt;=150),VLOOKUP(AF1567,TPCalibEq150!$AZ$2:$BB$55,3,),IF(AND(I1567="TDP",S1567&lt;=150),VLOOKUP(AF1567,TPCalibEq150!$AZ$2:$BB$55,3,)))</f>
        <v>0</v>
      </c>
      <c r="AR1567" s="10" t="b">
        <f>IF(AND(I1567="TP",S1567&lt;=300),VLOOKUP(AF1567,TPCalibEq300!$AZ$2:$BB$55,3,),IF(AND(I1567="TDP",S1567&lt;=300),VLOOKUP(AF1567,TPCalibEq300!$AZ$2:$BB$55,3,)))</f>
        <v>0</v>
      </c>
      <c r="AS1567" s="10" t="b">
        <f>IF(AND(I1567="TP",S1567&lt;=500),VLOOKUP(AF1567,TPCalibEq500!$AZ$2:$BB$56,3,),IF(AND(I1567="TDP",S1567&lt;=500),VLOOKUP(AF1567,TPCalibEq500!$AZ$2:$BB$56,3,)))</f>
        <v>0</v>
      </c>
      <c r="AT1567" s="10" t="b">
        <f>IF(AND(I1567="TN",S1567&lt;=2800),VLOOKUP(AF1567,TNCalibEq2500!$AZ$2:$BB$56,3,),IF(AND(I1567="TDN",S1567&lt;=2800),VLOOKUP(AF1567,TNCalibEq2500!$AZ$2:$BB$56,3,)))</f>
        <v>0</v>
      </c>
      <c r="AU1567" s="10" t="b">
        <f>IF(I1567="TP",VLOOKUP(AF1567,TPCalibEqFull!$AZ$2:$BB$56,3),IF(I1567="TDP",VLOOKUP(AF1567,TPCalibEqFull!$AZ$2:$BB$56,3),IF(I1567="TDN",VLOOKUP(AF1567,TNCalibEqFull!$AZ$1:$BB$56,3),IF(I1567="TN",VLOOKUP(AF1567,TNCalibEqFull!$AZ$1:$BB$56,3),FALSE))))</f>
        <v>0</v>
      </c>
      <c r="AV1567" s="10" t="str">
        <f t="shared" si="178"/>
        <v>0201 09:00:00-QAC-BLK-A-1-DI-SPK</v>
      </c>
    </row>
    <row r="1568" spans="1:48" s="10" customFormat="1" x14ac:dyDescent="0.55000000000000004">
      <c r="A1568" s="32">
        <v>44958</v>
      </c>
      <c r="B1568" s="33">
        <v>0.375</v>
      </c>
      <c r="C1568" s="10" t="s">
        <v>70</v>
      </c>
      <c r="D1568" s="10" t="s">
        <v>71</v>
      </c>
      <c r="E1568" s="10" t="s">
        <v>948</v>
      </c>
      <c r="F1568" s="10">
        <v>1</v>
      </c>
      <c r="G1568" s="10" t="s">
        <v>73</v>
      </c>
      <c r="H1568" s="10" t="s">
        <v>299</v>
      </c>
      <c r="I1568" s="10" t="s">
        <v>256</v>
      </c>
      <c r="J1568" s="10">
        <v>197</v>
      </c>
      <c r="K1568" s="12">
        <v>44958</v>
      </c>
      <c r="L1568" s="33">
        <v>0.495150462962963</v>
      </c>
      <c r="M1568" s="10">
        <v>1</v>
      </c>
      <c r="N1568" s="10" t="s">
        <v>169</v>
      </c>
      <c r="O1568" s="10">
        <v>6.64</v>
      </c>
      <c r="P1568" s="10">
        <v>0.33100000000000002</v>
      </c>
      <c r="Q1568" s="10">
        <v>837</v>
      </c>
      <c r="R1568" s="10" t="s">
        <v>77</v>
      </c>
      <c r="S1568" s="34">
        <f t="shared" si="175"/>
        <v>837</v>
      </c>
      <c r="T1568" s="10" t="s">
        <v>1114</v>
      </c>
      <c r="U1568" s="34">
        <f t="shared" si="176"/>
        <v>100.48019207683075</v>
      </c>
      <c r="V1568" s="31">
        <f>IF(H1568="CHK",VLOOKUP(I1568,QCCHK,3,),IF(H1568="GUP",VLOOKUP(E1568,QCGUP,2,),IF(AND(H1568="ATP",OR(I1568="TN",I1568="TDN",I1568="TNO2-3",I1568="NO2-3")),VLOOKUP(E1568,QCREC_N,2,),IF(AND(H1568="NIC",OR(I1568="TN",I1568="TDN",I1568="TNO2-3",I1568="NO2-3")),VLOOKUP(E1568,QCNIC_N,2,),IF(AND(H1568="UREA",OR(I1568="TN",I1568="TDN",I1568="TNO2-3",I1568="NO2-3")),VLOOKUP(E1568,QCUREA_N,2,),IF(H1568="PER",VLOOKUP(I1568,QCPER,MATCH(E1568,QCACTUAL!$J$25:$AA$25,0),),IF(H1568="SPK",VLOOKUP(I1568,QCSPK,3,),IF(AND(H1568="ATP",OR(I1568="TP",I1568="TDP")),VLOOKUP(E1568,QCATP_P,2,),""))))))))</f>
        <v>833</v>
      </c>
      <c r="W1568" s="31" t="str">
        <f t="shared" si="177"/>
        <v>TRUE</v>
      </c>
      <c r="X1568" s="31" t="str">
        <f t="shared" si="174"/>
        <v>[per]/[actual]*100</v>
      </c>
      <c r="Y1568" s="10" t="s">
        <v>1096</v>
      </c>
      <c r="AL1568" s="10" t="str">
        <f t="shared" si="179"/>
        <v>FALSE</v>
      </c>
      <c r="AM1568" s="10" t="str">
        <f t="shared" si="179"/>
        <v>FALSE</v>
      </c>
      <c r="AN1568" s="10" t="str">
        <f t="shared" si="179"/>
        <v>FALSE</v>
      </c>
      <c r="AO1568" s="10" t="str">
        <f t="shared" si="180"/>
        <v>FALSE</v>
      </c>
      <c r="AP1568" s="10" t="str">
        <f t="shared" si="180"/>
        <v>FALSE</v>
      </c>
      <c r="AQ1568" s="10" t="b">
        <f>IF(AND(I1568="TP",S1568&lt;=150),VLOOKUP(AF1568,TPCalibEq150!$AZ$2:$BB$55,3,),IF(AND(I1568="TDP",S1568&lt;=150),VLOOKUP(AF1568,TPCalibEq150!$AZ$2:$BB$55,3,)))</f>
        <v>0</v>
      </c>
      <c r="AR1568" s="10" t="b">
        <f>IF(AND(I1568="TP",S1568&lt;=300),VLOOKUP(AF1568,TPCalibEq300!$AZ$2:$BB$55,3,),IF(AND(I1568="TDP",S1568&lt;=300),VLOOKUP(AF1568,TPCalibEq300!$AZ$2:$BB$55,3,)))</f>
        <v>0</v>
      </c>
      <c r="AS1568" s="10" t="b">
        <f>IF(AND(I1568="TP",S1568&lt;=500),VLOOKUP(AF1568,TPCalibEq500!$AZ$2:$BB$56,3,),IF(AND(I1568="TDP",S1568&lt;=500),VLOOKUP(AF1568,TPCalibEq500!$AZ$2:$BB$56,3,)))</f>
        <v>0</v>
      </c>
      <c r="AT1568" s="10" t="b">
        <f>IF(AND(I1568="TN",S1568&lt;=2800),VLOOKUP(AF1568,TNCalibEq2500!$AZ$2:$BB$56,3,),IF(AND(I1568="TDN",S1568&lt;=2800),VLOOKUP(AF1568,TNCalibEq2500!$AZ$2:$BB$56,3,)))</f>
        <v>0</v>
      </c>
      <c r="AU1568" s="10" t="b">
        <f>IF(I1568="TP",VLOOKUP(AF1568,TPCalibEqFull!$AZ$2:$BB$56,3),IF(I1568="TDP",VLOOKUP(AF1568,TPCalibEqFull!$AZ$2:$BB$56,3),IF(I1568="TDN",VLOOKUP(AF1568,TNCalibEqFull!$AZ$1:$BB$56,3),IF(I1568="TN",VLOOKUP(AF1568,TNCalibEqFull!$AZ$1:$BB$56,3),FALSE))))</f>
        <v>0</v>
      </c>
      <c r="AV1568" s="10" t="str">
        <f t="shared" si="178"/>
        <v>0201 09:00:00-QAC-STD-22A-1-DI-PER</v>
      </c>
    </row>
    <row r="1569" spans="1:48" s="10" customFormat="1" x14ac:dyDescent="0.55000000000000004">
      <c r="A1569" s="32">
        <v>44958</v>
      </c>
      <c r="B1569" s="33">
        <v>0.375</v>
      </c>
      <c r="C1569" s="10" t="s">
        <v>70</v>
      </c>
      <c r="D1569" s="10" t="s">
        <v>71</v>
      </c>
      <c r="E1569" s="10" t="s">
        <v>1060</v>
      </c>
      <c r="F1569" s="10">
        <v>1</v>
      </c>
      <c r="G1569" s="10" t="s">
        <v>73</v>
      </c>
      <c r="H1569" s="10" t="s">
        <v>299</v>
      </c>
      <c r="I1569" s="10" t="s">
        <v>256</v>
      </c>
      <c r="J1569" s="10">
        <v>196</v>
      </c>
      <c r="K1569" s="12">
        <v>44958</v>
      </c>
      <c r="L1569" s="33">
        <v>0.49597222222222226</v>
      </c>
      <c r="M1569" s="10">
        <v>1</v>
      </c>
      <c r="N1569" s="10" t="s">
        <v>169</v>
      </c>
      <c r="O1569" s="10">
        <v>2.9899999999999999E-2</v>
      </c>
      <c r="P1569" s="10">
        <v>2.8999999999999998E-3</v>
      </c>
      <c r="Q1569" s="10">
        <v>3.77</v>
      </c>
      <c r="R1569" s="10" t="s">
        <v>77</v>
      </c>
      <c r="S1569" s="34">
        <f t="shared" si="175"/>
        <v>3.77</v>
      </c>
      <c r="T1569" s="10" t="s">
        <v>1114</v>
      </c>
      <c r="U1569" s="34" t="e">
        <f t="shared" si="176"/>
        <v>#DIV/0!</v>
      </c>
      <c r="V1569" s="31">
        <f>IF(H1569="CHK",VLOOKUP(I1569,QCCHK,3,),IF(H1569="GUP",VLOOKUP(E1569,QCGUP,2,),IF(AND(H1569="ATP",OR(I1569="TN",I1569="TDN",I1569="TNO2-3",I1569="NO2-3")),VLOOKUP(E1569,QCREC_N,2,),IF(AND(H1569="NIC",OR(I1569="TN",I1569="TDN",I1569="TNO2-3",I1569="NO2-3")),VLOOKUP(E1569,QCNIC_N,2,),IF(AND(H1569="UREA",OR(I1569="TN",I1569="TDN",I1569="TNO2-3",I1569="NO2-3")),VLOOKUP(E1569,QCUREA_N,2,),IF(H1569="PER",VLOOKUP(I1569,QCPER,MATCH(E1569,QCACTUAL!$J$25:$AA$25,0),),IF(H1569="SPK",VLOOKUP(I1569,QCSPK,3,),IF(AND(H1569="ATP",OR(I1569="TP",I1569="TDP")),VLOOKUP(E1569,QCATP_P,2,),""))))))))</f>
        <v>0</v>
      </c>
      <c r="W1569" s="31" t="e">
        <f t="shared" si="177"/>
        <v>#DIV/0!</v>
      </c>
      <c r="X1569" s="31" t="str">
        <f t="shared" si="174"/>
        <v>[per]/[actual]*100</v>
      </c>
      <c r="Y1569" s="10" t="s">
        <v>1096</v>
      </c>
      <c r="AL1569" s="10" t="str">
        <f t="shared" si="179"/>
        <v>FALSE</v>
      </c>
      <c r="AM1569" s="10" t="str">
        <f t="shared" si="179"/>
        <v>FALSE</v>
      </c>
      <c r="AN1569" s="10" t="str">
        <f t="shared" si="179"/>
        <v>FALSE</v>
      </c>
      <c r="AO1569" s="10" t="str">
        <f t="shared" si="180"/>
        <v>FALSE</v>
      </c>
      <c r="AP1569" s="10" t="str">
        <f t="shared" si="180"/>
        <v>FALSE</v>
      </c>
      <c r="AQ1569" s="10" t="b">
        <f>IF(AND(I1569="TP",S1569&lt;=150),VLOOKUP(AF1569,TPCalibEq150!$AZ$2:$BB$55,3,),IF(AND(I1569="TDP",S1569&lt;=150),VLOOKUP(AF1569,TPCalibEq150!$AZ$2:$BB$55,3,)))</f>
        <v>0</v>
      </c>
      <c r="AR1569" s="10" t="b">
        <f>IF(AND(I1569="TP",S1569&lt;=300),VLOOKUP(AF1569,TPCalibEq300!$AZ$2:$BB$55,3,),IF(AND(I1569="TDP",S1569&lt;=300),VLOOKUP(AF1569,TPCalibEq300!$AZ$2:$BB$55,3,)))</f>
        <v>0</v>
      </c>
      <c r="AS1569" s="10" t="b">
        <f>IF(AND(I1569="TP",S1569&lt;=500),VLOOKUP(AF1569,TPCalibEq500!$AZ$2:$BB$56,3,),IF(AND(I1569="TDP",S1569&lt;=500),VLOOKUP(AF1569,TPCalibEq500!$AZ$2:$BB$56,3,)))</f>
        <v>0</v>
      </c>
      <c r="AT1569" s="10" t="b">
        <f>IF(AND(I1569="TN",S1569&lt;=2800),VLOOKUP(AF1569,TNCalibEq2500!$AZ$2:$BB$56,3,),IF(AND(I1569="TDN",S1569&lt;=2800),VLOOKUP(AF1569,TNCalibEq2500!$AZ$2:$BB$56,3,)))</f>
        <v>0</v>
      </c>
      <c r="AU1569" s="10" t="b">
        <f>IF(I1569="TP",VLOOKUP(AF1569,TPCalibEqFull!$AZ$2:$BB$56,3),IF(I1569="TDP",VLOOKUP(AF1569,TPCalibEqFull!$AZ$2:$BB$56,3),IF(I1569="TDN",VLOOKUP(AF1569,TNCalibEqFull!$AZ$1:$BB$56,3),IF(I1569="TN",VLOOKUP(AF1569,TNCalibEqFull!$AZ$1:$BB$56,3),FALSE))))</f>
        <v>0</v>
      </c>
      <c r="AV1569" s="10" t="str">
        <f t="shared" si="178"/>
        <v>0201 09:00:00-QAC-STD-22B-1-DI-PER</v>
      </c>
    </row>
    <row r="1570" spans="1:48" s="10" customFormat="1" x14ac:dyDescent="0.55000000000000004">
      <c r="A1570" s="32">
        <v>44958</v>
      </c>
      <c r="B1570" s="33">
        <v>0.375</v>
      </c>
      <c r="C1570" s="10" t="s">
        <v>70</v>
      </c>
      <c r="D1570" s="10" t="s">
        <v>71</v>
      </c>
      <c r="E1570" s="10" t="s">
        <v>316</v>
      </c>
      <c r="F1570" s="10">
        <v>1</v>
      </c>
      <c r="G1570" s="10" t="s">
        <v>73</v>
      </c>
      <c r="H1570" s="10" t="s">
        <v>74</v>
      </c>
      <c r="I1570" s="10" t="s">
        <v>256</v>
      </c>
      <c r="J1570" s="10">
        <v>189</v>
      </c>
      <c r="K1570" s="12">
        <v>44958</v>
      </c>
      <c r="L1570" s="33">
        <v>0.49679398148148146</v>
      </c>
      <c r="M1570" s="10">
        <v>1</v>
      </c>
      <c r="N1570" s="10" t="s">
        <v>169</v>
      </c>
      <c r="O1570" s="10">
        <v>9.92</v>
      </c>
      <c r="P1570" s="10">
        <v>0.48899999999999999</v>
      </c>
      <c r="Q1570" s="10">
        <v>1250</v>
      </c>
      <c r="R1570" s="10" t="s">
        <v>77</v>
      </c>
      <c r="S1570" s="34">
        <f t="shared" si="175"/>
        <v>1250</v>
      </c>
      <c r="T1570" s="10" t="s">
        <v>1114</v>
      </c>
      <c r="U1570" s="34" t="str">
        <f t="shared" si="176"/>
        <v/>
      </c>
      <c r="V1570" s="31" t="str">
        <f>IF(H1570="CHK",VLOOKUP(I1570,QCCHK,3,),IF(H1570="GUP",VLOOKUP(E1570,QCGUP,2,),IF(AND(H1570="ATP",OR(I1570="TN",I1570="TDN",I1570="TNO2-3",I1570="NO2-3")),VLOOKUP(E1570,QCREC_N,2,),IF(AND(H1570="NIC",OR(I1570="TN",I1570="TDN",I1570="TNO2-3",I1570="NO2-3")),VLOOKUP(E1570,QCNIC_N,2,),IF(AND(H1570="UREA",OR(I1570="TN",I1570="TDN",I1570="TNO2-3",I1570="NO2-3")),VLOOKUP(E1570,QCUREA_N,2,),IF(H1570="PER",VLOOKUP(I1570,QCPER,MATCH(E1570,QCACTUAL!$J$25:$AA$25,0),),IF(H1570="SPK",VLOOKUP(I1570,QCSPK,3,),IF(AND(H1570="ATP",OR(I1570="TP",I1570="TDP")),VLOOKUP(E1570,QCATP_P,2,),""))))))))</f>
        <v/>
      </c>
      <c r="W1570" s="31" t="str">
        <f t="shared" si="177"/>
        <v>TRUE</v>
      </c>
      <c r="X1570" s="31" t="str">
        <f t="shared" si="174"/>
        <v/>
      </c>
      <c r="Y1570" s="10" t="s">
        <v>1096</v>
      </c>
      <c r="AL1570" s="10" t="str">
        <f t="shared" si="179"/>
        <v>FALSE</v>
      </c>
      <c r="AM1570" s="10" t="str">
        <f t="shared" si="179"/>
        <v>FALSE</v>
      </c>
      <c r="AN1570" s="10" t="str">
        <f t="shared" si="179"/>
        <v>FALSE</v>
      </c>
      <c r="AO1570" s="10" t="str">
        <f t="shared" si="180"/>
        <v>FALSE</v>
      </c>
      <c r="AP1570" s="10" t="str">
        <f t="shared" si="180"/>
        <v>FALSE</v>
      </c>
      <c r="AQ1570" s="10" t="b">
        <f>IF(AND(I1570="TP",S1570&lt;=150),VLOOKUP(AF1570,TPCalibEq150!$AZ$2:$BB$55,3,),IF(AND(I1570="TDP",S1570&lt;=150),VLOOKUP(AF1570,TPCalibEq150!$AZ$2:$BB$55,3,)))</f>
        <v>0</v>
      </c>
      <c r="AR1570" s="10" t="b">
        <f>IF(AND(I1570="TP",S1570&lt;=300),VLOOKUP(AF1570,TPCalibEq300!$AZ$2:$BB$55,3,),IF(AND(I1570="TDP",S1570&lt;=300),VLOOKUP(AF1570,TPCalibEq300!$AZ$2:$BB$55,3,)))</f>
        <v>0</v>
      </c>
      <c r="AS1570" s="10" t="b">
        <f>IF(AND(I1570="TP",S1570&lt;=500),VLOOKUP(AF1570,TPCalibEq500!$AZ$2:$BB$56,3,),IF(AND(I1570="TDP",S1570&lt;=500),VLOOKUP(AF1570,TPCalibEq500!$AZ$2:$BB$56,3,)))</f>
        <v>0</v>
      </c>
      <c r="AT1570" s="10" t="b">
        <f>IF(AND(I1570="TN",S1570&lt;=2800),VLOOKUP(AF1570,TNCalibEq2500!$AZ$2:$BB$56,3,),IF(AND(I1570="TDN",S1570&lt;=2800),VLOOKUP(AF1570,TNCalibEq2500!$AZ$2:$BB$56,3,)))</f>
        <v>0</v>
      </c>
      <c r="AU1570" s="10" t="b">
        <f>IF(I1570="TP",VLOOKUP(AF1570,TPCalibEqFull!$AZ$2:$BB$56,3),IF(I1570="TDP",VLOOKUP(AF1570,TPCalibEqFull!$AZ$2:$BB$56,3),IF(I1570="TDN",VLOOKUP(AF1570,TNCalibEqFull!$AZ$1:$BB$56,3),IF(I1570="TN",VLOOKUP(AF1570,TNCalibEqFull!$AZ$1:$BB$56,3),FALSE))))</f>
        <v>0</v>
      </c>
      <c r="AV1570" s="10" t="str">
        <f t="shared" si="178"/>
        <v>0201 09:00:00-QAC-STD-NO2-1-DI-CAL</v>
      </c>
    </row>
    <row r="1571" spans="1:48" s="10" customFormat="1" x14ac:dyDescent="0.55000000000000004">
      <c r="A1571" s="32">
        <v>44949</v>
      </c>
      <c r="B1571" s="33">
        <v>0.25</v>
      </c>
      <c r="C1571" s="10" t="s">
        <v>70</v>
      </c>
      <c r="D1571" s="10" t="s">
        <v>241</v>
      </c>
      <c r="E1571" s="10" t="s">
        <v>866</v>
      </c>
      <c r="F1571" s="10">
        <v>1</v>
      </c>
      <c r="G1571" s="10" t="s">
        <v>73</v>
      </c>
      <c r="H1571" s="10" t="s">
        <v>264</v>
      </c>
      <c r="I1571" s="10" t="s">
        <v>256</v>
      </c>
      <c r="J1571" s="10">
        <v>91</v>
      </c>
      <c r="K1571" s="12">
        <v>44958</v>
      </c>
      <c r="L1571" s="33">
        <v>0.49842592592592588</v>
      </c>
      <c r="M1571" s="10">
        <v>1</v>
      </c>
      <c r="N1571" s="10" t="s">
        <v>169</v>
      </c>
      <c r="O1571" s="10">
        <v>1.6400000000000001E-2</v>
      </c>
      <c r="P1571" s="10">
        <v>1.2099999999999999E-3</v>
      </c>
      <c r="Q1571" s="10">
        <v>2.06</v>
      </c>
      <c r="R1571" s="10" t="s">
        <v>77</v>
      </c>
      <c r="S1571" s="34">
        <f t="shared" si="175"/>
        <v>2.06</v>
      </c>
      <c r="T1571" s="10" t="s">
        <v>1114</v>
      </c>
      <c r="U1571" s="34">
        <f t="shared" si="176"/>
        <v>2.06</v>
      </c>
      <c r="V1571" s="31" t="str">
        <f>IF(H1571="CHK",VLOOKUP(I1571,QCCHK,3,),IF(H1571="GUP",VLOOKUP(E1571,QCGUP,2,),IF(AND(H1571="ATP",OR(I1571="TN",I1571="TDN",I1571="TNO2-3",I1571="NO2-3")),VLOOKUP(E1571,QCREC_N,2,),IF(AND(H1571="NIC",OR(I1571="TN",I1571="TDN",I1571="TNO2-3",I1571="NO2-3")),VLOOKUP(E1571,QCNIC_N,2,),IF(AND(H1571="UREA",OR(I1571="TN",I1571="TDN",I1571="TNO2-3",I1571="NO2-3")),VLOOKUP(E1571,QCUREA_N,2,),IF(H1571="PER",VLOOKUP(I1571,QCPER,MATCH(E1571,QCACTUAL!$J$25:$AA$25,0),),IF(H1571="SPK",VLOOKUP(I1571,QCSPK,3,),IF(AND(H1571="ATP",OR(I1571="TP",I1571="TDP")),VLOOKUP(E1571,QCATP_P,2,),""))))))))</f>
        <v/>
      </c>
      <c r="W1571" s="31" t="str">
        <f t="shared" si="177"/>
        <v>TRUE</v>
      </c>
      <c r="X1571" s="31" t="str">
        <f t="shared" si="174"/>
        <v>nominal concentration</v>
      </c>
      <c r="Y1571" s="10" t="s">
        <v>1096</v>
      </c>
      <c r="Z1571" s="10" t="s">
        <v>910</v>
      </c>
      <c r="AL1571" s="10" t="str">
        <f t="shared" si="179"/>
        <v>FALSE</v>
      </c>
      <c r="AM1571" s="10" t="str">
        <f t="shared" si="179"/>
        <v>FALSE</v>
      </c>
      <c r="AN1571" s="10" t="str">
        <f t="shared" si="179"/>
        <v>FALSE</v>
      </c>
      <c r="AO1571" s="10" t="str">
        <f t="shared" si="180"/>
        <v>FALSE</v>
      </c>
      <c r="AP1571" s="10" t="str">
        <f t="shared" si="180"/>
        <v>FALSE</v>
      </c>
      <c r="AQ1571" s="10" t="b">
        <f>IF(AND(I1571="TP",S1571&lt;=150),VLOOKUP(AF1571,TPCalibEq150!$AZ$2:$BB$55,3,),IF(AND(I1571="TDP",S1571&lt;=150),VLOOKUP(AF1571,TPCalibEq150!$AZ$2:$BB$55,3,)))</f>
        <v>0</v>
      </c>
      <c r="AR1571" s="10" t="b">
        <f>IF(AND(I1571="TP",S1571&lt;=300),VLOOKUP(AF1571,TPCalibEq300!$AZ$2:$BB$55,3,),IF(AND(I1571="TDP",S1571&lt;=300),VLOOKUP(AF1571,TPCalibEq300!$AZ$2:$BB$55,3,)))</f>
        <v>0</v>
      </c>
      <c r="AS1571" s="10" t="b">
        <f>IF(AND(I1571="TP",S1571&lt;=500),VLOOKUP(AF1571,TPCalibEq500!$AZ$2:$BB$56,3,),IF(AND(I1571="TDP",S1571&lt;=500),VLOOKUP(AF1571,TPCalibEq500!$AZ$2:$BB$56,3,)))</f>
        <v>0</v>
      </c>
      <c r="AT1571" s="10" t="b">
        <f>IF(AND(I1571="TN",S1571&lt;=2800),VLOOKUP(AF1571,TNCalibEq2500!$AZ$2:$BB$56,3,),IF(AND(I1571="TDN",S1571&lt;=2800),VLOOKUP(AF1571,TNCalibEq2500!$AZ$2:$BB$56,3,)))</f>
        <v>0</v>
      </c>
      <c r="AU1571" s="10" t="b">
        <f>IF(I1571="TP",VLOOKUP(AF1571,TPCalibEqFull!$AZ$2:$BB$56,3),IF(I1571="TDP",VLOOKUP(AF1571,TPCalibEqFull!$AZ$2:$BB$56,3),IF(I1571="TDN",VLOOKUP(AF1571,TNCalibEqFull!$AZ$1:$BB$56,3),IF(I1571="TN",VLOOKUP(AF1571,TNCalibEqFull!$AZ$1:$BB$56,3),FALSE))))</f>
        <v>0</v>
      </c>
      <c r="AV1571" s="10" t="str">
        <f t="shared" si="178"/>
        <v>0123 06:00:00-QAC-BLK-A-1-DI-FLD</v>
      </c>
    </row>
    <row r="1572" spans="1:48" s="10" customFormat="1" x14ac:dyDescent="0.55000000000000004">
      <c r="A1572" s="32">
        <v>44956</v>
      </c>
      <c r="B1572" s="33">
        <v>0.25</v>
      </c>
      <c r="C1572" s="10" t="s">
        <v>70</v>
      </c>
      <c r="D1572" s="10" t="s">
        <v>241</v>
      </c>
      <c r="E1572" s="10" t="s">
        <v>866</v>
      </c>
      <c r="F1572" s="10">
        <v>1</v>
      </c>
      <c r="G1572" s="10" t="s">
        <v>73</v>
      </c>
      <c r="H1572" s="10" t="s">
        <v>264</v>
      </c>
      <c r="I1572" s="10" t="s">
        <v>256</v>
      </c>
      <c r="J1572" s="10">
        <v>92</v>
      </c>
      <c r="K1572" s="12">
        <v>44958</v>
      </c>
      <c r="L1572" s="33">
        <v>0.4992476851851852</v>
      </c>
      <c r="M1572" s="10">
        <v>1</v>
      </c>
      <c r="N1572" s="10" t="s">
        <v>169</v>
      </c>
      <c r="O1572" s="10">
        <v>2.1600000000000001E-2</v>
      </c>
      <c r="P1572" s="10">
        <v>1.5200000000000001E-3</v>
      </c>
      <c r="Q1572" s="10">
        <v>2.72</v>
      </c>
      <c r="R1572" s="10" t="s">
        <v>77</v>
      </c>
      <c r="S1572" s="34">
        <f t="shared" si="175"/>
        <v>2.72</v>
      </c>
      <c r="T1572" s="10" t="s">
        <v>1114</v>
      </c>
      <c r="U1572" s="34">
        <f t="shared" si="176"/>
        <v>2.72</v>
      </c>
      <c r="V1572" s="31" t="str">
        <f>IF(H1572="CHK",VLOOKUP(I1572,QCCHK,3,),IF(H1572="GUP",VLOOKUP(E1572,QCGUP,2,),IF(AND(H1572="ATP",OR(I1572="TN",I1572="TDN",I1572="TNO2-3",I1572="NO2-3")),VLOOKUP(E1572,QCREC_N,2,),IF(AND(H1572="NIC",OR(I1572="TN",I1572="TDN",I1572="TNO2-3",I1572="NO2-3")),VLOOKUP(E1572,QCNIC_N,2,),IF(AND(H1572="UREA",OR(I1572="TN",I1572="TDN",I1572="TNO2-3",I1572="NO2-3")),VLOOKUP(E1572,QCUREA_N,2,),IF(H1572="PER",VLOOKUP(I1572,QCPER,MATCH(E1572,QCACTUAL!$J$25:$AA$25,0),),IF(H1572="SPK",VLOOKUP(I1572,QCSPK,3,),IF(AND(H1572="ATP",OR(I1572="TP",I1572="TDP")),VLOOKUP(E1572,QCATP_P,2,),""))))))))</f>
        <v/>
      </c>
      <c r="W1572" s="31" t="str">
        <f t="shared" si="177"/>
        <v>TRUE</v>
      </c>
      <c r="X1572" s="31" t="str">
        <f t="shared" si="174"/>
        <v>nominal concentration</v>
      </c>
      <c r="Y1572" s="10" t="s">
        <v>1096</v>
      </c>
      <c r="Z1572" s="10" t="s">
        <v>910</v>
      </c>
      <c r="AL1572" s="10" t="str">
        <f t="shared" si="179"/>
        <v>FALSE</v>
      </c>
      <c r="AM1572" s="10" t="str">
        <f t="shared" si="179"/>
        <v>FALSE</v>
      </c>
      <c r="AN1572" s="10" t="str">
        <f t="shared" si="179"/>
        <v>FALSE</v>
      </c>
      <c r="AO1572" s="10" t="str">
        <f t="shared" si="180"/>
        <v>FALSE</v>
      </c>
      <c r="AP1572" s="10" t="str">
        <f t="shared" si="180"/>
        <v>FALSE</v>
      </c>
      <c r="AQ1572" s="10" t="b">
        <f>IF(AND(I1572="TP",S1572&lt;=150),VLOOKUP(AF1572,TPCalibEq150!$AZ$2:$BB$55,3,),IF(AND(I1572="TDP",S1572&lt;=150),VLOOKUP(AF1572,TPCalibEq150!$AZ$2:$BB$55,3,)))</f>
        <v>0</v>
      </c>
      <c r="AR1572" s="10" t="b">
        <f>IF(AND(I1572="TP",S1572&lt;=300),VLOOKUP(AF1572,TPCalibEq300!$AZ$2:$BB$55,3,),IF(AND(I1572="TDP",S1572&lt;=300),VLOOKUP(AF1572,TPCalibEq300!$AZ$2:$BB$55,3,)))</f>
        <v>0</v>
      </c>
      <c r="AS1572" s="10" t="b">
        <f>IF(AND(I1572="TP",S1572&lt;=500),VLOOKUP(AF1572,TPCalibEq500!$AZ$2:$BB$56,3,),IF(AND(I1572="TDP",S1572&lt;=500),VLOOKUP(AF1572,TPCalibEq500!$AZ$2:$BB$56,3,)))</f>
        <v>0</v>
      </c>
      <c r="AT1572" s="10" t="b">
        <f>IF(AND(I1572="TN",S1572&lt;=2800),VLOOKUP(AF1572,TNCalibEq2500!$AZ$2:$BB$56,3,),IF(AND(I1572="TDN",S1572&lt;=2800),VLOOKUP(AF1572,TNCalibEq2500!$AZ$2:$BB$56,3,)))</f>
        <v>0</v>
      </c>
      <c r="AU1572" s="10" t="b">
        <f>IF(I1572="TP",VLOOKUP(AF1572,TPCalibEqFull!$AZ$2:$BB$56,3),IF(I1572="TDP",VLOOKUP(AF1572,TPCalibEqFull!$AZ$2:$BB$56,3),IF(I1572="TDN",VLOOKUP(AF1572,TNCalibEqFull!$AZ$1:$BB$56,3),IF(I1572="TN",VLOOKUP(AF1572,TNCalibEqFull!$AZ$1:$BB$56,3),FALSE))))</f>
        <v>0</v>
      </c>
      <c r="AV1572" s="10" t="str">
        <f t="shared" si="178"/>
        <v>0130 06:00:00-QAC-BLK-A-1-DI-FLD</v>
      </c>
    </row>
    <row r="1573" spans="1:48" s="10" customFormat="1" x14ac:dyDescent="0.55000000000000004">
      <c r="A1573" s="32">
        <v>44956</v>
      </c>
      <c r="B1573" s="33">
        <v>0.22569444444444445</v>
      </c>
      <c r="C1573" s="10" t="s">
        <v>70</v>
      </c>
      <c r="D1573" s="10" t="s">
        <v>241</v>
      </c>
      <c r="E1573" s="10" t="s">
        <v>866</v>
      </c>
      <c r="F1573" s="10">
        <v>1</v>
      </c>
      <c r="G1573" s="10" t="s">
        <v>73</v>
      </c>
      <c r="H1573" s="10" t="s">
        <v>245</v>
      </c>
      <c r="I1573" s="10" t="s">
        <v>256</v>
      </c>
      <c r="J1573" s="10">
        <v>93</v>
      </c>
      <c r="K1573" s="12">
        <v>44958</v>
      </c>
      <c r="L1573" s="33">
        <v>0.50006944444444446</v>
      </c>
      <c r="M1573" s="10">
        <v>1</v>
      </c>
      <c r="N1573" s="10" t="s">
        <v>169</v>
      </c>
      <c r="O1573" s="10">
        <v>5.9400000000000001E-2</v>
      </c>
      <c r="P1573" s="10">
        <v>2.6800000000000001E-3</v>
      </c>
      <c r="Q1573" s="10">
        <v>7.48</v>
      </c>
      <c r="R1573" s="10" t="s">
        <v>77</v>
      </c>
      <c r="S1573" s="34">
        <f t="shared" si="175"/>
        <v>7.48</v>
      </c>
      <c r="T1573" s="10" t="s">
        <v>1114</v>
      </c>
      <c r="U1573" s="34">
        <f t="shared" si="176"/>
        <v>7.48</v>
      </c>
      <c r="V1573" s="31" t="str">
        <f>IF(H1573="CHK",VLOOKUP(I1573,QCCHK,3,),IF(H1573="GUP",VLOOKUP(E1573,QCGUP,2,),IF(AND(H1573="ATP",OR(I1573="TN",I1573="TDN",I1573="TNO2-3",I1573="NO2-3")),VLOOKUP(E1573,QCREC_N,2,),IF(AND(H1573="NIC",OR(I1573="TN",I1573="TDN",I1573="TNO2-3",I1573="NO2-3")),VLOOKUP(E1573,QCNIC_N,2,),IF(AND(H1573="UREA",OR(I1573="TN",I1573="TDN",I1573="TNO2-3",I1573="NO2-3")),VLOOKUP(E1573,QCUREA_N,2,),IF(H1573="PER",VLOOKUP(I1573,QCPER,MATCH(E1573,QCACTUAL!$J$25:$AA$25,0),),IF(H1573="SPK",VLOOKUP(I1573,QCSPK,3,),IF(AND(H1573="ATP",OR(I1573="TP",I1573="TDP")),VLOOKUP(E1573,QCATP_P,2,),""))))))))</f>
        <v/>
      </c>
      <c r="W1573" s="31" t="str">
        <f t="shared" si="177"/>
        <v>TRUE</v>
      </c>
      <c r="X1573" s="31" t="str">
        <f t="shared" si="174"/>
        <v>nominal concentration</v>
      </c>
      <c r="Y1573" s="10" t="s">
        <v>1096</v>
      </c>
      <c r="Z1573" s="10" t="s">
        <v>910</v>
      </c>
      <c r="AL1573" s="10" t="str">
        <f t="shared" si="179"/>
        <v>FALSE</v>
      </c>
      <c r="AM1573" s="10" t="str">
        <f t="shared" si="179"/>
        <v>FALSE</v>
      </c>
      <c r="AN1573" s="10" t="str">
        <f t="shared" si="179"/>
        <v>FALSE</v>
      </c>
      <c r="AO1573" s="10" t="str">
        <f t="shared" si="180"/>
        <v>FALSE</v>
      </c>
      <c r="AP1573" s="10" t="str">
        <f t="shared" si="180"/>
        <v>FALSE</v>
      </c>
      <c r="AQ1573" s="10" t="b">
        <f>IF(AND(I1573="TP",S1573&lt;=150),VLOOKUP(AF1573,TPCalibEq150!$AZ$2:$BB$55,3,),IF(AND(I1573="TDP",S1573&lt;=150),VLOOKUP(AF1573,TPCalibEq150!$AZ$2:$BB$55,3,)))</f>
        <v>0</v>
      </c>
      <c r="AR1573" s="10" t="b">
        <f>IF(AND(I1573="TP",S1573&lt;=300),VLOOKUP(AF1573,TPCalibEq300!$AZ$2:$BB$55,3,),IF(AND(I1573="TDP",S1573&lt;=300),VLOOKUP(AF1573,TPCalibEq300!$AZ$2:$BB$55,3,)))</f>
        <v>0</v>
      </c>
      <c r="AS1573" s="10" t="b">
        <f>IF(AND(I1573="TP",S1573&lt;=500),VLOOKUP(AF1573,TPCalibEq500!$AZ$2:$BB$56,3,),IF(AND(I1573="TDP",S1573&lt;=500),VLOOKUP(AF1573,TPCalibEq500!$AZ$2:$BB$56,3,)))</f>
        <v>0</v>
      </c>
      <c r="AT1573" s="10" t="b">
        <f>IF(AND(I1573="TN",S1573&lt;=2800),VLOOKUP(AF1573,TNCalibEq2500!$AZ$2:$BB$56,3,),IF(AND(I1573="TDN",S1573&lt;=2800),VLOOKUP(AF1573,TNCalibEq2500!$AZ$2:$BB$56,3,)))</f>
        <v>0</v>
      </c>
      <c r="AU1573" s="10" t="b">
        <f>IF(I1573="TP",VLOOKUP(AF1573,TPCalibEqFull!$AZ$2:$BB$56,3),IF(I1573="TDP",VLOOKUP(AF1573,TPCalibEqFull!$AZ$2:$BB$56,3),IF(I1573="TDN",VLOOKUP(AF1573,TNCalibEqFull!$AZ$1:$BB$56,3),IF(I1573="TN",VLOOKUP(AF1573,TNCalibEqFull!$AZ$1:$BB$56,3),FALSE))))</f>
        <v>0</v>
      </c>
      <c r="AV1573" s="10" t="str">
        <f t="shared" si="178"/>
        <v>0130 05:25:00-QAC-BLK-A-1-DI-ESF</v>
      </c>
    </row>
    <row r="1574" spans="1:48" s="10" customFormat="1" x14ac:dyDescent="0.55000000000000004">
      <c r="A1574" s="32">
        <v>44949</v>
      </c>
      <c r="B1574" s="33">
        <v>0.25</v>
      </c>
      <c r="C1574" s="10" t="s">
        <v>70</v>
      </c>
      <c r="D1574" s="10" t="s">
        <v>241</v>
      </c>
      <c r="E1574" s="10" t="s">
        <v>911</v>
      </c>
      <c r="F1574" s="10">
        <v>1</v>
      </c>
      <c r="G1574" s="10" t="s">
        <v>73</v>
      </c>
      <c r="H1574" s="10" t="s">
        <v>264</v>
      </c>
      <c r="I1574" s="10" t="s">
        <v>209</v>
      </c>
      <c r="J1574" s="10">
        <v>94</v>
      </c>
      <c r="K1574" s="12">
        <v>44958</v>
      </c>
      <c r="L1574" s="33">
        <v>0.50089120370370377</v>
      </c>
      <c r="M1574" s="10">
        <v>1</v>
      </c>
      <c r="N1574" s="10" t="s">
        <v>169</v>
      </c>
      <c r="O1574" s="10">
        <v>6.7599999999999993E-2</v>
      </c>
      <c r="P1574" s="10">
        <v>3.5999999999999999E-3</v>
      </c>
      <c r="Q1574" s="10">
        <v>8.52</v>
      </c>
      <c r="R1574" s="10" t="s">
        <v>77</v>
      </c>
      <c r="S1574" s="34">
        <f t="shared" si="175"/>
        <v>8.52</v>
      </c>
      <c r="T1574" s="10" t="s">
        <v>1114</v>
      </c>
      <c r="U1574" s="34">
        <f t="shared" si="176"/>
        <v>8.52</v>
      </c>
      <c r="V1574" s="31" t="str">
        <f>IF(H1574="CHK",VLOOKUP(I1574,QCCHK,3,),IF(H1574="GUP",VLOOKUP(E1574,QCGUP,2,),IF(AND(H1574="ATP",OR(I1574="TN",I1574="TDN",I1574="TNO2-3",I1574="NO2-3")),VLOOKUP(E1574,QCREC_N,2,),IF(AND(H1574="NIC",OR(I1574="TN",I1574="TDN",I1574="TNO2-3",I1574="NO2-3")),VLOOKUP(E1574,QCNIC_N,2,),IF(AND(H1574="UREA",OR(I1574="TN",I1574="TDN",I1574="TNO2-3",I1574="NO2-3")),VLOOKUP(E1574,QCUREA_N,2,),IF(H1574="PER",VLOOKUP(I1574,QCPER,MATCH(E1574,QCACTUAL!$J$25:$AA$25,0),),IF(H1574="SPK",VLOOKUP(I1574,QCSPK,3,),IF(AND(H1574="ATP",OR(I1574="TP",I1574="TDP")),VLOOKUP(E1574,QCATP_P,2,),""))))))))</f>
        <v/>
      </c>
      <c r="W1574" s="31" t="str">
        <f t="shared" si="177"/>
        <v>TRUE</v>
      </c>
      <c r="X1574" s="31" t="str">
        <f t="shared" si="174"/>
        <v>nominal concentration</v>
      </c>
      <c r="Y1574" s="10" t="s">
        <v>1096</v>
      </c>
      <c r="Z1574" s="10" t="s">
        <v>910</v>
      </c>
      <c r="AL1574" s="10" t="str">
        <f t="shared" si="179"/>
        <v>FALSE</v>
      </c>
      <c r="AM1574" s="10" t="str">
        <f t="shared" si="179"/>
        <v>FALSE</v>
      </c>
      <c r="AN1574" s="10" t="str">
        <f t="shared" si="179"/>
        <v>FALSE</v>
      </c>
      <c r="AO1574" s="10" t="str">
        <f t="shared" si="180"/>
        <v>FALSE</v>
      </c>
      <c r="AP1574" s="10" t="str">
        <f t="shared" si="180"/>
        <v>FALSE</v>
      </c>
      <c r="AQ1574" s="10" t="b">
        <f>IF(AND(I1574="TP",S1574&lt;=150),VLOOKUP(AF1574,TPCalibEq150!$AZ$2:$BB$55,3,),IF(AND(I1574="TDP",S1574&lt;=150),VLOOKUP(AF1574,TPCalibEq150!$AZ$2:$BB$55,3,)))</f>
        <v>0</v>
      </c>
      <c r="AR1574" s="10" t="b">
        <f>IF(AND(I1574="TP",S1574&lt;=300),VLOOKUP(AF1574,TPCalibEq300!$AZ$2:$BB$55,3,),IF(AND(I1574="TDP",S1574&lt;=300),VLOOKUP(AF1574,TPCalibEq300!$AZ$2:$BB$55,3,)))</f>
        <v>0</v>
      </c>
      <c r="AS1574" s="10" t="b">
        <f>IF(AND(I1574="TP",S1574&lt;=500),VLOOKUP(AF1574,TPCalibEq500!$AZ$2:$BB$56,3,),IF(AND(I1574="TDP",S1574&lt;=500),VLOOKUP(AF1574,TPCalibEq500!$AZ$2:$BB$56,3,)))</f>
        <v>0</v>
      </c>
      <c r="AT1574" s="10" t="b">
        <f>IF(AND(I1574="TN",S1574&lt;=2800),VLOOKUP(AF1574,TNCalibEq2500!$AZ$2:$BB$56,3,),IF(AND(I1574="TDN",S1574&lt;=2800),VLOOKUP(AF1574,TNCalibEq2500!$AZ$2:$BB$56,3,)))</f>
        <v>0</v>
      </c>
      <c r="AU1574" s="10" t="b">
        <f>IF(I1574="TP",VLOOKUP(AF1574,TPCalibEqFull!$AZ$2:$BB$56,3),IF(I1574="TDP",VLOOKUP(AF1574,TPCalibEqFull!$AZ$2:$BB$56,3),IF(I1574="TDN",VLOOKUP(AF1574,TNCalibEqFull!$AZ$1:$BB$56,3),IF(I1574="TN",VLOOKUP(AF1574,TNCalibEqFull!$AZ$1:$BB$56,3),FALSE))))</f>
        <v>0</v>
      </c>
      <c r="AV1574" s="10" t="str">
        <f t="shared" si="178"/>
        <v>0123 06:00:00-QAC-BLK-FIL-1-DI-FLD</v>
      </c>
    </row>
    <row r="1575" spans="1:48" s="10" customFormat="1" x14ac:dyDescent="0.55000000000000004">
      <c r="A1575" s="32">
        <v>44956</v>
      </c>
      <c r="B1575" s="33">
        <v>0.25</v>
      </c>
      <c r="C1575" s="10" t="s">
        <v>70</v>
      </c>
      <c r="D1575" s="10" t="s">
        <v>241</v>
      </c>
      <c r="E1575" s="10" t="s">
        <v>911</v>
      </c>
      <c r="F1575" s="10">
        <v>1</v>
      </c>
      <c r="G1575" s="10" t="s">
        <v>73</v>
      </c>
      <c r="H1575" s="10" t="s">
        <v>264</v>
      </c>
      <c r="I1575" s="10" t="s">
        <v>209</v>
      </c>
      <c r="J1575" s="10">
        <v>95</v>
      </c>
      <c r="K1575" s="12">
        <v>44958</v>
      </c>
      <c r="L1575" s="33">
        <v>0.50171296296296297</v>
      </c>
      <c r="M1575" s="10">
        <v>1</v>
      </c>
      <c r="N1575" s="10" t="s">
        <v>169</v>
      </c>
      <c r="O1575" s="10">
        <v>4.3499999999999997E-2</v>
      </c>
      <c r="P1575" s="10">
        <v>2.5999999999999999E-3</v>
      </c>
      <c r="Q1575" s="10">
        <v>5.48</v>
      </c>
      <c r="R1575" s="10" t="s">
        <v>77</v>
      </c>
      <c r="S1575" s="34">
        <f t="shared" si="175"/>
        <v>5.48</v>
      </c>
      <c r="T1575" s="10" t="s">
        <v>1114</v>
      </c>
      <c r="U1575" s="34">
        <f t="shared" si="176"/>
        <v>5.48</v>
      </c>
      <c r="V1575" s="31" t="str">
        <f>IF(H1575="CHK",VLOOKUP(I1575,QCCHK,3,),IF(H1575="GUP",VLOOKUP(E1575,QCGUP,2,),IF(AND(H1575="ATP",OR(I1575="TN",I1575="TDN",I1575="TNO2-3",I1575="NO2-3")),VLOOKUP(E1575,QCREC_N,2,),IF(AND(H1575="NIC",OR(I1575="TN",I1575="TDN",I1575="TNO2-3",I1575="NO2-3")),VLOOKUP(E1575,QCNIC_N,2,),IF(AND(H1575="UREA",OR(I1575="TN",I1575="TDN",I1575="TNO2-3",I1575="NO2-3")),VLOOKUP(E1575,QCUREA_N,2,),IF(H1575="PER",VLOOKUP(I1575,QCPER,MATCH(E1575,QCACTUAL!$J$25:$AA$25,0),),IF(H1575="SPK",VLOOKUP(I1575,QCSPK,3,),IF(AND(H1575="ATP",OR(I1575="TP",I1575="TDP")),VLOOKUP(E1575,QCATP_P,2,),""))))))))</f>
        <v/>
      </c>
      <c r="W1575" s="31" t="str">
        <f t="shared" si="177"/>
        <v>TRUE</v>
      </c>
      <c r="X1575" s="31" t="str">
        <f t="shared" si="174"/>
        <v>nominal concentration</v>
      </c>
      <c r="Y1575" s="10" t="s">
        <v>1096</v>
      </c>
      <c r="Z1575" s="10" t="s">
        <v>910</v>
      </c>
      <c r="AL1575" s="10" t="str">
        <f t="shared" si="179"/>
        <v>FALSE</v>
      </c>
      <c r="AM1575" s="10" t="str">
        <f t="shared" si="179"/>
        <v>FALSE</v>
      </c>
      <c r="AN1575" s="10" t="str">
        <f t="shared" si="179"/>
        <v>FALSE</v>
      </c>
      <c r="AO1575" s="10" t="str">
        <f t="shared" si="180"/>
        <v>FALSE</v>
      </c>
      <c r="AP1575" s="10" t="str">
        <f t="shared" si="180"/>
        <v>FALSE</v>
      </c>
      <c r="AQ1575" s="10" t="b">
        <f>IF(AND(I1575="TP",S1575&lt;=150),VLOOKUP(AF1575,TPCalibEq150!$AZ$2:$BB$55,3,),IF(AND(I1575="TDP",S1575&lt;=150),VLOOKUP(AF1575,TPCalibEq150!$AZ$2:$BB$55,3,)))</f>
        <v>0</v>
      </c>
      <c r="AR1575" s="10" t="b">
        <f>IF(AND(I1575="TP",S1575&lt;=300),VLOOKUP(AF1575,TPCalibEq300!$AZ$2:$BB$55,3,),IF(AND(I1575="TDP",S1575&lt;=300),VLOOKUP(AF1575,TPCalibEq300!$AZ$2:$BB$55,3,)))</f>
        <v>0</v>
      </c>
      <c r="AS1575" s="10" t="b">
        <f>IF(AND(I1575="TP",S1575&lt;=500),VLOOKUP(AF1575,TPCalibEq500!$AZ$2:$BB$56,3,),IF(AND(I1575="TDP",S1575&lt;=500),VLOOKUP(AF1575,TPCalibEq500!$AZ$2:$BB$56,3,)))</f>
        <v>0</v>
      </c>
      <c r="AT1575" s="10" t="b">
        <f>IF(AND(I1575="TN",S1575&lt;=2800),VLOOKUP(AF1575,TNCalibEq2500!$AZ$2:$BB$56,3,),IF(AND(I1575="TDN",S1575&lt;=2800),VLOOKUP(AF1575,TNCalibEq2500!$AZ$2:$BB$56,3,)))</f>
        <v>0</v>
      </c>
      <c r="AU1575" s="10" t="b">
        <f>IF(I1575="TP",VLOOKUP(AF1575,TPCalibEqFull!$AZ$2:$BB$56,3),IF(I1575="TDP",VLOOKUP(AF1575,TPCalibEqFull!$AZ$2:$BB$56,3),IF(I1575="TDN",VLOOKUP(AF1575,TNCalibEqFull!$AZ$1:$BB$56,3),IF(I1575="TN",VLOOKUP(AF1575,TNCalibEqFull!$AZ$1:$BB$56,3),FALSE))))</f>
        <v>0</v>
      </c>
      <c r="AV1575" s="10" t="str">
        <f t="shared" si="178"/>
        <v>0130 06:00:00-QAC-BLK-FIL-1-DI-FLD</v>
      </c>
    </row>
    <row r="1576" spans="1:48" s="10" customFormat="1" x14ac:dyDescent="0.55000000000000004">
      <c r="A1576" s="32">
        <v>44956</v>
      </c>
      <c r="B1576" s="33">
        <v>0.22569444444444445</v>
      </c>
      <c r="C1576" s="10" t="s">
        <v>70</v>
      </c>
      <c r="D1576" s="10" t="s">
        <v>241</v>
      </c>
      <c r="E1576" s="10" t="s">
        <v>911</v>
      </c>
      <c r="F1576" s="10">
        <v>1</v>
      </c>
      <c r="G1576" s="10" t="s">
        <v>73</v>
      </c>
      <c r="H1576" s="10" t="s">
        <v>245</v>
      </c>
      <c r="I1576" s="10" t="s">
        <v>209</v>
      </c>
      <c r="J1576" s="10">
        <v>96</v>
      </c>
      <c r="K1576" s="12">
        <v>44958</v>
      </c>
      <c r="L1576" s="33">
        <v>0.50253472222222217</v>
      </c>
      <c r="M1576" s="10">
        <v>1</v>
      </c>
      <c r="N1576" s="10" t="s">
        <v>169</v>
      </c>
      <c r="O1576" s="10">
        <v>2.2100000000000002E-2</v>
      </c>
      <c r="P1576" s="10">
        <v>1.42E-3</v>
      </c>
      <c r="Q1576" s="10">
        <v>2.78</v>
      </c>
      <c r="R1576" s="10" t="s">
        <v>77</v>
      </c>
      <c r="S1576" s="34">
        <f t="shared" si="175"/>
        <v>2.78</v>
      </c>
      <c r="T1576" s="10" t="s">
        <v>1114</v>
      </c>
      <c r="U1576" s="34">
        <f t="shared" si="176"/>
        <v>2.78</v>
      </c>
      <c r="V1576" s="31" t="str">
        <f>IF(H1576="CHK",VLOOKUP(I1576,QCCHK,3,),IF(H1576="GUP",VLOOKUP(E1576,QCGUP,2,),IF(AND(H1576="ATP",OR(I1576="TN",I1576="TDN",I1576="TNO2-3",I1576="NO2-3")),VLOOKUP(E1576,QCREC_N,2,),IF(AND(H1576="NIC",OR(I1576="TN",I1576="TDN",I1576="TNO2-3",I1576="NO2-3")),VLOOKUP(E1576,QCNIC_N,2,),IF(AND(H1576="UREA",OR(I1576="TN",I1576="TDN",I1576="TNO2-3",I1576="NO2-3")),VLOOKUP(E1576,QCUREA_N,2,),IF(H1576="PER",VLOOKUP(I1576,QCPER,MATCH(E1576,QCACTUAL!$J$25:$AA$25,0),),IF(H1576="SPK",VLOOKUP(I1576,QCSPK,3,),IF(AND(H1576="ATP",OR(I1576="TP",I1576="TDP")),VLOOKUP(E1576,QCATP_P,2,),""))))))))</f>
        <v/>
      </c>
      <c r="W1576" s="31" t="str">
        <f t="shared" si="177"/>
        <v>TRUE</v>
      </c>
      <c r="X1576" s="31" t="str">
        <f t="shared" si="174"/>
        <v>nominal concentration</v>
      </c>
      <c r="Y1576" s="10" t="s">
        <v>1096</v>
      </c>
      <c r="Z1576" s="10" t="s">
        <v>910</v>
      </c>
      <c r="AL1576" s="10" t="str">
        <f t="shared" si="179"/>
        <v>FALSE</v>
      </c>
      <c r="AM1576" s="10" t="str">
        <f t="shared" si="179"/>
        <v>FALSE</v>
      </c>
      <c r="AN1576" s="10" t="str">
        <f t="shared" si="179"/>
        <v>FALSE</v>
      </c>
      <c r="AO1576" s="10" t="str">
        <f t="shared" si="180"/>
        <v>FALSE</v>
      </c>
      <c r="AP1576" s="10" t="str">
        <f t="shared" si="180"/>
        <v>FALSE</v>
      </c>
      <c r="AQ1576" s="10" t="b">
        <f>IF(AND(I1576="TP",S1576&lt;=150),VLOOKUP(AF1576,TPCalibEq150!$AZ$2:$BB$55,3,),IF(AND(I1576="TDP",S1576&lt;=150),VLOOKUP(AF1576,TPCalibEq150!$AZ$2:$BB$55,3,)))</f>
        <v>0</v>
      </c>
      <c r="AR1576" s="10" t="b">
        <f>IF(AND(I1576="TP",S1576&lt;=300),VLOOKUP(AF1576,TPCalibEq300!$AZ$2:$BB$55,3,),IF(AND(I1576="TDP",S1576&lt;=300),VLOOKUP(AF1576,TPCalibEq300!$AZ$2:$BB$55,3,)))</f>
        <v>0</v>
      </c>
      <c r="AS1576" s="10" t="b">
        <f>IF(AND(I1576="TP",S1576&lt;=500),VLOOKUP(AF1576,TPCalibEq500!$AZ$2:$BB$56,3,),IF(AND(I1576="TDP",S1576&lt;=500),VLOOKUP(AF1576,TPCalibEq500!$AZ$2:$BB$56,3,)))</f>
        <v>0</v>
      </c>
      <c r="AT1576" s="10" t="b">
        <f>IF(AND(I1576="TN",S1576&lt;=2800),VLOOKUP(AF1576,TNCalibEq2500!$AZ$2:$BB$56,3,),IF(AND(I1576="TDN",S1576&lt;=2800),VLOOKUP(AF1576,TNCalibEq2500!$AZ$2:$BB$56,3,)))</f>
        <v>0</v>
      </c>
      <c r="AU1576" s="10" t="b">
        <f>IF(I1576="TP",VLOOKUP(AF1576,TPCalibEqFull!$AZ$2:$BB$56,3),IF(I1576="TDP",VLOOKUP(AF1576,TPCalibEqFull!$AZ$2:$BB$56,3),IF(I1576="TDN",VLOOKUP(AF1576,TNCalibEqFull!$AZ$1:$BB$56,3),IF(I1576="TN",VLOOKUP(AF1576,TNCalibEqFull!$AZ$1:$BB$56,3),FALSE))))</f>
        <v>0</v>
      </c>
      <c r="AV1576" s="10" t="str">
        <f t="shared" si="178"/>
        <v>0130 05:25:00-QAC-BLK-FIL-1-DI-ESF</v>
      </c>
    </row>
    <row r="1577" spans="1:48" s="10" customFormat="1" x14ac:dyDescent="0.55000000000000004">
      <c r="A1577" s="32">
        <v>44958</v>
      </c>
      <c r="B1577" s="33">
        <v>0.375</v>
      </c>
      <c r="C1577" s="10" t="s">
        <v>70</v>
      </c>
      <c r="D1577" s="10" t="s">
        <v>71</v>
      </c>
      <c r="E1577" s="10" t="s">
        <v>901</v>
      </c>
      <c r="F1577" s="10">
        <v>1</v>
      </c>
      <c r="G1577" s="10" t="s">
        <v>73</v>
      </c>
      <c r="H1577" s="10" t="s">
        <v>207</v>
      </c>
      <c r="I1577" s="10" t="s">
        <v>256</v>
      </c>
      <c r="J1577" s="10">
        <v>199</v>
      </c>
      <c r="K1577" s="12">
        <v>44958</v>
      </c>
      <c r="L1577" s="33">
        <v>0.50335648148148149</v>
      </c>
      <c r="M1577" s="10">
        <v>1</v>
      </c>
      <c r="N1577" s="10" t="s">
        <v>169</v>
      </c>
      <c r="O1577" s="10">
        <v>2.41</v>
      </c>
      <c r="P1577" s="10">
        <v>0.12</v>
      </c>
      <c r="Q1577" s="10">
        <v>304</v>
      </c>
      <c r="R1577" s="10" t="s">
        <v>77</v>
      </c>
      <c r="S1577" s="34">
        <f t="shared" si="175"/>
        <v>304</v>
      </c>
      <c r="T1577" s="10" t="s">
        <v>1114</v>
      </c>
      <c r="U1577" s="34">
        <f t="shared" si="176"/>
        <v>101.33333333333334</v>
      </c>
      <c r="V1577" s="31">
        <f>IF(H1577="CHK",VLOOKUP(I1577,QCCHK,3,),IF(H1577="GUP",VLOOKUP(E1577,QCGUP,2,),IF(AND(H1577="ATP",OR(I1577="TN",I1577="TDN",I1577="TNO2-3",I1577="NO2-3")),VLOOKUP(E1577,QCREC_N,2,),IF(AND(H1577="NIC",OR(I1577="TN",I1577="TDN",I1577="TNO2-3",I1577="NO2-3")),VLOOKUP(E1577,QCNIC_N,2,),IF(AND(H1577="UREA",OR(I1577="TN",I1577="TDN",I1577="TNO2-3",I1577="NO2-3")),VLOOKUP(E1577,QCUREA_N,2,),IF(H1577="PER",VLOOKUP(I1577,QCPER,MATCH(E1577,QCACTUAL!$J$25:$AA$25,0),),IF(H1577="SPK",VLOOKUP(I1577,QCSPK,3,),IF(AND(H1577="ATP",OR(I1577="TP",I1577="TDP")),VLOOKUP(E1577,QCATP_P,2,),""))))))))</f>
        <v>300</v>
      </c>
      <c r="W1577" s="31" t="str">
        <f t="shared" si="177"/>
        <v>TRUE</v>
      </c>
      <c r="X1577" s="31" t="str">
        <f t="shared" si="174"/>
        <v>[chk]/[actual]*100</v>
      </c>
      <c r="Y1577" s="10" t="s">
        <v>1096</v>
      </c>
      <c r="AL1577" s="10" t="str">
        <f t="shared" si="179"/>
        <v>FALSE</v>
      </c>
      <c r="AM1577" s="10" t="str">
        <f t="shared" si="179"/>
        <v>FALSE</v>
      </c>
      <c r="AN1577" s="10" t="str">
        <f t="shared" si="179"/>
        <v>FALSE</v>
      </c>
      <c r="AO1577" s="10" t="str">
        <f t="shared" si="180"/>
        <v>FALSE</v>
      </c>
      <c r="AP1577" s="10" t="str">
        <f t="shared" si="180"/>
        <v>FALSE</v>
      </c>
      <c r="AQ1577" s="10" t="b">
        <f>IF(AND(I1577="TP",S1577&lt;=150),VLOOKUP(AF1577,TPCalibEq150!$AZ$2:$BB$55,3,),IF(AND(I1577="TDP",S1577&lt;=150),VLOOKUP(AF1577,TPCalibEq150!$AZ$2:$BB$55,3,)))</f>
        <v>0</v>
      </c>
      <c r="AR1577" s="10" t="b">
        <f>IF(AND(I1577="TP",S1577&lt;=300),VLOOKUP(AF1577,TPCalibEq300!$AZ$2:$BB$55,3,),IF(AND(I1577="TDP",S1577&lt;=300),VLOOKUP(AF1577,TPCalibEq300!$AZ$2:$BB$55,3,)))</f>
        <v>0</v>
      </c>
      <c r="AS1577" s="10" t="b">
        <f>IF(AND(I1577="TP",S1577&lt;=500),VLOOKUP(AF1577,TPCalibEq500!$AZ$2:$BB$56,3,),IF(AND(I1577="TDP",S1577&lt;=500),VLOOKUP(AF1577,TPCalibEq500!$AZ$2:$BB$56,3,)))</f>
        <v>0</v>
      </c>
      <c r="AT1577" s="10" t="b">
        <f>IF(AND(I1577="TN",S1577&lt;=2800),VLOOKUP(AF1577,TNCalibEq2500!$AZ$2:$BB$56,3,),IF(AND(I1577="TDN",S1577&lt;=2800),VLOOKUP(AF1577,TNCalibEq2500!$AZ$2:$BB$56,3,)))</f>
        <v>0</v>
      </c>
      <c r="AU1577" s="10" t="b">
        <f>IF(I1577="TP",VLOOKUP(AF1577,TPCalibEqFull!$AZ$2:$BB$56,3),IF(I1577="TDP",VLOOKUP(AF1577,TPCalibEqFull!$AZ$2:$BB$56,3),IF(I1577="TDN",VLOOKUP(AF1577,TNCalibEqFull!$AZ$1:$BB$56,3),IF(I1577="TN",VLOOKUP(AF1577,TNCalibEqFull!$AZ$1:$BB$56,3),FALSE))))</f>
        <v>0</v>
      </c>
      <c r="AV1577" s="10" t="str">
        <f t="shared" si="178"/>
        <v>0201 09:00:00-QAC-STD-D-1-DI-CHK</v>
      </c>
    </row>
    <row r="1578" spans="1:48" s="10" customFormat="1" x14ac:dyDescent="0.55000000000000004">
      <c r="A1578" s="32">
        <v>44949</v>
      </c>
      <c r="B1578" s="33">
        <v>0.33333333333333331</v>
      </c>
      <c r="C1578" s="10" t="s">
        <v>279</v>
      </c>
      <c r="D1578" s="10">
        <v>0</v>
      </c>
      <c r="E1578" s="10" t="s">
        <v>190</v>
      </c>
      <c r="F1578" s="10">
        <v>1</v>
      </c>
      <c r="G1578" s="10" t="s">
        <v>231</v>
      </c>
      <c r="H1578" s="10" t="s">
        <v>322</v>
      </c>
      <c r="I1578" s="10" t="s">
        <v>256</v>
      </c>
      <c r="J1578" s="10">
        <v>1</v>
      </c>
      <c r="K1578" s="12">
        <v>44958</v>
      </c>
      <c r="L1578" s="33">
        <v>0.5041782407407408</v>
      </c>
      <c r="M1578" s="10">
        <v>1</v>
      </c>
      <c r="N1578" s="10" t="s">
        <v>169</v>
      </c>
      <c r="O1578" s="10">
        <v>6.4</v>
      </c>
      <c r="P1578" s="10">
        <v>0.308</v>
      </c>
      <c r="Q1578" s="10">
        <v>806</v>
      </c>
      <c r="R1578" s="10" t="s">
        <v>77</v>
      </c>
      <c r="S1578" s="34">
        <f t="shared" si="175"/>
        <v>806</v>
      </c>
      <c r="T1578" s="10" t="s">
        <v>1114</v>
      </c>
      <c r="U1578" s="34" t="str">
        <f t="shared" si="176"/>
        <v/>
      </c>
      <c r="V1578" s="31" t="str">
        <f>IF(H1578="CHK",VLOOKUP(I1578,QCCHK,3,),IF(H1578="GUP",VLOOKUP(E1578,QCGUP,2,),IF(AND(H1578="ATP",OR(I1578="TN",I1578="TDN",I1578="TNO2-3",I1578="NO2-3")),VLOOKUP(E1578,QCREC_N,2,),IF(AND(H1578="NIC",OR(I1578="TN",I1578="TDN",I1578="TNO2-3",I1578="NO2-3")),VLOOKUP(E1578,QCNIC_N,2,),IF(AND(H1578="UREA",OR(I1578="TN",I1578="TDN",I1578="TNO2-3",I1578="NO2-3")),VLOOKUP(E1578,QCUREA_N,2,),IF(H1578="PER",VLOOKUP(I1578,QCPER,MATCH(E1578,QCACTUAL!$J$25:$AA$25,0),),IF(H1578="SPK",VLOOKUP(I1578,QCSPK,3,),IF(AND(H1578="ATP",OR(I1578="TP",I1578="TDP")),VLOOKUP(E1578,QCATP_P,2,),""))))))))</f>
        <v/>
      </c>
      <c r="W1578" s="31" t="str">
        <f t="shared" si="177"/>
        <v>TRUE</v>
      </c>
      <c r="X1578" s="31" t="str">
        <f t="shared" si="174"/>
        <v/>
      </c>
      <c r="Y1578" s="10" t="s">
        <v>1096</v>
      </c>
      <c r="Z1578" s="10" t="s">
        <v>910</v>
      </c>
      <c r="AL1578" s="10" t="str">
        <f t="shared" si="179"/>
        <v>FALSE</v>
      </c>
      <c r="AM1578" s="10" t="str">
        <f t="shared" si="179"/>
        <v>FALSE</v>
      </c>
      <c r="AN1578" s="10" t="str">
        <f t="shared" si="179"/>
        <v>FALSE</v>
      </c>
      <c r="AO1578" s="10" t="str">
        <f t="shared" si="180"/>
        <v>FALSE</v>
      </c>
      <c r="AP1578" s="10" t="str">
        <f t="shared" si="180"/>
        <v>FALSE</v>
      </c>
      <c r="AQ1578" s="10" t="b">
        <f>IF(AND(I1578="TP",S1578&lt;=150),VLOOKUP(AF1578,TPCalibEq150!$AZ$2:$BB$55,3,),IF(AND(I1578="TDP",S1578&lt;=150),VLOOKUP(AF1578,TPCalibEq150!$AZ$2:$BB$55,3,)))</f>
        <v>0</v>
      </c>
      <c r="AR1578" s="10" t="b">
        <f>IF(AND(I1578="TP",S1578&lt;=300),VLOOKUP(AF1578,TPCalibEq300!$AZ$2:$BB$55,3,),IF(AND(I1578="TDP",S1578&lt;=300),VLOOKUP(AF1578,TPCalibEq300!$AZ$2:$BB$55,3,)))</f>
        <v>0</v>
      </c>
      <c r="AS1578" s="10" t="b">
        <f>IF(AND(I1578="TP",S1578&lt;=500),VLOOKUP(AF1578,TPCalibEq500!$AZ$2:$BB$56,3,),IF(AND(I1578="TDP",S1578&lt;=500),VLOOKUP(AF1578,TPCalibEq500!$AZ$2:$BB$56,3,)))</f>
        <v>0</v>
      </c>
      <c r="AT1578" s="10" t="b">
        <f>IF(AND(I1578="TN",S1578&lt;=2800),VLOOKUP(AF1578,TNCalibEq2500!$AZ$2:$BB$56,3,),IF(AND(I1578="TDN",S1578&lt;=2800),VLOOKUP(AF1578,TNCalibEq2500!$AZ$2:$BB$56,3,)))</f>
        <v>0</v>
      </c>
      <c r="AU1578" s="10" t="b">
        <f>IF(I1578="TP",VLOOKUP(AF1578,TPCalibEqFull!$AZ$2:$BB$56,3),IF(I1578="TDP",VLOOKUP(AF1578,TPCalibEqFull!$AZ$2:$BB$56,3),IF(I1578="TDN",VLOOKUP(AF1578,TNCalibEqFull!$AZ$1:$BB$56,3),IF(I1578="TN",VLOOKUP(AF1578,TNCalibEqFull!$AZ$1:$BB$56,3),FALSE))))</f>
        <v>0</v>
      </c>
      <c r="AV1578" s="10" t="str">
        <f t="shared" si="178"/>
        <v>0123 08:00:00-EFK-0-C-1-SW-UKN</v>
      </c>
    </row>
    <row r="1579" spans="1:48" s="10" customFormat="1" x14ac:dyDescent="0.55000000000000004">
      <c r="A1579" s="32">
        <v>44949</v>
      </c>
      <c r="B1579" s="33">
        <v>0.32083333333333336</v>
      </c>
      <c r="C1579" s="10" t="s">
        <v>333</v>
      </c>
      <c r="D1579" s="10">
        <v>0</v>
      </c>
      <c r="E1579" s="10" t="s">
        <v>190</v>
      </c>
      <c r="F1579" s="10">
        <v>1</v>
      </c>
      <c r="G1579" s="10" t="s">
        <v>231</v>
      </c>
      <c r="H1579" s="10" t="s">
        <v>322</v>
      </c>
      <c r="I1579" s="10" t="s">
        <v>256</v>
      </c>
      <c r="J1579" s="10">
        <v>2</v>
      </c>
      <c r="K1579" s="12">
        <v>44958</v>
      </c>
      <c r="L1579" s="33">
        <v>0.505</v>
      </c>
      <c r="M1579" s="10">
        <v>1</v>
      </c>
      <c r="N1579" s="10" t="s">
        <v>169</v>
      </c>
      <c r="O1579" s="10">
        <v>7.28</v>
      </c>
      <c r="P1579" s="10">
        <v>0.34899999999999998</v>
      </c>
      <c r="Q1579" s="10">
        <v>917</v>
      </c>
      <c r="R1579" s="10" t="s">
        <v>77</v>
      </c>
      <c r="S1579" s="34">
        <f t="shared" si="175"/>
        <v>917</v>
      </c>
      <c r="T1579" s="10" t="s">
        <v>1114</v>
      </c>
      <c r="U1579" s="34" t="str">
        <f t="shared" si="176"/>
        <v/>
      </c>
      <c r="V1579" s="31" t="str">
        <f>IF(H1579="CHK",VLOOKUP(I1579,QCCHK,3,),IF(H1579="GUP",VLOOKUP(E1579,QCGUP,2,),IF(AND(H1579="ATP",OR(I1579="TN",I1579="TDN",I1579="TNO2-3",I1579="NO2-3")),VLOOKUP(E1579,QCREC_N,2,),IF(AND(H1579="NIC",OR(I1579="TN",I1579="TDN",I1579="TNO2-3",I1579="NO2-3")),VLOOKUP(E1579,QCNIC_N,2,),IF(AND(H1579="UREA",OR(I1579="TN",I1579="TDN",I1579="TNO2-3",I1579="NO2-3")),VLOOKUP(E1579,QCUREA_N,2,),IF(H1579="PER",VLOOKUP(I1579,QCPER,MATCH(E1579,QCACTUAL!$J$25:$AA$25,0),),IF(H1579="SPK",VLOOKUP(I1579,QCSPK,3,),IF(AND(H1579="ATP",OR(I1579="TP",I1579="TDP")),VLOOKUP(E1579,QCATP_P,2,),""))))))))</f>
        <v/>
      </c>
      <c r="W1579" s="31" t="str">
        <f t="shared" si="177"/>
        <v>TRUE</v>
      </c>
      <c r="X1579" s="31" t="str">
        <f t="shared" si="174"/>
        <v/>
      </c>
      <c r="Y1579" s="10" t="s">
        <v>1096</v>
      </c>
      <c r="Z1579" s="10" t="s">
        <v>910</v>
      </c>
      <c r="AL1579" s="10" t="str">
        <f t="shared" si="179"/>
        <v>FALSE</v>
      </c>
      <c r="AM1579" s="10" t="str">
        <f t="shared" si="179"/>
        <v>FALSE</v>
      </c>
      <c r="AN1579" s="10" t="str">
        <f t="shared" si="179"/>
        <v>FALSE</v>
      </c>
      <c r="AO1579" s="10" t="str">
        <f t="shared" si="180"/>
        <v>FALSE</v>
      </c>
      <c r="AP1579" s="10" t="str">
        <f t="shared" si="180"/>
        <v>FALSE</v>
      </c>
      <c r="AQ1579" s="10" t="b">
        <f>IF(AND(I1579="TP",S1579&lt;=150),VLOOKUP(AF1579,TPCalibEq150!$AZ$2:$BB$55,3,),IF(AND(I1579="TDP",S1579&lt;=150),VLOOKUP(AF1579,TPCalibEq150!$AZ$2:$BB$55,3,)))</f>
        <v>0</v>
      </c>
      <c r="AR1579" s="10" t="b">
        <f>IF(AND(I1579="TP",S1579&lt;=300),VLOOKUP(AF1579,TPCalibEq300!$AZ$2:$BB$55,3,),IF(AND(I1579="TDP",S1579&lt;=300),VLOOKUP(AF1579,TPCalibEq300!$AZ$2:$BB$55,3,)))</f>
        <v>0</v>
      </c>
      <c r="AS1579" s="10" t="b">
        <f>IF(AND(I1579="TP",S1579&lt;=500),VLOOKUP(AF1579,TPCalibEq500!$AZ$2:$BB$56,3,),IF(AND(I1579="TDP",S1579&lt;=500),VLOOKUP(AF1579,TPCalibEq500!$AZ$2:$BB$56,3,)))</f>
        <v>0</v>
      </c>
      <c r="AT1579" s="10" t="b">
        <f>IF(AND(I1579="TN",S1579&lt;=2800),VLOOKUP(AF1579,TNCalibEq2500!$AZ$2:$BB$56,3,),IF(AND(I1579="TDN",S1579&lt;=2800),VLOOKUP(AF1579,TNCalibEq2500!$AZ$2:$BB$56,3,)))</f>
        <v>0</v>
      </c>
      <c r="AU1579" s="10" t="b">
        <f>IF(I1579="TP",VLOOKUP(AF1579,TPCalibEqFull!$AZ$2:$BB$56,3),IF(I1579="TDP",VLOOKUP(AF1579,TPCalibEqFull!$AZ$2:$BB$56,3),IF(I1579="TDN",VLOOKUP(AF1579,TNCalibEqFull!$AZ$1:$BB$56,3),IF(I1579="TN",VLOOKUP(AF1579,TNCalibEqFull!$AZ$1:$BB$56,3),FALSE))))</f>
        <v>0</v>
      </c>
      <c r="AV1579" s="10" t="str">
        <f t="shared" si="178"/>
        <v>0123 07:42:00-HST-0-C-1-SW-UKN</v>
      </c>
    </row>
    <row r="1580" spans="1:48" s="10" customFormat="1" x14ac:dyDescent="0.55000000000000004">
      <c r="A1580" s="32">
        <v>44950</v>
      </c>
      <c r="B1580" s="33">
        <v>0.5708333333333333</v>
      </c>
      <c r="C1580" s="10" t="s">
        <v>279</v>
      </c>
      <c r="D1580" s="10">
        <v>0</v>
      </c>
      <c r="E1580" s="10" t="s">
        <v>190</v>
      </c>
      <c r="F1580" s="10">
        <v>1</v>
      </c>
      <c r="G1580" s="10" t="s">
        <v>231</v>
      </c>
      <c r="H1580" s="10" t="s">
        <v>322</v>
      </c>
      <c r="I1580" s="10" t="s">
        <v>256</v>
      </c>
      <c r="J1580" s="10">
        <v>3</v>
      </c>
      <c r="K1580" s="12">
        <v>44958</v>
      </c>
      <c r="L1580" s="33">
        <v>0.50583333333333336</v>
      </c>
      <c r="M1580" s="10">
        <v>1</v>
      </c>
      <c r="N1580" s="10" t="s">
        <v>169</v>
      </c>
      <c r="O1580" s="10">
        <v>5.67</v>
      </c>
      <c r="P1580" s="10">
        <v>0.27400000000000002</v>
      </c>
      <c r="Q1580" s="10">
        <v>715</v>
      </c>
      <c r="R1580" s="10" t="s">
        <v>77</v>
      </c>
      <c r="S1580" s="34">
        <f t="shared" si="175"/>
        <v>715</v>
      </c>
      <c r="T1580" s="10" t="s">
        <v>1114</v>
      </c>
      <c r="U1580" s="34" t="str">
        <f t="shared" si="176"/>
        <v/>
      </c>
      <c r="V1580" s="31" t="str">
        <f>IF(H1580="CHK",VLOOKUP(I1580,QCCHK,3,),IF(H1580="GUP",VLOOKUP(E1580,QCGUP,2,),IF(AND(H1580="ATP",OR(I1580="TN",I1580="TDN",I1580="TNO2-3",I1580="NO2-3")),VLOOKUP(E1580,QCREC_N,2,),IF(AND(H1580="NIC",OR(I1580="TN",I1580="TDN",I1580="TNO2-3",I1580="NO2-3")),VLOOKUP(E1580,QCNIC_N,2,),IF(AND(H1580="UREA",OR(I1580="TN",I1580="TDN",I1580="TNO2-3",I1580="NO2-3")),VLOOKUP(E1580,QCUREA_N,2,),IF(H1580="PER",VLOOKUP(I1580,QCPER,MATCH(E1580,QCACTUAL!$J$25:$AA$25,0),),IF(H1580="SPK",VLOOKUP(I1580,QCSPK,3,),IF(AND(H1580="ATP",OR(I1580="TP",I1580="TDP")),VLOOKUP(E1580,QCATP_P,2,),""))))))))</f>
        <v/>
      </c>
      <c r="W1580" s="31" t="str">
        <f t="shared" si="177"/>
        <v>TRUE</v>
      </c>
      <c r="X1580" s="31" t="str">
        <f t="shared" si="174"/>
        <v/>
      </c>
      <c r="Y1580" s="10" t="s">
        <v>1096</v>
      </c>
      <c r="Z1580" s="10" t="s">
        <v>910</v>
      </c>
      <c r="AL1580" s="10" t="str">
        <f t="shared" si="179"/>
        <v>FALSE</v>
      </c>
      <c r="AM1580" s="10" t="str">
        <f t="shared" si="179"/>
        <v>FALSE</v>
      </c>
      <c r="AN1580" s="10" t="str">
        <f t="shared" si="179"/>
        <v>FALSE</v>
      </c>
      <c r="AO1580" s="10" t="str">
        <f t="shared" si="180"/>
        <v>FALSE</v>
      </c>
      <c r="AP1580" s="10" t="str">
        <f t="shared" si="180"/>
        <v>FALSE</v>
      </c>
      <c r="AQ1580" s="10" t="b">
        <f>IF(AND(I1580="TP",S1580&lt;=150),VLOOKUP(AF1580,TPCalibEq150!$AZ$2:$BB$55,3,),IF(AND(I1580="TDP",S1580&lt;=150),VLOOKUP(AF1580,TPCalibEq150!$AZ$2:$BB$55,3,)))</f>
        <v>0</v>
      </c>
      <c r="AR1580" s="10" t="b">
        <f>IF(AND(I1580="TP",S1580&lt;=300),VLOOKUP(AF1580,TPCalibEq300!$AZ$2:$BB$55,3,),IF(AND(I1580="TDP",S1580&lt;=300),VLOOKUP(AF1580,TPCalibEq300!$AZ$2:$BB$55,3,)))</f>
        <v>0</v>
      </c>
      <c r="AS1580" s="10" t="b">
        <f>IF(AND(I1580="TP",S1580&lt;=500),VLOOKUP(AF1580,TPCalibEq500!$AZ$2:$BB$56,3,),IF(AND(I1580="TDP",S1580&lt;=500),VLOOKUP(AF1580,TPCalibEq500!$AZ$2:$BB$56,3,)))</f>
        <v>0</v>
      </c>
      <c r="AT1580" s="10" t="b">
        <f>IF(AND(I1580="TN",S1580&lt;=2800),VLOOKUP(AF1580,TNCalibEq2500!$AZ$2:$BB$56,3,),IF(AND(I1580="TDN",S1580&lt;=2800),VLOOKUP(AF1580,TNCalibEq2500!$AZ$2:$BB$56,3,)))</f>
        <v>0</v>
      </c>
      <c r="AU1580" s="10" t="b">
        <f>IF(I1580="TP",VLOOKUP(AF1580,TPCalibEqFull!$AZ$2:$BB$56,3),IF(I1580="TDP",VLOOKUP(AF1580,TPCalibEqFull!$AZ$2:$BB$56,3),IF(I1580="TDN",VLOOKUP(AF1580,TNCalibEqFull!$AZ$1:$BB$56,3),IF(I1580="TN",VLOOKUP(AF1580,TNCalibEqFull!$AZ$1:$BB$56,3),FALSE))))</f>
        <v>0</v>
      </c>
      <c r="AV1580" s="10" t="str">
        <f t="shared" si="178"/>
        <v>0124 13:42:00-EFK-0-C-1-SW-UKN</v>
      </c>
    </row>
    <row r="1581" spans="1:48" s="10" customFormat="1" x14ac:dyDescent="0.55000000000000004">
      <c r="A1581" s="32">
        <v>44950</v>
      </c>
      <c r="B1581" s="33">
        <v>0.60555555555555551</v>
      </c>
      <c r="C1581" s="10" t="s">
        <v>333</v>
      </c>
      <c r="D1581" s="10">
        <v>0</v>
      </c>
      <c r="E1581" s="10" t="s">
        <v>190</v>
      </c>
      <c r="F1581" s="10">
        <v>1</v>
      </c>
      <c r="G1581" s="10" t="s">
        <v>231</v>
      </c>
      <c r="H1581" s="10" t="s">
        <v>322</v>
      </c>
      <c r="I1581" s="10" t="s">
        <v>256</v>
      </c>
      <c r="J1581" s="10">
        <v>4</v>
      </c>
      <c r="K1581" s="12">
        <v>44958</v>
      </c>
      <c r="L1581" s="33">
        <v>0.50664351851851852</v>
      </c>
      <c r="M1581" s="10">
        <v>1</v>
      </c>
      <c r="N1581" s="10" t="s">
        <v>169</v>
      </c>
      <c r="O1581" s="10">
        <v>7.78</v>
      </c>
      <c r="P1581" s="10">
        <v>0.374</v>
      </c>
      <c r="Q1581" s="10">
        <v>980</v>
      </c>
      <c r="R1581" s="10" t="s">
        <v>77</v>
      </c>
      <c r="S1581" s="34">
        <f t="shared" si="175"/>
        <v>980</v>
      </c>
      <c r="T1581" s="10" t="s">
        <v>1114</v>
      </c>
      <c r="U1581" s="34" t="str">
        <f t="shared" si="176"/>
        <v/>
      </c>
      <c r="V1581" s="31" t="str">
        <f>IF(H1581="CHK",VLOOKUP(I1581,QCCHK,3,),IF(H1581="GUP",VLOOKUP(E1581,QCGUP,2,),IF(AND(H1581="ATP",OR(I1581="TN",I1581="TDN",I1581="TNO2-3",I1581="NO2-3")),VLOOKUP(E1581,QCREC_N,2,),IF(AND(H1581="NIC",OR(I1581="TN",I1581="TDN",I1581="TNO2-3",I1581="NO2-3")),VLOOKUP(E1581,QCNIC_N,2,),IF(AND(H1581="UREA",OR(I1581="TN",I1581="TDN",I1581="TNO2-3",I1581="NO2-3")),VLOOKUP(E1581,QCUREA_N,2,),IF(H1581="PER",VLOOKUP(I1581,QCPER,MATCH(E1581,QCACTUAL!$J$25:$AA$25,0),),IF(H1581="SPK",VLOOKUP(I1581,QCSPK,3,),IF(AND(H1581="ATP",OR(I1581="TP",I1581="TDP")),VLOOKUP(E1581,QCATP_P,2,),""))))))))</f>
        <v/>
      </c>
      <c r="W1581" s="31" t="str">
        <f t="shared" si="177"/>
        <v>TRUE</v>
      </c>
      <c r="X1581" s="31" t="str">
        <f t="shared" si="174"/>
        <v/>
      </c>
      <c r="Y1581" s="10" t="s">
        <v>1096</v>
      </c>
      <c r="Z1581" s="10" t="s">
        <v>910</v>
      </c>
      <c r="AL1581" s="10" t="str">
        <f t="shared" si="179"/>
        <v>FALSE</v>
      </c>
      <c r="AM1581" s="10" t="str">
        <f t="shared" si="179"/>
        <v>FALSE</v>
      </c>
      <c r="AN1581" s="10" t="str">
        <f t="shared" si="179"/>
        <v>FALSE</v>
      </c>
      <c r="AO1581" s="10" t="str">
        <f t="shared" si="180"/>
        <v>FALSE</v>
      </c>
      <c r="AP1581" s="10" t="str">
        <f t="shared" si="180"/>
        <v>FALSE</v>
      </c>
      <c r="AQ1581" s="10" t="b">
        <f>IF(AND(I1581="TP",S1581&lt;=150),VLOOKUP(AF1581,TPCalibEq150!$AZ$2:$BB$55,3,),IF(AND(I1581="TDP",S1581&lt;=150),VLOOKUP(AF1581,TPCalibEq150!$AZ$2:$BB$55,3,)))</f>
        <v>0</v>
      </c>
      <c r="AR1581" s="10" t="b">
        <f>IF(AND(I1581="TP",S1581&lt;=300),VLOOKUP(AF1581,TPCalibEq300!$AZ$2:$BB$55,3,),IF(AND(I1581="TDP",S1581&lt;=300),VLOOKUP(AF1581,TPCalibEq300!$AZ$2:$BB$55,3,)))</f>
        <v>0</v>
      </c>
      <c r="AS1581" s="10" t="b">
        <f>IF(AND(I1581="TP",S1581&lt;=500),VLOOKUP(AF1581,TPCalibEq500!$AZ$2:$BB$56,3,),IF(AND(I1581="TDP",S1581&lt;=500),VLOOKUP(AF1581,TPCalibEq500!$AZ$2:$BB$56,3,)))</f>
        <v>0</v>
      </c>
      <c r="AT1581" s="10" t="b">
        <f>IF(AND(I1581="TN",S1581&lt;=2800),VLOOKUP(AF1581,TNCalibEq2500!$AZ$2:$BB$56,3,),IF(AND(I1581="TDN",S1581&lt;=2800),VLOOKUP(AF1581,TNCalibEq2500!$AZ$2:$BB$56,3,)))</f>
        <v>0</v>
      </c>
      <c r="AU1581" s="10" t="b">
        <f>IF(I1581="TP",VLOOKUP(AF1581,TPCalibEqFull!$AZ$2:$BB$56,3),IF(I1581="TDP",VLOOKUP(AF1581,TPCalibEqFull!$AZ$2:$BB$56,3),IF(I1581="TDN",VLOOKUP(AF1581,TNCalibEqFull!$AZ$1:$BB$56,3),IF(I1581="TN",VLOOKUP(AF1581,TNCalibEqFull!$AZ$1:$BB$56,3),FALSE))))</f>
        <v>0</v>
      </c>
      <c r="AV1581" s="10" t="str">
        <f t="shared" si="178"/>
        <v>0124 14:32:00-HST-0-C-1-SW-UKN</v>
      </c>
    </row>
    <row r="1582" spans="1:48" s="10" customFormat="1" x14ac:dyDescent="0.55000000000000004">
      <c r="A1582" s="32">
        <v>44951</v>
      </c>
      <c r="B1582" s="33">
        <v>0.23541666666666669</v>
      </c>
      <c r="C1582" s="10" t="s">
        <v>279</v>
      </c>
      <c r="D1582" s="10">
        <v>0</v>
      </c>
      <c r="E1582" s="10" t="s">
        <v>190</v>
      </c>
      <c r="F1582" s="10">
        <v>1</v>
      </c>
      <c r="G1582" s="10" t="s">
        <v>231</v>
      </c>
      <c r="H1582" s="10" t="s">
        <v>322</v>
      </c>
      <c r="I1582" s="10" t="s">
        <v>256</v>
      </c>
      <c r="J1582" s="10">
        <v>5</v>
      </c>
      <c r="K1582" s="12">
        <v>44958</v>
      </c>
      <c r="L1582" s="33">
        <v>0.50746527777777783</v>
      </c>
      <c r="M1582" s="10">
        <v>1</v>
      </c>
      <c r="N1582" s="10" t="s">
        <v>169</v>
      </c>
      <c r="O1582" s="10">
        <v>5.64</v>
      </c>
      <c r="P1582" s="10">
        <v>0.27400000000000002</v>
      </c>
      <c r="Q1582" s="10">
        <v>710</v>
      </c>
      <c r="R1582" s="10" t="s">
        <v>77</v>
      </c>
      <c r="S1582" s="34">
        <f t="shared" si="175"/>
        <v>710</v>
      </c>
      <c r="T1582" s="10" t="s">
        <v>1114</v>
      </c>
      <c r="U1582" s="34" t="str">
        <f t="shared" si="176"/>
        <v/>
      </c>
      <c r="V1582" s="31" t="str">
        <f>IF(H1582="CHK",VLOOKUP(I1582,QCCHK,3,),IF(H1582="GUP",VLOOKUP(E1582,QCGUP,2,),IF(AND(H1582="ATP",OR(I1582="TN",I1582="TDN",I1582="TNO2-3",I1582="NO2-3")),VLOOKUP(E1582,QCREC_N,2,),IF(AND(H1582="NIC",OR(I1582="TN",I1582="TDN",I1582="TNO2-3",I1582="NO2-3")),VLOOKUP(E1582,QCNIC_N,2,),IF(AND(H1582="UREA",OR(I1582="TN",I1582="TDN",I1582="TNO2-3",I1582="NO2-3")),VLOOKUP(E1582,QCUREA_N,2,),IF(H1582="PER",VLOOKUP(I1582,QCPER,MATCH(E1582,QCACTUAL!$J$25:$AA$25,0),),IF(H1582="SPK",VLOOKUP(I1582,QCSPK,3,),IF(AND(H1582="ATP",OR(I1582="TP",I1582="TDP")),VLOOKUP(E1582,QCATP_P,2,),""))))))))</f>
        <v/>
      </c>
      <c r="W1582" s="31" t="str">
        <f t="shared" si="177"/>
        <v>TRUE</v>
      </c>
      <c r="X1582" s="31" t="str">
        <f t="shared" si="174"/>
        <v/>
      </c>
      <c r="Y1582" s="10" t="s">
        <v>1096</v>
      </c>
      <c r="Z1582" s="10" t="s">
        <v>910</v>
      </c>
      <c r="AL1582" s="10" t="str">
        <f t="shared" si="179"/>
        <v>FALSE</v>
      </c>
      <c r="AM1582" s="10" t="str">
        <f t="shared" si="179"/>
        <v>FALSE</v>
      </c>
      <c r="AN1582" s="10" t="str">
        <f t="shared" si="179"/>
        <v>FALSE</v>
      </c>
      <c r="AO1582" s="10" t="str">
        <f t="shared" si="180"/>
        <v>FALSE</v>
      </c>
      <c r="AP1582" s="10" t="str">
        <f t="shared" si="180"/>
        <v>FALSE</v>
      </c>
      <c r="AQ1582" s="10" t="b">
        <f>IF(AND(I1582="TP",S1582&lt;=150),VLOOKUP(AF1582,TPCalibEq150!$AZ$2:$BB$55,3,),IF(AND(I1582="TDP",S1582&lt;=150),VLOOKUP(AF1582,TPCalibEq150!$AZ$2:$BB$55,3,)))</f>
        <v>0</v>
      </c>
      <c r="AR1582" s="10" t="b">
        <f>IF(AND(I1582="TP",S1582&lt;=300),VLOOKUP(AF1582,TPCalibEq300!$AZ$2:$BB$55,3,),IF(AND(I1582="TDP",S1582&lt;=300),VLOOKUP(AF1582,TPCalibEq300!$AZ$2:$BB$55,3,)))</f>
        <v>0</v>
      </c>
      <c r="AS1582" s="10" t="b">
        <f>IF(AND(I1582="TP",S1582&lt;=500),VLOOKUP(AF1582,TPCalibEq500!$AZ$2:$BB$56,3,),IF(AND(I1582="TDP",S1582&lt;=500),VLOOKUP(AF1582,TPCalibEq500!$AZ$2:$BB$56,3,)))</f>
        <v>0</v>
      </c>
      <c r="AT1582" s="10" t="b">
        <f>IF(AND(I1582="TN",S1582&lt;=2800),VLOOKUP(AF1582,TNCalibEq2500!$AZ$2:$BB$56,3,),IF(AND(I1582="TDN",S1582&lt;=2800),VLOOKUP(AF1582,TNCalibEq2500!$AZ$2:$BB$56,3,)))</f>
        <v>0</v>
      </c>
      <c r="AU1582" s="10" t="b">
        <f>IF(I1582="TP",VLOOKUP(AF1582,TPCalibEqFull!$AZ$2:$BB$56,3),IF(I1582="TDP",VLOOKUP(AF1582,TPCalibEqFull!$AZ$2:$BB$56,3),IF(I1582="TDN",VLOOKUP(AF1582,TNCalibEqFull!$AZ$1:$BB$56,3),IF(I1582="TN",VLOOKUP(AF1582,TNCalibEqFull!$AZ$1:$BB$56,3),FALSE))))</f>
        <v>0</v>
      </c>
      <c r="AV1582" s="10" t="str">
        <f t="shared" si="178"/>
        <v>0125 05:39:00-EFK-0-C-1-SW-UKN</v>
      </c>
    </row>
    <row r="1583" spans="1:48" s="10" customFormat="1" x14ac:dyDescent="0.55000000000000004">
      <c r="A1583" s="32">
        <v>44951</v>
      </c>
      <c r="B1583" s="33">
        <v>0.23750000000000002</v>
      </c>
      <c r="C1583" s="10" t="s">
        <v>333</v>
      </c>
      <c r="D1583" s="10">
        <v>0</v>
      </c>
      <c r="E1583" s="10" t="s">
        <v>190</v>
      </c>
      <c r="F1583" s="10">
        <v>1</v>
      </c>
      <c r="G1583" s="10" t="s">
        <v>231</v>
      </c>
      <c r="H1583" s="10" t="s">
        <v>322</v>
      </c>
      <c r="I1583" s="10" t="s">
        <v>256</v>
      </c>
      <c r="J1583" s="10">
        <v>6</v>
      </c>
      <c r="K1583" s="12">
        <v>44958</v>
      </c>
      <c r="L1583" s="33">
        <v>0.50828703703703704</v>
      </c>
      <c r="M1583" s="10">
        <v>1</v>
      </c>
      <c r="N1583" s="10" t="s">
        <v>169</v>
      </c>
      <c r="O1583" s="10">
        <v>6.52</v>
      </c>
      <c r="P1583" s="10">
        <v>0.313</v>
      </c>
      <c r="Q1583" s="10">
        <v>821</v>
      </c>
      <c r="R1583" s="10" t="s">
        <v>77</v>
      </c>
      <c r="S1583" s="34">
        <f t="shared" si="175"/>
        <v>821</v>
      </c>
      <c r="T1583" s="10" t="s">
        <v>1114</v>
      </c>
      <c r="U1583" s="34" t="str">
        <f t="shared" si="176"/>
        <v/>
      </c>
      <c r="V1583" s="31" t="str">
        <f>IF(H1583="CHK",VLOOKUP(I1583,QCCHK,3,),IF(H1583="GUP",VLOOKUP(E1583,QCGUP,2,),IF(AND(H1583="ATP",OR(I1583="TN",I1583="TDN",I1583="TNO2-3",I1583="NO2-3")),VLOOKUP(E1583,QCREC_N,2,),IF(AND(H1583="NIC",OR(I1583="TN",I1583="TDN",I1583="TNO2-3",I1583="NO2-3")),VLOOKUP(E1583,QCNIC_N,2,),IF(AND(H1583="UREA",OR(I1583="TN",I1583="TDN",I1583="TNO2-3",I1583="NO2-3")),VLOOKUP(E1583,QCUREA_N,2,),IF(H1583="PER",VLOOKUP(I1583,QCPER,MATCH(E1583,QCACTUAL!$J$25:$AA$25,0),),IF(H1583="SPK",VLOOKUP(I1583,QCSPK,3,),IF(AND(H1583="ATP",OR(I1583="TP",I1583="TDP")),VLOOKUP(E1583,QCATP_P,2,),""))))))))</f>
        <v/>
      </c>
      <c r="W1583" s="31" t="str">
        <f t="shared" si="177"/>
        <v>TRUE</v>
      </c>
      <c r="X1583" s="31" t="str">
        <f t="shared" si="174"/>
        <v/>
      </c>
      <c r="Y1583" s="10" t="s">
        <v>1096</v>
      </c>
      <c r="Z1583" s="10" t="s">
        <v>910</v>
      </c>
      <c r="AL1583" s="10" t="str">
        <f t="shared" si="179"/>
        <v>FALSE</v>
      </c>
      <c r="AM1583" s="10" t="str">
        <f t="shared" si="179"/>
        <v>FALSE</v>
      </c>
      <c r="AN1583" s="10" t="str">
        <f t="shared" si="179"/>
        <v>FALSE</v>
      </c>
      <c r="AO1583" s="10" t="str">
        <f t="shared" si="180"/>
        <v>FALSE</v>
      </c>
      <c r="AP1583" s="10" t="str">
        <f t="shared" si="180"/>
        <v>FALSE</v>
      </c>
      <c r="AQ1583" s="10" t="b">
        <f>IF(AND(I1583="TP",S1583&lt;=150),VLOOKUP(AF1583,TPCalibEq150!$AZ$2:$BB$55,3,),IF(AND(I1583="TDP",S1583&lt;=150),VLOOKUP(AF1583,TPCalibEq150!$AZ$2:$BB$55,3,)))</f>
        <v>0</v>
      </c>
      <c r="AR1583" s="10" t="b">
        <f>IF(AND(I1583="TP",S1583&lt;=300),VLOOKUP(AF1583,TPCalibEq300!$AZ$2:$BB$55,3,),IF(AND(I1583="TDP",S1583&lt;=300),VLOOKUP(AF1583,TPCalibEq300!$AZ$2:$BB$55,3,)))</f>
        <v>0</v>
      </c>
      <c r="AS1583" s="10" t="b">
        <f>IF(AND(I1583="TP",S1583&lt;=500),VLOOKUP(AF1583,TPCalibEq500!$AZ$2:$BB$56,3,),IF(AND(I1583="TDP",S1583&lt;=500),VLOOKUP(AF1583,TPCalibEq500!$AZ$2:$BB$56,3,)))</f>
        <v>0</v>
      </c>
      <c r="AT1583" s="10" t="b">
        <f>IF(AND(I1583="TN",S1583&lt;=2800),VLOOKUP(AF1583,TNCalibEq2500!$AZ$2:$BB$56,3,),IF(AND(I1583="TDN",S1583&lt;=2800),VLOOKUP(AF1583,TNCalibEq2500!$AZ$2:$BB$56,3,)))</f>
        <v>0</v>
      </c>
      <c r="AU1583" s="10" t="b">
        <f>IF(I1583="TP",VLOOKUP(AF1583,TPCalibEqFull!$AZ$2:$BB$56,3),IF(I1583="TDP",VLOOKUP(AF1583,TPCalibEqFull!$AZ$2:$BB$56,3),IF(I1583="TDN",VLOOKUP(AF1583,TNCalibEqFull!$AZ$1:$BB$56,3),IF(I1583="TN",VLOOKUP(AF1583,TNCalibEqFull!$AZ$1:$BB$56,3),FALSE))))</f>
        <v>0</v>
      </c>
      <c r="AV1583" s="10" t="str">
        <f t="shared" si="178"/>
        <v>0125 05:42:00-HST-0-C-1-SW-UKN</v>
      </c>
    </row>
    <row r="1584" spans="1:48" s="10" customFormat="1" x14ac:dyDescent="0.55000000000000004">
      <c r="A1584" s="32">
        <v>44952</v>
      </c>
      <c r="B1584" s="33">
        <v>0.39930555555555558</v>
      </c>
      <c r="C1584" s="10" t="s">
        <v>279</v>
      </c>
      <c r="D1584" s="10">
        <v>0</v>
      </c>
      <c r="E1584" s="10" t="s">
        <v>190</v>
      </c>
      <c r="F1584" s="10">
        <v>1</v>
      </c>
      <c r="G1584" s="10" t="s">
        <v>231</v>
      </c>
      <c r="H1584" s="10" t="s">
        <v>322</v>
      </c>
      <c r="I1584" s="10" t="s">
        <v>256</v>
      </c>
      <c r="J1584" s="10">
        <v>7</v>
      </c>
      <c r="K1584" s="12">
        <v>44958</v>
      </c>
      <c r="L1584" s="33">
        <v>0.5090972222222222</v>
      </c>
      <c r="M1584" s="10">
        <v>1</v>
      </c>
      <c r="N1584" s="10" t="s">
        <v>169</v>
      </c>
      <c r="O1584" s="10">
        <v>4.4000000000000004</v>
      </c>
      <c r="P1584" s="10">
        <v>0.21299999999999999</v>
      </c>
      <c r="Q1584" s="10">
        <v>554</v>
      </c>
      <c r="R1584" s="10" t="s">
        <v>77</v>
      </c>
      <c r="S1584" s="34">
        <f t="shared" si="175"/>
        <v>554</v>
      </c>
      <c r="T1584" s="10" t="s">
        <v>1114</v>
      </c>
      <c r="U1584" s="34" t="str">
        <f t="shared" si="176"/>
        <v/>
      </c>
      <c r="V1584" s="31" t="str">
        <f>IF(H1584="CHK",VLOOKUP(I1584,QCCHK,3,),IF(H1584="GUP",VLOOKUP(E1584,QCGUP,2,),IF(AND(H1584="ATP",OR(I1584="TN",I1584="TDN",I1584="TNO2-3",I1584="NO2-3")),VLOOKUP(E1584,QCREC_N,2,),IF(AND(H1584="NIC",OR(I1584="TN",I1584="TDN",I1584="TNO2-3",I1584="NO2-3")),VLOOKUP(E1584,QCNIC_N,2,),IF(AND(H1584="UREA",OR(I1584="TN",I1584="TDN",I1584="TNO2-3",I1584="NO2-3")),VLOOKUP(E1584,QCUREA_N,2,),IF(H1584="PER",VLOOKUP(I1584,QCPER,MATCH(E1584,QCACTUAL!$J$25:$AA$25,0),),IF(H1584="SPK",VLOOKUP(I1584,QCSPK,3,),IF(AND(H1584="ATP",OR(I1584="TP",I1584="TDP")),VLOOKUP(E1584,QCATP_P,2,),""))))))))</f>
        <v/>
      </c>
      <c r="W1584" s="31" t="str">
        <f t="shared" si="177"/>
        <v>TRUE</v>
      </c>
      <c r="X1584" s="31" t="str">
        <f t="shared" si="174"/>
        <v/>
      </c>
      <c r="Y1584" s="10" t="s">
        <v>1096</v>
      </c>
      <c r="Z1584" s="10" t="s">
        <v>910</v>
      </c>
      <c r="AL1584" s="10" t="str">
        <f t="shared" si="179"/>
        <v>FALSE</v>
      </c>
      <c r="AM1584" s="10" t="str">
        <f t="shared" si="179"/>
        <v>FALSE</v>
      </c>
      <c r="AN1584" s="10" t="str">
        <f t="shared" si="179"/>
        <v>FALSE</v>
      </c>
      <c r="AO1584" s="10" t="str">
        <f t="shared" si="180"/>
        <v>FALSE</v>
      </c>
      <c r="AP1584" s="10" t="str">
        <f t="shared" si="180"/>
        <v>FALSE</v>
      </c>
      <c r="AQ1584" s="10" t="b">
        <f>IF(AND(I1584="TP",S1584&lt;=150),VLOOKUP(AF1584,TPCalibEq150!$AZ$2:$BB$55,3,),IF(AND(I1584="TDP",S1584&lt;=150),VLOOKUP(AF1584,TPCalibEq150!$AZ$2:$BB$55,3,)))</f>
        <v>0</v>
      </c>
      <c r="AR1584" s="10" t="b">
        <f>IF(AND(I1584="TP",S1584&lt;=300),VLOOKUP(AF1584,TPCalibEq300!$AZ$2:$BB$55,3,),IF(AND(I1584="TDP",S1584&lt;=300),VLOOKUP(AF1584,TPCalibEq300!$AZ$2:$BB$55,3,)))</f>
        <v>0</v>
      </c>
      <c r="AS1584" s="10" t="b">
        <f>IF(AND(I1584="TP",S1584&lt;=500),VLOOKUP(AF1584,TPCalibEq500!$AZ$2:$BB$56,3,),IF(AND(I1584="TDP",S1584&lt;=500),VLOOKUP(AF1584,TPCalibEq500!$AZ$2:$BB$56,3,)))</f>
        <v>0</v>
      </c>
      <c r="AT1584" s="10" t="b">
        <f>IF(AND(I1584="TN",S1584&lt;=2800),VLOOKUP(AF1584,TNCalibEq2500!$AZ$2:$BB$56,3,),IF(AND(I1584="TDN",S1584&lt;=2800),VLOOKUP(AF1584,TNCalibEq2500!$AZ$2:$BB$56,3,)))</f>
        <v>0</v>
      </c>
      <c r="AU1584" s="10" t="b">
        <f>IF(I1584="TP",VLOOKUP(AF1584,TPCalibEqFull!$AZ$2:$BB$56,3),IF(I1584="TDP",VLOOKUP(AF1584,TPCalibEqFull!$AZ$2:$BB$56,3),IF(I1584="TDN",VLOOKUP(AF1584,TNCalibEqFull!$AZ$1:$BB$56,3),IF(I1584="TN",VLOOKUP(AF1584,TNCalibEqFull!$AZ$1:$BB$56,3),FALSE))))</f>
        <v>0</v>
      </c>
      <c r="AV1584" s="10" t="str">
        <f t="shared" si="178"/>
        <v>0126 09:35:00-EFK-0-C-1-SW-UKN</v>
      </c>
    </row>
    <row r="1585" spans="1:48" s="10" customFormat="1" x14ac:dyDescent="0.55000000000000004">
      <c r="A1585" s="32">
        <v>44952</v>
      </c>
      <c r="B1585" s="33">
        <v>0.40416666666666662</v>
      </c>
      <c r="C1585" s="10" t="s">
        <v>333</v>
      </c>
      <c r="D1585" s="10">
        <v>0</v>
      </c>
      <c r="E1585" s="10" t="s">
        <v>190</v>
      </c>
      <c r="F1585" s="10">
        <v>1</v>
      </c>
      <c r="G1585" s="10" t="s">
        <v>231</v>
      </c>
      <c r="H1585" s="10" t="s">
        <v>322</v>
      </c>
      <c r="I1585" s="10" t="s">
        <v>256</v>
      </c>
      <c r="J1585" s="10">
        <v>8</v>
      </c>
      <c r="K1585" s="12">
        <v>44958</v>
      </c>
      <c r="L1585" s="33">
        <v>0.50991898148148151</v>
      </c>
      <c r="M1585" s="10">
        <v>1</v>
      </c>
      <c r="N1585" s="10" t="s">
        <v>169</v>
      </c>
      <c r="O1585" s="10">
        <v>6.89</v>
      </c>
      <c r="P1585" s="10">
        <v>0.33200000000000002</v>
      </c>
      <c r="Q1585" s="10">
        <v>868</v>
      </c>
      <c r="R1585" s="10" t="s">
        <v>77</v>
      </c>
      <c r="S1585" s="34">
        <f t="shared" si="175"/>
        <v>868</v>
      </c>
      <c r="T1585" s="10" t="s">
        <v>1114</v>
      </c>
      <c r="U1585" s="34" t="str">
        <f t="shared" si="176"/>
        <v/>
      </c>
      <c r="V1585" s="31" t="str">
        <f>IF(H1585="CHK",VLOOKUP(I1585,QCCHK,3,),IF(H1585="GUP",VLOOKUP(E1585,QCGUP,2,),IF(AND(H1585="ATP",OR(I1585="TN",I1585="TDN",I1585="TNO2-3",I1585="NO2-3")),VLOOKUP(E1585,QCREC_N,2,),IF(AND(H1585="NIC",OR(I1585="TN",I1585="TDN",I1585="TNO2-3",I1585="NO2-3")),VLOOKUP(E1585,QCNIC_N,2,),IF(AND(H1585="UREA",OR(I1585="TN",I1585="TDN",I1585="TNO2-3",I1585="NO2-3")),VLOOKUP(E1585,QCUREA_N,2,),IF(H1585="PER",VLOOKUP(I1585,QCPER,MATCH(E1585,QCACTUAL!$J$25:$AA$25,0),),IF(H1585="SPK",VLOOKUP(I1585,QCSPK,3,),IF(AND(H1585="ATP",OR(I1585="TP",I1585="TDP")),VLOOKUP(E1585,QCATP_P,2,),""))))))))</f>
        <v/>
      </c>
      <c r="W1585" s="31" t="str">
        <f t="shared" si="177"/>
        <v>TRUE</v>
      </c>
      <c r="X1585" s="31" t="str">
        <f t="shared" si="174"/>
        <v/>
      </c>
      <c r="Y1585" s="10" t="s">
        <v>1096</v>
      </c>
      <c r="Z1585" s="10" t="s">
        <v>910</v>
      </c>
      <c r="AL1585" s="10" t="str">
        <f t="shared" si="179"/>
        <v>FALSE</v>
      </c>
      <c r="AM1585" s="10" t="str">
        <f t="shared" si="179"/>
        <v>FALSE</v>
      </c>
      <c r="AN1585" s="10" t="str">
        <f t="shared" si="179"/>
        <v>FALSE</v>
      </c>
      <c r="AO1585" s="10" t="str">
        <f t="shared" si="180"/>
        <v>FALSE</v>
      </c>
      <c r="AP1585" s="10" t="str">
        <f t="shared" si="180"/>
        <v>FALSE</v>
      </c>
      <c r="AQ1585" s="10" t="b">
        <f>IF(AND(I1585="TP",S1585&lt;=150),VLOOKUP(AF1585,TPCalibEq150!$AZ$2:$BB$55,3,),IF(AND(I1585="TDP",S1585&lt;=150),VLOOKUP(AF1585,TPCalibEq150!$AZ$2:$BB$55,3,)))</f>
        <v>0</v>
      </c>
      <c r="AR1585" s="10" t="b">
        <f>IF(AND(I1585="TP",S1585&lt;=300),VLOOKUP(AF1585,TPCalibEq300!$AZ$2:$BB$55,3,),IF(AND(I1585="TDP",S1585&lt;=300),VLOOKUP(AF1585,TPCalibEq300!$AZ$2:$BB$55,3,)))</f>
        <v>0</v>
      </c>
      <c r="AS1585" s="10" t="b">
        <f>IF(AND(I1585="TP",S1585&lt;=500),VLOOKUP(AF1585,TPCalibEq500!$AZ$2:$BB$56,3,),IF(AND(I1585="TDP",S1585&lt;=500),VLOOKUP(AF1585,TPCalibEq500!$AZ$2:$BB$56,3,)))</f>
        <v>0</v>
      </c>
      <c r="AT1585" s="10" t="b">
        <f>IF(AND(I1585="TN",S1585&lt;=2800),VLOOKUP(AF1585,TNCalibEq2500!$AZ$2:$BB$56,3,),IF(AND(I1585="TDN",S1585&lt;=2800),VLOOKUP(AF1585,TNCalibEq2500!$AZ$2:$BB$56,3,)))</f>
        <v>0</v>
      </c>
      <c r="AU1585" s="10" t="b">
        <f>IF(I1585="TP",VLOOKUP(AF1585,TPCalibEqFull!$AZ$2:$BB$56,3),IF(I1585="TDP",VLOOKUP(AF1585,TPCalibEqFull!$AZ$2:$BB$56,3),IF(I1585="TDN",VLOOKUP(AF1585,TNCalibEqFull!$AZ$1:$BB$56,3),IF(I1585="TN",VLOOKUP(AF1585,TNCalibEqFull!$AZ$1:$BB$56,3),FALSE))))</f>
        <v>0</v>
      </c>
      <c r="AV1585" s="10" t="str">
        <f t="shared" si="178"/>
        <v>0126 09:42:00-HST-0-C-1-SW-UKN</v>
      </c>
    </row>
    <row r="1586" spans="1:48" s="10" customFormat="1" x14ac:dyDescent="0.55000000000000004">
      <c r="A1586" s="32">
        <v>44953</v>
      </c>
      <c r="B1586" s="33">
        <v>0.53333333333333333</v>
      </c>
      <c r="C1586" s="10" t="s">
        <v>279</v>
      </c>
      <c r="D1586" s="10">
        <v>0</v>
      </c>
      <c r="E1586" s="10" t="s">
        <v>190</v>
      </c>
      <c r="F1586" s="10">
        <v>1</v>
      </c>
      <c r="G1586" s="10" t="s">
        <v>231</v>
      </c>
      <c r="H1586" s="10" t="s">
        <v>322</v>
      </c>
      <c r="I1586" s="10" t="s">
        <v>256</v>
      </c>
      <c r="J1586" s="10">
        <v>9</v>
      </c>
      <c r="K1586" s="12">
        <v>44958</v>
      </c>
      <c r="L1586" s="33">
        <v>0.51072916666666668</v>
      </c>
      <c r="M1586" s="10">
        <v>1</v>
      </c>
      <c r="N1586" s="10" t="s">
        <v>169</v>
      </c>
      <c r="O1586" s="10">
        <v>3.74</v>
      </c>
      <c r="P1586" s="10">
        <v>0.18099999999999999</v>
      </c>
      <c r="Q1586" s="10">
        <v>471</v>
      </c>
      <c r="R1586" s="10" t="s">
        <v>77</v>
      </c>
      <c r="S1586" s="34">
        <f t="shared" si="175"/>
        <v>471</v>
      </c>
      <c r="T1586" s="10" t="s">
        <v>1114</v>
      </c>
      <c r="U1586" s="34" t="str">
        <f t="shared" si="176"/>
        <v/>
      </c>
      <c r="V1586" s="31" t="str">
        <f>IF(H1586="CHK",VLOOKUP(I1586,QCCHK,3,),IF(H1586="GUP",VLOOKUP(E1586,QCGUP,2,),IF(AND(H1586="ATP",OR(I1586="TN",I1586="TDN",I1586="TNO2-3",I1586="NO2-3")),VLOOKUP(E1586,QCREC_N,2,),IF(AND(H1586="NIC",OR(I1586="TN",I1586="TDN",I1586="TNO2-3",I1586="NO2-3")),VLOOKUP(E1586,QCNIC_N,2,),IF(AND(H1586="UREA",OR(I1586="TN",I1586="TDN",I1586="TNO2-3",I1586="NO2-3")),VLOOKUP(E1586,QCUREA_N,2,),IF(H1586="PER",VLOOKUP(I1586,QCPER,MATCH(E1586,QCACTUAL!$J$25:$AA$25,0),),IF(H1586="SPK",VLOOKUP(I1586,QCSPK,3,),IF(AND(H1586="ATP",OR(I1586="TP",I1586="TDP")),VLOOKUP(E1586,QCATP_P,2,),""))))))))</f>
        <v/>
      </c>
      <c r="W1586" s="31" t="str">
        <f t="shared" si="177"/>
        <v>TRUE</v>
      </c>
      <c r="X1586" s="31" t="str">
        <f t="shared" si="174"/>
        <v/>
      </c>
      <c r="Y1586" s="10" t="s">
        <v>1096</v>
      </c>
      <c r="Z1586" s="10" t="s">
        <v>910</v>
      </c>
      <c r="AL1586" s="10" t="str">
        <f t="shared" si="179"/>
        <v>FALSE</v>
      </c>
      <c r="AM1586" s="10" t="str">
        <f t="shared" si="179"/>
        <v>FALSE</v>
      </c>
      <c r="AN1586" s="10" t="str">
        <f t="shared" si="179"/>
        <v>FALSE</v>
      </c>
      <c r="AO1586" s="10" t="str">
        <f t="shared" si="180"/>
        <v>FALSE</v>
      </c>
      <c r="AP1586" s="10" t="str">
        <f t="shared" si="180"/>
        <v>FALSE</v>
      </c>
      <c r="AQ1586" s="10" t="b">
        <f>IF(AND(I1586="TP",S1586&lt;=150),VLOOKUP(AF1586,TPCalibEq150!$AZ$2:$BB$55,3,),IF(AND(I1586="TDP",S1586&lt;=150),VLOOKUP(AF1586,TPCalibEq150!$AZ$2:$BB$55,3,)))</f>
        <v>0</v>
      </c>
      <c r="AR1586" s="10" t="b">
        <f>IF(AND(I1586="TP",S1586&lt;=300),VLOOKUP(AF1586,TPCalibEq300!$AZ$2:$BB$55,3,),IF(AND(I1586="TDP",S1586&lt;=300),VLOOKUP(AF1586,TPCalibEq300!$AZ$2:$BB$55,3,)))</f>
        <v>0</v>
      </c>
      <c r="AS1586" s="10" t="b">
        <f>IF(AND(I1586="TP",S1586&lt;=500),VLOOKUP(AF1586,TPCalibEq500!$AZ$2:$BB$56,3,),IF(AND(I1586="TDP",S1586&lt;=500),VLOOKUP(AF1586,TPCalibEq500!$AZ$2:$BB$56,3,)))</f>
        <v>0</v>
      </c>
      <c r="AT1586" s="10" t="b">
        <f>IF(AND(I1586="TN",S1586&lt;=2800),VLOOKUP(AF1586,TNCalibEq2500!$AZ$2:$BB$56,3,),IF(AND(I1586="TDN",S1586&lt;=2800),VLOOKUP(AF1586,TNCalibEq2500!$AZ$2:$BB$56,3,)))</f>
        <v>0</v>
      </c>
      <c r="AU1586" s="10" t="b">
        <f>IF(I1586="TP",VLOOKUP(AF1586,TPCalibEqFull!$AZ$2:$BB$56,3),IF(I1586="TDP",VLOOKUP(AF1586,TPCalibEqFull!$AZ$2:$BB$56,3),IF(I1586="TDN",VLOOKUP(AF1586,TNCalibEqFull!$AZ$1:$BB$56,3),IF(I1586="TN",VLOOKUP(AF1586,TNCalibEqFull!$AZ$1:$BB$56,3),FALSE))))</f>
        <v>0</v>
      </c>
      <c r="AV1586" s="10" t="str">
        <f t="shared" si="178"/>
        <v>0127 12:48:00-EFK-0-C-1-SW-UKN</v>
      </c>
    </row>
    <row r="1587" spans="1:48" s="10" customFormat="1" x14ac:dyDescent="0.55000000000000004">
      <c r="A1587" s="32">
        <v>44953</v>
      </c>
      <c r="B1587" s="33">
        <v>0.53611111111111109</v>
      </c>
      <c r="C1587" s="10" t="s">
        <v>333</v>
      </c>
      <c r="D1587" s="10">
        <v>0</v>
      </c>
      <c r="E1587" s="10" t="s">
        <v>190</v>
      </c>
      <c r="F1587" s="10">
        <v>1</v>
      </c>
      <c r="G1587" s="10" t="s">
        <v>231</v>
      </c>
      <c r="H1587" s="10" t="s">
        <v>322</v>
      </c>
      <c r="I1587" s="10" t="s">
        <v>256</v>
      </c>
      <c r="J1587" s="10">
        <v>10</v>
      </c>
      <c r="K1587" s="12">
        <v>44958</v>
      </c>
      <c r="L1587" s="33">
        <v>0.51153935185185184</v>
      </c>
      <c r="M1587" s="10">
        <v>1</v>
      </c>
      <c r="N1587" s="10" t="s">
        <v>169</v>
      </c>
      <c r="O1587" s="10">
        <v>7.21</v>
      </c>
      <c r="P1587" s="10">
        <v>0.34699999999999998</v>
      </c>
      <c r="Q1587" s="10">
        <v>908</v>
      </c>
      <c r="R1587" s="10" t="s">
        <v>77</v>
      </c>
      <c r="S1587" s="34">
        <f t="shared" si="175"/>
        <v>908</v>
      </c>
      <c r="T1587" s="10" t="s">
        <v>1114</v>
      </c>
      <c r="U1587" s="34" t="str">
        <f t="shared" si="176"/>
        <v/>
      </c>
      <c r="V1587" s="31" t="str">
        <f>IF(H1587="CHK",VLOOKUP(I1587,QCCHK,3,),IF(H1587="GUP",VLOOKUP(E1587,QCGUP,2,),IF(AND(H1587="ATP",OR(I1587="TN",I1587="TDN",I1587="TNO2-3",I1587="NO2-3")),VLOOKUP(E1587,QCREC_N,2,),IF(AND(H1587="NIC",OR(I1587="TN",I1587="TDN",I1587="TNO2-3",I1587="NO2-3")),VLOOKUP(E1587,QCNIC_N,2,),IF(AND(H1587="UREA",OR(I1587="TN",I1587="TDN",I1587="TNO2-3",I1587="NO2-3")),VLOOKUP(E1587,QCUREA_N,2,),IF(H1587="PER",VLOOKUP(I1587,QCPER,MATCH(E1587,QCACTUAL!$J$25:$AA$25,0),),IF(H1587="SPK",VLOOKUP(I1587,QCSPK,3,),IF(AND(H1587="ATP",OR(I1587="TP",I1587="TDP")),VLOOKUP(E1587,QCATP_P,2,),""))))))))</f>
        <v/>
      </c>
      <c r="W1587" s="31" t="str">
        <f t="shared" si="177"/>
        <v>TRUE</v>
      </c>
      <c r="X1587" s="31" t="str">
        <f t="shared" si="174"/>
        <v/>
      </c>
      <c r="Y1587" s="10" t="s">
        <v>1096</v>
      </c>
      <c r="Z1587" s="10" t="s">
        <v>910</v>
      </c>
      <c r="AL1587" s="10" t="str">
        <f t="shared" si="179"/>
        <v>FALSE</v>
      </c>
      <c r="AM1587" s="10" t="str">
        <f t="shared" si="179"/>
        <v>FALSE</v>
      </c>
      <c r="AN1587" s="10" t="str">
        <f t="shared" si="179"/>
        <v>FALSE</v>
      </c>
      <c r="AO1587" s="10" t="str">
        <f t="shared" si="180"/>
        <v>FALSE</v>
      </c>
      <c r="AP1587" s="10" t="str">
        <f t="shared" si="180"/>
        <v>FALSE</v>
      </c>
      <c r="AQ1587" s="10" t="b">
        <f>IF(AND(I1587="TP",S1587&lt;=150),VLOOKUP(AF1587,TPCalibEq150!$AZ$2:$BB$55,3,),IF(AND(I1587="TDP",S1587&lt;=150),VLOOKUP(AF1587,TPCalibEq150!$AZ$2:$BB$55,3,)))</f>
        <v>0</v>
      </c>
      <c r="AR1587" s="10" t="b">
        <f>IF(AND(I1587="TP",S1587&lt;=300),VLOOKUP(AF1587,TPCalibEq300!$AZ$2:$BB$55,3,),IF(AND(I1587="TDP",S1587&lt;=300),VLOOKUP(AF1587,TPCalibEq300!$AZ$2:$BB$55,3,)))</f>
        <v>0</v>
      </c>
      <c r="AS1587" s="10" t="b">
        <f>IF(AND(I1587="TP",S1587&lt;=500),VLOOKUP(AF1587,TPCalibEq500!$AZ$2:$BB$56,3,),IF(AND(I1587="TDP",S1587&lt;=500),VLOOKUP(AF1587,TPCalibEq500!$AZ$2:$BB$56,3,)))</f>
        <v>0</v>
      </c>
      <c r="AT1587" s="10" t="b">
        <f>IF(AND(I1587="TN",S1587&lt;=2800),VLOOKUP(AF1587,TNCalibEq2500!$AZ$2:$BB$56,3,),IF(AND(I1587="TDN",S1587&lt;=2800),VLOOKUP(AF1587,TNCalibEq2500!$AZ$2:$BB$56,3,)))</f>
        <v>0</v>
      </c>
      <c r="AU1587" s="10" t="b">
        <f>IF(I1587="TP",VLOOKUP(AF1587,TPCalibEqFull!$AZ$2:$BB$56,3),IF(I1587="TDP",VLOOKUP(AF1587,TPCalibEqFull!$AZ$2:$BB$56,3),IF(I1587="TDN",VLOOKUP(AF1587,TNCalibEqFull!$AZ$1:$BB$56,3),IF(I1587="TN",VLOOKUP(AF1587,TNCalibEqFull!$AZ$1:$BB$56,3),FALSE))))</f>
        <v>0</v>
      </c>
      <c r="AV1587" s="10" t="str">
        <f t="shared" si="178"/>
        <v>0127 12:52:00-HST-0-C-1-SW-UKN</v>
      </c>
    </row>
    <row r="1588" spans="1:48" s="10" customFormat="1" x14ac:dyDescent="0.55000000000000004">
      <c r="A1588" s="32">
        <v>44953</v>
      </c>
      <c r="B1588" s="33">
        <v>0.53611111111111109</v>
      </c>
      <c r="C1588" s="10" t="s">
        <v>333</v>
      </c>
      <c r="D1588" s="10">
        <v>0</v>
      </c>
      <c r="E1588" s="10" t="s">
        <v>190</v>
      </c>
      <c r="F1588" s="10">
        <v>1</v>
      </c>
      <c r="G1588" s="10" t="s">
        <v>231</v>
      </c>
      <c r="H1588" s="10" t="s">
        <v>233</v>
      </c>
      <c r="I1588" s="10" t="s">
        <v>256</v>
      </c>
      <c r="J1588" s="10">
        <v>10</v>
      </c>
      <c r="K1588" s="12">
        <v>44958</v>
      </c>
      <c r="L1588" s="33">
        <v>0.51234953703703701</v>
      </c>
      <c r="M1588" s="10">
        <v>1</v>
      </c>
      <c r="N1588" s="10" t="s">
        <v>169</v>
      </c>
      <c r="O1588" s="10">
        <v>7.2</v>
      </c>
      <c r="P1588" s="10">
        <v>0.34499999999999997</v>
      </c>
      <c r="Q1588" s="10">
        <v>906</v>
      </c>
      <c r="R1588" s="10" t="s">
        <v>77</v>
      </c>
      <c r="S1588" s="34">
        <f t="shared" si="175"/>
        <v>906</v>
      </c>
      <c r="T1588" s="10" t="s">
        <v>1114</v>
      </c>
      <c r="U1588" s="34">
        <f t="shared" si="176"/>
        <v>0.22050716648291069</v>
      </c>
      <c r="V1588" s="31" t="str">
        <f>IF(H1588="CHK",VLOOKUP(I1588,QCCHK,3,),IF(H1588="GUP",VLOOKUP(E1588,QCGUP,2,),IF(AND(H1588="ATP",OR(I1588="TN",I1588="TDN",I1588="TNO2-3",I1588="NO2-3")),VLOOKUP(E1588,QCREC_N,2,),IF(AND(H1588="NIC",OR(I1588="TN",I1588="TDN",I1588="TNO2-3",I1588="NO2-3")),VLOOKUP(E1588,QCNIC_N,2,),IF(AND(H1588="UREA",OR(I1588="TN",I1588="TDN",I1588="TNO2-3",I1588="NO2-3")),VLOOKUP(E1588,QCUREA_N,2,),IF(H1588="PER",VLOOKUP(I1588,QCPER,MATCH(E1588,QCACTUAL!$J$25:$AA$25,0),),IF(H1588="SPK",VLOOKUP(I1588,QCSPK,3,),IF(AND(H1588="ATP",OR(I1588="TP",I1588="TDP")),VLOOKUP(E1588,QCATP_P,2,),""))))))))</f>
        <v/>
      </c>
      <c r="W1588" s="31" t="str">
        <f t="shared" si="177"/>
        <v>TRUE</v>
      </c>
      <c r="X1588" s="31" t="str">
        <f t="shared" si="174"/>
        <v>((ABS(rep1-rep2))/((rep1+rep2)/2)*100</v>
      </c>
      <c r="Y1588" s="10" t="s">
        <v>1096</v>
      </c>
      <c r="Z1588" s="10" t="s">
        <v>910</v>
      </c>
      <c r="AL1588" s="10" t="str">
        <f t="shared" si="179"/>
        <v>FALSE</v>
      </c>
      <c r="AM1588" s="10" t="str">
        <f t="shared" si="179"/>
        <v>FALSE</v>
      </c>
      <c r="AN1588" s="10" t="str">
        <f t="shared" si="179"/>
        <v>FALSE</v>
      </c>
      <c r="AO1588" s="10" t="str">
        <f t="shared" si="180"/>
        <v>FALSE</v>
      </c>
      <c r="AP1588" s="10" t="str">
        <f t="shared" si="180"/>
        <v>FALSE</v>
      </c>
      <c r="AQ1588" s="10" t="b">
        <f>IF(AND(I1588="TP",S1588&lt;=150),VLOOKUP(AF1588,TPCalibEq150!$AZ$2:$BB$55,3,),IF(AND(I1588="TDP",S1588&lt;=150),VLOOKUP(AF1588,TPCalibEq150!$AZ$2:$BB$55,3,)))</f>
        <v>0</v>
      </c>
      <c r="AR1588" s="10" t="b">
        <f>IF(AND(I1588="TP",S1588&lt;=300),VLOOKUP(AF1588,TPCalibEq300!$AZ$2:$BB$55,3,),IF(AND(I1588="TDP",S1588&lt;=300),VLOOKUP(AF1588,TPCalibEq300!$AZ$2:$BB$55,3,)))</f>
        <v>0</v>
      </c>
      <c r="AS1588" s="10" t="b">
        <f>IF(AND(I1588="TP",S1588&lt;=500),VLOOKUP(AF1588,TPCalibEq500!$AZ$2:$BB$56,3,),IF(AND(I1588="TDP",S1588&lt;=500),VLOOKUP(AF1588,TPCalibEq500!$AZ$2:$BB$56,3,)))</f>
        <v>0</v>
      </c>
      <c r="AT1588" s="10" t="b">
        <f>IF(AND(I1588="TN",S1588&lt;=2800),VLOOKUP(AF1588,TNCalibEq2500!$AZ$2:$BB$56,3,),IF(AND(I1588="TDN",S1588&lt;=2800),VLOOKUP(AF1588,TNCalibEq2500!$AZ$2:$BB$56,3,)))</f>
        <v>0</v>
      </c>
      <c r="AU1588" s="10" t="b">
        <f>IF(I1588="TP",VLOOKUP(AF1588,TPCalibEqFull!$AZ$2:$BB$56,3),IF(I1588="TDP",VLOOKUP(AF1588,TPCalibEqFull!$AZ$2:$BB$56,3),IF(I1588="TDN",VLOOKUP(AF1588,TNCalibEqFull!$AZ$1:$BB$56,3),IF(I1588="TN",VLOOKUP(AF1588,TNCalibEqFull!$AZ$1:$BB$56,3),FALSE))))</f>
        <v>0</v>
      </c>
      <c r="AV1588" s="10" t="str">
        <f t="shared" si="178"/>
        <v>0127 12:52:00-HST-0-C-1-SW-DUP</v>
      </c>
    </row>
    <row r="1589" spans="1:48" s="10" customFormat="1" x14ac:dyDescent="0.55000000000000004">
      <c r="A1589" s="32">
        <v>44953</v>
      </c>
      <c r="B1589" s="33">
        <v>0.53611111111111109</v>
      </c>
      <c r="C1589" s="10" t="s">
        <v>912</v>
      </c>
      <c r="D1589" s="10">
        <v>0</v>
      </c>
      <c r="E1589" s="10" t="s">
        <v>190</v>
      </c>
      <c r="F1589" s="10">
        <v>1</v>
      </c>
      <c r="G1589" s="10" t="s">
        <v>231</v>
      </c>
      <c r="H1589" s="10" t="s">
        <v>314</v>
      </c>
      <c r="I1589" s="10" t="s">
        <v>256</v>
      </c>
      <c r="J1589" s="10">
        <v>81</v>
      </c>
      <c r="K1589" s="12">
        <v>44958</v>
      </c>
      <c r="L1589" s="33">
        <v>0.51317129629629632</v>
      </c>
      <c r="M1589" s="10">
        <v>1</v>
      </c>
      <c r="N1589" s="10" t="s">
        <v>169</v>
      </c>
      <c r="O1589" s="10">
        <v>12.2</v>
      </c>
      <c r="P1589" s="10">
        <v>0.59</v>
      </c>
      <c r="Q1589" s="10">
        <v>1540</v>
      </c>
      <c r="R1589" s="10" t="s">
        <v>77</v>
      </c>
      <c r="S1589" s="34">
        <f t="shared" si="175"/>
        <v>1540</v>
      </c>
      <c r="T1589" s="10" t="s">
        <v>1114</v>
      </c>
      <c r="U1589" s="34">
        <f t="shared" si="176"/>
        <v>101.44</v>
      </c>
      <c r="V1589" s="31">
        <f>IF(H1589="CHK",VLOOKUP(I1589,QCCHK,3,),IF(H1589="GUP",VLOOKUP(E1589,QCGUP,2,),IF(AND(H1589="ATP",OR(I1589="TN",I1589="TDN",I1589="TNO2-3",I1589="NO2-3")),VLOOKUP(E1589,QCREC_N,2,),IF(AND(H1589="NIC",OR(I1589="TN",I1589="TDN",I1589="TNO2-3",I1589="NO2-3")),VLOOKUP(E1589,QCNIC_N,2,),IF(AND(H1589="UREA",OR(I1589="TN",I1589="TDN",I1589="TNO2-3",I1589="NO2-3")),VLOOKUP(E1589,QCUREA_N,2,),IF(H1589="PER",VLOOKUP(I1589,QCPER,MATCH(E1589,QCACTUAL!$J$25:$AA$25,0),),IF(H1589="SPK",VLOOKUP(I1589,QCSPK,3,),IF(AND(H1589="ATP",OR(I1589="TP",I1589="TDP")),VLOOKUP(E1589,QCATP_P,2,),""))))))))</f>
        <v>625</v>
      </c>
      <c r="W1589" s="31" t="str">
        <f t="shared" si="177"/>
        <v>TRUE</v>
      </c>
      <c r="X1589" s="31" t="str">
        <f t="shared" si="174"/>
        <v>([spikedunkn]-[unkn])/[spike]*100</v>
      </c>
      <c r="Y1589" s="10" t="s">
        <v>1096</v>
      </c>
      <c r="Z1589" s="10" t="s">
        <v>910</v>
      </c>
      <c r="AL1589" s="10" t="str">
        <f t="shared" si="179"/>
        <v>FALSE</v>
      </c>
      <c r="AM1589" s="10" t="str">
        <f t="shared" si="179"/>
        <v>FALSE</v>
      </c>
      <c r="AN1589" s="10" t="str">
        <f t="shared" si="179"/>
        <v>FALSE</v>
      </c>
      <c r="AO1589" s="10" t="str">
        <f t="shared" si="180"/>
        <v>FALSE</v>
      </c>
      <c r="AP1589" s="10" t="str">
        <f t="shared" si="180"/>
        <v>FALSE</v>
      </c>
      <c r="AQ1589" s="10" t="b">
        <f>IF(AND(I1589="TP",S1589&lt;=150),VLOOKUP(AF1589,TPCalibEq150!$AZ$2:$BB$55,3,),IF(AND(I1589="TDP",S1589&lt;=150),VLOOKUP(AF1589,TPCalibEq150!$AZ$2:$BB$55,3,)))</f>
        <v>0</v>
      </c>
      <c r="AR1589" s="10" t="b">
        <f>IF(AND(I1589="TP",S1589&lt;=300),VLOOKUP(AF1589,TPCalibEq300!$AZ$2:$BB$55,3,),IF(AND(I1589="TDP",S1589&lt;=300),VLOOKUP(AF1589,TPCalibEq300!$AZ$2:$BB$55,3,)))</f>
        <v>0</v>
      </c>
      <c r="AS1589" s="10" t="b">
        <f>IF(AND(I1589="TP",S1589&lt;=500),VLOOKUP(AF1589,TPCalibEq500!$AZ$2:$BB$56,3,),IF(AND(I1589="TDP",S1589&lt;=500),VLOOKUP(AF1589,TPCalibEq500!$AZ$2:$BB$56,3,)))</f>
        <v>0</v>
      </c>
      <c r="AT1589" s="10" t="b">
        <f>IF(AND(I1589="TN",S1589&lt;=2800),VLOOKUP(AF1589,TNCalibEq2500!$AZ$2:$BB$56,3,),IF(AND(I1589="TDN",S1589&lt;=2800),VLOOKUP(AF1589,TNCalibEq2500!$AZ$2:$BB$56,3,)))</f>
        <v>0</v>
      </c>
      <c r="AU1589" s="10" t="b">
        <f>IF(I1589="TP",VLOOKUP(AF1589,TPCalibEqFull!$AZ$2:$BB$56,3),IF(I1589="TDP",VLOOKUP(AF1589,TPCalibEqFull!$AZ$2:$BB$56,3),IF(I1589="TDN",VLOOKUP(AF1589,TNCalibEqFull!$AZ$1:$BB$56,3),IF(I1589="TN",VLOOKUP(AF1589,TNCalibEqFull!$AZ$1:$BB$56,3),FALSE))))</f>
        <v>0</v>
      </c>
      <c r="AV1589" s="10" t="str">
        <f t="shared" si="178"/>
        <v>0127 12:52:00-HST -0-C-1-SW-SPK</v>
      </c>
    </row>
    <row r="1590" spans="1:48" s="10" customFormat="1" x14ac:dyDescent="0.55000000000000004">
      <c r="A1590" s="32">
        <v>44958</v>
      </c>
      <c r="B1590" s="33">
        <v>0.375</v>
      </c>
      <c r="C1590" s="10" t="s">
        <v>70</v>
      </c>
      <c r="D1590" s="10" t="s">
        <v>71</v>
      </c>
      <c r="E1590" s="10" t="s">
        <v>901</v>
      </c>
      <c r="F1590" s="10">
        <v>1</v>
      </c>
      <c r="G1590" s="10" t="s">
        <v>73</v>
      </c>
      <c r="H1590" s="10" t="s">
        <v>207</v>
      </c>
      <c r="I1590" s="10" t="s">
        <v>256</v>
      </c>
      <c r="J1590" s="10">
        <v>199</v>
      </c>
      <c r="K1590" s="12">
        <v>44958</v>
      </c>
      <c r="L1590" s="33">
        <v>0.51399305555555552</v>
      </c>
      <c r="M1590" s="10">
        <v>1</v>
      </c>
      <c r="N1590" s="10" t="s">
        <v>169</v>
      </c>
      <c r="O1590" s="10">
        <v>2.4</v>
      </c>
      <c r="P1590" s="10">
        <v>0.11799999999999999</v>
      </c>
      <c r="Q1590" s="10">
        <v>302</v>
      </c>
      <c r="R1590" s="10" t="s">
        <v>77</v>
      </c>
      <c r="S1590" s="34">
        <f t="shared" si="175"/>
        <v>302</v>
      </c>
      <c r="T1590" s="10" t="s">
        <v>1114</v>
      </c>
      <c r="U1590" s="34">
        <f t="shared" si="176"/>
        <v>100.66666666666666</v>
      </c>
      <c r="V1590" s="31">
        <f>IF(H1590="CHK",VLOOKUP(I1590,QCCHK,3,),IF(H1590="GUP",VLOOKUP(E1590,QCGUP,2,),IF(AND(H1590="ATP",OR(I1590="TN",I1590="TDN",I1590="TNO2-3",I1590="NO2-3")),VLOOKUP(E1590,QCREC_N,2,),IF(AND(H1590="NIC",OR(I1590="TN",I1590="TDN",I1590="TNO2-3",I1590="NO2-3")),VLOOKUP(E1590,QCNIC_N,2,),IF(AND(H1590="UREA",OR(I1590="TN",I1590="TDN",I1590="TNO2-3",I1590="NO2-3")),VLOOKUP(E1590,QCUREA_N,2,),IF(H1590="PER",VLOOKUP(I1590,QCPER,MATCH(E1590,QCACTUAL!$J$25:$AA$25,0),),IF(H1590="SPK",VLOOKUP(I1590,QCSPK,3,),IF(AND(H1590="ATP",OR(I1590="TP",I1590="TDP")),VLOOKUP(E1590,QCATP_P,2,),""))))))))</f>
        <v>300</v>
      </c>
      <c r="W1590" s="31" t="str">
        <f t="shared" si="177"/>
        <v>TRUE</v>
      </c>
      <c r="X1590" s="31" t="str">
        <f t="shared" si="174"/>
        <v>[chk]/[actual]*100</v>
      </c>
      <c r="Y1590" s="10" t="s">
        <v>1096</v>
      </c>
      <c r="AL1590" s="10" t="str">
        <f t="shared" si="179"/>
        <v>FALSE</v>
      </c>
      <c r="AM1590" s="10" t="str">
        <f t="shared" si="179"/>
        <v>FALSE</v>
      </c>
      <c r="AN1590" s="10" t="str">
        <f t="shared" si="179"/>
        <v>FALSE</v>
      </c>
      <c r="AO1590" s="10" t="str">
        <f t="shared" si="180"/>
        <v>FALSE</v>
      </c>
      <c r="AP1590" s="10" t="str">
        <f t="shared" si="180"/>
        <v>FALSE</v>
      </c>
      <c r="AQ1590" s="10" t="b">
        <f>IF(AND(I1590="TP",S1590&lt;=150),VLOOKUP(AF1590,TPCalibEq150!$AZ$2:$BB$55,3,),IF(AND(I1590="TDP",S1590&lt;=150),VLOOKUP(AF1590,TPCalibEq150!$AZ$2:$BB$55,3,)))</f>
        <v>0</v>
      </c>
      <c r="AR1590" s="10" t="b">
        <f>IF(AND(I1590="TP",S1590&lt;=300),VLOOKUP(AF1590,TPCalibEq300!$AZ$2:$BB$55,3,),IF(AND(I1590="TDP",S1590&lt;=300),VLOOKUP(AF1590,TPCalibEq300!$AZ$2:$BB$55,3,)))</f>
        <v>0</v>
      </c>
      <c r="AS1590" s="10" t="b">
        <f>IF(AND(I1590="TP",S1590&lt;=500),VLOOKUP(AF1590,TPCalibEq500!$AZ$2:$BB$56,3,),IF(AND(I1590="TDP",S1590&lt;=500),VLOOKUP(AF1590,TPCalibEq500!$AZ$2:$BB$56,3,)))</f>
        <v>0</v>
      </c>
      <c r="AT1590" s="10" t="b">
        <f>IF(AND(I1590="TN",S1590&lt;=2800),VLOOKUP(AF1590,TNCalibEq2500!$AZ$2:$BB$56,3,),IF(AND(I1590="TDN",S1590&lt;=2800),VLOOKUP(AF1590,TNCalibEq2500!$AZ$2:$BB$56,3,)))</f>
        <v>0</v>
      </c>
      <c r="AU1590" s="10" t="b">
        <f>IF(I1590="TP",VLOOKUP(AF1590,TPCalibEqFull!$AZ$2:$BB$56,3),IF(I1590="TDP",VLOOKUP(AF1590,TPCalibEqFull!$AZ$2:$BB$56,3),IF(I1590="TDN",VLOOKUP(AF1590,TNCalibEqFull!$AZ$1:$BB$56,3),IF(I1590="TN",VLOOKUP(AF1590,TNCalibEqFull!$AZ$1:$BB$56,3),FALSE))))</f>
        <v>0</v>
      </c>
      <c r="AV1590" s="10" t="str">
        <f t="shared" si="178"/>
        <v>0201 09:00:00-QAC-STD-D-1-DI-CHK</v>
      </c>
    </row>
    <row r="1591" spans="1:48" s="10" customFormat="1" x14ac:dyDescent="0.55000000000000004">
      <c r="A1591" s="32">
        <v>44956</v>
      </c>
      <c r="B1591" s="33">
        <v>0.32500000000000001</v>
      </c>
      <c r="C1591" s="10" t="s">
        <v>279</v>
      </c>
      <c r="D1591" s="10">
        <v>0</v>
      </c>
      <c r="E1591" s="10" t="s">
        <v>190</v>
      </c>
      <c r="F1591" s="10">
        <v>1</v>
      </c>
      <c r="G1591" s="10" t="s">
        <v>231</v>
      </c>
      <c r="H1591" s="10" t="s">
        <v>322</v>
      </c>
      <c r="I1591" s="10" t="s">
        <v>256</v>
      </c>
      <c r="J1591" s="10">
        <v>11</v>
      </c>
      <c r="K1591" s="12">
        <v>44958</v>
      </c>
      <c r="L1591" s="33">
        <v>0.51480324074074069</v>
      </c>
      <c r="M1591" s="10">
        <v>1</v>
      </c>
      <c r="N1591" s="10" t="s">
        <v>169</v>
      </c>
      <c r="O1591" s="10">
        <v>7.21</v>
      </c>
      <c r="P1591" s="10">
        <v>0.34499999999999997</v>
      </c>
      <c r="Q1591" s="10">
        <v>908</v>
      </c>
      <c r="R1591" s="10" t="s">
        <v>77</v>
      </c>
      <c r="S1591" s="34">
        <f t="shared" si="175"/>
        <v>908</v>
      </c>
      <c r="T1591" s="10" t="s">
        <v>1114</v>
      </c>
      <c r="U1591" s="34" t="str">
        <f t="shared" si="176"/>
        <v/>
      </c>
      <c r="V1591" s="31" t="str">
        <f>IF(H1591="CHK",VLOOKUP(I1591,QCCHK,3,),IF(H1591="GUP",VLOOKUP(E1591,QCGUP,2,),IF(AND(H1591="ATP",OR(I1591="TN",I1591="TDN",I1591="TNO2-3",I1591="NO2-3")),VLOOKUP(E1591,QCREC_N,2,),IF(AND(H1591="NIC",OR(I1591="TN",I1591="TDN",I1591="TNO2-3",I1591="NO2-3")),VLOOKUP(E1591,QCNIC_N,2,),IF(AND(H1591="UREA",OR(I1591="TN",I1591="TDN",I1591="TNO2-3",I1591="NO2-3")),VLOOKUP(E1591,QCUREA_N,2,),IF(H1591="PER",VLOOKUP(I1591,QCPER,MATCH(E1591,QCACTUAL!$J$25:$AA$25,0),),IF(H1591="SPK",VLOOKUP(I1591,QCSPK,3,),IF(AND(H1591="ATP",OR(I1591="TP",I1591="TDP")),VLOOKUP(E1591,QCATP_P,2,),""))))))))</f>
        <v/>
      </c>
      <c r="W1591" s="31" t="str">
        <f t="shared" si="177"/>
        <v>TRUE</v>
      </c>
      <c r="X1591" s="31" t="str">
        <f t="shared" si="174"/>
        <v/>
      </c>
      <c r="Y1591" s="10" t="s">
        <v>1096</v>
      </c>
      <c r="Z1591" s="10" t="s">
        <v>910</v>
      </c>
      <c r="AL1591" s="10" t="str">
        <f t="shared" si="179"/>
        <v>FALSE</v>
      </c>
      <c r="AM1591" s="10" t="str">
        <f t="shared" si="179"/>
        <v>FALSE</v>
      </c>
      <c r="AN1591" s="10" t="str">
        <f t="shared" si="179"/>
        <v>FALSE</v>
      </c>
      <c r="AO1591" s="10" t="str">
        <f t="shared" si="180"/>
        <v>FALSE</v>
      </c>
      <c r="AP1591" s="10" t="str">
        <f t="shared" si="180"/>
        <v>FALSE</v>
      </c>
      <c r="AQ1591" s="10" t="b">
        <f>IF(AND(I1591="TP",S1591&lt;=150),VLOOKUP(AF1591,TPCalibEq150!$AZ$2:$BB$55,3,),IF(AND(I1591="TDP",S1591&lt;=150),VLOOKUP(AF1591,TPCalibEq150!$AZ$2:$BB$55,3,)))</f>
        <v>0</v>
      </c>
      <c r="AR1591" s="10" t="b">
        <f>IF(AND(I1591="TP",S1591&lt;=300),VLOOKUP(AF1591,TPCalibEq300!$AZ$2:$BB$55,3,),IF(AND(I1591="TDP",S1591&lt;=300),VLOOKUP(AF1591,TPCalibEq300!$AZ$2:$BB$55,3,)))</f>
        <v>0</v>
      </c>
      <c r="AS1591" s="10" t="b">
        <f>IF(AND(I1591="TP",S1591&lt;=500),VLOOKUP(AF1591,TPCalibEq500!$AZ$2:$BB$56,3,),IF(AND(I1591="TDP",S1591&lt;=500),VLOOKUP(AF1591,TPCalibEq500!$AZ$2:$BB$56,3,)))</f>
        <v>0</v>
      </c>
      <c r="AT1591" s="10" t="b">
        <f>IF(AND(I1591="TN",S1591&lt;=2800),VLOOKUP(AF1591,TNCalibEq2500!$AZ$2:$BB$56,3,),IF(AND(I1591="TDN",S1591&lt;=2800),VLOOKUP(AF1591,TNCalibEq2500!$AZ$2:$BB$56,3,)))</f>
        <v>0</v>
      </c>
      <c r="AU1591" s="10" t="b">
        <f>IF(I1591="TP",VLOOKUP(AF1591,TPCalibEqFull!$AZ$2:$BB$56,3),IF(I1591="TDP",VLOOKUP(AF1591,TPCalibEqFull!$AZ$2:$BB$56,3),IF(I1591="TDN",VLOOKUP(AF1591,TNCalibEqFull!$AZ$1:$BB$56,3),IF(I1591="TN",VLOOKUP(AF1591,TNCalibEqFull!$AZ$1:$BB$56,3),FALSE))))</f>
        <v>0</v>
      </c>
      <c r="AV1591" s="10" t="str">
        <f t="shared" si="178"/>
        <v>0130 07:48:00-EFK-0-C-1-SW-UKN</v>
      </c>
    </row>
    <row r="1592" spans="1:48" s="10" customFormat="1" x14ac:dyDescent="0.55000000000000004">
      <c r="A1592" s="32">
        <v>44956</v>
      </c>
      <c r="B1592" s="33">
        <v>0.33749999999999997</v>
      </c>
      <c r="C1592" s="10" t="s">
        <v>333</v>
      </c>
      <c r="D1592" s="10">
        <v>0</v>
      </c>
      <c r="E1592" s="10" t="s">
        <v>190</v>
      </c>
      <c r="F1592" s="10">
        <v>1</v>
      </c>
      <c r="G1592" s="10" t="s">
        <v>231</v>
      </c>
      <c r="H1592" s="10" t="s">
        <v>322</v>
      </c>
      <c r="I1592" s="10" t="s">
        <v>256</v>
      </c>
      <c r="J1592" s="10">
        <v>12</v>
      </c>
      <c r="K1592" s="12">
        <v>44958</v>
      </c>
      <c r="L1592" s="33">
        <v>0.515625</v>
      </c>
      <c r="M1592" s="10">
        <v>1</v>
      </c>
      <c r="N1592" s="10" t="s">
        <v>169</v>
      </c>
      <c r="O1592" s="10">
        <v>9.59</v>
      </c>
      <c r="P1592" s="10">
        <v>0.46400000000000002</v>
      </c>
      <c r="Q1592" s="10">
        <v>1210</v>
      </c>
      <c r="R1592" s="10" t="s">
        <v>77</v>
      </c>
      <c r="S1592" s="34">
        <f t="shared" si="175"/>
        <v>1210</v>
      </c>
      <c r="T1592" s="10" t="s">
        <v>1114</v>
      </c>
      <c r="U1592" s="34" t="str">
        <f t="shared" si="176"/>
        <v/>
      </c>
      <c r="V1592" s="31" t="str">
        <f>IF(H1592="CHK",VLOOKUP(I1592,QCCHK,3,),IF(H1592="GUP",VLOOKUP(E1592,QCGUP,2,),IF(AND(H1592="ATP",OR(I1592="TN",I1592="TDN",I1592="TNO2-3",I1592="NO2-3")),VLOOKUP(E1592,QCREC_N,2,),IF(AND(H1592="NIC",OR(I1592="TN",I1592="TDN",I1592="TNO2-3",I1592="NO2-3")),VLOOKUP(E1592,QCNIC_N,2,),IF(AND(H1592="UREA",OR(I1592="TN",I1592="TDN",I1592="TNO2-3",I1592="NO2-3")),VLOOKUP(E1592,QCUREA_N,2,),IF(H1592="PER",VLOOKUP(I1592,QCPER,MATCH(E1592,QCACTUAL!$J$25:$AA$25,0),),IF(H1592="SPK",VLOOKUP(I1592,QCSPK,3,),IF(AND(H1592="ATP",OR(I1592="TP",I1592="TDP")),VLOOKUP(E1592,QCATP_P,2,),""))))))))</f>
        <v/>
      </c>
      <c r="W1592" s="31" t="str">
        <f t="shared" si="177"/>
        <v>TRUE</v>
      </c>
      <c r="X1592" s="31" t="str">
        <f t="shared" si="174"/>
        <v/>
      </c>
      <c r="Y1592" s="10" t="s">
        <v>1096</v>
      </c>
      <c r="Z1592" s="10" t="s">
        <v>910</v>
      </c>
      <c r="AL1592" s="10" t="str">
        <f t="shared" si="179"/>
        <v>FALSE</v>
      </c>
      <c r="AM1592" s="10" t="str">
        <f t="shared" si="179"/>
        <v>FALSE</v>
      </c>
      <c r="AN1592" s="10" t="str">
        <f t="shared" si="179"/>
        <v>FALSE</v>
      </c>
      <c r="AO1592" s="10" t="str">
        <f t="shared" si="180"/>
        <v>FALSE</v>
      </c>
      <c r="AP1592" s="10" t="str">
        <f t="shared" si="180"/>
        <v>FALSE</v>
      </c>
      <c r="AQ1592" s="10" t="b">
        <f>IF(AND(I1592="TP",S1592&lt;=150),VLOOKUP(AF1592,TPCalibEq150!$AZ$2:$BB$55,3,),IF(AND(I1592="TDP",S1592&lt;=150),VLOOKUP(AF1592,TPCalibEq150!$AZ$2:$BB$55,3,)))</f>
        <v>0</v>
      </c>
      <c r="AR1592" s="10" t="b">
        <f>IF(AND(I1592="TP",S1592&lt;=300),VLOOKUP(AF1592,TPCalibEq300!$AZ$2:$BB$55,3,),IF(AND(I1592="TDP",S1592&lt;=300),VLOOKUP(AF1592,TPCalibEq300!$AZ$2:$BB$55,3,)))</f>
        <v>0</v>
      </c>
      <c r="AS1592" s="10" t="b">
        <f>IF(AND(I1592="TP",S1592&lt;=500),VLOOKUP(AF1592,TPCalibEq500!$AZ$2:$BB$56,3,),IF(AND(I1592="TDP",S1592&lt;=500),VLOOKUP(AF1592,TPCalibEq500!$AZ$2:$BB$56,3,)))</f>
        <v>0</v>
      </c>
      <c r="AT1592" s="10" t="b">
        <f>IF(AND(I1592="TN",S1592&lt;=2800),VLOOKUP(AF1592,TNCalibEq2500!$AZ$2:$BB$56,3,),IF(AND(I1592="TDN",S1592&lt;=2800),VLOOKUP(AF1592,TNCalibEq2500!$AZ$2:$BB$56,3,)))</f>
        <v>0</v>
      </c>
      <c r="AU1592" s="10" t="b">
        <f>IF(I1592="TP",VLOOKUP(AF1592,TPCalibEqFull!$AZ$2:$BB$56,3),IF(I1592="TDP",VLOOKUP(AF1592,TPCalibEqFull!$AZ$2:$BB$56,3),IF(I1592="TDN",VLOOKUP(AF1592,TNCalibEqFull!$AZ$1:$BB$56,3),IF(I1592="TN",VLOOKUP(AF1592,TNCalibEqFull!$AZ$1:$BB$56,3),FALSE))))</f>
        <v>0</v>
      </c>
      <c r="AV1592" s="10" t="str">
        <f t="shared" si="178"/>
        <v>0130 08:06:00-HST-0-C-1-SW-UKN</v>
      </c>
    </row>
    <row r="1593" spans="1:48" s="10" customFormat="1" x14ac:dyDescent="0.55000000000000004">
      <c r="A1593" s="32">
        <v>44957</v>
      </c>
      <c r="B1593" s="33">
        <v>0.41250000000000003</v>
      </c>
      <c r="C1593" s="10" t="s">
        <v>279</v>
      </c>
      <c r="D1593" s="10">
        <v>0</v>
      </c>
      <c r="E1593" s="10" t="s">
        <v>190</v>
      </c>
      <c r="F1593" s="10">
        <v>1</v>
      </c>
      <c r="G1593" s="10" t="s">
        <v>231</v>
      </c>
      <c r="H1593" s="10" t="s">
        <v>322</v>
      </c>
      <c r="I1593" s="10" t="s">
        <v>256</v>
      </c>
      <c r="J1593" s="10">
        <v>13</v>
      </c>
      <c r="K1593" s="12">
        <v>44958</v>
      </c>
      <c r="L1593" s="33">
        <v>0.51643518518518516</v>
      </c>
      <c r="M1593" s="10">
        <v>1</v>
      </c>
      <c r="N1593" s="10" t="s">
        <v>169</v>
      </c>
      <c r="O1593" s="10">
        <v>7.13</v>
      </c>
      <c r="P1593" s="10">
        <v>0.34499999999999997</v>
      </c>
      <c r="Q1593" s="10">
        <v>899</v>
      </c>
      <c r="R1593" s="10" t="s">
        <v>77</v>
      </c>
      <c r="S1593" s="34">
        <f t="shared" si="175"/>
        <v>899</v>
      </c>
      <c r="T1593" s="10" t="s">
        <v>1114</v>
      </c>
      <c r="U1593" s="34" t="str">
        <f t="shared" si="176"/>
        <v/>
      </c>
      <c r="V1593" s="31" t="str">
        <f>IF(H1593="CHK",VLOOKUP(I1593,QCCHK,3,),IF(H1593="GUP",VLOOKUP(E1593,QCGUP,2,),IF(AND(H1593="ATP",OR(I1593="TN",I1593="TDN",I1593="TNO2-3",I1593="NO2-3")),VLOOKUP(E1593,QCREC_N,2,),IF(AND(H1593="NIC",OR(I1593="TN",I1593="TDN",I1593="TNO2-3",I1593="NO2-3")),VLOOKUP(E1593,QCNIC_N,2,),IF(AND(H1593="UREA",OR(I1593="TN",I1593="TDN",I1593="TNO2-3",I1593="NO2-3")),VLOOKUP(E1593,QCUREA_N,2,),IF(H1593="PER",VLOOKUP(I1593,QCPER,MATCH(E1593,QCACTUAL!$J$25:$AA$25,0),),IF(H1593="SPK",VLOOKUP(I1593,QCSPK,3,),IF(AND(H1593="ATP",OR(I1593="TP",I1593="TDP")),VLOOKUP(E1593,QCATP_P,2,),""))))))))</f>
        <v/>
      </c>
      <c r="W1593" s="31" t="str">
        <f t="shared" si="177"/>
        <v>TRUE</v>
      </c>
      <c r="X1593" s="31" t="str">
        <f t="shared" si="174"/>
        <v/>
      </c>
      <c r="Y1593" s="10" t="s">
        <v>1096</v>
      </c>
      <c r="AL1593" s="10" t="str">
        <f t="shared" si="179"/>
        <v>FALSE</v>
      </c>
      <c r="AM1593" s="10" t="str">
        <f t="shared" si="179"/>
        <v>FALSE</v>
      </c>
      <c r="AN1593" s="10" t="str">
        <f t="shared" si="179"/>
        <v>FALSE</v>
      </c>
      <c r="AO1593" s="10" t="str">
        <f t="shared" si="180"/>
        <v>FALSE</v>
      </c>
      <c r="AP1593" s="10" t="str">
        <f t="shared" si="180"/>
        <v>FALSE</v>
      </c>
      <c r="AQ1593" s="10" t="b">
        <f>IF(AND(I1593="TP",S1593&lt;=150),VLOOKUP(AF1593,TPCalibEq150!$AZ$2:$BB$55,3,),IF(AND(I1593="TDP",S1593&lt;=150),VLOOKUP(AF1593,TPCalibEq150!$AZ$2:$BB$55,3,)))</f>
        <v>0</v>
      </c>
      <c r="AR1593" s="10" t="b">
        <f>IF(AND(I1593="TP",S1593&lt;=300),VLOOKUP(AF1593,TPCalibEq300!$AZ$2:$BB$55,3,),IF(AND(I1593="TDP",S1593&lt;=300),VLOOKUP(AF1593,TPCalibEq300!$AZ$2:$BB$55,3,)))</f>
        <v>0</v>
      </c>
      <c r="AS1593" s="10" t="b">
        <f>IF(AND(I1593="TP",S1593&lt;=500),VLOOKUP(AF1593,TPCalibEq500!$AZ$2:$BB$56,3,),IF(AND(I1593="TDP",S1593&lt;=500),VLOOKUP(AF1593,TPCalibEq500!$AZ$2:$BB$56,3,)))</f>
        <v>0</v>
      </c>
      <c r="AT1593" s="10" t="b">
        <f>IF(AND(I1593="TN",S1593&lt;=2800),VLOOKUP(AF1593,TNCalibEq2500!$AZ$2:$BB$56,3,),IF(AND(I1593="TDN",S1593&lt;=2800),VLOOKUP(AF1593,TNCalibEq2500!$AZ$2:$BB$56,3,)))</f>
        <v>0</v>
      </c>
      <c r="AU1593" s="10" t="b">
        <f>IF(I1593="TP",VLOOKUP(AF1593,TPCalibEqFull!$AZ$2:$BB$56,3),IF(I1593="TDP",VLOOKUP(AF1593,TPCalibEqFull!$AZ$2:$BB$56,3),IF(I1593="TDN",VLOOKUP(AF1593,TNCalibEqFull!$AZ$1:$BB$56,3),IF(I1593="TN",VLOOKUP(AF1593,TNCalibEqFull!$AZ$1:$BB$56,3),FALSE))))</f>
        <v>0</v>
      </c>
      <c r="AV1593" s="10" t="str">
        <f t="shared" si="178"/>
        <v>0131 09:54:00-EFK-0-C-1-SW-UKN</v>
      </c>
    </row>
    <row r="1594" spans="1:48" s="10" customFormat="1" x14ac:dyDescent="0.55000000000000004">
      <c r="A1594" s="32">
        <v>44957</v>
      </c>
      <c r="B1594" s="33">
        <v>0.41597222222222219</v>
      </c>
      <c r="C1594" s="10" t="s">
        <v>333</v>
      </c>
      <c r="D1594" s="10">
        <v>0</v>
      </c>
      <c r="E1594" s="10" t="s">
        <v>190</v>
      </c>
      <c r="F1594" s="10">
        <v>1</v>
      </c>
      <c r="G1594" s="10" t="s">
        <v>231</v>
      </c>
      <c r="H1594" s="10" t="s">
        <v>322</v>
      </c>
      <c r="I1594" s="10" t="s">
        <v>256</v>
      </c>
      <c r="J1594" s="10">
        <v>14</v>
      </c>
      <c r="K1594" s="12">
        <v>44958</v>
      </c>
      <c r="L1594" s="33">
        <v>0.51723379629629629</v>
      </c>
      <c r="M1594" s="10">
        <v>1</v>
      </c>
      <c r="N1594" s="10" t="s">
        <v>169</v>
      </c>
      <c r="O1594" s="10">
        <v>7.85</v>
      </c>
      <c r="P1594" s="10">
        <v>0.38</v>
      </c>
      <c r="Q1594" s="10">
        <v>989</v>
      </c>
      <c r="R1594" s="10" t="s">
        <v>77</v>
      </c>
      <c r="S1594" s="34">
        <f t="shared" si="175"/>
        <v>989</v>
      </c>
      <c r="T1594" s="10" t="s">
        <v>1114</v>
      </c>
      <c r="U1594" s="34" t="str">
        <f t="shared" si="176"/>
        <v/>
      </c>
      <c r="V1594" s="31" t="str">
        <f>IF(H1594="CHK",VLOOKUP(I1594,QCCHK,3,),IF(H1594="GUP",VLOOKUP(E1594,QCGUP,2,),IF(AND(H1594="ATP",OR(I1594="TN",I1594="TDN",I1594="TNO2-3",I1594="NO2-3")),VLOOKUP(E1594,QCREC_N,2,),IF(AND(H1594="NIC",OR(I1594="TN",I1594="TDN",I1594="TNO2-3",I1594="NO2-3")),VLOOKUP(E1594,QCNIC_N,2,),IF(AND(H1594="UREA",OR(I1594="TN",I1594="TDN",I1594="TNO2-3",I1594="NO2-3")),VLOOKUP(E1594,QCUREA_N,2,),IF(H1594="PER",VLOOKUP(I1594,QCPER,MATCH(E1594,QCACTUAL!$J$25:$AA$25,0),),IF(H1594="SPK",VLOOKUP(I1594,QCSPK,3,),IF(AND(H1594="ATP",OR(I1594="TP",I1594="TDP")),VLOOKUP(E1594,QCATP_P,2,),""))))))))</f>
        <v/>
      </c>
      <c r="W1594" s="31" t="str">
        <f t="shared" si="177"/>
        <v>TRUE</v>
      </c>
      <c r="X1594" s="31" t="str">
        <f t="shared" si="174"/>
        <v/>
      </c>
      <c r="Y1594" s="10" t="s">
        <v>1096</v>
      </c>
      <c r="AL1594" s="10" t="str">
        <f t="shared" si="179"/>
        <v>FALSE</v>
      </c>
      <c r="AM1594" s="10" t="str">
        <f t="shared" si="179"/>
        <v>FALSE</v>
      </c>
      <c r="AN1594" s="10" t="str">
        <f t="shared" si="179"/>
        <v>FALSE</v>
      </c>
      <c r="AO1594" s="10" t="str">
        <f t="shared" si="180"/>
        <v>FALSE</v>
      </c>
      <c r="AP1594" s="10" t="str">
        <f t="shared" si="180"/>
        <v>FALSE</v>
      </c>
      <c r="AQ1594" s="10" t="b">
        <f>IF(AND(I1594="TP",S1594&lt;=150),VLOOKUP(AF1594,TPCalibEq150!$AZ$2:$BB$55,3,),IF(AND(I1594="TDP",S1594&lt;=150),VLOOKUP(AF1594,TPCalibEq150!$AZ$2:$BB$55,3,)))</f>
        <v>0</v>
      </c>
      <c r="AR1594" s="10" t="b">
        <f>IF(AND(I1594="TP",S1594&lt;=300),VLOOKUP(AF1594,TPCalibEq300!$AZ$2:$BB$55,3,),IF(AND(I1594="TDP",S1594&lt;=300),VLOOKUP(AF1594,TPCalibEq300!$AZ$2:$BB$55,3,)))</f>
        <v>0</v>
      </c>
      <c r="AS1594" s="10" t="b">
        <f>IF(AND(I1594="TP",S1594&lt;=500),VLOOKUP(AF1594,TPCalibEq500!$AZ$2:$BB$56,3,),IF(AND(I1594="TDP",S1594&lt;=500),VLOOKUP(AF1594,TPCalibEq500!$AZ$2:$BB$56,3,)))</f>
        <v>0</v>
      </c>
      <c r="AT1594" s="10" t="b">
        <f>IF(AND(I1594="TN",S1594&lt;=2800),VLOOKUP(AF1594,TNCalibEq2500!$AZ$2:$BB$56,3,),IF(AND(I1594="TDN",S1594&lt;=2800),VLOOKUP(AF1594,TNCalibEq2500!$AZ$2:$BB$56,3,)))</f>
        <v>0</v>
      </c>
      <c r="AU1594" s="10" t="b">
        <f>IF(I1594="TP",VLOOKUP(AF1594,TPCalibEqFull!$AZ$2:$BB$56,3),IF(I1594="TDP",VLOOKUP(AF1594,TPCalibEqFull!$AZ$2:$BB$56,3),IF(I1594="TDN",VLOOKUP(AF1594,TNCalibEqFull!$AZ$1:$BB$56,3),IF(I1594="TN",VLOOKUP(AF1594,TNCalibEqFull!$AZ$1:$BB$56,3),FALSE))))</f>
        <v>0</v>
      </c>
      <c r="AV1594" s="10" t="str">
        <f t="shared" si="178"/>
        <v>0131 09:59:00-HST-0-C-1-SW-UKN</v>
      </c>
    </row>
    <row r="1595" spans="1:48" s="10" customFormat="1" x14ac:dyDescent="0.55000000000000004">
      <c r="A1595" s="32">
        <v>44957</v>
      </c>
      <c r="B1595" s="33">
        <v>0.41597222222222219</v>
      </c>
      <c r="C1595" s="10" t="s">
        <v>333</v>
      </c>
      <c r="D1595" s="10">
        <v>0</v>
      </c>
      <c r="E1595" s="10" t="s">
        <v>190</v>
      </c>
      <c r="F1595" s="10">
        <v>1</v>
      </c>
      <c r="G1595" s="10" t="s">
        <v>231</v>
      </c>
      <c r="H1595" s="10" t="s">
        <v>233</v>
      </c>
      <c r="I1595" s="10" t="s">
        <v>256</v>
      </c>
      <c r="J1595" s="10">
        <v>14</v>
      </c>
      <c r="K1595" s="12">
        <v>44958</v>
      </c>
      <c r="L1595" s="33">
        <v>0.51804398148148145</v>
      </c>
      <c r="M1595" s="10">
        <v>1</v>
      </c>
      <c r="N1595" s="10" t="s">
        <v>169</v>
      </c>
      <c r="O1595" s="10">
        <v>7.86</v>
      </c>
      <c r="P1595" s="10">
        <v>0.379</v>
      </c>
      <c r="Q1595" s="10">
        <v>990</v>
      </c>
      <c r="R1595" s="10" t="s">
        <v>77</v>
      </c>
      <c r="S1595" s="34">
        <f t="shared" si="175"/>
        <v>990</v>
      </c>
      <c r="T1595" s="10" t="s">
        <v>1114</v>
      </c>
      <c r="U1595" s="34">
        <f t="shared" si="176"/>
        <v>0.1010611419909045</v>
      </c>
      <c r="V1595" s="31" t="str">
        <f>IF(H1595="CHK",VLOOKUP(I1595,QCCHK,3,),IF(H1595="GUP",VLOOKUP(E1595,QCGUP,2,),IF(AND(H1595="ATP",OR(I1595="TN",I1595="TDN",I1595="TNO2-3",I1595="NO2-3")),VLOOKUP(E1595,QCREC_N,2,),IF(AND(H1595="NIC",OR(I1595="TN",I1595="TDN",I1595="TNO2-3",I1595="NO2-3")),VLOOKUP(E1595,QCNIC_N,2,),IF(AND(H1595="UREA",OR(I1595="TN",I1595="TDN",I1595="TNO2-3",I1595="NO2-3")),VLOOKUP(E1595,QCUREA_N,2,),IF(H1595="PER",VLOOKUP(I1595,QCPER,MATCH(E1595,QCACTUAL!$J$25:$AA$25,0),),IF(H1595="SPK",VLOOKUP(I1595,QCSPK,3,),IF(AND(H1595="ATP",OR(I1595="TP",I1595="TDP")),VLOOKUP(E1595,QCATP_P,2,),""))))))))</f>
        <v/>
      </c>
      <c r="W1595" s="31" t="str">
        <f t="shared" si="177"/>
        <v>TRUE</v>
      </c>
      <c r="X1595" s="31" t="str">
        <f t="shared" si="174"/>
        <v>((ABS(rep1-rep2))/((rep1+rep2)/2)*100</v>
      </c>
      <c r="Y1595" s="10" t="s">
        <v>1096</v>
      </c>
      <c r="AL1595" s="10" t="str">
        <f t="shared" si="179"/>
        <v>FALSE</v>
      </c>
      <c r="AM1595" s="10" t="str">
        <f t="shared" si="179"/>
        <v>FALSE</v>
      </c>
      <c r="AN1595" s="10" t="str">
        <f t="shared" si="179"/>
        <v>FALSE</v>
      </c>
      <c r="AO1595" s="10" t="str">
        <f t="shared" si="180"/>
        <v>FALSE</v>
      </c>
      <c r="AP1595" s="10" t="str">
        <f t="shared" si="180"/>
        <v>FALSE</v>
      </c>
      <c r="AQ1595" s="10" t="b">
        <f>IF(AND(I1595="TP",S1595&lt;=150),VLOOKUP(AF1595,TPCalibEq150!$AZ$2:$BB$55,3,),IF(AND(I1595="TDP",S1595&lt;=150),VLOOKUP(AF1595,TPCalibEq150!$AZ$2:$BB$55,3,)))</f>
        <v>0</v>
      </c>
      <c r="AR1595" s="10" t="b">
        <f>IF(AND(I1595="TP",S1595&lt;=300),VLOOKUP(AF1595,TPCalibEq300!$AZ$2:$BB$55,3,),IF(AND(I1595="TDP",S1595&lt;=300),VLOOKUP(AF1595,TPCalibEq300!$AZ$2:$BB$55,3,)))</f>
        <v>0</v>
      </c>
      <c r="AS1595" s="10" t="b">
        <f>IF(AND(I1595="TP",S1595&lt;=500),VLOOKUP(AF1595,TPCalibEq500!$AZ$2:$BB$56,3,),IF(AND(I1595="TDP",S1595&lt;=500),VLOOKUP(AF1595,TPCalibEq500!$AZ$2:$BB$56,3,)))</f>
        <v>0</v>
      </c>
      <c r="AT1595" s="10" t="b">
        <f>IF(AND(I1595="TN",S1595&lt;=2800),VLOOKUP(AF1595,TNCalibEq2500!$AZ$2:$BB$56,3,),IF(AND(I1595="TDN",S1595&lt;=2800),VLOOKUP(AF1595,TNCalibEq2500!$AZ$2:$BB$56,3,)))</f>
        <v>0</v>
      </c>
      <c r="AU1595" s="10" t="b">
        <f>IF(I1595="TP",VLOOKUP(AF1595,TPCalibEqFull!$AZ$2:$BB$56,3),IF(I1595="TDP",VLOOKUP(AF1595,TPCalibEqFull!$AZ$2:$BB$56,3),IF(I1595="TDN",VLOOKUP(AF1595,TNCalibEqFull!$AZ$1:$BB$56,3),IF(I1595="TN",VLOOKUP(AF1595,TNCalibEqFull!$AZ$1:$BB$56,3),FALSE))))</f>
        <v>0</v>
      </c>
      <c r="AV1595" s="10" t="str">
        <f t="shared" si="178"/>
        <v>0131 09:59:00-HST-0-C-1-SW-DUP</v>
      </c>
    </row>
    <row r="1596" spans="1:48" s="10" customFormat="1" x14ac:dyDescent="0.55000000000000004">
      <c r="A1596" s="32">
        <v>44957</v>
      </c>
      <c r="B1596" s="33">
        <v>0.41597222222222219</v>
      </c>
      <c r="C1596" s="10" t="s">
        <v>912</v>
      </c>
      <c r="D1596" s="10">
        <v>0</v>
      </c>
      <c r="E1596" s="10" t="s">
        <v>190</v>
      </c>
      <c r="F1596" s="10">
        <v>1</v>
      </c>
      <c r="G1596" s="10" t="s">
        <v>231</v>
      </c>
      <c r="H1596" s="10" t="s">
        <v>314</v>
      </c>
      <c r="I1596" s="10" t="s">
        <v>256</v>
      </c>
      <c r="J1596" s="10">
        <v>82</v>
      </c>
      <c r="K1596" s="12">
        <v>44958</v>
      </c>
      <c r="L1596" s="33">
        <v>0.51886574074074077</v>
      </c>
      <c r="M1596" s="10">
        <v>1</v>
      </c>
      <c r="N1596" s="10" t="s">
        <v>169</v>
      </c>
      <c r="O1596" s="10">
        <v>13.4</v>
      </c>
      <c r="P1596" s="10">
        <v>0.64900000000000002</v>
      </c>
      <c r="Q1596" s="10">
        <v>1690</v>
      </c>
      <c r="R1596" s="10" t="s">
        <v>77</v>
      </c>
      <c r="S1596" s="34">
        <f t="shared" si="175"/>
        <v>1690</v>
      </c>
      <c r="T1596" s="10" t="s">
        <v>1114</v>
      </c>
      <c r="U1596" s="34">
        <f t="shared" si="176"/>
        <v>112.00000000000001</v>
      </c>
      <c r="V1596" s="31">
        <f>IF(H1596="CHK",VLOOKUP(I1596,QCCHK,3,),IF(H1596="GUP",VLOOKUP(E1596,QCGUP,2,),IF(AND(H1596="ATP",OR(I1596="TN",I1596="TDN",I1596="TNO2-3",I1596="NO2-3")),VLOOKUP(E1596,QCREC_N,2,),IF(AND(H1596="NIC",OR(I1596="TN",I1596="TDN",I1596="TNO2-3",I1596="NO2-3")),VLOOKUP(E1596,QCNIC_N,2,),IF(AND(H1596="UREA",OR(I1596="TN",I1596="TDN",I1596="TNO2-3",I1596="NO2-3")),VLOOKUP(E1596,QCUREA_N,2,),IF(H1596="PER",VLOOKUP(I1596,QCPER,MATCH(E1596,QCACTUAL!$J$25:$AA$25,0),),IF(H1596="SPK",VLOOKUP(I1596,QCSPK,3,),IF(AND(H1596="ATP",OR(I1596="TP",I1596="TDP")),VLOOKUP(E1596,QCATP_P,2,),""))))))))</f>
        <v>625</v>
      </c>
      <c r="W1596" s="31" t="str">
        <f t="shared" si="177"/>
        <v>TRUE</v>
      </c>
      <c r="X1596" s="31" t="str">
        <f t="shared" si="174"/>
        <v>([spikedunkn]-[unkn])/[spike]*100</v>
      </c>
      <c r="Y1596" s="10" t="s">
        <v>1096</v>
      </c>
      <c r="AL1596" s="10" t="str">
        <f t="shared" si="179"/>
        <v>FALSE</v>
      </c>
      <c r="AM1596" s="10" t="str">
        <f t="shared" si="179"/>
        <v>FALSE</v>
      </c>
      <c r="AN1596" s="10" t="str">
        <f t="shared" si="179"/>
        <v>FALSE</v>
      </c>
      <c r="AO1596" s="10" t="str">
        <f t="shared" si="180"/>
        <v>FALSE</v>
      </c>
      <c r="AP1596" s="10" t="str">
        <f t="shared" si="180"/>
        <v>FALSE</v>
      </c>
      <c r="AQ1596" s="10" t="b">
        <f>IF(AND(I1596="TP",S1596&lt;=150),VLOOKUP(AF1596,TPCalibEq150!$AZ$2:$BB$55,3,),IF(AND(I1596="TDP",S1596&lt;=150),VLOOKUP(AF1596,TPCalibEq150!$AZ$2:$BB$55,3,)))</f>
        <v>0</v>
      </c>
      <c r="AR1596" s="10" t="b">
        <f>IF(AND(I1596="TP",S1596&lt;=300),VLOOKUP(AF1596,TPCalibEq300!$AZ$2:$BB$55,3,),IF(AND(I1596="TDP",S1596&lt;=300),VLOOKUP(AF1596,TPCalibEq300!$AZ$2:$BB$55,3,)))</f>
        <v>0</v>
      </c>
      <c r="AS1596" s="10" t="b">
        <f>IF(AND(I1596="TP",S1596&lt;=500),VLOOKUP(AF1596,TPCalibEq500!$AZ$2:$BB$56,3,),IF(AND(I1596="TDP",S1596&lt;=500),VLOOKUP(AF1596,TPCalibEq500!$AZ$2:$BB$56,3,)))</f>
        <v>0</v>
      </c>
      <c r="AT1596" s="10" t="b">
        <f>IF(AND(I1596="TN",S1596&lt;=2800),VLOOKUP(AF1596,TNCalibEq2500!$AZ$2:$BB$56,3,),IF(AND(I1596="TDN",S1596&lt;=2800),VLOOKUP(AF1596,TNCalibEq2500!$AZ$2:$BB$56,3,)))</f>
        <v>0</v>
      </c>
      <c r="AU1596" s="10" t="b">
        <f>IF(I1596="TP",VLOOKUP(AF1596,TPCalibEqFull!$AZ$2:$BB$56,3),IF(I1596="TDP",VLOOKUP(AF1596,TPCalibEqFull!$AZ$2:$BB$56,3),IF(I1596="TDN",VLOOKUP(AF1596,TNCalibEqFull!$AZ$1:$BB$56,3),IF(I1596="TN",VLOOKUP(AF1596,TNCalibEqFull!$AZ$1:$BB$56,3),FALSE))))</f>
        <v>0</v>
      </c>
      <c r="AV1596" s="10" t="str">
        <f t="shared" si="178"/>
        <v>0131 09:59:00-HST -0-C-1-SW-SPK</v>
      </c>
    </row>
    <row r="1597" spans="1:48" s="10" customFormat="1" x14ac:dyDescent="0.55000000000000004">
      <c r="A1597" s="32">
        <v>44958</v>
      </c>
      <c r="B1597" s="33">
        <v>0.375</v>
      </c>
      <c r="C1597" s="10" t="s">
        <v>70</v>
      </c>
      <c r="D1597" s="10" t="s">
        <v>71</v>
      </c>
      <c r="E1597" s="10" t="s">
        <v>901</v>
      </c>
      <c r="F1597" s="10">
        <v>1</v>
      </c>
      <c r="G1597" s="10" t="s">
        <v>73</v>
      </c>
      <c r="H1597" s="10" t="s">
        <v>207</v>
      </c>
      <c r="I1597" s="10" t="s">
        <v>256</v>
      </c>
      <c r="J1597" s="10">
        <v>199</v>
      </c>
      <c r="K1597" s="12">
        <v>44958</v>
      </c>
      <c r="L1597" s="33">
        <v>0.51968749999999997</v>
      </c>
      <c r="M1597" s="10">
        <v>1</v>
      </c>
      <c r="N1597" s="10" t="s">
        <v>169</v>
      </c>
      <c r="O1597" s="10">
        <v>2.41</v>
      </c>
      <c r="P1597" s="10">
        <v>0.11899999999999999</v>
      </c>
      <c r="Q1597" s="10">
        <v>303</v>
      </c>
      <c r="R1597" s="10" t="s">
        <v>77</v>
      </c>
      <c r="S1597" s="34">
        <f t="shared" si="175"/>
        <v>303</v>
      </c>
      <c r="T1597" s="10" t="s">
        <v>1114</v>
      </c>
      <c r="U1597" s="34">
        <f t="shared" si="176"/>
        <v>101</v>
      </c>
      <c r="V1597" s="31">
        <f>IF(H1597="CHK",VLOOKUP(I1597,QCCHK,3,),IF(H1597="GUP",VLOOKUP(E1597,QCGUP,2,),IF(AND(H1597="ATP",OR(I1597="TN",I1597="TDN",I1597="TNO2-3",I1597="NO2-3")),VLOOKUP(E1597,QCREC_N,2,),IF(AND(H1597="NIC",OR(I1597="TN",I1597="TDN",I1597="TNO2-3",I1597="NO2-3")),VLOOKUP(E1597,QCNIC_N,2,),IF(AND(H1597="UREA",OR(I1597="TN",I1597="TDN",I1597="TNO2-3",I1597="NO2-3")),VLOOKUP(E1597,QCUREA_N,2,),IF(H1597="PER",VLOOKUP(I1597,QCPER,MATCH(E1597,QCACTUAL!$J$25:$AA$25,0),),IF(H1597="SPK",VLOOKUP(I1597,QCSPK,3,),IF(AND(H1597="ATP",OR(I1597="TP",I1597="TDP")),VLOOKUP(E1597,QCATP_P,2,),""))))))))</f>
        <v>300</v>
      </c>
      <c r="W1597" s="31" t="str">
        <f t="shared" si="177"/>
        <v>TRUE</v>
      </c>
      <c r="X1597" s="31" t="str">
        <f t="shared" si="174"/>
        <v>[chk]/[actual]*100</v>
      </c>
      <c r="Y1597" s="10" t="s">
        <v>1096</v>
      </c>
      <c r="AL1597" s="10" t="str">
        <f t="shared" si="179"/>
        <v>FALSE</v>
      </c>
      <c r="AM1597" s="10" t="str">
        <f t="shared" si="179"/>
        <v>FALSE</v>
      </c>
      <c r="AN1597" s="10" t="str">
        <f t="shared" si="179"/>
        <v>FALSE</v>
      </c>
      <c r="AO1597" s="10" t="str">
        <f t="shared" si="180"/>
        <v>FALSE</v>
      </c>
      <c r="AP1597" s="10" t="str">
        <f t="shared" si="180"/>
        <v>FALSE</v>
      </c>
      <c r="AQ1597" s="10" t="b">
        <f>IF(AND(I1597="TP",S1597&lt;=150),VLOOKUP(AF1597,TPCalibEq150!$AZ$2:$BB$55,3,),IF(AND(I1597="TDP",S1597&lt;=150),VLOOKUP(AF1597,TPCalibEq150!$AZ$2:$BB$55,3,)))</f>
        <v>0</v>
      </c>
      <c r="AR1597" s="10" t="b">
        <f>IF(AND(I1597="TP",S1597&lt;=300),VLOOKUP(AF1597,TPCalibEq300!$AZ$2:$BB$55,3,),IF(AND(I1597="TDP",S1597&lt;=300),VLOOKUP(AF1597,TPCalibEq300!$AZ$2:$BB$55,3,)))</f>
        <v>0</v>
      </c>
      <c r="AS1597" s="10" t="b">
        <f>IF(AND(I1597="TP",S1597&lt;=500),VLOOKUP(AF1597,TPCalibEq500!$AZ$2:$BB$56,3,),IF(AND(I1597="TDP",S1597&lt;=500),VLOOKUP(AF1597,TPCalibEq500!$AZ$2:$BB$56,3,)))</f>
        <v>0</v>
      </c>
      <c r="AT1597" s="10" t="b">
        <f>IF(AND(I1597="TN",S1597&lt;=2800),VLOOKUP(AF1597,TNCalibEq2500!$AZ$2:$BB$56,3,),IF(AND(I1597="TDN",S1597&lt;=2800),VLOOKUP(AF1597,TNCalibEq2500!$AZ$2:$BB$56,3,)))</f>
        <v>0</v>
      </c>
      <c r="AU1597" s="10" t="b">
        <f>IF(I1597="TP",VLOOKUP(AF1597,TPCalibEqFull!$AZ$2:$BB$56,3),IF(I1597="TDP",VLOOKUP(AF1597,TPCalibEqFull!$AZ$2:$BB$56,3),IF(I1597="TDN",VLOOKUP(AF1597,TNCalibEqFull!$AZ$1:$BB$56,3),IF(I1597="TN",VLOOKUP(AF1597,TNCalibEqFull!$AZ$1:$BB$56,3),FALSE))))</f>
        <v>0</v>
      </c>
      <c r="AV1597" s="10" t="str">
        <f t="shared" si="178"/>
        <v>0201 09:00:00-QAC-STD-D-1-DI-CHK</v>
      </c>
    </row>
    <row r="1598" spans="1:48" s="10" customFormat="1" x14ac:dyDescent="0.55000000000000004">
      <c r="A1598" s="32">
        <v>44949</v>
      </c>
      <c r="B1598" s="33">
        <v>0.34375</v>
      </c>
      <c r="C1598" s="10" t="s">
        <v>998</v>
      </c>
      <c r="D1598" s="10">
        <v>0</v>
      </c>
      <c r="E1598" s="10" t="s">
        <v>190</v>
      </c>
      <c r="F1598" s="10">
        <v>1</v>
      </c>
      <c r="G1598" s="10" t="s">
        <v>231</v>
      </c>
      <c r="H1598" s="10" t="s">
        <v>322</v>
      </c>
      <c r="I1598" s="10" t="s">
        <v>256</v>
      </c>
      <c r="J1598" s="10">
        <v>15</v>
      </c>
      <c r="K1598" s="12">
        <v>44958</v>
      </c>
      <c r="L1598" s="33">
        <v>0.52048611111111109</v>
      </c>
      <c r="M1598" s="10">
        <v>1</v>
      </c>
      <c r="N1598" s="10" t="s">
        <v>169</v>
      </c>
      <c r="O1598" s="10">
        <v>7.99</v>
      </c>
      <c r="P1598" s="10">
        <v>0.38800000000000001</v>
      </c>
      <c r="Q1598" s="10">
        <v>1010</v>
      </c>
      <c r="R1598" s="10" t="s">
        <v>77</v>
      </c>
      <c r="S1598" s="34">
        <f t="shared" si="175"/>
        <v>1010</v>
      </c>
      <c r="T1598" s="10" t="s">
        <v>1114</v>
      </c>
      <c r="U1598" s="34" t="str">
        <f t="shared" si="176"/>
        <v/>
      </c>
      <c r="V1598" s="31" t="str">
        <f>IF(H1598="CHK",VLOOKUP(I1598,QCCHK,3,),IF(H1598="GUP",VLOOKUP(E1598,QCGUP,2,),IF(AND(H1598="ATP",OR(I1598="TN",I1598="TDN",I1598="TNO2-3",I1598="NO2-3")),VLOOKUP(E1598,QCREC_N,2,),IF(AND(H1598="NIC",OR(I1598="TN",I1598="TDN",I1598="TNO2-3",I1598="NO2-3")),VLOOKUP(E1598,QCNIC_N,2,),IF(AND(H1598="UREA",OR(I1598="TN",I1598="TDN",I1598="TNO2-3",I1598="NO2-3")),VLOOKUP(E1598,QCUREA_N,2,),IF(H1598="PER",VLOOKUP(I1598,QCPER,MATCH(E1598,QCACTUAL!$J$25:$AA$25,0),),IF(H1598="SPK",VLOOKUP(I1598,QCSPK,3,),IF(AND(H1598="ATP",OR(I1598="TP",I1598="TDP")),VLOOKUP(E1598,QCATP_P,2,),""))))))))</f>
        <v/>
      </c>
      <c r="W1598" s="31" t="str">
        <f t="shared" si="177"/>
        <v>TRUE</v>
      </c>
      <c r="X1598" s="31" t="str">
        <f t="shared" si="174"/>
        <v/>
      </c>
      <c r="Y1598" s="10" t="s">
        <v>1096</v>
      </c>
      <c r="Z1598" s="10" t="s">
        <v>910</v>
      </c>
      <c r="AL1598" s="10" t="str">
        <f t="shared" si="179"/>
        <v>FALSE</v>
      </c>
      <c r="AM1598" s="10" t="str">
        <f t="shared" si="179"/>
        <v>FALSE</v>
      </c>
      <c r="AN1598" s="10" t="str">
        <f t="shared" si="179"/>
        <v>FALSE</v>
      </c>
      <c r="AO1598" s="10" t="str">
        <f t="shared" si="180"/>
        <v>FALSE</v>
      </c>
      <c r="AP1598" s="10" t="str">
        <f t="shared" si="180"/>
        <v>FALSE</v>
      </c>
      <c r="AQ1598" s="10" t="b">
        <f>IF(AND(I1598="TP",S1598&lt;=150),VLOOKUP(AF1598,TPCalibEq150!$AZ$2:$BB$55,3,),IF(AND(I1598="TDP",S1598&lt;=150),VLOOKUP(AF1598,TPCalibEq150!$AZ$2:$BB$55,3,)))</f>
        <v>0</v>
      </c>
      <c r="AR1598" s="10" t="b">
        <f>IF(AND(I1598="TP",S1598&lt;=300),VLOOKUP(AF1598,TPCalibEq300!$AZ$2:$BB$55,3,),IF(AND(I1598="TDP",S1598&lt;=300),VLOOKUP(AF1598,TPCalibEq300!$AZ$2:$BB$55,3,)))</f>
        <v>0</v>
      </c>
      <c r="AS1598" s="10" t="b">
        <f>IF(AND(I1598="TP",S1598&lt;=500),VLOOKUP(AF1598,TPCalibEq500!$AZ$2:$BB$56,3,),IF(AND(I1598="TDP",S1598&lt;=500),VLOOKUP(AF1598,TPCalibEq500!$AZ$2:$BB$56,3,)))</f>
        <v>0</v>
      </c>
      <c r="AT1598" s="10" t="b">
        <f>IF(AND(I1598="TN",S1598&lt;=2800),VLOOKUP(AF1598,TNCalibEq2500!$AZ$2:$BB$56,3,),IF(AND(I1598="TDN",S1598&lt;=2800),VLOOKUP(AF1598,TNCalibEq2500!$AZ$2:$BB$56,3,)))</f>
        <v>0</v>
      </c>
      <c r="AU1598" s="10" t="b">
        <f>IF(I1598="TP",VLOOKUP(AF1598,TPCalibEqFull!$AZ$2:$BB$56,3),IF(I1598="TDP",VLOOKUP(AF1598,TPCalibEqFull!$AZ$2:$BB$56,3),IF(I1598="TDN",VLOOKUP(AF1598,TNCalibEqFull!$AZ$1:$BB$56,3),IF(I1598="TN",VLOOKUP(AF1598,TNCalibEqFull!$AZ$1:$BB$56,3),FALSE))))</f>
        <v>0</v>
      </c>
      <c r="AV1598" s="10" t="str">
        <f t="shared" si="178"/>
        <v>0123 08:15:00-ELW-0-C-1-SW-UKN</v>
      </c>
    </row>
    <row r="1599" spans="1:48" s="10" customFormat="1" x14ac:dyDescent="0.55000000000000004">
      <c r="A1599" s="32">
        <v>44949</v>
      </c>
      <c r="B1599" s="33">
        <v>0.37777777777777777</v>
      </c>
      <c r="C1599" s="10" t="s">
        <v>270</v>
      </c>
      <c r="D1599" s="10">
        <v>0</v>
      </c>
      <c r="E1599" s="10" t="s">
        <v>190</v>
      </c>
      <c r="F1599" s="10">
        <v>1</v>
      </c>
      <c r="G1599" s="10" t="s">
        <v>231</v>
      </c>
      <c r="H1599" s="10" t="s">
        <v>322</v>
      </c>
      <c r="I1599" s="10" t="s">
        <v>256</v>
      </c>
      <c r="J1599" s="10">
        <v>16</v>
      </c>
      <c r="K1599" s="12">
        <v>44958</v>
      </c>
      <c r="L1599" s="33">
        <v>0.52131944444444445</v>
      </c>
      <c r="M1599" s="10">
        <v>1</v>
      </c>
      <c r="N1599" s="10" t="s">
        <v>169</v>
      </c>
      <c r="O1599" s="10">
        <v>11.5</v>
      </c>
      <c r="P1599" s="10">
        <v>0.55900000000000005</v>
      </c>
      <c r="Q1599" s="10">
        <v>1450</v>
      </c>
      <c r="R1599" s="10" t="s">
        <v>77</v>
      </c>
      <c r="S1599" s="34">
        <f t="shared" si="175"/>
        <v>1450</v>
      </c>
      <c r="T1599" s="10" t="s">
        <v>1114</v>
      </c>
      <c r="U1599" s="34" t="str">
        <f t="shared" si="176"/>
        <v/>
      </c>
      <c r="V1599" s="31" t="str">
        <f>IF(H1599="CHK",VLOOKUP(I1599,QCCHK,3,),IF(H1599="GUP",VLOOKUP(E1599,QCGUP,2,),IF(AND(H1599="ATP",OR(I1599="TN",I1599="TDN",I1599="TNO2-3",I1599="NO2-3")),VLOOKUP(E1599,QCREC_N,2,),IF(AND(H1599="NIC",OR(I1599="TN",I1599="TDN",I1599="TNO2-3",I1599="NO2-3")),VLOOKUP(E1599,QCNIC_N,2,),IF(AND(H1599="UREA",OR(I1599="TN",I1599="TDN",I1599="TNO2-3",I1599="NO2-3")),VLOOKUP(E1599,QCUREA_N,2,),IF(H1599="PER",VLOOKUP(I1599,QCPER,MATCH(E1599,QCACTUAL!$J$25:$AA$25,0),),IF(H1599="SPK",VLOOKUP(I1599,QCSPK,3,),IF(AND(H1599="ATP",OR(I1599="TP",I1599="TDP")),VLOOKUP(E1599,QCATP_P,2,),""))))))))</f>
        <v/>
      </c>
      <c r="W1599" s="31" t="str">
        <f t="shared" si="177"/>
        <v>TRUE</v>
      </c>
      <c r="X1599" s="31" t="str">
        <f t="shared" ref="X1599:X1662" si="181">IF(ISNA(VLOOKUP(H1599,QCEQUATIONS,2,)),"",(VLOOKUP(H1599,QCEQUATIONS,2,)))</f>
        <v/>
      </c>
      <c r="Y1599" s="10" t="s">
        <v>1096</v>
      </c>
      <c r="Z1599" s="10" t="s">
        <v>910</v>
      </c>
      <c r="AL1599" s="10" t="str">
        <f t="shared" si="179"/>
        <v>FALSE</v>
      </c>
      <c r="AM1599" s="10" t="str">
        <f t="shared" si="179"/>
        <v>FALSE</v>
      </c>
      <c r="AN1599" s="10" t="str">
        <f t="shared" si="179"/>
        <v>FALSE</v>
      </c>
      <c r="AO1599" s="10" t="str">
        <f t="shared" si="180"/>
        <v>FALSE</v>
      </c>
      <c r="AP1599" s="10" t="str">
        <f t="shared" si="180"/>
        <v>FALSE</v>
      </c>
      <c r="AQ1599" s="10" t="b">
        <f>IF(AND(I1599="TP",S1599&lt;=150),VLOOKUP(AF1599,TPCalibEq150!$AZ$2:$BB$55,3,),IF(AND(I1599="TDP",S1599&lt;=150),VLOOKUP(AF1599,TPCalibEq150!$AZ$2:$BB$55,3,)))</f>
        <v>0</v>
      </c>
      <c r="AR1599" s="10" t="b">
        <f>IF(AND(I1599="TP",S1599&lt;=300),VLOOKUP(AF1599,TPCalibEq300!$AZ$2:$BB$55,3,),IF(AND(I1599="TDP",S1599&lt;=300),VLOOKUP(AF1599,TPCalibEq300!$AZ$2:$BB$55,3,)))</f>
        <v>0</v>
      </c>
      <c r="AS1599" s="10" t="b">
        <f>IF(AND(I1599="TP",S1599&lt;=500),VLOOKUP(AF1599,TPCalibEq500!$AZ$2:$BB$56,3,),IF(AND(I1599="TDP",S1599&lt;=500),VLOOKUP(AF1599,TPCalibEq500!$AZ$2:$BB$56,3,)))</f>
        <v>0</v>
      </c>
      <c r="AT1599" s="10" t="b">
        <f>IF(AND(I1599="TN",S1599&lt;=2800),VLOOKUP(AF1599,TNCalibEq2500!$AZ$2:$BB$56,3,),IF(AND(I1599="TDN",S1599&lt;=2800),VLOOKUP(AF1599,TNCalibEq2500!$AZ$2:$BB$56,3,)))</f>
        <v>0</v>
      </c>
      <c r="AU1599" s="10" t="b">
        <f>IF(I1599="TP",VLOOKUP(AF1599,TPCalibEqFull!$AZ$2:$BB$56,3),IF(I1599="TDP",VLOOKUP(AF1599,TPCalibEqFull!$AZ$2:$BB$56,3),IF(I1599="TDN",VLOOKUP(AF1599,TNCalibEqFull!$AZ$1:$BB$56,3),IF(I1599="TN",VLOOKUP(AF1599,TNCalibEqFull!$AZ$1:$BB$56,3),FALSE))))</f>
        <v>0</v>
      </c>
      <c r="AV1599" s="10" t="str">
        <f t="shared" si="178"/>
        <v>0123 09:04:00-EFG-0-C-1-SW-UKN</v>
      </c>
    </row>
    <row r="1600" spans="1:48" s="10" customFormat="1" x14ac:dyDescent="0.55000000000000004">
      <c r="A1600" s="32">
        <v>44949</v>
      </c>
      <c r="B1600" s="33">
        <v>0.39027777777777778</v>
      </c>
      <c r="C1600" s="10" t="s">
        <v>540</v>
      </c>
      <c r="D1600" s="10">
        <v>0</v>
      </c>
      <c r="E1600" s="10" t="s">
        <v>190</v>
      </c>
      <c r="F1600" s="10">
        <v>1</v>
      </c>
      <c r="G1600" s="10" t="s">
        <v>231</v>
      </c>
      <c r="H1600" s="10" t="s">
        <v>322</v>
      </c>
      <c r="I1600" s="10" t="s">
        <v>256</v>
      </c>
      <c r="J1600" s="10">
        <v>17</v>
      </c>
      <c r="K1600" s="12">
        <v>44958</v>
      </c>
      <c r="L1600" s="33">
        <v>0.52214120370370376</v>
      </c>
      <c r="M1600" s="10">
        <v>1</v>
      </c>
      <c r="N1600" s="10" t="s">
        <v>169</v>
      </c>
      <c r="O1600" s="10">
        <v>8.23</v>
      </c>
      <c r="P1600" s="10">
        <v>0.39800000000000002</v>
      </c>
      <c r="Q1600" s="10">
        <v>1040</v>
      </c>
      <c r="R1600" s="10" t="s">
        <v>77</v>
      </c>
      <c r="S1600" s="34">
        <f t="shared" ref="S1600:S1663" si="182">IF(OR(AND(I1600&lt;&gt;"TP", I1600&lt;&gt;"TDP",I1600&lt;&gt;"TN", I1600&lt;&gt;"TDN"),H1600="CAL"), Q1600*M1600, IF(OR(AND(I1600="TN", Q1600&gt;2500), AND(I1600="TDN", Q1600&gt;2500)),MAX(Q1600, AK1600)*M1600, IF(OR(AND(I1600="TN", Q1600&lt;=2500), AND(I1600="TDN", Q1600&lt;=2500)),MAX(Q1600, AJ1600,AK1600)*M1600, IF(OR(AND(I1600="TP",Q1600&gt;500), AND(I1600="TDP", Q1600&gt;500)),MAX(Q1600,AK1600)*M1600,IF(OR(AND(I1600="TP",Q1600&lt;=150), AND(I1600="TDP", Q1600&lt;=150)),MAX(Q1600,AG1600:AI1600,AK1600)*M1600,IF(OR(AND(I1600="TP",Q1600&lt;=300), AND(I1600="TDP", Q1600&lt;=300)),MAX(Q1600,AH1600,AI1600,AK1600)*M1600,IF(OR(AND(I1600="TP",Q1600&lt;=500), AND(I1600="TDP", Q1600&lt;=500)),MAX(Q1600,AI1600,AK1600)*M1600,"")))))))</f>
        <v>1040</v>
      </c>
      <c r="T1600" s="10" t="s">
        <v>1114</v>
      </c>
      <c r="U1600" s="34" t="str">
        <f t="shared" si="176"/>
        <v/>
      </c>
      <c r="V1600" s="31" t="str">
        <f>IF(H1600="CHK",VLOOKUP(I1600,QCCHK,3,),IF(H1600="GUP",VLOOKUP(E1600,QCGUP,2,),IF(AND(H1600="ATP",OR(I1600="TN",I1600="TDN",I1600="TNO2-3",I1600="NO2-3")),VLOOKUP(E1600,QCREC_N,2,),IF(AND(H1600="NIC",OR(I1600="TN",I1600="TDN",I1600="TNO2-3",I1600="NO2-3")),VLOOKUP(E1600,QCNIC_N,2,),IF(AND(H1600="UREA",OR(I1600="TN",I1600="TDN",I1600="TNO2-3",I1600="NO2-3")),VLOOKUP(E1600,QCUREA_N,2,),IF(H1600="PER",VLOOKUP(I1600,QCPER,MATCH(E1600,QCACTUAL!$J$25:$AA$25,0),),IF(H1600="SPK",VLOOKUP(I1600,QCSPK,3,),IF(AND(H1600="ATP",OR(I1600="TP",I1600="TDP")),VLOOKUP(E1600,QCATP_P,2,),""))))))))</f>
        <v/>
      </c>
      <c r="W1600" s="31" t="str">
        <f t="shared" si="177"/>
        <v>TRUE</v>
      </c>
      <c r="X1600" s="31" t="str">
        <f t="shared" si="181"/>
        <v/>
      </c>
      <c r="Y1600" s="10" t="s">
        <v>1096</v>
      </c>
      <c r="Z1600" s="10" t="s">
        <v>910</v>
      </c>
      <c r="AL1600" s="10" t="str">
        <f t="shared" si="179"/>
        <v>FALSE</v>
      </c>
      <c r="AM1600" s="10" t="str">
        <f t="shared" si="179"/>
        <v>FALSE</v>
      </c>
      <c r="AN1600" s="10" t="str">
        <f t="shared" si="179"/>
        <v>FALSE</v>
      </c>
      <c r="AO1600" s="10" t="str">
        <f t="shared" si="180"/>
        <v>FALSE</v>
      </c>
      <c r="AP1600" s="10" t="str">
        <f t="shared" si="180"/>
        <v>FALSE</v>
      </c>
      <c r="AQ1600" s="10" t="b">
        <f>IF(AND(I1600="TP",S1600&lt;=150),VLOOKUP(AF1600,TPCalibEq150!$AZ$2:$BB$55,3,),IF(AND(I1600="TDP",S1600&lt;=150),VLOOKUP(AF1600,TPCalibEq150!$AZ$2:$BB$55,3,)))</f>
        <v>0</v>
      </c>
      <c r="AR1600" s="10" t="b">
        <f>IF(AND(I1600="TP",S1600&lt;=300),VLOOKUP(AF1600,TPCalibEq300!$AZ$2:$BB$55,3,),IF(AND(I1600="TDP",S1600&lt;=300),VLOOKUP(AF1600,TPCalibEq300!$AZ$2:$BB$55,3,)))</f>
        <v>0</v>
      </c>
      <c r="AS1600" s="10" t="b">
        <f>IF(AND(I1600="TP",S1600&lt;=500),VLOOKUP(AF1600,TPCalibEq500!$AZ$2:$BB$56,3,),IF(AND(I1600="TDP",S1600&lt;=500),VLOOKUP(AF1600,TPCalibEq500!$AZ$2:$BB$56,3,)))</f>
        <v>0</v>
      </c>
      <c r="AT1600" s="10" t="b">
        <f>IF(AND(I1600="TN",S1600&lt;=2800),VLOOKUP(AF1600,TNCalibEq2500!$AZ$2:$BB$56,3,),IF(AND(I1600="TDN",S1600&lt;=2800),VLOOKUP(AF1600,TNCalibEq2500!$AZ$2:$BB$56,3,)))</f>
        <v>0</v>
      </c>
      <c r="AU1600" s="10" t="b">
        <f>IF(I1600="TP",VLOOKUP(AF1600,TPCalibEqFull!$AZ$2:$BB$56,3),IF(I1600="TDP",VLOOKUP(AF1600,TPCalibEqFull!$AZ$2:$BB$56,3),IF(I1600="TDN",VLOOKUP(AF1600,TNCalibEqFull!$AZ$1:$BB$56,3),IF(I1600="TN",VLOOKUP(AF1600,TNCalibEqFull!$AZ$1:$BB$56,3),FALSE))))</f>
        <v>0</v>
      </c>
      <c r="AV1600" s="10" t="str">
        <f t="shared" si="178"/>
        <v>0123 09:22:00-S50-0-C-1-SW-UKN</v>
      </c>
    </row>
    <row r="1601" spans="1:48" s="10" customFormat="1" x14ac:dyDescent="0.55000000000000004">
      <c r="A1601" s="32">
        <v>44949</v>
      </c>
      <c r="B1601" s="33">
        <v>0.41250000000000003</v>
      </c>
      <c r="C1601" s="10" t="s">
        <v>528</v>
      </c>
      <c r="D1601" s="10">
        <v>0</v>
      </c>
      <c r="E1601" s="10" t="s">
        <v>190</v>
      </c>
      <c r="F1601" s="10">
        <v>1</v>
      </c>
      <c r="G1601" s="10" t="s">
        <v>231</v>
      </c>
      <c r="H1601" s="10" t="s">
        <v>322</v>
      </c>
      <c r="I1601" s="10" t="s">
        <v>256</v>
      </c>
      <c r="J1601" s="10">
        <v>18</v>
      </c>
      <c r="K1601" s="12">
        <v>44958</v>
      </c>
      <c r="L1601" s="33">
        <v>0.59564814814814815</v>
      </c>
      <c r="M1601" s="10">
        <v>10</v>
      </c>
      <c r="N1601" s="10" t="s">
        <v>169</v>
      </c>
      <c r="O1601" s="10">
        <v>1.76</v>
      </c>
      <c r="P1601" s="10">
        <v>8.3199999999999996E-2</v>
      </c>
      <c r="Q1601" s="10">
        <v>222</v>
      </c>
      <c r="R1601" s="10" t="s">
        <v>77</v>
      </c>
      <c r="S1601" s="34">
        <f t="shared" si="182"/>
        <v>2220</v>
      </c>
      <c r="T1601" s="10" t="s">
        <v>1114</v>
      </c>
      <c r="U1601" s="34" t="str">
        <f t="shared" si="176"/>
        <v/>
      </c>
      <c r="V1601" s="31" t="str">
        <f>IF(H1601="CHK",VLOOKUP(I1601,QCCHK,3,),IF(H1601="GUP",VLOOKUP(E1601,QCGUP,2,),IF(AND(H1601="ATP",OR(I1601="TN",I1601="TDN",I1601="TNO2-3",I1601="NO2-3")),VLOOKUP(E1601,QCREC_N,2,),IF(AND(H1601="NIC",OR(I1601="TN",I1601="TDN",I1601="TNO2-3",I1601="NO2-3")),VLOOKUP(E1601,QCNIC_N,2,),IF(AND(H1601="UREA",OR(I1601="TN",I1601="TDN",I1601="TNO2-3",I1601="NO2-3")),VLOOKUP(E1601,QCUREA_N,2,),IF(H1601="PER",VLOOKUP(I1601,QCPER,MATCH(E1601,QCACTUAL!$J$25:$AA$25,0),),IF(H1601="SPK",VLOOKUP(I1601,QCSPK,3,),IF(AND(H1601="ATP",OR(I1601="TP",I1601="TDP")),VLOOKUP(E1601,QCATP_P,2,),""))))))))</f>
        <v/>
      </c>
      <c r="W1601" s="31" t="str">
        <f t="shared" si="177"/>
        <v>TRUE</v>
      </c>
      <c r="X1601" s="31" t="str">
        <f t="shared" si="181"/>
        <v/>
      </c>
      <c r="Y1601" s="10" t="s">
        <v>1096</v>
      </c>
      <c r="Z1601" s="10" t="s">
        <v>910</v>
      </c>
      <c r="AL1601" s="10" t="str">
        <f t="shared" si="179"/>
        <v>FALSE</v>
      </c>
      <c r="AM1601" s="10" t="str">
        <f t="shared" si="179"/>
        <v>FALSE</v>
      </c>
      <c r="AN1601" s="10" t="str">
        <f t="shared" si="179"/>
        <v>FALSE</v>
      </c>
      <c r="AO1601" s="10" t="str">
        <f t="shared" si="180"/>
        <v>FALSE</v>
      </c>
      <c r="AP1601" s="10" t="str">
        <f t="shared" si="180"/>
        <v>FALSE</v>
      </c>
      <c r="AQ1601" s="10" t="b">
        <f>IF(AND(I1601="TP",S1601&lt;=150),VLOOKUP(AF1601,TPCalibEq150!$AZ$2:$BB$55,3,),IF(AND(I1601="TDP",S1601&lt;=150),VLOOKUP(AF1601,TPCalibEq150!$AZ$2:$BB$55,3,)))</f>
        <v>0</v>
      </c>
      <c r="AR1601" s="10" t="b">
        <f>IF(AND(I1601="TP",S1601&lt;=300),VLOOKUP(AF1601,TPCalibEq300!$AZ$2:$BB$55,3,),IF(AND(I1601="TDP",S1601&lt;=300),VLOOKUP(AF1601,TPCalibEq300!$AZ$2:$BB$55,3,)))</f>
        <v>0</v>
      </c>
      <c r="AS1601" s="10" t="b">
        <f>IF(AND(I1601="TP",S1601&lt;=500),VLOOKUP(AF1601,TPCalibEq500!$AZ$2:$BB$56,3,),IF(AND(I1601="TDP",S1601&lt;=500),VLOOKUP(AF1601,TPCalibEq500!$AZ$2:$BB$56,3,)))</f>
        <v>0</v>
      </c>
      <c r="AT1601" s="10" t="b">
        <f>IF(AND(I1601="TN",S1601&lt;=2800),VLOOKUP(AF1601,TNCalibEq2500!$AZ$2:$BB$56,3,),IF(AND(I1601="TDN",S1601&lt;=2800),VLOOKUP(AF1601,TNCalibEq2500!$AZ$2:$BB$56,3,)))</f>
        <v>0</v>
      </c>
      <c r="AU1601" s="10" t="b">
        <f>IF(I1601="TP",VLOOKUP(AF1601,TPCalibEqFull!$AZ$2:$BB$56,3),IF(I1601="TDP",VLOOKUP(AF1601,TPCalibEqFull!$AZ$2:$BB$56,3),IF(I1601="TDN",VLOOKUP(AF1601,TNCalibEqFull!$AZ$1:$BB$56,3),IF(I1601="TN",VLOOKUP(AF1601,TNCalibEqFull!$AZ$1:$BB$56,3),FALSE))))</f>
        <v>0</v>
      </c>
      <c r="AV1601" s="10" t="str">
        <f t="shared" si="178"/>
        <v>0123 09:54:00-P04-0-C-1-SW-UKN</v>
      </c>
    </row>
    <row r="1602" spans="1:48" s="10" customFormat="1" x14ac:dyDescent="0.55000000000000004">
      <c r="A1602" s="32">
        <v>44949</v>
      </c>
      <c r="B1602" s="33">
        <v>0.42569444444444443</v>
      </c>
      <c r="C1602" s="10">
        <v>506</v>
      </c>
      <c r="D1602" s="10">
        <v>0</v>
      </c>
      <c r="E1602" s="10" t="s">
        <v>190</v>
      </c>
      <c r="F1602" s="10">
        <v>1</v>
      </c>
      <c r="G1602" s="10" t="s">
        <v>231</v>
      </c>
      <c r="H1602" s="10" t="s">
        <v>322</v>
      </c>
      <c r="I1602" s="10" t="s">
        <v>256</v>
      </c>
      <c r="J1602" s="10">
        <v>19</v>
      </c>
      <c r="K1602" s="12">
        <v>44958</v>
      </c>
      <c r="L1602" s="33">
        <v>0.59646990740740746</v>
      </c>
      <c r="M1602" s="10">
        <v>10</v>
      </c>
      <c r="N1602" s="10" t="s">
        <v>169</v>
      </c>
      <c r="O1602" s="10">
        <v>1.52</v>
      </c>
      <c r="P1602" s="10">
        <v>7.1599999999999997E-2</v>
      </c>
      <c r="Q1602" s="10">
        <v>191</v>
      </c>
      <c r="R1602" s="10" t="s">
        <v>77</v>
      </c>
      <c r="S1602" s="34">
        <f t="shared" si="182"/>
        <v>1910</v>
      </c>
      <c r="T1602" s="10" t="s">
        <v>1114</v>
      </c>
      <c r="U1602" s="34" t="str">
        <f t="shared" ref="U1602:U1665" si="183">IF(OR(H1602="CHK",H1602="ATP",H1602="GUP",H1602="PER", H1602="NIC", H1602="UREA"),(S1602/V1602*100),IF(H1602="DUP",((ABS(S1602-S1601))/((S1601+S1602)/2))*100,IF(H1602="SPK",((S1602-S1601)/V1602*100),IF(OR(H1602="LAB",H1602="FLD",H1602="ESF"),S1602,""))))</f>
        <v/>
      </c>
      <c r="V1602" s="31" t="str">
        <f>IF(H1602="CHK",VLOOKUP(I1602,QCCHK,3,),IF(H1602="GUP",VLOOKUP(E1602,QCGUP,2,),IF(AND(H1602="ATP",OR(I1602="TN",I1602="TDN",I1602="TNO2-3",I1602="NO2-3")),VLOOKUP(E1602,QCREC_N,2,),IF(AND(H1602="NIC",OR(I1602="TN",I1602="TDN",I1602="TNO2-3",I1602="NO2-3")),VLOOKUP(E1602,QCNIC_N,2,),IF(AND(H1602="UREA",OR(I1602="TN",I1602="TDN",I1602="TNO2-3",I1602="NO2-3")),VLOOKUP(E1602,QCUREA_N,2,),IF(H1602="PER",VLOOKUP(I1602,QCPER,MATCH(E1602,QCACTUAL!$J$25:$AA$25,0),),IF(H1602="SPK",VLOOKUP(I1602,QCSPK,3,),IF(AND(H1602="ATP",OR(I1602="TP",I1602="TDP")),VLOOKUP(E1602,QCATP_P,2,),""))))))))</f>
        <v/>
      </c>
      <c r="W1602" s="31" t="str">
        <f t="shared" ref="W1602:W1665" si="184">IF(AND(OR(H1602="PER",H1602="ATP",H1602="GUP",H1602="CHK",H1602="SPK", H1602="NIC"),OR(U1602&gt;125,U1602&lt;75)),"FALSE",IF(AND(H1602="DUP",OR(U1602&gt;25, U1602&lt;-25)),"FALSE",IF(AND(OR(H1602="LAB",H1602="FLD",H1602="ESF"),U1602&gt;15),"FALSE","TRUE")))</f>
        <v>TRUE</v>
      </c>
      <c r="X1602" s="31" t="str">
        <f t="shared" si="181"/>
        <v/>
      </c>
      <c r="Y1602" s="10" t="s">
        <v>1096</v>
      </c>
      <c r="Z1602" s="10" t="s">
        <v>910</v>
      </c>
      <c r="AL1602" s="10" t="str">
        <f t="shared" si="179"/>
        <v>FALSE</v>
      </c>
      <c r="AM1602" s="10" t="str">
        <f t="shared" si="179"/>
        <v>FALSE</v>
      </c>
      <c r="AN1602" s="10" t="str">
        <f t="shared" si="179"/>
        <v>FALSE</v>
      </c>
      <c r="AO1602" s="10" t="str">
        <f t="shared" si="180"/>
        <v>FALSE</v>
      </c>
      <c r="AP1602" s="10" t="str">
        <f t="shared" si="180"/>
        <v>FALSE</v>
      </c>
      <c r="AQ1602" s="10" t="b">
        <f>IF(AND(I1602="TP",S1602&lt;=150),VLOOKUP(AF1602,TPCalibEq150!$AZ$2:$BB$55,3,),IF(AND(I1602="TDP",S1602&lt;=150),VLOOKUP(AF1602,TPCalibEq150!$AZ$2:$BB$55,3,)))</f>
        <v>0</v>
      </c>
      <c r="AR1602" s="10" t="b">
        <f>IF(AND(I1602="TP",S1602&lt;=300),VLOOKUP(AF1602,TPCalibEq300!$AZ$2:$BB$55,3,),IF(AND(I1602="TDP",S1602&lt;=300),VLOOKUP(AF1602,TPCalibEq300!$AZ$2:$BB$55,3,)))</f>
        <v>0</v>
      </c>
      <c r="AS1602" s="10" t="b">
        <f>IF(AND(I1602="TP",S1602&lt;=500),VLOOKUP(AF1602,TPCalibEq500!$AZ$2:$BB$56,3,),IF(AND(I1602="TDP",S1602&lt;=500),VLOOKUP(AF1602,TPCalibEq500!$AZ$2:$BB$56,3,)))</f>
        <v>0</v>
      </c>
      <c r="AT1602" s="10" t="b">
        <f>IF(AND(I1602="TN",S1602&lt;=2800),VLOOKUP(AF1602,TNCalibEq2500!$AZ$2:$BB$56,3,),IF(AND(I1602="TDN",S1602&lt;=2800),VLOOKUP(AF1602,TNCalibEq2500!$AZ$2:$BB$56,3,)))</f>
        <v>0</v>
      </c>
      <c r="AU1602" s="10" t="b">
        <f>IF(I1602="TP",VLOOKUP(AF1602,TPCalibEqFull!$AZ$2:$BB$56,3),IF(I1602="TDP",VLOOKUP(AF1602,TPCalibEqFull!$AZ$2:$BB$56,3),IF(I1602="TDN",VLOOKUP(AF1602,TNCalibEqFull!$AZ$1:$BB$56,3),IF(I1602="TN",VLOOKUP(AF1602,TNCalibEqFull!$AZ$1:$BB$56,3),FALSE))))</f>
        <v>0</v>
      </c>
      <c r="AV1602" s="10" t="str">
        <f t="shared" ref="AV1602:AV1665" si="185">TEXT(A1602, "MMDD")&amp;" "&amp;TEXT(B1602, "HH:MM:SS")&amp;"-"&amp;C1602&amp;"-"&amp;D1602&amp;"-"&amp;E1602&amp;"-"&amp;F1602&amp;"-"&amp;G1602&amp;"-"&amp;H1602</f>
        <v>0123 10:13:00-506-0-C-1-SW-UKN</v>
      </c>
    </row>
    <row r="1603" spans="1:48" s="10" customFormat="1" x14ac:dyDescent="0.55000000000000004">
      <c r="A1603" s="32">
        <v>44949</v>
      </c>
      <c r="B1603" s="33">
        <v>0.43333333333333335</v>
      </c>
      <c r="C1603" s="10" t="s">
        <v>1104</v>
      </c>
      <c r="D1603" s="10">
        <v>0</v>
      </c>
      <c r="E1603" s="10" t="s">
        <v>190</v>
      </c>
      <c r="F1603" s="10">
        <v>1</v>
      </c>
      <c r="G1603" s="10" t="s">
        <v>231</v>
      </c>
      <c r="H1603" s="10" t="s">
        <v>322</v>
      </c>
      <c r="I1603" s="10" t="s">
        <v>256</v>
      </c>
      <c r="J1603" s="10">
        <v>20</v>
      </c>
      <c r="K1603" s="12">
        <v>44958</v>
      </c>
      <c r="L1603" s="33">
        <v>0.59729166666666667</v>
      </c>
      <c r="M1603" s="10">
        <v>10</v>
      </c>
      <c r="N1603" s="10" t="s">
        <v>169</v>
      </c>
      <c r="O1603" s="10">
        <v>1.52</v>
      </c>
      <c r="P1603" s="10">
        <v>7.0699999999999999E-2</v>
      </c>
      <c r="Q1603" s="10">
        <v>191</v>
      </c>
      <c r="R1603" s="10" t="s">
        <v>77</v>
      </c>
      <c r="S1603" s="34">
        <f t="shared" si="182"/>
        <v>1910</v>
      </c>
      <c r="T1603" s="10" t="s">
        <v>1114</v>
      </c>
      <c r="U1603" s="34" t="str">
        <f t="shared" si="183"/>
        <v/>
      </c>
      <c r="V1603" s="31" t="str">
        <f>IF(H1603="CHK",VLOOKUP(I1603,QCCHK,3,),IF(H1603="GUP",VLOOKUP(E1603,QCGUP,2,),IF(AND(H1603="ATP",OR(I1603="TN",I1603="TDN",I1603="TNO2-3",I1603="NO2-3")),VLOOKUP(E1603,QCREC_N,2,),IF(AND(H1603="NIC",OR(I1603="TN",I1603="TDN",I1603="TNO2-3",I1603="NO2-3")),VLOOKUP(E1603,QCNIC_N,2,),IF(AND(H1603="UREA",OR(I1603="TN",I1603="TDN",I1603="TNO2-3",I1603="NO2-3")),VLOOKUP(E1603,QCUREA_N,2,),IF(H1603="PER",VLOOKUP(I1603,QCPER,MATCH(E1603,QCACTUAL!$J$25:$AA$25,0),),IF(H1603="SPK",VLOOKUP(I1603,QCSPK,3,),IF(AND(H1603="ATP",OR(I1603="TP",I1603="TDP")),VLOOKUP(E1603,QCATP_P,2,),""))))))))</f>
        <v/>
      </c>
      <c r="W1603" s="31" t="str">
        <f t="shared" si="184"/>
        <v>TRUE</v>
      </c>
      <c r="X1603" s="31" t="str">
        <f t="shared" si="181"/>
        <v/>
      </c>
      <c r="Y1603" s="10" t="s">
        <v>1096</v>
      </c>
      <c r="Z1603" s="10" t="s">
        <v>910</v>
      </c>
      <c r="AL1603" s="10" t="str">
        <f t="shared" si="179"/>
        <v>FALSE</v>
      </c>
      <c r="AM1603" s="10" t="str">
        <f t="shared" si="179"/>
        <v>FALSE</v>
      </c>
      <c r="AN1603" s="10" t="str">
        <f t="shared" si="179"/>
        <v>FALSE</v>
      </c>
      <c r="AO1603" s="10" t="str">
        <f t="shared" si="180"/>
        <v>FALSE</v>
      </c>
      <c r="AP1603" s="10" t="str">
        <f t="shared" si="180"/>
        <v>FALSE</v>
      </c>
      <c r="AQ1603" s="10" t="b">
        <f>IF(AND(I1603="TP",S1603&lt;=150),VLOOKUP(AF1603,TPCalibEq150!$AZ$2:$BB$55,3,),IF(AND(I1603="TDP",S1603&lt;=150),VLOOKUP(AF1603,TPCalibEq150!$AZ$2:$BB$55,3,)))</f>
        <v>0</v>
      </c>
      <c r="AR1603" s="10" t="b">
        <f>IF(AND(I1603="TP",S1603&lt;=300),VLOOKUP(AF1603,TPCalibEq300!$AZ$2:$BB$55,3,),IF(AND(I1603="TDP",S1603&lt;=300),VLOOKUP(AF1603,TPCalibEq300!$AZ$2:$BB$55,3,)))</f>
        <v>0</v>
      </c>
      <c r="AS1603" s="10" t="b">
        <f>IF(AND(I1603="TP",S1603&lt;=500),VLOOKUP(AF1603,TPCalibEq500!$AZ$2:$BB$56,3,),IF(AND(I1603="TDP",S1603&lt;=500),VLOOKUP(AF1603,TPCalibEq500!$AZ$2:$BB$56,3,)))</f>
        <v>0</v>
      </c>
      <c r="AT1603" s="10" t="b">
        <f>IF(AND(I1603="TN",S1603&lt;=2800),VLOOKUP(AF1603,TNCalibEq2500!$AZ$2:$BB$56,3,),IF(AND(I1603="TDN",S1603&lt;=2800),VLOOKUP(AF1603,TNCalibEq2500!$AZ$2:$BB$56,3,)))</f>
        <v>0</v>
      </c>
      <c r="AU1603" s="10" t="b">
        <f>IF(I1603="TP",VLOOKUP(AF1603,TPCalibEqFull!$AZ$2:$BB$56,3),IF(I1603="TDP",VLOOKUP(AF1603,TPCalibEqFull!$AZ$2:$BB$56,3),IF(I1603="TDN",VLOOKUP(AF1603,TNCalibEqFull!$AZ$1:$BB$56,3),IF(I1603="TN",VLOOKUP(AF1603,TNCalibEqFull!$AZ$1:$BB$56,3),FALSE))))</f>
        <v>0</v>
      </c>
      <c r="AV1603" s="10" t="str">
        <f t="shared" si="185"/>
        <v>0123 10:24:00-LBW-0-C-1-SW-UKN</v>
      </c>
    </row>
    <row r="1604" spans="1:48" s="10" customFormat="1" x14ac:dyDescent="0.55000000000000004">
      <c r="A1604" s="32">
        <v>44949</v>
      </c>
      <c r="B1604" s="33">
        <v>0.45</v>
      </c>
      <c r="C1604" s="10" t="s">
        <v>537</v>
      </c>
      <c r="D1604" s="10">
        <v>0</v>
      </c>
      <c r="E1604" s="10" t="s">
        <v>190</v>
      </c>
      <c r="F1604" s="10">
        <v>1</v>
      </c>
      <c r="G1604" s="10" t="s">
        <v>231</v>
      </c>
      <c r="H1604" s="10" t="s">
        <v>322</v>
      </c>
      <c r="I1604" s="10" t="s">
        <v>256</v>
      </c>
      <c r="J1604" s="10">
        <v>21</v>
      </c>
      <c r="K1604" s="12">
        <v>44958</v>
      </c>
      <c r="L1604" s="33">
        <v>0.52541666666666664</v>
      </c>
      <c r="M1604" s="10">
        <v>1</v>
      </c>
      <c r="N1604" s="10" t="s">
        <v>169</v>
      </c>
      <c r="O1604" s="10">
        <v>6.83</v>
      </c>
      <c r="P1604" s="10">
        <v>0.32900000000000001</v>
      </c>
      <c r="Q1604" s="10">
        <v>860</v>
      </c>
      <c r="R1604" s="10" t="s">
        <v>77</v>
      </c>
      <c r="S1604" s="34">
        <f t="shared" si="182"/>
        <v>860</v>
      </c>
      <c r="T1604" s="10" t="s">
        <v>1114</v>
      </c>
      <c r="U1604" s="34" t="str">
        <f t="shared" si="183"/>
        <v/>
      </c>
      <c r="V1604" s="31" t="str">
        <f>IF(H1604="CHK",VLOOKUP(I1604,QCCHK,3,),IF(H1604="GUP",VLOOKUP(E1604,QCGUP,2,),IF(AND(H1604="ATP",OR(I1604="TN",I1604="TDN",I1604="TNO2-3",I1604="NO2-3")),VLOOKUP(E1604,QCREC_N,2,),IF(AND(H1604="NIC",OR(I1604="TN",I1604="TDN",I1604="TNO2-3",I1604="NO2-3")),VLOOKUP(E1604,QCNIC_N,2,),IF(AND(H1604="UREA",OR(I1604="TN",I1604="TDN",I1604="TNO2-3",I1604="NO2-3")),VLOOKUP(E1604,QCUREA_N,2,),IF(H1604="PER",VLOOKUP(I1604,QCPER,MATCH(E1604,QCACTUAL!$J$25:$AA$25,0),),IF(H1604="SPK",VLOOKUP(I1604,QCSPK,3,),IF(AND(H1604="ATP",OR(I1604="TP",I1604="TDP")),VLOOKUP(E1604,QCATP_P,2,),""))))))))</f>
        <v/>
      </c>
      <c r="W1604" s="31" t="str">
        <f t="shared" si="184"/>
        <v>TRUE</v>
      </c>
      <c r="X1604" s="31" t="str">
        <f t="shared" si="181"/>
        <v/>
      </c>
      <c r="Y1604" s="10" t="s">
        <v>1096</v>
      </c>
      <c r="Z1604" s="10" t="s">
        <v>910</v>
      </c>
      <c r="AL1604" s="10" t="str">
        <f t="shared" si="179"/>
        <v>FALSE</v>
      </c>
      <c r="AM1604" s="10" t="str">
        <f t="shared" si="179"/>
        <v>FALSE</v>
      </c>
      <c r="AN1604" s="10" t="str">
        <f t="shared" si="179"/>
        <v>FALSE</v>
      </c>
      <c r="AO1604" s="10" t="str">
        <f t="shared" si="180"/>
        <v>FALSE</v>
      </c>
      <c r="AP1604" s="10" t="str">
        <f t="shared" si="180"/>
        <v>FALSE</v>
      </c>
      <c r="AQ1604" s="10" t="b">
        <f>IF(AND(I1604="TP",S1604&lt;=150),VLOOKUP(AF1604,TPCalibEq150!$AZ$2:$BB$55,3,),IF(AND(I1604="TDP",S1604&lt;=150),VLOOKUP(AF1604,TPCalibEq150!$AZ$2:$BB$55,3,)))</f>
        <v>0</v>
      </c>
      <c r="AR1604" s="10" t="b">
        <f>IF(AND(I1604="TP",S1604&lt;=300),VLOOKUP(AF1604,TPCalibEq300!$AZ$2:$BB$55,3,),IF(AND(I1604="TDP",S1604&lt;=300),VLOOKUP(AF1604,TPCalibEq300!$AZ$2:$BB$55,3,)))</f>
        <v>0</v>
      </c>
      <c r="AS1604" s="10" t="b">
        <f>IF(AND(I1604="TP",S1604&lt;=500),VLOOKUP(AF1604,TPCalibEq500!$AZ$2:$BB$56,3,),IF(AND(I1604="TDP",S1604&lt;=500),VLOOKUP(AF1604,TPCalibEq500!$AZ$2:$BB$56,3,)))</f>
        <v>0</v>
      </c>
      <c r="AT1604" s="10" t="b">
        <f>IF(AND(I1604="TN",S1604&lt;=2800),VLOOKUP(AF1604,TNCalibEq2500!$AZ$2:$BB$56,3,),IF(AND(I1604="TDN",S1604&lt;=2800),VLOOKUP(AF1604,TNCalibEq2500!$AZ$2:$BB$56,3,)))</f>
        <v>0</v>
      </c>
      <c r="AU1604" s="10" t="b">
        <f>IF(I1604="TP",VLOOKUP(AF1604,TPCalibEqFull!$AZ$2:$BB$56,3),IF(I1604="TDP",VLOOKUP(AF1604,TPCalibEqFull!$AZ$2:$BB$56,3),IF(I1604="TDN",VLOOKUP(AF1604,TNCalibEqFull!$AZ$1:$BB$56,3),IF(I1604="TN",VLOOKUP(AF1604,TNCalibEqFull!$AZ$1:$BB$56,3),FALSE))))</f>
        <v>0</v>
      </c>
      <c r="AV1604" s="10" t="str">
        <f t="shared" si="185"/>
        <v>0123 10:48:00-S51-0-C-1-SW-UKN</v>
      </c>
    </row>
    <row r="1605" spans="1:48" s="10" customFormat="1" x14ac:dyDescent="0.55000000000000004">
      <c r="A1605" s="32">
        <v>44949</v>
      </c>
      <c r="B1605" s="33">
        <v>0.46736111111111112</v>
      </c>
      <c r="C1605" s="10">
        <v>890</v>
      </c>
      <c r="D1605" s="10">
        <v>0</v>
      </c>
      <c r="E1605" s="10" t="s">
        <v>190</v>
      </c>
      <c r="F1605" s="10">
        <v>1</v>
      </c>
      <c r="G1605" s="10" t="s">
        <v>231</v>
      </c>
      <c r="H1605" s="10" t="s">
        <v>322</v>
      </c>
      <c r="I1605" s="10" t="s">
        <v>256</v>
      </c>
      <c r="J1605" s="10">
        <v>22</v>
      </c>
      <c r="K1605" s="12">
        <v>44958</v>
      </c>
      <c r="L1605" s="33">
        <v>0.52623842592592596</v>
      </c>
      <c r="M1605" s="10">
        <v>1</v>
      </c>
      <c r="N1605" s="10" t="s">
        <v>169</v>
      </c>
      <c r="O1605" s="10">
        <v>5.47</v>
      </c>
      <c r="P1605" s="10">
        <v>0.26300000000000001</v>
      </c>
      <c r="Q1605" s="10">
        <v>689</v>
      </c>
      <c r="R1605" s="10" t="s">
        <v>77</v>
      </c>
      <c r="S1605" s="34">
        <f t="shared" si="182"/>
        <v>689</v>
      </c>
      <c r="T1605" s="10" t="s">
        <v>1114</v>
      </c>
      <c r="U1605" s="34" t="str">
        <f t="shared" si="183"/>
        <v/>
      </c>
      <c r="V1605" s="31" t="str">
        <f>IF(H1605="CHK",VLOOKUP(I1605,QCCHK,3,),IF(H1605="GUP",VLOOKUP(E1605,QCGUP,2,),IF(AND(H1605="ATP",OR(I1605="TN",I1605="TDN",I1605="TNO2-3",I1605="NO2-3")),VLOOKUP(E1605,QCREC_N,2,),IF(AND(H1605="NIC",OR(I1605="TN",I1605="TDN",I1605="TNO2-3",I1605="NO2-3")),VLOOKUP(E1605,QCNIC_N,2,),IF(AND(H1605="UREA",OR(I1605="TN",I1605="TDN",I1605="TNO2-3",I1605="NO2-3")),VLOOKUP(E1605,QCUREA_N,2,),IF(H1605="PER",VLOOKUP(I1605,QCPER,MATCH(E1605,QCACTUAL!$J$25:$AA$25,0),),IF(H1605="SPK",VLOOKUP(I1605,QCSPK,3,),IF(AND(H1605="ATP",OR(I1605="TP",I1605="TDP")),VLOOKUP(E1605,QCATP_P,2,),""))))))))</f>
        <v/>
      </c>
      <c r="W1605" s="31" t="str">
        <f t="shared" si="184"/>
        <v>TRUE</v>
      </c>
      <c r="X1605" s="31" t="str">
        <f t="shared" si="181"/>
        <v/>
      </c>
      <c r="Y1605" s="10" t="s">
        <v>1096</v>
      </c>
      <c r="Z1605" s="10" t="s">
        <v>910</v>
      </c>
      <c r="AL1605" s="10" t="str">
        <f t="shared" si="179"/>
        <v>FALSE</v>
      </c>
      <c r="AM1605" s="10" t="str">
        <f t="shared" si="179"/>
        <v>FALSE</v>
      </c>
      <c r="AN1605" s="10" t="str">
        <f t="shared" si="179"/>
        <v>FALSE</v>
      </c>
      <c r="AO1605" s="10" t="str">
        <f t="shared" si="180"/>
        <v>FALSE</v>
      </c>
      <c r="AP1605" s="10" t="str">
        <f t="shared" si="180"/>
        <v>FALSE</v>
      </c>
      <c r="AQ1605" s="10" t="b">
        <f>IF(AND(I1605="TP",S1605&lt;=150),VLOOKUP(AF1605,TPCalibEq150!$AZ$2:$BB$55,3,),IF(AND(I1605="TDP",S1605&lt;=150),VLOOKUP(AF1605,TPCalibEq150!$AZ$2:$BB$55,3,)))</f>
        <v>0</v>
      </c>
      <c r="AR1605" s="10" t="b">
        <f>IF(AND(I1605="TP",S1605&lt;=300),VLOOKUP(AF1605,TPCalibEq300!$AZ$2:$BB$55,3,),IF(AND(I1605="TDP",S1605&lt;=300),VLOOKUP(AF1605,TPCalibEq300!$AZ$2:$BB$55,3,)))</f>
        <v>0</v>
      </c>
      <c r="AS1605" s="10" t="b">
        <f>IF(AND(I1605="TP",S1605&lt;=500),VLOOKUP(AF1605,TPCalibEq500!$AZ$2:$BB$56,3,),IF(AND(I1605="TDP",S1605&lt;=500),VLOOKUP(AF1605,TPCalibEq500!$AZ$2:$BB$56,3,)))</f>
        <v>0</v>
      </c>
      <c r="AT1605" s="10" t="b">
        <f>IF(AND(I1605="TN",S1605&lt;=2800),VLOOKUP(AF1605,TNCalibEq2500!$AZ$2:$BB$56,3,),IF(AND(I1605="TDN",S1605&lt;=2800),VLOOKUP(AF1605,TNCalibEq2500!$AZ$2:$BB$56,3,)))</f>
        <v>0</v>
      </c>
      <c r="AU1605" s="10" t="b">
        <f>IF(I1605="TP",VLOOKUP(AF1605,TPCalibEqFull!$AZ$2:$BB$56,3),IF(I1605="TDP",VLOOKUP(AF1605,TPCalibEqFull!$AZ$2:$BB$56,3),IF(I1605="TDN",VLOOKUP(AF1605,TNCalibEqFull!$AZ$1:$BB$56,3),IF(I1605="TN",VLOOKUP(AF1605,TNCalibEqFull!$AZ$1:$BB$56,3),FALSE))))</f>
        <v>0</v>
      </c>
      <c r="AV1605" s="10" t="str">
        <f t="shared" si="185"/>
        <v>0123 11:13:00-890-0-C-1-SW-UKN</v>
      </c>
    </row>
    <row r="1606" spans="1:48" s="10" customFormat="1" x14ac:dyDescent="0.55000000000000004">
      <c r="A1606" s="32">
        <v>44949</v>
      </c>
      <c r="B1606" s="33">
        <v>0.4861111111111111</v>
      </c>
      <c r="C1606" s="10" t="s">
        <v>437</v>
      </c>
      <c r="D1606" s="10">
        <v>0</v>
      </c>
      <c r="E1606" s="10" t="s">
        <v>190</v>
      </c>
      <c r="F1606" s="10">
        <v>1</v>
      </c>
      <c r="G1606" s="10" t="s">
        <v>231</v>
      </c>
      <c r="H1606" s="10" t="s">
        <v>322</v>
      </c>
      <c r="I1606" s="10" t="s">
        <v>256</v>
      </c>
      <c r="J1606" s="10">
        <v>23</v>
      </c>
      <c r="K1606" s="12">
        <v>44958</v>
      </c>
      <c r="L1606" s="33">
        <v>0.52706018518518516</v>
      </c>
      <c r="M1606" s="10">
        <v>1</v>
      </c>
      <c r="N1606" s="10" t="s">
        <v>169</v>
      </c>
      <c r="O1606" s="10">
        <v>2.62</v>
      </c>
      <c r="P1606" s="10">
        <v>0.126</v>
      </c>
      <c r="Q1606" s="10">
        <v>330</v>
      </c>
      <c r="R1606" s="10" t="s">
        <v>77</v>
      </c>
      <c r="S1606" s="34">
        <f t="shared" si="182"/>
        <v>330</v>
      </c>
      <c r="T1606" s="10" t="s">
        <v>1114</v>
      </c>
      <c r="U1606" s="34" t="str">
        <f t="shared" si="183"/>
        <v/>
      </c>
      <c r="V1606" s="31" t="str">
        <f>IF(H1606="CHK",VLOOKUP(I1606,QCCHK,3,),IF(H1606="GUP",VLOOKUP(E1606,QCGUP,2,),IF(AND(H1606="ATP",OR(I1606="TN",I1606="TDN",I1606="TNO2-3",I1606="NO2-3")),VLOOKUP(E1606,QCREC_N,2,),IF(AND(H1606="NIC",OR(I1606="TN",I1606="TDN",I1606="TNO2-3",I1606="NO2-3")),VLOOKUP(E1606,QCNIC_N,2,),IF(AND(H1606="UREA",OR(I1606="TN",I1606="TDN",I1606="TNO2-3",I1606="NO2-3")),VLOOKUP(E1606,QCUREA_N,2,),IF(H1606="PER",VLOOKUP(I1606,QCPER,MATCH(E1606,QCACTUAL!$J$25:$AA$25,0),),IF(H1606="SPK",VLOOKUP(I1606,QCSPK,3,),IF(AND(H1606="ATP",OR(I1606="TP",I1606="TDP")),VLOOKUP(E1606,QCATP_P,2,),""))))))))</f>
        <v/>
      </c>
      <c r="W1606" s="31" t="str">
        <f t="shared" si="184"/>
        <v>TRUE</v>
      </c>
      <c r="X1606" s="31" t="str">
        <f t="shared" si="181"/>
        <v/>
      </c>
      <c r="Y1606" s="10" t="s">
        <v>1096</v>
      </c>
      <c r="Z1606" s="10" t="s">
        <v>910</v>
      </c>
      <c r="AL1606" s="10" t="str">
        <f t="shared" si="179"/>
        <v>FALSE</v>
      </c>
      <c r="AM1606" s="10" t="str">
        <f t="shared" si="179"/>
        <v>FALSE</v>
      </c>
      <c r="AN1606" s="10" t="str">
        <f t="shared" si="179"/>
        <v>FALSE</v>
      </c>
      <c r="AO1606" s="10" t="str">
        <f t="shared" si="180"/>
        <v>FALSE</v>
      </c>
      <c r="AP1606" s="10" t="str">
        <f t="shared" si="180"/>
        <v>FALSE</v>
      </c>
      <c r="AQ1606" s="10" t="b">
        <f>IF(AND(I1606="TP",S1606&lt;=150),VLOOKUP(AF1606,TPCalibEq150!$AZ$2:$BB$55,3,),IF(AND(I1606="TDP",S1606&lt;=150),VLOOKUP(AF1606,TPCalibEq150!$AZ$2:$BB$55,3,)))</f>
        <v>0</v>
      </c>
      <c r="AR1606" s="10" t="b">
        <f>IF(AND(I1606="TP",S1606&lt;=300),VLOOKUP(AF1606,TPCalibEq300!$AZ$2:$BB$55,3,),IF(AND(I1606="TDP",S1606&lt;=300),VLOOKUP(AF1606,TPCalibEq300!$AZ$2:$BB$55,3,)))</f>
        <v>0</v>
      </c>
      <c r="AS1606" s="10" t="b">
        <f>IF(AND(I1606="TP",S1606&lt;=500),VLOOKUP(AF1606,TPCalibEq500!$AZ$2:$BB$56,3,),IF(AND(I1606="TDP",S1606&lt;=500),VLOOKUP(AF1606,TPCalibEq500!$AZ$2:$BB$56,3,)))</f>
        <v>0</v>
      </c>
      <c r="AT1606" s="10" t="b">
        <f>IF(AND(I1606="TN",S1606&lt;=2800),VLOOKUP(AF1606,TNCalibEq2500!$AZ$2:$BB$56,3,),IF(AND(I1606="TDN",S1606&lt;=2800),VLOOKUP(AF1606,TNCalibEq2500!$AZ$2:$BB$56,3,)))</f>
        <v>0</v>
      </c>
      <c r="AU1606" s="10" t="b">
        <f>IF(I1606="TP",VLOOKUP(AF1606,TPCalibEqFull!$AZ$2:$BB$56,3),IF(I1606="TDP",VLOOKUP(AF1606,TPCalibEqFull!$AZ$2:$BB$56,3),IF(I1606="TDN",VLOOKUP(AF1606,TNCalibEqFull!$AZ$1:$BB$56,3),IF(I1606="TN",VLOOKUP(AF1606,TNCalibEqFull!$AZ$1:$BB$56,3),FALSE))))</f>
        <v>0</v>
      </c>
      <c r="AV1606" s="10" t="str">
        <f t="shared" si="185"/>
        <v>0123 11:40:00-FVM-0-C-1-SW-UKN</v>
      </c>
    </row>
    <row r="1607" spans="1:48" s="10" customFormat="1" x14ac:dyDescent="0.55000000000000004">
      <c r="A1607" s="32">
        <v>44949</v>
      </c>
      <c r="B1607" s="33">
        <v>0.4861111111111111</v>
      </c>
      <c r="C1607" s="10" t="s">
        <v>437</v>
      </c>
      <c r="D1607" s="10">
        <v>0</v>
      </c>
      <c r="E1607" s="10" t="s">
        <v>190</v>
      </c>
      <c r="F1607" s="10">
        <v>2</v>
      </c>
      <c r="G1607" s="10" t="s">
        <v>231</v>
      </c>
      <c r="H1607" s="10" t="s">
        <v>322</v>
      </c>
      <c r="I1607" s="10" t="s">
        <v>256</v>
      </c>
      <c r="J1607" s="10">
        <v>24</v>
      </c>
      <c r="K1607" s="12">
        <v>44958</v>
      </c>
      <c r="L1607" s="33">
        <v>0.52787037037037032</v>
      </c>
      <c r="M1607" s="10">
        <v>1</v>
      </c>
      <c r="N1607" s="10" t="s">
        <v>169</v>
      </c>
      <c r="O1607" s="10">
        <v>2.61</v>
      </c>
      <c r="P1607" s="10">
        <v>0.126</v>
      </c>
      <c r="Q1607" s="10">
        <v>329</v>
      </c>
      <c r="R1607" s="10" t="s">
        <v>77</v>
      </c>
      <c r="S1607" s="34">
        <f t="shared" si="182"/>
        <v>329</v>
      </c>
      <c r="T1607" s="10" t="s">
        <v>1114</v>
      </c>
      <c r="U1607" s="34" t="str">
        <f t="shared" si="183"/>
        <v/>
      </c>
      <c r="V1607" s="31" t="str">
        <f>IF(H1607="CHK",VLOOKUP(I1607,QCCHK,3,),IF(H1607="GUP",VLOOKUP(E1607,QCGUP,2,),IF(AND(H1607="ATP",OR(I1607="TN",I1607="TDN",I1607="TNO2-3",I1607="NO2-3")),VLOOKUP(E1607,QCREC_N,2,),IF(AND(H1607="NIC",OR(I1607="TN",I1607="TDN",I1607="TNO2-3",I1607="NO2-3")),VLOOKUP(E1607,QCNIC_N,2,),IF(AND(H1607="UREA",OR(I1607="TN",I1607="TDN",I1607="TNO2-3",I1607="NO2-3")),VLOOKUP(E1607,QCUREA_N,2,),IF(H1607="PER",VLOOKUP(I1607,QCPER,MATCH(E1607,QCACTUAL!$J$25:$AA$25,0),),IF(H1607="SPK",VLOOKUP(I1607,QCSPK,3,),IF(AND(H1607="ATP",OR(I1607="TP",I1607="TDP")),VLOOKUP(E1607,QCATP_P,2,),""))))))))</f>
        <v/>
      </c>
      <c r="W1607" s="31" t="str">
        <f t="shared" si="184"/>
        <v>TRUE</v>
      </c>
      <c r="X1607" s="31" t="str">
        <f t="shared" si="181"/>
        <v/>
      </c>
      <c r="Y1607" s="10" t="s">
        <v>1096</v>
      </c>
      <c r="Z1607" s="10" t="s">
        <v>910</v>
      </c>
      <c r="AL1607" s="10" t="str">
        <f t="shared" si="179"/>
        <v>FALSE</v>
      </c>
      <c r="AM1607" s="10" t="str">
        <f t="shared" si="179"/>
        <v>FALSE</v>
      </c>
      <c r="AN1607" s="10" t="str">
        <f t="shared" si="179"/>
        <v>FALSE</v>
      </c>
      <c r="AO1607" s="10" t="str">
        <f t="shared" si="180"/>
        <v>FALSE</v>
      </c>
      <c r="AP1607" s="10" t="str">
        <f t="shared" si="180"/>
        <v>FALSE</v>
      </c>
      <c r="AQ1607" s="10" t="b">
        <f>IF(AND(I1607="TP",S1607&lt;=150),VLOOKUP(AF1607,TPCalibEq150!$AZ$2:$BB$55,3,),IF(AND(I1607="TDP",S1607&lt;=150),VLOOKUP(AF1607,TPCalibEq150!$AZ$2:$BB$55,3,)))</f>
        <v>0</v>
      </c>
      <c r="AR1607" s="10" t="b">
        <f>IF(AND(I1607="TP",S1607&lt;=300),VLOOKUP(AF1607,TPCalibEq300!$AZ$2:$BB$55,3,),IF(AND(I1607="TDP",S1607&lt;=300),VLOOKUP(AF1607,TPCalibEq300!$AZ$2:$BB$55,3,)))</f>
        <v>0</v>
      </c>
      <c r="AS1607" s="10" t="b">
        <f>IF(AND(I1607="TP",S1607&lt;=500),VLOOKUP(AF1607,TPCalibEq500!$AZ$2:$BB$56,3,),IF(AND(I1607="TDP",S1607&lt;=500),VLOOKUP(AF1607,TPCalibEq500!$AZ$2:$BB$56,3,)))</f>
        <v>0</v>
      </c>
      <c r="AT1607" s="10" t="b">
        <f>IF(AND(I1607="TN",S1607&lt;=2800),VLOOKUP(AF1607,TNCalibEq2500!$AZ$2:$BB$56,3,),IF(AND(I1607="TDN",S1607&lt;=2800),VLOOKUP(AF1607,TNCalibEq2500!$AZ$2:$BB$56,3,)))</f>
        <v>0</v>
      </c>
      <c r="AU1607" s="10" t="b">
        <f>IF(I1607="TP",VLOOKUP(AF1607,TPCalibEqFull!$AZ$2:$BB$56,3),IF(I1607="TDP",VLOOKUP(AF1607,TPCalibEqFull!$AZ$2:$BB$56,3),IF(I1607="TDN",VLOOKUP(AF1607,TNCalibEqFull!$AZ$1:$BB$56,3),IF(I1607="TN",VLOOKUP(AF1607,TNCalibEqFull!$AZ$1:$BB$56,3),FALSE))))</f>
        <v>0</v>
      </c>
      <c r="AV1607" s="10" t="str">
        <f t="shared" si="185"/>
        <v>0123 11:40:00-FVM-0-C-2-SW-UKN</v>
      </c>
    </row>
    <row r="1608" spans="1:48" s="10" customFormat="1" x14ac:dyDescent="0.55000000000000004">
      <c r="A1608" s="32">
        <v>44949</v>
      </c>
      <c r="B1608" s="33">
        <v>0.4861111111111111</v>
      </c>
      <c r="C1608" s="10" t="s">
        <v>437</v>
      </c>
      <c r="D1608" s="10">
        <v>0</v>
      </c>
      <c r="E1608" s="10" t="s">
        <v>190</v>
      </c>
      <c r="F1608" s="10">
        <v>2</v>
      </c>
      <c r="G1608" s="10" t="s">
        <v>231</v>
      </c>
      <c r="H1608" s="10" t="s">
        <v>233</v>
      </c>
      <c r="I1608" s="10" t="s">
        <v>256</v>
      </c>
      <c r="J1608" s="10">
        <v>24</v>
      </c>
      <c r="K1608" s="12">
        <v>44958</v>
      </c>
      <c r="L1608" s="33">
        <v>0.52868055555555549</v>
      </c>
      <c r="M1608" s="10">
        <v>1</v>
      </c>
      <c r="N1608" s="10" t="s">
        <v>169</v>
      </c>
      <c r="O1608" s="10">
        <v>2.0099999999999998</v>
      </c>
      <c r="P1608" s="10">
        <v>9.7199999999999995E-2</v>
      </c>
      <c r="Q1608" s="10">
        <v>253</v>
      </c>
      <c r="R1608" s="10" t="s">
        <v>77</v>
      </c>
      <c r="S1608" s="34">
        <f t="shared" si="182"/>
        <v>253</v>
      </c>
      <c r="T1608" s="10" t="s">
        <v>1114</v>
      </c>
      <c r="U1608" s="34">
        <f t="shared" si="183"/>
        <v>26.116838487972512</v>
      </c>
      <c r="V1608" s="31" t="str">
        <f>IF(H1608="CHK",VLOOKUP(I1608,QCCHK,3,),IF(H1608="GUP",VLOOKUP(E1608,QCGUP,2,),IF(AND(H1608="ATP",OR(I1608="TN",I1608="TDN",I1608="TNO2-3",I1608="NO2-3")),VLOOKUP(E1608,QCREC_N,2,),IF(AND(H1608="NIC",OR(I1608="TN",I1608="TDN",I1608="TNO2-3",I1608="NO2-3")),VLOOKUP(E1608,QCNIC_N,2,),IF(AND(H1608="UREA",OR(I1608="TN",I1608="TDN",I1608="TNO2-3",I1608="NO2-3")),VLOOKUP(E1608,QCUREA_N,2,),IF(H1608="PER",VLOOKUP(I1608,QCPER,MATCH(E1608,QCACTUAL!$J$25:$AA$25,0),),IF(H1608="SPK",VLOOKUP(I1608,QCSPK,3,),IF(AND(H1608="ATP",OR(I1608="TP",I1608="TDP")),VLOOKUP(E1608,QCATP_P,2,),""))))))))</f>
        <v/>
      </c>
      <c r="W1608" s="31" t="str">
        <f t="shared" si="184"/>
        <v>FALSE</v>
      </c>
      <c r="X1608" s="31" t="str">
        <f t="shared" si="181"/>
        <v>((ABS(rep1-rep2))/((rep1+rep2)/2)*100</v>
      </c>
      <c r="Y1608" s="10" t="s">
        <v>1096</v>
      </c>
      <c r="Z1608" s="10" t="s">
        <v>910</v>
      </c>
      <c r="AL1608" s="10" t="str">
        <f t="shared" si="179"/>
        <v>FALSE</v>
      </c>
      <c r="AM1608" s="10" t="str">
        <f t="shared" si="179"/>
        <v>FALSE</v>
      </c>
      <c r="AN1608" s="10" t="str">
        <f t="shared" si="179"/>
        <v>FALSE</v>
      </c>
      <c r="AO1608" s="10" t="str">
        <f t="shared" si="180"/>
        <v>FALSE</v>
      </c>
      <c r="AP1608" s="10" t="str">
        <f t="shared" si="180"/>
        <v>FALSE</v>
      </c>
      <c r="AQ1608" s="10" t="b">
        <f>IF(AND(I1608="TP",S1608&lt;=150),VLOOKUP(AF1608,TPCalibEq150!$AZ$2:$BB$55,3,),IF(AND(I1608="TDP",S1608&lt;=150),VLOOKUP(AF1608,TPCalibEq150!$AZ$2:$BB$55,3,)))</f>
        <v>0</v>
      </c>
      <c r="AR1608" s="10" t="b">
        <f>IF(AND(I1608="TP",S1608&lt;=300),VLOOKUP(AF1608,TPCalibEq300!$AZ$2:$BB$55,3,),IF(AND(I1608="TDP",S1608&lt;=300),VLOOKUP(AF1608,TPCalibEq300!$AZ$2:$BB$55,3,)))</f>
        <v>0</v>
      </c>
      <c r="AS1608" s="10" t="b">
        <f>IF(AND(I1608="TP",S1608&lt;=500),VLOOKUP(AF1608,TPCalibEq500!$AZ$2:$BB$56,3,),IF(AND(I1608="TDP",S1608&lt;=500),VLOOKUP(AF1608,TPCalibEq500!$AZ$2:$BB$56,3,)))</f>
        <v>0</v>
      </c>
      <c r="AT1608" s="10" t="b">
        <f>IF(AND(I1608="TN",S1608&lt;=2800),VLOOKUP(AF1608,TNCalibEq2500!$AZ$2:$BB$56,3,),IF(AND(I1608="TDN",S1608&lt;=2800),VLOOKUP(AF1608,TNCalibEq2500!$AZ$2:$BB$56,3,)))</f>
        <v>0</v>
      </c>
      <c r="AU1608" s="10" t="b">
        <f>IF(I1608="TP",VLOOKUP(AF1608,TPCalibEqFull!$AZ$2:$BB$56,3),IF(I1608="TDP",VLOOKUP(AF1608,TPCalibEqFull!$AZ$2:$BB$56,3),IF(I1608="TDN",VLOOKUP(AF1608,TNCalibEqFull!$AZ$1:$BB$56,3),IF(I1608="TN",VLOOKUP(AF1608,TNCalibEqFull!$AZ$1:$BB$56,3),FALSE))))</f>
        <v>0</v>
      </c>
      <c r="AV1608" s="10" t="str">
        <f t="shared" si="185"/>
        <v>0123 11:40:00-FVM-0-C-2-SW-DUP</v>
      </c>
    </row>
    <row r="1609" spans="1:48" s="10" customFormat="1" x14ac:dyDescent="0.55000000000000004">
      <c r="A1609" s="32">
        <v>44949</v>
      </c>
      <c r="B1609" s="33">
        <v>0.4861111111111111</v>
      </c>
      <c r="C1609" s="10" t="s">
        <v>437</v>
      </c>
      <c r="D1609" s="10">
        <v>0</v>
      </c>
      <c r="E1609" s="10" t="s">
        <v>190</v>
      </c>
      <c r="F1609" s="10">
        <v>2</v>
      </c>
      <c r="G1609" s="10" t="s">
        <v>231</v>
      </c>
      <c r="H1609" s="10" t="s">
        <v>314</v>
      </c>
      <c r="I1609" s="10" t="s">
        <v>256</v>
      </c>
      <c r="J1609" s="10">
        <v>83</v>
      </c>
      <c r="K1609" s="12">
        <v>44958</v>
      </c>
      <c r="L1609" s="33">
        <v>0.5295023148148148</v>
      </c>
      <c r="M1609" s="10">
        <v>1</v>
      </c>
      <c r="N1609" s="10" t="s">
        <v>169</v>
      </c>
      <c r="O1609" s="10">
        <v>7.37</v>
      </c>
      <c r="P1609" s="10">
        <v>0.35499999999999998</v>
      </c>
      <c r="Q1609" s="10">
        <v>928</v>
      </c>
      <c r="R1609" s="10" t="s">
        <v>77</v>
      </c>
      <c r="S1609" s="34">
        <f t="shared" si="182"/>
        <v>928</v>
      </c>
      <c r="T1609" s="10" t="s">
        <v>1114</v>
      </c>
      <c r="U1609" s="34">
        <f t="shared" si="183"/>
        <v>108</v>
      </c>
      <c r="V1609" s="31">
        <f>IF(H1609="CHK",VLOOKUP(I1609,QCCHK,3,),IF(H1609="GUP",VLOOKUP(E1609,QCGUP,2,),IF(AND(H1609="ATP",OR(I1609="TN",I1609="TDN",I1609="TNO2-3",I1609="NO2-3")),VLOOKUP(E1609,QCREC_N,2,),IF(AND(H1609="NIC",OR(I1609="TN",I1609="TDN",I1609="TNO2-3",I1609="NO2-3")),VLOOKUP(E1609,QCNIC_N,2,),IF(AND(H1609="UREA",OR(I1609="TN",I1609="TDN",I1609="TNO2-3",I1609="NO2-3")),VLOOKUP(E1609,QCUREA_N,2,),IF(H1609="PER",VLOOKUP(I1609,QCPER,MATCH(E1609,QCACTUAL!$J$25:$AA$25,0),),IF(H1609="SPK",VLOOKUP(I1609,QCSPK,3,),IF(AND(H1609="ATP",OR(I1609="TP",I1609="TDP")),VLOOKUP(E1609,QCATP_P,2,),""))))))))</f>
        <v>625</v>
      </c>
      <c r="W1609" s="31" t="str">
        <f t="shared" si="184"/>
        <v>TRUE</v>
      </c>
      <c r="X1609" s="31" t="str">
        <f t="shared" si="181"/>
        <v>([spikedunkn]-[unkn])/[spike]*100</v>
      </c>
      <c r="Y1609" s="10" t="s">
        <v>1096</v>
      </c>
      <c r="Z1609" s="10" t="s">
        <v>910</v>
      </c>
      <c r="AL1609" s="10" t="str">
        <f t="shared" si="179"/>
        <v>FALSE</v>
      </c>
      <c r="AM1609" s="10" t="str">
        <f t="shared" si="179"/>
        <v>FALSE</v>
      </c>
      <c r="AN1609" s="10" t="str">
        <f t="shared" si="179"/>
        <v>FALSE</v>
      </c>
      <c r="AO1609" s="10" t="str">
        <f t="shared" si="180"/>
        <v>FALSE</v>
      </c>
      <c r="AP1609" s="10" t="str">
        <f t="shared" si="180"/>
        <v>FALSE</v>
      </c>
      <c r="AQ1609" s="10" t="b">
        <f>IF(AND(I1609="TP",S1609&lt;=150),VLOOKUP(AF1609,TPCalibEq150!$AZ$2:$BB$55,3,),IF(AND(I1609="TDP",S1609&lt;=150),VLOOKUP(AF1609,TPCalibEq150!$AZ$2:$BB$55,3,)))</f>
        <v>0</v>
      </c>
      <c r="AR1609" s="10" t="b">
        <f>IF(AND(I1609="TP",S1609&lt;=300),VLOOKUP(AF1609,TPCalibEq300!$AZ$2:$BB$55,3,),IF(AND(I1609="TDP",S1609&lt;=300),VLOOKUP(AF1609,TPCalibEq300!$AZ$2:$BB$55,3,)))</f>
        <v>0</v>
      </c>
      <c r="AS1609" s="10" t="b">
        <f>IF(AND(I1609="TP",S1609&lt;=500),VLOOKUP(AF1609,TPCalibEq500!$AZ$2:$BB$56,3,),IF(AND(I1609="TDP",S1609&lt;=500),VLOOKUP(AF1609,TPCalibEq500!$AZ$2:$BB$56,3,)))</f>
        <v>0</v>
      </c>
      <c r="AT1609" s="10" t="b">
        <f>IF(AND(I1609="TN",S1609&lt;=2800),VLOOKUP(AF1609,TNCalibEq2500!$AZ$2:$BB$56,3,),IF(AND(I1609="TDN",S1609&lt;=2800),VLOOKUP(AF1609,TNCalibEq2500!$AZ$2:$BB$56,3,)))</f>
        <v>0</v>
      </c>
      <c r="AU1609" s="10" t="b">
        <f>IF(I1609="TP",VLOOKUP(AF1609,TPCalibEqFull!$AZ$2:$BB$56,3),IF(I1609="TDP",VLOOKUP(AF1609,TPCalibEqFull!$AZ$2:$BB$56,3),IF(I1609="TDN",VLOOKUP(AF1609,TNCalibEqFull!$AZ$1:$BB$56,3),IF(I1609="TN",VLOOKUP(AF1609,TNCalibEqFull!$AZ$1:$BB$56,3),FALSE))))</f>
        <v>0</v>
      </c>
      <c r="AV1609" s="10" t="str">
        <f t="shared" si="185"/>
        <v>0123 11:40:00-FVM-0-C-2-SW-SPK</v>
      </c>
    </row>
    <row r="1610" spans="1:48" s="10" customFormat="1" x14ac:dyDescent="0.55000000000000004">
      <c r="A1610" s="32">
        <v>44958</v>
      </c>
      <c r="B1610" s="33">
        <v>0.375</v>
      </c>
      <c r="C1610" s="10" t="s">
        <v>70</v>
      </c>
      <c r="D1610" s="10" t="s">
        <v>71</v>
      </c>
      <c r="E1610" s="10" t="s">
        <v>901</v>
      </c>
      <c r="F1610" s="10">
        <v>1</v>
      </c>
      <c r="G1610" s="10" t="s">
        <v>73</v>
      </c>
      <c r="H1610" s="10" t="s">
        <v>207</v>
      </c>
      <c r="I1610" s="10" t="s">
        <v>256</v>
      </c>
      <c r="J1610" s="10">
        <v>200</v>
      </c>
      <c r="K1610" s="12">
        <v>44958</v>
      </c>
      <c r="L1610" s="33">
        <v>0.53032407407407411</v>
      </c>
      <c r="M1610" s="10">
        <v>1</v>
      </c>
      <c r="N1610" s="10" t="s">
        <v>169</v>
      </c>
      <c r="O1610" s="10">
        <v>2.44</v>
      </c>
      <c r="P1610" s="10">
        <v>0.12</v>
      </c>
      <c r="Q1610" s="10">
        <v>307</v>
      </c>
      <c r="R1610" s="10" t="s">
        <v>77</v>
      </c>
      <c r="S1610" s="34">
        <f t="shared" si="182"/>
        <v>307</v>
      </c>
      <c r="T1610" s="10" t="s">
        <v>1114</v>
      </c>
      <c r="U1610" s="34">
        <f t="shared" si="183"/>
        <v>102.33333333333334</v>
      </c>
      <c r="V1610" s="31">
        <f>IF(H1610="CHK",VLOOKUP(I1610,QCCHK,3,),IF(H1610="GUP",VLOOKUP(E1610,QCGUP,2,),IF(AND(H1610="ATP",OR(I1610="TN",I1610="TDN",I1610="TNO2-3",I1610="NO2-3")),VLOOKUP(E1610,QCREC_N,2,),IF(AND(H1610="NIC",OR(I1610="TN",I1610="TDN",I1610="TNO2-3",I1610="NO2-3")),VLOOKUP(E1610,QCNIC_N,2,),IF(AND(H1610="UREA",OR(I1610="TN",I1610="TDN",I1610="TNO2-3",I1610="NO2-3")),VLOOKUP(E1610,QCUREA_N,2,),IF(H1610="PER",VLOOKUP(I1610,QCPER,MATCH(E1610,QCACTUAL!$J$25:$AA$25,0),),IF(H1610="SPK",VLOOKUP(I1610,QCSPK,3,),IF(AND(H1610="ATP",OR(I1610="TP",I1610="TDP")),VLOOKUP(E1610,QCATP_P,2,),""))))))))</f>
        <v>300</v>
      </c>
      <c r="W1610" s="31" t="str">
        <f t="shared" si="184"/>
        <v>TRUE</v>
      </c>
      <c r="X1610" s="31" t="str">
        <f t="shared" si="181"/>
        <v>[chk]/[actual]*100</v>
      </c>
      <c r="Y1610" s="10" t="s">
        <v>1096</v>
      </c>
      <c r="AL1610" s="10" t="str">
        <f t="shared" si="179"/>
        <v>FALSE</v>
      </c>
      <c r="AM1610" s="10" t="str">
        <f t="shared" si="179"/>
        <v>FALSE</v>
      </c>
      <c r="AN1610" s="10" t="str">
        <f t="shared" si="179"/>
        <v>FALSE</v>
      </c>
      <c r="AO1610" s="10" t="str">
        <f t="shared" si="180"/>
        <v>FALSE</v>
      </c>
      <c r="AP1610" s="10" t="str">
        <f t="shared" si="180"/>
        <v>FALSE</v>
      </c>
      <c r="AQ1610" s="10" t="b">
        <f>IF(AND(I1610="TP",S1610&lt;=150),VLOOKUP(AF1610,TPCalibEq150!$AZ$2:$BB$55,3,),IF(AND(I1610="TDP",S1610&lt;=150),VLOOKUP(AF1610,TPCalibEq150!$AZ$2:$BB$55,3,)))</f>
        <v>0</v>
      </c>
      <c r="AR1610" s="10" t="b">
        <f>IF(AND(I1610="TP",S1610&lt;=300),VLOOKUP(AF1610,TPCalibEq300!$AZ$2:$BB$55,3,),IF(AND(I1610="TDP",S1610&lt;=300),VLOOKUP(AF1610,TPCalibEq300!$AZ$2:$BB$55,3,)))</f>
        <v>0</v>
      </c>
      <c r="AS1610" s="10" t="b">
        <f>IF(AND(I1610="TP",S1610&lt;=500),VLOOKUP(AF1610,TPCalibEq500!$AZ$2:$BB$56,3,),IF(AND(I1610="TDP",S1610&lt;=500),VLOOKUP(AF1610,TPCalibEq500!$AZ$2:$BB$56,3,)))</f>
        <v>0</v>
      </c>
      <c r="AT1610" s="10" t="b">
        <f>IF(AND(I1610="TN",S1610&lt;=2800),VLOOKUP(AF1610,TNCalibEq2500!$AZ$2:$BB$56,3,),IF(AND(I1610="TDN",S1610&lt;=2800),VLOOKUP(AF1610,TNCalibEq2500!$AZ$2:$BB$56,3,)))</f>
        <v>0</v>
      </c>
      <c r="AU1610" s="10" t="b">
        <f>IF(I1610="TP",VLOOKUP(AF1610,TPCalibEqFull!$AZ$2:$BB$56,3),IF(I1610="TDP",VLOOKUP(AF1610,TPCalibEqFull!$AZ$2:$BB$56,3),IF(I1610="TDN",VLOOKUP(AF1610,TNCalibEqFull!$AZ$1:$BB$56,3),IF(I1610="TN",VLOOKUP(AF1610,TNCalibEqFull!$AZ$1:$BB$56,3),FALSE))))</f>
        <v>0</v>
      </c>
      <c r="AV1610" s="10" t="str">
        <f t="shared" si="185"/>
        <v>0201 09:00:00-QAC-STD-D-1-DI-CHK</v>
      </c>
    </row>
    <row r="1611" spans="1:48" s="10" customFormat="1" x14ac:dyDescent="0.55000000000000004">
      <c r="A1611" s="32">
        <v>44949</v>
      </c>
      <c r="B1611" s="33">
        <v>0.49861111111111112</v>
      </c>
      <c r="C1611" s="10" t="s">
        <v>336</v>
      </c>
      <c r="D1611" s="10">
        <v>0</v>
      </c>
      <c r="E1611" s="10" t="s">
        <v>190</v>
      </c>
      <c r="F1611" s="10">
        <v>1</v>
      </c>
      <c r="G1611" s="10" t="s">
        <v>231</v>
      </c>
      <c r="H1611" s="10" t="s">
        <v>322</v>
      </c>
      <c r="I1611" s="10" t="s">
        <v>256</v>
      </c>
      <c r="J1611" s="10">
        <v>25</v>
      </c>
      <c r="K1611" s="12">
        <v>44958</v>
      </c>
      <c r="L1611" s="33">
        <v>0.53113425925925928</v>
      </c>
      <c r="M1611" s="10">
        <v>1</v>
      </c>
      <c r="N1611" s="10" t="s">
        <v>169</v>
      </c>
      <c r="O1611" s="10">
        <v>3.84</v>
      </c>
      <c r="P1611" s="10">
        <v>0.185</v>
      </c>
      <c r="Q1611" s="10">
        <v>483</v>
      </c>
      <c r="R1611" s="10" t="s">
        <v>77</v>
      </c>
      <c r="S1611" s="34">
        <f t="shared" si="182"/>
        <v>483</v>
      </c>
      <c r="T1611" s="10" t="s">
        <v>1114</v>
      </c>
      <c r="U1611" s="34" t="str">
        <f t="shared" si="183"/>
        <v/>
      </c>
      <c r="V1611" s="31" t="str">
        <f>IF(H1611="CHK",VLOOKUP(I1611,QCCHK,3,),IF(H1611="GUP",VLOOKUP(E1611,QCGUP,2,),IF(AND(H1611="ATP",OR(I1611="TN",I1611="TDN",I1611="TNO2-3",I1611="NO2-3")),VLOOKUP(E1611,QCREC_N,2,),IF(AND(H1611="NIC",OR(I1611="TN",I1611="TDN",I1611="TNO2-3",I1611="NO2-3")),VLOOKUP(E1611,QCNIC_N,2,),IF(AND(H1611="UREA",OR(I1611="TN",I1611="TDN",I1611="TNO2-3",I1611="NO2-3")),VLOOKUP(E1611,QCUREA_N,2,),IF(H1611="PER",VLOOKUP(I1611,QCPER,MATCH(E1611,QCACTUAL!$J$25:$AA$25,0),),IF(H1611="SPK",VLOOKUP(I1611,QCSPK,3,),IF(AND(H1611="ATP",OR(I1611="TP",I1611="TDP")),VLOOKUP(E1611,QCATP_P,2,),""))))))))</f>
        <v/>
      </c>
      <c r="W1611" s="31" t="str">
        <f t="shared" si="184"/>
        <v>TRUE</v>
      </c>
      <c r="X1611" s="31" t="str">
        <f t="shared" si="181"/>
        <v/>
      </c>
      <c r="Y1611" s="10" t="s">
        <v>1096</v>
      </c>
      <c r="Z1611" s="10" t="s">
        <v>910</v>
      </c>
      <c r="AL1611" s="10" t="str">
        <f t="shared" si="179"/>
        <v>FALSE</v>
      </c>
      <c r="AM1611" s="10" t="str">
        <f t="shared" si="179"/>
        <v>FALSE</v>
      </c>
      <c r="AN1611" s="10" t="str">
        <f t="shared" si="179"/>
        <v>FALSE</v>
      </c>
      <c r="AO1611" s="10" t="str">
        <f t="shared" si="180"/>
        <v>FALSE</v>
      </c>
      <c r="AP1611" s="10" t="str">
        <f t="shared" si="180"/>
        <v>FALSE</v>
      </c>
      <c r="AQ1611" s="10" t="b">
        <f>IF(AND(I1611="TP",S1611&lt;=150),VLOOKUP(AF1611,TPCalibEq150!$AZ$2:$BB$55,3,),IF(AND(I1611="TDP",S1611&lt;=150),VLOOKUP(AF1611,TPCalibEq150!$AZ$2:$BB$55,3,)))</f>
        <v>0</v>
      </c>
      <c r="AR1611" s="10" t="b">
        <f>IF(AND(I1611="TP",S1611&lt;=300),VLOOKUP(AF1611,TPCalibEq300!$AZ$2:$BB$55,3,),IF(AND(I1611="TDP",S1611&lt;=300),VLOOKUP(AF1611,TPCalibEq300!$AZ$2:$BB$55,3,)))</f>
        <v>0</v>
      </c>
      <c r="AS1611" s="10" t="b">
        <f>IF(AND(I1611="TP",S1611&lt;=500),VLOOKUP(AF1611,TPCalibEq500!$AZ$2:$BB$56,3,),IF(AND(I1611="TDP",S1611&lt;=500),VLOOKUP(AF1611,TPCalibEq500!$AZ$2:$BB$56,3,)))</f>
        <v>0</v>
      </c>
      <c r="AT1611" s="10" t="b">
        <f>IF(AND(I1611="TN",S1611&lt;=2800),VLOOKUP(AF1611,TNCalibEq2500!$AZ$2:$BB$56,3,),IF(AND(I1611="TDN",S1611&lt;=2800),VLOOKUP(AF1611,TNCalibEq2500!$AZ$2:$BB$56,3,)))</f>
        <v>0</v>
      </c>
      <c r="AU1611" s="10" t="b">
        <f>IF(I1611="TP",VLOOKUP(AF1611,TPCalibEqFull!$AZ$2:$BB$56,3),IF(I1611="TDP",VLOOKUP(AF1611,TPCalibEqFull!$AZ$2:$BB$56,3),IF(I1611="TDN",VLOOKUP(AF1611,TNCalibEqFull!$AZ$1:$BB$56,3),IF(I1611="TN",VLOOKUP(AF1611,TNCalibEqFull!$AZ$1:$BB$56,3),FALSE))))</f>
        <v>0</v>
      </c>
      <c r="AV1611" s="10" t="str">
        <f t="shared" si="185"/>
        <v>0123 11:58:00-HWR-0-C-1-SW-UKN</v>
      </c>
    </row>
    <row r="1612" spans="1:48" s="10" customFormat="1" x14ac:dyDescent="0.55000000000000004">
      <c r="A1612" s="32">
        <v>44949</v>
      </c>
      <c r="B1612" s="33">
        <v>0.50555555555555554</v>
      </c>
      <c r="C1612" s="10" t="s">
        <v>295</v>
      </c>
      <c r="D1612" s="10">
        <v>0</v>
      </c>
      <c r="E1612" s="10" t="s">
        <v>190</v>
      </c>
      <c r="F1612" s="10">
        <v>1</v>
      </c>
      <c r="G1612" s="10" t="s">
        <v>231</v>
      </c>
      <c r="H1612" s="10" t="s">
        <v>322</v>
      </c>
      <c r="I1612" s="10" t="s">
        <v>256</v>
      </c>
      <c r="J1612" s="10">
        <v>26</v>
      </c>
      <c r="K1612" s="12">
        <v>44958</v>
      </c>
      <c r="L1612" s="33">
        <v>0.53194444444444444</v>
      </c>
      <c r="M1612" s="10">
        <v>1</v>
      </c>
      <c r="N1612" s="10" t="s">
        <v>169</v>
      </c>
      <c r="O1612" s="10">
        <v>10.8</v>
      </c>
      <c r="P1612" s="10">
        <v>0.51900000000000002</v>
      </c>
      <c r="Q1612" s="10">
        <v>1360</v>
      </c>
      <c r="R1612" s="10" t="s">
        <v>77</v>
      </c>
      <c r="S1612" s="34">
        <f t="shared" si="182"/>
        <v>1360</v>
      </c>
      <c r="T1612" s="10" t="s">
        <v>1114</v>
      </c>
      <c r="U1612" s="34" t="str">
        <f t="shared" si="183"/>
        <v/>
      </c>
      <c r="V1612" s="31" t="str">
        <f>IF(H1612="CHK",VLOOKUP(I1612,QCCHK,3,),IF(H1612="GUP",VLOOKUP(E1612,QCGUP,2,),IF(AND(H1612="ATP",OR(I1612="TN",I1612="TDN",I1612="TNO2-3",I1612="NO2-3")),VLOOKUP(E1612,QCREC_N,2,),IF(AND(H1612="NIC",OR(I1612="TN",I1612="TDN",I1612="TNO2-3",I1612="NO2-3")),VLOOKUP(E1612,QCNIC_N,2,),IF(AND(H1612="UREA",OR(I1612="TN",I1612="TDN",I1612="TNO2-3",I1612="NO2-3")),VLOOKUP(E1612,QCUREA_N,2,),IF(H1612="PER",VLOOKUP(I1612,QCPER,MATCH(E1612,QCACTUAL!$J$25:$AA$25,0),),IF(H1612="SPK",VLOOKUP(I1612,QCSPK,3,),IF(AND(H1612="ATP",OR(I1612="TP",I1612="TDP")),VLOOKUP(E1612,QCATP_P,2,),""))))))))</f>
        <v/>
      </c>
      <c r="W1612" s="31" t="str">
        <f t="shared" si="184"/>
        <v>TRUE</v>
      </c>
      <c r="X1612" s="31" t="str">
        <f t="shared" si="181"/>
        <v/>
      </c>
      <c r="Y1612" s="10" t="s">
        <v>1096</v>
      </c>
      <c r="Z1612" s="10" t="s">
        <v>910</v>
      </c>
      <c r="AL1612" s="10" t="str">
        <f t="shared" si="179"/>
        <v>FALSE</v>
      </c>
      <c r="AM1612" s="10" t="str">
        <f t="shared" si="179"/>
        <v>FALSE</v>
      </c>
      <c r="AN1612" s="10" t="str">
        <f t="shared" si="179"/>
        <v>FALSE</v>
      </c>
      <c r="AO1612" s="10" t="str">
        <f t="shared" si="180"/>
        <v>FALSE</v>
      </c>
      <c r="AP1612" s="10" t="str">
        <f t="shared" si="180"/>
        <v>FALSE</v>
      </c>
      <c r="AQ1612" s="10" t="b">
        <f>IF(AND(I1612="TP",S1612&lt;=150),VLOOKUP(AF1612,TPCalibEq150!$AZ$2:$BB$55,3,),IF(AND(I1612="TDP",S1612&lt;=150),VLOOKUP(AF1612,TPCalibEq150!$AZ$2:$BB$55,3,)))</f>
        <v>0</v>
      </c>
      <c r="AR1612" s="10" t="b">
        <f>IF(AND(I1612="TP",S1612&lt;=300),VLOOKUP(AF1612,TPCalibEq300!$AZ$2:$BB$55,3,),IF(AND(I1612="TDP",S1612&lt;=300),VLOOKUP(AF1612,TPCalibEq300!$AZ$2:$BB$55,3,)))</f>
        <v>0</v>
      </c>
      <c r="AS1612" s="10" t="b">
        <f>IF(AND(I1612="TP",S1612&lt;=500),VLOOKUP(AF1612,TPCalibEq500!$AZ$2:$BB$56,3,),IF(AND(I1612="TDP",S1612&lt;=500),VLOOKUP(AF1612,TPCalibEq500!$AZ$2:$BB$56,3,)))</f>
        <v>0</v>
      </c>
      <c r="AT1612" s="10" t="b">
        <f>IF(AND(I1612="TN",S1612&lt;=2800),VLOOKUP(AF1612,TNCalibEq2500!$AZ$2:$BB$56,3,),IF(AND(I1612="TDN",S1612&lt;=2800),VLOOKUP(AF1612,TNCalibEq2500!$AZ$2:$BB$56,3,)))</f>
        <v>0</v>
      </c>
      <c r="AU1612" s="10" t="b">
        <f>IF(I1612="TP",VLOOKUP(AF1612,TPCalibEqFull!$AZ$2:$BB$56,3),IF(I1612="TDP",VLOOKUP(AF1612,TPCalibEqFull!$AZ$2:$BB$56,3),IF(I1612="TDN",VLOOKUP(AF1612,TNCalibEqFull!$AZ$1:$BB$56,3),IF(I1612="TN",VLOOKUP(AF1612,TNCalibEqFull!$AZ$1:$BB$56,3),FALSE))))</f>
        <v>0</v>
      </c>
      <c r="AV1612" s="10" t="str">
        <f t="shared" si="185"/>
        <v>0123 12:08:00-EFM-0-C-1-SW-UKN</v>
      </c>
    </row>
    <row r="1613" spans="1:48" s="10" customFormat="1" x14ac:dyDescent="0.55000000000000004">
      <c r="A1613" s="32">
        <v>44949</v>
      </c>
      <c r="B1613" s="33">
        <v>0.52500000000000002</v>
      </c>
      <c r="C1613" s="10" t="s">
        <v>999</v>
      </c>
      <c r="D1613" s="10">
        <v>0</v>
      </c>
      <c r="E1613" s="10" t="s">
        <v>190</v>
      </c>
      <c r="F1613" s="10">
        <v>1</v>
      </c>
      <c r="G1613" s="10" t="s">
        <v>231</v>
      </c>
      <c r="H1613" s="10" t="s">
        <v>322</v>
      </c>
      <c r="I1613" s="10" t="s">
        <v>256</v>
      </c>
      <c r="J1613" s="10">
        <v>27</v>
      </c>
      <c r="K1613" s="12">
        <v>44958</v>
      </c>
      <c r="L1613" s="33">
        <v>0.53275462962962961</v>
      </c>
      <c r="M1613" s="10">
        <v>1</v>
      </c>
      <c r="N1613" s="10" t="s">
        <v>169</v>
      </c>
      <c r="O1613" s="10">
        <v>7.9</v>
      </c>
      <c r="P1613" s="10">
        <v>0.38</v>
      </c>
      <c r="Q1613" s="10">
        <v>995</v>
      </c>
      <c r="R1613" s="10" t="s">
        <v>77</v>
      </c>
      <c r="S1613" s="34">
        <f t="shared" si="182"/>
        <v>995</v>
      </c>
      <c r="T1613" s="10" t="s">
        <v>1114</v>
      </c>
      <c r="U1613" s="34" t="str">
        <f t="shared" si="183"/>
        <v/>
      </c>
      <c r="V1613" s="31" t="str">
        <f>IF(H1613="CHK",VLOOKUP(I1613,QCCHK,3,),IF(H1613="GUP",VLOOKUP(E1613,QCGUP,2,),IF(AND(H1613="ATP",OR(I1613="TN",I1613="TDN",I1613="TNO2-3",I1613="NO2-3")),VLOOKUP(E1613,QCREC_N,2,),IF(AND(H1613="NIC",OR(I1613="TN",I1613="TDN",I1613="TNO2-3",I1613="NO2-3")),VLOOKUP(E1613,QCNIC_N,2,),IF(AND(H1613="UREA",OR(I1613="TN",I1613="TDN",I1613="TNO2-3",I1613="NO2-3")),VLOOKUP(E1613,QCUREA_N,2,),IF(H1613="PER",VLOOKUP(I1613,QCPER,MATCH(E1613,QCACTUAL!$J$25:$AA$25,0),),IF(H1613="SPK",VLOOKUP(I1613,QCSPK,3,),IF(AND(H1613="ATP",OR(I1613="TP",I1613="TDP")),VLOOKUP(E1613,QCATP_P,2,),""))))))))</f>
        <v/>
      </c>
      <c r="W1613" s="31" t="str">
        <f t="shared" si="184"/>
        <v>TRUE</v>
      </c>
      <c r="X1613" s="31" t="str">
        <f t="shared" si="181"/>
        <v/>
      </c>
      <c r="Y1613" s="10" t="s">
        <v>1096</v>
      </c>
      <c r="Z1613" s="10" t="s">
        <v>910</v>
      </c>
      <c r="AL1613" s="10" t="str">
        <f t="shared" si="179"/>
        <v>FALSE</v>
      </c>
      <c r="AM1613" s="10" t="str">
        <f t="shared" si="179"/>
        <v>FALSE</v>
      </c>
      <c r="AN1613" s="10" t="str">
        <f t="shared" si="179"/>
        <v>FALSE</v>
      </c>
      <c r="AO1613" s="10" t="str">
        <f t="shared" si="180"/>
        <v>FALSE</v>
      </c>
      <c r="AP1613" s="10" t="str">
        <f t="shared" si="180"/>
        <v>FALSE</v>
      </c>
      <c r="AQ1613" s="10" t="b">
        <f>IF(AND(I1613="TP",S1613&lt;=150),VLOOKUP(AF1613,TPCalibEq150!$AZ$2:$BB$55,3,),IF(AND(I1613="TDP",S1613&lt;=150),VLOOKUP(AF1613,TPCalibEq150!$AZ$2:$BB$55,3,)))</f>
        <v>0</v>
      </c>
      <c r="AR1613" s="10" t="b">
        <f>IF(AND(I1613="TP",S1613&lt;=300),VLOOKUP(AF1613,TPCalibEq300!$AZ$2:$BB$55,3,),IF(AND(I1613="TDP",S1613&lt;=300),VLOOKUP(AF1613,TPCalibEq300!$AZ$2:$BB$55,3,)))</f>
        <v>0</v>
      </c>
      <c r="AS1613" s="10" t="b">
        <f>IF(AND(I1613="TP",S1613&lt;=500),VLOOKUP(AF1613,TPCalibEq500!$AZ$2:$BB$56,3,),IF(AND(I1613="TDP",S1613&lt;=500),VLOOKUP(AF1613,TPCalibEq500!$AZ$2:$BB$56,3,)))</f>
        <v>0</v>
      </c>
      <c r="AT1613" s="10" t="b">
        <f>IF(AND(I1613="TN",S1613&lt;=2800),VLOOKUP(AF1613,TNCalibEq2500!$AZ$2:$BB$56,3,),IF(AND(I1613="TDN",S1613&lt;=2800),VLOOKUP(AF1613,TNCalibEq2500!$AZ$2:$BB$56,3,)))</f>
        <v>0</v>
      </c>
      <c r="AU1613" s="10" t="b">
        <f>IF(I1613="TP",VLOOKUP(AF1613,TPCalibEqFull!$AZ$2:$BB$56,3),IF(I1613="TDP",VLOOKUP(AF1613,TPCalibEqFull!$AZ$2:$BB$56,3),IF(I1613="TDN",VLOOKUP(AF1613,TNCalibEqFull!$AZ$1:$BB$56,3),IF(I1613="TN",VLOOKUP(AF1613,TNCalibEqFull!$AZ$1:$BB$56,3),FALSE))))</f>
        <v>0</v>
      </c>
      <c r="AV1613" s="10" t="str">
        <f t="shared" si="185"/>
        <v>0123 12:36:00-EAW-0-C-1-SW-UKN</v>
      </c>
    </row>
    <row r="1614" spans="1:48" s="10" customFormat="1" x14ac:dyDescent="0.55000000000000004">
      <c r="A1614" s="32">
        <v>44949</v>
      </c>
      <c r="B1614" s="33">
        <v>0.52916666666666667</v>
      </c>
      <c r="C1614" s="10" t="s">
        <v>310</v>
      </c>
      <c r="D1614" s="10">
        <v>0</v>
      </c>
      <c r="E1614" s="10" t="s">
        <v>190</v>
      </c>
      <c r="F1614" s="10">
        <v>1</v>
      </c>
      <c r="G1614" s="10" t="s">
        <v>231</v>
      </c>
      <c r="H1614" s="10" t="s">
        <v>322</v>
      </c>
      <c r="I1614" s="10" t="s">
        <v>256</v>
      </c>
      <c r="J1614" s="10">
        <v>28</v>
      </c>
      <c r="K1614" s="12">
        <v>44958</v>
      </c>
      <c r="L1614" s="33">
        <v>0.53356481481481477</v>
      </c>
      <c r="M1614" s="10">
        <v>1</v>
      </c>
      <c r="N1614" s="10" t="s">
        <v>169</v>
      </c>
      <c r="O1614" s="10">
        <v>8.1</v>
      </c>
      <c r="P1614" s="10">
        <v>0.39</v>
      </c>
      <c r="Q1614" s="10">
        <v>1020</v>
      </c>
      <c r="R1614" s="10" t="s">
        <v>77</v>
      </c>
      <c r="S1614" s="34">
        <f t="shared" si="182"/>
        <v>1020</v>
      </c>
      <c r="T1614" s="10" t="s">
        <v>1114</v>
      </c>
      <c r="U1614" s="34" t="str">
        <f t="shared" si="183"/>
        <v/>
      </c>
      <c r="V1614" s="31" t="str">
        <f>IF(H1614="CHK",VLOOKUP(I1614,QCCHK,3,),IF(H1614="GUP",VLOOKUP(E1614,QCGUP,2,),IF(AND(H1614="ATP",OR(I1614="TN",I1614="TDN",I1614="TNO2-3",I1614="NO2-3")),VLOOKUP(E1614,QCREC_N,2,),IF(AND(H1614="NIC",OR(I1614="TN",I1614="TDN",I1614="TNO2-3",I1614="NO2-3")),VLOOKUP(E1614,QCNIC_N,2,),IF(AND(H1614="UREA",OR(I1614="TN",I1614="TDN",I1614="TNO2-3",I1614="NO2-3")),VLOOKUP(E1614,QCUREA_N,2,),IF(H1614="PER",VLOOKUP(I1614,QCPER,MATCH(E1614,QCACTUAL!$J$25:$AA$25,0),),IF(H1614="SPK",VLOOKUP(I1614,QCSPK,3,),IF(AND(H1614="ATP",OR(I1614="TP",I1614="TDP")),VLOOKUP(E1614,QCATP_P,2,),""))))))))</f>
        <v/>
      </c>
      <c r="W1614" s="31" t="str">
        <f t="shared" si="184"/>
        <v>TRUE</v>
      </c>
      <c r="X1614" s="31" t="str">
        <f t="shared" si="181"/>
        <v/>
      </c>
      <c r="Y1614" s="10" t="s">
        <v>1096</v>
      </c>
      <c r="Z1614" s="10" t="s">
        <v>910</v>
      </c>
      <c r="AL1614" s="10" t="str">
        <f t="shared" si="179"/>
        <v>FALSE</v>
      </c>
      <c r="AM1614" s="10" t="str">
        <f t="shared" si="179"/>
        <v>FALSE</v>
      </c>
      <c r="AN1614" s="10" t="str">
        <f t="shared" si="179"/>
        <v>FALSE</v>
      </c>
      <c r="AO1614" s="10" t="str">
        <f t="shared" si="180"/>
        <v>FALSE</v>
      </c>
      <c r="AP1614" s="10" t="str">
        <f t="shared" si="180"/>
        <v>FALSE</v>
      </c>
      <c r="AQ1614" s="10" t="b">
        <f>IF(AND(I1614="TP",S1614&lt;=150),VLOOKUP(AF1614,TPCalibEq150!$AZ$2:$BB$55,3,),IF(AND(I1614="TDP",S1614&lt;=150),VLOOKUP(AF1614,TPCalibEq150!$AZ$2:$BB$55,3,)))</f>
        <v>0</v>
      </c>
      <c r="AR1614" s="10" t="b">
        <f>IF(AND(I1614="TP",S1614&lt;=300),VLOOKUP(AF1614,TPCalibEq300!$AZ$2:$BB$55,3,),IF(AND(I1614="TDP",S1614&lt;=300),VLOOKUP(AF1614,TPCalibEq300!$AZ$2:$BB$55,3,)))</f>
        <v>0</v>
      </c>
      <c r="AS1614" s="10" t="b">
        <f>IF(AND(I1614="TP",S1614&lt;=500),VLOOKUP(AF1614,TPCalibEq500!$AZ$2:$BB$56,3,),IF(AND(I1614="TDP",S1614&lt;=500),VLOOKUP(AF1614,TPCalibEq500!$AZ$2:$BB$56,3,)))</f>
        <v>0</v>
      </c>
      <c r="AT1614" s="10" t="b">
        <f>IF(AND(I1614="TN",S1614&lt;=2800),VLOOKUP(AF1614,TNCalibEq2500!$AZ$2:$BB$56,3,),IF(AND(I1614="TDN",S1614&lt;=2800),VLOOKUP(AF1614,TNCalibEq2500!$AZ$2:$BB$56,3,)))</f>
        <v>0</v>
      </c>
      <c r="AU1614" s="10" t="b">
        <f>IF(I1614="TP",VLOOKUP(AF1614,TPCalibEqFull!$AZ$2:$BB$56,3),IF(I1614="TDP",VLOOKUP(AF1614,TPCalibEqFull!$AZ$2:$BB$56,3),IF(I1614="TDN",VLOOKUP(AF1614,TNCalibEqFull!$AZ$1:$BB$56,3),IF(I1614="TN",VLOOKUP(AF1614,TNCalibEqFull!$AZ$1:$BB$56,3),FALSE))))</f>
        <v>0</v>
      </c>
      <c r="AV1614" s="10" t="str">
        <f t="shared" si="185"/>
        <v>0123 12:42:00-ELI-0-C-1-SW-UKN</v>
      </c>
    </row>
    <row r="1615" spans="1:48" s="10" customFormat="1" x14ac:dyDescent="0.55000000000000004">
      <c r="A1615" s="32">
        <v>44949</v>
      </c>
      <c r="B1615" s="33">
        <v>0.52916666666666667</v>
      </c>
      <c r="C1615" s="10" t="s">
        <v>310</v>
      </c>
      <c r="D1615" s="10">
        <v>0</v>
      </c>
      <c r="E1615" s="10" t="s">
        <v>190</v>
      </c>
      <c r="F1615" s="10">
        <v>1</v>
      </c>
      <c r="G1615" s="10" t="s">
        <v>231</v>
      </c>
      <c r="H1615" s="10" t="s">
        <v>233</v>
      </c>
      <c r="I1615" s="10" t="s">
        <v>256</v>
      </c>
      <c r="J1615" s="10">
        <v>28</v>
      </c>
      <c r="K1615" s="12">
        <v>44958</v>
      </c>
      <c r="L1615" s="33">
        <v>0.53437499999999993</v>
      </c>
      <c r="M1615" s="10">
        <v>1</v>
      </c>
      <c r="N1615" s="10" t="s">
        <v>169</v>
      </c>
      <c r="O1615" s="10">
        <v>8.18</v>
      </c>
      <c r="P1615" s="10">
        <v>0.39300000000000002</v>
      </c>
      <c r="Q1615" s="10">
        <v>1030</v>
      </c>
      <c r="R1615" s="10" t="s">
        <v>77</v>
      </c>
      <c r="S1615" s="34">
        <f t="shared" si="182"/>
        <v>1030</v>
      </c>
      <c r="T1615" s="10" t="s">
        <v>1114</v>
      </c>
      <c r="U1615" s="34">
        <f t="shared" si="183"/>
        <v>0.97560975609756095</v>
      </c>
      <c r="V1615" s="31" t="str">
        <f>IF(H1615="CHK",VLOOKUP(I1615,QCCHK,3,),IF(H1615="GUP",VLOOKUP(E1615,QCGUP,2,),IF(AND(H1615="ATP",OR(I1615="TN",I1615="TDN",I1615="TNO2-3",I1615="NO2-3")),VLOOKUP(E1615,QCREC_N,2,),IF(AND(H1615="NIC",OR(I1615="TN",I1615="TDN",I1615="TNO2-3",I1615="NO2-3")),VLOOKUP(E1615,QCNIC_N,2,),IF(AND(H1615="UREA",OR(I1615="TN",I1615="TDN",I1615="TNO2-3",I1615="NO2-3")),VLOOKUP(E1615,QCUREA_N,2,),IF(H1615="PER",VLOOKUP(I1615,QCPER,MATCH(E1615,QCACTUAL!$J$25:$AA$25,0),),IF(H1615="SPK",VLOOKUP(I1615,QCSPK,3,),IF(AND(H1615="ATP",OR(I1615="TP",I1615="TDP")),VLOOKUP(E1615,QCATP_P,2,),""))))))))</f>
        <v/>
      </c>
      <c r="W1615" s="31" t="str">
        <f t="shared" si="184"/>
        <v>TRUE</v>
      </c>
      <c r="X1615" s="31" t="str">
        <f t="shared" si="181"/>
        <v>((ABS(rep1-rep2))/((rep1+rep2)/2)*100</v>
      </c>
      <c r="Y1615" s="10" t="s">
        <v>1096</v>
      </c>
      <c r="Z1615" s="10" t="s">
        <v>910</v>
      </c>
      <c r="AL1615" s="10" t="str">
        <f t="shared" si="179"/>
        <v>FALSE</v>
      </c>
      <c r="AM1615" s="10" t="str">
        <f t="shared" si="179"/>
        <v>FALSE</v>
      </c>
      <c r="AN1615" s="10" t="str">
        <f t="shared" si="179"/>
        <v>FALSE</v>
      </c>
      <c r="AO1615" s="10" t="str">
        <f t="shared" si="180"/>
        <v>FALSE</v>
      </c>
      <c r="AP1615" s="10" t="str">
        <f t="shared" si="180"/>
        <v>FALSE</v>
      </c>
      <c r="AQ1615" s="10" t="b">
        <f>IF(AND(I1615="TP",S1615&lt;=150),VLOOKUP(AF1615,TPCalibEq150!$AZ$2:$BB$55,3,),IF(AND(I1615="TDP",S1615&lt;=150),VLOOKUP(AF1615,TPCalibEq150!$AZ$2:$BB$55,3,)))</f>
        <v>0</v>
      </c>
      <c r="AR1615" s="10" t="b">
        <f>IF(AND(I1615="TP",S1615&lt;=300),VLOOKUP(AF1615,TPCalibEq300!$AZ$2:$BB$55,3,),IF(AND(I1615="TDP",S1615&lt;=300),VLOOKUP(AF1615,TPCalibEq300!$AZ$2:$BB$55,3,)))</f>
        <v>0</v>
      </c>
      <c r="AS1615" s="10" t="b">
        <f>IF(AND(I1615="TP",S1615&lt;=500),VLOOKUP(AF1615,TPCalibEq500!$AZ$2:$BB$56,3,),IF(AND(I1615="TDP",S1615&lt;=500),VLOOKUP(AF1615,TPCalibEq500!$AZ$2:$BB$56,3,)))</f>
        <v>0</v>
      </c>
      <c r="AT1615" s="10" t="b">
        <f>IF(AND(I1615="TN",S1615&lt;=2800),VLOOKUP(AF1615,TNCalibEq2500!$AZ$2:$BB$56,3,),IF(AND(I1615="TDN",S1615&lt;=2800),VLOOKUP(AF1615,TNCalibEq2500!$AZ$2:$BB$56,3,)))</f>
        <v>0</v>
      </c>
      <c r="AU1615" s="10" t="b">
        <f>IF(I1615="TP",VLOOKUP(AF1615,TPCalibEqFull!$AZ$2:$BB$56,3),IF(I1615="TDP",VLOOKUP(AF1615,TPCalibEqFull!$AZ$2:$BB$56,3),IF(I1615="TDN",VLOOKUP(AF1615,TNCalibEqFull!$AZ$1:$BB$56,3),IF(I1615="TN",VLOOKUP(AF1615,TNCalibEqFull!$AZ$1:$BB$56,3),FALSE))))</f>
        <v>0</v>
      </c>
      <c r="AV1615" s="10" t="str">
        <f t="shared" si="185"/>
        <v>0123 12:42:00-ELI-0-C-1-SW-DUP</v>
      </c>
    </row>
    <row r="1616" spans="1:48" s="10" customFormat="1" x14ac:dyDescent="0.55000000000000004">
      <c r="A1616" s="32">
        <v>44949</v>
      </c>
      <c r="B1616" s="33">
        <v>0.52916666666666667</v>
      </c>
      <c r="C1616" s="10" t="s">
        <v>310</v>
      </c>
      <c r="D1616" s="10">
        <v>0</v>
      </c>
      <c r="E1616" s="10" t="s">
        <v>190</v>
      </c>
      <c r="F1616" s="10">
        <v>1</v>
      </c>
      <c r="G1616" s="10" t="s">
        <v>231</v>
      </c>
      <c r="H1616" s="10" t="s">
        <v>314</v>
      </c>
      <c r="I1616" s="10" t="s">
        <v>256</v>
      </c>
      <c r="J1616" s="10">
        <v>84</v>
      </c>
      <c r="K1616" s="12">
        <v>44958</v>
      </c>
      <c r="L1616" s="33">
        <v>0.53518518518518521</v>
      </c>
      <c r="M1616" s="10">
        <v>1</v>
      </c>
      <c r="N1616" s="10" t="s">
        <v>169</v>
      </c>
      <c r="O1616" s="10">
        <v>13.2</v>
      </c>
      <c r="P1616" s="10">
        <v>0.63500000000000001</v>
      </c>
      <c r="Q1616" s="10">
        <v>1670</v>
      </c>
      <c r="R1616" s="10" t="s">
        <v>77</v>
      </c>
      <c r="S1616" s="34">
        <f t="shared" si="182"/>
        <v>1670</v>
      </c>
      <c r="T1616" s="10" t="s">
        <v>1114</v>
      </c>
      <c r="U1616" s="34">
        <f t="shared" si="183"/>
        <v>102.4</v>
      </c>
      <c r="V1616" s="31">
        <f>IF(H1616="CHK",VLOOKUP(I1616,QCCHK,3,),IF(H1616="GUP",VLOOKUP(E1616,QCGUP,2,),IF(AND(H1616="ATP",OR(I1616="TN",I1616="TDN",I1616="TNO2-3",I1616="NO2-3")),VLOOKUP(E1616,QCREC_N,2,),IF(AND(H1616="NIC",OR(I1616="TN",I1616="TDN",I1616="TNO2-3",I1616="NO2-3")),VLOOKUP(E1616,QCNIC_N,2,),IF(AND(H1616="UREA",OR(I1616="TN",I1616="TDN",I1616="TNO2-3",I1616="NO2-3")),VLOOKUP(E1616,QCUREA_N,2,),IF(H1616="PER",VLOOKUP(I1616,QCPER,MATCH(E1616,QCACTUAL!$J$25:$AA$25,0),),IF(H1616="SPK",VLOOKUP(I1616,QCSPK,3,),IF(AND(H1616="ATP",OR(I1616="TP",I1616="TDP")),VLOOKUP(E1616,QCATP_P,2,),""))))))))</f>
        <v>625</v>
      </c>
      <c r="W1616" s="31" t="str">
        <f t="shared" si="184"/>
        <v>TRUE</v>
      </c>
      <c r="X1616" s="31" t="str">
        <f t="shared" si="181"/>
        <v>([spikedunkn]-[unkn])/[spike]*100</v>
      </c>
      <c r="Y1616" s="10" t="s">
        <v>1096</v>
      </c>
      <c r="Z1616" s="10" t="s">
        <v>910</v>
      </c>
      <c r="AL1616" s="10" t="str">
        <f t="shared" si="179"/>
        <v>FALSE</v>
      </c>
      <c r="AM1616" s="10" t="str">
        <f t="shared" si="179"/>
        <v>FALSE</v>
      </c>
      <c r="AN1616" s="10" t="str">
        <f t="shared" si="179"/>
        <v>FALSE</v>
      </c>
      <c r="AO1616" s="10" t="str">
        <f t="shared" si="180"/>
        <v>FALSE</v>
      </c>
      <c r="AP1616" s="10" t="str">
        <f t="shared" si="180"/>
        <v>FALSE</v>
      </c>
      <c r="AQ1616" s="10" t="b">
        <f>IF(AND(I1616="TP",S1616&lt;=150),VLOOKUP(AF1616,TPCalibEq150!$AZ$2:$BB$55,3,),IF(AND(I1616="TDP",S1616&lt;=150),VLOOKUP(AF1616,TPCalibEq150!$AZ$2:$BB$55,3,)))</f>
        <v>0</v>
      </c>
      <c r="AR1616" s="10" t="b">
        <f>IF(AND(I1616="TP",S1616&lt;=300),VLOOKUP(AF1616,TPCalibEq300!$AZ$2:$BB$55,3,),IF(AND(I1616="TDP",S1616&lt;=300),VLOOKUP(AF1616,TPCalibEq300!$AZ$2:$BB$55,3,)))</f>
        <v>0</v>
      </c>
      <c r="AS1616" s="10" t="b">
        <f>IF(AND(I1616="TP",S1616&lt;=500),VLOOKUP(AF1616,TPCalibEq500!$AZ$2:$BB$56,3,),IF(AND(I1616="TDP",S1616&lt;=500),VLOOKUP(AF1616,TPCalibEq500!$AZ$2:$BB$56,3,)))</f>
        <v>0</v>
      </c>
      <c r="AT1616" s="10" t="b">
        <f>IF(AND(I1616="TN",S1616&lt;=2800),VLOOKUP(AF1616,TNCalibEq2500!$AZ$2:$BB$56,3,),IF(AND(I1616="TDN",S1616&lt;=2800),VLOOKUP(AF1616,TNCalibEq2500!$AZ$2:$BB$56,3,)))</f>
        <v>0</v>
      </c>
      <c r="AU1616" s="10" t="b">
        <f>IF(I1616="TP",VLOOKUP(AF1616,TPCalibEqFull!$AZ$2:$BB$56,3),IF(I1616="TDP",VLOOKUP(AF1616,TPCalibEqFull!$AZ$2:$BB$56,3),IF(I1616="TDN",VLOOKUP(AF1616,TNCalibEqFull!$AZ$1:$BB$56,3),IF(I1616="TN",VLOOKUP(AF1616,TNCalibEqFull!$AZ$1:$BB$56,3),FALSE))))</f>
        <v>0</v>
      </c>
      <c r="AV1616" s="10" t="str">
        <f t="shared" si="185"/>
        <v>0123 12:42:00-ELI-0-C-1-SW-SPK</v>
      </c>
    </row>
    <row r="1617" spans="1:48" s="10" customFormat="1" x14ac:dyDescent="0.55000000000000004">
      <c r="A1617" s="32">
        <v>44958</v>
      </c>
      <c r="B1617" s="33">
        <v>0.375</v>
      </c>
      <c r="C1617" s="10" t="s">
        <v>70</v>
      </c>
      <c r="D1617" s="10" t="s">
        <v>71</v>
      </c>
      <c r="E1617" s="10" t="s">
        <v>901</v>
      </c>
      <c r="F1617" s="10">
        <v>1</v>
      </c>
      <c r="G1617" s="10" t="s">
        <v>73</v>
      </c>
      <c r="H1617" s="10" t="s">
        <v>207</v>
      </c>
      <c r="I1617" s="10" t="s">
        <v>256</v>
      </c>
      <c r="J1617" s="10">
        <v>200</v>
      </c>
      <c r="K1617" s="12">
        <v>44958</v>
      </c>
      <c r="L1617" s="33">
        <v>0.53601851851851856</v>
      </c>
      <c r="M1617" s="10">
        <v>1</v>
      </c>
      <c r="N1617" s="10" t="s">
        <v>169</v>
      </c>
      <c r="O1617" s="10">
        <v>2.42</v>
      </c>
      <c r="P1617" s="10">
        <v>0.11899999999999999</v>
      </c>
      <c r="Q1617" s="10">
        <v>304</v>
      </c>
      <c r="R1617" s="10" t="s">
        <v>77</v>
      </c>
      <c r="S1617" s="34">
        <f t="shared" si="182"/>
        <v>304</v>
      </c>
      <c r="T1617" s="10" t="s">
        <v>1114</v>
      </c>
      <c r="U1617" s="34">
        <f t="shared" si="183"/>
        <v>101.33333333333334</v>
      </c>
      <c r="V1617" s="31">
        <f>IF(H1617="CHK",VLOOKUP(I1617,QCCHK,3,),IF(H1617="GUP",VLOOKUP(E1617,QCGUP,2,),IF(AND(H1617="ATP",OR(I1617="TN",I1617="TDN",I1617="TNO2-3",I1617="NO2-3")),VLOOKUP(E1617,QCREC_N,2,),IF(AND(H1617="NIC",OR(I1617="TN",I1617="TDN",I1617="TNO2-3",I1617="NO2-3")),VLOOKUP(E1617,QCNIC_N,2,),IF(AND(H1617="UREA",OR(I1617="TN",I1617="TDN",I1617="TNO2-3",I1617="NO2-3")),VLOOKUP(E1617,QCUREA_N,2,),IF(H1617="PER",VLOOKUP(I1617,QCPER,MATCH(E1617,QCACTUAL!$J$25:$AA$25,0),),IF(H1617="SPK",VLOOKUP(I1617,QCSPK,3,),IF(AND(H1617="ATP",OR(I1617="TP",I1617="TDP")),VLOOKUP(E1617,QCATP_P,2,),""))))))))</f>
        <v>300</v>
      </c>
      <c r="W1617" s="31" t="str">
        <f t="shared" si="184"/>
        <v>TRUE</v>
      </c>
      <c r="X1617" s="31" t="str">
        <f t="shared" si="181"/>
        <v>[chk]/[actual]*100</v>
      </c>
      <c r="Y1617" s="10" t="s">
        <v>1096</v>
      </c>
      <c r="AL1617" s="10" t="str">
        <f t="shared" ref="AL1617:AN1680" si="186">IF($O1617="", "", IF(AQ1617&lt;&gt;"", SUBSTITUTE(SUBSTITUTE(AQ1617, "x", "*"&amp;$O1617&amp;"^", 1), "x", "*"&amp;$O1617, 1), ""))</f>
        <v>FALSE</v>
      </c>
      <c r="AM1617" s="10" t="str">
        <f t="shared" si="186"/>
        <v>FALSE</v>
      </c>
      <c r="AN1617" s="10" t="str">
        <f t="shared" si="186"/>
        <v>FALSE</v>
      </c>
      <c r="AO1617" s="10" t="str">
        <f t="shared" ref="AO1617:AP1680" si="187">IF($O1617="", "FALSE", IF(AT1617&lt;&gt;"FALSE", SUBSTITUTE(SUBSTITUTE(AT1617, "x", "*"&amp;$O1617&amp;"^", 1), "x", "*"&amp;$O1617, 1), ""))</f>
        <v>FALSE</v>
      </c>
      <c r="AP1617" s="10" t="str">
        <f t="shared" si="187"/>
        <v>FALSE</v>
      </c>
      <c r="AQ1617" s="10" t="b">
        <f>IF(AND(I1617="TP",S1617&lt;=150),VLOOKUP(AF1617,TPCalibEq150!$AZ$2:$BB$55,3,),IF(AND(I1617="TDP",S1617&lt;=150),VLOOKUP(AF1617,TPCalibEq150!$AZ$2:$BB$55,3,)))</f>
        <v>0</v>
      </c>
      <c r="AR1617" s="10" t="b">
        <f>IF(AND(I1617="TP",S1617&lt;=300),VLOOKUP(AF1617,TPCalibEq300!$AZ$2:$BB$55,3,),IF(AND(I1617="TDP",S1617&lt;=300),VLOOKUP(AF1617,TPCalibEq300!$AZ$2:$BB$55,3,)))</f>
        <v>0</v>
      </c>
      <c r="AS1617" s="10" t="b">
        <f>IF(AND(I1617="TP",S1617&lt;=500),VLOOKUP(AF1617,TPCalibEq500!$AZ$2:$BB$56,3,),IF(AND(I1617="TDP",S1617&lt;=500),VLOOKUP(AF1617,TPCalibEq500!$AZ$2:$BB$56,3,)))</f>
        <v>0</v>
      </c>
      <c r="AT1617" s="10" t="b">
        <f>IF(AND(I1617="TN",S1617&lt;=2800),VLOOKUP(AF1617,TNCalibEq2500!$AZ$2:$BB$56,3,),IF(AND(I1617="TDN",S1617&lt;=2800),VLOOKUP(AF1617,TNCalibEq2500!$AZ$2:$BB$56,3,)))</f>
        <v>0</v>
      </c>
      <c r="AU1617" s="10" t="b">
        <f>IF(I1617="TP",VLOOKUP(AF1617,TPCalibEqFull!$AZ$2:$BB$56,3),IF(I1617="TDP",VLOOKUP(AF1617,TPCalibEqFull!$AZ$2:$BB$56,3),IF(I1617="TDN",VLOOKUP(AF1617,TNCalibEqFull!$AZ$1:$BB$56,3),IF(I1617="TN",VLOOKUP(AF1617,TNCalibEqFull!$AZ$1:$BB$56,3),FALSE))))</f>
        <v>0</v>
      </c>
      <c r="AV1617" s="10" t="str">
        <f t="shared" si="185"/>
        <v>0201 09:00:00-QAC-STD-D-1-DI-CHK</v>
      </c>
    </row>
    <row r="1618" spans="1:48" s="10" customFormat="1" x14ac:dyDescent="0.55000000000000004">
      <c r="A1618" s="32">
        <v>44956</v>
      </c>
      <c r="B1618" s="33">
        <v>0.35972222222222222</v>
      </c>
      <c r="C1618" s="10" t="s">
        <v>998</v>
      </c>
      <c r="D1618" s="10">
        <v>0</v>
      </c>
      <c r="E1618" s="10" t="s">
        <v>190</v>
      </c>
      <c r="F1618" s="10">
        <v>1</v>
      </c>
      <c r="G1618" s="10" t="s">
        <v>231</v>
      </c>
      <c r="H1618" s="10" t="s">
        <v>322</v>
      </c>
      <c r="I1618" s="10" t="s">
        <v>256</v>
      </c>
      <c r="J1618" s="10">
        <v>29</v>
      </c>
      <c r="K1618" s="12">
        <v>44958</v>
      </c>
      <c r="L1618" s="33">
        <v>0.53682870370370372</v>
      </c>
      <c r="M1618" s="10">
        <v>1</v>
      </c>
      <c r="N1618" s="10" t="s">
        <v>169</v>
      </c>
      <c r="O1618" s="10">
        <v>8.86</v>
      </c>
      <c r="P1618" s="10">
        <v>0.42799999999999999</v>
      </c>
      <c r="Q1618" s="10">
        <v>1120</v>
      </c>
      <c r="R1618" s="10" t="s">
        <v>77</v>
      </c>
      <c r="S1618" s="34">
        <f t="shared" si="182"/>
        <v>1120</v>
      </c>
      <c r="T1618" s="10" t="s">
        <v>1114</v>
      </c>
      <c r="U1618" s="34" t="str">
        <f t="shared" si="183"/>
        <v/>
      </c>
      <c r="V1618" s="31" t="str">
        <f>IF(H1618="CHK",VLOOKUP(I1618,QCCHK,3,),IF(H1618="GUP",VLOOKUP(E1618,QCGUP,2,),IF(AND(H1618="ATP",OR(I1618="TN",I1618="TDN",I1618="TNO2-3",I1618="NO2-3")),VLOOKUP(E1618,QCREC_N,2,),IF(AND(H1618="NIC",OR(I1618="TN",I1618="TDN",I1618="TNO2-3",I1618="NO2-3")),VLOOKUP(E1618,QCNIC_N,2,),IF(AND(H1618="UREA",OR(I1618="TN",I1618="TDN",I1618="TNO2-3",I1618="NO2-3")),VLOOKUP(E1618,QCUREA_N,2,),IF(H1618="PER",VLOOKUP(I1618,QCPER,MATCH(E1618,QCACTUAL!$J$25:$AA$25,0),),IF(H1618="SPK",VLOOKUP(I1618,QCSPK,3,),IF(AND(H1618="ATP",OR(I1618="TP",I1618="TDP")),VLOOKUP(E1618,QCATP_P,2,),""))))))))</f>
        <v/>
      </c>
      <c r="W1618" s="31" t="str">
        <f t="shared" si="184"/>
        <v>TRUE</v>
      </c>
      <c r="X1618" s="31" t="str">
        <f t="shared" si="181"/>
        <v/>
      </c>
      <c r="Y1618" s="10" t="s">
        <v>1096</v>
      </c>
      <c r="Z1618" s="10" t="s">
        <v>910</v>
      </c>
      <c r="AL1618" s="10" t="str">
        <f t="shared" si="186"/>
        <v>FALSE</v>
      </c>
      <c r="AM1618" s="10" t="str">
        <f t="shared" si="186"/>
        <v>FALSE</v>
      </c>
      <c r="AN1618" s="10" t="str">
        <f t="shared" si="186"/>
        <v>FALSE</v>
      </c>
      <c r="AO1618" s="10" t="str">
        <f t="shared" si="187"/>
        <v>FALSE</v>
      </c>
      <c r="AP1618" s="10" t="str">
        <f t="shared" si="187"/>
        <v>FALSE</v>
      </c>
      <c r="AQ1618" s="10" t="b">
        <f>IF(AND(I1618="TP",S1618&lt;=150),VLOOKUP(AF1618,TPCalibEq150!$AZ$2:$BB$55,3,),IF(AND(I1618="TDP",S1618&lt;=150),VLOOKUP(AF1618,TPCalibEq150!$AZ$2:$BB$55,3,)))</f>
        <v>0</v>
      </c>
      <c r="AR1618" s="10" t="b">
        <f>IF(AND(I1618="TP",S1618&lt;=300),VLOOKUP(AF1618,TPCalibEq300!$AZ$2:$BB$55,3,),IF(AND(I1618="TDP",S1618&lt;=300),VLOOKUP(AF1618,TPCalibEq300!$AZ$2:$BB$55,3,)))</f>
        <v>0</v>
      </c>
      <c r="AS1618" s="10" t="b">
        <f>IF(AND(I1618="TP",S1618&lt;=500),VLOOKUP(AF1618,TPCalibEq500!$AZ$2:$BB$56,3,),IF(AND(I1618="TDP",S1618&lt;=500),VLOOKUP(AF1618,TPCalibEq500!$AZ$2:$BB$56,3,)))</f>
        <v>0</v>
      </c>
      <c r="AT1618" s="10" t="b">
        <f>IF(AND(I1618="TN",S1618&lt;=2800),VLOOKUP(AF1618,TNCalibEq2500!$AZ$2:$BB$56,3,),IF(AND(I1618="TDN",S1618&lt;=2800),VLOOKUP(AF1618,TNCalibEq2500!$AZ$2:$BB$56,3,)))</f>
        <v>0</v>
      </c>
      <c r="AU1618" s="10" t="b">
        <f>IF(I1618="TP",VLOOKUP(AF1618,TPCalibEqFull!$AZ$2:$BB$56,3),IF(I1618="TDP",VLOOKUP(AF1618,TPCalibEqFull!$AZ$2:$BB$56,3),IF(I1618="TDN",VLOOKUP(AF1618,TNCalibEqFull!$AZ$1:$BB$56,3),IF(I1618="TN",VLOOKUP(AF1618,TNCalibEqFull!$AZ$1:$BB$56,3),FALSE))))</f>
        <v>0</v>
      </c>
      <c r="AV1618" s="10" t="str">
        <f t="shared" si="185"/>
        <v>0130 08:38:00-ELW-0-C-1-SW-UKN</v>
      </c>
    </row>
    <row r="1619" spans="1:48" s="10" customFormat="1" x14ac:dyDescent="0.55000000000000004">
      <c r="A1619" s="32">
        <v>44956</v>
      </c>
      <c r="B1619" s="33">
        <v>0.38055555555555554</v>
      </c>
      <c r="C1619" s="10" t="s">
        <v>357</v>
      </c>
      <c r="D1619" s="10">
        <v>0</v>
      </c>
      <c r="E1619" s="10" t="s">
        <v>190</v>
      </c>
      <c r="F1619" s="10">
        <v>1</v>
      </c>
      <c r="G1619" s="10" t="s">
        <v>231</v>
      </c>
      <c r="H1619" s="10" t="s">
        <v>322</v>
      </c>
      <c r="I1619" s="10" t="s">
        <v>256</v>
      </c>
      <c r="J1619" s="10">
        <v>30</v>
      </c>
      <c r="K1619" s="12">
        <v>44958</v>
      </c>
      <c r="L1619" s="33">
        <v>0.53762731481481485</v>
      </c>
      <c r="M1619" s="10">
        <v>1</v>
      </c>
      <c r="N1619" s="10" t="s">
        <v>169</v>
      </c>
      <c r="O1619" s="10">
        <v>3.58</v>
      </c>
      <c r="P1619" s="10">
        <v>0.17199999999999999</v>
      </c>
      <c r="Q1619" s="10">
        <v>450</v>
      </c>
      <c r="R1619" s="10" t="s">
        <v>77</v>
      </c>
      <c r="S1619" s="34">
        <f t="shared" si="182"/>
        <v>450</v>
      </c>
      <c r="T1619" s="10" t="s">
        <v>1114</v>
      </c>
      <c r="U1619" s="34" t="str">
        <f t="shared" si="183"/>
        <v/>
      </c>
      <c r="V1619" s="31" t="str">
        <f>IF(H1619="CHK",VLOOKUP(I1619,QCCHK,3,),IF(H1619="GUP",VLOOKUP(E1619,QCGUP,2,),IF(AND(H1619="ATP",OR(I1619="TN",I1619="TDN",I1619="TNO2-3",I1619="NO2-3")),VLOOKUP(E1619,QCREC_N,2,),IF(AND(H1619="NIC",OR(I1619="TN",I1619="TDN",I1619="TNO2-3",I1619="NO2-3")),VLOOKUP(E1619,QCNIC_N,2,),IF(AND(H1619="UREA",OR(I1619="TN",I1619="TDN",I1619="TNO2-3",I1619="NO2-3")),VLOOKUP(E1619,QCUREA_N,2,),IF(H1619="PER",VLOOKUP(I1619,QCPER,MATCH(E1619,QCACTUAL!$J$25:$AA$25,0),),IF(H1619="SPK",VLOOKUP(I1619,QCSPK,3,),IF(AND(H1619="ATP",OR(I1619="TP",I1619="TDP")),VLOOKUP(E1619,QCATP_P,2,),""))))))))</f>
        <v/>
      </c>
      <c r="W1619" s="31" t="str">
        <f t="shared" si="184"/>
        <v>TRUE</v>
      </c>
      <c r="X1619" s="31" t="str">
        <f t="shared" si="181"/>
        <v/>
      </c>
      <c r="Y1619" s="10" t="s">
        <v>1096</v>
      </c>
      <c r="Z1619" s="10" t="s">
        <v>910</v>
      </c>
      <c r="AL1619" s="10" t="str">
        <f t="shared" si="186"/>
        <v>FALSE</v>
      </c>
      <c r="AM1619" s="10" t="str">
        <f t="shared" si="186"/>
        <v>FALSE</v>
      </c>
      <c r="AN1619" s="10" t="str">
        <f t="shared" si="186"/>
        <v>FALSE</v>
      </c>
      <c r="AO1619" s="10" t="str">
        <f t="shared" si="187"/>
        <v>FALSE</v>
      </c>
      <c r="AP1619" s="10" t="str">
        <f t="shared" si="187"/>
        <v>FALSE</v>
      </c>
      <c r="AQ1619" s="10" t="b">
        <f>IF(AND(I1619="TP",S1619&lt;=150),VLOOKUP(AF1619,TPCalibEq150!$AZ$2:$BB$55,3,),IF(AND(I1619="TDP",S1619&lt;=150),VLOOKUP(AF1619,TPCalibEq150!$AZ$2:$BB$55,3,)))</f>
        <v>0</v>
      </c>
      <c r="AR1619" s="10" t="b">
        <f>IF(AND(I1619="TP",S1619&lt;=300),VLOOKUP(AF1619,TPCalibEq300!$AZ$2:$BB$55,3,),IF(AND(I1619="TDP",S1619&lt;=300),VLOOKUP(AF1619,TPCalibEq300!$AZ$2:$BB$55,3,)))</f>
        <v>0</v>
      </c>
      <c r="AS1619" s="10" t="b">
        <f>IF(AND(I1619="TP",S1619&lt;=500),VLOOKUP(AF1619,TPCalibEq500!$AZ$2:$BB$56,3,),IF(AND(I1619="TDP",S1619&lt;=500),VLOOKUP(AF1619,TPCalibEq500!$AZ$2:$BB$56,3,)))</f>
        <v>0</v>
      </c>
      <c r="AT1619" s="10" t="b">
        <f>IF(AND(I1619="TN",S1619&lt;=2800),VLOOKUP(AF1619,TNCalibEq2500!$AZ$2:$BB$56,3,),IF(AND(I1619="TDN",S1619&lt;=2800),VLOOKUP(AF1619,TNCalibEq2500!$AZ$2:$BB$56,3,)))</f>
        <v>0</v>
      </c>
      <c r="AU1619" s="10" t="b">
        <f>IF(I1619="TP",VLOOKUP(AF1619,TPCalibEqFull!$AZ$2:$BB$56,3),IF(I1619="TDP",VLOOKUP(AF1619,TPCalibEqFull!$AZ$2:$BB$56,3),IF(I1619="TDN",VLOOKUP(AF1619,TNCalibEqFull!$AZ$1:$BB$56,3),IF(I1619="TN",VLOOKUP(AF1619,TNCalibEqFull!$AZ$1:$BB$56,3),FALSE))))</f>
        <v>0</v>
      </c>
      <c r="AV1619" s="10" t="str">
        <f t="shared" si="185"/>
        <v>0130 09:08:00-STC-0-C-1-SW-UKN</v>
      </c>
    </row>
    <row r="1620" spans="1:48" s="10" customFormat="1" x14ac:dyDescent="0.55000000000000004">
      <c r="A1620" s="32">
        <v>44956</v>
      </c>
      <c r="B1620" s="33">
        <v>0.3972222222222222</v>
      </c>
      <c r="C1620" s="10" t="s">
        <v>999</v>
      </c>
      <c r="D1620" s="10">
        <v>0</v>
      </c>
      <c r="E1620" s="10" t="s">
        <v>190</v>
      </c>
      <c r="F1620" s="10">
        <v>1</v>
      </c>
      <c r="G1620" s="10" t="s">
        <v>231</v>
      </c>
      <c r="H1620" s="10" t="s">
        <v>322</v>
      </c>
      <c r="I1620" s="10" t="s">
        <v>256</v>
      </c>
      <c r="J1620" s="10">
        <v>31</v>
      </c>
      <c r="K1620" s="12">
        <v>44958</v>
      </c>
      <c r="L1620" s="33">
        <v>0.53844907407407405</v>
      </c>
      <c r="M1620" s="10">
        <v>1</v>
      </c>
      <c r="N1620" s="10" t="s">
        <v>169</v>
      </c>
      <c r="O1620" s="10">
        <v>10.8</v>
      </c>
      <c r="P1620" s="10">
        <v>0.52</v>
      </c>
      <c r="Q1620" s="10">
        <v>1360</v>
      </c>
      <c r="R1620" s="10" t="s">
        <v>77</v>
      </c>
      <c r="S1620" s="34">
        <f t="shared" si="182"/>
        <v>1360</v>
      </c>
      <c r="T1620" s="10" t="s">
        <v>1114</v>
      </c>
      <c r="U1620" s="34" t="str">
        <f t="shared" si="183"/>
        <v/>
      </c>
      <c r="V1620" s="31" t="str">
        <f>IF(H1620="CHK",VLOOKUP(I1620,QCCHK,3,),IF(H1620="GUP",VLOOKUP(E1620,QCGUP,2,),IF(AND(H1620="ATP",OR(I1620="TN",I1620="TDN",I1620="TNO2-3",I1620="NO2-3")),VLOOKUP(E1620,QCREC_N,2,),IF(AND(H1620="NIC",OR(I1620="TN",I1620="TDN",I1620="TNO2-3",I1620="NO2-3")),VLOOKUP(E1620,QCNIC_N,2,),IF(AND(H1620="UREA",OR(I1620="TN",I1620="TDN",I1620="TNO2-3",I1620="NO2-3")),VLOOKUP(E1620,QCUREA_N,2,),IF(H1620="PER",VLOOKUP(I1620,QCPER,MATCH(E1620,QCACTUAL!$J$25:$AA$25,0),),IF(H1620="SPK",VLOOKUP(I1620,QCSPK,3,),IF(AND(H1620="ATP",OR(I1620="TP",I1620="TDP")),VLOOKUP(E1620,QCATP_P,2,),""))))))))</f>
        <v/>
      </c>
      <c r="W1620" s="31" t="str">
        <f t="shared" si="184"/>
        <v>TRUE</v>
      </c>
      <c r="X1620" s="31" t="str">
        <f t="shared" si="181"/>
        <v/>
      </c>
      <c r="Y1620" s="10" t="s">
        <v>1096</v>
      </c>
      <c r="Z1620" s="10" t="s">
        <v>910</v>
      </c>
      <c r="AL1620" s="10" t="str">
        <f t="shared" si="186"/>
        <v>FALSE</v>
      </c>
      <c r="AM1620" s="10" t="str">
        <f t="shared" si="186"/>
        <v>FALSE</v>
      </c>
      <c r="AN1620" s="10" t="str">
        <f t="shared" si="186"/>
        <v>FALSE</v>
      </c>
      <c r="AO1620" s="10" t="str">
        <f t="shared" si="187"/>
        <v>FALSE</v>
      </c>
      <c r="AP1620" s="10" t="str">
        <f t="shared" si="187"/>
        <v>FALSE</v>
      </c>
      <c r="AQ1620" s="10" t="b">
        <f>IF(AND(I1620="TP",S1620&lt;=150),VLOOKUP(AF1620,TPCalibEq150!$AZ$2:$BB$55,3,),IF(AND(I1620="TDP",S1620&lt;=150),VLOOKUP(AF1620,TPCalibEq150!$AZ$2:$BB$55,3,)))</f>
        <v>0</v>
      </c>
      <c r="AR1620" s="10" t="b">
        <f>IF(AND(I1620="TP",S1620&lt;=300),VLOOKUP(AF1620,TPCalibEq300!$AZ$2:$BB$55,3,),IF(AND(I1620="TDP",S1620&lt;=300),VLOOKUP(AF1620,TPCalibEq300!$AZ$2:$BB$55,3,)))</f>
        <v>0</v>
      </c>
      <c r="AS1620" s="10" t="b">
        <f>IF(AND(I1620="TP",S1620&lt;=500),VLOOKUP(AF1620,TPCalibEq500!$AZ$2:$BB$56,3,),IF(AND(I1620="TDP",S1620&lt;=500),VLOOKUP(AF1620,TPCalibEq500!$AZ$2:$BB$56,3,)))</f>
        <v>0</v>
      </c>
      <c r="AT1620" s="10" t="b">
        <f>IF(AND(I1620="TN",S1620&lt;=2800),VLOOKUP(AF1620,TNCalibEq2500!$AZ$2:$BB$56,3,),IF(AND(I1620="TDN",S1620&lt;=2800),VLOOKUP(AF1620,TNCalibEq2500!$AZ$2:$BB$56,3,)))</f>
        <v>0</v>
      </c>
      <c r="AU1620" s="10" t="b">
        <f>IF(I1620="TP",VLOOKUP(AF1620,TPCalibEqFull!$AZ$2:$BB$56,3),IF(I1620="TDP",VLOOKUP(AF1620,TPCalibEqFull!$AZ$2:$BB$56,3),IF(I1620="TDN",VLOOKUP(AF1620,TNCalibEqFull!$AZ$1:$BB$56,3),IF(I1620="TN",VLOOKUP(AF1620,TNCalibEqFull!$AZ$1:$BB$56,3),FALSE))))</f>
        <v>0</v>
      </c>
      <c r="AV1620" s="10" t="str">
        <f t="shared" si="185"/>
        <v>0130 09:32:00-EAW-0-C-1-SW-UKN</v>
      </c>
    </row>
    <row r="1621" spans="1:48" s="10" customFormat="1" x14ac:dyDescent="0.55000000000000004">
      <c r="A1621" s="32">
        <v>44956</v>
      </c>
      <c r="B1621" s="33">
        <v>0.40486111111111112</v>
      </c>
      <c r="C1621" s="10" t="s">
        <v>310</v>
      </c>
      <c r="D1621" s="10">
        <v>0</v>
      </c>
      <c r="E1621" s="10" t="s">
        <v>190</v>
      </c>
      <c r="F1621" s="10">
        <v>1</v>
      </c>
      <c r="G1621" s="10" t="s">
        <v>231</v>
      </c>
      <c r="H1621" s="10" t="s">
        <v>322</v>
      </c>
      <c r="I1621" s="10" t="s">
        <v>256</v>
      </c>
      <c r="J1621" s="10">
        <v>32</v>
      </c>
      <c r="K1621" s="12">
        <v>44958</v>
      </c>
      <c r="L1621" s="33">
        <v>0.5392824074074074</v>
      </c>
      <c r="M1621" s="10">
        <v>1</v>
      </c>
      <c r="N1621" s="10" t="s">
        <v>169</v>
      </c>
      <c r="O1621" s="10">
        <v>10.8</v>
      </c>
      <c r="P1621" s="10">
        <v>0.52</v>
      </c>
      <c r="Q1621" s="10">
        <v>1360</v>
      </c>
      <c r="R1621" s="10" t="s">
        <v>77</v>
      </c>
      <c r="S1621" s="34">
        <f t="shared" si="182"/>
        <v>1360</v>
      </c>
      <c r="T1621" s="10" t="s">
        <v>1114</v>
      </c>
      <c r="U1621" s="34" t="str">
        <f t="shared" si="183"/>
        <v/>
      </c>
      <c r="V1621" s="31" t="str">
        <f>IF(H1621="CHK",VLOOKUP(I1621,QCCHK,3,),IF(H1621="GUP",VLOOKUP(E1621,QCGUP,2,),IF(AND(H1621="ATP",OR(I1621="TN",I1621="TDN",I1621="TNO2-3",I1621="NO2-3")),VLOOKUP(E1621,QCREC_N,2,),IF(AND(H1621="NIC",OR(I1621="TN",I1621="TDN",I1621="TNO2-3",I1621="NO2-3")),VLOOKUP(E1621,QCNIC_N,2,),IF(AND(H1621="UREA",OR(I1621="TN",I1621="TDN",I1621="TNO2-3",I1621="NO2-3")),VLOOKUP(E1621,QCUREA_N,2,),IF(H1621="PER",VLOOKUP(I1621,QCPER,MATCH(E1621,QCACTUAL!$J$25:$AA$25,0),),IF(H1621="SPK",VLOOKUP(I1621,QCSPK,3,),IF(AND(H1621="ATP",OR(I1621="TP",I1621="TDP")),VLOOKUP(E1621,QCATP_P,2,),""))))))))</f>
        <v/>
      </c>
      <c r="W1621" s="31" t="str">
        <f t="shared" si="184"/>
        <v>TRUE</v>
      </c>
      <c r="X1621" s="31" t="str">
        <f t="shared" si="181"/>
        <v/>
      </c>
      <c r="Y1621" s="10" t="s">
        <v>1096</v>
      </c>
      <c r="Z1621" s="10" t="s">
        <v>910</v>
      </c>
      <c r="AL1621" s="10" t="str">
        <f t="shared" si="186"/>
        <v>FALSE</v>
      </c>
      <c r="AM1621" s="10" t="str">
        <f t="shared" si="186"/>
        <v>FALSE</v>
      </c>
      <c r="AN1621" s="10" t="str">
        <f t="shared" si="186"/>
        <v>FALSE</v>
      </c>
      <c r="AO1621" s="10" t="str">
        <f t="shared" si="187"/>
        <v>FALSE</v>
      </c>
      <c r="AP1621" s="10" t="str">
        <f t="shared" si="187"/>
        <v>FALSE</v>
      </c>
      <c r="AQ1621" s="10" t="b">
        <f>IF(AND(I1621="TP",S1621&lt;=150),VLOOKUP(AF1621,TPCalibEq150!$AZ$2:$BB$55,3,),IF(AND(I1621="TDP",S1621&lt;=150),VLOOKUP(AF1621,TPCalibEq150!$AZ$2:$BB$55,3,)))</f>
        <v>0</v>
      </c>
      <c r="AR1621" s="10" t="b">
        <f>IF(AND(I1621="TP",S1621&lt;=300),VLOOKUP(AF1621,TPCalibEq300!$AZ$2:$BB$55,3,),IF(AND(I1621="TDP",S1621&lt;=300),VLOOKUP(AF1621,TPCalibEq300!$AZ$2:$BB$55,3,)))</f>
        <v>0</v>
      </c>
      <c r="AS1621" s="10" t="b">
        <f>IF(AND(I1621="TP",S1621&lt;=500),VLOOKUP(AF1621,TPCalibEq500!$AZ$2:$BB$56,3,),IF(AND(I1621="TDP",S1621&lt;=500),VLOOKUP(AF1621,TPCalibEq500!$AZ$2:$BB$56,3,)))</f>
        <v>0</v>
      </c>
      <c r="AT1621" s="10" t="b">
        <f>IF(AND(I1621="TN",S1621&lt;=2800),VLOOKUP(AF1621,TNCalibEq2500!$AZ$2:$BB$56,3,),IF(AND(I1621="TDN",S1621&lt;=2800),VLOOKUP(AF1621,TNCalibEq2500!$AZ$2:$BB$56,3,)))</f>
        <v>0</v>
      </c>
      <c r="AU1621" s="10" t="b">
        <f>IF(I1621="TP",VLOOKUP(AF1621,TPCalibEqFull!$AZ$2:$BB$56,3),IF(I1621="TDP",VLOOKUP(AF1621,TPCalibEqFull!$AZ$2:$BB$56,3),IF(I1621="TDN",VLOOKUP(AF1621,TNCalibEqFull!$AZ$1:$BB$56,3),IF(I1621="TN",VLOOKUP(AF1621,TNCalibEqFull!$AZ$1:$BB$56,3),FALSE))))</f>
        <v>0</v>
      </c>
      <c r="AV1621" s="10" t="str">
        <f t="shared" si="185"/>
        <v>0130 09:43:00-ELI-0-C-1-SW-UKN</v>
      </c>
    </row>
    <row r="1622" spans="1:48" s="10" customFormat="1" x14ac:dyDescent="0.55000000000000004">
      <c r="A1622" s="32">
        <v>44956</v>
      </c>
      <c r="B1622" s="33">
        <v>0.41597222222222219</v>
      </c>
      <c r="C1622" s="10" t="s">
        <v>408</v>
      </c>
      <c r="D1622" s="10">
        <v>0</v>
      </c>
      <c r="E1622" s="10" t="s">
        <v>190</v>
      </c>
      <c r="F1622" s="10">
        <v>1</v>
      </c>
      <c r="G1622" s="10" t="s">
        <v>231</v>
      </c>
      <c r="H1622" s="10" t="s">
        <v>322</v>
      </c>
      <c r="I1622" s="10" t="s">
        <v>256</v>
      </c>
      <c r="J1622" s="10">
        <v>33</v>
      </c>
      <c r="K1622" s="12">
        <v>44958</v>
      </c>
      <c r="L1622" s="33">
        <v>0.54010416666666672</v>
      </c>
      <c r="M1622" s="10">
        <v>1</v>
      </c>
      <c r="N1622" s="10" t="s">
        <v>169</v>
      </c>
      <c r="O1622" s="10">
        <v>3.18</v>
      </c>
      <c r="P1622" s="10">
        <v>0.154</v>
      </c>
      <c r="Q1622" s="10">
        <v>401</v>
      </c>
      <c r="R1622" s="10" t="s">
        <v>77</v>
      </c>
      <c r="S1622" s="34">
        <f t="shared" si="182"/>
        <v>401</v>
      </c>
      <c r="T1622" s="10" t="s">
        <v>1114</v>
      </c>
      <c r="U1622" s="34" t="str">
        <f t="shared" si="183"/>
        <v/>
      </c>
      <c r="V1622" s="31" t="str">
        <f>IF(H1622="CHK",VLOOKUP(I1622,QCCHK,3,),IF(H1622="GUP",VLOOKUP(E1622,QCGUP,2,),IF(AND(H1622="ATP",OR(I1622="TN",I1622="TDN",I1622="TNO2-3",I1622="NO2-3")),VLOOKUP(E1622,QCREC_N,2,),IF(AND(H1622="NIC",OR(I1622="TN",I1622="TDN",I1622="TNO2-3",I1622="NO2-3")),VLOOKUP(E1622,QCNIC_N,2,),IF(AND(H1622="UREA",OR(I1622="TN",I1622="TDN",I1622="TNO2-3",I1622="NO2-3")),VLOOKUP(E1622,QCUREA_N,2,),IF(H1622="PER",VLOOKUP(I1622,QCPER,MATCH(E1622,QCACTUAL!$J$25:$AA$25,0),),IF(H1622="SPK",VLOOKUP(I1622,QCSPK,3,),IF(AND(H1622="ATP",OR(I1622="TP",I1622="TDP")),VLOOKUP(E1622,QCATP_P,2,),""))))))))</f>
        <v/>
      </c>
      <c r="W1622" s="31" t="str">
        <f t="shared" si="184"/>
        <v>TRUE</v>
      </c>
      <c r="X1622" s="31" t="str">
        <f t="shared" si="181"/>
        <v/>
      </c>
      <c r="Y1622" s="10" t="s">
        <v>1096</v>
      </c>
      <c r="Z1622" s="10" t="s">
        <v>910</v>
      </c>
      <c r="AL1622" s="10" t="str">
        <f t="shared" si="186"/>
        <v>FALSE</v>
      </c>
      <c r="AM1622" s="10" t="str">
        <f t="shared" si="186"/>
        <v>FALSE</v>
      </c>
      <c r="AN1622" s="10" t="str">
        <f t="shared" si="186"/>
        <v>FALSE</v>
      </c>
      <c r="AO1622" s="10" t="str">
        <f t="shared" si="187"/>
        <v>FALSE</v>
      </c>
      <c r="AP1622" s="10" t="str">
        <f t="shared" si="187"/>
        <v>FALSE</v>
      </c>
      <c r="AQ1622" s="10" t="b">
        <f>IF(AND(I1622="TP",S1622&lt;=150),VLOOKUP(AF1622,TPCalibEq150!$AZ$2:$BB$55,3,),IF(AND(I1622="TDP",S1622&lt;=150),VLOOKUP(AF1622,TPCalibEq150!$AZ$2:$BB$55,3,)))</f>
        <v>0</v>
      </c>
      <c r="AR1622" s="10" t="b">
        <f>IF(AND(I1622="TP",S1622&lt;=300),VLOOKUP(AF1622,TPCalibEq300!$AZ$2:$BB$55,3,),IF(AND(I1622="TDP",S1622&lt;=300),VLOOKUP(AF1622,TPCalibEq300!$AZ$2:$BB$55,3,)))</f>
        <v>0</v>
      </c>
      <c r="AS1622" s="10" t="b">
        <f>IF(AND(I1622="TP",S1622&lt;=500),VLOOKUP(AF1622,TPCalibEq500!$AZ$2:$BB$56,3,),IF(AND(I1622="TDP",S1622&lt;=500),VLOOKUP(AF1622,TPCalibEq500!$AZ$2:$BB$56,3,)))</f>
        <v>0</v>
      </c>
      <c r="AT1622" s="10" t="b">
        <f>IF(AND(I1622="TN",S1622&lt;=2800),VLOOKUP(AF1622,TNCalibEq2500!$AZ$2:$BB$56,3,),IF(AND(I1622="TDN",S1622&lt;=2800),VLOOKUP(AF1622,TNCalibEq2500!$AZ$2:$BB$56,3,)))</f>
        <v>0</v>
      </c>
      <c r="AU1622" s="10" t="b">
        <f>IF(I1622="TP",VLOOKUP(AF1622,TPCalibEqFull!$AZ$2:$BB$56,3),IF(I1622="TDP",VLOOKUP(AF1622,TPCalibEqFull!$AZ$2:$BB$56,3),IF(I1622="TDN",VLOOKUP(AF1622,TNCalibEqFull!$AZ$1:$BB$56,3),IF(I1622="TN",VLOOKUP(AF1622,TNCalibEqFull!$AZ$1:$BB$56,3),FALSE))))</f>
        <v>0</v>
      </c>
      <c r="AV1622" s="10" t="str">
        <f t="shared" si="185"/>
        <v>0130 09:59:00-CLC-0-C-1-SW-UKN</v>
      </c>
    </row>
    <row r="1623" spans="1:48" s="10" customFormat="1" x14ac:dyDescent="0.55000000000000004">
      <c r="A1623" s="32">
        <v>44956</v>
      </c>
      <c r="B1623" s="33">
        <v>0.43055555555555558</v>
      </c>
      <c r="C1623" s="10" t="s">
        <v>349</v>
      </c>
      <c r="D1623" s="10">
        <v>0</v>
      </c>
      <c r="E1623" s="10" t="s">
        <v>190</v>
      </c>
      <c r="F1623" s="10">
        <v>1</v>
      </c>
      <c r="G1623" s="10" t="s">
        <v>231</v>
      </c>
      <c r="H1623" s="10" t="s">
        <v>322</v>
      </c>
      <c r="I1623" s="10" t="s">
        <v>256</v>
      </c>
      <c r="J1623" s="10">
        <v>34</v>
      </c>
      <c r="K1623" s="12">
        <v>44958</v>
      </c>
      <c r="L1623" s="33">
        <v>0.54091435185185188</v>
      </c>
      <c r="M1623" s="10">
        <v>1</v>
      </c>
      <c r="N1623" s="10" t="s">
        <v>169</v>
      </c>
      <c r="O1623" s="10">
        <v>5.53</v>
      </c>
      <c r="P1623" s="10">
        <v>0.26400000000000001</v>
      </c>
      <c r="Q1623" s="10">
        <v>696</v>
      </c>
      <c r="R1623" s="10" t="s">
        <v>77</v>
      </c>
      <c r="S1623" s="34">
        <f t="shared" si="182"/>
        <v>696</v>
      </c>
      <c r="T1623" s="10" t="s">
        <v>1114</v>
      </c>
      <c r="U1623" s="34" t="str">
        <f t="shared" si="183"/>
        <v/>
      </c>
      <c r="V1623" s="31" t="str">
        <f>IF(H1623="CHK",VLOOKUP(I1623,QCCHK,3,),IF(H1623="GUP",VLOOKUP(E1623,QCGUP,2,),IF(AND(H1623="ATP",OR(I1623="TN",I1623="TDN",I1623="TNO2-3",I1623="NO2-3")),VLOOKUP(E1623,QCREC_N,2,),IF(AND(H1623="NIC",OR(I1623="TN",I1623="TDN",I1623="TNO2-3",I1623="NO2-3")),VLOOKUP(E1623,QCNIC_N,2,),IF(AND(H1623="UREA",OR(I1623="TN",I1623="TDN",I1623="TNO2-3",I1623="NO2-3")),VLOOKUP(E1623,QCUREA_N,2,),IF(H1623="PER",VLOOKUP(I1623,QCPER,MATCH(E1623,QCACTUAL!$J$25:$AA$25,0),),IF(H1623="SPK",VLOOKUP(I1623,QCSPK,3,),IF(AND(H1623="ATP",OR(I1623="TP",I1623="TDP")),VLOOKUP(E1623,QCATP_P,2,),""))))))))</f>
        <v/>
      </c>
      <c r="W1623" s="31" t="str">
        <f t="shared" si="184"/>
        <v>TRUE</v>
      </c>
      <c r="X1623" s="31" t="str">
        <f t="shared" si="181"/>
        <v/>
      </c>
      <c r="Y1623" s="10" t="s">
        <v>1096</v>
      </c>
      <c r="Z1623" s="10" t="s">
        <v>910</v>
      </c>
      <c r="AL1623" s="10" t="str">
        <f t="shared" si="186"/>
        <v>FALSE</v>
      </c>
      <c r="AM1623" s="10" t="str">
        <f t="shared" si="186"/>
        <v>FALSE</v>
      </c>
      <c r="AN1623" s="10" t="str">
        <f t="shared" si="186"/>
        <v>FALSE</v>
      </c>
      <c r="AO1623" s="10" t="str">
        <f t="shared" si="187"/>
        <v>FALSE</v>
      </c>
      <c r="AP1623" s="10" t="str">
        <f t="shared" si="187"/>
        <v>FALSE</v>
      </c>
      <c r="AQ1623" s="10" t="b">
        <f>IF(AND(I1623="TP",S1623&lt;=150),VLOOKUP(AF1623,TPCalibEq150!$AZ$2:$BB$55,3,),IF(AND(I1623="TDP",S1623&lt;=150),VLOOKUP(AF1623,TPCalibEq150!$AZ$2:$BB$55,3,)))</f>
        <v>0</v>
      </c>
      <c r="AR1623" s="10" t="b">
        <f>IF(AND(I1623="TP",S1623&lt;=300),VLOOKUP(AF1623,TPCalibEq300!$AZ$2:$BB$55,3,),IF(AND(I1623="TDP",S1623&lt;=300),VLOOKUP(AF1623,TPCalibEq300!$AZ$2:$BB$55,3,)))</f>
        <v>0</v>
      </c>
      <c r="AS1623" s="10" t="b">
        <f>IF(AND(I1623="TP",S1623&lt;=500),VLOOKUP(AF1623,TPCalibEq500!$AZ$2:$BB$56,3,),IF(AND(I1623="TDP",S1623&lt;=500),VLOOKUP(AF1623,TPCalibEq500!$AZ$2:$BB$56,3,)))</f>
        <v>0</v>
      </c>
      <c r="AT1623" s="10" t="b">
        <f>IF(AND(I1623="TN",S1623&lt;=2800),VLOOKUP(AF1623,TNCalibEq2500!$AZ$2:$BB$56,3,),IF(AND(I1623="TDN",S1623&lt;=2800),VLOOKUP(AF1623,TNCalibEq2500!$AZ$2:$BB$56,3,)))</f>
        <v>0</v>
      </c>
      <c r="AU1623" s="10" t="b">
        <f>IF(I1623="TP",VLOOKUP(AF1623,TPCalibEqFull!$AZ$2:$BB$56,3),IF(I1623="TDP",VLOOKUP(AF1623,TPCalibEqFull!$AZ$2:$BB$56,3),IF(I1623="TDN",VLOOKUP(AF1623,TNCalibEqFull!$AZ$1:$BB$56,3),IF(I1623="TN",VLOOKUP(AF1623,TNCalibEqFull!$AZ$1:$BB$56,3),FALSE))))</f>
        <v>0</v>
      </c>
      <c r="AV1623" s="10" t="str">
        <f t="shared" si="185"/>
        <v>0130 10:20:00-SHA-0-C-1-SW-UKN</v>
      </c>
    </row>
    <row r="1624" spans="1:48" s="10" customFormat="1" x14ac:dyDescent="0.55000000000000004">
      <c r="A1624" s="32">
        <v>44956</v>
      </c>
      <c r="B1624" s="33">
        <v>0.44166666666666665</v>
      </c>
      <c r="C1624" s="10" t="s">
        <v>646</v>
      </c>
      <c r="D1624" s="10">
        <v>0</v>
      </c>
      <c r="E1624" s="10" t="s">
        <v>190</v>
      </c>
      <c r="F1624" s="10">
        <v>1</v>
      </c>
      <c r="G1624" s="10" t="s">
        <v>231</v>
      </c>
      <c r="H1624" s="10" t="s">
        <v>322</v>
      </c>
      <c r="I1624" s="10" t="s">
        <v>256</v>
      </c>
      <c r="J1624" s="10">
        <v>35</v>
      </c>
      <c r="K1624" s="12">
        <v>44958</v>
      </c>
      <c r="L1624" s="33">
        <v>0.54173611111111108</v>
      </c>
      <c r="M1624" s="10">
        <v>1</v>
      </c>
      <c r="N1624" s="10" t="s">
        <v>169</v>
      </c>
      <c r="O1624" s="10">
        <v>10.199999999999999</v>
      </c>
      <c r="P1624" s="10">
        <v>0.49299999999999999</v>
      </c>
      <c r="Q1624" s="10">
        <v>1290</v>
      </c>
      <c r="R1624" s="10" t="s">
        <v>77</v>
      </c>
      <c r="S1624" s="34">
        <f t="shared" si="182"/>
        <v>1290</v>
      </c>
      <c r="T1624" s="10" t="s">
        <v>1114</v>
      </c>
      <c r="U1624" s="34" t="str">
        <f t="shared" si="183"/>
        <v/>
      </c>
      <c r="V1624" s="31" t="str">
        <f>IF(H1624="CHK",VLOOKUP(I1624,QCCHK,3,),IF(H1624="GUP",VLOOKUP(E1624,QCGUP,2,),IF(AND(H1624="ATP",OR(I1624="TN",I1624="TDN",I1624="TNO2-3",I1624="NO2-3")),VLOOKUP(E1624,QCREC_N,2,),IF(AND(H1624="NIC",OR(I1624="TN",I1624="TDN",I1624="TNO2-3",I1624="NO2-3")),VLOOKUP(E1624,QCNIC_N,2,),IF(AND(H1624="UREA",OR(I1624="TN",I1624="TDN",I1624="TNO2-3",I1624="NO2-3")),VLOOKUP(E1624,QCUREA_N,2,),IF(H1624="PER",VLOOKUP(I1624,QCPER,MATCH(E1624,QCACTUAL!$J$25:$AA$25,0),),IF(H1624="SPK",VLOOKUP(I1624,QCSPK,3,),IF(AND(H1624="ATP",OR(I1624="TP",I1624="TDP")),VLOOKUP(E1624,QCATP_P,2,),""))))))))</f>
        <v/>
      </c>
      <c r="W1624" s="31" t="str">
        <f t="shared" si="184"/>
        <v>TRUE</v>
      </c>
      <c r="X1624" s="31" t="str">
        <f t="shared" si="181"/>
        <v/>
      </c>
      <c r="Y1624" s="10" t="s">
        <v>1096</v>
      </c>
      <c r="Z1624" s="10" t="s">
        <v>910</v>
      </c>
      <c r="AL1624" s="10" t="str">
        <f t="shared" si="186"/>
        <v>FALSE</v>
      </c>
      <c r="AM1624" s="10" t="str">
        <f t="shared" si="186"/>
        <v>FALSE</v>
      </c>
      <c r="AN1624" s="10" t="str">
        <f t="shared" si="186"/>
        <v>FALSE</v>
      </c>
      <c r="AO1624" s="10" t="str">
        <f t="shared" si="187"/>
        <v>FALSE</v>
      </c>
      <c r="AP1624" s="10" t="str">
        <f t="shared" si="187"/>
        <v>FALSE</v>
      </c>
      <c r="AQ1624" s="10" t="b">
        <f>IF(AND(I1624="TP",S1624&lt;=150),VLOOKUP(AF1624,TPCalibEq150!$AZ$2:$BB$55,3,),IF(AND(I1624="TDP",S1624&lt;=150),VLOOKUP(AF1624,TPCalibEq150!$AZ$2:$BB$55,3,)))</f>
        <v>0</v>
      </c>
      <c r="AR1624" s="10" t="b">
        <f>IF(AND(I1624="TP",S1624&lt;=300),VLOOKUP(AF1624,TPCalibEq300!$AZ$2:$BB$55,3,),IF(AND(I1624="TDP",S1624&lt;=300),VLOOKUP(AF1624,TPCalibEq300!$AZ$2:$BB$55,3,)))</f>
        <v>0</v>
      </c>
      <c r="AS1624" s="10" t="b">
        <f>IF(AND(I1624="TP",S1624&lt;=500),VLOOKUP(AF1624,TPCalibEq500!$AZ$2:$BB$56,3,),IF(AND(I1624="TDP",S1624&lt;=500),VLOOKUP(AF1624,TPCalibEq500!$AZ$2:$BB$56,3,)))</f>
        <v>0</v>
      </c>
      <c r="AT1624" s="10" t="b">
        <f>IF(AND(I1624="TN",S1624&lt;=2800),VLOOKUP(AF1624,TNCalibEq2500!$AZ$2:$BB$56,3,),IF(AND(I1624="TDN",S1624&lt;=2800),VLOOKUP(AF1624,TNCalibEq2500!$AZ$2:$BB$56,3,)))</f>
        <v>0</v>
      </c>
      <c r="AU1624" s="10" t="b">
        <f>IF(I1624="TP",VLOOKUP(AF1624,TPCalibEqFull!$AZ$2:$BB$56,3),IF(I1624="TDP",VLOOKUP(AF1624,TPCalibEqFull!$AZ$2:$BB$56,3),IF(I1624="TDN",VLOOKUP(AF1624,TNCalibEqFull!$AZ$1:$BB$56,3),IF(I1624="TN",VLOOKUP(AF1624,TNCalibEqFull!$AZ$1:$BB$56,3),FALSE))))</f>
        <v>0</v>
      </c>
      <c r="AV1624" s="10" t="str">
        <f t="shared" si="185"/>
        <v>0130 10:36:00-EMB-0-C-1-SW-UKN</v>
      </c>
    </row>
    <row r="1625" spans="1:48" s="10" customFormat="1" x14ac:dyDescent="0.55000000000000004">
      <c r="A1625" s="32">
        <v>44956</v>
      </c>
      <c r="B1625" s="33">
        <v>0.45208333333333334</v>
      </c>
      <c r="C1625" s="10" t="s">
        <v>214</v>
      </c>
      <c r="D1625" s="10">
        <v>0</v>
      </c>
      <c r="E1625" s="10" t="s">
        <v>190</v>
      </c>
      <c r="F1625" s="10">
        <v>1</v>
      </c>
      <c r="G1625" s="10" t="s">
        <v>231</v>
      </c>
      <c r="H1625" s="10" t="s">
        <v>322</v>
      </c>
      <c r="I1625" s="10" t="s">
        <v>256</v>
      </c>
      <c r="J1625" s="10">
        <v>36</v>
      </c>
      <c r="K1625" s="12">
        <v>44958</v>
      </c>
      <c r="L1625" s="33">
        <v>0.5425578703703704</v>
      </c>
      <c r="M1625" s="10">
        <v>1</v>
      </c>
      <c r="N1625" s="10" t="s">
        <v>169</v>
      </c>
      <c r="O1625" s="10">
        <v>7.74</v>
      </c>
      <c r="P1625" s="10">
        <v>0.374</v>
      </c>
      <c r="Q1625" s="10">
        <v>975</v>
      </c>
      <c r="R1625" s="10" t="s">
        <v>77</v>
      </c>
      <c r="S1625" s="34">
        <f t="shared" si="182"/>
        <v>975</v>
      </c>
      <c r="T1625" s="10" t="s">
        <v>1114</v>
      </c>
      <c r="U1625" s="34" t="str">
        <f t="shared" si="183"/>
        <v/>
      </c>
      <c r="V1625" s="31" t="str">
        <f>IF(H1625="CHK",VLOOKUP(I1625,QCCHK,3,),IF(H1625="GUP",VLOOKUP(E1625,QCGUP,2,),IF(AND(H1625="ATP",OR(I1625="TN",I1625="TDN",I1625="TNO2-3",I1625="NO2-3")),VLOOKUP(E1625,QCREC_N,2,),IF(AND(H1625="NIC",OR(I1625="TN",I1625="TDN",I1625="TNO2-3",I1625="NO2-3")),VLOOKUP(E1625,QCNIC_N,2,),IF(AND(H1625="UREA",OR(I1625="TN",I1625="TDN",I1625="TNO2-3",I1625="NO2-3")),VLOOKUP(E1625,QCUREA_N,2,),IF(H1625="PER",VLOOKUP(I1625,QCPER,MATCH(E1625,QCACTUAL!$J$25:$AA$25,0),),IF(H1625="SPK",VLOOKUP(I1625,QCSPK,3,),IF(AND(H1625="ATP",OR(I1625="TP",I1625="TDP")),VLOOKUP(E1625,QCATP_P,2,),""))))))))</f>
        <v/>
      </c>
      <c r="W1625" s="31" t="str">
        <f t="shared" si="184"/>
        <v>TRUE</v>
      </c>
      <c r="X1625" s="31" t="str">
        <f t="shared" si="181"/>
        <v/>
      </c>
      <c r="Y1625" s="10" t="s">
        <v>1096</v>
      </c>
      <c r="Z1625" s="10" t="s">
        <v>910</v>
      </c>
      <c r="AL1625" s="10" t="str">
        <f t="shared" si="186"/>
        <v>FALSE</v>
      </c>
      <c r="AM1625" s="10" t="str">
        <f t="shared" si="186"/>
        <v>FALSE</v>
      </c>
      <c r="AN1625" s="10" t="str">
        <f t="shared" si="186"/>
        <v>FALSE</v>
      </c>
      <c r="AO1625" s="10" t="str">
        <f t="shared" si="187"/>
        <v>FALSE</v>
      </c>
      <c r="AP1625" s="10" t="str">
        <f t="shared" si="187"/>
        <v>FALSE</v>
      </c>
      <c r="AQ1625" s="10" t="b">
        <f>IF(AND(I1625="TP",S1625&lt;=150),VLOOKUP(AF1625,TPCalibEq150!$AZ$2:$BB$55,3,),IF(AND(I1625="TDP",S1625&lt;=150),VLOOKUP(AF1625,TPCalibEq150!$AZ$2:$BB$55,3,)))</f>
        <v>0</v>
      </c>
      <c r="AR1625" s="10" t="b">
        <f>IF(AND(I1625="TP",S1625&lt;=300),VLOOKUP(AF1625,TPCalibEq300!$AZ$2:$BB$55,3,),IF(AND(I1625="TDP",S1625&lt;=300),VLOOKUP(AF1625,TPCalibEq300!$AZ$2:$BB$55,3,)))</f>
        <v>0</v>
      </c>
      <c r="AS1625" s="10" t="b">
        <f>IF(AND(I1625="TP",S1625&lt;=500),VLOOKUP(AF1625,TPCalibEq500!$AZ$2:$BB$56,3,),IF(AND(I1625="TDP",S1625&lt;=500),VLOOKUP(AF1625,TPCalibEq500!$AZ$2:$BB$56,3,)))</f>
        <v>0</v>
      </c>
      <c r="AT1625" s="10" t="b">
        <f>IF(AND(I1625="TN",S1625&lt;=2800),VLOOKUP(AF1625,TNCalibEq2500!$AZ$2:$BB$56,3,),IF(AND(I1625="TDN",S1625&lt;=2800),VLOOKUP(AF1625,TNCalibEq2500!$AZ$2:$BB$56,3,)))</f>
        <v>0</v>
      </c>
      <c r="AU1625" s="10" t="b">
        <f>IF(I1625="TP",VLOOKUP(AF1625,TPCalibEqFull!$AZ$2:$BB$56,3),IF(I1625="TDP",VLOOKUP(AF1625,TPCalibEqFull!$AZ$2:$BB$56,3),IF(I1625="TDN",VLOOKUP(AF1625,TNCalibEqFull!$AZ$1:$BB$56,3),IF(I1625="TN",VLOOKUP(AF1625,TNCalibEqFull!$AZ$1:$BB$56,3),FALSE))))</f>
        <v>0</v>
      </c>
      <c r="AV1625" s="10" t="str">
        <f t="shared" si="185"/>
        <v>0130 10:51:00-DAM-0-C-1-SW-UKN</v>
      </c>
    </row>
    <row r="1626" spans="1:48" s="10" customFormat="1" x14ac:dyDescent="0.55000000000000004">
      <c r="A1626" s="32">
        <v>44956</v>
      </c>
      <c r="B1626" s="33">
        <v>0.45208333333333334</v>
      </c>
      <c r="C1626" s="10" t="s">
        <v>214</v>
      </c>
      <c r="D1626" s="10">
        <v>0</v>
      </c>
      <c r="E1626" s="10" t="s">
        <v>190</v>
      </c>
      <c r="F1626" s="10">
        <v>2</v>
      </c>
      <c r="G1626" s="10" t="s">
        <v>231</v>
      </c>
      <c r="H1626" s="10" t="s">
        <v>322</v>
      </c>
      <c r="I1626" s="10" t="s">
        <v>256</v>
      </c>
      <c r="J1626" s="10">
        <v>37</v>
      </c>
      <c r="K1626" s="12">
        <v>44958</v>
      </c>
      <c r="L1626" s="33">
        <v>0.54336805555555556</v>
      </c>
      <c r="M1626" s="10">
        <v>1</v>
      </c>
      <c r="N1626" s="10" t="s">
        <v>169</v>
      </c>
      <c r="O1626" s="10">
        <v>7.31</v>
      </c>
      <c r="P1626" s="10">
        <v>0.35199999999999998</v>
      </c>
      <c r="Q1626" s="10">
        <v>921</v>
      </c>
      <c r="R1626" s="10" t="s">
        <v>77</v>
      </c>
      <c r="S1626" s="34">
        <f t="shared" si="182"/>
        <v>921</v>
      </c>
      <c r="T1626" s="10" t="s">
        <v>1114</v>
      </c>
      <c r="U1626" s="34" t="str">
        <f t="shared" si="183"/>
        <v/>
      </c>
      <c r="V1626" s="31" t="str">
        <f>IF(H1626="CHK",VLOOKUP(I1626,QCCHK,3,),IF(H1626="GUP",VLOOKUP(E1626,QCGUP,2,),IF(AND(H1626="ATP",OR(I1626="TN",I1626="TDN",I1626="TNO2-3",I1626="NO2-3")),VLOOKUP(E1626,QCREC_N,2,),IF(AND(H1626="NIC",OR(I1626="TN",I1626="TDN",I1626="TNO2-3",I1626="NO2-3")),VLOOKUP(E1626,QCNIC_N,2,),IF(AND(H1626="UREA",OR(I1626="TN",I1626="TDN",I1626="TNO2-3",I1626="NO2-3")),VLOOKUP(E1626,QCUREA_N,2,),IF(H1626="PER",VLOOKUP(I1626,QCPER,MATCH(E1626,QCACTUAL!$J$25:$AA$25,0),),IF(H1626="SPK",VLOOKUP(I1626,QCSPK,3,),IF(AND(H1626="ATP",OR(I1626="TP",I1626="TDP")),VLOOKUP(E1626,QCATP_P,2,),""))))))))</f>
        <v/>
      </c>
      <c r="W1626" s="31" t="str">
        <f t="shared" si="184"/>
        <v>TRUE</v>
      </c>
      <c r="X1626" s="31" t="str">
        <f t="shared" si="181"/>
        <v/>
      </c>
      <c r="Y1626" s="10" t="s">
        <v>1096</v>
      </c>
      <c r="Z1626" s="10" t="s">
        <v>910</v>
      </c>
      <c r="AL1626" s="10" t="str">
        <f t="shared" si="186"/>
        <v>FALSE</v>
      </c>
      <c r="AM1626" s="10" t="str">
        <f t="shared" si="186"/>
        <v>FALSE</v>
      </c>
      <c r="AN1626" s="10" t="str">
        <f t="shared" si="186"/>
        <v>FALSE</v>
      </c>
      <c r="AO1626" s="10" t="str">
        <f t="shared" si="187"/>
        <v>FALSE</v>
      </c>
      <c r="AP1626" s="10" t="str">
        <f t="shared" si="187"/>
        <v>FALSE</v>
      </c>
      <c r="AQ1626" s="10" t="b">
        <f>IF(AND(I1626="TP",S1626&lt;=150),VLOOKUP(AF1626,TPCalibEq150!$AZ$2:$BB$55,3,),IF(AND(I1626="TDP",S1626&lt;=150),VLOOKUP(AF1626,TPCalibEq150!$AZ$2:$BB$55,3,)))</f>
        <v>0</v>
      </c>
      <c r="AR1626" s="10" t="b">
        <f>IF(AND(I1626="TP",S1626&lt;=300),VLOOKUP(AF1626,TPCalibEq300!$AZ$2:$BB$55,3,),IF(AND(I1626="TDP",S1626&lt;=300),VLOOKUP(AF1626,TPCalibEq300!$AZ$2:$BB$55,3,)))</f>
        <v>0</v>
      </c>
      <c r="AS1626" s="10" t="b">
        <f>IF(AND(I1626="TP",S1626&lt;=500),VLOOKUP(AF1626,TPCalibEq500!$AZ$2:$BB$56,3,),IF(AND(I1626="TDP",S1626&lt;=500),VLOOKUP(AF1626,TPCalibEq500!$AZ$2:$BB$56,3,)))</f>
        <v>0</v>
      </c>
      <c r="AT1626" s="10" t="b">
        <f>IF(AND(I1626="TN",S1626&lt;=2800),VLOOKUP(AF1626,TNCalibEq2500!$AZ$2:$BB$56,3,),IF(AND(I1626="TDN",S1626&lt;=2800),VLOOKUP(AF1626,TNCalibEq2500!$AZ$2:$BB$56,3,)))</f>
        <v>0</v>
      </c>
      <c r="AU1626" s="10" t="b">
        <f>IF(I1626="TP",VLOOKUP(AF1626,TPCalibEqFull!$AZ$2:$BB$56,3),IF(I1626="TDP",VLOOKUP(AF1626,TPCalibEqFull!$AZ$2:$BB$56,3),IF(I1626="TDN",VLOOKUP(AF1626,TNCalibEqFull!$AZ$1:$BB$56,3),IF(I1626="TN",VLOOKUP(AF1626,TNCalibEqFull!$AZ$1:$BB$56,3),FALSE))))</f>
        <v>0</v>
      </c>
      <c r="AV1626" s="10" t="str">
        <f t="shared" si="185"/>
        <v>0130 10:51:00-DAM-0-C-2-SW-UKN</v>
      </c>
    </row>
    <row r="1627" spans="1:48" s="10" customFormat="1" x14ac:dyDescent="0.55000000000000004">
      <c r="A1627" s="32">
        <v>44956</v>
      </c>
      <c r="B1627" s="33">
        <v>0.45208333333333334</v>
      </c>
      <c r="C1627" s="10" t="s">
        <v>214</v>
      </c>
      <c r="D1627" s="10">
        <v>0</v>
      </c>
      <c r="E1627" s="10" t="s">
        <v>190</v>
      </c>
      <c r="F1627" s="10">
        <v>2</v>
      </c>
      <c r="G1627" s="10" t="s">
        <v>231</v>
      </c>
      <c r="H1627" s="10" t="s">
        <v>233</v>
      </c>
      <c r="I1627" s="10" t="s">
        <v>256</v>
      </c>
      <c r="J1627" s="10">
        <v>37</v>
      </c>
      <c r="K1627" s="12">
        <v>44958</v>
      </c>
      <c r="L1627" s="33">
        <v>0.54418981481481488</v>
      </c>
      <c r="M1627" s="10">
        <v>1</v>
      </c>
      <c r="N1627" s="10" t="s">
        <v>169</v>
      </c>
      <c r="O1627" s="10">
        <v>2.84</v>
      </c>
      <c r="P1627" s="10">
        <v>0.13800000000000001</v>
      </c>
      <c r="Q1627" s="10">
        <v>358</v>
      </c>
      <c r="R1627" s="10" t="s">
        <v>77</v>
      </c>
      <c r="S1627" s="34">
        <f t="shared" si="182"/>
        <v>358</v>
      </c>
      <c r="T1627" s="10" t="s">
        <v>1114</v>
      </c>
      <c r="U1627" s="34">
        <f t="shared" si="183"/>
        <v>88.037529319781086</v>
      </c>
      <c r="V1627" s="31" t="str">
        <f>IF(H1627="CHK",VLOOKUP(I1627,QCCHK,3,),IF(H1627="GUP",VLOOKUP(E1627,QCGUP,2,),IF(AND(H1627="ATP",OR(I1627="TN",I1627="TDN",I1627="TNO2-3",I1627="NO2-3")),VLOOKUP(E1627,QCREC_N,2,),IF(AND(H1627="NIC",OR(I1627="TN",I1627="TDN",I1627="TNO2-3",I1627="NO2-3")),VLOOKUP(E1627,QCNIC_N,2,),IF(AND(H1627="UREA",OR(I1627="TN",I1627="TDN",I1627="TNO2-3",I1627="NO2-3")),VLOOKUP(E1627,QCUREA_N,2,),IF(H1627="PER",VLOOKUP(I1627,QCPER,MATCH(E1627,QCACTUAL!$J$25:$AA$25,0),),IF(H1627="SPK",VLOOKUP(I1627,QCSPK,3,),IF(AND(H1627="ATP",OR(I1627="TP",I1627="TDP")),VLOOKUP(E1627,QCATP_P,2,),""))))))))</f>
        <v/>
      </c>
      <c r="W1627" s="31" t="str">
        <f t="shared" si="184"/>
        <v>FALSE</v>
      </c>
      <c r="X1627" s="31" t="str">
        <f t="shared" si="181"/>
        <v>((ABS(rep1-rep2))/((rep1+rep2)/2)*100</v>
      </c>
      <c r="Y1627" s="10" t="s">
        <v>1096</v>
      </c>
      <c r="Z1627" s="10" t="s">
        <v>910</v>
      </c>
      <c r="AL1627" s="10" t="str">
        <f t="shared" si="186"/>
        <v>FALSE</v>
      </c>
      <c r="AM1627" s="10" t="str">
        <f t="shared" si="186"/>
        <v>FALSE</v>
      </c>
      <c r="AN1627" s="10" t="str">
        <f t="shared" si="186"/>
        <v>FALSE</v>
      </c>
      <c r="AO1627" s="10" t="str">
        <f t="shared" si="187"/>
        <v>FALSE</v>
      </c>
      <c r="AP1627" s="10" t="str">
        <f t="shared" si="187"/>
        <v>FALSE</v>
      </c>
      <c r="AQ1627" s="10" t="b">
        <f>IF(AND(I1627="TP",S1627&lt;=150),VLOOKUP(AF1627,TPCalibEq150!$AZ$2:$BB$55,3,),IF(AND(I1627="TDP",S1627&lt;=150),VLOOKUP(AF1627,TPCalibEq150!$AZ$2:$BB$55,3,)))</f>
        <v>0</v>
      </c>
      <c r="AR1627" s="10" t="b">
        <f>IF(AND(I1627="TP",S1627&lt;=300),VLOOKUP(AF1627,TPCalibEq300!$AZ$2:$BB$55,3,),IF(AND(I1627="TDP",S1627&lt;=300),VLOOKUP(AF1627,TPCalibEq300!$AZ$2:$BB$55,3,)))</f>
        <v>0</v>
      </c>
      <c r="AS1627" s="10" t="b">
        <f>IF(AND(I1627="TP",S1627&lt;=500),VLOOKUP(AF1627,TPCalibEq500!$AZ$2:$BB$56,3,),IF(AND(I1627="TDP",S1627&lt;=500),VLOOKUP(AF1627,TPCalibEq500!$AZ$2:$BB$56,3,)))</f>
        <v>0</v>
      </c>
      <c r="AT1627" s="10" t="b">
        <f>IF(AND(I1627="TN",S1627&lt;=2800),VLOOKUP(AF1627,TNCalibEq2500!$AZ$2:$BB$56,3,),IF(AND(I1627="TDN",S1627&lt;=2800),VLOOKUP(AF1627,TNCalibEq2500!$AZ$2:$BB$56,3,)))</f>
        <v>0</v>
      </c>
      <c r="AU1627" s="10" t="b">
        <f>IF(I1627="TP",VLOOKUP(AF1627,TPCalibEqFull!$AZ$2:$BB$56,3),IF(I1627="TDP",VLOOKUP(AF1627,TPCalibEqFull!$AZ$2:$BB$56,3),IF(I1627="TDN",VLOOKUP(AF1627,TNCalibEqFull!$AZ$1:$BB$56,3),IF(I1627="TN",VLOOKUP(AF1627,TNCalibEqFull!$AZ$1:$BB$56,3),FALSE))))</f>
        <v>0</v>
      </c>
      <c r="AV1627" s="10" t="str">
        <f t="shared" si="185"/>
        <v>0130 10:51:00-DAM-0-C-2-SW-DUP</v>
      </c>
    </row>
    <row r="1628" spans="1:48" s="10" customFormat="1" x14ac:dyDescent="0.55000000000000004">
      <c r="A1628" s="32">
        <v>44956</v>
      </c>
      <c r="B1628" s="33">
        <v>0.45208333333333334</v>
      </c>
      <c r="C1628" s="10" t="s">
        <v>214</v>
      </c>
      <c r="D1628" s="10">
        <v>0</v>
      </c>
      <c r="E1628" s="10" t="s">
        <v>190</v>
      </c>
      <c r="F1628" s="10">
        <v>2</v>
      </c>
      <c r="G1628" s="10" t="s">
        <v>231</v>
      </c>
      <c r="H1628" s="10" t="s">
        <v>314</v>
      </c>
      <c r="I1628" s="10" t="s">
        <v>256</v>
      </c>
      <c r="J1628" s="10">
        <v>85</v>
      </c>
      <c r="K1628" s="12">
        <v>44958</v>
      </c>
      <c r="L1628" s="33">
        <v>0.54500000000000004</v>
      </c>
      <c r="M1628" s="10">
        <v>1</v>
      </c>
      <c r="N1628" s="10" t="s">
        <v>169</v>
      </c>
      <c r="O1628" s="10">
        <v>10.1</v>
      </c>
      <c r="P1628" s="10">
        <v>0.48799999999999999</v>
      </c>
      <c r="Q1628" s="10">
        <v>1280</v>
      </c>
      <c r="R1628" s="10" t="s">
        <v>77</v>
      </c>
      <c r="S1628" s="34">
        <f t="shared" si="182"/>
        <v>1280</v>
      </c>
      <c r="T1628" s="10" t="s">
        <v>1114</v>
      </c>
      <c r="U1628" s="34">
        <f t="shared" si="183"/>
        <v>147.52000000000001</v>
      </c>
      <c r="V1628" s="31">
        <f>IF(H1628="CHK",VLOOKUP(I1628,QCCHK,3,),IF(H1628="GUP",VLOOKUP(E1628,QCGUP,2,),IF(AND(H1628="ATP",OR(I1628="TN",I1628="TDN",I1628="TNO2-3",I1628="NO2-3")),VLOOKUP(E1628,QCREC_N,2,),IF(AND(H1628="NIC",OR(I1628="TN",I1628="TDN",I1628="TNO2-3",I1628="NO2-3")),VLOOKUP(E1628,QCNIC_N,2,),IF(AND(H1628="UREA",OR(I1628="TN",I1628="TDN",I1628="TNO2-3",I1628="NO2-3")),VLOOKUP(E1628,QCUREA_N,2,),IF(H1628="PER",VLOOKUP(I1628,QCPER,MATCH(E1628,QCACTUAL!$J$25:$AA$25,0),),IF(H1628="SPK",VLOOKUP(I1628,QCSPK,3,),IF(AND(H1628="ATP",OR(I1628="TP",I1628="TDP")),VLOOKUP(E1628,QCATP_P,2,),""))))))))</f>
        <v>625</v>
      </c>
      <c r="W1628" s="31" t="str">
        <f t="shared" si="184"/>
        <v>FALSE</v>
      </c>
      <c r="X1628" s="31" t="str">
        <f t="shared" si="181"/>
        <v>([spikedunkn]-[unkn])/[spike]*100</v>
      </c>
      <c r="Y1628" s="10" t="s">
        <v>1096</v>
      </c>
      <c r="Z1628" s="10" t="s">
        <v>910</v>
      </c>
      <c r="AL1628" s="10" t="str">
        <f t="shared" si="186"/>
        <v>FALSE</v>
      </c>
      <c r="AM1628" s="10" t="str">
        <f t="shared" si="186"/>
        <v>FALSE</v>
      </c>
      <c r="AN1628" s="10" t="str">
        <f t="shared" si="186"/>
        <v>FALSE</v>
      </c>
      <c r="AO1628" s="10" t="str">
        <f t="shared" si="187"/>
        <v>FALSE</v>
      </c>
      <c r="AP1628" s="10" t="str">
        <f t="shared" si="187"/>
        <v>FALSE</v>
      </c>
      <c r="AQ1628" s="10" t="b">
        <f>IF(AND(I1628="TP",S1628&lt;=150),VLOOKUP(AF1628,TPCalibEq150!$AZ$2:$BB$55,3,),IF(AND(I1628="TDP",S1628&lt;=150),VLOOKUP(AF1628,TPCalibEq150!$AZ$2:$BB$55,3,)))</f>
        <v>0</v>
      </c>
      <c r="AR1628" s="10" t="b">
        <f>IF(AND(I1628="TP",S1628&lt;=300),VLOOKUP(AF1628,TPCalibEq300!$AZ$2:$BB$55,3,),IF(AND(I1628="TDP",S1628&lt;=300),VLOOKUP(AF1628,TPCalibEq300!$AZ$2:$BB$55,3,)))</f>
        <v>0</v>
      </c>
      <c r="AS1628" s="10" t="b">
        <f>IF(AND(I1628="TP",S1628&lt;=500),VLOOKUP(AF1628,TPCalibEq500!$AZ$2:$BB$56,3,),IF(AND(I1628="TDP",S1628&lt;=500),VLOOKUP(AF1628,TPCalibEq500!$AZ$2:$BB$56,3,)))</f>
        <v>0</v>
      </c>
      <c r="AT1628" s="10" t="b">
        <f>IF(AND(I1628="TN",S1628&lt;=2800),VLOOKUP(AF1628,TNCalibEq2500!$AZ$2:$BB$56,3,),IF(AND(I1628="TDN",S1628&lt;=2800),VLOOKUP(AF1628,TNCalibEq2500!$AZ$2:$BB$56,3,)))</f>
        <v>0</v>
      </c>
      <c r="AU1628" s="10" t="b">
        <f>IF(I1628="TP",VLOOKUP(AF1628,TPCalibEqFull!$AZ$2:$BB$56,3),IF(I1628="TDP",VLOOKUP(AF1628,TPCalibEqFull!$AZ$2:$BB$56,3),IF(I1628="TDN",VLOOKUP(AF1628,TNCalibEqFull!$AZ$1:$BB$56,3),IF(I1628="TN",VLOOKUP(AF1628,TNCalibEqFull!$AZ$1:$BB$56,3),FALSE))))</f>
        <v>0</v>
      </c>
      <c r="AV1628" s="10" t="str">
        <f t="shared" si="185"/>
        <v>0130 10:51:00-DAM-0-C-2-SW-SPK</v>
      </c>
    </row>
    <row r="1629" spans="1:48" s="10" customFormat="1" x14ac:dyDescent="0.55000000000000004">
      <c r="A1629" s="32">
        <v>44958</v>
      </c>
      <c r="B1629" s="33">
        <v>0.375</v>
      </c>
      <c r="C1629" s="10" t="s">
        <v>70</v>
      </c>
      <c r="D1629" s="10" t="s">
        <v>71</v>
      </c>
      <c r="E1629" s="10" t="s">
        <v>901</v>
      </c>
      <c r="F1629" s="10">
        <v>1</v>
      </c>
      <c r="G1629" s="10" t="s">
        <v>73</v>
      </c>
      <c r="H1629" s="10" t="s">
        <v>207</v>
      </c>
      <c r="I1629" s="10" t="s">
        <v>256</v>
      </c>
      <c r="J1629" s="10">
        <v>200</v>
      </c>
      <c r="K1629" s="12">
        <v>44958</v>
      </c>
      <c r="L1629" s="33">
        <v>0.54583333333333328</v>
      </c>
      <c r="M1629" s="10">
        <v>1</v>
      </c>
      <c r="N1629" s="10" t="s">
        <v>169</v>
      </c>
      <c r="O1629" s="10">
        <v>2.42</v>
      </c>
      <c r="P1629" s="10">
        <v>0.11799999999999999</v>
      </c>
      <c r="Q1629" s="10">
        <v>304</v>
      </c>
      <c r="R1629" s="10" t="s">
        <v>77</v>
      </c>
      <c r="S1629" s="34">
        <f t="shared" si="182"/>
        <v>304</v>
      </c>
      <c r="T1629" s="10" t="s">
        <v>1114</v>
      </c>
      <c r="U1629" s="34">
        <f t="shared" si="183"/>
        <v>101.33333333333334</v>
      </c>
      <c r="V1629" s="31">
        <f>IF(H1629="CHK",VLOOKUP(I1629,QCCHK,3,),IF(H1629="GUP",VLOOKUP(E1629,QCGUP,2,),IF(AND(H1629="ATP",OR(I1629="TN",I1629="TDN",I1629="TNO2-3",I1629="NO2-3")),VLOOKUP(E1629,QCREC_N,2,),IF(AND(H1629="NIC",OR(I1629="TN",I1629="TDN",I1629="TNO2-3",I1629="NO2-3")),VLOOKUP(E1629,QCNIC_N,2,),IF(AND(H1629="UREA",OR(I1629="TN",I1629="TDN",I1629="TNO2-3",I1629="NO2-3")),VLOOKUP(E1629,QCUREA_N,2,),IF(H1629="PER",VLOOKUP(I1629,QCPER,MATCH(E1629,QCACTUAL!$J$25:$AA$25,0),),IF(H1629="SPK",VLOOKUP(I1629,QCSPK,3,),IF(AND(H1629="ATP",OR(I1629="TP",I1629="TDP")),VLOOKUP(E1629,QCATP_P,2,),""))))))))</f>
        <v>300</v>
      </c>
      <c r="W1629" s="31" t="str">
        <f t="shared" si="184"/>
        <v>TRUE</v>
      </c>
      <c r="X1629" s="31" t="str">
        <f t="shared" si="181"/>
        <v>[chk]/[actual]*100</v>
      </c>
      <c r="Y1629" s="10" t="s">
        <v>1096</v>
      </c>
      <c r="AL1629" s="10" t="str">
        <f t="shared" si="186"/>
        <v>FALSE</v>
      </c>
      <c r="AM1629" s="10" t="str">
        <f t="shared" si="186"/>
        <v>FALSE</v>
      </c>
      <c r="AN1629" s="10" t="str">
        <f t="shared" si="186"/>
        <v>FALSE</v>
      </c>
      <c r="AO1629" s="10" t="str">
        <f t="shared" si="187"/>
        <v>FALSE</v>
      </c>
      <c r="AP1629" s="10" t="str">
        <f t="shared" si="187"/>
        <v>FALSE</v>
      </c>
      <c r="AQ1629" s="10" t="b">
        <f>IF(AND(I1629="TP",S1629&lt;=150),VLOOKUP(AF1629,TPCalibEq150!$AZ$2:$BB$55,3,),IF(AND(I1629="TDP",S1629&lt;=150),VLOOKUP(AF1629,TPCalibEq150!$AZ$2:$BB$55,3,)))</f>
        <v>0</v>
      </c>
      <c r="AR1629" s="10" t="b">
        <f>IF(AND(I1629="TP",S1629&lt;=300),VLOOKUP(AF1629,TPCalibEq300!$AZ$2:$BB$55,3,),IF(AND(I1629="TDP",S1629&lt;=300),VLOOKUP(AF1629,TPCalibEq300!$AZ$2:$BB$55,3,)))</f>
        <v>0</v>
      </c>
      <c r="AS1629" s="10" t="b">
        <f>IF(AND(I1629="TP",S1629&lt;=500),VLOOKUP(AF1629,TPCalibEq500!$AZ$2:$BB$56,3,),IF(AND(I1629="TDP",S1629&lt;=500),VLOOKUP(AF1629,TPCalibEq500!$AZ$2:$BB$56,3,)))</f>
        <v>0</v>
      </c>
      <c r="AT1629" s="10" t="b">
        <f>IF(AND(I1629="TN",S1629&lt;=2800),VLOOKUP(AF1629,TNCalibEq2500!$AZ$2:$BB$56,3,),IF(AND(I1629="TDN",S1629&lt;=2800),VLOOKUP(AF1629,TNCalibEq2500!$AZ$2:$BB$56,3,)))</f>
        <v>0</v>
      </c>
      <c r="AU1629" s="10" t="b">
        <f>IF(I1629="TP",VLOOKUP(AF1629,TPCalibEqFull!$AZ$2:$BB$56,3),IF(I1629="TDP",VLOOKUP(AF1629,TPCalibEqFull!$AZ$2:$BB$56,3),IF(I1629="TDN",VLOOKUP(AF1629,TNCalibEqFull!$AZ$1:$BB$56,3),IF(I1629="TN",VLOOKUP(AF1629,TNCalibEqFull!$AZ$1:$BB$56,3),FALSE))))</f>
        <v>0</v>
      </c>
      <c r="AV1629" s="10" t="str">
        <f t="shared" si="185"/>
        <v>0201 09:00:00-QAC-STD-D-1-DI-CHK</v>
      </c>
    </row>
    <row r="1630" spans="1:48" s="10" customFormat="1" x14ac:dyDescent="0.55000000000000004">
      <c r="A1630" s="32">
        <v>44956</v>
      </c>
      <c r="B1630" s="33">
        <v>0.46527777777777773</v>
      </c>
      <c r="C1630" s="10" t="s">
        <v>341</v>
      </c>
      <c r="D1630" s="10">
        <v>0</v>
      </c>
      <c r="E1630" s="10" t="s">
        <v>190</v>
      </c>
      <c r="F1630" s="10">
        <v>1</v>
      </c>
      <c r="G1630" s="10" t="s">
        <v>231</v>
      </c>
      <c r="H1630" s="10" t="s">
        <v>322</v>
      </c>
      <c r="I1630" s="10" t="s">
        <v>256</v>
      </c>
      <c r="J1630" s="10">
        <v>38</v>
      </c>
      <c r="K1630" s="12">
        <v>44958</v>
      </c>
      <c r="L1630" s="33">
        <v>0.54664351851851845</v>
      </c>
      <c r="M1630" s="10">
        <v>1</v>
      </c>
      <c r="N1630" s="10" t="s">
        <v>169</v>
      </c>
      <c r="O1630" s="10">
        <v>5.88</v>
      </c>
      <c r="P1630" s="10">
        <v>0.27900000000000003</v>
      </c>
      <c r="Q1630" s="10">
        <v>740</v>
      </c>
      <c r="R1630" s="10" t="s">
        <v>77</v>
      </c>
      <c r="S1630" s="34">
        <f t="shared" si="182"/>
        <v>740</v>
      </c>
      <c r="T1630" s="10" t="s">
        <v>1114</v>
      </c>
      <c r="U1630" s="34" t="str">
        <f t="shared" si="183"/>
        <v/>
      </c>
      <c r="V1630" s="31" t="str">
        <f>IF(H1630="CHK",VLOOKUP(I1630,QCCHK,3,),IF(H1630="GUP",VLOOKUP(E1630,QCGUP,2,),IF(AND(H1630="ATP",OR(I1630="TN",I1630="TDN",I1630="TNO2-3",I1630="NO2-3")),VLOOKUP(E1630,QCREC_N,2,),IF(AND(H1630="NIC",OR(I1630="TN",I1630="TDN",I1630="TNO2-3",I1630="NO2-3")),VLOOKUP(E1630,QCNIC_N,2,),IF(AND(H1630="UREA",OR(I1630="TN",I1630="TDN",I1630="TNO2-3",I1630="NO2-3")),VLOOKUP(E1630,QCUREA_N,2,),IF(H1630="PER",VLOOKUP(I1630,QCPER,MATCH(E1630,QCACTUAL!$J$25:$AA$25,0),),IF(H1630="SPK",VLOOKUP(I1630,QCSPK,3,),IF(AND(H1630="ATP",OR(I1630="TP",I1630="TDP")),VLOOKUP(E1630,QCATP_P,2,),""))))))))</f>
        <v/>
      </c>
      <c r="W1630" s="31" t="str">
        <f t="shared" si="184"/>
        <v>TRUE</v>
      </c>
      <c r="X1630" s="31" t="str">
        <f t="shared" si="181"/>
        <v/>
      </c>
      <c r="Y1630" s="10" t="s">
        <v>1096</v>
      </c>
      <c r="Z1630" s="10" t="s">
        <v>910</v>
      </c>
      <c r="AL1630" s="10" t="str">
        <f t="shared" si="186"/>
        <v>FALSE</v>
      </c>
      <c r="AM1630" s="10" t="str">
        <f t="shared" si="186"/>
        <v>FALSE</v>
      </c>
      <c r="AN1630" s="10" t="str">
        <f t="shared" si="186"/>
        <v>FALSE</v>
      </c>
      <c r="AO1630" s="10" t="str">
        <f t="shared" si="187"/>
        <v>FALSE</v>
      </c>
      <c r="AP1630" s="10" t="str">
        <f t="shared" si="187"/>
        <v>FALSE</v>
      </c>
      <c r="AQ1630" s="10" t="b">
        <f>IF(AND(I1630="TP",S1630&lt;=150),VLOOKUP(AF1630,TPCalibEq150!$AZ$2:$BB$55,3,),IF(AND(I1630="TDP",S1630&lt;=150),VLOOKUP(AF1630,TPCalibEq150!$AZ$2:$BB$55,3,)))</f>
        <v>0</v>
      </c>
      <c r="AR1630" s="10" t="b">
        <f>IF(AND(I1630="TP",S1630&lt;=300),VLOOKUP(AF1630,TPCalibEq300!$AZ$2:$BB$55,3,),IF(AND(I1630="TDP",S1630&lt;=300),VLOOKUP(AF1630,TPCalibEq300!$AZ$2:$BB$55,3,)))</f>
        <v>0</v>
      </c>
      <c r="AS1630" s="10" t="b">
        <f>IF(AND(I1630="TP",S1630&lt;=500),VLOOKUP(AF1630,TPCalibEq500!$AZ$2:$BB$56,3,),IF(AND(I1630="TDP",S1630&lt;=500),VLOOKUP(AF1630,TPCalibEq500!$AZ$2:$BB$56,3,)))</f>
        <v>0</v>
      </c>
      <c r="AT1630" s="10" t="b">
        <f>IF(AND(I1630="TN",S1630&lt;=2800),VLOOKUP(AF1630,TNCalibEq2500!$AZ$2:$BB$56,3,),IF(AND(I1630="TDN",S1630&lt;=2800),VLOOKUP(AF1630,TNCalibEq2500!$AZ$2:$BB$56,3,)))</f>
        <v>0</v>
      </c>
      <c r="AU1630" s="10" t="b">
        <f>IF(I1630="TP",VLOOKUP(AF1630,TPCalibEqFull!$AZ$2:$BB$56,3),IF(I1630="TDP",VLOOKUP(AF1630,TPCalibEqFull!$AZ$2:$BB$56,3),IF(I1630="TDN",VLOOKUP(AF1630,TNCalibEqFull!$AZ$1:$BB$56,3),IF(I1630="TN",VLOOKUP(AF1630,TNCalibEqFull!$AZ$1:$BB$56,3),FALSE))))</f>
        <v>0</v>
      </c>
      <c r="AV1630" s="10" t="str">
        <f t="shared" si="185"/>
        <v>0130 11:10:00-LRC-0-C-1-SW-UKN</v>
      </c>
    </row>
    <row r="1631" spans="1:48" s="10" customFormat="1" x14ac:dyDescent="0.55000000000000004">
      <c r="A1631" s="32">
        <v>44956</v>
      </c>
      <c r="B1631" s="33">
        <v>0.4777777777777778</v>
      </c>
      <c r="C1631" s="10" t="s">
        <v>228</v>
      </c>
      <c r="D1631" s="10">
        <v>0</v>
      </c>
      <c r="E1631" s="10" t="s">
        <v>190</v>
      </c>
      <c r="F1631" s="10">
        <v>1</v>
      </c>
      <c r="G1631" s="10" t="s">
        <v>231</v>
      </c>
      <c r="H1631" s="10" t="s">
        <v>322</v>
      </c>
      <c r="I1631" s="10" t="s">
        <v>256</v>
      </c>
      <c r="J1631" s="10">
        <v>39</v>
      </c>
      <c r="K1631" s="12">
        <v>44958</v>
      </c>
      <c r="L1631" s="33">
        <v>0.54745370370370372</v>
      </c>
      <c r="M1631" s="10">
        <v>1</v>
      </c>
      <c r="N1631" s="10" t="s">
        <v>169</v>
      </c>
      <c r="O1631" s="10">
        <v>9.32</v>
      </c>
      <c r="P1631" s="10">
        <v>0.44800000000000001</v>
      </c>
      <c r="Q1631" s="10">
        <v>1170</v>
      </c>
      <c r="R1631" s="10" t="s">
        <v>77</v>
      </c>
      <c r="S1631" s="34">
        <f t="shared" si="182"/>
        <v>1170</v>
      </c>
      <c r="T1631" s="10" t="s">
        <v>1114</v>
      </c>
      <c r="U1631" s="34" t="str">
        <f t="shared" si="183"/>
        <v/>
      </c>
      <c r="V1631" s="31" t="str">
        <f>IF(H1631="CHK",VLOOKUP(I1631,QCCHK,3,),IF(H1631="GUP",VLOOKUP(E1631,QCGUP,2,),IF(AND(H1631="ATP",OR(I1631="TN",I1631="TDN",I1631="TNO2-3",I1631="NO2-3")),VLOOKUP(E1631,QCREC_N,2,),IF(AND(H1631="NIC",OR(I1631="TN",I1631="TDN",I1631="TNO2-3",I1631="NO2-3")),VLOOKUP(E1631,QCNIC_N,2,),IF(AND(H1631="UREA",OR(I1631="TN",I1631="TDN",I1631="TNO2-3",I1631="NO2-3")),VLOOKUP(E1631,QCUREA_N,2,),IF(H1631="PER",VLOOKUP(I1631,QCPER,MATCH(E1631,QCACTUAL!$J$25:$AA$25,0),),IF(H1631="SPK",VLOOKUP(I1631,QCSPK,3,),IF(AND(H1631="ATP",OR(I1631="TP",I1631="TDP")),VLOOKUP(E1631,QCATP_P,2,),""))))))))</f>
        <v/>
      </c>
      <c r="W1631" s="31" t="str">
        <f t="shared" si="184"/>
        <v>TRUE</v>
      </c>
      <c r="X1631" s="31" t="str">
        <f t="shared" si="181"/>
        <v/>
      </c>
      <c r="Y1631" s="10" t="s">
        <v>1096</v>
      </c>
      <c r="Z1631" s="10" t="s">
        <v>910</v>
      </c>
      <c r="AL1631" s="10" t="str">
        <f t="shared" si="186"/>
        <v>FALSE</v>
      </c>
      <c r="AM1631" s="10" t="str">
        <f t="shared" si="186"/>
        <v>FALSE</v>
      </c>
      <c r="AN1631" s="10" t="str">
        <f t="shared" si="186"/>
        <v>FALSE</v>
      </c>
      <c r="AO1631" s="10" t="str">
        <f t="shared" si="187"/>
        <v>FALSE</v>
      </c>
      <c r="AP1631" s="10" t="str">
        <f t="shared" si="187"/>
        <v>FALSE</v>
      </c>
      <c r="AQ1631" s="10" t="b">
        <f>IF(AND(I1631="TP",S1631&lt;=150),VLOOKUP(AF1631,TPCalibEq150!$AZ$2:$BB$55,3,),IF(AND(I1631="TDP",S1631&lt;=150),VLOOKUP(AF1631,TPCalibEq150!$AZ$2:$BB$55,3,)))</f>
        <v>0</v>
      </c>
      <c r="AR1631" s="10" t="b">
        <f>IF(AND(I1631="TP",S1631&lt;=300),VLOOKUP(AF1631,TPCalibEq300!$AZ$2:$BB$55,3,),IF(AND(I1631="TDP",S1631&lt;=300),VLOOKUP(AF1631,TPCalibEq300!$AZ$2:$BB$55,3,)))</f>
        <v>0</v>
      </c>
      <c r="AS1631" s="10" t="b">
        <f>IF(AND(I1631="TP",S1631&lt;=500),VLOOKUP(AF1631,TPCalibEq500!$AZ$2:$BB$56,3,),IF(AND(I1631="TDP",S1631&lt;=500),VLOOKUP(AF1631,TPCalibEq500!$AZ$2:$BB$56,3,)))</f>
        <v>0</v>
      </c>
      <c r="AT1631" s="10" t="b">
        <f>IF(AND(I1631="TN",S1631&lt;=2800),VLOOKUP(AF1631,TNCalibEq2500!$AZ$2:$BB$56,3,),IF(AND(I1631="TDN",S1631&lt;=2800),VLOOKUP(AF1631,TNCalibEq2500!$AZ$2:$BB$56,3,)))</f>
        <v>0</v>
      </c>
      <c r="AU1631" s="10" t="b">
        <f>IF(I1631="TP",VLOOKUP(AF1631,TPCalibEqFull!$AZ$2:$BB$56,3),IF(I1631="TDP",VLOOKUP(AF1631,TPCalibEqFull!$AZ$2:$BB$56,3),IF(I1631="TDN",VLOOKUP(AF1631,TNCalibEqFull!$AZ$1:$BB$56,3),IF(I1631="TN",VLOOKUP(AF1631,TNCalibEqFull!$AZ$1:$BB$56,3),FALSE))))</f>
        <v>0</v>
      </c>
      <c r="AV1631" s="10" t="str">
        <f t="shared" si="185"/>
        <v>0130 11:28:00-DWT-0-C-1-SW-UKN</v>
      </c>
    </row>
    <row r="1632" spans="1:48" s="10" customFormat="1" x14ac:dyDescent="0.55000000000000004">
      <c r="A1632" s="32">
        <v>44956</v>
      </c>
      <c r="B1632" s="33">
        <v>0.49374999999999997</v>
      </c>
      <c r="C1632" s="10" t="s">
        <v>625</v>
      </c>
      <c r="D1632" s="10">
        <v>0</v>
      </c>
      <c r="E1632" s="10" t="s">
        <v>190</v>
      </c>
      <c r="F1632" s="10">
        <v>1</v>
      </c>
      <c r="G1632" s="10" t="s">
        <v>231</v>
      </c>
      <c r="H1632" s="10" t="s">
        <v>322</v>
      </c>
      <c r="I1632" s="10" t="s">
        <v>256</v>
      </c>
      <c r="J1632" s="10">
        <v>40</v>
      </c>
      <c r="K1632" s="12">
        <v>44958</v>
      </c>
      <c r="L1632" s="33">
        <v>0.54827546296296303</v>
      </c>
      <c r="M1632" s="10">
        <v>1</v>
      </c>
      <c r="N1632" s="10" t="s">
        <v>169</v>
      </c>
      <c r="O1632" s="10">
        <v>0.14399999999999999</v>
      </c>
      <c r="P1632" s="10">
        <v>7.1199999999999996E-3</v>
      </c>
      <c r="Q1632" s="10">
        <v>18.100000000000001</v>
      </c>
      <c r="R1632" s="10" t="s">
        <v>77</v>
      </c>
      <c r="S1632" s="34">
        <f t="shared" si="182"/>
        <v>18.100000000000001</v>
      </c>
      <c r="T1632" s="10" t="s">
        <v>1114</v>
      </c>
      <c r="U1632" s="34" t="str">
        <f t="shared" si="183"/>
        <v/>
      </c>
      <c r="V1632" s="31" t="str">
        <f>IF(H1632="CHK",VLOOKUP(I1632,QCCHK,3,),IF(H1632="GUP",VLOOKUP(E1632,QCGUP,2,),IF(AND(H1632="ATP",OR(I1632="TN",I1632="TDN",I1632="TNO2-3",I1632="NO2-3")),VLOOKUP(E1632,QCREC_N,2,),IF(AND(H1632="NIC",OR(I1632="TN",I1632="TDN",I1632="TNO2-3",I1632="NO2-3")),VLOOKUP(E1632,QCNIC_N,2,),IF(AND(H1632="UREA",OR(I1632="TN",I1632="TDN",I1632="TNO2-3",I1632="NO2-3")),VLOOKUP(E1632,QCUREA_N,2,),IF(H1632="PER",VLOOKUP(I1632,QCPER,MATCH(E1632,QCACTUAL!$J$25:$AA$25,0),),IF(H1632="SPK",VLOOKUP(I1632,QCSPK,3,),IF(AND(H1632="ATP",OR(I1632="TP",I1632="TDP")),VLOOKUP(E1632,QCATP_P,2,),""))))))))</f>
        <v/>
      </c>
      <c r="W1632" s="31" t="str">
        <f t="shared" si="184"/>
        <v>TRUE</v>
      </c>
      <c r="X1632" s="31" t="str">
        <f t="shared" si="181"/>
        <v/>
      </c>
      <c r="Y1632" s="10" t="s">
        <v>1096</v>
      </c>
      <c r="Z1632" s="10" t="s">
        <v>910</v>
      </c>
      <c r="AL1632" s="10" t="str">
        <f t="shared" si="186"/>
        <v>FALSE</v>
      </c>
      <c r="AM1632" s="10" t="str">
        <f t="shared" si="186"/>
        <v>FALSE</v>
      </c>
      <c r="AN1632" s="10" t="str">
        <f t="shared" si="186"/>
        <v>FALSE</v>
      </c>
      <c r="AO1632" s="10" t="str">
        <f t="shared" si="187"/>
        <v>FALSE</v>
      </c>
      <c r="AP1632" s="10" t="str">
        <f t="shared" si="187"/>
        <v>FALSE</v>
      </c>
      <c r="AQ1632" s="10" t="b">
        <f>IF(AND(I1632="TP",S1632&lt;=150),VLOOKUP(AF1632,TPCalibEq150!$AZ$2:$BB$55,3,),IF(AND(I1632="TDP",S1632&lt;=150),VLOOKUP(AF1632,TPCalibEq150!$AZ$2:$BB$55,3,)))</f>
        <v>0</v>
      </c>
      <c r="AR1632" s="10" t="b">
        <f>IF(AND(I1632="TP",S1632&lt;=300),VLOOKUP(AF1632,TPCalibEq300!$AZ$2:$BB$55,3,),IF(AND(I1632="TDP",S1632&lt;=300),VLOOKUP(AF1632,TPCalibEq300!$AZ$2:$BB$55,3,)))</f>
        <v>0</v>
      </c>
      <c r="AS1632" s="10" t="b">
        <f>IF(AND(I1632="TP",S1632&lt;=500),VLOOKUP(AF1632,TPCalibEq500!$AZ$2:$BB$56,3,),IF(AND(I1632="TDP",S1632&lt;=500),VLOOKUP(AF1632,TPCalibEq500!$AZ$2:$BB$56,3,)))</f>
        <v>0</v>
      </c>
      <c r="AT1632" s="10" t="b">
        <f>IF(AND(I1632="TN",S1632&lt;=2800),VLOOKUP(AF1632,TNCalibEq2500!$AZ$2:$BB$56,3,),IF(AND(I1632="TDN",S1632&lt;=2800),VLOOKUP(AF1632,TNCalibEq2500!$AZ$2:$BB$56,3,)))</f>
        <v>0</v>
      </c>
      <c r="AU1632" s="10" t="b">
        <f>IF(I1632="TP",VLOOKUP(AF1632,TPCalibEqFull!$AZ$2:$BB$56,3),IF(I1632="TDP",VLOOKUP(AF1632,TPCalibEqFull!$AZ$2:$BB$56,3),IF(I1632="TDN",VLOOKUP(AF1632,TNCalibEqFull!$AZ$1:$BB$56,3),IF(I1632="TN",VLOOKUP(AF1632,TNCalibEqFull!$AZ$1:$BB$56,3),FALSE))))</f>
        <v>0</v>
      </c>
      <c r="AV1632" s="10" t="str">
        <f t="shared" si="185"/>
        <v>0130 11:51:00-TBS-0-C-1-SW-UKN</v>
      </c>
    </row>
    <row r="1633" spans="1:48" s="10" customFormat="1" x14ac:dyDescent="0.55000000000000004">
      <c r="A1633" s="32">
        <v>44949</v>
      </c>
      <c r="B1633" s="33">
        <v>0.33333333333333331</v>
      </c>
      <c r="C1633" s="10" t="s">
        <v>279</v>
      </c>
      <c r="D1633" s="10">
        <v>0</v>
      </c>
      <c r="E1633" s="10" t="s">
        <v>911</v>
      </c>
      <c r="F1633" s="10">
        <v>1</v>
      </c>
      <c r="G1633" s="10" t="s">
        <v>231</v>
      </c>
      <c r="H1633" s="10" t="s">
        <v>322</v>
      </c>
      <c r="I1633" s="10" t="s">
        <v>209</v>
      </c>
      <c r="J1633" s="10">
        <v>41</v>
      </c>
      <c r="K1633" s="12">
        <v>44958</v>
      </c>
      <c r="L1633" s="33">
        <v>0.5490856481481482</v>
      </c>
      <c r="M1633" s="10">
        <v>1</v>
      </c>
      <c r="N1633" s="10" t="s">
        <v>169</v>
      </c>
      <c r="O1633" s="10">
        <v>10.8</v>
      </c>
      <c r="P1633" s="10">
        <v>0.51700000000000002</v>
      </c>
      <c r="Q1633" s="10">
        <v>1360</v>
      </c>
      <c r="R1633" s="10" t="s">
        <v>77</v>
      </c>
      <c r="S1633" s="34">
        <f t="shared" si="182"/>
        <v>1360</v>
      </c>
      <c r="T1633" s="10" t="s">
        <v>1114</v>
      </c>
      <c r="U1633" s="34" t="str">
        <f t="shared" si="183"/>
        <v/>
      </c>
      <c r="V1633" s="31" t="str">
        <f>IF(H1633="CHK",VLOOKUP(I1633,QCCHK,3,),IF(H1633="GUP",VLOOKUP(E1633,QCGUP,2,),IF(AND(H1633="ATP",OR(I1633="TN",I1633="TDN",I1633="TNO2-3",I1633="NO2-3")),VLOOKUP(E1633,QCREC_N,2,),IF(AND(H1633="NIC",OR(I1633="TN",I1633="TDN",I1633="TNO2-3",I1633="NO2-3")),VLOOKUP(E1633,QCNIC_N,2,),IF(AND(H1633="UREA",OR(I1633="TN",I1633="TDN",I1633="TNO2-3",I1633="NO2-3")),VLOOKUP(E1633,QCUREA_N,2,),IF(H1633="PER",VLOOKUP(I1633,QCPER,MATCH(E1633,QCACTUAL!$J$25:$AA$25,0),),IF(H1633="SPK",VLOOKUP(I1633,QCSPK,3,),IF(AND(H1633="ATP",OR(I1633="TP",I1633="TDP")),VLOOKUP(E1633,QCATP_P,2,),""))))))))</f>
        <v/>
      </c>
      <c r="W1633" s="31" t="str">
        <f t="shared" si="184"/>
        <v>TRUE</v>
      </c>
      <c r="X1633" s="31" t="str">
        <f t="shared" si="181"/>
        <v/>
      </c>
      <c r="Y1633" s="10" t="s">
        <v>1096</v>
      </c>
      <c r="Z1633" s="10" t="s">
        <v>910</v>
      </c>
      <c r="AL1633" s="10" t="str">
        <f t="shared" si="186"/>
        <v>FALSE</v>
      </c>
      <c r="AM1633" s="10" t="str">
        <f t="shared" si="186"/>
        <v>FALSE</v>
      </c>
      <c r="AN1633" s="10" t="str">
        <f t="shared" si="186"/>
        <v>FALSE</v>
      </c>
      <c r="AO1633" s="10" t="str">
        <f t="shared" si="187"/>
        <v>FALSE</v>
      </c>
      <c r="AP1633" s="10" t="str">
        <f t="shared" si="187"/>
        <v>FALSE</v>
      </c>
      <c r="AQ1633" s="10" t="b">
        <f>IF(AND(I1633="TP",S1633&lt;=150),VLOOKUP(AF1633,TPCalibEq150!$AZ$2:$BB$55,3,),IF(AND(I1633="TDP",S1633&lt;=150),VLOOKUP(AF1633,TPCalibEq150!$AZ$2:$BB$55,3,)))</f>
        <v>0</v>
      </c>
      <c r="AR1633" s="10" t="b">
        <f>IF(AND(I1633="TP",S1633&lt;=300),VLOOKUP(AF1633,TPCalibEq300!$AZ$2:$BB$55,3,),IF(AND(I1633="TDP",S1633&lt;=300),VLOOKUP(AF1633,TPCalibEq300!$AZ$2:$BB$55,3,)))</f>
        <v>0</v>
      </c>
      <c r="AS1633" s="10" t="b">
        <f>IF(AND(I1633="TP",S1633&lt;=500),VLOOKUP(AF1633,TPCalibEq500!$AZ$2:$BB$56,3,),IF(AND(I1633="TDP",S1633&lt;=500),VLOOKUP(AF1633,TPCalibEq500!$AZ$2:$BB$56,3,)))</f>
        <v>0</v>
      </c>
      <c r="AT1633" s="10" t="b">
        <f>IF(AND(I1633="TN",S1633&lt;=2800),VLOOKUP(AF1633,TNCalibEq2500!$AZ$2:$BB$56,3,),IF(AND(I1633="TDN",S1633&lt;=2800),VLOOKUP(AF1633,TNCalibEq2500!$AZ$2:$BB$56,3,)))</f>
        <v>0</v>
      </c>
      <c r="AU1633" s="10" t="b">
        <f>IF(I1633="TP",VLOOKUP(AF1633,TPCalibEqFull!$AZ$2:$BB$56,3),IF(I1633="TDP",VLOOKUP(AF1633,TPCalibEqFull!$AZ$2:$BB$56,3),IF(I1633="TDN",VLOOKUP(AF1633,TNCalibEqFull!$AZ$1:$BB$56,3),IF(I1633="TN",VLOOKUP(AF1633,TNCalibEqFull!$AZ$1:$BB$56,3),FALSE))))</f>
        <v>0</v>
      </c>
      <c r="AV1633" s="10" t="str">
        <f t="shared" si="185"/>
        <v>0123 08:00:00-EFK-0-FIL-1-SW-UKN</v>
      </c>
    </row>
    <row r="1634" spans="1:48" s="10" customFormat="1" x14ac:dyDescent="0.55000000000000004">
      <c r="A1634" s="32">
        <v>44949</v>
      </c>
      <c r="B1634" s="33">
        <v>0.32083333333333336</v>
      </c>
      <c r="C1634" s="10" t="s">
        <v>333</v>
      </c>
      <c r="D1634" s="10">
        <v>0</v>
      </c>
      <c r="E1634" s="10" t="s">
        <v>911</v>
      </c>
      <c r="F1634" s="10">
        <v>1</v>
      </c>
      <c r="G1634" s="10" t="s">
        <v>231</v>
      </c>
      <c r="H1634" s="10" t="s">
        <v>322</v>
      </c>
      <c r="I1634" s="10" t="s">
        <v>256</v>
      </c>
      <c r="J1634" s="10">
        <v>42</v>
      </c>
      <c r="K1634" s="12">
        <v>44958</v>
      </c>
      <c r="L1634" s="33">
        <v>0.54989583333333336</v>
      </c>
      <c r="M1634" s="10">
        <v>1</v>
      </c>
      <c r="N1634" s="10" t="s">
        <v>169</v>
      </c>
      <c r="O1634" s="10">
        <v>10.4</v>
      </c>
      <c r="P1634" s="10">
        <v>0.497</v>
      </c>
      <c r="Q1634" s="10">
        <v>1310</v>
      </c>
      <c r="R1634" s="10" t="s">
        <v>77</v>
      </c>
      <c r="S1634" s="34">
        <f t="shared" si="182"/>
        <v>1310</v>
      </c>
      <c r="T1634" s="10" t="s">
        <v>1114</v>
      </c>
      <c r="U1634" s="34" t="str">
        <f t="shared" si="183"/>
        <v/>
      </c>
      <c r="V1634" s="31" t="str">
        <f>IF(H1634="CHK",VLOOKUP(I1634,QCCHK,3,),IF(H1634="GUP",VLOOKUP(E1634,QCGUP,2,),IF(AND(H1634="ATP",OR(I1634="TN",I1634="TDN",I1634="TNO2-3",I1634="NO2-3")),VLOOKUP(E1634,QCREC_N,2,),IF(AND(H1634="NIC",OR(I1634="TN",I1634="TDN",I1634="TNO2-3",I1634="NO2-3")),VLOOKUP(E1634,QCNIC_N,2,),IF(AND(H1634="UREA",OR(I1634="TN",I1634="TDN",I1634="TNO2-3",I1634="NO2-3")),VLOOKUP(E1634,QCUREA_N,2,),IF(H1634="PER",VLOOKUP(I1634,QCPER,MATCH(E1634,QCACTUAL!$J$25:$AA$25,0),),IF(H1634="SPK",VLOOKUP(I1634,QCSPK,3,),IF(AND(H1634="ATP",OR(I1634="TP",I1634="TDP")),VLOOKUP(E1634,QCATP_P,2,),""))))))))</f>
        <v/>
      </c>
      <c r="W1634" s="31" t="str">
        <f t="shared" si="184"/>
        <v>TRUE</v>
      </c>
      <c r="X1634" s="31" t="str">
        <f t="shared" si="181"/>
        <v/>
      </c>
      <c r="Y1634" s="10" t="s">
        <v>1096</v>
      </c>
      <c r="Z1634" s="10" t="s">
        <v>910</v>
      </c>
      <c r="AL1634" s="10" t="str">
        <f t="shared" si="186"/>
        <v>FALSE</v>
      </c>
      <c r="AM1634" s="10" t="str">
        <f t="shared" si="186"/>
        <v>FALSE</v>
      </c>
      <c r="AN1634" s="10" t="str">
        <f t="shared" si="186"/>
        <v>FALSE</v>
      </c>
      <c r="AO1634" s="10" t="str">
        <f t="shared" si="187"/>
        <v>FALSE</v>
      </c>
      <c r="AP1634" s="10" t="str">
        <f t="shared" si="187"/>
        <v>FALSE</v>
      </c>
      <c r="AQ1634" s="10" t="b">
        <f>IF(AND(I1634="TP",S1634&lt;=150),VLOOKUP(AF1634,TPCalibEq150!$AZ$2:$BB$55,3,),IF(AND(I1634="TDP",S1634&lt;=150),VLOOKUP(AF1634,TPCalibEq150!$AZ$2:$BB$55,3,)))</f>
        <v>0</v>
      </c>
      <c r="AR1634" s="10" t="b">
        <f>IF(AND(I1634="TP",S1634&lt;=300),VLOOKUP(AF1634,TPCalibEq300!$AZ$2:$BB$55,3,),IF(AND(I1634="TDP",S1634&lt;=300),VLOOKUP(AF1634,TPCalibEq300!$AZ$2:$BB$55,3,)))</f>
        <v>0</v>
      </c>
      <c r="AS1634" s="10" t="b">
        <f>IF(AND(I1634="TP",S1634&lt;=500),VLOOKUP(AF1634,TPCalibEq500!$AZ$2:$BB$56,3,),IF(AND(I1634="TDP",S1634&lt;=500),VLOOKUP(AF1634,TPCalibEq500!$AZ$2:$BB$56,3,)))</f>
        <v>0</v>
      </c>
      <c r="AT1634" s="10" t="b">
        <f>IF(AND(I1634="TN",S1634&lt;=2800),VLOOKUP(AF1634,TNCalibEq2500!$AZ$2:$BB$56,3,),IF(AND(I1634="TDN",S1634&lt;=2800),VLOOKUP(AF1634,TNCalibEq2500!$AZ$2:$BB$56,3,)))</f>
        <v>0</v>
      </c>
      <c r="AU1634" s="10" t="b">
        <f>IF(I1634="TP",VLOOKUP(AF1634,TPCalibEqFull!$AZ$2:$BB$56,3),IF(I1634="TDP",VLOOKUP(AF1634,TPCalibEqFull!$AZ$2:$BB$56,3),IF(I1634="TDN",VLOOKUP(AF1634,TNCalibEqFull!$AZ$1:$BB$56,3),IF(I1634="TN",VLOOKUP(AF1634,TNCalibEqFull!$AZ$1:$BB$56,3),FALSE))))</f>
        <v>0</v>
      </c>
      <c r="AV1634" s="10" t="str">
        <f t="shared" si="185"/>
        <v>0123 07:42:00-HST-0-FIL-1-SW-UKN</v>
      </c>
    </row>
    <row r="1635" spans="1:48" s="10" customFormat="1" x14ac:dyDescent="0.55000000000000004">
      <c r="A1635" s="32">
        <v>44950</v>
      </c>
      <c r="B1635" s="33">
        <v>0.5708333333333333</v>
      </c>
      <c r="C1635" s="10" t="s">
        <v>279</v>
      </c>
      <c r="D1635" s="10">
        <v>0</v>
      </c>
      <c r="E1635" s="10" t="s">
        <v>911</v>
      </c>
      <c r="F1635" s="10">
        <v>1</v>
      </c>
      <c r="G1635" s="10" t="s">
        <v>231</v>
      </c>
      <c r="H1635" s="10" t="s">
        <v>322</v>
      </c>
      <c r="I1635" s="10" t="s">
        <v>256</v>
      </c>
      <c r="J1635" s="10">
        <v>43</v>
      </c>
      <c r="K1635" s="12">
        <v>44958</v>
      </c>
      <c r="L1635" s="33">
        <v>0.55070601851851853</v>
      </c>
      <c r="M1635" s="10">
        <v>1</v>
      </c>
      <c r="N1635" s="10" t="s">
        <v>169</v>
      </c>
      <c r="O1635" s="10">
        <v>7.59</v>
      </c>
      <c r="P1635" s="10">
        <v>0.36399999999999999</v>
      </c>
      <c r="Q1635" s="10">
        <v>955</v>
      </c>
      <c r="R1635" s="10" t="s">
        <v>77</v>
      </c>
      <c r="S1635" s="34">
        <f t="shared" si="182"/>
        <v>955</v>
      </c>
      <c r="T1635" s="10" t="s">
        <v>1114</v>
      </c>
      <c r="U1635" s="34" t="str">
        <f t="shared" si="183"/>
        <v/>
      </c>
      <c r="V1635" s="31" t="str">
        <f>IF(H1635="CHK",VLOOKUP(I1635,QCCHK,3,),IF(H1635="GUP",VLOOKUP(E1635,QCGUP,2,),IF(AND(H1635="ATP",OR(I1635="TN",I1635="TDN",I1635="TNO2-3",I1635="NO2-3")),VLOOKUP(E1635,QCREC_N,2,),IF(AND(H1635="NIC",OR(I1635="TN",I1635="TDN",I1635="TNO2-3",I1635="NO2-3")),VLOOKUP(E1635,QCNIC_N,2,),IF(AND(H1635="UREA",OR(I1635="TN",I1635="TDN",I1635="TNO2-3",I1635="NO2-3")),VLOOKUP(E1635,QCUREA_N,2,),IF(H1635="PER",VLOOKUP(I1635,QCPER,MATCH(E1635,QCACTUAL!$J$25:$AA$25,0),),IF(H1635="SPK",VLOOKUP(I1635,QCSPK,3,),IF(AND(H1635="ATP",OR(I1635="TP",I1635="TDP")),VLOOKUP(E1635,QCATP_P,2,),""))))))))</f>
        <v/>
      </c>
      <c r="W1635" s="31" t="str">
        <f t="shared" si="184"/>
        <v>TRUE</v>
      </c>
      <c r="X1635" s="31" t="str">
        <f t="shared" si="181"/>
        <v/>
      </c>
      <c r="Y1635" s="10" t="s">
        <v>1096</v>
      </c>
      <c r="Z1635" s="10" t="s">
        <v>910</v>
      </c>
      <c r="AL1635" s="10" t="str">
        <f t="shared" si="186"/>
        <v>FALSE</v>
      </c>
      <c r="AM1635" s="10" t="str">
        <f t="shared" si="186"/>
        <v>FALSE</v>
      </c>
      <c r="AN1635" s="10" t="str">
        <f t="shared" si="186"/>
        <v>FALSE</v>
      </c>
      <c r="AO1635" s="10" t="str">
        <f t="shared" si="187"/>
        <v>FALSE</v>
      </c>
      <c r="AP1635" s="10" t="str">
        <f t="shared" si="187"/>
        <v>FALSE</v>
      </c>
      <c r="AQ1635" s="10" t="b">
        <f>IF(AND(I1635="TP",S1635&lt;=150),VLOOKUP(AF1635,TPCalibEq150!$AZ$2:$BB$55,3,),IF(AND(I1635="TDP",S1635&lt;=150),VLOOKUP(AF1635,TPCalibEq150!$AZ$2:$BB$55,3,)))</f>
        <v>0</v>
      </c>
      <c r="AR1635" s="10" t="b">
        <f>IF(AND(I1635="TP",S1635&lt;=300),VLOOKUP(AF1635,TPCalibEq300!$AZ$2:$BB$55,3,),IF(AND(I1635="TDP",S1635&lt;=300),VLOOKUP(AF1635,TPCalibEq300!$AZ$2:$BB$55,3,)))</f>
        <v>0</v>
      </c>
      <c r="AS1635" s="10" t="b">
        <f>IF(AND(I1635="TP",S1635&lt;=500),VLOOKUP(AF1635,TPCalibEq500!$AZ$2:$BB$56,3,),IF(AND(I1635="TDP",S1635&lt;=500),VLOOKUP(AF1635,TPCalibEq500!$AZ$2:$BB$56,3,)))</f>
        <v>0</v>
      </c>
      <c r="AT1635" s="10" t="b">
        <f>IF(AND(I1635="TN",S1635&lt;=2800),VLOOKUP(AF1635,TNCalibEq2500!$AZ$2:$BB$56,3,),IF(AND(I1635="TDN",S1635&lt;=2800),VLOOKUP(AF1635,TNCalibEq2500!$AZ$2:$BB$56,3,)))</f>
        <v>0</v>
      </c>
      <c r="AU1635" s="10" t="b">
        <f>IF(I1635="TP",VLOOKUP(AF1635,TPCalibEqFull!$AZ$2:$BB$56,3),IF(I1635="TDP",VLOOKUP(AF1635,TPCalibEqFull!$AZ$2:$BB$56,3),IF(I1635="TDN",VLOOKUP(AF1635,TNCalibEqFull!$AZ$1:$BB$56,3),IF(I1635="TN",VLOOKUP(AF1635,TNCalibEqFull!$AZ$1:$BB$56,3),FALSE))))</f>
        <v>0</v>
      </c>
      <c r="AV1635" s="10" t="str">
        <f t="shared" si="185"/>
        <v>0124 13:42:00-EFK-0-FIL-1-SW-UKN</v>
      </c>
    </row>
    <row r="1636" spans="1:48" s="10" customFormat="1" x14ac:dyDescent="0.55000000000000004">
      <c r="A1636" s="32">
        <v>44950</v>
      </c>
      <c r="B1636" s="33">
        <v>0.60555555555555551</v>
      </c>
      <c r="C1636" s="10" t="s">
        <v>333</v>
      </c>
      <c r="D1636" s="10">
        <v>0</v>
      </c>
      <c r="E1636" s="10" t="s">
        <v>911</v>
      </c>
      <c r="F1636" s="10">
        <v>1</v>
      </c>
      <c r="G1636" s="10" t="s">
        <v>231</v>
      </c>
      <c r="H1636" s="10" t="s">
        <v>322</v>
      </c>
      <c r="I1636" s="10" t="s">
        <v>256</v>
      </c>
      <c r="J1636" s="10">
        <v>44</v>
      </c>
      <c r="K1636" s="12">
        <v>44958</v>
      </c>
      <c r="L1636" s="33">
        <v>0.55150462962962965</v>
      </c>
      <c r="M1636" s="10">
        <v>1</v>
      </c>
      <c r="N1636" s="10" t="s">
        <v>169</v>
      </c>
      <c r="O1636" s="10">
        <v>10.3</v>
      </c>
      <c r="P1636" s="10">
        <v>0.49199999999999999</v>
      </c>
      <c r="Q1636" s="10">
        <v>1300</v>
      </c>
      <c r="R1636" s="10" t="s">
        <v>77</v>
      </c>
      <c r="S1636" s="34">
        <f t="shared" si="182"/>
        <v>1300</v>
      </c>
      <c r="T1636" s="10" t="s">
        <v>1114</v>
      </c>
      <c r="U1636" s="34" t="str">
        <f t="shared" si="183"/>
        <v/>
      </c>
      <c r="V1636" s="31" t="str">
        <f>IF(H1636="CHK",VLOOKUP(I1636,QCCHK,3,),IF(H1636="GUP",VLOOKUP(E1636,QCGUP,2,),IF(AND(H1636="ATP",OR(I1636="TN",I1636="TDN",I1636="TNO2-3",I1636="NO2-3")),VLOOKUP(E1636,QCREC_N,2,),IF(AND(H1636="NIC",OR(I1636="TN",I1636="TDN",I1636="TNO2-3",I1636="NO2-3")),VLOOKUP(E1636,QCNIC_N,2,),IF(AND(H1636="UREA",OR(I1636="TN",I1636="TDN",I1636="TNO2-3",I1636="NO2-3")),VLOOKUP(E1636,QCUREA_N,2,),IF(H1636="PER",VLOOKUP(I1636,QCPER,MATCH(E1636,QCACTUAL!$J$25:$AA$25,0),),IF(H1636="SPK",VLOOKUP(I1636,QCSPK,3,),IF(AND(H1636="ATP",OR(I1636="TP",I1636="TDP")),VLOOKUP(E1636,QCATP_P,2,),""))))))))</f>
        <v/>
      </c>
      <c r="W1636" s="31" t="str">
        <f t="shared" si="184"/>
        <v>TRUE</v>
      </c>
      <c r="X1636" s="31" t="str">
        <f t="shared" si="181"/>
        <v/>
      </c>
      <c r="Y1636" s="10" t="s">
        <v>1096</v>
      </c>
      <c r="Z1636" s="10" t="s">
        <v>910</v>
      </c>
      <c r="AL1636" s="10" t="str">
        <f t="shared" si="186"/>
        <v>FALSE</v>
      </c>
      <c r="AM1636" s="10" t="str">
        <f t="shared" si="186"/>
        <v>FALSE</v>
      </c>
      <c r="AN1636" s="10" t="str">
        <f t="shared" si="186"/>
        <v>FALSE</v>
      </c>
      <c r="AO1636" s="10" t="str">
        <f t="shared" si="187"/>
        <v>FALSE</v>
      </c>
      <c r="AP1636" s="10" t="str">
        <f t="shared" si="187"/>
        <v>FALSE</v>
      </c>
      <c r="AQ1636" s="10" t="b">
        <f>IF(AND(I1636="TP",S1636&lt;=150),VLOOKUP(AF1636,TPCalibEq150!$AZ$2:$BB$55,3,),IF(AND(I1636="TDP",S1636&lt;=150),VLOOKUP(AF1636,TPCalibEq150!$AZ$2:$BB$55,3,)))</f>
        <v>0</v>
      </c>
      <c r="AR1636" s="10" t="b">
        <f>IF(AND(I1636="TP",S1636&lt;=300),VLOOKUP(AF1636,TPCalibEq300!$AZ$2:$BB$55,3,),IF(AND(I1636="TDP",S1636&lt;=300),VLOOKUP(AF1636,TPCalibEq300!$AZ$2:$BB$55,3,)))</f>
        <v>0</v>
      </c>
      <c r="AS1636" s="10" t="b">
        <f>IF(AND(I1636="TP",S1636&lt;=500),VLOOKUP(AF1636,TPCalibEq500!$AZ$2:$BB$56,3,),IF(AND(I1636="TDP",S1636&lt;=500),VLOOKUP(AF1636,TPCalibEq500!$AZ$2:$BB$56,3,)))</f>
        <v>0</v>
      </c>
      <c r="AT1636" s="10" t="b">
        <f>IF(AND(I1636="TN",S1636&lt;=2800),VLOOKUP(AF1636,TNCalibEq2500!$AZ$2:$BB$56,3,),IF(AND(I1636="TDN",S1636&lt;=2800),VLOOKUP(AF1636,TNCalibEq2500!$AZ$2:$BB$56,3,)))</f>
        <v>0</v>
      </c>
      <c r="AU1636" s="10" t="b">
        <f>IF(I1636="TP",VLOOKUP(AF1636,TPCalibEqFull!$AZ$2:$BB$56,3),IF(I1636="TDP",VLOOKUP(AF1636,TPCalibEqFull!$AZ$2:$BB$56,3),IF(I1636="TDN",VLOOKUP(AF1636,TNCalibEqFull!$AZ$1:$BB$56,3),IF(I1636="TN",VLOOKUP(AF1636,TNCalibEqFull!$AZ$1:$BB$56,3),FALSE))))</f>
        <v>0</v>
      </c>
      <c r="AV1636" s="10" t="str">
        <f t="shared" si="185"/>
        <v>0124 14:32:00-HST-0-FIL-1-SW-UKN</v>
      </c>
    </row>
    <row r="1637" spans="1:48" s="10" customFormat="1" x14ac:dyDescent="0.55000000000000004">
      <c r="A1637" s="32">
        <v>44951</v>
      </c>
      <c r="B1637" s="33">
        <v>0.23541666666666669</v>
      </c>
      <c r="C1637" s="10" t="s">
        <v>279</v>
      </c>
      <c r="D1637" s="10">
        <v>0</v>
      </c>
      <c r="E1637" s="10" t="s">
        <v>911</v>
      </c>
      <c r="F1637" s="10">
        <v>1</v>
      </c>
      <c r="G1637" s="10" t="s">
        <v>231</v>
      </c>
      <c r="H1637" s="10" t="s">
        <v>322</v>
      </c>
      <c r="I1637" s="10" t="s">
        <v>256</v>
      </c>
      <c r="J1637" s="10">
        <v>45</v>
      </c>
      <c r="K1637" s="12">
        <v>44958</v>
      </c>
      <c r="L1637" s="33">
        <v>0.55231481481481481</v>
      </c>
      <c r="M1637" s="10">
        <v>1</v>
      </c>
      <c r="N1637" s="10" t="s">
        <v>169</v>
      </c>
      <c r="O1637" s="10">
        <v>6.13</v>
      </c>
      <c r="P1637" s="10">
        <v>0.29399999999999998</v>
      </c>
      <c r="Q1637" s="10">
        <v>773</v>
      </c>
      <c r="R1637" s="10" t="s">
        <v>77</v>
      </c>
      <c r="S1637" s="34">
        <f t="shared" si="182"/>
        <v>773</v>
      </c>
      <c r="T1637" s="10" t="s">
        <v>1114</v>
      </c>
      <c r="U1637" s="34" t="str">
        <f t="shared" si="183"/>
        <v/>
      </c>
      <c r="V1637" s="31" t="str">
        <f>IF(H1637="CHK",VLOOKUP(I1637,QCCHK,3,),IF(H1637="GUP",VLOOKUP(E1637,QCGUP,2,),IF(AND(H1637="ATP",OR(I1637="TN",I1637="TDN",I1637="TNO2-3",I1637="NO2-3")),VLOOKUP(E1637,QCREC_N,2,),IF(AND(H1637="NIC",OR(I1637="TN",I1637="TDN",I1637="TNO2-3",I1637="NO2-3")),VLOOKUP(E1637,QCNIC_N,2,),IF(AND(H1637="UREA",OR(I1637="TN",I1637="TDN",I1637="TNO2-3",I1637="NO2-3")),VLOOKUP(E1637,QCUREA_N,2,),IF(H1637="PER",VLOOKUP(I1637,QCPER,MATCH(E1637,QCACTUAL!$J$25:$AA$25,0),),IF(H1637="SPK",VLOOKUP(I1637,QCSPK,3,),IF(AND(H1637="ATP",OR(I1637="TP",I1637="TDP")),VLOOKUP(E1637,QCATP_P,2,),""))))))))</f>
        <v/>
      </c>
      <c r="W1637" s="31" t="str">
        <f t="shared" si="184"/>
        <v>TRUE</v>
      </c>
      <c r="X1637" s="31" t="str">
        <f t="shared" si="181"/>
        <v/>
      </c>
      <c r="Y1637" s="10" t="s">
        <v>1096</v>
      </c>
      <c r="Z1637" s="10" t="s">
        <v>910</v>
      </c>
      <c r="AL1637" s="10" t="str">
        <f t="shared" si="186"/>
        <v>FALSE</v>
      </c>
      <c r="AM1637" s="10" t="str">
        <f t="shared" si="186"/>
        <v>FALSE</v>
      </c>
      <c r="AN1637" s="10" t="str">
        <f t="shared" si="186"/>
        <v>FALSE</v>
      </c>
      <c r="AO1637" s="10" t="str">
        <f t="shared" si="187"/>
        <v>FALSE</v>
      </c>
      <c r="AP1637" s="10" t="str">
        <f t="shared" si="187"/>
        <v>FALSE</v>
      </c>
      <c r="AQ1637" s="10" t="b">
        <f>IF(AND(I1637="TP",S1637&lt;=150),VLOOKUP(AF1637,TPCalibEq150!$AZ$2:$BB$55,3,),IF(AND(I1637="TDP",S1637&lt;=150),VLOOKUP(AF1637,TPCalibEq150!$AZ$2:$BB$55,3,)))</f>
        <v>0</v>
      </c>
      <c r="AR1637" s="10" t="b">
        <f>IF(AND(I1637="TP",S1637&lt;=300),VLOOKUP(AF1637,TPCalibEq300!$AZ$2:$BB$55,3,),IF(AND(I1637="TDP",S1637&lt;=300),VLOOKUP(AF1637,TPCalibEq300!$AZ$2:$BB$55,3,)))</f>
        <v>0</v>
      </c>
      <c r="AS1637" s="10" t="b">
        <f>IF(AND(I1637="TP",S1637&lt;=500),VLOOKUP(AF1637,TPCalibEq500!$AZ$2:$BB$56,3,),IF(AND(I1637="TDP",S1637&lt;=500),VLOOKUP(AF1637,TPCalibEq500!$AZ$2:$BB$56,3,)))</f>
        <v>0</v>
      </c>
      <c r="AT1637" s="10" t="b">
        <f>IF(AND(I1637="TN",S1637&lt;=2800),VLOOKUP(AF1637,TNCalibEq2500!$AZ$2:$BB$56,3,),IF(AND(I1637="TDN",S1637&lt;=2800),VLOOKUP(AF1637,TNCalibEq2500!$AZ$2:$BB$56,3,)))</f>
        <v>0</v>
      </c>
      <c r="AU1637" s="10" t="b">
        <f>IF(I1637="TP",VLOOKUP(AF1637,TPCalibEqFull!$AZ$2:$BB$56,3),IF(I1637="TDP",VLOOKUP(AF1637,TPCalibEqFull!$AZ$2:$BB$56,3),IF(I1637="TDN",VLOOKUP(AF1637,TNCalibEqFull!$AZ$1:$BB$56,3),IF(I1637="TN",VLOOKUP(AF1637,TNCalibEqFull!$AZ$1:$BB$56,3),FALSE))))</f>
        <v>0</v>
      </c>
      <c r="AV1637" s="10" t="str">
        <f t="shared" si="185"/>
        <v>0125 05:39:00-EFK-0-FIL-1-SW-UKN</v>
      </c>
    </row>
    <row r="1638" spans="1:48" s="10" customFormat="1" x14ac:dyDescent="0.55000000000000004">
      <c r="A1638" s="32">
        <v>44951</v>
      </c>
      <c r="B1638" s="33">
        <v>0.23750000000000002</v>
      </c>
      <c r="C1638" s="10" t="s">
        <v>333</v>
      </c>
      <c r="D1638" s="10">
        <v>0</v>
      </c>
      <c r="E1638" s="10" t="s">
        <v>911</v>
      </c>
      <c r="F1638" s="10">
        <v>1</v>
      </c>
      <c r="G1638" s="10" t="s">
        <v>231</v>
      </c>
      <c r="H1638" s="10" t="s">
        <v>322</v>
      </c>
      <c r="I1638" s="10" t="s">
        <v>256</v>
      </c>
      <c r="J1638" s="10">
        <v>46</v>
      </c>
      <c r="K1638" s="12">
        <v>44958</v>
      </c>
      <c r="L1638" s="33">
        <v>0.55313657407407402</v>
      </c>
      <c r="M1638" s="10">
        <v>1</v>
      </c>
      <c r="N1638" s="10" t="s">
        <v>169</v>
      </c>
      <c r="O1638" s="10">
        <v>7.82</v>
      </c>
      <c r="P1638" s="10">
        <v>0.371</v>
      </c>
      <c r="Q1638" s="10">
        <v>985</v>
      </c>
      <c r="R1638" s="10" t="s">
        <v>77</v>
      </c>
      <c r="S1638" s="34">
        <f t="shared" si="182"/>
        <v>985</v>
      </c>
      <c r="T1638" s="10" t="s">
        <v>1114</v>
      </c>
      <c r="U1638" s="34" t="str">
        <f t="shared" si="183"/>
        <v/>
      </c>
      <c r="V1638" s="31" t="str">
        <f>IF(H1638="CHK",VLOOKUP(I1638,QCCHK,3,),IF(H1638="GUP",VLOOKUP(E1638,QCGUP,2,),IF(AND(H1638="ATP",OR(I1638="TN",I1638="TDN",I1638="TNO2-3",I1638="NO2-3")),VLOOKUP(E1638,QCREC_N,2,),IF(AND(H1638="NIC",OR(I1638="TN",I1638="TDN",I1638="TNO2-3",I1638="NO2-3")),VLOOKUP(E1638,QCNIC_N,2,),IF(AND(H1638="UREA",OR(I1638="TN",I1638="TDN",I1638="TNO2-3",I1638="NO2-3")),VLOOKUP(E1638,QCUREA_N,2,),IF(H1638="PER",VLOOKUP(I1638,QCPER,MATCH(E1638,QCACTUAL!$J$25:$AA$25,0),),IF(H1638="SPK",VLOOKUP(I1638,QCSPK,3,),IF(AND(H1638="ATP",OR(I1638="TP",I1638="TDP")),VLOOKUP(E1638,QCATP_P,2,),""))))))))</f>
        <v/>
      </c>
      <c r="W1638" s="31" t="str">
        <f t="shared" si="184"/>
        <v>TRUE</v>
      </c>
      <c r="X1638" s="31" t="str">
        <f t="shared" si="181"/>
        <v/>
      </c>
      <c r="Y1638" s="10" t="s">
        <v>1096</v>
      </c>
      <c r="Z1638" s="10" t="s">
        <v>910</v>
      </c>
      <c r="AL1638" s="10" t="str">
        <f t="shared" si="186"/>
        <v>FALSE</v>
      </c>
      <c r="AM1638" s="10" t="str">
        <f t="shared" si="186"/>
        <v>FALSE</v>
      </c>
      <c r="AN1638" s="10" t="str">
        <f t="shared" si="186"/>
        <v>FALSE</v>
      </c>
      <c r="AO1638" s="10" t="str">
        <f t="shared" si="187"/>
        <v>FALSE</v>
      </c>
      <c r="AP1638" s="10" t="str">
        <f t="shared" si="187"/>
        <v>FALSE</v>
      </c>
      <c r="AQ1638" s="10" t="b">
        <f>IF(AND(I1638="TP",S1638&lt;=150),VLOOKUP(AF1638,TPCalibEq150!$AZ$2:$BB$55,3,),IF(AND(I1638="TDP",S1638&lt;=150),VLOOKUP(AF1638,TPCalibEq150!$AZ$2:$BB$55,3,)))</f>
        <v>0</v>
      </c>
      <c r="AR1638" s="10" t="b">
        <f>IF(AND(I1638="TP",S1638&lt;=300),VLOOKUP(AF1638,TPCalibEq300!$AZ$2:$BB$55,3,),IF(AND(I1638="TDP",S1638&lt;=300),VLOOKUP(AF1638,TPCalibEq300!$AZ$2:$BB$55,3,)))</f>
        <v>0</v>
      </c>
      <c r="AS1638" s="10" t="b">
        <f>IF(AND(I1638="TP",S1638&lt;=500),VLOOKUP(AF1638,TPCalibEq500!$AZ$2:$BB$56,3,),IF(AND(I1638="TDP",S1638&lt;=500),VLOOKUP(AF1638,TPCalibEq500!$AZ$2:$BB$56,3,)))</f>
        <v>0</v>
      </c>
      <c r="AT1638" s="10" t="b">
        <f>IF(AND(I1638="TN",S1638&lt;=2800),VLOOKUP(AF1638,TNCalibEq2500!$AZ$2:$BB$56,3,),IF(AND(I1638="TDN",S1638&lt;=2800),VLOOKUP(AF1638,TNCalibEq2500!$AZ$2:$BB$56,3,)))</f>
        <v>0</v>
      </c>
      <c r="AU1638" s="10" t="b">
        <f>IF(I1638="TP",VLOOKUP(AF1638,TPCalibEqFull!$AZ$2:$BB$56,3),IF(I1638="TDP",VLOOKUP(AF1638,TPCalibEqFull!$AZ$2:$BB$56,3),IF(I1638="TDN",VLOOKUP(AF1638,TNCalibEqFull!$AZ$1:$BB$56,3),IF(I1638="TN",VLOOKUP(AF1638,TNCalibEqFull!$AZ$1:$BB$56,3),FALSE))))</f>
        <v>0</v>
      </c>
      <c r="AV1638" s="10" t="str">
        <f t="shared" si="185"/>
        <v>0125 05:42:00-HST-0-FIL-1-SW-UKN</v>
      </c>
    </row>
    <row r="1639" spans="1:48" s="10" customFormat="1" x14ac:dyDescent="0.55000000000000004">
      <c r="A1639" s="32">
        <v>44952</v>
      </c>
      <c r="B1639" s="33">
        <v>0.39930555555555558</v>
      </c>
      <c r="C1639" s="10" t="s">
        <v>279</v>
      </c>
      <c r="D1639" s="10">
        <v>0</v>
      </c>
      <c r="E1639" s="10" t="s">
        <v>911</v>
      </c>
      <c r="F1639" s="10">
        <v>1</v>
      </c>
      <c r="G1639" s="10" t="s">
        <v>231</v>
      </c>
      <c r="H1639" s="10" t="s">
        <v>322</v>
      </c>
      <c r="I1639" s="10" t="s">
        <v>256</v>
      </c>
      <c r="J1639" s="10">
        <v>47</v>
      </c>
      <c r="K1639" s="12">
        <v>44958</v>
      </c>
      <c r="L1639" s="33">
        <v>0.55396990740740737</v>
      </c>
      <c r="M1639" s="10">
        <v>1</v>
      </c>
      <c r="N1639" s="10" t="s">
        <v>169</v>
      </c>
      <c r="O1639" s="10">
        <v>5.72</v>
      </c>
      <c r="P1639" s="10">
        <v>0.27300000000000002</v>
      </c>
      <c r="Q1639" s="10">
        <v>720</v>
      </c>
      <c r="R1639" s="10" t="s">
        <v>77</v>
      </c>
      <c r="S1639" s="34">
        <f t="shared" si="182"/>
        <v>720</v>
      </c>
      <c r="T1639" s="10" t="s">
        <v>1114</v>
      </c>
      <c r="U1639" s="34" t="str">
        <f t="shared" si="183"/>
        <v/>
      </c>
      <c r="V1639" s="31" t="str">
        <f>IF(H1639="CHK",VLOOKUP(I1639,QCCHK,3,),IF(H1639="GUP",VLOOKUP(E1639,QCGUP,2,),IF(AND(H1639="ATP",OR(I1639="TN",I1639="TDN",I1639="TNO2-3",I1639="NO2-3")),VLOOKUP(E1639,QCREC_N,2,),IF(AND(H1639="NIC",OR(I1639="TN",I1639="TDN",I1639="TNO2-3",I1639="NO2-3")),VLOOKUP(E1639,QCNIC_N,2,),IF(AND(H1639="UREA",OR(I1639="TN",I1639="TDN",I1639="TNO2-3",I1639="NO2-3")),VLOOKUP(E1639,QCUREA_N,2,),IF(H1639="PER",VLOOKUP(I1639,QCPER,MATCH(E1639,QCACTUAL!$J$25:$AA$25,0),),IF(H1639="SPK",VLOOKUP(I1639,QCSPK,3,),IF(AND(H1639="ATP",OR(I1639="TP",I1639="TDP")),VLOOKUP(E1639,QCATP_P,2,),""))))))))</f>
        <v/>
      </c>
      <c r="W1639" s="31" t="str">
        <f t="shared" si="184"/>
        <v>TRUE</v>
      </c>
      <c r="X1639" s="31" t="str">
        <f t="shared" si="181"/>
        <v/>
      </c>
      <c r="Y1639" s="10" t="s">
        <v>1096</v>
      </c>
      <c r="Z1639" s="10" t="s">
        <v>910</v>
      </c>
      <c r="AL1639" s="10" t="str">
        <f t="shared" si="186"/>
        <v>FALSE</v>
      </c>
      <c r="AM1639" s="10" t="str">
        <f t="shared" si="186"/>
        <v>FALSE</v>
      </c>
      <c r="AN1639" s="10" t="str">
        <f t="shared" si="186"/>
        <v>FALSE</v>
      </c>
      <c r="AO1639" s="10" t="str">
        <f t="shared" si="187"/>
        <v>FALSE</v>
      </c>
      <c r="AP1639" s="10" t="str">
        <f t="shared" si="187"/>
        <v>FALSE</v>
      </c>
      <c r="AQ1639" s="10" t="b">
        <f>IF(AND(I1639="TP",S1639&lt;=150),VLOOKUP(AF1639,TPCalibEq150!$AZ$2:$BB$55,3,),IF(AND(I1639="TDP",S1639&lt;=150),VLOOKUP(AF1639,TPCalibEq150!$AZ$2:$BB$55,3,)))</f>
        <v>0</v>
      </c>
      <c r="AR1639" s="10" t="b">
        <f>IF(AND(I1639="TP",S1639&lt;=300),VLOOKUP(AF1639,TPCalibEq300!$AZ$2:$BB$55,3,),IF(AND(I1639="TDP",S1639&lt;=300),VLOOKUP(AF1639,TPCalibEq300!$AZ$2:$BB$55,3,)))</f>
        <v>0</v>
      </c>
      <c r="AS1639" s="10" t="b">
        <f>IF(AND(I1639="TP",S1639&lt;=500),VLOOKUP(AF1639,TPCalibEq500!$AZ$2:$BB$56,3,),IF(AND(I1639="TDP",S1639&lt;=500),VLOOKUP(AF1639,TPCalibEq500!$AZ$2:$BB$56,3,)))</f>
        <v>0</v>
      </c>
      <c r="AT1639" s="10" t="b">
        <f>IF(AND(I1639="TN",S1639&lt;=2800),VLOOKUP(AF1639,TNCalibEq2500!$AZ$2:$BB$56,3,),IF(AND(I1639="TDN",S1639&lt;=2800),VLOOKUP(AF1639,TNCalibEq2500!$AZ$2:$BB$56,3,)))</f>
        <v>0</v>
      </c>
      <c r="AU1639" s="10" t="b">
        <f>IF(I1639="TP",VLOOKUP(AF1639,TPCalibEqFull!$AZ$2:$BB$56,3),IF(I1639="TDP",VLOOKUP(AF1639,TPCalibEqFull!$AZ$2:$BB$56,3),IF(I1639="TDN",VLOOKUP(AF1639,TNCalibEqFull!$AZ$1:$BB$56,3),IF(I1639="TN",VLOOKUP(AF1639,TNCalibEqFull!$AZ$1:$BB$56,3),FALSE))))</f>
        <v>0</v>
      </c>
      <c r="AV1639" s="10" t="str">
        <f t="shared" si="185"/>
        <v>0126 09:35:00-EFK-0-FIL-1-SW-UKN</v>
      </c>
    </row>
    <row r="1640" spans="1:48" s="10" customFormat="1" x14ac:dyDescent="0.55000000000000004">
      <c r="A1640" s="32">
        <v>44952</v>
      </c>
      <c r="B1640" s="33">
        <v>0.40416666666666662</v>
      </c>
      <c r="C1640" s="10" t="s">
        <v>333</v>
      </c>
      <c r="D1640" s="10">
        <v>0</v>
      </c>
      <c r="E1640" s="10" t="s">
        <v>911</v>
      </c>
      <c r="F1640" s="10" t="s">
        <v>190</v>
      </c>
      <c r="G1640" s="10" t="s">
        <v>231</v>
      </c>
      <c r="H1640" s="10" t="s">
        <v>322</v>
      </c>
      <c r="I1640" s="10" t="s">
        <v>256</v>
      </c>
      <c r="J1640" s="10">
        <v>48</v>
      </c>
      <c r="K1640" s="12">
        <v>44958</v>
      </c>
      <c r="L1640" s="33">
        <v>0.55479166666666668</v>
      </c>
      <c r="M1640" s="10">
        <v>1</v>
      </c>
      <c r="N1640" s="10" t="s">
        <v>169</v>
      </c>
      <c r="O1640" s="10">
        <v>10.5</v>
      </c>
      <c r="P1640" s="10">
        <v>0.5</v>
      </c>
      <c r="Q1640" s="10">
        <v>1320</v>
      </c>
      <c r="R1640" s="10" t="s">
        <v>77</v>
      </c>
      <c r="S1640" s="34">
        <f t="shared" si="182"/>
        <v>1320</v>
      </c>
      <c r="T1640" s="10" t="s">
        <v>1114</v>
      </c>
      <c r="U1640" s="34" t="str">
        <f t="shared" si="183"/>
        <v/>
      </c>
      <c r="V1640" s="31" t="str">
        <f>IF(H1640="CHK",VLOOKUP(I1640,QCCHK,3,),IF(H1640="GUP",VLOOKUP(E1640,QCGUP,2,),IF(AND(H1640="ATP",OR(I1640="TN",I1640="TDN",I1640="TNO2-3",I1640="NO2-3")),VLOOKUP(E1640,QCREC_N,2,),IF(AND(H1640="NIC",OR(I1640="TN",I1640="TDN",I1640="TNO2-3",I1640="NO2-3")),VLOOKUP(E1640,QCNIC_N,2,),IF(AND(H1640="UREA",OR(I1640="TN",I1640="TDN",I1640="TNO2-3",I1640="NO2-3")),VLOOKUP(E1640,QCUREA_N,2,),IF(H1640="PER",VLOOKUP(I1640,QCPER,MATCH(E1640,QCACTUAL!$J$25:$AA$25,0),),IF(H1640="SPK",VLOOKUP(I1640,QCSPK,3,),IF(AND(H1640="ATP",OR(I1640="TP",I1640="TDP")),VLOOKUP(E1640,QCATP_P,2,),""))))))))</f>
        <v/>
      </c>
      <c r="W1640" s="31" t="str">
        <f t="shared" si="184"/>
        <v>TRUE</v>
      </c>
      <c r="X1640" s="31" t="str">
        <f t="shared" si="181"/>
        <v/>
      </c>
      <c r="Y1640" s="10" t="s">
        <v>1096</v>
      </c>
      <c r="Z1640" s="10" t="s">
        <v>910</v>
      </c>
      <c r="AL1640" s="10" t="str">
        <f t="shared" si="186"/>
        <v>FALSE</v>
      </c>
      <c r="AM1640" s="10" t="str">
        <f t="shared" si="186"/>
        <v>FALSE</v>
      </c>
      <c r="AN1640" s="10" t="str">
        <f t="shared" si="186"/>
        <v>FALSE</v>
      </c>
      <c r="AO1640" s="10" t="str">
        <f t="shared" si="187"/>
        <v>FALSE</v>
      </c>
      <c r="AP1640" s="10" t="str">
        <f t="shared" si="187"/>
        <v>FALSE</v>
      </c>
      <c r="AQ1640" s="10" t="b">
        <f>IF(AND(I1640="TP",S1640&lt;=150),VLOOKUP(AF1640,TPCalibEq150!$AZ$2:$BB$55,3,),IF(AND(I1640="TDP",S1640&lt;=150),VLOOKUP(AF1640,TPCalibEq150!$AZ$2:$BB$55,3,)))</f>
        <v>0</v>
      </c>
      <c r="AR1640" s="10" t="b">
        <f>IF(AND(I1640="TP",S1640&lt;=300),VLOOKUP(AF1640,TPCalibEq300!$AZ$2:$BB$55,3,),IF(AND(I1640="TDP",S1640&lt;=300),VLOOKUP(AF1640,TPCalibEq300!$AZ$2:$BB$55,3,)))</f>
        <v>0</v>
      </c>
      <c r="AS1640" s="10" t="b">
        <f>IF(AND(I1640="TP",S1640&lt;=500),VLOOKUP(AF1640,TPCalibEq500!$AZ$2:$BB$56,3,),IF(AND(I1640="TDP",S1640&lt;=500),VLOOKUP(AF1640,TPCalibEq500!$AZ$2:$BB$56,3,)))</f>
        <v>0</v>
      </c>
      <c r="AT1640" s="10" t="b">
        <f>IF(AND(I1640="TN",S1640&lt;=2800),VLOOKUP(AF1640,TNCalibEq2500!$AZ$2:$BB$56,3,),IF(AND(I1640="TDN",S1640&lt;=2800),VLOOKUP(AF1640,TNCalibEq2500!$AZ$2:$BB$56,3,)))</f>
        <v>0</v>
      </c>
      <c r="AU1640" s="10" t="b">
        <f>IF(I1640="TP",VLOOKUP(AF1640,TPCalibEqFull!$AZ$2:$BB$56,3),IF(I1640="TDP",VLOOKUP(AF1640,TPCalibEqFull!$AZ$2:$BB$56,3),IF(I1640="TDN",VLOOKUP(AF1640,TNCalibEqFull!$AZ$1:$BB$56,3),IF(I1640="TN",VLOOKUP(AF1640,TNCalibEqFull!$AZ$1:$BB$56,3),FALSE))))</f>
        <v>0</v>
      </c>
      <c r="AV1640" s="10" t="str">
        <f t="shared" si="185"/>
        <v>0126 09:42:00-HST-0-FIL-C-SW-UKN</v>
      </c>
    </row>
    <row r="1641" spans="1:48" s="10" customFormat="1" x14ac:dyDescent="0.55000000000000004">
      <c r="A1641" s="32">
        <v>44953</v>
      </c>
      <c r="B1641" s="33">
        <v>0.53333333333333333</v>
      </c>
      <c r="C1641" s="10" t="s">
        <v>279</v>
      </c>
      <c r="D1641" s="10">
        <v>0</v>
      </c>
      <c r="E1641" s="10" t="s">
        <v>911</v>
      </c>
      <c r="F1641" s="10">
        <v>1</v>
      </c>
      <c r="G1641" s="10" t="s">
        <v>231</v>
      </c>
      <c r="H1641" s="10" t="s">
        <v>322</v>
      </c>
      <c r="I1641" s="10" t="s">
        <v>256</v>
      </c>
      <c r="J1641" s="10">
        <v>49</v>
      </c>
      <c r="K1641" s="12">
        <v>44958</v>
      </c>
      <c r="L1641" s="33">
        <v>0.55560185185185185</v>
      </c>
      <c r="M1641" s="10">
        <v>1</v>
      </c>
      <c r="N1641" s="10" t="s">
        <v>169</v>
      </c>
      <c r="O1641" s="10">
        <v>6.67</v>
      </c>
      <c r="P1641" s="10">
        <v>0.31900000000000001</v>
      </c>
      <c r="Q1641" s="10">
        <v>840</v>
      </c>
      <c r="R1641" s="10" t="s">
        <v>77</v>
      </c>
      <c r="S1641" s="34">
        <f t="shared" si="182"/>
        <v>840</v>
      </c>
      <c r="T1641" s="10" t="s">
        <v>1114</v>
      </c>
      <c r="U1641" s="34" t="str">
        <f t="shared" si="183"/>
        <v/>
      </c>
      <c r="V1641" s="31" t="str">
        <f>IF(H1641="CHK",VLOOKUP(I1641,QCCHK,3,),IF(H1641="GUP",VLOOKUP(E1641,QCGUP,2,),IF(AND(H1641="ATP",OR(I1641="TN",I1641="TDN",I1641="TNO2-3",I1641="NO2-3")),VLOOKUP(E1641,QCREC_N,2,),IF(AND(H1641="NIC",OR(I1641="TN",I1641="TDN",I1641="TNO2-3",I1641="NO2-3")),VLOOKUP(E1641,QCNIC_N,2,),IF(AND(H1641="UREA",OR(I1641="TN",I1641="TDN",I1641="TNO2-3",I1641="NO2-3")),VLOOKUP(E1641,QCUREA_N,2,),IF(H1641="PER",VLOOKUP(I1641,QCPER,MATCH(E1641,QCACTUAL!$J$25:$AA$25,0),),IF(H1641="SPK",VLOOKUP(I1641,QCSPK,3,),IF(AND(H1641="ATP",OR(I1641="TP",I1641="TDP")),VLOOKUP(E1641,QCATP_P,2,),""))))))))</f>
        <v/>
      </c>
      <c r="W1641" s="31" t="str">
        <f t="shared" si="184"/>
        <v>TRUE</v>
      </c>
      <c r="X1641" s="31" t="str">
        <f t="shared" si="181"/>
        <v/>
      </c>
      <c r="Y1641" s="10" t="s">
        <v>1096</v>
      </c>
      <c r="Z1641" s="10" t="s">
        <v>910</v>
      </c>
      <c r="AL1641" s="10" t="str">
        <f t="shared" si="186"/>
        <v>FALSE</v>
      </c>
      <c r="AM1641" s="10" t="str">
        <f t="shared" si="186"/>
        <v>FALSE</v>
      </c>
      <c r="AN1641" s="10" t="str">
        <f t="shared" si="186"/>
        <v>FALSE</v>
      </c>
      <c r="AO1641" s="10" t="str">
        <f t="shared" si="187"/>
        <v>FALSE</v>
      </c>
      <c r="AP1641" s="10" t="str">
        <f t="shared" si="187"/>
        <v>FALSE</v>
      </c>
      <c r="AQ1641" s="10" t="b">
        <f>IF(AND(I1641="TP",S1641&lt;=150),VLOOKUP(AF1641,TPCalibEq150!$AZ$2:$BB$55,3,),IF(AND(I1641="TDP",S1641&lt;=150),VLOOKUP(AF1641,TPCalibEq150!$AZ$2:$BB$55,3,)))</f>
        <v>0</v>
      </c>
      <c r="AR1641" s="10" t="b">
        <f>IF(AND(I1641="TP",S1641&lt;=300),VLOOKUP(AF1641,TPCalibEq300!$AZ$2:$BB$55,3,),IF(AND(I1641="TDP",S1641&lt;=300),VLOOKUP(AF1641,TPCalibEq300!$AZ$2:$BB$55,3,)))</f>
        <v>0</v>
      </c>
      <c r="AS1641" s="10" t="b">
        <f>IF(AND(I1641="TP",S1641&lt;=500),VLOOKUP(AF1641,TPCalibEq500!$AZ$2:$BB$56,3,),IF(AND(I1641="TDP",S1641&lt;=500),VLOOKUP(AF1641,TPCalibEq500!$AZ$2:$BB$56,3,)))</f>
        <v>0</v>
      </c>
      <c r="AT1641" s="10" t="b">
        <f>IF(AND(I1641="TN",S1641&lt;=2800),VLOOKUP(AF1641,TNCalibEq2500!$AZ$2:$BB$56,3,),IF(AND(I1641="TDN",S1641&lt;=2800),VLOOKUP(AF1641,TNCalibEq2500!$AZ$2:$BB$56,3,)))</f>
        <v>0</v>
      </c>
      <c r="AU1641" s="10" t="b">
        <f>IF(I1641="TP",VLOOKUP(AF1641,TPCalibEqFull!$AZ$2:$BB$56,3),IF(I1641="TDP",VLOOKUP(AF1641,TPCalibEqFull!$AZ$2:$BB$56,3),IF(I1641="TDN",VLOOKUP(AF1641,TNCalibEqFull!$AZ$1:$BB$56,3),IF(I1641="TN",VLOOKUP(AF1641,TNCalibEqFull!$AZ$1:$BB$56,3),FALSE))))</f>
        <v>0</v>
      </c>
      <c r="AV1641" s="10" t="str">
        <f t="shared" si="185"/>
        <v>0127 12:48:00-EFK-0-FIL-1-SW-UKN</v>
      </c>
    </row>
    <row r="1642" spans="1:48" s="10" customFormat="1" x14ac:dyDescent="0.55000000000000004">
      <c r="A1642" s="32">
        <v>44953</v>
      </c>
      <c r="B1642" s="33">
        <v>0.53611111111111109</v>
      </c>
      <c r="C1642" s="10" t="s">
        <v>333</v>
      </c>
      <c r="D1642" s="10">
        <v>0</v>
      </c>
      <c r="E1642" s="10" t="s">
        <v>911</v>
      </c>
      <c r="F1642" s="10">
        <v>1</v>
      </c>
      <c r="G1642" s="10" t="s">
        <v>231</v>
      </c>
      <c r="H1642" s="10" t="s">
        <v>322</v>
      </c>
      <c r="I1642" s="10" t="s">
        <v>256</v>
      </c>
      <c r="J1642" s="10">
        <v>50</v>
      </c>
      <c r="K1642" s="12">
        <v>44958</v>
      </c>
      <c r="L1642" s="33">
        <v>0.55642361111111105</v>
      </c>
      <c r="M1642" s="10">
        <v>1</v>
      </c>
      <c r="N1642" s="10" t="s">
        <v>169</v>
      </c>
      <c r="O1642" s="10">
        <v>10.4</v>
      </c>
      <c r="P1642" s="10">
        <v>0.49399999999999999</v>
      </c>
      <c r="Q1642" s="10">
        <v>1310</v>
      </c>
      <c r="R1642" s="10" t="s">
        <v>77</v>
      </c>
      <c r="S1642" s="34">
        <f t="shared" si="182"/>
        <v>1310</v>
      </c>
      <c r="T1642" s="10" t="s">
        <v>1114</v>
      </c>
      <c r="U1642" s="34" t="str">
        <f t="shared" si="183"/>
        <v/>
      </c>
      <c r="V1642" s="31" t="str">
        <f>IF(H1642="CHK",VLOOKUP(I1642,QCCHK,3,),IF(H1642="GUP",VLOOKUP(E1642,QCGUP,2,),IF(AND(H1642="ATP",OR(I1642="TN",I1642="TDN",I1642="TNO2-3",I1642="NO2-3")),VLOOKUP(E1642,QCREC_N,2,),IF(AND(H1642="NIC",OR(I1642="TN",I1642="TDN",I1642="TNO2-3",I1642="NO2-3")),VLOOKUP(E1642,QCNIC_N,2,),IF(AND(H1642="UREA",OR(I1642="TN",I1642="TDN",I1642="TNO2-3",I1642="NO2-3")),VLOOKUP(E1642,QCUREA_N,2,),IF(H1642="PER",VLOOKUP(I1642,QCPER,MATCH(E1642,QCACTUAL!$J$25:$AA$25,0),),IF(H1642="SPK",VLOOKUP(I1642,QCSPK,3,),IF(AND(H1642="ATP",OR(I1642="TP",I1642="TDP")),VLOOKUP(E1642,QCATP_P,2,),""))))))))</f>
        <v/>
      </c>
      <c r="W1642" s="31" t="str">
        <f t="shared" si="184"/>
        <v>TRUE</v>
      </c>
      <c r="X1642" s="31" t="str">
        <f t="shared" si="181"/>
        <v/>
      </c>
      <c r="Y1642" s="10" t="s">
        <v>1096</v>
      </c>
      <c r="Z1642" s="10" t="s">
        <v>910</v>
      </c>
      <c r="AL1642" s="10" t="str">
        <f t="shared" si="186"/>
        <v>FALSE</v>
      </c>
      <c r="AM1642" s="10" t="str">
        <f t="shared" si="186"/>
        <v>FALSE</v>
      </c>
      <c r="AN1642" s="10" t="str">
        <f t="shared" si="186"/>
        <v>FALSE</v>
      </c>
      <c r="AO1642" s="10" t="str">
        <f t="shared" si="187"/>
        <v>FALSE</v>
      </c>
      <c r="AP1642" s="10" t="str">
        <f t="shared" si="187"/>
        <v>FALSE</v>
      </c>
      <c r="AQ1642" s="10" t="b">
        <f>IF(AND(I1642="TP",S1642&lt;=150),VLOOKUP(AF1642,TPCalibEq150!$AZ$2:$BB$55,3,),IF(AND(I1642="TDP",S1642&lt;=150),VLOOKUP(AF1642,TPCalibEq150!$AZ$2:$BB$55,3,)))</f>
        <v>0</v>
      </c>
      <c r="AR1642" s="10" t="b">
        <f>IF(AND(I1642="TP",S1642&lt;=300),VLOOKUP(AF1642,TPCalibEq300!$AZ$2:$BB$55,3,),IF(AND(I1642="TDP",S1642&lt;=300),VLOOKUP(AF1642,TPCalibEq300!$AZ$2:$BB$55,3,)))</f>
        <v>0</v>
      </c>
      <c r="AS1642" s="10" t="b">
        <f>IF(AND(I1642="TP",S1642&lt;=500),VLOOKUP(AF1642,TPCalibEq500!$AZ$2:$BB$56,3,),IF(AND(I1642="TDP",S1642&lt;=500),VLOOKUP(AF1642,TPCalibEq500!$AZ$2:$BB$56,3,)))</f>
        <v>0</v>
      </c>
      <c r="AT1642" s="10" t="b">
        <f>IF(AND(I1642="TN",S1642&lt;=2800),VLOOKUP(AF1642,TNCalibEq2500!$AZ$2:$BB$56,3,),IF(AND(I1642="TDN",S1642&lt;=2800),VLOOKUP(AF1642,TNCalibEq2500!$AZ$2:$BB$56,3,)))</f>
        <v>0</v>
      </c>
      <c r="AU1642" s="10" t="b">
        <f>IF(I1642="TP",VLOOKUP(AF1642,TPCalibEqFull!$AZ$2:$BB$56,3),IF(I1642="TDP",VLOOKUP(AF1642,TPCalibEqFull!$AZ$2:$BB$56,3),IF(I1642="TDN",VLOOKUP(AF1642,TNCalibEqFull!$AZ$1:$BB$56,3),IF(I1642="TN",VLOOKUP(AF1642,TNCalibEqFull!$AZ$1:$BB$56,3),FALSE))))</f>
        <v>0</v>
      </c>
      <c r="AV1642" s="10" t="str">
        <f t="shared" si="185"/>
        <v>0127 12:52:00-HST-0-FIL-1-SW-UKN</v>
      </c>
    </row>
    <row r="1643" spans="1:48" s="10" customFormat="1" x14ac:dyDescent="0.55000000000000004">
      <c r="A1643" s="32">
        <v>44953</v>
      </c>
      <c r="B1643" s="33">
        <v>0.53611111111111109</v>
      </c>
      <c r="C1643" s="10" t="s">
        <v>333</v>
      </c>
      <c r="D1643" s="10">
        <v>0</v>
      </c>
      <c r="E1643" s="10" t="s">
        <v>911</v>
      </c>
      <c r="F1643" s="10">
        <v>1</v>
      </c>
      <c r="G1643" s="10" t="s">
        <v>231</v>
      </c>
      <c r="H1643" s="10" t="s">
        <v>233</v>
      </c>
      <c r="I1643" s="10" t="s">
        <v>256</v>
      </c>
      <c r="J1643" s="10">
        <v>50</v>
      </c>
      <c r="K1643" s="12">
        <v>44958</v>
      </c>
      <c r="L1643" s="33">
        <v>0.55724537037037036</v>
      </c>
      <c r="M1643" s="10">
        <v>1</v>
      </c>
      <c r="N1643" s="10" t="s">
        <v>169</v>
      </c>
      <c r="O1643" s="10">
        <v>6.06</v>
      </c>
      <c r="P1643" s="10">
        <v>0.29299999999999998</v>
      </c>
      <c r="Q1643" s="10">
        <v>763</v>
      </c>
      <c r="R1643" s="10" t="s">
        <v>77</v>
      </c>
      <c r="S1643" s="34">
        <f t="shared" si="182"/>
        <v>763</v>
      </c>
      <c r="T1643" s="10" t="s">
        <v>1114</v>
      </c>
      <c r="U1643" s="34">
        <f t="shared" si="183"/>
        <v>52.773757838880854</v>
      </c>
      <c r="V1643" s="31" t="str">
        <f>IF(H1643="CHK",VLOOKUP(I1643,QCCHK,3,),IF(H1643="GUP",VLOOKUP(E1643,QCGUP,2,),IF(AND(H1643="ATP",OR(I1643="TN",I1643="TDN",I1643="TNO2-3",I1643="NO2-3")),VLOOKUP(E1643,QCREC_N,2,),IF(AND(H1643="NIC",OR(I1643="TN",I1643="TDN",I1643="TNO2-3",I1643="NO2-3")),VLOOKUP(E1643,QCNIC_N,2,),IF(AND(H1643="UREA",OR(I1643="TN",I1643="TDN",I1643="TNO2-3",I1643="NO2-3")),VLOOKUP(E1643,QCUREA_N,2,),IF(H1643="PER",VLOOKUP(I1643,QCPER,MATCH(E1643,QCACTUAL!$J$25:$AA$25,0),),IF(H1643="SPK",VLOOKUP(I1643,QCSPK,3,),IF(AND(H1643="ATP",OR(I1643="TP",I1643="TDP")),VLOOKUP(E1643,QCATP_P,2,),""))))))))</f>
        <v/>
      </c>
      <c r="W1643" s="31" t="str">
        <f t="shared" si="184"/>
        <v>FALSE</v>
      </c>
      <c r="X1643" s="31" t="str">
        <f t="shared" si="181"/>
        <v>((ABS(rep1-rep2))/((rep1+rep2)/2)*100</v>
      </c>
      <c r="Y1643" s="10" t="s">
        <v>1096</v>
      </c>
      <c r="Z1643" s="10" t="s">
        <v>910</v>
      </c>
      <c r="AL1643" s="10" t="str">
        <f t="shared" si="186"/>
        <v>FALSE</v>
      </c>
      <c r="AM1643" s="10" t="str">
        <f t="shared" si="186"/>
        <v>FALSE</v>
      </c>
      <c r="AN1643" s="10" t="str">
        <f t="shared" si="186"/>
        <v>FALSE</v>
      </c>
      <c r="AO1643" s="10" t="str">
        <f t="shared" si="187"/>
        <v>FALSE</v>
      </c>
      <c r="AP1643" s="10" t="str">
        <f t="shared" si="187"/>
        <v>FALSE</v>
      </c>
      <c r="AQ1643" s="10" t="b">
        <f>IF(AND(I1643="TP",S1643&lt;=150),VLOOKUP(AF1643,TPCalibEq150!$AZ$2:$BB$55,3,),IF(AND(I1643="TDP",S1643&lt;=150),VLOOKUP(AF1643,TPCalibEq150!$AZ$2:$BB$55,3,)))</f>
        <v>0</v>
      </c>
      <c r="AR1643" s="10" t="b">
        <f>IF(AND(I1643="TP",S1643&lt;=300),VLOOKUP(AF1643,TPCalibEq300!$AZ$2:$BB$55,3,),IF(AND(I1643="TDP",S1643&lt;=300),VLOOKUP(AF1643,TPCalibEq300!$AZ$2:$BB$55,3,)))</f>
        <v>0</v>
      </c>
      <c r="AS1643" s="10" t="b">
        <f>IF(AND(I1643="TP",S1643&lt;=500),VLOOKUP(AF1643,TPCalibEq500!$AZ$2:$BB$56,3,),IF(AND(I1643="TDP",S1643&lt;=500),VLOOKUP(AF1643,TPCalibEq500!$AZ$2:$BB$56,3,)))</f>
        <v>0</v>
      </c>
      <c r="AT1643" s="10" t="b">
        <f>IF(AND(I1643="TN",S1643&lt;=2800),VLOOKUP(AF1643,TNCalibEq2500!$AZ$2:$BB$56,3,),IF(AND(I1643="TDN",S1643&lt;=2800),VLOOKUP(AF1643,TNCalibEq2500!$AZ$2:$BB$56,3,)))</f>
        <v>0</v>
      </c>
      <c r="AU1643" s="10" t="b">
        <f>IF(I1643="TP",VLOOKUP(AF1643,TPCalibEqFull!$AZ$2:$BB$56,3),IF(I1643="TDP",VLOOKUP(AF1643,TPCalibEqFull!$AZ$2:$BB$56,3),IF(I1643="TDN",VLOOKUP(AF1643,TNCalibEqFull!$AZ$1:$BB$56,3),IF(I1643="TN",VLOOKUP(AF1643,TNCalibEqFull!$AZ$1:$BB$56,3),FALSE))))</f>
        <v>0</v>
      </c>
      <c r="AV1643" s="10" t="str">
        <f t="shared" si="185"/>
        <v>0127 12:52:00-HST-0-FIL-1-SW-DUP</v>
      </c>
    </row>
    <row r="1644" spans="1:48" s="10" customFormat="1" x14ac:dyDescent="0.55000000000000004">
      <c r="A1644" s="32">
        <v>44953</v>
      </c>
      <c r="B1644" s="33">
        <v>0.53611111111111109</v>
      </c>
      <c r="C1644" s="10" t="s">
        <v>333</v>
      </c>
      <c r="D1644" s="10">
        <v>0</v>
      </c>
      <c r="E1644" s="10" t="s">
        <v>911</v>
      </c>
      <c r="F1644" s="10">
        <v>1</v>
      </c>
      <c r="G1644" s="10" t="s">
        <v>231</v>
      </c>
      <c r="H1644" s="10" t="s">
        <v>314</v>
      </c>
      <c r="I1644" s="10" t="s">
        <v>256</v>
      </c>
      <c r="J1644" s="10">
        <v>86</v>
      </c>
      <c r="K1644" s="12">
        <v>44958</v>
      </c>
      <c r="L1644" s="33">
        <v>0.55805555555555553</v>
      </c>
      <c r="M1644" s="10">
        <v>1</v>
      </c>
      <c r="N1644" s="10" t="s">
        <v>169</v>
      </c>
      <c r="O1644" s="10">
        <v>12.2</v>
      </c>
      <c r="P1644" s="10">
        <v>0.57899999999999996</v>
      </c>
      <c r="Q1644" s="10">
        <v>1530</v>
      </c>
      <c r="R1644" s="10" t="s">
        <v>77</v>
      </c>
      <c r="S1644" s="34">
        <f t="shared" si="182"/>
        <v>1530</v>
      </c>
      <c r="T1644" s="10" t="s">
        <v>1114</v>
      </c>
      <c r="U1644" s="34">
        <f t="shared" si="183"/>
        <v>122.72000000000001</v>
      </c>
      <c r="V1644" s="31">
        <f>IF(H1644="CHK",VLOOKUP(I1644,QCCHK,3,),IF(H1644="GUP",VLOOKUP(E1644,QCGUP,2,),IF(AND(H1644="ATP",OR(I1644="TN",I1644="TDN",I1644="TNO2-3",I1644="NO2-3")),VLOOKUP(E1644,QCREC_N,2,),IF(AND(H1644="NIC",OR(I1644="TN",I1644="TDN",I1644="TNO2-3",I1644="NO2-3")),VLOOKUP(E1644,QCNIC_N,2,),IF(AND(H1644="UREA",OR(I1644="TN",I1644="TDN",I1644="TNO2-3",I1644="NO2-3")),VLOOKUP(E1644,QCUREA_N,2,),IF(H1644="PER",VLOOKUP(I1644,QCPER,MATCH(E1644,QCACTUAL!$J$25:$AA$25,0),),IF(H1644="SPK",VLOOKUP(I1644,QCSPK,3,),IF(AND(H1644="ATP",OR(I1644="TP",I1644="TDP")),VLOOKUP(E1644,QCATP_P,2,),""))))))))</f>
        <v>625</v>
      </c>
      <c r="W1644" s="31" t="str">
        <f t="shared" si="184"/>
        <v>TRUE</v>
      </c>
      <c r="X1644" s="31" t="str">
        <f t="shared" si="181"/>
        <v>([spikedunkn]-[unkn])/[spike]*100</v>
      </c>
      <c r="Y1644" s="10" t="s">
        <v>1096</v>
      </c>
      <c r="Z1644" s="10" t="s">
        <v>910</v>
      </c>
      <c r="AL1644" s="10" t="str">
        <f t="shared" si="186"/>
        <v>FALSE</v>
      </c>
      <c r="AM1644" s="10" t="str">
        <f t="shared" si="186"/>
        <v>FALSE</v>
      </c>
      <c r="AN1644" s="10" t="str">
        <f t="shared" si="186"/>
        <v>FALSE</v>
      </c>
      <c r="AO1644" s="10" t="str">
        <f t="shared" si="187"/>
        <v>FALSE</v>
      </c>
      <c r="AP1644" s="10" t="str">
        <f t="shared" si="187"/>
        <v>FALSE</v>
      </c>
      <c r="AQ1644" s="10" t="b">
        <f>IF(AND(I1644="TP",S1644&lt;=150),VLOOKUP(AF1644,TPCalibEq150!$AZ$2:$BB$55,3,),IF(AND(I1644="TDP",S1644&lt;=150),VLOOKUP(AF1644,TPCalibEq150!$AZ$2:$BB$55,3,)))</f>
        <v>0</v>
      </c>
      <c r="AR1644" s="10" t="b">
        <f>IF(AND(I1644="TP",S1644&lt;=300),VLOOKUP(AF1644,TPCalibEq300!$AZ$2:$BB$55,3,),IF(AND(I1644="TDP",S1644&lt;=300),VLOOKUP(AF1644,TPCalibEq300!$AZ$2:$BB$55,3,)))</f>
        <v>0</v>
      </c>
      <c r="AS1644" s="10" t="b">
        <f>IF(AND(I1644="TP",S1644&lt;=500),VLOOKUP(AF1644,TPCalibEq500!$AZ$2:$BB$56,3,),IF(AND(I1644="TDP",S1644&lt;=500),VLOOKUP(AF1644,TPCalibEq500!$AZ$2:$BB$56,3,)))</f>
        <v>0</v>
      </c>
      <c r="AT1644" s="10" t="b">
        <f>IF(AND(I1644="TN",S1644&lt;=2800),VLOOKUP(AF1644,TNCalibEq2500!$AZ$2:$BB$56,3,),IF(AND(I1644="TDN",S1644&lt;=2800),VLOOKUP(AF1644,TNCalibEq2500!$AZ$2:$BB$56,3,)))</f>
        <v>0</v>
      </c>
      <c r="AU1644" s="10" t="b">
        <f>IF(I1644="TP",VLOOKUP(AF1644,TPCalibEqFull!$AZ$2:$BB$56,3),IF(I1644="TDP",VLOOKUP(AF1644,TPCalibEqFull!$AZ$2:$BB$56,3),IF(I1644="TDN",VLOOKUP(AF1644,TNCalibEqFull!$AZ$1:$BB$56,3),IF(I1644="TN",VLOOKUP(AF1644,TNCalibEqFull!$AZ$1:$BB$56,3),FALSE))))</f>
        <v>0</v>
      </c>
      <c r="AV1644" s="10" t="str">
        <f t="shared" si="185"/>
        <v>0127 12:52:00-HST-0-FIL-1-SW-SPK</v>
      </c>
    </row>
    <row r="1645" spans="1:48" s="10" customFormat="1" x14ac:dyDescent="0.55000000000000004">
      <c r="A1645" s="32">
        <v>44958</v>
      </c>
      <c r="B1645" s="33">
        <v>0.375</v>
      </c>
      <c r="C1645" s="10" t="s">
        <v>70</v>
      </c>
      <c r="D1645" s="10" t="s">
        <v>71</v>
      </c>
      <c r="E1645" s="10" t="s">
        <v>901</v>
      </c>
      <c r="F1645" s="10">
        <v>1</v>
      </c>
      <c r="G1645" s="10" t="s">
        <v>73</v>
      </c>
      <c r="H1645" s="10" t="s">
        <v>207</v>
      </c>
      <c r="I1645" s="10" t="s">
        <v>256</v>
      </c>
      <c r="J1645" s="10">
        <v>201</v>
      </c>
      <c r="K1645" s="12">
        <v>44958</v>
      </c>
      <c r="L1645" s="33">
        <v>0.55887731481481484</v>
      </c>
      <c r="M1645" s="10">
        <v>1</v>
      </c>
      <c r="N1645" s="10" t="s">
        <v>169</v>
      </c>
      <c r="O1645" s="10">
        <v>2.4300000000000002</v>
      </c>
      <c r="P1645" s="10">
        <v>0.11899999999999999</v>
      </c>
      <c r="Q1645" s="10">
        <v>306</v>
      </c>
      <c r="R1645" s="10" t="s">
        <v>77</v>
      </c>
      <c r="S1645" s="34">
        <f t="shared" si="182"/>
        <v>306</v>
      </c>
      <c r="T1645" s="10" t="s">
        <v>1114</v>
      </c>
      <c r="U1645" s="34">
        <f t="shared" si="183"/>
        <v>102</v>
      </c>
      <c r="V1645" s="31">
        <f>IF(H1645="CHK",VLOOKUP(I1645,QCCHK,3,),IF(H1645="GUP",VLOOKUP(E1645,QCGUP,2,),IF(AND(H1645="ATP",OR(I1645="TN",I1645="TDN",I1645="TNO2-3",I1645="NO2-3")),VLOOKUP(E1645,QCREC_N,2,),IF(AND(H1645="NIC",OR(I1645="TN",I1645="TDN",I1645="TNO2-3",I1645="NO2-3")),VLOOKUP(E1645,QCNIC_N,2,),IF(AND(H1645="UREA",OR(I1645="TN",I1645="TDN",I1645="TNO2-3",I1645="NO2-3")),VLOOKUP(E1645,QCUREA_N,2,),IF(H1645="PER",VLOOKUP(I1645,QCPER,MATCH(E1645,QCACTUAL!$J$25:$AA$25,0),),IF(H1645="SPK",VLOOKUP(I1645,QCSPK,3,),IF(AND(H1645="ATP",OR(I1645="TP",I1645="TDP")),VLOOKUP(E1645,QCATP_P,2,),""))))))))</f>
        <v>300</v>
      </c>
      <c r="W1645" s="31" t="str">
        <f t="shared" si="184"/>
        <v>TRUE</v>
      </c>
      <c r="X1645" s="31" t="str">
        <f t="shared" si="181"/>
        <v>[chk]/[actual]*100</v>
      </c>
      <c r="Y1645" s="10" t="s">
        <v>1096</v>
      </c>
      <c r="AL1645" s="10" t="str">
        <f t="shared" si="186"/>
        <v>FALSE</v>
      </c>
      <c r="AM1645" s="10" t="str">
        <f t="shared" si="186"/>
        <v>FALSE</v>
      </c>
      <c r="AN1645" s="10" t="str">
        <f t="shared" si="186"/>
        <v>FALSE</v>
      </c>
      <c r="AO1645" s="10" t="str">
        <f t="shared" si="187"/>
        <v>FALSE</v>
      </c>
      <c r="AP1645" s="10" t="str">
        <f t="shared" si="187"/>
        <v>FALSE</v>
      </c>
      <c r="AQ1645" s="10" t="b">
        <f>IF(AND(I1645="TP",S1645&lt;=150),VLOOKUP(AF1645,TPCalibEq150!$AZ$2:$BB$55,3,),IF(AND(I1645="TDP",S1645&lt;=150),VLOOKUP(AF1645,TPCalibEq150!$AZ$2:$BB$55,3,)))</f>
        <v>0</v>
      </c>
      <c r="AR1645" s="10" t="b">
        <f>IF(AND(I1645="TP",S1645&lt;=300),VLOOKUP(AF1645,TPCalibEq300!$AZ$2:$BB$55,3,),IF(AND(I1645="TDP",S1645&lt;=300),VLOOKUP(AF1645,TPCalibEq300!$AZ$2:$BB$55,3,)))</f>
        <v>0</v>
      </c>
      <c r="AS1645" s="10" t="b">
        <f>IF(AND(I1645="TP",S1645&lt;=500),VLOOKUP(AF1645,TPCalibEq500!$AZ$2:$BB$56,3,),IF(AND(I1645="TDP",S1645&lt;=500),VLOOKUP(AF1645,TPCalibEq500!$AZ$2:$BB$56,3,)))</f>
        <v>0</v>
      </c>
      <c r="AT1645" s="10" t="b">
        <f>IF(AND(I1645="TN",S1645&lt;=2800),VLOOKUP(AF1645,TNCalibEq2500!$AZ$2:$BB$56,3,),IF(AND(I1645="TDN",S1645&lt;=2800),VLOOKUP(AF1645,TNCalibEq2500!$AZ$2:$BB$56,3,)))</f>
        <v>0</v>
      </c>
      <c r="AU1645" s="10" t="b">
        <f>IF(I1645="TP",VLOOKUP(AF1645,TPCalibEqFull!$AZ$2:$BB$56,3),IF(I1645="TDP",VLOOKUP(AF1645,TPCalibEqFull!$AZ$2:$BB$56,3),IF(I1645="TDN",VLOOKUP(AF1645,TNCalibEqFull!$AZ$1:$BB$56,3),IF(I1645="TN",VLOOKUP(AF1645,TNCalibEqFull!$AZ$1:$BB$56,3),FALSE))))</f>
        <v>0</v>
      </c>
      <c r="AV1645" s="10" t="str">
        <f t="shared" si="185"/>
        <v>0201 09:00:00-QAC-STD-D-1-DI-CHK</v>
      </c>
    </row>
    <row r="1646" spans="1:48" s="10" customFormat="1" x14ac:dyDescent="0.55000000000000004">
      <c r="A1646" s="32">
        <v>44956</v>
      </c>
      <c r="B1646" s="33">
        <v>0.32500000000000001</v>
      </c>
      <c r="C1646" s="10" t="s">
        <v>279</v>
      </c>
      <c r="D1646" s="10">
        <v>0</v>
      </c>
      <c r="E1646" s="10" t="s">
        <v>911</v>
      </c>
      <c r="F1646" s="10">
        <v>1</v>
      </c>
      <c r="G1646" s="10" t="s">
        <v>231</v>
      </c>
      <c r="H1646" s="10" t="s">
        <v>322</v>
      </c>
      <c r="I1646" s="10" t="s">
        <v>209</v>
      </c>
      <c r="J1646" s="10">
        <v>51</v>
      </c>
      <c r="K1646" s="12">
        <v>44958</v>
      </c>
      <c r="L1646" s="33">
        <v>0.55969907407407404</v>
      </c>
      <c r="M1646" s="10">
        <v>1</v>
      </c>
      <c r="N1646" s="10" t="s">
        <v>169</v>
      </c>
      <c r="O1646" s="10">
        <v>9.2799999999999994</v>
      </c>
      <c r="P1646" s="10">
        <v>0.442</v>
      </c>
      <c r="Q1646" s="10">
        <v>1170</v>
      </c>
      <c r="R1646" s="10" t="s">
        <v>77</v>
      </c>
      <c r="S1646" s="34">
        <f t="shared" si="182"/>
        <v>1170</v>
      </c>
      <c r="T1646" s="10" t="s">
        <v>1114</v>
      </c>
      <c r="U1646" s="34" t="str">
        <f t="shared" si="183"/>
        <v/>
      </c>
      <c r="V1646" s="31" t="str">
        <f>IF(H1646="CHK",VLOOKUP(I1646,QCCHK,3,),IF(H1646="GUP",VLOOKUP(E1646,QCGUP,2,),IF(AND(H1646="ATP",OR(I1646="TN",I1646="TDN",I1646="TNO2-3",I1646="NO2-3")),VLOOKUP(E1646,QCREC_N,2,),IF(AND(H1646="NIC",OR(I1646="TN",I1646="TDN",I1646="TNO2-3",I1646="NO2-3")),VLOOKUP(E1646,QCNIC_N,2,),IF(AND(H1646="UREA",OR(I1646="TN",I1646="TDN",I1646="TNO2-3",I1646="NO2-3")),VLOOKUP(E1646,QCUREA_N,2,),IF(H1646="PER",VLOOKUP(I1646,QCPER,MATCH(E1646,QCACTUAL!$J$25:$AA$25,0),),IF(H1646="SPK",VLOOKUP(I1646,QCSPK,3,),IF(AND(H1646="ATP",OR(I1646="TP",I1646="TDP")),VLOOKUP(E1646,QCATP_P,2,),""))))))))</f>
        <v/>
      </c>
      <c r="W1646" s="31" t="str">
        <f t="shared" si="184"/>
        <v>TRUE</v>
      </c>
      <c r="X1646" s="31" t="str">
        <f t="shared" si="181"/>
        <v/>
      </c>
      <c r="Y1646" s="10" t="s">
        <v>1096</v>
      </c>
      <c r="Z1646" s="10" t="s">
        <v>910</v>
      </c>
      <c r="AL1646" s="10" t="str">
        <f t="shared" si="186"/>
        <v>FALSE</v>
      </c>
      <c r="AM1646" s="10" t="str">
        <f t="shared" si="186"/>
        <v>FALSE</v>
      </c>
      <c r="AN1646" s="10" t="str">
        <f t="shared" si="186"/>
        <v>FALSE</v>
      </c>
      <c r="AO1646" s="10" t="str">
        <f t="shared" si="187"/>
        <v>FALSE</v>
      </c>
      <c r="AP1646" s="10" t="str">
        <f t="shared" si="187"/>
        <v>FALSE</v>
      </c>
      <c r="AQ1646" s="10" t="b">
        <f>IF(AND(I1646="TP",S1646&lt;=150),VLOOKUP(AF1646,TPCalibEq150!$AZ$2:$BB$55,3,),IF(AND(I1646="TDP",S1646&lt;=150),VLOOKUP(AF1646,TPCalibEq150!$AZ$2:$BB$55,3,)))</f>
        <v>0</v>
      </c>
      <c r="AR1646" s="10" t="b">
        <f>IF(AND(I1646="TP",S1646&lt;=300),VLOOKUP(AF1646,TPCalibEq300!$AZ$2:$BB$55,3,),IF(AND(I1646="TDP",S1646&lt;=300),VLOOKUP(AF1646,TPCalibEq300!$AZ$2:$BB$55,3,)))</f>
        <v>0</v>
      </c>
      <c r="AS1646" s="10" t="b">
        <f>IF(AND(I1646="TP",S1646&lt;=500),VLOOKUP(AF1646,TPCalibEq500!$AZ$2:$BB$56,3,),IF(AND(I1646="TDP",S1646&lt;=500),VLOOKUP(AF1646,TPCalibEq500!$AZ$2:$BB$56,3,)))</f>
        <v>0</v>
      </c>
      <c r="AT1646" s="10" t="b">
        <f>IF(AND(I1646="TN",S1646&lt;=2800),VLOOKUP(AF1646,TNCalibEq2500!$AZ$2:$BB$56,3,),IF(AND(I1646="TDN",S1646&lt;=2800),VLOOKUP(AF1646,TNCalibEq2500!$AZ$2:$BB$56,3,)))</f>
        <v>0</v>
      </c>
      <c r="AU1646" s="10" t="b">
        <f>IF(I1646="TP",VLOOKUP(AF1646,TPCalibEqFull!$AZ$2:$BB$56,3),IF(I1646="TDP",VLOOKUP(AF1646,TPCalibEqFull!$AZ$2:$BB$56,3),IF(I1646="TDN",VLOOKUP(AF1646,TNCalibEqFull!$AZ$1:$BB$56,3),IF(I1646="TN",VLOOKUP(AF1646,TNCalibEqFull!$AZ$1:$BB$56,3),FALSE))))</f>
        <v>0</v>
      </c>
      <c r="AV1646" s="10" t="str">
        <f t="shared" si="185"/>
        <v>0130 07:48:00-EFK-0-FIL-1-SW-UKN</v>
      </c>
    </row>
    <row r="1647" spans="1:48" s="10" customFormat="1" x14ac:dyDescent="0.55000000000000004">
      <c r="A1647" s="32">
        <v>44956</v>
      </c>
      <c r="B1647" s="33">
        <v>0.33749999999999997</v>
      </c>
      <c r="C1647" s="10" t="s">
        <v>333</v>
      </c>
      <c r="D1647" s="10">
        <v>0</v>
      </c>
      <c r="E1647" s="10" t="s">
        <v>911</v>
      </c>
      <c r="F1647" s="10">
        <v>1</v>
      </c>
      <c r="G1647" s="10" t="s">
        <v>231</v>
      </c>
      <c r="H1647" s="10" t="s">
        <v>322</v>
      </c>
      <c r="I1647" s="10" t="s">
        <v>209</v>
      </c>
      <c r="J1647" s="10">
        <v>52</v>
      </c>
      <c r="K1647" s="12">
        <v>44958</v>
      </c>
      <c r="L1647" s="33">
        <v>0.56052083333333336</v>
      </c>
      <c r="M1647" s="10">
        <v>1</v>
      </c>
      <c r="N1647" s="10" t="s">
        <v>169</v>
      </c>
      <c r="O1647" s="10">
        <v>12.1</v>
      </c>
      <c r="P1647" s="10">
        <v>0.57799999999999996</v>
      </c>
      <c r="Q1647" s="10">
        <v>1530</v>
      </c>
      <c r="R1647" s="10" t="s">
        <v>77</v>
      </c>
      <c r="S1647" s="34">
        <f t="shared" si="182"/>
        <v>1530</v>
      </c>
      <c r="T1647" s="10" t="s">
        <v>1114</v>
      </c>
      <c r="U1647" s="34" t="str">
        <f t="shared" si="183"/>
        <v/>
      </c>
      <c r="V1647" s="31" t="str">
        <f>IF(H1647="CHK",VLOOKUP(I1647,QCCHK,3,),IF(H1647="GUP",VLOOKUP(E1647,QCGUP,2,),IF(AND(H1647="ATP",OR(I1647="TN",I1647="TDN",I1647="TNO2-3",I1647="NO2-3")),VLOOKUP(E1647,QCREC_N,2,),IF(AND(H1647="NIC",OR(I1647="TN",I1647="TDN",I1647="TNO2-3",I1647="NO2-3")),VLOOKUP(E1647,QCNIC_N,2,),IF(AND(H1647="UREA",OR(I1647="TN",I1647="TDN",I1647="TNO2-3",I1647="NO2-3")),VLOOKUP(E1647,QCUREA_N,2,),IF(H1647="PER",VLOOKUP(I1647,QCPER,MATCH(E1647,QCACTUAL!$J$25:$AA$25,0),),IF(H1647="SPK",VLOOKUP(I1647,QCSPK,3,),IF(AND(H1647="ATP",OR(I1647="TP",I1647="TDP")),VLOOKUP(E1647,QCATP_P,2,),""))))))))</f>
        <v/>
      </c>
      <c r="W1647" s="31" t="str">
        <f t="shared" si="184"/>
        <v>TRUE</v>
      </c>
      <c r="X1647" s="31" t="str">
        <f t="shared" si="181"/>
        <v/>
      </c>
      <c r="Y1647" s="10" t="s">
        <v>1096</v>
      </c>
      <c r="Z1647" s="10" t="s">
        <v>910</v>
      </c>
      <c r="AL1647" s="10" t="str">
        <f t="shared" si="186"/>
        <v>FALSE</v>
      </c>
      <c r="AM1647" s="10" t="str">
        <f t="shared" si="186"/>
        <v>FALSE</v>
      </c>
      <c r="AN1647" s="10" t="str">
        <f t="shared" si="186"/>
        <v>FALSE</v>
      </c>
      <c r="AO1647" s="10" t="str">
        <f t="shared" si="187"/>
        <v>FALSE</v>
      </c>
      <c r="AP1647" s="10" t="str">
        <f t="shared" si="187"/>
        <v>FALSE</v>
      </c>
      <c r="AQ1647" s="10" t="b">
        <f>IF(AND(I1647="TP",S1647&lt;=150),VLOOKUP(AF1647,TPCalibEq150!$AZ$2:$BB$55,3,),IF(AND(I1647="TDP",S1647&lt;=150),VLOOKUP(AF1647,TPCalibEq150!$AZ$2:$BB$55,3,)))</f>
        <v>0</v>
      </c>
      <c r="AR1647" s="10" t="b">
        <f>IF(AND(I1647="TP",S1647&lt;=300),VLOOKUP(AF1647,TPCalibEq300!$AZ$2:$BB$55,3,),IF(AND(I1647="TDP",S1647&lt;=300),VLOOKUP(AF1647,TPCalibEq300!$AZ$2:$BB$55,3,)))</f>
        <v>0</v>
      </c>
      <c r="AS1647" s="10" t="b">
        <f>IF(AND(I1647="TP",S1647&lt;=500),VLOOKUP(AF1647,TPCalibEq500!$AZ$2:$BB$56,3,),IF(AND(I1647="TDP",S1647&lt;=500),VLOOKUP(AF1647,TPCalibEq500!$AZ$2:$BB$56,3,)))</f>
        <v>0</v>
      </c>
      <c r="AT1647" s="10" t="b">
        <f>IF(AND(I1647="TN",S1647&lt;=2800),VLOOKUP(AF1647,TNCalibEq2500!$AZ$2:$BB$56,3,),IF(AND(I1647="TDN",S1647&lt;=2800),VLOOKUP(AF1647,TNCalibEq2500!$AZ$2:$BB$56,3,)))</f>
        <v>0</v>
      </c>
      <c r="AU1647" s="10" t="b">
        <f>IF(I1647="TP",VLOOKUP(AF1647,TPCalibEqFull!$AZ$2:$BB$56,3),IF(I1647="TDP",VLOOKUP(AF1647,TPCalibEqFull!$AZ$2:$BB$56,3),IF(I1647="TDN",VLOOKUP(AF1647,TNCalibEqFull!$AZ$1:$BB$56,3),IF(I1647="TN",VLOOKUP(AF1647,TNCalibEqFull!$AZ$1:$BB$56,3),FALSE))))</f>
        <v>0</v>
      </c>
      <c r="AV1647" s="10" t="str">
        <f t="shared" si="185"/>
        <v>0130 08:06:00-HST-0-FIL-1-SW-UKN</v>
      </c>
    </row>
    <row r="1648" spans="1:48" s="10" customFormat="1" x14ac:dyDescent="0.55000000000000004">
      <c r="A1648" s="32">
        <v>44957</v>
      </c>
      <c r="B1648" s="33">
        <v>0.41250000000000003</v>
      </c>
      <c r="C1648" s="10" t="s">
        <v>279</v>
      </c>
      <c r="D1648" s="10">
        <v>0</v>
      </c>
      <c r="E1648" s="10" t="s">
        <v>911</v>
      </c>
      <c r="F1648" s="10">
        <v>1</v>
      </c>
      <c r="G1648" s="10" t="s">
        <v>231</v>
      </c>
      <c r="H1648" s="10" t="s">
        <v>322</v>
      </c>
      <c r="I1648" s="10" t="s">
        <v>209</v>
      </c>
      <c r="J1648" s="10">
        <v>53</v>
      </c>
      <c r="K1648" s="12">
        <v>44958</v>
      </c>
      <c r="L1648" s="33">
        <v>0.56133101851851852</v>
      </c>
      <c r="M1648" s="10">
        <v>1</v>
      </c>
      <c r="N1648" s="10" t="s">
        <v>169</v>
      </c>
      <c r="O1648" s="10">
        <v>7.12</v>
      </c>
      <c r="P1648" s="10">
        <v>0.34</v>
      </c>
      <c r="Q1648" s="10">
        <v>897</v>
      </c>
      <c r="R1648" s="10" t="s">
        <v>77</v>
      </c>
      <c r="S1648" s="34">
        <f t="shared" si="182"/>
        <v>897</v>
      </c>
      <c r="T1648" s="10" t="s">
        <v>1114</v>
      </c>
      <c r="U1648" s="34" t="str">
        <f t="shared" si="183"/>
        <v/>
      </c>
      <c r="V1648" s="31" t="str">
        <f>IF(H1648="CHK",VLOOKUP(I1648,QCCHK,3,),IF(H1648="GUP",VLOOKUP(E1648,QCGUP,2,),IF(AND(H1648="ATP",OR(I1648="TN",I1648="TDN",I1648="TNO2-3",I1648="NO2-3")),VLOOKUP(E1648,QCREC_N,2,),IF(AND(H1648="NIC",OR(I1648="TN",I1648="TDN",I1648="TNO2-3",I1648="NO2-3")),VLOOKUP(E1648,QCNIC_N,2,),IF(AND(H1648="UREA",OR(I1648="TN",I1648="TDN",I1648="TNO2-3",I1648="NO2-3")),VLOOKUP(E1648,QCUREA_N,2,),IF(H1648="PER",VLOOKUP(I1648,QCPER,MATCH(E1648,QCACTUAL!$J$25:$AA$25,0),),IF(H1648="SPK",VLOOKUP(I1648,QCSPK,3,),IF(AND(H1648="ATP",OR(I1648="TP",I1648="TDP")),VLOOKUP(E1648,QCATP_P,2,),""))))))))</f>
        <v/>
      </c>
      <c r="W1648" s="31" t="str">
        <f t="shared" si="184"/>
        <v>TRUE</v>
      </c>
      <c r="X1648" s="31" t="str">
        <f t="shared" si="181"/>
        <v/>
      </c>
      <c r="Y1648" s="10" t="s">
        <v>1096</v>
      </c>
      <c r="AL1648" s="10" t="str">
        <f t="shared" si="186"/>
        <v>FALSE</v>
      </c>
      <c r="AM1648" s="10" t="str">
        <f t="shared" si="186"/>
        <v>FALSE</v>
      </c>
      <c r="AN1648" s="10" t="str">
        <f t="shared" si="186"/>
        <v>FALSE</v>
      </c>
      <c r="AO1648" s="10" t="str">
        <f t="shared" si="187"/>
        <v>FALSE</v>
      </c>
      <c r="AP1648" s="10" t="str">
        <f t="shared" si="187"/>
        <v>FALSE</v>
      </c>
      <c r="AQ1648" s="10" t="b">
        <f>IF(AND(I1648="TP",S1648&lt;=150),VLOOKUP(AF1648,TPCalibEq150!$AZ$2:$BB$55,3,),IF(AND(I1648="TDP",S1648&lt;=150),VLOOKUP(AF1648,TPCalibEq150!$AZ$2:$BB$55,3,)))</f>
        <v>0</v>
      </c>
      <c r="AR1648" s="10" t="b">
        <f>IF(AND(I1648="TP",S1648&lt;=300),VLOOKUP(AF1648,TPCalibEq300!$AZ$2:$BB$55,3,),IF(AND(I1648="TDP",S1648&lt;=300),VLOOKUP(AF1648,TPCalibEq300!$AZ$2:$BB$55,3,)))</f>
        <v>0</v>
      </c>
      <c r="AS1648" s="10" t="b">
        <f>IF(AND(I1648="TP",S1648&lt;=500),VLOOKUP(AF1648,TPCalibEq500!$AZ$2:$BB$56,3,),IF(AND(I1648="TDP",S1648&lt;=500),VLOOKUP(AF1648,TPCalibEq500!$AZ$2:$BB$56,3,)))</f>
        <v>0</v>
      </c>
      <c r="AT1648" s="10" t="b">
        <f>IF(AND(I1648="TN",S1648&lt;=2800),VLOOKUP(AF1648,TNCalibEq2500!$AZ$2:$BB$56,3,),IF(AND(I1648="TDN",S1648&lt;=2800),VLOOKUP(AF1648,TNCalibEq2500!$AZ$2:$BB$56,3,)))</f>
        <v>0</v>
      </c>
      <c r="AU1648" s="10" t="b">
        <f>IF(I1648="TP",VLOOKUP(AF1648,TPCalibEqFull!$AZ$2:$BB$56,3),IF(I1648="TDP",VLOOKUP(AF1648,TPCalibEqFull!$AZ$2:$BB$56,3),IF(I1648="TDN",VLOOKUP(AF1648,TNCalibEqFull!$AZ$1:$BB$56,3),IF(I1648="TN",VLOOKUP(AF1648,TNCalibEqFull!$AZ$1:$BB$56,3),FALSE))))</f>
        <v>0</v>
      </c>
      <c r="AV1648" s="10" t="str">
        <f t="shared" si="185"/>
        <v>0131 09:54:00-EFK-0-FIL-1-SW-UKN</v>
      </c>
    </row>
    <row r="1649" spans="1:48" s="10" customFormat="1" x14ac:dyDescent="0.55000000000000004">
      <c r="A1649" s="32">
        <v>44957</v>
      </c>
      <c r="B1649" s="33">
        <v>0.41597222222222219</v>
      </c>
      <c r="C1649" s="10" t="s">
        <v>333</v>
      </c>
      <c r="D1649" s="10">
        <v>0</v>
      </c>
      <c r="E1649" s="10" t="s">
        <v>911</v>
      </c>
      <c r="F1649" s="10">
        <v>1</v>
      </c>
      <c r="G1649" s="10" t="s">
        <v>231</v>
      </c>
      <c r="H1649" s="10" t="s">
        <v>322</v>
      </c>
      <c r="I1649" s="10" t="s">
        <v>209</v>
      </c>
      <c r="J1649" s="10">
        <v>54</v>
      </c>
      <c r="K1649" s="12">
        <v>44958</v>
      </c>
      <c r="L1649" s="33">
        <v>0.56215277777777783</v>
      </c>
      <c r="M1649" s="10">
        <v>1</v>
      </c>
      <c r="N1649" s="10" t="s">
        <v>169</v>
      </c>
      <c r="O1649" s="10">
        <v>7.88</v>
      </c>
      <c r="P1649" s="10">
        <v>0.373</v>
      </c>
      <c r="Q1649" s="10">
        <v>992</v>
      </c>
      <c r="R1649" s="10" t="s">
        <v>77</v>
      </c>
      <c r="S1649" s="34">
        <f t="shared" si="182"/>
        <v>992</v>
      </c>
      <c r="T1649" s="10" t="s">
        <v>1114</v>
      </c>
      <c r="U1649" s="34" t="str">
        <f t="shared" si="183"/>
        <v/>
      </c>
      <c r="V1649" s="31" t="str">
        <f>IF(H1649="CHK",VLOOKUP(I1649,QCCHK,3,),IF(H1649="GUP",VLOOKUP(E1649,QCGUP,2,),IF(AND(H1649="ATP",OR(I1649="TN",I1649="TDN",I1649="TNO2-3",I1649="NO2-3")),VLOOKUP(E1649,QCREC_N,2,),IF(AND(H1649="NIC",OR(I1649="TN",I1649="TDN",I1649="TNO2-3",I1649="NO2-3")),VLOOKUP(E1649,QCNIC_N,2,),IF(AND(H1649="UREA",OR(I1649="TN",I1649="TDN",I1649="TNO2-3",I1649="NO2-3")),VLOOKUP(E1649,QCUREA_N,2,),IF(H1649="PER",VLOOKUP(I1649,QCPER,MATCH(E1649,QCACTUAL!$J$25:$AA$25,0),),IF(H1649="SPK",VLOOKUP(I1649,QCSPK,3,),IF(AND(H1649="ATP",OR(I1649="TP",I1649="TDP")),VLOOKUP(E1649,QCATP_P,2,),""))))))))</f>
        <v/>
      </c>
      <c r="W1649" s="31" t="str">
        <f t="shared" si="184"/>
        <v>TRUE</v>
      </c>
      <c r="X1649" s="31" t="str">
        <f t="shared" si="181"/>
        <v/>
      </c>
      <c r="Y1649" s="10" t="s">
        <v>1096</v>
      </c>
      <c r="AL1649" s="10" t="str">
        <f t="shared" si="186"/>
        <v>FALSE</v>
      </c>
      <c r="AM1649" s="10" t="str">
        <f t="shared" si="186"/>
        <v>FALSE</v>
      </c>
      <c r="AN1649" s="10" t="str">
        <f t="shared" si="186"/>
        <v>FALSE</v>
      </c>
      <c r="AO1649" s="10" t="str">
        <f t="shared" si="187"/>
        <v>FALSE</v>
      </c>
      <c r="AP1649" s="10" t="str">
        <f t="shared" si="187"/>
        <v>FALSE</v>
      </c>
      <c r="AQ1649" s="10" t="b">
        <f>IF(AND(I1649="TP",S1649&lt;=150),VLOOKUP(AF1649,TPCalibEq150!$AZ$2:$BB$55,3,),IF(AND(I1649="TDP",S1649&lt;=150),VLOOKUP(AF1649,TPCalibEq150!$AZ$2:$BB$55,3,)))</f>
        <v>0</v>
      </c>
      <c r="AR1649" s="10" t="b">
        <f>IF(AND(I1649="TP",S1649&lt;=300),VLOOKUP(AF1649,TPCalibEq300!$AZ$2:$BB$55,3,),IF(AND(I1649="TDP",S1649&lt;=300),VLOOKUP(AF1649,TPCalibEq300!$AZ$2:$BB$55,3,)))</f>
        <v>0</v>
      </c>
      <c r="AS1649" s="10" t="b">
        <f>IF(AND(I1649="TP",S1649&lt;=500),VLOOKUP(AF1649,TPCalibEq500!$AZ$2:$BB$56,3,),IF(AND(I1649="TDP",S1649&lt;=500),VLOOKUP(AF1649,TPCalibEq500!$AZ$2:$BB$56,3,)))</f>
        <v>0</v>
      </c>
      <c r="AT1649" s="10" t="b">
        <f>IF(AND(I1649="TN",S1649&lt;=2800),VLOOKUP(AF1649,TNCalibEq2500!$AZ$2:$BB$56,3,),IF(AND(I1649="TDN",S1649&lt;=2800),VLOOKUP(AF1649,TNCalibEq2500!$AZ$2:$BB$56,3,)))</f>
        <v>0</v>
      </c>
      <c r="AU1649" s="10" t="b">
        <f>IF(I1649="TP",VLOOKUP(AF1649,TPCalibEqFull!$AZ$2:$BB$56,3),IF(I1649="TDP",VLOOKUP(AF1649,TPCalibEqFull!$AZ$2:$BB$56,3),IF(I1649="TDN",VLOOKUP(AF1649,TNCalibEqFull!$AZ$1:$BB$56,3),IF(I1649="TN",VLOOKUP(AF1649,TNCalibEqFull!$AZ$1:$BB$56,3),FALSE))))</f>
        <v>0</v>
      </c>
      <c r="AV1649" s="10" t="str">
        <f t="shared" si="185"/>
        <v>0131 09:59:00-HST-0-FIL-1-SW-UKN</v>
      </c>
    </row>
    <row r="1650" spans="1:48" s="10" customFormat="1" x14ac:dyDescent="0.55000000000000004">
      <c r="A1650" s="32">
        <v>44957</v>
      </c>
      <c r="B1650" s="33">
        <v>0.41597222222222219</v>
      </c>
      <c r="C1650" s="10" t="s">
        <v>333</v>
      </c>
      <c r="D1650" s="10">
        <v>0</v>
      </c>
      <c r="E1650" s="10" t="s">
        <v>911</v>
      </c>
      <c r="F1650" s="10">
        <v>1</v>
      </c>
      <c r="G1650" s="10" t="s">
        <v>231</v>
      </c>
      <c r="H1650" s="10" t="s">
        <v>233</v>
      </c>
      <c r="I1650" s="10" t="s">
        <v>209</v>
      </c>
      <c r="J1650" s="10">
        <v>54</v>
      </c>
      <c r="K1650" s="12">
        <v>44958</v>
      </c>
      <c r="L1650" s="33">
        <v>0.562962962962963</v>
      </c>
      <c r="M1650" s="10">
        <v>1</v>
      </c>
      <c r="N1650" s="10" t="s">
        <v>169</v>
      </c>
      <c r="O1650" s="10">
        <v>7.89</v>
      </c>
      <c r="P1650" s="10">
        <v>0.375</v>
      </c>
      <c r="Q1650" s="10">
        <v>994</v>
      </c>
      <c r="R1650" s="10" t="s">
        <v>77</v>
      </c>
      <c r="S1650" s="34">
        <f t="shared" si="182"/>
        <v>994</v>
      </c>
      <c r="T1650" s="10" t="s">
        <v>1114</v>
      </c>
      <c r="U1650" s="34">
        <f t="shared" si="183"/>
        <v>0.2014098690835851</v>
      </c>
      <c r="V1650" s="31" t="str">
        <f>IF(H1650="CHK",VLOOKUP(I1650,QCCHK,3,),IF(H1650="GUP",VLOOKUP(E1650,QCGUP,2,),IF(AND(H1650="ATP",OR(I1650="TN",I1650="TDN",I1650="TNO2-3",I1650="NO2-3")),VLOOKUP(E1650,QCREC_N,2,),IF(AND(H1650="NIC",OR(I1650="TN",I1650="TDN",I1650="TNO2-3",I1650="NO2-3")),VLOOKUP(E1650,QCNIC_N,2,),IF(AND(H1650="UREA",OR(I1650="TN",I1650="TDN",I1650="TNO2-3",I1650="NO2-3")),VLOOKUP(E1650,QCUREA_N,2,),IF(H1650="PER",VLOOKUP(I1650,QCPER,MATCH(E1650,QCACTUAL!$J$25:$AA$25,0),),IF(H1650="SPK",VLOOKUP(I1650,QCSPK,3,),IF(AND(H1650="ATP",OR(I1650="TP",I1650="TDP")),VLOOKUP(E1650,QCATP_P,2,),""))))))))</f>
        <v/>
      </c>
      <c r="W1650" s="31" t="str">
        <f t="shared" si="184"/>
        <v>TRUE</v>
      </c>
      <c r="X1650" s="31" t="str">
        <f t="shared" si="181"/>
        <v>((ABS(rep1-rep2))/((rep1+rep2)/2)*100</v>
      </c>
      <c r="Y1650" s="10" t="s">
        <v>1096</v>
      </c>
      <c r="AL1650" s="10" t="str">
        <f t="shared" si="186"/>
        <v>FALSE</v>
      </c>
      <c r="AM1650" s="10" t="str">
        <f t="shared" si="186"/>
        <v>FALSE</v>
      </c>
      <c r="AN1650" s="10" t="str">
        <f t="shared" si="186"/>
        <v>FALSE</v>
      </c>
      <c r="AO1650" s="10" t="str">
        <f t="shared" si="187"/>
        <v>FALSE</v>
      </c>
      <c r="AP1650" s="10" t="str">
        <f t="shared" si="187"/>
        <v>FALSE</v>
      </c>
      <c r="AQ1650" s="10" t="b">
        <f>IF(AND(I1650="TP",S1650&lt;=150),VLOOKUP(AF1650,TPCalibEq150!$AZ$2:$BB$55,3,),IF(AND(I1650="TDP",S1650&lt;=150),VLOOKUP(AF1650,TPCalibEq150!$AZ$2:$BB$55,3,)))</f>
        <v>0</v>
      </c>
      <c r="AR1650" s="10" t="b">
        <f>IF(AND(I1650="TP",S1650&lt;=300),VLOOKUP(AF1650,TPCalibEq300!$AZ$2:$BB$55,3,),IF(AND(I1650="TDP",S1650&lt;=300),VLOOKUP(AF1650,TPCalibEq300!$AZ$2:$BB$55,3,)))</f>
        <v>0</v>
      </c>
      <c r="AS1650" s="10" t="b">
        <f>IF(AND(I1650="TP",S1650&lt;=500),VLOOKUP(AF1650,TPCalibEq500!$AZ$2:$BB$56,3,),IF(AND(I1650="TDP",S1650&lt;=500),VLOOKUP(AF1650,TPCalibEq500!$AZ$2:$BB$56,3,)))</f>
        <v>0</v>
      </c>
      <c r="AT1650" s="10" t="b">
        <f>IF(AND(I1650="TN",S1650&lt;=2800),VLOOKUP(AF1650,TNCalibEq2500!$AZ$2:$BB$56,3,),IF(AND(I1650="TDN",S1650&lt;=2800),VLOOKUP(AF1650,TNCalibEq2500!$AZ$2:$BB$56,3,)))</f>
        <v>0</v>
      </c>
      <c r="AU1650" s="10" t="b">
        <f>IF(I1650="TP",VLOOKUP(AF1650,TPCalibEqFull!$AZ$2:$BB$56,3),IF(I1650="TDP",VLOOKUP(AF1650,TPCalibEqFull!$AZ$2:$BB$56,3),IF(I1650="TDN",VLOOKUP(AF1650,TNCalibEqFull!$AZ$1:$BB$56,3),IF(I1650="TN",VLOOKUP(AF1650,TNCalibEqFull!$AZ$1:$BB$56,3),FALSE))))</f>
        <v>0</v>
      </c>
      <c r="AV1650" s="10" t="str">
        <f t="shared" si="185"/>
        <v>0131 09:59:00-HST-0-FIL-1-SW-DUP</v>
      </c>
    </row>
    <row r="1651" spans="1:48" s="10" customFormat="1" x14ac:dyDescent="0.55000000000000004">
      <c r="A1651" s="32">
        <v>44957</v>
      </c>
      <c r="B1651" s="33">
        <v>0.41597222222222219</v>
      </c>
      <c r="C1651" s="10" t="s">
        <v>912</v>
      </c>
      <c r="D1651" s="10">
        <v>0</v>
      </c>
      <c r="E1651" s="10" t="s">
        <v>911</v>
      </c>
      <c r="F1651" s="10">
        <v>1</v>
      </c>
      <c r="G1651" s="10" t="s">
        <v>231</v>
      </c>
      <c r="H1651" s="10" t="s">
        <v>314</v>
      </c>
      <c r="I1651" s="10" t="s">
        <v>209</v>
      </c>
      <c r="J1651" s="10">
        <v>87</v>
      </c>
      <c r="K1651" s="12">
        <v>44958</v>
      </c>
      <c r="L1651" s="33">
        <v>0.56377314814814816</v>
      </c>
      <c r="M1651" s="10">
        <v>1</v>
      </c>
      <c r="N1651" s="10" t="s">
        <v>169</v>
      </c>
      <c r="O1651" s="10">
        <v>13</v>
      </c>
      <c r="P1651" s="10">
        <v>0.61499999999999999</v>
      </c>
      <c r="Q1651" s="10">
        <v>1630</v>
      </c>
      <c r="R1651" s="10" t="s">
        <v>77</v>
      </c>
      <c r="S1651" s="34">
        <f t="shared" si="182"/>
        <v>1630</v>
      </c>
      <c r="T1651" s="10" t="s">
        <v>1114</v>
      </c>
      <c r="U1651" s="34">
        <f t="shared" si="183"/>
        <v>101.76</v>
      </c>
      <c r="V1651" s="31">
        <f>IF(H1651="CHK",VLOOKUP(I1651,QCCHK,3,),IF(H1651="GUP",VLOOKUP(E1651,QCGUP,2,),IF(AND(H1651="ATP",OR(I1651="TN",I1651="TDN",I1651="TNO2-3",I1651="NO2-3")),VLOOKUP(E1651,QCREC_N,2,),IF(AND(H1651="NIC",OR(I1651="TN",I1651="TDN",I1651="TNO2-3",I1651="NO2-3")),VLOOKUP(E1651,QCNIC_N,2,),IF(AND(H1651="UREA",OR(I1651="TN",I1651="TDN",I1651="TNO2-3",I1651="NO2-3")),VLOOKUP(E1651,QCUREA_N,2,),IF(H1651="PER",VLOOKUP(I1651,QCPER,MATCH(E1651,QCACTUAL!$J$25:$AA$25,0),),IF(H1651="SPK",VLOOKUP(I1651,QCSPK,3,),IF(AND(H1651="ATP",OR(I1651="TP",I1651="TDP")),VLOOKUP(E1651,QCATP_P,2,),""))))))))</f>
        <v>625</v>
      </c>
      <c r="W1651" s="31" t="str">
        <f t="shared" si="184"/>
        <v>TRUE</v>
      </c>
      <c r="X1651" s="31" t="str">
        <f t="shared" si="181"/>
        <v>([spikedunkn]-[unkn])/[spike]*100</v>
      </c>
      <c r="Y1651" s="10" t="s">
        <v>1096</v>
      </c>
      <c r="AL1651" s="10" t="str">
        <f t="shared" si="186"/>
        <v>FALSE</v>
      </c>
      <c r="AM1651" s="10" t="str">
        <f t="shared" si="186"/>
        <v>FALSE</v>
      </c>
      <c r="AN1651" s="10" t="str">
        <f t="shared" si="186"/>
        <v>FALSE</v>
      </c>
      <c r="AO1651" s="10" t="str">
        <f t="shared" si="187"/>
        <v>FALSE</v>
      </c>
      <c r="AP1651" s="10" t="str">
        <f t="shared" si="187"/>
        <v>FALSE</v>
      </c>
      <c r="AQ1651" s="10" t="b">
        <f>IF(AND(I1651="TP",S1651&lt;=150),VLOOKUP(AF1651,TPCalibEq150!$AZ$2:$BB$55,3,),IF(AND(I1651="TDP",S1651&lt;=150),VLOOKUP(AF1651,TPCalibEq150!$AZ$2:$BB$55,3,)))</f>
        <v>0</v>
      </c>
      <c r="AR1651" s="10" t="b">
        <f>IF(AND(I1651="TP",S1651&lt;=300),VLOOKUP(AF1651,TPCalibEq300!$AZ$2:$BB$55,3,),IF(AND(I1651="TDP",S1651&lt;=300),VLOOKUP(AF1651,TPCalibEq300!$AZ$2:$BB$55,3,)))</f>
        <v>0</v>
      </c>
      <c r="AS1651" s="10" t="b">
        <f>IF(AND(I1651="TP",S1651&lt;=500),VLOOKUP(AF1651,TPCalibEq500!$AZ$2:$BB$56,3,),IF(AND(I1651="TDP",S1651&lt;=500),VLOOKUP(AF1651,TPCalibEq500!$AZ$2:$BB$56,3,)))</f>
        <v>0</v>
      </c>
      <c r="AT1651" s="10" t="b">
        <f>IF(AND(I1651="TN",S1651&lt;=2800),VLOOKUP(AF1651,TNCalibEq2500!$AZ$2:$BB$56,3,),IF(AND(I1651="TDN",S1651&lt;=2800),VLOOKUP(AF1651,TNCalibEq2500!$AZ$2:$BB$56,3,)))</f>
        <v>0</v>
      </c>
      <c r="AU1651" s="10" t="b">
        <f>IF(I1651="TP",VLOOKUP(AF1651,TPCalibEqFull!$AZ$2:$BB$56,3),IF(I1651="TDP",VLOOKUP(AF1651,TPCalibEqFull!$AZ$2:$BB$56,3),IF(I1651="TDN",VLOOKUP(AF1651,TNCalibEqFull!$AZ$1:$BB$56,3),IF(I1651="TN",VLOOKUP(AF1651,TNCalibEqFull!$AZ$1:$BB$56,3),FALSE))))</f>
        <v>0</v>
      </c>
      <c r="AV1651" s="10" t="str">
        <f t="shared" si="185"/>
        <v>0131 09:59:00-HST -0-FIL-1-SW-SPK</v>
      </c>
    </row>
    <row r="1652" spans="1:48" s="10" customFormat="1" x14ac:dyDescent="0.55000000000000004">
      <c r="A1652" s="32">
        <v>44958</v>
      </c>
      <c r="B1652" s="33">
        <v>0.375</v>
      </c>
      <c r="C1652" s="10" t="s">
        <v>70</v>
      </c>
      <c r="D1652" s="10" t="s">
        <v>71</v>
      </c>
      <c r="E1652" s="10" t="s">
        <v>901</v>
      </c>
      <c r="F1652" s="10">
        <v>1</v>
      </c>
      <c r="G1652" s="10" t="s">
        <v>73</v>
      </c>
      <c r="H1652" s="10" t="s">
        <v>207</v>
      </c>
      <c r="I1652" s="10" t="s">
        <v>256</v>
      </c>
      <c r="J1652" s="10">
        <v>201</v>
      </c>
      <c r="K1652" s="12">
        <v>44958</v>
      </c>
      <c r="L1652" s="33">
        <v>0.56459490740740736</v>
      </c>
      <c r="M1652" s="10">
        <v>1</v>
      </c>
      <c r="N1652" s="10" t="s">
        <v>169</v>
      </c>
      <c r="O1652" s="10">
        <v>2.41</v>
      </c>
      <c r="P1652" s="10">
        <v>0.11700000000000001</v>
      </c>
      <c r="Q1652" s="10">
        <v>304</v>
      </c>
      <c r="R1652" s="10" t="s">
        <v>77</v>
      </c>
      <c r="S1652" s="34">
        <f t="shared" si="182"/>
        <v>304</v>
      </c>
      <c r="T1652" s="10" t="s">
        <v>1114</v>
      </c>
      <c r="U1652" s="34">
        <f t="shared" si="183"/>
        <v>101.33333333333334</v>
      </c>
      <c r="V1652" s="31">
        <f>IF(H1652="CHK",VLOOKUP(I1652,QCCHK,3,),IF(H1652="GUP",VLOOKUP(E1652,QCGUP,2,),IF(AND(H1652="ATP",OR(I1652="TN",I1652="TDN",I1652="TNO2-3",I1652="NO2-3")),VLOOKUP(E1652,QCREC_N,2,),IF(AND(H1652="NIC",OR(I1652="TN",I1652="TDN",I1652="TNO2-3",I1652="NO2-3")),VLOOKUP(E1652,QCNIC_N,2,),IF(AND(H1652="UREA",OR(I1652="TN",I1652="TDN",I1652="TNO2-3",I1652="NO2-3")),VLOOKUP(E1652,QCUREA_N,2,),IF(H1652="PER",VLOOKUP(I1652,QCPER,MATCH(E1652,QCACTUAL!$J$25:$AA$25,0),),IF(H1652="SPK",VLOOKUP(I1652,QCSPK,3,),IF(AND(H1652="ATP",OR(I1652="TP",I1652="TDP")),VLOOKUP(E1652,QCATP_P,2,),""))))))))</f>
        <v>300</v>
      </c>
      <c r="W1652" s="31" t="str">
        <f t="shared" si="184"/>
        <v>TRUE</v>
      </c>
      <c r="X1652" s="31" t="str">
        <f t="shared" si="181"/>
        <v>[chk]/[actual]*100</v>
      </c>
      <c r="Y1652" s="10" t="s">
        <v>1096</v>
      </c>
      <c r="AL1652" s="10" t="str">
        <f t="shared" si="186"/>
        <v>FALSE</v>
      </c>
      <c r="AM1652" s="10" t="str">
        <f t="shared" si="186"/>
        <v>FALSE</v>
      </c>
      <c r="AN1652" s="10" t="str">
        <f t="shared" si="186"/>
        <v>FALSE</v>
      </c>
      <c r="AO1652" s="10" t="str">
        <f t="shared" si="187"/>
        <v>FALSE</v>
      </c>
      <c r="AP1652" s="10" t="str">
        <f t="shared" si="187"/>
        <v>FALSE</v>
      </c>
      <c r="AQ1652" s="10" t="b">
        <f>IF(AND(I1652="TP",S1652&lt;=150),VLOOKUP(AF1652,TPCalibEq150!$AZ$2:$BB$55,3,),IF(AND(I1652="TDP",S1652&lt;=150),VLOOKUP(AF1652,TPCalibEq150!$AZ$2:$BB$55,3,)))</f>
        <v>0</v>
      </c>
      <c r="AR1652" s="10" t="b">
        <f>IF(AND(I1652="TP",S1652&lt;=300),VLOOKUP(AF1652,TPCalibEq300!$AZ$2:$BB$55,3,),IF(AND(I1652="TDP",S1652&lt;=300),VLOOKUP(AF1652,TPCalibEq300!$AZ$2:$BB$55,3,)))</f>
        <v>0</v>
      </c>
      <c r="AS1652" s="10" t="b">
        <f>IF(AND(I1652="TP",S1652&lt;=500),VLOOKUP(AF1652,TPCalibEq500!$AZ$2:$BB$56,3,),IF(AND(I1652="TDP",S1652&lt;=500),VLOOKUP(AF1652,TPCalibEq500!$AZ$2:$BB$56,3,)))</f>
        <v>0</v>
      </c>
      <c r="AT1652" s="10" t="b">
        <f>IF(AND(I1652="TN",S1652&lt;=2800),VLOOKUP(AF1652,TNCalibEq2500!$AZ$2:$BB$56,3,),IF(AND(I1652="TDN",S1652&lt;=2800),VLOOKUP(AF1652,TNCalibEq2500!$AZ$2:$BB$56,3,)))</f>
        <v>0</v>
      </c>
      <c r="AU1652" s="10" t="b">
        <f>IF(I1652="TP",VLOOKUP(AF1652,TPCalibEqFull!$AZ$2:$BB$56,3),IF(I1652="TDP",VLOOKUP(AF1652,TPCalibEqFull!$AZ$2:$BB$56,3),IF(I1652="TDN",VLOOKUP(AF1652,TNCalibEqFull!$AZ$1:$BB$56,3),IF(I1652="TN",VLOOKUP(AF1652,TNCalibEqFull!$AZ$1:$BB$56,3),FALSE))))</f>
        <v>0</v>
      </c>
      <c r="AV1652" s="10" t="str">
        <f t="shared" si="185"/>
        <v>0201 09:00:00-QAC-STD-D-1-DI-CHK</v>
      </c>
    </row>
    <row r="1653" spans="1:48" s="10" customFormat="1" x14ac:dyDescent="0.55000000000000004">
      <c r="A1653" s="32">
        <v>44949</v>
      </c>
      <c r="B1653" s="33">
        <v>0.34375</v>
      </c>
      <c r="C1653" s="10" t="s">
        <v>998</v>
      </c>
      <c r="D1653" s="10">
        <v>0</v>
      </c>
      <c r="E1653" s="10" t="s">
        <v>911</v>
      </c>
      <c r="F1653" s="10">
        <v>1</v>
      </c>
      <c r="G1653" s="10" t="s">
        <v>231</v>
      </c>
      <c r="H1653" s="10" t="s">
        <v>322</v>
      </c>
      <c r="I1653" s="10" t="s">
        <v>209</v>
      </c>
      <c r="J1653" s="10">
        <v>55</v>
      </c>
      <c r="K1653" s="12">
        <v>44958</v>
      </c>
      <c r="L1653" s="33">
        <v>0.56540509259259253</v>
      </c>
      <c r="M1653" s="10">
        <v>1</v>
      </c>
      <c r="N1653" s="10" t="s">
        <v>169</v>
      </c>
      <c r="O1653" s="10">
        <v>10.9</v>
      </c>
      <c r="P1653" s="10">
        <v>0.52200000000000002</v>
      </c>
      <c r="Q1653" s="10">
        <v>1380</v>
      </c>
      <c r="R1653" s="10" t="s">
        <v>77</v>
      </c>
      <c r="S1653" s="34">
        <f t="shared" si="182"/>
        <v>1380</v>
      </c>
      <c r="T1653" s="10" t="s">
        <v>1114</v>
      </c>
      <c r="U1653" s="34" t="str">
        <f t="shared" si="183"/>
        <v/>
      </c>
      <c r="V1653" s="31" t="str">
        <f>IF(H1653="CHK",VLOOKUP(I1653,QCCHK,3,),IF(H1653="GUP",VLOOKUP(E1653,QCGUP,2,),IF(AND(H1653="ATP",OR(I1653="TN",I1653="TDN",I1653="TNO2-3",I1653="NO2-3")),VLOOKUP(E1653,QCREC_N,2,),IF(AND(H1653="NIC",OR(I1653="TN",I1653="TDN",I1653="TNO2-3",I1653="NO2-3")),VLOOKUP(E1653,QCNIC_N,2,),IF(AND(H1653="UREA",OR(I1653="TN",I1653="TDN",I1653="TNO2-3",I1653="NO2-3")),VLOOKUP(E1653,QCUREA_N,2,),IF(H1653="PER",VLOOKUP(I1653,QCPER,MATCH(E1653,QCACTUAL!$J$25:$AA$25,0),),IF(H1653="SPK",VLOOKUP(I1653,QCSPK,3,),IF(AND(H1653="ATP",OR(I1653="TP",I1653="TDP")),VLOOKUP(E1653,QCATP_P,2,),""))))))))</f>
        <v/>
      </c>
      <c r="W1653" s="31" t="str">
        <f t="shared" si="184"/>
        <v>TRUE</v>
      </c>
      <c r="X1653" s="31" t="str">
        <f t="shared" si="181"/>
        <v/>
      </c>
      <c r="Y1653" s="10" t="s">
        <v>1096</v>
      </c>
      <c r="Z1653" s="10" t="s">
        <v>910</v>
      </c>
      <c r="AL1653" s="10" t="str">
        <f t="shared" si="186"/>
        <v>FALSE</v>
      </c>
      <c r="AM1653" s="10" t="str">
        <f t="shared" si="186"/>
        <v>FALSE</v>
      </c>
      <c r="AN1653" s="10" t="str">
        <f t="shared" si="186"/>
        <v>FALSE</v>
      </c>
      <c r="AO1653" s="10" t="str">
        <f t="shared" si="187"/>
        <v>FALSE</v>
      </c>
      <c r="AP1653" s="10" t="str">
        <f t="shared" si="187"/>
        <v>FALSE</v>
      </c>
      <c r="AQ1653" s="10" t="b">
        <f>IF(AND(I1653="TP",S1653&lt;=150),VLOOKUP(AF1653,TPCalibEq150!$AZ$2:$BB$55,3,),IF(AND(I1653="TDP",S1653&lt;=150),VLOOKUP(AF1653,TPCalibEq150!$AZ$2:$BB$55,3,)))</f>
        <v>0</v>
      </c>
      <c r="AR1653" s="10" t="b">
        <f>IF(AND(I1653="TP",S1653&lt;=300),VLOOKUP(AF1653,TPCalibEq300!$AZ$2:$BB$55,3,),IF(AND(I1653="TDP",S1653&lt;=300),VLOOKUP(AF1653,TPCalibEq300!$AZ$2:$BB$55,3,)))</f>
        <v>0</v>
      </c>
      <c r="AS1653" s="10" t="b">
        <f>IF(AND(I1653="TP",S1653&lt;=500),VLOOKUP(AF1653,TPCalibEq500!$AZ$2:$BB$56,3,),IF(AND(I1653="TDP",S1653&lt;=500),VLOOKUP(AF1653,TPCalibEq500!$AZ$2:$BB$56,3,)))</f>
        <v>0</v>
      </c>
      <c r="AT1653" s="10" t="b">
        <f>IF(AND(I1653="TN",S1653&lt;=2800),VLOOKUP(AF1653,TNCalibEq2500!$AZ$2:$BB$56,3,),IF(AND(I1653="TDN",S1653&lt;=2800),VLOOKUP(AF1653,TNCalibEq2500!$AZ$2:$BB$56,3,)))</f>
        <v>0</v>
      </c>
      <c r="AU1653" s="10" t="b">
        <f>IF(I1653="TP",VLOOKUP(AF1653,TPCalibEqFull!$AZ$2:$BB$56,3),IF(I1653="TDP",VLOOKUP(AF1653,TPCalibEqFull!$AZ$2:$BB$56,3),IF(I1653="TDN",VLOOKUP(AF1653,TNCalibEqFull!$AZ$1:$BB$56,3),IF(I1653="TN",VLOOKUP(AF1653,TNCalibEqFull!$AZ$1:$BB$56,3),FALSE))))</f>
        <v>0</v>
      </c>
      <c r="AV1653" s="10" t="str">
        <f t="shared" si="185"/>
        <v>0123 08:15:00-ELW-0-FIL-1-SW-UKN</v>
      </c>
    </row>
    <row r="1654" spans="1:48" s="10" customFormat="1" x14ac:dyDescent="0.55000000000000004">
      <c r="A1654" s="32">
        <v>44949</v>
      </c>
      <c r="B1654" s="33">
        <v>0.37777777777777777</v>
      </c>
      <c r="C1654" s="10" t="s">
        <v>270</v>
      </c>
      <c r="D1654" s="10">
        <v>0</v>
      </c>
      <c r="E1654" s="10" t="s">
        <v>911</v>
      </c>
      <c r="F1654" s="10">
        <v>1</v>
      </c>
      <c r="G1654" s="10" t="s">
        <v>231</v>
      </c>
      <c r="H1654" s="10" t="s">
        <v>322</v>
      </c>
      <c r="I1654" s="10" t="s">
        <v>209</v>
      </c>
      <c r="J1654" s="10">
        <v>56</v>
      </c>
      <c r="K1654" s="12">
        <v>44958</v>
      </c>
      <c r="L1654" s="33">
        <v>0.5662152777777778</v>
      </c>
      <c r="M1654" s="10">
        <v>1</v>
      </c>
      <c r="N1654" s="10" t="s">
        <v>169</v>
      </c>
      <c r="O1654" s="10">
        <v>16.899999999999999</v>
      </c>
      <c r="P1654" s="10">
        <v>0.80300000000000005</v>
      </c>
      <c r="Q1654" s="10">
        <v>2130</v>
      </c>
      <c r="R1654" s="10" t="s">
        <v>77</v>
      </c>
      <c r="S1654" s="34">
        <f t="shared" si="182"/>
        <v>2130</v>
      </c>
      <c r="T1654" s="10" t="s">
        <v>1114</v>
      </c>
      <c r="U1654" s="34" t="str">
        <f t="shared" si="183"/>
        <v/>
      </c>
      <c r="V1654" s="31" t="str">
        <f>IF(H1654="CHK",VLOOKUP(I1654,QCCHK,3,),IF(H1654="GUP",VLOOKUP(E1654,QCGUP,2,),IF(AND(H1654="ATP",OR(I1654="TN",I1654="TDN",I1654="TNO2-3",I1654="NO2-3")),VLOOKUP(E1654,QCREC_N,2,),IF(AND(H1654="NIC",OR(I1654="TN",I1654="TDN",I1654="TNO2-3",I1654="NO2-3")),VLOOKUP(E1654,QCNIC_N,2,),IF(AND(H1654="UREA",OR(I1654="TN",I1654="TDN",I1654="TNO2-3",I1654="NO2-3")),VLOOKUP(E1654,QCUREA_N,2,),IF(H1654="PER",VLOOKUP(I1654,QCPER,MATCH(E1654,QCACTUAL!$J$25:$AA$25,0),),IF(H1654="SPK",VLOOKUP(I1654,QCSPK,3,),IF(AND(H1654="ATP",OR(I1654="TP",I1654="TDP")),VLOOKUP(E1654,QCATP_P,2,),""))))))))</f>
        <v/>
      </c>
      <c r="W1654" s="31" t="str">
        <f t="shared" si="184"/>
        <v>TRUE</v>
      </c>
      <c r="X1654" s="31" t="str">
        <f t="shared" si="181"/>
        <v/>
      </c>
      <c r="Y1654" s="10" t="s">
        <v>1096</v>
      </c>
      <c r="Z1654" s="10" t="s">
        <v>910</v>
      </c>
      <c r="AL1654" s="10" t="str">
        <f t="shared" si="186"/>
        <v>FALSE</v>
      </c>
      <c r="AM1654" s="10" t="str">
        <f t="shared" si="186"/>
        <v>FALSE</v>
      </c>
      <c r="AN1654" s="10" t="str">
        <f t="shared" si="186"/>
        <v>FALSE</v>
      </c>
      <c r="AO1654" s="10" t="str">
        <f t="shared" si="187"/>
        <v>FALSE</v>
      </c>
      <c r="AP1654" s="10" t="str">
        <f t="shared" si="187"/>
        <v>FALSE</v>
      </c>
      <c r="AQ1654" s="10" t="b">
        <f>IF(AND(I1654="TP",S1654&lt;=150),VLOOKUP(AF1654,TPCalibEq150!$AZ$2:$BB$55,3,),IF(AND(I1654="TDP",S1654&lt;=150),VLOOKUP(AF1654,TPCalibEq150!$AZ$2:$BB$55,3,)))</f>
        <v>0</v>
      </c>
      <c r="AR1654" s="10" t="b">
        <f>IF(AND(I1654="TP",S1654&lt;=300),VLOOKUP(AF1654,TPCalibEq300!$AZ$2:$BB$55,3,),IF(AND(I1654="TDP",S1654&lt;=300),VLOOKUP(AF1654,TPCalibEq300!$AZ$2:$BB$55,3,)))</f>
        <v>0</v>
      </c>
      <c r="AS1654" s="10" t="b">
        <f>IF(AND(I1654="TP",S1654&lt;=500),VLOOKUP(AF1654,TPCalibEq500!$AZ$2:$BB$56,3,),IF(AND(I1654="TDP",S1654&lt;=500),VLOOKUP(AF1654,TPCalibEq500!$AZ$2:$BB$56,3,)))</f>
        <v>0</v>
      </c>
      <c r="AT1654" s="10" t="b">
        <f>IF(AND(I1654="TN",S1654&lt;=2800),VLOOKUP(AF1654,TNCalibEq2500!$AZ$2:$BB$56,3,),IF(AND(I1654="TDN",S1654&lt;=2800),VLOOKUP(AF1654,TNCalibEq2500!$AZ$2:$BB$56,3,)))</f>
        <v>0</v>
      </c>
      <c r="AU1654" s="10" t="b">
        <f>IF(I1654="TP",VLOOKUP(AF1654,TPCalibEqFull!$AZ$2:$BB$56,3),IF(I1654="TDP",VLOOKUP(AF1654,TPCalibEqFull!$AZ$2:$BB$56,3),IF(I1654="TDN",VLOOKUP(AF1654,TNCalibEqFull!$AZ$1:$BB$56,3),IF(I1654="TN",VLOOKUP(AF1654,TNCalibEqFull!$AZ$1:$BB$56,3),FALSE))))</f>
        <v>0</v>
      </c>
      <c r="AV1654" s="10" t="str">
        <f t="shared" si="185"/>
        <v>0123 09:04:00-EFG-0-FIL-1-SW-UKN</v>
      </c>
    </row>
    <row r="1655" spans="1:48" s="10" customFormat="1" x14ac:dyDescent="0.55000000000000004">
      <c r="A1655" s="32">
        <v>44949</v>
      </c>
      <c r="B1655" s="33">
        <v>0.39027777777777778</v>
      </c>
      <c r="C1655" s="10" t="s">
        <v>540</v>
      </c>
      <c r="D1655" s="10">
        <v>0</v>
      </c>
      <c r="E1655" s="10" t="s">
        <v>911</v>
      </c>
      <c r="F1655" s="10">
        <v>1</v>
      </c>
      <c r="G1655" s="10" t="s">
        <v>231</v>
      </c>
      <c r="H1655" s="10" t="s">
        <v>322</v>
      </c>
      <c r="I1655" s="10" t="s">
        <v>209</v>
      </c>
      <c r="J1655" s="10">
        <v>57</v>
      </c>
      <c r="K1655" s="12">
        <v>44958</v>
      </c>
      <c r="L1655" s="33">
        <v>0.56702546296296297</v>
      </c>
      <c r="M1655" s="10">
        <v>1</v>
      </c>
      <c r="N1655" s="10" t="s">
        <v>169</v>
      </c>
      <c r="O1655" s="10">
        <v>11.2</v>
      </c>
      <c r="P1655" s="10">
        <v>0.53400000000000003</v>
      </c>
      <c r="Q1655" s="10">
        <v>1410</v>
      </c>
      <c r="R1655" s="10" t="s">
        <v>77</v>
      </c>
      <c r="S1655" s="34">
        <f t="shared" si="182"/>
        <v>1410</v>
      </c>
      <c r="T1655" s="10" t="s">
        <v>1114</v>
      </c>
      <c r="U1655" s="34" t="str">
        <f t="shared" si="183"/>
        <v/>
      </c>
      <c r="V1655" s="31" t="str">
        <f>IF(H1655="CHK",VLOOKUP(I1655,QCCHK,3,),IF(H1655="GUP",VLOOKUP(E1655,QCGUP,2,),IF(AND(H1655="ATP",OR(I1655="TN",I1655="TDN",I1655="TNO2-3",I1655="NO2-3")),VLOOKUP(E1655,QCREC_N,2,),IF(AND(H1655="NIC",OR(I1655="TN",I1655="TDN",I1655="TNO2-3",I1655="NO2-3")),VLOOKUP(E1655,QCNIC_N,2,),IF(AND(H1655="UREA",OR(I1655="TN",I1655="TDN",I1655="TNO2-3",I1655="NO2-3")),VLOOKUP(E1655,QCUREA_N,2,),IF(H1655="PER",VLOOKUP(I1655,QCPER,MATCH(E1655,QCACTUAL!$J$25:$AA$25,0),),IF(H1655="SPK",VLOOKUP(I1655,QCSPK,3,),IF(AND(H1655="ATP",OR(I1655="TP",I1655="TDP")),VLOOKUP(E1655,QCATP_P,2,),""))))))))</f>
        <v/>
      </c>
      <c r="W1655" s="31" t="str">
        <f t="shared" si="184"/>
        <v>TRUE</v>
      </c>
      <c r="X1655" s="31" t="str">
        <f t="shared" si="181"/>
        <v/>
      </c>
      <c r="Y1655" s="10" t="s">
        <v>1096</v>
      </c>
      <c r="Z1655" s="10" t="s">
        <v>910</v>
      </c>
      <c r="AL1655" s="10" t="str">
        <f t="shared" si="186"/>
        <v>FALSE</v>
      </c>
      <c r="AM1655" s="10" t="str">
        <f t="shared" si="186"/>
        <v>FALSE</v>
      </c>
      <c r="AN1655" s="10" t="str">
        <f t="shared" si="186"/>
        <v>FALSE</v>
      </c>
      <c r="AO1655" s="10" t="str">
        <f t="shared" si="187"/>
        <v>FALSE</v>
      </c>
      <c r="AP1655" s="10" t="str">
        <f t="shared" si="187"/>
        <v>FALSE</v>
      </c>
      <c r="AQ1655" s="10" t="b">
        <f>IF(AND(I1655="TP",S1655&lt;=150),VLOOKUP(AF1655,TPCalibEq150!$AZ$2:$BB$55,3,),IF(AND(I1655="TDP",S1655&lt;=150),VLOOKUP(AF1655,TPCalibEq150!$AZ$2:$BB$55,3,)))</f>
        <v>0</v>
      </c>
      <c r="AR1655" s="10" t="b">
        <f>IF(AND(I1655="TP",S1655&lt;=300),VLOOKUP(AF1655,TPCalibEq300!$AZ$2:$BB$55,3,),IF(AND(I1655="TDP",S1655&lt;=300),VLOOKUP(AF1655,TPCalibEq300!$AZ$2:$BB$55,3,)))</f>
        <v>0</v>
      </c>
      <c r="AS1655" s="10" t="b">
        <f>IF(AND(I1655="TP",S1655&lt;=500),VLOOKUP(AF1655,TPCalibEq500!$AZ$2:$BB$56,3,),IF(AND(I1655="TDP",S1655&lt;=500),VLOOKUP(AF1655,TPCalibEq500!$AZ$2:$BB$56,3,)))</f>
        <v>0</v>
      </c>
      <c r="AT1655" s="10" t="b">
        <f>IF(AND(I1655="TN",S1655&lt;=2800),VLOOKUP(AF1655,TNCalibEq2500!$AZ$2:$BB$56,3,),IF(AND(I1655="TDN",S1655&lt;=2800),VLOOKUP(AF1655,TNCalibEq2500!$AZ$2:$BB$56,3,)))</f>
        <v>0</v>
      </c>
      <c r="AU1655" s="10" t="b">
        <f>IF(I1655="TP",VLOOKUP(AF1655,TPCalibEqFull!$AZ$2:$BB$56,3),IF(I1655="TDP",VLOOKUP(AF1655,TPCalibEqFull!$AZ$2:$BB$56,3),IF(I1655="TDN",VLOOKUP(AF1655,TNCalibEqFull!$AZ$1:$BB$56,3),IF(I1655="TN",VLOOKUP(AF1655,TNCalibEqFull!$AZ$1:$BB$56,3),FALSE))))</f>
        <v>0</v>
      </c>
      <c r="AV1655" s="10" t="str">
        <f t="shared" si="185"/>
        <v>0123 09:22:00-S50-0-FIL-1-SW-UKN</v>
      </c>
    </row>
    <row r="1656" spans="1:48" s="10" customFormat="1" x14ac:dyDescent="0.55000000000000004">
      <c r="A1656" s="32">
        <v>44949</v>
      </c>
      <c r="B1656" s="33">
        <v>0.41250000000000003</v>
      </c>
      <c r="C1656" s="10" t="s">
        <v>528</v>
      </c>
      <c r="D1656" s="10">
        <v>0</v>
      </c>
      <c r="E1656" s="10" t="s">
        <v>911</v>
      </c>
      <c r="F1656" s="10">
        <v>1</v>
      </c>
      <c r="G1656" s="10" t="s">
        <v>231</v>
      </c>
      <c r="H1656" s="10" t="s">
        <v>322</v>
      </c>
      <c r="I1656" s="10" t="s">
        <v>256</v>
      </c>
      <c r="J1656" s="10">
        <v>58</v>
      </c>
      <c r="K1656" s="12">
        <v>44958</v>
      </c>
      <c r="L1656" s="33">
        <v>0.59810185185185183</v>
      </c>
      <c r="M1656" s="10">
        <v>10</v>
      </c>
      <c r="N1656" s="10" t="s">
        <v>169</v>
      </c>
      <c r="O1656" s="10">
        <v>1.62</v>
      </c>
      <c r="P1656" s="10">
        <v>7.6899999999999996E-2</v>
      </c>
      <c r="Q1656" s="10">
        <v>204</v>
      </c>
      <c r="R1656" s="10" t="s">
        <v>77</v>
      </c>
      <c r="S1656" s="34">
        <f t="shared" si="182"/>
        <v>2040</v>
      </c>
      <c r="T1656" s="10" t="s">
        <v>1114</v>
      </c>
      <c r="U1656" s="34" t="str">
        <f t="shared" si="183"/>
        <v/>
      </c>
      <c r="V1656" s="31" t="str">
        <f>IF(H1656="CHK",VLOOKUP(I1656,QCCHK,3,),IF(H1656="GUP",VLOOKUP(E1656,QCGUP,2,),IF(AND(H1656="ATP",OR(I1656="TN",I1656="TDN",I1656="TNO2-3",I1656="NO2-3")),VLOOKUP(E1656,QCREC_N,2,),IF(AND(H1656="NIC",OR(I1656="TN",I1656="TDN",I1656="TNO2-3",I1656="NO2-3")),VLOOKUP(E1656,QCNIC_N,2,),IF(AND(H1656="UREA",OR(I1656="TN",I1656="TDN",I1656="TNO2-3",I1656="NO2-3")),VLOOKUP(E1656,QCUREA_N,2,),IF(H1656="PER",VLOOKUP(I1656,QCPER,MATCH(E1656,QCACTUAL!$J$25:$AA$25,0),),IF(H1656="SPK",VLOOKUP(I1656,QCSPK,3,),IF(AND(H1656="ATP",OR(I1656="TP",I1656="TDP")),VLOOKUP(E1656,QCATP_P,2,),""))))))))</f>
        <v/>
      </c>
      <c r="W1656" s="31" t="str">
        <f t="shared" si="184"/>
        <v>TRUE</v>
      </c>
      <c r="X1656" s="31" t="str">
        <f t="shared" si="181"/>
        <v/>
      </c>
      <c r="Y1656" s="10" t="s">
        <v>1096</v>
      </c>
      <c r="Z1656" s="10" t="s">
        <v>910</v>
      </c>
      <c r="AL1656" s="10" t="str">
        <f t="shared" si="186"/>
        <v>FALSE</v>
      </c>
      <c r="AM1656" s="10" t="str">
        <f t="shared" si="186"/>
        <v>FALSE</v>
      </c>
      <c r="AN1656" s="10" t="str">
        <f t="shared" si="186"/>
        <v>FALSE</v>
      </c>
      <c r="AO1656" s="10" t="str">
        <f t="shared" si="187"/>
        <v>FALSE</v>
      </c>
      <c r="AP1656" s="10" t="str">
        <f t="shared" si="187"/>
        <v>FALSE</v>
      </c>
      <c r="AQ1656" s="10" t="b">
        <f>IF(AND(I1656="TP",S1656&lt;=150),VLOOKUP(AF1656,TPCalibEq150!$AZ$2:$BB$55,3,),IF(AND(I1656="TDP",S1656&lt;=150),VLOOKUP(AF1656,TPCalibEq150!$AZ$2:$BB$55,3,)))</f>
        <v>0</v>
      </c>
      <c r="AR1656" s="10" t="b">
        <f>IF(AND(I1656="TP",S1656&lt;=300),VLOOKUP(AF1656,TPCalibEq300!$AZ$2:$BB$55,3,),IF(AND(I1656="TDP",S1656&lt;=300),VLOOKUP(AF1656,TPCalibEq300!$AZ$2:$BB$55,3,)))</f>
        <v>0</v>
      </c>
      <c r="AS1656" s="10" t="b">
        <f>IF(AND(I1656="TP",S1656&lt;=500),VLOOKUP(AF1656,TPCalibEq500!$AZ$2:$BB$56,3,),IF(AND(I1656="TDP",S1656&lt;=500),VLOOKUP(AF1656,TPCalibEq500!$AZ$2:$BB$56,3,)))</f>
        <v>0</v>
      </c>
      <c r="AT1656" s="10" t="b">
        <f>IF(AND(I1656="TN",S1656&lt;=2800),VLOOKUP(AF1656,TNCalibEq2500!$AZ$2:$BB$56,3,),IF(AND(I1656="TDN",S1656&lt;=2800),VLOOKUP(AF1656,TNCalibEq2500!$AZ$2:$BB$56,3,)))</f>
        <v>0</v>
      </c>
      <c r="AU1656" s="10" t="b">
        <f>IF(I1656="TP",VLOOKUP(AF1656,TPCalibEqFull!$AZ$2:$BB$56,3),IF(I1656="TDP",VLOOKUP(AF1656,TPCalibEqFull!$AZ$2:$BB$56,3),IF(I1656="TDN",VLOOKUP(AF1656,TNCalibEqFull!$AZ$1:$BB$56,3),IF(I1656="TN",VLOOKUP(AF1656,TNCalibEqFull!$AZ$1:$BB$56,3),FALSE))))</f>
        <v>0</v>
      </c>
      <c r="AV1656" s="10" t="str">
        <f t="shared" si="185"/>
        <v>0123 09:54:00-P04-0-FIL-1-SW-UKN</v>
      </c>
    </row>
    <row r="1657" spans="1:48" s="10" customFormat="1" x14ac:dyDescent="0.55000000000000004">
      <c r="A1657" s="32">
        <v>44949</v>
      </c>
      <c r="B1657" s="33">
        <v>0.42569444444444443</v>
      </c>
      <c r="C1657" s="10">
        <v>506</v>
      </c>
      <c r="D1657" s="10">
        <v>0</v>
      </c>
      <c r="E1657" s="10" t="s">
        <v>911</v>
      </c>
      <c r="F1657" s="10">
        <v>1</v>
      </c>
      <c r="G1657" s="10" t="s">
        <v>231</v>
      </c>
      <c r="H1657" s="10" t="s">
        <v>322</v>
      </c>
      <c r="I1657" s="10" t="s">
        <v>256</v>
      </c>
      <c r="J1657" s="10">
        <v>59</v>
      </c>
      <c r="K1657" s="12">
        <v>44958</v>
      </c>
      <c r="L1657" s="33">
        <v>0.59890046296296295</v>
      </c>
      <c r="M1657" s="10">
        <v>10</v>
      </c>
      <c r="N1657" s="10" t="s">
        <v>169</v>
      </c>
      <c r="O1657" s="10">
        <v>1.41</v>
      </c>
      <c r="P1657" s="10">
        <v>6.7199999999999996E-2</v>
      </c>
      <c r="Q1657" s="10">
        <v>177</v>
      </c>
      <c r="R1657" s="10" t="s">
        <v>77</v>
      </c>
      <c r="S1657" s="34">
        <f t="shared" si="182"/>
        <v>1770</v>
      </c>
      <c r="T1657" s="10" t="s">
        <v>1114</v>
      </c>
      <c r="U1657" s="34" t="str">
        <f t="shared" si="183"/>
        <v/>
      </c>
      <c r="V1657" s="31" t="str">
        <f>IF(H1657="CHK",VLOOKUP(I1657,QCCHK,3,),IF(H1657="GUP",VLOOKUP(E1657,QCGUP,2,),IF(AND(H1657="ATP",OR(I1657="TN",I1657="TDN",I1657="TNO2-3",I1657="NO2-3")),VLOOKUP(E1657,QCREC_N,2,),IF(AND(H1657="NIC",OR(I1657="TN",I1657="TDN",I1657="TNO2-3",I1657="NO2-3")),VLOOKUP(E1657,QCNIC_N,2,),IF(AND(H1657="UREA",OR(I1657="TN",I1657="TDN",I1657="TNO2-3",I1657="NO2-3")),VLOOKUP(E1657,QCUREA_N,2,),IF(H1657="PER",VLOOKUP(I1657,QCPER,MATCH(E1657,QCACTUAL!$J$25:$AA$25,0),),IF(H1657="SPK",VLOOKUP(I1657,QCSPK,3,),IF(AND(H1657="ATP",OR(I1657="TP",I1657="TDP")),VLOOKUP(E1657,QCATP_P,2,),""))))))))</f>
        <v/>
      </c>
      <c r="W1657" s="31" t="str">
        <f t="shared" si="184"/>
        <v>TRUE</v>
      </c>
      <c r="X1657" s="31" t="str">
        <f t="shared" si="181"/>
        <v/>
      </c>
      <c r="Y1657" s="10" t="s">
        <v>1096</v>
      </c>
      <c r="Z1657" s="10" t="s">
        <v>910</v>
      </c>
      <c r="AL1657" s="10" t="str">
        <f t="shared" si="186"/>
        <v>FALSE</v>
      </c>
      <c r="AM1657" s="10" t="str">
        <f t="shared" si="186"/>
        <v>FALSE</v>
      </c>
      <c r="AN1657" s="10" t="str">
        <f t="shared" si="186"/>
        <v>FALSE</v>
      </c>
      <c r="AO1657" s="10" t="str">
        <f t="shared" si="187"/>
        <v>FALSE</v>
      </c>
      <c r="AP1657" s="10" t="str">
        <f t="shared" si="187"/>
        <v>FALSE</v>
      </c>
      <c r="AQ1657" s="10" t="b">
        <f>IF(AND(I1657="TP",S1657&lt;=150),VLOOKUP(AF1657,TPCalibEq150!$AZ$2:$BB$55,3,),IF(AND(I1657="TDP",S1657&lt;=150),VLOOKUP(AF1657,TPCalibEq150!$AZ$2:$BB$55,3,)))</f>
        <v>0</v>
      </c>
      <c r="AR1657" s="10" t="b">
        <f>IF(AND(I1657="TP",S1657&lt;=300),VLOOKUP(AF1657,TPCalibEq300!$AZ$2:$BB$55,3,),IF(AND(I1657="TDP",S1657&lt;=300),VLOOKUP(AF1657,TPCalibEq300!$AZ$2:$BB$55,3,)))</f>
        <v>0</v>
      </c>
      <c r="AS1657" s="10" t="b">
        <f>IF(AND(I1657="TP",S1657&lt;=500),VLOOKUP(AF1657,TPCalibEq500!$AZ$2:$BB$56,3,),IF(AND(I1657="TDP",S1657&lt;=500),VLOOKUP(AF1657,TPCalibEq500!$AZ$2:$BB$56,3,)))</f>
        <v>0</v>
      </c>
      <c r="AT1657" s="10" t="b">
        <f>IF(AND(I1657="TN",S1657&lt;=2800),VLOOKUP(AF1657,TNCalibEq2500!$AZ$2:$BB$56,3,),IF(AND(I1657="TDN",S1657&lt;=2800),VLOOKUP(AF1657,TNCalibEq2500!$AZ$2:$BB$56,3,)))</f>
        <v>0</v>
      </c>
      <c r="AU1657" s="10" t="b">
        <f>IF(I1657="TP",VLOOKUP(AF1657,TPCalibEqFull!$AZ$2:$BB$56,3),IF(I1657="TDP",VLOOKUP(AF1657,TPCalibEqFull!$AZ$2:$BB$56,3),IF(I1657="TDN",VLOOKUP(AF1657,TNCalibEqFull!$AZ$1:$BB$56,3),IF(I1657="TN",VLOOKUP(AF1657,TNCalibEqFull!$AZ$1:$BB$56,3),FALSE))))</f>
        <v>0</v>
      </c>
      <c r="AV1657" s="10" t="str">
        <f t="shared" si="185"/>
        <v>0123 10:13:00-506-0-FIL-1-SW-UKN</v>
      </c>
    </row>
    <row r="1658" spans="1:48" s="10" customFormat="1" x14ac:dyDescent="0.55000000000000004">
      <c r="A1658" s="32">
        <v>44949</v>
      </c>
      <c r="B1658" s="33">
        <v>0.43333333333333335</v>
      </c>
      <c r="C1658" s="10" t="s">
        <v>1104</v>
      </c>
      <c r="D1658" s="10">
        <v>0</v>
      </c>
      <c r="E1658" s="10" t="s">
        <v>911</v>
      </c>
      <c r="F1658" s="10">
        <v>1</v>
      </c>
      <c r="G1658" s="10" t="s">
        <v>231</v>
      </c>
      <c r="H1658" s="10" t="s">
        <v>322</v>
      </c>
      <c r="I1658" s="10" t="s">
        <v>256</v>
      </c>
      <c r="J1658" s="10">
        <v>60</v>
      </c>
      <c r="K1658" s="12">
        <v>44958</v>
      </c>
      <c r="L1658" s="33">
        <v>0.59971064814814812</v>
      </c>
      <c r="M1658" s="10">
        <v>10</v>
      </c>
      <c r="N1658" s="10" t="s">
        <v>169</v>
      </c>
      <c r="O1658" s="10">
        <v>1.57</v>
      </c>
      <c r="P1658" s="10">
        <v>7.4899999999999994E-2</v>
      </c>
      <c r="Q1658" s="10">
        <v>198</v>
      </c>
      <c r="R1658" s="10" t="s">
        <v>77</v>
      </c>
      <c r="S1658" s="34">
        <f t="shared" si="182"/>
        <v>1980</v>
      </c>
      <c r="T1658" s="10" t="s">
        <v>1114</v>
      </c>
      <c r="U1658" s="34" t="str">
        <f t="shared" si="183"/>
        <v/>
      </c>
      <c r="V1658" s="31" t="str">
        <f>IF(H1658="CHK",VLOOKUP(I1658,QCCHK,3,),IF(H1658="GUP",VLOOKUP(E1658,QCGUP,2,),IF(AND(H1658="ATP",OR(I1658="TN",I1658="TDN",I1658="TNO2-3",I1658="NO2-3")),VLOOKUP(E1658,QCREC_N,2,),IF(AND(H1658="NIC",OR(I1658="TN",I1658="TDN",I1658="TNO2-3",I1658="NO2-3")),VLOOKUP(E1658,QCNIC_N,2,),IF(AND(H1658="UREA",OR(I1658="TN",I1658="TDN",I1658="TNO2-3",I1658="NO2-3")),VLOOKUP(E1658,QCUREA_N,2,),IF(H1658="PER",VLOOKUP(I1658,QCPER,MATCH(E1658,QCACTUAL!$J$25:$AA$25,0),),IF(H1658="SPK",VLOOKUP(I1658,QCSPK,3,),IF(AND(H1658="ATP",OR(I1658="TP",I1658="TDP")),VLOOKUP(E1658,QCATP_P,2,),""))))))))</f>
        <v/>
      </c>
      <c r="W1658" s="31" t="str">
        <f t="shared" si="184"/>
        <v>TRUE</v>
      </c>
      <c r="X1658" s="31" t="str">
        <f t="shared" si="181"/>
        <v/>
      </c>
      <c r="Y1658" s="10" t="s">
        <v>1096</v>
      </c>
      <c r="Z1658" s="10" t="s">
        <v>910</v>
      </c>
      <c r="AL1658" s="10" t="str">
        <f t="shared" si="186"/>
        <v>FALSE</v>
      </c>
      <c r="AM1658" s="10" t="str">
        <f t="shared" si="186"/>
        <v>FALSE</v>
      </c>
      <c r="AN1658" s="10" t="str">
        <f t="shared" si="186"/>
        <v>FALSE</v>
      </c>
      <c r="AO1658" s="10" t="str">
        <f t="shared" si="187"/>
        <v>FALSE</v>
      </c>
      <c r="AP1658" s="10" t="str">
        <f t="shared" si="187"/>
        <v>FALSE</v>
      </c>
      <c r="AQ1658" s="10" t="b">
        <f>IF(AND(I1658="TP",S1658&lt;=150),VLOOKUP(AF1658,TPCalibEq150!$AZ$2:$BB$55,3,),IF(AND(I1658="TDP",S1658&lt;=150),VLOOKUP(AF1658,TPCalibEq150!$AZ$2:$BB$55,3,)))</f>
        <v>0</v>
      </c>
      <c r="AR1658" s="10" t="b">
        <f>IF(AND(I1658="TP",S1658&lt;=300),VLOOKUP(AF1658,TPCalibEq300!$AZ$2:$BB$55,3,),IF(AND(I1658="TDP",S1658&lt;=300),VLOOKUP(AF1658,TPCalibEq300!$AZ$2:$BB$55,3,)))</f>
        <v>0</v>
      </c>
      <c r="AS1658" s="10" t="b">
        <f>IF(AND(I1658="TP",S1658&lt;=500),VLOOKUP(AF1658,TPCalibEq500!$AZ$2:$BB$56,3,),IF(AND(I1658="TDP",S1658&lt;=500),VLOOKUP(AF1658,TPCalibEq500!$AZ$2:$BB$56,3,)))</f>
        <v>0</v>
      </c>
      <c r="AT1658" s="10" t="b">
        <f>IF(AND(I1658="TN",S1658&lt;=2800),VLOOKUP(AF1658,TNCalibEq2500!$AZ$2:$BB$56,3,),IF(AND(I1658="TDN",S1658&lt;=2800),VLOOKUP(AF1658,TNCalibEq2500!$AZ$2:$BB$56,3,)))</f>
        <v>0</v>
      </c>
      <c r="AU1658" s="10" t="b">
        <f>IF(I1658="TP",VLOOKUP(AF1658,TPCalibEqFull!$AZ$2:$BB$56,3),IF(I1658="TDP",VLOOKUP(AF1658,TPCalibEqFull!$AZ$2:$BB$56,3),IF(I1658="TDN",VLOOKUP(AF1658,TNCalibEqFull!$AZ$1:$BB$56,3),IF(I1658="TN",VLOOKUP(AF1658,TNCalibEqFull!$AZ$1:$BB$56,3),FALSE))))</f>
        <v>0</v>
      </c>
      <c r="AV1658" s="10" t="str">
        <f t="shared" si="185"/>
        <v>0123 10:24:00-LBW-0-FIL-1-SW-UKN</v>
      </c>
    </row>
    <row r="1659" spans="1:48" s="10" customFormat="1" x14ac:dyDescent="0.55000000000000004">
      <c r="A1659" s="32">
        <v>44949</v>
      </c>
      <c r="B1659" s="33">
        <v>0.45</v>
      </c>
      <c r="C1659" s="10" t="s">
        <v>537</v>
      </c>
      <c r="D1659" s="10">
        <v>0</v>
      </c>
      <c r="E1659" s="10" t="s">
        <v>911</v>
      </c>
      <c r="F1659" s="10">
        <v>1</v>
      </c>
      <c r="G1659" s="10" t="s">
        <v>231</v>
      </c>
      <c r="H1659" s="10" t="s">
        <v>322</v>
      </c>
      <c r="I1659" s="10" t="s">
        <v>209</v>
      </c>
      <c r="J1659" s="10">
        <v>61</v>
      </c>
      <c r="K1659" s="12">
        <v>44958</v>
      </c>
      <c r="L1659" s="33">
        <v>0.57027777777777777</v>
      </c>
      <c r="M1659" s="10">
        <v>1</v>
      </c>
      <c r="N1659" s="10" t="s">
        <v>169</v>
      </c>
      <c r="O1659" s="10">
        <v>6.48</v>
      </c>
      <c r="P1659" s="10">
        <v>0.308</v>
      </c>
      <c r="Q1659" s="10">
        <v>816</v>
      </c>
      <c r="R1659" s="10" t="s">
        <v>77</v>
      </c>
      <c r="S1659" s="34">
        <f t="shared" si="182"/>
        <v>816</v>
      </c>
      <c r="T1659" s="10" t="s">
        <v>1114</v>
      </c>
      <c r="U1659" s="34" t="str">
        <f t="shared" si="183"/>
        <v/>
      </c>
      <c r="V1659" s="31" t="str">
        <f>IF(H1659="CHK",VLOOKUP(I1659,QCCHK,3,),IF(H1659="GUP",VLOOKUP(E1659,QCGUP,2,),IF(AND(H1659="ATP",OR(I1659="TN",I1659="TDN",I1659="TNO2-3",I1659="NO2-3")),VLOOKUP(E1659,QCREC_N,2,),IF(AND(H1659="NIC",OR(I1659="TN",I1659="TDN",I1659="TNO2-3",I1659="NO2-3")),VLOOKUP(E1659,QCNIC_N,2,),IF(AND(H1659="UREA",OR(I1659="TN",I1659="TDN",I1659="TNO2-3",I1659="NO2-3")),VLOOKUP(E1659,QCUREA_N,2,),IF(H1659="PER",VLOOKUP(I1659,QCPER,MATCH(E1659,QCACTUAL!$J$25:$AA$25,0),),IF(H1659="SPK",VLOOKUP(I1659,QCSPK,3,),IF(AND(H1659="ATP",OR(I1659="TP",I1659="TDP")),VLOOKUP(E1659,QCATP_P,2,),""))))))))</f>
        <v/>
      </c>
      <c r="W1659" s="31" t="str">
        <f t="shared" si="184"/>
        <v>TRUE</v>
      </c>
      <c r="X1659" s="31" t="str">
        <f t="shared" si="181"/>
        <v/>
      </c>
      <c r="Y1659" s="10" t="s">
        <v>1096</v>
      </c>
      <c r="Z1659" s="10" t="s">
        <v>910</v>
      </c>
      <c r="AL1659" s="10" t="str">
        <f t="shared" si="186"/>
        <v>FALSE</v>
      </c>
      <c r="AM1659" s="10" t="str">
        <f t="shared" si="186"/>
        <v>FALSE</v>
      </c>
      <c r="AN1659" s="10" t="str">
        <f t="shared" si="186"/>
        <v>FALSE</v>
      </c>
      <c r="AO1659" s="10" t="str">
        <f t="shared" si="187"/>
        <v>FALSE</v>
      </c>
      <c r="AP1659" s="10" t="str">
        <f t="shared" si="187"/>
        <v>FALSE</v>
      </c>
      <c r="AQ1659" s="10" t="b">
        <f>IF(AND(I1659="TP",S1659&lt;=150),VLOOKUP(AF1659,TPCalibEq150!$AZ$2:$BB$55,3,),IF(AND(I1659="TDP",S1659&lt;=150),VLOOKUP(AF1659,TPCalibEq150!$AZ$2:$BB$55,3,)))</f>
        <v>0</v>
      </c>
      <c r="AR1659" s="10" t="b">
        <f>IF(AND(I1659="TP",S1659&lt;=300),VLOOKUP(AF1659,TPCalibEq300!$AZ$2:$BB$55,3,),IF(AND(I1659="TDP",S1659&lt;=300),VLOOKUP(AF1659,TPCalibEq300!$AZ$2:$BB$55,3,)))</f>
        <v>0</v>
      </c>
      <c r="AS1659" s="10" t="b">
        <f>IF(AND(I1659="TP",S1659&lt;=500),VLOOKUP(AF1659,TPCalibEq500!$AZ$2:$BB$56,3,),IF(AND(I1659="TDP",S1659&lt;=500),VLOOKUP(AF1659,TPCalibEq500!$AZ$2:$BB$56,3,)))</f>
        <v>0</v>
      </c>
      <c r="AT1659" s="10" t="b">
        <f>IF(AND(I1659="TN",S1659&lt;=2800),VLOOKUP(AF1659,TNCalibEq2500!$AZ$2:$BB$56,3,),IF(AND(I1659="TDN",S1659&lt;=2800),VLOOKUP(AF1659,TNCalibEq2500!$AZ$2:$BB$56,3,)))</f>
        <v>0</v>
      </c>
      <c r="AU1659" s="10" t="b">
        <f>IF(I1659="TP",VLOOKUP(AF1659,TPCalibEqFull!$AZ$2:$BB$56,3),IF(I1659="TDP",VLOOKUP(AF1659,TPCalibEqFull!$AZ$2:$BB$56,3),IF(I1659="TDN",VLOOKUP(AF1659,TNCalibEqFull!$AZ$1:$BB$56,3),IF(I1659="TN",VLOOKUP(AF1659,TNCalibEqFull!$AZ$1:$BB$56,3),FALSE))))</f>
        <v>0</v>
      </c>
      <c r="AV1659" s="10" t="str">
        <f t="shared" si="185"/>
        <v>0123 10:48:00-S51-0-FIL-1-SW-UKN</v>
      </c>
    </row>
    <row r="1660" spans="1:48" s="10" customFormat="1" x14ac:dyDescent="0.55000000000000004">
      <c r="A1660" s="32">
        <v>44949</v>
      </c>
      <c r="B1660" s="33">
        <v>0.46736111111111112</v>
      </c>
      <c r="C1660" s="10">
        <v>890</v>
      </c>
      <c r="D1660" s="10">
        <v>0</v>
      </c>
      <c r="E1660" s="10" t="s">
        <v>911</v>
      </c>
      <c r="F1660" s="10">
        <v>1</v>
      </c>
      <c r="G1660" s="10" t="s">
        <v>231</v>
      </c>
      <c r="H1660" s="10" t="s">
        <v>322</v>
      </c>
      <c r="I1660" s="10" t="s">
        <v>209</v>
      </c>
      <c r="J1660" s="10">
        <v>62</v>
      </c>
      <c r="K1660" s="12">
        <v>44958</v>
      </c>
      <c r="L1660" s="33">
        <v>0.57109953703703698</v>
      </c>
      <c r="M1660" s="10">
        <v>1</v>
      </c>
      <c r="N1660" s="10" t="s">
        <v>169</v>
      </c>
      <c r="O1660" s="10">
        <v>5.43</v>
      </c>
      <c r="P1660" s="10">
        <v>0.25800000000000001</v>
      </c>
      <c r="Q1660" s="10">
        <v>683</v>
      </c>
      <c r="R1660" s="10" t="s">
        <v>77</v>
      </c>
      <c r="S1660" s="34">
        <f t="shared" si="182"/>
        <v>683</v>
      </c>
      <c r="T1660" s="10" t="s">
        <v>1114</v>
      </c>
      <c r="U1660" s="34" t="str">
        <f t="shared" si="183"/>
        <v/>
      </c>
      <c r="V1660" s="31" t="str">
        <f>IF(H1660="CHK",VLOOKUP(I1660,QCCHK,3,),IF(H1660="GUP",VLOOKUP(E1660,QCGUP,2,),IF(AND(H1660="ATP",OR(I1660="TN",I1660="TDN",I1660="TNO2-3",I1660="NO2-3")),VLOOKUP(E1660,QCREC_N,2,),IF(AND(H1660="NIC",OR(I1660="TN",I1660="TDN",I1660="TNO2-3",I1660="NO2-3")),VLOOKUP(E1660,QCNIC_N,2,),IF(AND(H1660="UREA",OR(I1660="TN",I1660="TDN",I1660="TNO2-3",I1660="NO2-3")),VLOOKUP(E1660,QCUREA_N,2,),IF(H1660="PER",VLOOKUP(I1660,QCPER,MATCH(E1660,QCACTUAL!$J$25:$AA$25,0),),IF(H1660="SPK",VLOOKUP(I1660,QCSPK,3,),IF(AND(H1660="ATP",OR(I1660="TP",I1660="TDP")),VLOOKUP(E1660,QCATP_P,2,),""))))))))</f>
        <v/>
      </c>
      <c r="W1660" s="31" t="str">
        <f t="shared" si="184"/>
        <v>TRUE</v>
      </c>
      <c r="X1660" s="31" t="str">
        <f t="shared" si="181"/>
        <v/>
      </c>
      <c r="Y1660" s="10" t="s">
        <v>1096</v>
      </c>
      <c r="Z1660" s="10" t="s">
        <v>910</v>
      </c>
      <c r="AL1660" s="10" t="str">
        <f t="shared" si="186"/>
        <v>FALSE</v>
      </c>
      <c r="AM1660" s="10" t="str">
        <f t="shared" si="186"/>
        <v>FALSE</v>
      </c>
      <c r="AN1660" s="10" t="str">
        <f t="shared" si="186"/>
        <v>FALSE</v>
      </c>
      <c r="AO1660" s="10" t="str">
        <f t="shared" si="187"/>
        <v>FALSE</v>
      </c>
      <c r="AP1660" s="10" t="str">
        <f t="shared" si="187"/>
        <v>FALSE</v>
      </c>
      <c r="AQ1660" s="10" t="b">
        <f>IF(AND(I1660="TP",S1660&lt;=150),VLOOKUP(AF1660,TPCalibEq150!$AZ$2:$BB$55,3,),IF(AND(I1660="TDP",S1660&lt;=150),VLOOKUP(AF1660,TPCalibEq150!$AZ$2:$BB$55,3,)))</f>
        <v>0</v>
      </c>
      <c r="AR1660" s="10" t="b">
        <f>IF(AND(I1660="TP",S1660&lt;=300),VLOOKUP(AF1660,TPCalibEq300!$AZ$2:$BB$55,3,),IF(AND(I1660="TDP",S1660&lt;=300),VLOOKUP(AF1660,TPCalibEq300!$AZ$2:$BB$55,3,)))</f>
        <v>0</v>
      </c>
      <c r="AS1660" s="10" t="b">
        <f>IF(AND(I1660="TP",S1660&lt;=500),VLOOKUP(AF1660,TPCalibEq500!$AZ$2:$BB$56,3,),IF(AND(I1660="TDP",S1660&lt;=500),VLOOKUP(AF1660,TPCalibEq500!$AZ$2:$BB$56,3,)))</f>
        <v>0</v>
      </c>
      <c r="AT1660" s="10" t="b">
        <f>IF(AND(I1660="TN",S1660&lt;=2800),VLOOKUP(AF1660,TNCalibEq2500!$AZ$2:$BB$56,3,),IF(AND(I1660="TDN",S1660&lt;=2800),VLOOKUP(AF1660,TNCalibEq2500!$AZ$2:$BB$56,3,)))</f>
        <v>0</v>
      </c>
      <c r="AU1660" s="10" t="b">
        <f>IF(I1660="TP",VLOOKUP(AF1660,TPCalibEqFull!$AZ$2:$BB$56,3),IF(I1660="TDP",VLOOKUP(AF1660,TPCalibEqFull!$AZ$2:$BB$56,3),IF(I1660="TDN",VLOOKUP(AF1660,TNCalibEqFull!$AZ$1:$BB$56,3),IF(I1660="TN",VLOOKUP(AF1660,TNCalibEqFull!$AZ$1:$BB$56,3),FALSE))))</f>
        <v>0</v>
      </c>
      <c r="AV1660" s="10" t="str">
        <f t="shared" si="185"/>
        <v>0123 11:13:00-890-0-FIL-1-SW-UKN</v>
      </c>
    </row>
    <row r="1661" spans="1:48" s="10" customFormat="1" x14ac:dyDescent="0.55000000000000004">
      <c r="A1661" s="32">
        <v>44949</v>
      </c>
      <c r="B1661" s="33">
        <v>0.4861111111111111</v>
      </c>
      <c r="C1661" s="10" t="s">
        <v>437</v>
      </c>
      <c r="D1661" s="10">
        <v>0</v>
      </c>
      <c r="E1661" s="10" t="s">
        <v>911</v>
      </c>
      <c r="F1661" s="10">
        <v>1</v>
      </c>
      <c r="G1661" s="10" t="s">
        <v>231</v>
      </c>
      <c r="H1661" s="10" t="s">
        <v>322</v>
      </c>
      <c r="I1661" s="10" t="s">
        <v>209</v>
      </c>
      <c r="J1661" s="10">
        <v>63</v>
      </c>
      <c r="K1661" s="12">
        <v>44958</v>
      </c>
      <c r="L1661" s="33">
        <v>0.57193287037037044</v>
      </c>
      <c r="M1661" s="10">
        <v>1</v>
      </c>
      <c r="N1661" s="10" t="s">
        <v>169</v>
      </c>
      <c r="O1661" s="10">
        <v>2.67</v>
      </c>
      <c r="P1661" s="10">
        <v>0.127</v>
      </c>
      <c r="Q1661" s="10">
        <v>337</v>
      </c>
      <c r="R1661" s="10" t="s">
        <v>77</v>
      </c>
      <c r="S1661" s="34">
        <f t="shared" si="182"/>
        <v>337</v>
      </c>
      <c r="T1661" s="10" t="s">
        <v>1114</v>
      </c>
      <c r="U1661" s="34" t="str">
        <f t="shared" si="183"/>
        <v/>
      </c>
      <c r="V1661" s="31" t="str">
        <f>IF(H1661="CHK",VLOOKUP(I1661,QCCHK,3,),IF(H1661="GUP",VLOOKUP(E1661,QCGUP,2,),IF(AND(H1661="ATP",OR(I1661="TN",I1661="TDN",I1661="TNO2-3",I1661="NO2-3")),VLOOKUP(E1661,QCREC_N,2,),IF(AND(H1661="NIC",OR(I1661="TN",I1661="TDN",I1661="TNO2-3",I1661="NO2-3")),VLOOKUP(E1661,QCNIC_N,2,),IF(AND(H1661="UREA",OR(I1661="TN",I1661="TDN",I1661="TNO2-3",I1661="NO2-3")),VLOOKUP(E1661,QCUREA_N,2,),IF(H1661="PER",VLOOKUP(I1661,QCPER,MATCH(E1661,QCACTUAL!$J$25:$AA$25,0),),IF(H1661="SPK",VLOOKUP(I1661,QCSPK,3,),IF(AND(H1661="ATP",OR(I1661="TP",I1661="TDP")),VLOOKUP(E1661,QCATP_P,2,),""))))))))</f>
        <v/>
      </c>
      <c r="W1661" s="31" t="str">
        <f t="shared" si="184"/>
        <v>TRUE</v>
      </c>
      <c r="X1661" s="31" t="str">
        <f t="shared" si="181"/>
        <v/>
      </c>
      <c r="Y1661" s="10" t="s">
        <v>1096</v>
      </c>
      <c r="Z1661" s="10" t="s">
        <v>910</v>
      </c>
      <c r="AL1661" s="10" t="str">
        <f t="shared" si="186"/>
        <v>FALSE</v>
      </c>
      <c r="AM1661" s="10" t="str">
        <f t="shared" si="186"/>
        <v>FALSE</v>
      </c>
      <c r="AN1661" s="10" t="str">
        <f t="shared" si="186"/>
        <v>FALSE</v>
      </c>
      <c r="AO1661" s="10" t="str">
        <f t="shared" si="187"/>
        <v>FALSE</v>
      </c>
      <c r="AP1661" s="10" t="str">
        <f t="shared" si="187"/>
        <v>FALSE</v>
      </c>
      <c r="AQ1661" s="10" t="b">
        <f>IF(AND(I1661="TP",S1661&lt;=150),VLOOKUP(AF1661,TPCalibEq150!$AZ$2:$BB$55,3,),IF(AND(I1661="TDP",S1661&lt;=150),VLOOKUP(AF1661,TPCalibEq150!$AZ$2:$BB$55,3,)))</f>
        <v>0</v>
      </c>
      <c r="AR1661" s="10" t="b">
        <f>IF(AND(I1661="TP",S1661&lt;=300),VLOOKUP(AF1661,TPCalibEq300!$AZ$2:$BB$55,3,),IF(AND(I1661="TDP",S1661&lt;=300),VLOOKUP(AF1661,TPCalibEq300!$AZ$2:$BB$55,3,)))</f>
        <v>0</v>
      </c>
      <c r="AS1661" s="10" t="b">
        <f>IF(AND(I1661="TP",S1661&lt;=500),VLOOKUP(AF1661,TPCalibEq500!$AZ$2:$BB$56,3,),IF(AND(I1661="TDP",S1661&lt;=500),VLOOKUP(AF1661,TPCalibEq500!$AZ$2:$BB$56,3,)))</f>
        <v>0</v>
      </c>
      <c r="AT1661" s="10" t="b">
        <f>IF(AND(I1661="TN",S1661&lt;=2800),VLOOKUP(AF1661,TNCalibEq2500!$AZ$2:$BB$56,3,),IF(AND(I1661="TDN",S1661&lt;=2800),VLOOKUP(AF1661,TNCalibEq2500!$AZ$2:$BB$56,3,)))</f>
        <v>0</v>
      </c>
      <c r="AU1661" s="10" t="b">
        <f>IF(I1661="TP",VLOOKUP(AF1661,TPCalibEqFull!$AZ$2:$BB$56,3),IF(I1661="TDP",VLOOKUP(AF1661,TPCalibEqFull!$AZ$2:$BB$56,3),IF(I1661="TDN",VLOOKUP(AF1661,TNCalibEqFull!$AZ$1:$BB$56,3),IF(I1661="TN",VLOOKUP(AF1661,TNCalibEqFull!$AZ$1:$BB$56,3),FALSE))))</f>
        <v>0</v>
      </c>
      <c r="AV1661" s="10" t="str">
        <f t="shared" si="185"/>
        <v>0123 11:40:00-FVM-0-FIL-1-SW-UKN</v>
      </c>
    </row>
    <row r="1662" spans="1:48" s="10" customFormat="1" x14ac:dyDescent="0.55000000000000004">
      <c r="A1662" s="32">
        <v>44949</v>
      </c>
      <c r="B1662" s="33">
        <v>0.4861111111111111</v>
      </c>
      <c r="C1662" s="10" t="s">
        <v>437</v>
      </c>
      <c r="D1662" s="10">
        <v>0</v>
      </c>
      <c r="E1662" s="10" t="s">
        <v>911</v>
      </c>
      <c r="F1662" s="10">
        <v>2</v>
      </c>
      <c r="G1662" s="10" t="s">
        <v>231</v>
      </c>
      <c r="H1662" s="10" t="s">
        <v>322</v>
      </c>
      <c r="I1662" s="10" t="s">
        <v>209</v>
      </c>
      <c r="J1662" s="10">
        <v>64</v>
      </c>
      <c r="K1662" s="12">
        <v>44958</v>
      </c>
      <c r="L1662" s="33">
        <v>0.5727430555555556</v>
      </c>
      <c r="M1662" s="10">
        <v>1</v>
      </c>
      <c r="N1662" s="10" t="s">
        <v>169</v>
      </c>
      <c r="O1662" s="10">
        <v>3.05</v>
      </c>
      <c r="P1662" s="10">
        <v>0.14399999999999999</v>
      </c>
      <c r="Q1662" s="10">
        <v>384</v>
      </c>
      <c r="R1662" s="10" t="s">
        <v>77</v>
      </c>
      <c r="S1662" s="34">
        <f t="shared" si="182"/>
        <v>384</v>
      </c>
      <c r="T1662" s="10" t="s">
        <v>1114</v>
      </c>
      <c r="U1662" s="34" t="str">
        <f t="shared" si="183"/>
        <v/>
      </c>
      <c r="V1662" s="31" t="str">
        <f>IF(H1662="CHK",VLOOKUP(I1662,QCCHK,3,),IF(H1662="GUP",VLOOKUP(E1662,QCGUP,2,),IF(AND(H1662="ATP",OR(I1662="TN",I1662="TDN",I1662="TNO2-3",I1662="NO2-3")),VLOOKUP(E1662,QCREC_N,2,),IF(AND(H1662="NIC",OR(I1662="TN",I1662="TDN",I1662="TNO2-3",I1662="NO2-3")),VLOOKUP(E1662,QCNIC_N,2,),IF(AND(H1662="UREA",OR(I1662="TN",I1662="TDN",I1662="TNO2-3",I1662="NO2-3")),VLOOKUP(E1662,QCUREA_N,2,),IF(H1662="PER",VLOOKUP(I1662,QCPER,MATCH(E1662,QCACTUAL!$J$25:$AA$25,0),),IF(H1662="SPK",VLOOKUP(I1662,QCSPK,3,),IF(AND(H1662="ATP",OR(I1662="TP",I1662="TDP")),VLOOKUP(E1662,QCATP_P,2,),""))))))))</f>
        <v/>
      </c>
      <c r="W1662" s="31" t="str">
        <f t="shared" si="184"/>
        <v>TRUE</v>
      </c>
      <c r="X1662" s="31" t="str">
        <f t="shared" si="181"/>
        <v/>
      </c>
      <c r="Y1662" s="10" t="s">
        <v>1096</v>
      </c>
      <c r="Z1662" s="10" t="s">
        <v>910</v>
      </c>
      <c r="AL1662" s="10" t="str">
        <f t="shared" si="186"/>
        <v>FALSE</v>
      </c>
      <c r="AM1662" s="10" t="str">
        <f t="shared" si="186"/>
        <v>FALSE</v>
      </c>
      <c r="AN1662" s="10" t="str">
        <f t="shared" si="186"/>
        <v>FALSE</v>
      </c>
      <c r="AO1662" s="10" t="str">
        <f t="shared" si="187"/>
        <v>FALSE</v>
      </c>
      <c r="AP1662" s="10" t="str">
        <f t="shared" si="187"/>
        <v>FALSE</v>
      </c>
      <c r="AQ1662" s="10" t="b">
        <f>IF(AND(I1662="TP",S1662&lt;=150),VLOOKUP(AF1662,TPCalibEq150!$AZ$2:$BB$55,3,),IF(AND(I1662="TDP",S1662&lt;=150),VLOOKUP(AF1662,TPCalibEq150!$AZ$2:$BB$55,3,)))</f>
        <v>0</v>
      </c>
      <c r="AR1662" s="10" t="b">
        <f>IF(AND(I1662="TP",S1662&lt;=300),VLOOKUP(AF1662,TPCalibEq300!$AZ$2:$BB$55,3,),IF(AND(I1662="TDP",S1662&lt;=300),VLOOKUP(AF1662,TPCalibEq300!$AZ$2:$BB$55,3,)))</f>
        <v>0</v>
      </c>
      <c r="AS1662" s="10" t="b">
        <f>IF(AND(I1662="TP",S1662&lt;=500),VLOOKUP(AF1662,TPCalibEq500!$AZ$2:$BB$56,3,),IF(AND(I1662="TDP",S1662&lt;=500),VLOOKUP(AF1662,TPCalibEq500!$AZ$2:$BB$56,3,)))</f>
        <v>0</v>
      </c>
      <c r="AT1662" s="10" t="b">
        <f>IF(AND(I1662="TN",S1662&lt;=2800),VLOOKUP(AF1662,TNCalibEq2500!$AZ$2:$BB$56,3,),IF(AND(I1662="TDN",S1662&lt;=2800),VLOOKUP(AF1662,TNCalibEq2500!$AZ$2:$BB$56,3,)))</f>
        <v>0</v>
      </c>
      <c r="AU1662" s="10" t="b">
        <f>IF(I1662="TP",VLOOKUP(AF1662,TPCalibEqFull!$AZ$2:$BB$56,3),IF(I1662="TDP",VLOOKUP(AF1662,TPCalibEqFull!$AZ$2:$BB$56,3),IF(I1662="TDN",VLOOKUP(AF1662,TNCalibEqFull!$AZ$1:$BB$56,3),IF(I1662="TN",VLOOKUP(AF1662,TNCalibEqFull!$AZ$1:$BB$56,3),FALSE))))</f>
        <v>0</v>
      </c>
      <c r="AV1662" s="10" t="str">
        <f t="shared" si="185"/>
        <v>0123 11:40:00-FVM-0-FIL-2-SW-UKN</v>
      </c>
    </row>
    <row r="1663" spans="1:48" s="10" customFormat="1" x14ac:dyDescent="0.55000000000000004">
      <c r="A1663" s="32">
        <v>44949</v>
      </c>
      <c r="B1663" s="33">
        <v>0.4861111111111111</v>
      </c>
      <c r="C1663" s="10" t="s">
        <v>437</v>
      </c>
      <c r="D1663" s="10">
        <v>0</v>
      </c>
      <c r="E1663" s="10" t="s">
        <v>911</v>
      </c>
      <c r="F1663" s="10">
        <v>2</v>
      </c>
      <c r="G1663" s="10" t="s">
        <v>231</v>
      </c>
      <c r="H1663" s="10" t="s">
        <v>233</v>
      </c>
      <c r="I1663" s="10" t="s">
        <v>209</v>
      </c>
      <c r="J1663" s="10">
        <v>64</v>
      </c>
      <c r="K1663" s="12">
        <v>44958</v>
      </c>
      <c r="L1663" s="33">
        <v>0.57356481481481481</v>
      </c>
      <c r="M1663" s="10">
        <v>1</v>
      </c>
      <c r="N1663" s="10" t="s">
        <v>169</v>
      </c>
      <c r="O1663" s="10">
        <v>1.81</v>
      </c>
      <c r="P1663" s="10">
        <v>8.5500000000000007E-2</v>
      </c>
      <c r="Q1663" s="10">
        <v>228</v>
      </c>
      <c r="R1663" s="10" t="s">
        <v>77</v>
      </c>
      <c r="S1663" s="34">
        <f t="shared" si="182"/>
        <v>228</v>
      </c>
      <c r="T1663" s="10" t="s">
        <v>1114</v>
      </c>
      <c r="U1663" s="34">
        <f t="shared" si="183"/>
        <v>50.980392156862742</v>
      </c>
      <c r="V1663" s="31" t="str">
        <f>IF(H1663="CHK",VLOOKUP(I1663,QCCHK,3,),IF(H1663="GUP",VLOOKUP(E1663,QCGUP,2,),IF(AND(H1663="ATP",OR(I1663="TN",I1663="TDN",I1663="TNO2-3",I1663="NO2-3")),VLOOKUP(E1663,QCREC_N,2,),IF(AND(H1663="NIC",OR(I1663="TN",I1663="TDN",I1663="TNO2-3",I1663="NO2-3")),VLOOKUP(E1663,QCNIC_N,2,),IF(AND(H1663="UREA",OR(I1663="TN",I1663="TDN",I1663="TNO2-3",I1663="NO2-3")),VLOOKUP(E1663,QCUREA_N,2,),IF(H1663="PER",VLOOKUP(I1663,QCPER,MATCH(E1663,QCACTUAL!$J$25:$AA$25,0),),IF(H1663="SPK",VLOOKUP(I1663,QCSPK,3,),IF(AND(H1663="ATP",OR(I1663="TP",I1663="TDP")),VLOOKUP(E1663,QCATP_P,2,),""))))))))</f>
        <v/>
      </c>
      <c r="W1663" s="31" t="str">
        <f t="shared" si="184"/>
        <v>FALSE</v>
      </c>
      <c r="X1663" s="31" t="str">
        <f t="shared" ref="X1663:X1726" si="188">IF(ISNA(VLOOKUP(H1663,QCEQUATIONS,2,)),"",(VLOOKUP(H1663,QCEQUATIONS,2,)))</f>
        <v>((ABS(rep1-rep2))/((rep1+rep2)/2)*100</v>
      </c>
      <c r="Y1663" s="10" t="s">
        <v>1096</v>
      </c>
      <c r="Z1663" s="10" t="s">
        <v>910</v>
      </c>
      <c r="AL1663" s="10" t="str">
        <f t="shared" si="186"/>
        <v>FALSE</v>
      </c>
      <c r="AM1663" s="10" t="str">
        <f t="shared" si="186"/>
        <v>FALSE</v>
      </c>
      <c r="AN1663" s="10" t="str">
        <f t="shared" si="186"/>
        <v>FALSE</v>
      </c>
      <c r="AO1663" s="10" t="str">
        <f t="shared" si="187"/>
        <v>FALSE</v>
      </c>
      <c r="AP1663" s="10" t="str">
        <f t="shared" si="187"/>
        <v>FALSE</v>
      </c>
      <c r="AQ1663" s="10" t="b">
        <f>IF(AND(I1663="TP",S1663&lt;=150),VLOOKUP(AF1663,TPCalibEq150!$AZ$2:$BB$55,3,),IF(AND(I1663="TDP",S1663&lt;=150),VLOOKUP(AF1663,TPCalibEq150!$AZ$2:$BB$55,3,)))</f>
        <v>0</v>
      </c>
      <c r="AR1663" s="10" t="b">
        <f>IF(AND(I1663="TP",S1663&lt;=300),VLOOKUP(AF1663,TPCalibEq300!$AZ$2:$BB$55,3,),IF(AND(I1663="TDP",S1663&lt;=300),VLOOKUP(AF1663,TPCalibEq300!$AZ$2:$BB$55,3,)))</f>
        <v>0</v>
      </c>
      <c r="AS1663" s="10" t="b">
        <f>IF(AND(I1663="TP",S1663&lt;=500),VLOOKUP(AF1663,TPCalibEq500!$AZ$2:$BB$56,3,),IF(AND(I1663="TDP",S1663&lt;=500),VLOOKUP(AF1663,TPCalibEq500!$AZ$2:$BB$56,3,)))</f>
        <v>0</v>
      </c>
      <c r="AT1663" s="10" t="b">
        <f>IF(AND(I1663="TN",S1663&lt;=2800),VLOOKUP(AF1663,TNCalibEq2500!$AZ$2:$BB$56,3,),IF(AND(I1663="TDN",S1663&lt;=2800),VLOOKUP(AF1663,TNCalibEq2500!$AZ$2:$BB$56,3,)))</f>
        <v>0</v>
      </c>
      <c r="AU1663" s="10" t="b">
        <f>IF(I1663="TP",VLOOKUP(AF1663,TPCalibEqFull!$AZ$2:$BB$56,3),IF(I1663="TDP",VLOOKUP(AF1663,TPCalibEqFull!$AZ$2:$BB$56,3),IF(I1663="TDN",VLOOKUP(AF1663,TNCalibEqFull!$AZ$1:$BB$56,3),IF(I1663="TN",VLOOKUP(AF1663,TNCalibEqFull!$AZ$1:$BB$56,3),FALSE))))</f>
        <v>0</v>
      </c>
      <c r="AV1663" s="10" t="str">
        <f t="shared" si="185"/>
        <v>0123 11:40:00-FVM-0-FIL-2-SW-DUP</v>
      </c>
    </row>
    <row r="1664" spans="1:48" s="10" customFormat="1" x14ac:dyDescent="0.55000000000000004">
      <c r="A1664" s="32">
        <v>44949</v>
      </c>
      <c r="B1664" s="33">
        <v>0.4861111111111111</v>
      </c>
      <c r="C1664" s="10" t="s">
        <v>437</v>
      </c>
      <c r="D1664" s="10">
        <v>0</v>
      </c>
      <c r="E1664" s="10" t="s">
        <v>911</v>
      </c>
      <c r="F1664" s="10">
        <v>2</v>
      </c>
      <c r="G1664" s="10" t="s">
        <v>231</v>
      </c>
      <c r="H1664" s="10" t="s">
        <v>314</v>
      </c>
      <c r="I1664" s="10" t="s">
        <v>209</v>
      </c>
      <c r="J1664" s="10">
        <v>88</v>
      </c>
      <c r="K1664" s="12">
        <v>44958</v>
      </c>
      <c r="L1664" s="33">
        <v>0.57437499999999997</v>
      </c>
      <c r="M1664" s="10">
        <v>1</v>
      </c>
      <c r="N1664" s="10" t="s">
        <v>169</v>
      </c>
      <c r="O1664" s="10">
        <v>7.29</v>
      </c>
      <c r="P1664" s="10">
        <v>0.34599999999999997</v>
      </c>
      <c r="Q1664" s="10">
        <v>918</v>
      </c>
      <c r="R1664" s="10" t="s">
        <v>77</v>
      </c>
      <c r="S1664" s="34">
        <f t="shared" ref="S1664:S1727" si="189">IF(OR(AND(I1664&lt;&gt;"TP", I1664&lt;&gt;"TDP",I1664&lt;&gt;"TN", I1664&lt;&gt;"TDN"),H1664="CAL"), Q1664*M1664, IF(OR(AND(I1664="TN", Q1664&gt;2500), AND(I1664="TDN", Q1664&gt;2500)),MAX(Q1664, AK1664)*M1664, IF(OR(AND(I1664="TN", Q1664&lt;=2500), AND(I1664="TDN", Q1664&lt;=2500)),MAX(Q1664, AJ1664,AK1664)*M1664, IF(OR(AND(I1664="TP",Q1664&gt;500), AND(I1664="TDP", Q1664&gt;500)),MAX(Q1664,AK1664)*M1664,IF(OR(AND(I1664="TP",Q1664&lt;=150), AND(I1664="TDP", Q1664&lt;=150)),MAX(Q1664,AG1664:AI1664,AK1664)*M1664,IF(OR(AND(I1664="TP",Q1664&lt;=300), AND(I1664="TDP", Q1664&lt;=300)),MAX(Q1664,AH1664,AI1664,AK1664)*M1664,IF(OR(AND(I1664="TP",Q1664&lt;=500), AND(I1664="TDP", Q1664&lt;=500)),MAX(Q1664,AI1664,AK1664)*M1664,"")))))))</f>
        <v>918</v>
      </c>
      <c r="T1664" s="10" t="s">
        <v>1114</v>
      </c>
      <c r="U1664" s="34">
        <f t="shared" si="183"/>
        <v>110.4</v>
      </c>
      <c r="V1664" s="31">
        <f>IF(H1664="CHK",VLOOKUP(I1664,QCCHK,3,),IF(H1664="GUP",VLOOKUP(E1664,QCGUP,2,),IF(AND(H1664="ATP",OR(I1664="TN",I1664="TDN",I1664="TNO2-3",I1664="NO2-3")),VLOOKUP(E1664,QCREC_N,2,),IF(AND(H1664="NIC",OR(I1664="TN",I1664="TDN",I1664="TNO2-3",I1664="NO2-3")),VLOOKUP(E1664,QCNIC_N,2,),IF(AND(H1664="UREA",OR(I1664="TN",I1664="TDN",I1664="TNO2-3",I1664="NO2-3")),VLOOKUP(E1664,QCUREA_N,2,),IF(H1664="PER",VLOOKUP(I1664,QCPER,MATCH(E1664,QCACTUAL!$J$25:$AA$25,0),),IF(H1664="SPK",VLOOKUP(I1664,QCSPK,3,),IF(AND(H1664="ATP",OR(I1664="TP",I1664="TDP")),VLOOKUP(E1664,QCATP_P,2,),""))))))))</f>
        <v>625</v>
      </c>
      <c r="W1664" s="31" t="str">
        <f t="shared" si="184"/>
        <v>TRUE</v>
      </c>
      <c r="X1664" s="31" t="str">
        <f t="shared" si="188"/>
        <v>([spikedunkn]-[unkn])/[spike]*100</v>
      </c>
      <c r="Y1664" s="10" t="s">
        <v>1096</v>
      </c>
      <c r="Z1664" s="10" t="s">
        <v>910</v>
      </c>
      <c r="AL1664" s="10" t="str">
        <f t="shared" si="186"/>
        <v>FALSE</v>
      </c>
      <c r="AM1664" s="10" t="str">
        <f t="shared" si="186"/>
        <v>FALSE</v>
      </c>
      <c r="AN1664" s="10" t="str">
        <f t="shared" si="186"/>
        <v>FALSE</v>
      </c>
      <c r="AO1664" s="10" t="str">
        <f t="shared" si="187"/>
        <v>FALSE</v>
      </c>
      <c r="AP1664" s="10" t="str">
        <f t="shared" si="187"/>
        <v>FALSE</v>
      </c>
      <c r="AQ1664" s="10" t="b">
        <f>IF(AND(I1664="TP",S1664&lt;=150),VLOOKUP(AF1664,TPCalibEq150!$AZ$2:$BB$55,3,),IF(AND(I1664="TDP",S1664&lt;=150),VLOOKUP(AF1664,TPCalibEq150!$AZ$2:$BB$55,3,)))</f>
        <v>0</v>
      </c>
      <c r="AR1664" s="10" t="b">
        <f>IF(AND(I1664="TP",S1664&lt;=300),VLOOKUP(AF1664,TPCalibEq300!$AZ$2:$BB$55,3,),IF(AND(I1664="TDP",S1664&lt;=300),VLOOKUP(AF1664,TPCalibEq300!$AZ$2:$BB$55,3,)))</f>
        <v>0</v>
      </c>
      <c r="AS1664" s="10" t="b">
        <f>IF(AND(I1664="TP",S1664&lt;=500),VLOOKUP(AF1664,TPCalibEq500!$AZ$2:$BB$56,3,),IF(AND(I1664="TDP",S1664&lt;=500),VLOOKUP(AF1664,TPCalibEq500!$AZ$2:$BB$56,3,)))</f>
        <v>0</v>
      </c>
      <c r="AT1664" s="10" t="b">
        <f>IF(AND(I1664="TN",S1664&lt;=2800),VLOOKUP(AF1664,TNCalibEq2500!$AZ$2:$BB$56,3,),IF(AND(I1664="TDN",S1664&lt;=2800),VLOOKUP(AF1664,TNCalibEq2500!$AZ$2:$BB$56,3,)))</f>
        <v>0</v>
      </c>
      <c r="AU1664" s="10" t="b">
        <f>IF(I1664="TP",VLOOKUP(AF1664,TPCalibEqFull!$AZ$2:$BB$56,3),IF(I1664="TDP",VLOOKUP(AF1664,TPCalibEqFull!$AZ$2:$BB$56,3),IF(I1664="TDN",VLOOKUP(AF1664,TNCalibEqFull!$AZ$1:$BB$56,3),IF(I1664="TN",VLOOKUP(AF1664,TNCalibEqFull!$AZ$1:$BB$56,3),FALSE))))</f>
        <v>0</v>
      </c>
      <c r="AV1664" s="10" t="str">
        <f t="shared" si="185"/>
        <v>0123 11:40:00-FVM-0-FIL-2-SW-SPK</v>
      </c>
    </row>
    <row r="1665" spans="1:48" s="10" customFormat="1" x14ac:dyDescent="0.55000000000000004">
      <c r="A1665" s="32">
        <v>44958</v>
      </c>
      <c r="B1665" s="33">
        <v>0.375</v>
      </c>
      <c r="C1665" s="10" t="s">
        <v>70</v>
      </c>
      <c r="D1665" s="10" t="s">
        <v>71</v>
      </c>
      <c r="E1665" s="10" t="s">
        <v>901</v>
      </c>
      <c r="F1665" s="10">
        <v>1</v>
      </c>
      <c r="G1665" s="10" t="s">
        <v>73</v>
      </c>
      <c r="H1665" s="10" t="s">
        <v>207</v>
      </c>
      <c r="I1665" s="10" t="s">
        <v>256</v>
      </c>
      <c r="J1665" s="10">
        <v>201</v>
      </c>
      <c r="K1665" s="12">
        <v>44958</v>
      </c>
      <c r="L1665" s="33">
        <v>0.57520833333333332</v>
      </c>
      <c r="M1665" s="10">
        <v>1</v>
      </c>
      <c r="N1665" s="10" t="s">
        <v>169</v>
      </c>
      <c r="O1665" s="10">
        <v>2.39</v>
      </c>
      <c r="P1665" s="10">
        <v>0.11600000000000001</v>
      </c>
      <c r="Q1665" s="10">
        <v>301</v>
      </c>
      <c r="R1665" s="10" t="s">
        <v>77</v>
      </c>
      <c r="S1665" s="34">
        <f t="shared" si="189"/>
        <v>301</v>
      </c>
      <c r="T1665" s="10" t="s">
        <v>1114</v>
      </c>
      <c r="U1665" s="34">
        <f t="shared" si="183"/>
        <v>100.33333333333334</v>
      </c>
      <c r="V1665" s="31">
        <f>IF(H1665="CHK",VLOOKUP(I1665,QCCHK,3,),IF(H1665="GUP",VLOOKUP(E1665,QCGUP,2,),IF(AND(H1665="ATP",OR(I1665="TN",I1665="TDN",I1665="TNO2-3",I1665="NO2-3")),VLOOKUP(E1665,QCREC_N,2,),IF(AND(H1665="NIC",OR(I1665="TN",I1665="TDN",I1665="TNO2-3",I1665="NO2-3")),VLOOKUP(E1665,QCNIC_N,2,),IF(AND(H1665="UREA",OR(I1665="TN",I1665="TDN",I1665="TNO2-3",I1665="NO2-3")),VLOOKUP(E1665,QCUREA_N,2,),IF(H1665="PER",VLOOKUP(I1665,QCPER,MATCH(E1665,QCACTUAL!$J$25:$AA$25,0),),IF(H1665="SPK",VLOOKUP(I1665,QCSPK,3,),IF(AND(H1665="ATP",OR(I1665="TP",I1665="TDP")),VLOOKUP(E1665,QCATP_P,2,),""))))))))</f>
        <v>300</v>
      </c>
      <c r="W1665" s="31" t="str">
        <f t="shared" si="184"/>
        <v>TRUE</v>
      </c>
      <c r="X1665" s="31" t="str">
        <f t="shared" si="188"/>
        <v>[chk]/[actual]*100</v>
      </c>
      <c r="Y1665" s="10" t="s">
        <v>1096</v>
      </c>
      <c r="AL1665" s="10" t="str">
        <f t="shared" si="186"/>
        <v>FALSE</v>
      </c>
      <c r="AM1665" s="10" t="str">
        <f t="shared" si="186"/>
        <v>FALSE</v>
      </c>
      <c r="AN1665" s="10" t="str">
        <f t="shared" si="186"/>
        <v>FALSE</v>
      </c>
      <c r="AO1665" s="10" t="str">
        <f t="shared" si="187"/>
        <v>FALSE</v>
      </c>
      <c r="AP1665" s="10" t="str">
        <f t="shared" si="187"/>
        <v>FALSE</v>
      </c>
      <c r="AQ1665" s="10" t="b">
        <f>IF(AND(I1665="TP",S1665&lt;=150),VLOOKUP(AF1665,TPCalibEq150!$AZ$2:$BB$55,3,),IF(AND(I1665="TDP",S1665&lt;=150),VLOOKUP(AF1665,TPCalibEq150!$AZ$2:$BB$55,3,)))</f>
        <v>0</v>
      </c>
      <c r="AR1665" s="10" t="b">
        <f>IF(AND(I1665="TP",S1665&lt;=300),VLOOKUP(AF1665,TPCalibEq300!$AZ$2:$BB$55,3,),IF(AND(I1665="TDP",S1665&lt;=300),VLOOKUP(AF1665,TPCalibEq300!$AZ$2:$BB$55,3,)))</f>
        <v>0</v>
      </c>
      <c r="AS1665" s="10" t="b">
        <f>IF(AND(I1665="TP",S1665&lt;=500),VLOOKUP(AF1665,TPCalibEq500!$AZ$2:$BB$56,3,),IF(AND(I1665="TDP",S1665&lt;=500),VLOOKUP(AF1665,TPCalibEq500!$AZ$2:$BB$56,3,)))</f>
        <v>0</v>
      </c>
      <c r="AT1665" s="10" t="b">
        <f>IF(AND(I1665="TN",S1665&lt;=2800),VLOOKUP(AF1665,TNCalibEq2500!$AZ$2:$BB$56,3,),IF(AND(I1665="TDN",S1665&lt;=2800),VLOOKUP(AF1665,TNCalibEq2500!$AZ$2:$BB$56,3,)))</f>
        <v>0</v>
      </c>
      <c r="AU1665" s="10" t="b">
        <f>IF(I1665="TP",VLOOKUP(AF1665,TPCalibEqFull!$AZ$2:$BB$56,3),IF(I1665="TDP",VLOOKUP(AF1665,TPCalibEqFull!$AZ$2:$BB$56,3),IF(I1665="TDN",VLOOKUP(AF1665,TNCalibEqFull!$AZ$1:$BB$56,3),IF(I1665="TN",VLOOKUP(AF1665,TNCalibEqFull!$AZ$1:$BB$56,3),FALSE))))</f>
        <v>0</v>
      </c>
      <c r="AV1665" s="10" t="str">
        <f t="shared" si="185"/>
        <v>0201 09:00:00-QAC-STD-D-1-DI-CHK</v>
      </c>
    </row>
    <row r="1666" spans="1:48" s="10" customFormat="1" x14ac:dyDescent="0.55000000000000004">
      <c r="A1666" s="32">
        <v>44949</v>
      </c>
      <c r="B1666" s="33">
        <v>0.49861111111111112</v>
      </c>
      <c r="C1666" s="10" t="s">
        <v>336</v>
      </c>
      <c r="D1666" s="10">
        <v>0</v>
      </c>
      <c r="E1666" s="10" t="s">
        <v>911</v>
      </c>
      <c r="F1666" s="10">
        <v>1</v>
      </c>
      <c r="G1666" s="10" t="s">
        <v>231</v>
      </c>
      <c r="H1666" s="10" t="s">
        <v>322</v>
      </c>
      <c r="I1666" s="10" t="s">
        <v>209</v>
      </c>
      <c r="J1666" s="10">
        <v>65</v>
      </c>
      <c r="K1666" s="12">
        <v>44958</v>
      </c>
      <c r="L1666" s="33">
        <v>0.57601851851851849</v>
      </c>
      <c r="M1666" s="10">
        <v>1</v>
      </c>
      <c r="N1666" s="10" t="s">
        <v>169</v>
      </c>
      <c r="O1666" s="10">
        <v>4.4400000000000004</v>
      </c>
      <c r="P1666" s="10">
        <v>0.21199999999999999</v>
      </c>
      <c r="Q1666" s="10">
        <v>559</v>
      </c>
      <c r="R1666" s="10" t="s">
        <v>77</v>
      </c>
      <c r="S1666" s="34">
        <f t="shared" si="189"/>
        <v>559</v>
      </c>
      <c r="T1666" s="10" t="s">
        <v>1114</v>
      </c>
      <c r="U1666" s="34" t="str">
        <f t="shared" ref="U1666:U1729" si="190">IF(OR(H1666="CHK",H1666="ATP",H1666="GUP",H1666="PER", H1666="NIC", H1666="UREA"),(S1666/V1666*100),IF(H1666="DUP",((ABS(S1666-S1665))/((S1665+S1666)/2))*100,IF(H1666="SPK",((S1666-S1665)/V1666*100),IF(OR(H1666="LAB",H1666="FLD",H1666="ESF"),S1666,""))))</f>
        <v/>
      </c>
      <c r="V1666" s="31" t="str">
        <f>IF(H1666="CHK",VLOOKUP(I1666,QCCHK,3,),IF(H1666="GUP",VLOOKUP(E1666,QCGUP,2,),IF(AND(H1666="ATP",OR(I1666="TN",I1666="TDN",I1666="TNO2-3",I1666="NO2-3")),VLOOKUP(E1666,QCREC_N,2,),IF(AND(H1666="NIC",OR(I1666="TN",I1666="TDN",I1666="TNO2-3",I1666="NO2-3")),VLOOKUP(E1666,QCNIC_N,2,),IF(AND(H1666="UREA",OR(I1666="TN",I1666="TDN",I1666="TNO2-3",I1666="NO2-3")),VLOOKUP(E1666,QCUREA_N,2,),IF(H1666="PER",VLOOKUP(I1666,QCPER,MATCH(E1666,QCACTUAL!$J$25:$AA$25,0),),IF(H1666="SPK",VLOOKUP(I1666,QCSPK,3,),IF(AND(H1666="ATP",OR(I1666="TP",I1666="TDP")),VLOOKUP(E1666,QCATP_P,2,),""))))))))</f>
        <v/>
      </c>
      <c r="W1666" s="31" t="str">
        <f t="shared" ref="W1666:W1729" si="191">IF(AND(OR(H1666="PER",H1666="ATP",H1666="GUP",H1666="CHK",H1666="SPK", H1666="NIC"),OR(U1666&gt;125,U1666&lt;75)),"FALSE",IF(AND(H1666="DUP",OR(U1666&gt;25, U1666&lt;-25)),"FALSE",IF(AND(OR(H1666="LAB",H1666="FLD",H1666="ESF"),U1666&gt;15),"FALSE","TRUE")))</f>
        <v>TRUE</v>
      </c>
      <c r="X1666" s="31" t="str">
        <f t="shared" si="188"/>
        <v/>
      </c>
      <c r="Y1666" s="10" t="s">
        <v>1096</v>
      </c>
      <c r="Z1666" s="10" t="s">
        <v>910</v>
      </c>
      <c r="AL1666" s="10" t="str">
        <f t="shared" si="186"/>
        <v>FALSE</v>
      </c>
      <c r="AM1666" s="10" t="str">
        <f t="shared" si="186"/>
        <v>FALSE</v>
      </c>
      <c r="AN1666" s="10" t="str">
        <f t="shared" si="186"/>
        <v>FALSE</v>
      </c>
      <c r="AO1666" s="10" t="str">
        <f t="shared" si="187"/>
        <v>FALSE</v>
      </c>
      <c r="AP1666" s="10" t="str">
        <f t="shared" si="187"/>
        <v>FALSE</v>
      </c>
      <c r="AQ1666" s="10" t="b">
        <f>IF(AND(I1666="TP",S1666&lt;=150),VLOOKUP(AF1666,TPCalibEq150!$AZ$2:$BB$55,3,),IF(AND(I1666="TDP",S1666&lt;=150),VLOOKUP(AF1666,TPCalibEq150!$AZ$2:$BB$55,3,)))</f>
        <v>0</v>
      </c>
      <c r="AR1666" s="10" t="b">
        <f>IF(AND(I1666="TP",S1666&lt;=300),VLOOKUP(AF1666,TPCalibEq300!$AZ$2:$BB$55,3,),IF(AND(I1666="TDP",S1666&lt;=300),VLOOKUP(AF1666,TPCalibEq300!$AZ$2:$BB$55,3,)))</f>
        <v>0</v>
      </c>
      <c r="AS1666" s="10" t="b">
        <f>IF(AND(I1666="TP",S1666&lt;=500),VLOOKUP(AF1666,TPCalibEq500!$AZ$2:$BB$56,3,),IF(AND(I1666="TDP",S1666&lt;=500),VLOOKUP(AF1666,TPCalibEq500!$AZ$2:$BB$56,3,)))</f>
        <v>0</v>
      </c>
      <c r="AT1666" s="10" t="b">
        <f>IF(AND(I1666="TN",S1666&lt;=2800),VLOOKUP(AF1666,TNCalibEq2500!$AZ$2:$BB$56,3,),IF(AND(I1666="TDN",S1666&lt;=2800),VLOOKUP(AF1666,TNCalibEq2500!$AZ$2:$BB$56,3,)))</f>
        <v>0</v>
      </c>
      <c r="AU1666" s="10" t="b">
        <f>IF(I1666="TP",VLOOKUP(AF1666,TPCalibEqFull!$AZ$2:$BB$56,3),IF(I1666="TDP",VLOOKUP(AF1666,TPCalibEqFull!$AZ$2:$BB$56,3),IF(I1666="TDN",VLOOKUP(AF1666,TNCalibEqFull!$AZ$1:$BB$56,3),IF(I1666="TN",VLOOKUP(AF1666,TNCalibEqFull!$AZ$1:$BB$56,3),FALSE))))</f>
        <v>0</v>
      </c>
      <c r="AV1666" s="10" t="str">
        <f t="shared" ref="AV1666:AV1729" si="192">TEXT(A1666, "MMDD")&amp;" "&amp;TEXT(B1666, "HH:MM:SS")&amp;"-"&amp;C1666&amp;"-"&amp;D1666&amp;"-"&amp;E1666&amp;"-"&amp;F1666&amp;"-"&amp;G1666&amp;"-"&amp;H1666</f>
        <v>0123 11:58:00-HWR-0-FIL-1-SW-UKN</v>
      </c>
    </row>
    <row r="1667" spans="1:48" s="10" customFormat="1" x14ac:dyDescent="0.55000000000000004">
      <c r="A1667" s="32">
        <v>44949</v>
      </c>
      <c r="B1667" s="33">
        <v>0.50555555555555554</v>
      </c>
      <c r="C1667" s="10" t="s">
        <v>295</v>
      </c>
      <c r="D1667" s="10">
        <v>0</v>
      </c>
      <c r="E1667" s="10" t="s">
        <v>911</v>
      </c>
      <c r="F1667" s="10">
        <v>1</v>
      </c>
      <c r="G1667" s="10" t="s">
        <v>231</v>
      </c>
      <c r="H1667" s="10" t="s">
        <v>322</v>
      </c>
      <c r="I1667" s="10" t="s">
        <v>209</v>
      </c>
      <c r="J1667" s="10">
        <v>66</v>
      </c>
      <c r="K1667" s="12">
        <v>44958</v>
      </c>
      <c r="L1667" s="33">
        <v>0.5768402777777778</v>
      </c>
      <c r="M1667" s="10">
        <v>1</v>
      </c>
      <c r="N1667" s="10" t="s">
        <v>169</v>
      </c>
      <c r="O1667" s="10">
        <v>10.8</v>
      </c>
      <c r="P1667" s="10">
        <v>0.51600000000000001</v>
      </c>
      <c r="Q1667" s="10">
        <v>1360</v>
      </c>
      <c r="R1667" s="10" t="s">
        <v>77</v>
      </c>
      <c r="S1667" s="34">
        <f t="shared" si="189"/>
        <v>1360</v>
      </c>
      <c r="T1667" s="10" t="s">
        <v>1114</v>
      </c>
      <c r="U1667" s="34" t="str">
        <f t="shared" si="190"/>
        <v/>
      </c>
      <c r="V1667" s="31" t="str">
        <f>IF(H1667="CHK",VLOOKUP(I1667,QCCHK,3,),IF(H1667="GUP",VLOOKUP(E1667,QCGUP,2,),IF(AND(H1667="ATP",OR(I1667="TN",I1667="TDN",I1667="TNO2-3",I1667="NO2-3")),VLOOKUP(E1667,QCREC_N,2,),IF(AND(H1667="NIC",OR(I1667="TN",I1667="TDN",I1667="TNO2-3",I1667="NO2-3")),VLOOKUP(E1667,QCNIC_N,2,),IF(AND(H1667="UREA",OR(I1667="TN",I1667="TDN",I1667="TNO2-3",I1667="NO2-3")),VLOOKUP(E1667,QCUREA_N,2,),IF(H1667="PER",VLOOKUP(I1667,QCPER,MATCH(E1667,QCACTUAL!$J$25:$AA$25,0),),IF(H1667="SPK",VLOOKUP(I1667,QCSPK,3,),IF(AND(H1667="ATP",OR(I1667="TP",I1667="TDP")),VLOOKUP(E1667,QCATP_P,2,),""))))))))</f>
        <v/>
      </c>
      <c r="W1667" s="31" t="str">
        <f t="shared" si="191"/>
        <v>TRUE</v>
      </c>
      <c r="X1667" s="31" t="str">
        <f t="shared" si="188"/>
        <v/>
      </c>
      <c r="Y1667" s="10" t="s">
        <v>1096</v>
      </c>
      <c r="Z1667" s="10" t="s">
        <v>910</v>
      </c>
      <c r="AL1667" s="10" t="str">
        <f t="shared" si="186"/>
        <v>FALSE</v>
      </c>
      <c r="AM1667" s="10" t="str">
        <f t="shared" si="186"/>
        <v>FALSE</v>
      </c>
      <c r="AN1667" s="10" t="str">
        <f t="shared" si="186"/>
        <v>FALSE</v>
      </c>
      <c r="AO1667" s="10" t="str">
        <f t="shared" si="187"/>
        <v>FALSE</v>
      </c>
      <c r="AP1667" s="10" t="str">
        <f t="shared" si="187"/>
        <v>FALSE</v>
      </c>
      <c r="AQ1667" s="10" t="b">
        <f>IF(AND(I1667="TP",S1667&lt;=150),VLOOKUP(AF1667,TPCalibEq150!$AZ$2:$BB$55,3,),IF(AND(I1667="TDP",S1667&lt;=150),VLOOKUP(AF1667,TPCalibEq150!$AZ$2:$BB$55,3,)))</f>
        <v>0</v>
      </c>
      <c r="AR1667" s="10" t="b">
        <f>IF(AND(I1667="TP",S1667&lt;=300),VLOOKUP(AF1667,TPCalibEq300!$AZ$2:$BB$55,3,),IF(AND(I1667="TDP",S1667&lt;=300),VLOOKUP(AF1667,TPCalibEq300!$AZ$2:$BB$55,3,)))</f>
        <v>0</v>
      </c>
      <c r="AS1667" s="10" t="b">
        <f>IF(AND(I1667="TP",S1667&lt;=500),VLOOKUP(AF1667,TPCalibEq500!$AZ$2:$BB$56,3,),IF(AND(I1667="TDP",S1667&lt;=500),VLOOKUP(AF1667,TPCalibEq500!$AZ$2:$BB$56,3,)))</f>
        <v>0</v>
      </c>
      <c r="AT1667" s="10" t="b">
        <f>IF(AND(I1667="TN",S1667&lt;=2800),VLOOKUP(AF1667,TNCalibEq2500!$AZ$2:$BB$56,3,),IF(AND(I1667="TDN",S1667&lt;=2800),VLOOKUP(AF1667,TNCalibEq2500!$AZ$2:$BB$56,3,)))</f>
        <v>0</v>
      </c>
      <c r="AU1667" s="10" t="b">
        <f>IF(I1667="TP",VLOOKUP(AF1667,TPCalibEqFull!$AZ$2:$BB$56,3),IF(I1667="TDP",VLOOKUP(AF1667,TPCalibEqFull!$AZ$2:$BB$56,3),IF(I1667="TDN",VLOOKUP(AF1667,TNCalibEqFull!$AZ$1:$BB$56,3),IF(I1667="TN",VLOOKUP(AF1667,TNCalibEqFull!$AZ$1:$BB$56,3),FALSE))))</f>
        <v>0</v>
      </c>
      <c r="AV1667" s="10" t="str">
        <f t="shared" si="192"/>
        <v>0123 12:08:00-EFM-0-FIL-1-SW-UKN</v>
      </c>
    </row>
    <row r="1668" spans="1:48" s="10" customFormat="1" x14ac:dyDescent="0.55000000000000004">
      <c r="A1668" s="32">
        <v>44949</v>
      </c>
      <c r="B1668" s="33">
        <v>0.52500000000000002</v>
      </c>
      <c r="C1668" s="10" t="s">
        <v>999</v>
      </c>
      <c r="D1668" s="10">
        <v>0</v>
      </c>
      <c r="E1668" s="10" t="s">
        <v>911</v>
      </c>
      <c r="F1668" s="10">
        <v>1</v>
      </c>
      <c r="G1668" s="10" t="s">
        <v>231</v>
      </c>
      <c r="H1668" s="10" t="s">
        <v>322</v>
      </c>
      <c r="I1668" s="10" t="s">
        <v>209</v>
      </c>
      <c r="J1668" s="10">
        <v>67</v>
      </c>
      <c r="K1668" s="12">
        <v>44958</v>
      </c>
      <c r="L1668" s="33">
        <v>0.57765046296296296</v>
      </c>
      <c r="M1668" s="10">
        <v>1</v>
      </c>
      <c r="N1668" s="10" t="s">
        <v>169</v>
      </c>
      <c r="O1668" s="10">
        <v>6.31</v>
      </c>
      <c r="P1668" s="10">
        <v>0.30099999999999999</v>
      </c>
      <c r="Q1668" s="10">
        <v>794</v>
      </c>
      <c r="R1668" s="10" t="s">
        <v>77</v>
      </c>
      <c r="S1668" s="34">
        <f t="shared" si="189"/>
        <v>794</v>
      </c>
      <c r="T1668" s="10" t="s">
        <v>1114</v>
      </c>
      <c r="U1668" s="34" t="str">
        <f t="shared" si="190"/>
        <v/>
      </c>
      <c r="V1668" s="31" t="str">
        <f>IF(H1668="CHK",VLOOKUP(I1668,QCCHK,3,),IF(H1668="GUP",VLOOKUP(E1668,QCGUP,2,),IF(AND(H1668="ATP",OR(I1668="TN",I1668="TDN",I1668="TNO2-3",I1668="NO2-3")),VLOOKUP(E1668,QCREC_N,2,),IF(AND(H1668="NIC",OR(I1668="TN",I1668="TDN",I1668="TNO2-3",I1668="NO2-3")),VLOOKUP(E1668,QCNIC_N,2,),IF(AND(H1668="UREA",OR(I1668="TN",I1668="TDN",I1668="TNO2-3",I1668="NO2-3")),VLOOKUP(E1668,QCUREA_N,2,),IF(H1668="PER",VLOOKUP(I1668,QCPER,MATCH(E1668,QCACTUAL!$J$25:$AA$25,0),),IF(H1668="SPK",VLOOKUP(I1668,QCSPK,3,),IF(AND(H1668="ATP",OR(I1668="TP",I1668="TDP")),VLOOKUP(E1668,QCATP_P,2,),""))))))))</f>
        <v/>
      </c>
      <c r="W1668" s="31" t="str">
        <f t="shared" si="191"/>
        <v>TRUE</v>
      </c>
      <c r="X1668" s="31" t="str">
        <f t="shared" si="188"/>
        <v/>
      </c>
      <c r="Y1668" s="10" t="s">
        <v>1096</v>
      </c>
      <c r="Z1668" s="10" t="s">
        <v>910</v>
      </c>
      <c r="AL1668" s="10" t="str">
        <f t="shared" si="186"/>
        <v>FALSE</v>
      </c>
      <c r="AM1668" s="10" t="str">
        <f t="shared" si="186"/>
        <v>FALSE</v>
      </c>
      <c r="AN1668" s="10" t="str">
        <f t="shared" si="186"/>
        <v>FALSE</v>
      </c>
      <c r="AO1668" s="10" t="str">
        <f t="shared" si="187"/>
        <v>FALSE</v>
      </c>
      <c r="AP1668" s="10" t="str">
        <f t="shared" si="187"/>
        <v>FALSE</v>
      </c>
      <c r="AQ1668" s="10" t="b">
        <f>IF(AND(I1668="TP",S1668&lt;=150),VLOOKUP(AF1668,TPCalibEq150!$AZ$2:$BB$55,3,),IF(AND(I1668="TDP",S1668&lt;=150),VLOOKUP(AF1668,TPCalibEq150!$AZ$2:$BB$55,3,)))</f>
        <v>0</v>
      </c>
      <c r="AR1668" s="10" t="b">
        <f>IF(AND(I1668="TP",S1668&lt;=300),VLOOKUP(AF1668,TPCalibEq300!$AZ$2:$BB$55,3,),IF(AND(I1668="TDP",S1668&lt;=300),VLOOKUP(AF1668,TPCalibEq300!$AZ$2:$BB$55,3,)))</f>
        <v>0</v>
      </c>
      <c r="AS1668" s="10" t="b">
        <f>IF(AND(I1668="TP",S1668&lt;=500),VLOOKUP(AF1668,TPCalibEq500!$AZ$2:$BB$56,3,),IF(AND(I1668="TDP",S1668&lt;=500),VLOOKUP(AF1668,TPCalibEq500!$AZ$2:$BB$56,3,)))</f>
        <v>0</v>
      </c>
      <c r="AT1668" s="10" t="b">
        <f>IF(AND(I1668="TN",S1668&lt;=2800),VLOOKUP(AF1668,TNCalibEq2500!$AZ$2:$BB$56,3,),IF(AND(I1668="TDN",S1668&lt;=2800),VLOOKUP(AF1668,TNCalibEq2500!$AZ$2:$BB$56,3,)))</f>
        <v>0</v>
      </c>
      <c r="AU1668" s="10" t="b">
        <f>IF(I1668="TP",VLOOKUP(AF1668,TPCalibEqFull!$AZ$2:$BB$56,3),IF(I1668="TDP",VLOOKUP(AF1668,TPCalibEqFull!$AZ$2:$BB$56,3),IF(I1668="TDN",VLOOKUP(AF1668,TNCalibEqFull!$AZ$1:$BB$56,3),IF(I1668="TN",VLOOKUP(AF1668,TNCalibEqFull!$AZ$1:$BB$56,3),FALSE))))</f>
        <v>0</v>
      </c>
      <c r="AV1668" s="10" t="str">
        <f t="shared" si="192"/>
        <v>0123 12:36:00-EAW-0-FIL-1-SW-UKN</v>
      </c>
    </row>
    <row r="1669" spans="1:48" s="10" customFormat="1" x14ac:dyDescent="0.55000000000000004">
      <c r="A1669" s="32">
        <v>44949</v>
      </c>
      <c r="B1669" s="33">
        <v>0.52916666666666667</v>
      </c>
      <c r="C1669" s="10" t="s">
        <v>310</v>
      </c>
      <c r="D1669" s="10">
        <v>0</v>
      </c>
      <c r="E1669" s="10" t="s">
        <v>911</v>
      </c>
      <c r="F1669" s="10">
        <v>1</v>
      </c>
      <c r="G1669" s="10" t="s">
        <v>231</v>
      </c>
      <c r="H1669" s="10" t="s">
        <v>322</v>
      </c>
      <c r="I1669" s="10" t="s">
        <v>209</v>
      </c>
      <c r="J1669" s="10">
        <v>68</v>
      </c>
      <c r="K1669" s="12">
        <v>44958</v>
      </c>
      <c r="L1669" s="33">
        <v>0.57847222222222217</v>
      </c>
      <c r="M1669" s="10">
        <v>1</v>
      </c>
      <c r="N1669" s="10" t="s">
        <v>169</v>
      </c>
      <c r="O1669" s="10">
        <v>10.199999999999999</v>
      </c>
      <c r="P1669" s="10">
        <v>0.48699999999999999</v>
      </c>
      <c r="Q1669" s="10">
        <v>1290</v>
      </c>
      <c r="R1669" s="10" t="s">
        <v>77</v>
      </c>
      <c r="S1669" s="34">
        <f t="shared" si="189"/>
        <v>1290</v>
      </c>
      <c r="T1669" s="10" t="s">
        <v>1114</v>
      </c>
      <c r="U1669" s="34" t="str">
        <f t="shared" si="190"/>
        <v/>
      </c>
      <c r="V1669" s="31" t="str">
        <f>IF(H1669="CHK",VLOOKUP(I1669,QCCHK,3,),IF(H1669="GUP",VLOOKUP(E1669,QCGUP,2,),IF(AND(H1669="ATP",OR(I1669="TN",I1669="TDN",I1669="TNO2-3",I1669="NO2-3")),VLOOKUP(E1669,QCREC_N,2,),IF(AND(H1669="NIC",OR(I1669="TN",I1669="TDN",I1669="TNO2-3",I1669="NO2-3")),VLOOKUP(E1669,QCNIC_N,2,),IF(AND(H1669="UREA",OR(I1669="TN",I1669="TDN",I1669="TNO2-3",I1669="NO2-3")),VLOOKUP(E1669,QCUREA_N,2,),IF(H1669="PER",VLOOKUP(I1669,QCPER,MATCH(E1669,QCACTUAL!$J$25:$AA$25,0),),IF(H1669="SPK",VLOOKUP(I1669,QCSPK,3,),IF(AND(H1669="ATP",OR(I1669="TP",I1669="TDP")),VLOOKUP(E1669,QCATP_P,2,),""))))))))</f>
        <v/>
      </c>
      <c r="W1669" s="31" t="str">
        <f t="shared" si="191"/>
        <v>TRUE</v>
      </c>
      <c r="X1669" s="31" t="str">
        <f t="shared" si="188"/>
        <v/>
      </c>
      <c r="Y1669" s="10" t="s">
        <v>1096</v>
      </c>
      <c r="Z1669" s="10" t="s">
        <v>910</v>
      </c>
      <c r="AL1669" s="10" t="str">
        <f t="shared" si="186"/>
        <v>FALSE</v>
      </c>
      <c r="AM1669" s="10" t="str">
        <f t="shared" si="186"/>
        <v>FALSE</v>
      </c>
      <c r="AN1669" s="10" t="str">
        <f t="shared" si="186"/>
        <v>FALSE</v>
      </c>
      <c r="AO1669" s="10" t="str">
        <f t="shared" si="187"/>
        <v>FALSE</v>
      </c>
      <c r="AP1669" s="10" t="str">
        <f t="shared" si="187"/>
        <v>FALSE</v>
      </c>
      <c r="AQ1669" s="10" t="b">
        <f>IF(AND(I1669="TP",S1669&lt;=150),VLOOKUP(AF1669,TPCalibEq150!$AZ$2:$BB$55,3,),IF(AND(I1669="TDP",S1669&lt;=150),VLOOKUP(AF1669,TPCalibEq150!$AZ$2:$BB$55,3,)))</f>
        <v>0</v>
      </c>
      <c r="AR1669" s="10" t="b">
        <f>IF(AND(I1669="TP",S1669&lt;=300),VLOOKUP(AF1669,TPCalibEq300!$AZ$2:$BB$55,3,),IF(AND(I1669="TDP",S1669&lt;=300),VLOOKUP(AF1669,TPCalibEq300!$AZ$2:$BB$55,3,)))</f>
        <v>0</v>
      </c>
      <c r="AS1669" s="10" t="b">
        <f>IF(AND(I1669="TP",S1669&lt;=500),VLOOKUP(AF1669,TPCalibEq500!$AZ$2:$BB$56,3,),IF(AND(I1669="TDP",S1669&lt;=500),VLOOKUP(AF1669,TPCalibEq500!$AZ$2:$BB$56,3,)))</f>
        <v>0</v>
      </c>
      <c r="AT1669" s="10" t="b">
        <f>IF(AND(I1669="TN",S1669&lt;=2800),VLOOKUP(AF1669,TNCalibEq2500!$AZ$2:$BB$56,3,),IF(AND(I1669="TDN",S1669&lt;=2800),VLOOKUP(AF1669,TNCalibEq2500!$AZ$2:$BB$56,3,)))</f>
        <v>0</v>
      </c>
      <c r="AU1669" s="10" t="b">
        <f>IF(I1669="TP",VLOOKUP(AF1669,TPCalibEqFull!$AZ$2:$BB$56,3),IF(I1669="TDP",VLOOKUP(AF1669,TPCalibEqFull!$AZ$2:$BB$56,3),IF(I1669="TDN",VLOOKUP(AF1669,TNCalibEqFull!$AZ$1:$BB$56,3),IF(I1669="TN",VLOOKUP(AF1669,TNCalibEqFull!$AZ$1:$BB$56,3),FALSE))))</f>
        <v>0</v>
      </c>
      <c r="AV1669" s="10" t="str">
        <f t="shared" si="192"/>
        <v>0123 12:42:00-ELI-0-FIL-1-SW-UKN</v>
      </c>
    </row>
    <row r="1670" spans="1:48" s="10" customFormat="1" x14ac:dyDescent="0.55000000000000004">
      <c r="A1670" s="32">
        <v>44949</v>
      </c>
      <c r="B1670" s="33">
        <v>0.52916666666666667</v>
      </c>
      <c r="C1670" s="10" t="s">
        <v>310</v>
      </c>
      <c r="D1670" s="10">
        <v>0</v>
      </c>
      <c r="E1670" s="10" t="s">
        <v>911</v>
      </c>
      <c r="F1670" s="10">
        <v>1</v>
      </c>
      <c r="G1670" s="10" t="s">
        <v>231</v>
      </c>
      <c r="H1670" s="10" t="s">
        <v>233</v>
      </c>
      <c r="I1670" s="10" t="s">
        <v>209</v>
      </c>
      <c r="J1670" s="10">
        <v>68</v>
      </c>
      <c r="K1670" s="12">
        <v>44958</v>
      </c>
      <c r="L1670" s="33">
        <v>0.57929398148148148</v>
      </c>
      <c r="M1670" s="10">
        <v>1</v>
      </c>
      <c r="N1670" s="10" t="s">
        <v>169</v>
      </c>
      <c r="O1670" s="10">
        <v>6.79</v>
      </c>
      <c r="P1670" s="10">
        <v>0.32400000000000001</v>
      </c>
      <c r="Q1670" s="10">
        <v>855</v>
      </c>
      <c r="R1670" s="10" t="s">
        <v>77</v>
      </c>
      <c r="S1670" s="34">
        <f t="shared" si="189"/>
        <v>855</v>
      </c>
      <c r="T1670" s="10" t="s">
        <v>1114</v>
      </c>
      <c r="U1670" s="34">
        <f t="shared" si="190"/>
        <v>40.55944055944056</v>
      </c>
      <c r="V1670" s="31" t="str">
        <f>IF(H1670="CHK",VLOOKUP(I1670,QCCHK,3,),IF(H1670="GUP",VLOOKUP(E1670,QCGUP,2,),IF(AND(H1670="ATP",OR(I1670="TN",I1670="TDN",I1670="TNO2-3",I1670="NO2-3")),VLOOKUP(E1670,QCREC_N,2,),IF(AND(H1670="NIC",OR(I1670="TN",I1670="TDN",I1670="TNO2-3",I1670="NO2-3")),VLOOKUP(E1670,QCNIC_N,2,),IF(AND(H1670="UREA",OR(I1670="TN",I1670="TDN",I1670="TNO2-3",I1670="NO2-3")),VLOOKUP(E1670,QCUREA_N,2,),IF(H1670="PER",VLOOKUP(I1670,QCPER,MATCH(E1670,QCACTUAL!$J$25:$AA$25,0),),IF(H1670="SPK",VLOOKUP(I1670,QCSPK,3,),IF(AND(H1670="ATP",OR(I1670="TP",I1670="TDP")),VLOOKUP(E1670,QCATP_P,2,),""))))))))</f>
        <v/>
      </c>
      <c r="W1670" s="31" t="str">
        <f t="shared" si="191"/>
        <v>FALSE</v>
      </c>
      <c r="X1670" s="31" t="str">
        <f t="shared" si="188"/>
        <v>((ABS(rep1-rep2))/((rep1+rep2)/2)*100</v>
      </c>
      <c r="Y1670" s="10" t="s">
        <v>1096</v>
      </c>
      <c r="Z1670" s="10" t="s">
        <v>910</v>
      </c>
      <c r="AL1670" s="10" t="str">
        <f t="shared" si="186"/>
        <v>FALSE</v>
      </c>
      <c r="AM1670" s="10" t="str">
        <f t="shared" si="186"/>
        <v>FALSE</v>
      </c>
      <c r="AN1670" s="10" t="str">
        <f t="shared" si="186"/>
        <v>FALSE</v>
      </c>
      <c r="AO1670" s="10" t="str">
        <f t="shared" si="187"/>
        <v>FALSE</v>
      </c>
      <c r="AP1670" s="10" t="str">
        <f t="shared" si="187"/>
        <v>FALSE</v>
      </c>
      <c r="AQ1670" s="10" t="b">
        <f>IF(AND(I1670="TP",S1670&lt;=150),VLOOKUP(AF1670,TPCalibEq150!$AZ$2:$BB$55,3,),IF(AND(I1670="TDP",S1670&lt;=150),VLOOKUP(AF1670,TPCalibEq150!$AZ$2:$BB$55,3,)))</f>
        <v>0</v>
      </c>
      <c r="AR1670" s="10" t="b">
        <f>IF(AND(I1670="TP",S1670&lt;=300),VLOOKUP(AF1670,TPCalibEq300!$AZ$2:$BB$55,3,),IF(AND(I1670="TDP",S1670&lt;=300),VLOOKUP(AF1670,TPCalibEq300!$AZ$2:$BB$55,3,)))</f>
        <v>0</v>
      </c>
      <c r="AS1670" s="10" t="b">
        <f>IF(AND(I1670="TP",S1670&lt;=500),VLOOKUP(AF1670,TPCalibEq500!$AZ$2:$BB$56,3,),IF(AND(I1670="TDP",S1670&lt;=500),VLOOKUP(AF1670,TPCalibEq500!$AZ$2:$BB$56,3,)))</f>
        <v>0</v>
      </c>
      <c r="AT1670" s="10" t="b">
        <f>IF(AND(I1670="TN",S1670&lt;=2800),VLOOKUP(AF1670,TNCalibEq2500!$AZ$2:$BB$56,3,),IF(AND(I1670="TDN",S1670&lt;=2800),VLOOKUP(AF1670,TNCalibEq2500!$AZ$2:$BB$56,3,)))</f>
        <v>0</v>
      </c>
      <c r="AU1670" s="10" t="b">
        <f>IF(I1670="TP",VLOOKUP(AF1670,TPCalibEqFull!$AZ$2:$BB$56,3),IF(I1670="TDP",VLOOKUP(AF1670,TPCalibEqFull!$AZ$2:$BB$56,3),IF(I1670="TDN",VLOOKUP(AF1670,TNCalibEqFull!$AZ$1:$BB$56,3),IF(I1670="TN",VLOOKUP(AF1670,TNCalibEqFull!$AZ$1:$BB$56,3),FALSE))))</f>
        <v>0</v>
      </c>
      <c r="AV1670" s="10" t="str">
        <f t="shared" si="192"/>
        <v>0123 12:42:00-ELI-0-FIL-1-SW-DUP</v>
      </c>
    </row>
    <row r="1671" spans="1:48" s="10" customFormat="1" x14ac:dyDescent="0.55000000000000004">
      <c r="A1671" s="32">
        <v>44949</v>
      </c>
      <c r="B1671" s="33">
        <v>0.52916666666666667</v>
      </c>
      <c r="C1671" s="10" t="s">
        <v>310</v>
      </c>
      <c r="D1671" s="10">
        <v>0</v>
      </c>
      <c r="E1671" s="10" t="s">
        <v>911</v>
      </c>
      <c r="F1671" s="10">
        <v>1</v>
      </c>
      <c r="G1671" s="10" t="s">
        <v>231</v>
      </c>
      <c r="H1671" s="10" t="s">
        <v>314</v>
      </c>
      <c r="I1671" s="10" t="s">
        <v>209</v>
      </c>
      <c r="J1671" s="10">
        <v>89</v>
      </c>
      <c r="K1671" s="12">
        <v>44958</v>
      </c>
      <c r="L1671" s="33">
        <v>0.58010416666666664</v>
      </c>
      <c r="M1671" s="10">
        <v>1</v>
      </c>
      <c r="N1671" s="10" t="s">
        <v>169</v>
      </c>
      <c r="O1671" s="10">
        <v>13.7</v>
      </c>
      <c r="P1671" s="10">
        <v>0.65400000000000003</v>
      </c>
      <c r="Q1671" s="10">
        <v>1730</v>
      </c>
      <c r="R1671" s="10" t="s">
        <v>77</v>
      </c>
      <c r="S1671" s="34">
        <f t="shared" si="189"/>
        <v>1730</v>
      </c>
      <c r="T1671" s="10" t="s">
        <v>1114</v>
      </c>
      <c r="U1671" s="34">
        <f t="shared" si="190"/>
        <v>140</v>
      </c>
      <c r="V1671" s="31">
        <f>IF(H1671="CHK",VLOOKUP(I1671,QCCHK,3,),IF(H1671="GUP",VLOOKUP(E1671,QCGUP,2,),IF(AND(H1671="ATP",OR(I1671="TN",I1671="TDN",I1671="TNO2-3",I1671="NO2-3")),VLOOKUP(E1671,QCREC_N,2,),IF(AND(H1671="NIC",OR(I1671="TN",I1671="TDN",I1671="TNO2-3",I1671="NO2-3")),VLOOKUP(E1671,QCNIC_N,2,),IF(AND(H1671="UREA",OR(I1671="TN",I1671="TDN",I1671="TNO2-3",I1671="NO2-3")),VLOOKUP(E1671,QCUREA_N,2,),IF(H1671="PER",VLOOKUP(I1671,QCPER,MATCH(E1671,QCACTUAL!$J$25:$AA$25,0),),IF(H1671="SPK",VLOOKUP(I1671,QCSPK,3,),IF(AND(H1671="ATP",OR(I1671="TP",I1671="TDP")),VLOOKUP(E1671,QCATP_P,2,),""))))))))</f>
        <v>625</v>
      </c>
      <c r="W1671" s="31" t="str">
        <f t="shared" si="191"/>
        <v>FALSE</v>
      </c>
      <c r="X1671" s="31" t="str">
        <f t="shared" si="188"/>
        <v>([spikedunkn]-[unkn])/[spike]*100</v>
      </c>
      <c r="Y1671" s="10" t="s">
        <v>1096</v>
      </c>
      <c r="Z1671" s="10" t="s">
        <v>910</v>
      </c>
      <c r="AL1671" s="10" t="str">
        <f t="shared" si="186"/>
        <v>FALSE</v>
      </c>
      <c r="AM1671" s="10" t="str">
        <f t="shared" si="186"/>
        <v>FALSE</v>
      </c>
      <c r="AN1671" s="10" t="str">
        <f t="shared" si="186"/>
        <v>FALSE</v>
      </c>
      <c r="AO1671" s="10" t="str">
        <f t="shared" si="187"/>
        <v>FALSE</v>
      </c>
      <c r="AP1671" s="10" t="str">
        <f t="shared" si="187"/>
        <v>FALSE</v>
      </c>
      <c r="AQ1671" s="10" t="b">
        <f>IF(AND(I1671="TP",S1671&lt;=150),VLOOKUP(AF1671,TPCalibEq150!$AZ$2:$BB$55,3,),IF(AND(I1671="TDP",S1671&lt;=150),VLOOKUP(AF1671,TPCalibEq150!$AZ$2:$BB$55,3,)))</f>
        <v>0</v>
      </c>
      <c r="AR1671" s="10" t="b">
        <f>IF(AND(I1671="TP",S1671&lt;=300),VLOOKUP(AF1671,TPCalibEq300!$AZ$2:$BB$55,3,),IF(AND(I1671="TDP",S1671&lt;=300),VLOOKUP(AF1671,TPCalibEq300!$AZ$2:$BB$55,3,)))</f>
        <v>0</v>
      </c>
      <c r="AS1671" s="10" t="b">
        <f>IF(AND(I1671="TP",S1671&lt;=500),VLOOKUP(AF1671,TPCalibEq500!$AZ$2:$BB$56,3,),IF(AND(I1671="TDP",S1671&lt;=500),VLOOKUP(AF1671,TPCalibEq500!$AZ$2:$BB$56,3,)))</f>
        <v>0</v>
      </c>
      <c r="AT1671" s="10" t="b">
        <f>IF(AND(I1671="TN",S1671&lt;=2800),VLOOKUP(AF1671,TNCalibEq2500!$AZ$2:$BB$56,3,),IF(AND(I1671="TDN",S1671&lt;=2800),VLOOKUP(AF1671,TNCalibEq2500!$AZ$2:$BB$56,3,)))</f>
        <v>0</v>
      </c>
      <c r="AU1671" s="10" t="b">
        <f>IF(I1671="TP",VLOOKUP(AF1671,TPCalibEqFull!$AZ$2:$BB$56,3),IF(I1671="TDP",VLOOKUP(AF1671,TPCalibEqFull!$AZ$2:$BB$56,3),IF(I1671="TDN",VLOOKUP(AF1671,TNCalibEqFull!$AZ$1:$BB$56,3),IF(I1671="TN",VLOOKUP(AF1671,TNCalibEqFull!$AZ$1:$BB$56,3),FALSE))))</f>
        <v>0</v>
      </c>
      <c r="AV1671" s="10" t="str">
        <f t="shared" si="192"/>
        <v>0123 12:42:00-ELI-0-FIL-1-SW-SPK</v>
      </c>
    </row>
    <row r="1672" spans="1:48" s="10" customFormat="1" x14ac:dyDescent="0.55000000000000004">
      <c r="A1672" s="32">
        <v>44958</v>
      </c>
      <c r="B1672" s="33">
        <v>0.375</v>
      </c>
      <c r="C1672" s="10" t="s">
        <v>70</v>
      </c>
      <c r="D1672" s="10" t="s">
        <v>71</v>
      </c>
      <c r="E1672" s="10" t="s">
        <v>901</v>
      </c>
      <c r="F1672" s="10">
        <v>1</v>
      </c>
      <c r="G1672" s="10" t="s">
        <v>73</v>
      </c>
      <c r="H1672" s="10" t="s">
        <v>207</v>
      </c>
      <c r="I1672" s="10" t="s">
        <v>256</v>
      </c>
      <c r="J1672" s="10">
        <v>202</v>
      </c>
      <c r="K1672" s="12">
        <v>44958</v>
      </c>
      <c r="L1672" s="33">
        <v>0.58092592592592596</v>
      </c>
      <c r="M1672" s="10">
        <v>1</v>
      </c>
      <c r="N1672" s="10" t="s">
        <v>169</v>
      </c>
      <c r="O1672" s="10">
        <v>2.39</v>
      </c>
      <c r="P1672" s="10">
        <v>0.11600000000000001</v>
      </c>
      <c r="Q1672" s="10">
        <v>302</v>
      </c>
      <c r="R1672" s="10" t="s">
        <v>77</v>
      </c>
      <c r="S1672" s="34">
        <f t="shared" si="189"/>
        <v>302</v>
      </c>
      <c r="T1672" s="10" t="s">
        <v>1114</v>
      </c>
      <c r="U1672" s="34">
        <f t="shared" si="190"/>
        <v>100.66666666666666</v>
      </c>
      <c r="V1672" s="31">
        <f>IF(H1672="CHK",VLOOKUP(I1672,QCCHK,3,),IF(H1672="GUP",VLOOKUP(E1672,QCGUP,2,),IF(AND(H1672="ATP",OR(I1672="TN",I1672="TDN",I1672="TNO2-3",I1672="NO2-3")),VLOOKUP(E1672,QCREC_N,2,),IF(AND(H1672="NIC",OR(I1672="TN",I1672="TDN",I1672="TNO2-3",I1672="NO2-3")),VLOOKUP(E1672,QCNIC_N,2,),IF(AND(H1672="UREA",OR(I1672="TN",I1672="TDN",I1672="TNO2-3",I1672="NO2-3")),VLOOKUP(E1672,QCUREA_N,2,),IF(H1672="PER",VLOOKUP(I1672,QCPER,MATCH(E1672,QCACTUAL!$J$25:$AA$25,0),),IF(H1672="SPK",VLOOKUP(I1672,QCSPK,3,),IF(AND(H1672="ATP",OR(I1672="TP",I1672="TDP")),VLOOKUP(E1672,QCATP_P,2,),""))))))))</f>
        <v>300</v>
      </c>
      <c r="W1672" s="31" t="str">
        <f t="shared" si="191"/>
        <v>TRUE</v>
      </c>
      <c r="X1672" s="31" t="str">
        <f t="shared" si="188"/>
        <v>[chk]/[actual]*100</v>
      </c>
      <c r="Y1672" s="10" t="s">
        <v>1096</v>
      </c>
      <c r="AL1672" s="10" t="str">
        <f t="shared" si="186"/>
        <v>FALSE</v>
      </c>
      <c r="AM1672" s="10" t="str">
        <f t="shared" si="186"/>
        <v>FALSE</v>
      </c>
      <c r="AN1672" s="10" t="str">
        <f t="shared" si="186"/>
        <v>FALSE</v>
      </c>
      <c r="AO1672" s="10" t="str">
        <f t="shared" si="187"/>
        <v>FALSE</v>
      </c>
      <c r="AP1672" s="10" t="str">
        <f t="shared" si="187"/>
        <v>FALSE</v>
      </c>
      <c r="AQ1672" s="10" t="b">
        <f>IF(AND(I1672="TP",S1672&lt;=150),VLOOKUP(AF1672,TPCalibEq150!$AZ$2:$BB$55,3,),IF(AND(I1672="TDP",S1672&lt;=150),VLOOKUP(AF1672,TPCalibEq150!$AZ$2:$BB$55,3,)))</f>
        <v>0</v>
      </c>
      <c r="AR1672" s="10" t="b">
        <f>IF(AND(I1672="TP",S1672&lt;=300),VLOOKUP(AF1672,TPCalibEq300!$AZ$2:$BB$55,3,),IF(AND(I1672="TDP",S1672&lt;=300),VLOOKUP(AF1672,TPCalibEq300!$AZ$2:$BB$55,3,)))</f>
        <v>0</v>
      </c>
      <c r="AS1672" s="10" t="b">
        <f>IF(AND(I1672="TP",S1672&lt;=500),VLOOKUP(AF1672,TPCalibEq500!$AZ$2:$BB$56,3,),IF(AND(I1672="TDP",S1672&lt;=500),VLOOKUP(AF1672,TPCalibEq500!$AZ$2:$BB$56,3,)))</f>
        <v>0</v>
      </c>
      <c r="AT1672" s="10" t="b">
        <f>IF(AND(I1672="TN",S1672&lt;=2800),VLOOKUP(AF1672,TNCalibEq2500!$AZ$2:$BB$56,3,),IF(AND(I1672="TDN",S1672&lt;=2800),VLOOKUP(AF1672,TNCalibEq2500!$AZ$2:$BB$56,3,)))</f>
        <v>0</v>
      </c>
      <c r="AU1672" s="10" t="b">
        <f>IF(I1672="TP",VLOOKUP(AF1672,TPCalibEqFull!$AZ$2:$BB$56,3),IF(I1672="TDP",VLOOKUP(AF1672,TPCalibEqFull!$AZ$2:$BB$56,3),IF(I1672="TDN",VLOOKUP(AF1672,TNCalibEqFull!$AZ$1:$BB$56,3),IF(I1672="TN",VLOOKUP(AF1672,TNCalibEqFull!$AZ$1:$BB$56,3),FALSE))))</f>
        <v>0</v>
      </c>
      <c r="AV1672" s="10" t="str">
        <f t="shared" si="192"/>
        <v>0201 09:00:00-QAC-STD-D-1-DI-CHK</v>
      </c>
    </row>
    <row r="1673" spans="1:48" s="10" customFormat="1" x14ac:dyDescent="0.55000000000000004">
      <c r="A1673" s="32">
        <v>44956</v>
      </c>
      <c r="B1673" s="33">
        <v>0.35972222222222222</v>
      </c>
      <c r="C1673" s="10" t="s">
        <v>998</v>
      </c>
      <c r="D1673" s="10">
        <v>0</v>
      </c>
      <c r="E1673" s="10" t="s">
        <v>911</v>
      </c>
      <c r="F1673" s="10">
        <v>1</v>
      </c>
      <c r="G1673" s="10" t="s">
        <v>231</v>
      </c>
      <c r="H1673" s="10" t="s">
        <v>322</v>
      </c>
      <c r="I1673" s="10" t="s">
        <v>209</v>
      </c>
      <c r="J1673" s="10">
        <v>69</v>
      </c>
      <c r="K1673" s="12">
        <v>44958</v>
      </c>
      <c r="L1673" s="33">
        <v>0.58173611111111112</v>
      </c>
      <c r="M1673" s="10">
        <v>1</v>
      </c>
      <c r="N1673" s="10" t="s">
        <v>169</v>
      </c>
      <c r="O1673" s="10">
        <v>11.9</v>
      </c>
      <c r="P1673" s="10">
        <v>0.56999999999999995</v>
      </c>
      <c r="Q1673" s="10">
        <v>1500</v>
      </c>
      <c r="R1673" s="10" t="s">
        <v>77</v>
      </c>
      <c r="S1673" s="34">
        <f t="shared" si="189"/>
        <v>1500</v>
      </c>
      <c r="T1673" s="10" t="s">
        <v>1114</v>
      </c>
      <c r="U1673" s="34" t="str">
        <f t="shared" si="190"/>
        <v/>
      </c>
      <c r="V1673" s="31" t="str">
        <f>IF(H1673="CHK",VLOOKUP(I1673,QCCHK,3,),IF(H1673="GUP",VLOOKUP(E1673,QCGUP,2,),IF(AND(H1673="ATP",OR(I1673="TN",I1673="TDN",I1673="TNO2-3",I1673="NO2-3")),VLOOKUP(E1673,QCREC_N,2,),IF(AND(H1673="NIC",OR(I1673="TN",I1673="TDN",I1673="TNO2-3",I1673="NO2-3")),VLOOKUP(E1673,QCNIC_N,2,),IF(AND(H1673="UREA",OR(I1673="TN",I1673="TDN",I1673="TNO2-3",I1673="NO2-3")),VLOOKUP(E1673,QCUREA_N,2,),IF(H1673="PER",VLOOKUP(I1673,QCPER,MATCH(E1673,QCACTUAL!$J$25:$AA$25,0),),IF(H1673="SPK",VLOOKUP(I1673,QCSPK,3,),IF(AND(H1673="ATP",OR(I1673="TP",I1673="TDP")),VLOOKUP(E1673,QCATP_P,2,),""))))))))</f>
        <v/>
      </c>
      <c r="W1673" s="31" t="str">
        <f t="shared" si="191"/>
        <v>TRUE</v>
      </c>
      <c r="X1673" s="31" t="str">
        <f t="shared" si="188"/>
        <v/>
      </c>
      <c r="Y1673" s="10" t="s">
        <v>1096</v>
      </c>
      <c r="Z1673" s="10" t="s">
        <v>910</v>
      </c>
      <c r="AL1673" s="10" t="str">
        <f t="shared" si="186"/>
        <v>FALSE</v>
      </c>
      <c r="AM1673" s="10" t="str">
        <f t="shared" si="186"/>
        <v>FALSE</v>
      </c>
      <c r="AN1673" s="10" t="str">
        <f t="shared" si="186"/>
        <v>FALSE</v>
      </c>
      <c r="AO1673" s="10" t="str">
        <f t="shared" si="187"/>
        <v>FALSE</v>
      </c>
      <c r="AP1673" s="10" t="str">
        <f t="shared" si="187"/>
        <v>FALSE</v>
      </c>
      <c r="AQ1673" s="10" t="b">
        <f>IF(AND(I1673="TP",S1673&lt;=150),VLOOKUP(AF1673,TPCalibEq150!$AZ$2:$BB$55,3,),IF(AND(I1673="TDP",S1673&lt;=150),VLOOKUP(AF1673,TPCalibEq150!$AZ$2:$BB$55,3,)))</f>
        <v>0</v>
      </c>
      <c r="AR1673" s="10" t="b">
        <f>IF(AND(I1673="TP",S1673&lt;=300),VLOOKUP(AF1673,TPCalibEq300!$AZ$2:$BB$55,3,),IF(AND(I1673="TDP",S1673&lt;=300),VLOOKUP(AF1673,TPCalibEq300!$AZ$2:$BB$55,3,)))</f>
        <v>0</v>
      </c>
      <c r="AS1673" s="10" t="b">
        <f>IF(AND(I1673="TP",S1673&lt;=500),VLOOKUP(AF1673,TPCalibEq500!$AZ$2:$BB$56,3,),IF(AND(I1673="TDP",S1673&lt;=500),VLOOKUP(AF1673,TPCalibEq500!$AZ$2:$BB$56,3,)))</f>
        <v>0</v>
      </c>
      <c r="AT1673" s="10" t="b">
        <f>IF(AND(I1673="TN",S1673&lt;=2800),VLOOKUP(AF1673,TNCalibEq2500!$AZ$2:$BB$56,3,),IF(AND(I1673="TDN",S1673&lt;=2800),VLOOKUP(AF1673,TNCalibEq2500!$AZ$2:$BB$56,3,)))</f>
        <v>0</v>
      </c>
      <c r="AU1673" s="10" t="b">
        <f>IF(I1673="TP",VLOOKUP(AF1673,TPCalibEqFull!$AZ$2:$BB$56,3),IF(I1673="TDP",VLOOKUP(AF1673,TPCalibEqFull!$AZ$2:$BB$56,3),IF(I1673="TDN",VLOOKUP(AF1673,TNCalibEqFull!$AZ$1:$BB$56,3),IF(I1673="TN",VLOOKUP(AF1673,TNCalibEqFull!$AZ$1:$BB$56,3),FALSE))))</f>
        <v>0</v>
      </c>
      <c r="AV1673" s="10" t="str">
        <f t="shared" si="192"/>
        <v>0130 08:38:00-ELW-0-FIL-1-SW-UKN</v>
      </c>
    </row>
    <row r="1674" spans="1:48" s="10" customFormat="1" x14ac:dyDescent="0.55000000000000004">
      <c r="A1674" s="32">
        <v>44956</v>
      </c>
      <c r="B1674" s="33">
        <v>0.38055555555555554</v>
      </c>
      <c r="C1674" s="10" t="s">
        <v>357</v>
      </c>
      <c r="D1674" s="10">
        <v>0</v>
      </c>
      <c r="E1674" s="10" t="s">
        <v>911</v>
      </c>
      <c r="F1674" s="10">
        <v>1</v>
      </c>
      <c r="G1674" s="10" t="s">
        <v>231</v>
      </c>
      <c r="H1674" s="10" t="s">
        <v>322</v>
      </c>
      <c r="I1674" s="10" t="s">
        <v>209</v>
      </c>
      <c r="J1674" s="10">
        <v>70</v>
      </c>
      <c r="K1674" s="12">
        <v>44958</v>
      </c>
      <c r="L1674" s="33">
        <v>0.58255787037037032</v>
      </c>
      <c r="M1674" s="10">
        <v>1</v>
      </c>
      <c r="N1674" s="10" t="s">
        <v>169</v>
      </c>
      <c r="O1674" s="10">
        <v>4.13</v>
      </c>
      <c r="P1674" s="10">
        <v>0.19800000000000001</v>
      </c>
      <c r="Q1674" s="10">
        <v>520</v>
      </c>
      <c r="R1674" s="10" t="s">
        <v>77</v>
      </c>
      <c r="S1674" s="34">
        <f t="shared" si="189"/>
        <v>520</v>
      </c>
      <c r="T1674" s="10" t="s">
        <v>1114</v>
      </c>
      <c r="U1674" s="34" t="str">
        <f t="shared" si="190"/>
        <v/>
      </c>
      <c r="V1674" s="31" t="str">
        <f>IF(H1674="CHK",VLOOKUP(I1674,QCCHK,3,),IF(H1674="GUP",VLOOKUP(E1674,QCGUP,2,),IF(AND(H1674="ATP",OR(I1674="TN",I1674="TDN",I1674="TNO2-3",I1674="NO2-3")),VLOOKUP(E1674,QCREC_N,2,),IF(AND(H1674="NIC",OR(I1674="TN",I1674="TDN",I1674="TNO2-3",I1674="NO2-3")),VLOOKUP(E1674,QCNIC_N,2,),IF(AND(H1674="UREA",OR(I1674="TN",I1674="TDN",I1674="TNO2-3",I1674="NO2-3")),VLOOKUP(E1674,QCUREA_N,2,),IF(H1674="PER",VLOOKUP(I1674,QCPER,MATCH(E1674,QCACTUAL!$J$25:$AA$25,0),),IF(H1674="SPK",VLOOKUP(I1674,QCSPK,3,),IF(AND(H1674="ATP",OR(I1674="TP",I1674="TDP")),VLOOKUP(E1674,QCATP_P,2,),""))))))))</f>
        <v/>
      </c>
      <c r="W1674" s="31" t="str">
        <f t="shared" si="191"/>
        <v>TRUE</v>
      </c>
      <c r="X1674" s="31" t="str">
        <f t="shared" si="188"/>
        <v/>
      </c>
      <c r="Y1674" s="10" t="s">
        <v>1096</v>
      </c>
      <c r="Z1674" s="10" t="s">
        <v>910</v>
      </c>
      <c r="AL1674" s="10" t="str">
        <f t="shared" si="186"/>
        <v>FALSE</v>
      </c>
      <c r="AM1674" s="10" t="str">
        <f t="shared" si="186"/>
        <v>FALSE</v>
      </c>
      <c r="AN1674" s="10" t="str">
        <f t="shared" si="186"/>
        <v>FALSE</v>
      </c>
      <c r="AO1674" s="10" t="str">
        <f t="shared" si="187"/>
        <v>FALSE</v>
      </c>
      <c r="AP1674" s="10" t="str">
        <f t="shared" si="187"/>
        <v>FALSE</v>
      </c>
      <c r="AQ1674" s="10" t="b">
        <f>IF(AND(I1674="TP",S1674&lt;=150),VLOOKUP(AF1674,TPCalibEq150!$AZ$2:$BB$55,3,),IF(AND(I1674="TDP",S1674&lt;=150),VLOOKUP(AF1674,TPCalibEq150!$AZ$2:$BB$55,3,)))</f>
        <v>0</v>
      </c>
      <c r="AR1674" s="10" t="b">
        <f>IF(AND(I1674="TP",S1674&lt;=300),VLOOKUP(AF1674,TPCalibEq300!$AZ$2:$BB$55,3,),IF(AND(I1674="TDP",S1674&lt;=300),VLOOKUP(AF1674,TPCalibEq300!$AZ$2:$BB$55,3,)))</f>
        <v>0</v>
      </c>
      <c r="AS1674" s="10" t="b">
        <f>IF(AND(I1674="TP",S1674&lt;=500),VLOOKUP(AF1674,TPCalibEq500!$AZ$2:$BB$56,3,),IF(AND(I1674="TDP",S1674&lt;=500),VLOOKUP(AF1674,TPCalibEq500!$AZ$2:$BB$56,3,)))</f>
        <v>0</v>
      </c>
      <c r="AT1674" s="10" t="b">
        <f>IF(AND(I1674="TN",S1674&lt;=2800),VLOOKUP(AF1674,TNCalibEq2500!$AZ$2:$BB$56,3,),IF(AND(I1674="TDN",S1674&lt;=2800),VLOOKUP(AF1674,TNCalibEq2500!$AZ$2:$BB$56,3,)))</f>
        <v>0</v>
      </c>
      <c r="AU1674" s="10" t="b">
        <f>IF(I1674="TP",VLOOKUP(AF1674,TPCalibEqFull!$AZ$2:$BB$56,3),IF(I1674="TDP",VLOOKUP(AF1674,TPCalibEqFull!$AZ$2:$BB$56,3),IF(I1674="TDN",VLOOKUP(AF1674,TNCalibEqFull!$AZ$1:$BB$56,3),IF(I1674="TN",VLOOKUP(AF1674,TNCalibEqFull!$AZ$1:$BB$56,3),FALSE))))</f>
        <v>0</v>
      </c>
      <c r="AV1674" s="10" t="str">
        <f t="shared" si="192"/>
        <v>0130 09:08:00-STC-0-FIL-1-SW-UKN</v>
      </c>
    </row>
    <row r="1675" spans="1:48" s="10" customFormat="1" x14ac:dyDescent="0.55000000000000004">
      <c r="A1675" s="32">
        <v>44956</v>
      </c>
      <c r="B1675" s="33">
        <v>0.3972222222222222</v>
      </c>
      <c r="C1675" s="10" t="s">
        <v>999</v>
      </c>
      <c r="D1675" s="10">
        <v>0</v>
      </c>
      <c r="E1675" s="10" t="s">
        <v>911</v>
      </c>
      <c r="F1675" s="10">
        <v>1</v>
      </c>
      <c r="G1675" s="10" t="s">
        <v>231</v>
      </c>
      <c r="H1675" s="10" t="s">
        <v>322</v>
      </c>
      <c r="I1675" s="10" t="s">
        <v>209</v>
      </c>
      <c r="J1675" s="10">
        <v>71</v>
      </c>
      <c r="K1675" s="12">
        <v>44958</v>
      </c>
      <c r="L1675" s="33">
        <v>0.58336805555555549</v>
      </c>
      <c r="M1675" s="10">
        <v>1</v>
      </c>
      <c r="N1675" s="10" t="s">
        <v>169</v>
      </c>
      <c r="O1675" s="10">
        <v>13.1</v>
      </c>
      <c r="P1675" s="10">
        <v>0.623</v>
      </c>
      <c r="Q1675" s="10">
        <v>1650</v>
      </c>
      <c r="R1675" s="10" t="s">
        <v>77</v>
      </c>
      <c r="S1675" s="34">
        <f t="shared" si="189"/>
        <v>1650</v>
      </c>
      <c r="T1675" s="10" t="s">
        <v>1114</v>
      </c>
      <c r="U1675" s="34" t="str">
        <f t="shared" si="190"/>
        <v/>
      </c>
      <c r="V1675" s="31" t="str">
        <f>IF(H1675="CHK",VLOOKUP(I1675,QCCHK,3,),IF(H1675="GUP",VLOOKUP(E1675,QCGUP,2,),IF(AND(H1675="ATP",OR(I1675="TN",I1675="TDN",I1675="TNO2-3",I1675="NO2-3")),VLOOKUP(E1675,QCREC_N,2,),IF(AND(H1675="NIC",OR(I1675="TN",I1675="TDN",I1675="TNO2-3",I1675="NO2-3")),VLOOKUP(E1675,QCNIC_N,2,),IF(AND(H1675="UREA",OR(I1675="TN",I1675="TDN",I1675="TNO2-3",I1675="NO2-3")),VLOOKUP(E1675,QCUREA_N,2,),IF(H1675="PER",VLOOKUP(I1675,QCPER,MATCH(E1675,QCACTUAL!$J$25:$AA$25,0),),IF(H1675="SPK",VLOOKUP(I1675,QCSPK,3,),IF(AND(H1675="ATP",OR(I1675="TP",I1675="TDP")),VLOOKUP(E1675,QCATP_P,2,),""))))))))</f>
        <v/>
      </c>
      <c r="W1675" s="31" t="str">
        <f t="shared" si="191"/>
        <v>TRUE</v>
      </c>
      <c r="X1675" s="31" t="str">
        <f t="shared" si="188"/>
        <v/>
      </c>
      <c r="Y1675" s="10" t="s">
        <v>1096</v>
      </c>
      <c r="Z1675" s="10" t="s">
        <v>910</v>
      </c>
      <c r="AL1675" s="10" t="str">
        <f t="shared" si="186"/>
        <v>FALSE</v>
      </c>
      <c r="AM1675" s="10" t="str">
        <f t="shared" si="186"/>
        <v>FALSE</v>
      </c>
      <c r="AN1675" s="10" t="str">
        <f t="shared" si="186"/>
        <v>FALSE</v>
      </c>
      <c r="AO1675" s="10" t="str">
        <f t="shared" si="187"/>
        <v>FALSE</v>
      </c>
      <c r="AP1675" s="10" t="str">
        <f t="shared" si="187"/>
        <v>FALSE</v>
      </c>
      <c r="AQ1675" s="10" t="b">
        <f>IF(AND(I1675="TP",S1675&lt;=150),VLOOKUP(AF1675,TPCalibEq150!$AZ$2:$BB$55,3,),IF(AND(I1675="TDP",S1675&lt;=150),VLOOKUP(AF1675,TPCalibEq150!$AZ$2:$BB$55,3,)))</f>
        <v>0</v>
      </c>
      <c r="AR1675" s="10" t="b">
        <f>IF(AND(I1675="TP",S1675&lt;=300),VLOOKUP(AF1675,TPCalibEq300!$AZ$2:$BB$55,3,),IF(AND(I1675="TDP",S1675&lt;=300),VLOOKUP(AF1675,TPCalibEq300!$AZ$2:$BB$55,3,)))</f>
        <v>0</v>
      </c>
      <c r="AS1675" s="10" t="b">
        <f>IF(AND(I1675="TP",S1675&lt;=500),VLOOKUP(AF1675,TPCalibEq500!$AZ$2:$BB$56,3,),IF(AND(I1675="TDP",S1675&lt;=500),VLOOKUP(AF1675,TPCalibEq500!$AZ$2:$BB$56,3,)))</f>
        <v>0</v>
      </c>
      <c r="AT1675" s="10" t="b">
        <f>IF(AND(I1675="TN",S1675&lt;=2800),VLOOKUP(AF1675,TNCalibEq2500!$AZ$2:$BB$56,3,),IF(AND(I1675="TDN",S1675&lt;=2800),VLOOKUP(AF1675,TNCalibEq2500!$AZ$2:$BB$56,3,)))</f>
        <v>0</v>
      </c>
      <c r="AU1675" s="10" t="b">
        <f>IF(I1675="TP",VLOOKUP(AF1675,TPCalibEqFull!$AZ$2:$BB$56,3),IF(I1675="TDP",VLOOKUP(AF1675,TPCalibEqFull!$AZ$2:$BB$56,3),IF(I1675="TDN",VLOOKUP(AF1675,TNCalibEqFull!$AZ$1:$BB$56,3),IF(I1675="TN",VLOOKUP(AF1675,TNCalibEqFull!$AZ$1:$BB$56,3),FALSE))))</f>
        <v>0</v>
      </c>
      <c r="AV1675" s="10" t="str">
        <f t="shared" si="192"/>
        <v>0130 09:32:00-EAW-0-FIL-1-SW-UKN</v>
      </c>
    </row>
    <row r="1676" spans="1:48" s="10" customFormat="1" x14ac:dyDescent="0.55000000000000004">
      <c r="A1676" s="32">
        <v>44956</v>
      </c>
      <c r="B1676" s="33">
        <v>0.40486111111111112</v>
      </c>
      <c r="C1676" s="10" t="s">
        <v>310</v>
      </c>
      <c r="D1676" s="10">
        <v>0</v>
      </c>
      <c r="E1676" s="10" t="s">
        <v>911</v>
      </c>
      <c r="F1676" s="10">
        <v>1</v>
      </c>
      <c r="G1676" s="10" t="s">
        <v>231</v>
      </c>
      <c r="H1676" s="10" t="s">
        <v>322</v>
      </c>
      <c r="I1676" s="10" t="s">
        <v>209</v>
      </c>
      <c r="J1676" s="10">
        <v>72</v>
      </c>
      <c r="K1676" s="12">
        <v>44958</v>
      </c>
      <c r="L1676" s="33">
        <v>0.58417824074074076</v>
      </c>
      <c r="M1676" s="10">
        <v>1</v>
      </c>
      <c r="N1676" s="10" t="s">
        <v>169</v>
      </c>
      <c r="O1676" s="10">
        <v>12.5</v>
      </c>
      <c r="P1676" s="10">
        <v>0.59399999999999997</v>
      </c>
      <c r="Q1676" s="10">
        <v>1570</v>
      </c>
      <c r="R1676" s="10" t="s">
        <v>77</v>
      </c>
      <c r="S1676" s="34">
        <f t="shared" si="189"/>
        <v>1570</v>
      </c>
      <c r="T1676" s="10" t="s">
        <v>1114</v>
      </c>
      <c r="U1676" s="34" t="str">
        <f t="shared" si="190"/>
        <v/>
      </c>
      <c r="V1676" s="31" t="str">
        <f>IF(H1676="CHK",VLOOKUP(I1676,QCCHK,3,),IF(H1676="GUP",VLOOKUP(E1676,QCGUP,2,),IF(AND(H1676="ATP",OR(I1676="TN",I1676="TDN",I1676="TNO2-3",I1676="NO2-3")),VLOOKUP(E1676,QCREC_N,2,),IF(AND(H1676="NIC",OR(I1676="TN",I1676="TDN",I1676="TNO2-3",I1676="NO2-3")),VLOOKUP(E1676,QCNIC_N,2,),IF(AND(H1676="UREA",OR(I1676="TN",I1676="TDN",I1676="TNO2-3",I1676="NO2-3")),VLOOKUP(E1676,QCUREA_N,2,),IF(H1676="PER",VLOOKUP(I1676,QCPER,MATCH(E1676,QCACTUAL!$J$25:$AA$25,0),),IF(H1676="SPK",VLOOKUP(I1676,QCSPK,3,),IF(AND(H1676="ATP",OR(I1676="TP",I1676="TDP")),VLOOKUP(E1676,QCATP_P,2,),""))))))))</f>
        <v/>
      </c>
      <c r="W1676" s="31" t="str">
        <f t="shared" si="191"/>
        <v>TRUE</v>
      </c>
      <c r="X1676" s="31" t="str">
        <f t="shared" si="188"/>
        <v/>
      </c>
      <c r="Y1676" s="10" t="s">
        <v>1096</v>
      </c>
      <c r="Z1676" s="10" t="s">
        <v>910</v>
      </c>
      <c r="AL1676" s="10" t="str">
        <f t="shared" si="186"/>
        <v>FALSE</v>
      </c>
      <c r="AM1676" s="10" t="str">
        <f t="shared" si="186"/>
        <v>FALSE</v>
      </c>
      <c r="AN1676" s="10" t="str">
        <f t="shared" si="186"/>
        <v>FALSE</v>
      </c>
      <c r="AO1676" s="10" t="str">
        <f t="shared" si="187"/>
        <v>FALSE</v>
      </c>
      <c r="AP1676" s="10" t="str">
        <f t="shared" si="187"/>
        <v>FALSE</v>
      </c>
      <c r="AQ1676" s="10" t="b">
        <f>IF(AND(I1676="TP",S1676&lt;=150),VLOOKUP(AF1676,TPCalibEq150!$AZ$2:$BB$55,3,),IF(AND(I1676="TDP",S1676&lt;=150),VLOOKUP(AF1676,TPCalibEq150!$AZ$2:$BB$55,3,)))</f>
        <v>0</v>
      </c>
      <c r="AR1676" s="10" t="b">
        <f>IF(AND(I1676="TP",S1676&lt;=300),VLOOKUP(AF1676,TPCalibEq300!$AZ$2:$BB$55,3,),IF(AND(I1676="TDP",S1676&lt;=300),VLOOKUP(AF1676,TPCalibEq300!$AZ$2:$BB$55,3,)))</f>
        <v>0</v>
      </c>
      <c r="AS1676" s="10" t="b">
        <f>IF(AND(I1676="TP",S1676&lt;=500),VLOOKUP(AF1676,TPCalibEq500!$AZ$2:$BB$56,3,),IF(AND(I1676="TDP",S1676&lt;=500),VLOOKUP(AF1676,TPCalibEq500!$AZ$2:$BB$56,3,)))</f>
        <v>0</v>
      </c>
      <c r="AT1676" s="10" t="b">
        <f>IF(AND(I1676="TN",S1676&lt;=2800),VLOOKUP(AF1676,TNCalibEq2500!$AZ$2:$BB$56,3,),IF(AND(I1676="TDN",S1676&lt;=2800),VLOOKUP(AF1676,TNCalibEq2500!$AZ$2:$BB$56,3,)))</f>
        <v>0</v>
      </c>
      <c r="AU1676" s="10" t="b">
        <f>IF(I1676="TP",VLOOKUP(AF1676,TPCalibEqFull!$AZ$2:$BB$56,3),IF(I1676="TDP",VLOOKUP(AF1676,TPCalibEqFull!$AZ$2:$BB$56,3),IF(I1676="TDN",VLOOKUP(AF1676,TNCalibEqFull!$AZ$1:$BB$56,3),IF(I1676="TN",VLOOKUP(AF1676,TNCalibEqFull!$AZ$1:$BB$56,3),FALSE))))</f>
        <v>0</v>
      </c>
      <c r="AV1676" s="10" t="str">
        <f t="shared" si="192"/>
        <v>0130 09:43:00-ELI-0-FIL-1-SW-UKN</v>
      </c>
    </row>
    <row r="1677" spans="1:48" s="10" customFormat="1" x14ac:dyDescent="0.55000000000000004">
      <c r="A1677" s="32">
        <v>44956</v>
      </c>
      <c r="B1677" s="33">
        <v>0.41597222222222219</v>
      </c>
      <c r="C1677" s="10" t="s">
        <v>408</v>
      </c>
      <c r="D1677" s="10">
        <v>0</v>
      </c>
      <c r="E1677" s="10" t="s">
        <v>911</v>
      </c>
      <c r="F1677" s="10">
        <v>1</v>
      </c>
      <c r="G1677" s="10" t="s">
        <v>231</v>
      </c>
      <c r="H1677" s="10" t="s">
        <v>322</v>
      </c>
      <c r="I1677" s="10" t="s">
        <v>209</v>
      </c>
      <c r="J1677" s="10">
        <v>73</v>
      </c>
      <c r="K1677" s="12">
        <v>44958</v>
      </c>
      <c r="L1677" s="33">
        <v>0.58498842592592593</v>
      </c>
      <c r="M1677" s="10">
        <v>1</v>
      </c>
      <c r="N1677" s="10" t="s">
        <v>169</v>
      </c>
      <c r="O1677" s="10">
        <v>3.47</v>
      </c>
      <c r="P1677" s="10">
        <v>0.16500000000000001</v>
      </c>
      <c r="Q1677" s="10">
        <v>437</v>
      </c>
      <c r="R1677" s="10" t="s">
        <v>77</v>
      </c>
      <c r="S1677" s="34">
        <f t="shared" si="189"/>
        <v>437</v>
      </c>
      <c r="T1677" s="10" t="s">
        <v>1114</v>
      </c>
      <c r="U1677" s="34" t="str">
        <f t="shared" si="190"/>
        <v/>
      </c>
      <c r="V1677" s="31" t="str">
        <f>IF(H1677="CHK",VLOOKUP(I1677,QCCHK,3,),IF(H1677="GUP",VLOOKUP(E1677,QCGUP,2,),IF(AND(H1677="ATP",OR(I1677="TN",I1677="TDN",I1677="TNO2-3",I1677="NO2-3")),VLOOKUP(E1677,QCREC_N,2,),IF(AND(H1677="NIC",OR(I1677="TN",I1677="TDN",I1677="TNO2-3",I1677="NO2-3")),VLOOKUP(E1677,QCNIC_N,2,),IF(AND(H1677="UREA",OR(I1677="TN",I1677="TDN",I1677="TNO2-3",I1677="NO2-3")),VLOOKUP(E1677,QCUREA_N,2,),IF(H1677="PER",VLOOKUP(I1677,QCPER,MATCH(E1677,QCACTUAL!$J$25:$AA$25,0),),IF(H1677="SPK",VLOOKUP(I1677,QCSPK,3,),IF(AND(H1677="ATP",OR(I1677="TP",I1677="TDP")),VLOOKUP(E1677,QCATP_P,2,),""))))))))</f>
        <v/>
      </c>
      <c r="W1677" s="31" t="str">
        <f t="shared" si="191"/>
        <v>TRUE</v>
      </c>
      <c r="X1677" s="31" t="str">
        <f t="shared" si="188"/>
        <v/>
      </c>
      <c r="Y1677" s="10" t="s">
        <v>1096</v>
      </c>
      <c r="Z1677" s="10" t="s">
        <v>910</v>
      </c>
      <c r="AL1677" s="10" t="str">
        <f t="shared" si="186"/>
        <v>FALSE</v>
      </c>
      <c r="AM1677" s="10" t="str">
        <f t="shared" si="186"/>
        <v>FALSE</v>
      </c>
      <c r="AN1677" s="10" t="str">
        <f t="shared" si="186"/>
        <v>FALSE</v>
      </c>
      <c r="AO1677" s="10" t="str">
        <f t="shared" si="187"/>
        <v>FALSE</v>
      </c>
      <c r="AP1677" s="10" t="str">
        <f t="shared" si="187"/>
        <v>FALSE</v>
      </c>
      <c r="AQ1677" s="10" t="b">
        <f>IF(AND(I1677="TP",S1677&lt;=150),VLOOKUP(AF1677,TPCalibEq150!$AZ$2:$BB$55,3,),IF(AND(I1677="TDP",S1677&lt;=150),VLOOKUP(AF1677,TPCalibEq150!$AZ$2:$BB$55,3,)))</f>
        <v>0</v>
      </c>
      <c r="AR1677" s="10" t="b">
        <f>IF(AND(I1677="TP",S1677&lt;=300),VLOOKUP(AF1677,TPCalibEq300!$AZ$2:$BB$55,3,),IF(AND(I1677="TDP",S1677&lt;=300),VLOOKUP(AF1677,TPCalibEq300!$AZ$2:$BB$55,3,)))</f>
        <v>0</v>
      </c>
      <c r="AS1677" s="10" t="b">
        <f>IF(AND(I1677="TP",S1677&lt;=500),VLOOKUP(AF1677,TPCalibEq500!$AZ$2:$BB$56,3,),IF(AND(I1677="TDP",S1677&lt;=500),VLOOKUP(AF1677,TPCalibEq500!$AZ$2:$BB$56,3,)))</f>
        <v>0</v>
      </c>
      <c r="AT1677" s="10" t="b">
        <f>IF(AND(I1677="TN",S1677&lt;=2800),VLOOKUP(AF1677,TNCalibEq2500!$AZ$2:$BB$56,3,),IF(AND(I1677="TDN",S1677&lt;=2800),VLOOKUP(AF1677,TNCalibEq2500!$AZ$2:$BB$56,3,)))</f>
        <v>0</v>
      </c>
      <c r="AU1677" s="10" t="b">
        <f>IF(I1677="TP",VLOOKUP(AF1677,TPCalibEqFull!$AZ$2:$BB$56,3),IF(I1677="TDP",VLOOKUP(AF1677,TPCalibEqFull!$AZ$2:$BB$56,3),IF(I1677="TDN",VLOOKUP(AF1677,TNCalibEqFull!$AZ$1:$BB$56,3),IF(I1677="TN",VLOOKUP(AF1677,TNCalibEqFull!$AZ$1:$BB$56,3),FALSE))))</f>
        <v>0</v>
      </c>
      <c r="AV1677" s="10" t="str">
        <f t="shared" si="192"/>
        <v>0130 09:59:00-CLC-0-FIL-1-SW-UKN</v>
      </c>
    </row>
    <row r="1678" spans="1:48" s="10" customFormat="1" x14ac:dyDescent="0.55000000000000004">
      <c r="A1678" s="32">
        <v>44956</v>
      </c>
      <c r="B1678" s="33">
        <v>0.43055555555555558</v>
      </c>
      <c r="C1678" s="10" t="s">
        <v>349</v>
      </c>
      <c r="D1678" s="10">
        <v>0</v>
      </c>
      <c r="E1678" s="10" t="s">
        <v>911</v>
      </c>
      <c r="F1678" s="10">
        <v>1</v>
      </c>
      <c r="G1678" s="10" t="s">
        <v>231</v>
      </c>
      <c r="H1678" s="10" t="s">
        <v>322</v>
      </c>
      <c r="I1678" s="10" t="s">
        <v>209</v>
      </c>
      <c r="J1678" s="10">
        <v>74</v>
      </c>
      <c r="K1678" s="12">
        <v>44958</v>
      </c>
      <c r="L1678" s="33">
        <v>0.58579861111111109</v>
      </c>
      <c r="M1678" s="10">
        <v>1</v>
      </c>
      <c r="N1678" s="10" t="s">
        <v>169</v>
      </c>
      <c r="O1678" s="10">
        <v>5.0199999999999996</v>
      </c>
      <c r="P1678" s="10">
        <v>0.23899999999999999</v>
      </c>
      <c r="Q1678" s="10">
        <v>632</v>
      </c>
      <c r="R1678" s="10" t="s">
        <v>77</v>
      </c>
      <c r="S1678" s="34">
        <f t="shared" si="189"/>
        <v>632</v>
      </c>
      <c r="T1678" s="10" t="s">
        <v>1114</v>
      </c>
      <c r="U1678" s="34" t="str">
        <f t="shared" si="190"/>
        <v/>
      </c>
      <c r="V1678" s="31" t="str">
        <f>IF(H1678="CHK",VLOOKUP(I1678,QCCHK,3,),IF(H1678="GUP",VLOOKUP(E1678,QCGUP,2,),IF(AND(H1678="ATP",OR(I1678="TN",I1678="TDN",I1678="TNO2-3",I1678="NO2-3")),VLOOKUP(E1678,QCREC_N,2,),IF(AND(H1678="NIC",OR(I1678="TN",I1678="TDN",I1678="TNO2-3",I1678="NO2-3")),VLOOKUP(E1678,QCNIC_N,2,),IF(AND(H1678="UREA",OR(I1678="TN",I1678="TDN",I1678="TNO2-3",I1678="NO2-3")),VLOOKUP(E1678,QCUREA_N,2,),IF(H1678="PER",VLOOKUP(I1678,QCPER,MATCH(E1678,QCACTUAL!$J$25:$AA$25,0),),IF(H1678="SPK",VLOOKUP(I1678,QCSPK,3,),IF(AND(H1678="ATP",OR(I1678="TP",I1678="TDP")),VLOOKUP(E1678,QCATP_P,2,),""))))))))</f>
        <v/>
      </c>
      <c r="W1678" s="31" t="str">
        <f t="shared" si="191"/>
        <v>TRUE</v>
      </c>
      <c r="X1678" s="31" t="str">
        <f t="shared" si="188"/>
        <v/>
      </c>
      <c r="Y1678" s="10" t="s">
        <v>1096</v>
      </c>
      <c r="Z1678" s="10" t="s">
        <v>910</v>
      </c>
      <c r="AL1678" s="10" t="str">
        <f t="shared" si="186"/>
        <v>FALSE</v>
      </c>
      <c r="AM1678" s="10" t="str">
        <f t="shared" si="186"/>
        <v>FALSE</v>
      </c>
      <c r="AN1678" s="10" t="str">
        <f t="shared" si="186"/>
        <v>FALSE</v>
      </c>
      <c r="AO1678" s="10" t="str">
        <f t="shared" si="187"/>
        <v>FALSE</v>
      </c>
      <c r="AP1678" s="10" t="str">
        <f t="shared" si="187"/>
        <v>FALSE</v>
      </c>
      <c r="AQ1678" s="10" t="b">
        <f>IF(AND(I1678="TP",S1678&lt;=150),VLOOKUP(AF1678,TPCalibEq150!$AZ$2:$BB$55,3,),IF(AND(I1678="TDP",S1678&lt;=150),VLOOKUP(AF1678,TPCalibEq150!$AZ$2:$BB$55,3,)))</f>
        <v>0</v>
      </c>
      <c r="AR1678" s="10" t="b">
        <f>IF(AND(I1678="TP",S1678&lt;=300),VLOOKUP(AF1678,TPCalibEq300!$AZ$2:$BB$55,3,),IF(AND(I1678="TDP",S1678&lt;=300),VLOOKUP(AF1678,TPCalibEq300!$AZ$2:$BB$55,3,)))</f>
        <v>0</v>
      </c>
      <c r="AS1678" s="10" t="b">
        <f>IF(AND(I1678="TP",S1678&lt;=500),VLOOKUP(AF1678,TPCalibEq500!$AZ$2:$BB$56,3,),IF(AND(I1678="TDP",S1678&lt;=500),VLOOKUP(AF1678,TPCalibEq500!$AZ$2:$BB$56,3,)))</f>
        <v>0</v>
      </c>
      <c r="AT1678" s="10" t="b">
        <f>IF(AND(I1678="TN",S1678&lt;=2800),VLOOKUP(AF1678,TNCalibEq2500!$AZ$2:$BB$56,3,),IF(AND(I1678="TDN",S1678&lt;=2800),VLOOKUP(AF1678,TNCalibEq2500!$AZ$2:$BB$56,3,)))</f>
        <v>0</v>
      </c>
      <c r="AU1678" s="10" t="b">
        <f>IF(I1678="TP",VLOOKUP(AF1678,TPCalibEqFull!$AZ$2:$BB$56,3),IF(I1678="TDP",VLOOKUP(AF1678,TPCalibEqFull!$AZ$2:$BB$56,3),IF(I1678="TDN",VLOOKUP(AF1678,TNCalibEqFull!$AZ$1:$BB$56,3),IF(I1678="TN",VLOOKUP(AF1678,TNCalibEqFull!$AZ$1:$BB$56,3),FALSE))))</f>
        <v>0</v>
      </c>
      <c r="AV1678" s="10" t="str">
        <f t="shared" si="192"/>
        <v>0130 10:20:00-SHA-0-FIL-1-SW-UKN</v>
      </c>
    </row>
    <row r="1679" spans="1:48" s="10" customFormat="1" x14ac:dyDescent="0.55000000000000004">
      <c r="A1679" s="32">
        <v>44956</v>
      </c>
      <c r="B1679" s="33">
        <v>0.44166666666666665</v>
      </c>
      <c r="C1679" s="10" t="s">
        <v>646</v>
      </c>
      <c r="D1679" s="10">
        <v>0</v>
      </c>
      <c r="E1679" s="10" t="s">
        <v>911</v>
      </c>
      <c r="F1679" s="10">
        <v>1</v>
      </c>
      <c r="G1679" s="10" t="s">
        <v>231</v>
      </c>
      <c r="H1679" s="10" t="s">
        <v>322</v>
      </c>
      <c r="I1679" s="10" t="s">
        <v>209</v>
      </c>
      <c r="J1679" s="10">
        <v>75</v>
      </c>
      <c r="K1679" s="12">
        <v>44958</v>
      </c>
      <c r="L1679" s="33">
        <v>0.58660879629629636</v>
      </c>
      <c r="M1679" s="10">
        <v>1</v>
      </c>
      <c r="N1679" s="10" t="s">
        <v>169</v>
      </c>
      <c r="O1679" s="10">
        <v>5.46</v>
      </c>
      <c r="P1679" s="10">
        <v>0.26</v>
      </c>
      <c r="Q1679" s="10">
        <v>688</v>
      </c>
      <c r="R1679" s="10" t="s">
        <v>77</v>
      </c>
      <c r="S1679" s="34">
        <f t="shared" si="189"/>
        <v>688</v>
      </c>
      <c r="T1679" s="10" t="s">
        <v>1114</v>
      </c>
      <c r="U1679" s="34" t="str">
        <f t="shared" si="190"/>
        <v/>
      </c>
      <c r="V1679" s="31" t="str">
        <f>IF(H1679="CHK",VLOOKUP(I1679,QCCHK,3,),IF(H1679="GUP",VLOOKUP(E1679,QCGUP,2,),IF(AND(H1679="ATP",OR(I1679="TN",I1679="TDN",I1679="TNO2-3",I1679="NO2-3")),VLOOKUP(E1679,QCREC_N,2,),IF(AND(H1679="NIC",OR(I1679="TN",I1679="TDN",I1679="TNO2-3",I1679="NO2-3")),VLOOKUP(E1679,QCNIC_N,2,),IF(AND(H1679="UREA",OR(I1679="TN",I1679="TDN",I1679="TNO2-3",I1679="NO2-3")),VLOOKUP(E1679,QCUREA_N,2,),IF(H1679="PER",VLOOKUP(I1679,QCPER,MATCH(E1679,QCACTUAL!$J$25:$AA$25,0),),IF(H1679="SPK",VLOOKUP(I1679,QCSPK,3,),IF(AND(H1679="ATP",OR(I1679="TP",I1679="TDP")),VLOOKUP(E1679,QCATP_P,2,),""))))))))</f>
        <v/>
      </c>
      <c r="W1679" s="31" t="str">
        <f t="shared" si="191"/>
        <v>TRUE</v>
      </c>
      <c r="X1679" s="31" t="str">
        <f t="shared" si="188"/>
        <v/>
      </c>
      <c r="Y1679" s="10" t="s">
        <v>1096</v>
      </c>
      <c r="Z1679" s="10" t="s">
        <v>910</v>
      </c>
      <c r="AL1679" s="10" t="str">
        <f t="shared" si="186"/>
        <v>FALSE</v>
      </c>
      <c r="AM1679" s="10" t="str">
        <f t="shared" si="186"/>
        <v>FALSE</v>
      </c>
      <c r="AN1679" s="10" t="str">
        <f t="shared" si="186"/>
        <v>FALSE</v>
      </c>
      <c r="AO1679" s="10" t="str">
        <f t="shared" si="187"/>
        <v>FALSE</v>
      </c>
      <c r="AP1679" s="10" t="str">
        <f t="shared" si="187"/>
        <v>FALSE</v>
      </c>
      <c r="AQ1679" s="10" t="b">
        <f>IF(AND(I1679="TP",S1679&lt;=150),VLOOKUP(AF1679,TPCalibEq150!$AZ$2:$BB$55,3,),IF(AND(I1679="TDP",S1679&lt;=150),VLOOKUP(AF1679,TPCalibEq150!$AZ$2:$BB$55,3,)))</f>
        <v>0</v>
      </c>
      <c r="AR1679" s="10" t="b">
        <f>IF(AND(I1679="TP",S1679&lt;=300),VLOOKUP(AF1679,TPCalibEq300!$AZ$2:$BB$55,3,),IF(AND(I1679="TDP",S1679&lt;=300),VLOOKUP(AF1679,TPCalibEq300!$AZ$2:$BB$55,3,)))</f>
        <v>0</v>
      </c>
      <c r="AS1679" s="10" t="b">
        <f>IF(AND(I1679="TP",S1679&lt;=500),VLOOKUP(AF1679,TPCalibEq500!$AZ$2:$BB$56,3,),IF(AND(I1679="TDP",S1679&lt;=500),VLOOKUP(AF1679,TPCalibEq500!$AZ$2:$BB$56,3,)))</f>
        <v>0</v>
      </c>
      <c r="AT1679" s="10" t="b">
        <f>IF(AND(I1679="TN",S1679&lt;=2800),VLOOKUP(AF1679,TNCalibEq2500!$AZ$2:$BB$56,3,),IF(AND(I1679="TDN",S1679&lt;=2800),VLOOKUP(AF1679,TNCalibEq2500!$AZ$2:$BB$56,3,)))</f>
        <v>0</v>
      </c>
      <c r="AU1679" s="10" t="b">
        <f>IF(I1679="TP",VLOOKUP(AF1679,TPCalibEqFull!$AZ$2:$BB$56,3),IF(I1679="TDP",VLOOKUP(AF1679,TPCalibEqFull!$AZ$2:$BB$56,3),IF(I1679="TDN",VLOOKUP(AF1679,TNCalibEqFull!$AZ$1:$BB$56,3),IF(I1679="TN",VLOOKUP(AF1679,TNCalibEqFull!$AZ$1:$BB$56,3),FALSE))))</f>
        <v>0</v>
      </c>
      <c r="AV1679" s="10" t="str">
        <f t="shared" si="192"/>
        <v>0130 10:36:00-EMB-0-FIL-1-SW-UKN</v>
      </c>
    </row>
    <row r="1680" spans="1:48" s="10" customFormat="1" x14ac:dyDescent="0.55000000000000004">
      <c r="A1680" s="32">
        <v>44956</v>
      </c>
      <c r="B1680" s="33">
        <v>0.45208333333333334</v>
      </c>
      <c r="C1680" s="10" t="s">
        <v>214</v>
      </c>
      <c r="D1680" s="10">
        <v>0</v>
      </c>
      <c r="E1680" s="10" t="s">
        <v>911</v>
      </c>
      <c r="F1680" s="10">
        <v>1</v>
      </c>
      <c r="G1680" s="10" t="s">
        <v>231</v>
      </c>
      <c r="H1680" s="10" t="s">
        <v>322</v>
      </c>
      <c r="I1680" s="10" t="s">
        <v>209</v>
      </c>
      <c r="J1680" s="10">
        <v>76</v>
      </c>
      <c r="K1680" s="12">
        <v>44958</v>
      </c>
      <c r="L1680" s="33">
        <v>0.58743055555555557</v>
      </c>
      <c r="M1680" s="10">
        <v>1</v>
      </c>
      <c r="N1680" s="10" t="s">
        <v>169</v>
      </c>
      <c r="O1680" s="10">
        <v>5.65</v>
      </c>
      <c r="P1680" s="10">
        <v>0.26700000000000002</v>
      </c>
      <c r="Q1680" s="10">
        <v>712</v>
      </c>
      <c r="R1680" s="10" t="s">
        <v>77</v>
      </c>
      <c r="S1680" s="34">
        <f t="shared" si="189"/>
        <v>712</v>
      </c>
      <c r="T1680" s="10" t="s">
        <v>1114</v>
      </c>
      <c r="U1680" s="34" t="str">
        <f t="shared" si="190"/>
        <v/>
      </c>
      <c r="V1680" s="31" t="str">
        <f>IF(H1680="CHK",VLOOKUP(I1680,QCCHK,3,),IF(H1680="GUP",VLOOKUP(E1680,QCGUP,2,),IF(AND(H1680="ATP",OR(I1680="TN",I1680="TDN",I1680="TNO2-3",I1680="NO2-3")),VLOOKUP(E1680,QCREC_N,2,),IF(AND(H1680="NIC",OR(I1680="TN",I1680="TDN",I1680="TNO2-3",I1680="NO2-3")),VLOOKUP(E1680,QCNIC_N,2,),IF(AND(H1680="UREA",OR(I1680="TN",I1680="TDN",I1680="TNO2-3",I1680="NO2-3")),VLOOKUP(E1680,QCUREA_N,2,),IF(H1680="PER",VLOOKUP(I1680,QCPER,MATCH(E1680,QCACTUAL!$J$25:$AA$25,0),),IF(H1680="SPK",VLOOKUP(I1680,QCSPK,3,),IF(AND(H1680="ATP",OR(I1680="TP",I1680="TDP")),VLOOKUP(E1680,QCATP_P,2,),""))))))))</f>
        <v/>
      </c>
      <c r="W1680" s="31" t="str">
        <f t="shared" si="191"/>
        <v>TRUE</v>
      </c>
      <c r="X1680" s="31" t="str">
        <f t="shared" si="188"/>
        <v/>
      </c>
      <c r="Y1680" s="10" t="s">
        <v>1096</v>
      </c>
      <c r="Z1680" s="10" t="s">
        <v>910</v>
      </c>
      <c r="AL1680" s="10" t="str">
        <f t="shared" si="186"/>
        <v>FALSE</v>
      </c>
      <c r="AM1680" s="10" t="str">
        <f t="shared" si="186"/>
        <v>FALSE</v>
      </c>
      <c r="AN1680" s="10" t="str">
        <f t="shared" si="186"/>
        <v>FALSE</v>
      </c>
      <c r="AO1680" s="10" t="str">
        <f t="shared" si="187"/>
        <v>FALSE</v>
      </c>
      <c r="AP1680" s="10" t="str">
        <f t="shared" si="187"/>
        <v>FALSE</v>
      </c>
      <c r="AQ1680" s="10" t="b">
        <f>IF(AND(I1680="TP",S1680&lt;=150),VLOOKUP(AF1680,TPCalibEq150!$AZ$2:$BB$55,3,),IF(AND(I1680="TDP",S1680&lt;=150),VLOOKUP(AF1680,TPCalibEq150!$AZ$2:$BB$55,3,)))</f>
        <v>0</v>
      </c>
      <c r="AR1680" s="10" t="b">
        <f>IF(AND(I1680="TP",S1680&lt;=300),VLOOKUP(AF1680,TPCalibEq300!$AZ$2:$BB$55,3,),IF(AND(I1680="TDP",S1680&lt;=300),VLOOKUP(AF1680,TPCalibEq300!$AZ$2:$BB$55,3,)))</f>
        <v>0</v>
      </c>
      <c r="AS1680" s="10" t="b">
        <f>IF(AND(I1680="TP",S1680&lt;=500),VLOOKUP(AF1680,TPCalibEq500!$AZ$2:$BB$56,3,),IF(AND(I1680="TDP",S1680&lt;=500),VLOOKUP(AF1680,TPCalibEq500!$AZ$2:$BB$56,3,)))</f>
        <v>0</v>
      </c>
      <c r="AT1680" s="10" t="b">
        <f>IF(AND(I1680="TN",S1680&lt;=2800),VLOOKUP(AF1680,TNCalibEq2500!$AZ$2:$BB$56,3,),IF(AND(I1680="TDN",S1680&lt;=2800),VLOOKUP(AF1680,TNCalibEq2500!$AZ$2:$BB$56,3,)))</f>
        <v>0</v>
      </c>
      <c r="AU1680" s="10" t="b">
        <f>IF(I1680="TP",VLOOKUP(AF1680,TPCalibEqFull!$AZ$2:$BB$56,3),IF(I1680="TDP",VLOOKUP(AF1680,TPCalibEqFull!$AZ$2:$BB$56,3),IF(I1680="TDN",VLOOKUP(AF1680,TNCalibEqFull!$AZ$1:$BB$56,3),IF(I1680="TN",VLOOKUP(AF1680,TNCalibEqFull!$AZ$1:$BB$56,3),FALSE))))</f>
        <v>0</v>
      </c>
      <c r="AV1680" s="10" t="str">
        <f t="shared" si="192"/>
        <v>0130 10:51:00-DAM-0-FIL-1-SW-UKN</v>
      </c>
    </row>
    <row r="1681" spans="1:48" s="10" customFormat="1" x14ac:dyDescent="0.55000000000000004">
      <c r="A1681" s="32">
        <v>44956</v>
      </c>
      <c r="B1681" s="33">
        <v>0.45208333333333334</v>
      </c>
      <c r="C1681" s="10" t="s">
        <v>214</v>
      </c>
      <c r="D1681" s="10">
        <v>0</v>
      </c>
      <c r="E1681" s="10" t="s">
        <v>911</v>
      </c>
      <c r="F1681" s="10">
        <v>2</v>
      </c>
      <c r="G1681" s="10" t="s">
        <v>231</v>
      </c>
      <c r="H1681" s="10" t="s">
        <v>322</v>
      </c>
      <c r="I1681" s="10" t="s">
        <v>209</v>
      </c>
      <c r="J1681" s="10">
        <v>77</v>
      </c>
      <c r="K1681" s="12">
        <v>44958</v>
      </c>
      <c r="L1681" s="33">
        <v>0.58825231481481477</v>
      </c>
      <c r="M1681" s="10">
        <v>1</v>
      </c>
      <c r="N1681" s="10" t="s">
        <v>169</v>
      </c>
      <c r="O1681" s="10">
        <v>6</v>
      </c>
      <c r="P1681" s="10">
        <v>0.28499999999999998</v>
      </c>
      <c r="Q1681" s="10">
        <v>756</v>
      </c>
      <c r="R1681" s="10" t="s">
        <v>77</v>
      </c>
      <c r="S1681" s="34">
        <f t="shared" si="189"/>
        <v>756</v>
      </c>
      <c r="T1681" s="10" t="s">
        <v>1114</v>
      </c>
      <c r="U1681" s="34" t="str">
        <f t="shared" si="190"/>
        <v/>
      </c>
      <c r="V1681" s="31" t="str">
        <f>IF(H1681="CHK",VLOOKUP(I1681,QCCHK,3,),IF(H1681="GUP",VLOOKUP(E1681,QCGUP,2,),IF(AND(H1681="ATP",OR(I1681="TN",I1681="TDN",I1681="TNO2-3",I1681="NO2-3")),VLOOKUP(E1681,QCREC_N,2,),IF(AND(H1681="NIC",OR(I1681="TN",I1681="TDN",I1681="TNO2-3",I1681="NO2-3")),VLOOKUP(E1681,QCNIC_N,2,),IF(AND(H1681="UREA",OR(I1681="TN",I1681="TDN",I1681="TNO2-3",I1681="NO2-3")),VLOOKUP(E1681,QCUREA_N,2,),IF(H1681="PER",VLOOKUP(I1681,QCPER,MATCH(E1681,QCACTUAL!$J$25:$AA$25,0),),IF(H1681="SPK",VLOOKUP(I1681,QCSPK,3,),IF(AND(H1681="ATP",OR(I1681="TP",I1681="TDP")),VLOOKUP(E1681,QCATP_P,2,),""))))))))</f>
        <v/>
      </c>
      <c r="W1681" s="31" t="str">
        <f t="shared" si="191"/>
        <v>TRUE</v>
      </c>
      <c r="X1681" s="31" t="str">
        <f t="shared" si="188"/>
        <v/>
      </c>
      <c r="Y1681" s="10" t="s">
        <v>1096</v>
      </c>
      <c r="Z1681" s="10" t="s">
        <v>910</v>
      </c>
      <c r="AL1681" s="10" t="str">
        <f t="shared" ref="AL1681:AN1696" si="193">IF($O1681="", "", IF(AQ1681&lt;&gt;"", SUBSTITUTE(SUBSTITUTE(AQ1681, "x", "*"&amp;$O1681&amp;"^", 1), "x", "*"&amp;$O1681, 1), ""))</f>
        <v>FALSE</v>
      </c>
      <c r="AM1681" s="10" t="str">
        <f t="shared" si="193"/>
        <v>FALSE</v>
      </c>
      <c r="AN1681" s="10" t="str">
        <f t="shared" si="193"/>
        <v>FALSE</v>
      </c>
      <c r="AO1681" s="10" t="str">
        <f t="shared" ref="AO1681:AP1696" si="194">IF($O1681="", "FALSE", IF(AT1681&lt;&gt;"FALSE", SUBSTITUTE(SUBSTITUTE(AT1681, "x", "*"&amp;$O1681&amp;"^", 1), "x", "*"&amp;$O1681, 1), ""))</f>
        <v>FALSE</v>
      </c>
      <c r="AP1681" s="10" t="str">
        <f t="shared" si="194"/>
        <v>FALSE</v>
      </c>
      <c r="AQ1681" s="10" t="b">
        <f>IF(AND(I1681="TP",S1681&lt;=150),VLOOKUP(AF1681,TPCalibEq150!$AZ$2:$BB$55,3,),IF(AND(I1681="TDP",S1681&lt;=150),VLOOKUP(AF1681,TPCalibEq150!$AZ$2:$BB$55,3,)))</f>
        <v>0</v>
      </c>
      <c r="AR1681" s="10" t="b">
        <f>IF(AND(I1681="TP",S1681&lt;=300),VLOOKUP(AF1681,TPCalibEq300!$AZ$2:$BB$55,3,),IF(AND(I1681="TDP",S1681&lt;=300),VLOOKUP(AF1681,TPCalibEq300!$AZ$2:$BB$55,3,)))</f>
        <v>0</v>
      </c>
      <c r="AS1681" s="10" t="b">
        <f>IF(AND(I1681="TP",S1681&lt;=500),VLOOKUP(AF1681,TPCalibEq500!$AZ$2:$BB$56,3,),IF(AND(I1681="TDP",S1681&lt;=500),VLOOKUP(AF1681,TPCalibEq500!$AZ$2:$BB$56,3,)))</f>
        <v>0</v>
      </c>
      <c r="AT1681" s="10" t="b">
        <f>IF(AND(I1681="TN",S1681&lt;=2800),VLOOKUP(AF1681,TNCalibEq2500!$AZ$2:$BB$56,3,),IF(AND(I1681="TDN",S1681&lt;=2800),VLOOKUP(AF1681,TNCalibEq2500!$AZ$2:$BB$56,3,)))</f>
        <v>0</v>
      </c>
      <c r="AU1681" s="10" t="b">
        <f>IF(I1681="TP",VLOOKUP(AF1681,TPCalibEqFull!$AZ$2:$BB$56,3),IF(I1681="TDP",VLOOKUP(AF1681,TPCalibEqFull!$AZ$2:$BB$56,3),IF(I1681="TDN",VLOOKUP(AF1681,TNCalibEqFull!$AZ$1:$BB$56,3),IF(I1681="TN",VLOOKUP(AF1681,TNCalibEqFull!$AZ$1:$BB$56,3),FALSE))))</f>
        <v>0</v>
      </c>
      <c r="AV1681" s="10" t="str">
        <f t="shared" si="192"/>
        <v>0130 10:51:00-DAM-0-FIL-2-SW-UKN</v>
      </c>
    </row>
    <row r="1682" spans="1:48" s="10" customFormat="1" x14ac:dyDescent="0.55000000000000004">
      <c r="A1682" s="32">
        <v>44956</v>
      </c>
      <c r="B1682" s="33">
        <v>0.45208333333333334</v>
      </c>
      <c r="C1682" s="10" t="s">
        <v>214</v>
      </c>
      <c r="D1682" s="10">
        <v>0</v>
      </c>
      <c r="E1682" s="10" t="s">
        <v>911</v>
      </c>
      <c r="F1682" s="10">
        <v>2</v>
      </c>
      <c r="G1682" s="10" t="s">
        <v>231</v>
      </c>
      <c r="H1682" s="10" t="s">
        <v>233</v>
      </c>
      <c r="I1682" s="10" t="s">
        <v>209</v>
      </c>
      <c r="J1682" s="10">
        <v>77</v>
      </c>
      <c r="K1682" s="12">
        <v>44958</v>
      </c>
      <c r="L1682" s="33">
        <v>0.58908564814814812</v>
      </c>
      <c r="M1682" s="10">
        <v>1</v>
      </c>
      <c r="N1682" s="10" t="s">
        <v>169</v>
      </c>
      <c r="O1682" s="10">
        <v>4.21</v>
      </c>
      <c r="P1682" s="10">
        <v>0.2</v>
      </c>
      <c r="Q1682" s="10">
        <v>530</v>
      </c>
      <c r="R1682" s="10" t="s">
        <v>77</v>
      </c>
      <c r="S1682" s="34">
        <f t="shared" si="189"/>
        <v>530</v>
      </c>
      <c r="T1682" s="10" t="s">
        <v>1114</v>
      </c>
      <c r="U1682" s="34">
        <f t="shared" si="190"/>
        <v>35.147744945567652</v>
      </c>
      <c r="V1682" s="31" t="str">
        <f>IF(H1682="CHK",VLOOKUP(I1682,QCCHK,3,),IF(H1682="GUP",VLOOKUP(E1682,QCGUP,2,),IF(AND(H1682="ATP",OR(I1682="TN",I1682="TDN",I1682="TNO2-3",I1682="NO2-3")),VLOOKUP(E1682,QCREC_N,2,),IF(AND(H1682="NIC",OR(I1682="TN",I1682="TDN",I1682="TNO2-3",I1682="NO2-3")),VLOOKUP(E1682,QCNIC_N,2,),IF(AND(H1682="UREA",OR(I1682="TN",I1682="TDN",I1682="TNO2-3",I1682="NO2-3")),VLOOKUP(E1682,QCUREA_N,2,),IF(H1682="PER",VLOOKUP(I1682,QCPER,MATCH(E1682,QCACTUAL!$J$25:$AA$25,0),),IF(H1682="SPK",VLOOKUP(I1682,QCSPK,3,),IF(AND(H1682="ATP",OR(I1682="TP",I1682="TDP")),VLOOKUP(E1682,QCATP_P,2,),""))))))))</f>
        <v/>
      </c>
      <c r="W1682" s="31" t="str">
        <f t="shared" si="191"/>
        <v>FALSE</v>
      </c>
      <c r="X1682" s="31" t="str">
        <f t="shared" si="188"/>
        <v>((ABS(rep1-rep2))/((rep1+rep2)/2)*100</v>
      </c>
      <c r="Y1682" s="10" t="s">
        <v>1096</v>
      </c>
      <c r="Z1682" s="10" t="s">
        <v>910</v>
      </c>
      <c r="AL1682" s="10" t="str">
        <f t="shared" si="193"/>
        <v>FALSE</v>
      </c>
      <c r="AM1682" s="10" t="str">
        <f t="shared" si="193"/>
        <v>FALSE</v>
      </c>
      <c r="AN1682" s="10" t="str">
        <f t="shared" si="193"/>
        <v>FALSE</v>
      </c>
      <c r="AO1682" s="10" t="str">
        <f t="shared" si="194"/>
        <v>FALSE</v>
      </c>
      <c r="AP1682" s="10" t="str">
        <f t="shared" si="194"/>
        <v>FALSE</v>
      </c>
      <c r="AQ1682" s="10" t="b">
        <f>IF(AND(I1682="TP",S1682&lt;=150),VLOOKUP(AF1682,TPCalibEq150!$AZ$2:$BB$55,3,),IF(AND(I1682="TDP",S1682&lt;=150),VLOOKUP(AF1682,TPCalibEq150!$AZ$2:$BB$55,3,)))</f>
        <v>0</v>
      </c>
      <c r="AR1682" s="10" t="b">
        <f>IF(AND(I1682="TP",S1682&lt;=300),VLOOKUP(AF1682,TPCalibEq300!$AZ$2:$BB$55,3,),IF(AND(I1682="TDP",S1682&lt;=300),VLOOKUP(AF1682,TPCalibEq300!$AZ$2:$BB$55,3,)))</f>
        <v>0</v>
      </c>
      <c r="AS1682" s="10" t="b">
        <f>IF(AND(I1682="TP",S1682&lt;=500),VLOOKUP(AF1682,TPCalibEq500!$AZ$2:$BB$56,3,),IF(AND(I1682="TDP",S1682&lt;=500),VLOOKUP(AF1682,TPCalibEq500!$AZ$2:$BB$56,3,)))</f>
        <v>0</v>
      </c>
      <c r="AT1682" s="10" t="b">
        <f>IF(AND(I1682="TN",S1682&lt;=2800),VLOOKUP(AF1682,TNCalibEq2500!$AZ$2:$BB$56,3,),IF(AND(I1682="TDN",S1682&lt;=2800),VLOOKUP(AF1682,TNCalibEq2500!$AZ$2:$BB$56,3,)))</f>
        <v>0</v>
      </c>
      <c r="AU1682" s="10" t="b">
        <f>IF(I1682="TP",VLOOKUP(AF1682,TPCalibEqFull!$AZ$2:$BB$56,3),IF(I1682="TDP",VLOOKUP(AF1682,TPCalibEqFull!$AZ$2:$BB$56,3),IF(I1682="TDN",VLOOKUP(AF1682,TNCalibEqFull!$AZ$1:$BB$56,3),IF(I1682="TN",VLOOKUP(AF1682,TNCalibEqFull!$AZ$1:$BB$56,3),FALSE))))</f>
        <v>0</v>
      </c>
      <c r="AV1682" s="10" t="str">
        <f t="shared" si="192"/>
        <v>0130 10:51:00-DAM-0-FIL-2-SW-DUP</v>
      </c>
    </row>
    <row r="1683" spans="1:48" s="10" customFormat="1" x14ac:dyDescent="0.55000000000000004">
      <c r="A1683" s="32">
        <v>44956</v>
      </c>
      <c r="B1683" s="33">
        <v>0.45208333333333334</v>
      </c>
      <c r="C1683" s="10" t="s">
        <v>214</v>
      </c>
      <c r="D1683" s="10">
        <v>0</v>
      </c>
      <c r="E1683" s="10" t="s">
        <v>911</v>
      </c>
      <c r="F1683" s="10">
        <v>2</v>
      </c>
      <c r="G1683" s="10" t="s">
        <v>231</v>
      </c>
      <c r="H1683" s="10" t="s">
        <v>314</v>
      </c>
      <c r="I1683" s="10" t="s">
        <v>209</v>
      </c>
      <c r="J1683" s="10">
        <v>90</v>
      </c>
      <c r="K1683" s="12">
        <v>44958</v>
      </c>
      <c r="L1683" s="33">
        <v>0.5898958333333334</v>
      </c>
      <c r="M1683" s="10">
        <v>1</v>
      </c>
      <c r="N1683" s="10" t="s">
        <v>169</v>
      </c>
      <c r="O1683" s="10">
        <v>9.8000000000000007</v>
      </c>
      <c r="P1683" s="10">
        <v>0.46700000000000003</v>
      </c>
      <c r="Q1683" s="10">
        <v>1230</v>
      </c>
      <c r="R1683" s="10" t="s">
        <v>77</v>
      </c>
      <c r="S1683" s="34">
        <f t="shared" si="189"/>
        <v>1230</v>
      </c>
      <c r="T1683" s="10" t="s">
        <v>1114</v>
      </c>
      <c r="U1683" s="34">
        <f t="shared" si="190"/>
        <v>112.00000000000001</v>
      </c>
      <c r="V1683" s="31">
        <f>IF(H1683="CHK",VLOOKUP(I1683,QCCHK,3,),IF(H1683="GUP",VLOOKUP(E1683,QCGUP,2,),IF(AND(H1683="ATP",OR(I1683="TN",I1683="TDN",I1683="TNO2-3",I1683="NO2-3")),VLOOKUP(E1683,QCREC_N,2,),IF(AND(H1683="NIC",OR(I1683="TN",I1683="TDN",I1683="TNO2-3",I1683="NO2-3")),VLOOKUP(E1683,QCNIC_N,2,),IF(AND(H1683="UREA",OR(I1683="TN",I1683="TDN",I1683="TNO2-3",I1683="NO2-3")),VLOOKUP(E1683,QCUREA_N,2,),IF(H1683="PER",VLOOKUP(I1683,QCPER,MATCH(E1683,QCACTUAL!$J$25:$AA$25,0),),IF(H1683="SPK",VLOOKUP(I1683,QCSPK,3,),IF(AND(H1683="ATP",OR(I1683="TP",I1683="TDP")),VLOOKUP(E1683,QCATP_P,2,),""))))))))</f>
        <v>625</v>
      </c>
      <c r="W1683" s="31" t="str">
        <f t="shared" si="191"/>
        <v>TRUE</v>
      </c>
      <c r="X1683" s="31" t="str">
        <f t="shared" si="188"/>
        <v>([spikedunkn]-[unkn])/[spike]*100</v>
      </c>
      <c r="Y1683" s="10" t="s">
        <v>1096</v>
      </c>
      <c r="Z1683" s="10" t="s">
        <v>910</v>
      </c>
      <c r="AL1683" s="10" t="str">
        <f t="shared" si="193"/>
        <v>FALSE</v>
      </c>
      <c r="AM1683" s="10" t="str">
        <f t="shared" si="193"/>
        <v>FALSE</v>
      </c>
      <c r="AN1683" s="10" t="str">
        <f t="shared" si="193"/>
        <v>FALSE</v>
      </c>
      <c r="AO1683" s="10" t="str">
        <f t="shared" si="194"/>
        <v>FALSE</v>
      </c>
      <c r="AP1683" s="10" t="str">
        <f t="shared" si="194"/>
        <v>FALSE</v>
      </c>
      <c r="AQ1683" s="10" t="b">
        <f>IF(AND(I1683="TP",S1683&lt;=150),VLOOKUP(AF1683,TPCalibEq150!$AZ$2:$BB$55,3,),IF(AND(I1683="TDP",S1683&lt;=150),VLOOKUP(AF1683,TPCalibEq150!$AZ$2:$BB$55,3,)))</f>
        <v>0</v>
      </c>
      <c r="AR1683" s="10" t="b">
        <f>IF(AND(I1683="TP",S1683&lt;=300),VLOOKUP(AF1683,TPCalibEq300!$AZ$2:$BB$55,3,),IF(AND(I1683="TDP",S1683&lt;=300),VLOOKUP(AF1683,TPCalibEq300!$AZ$2:$BB$55,3,)))</f>
        <v>0</v>
      </c>
      <c r="AS1683" s="10" t="b">
        <f>IF(AND(I1683="TP",S1683&lt;=500),VLOOKUP(AF1683,TPCalibEq500!$AZ$2:$BB$56,3,),IF(AND(I1683="TDP",S1683&lt;=500),VLOOKUP(AF1683,TPCalibEq500!$AZ$2:$BB$56,3,)))</f>
        <v>0</v>
      </c>
      <c r="AT1683" s="10" t="b">
        <f>IF(AND(I1683="TN",S1683&lt;=2800),VLOOKUP(AF1683,TNCalibEq2500!$AZ$2:$BB$56,3,),IF(AND(I1683="TDN",S1683&lt;=2800),VLOOKUP(AF1683,TNCalibEq2500!$AZ$2:$BB$56,3,)))</f>
        <v>0</v>
      </c>
      <c r="AU1683" s="10" t="b">
        <f>IF(I1683="TP",VLOOKUP(AF1683,TPCalibEqFull!$AZ$2:$BB$56,3),IF(I1683="TDP",VLOOKUP(AF1683,TPCalibEqFull!$AZ$2:$BB$56,3),IF(I1683="TDN",VLOOKUP(AF1683,TNCalibEqFull!$AZ$1:$BB$56,3),IF(I1683="TN",VLOOKUP(AF1683,TNCalibEqFull!$AZ$1:$BB$56,3),FALSE))))</f>
        <v>0</v>
      </c>
      <c r="AV1683" s="10" t="str">
        <f t="shared" si="192"/>
        <v>0130 10:51:00-DAM-0-FIL-2-SW-SPK</v>
      </c>
    </row>
    <row r="1684" spans="1:48" s="10" customFormat="1" x14ac:dyDescent="0.55000000000000004">
      <c r="A1684" s="32">
        <v>44958</v>
      </c>
      <c r="B1684" s="33">
        <v>0.375</v>
      </c>
      <c r="C1684" s="10" t="s">
        <v>70</v>
      </c>
      <c r="D1684" s="10" t="s">
        <v>71</v>
      </c>
      <c r="E1684" s="10" t="s">
        <v>901</v>
      </c>
      <c r="F1684" s="10">
        <v>1</v>
      </c>
      <c r="G1684" s="10" t="s">
        <v>73</v>
      </c>
      <c r="H1684" s="10" t="s">
        <v>207</v>
      </c>
      <c r="I1684" s="10" t="s">
        <v>256</v>
      </c>
      <c r="J1684" s="10">
        <v>202</v>
      </c>
      <c r="K1684" s="12">
        <v>44958</v>
      </c>
      <c r="L1684" s="33">
        <v>0.59072916666666664</v>
      </c>
      <c r="M1684" s="10">
        <v>1</v>
      </c>
      <c r="N1684" s="10" t="s">
        <v>169</v>
      </c>
      <c r="O1684" s="10">
        <v>2.4</v>
      </c>
      <c r="P1684" s="10">
        <v>0.11700000000000001</v>
      </c>
      <c r="Q1684" s="10">
        <v>303</v>
      </c>
      <c r="R1684" s="10" t="s">
        <v>77</v>
      </c>
      <c r="S1684" s="34">
        <f t="shared" si="189"/>
        <v>303</v>
      </c>
      <c r="T1684" s="10" t="s">
        <v>1114</v>
      </c>
      <c r="U1684" s="34">
        <f t="shared" si="190"/>
        <v>101</v>
      </c>
      <c r="V1684" s="31">
        <f>IF(H1684="CHK",VLOOKUP(I1684,QCCHK,3,),IF(H1684="GUP",VLOOKUP(E1684,QCGUP,2,),IF(AND(H1684="ATP",OR(I1684="TN",I1684="TDN",I1684="TNO2-3",I1684="NO2-3")),VLOOKUP(E1684,QCREC_N,2,),IF(AND(H1684="NIC",OR(I1684="TN",I1684="TDN",I1684="TNO2-3",I1684="NO2-3")),VLOOKUP(E1684,QCNIC_N,2,),IF(AND(H1684="UREA",OR(I1684="TN",I1684="TDN",I1684="TNO2-3",I1684="NO2-3")),VLOOKUP(E1684,QCUREA_N,2,),IF(H1684="PER",VLOOKUP(I1684,QCPER,MATCH(E1684,QCACTUAL!$J$25:$AA$25,0),),IF(H1684="SPK",VLOOKUP(I1684,QCSPK,3,),IF(AND(H1684="ATP",OR(I1684="TP",I1684="TDP")),VLOOKUP(E1684,QCATP_P,2,),""))))))))</f>
        <v>300</v>
      </c>
      <c r="W1684" s="31" t="str">
        <f t="shared" si="191"/>
        <v>TRUE</v>
      </c>
      <c r="X1684" s="31" t="str">
        <f t="shared" si="188"/>
        <v>[chk]/[actual]*100</v>
      </c>
      <c r="Y1684" s="10" t="s">
        <v>1096</v>
      </c>
      <c r="AL1684" s="10" t="str">
        <f t="shared" si="193"/>
        <v>FALSE</v>
      </c>
      <c r="AM1684" s="10" t="str">
        <f t="shared" si="193"/>
        <v>FALSE</v>
      </c>
      <c r="AN1684" s="10" t="str">
        <f t="shared" si="193"/>
        <v>FALSE</v>
      </c>
      <c r="AO1684" s="10" t="str">
        <f t="shared" si="194"/>
        <v>FALSE</v>
      </c>
      <c r="AP1684" s="10" t="str">
        <f t="shared" si="194"/>
        <v>FALSE</v>
      </c>
      <c r="AQ1684" s="10" t="b">
        <f>IF(AND(I1684="TP",S1684&lt;=150),VLOOKUP(AF1684,TPCalibEq150!$AZ$2:$BB$55,3,),IF(AND(I1684="TDP",S1684&lt;=150),VLOOKUP(AF1684,TPCalibEq150!$AZ$2:$BB$55,3,)))</f>
        <v>0</v>
      </c>
      <c r="AR1684" s="10" t="b">
        <f>IF(AND(I1684="TP",S1684&lt;=300),VLOOKUP(AF1684,TPCalibEq300!$AZ$2:$BB$55,3,),IF(AND(I1684="TDP",S1684&lt;=300),VLOOKUP(AF1684,TPCalibEq300!$AZ$2:$BB$55,3,)))</f>
        <v>0</v>
      </c>
      <c r="AS1684" s="10" t="b">
        <f>IF(AND(I1684="TP",S1684&lt;=500),VLOOKUP(AF1684,TPCalibEq500!$AZ$2:$BB$56,3,),IF(AND(I1684="TDP",S1684&lt;=500),VLOOKUP(AF1684,TPCalibEq500!$AZ$2:$BB$56,3,)))</f>
        <v>0</v>
      </c>
      <c r="AT1684" s="10" t="b">
        <f>IF(AND(I1684="TN",S1684&lt;=2800),VLOOKUP(AF1684,TNCalibEq2500!$AZ$2:$BB$56,3,),IF(AND(I1684="TDN",S1684&lt;=2800),VLOOKUP(AF1684,TNCalibEq2500!$AZ$2:$BB$56,3,)))</f>
        <v>0</v>
      </c>
      <c r="AU1684" s="10" t="b">
        <f>IF(I1684="TP",VLOOKUP(AF1684,TPCalibEqFull!$AZ$2:$BB$56,3),IF(I1684="TDP",VLOOKUP(AF1684,TPCalibEqFull!$AZ$2:$BB$56,3),IF(I1684="TDN",VLOOKUP(AF1684,TNCalibEqFull!$AZ$1:$BB$56,3),IF(I1684="TN",VLOOKUP(AF1684,TNCalibEqFull!$AZ$1:$BB$56,3),FALSE))))</f>
        <v>0</v>
      </c>
      <c r="AV1684" s="10" t="str">
        <f t="shared" si="192"/>
        <v>0201 09:00:00-QAC-STD-D-1-DI-CHK</v>
      </c>
    </row>
    <row r="1685" spans="1:48" s="10" customFormat="1" x14ac:dyDescent="0.55000000000000004">
      <c r="A1685" s="32">
        <v>44956</v>
      </c>
      <c r="B1685" s="33">
        <v>0.46527777777777773</v>
      </c>
      <c r="C1685" s="10" t="s">
        <v>341</v>
      </c>
      <c r="D1685" s="10">
        <v>0</v>
      </c>
      <c r="E1685" s="10" t="s">
        <v>911</v>
      </c>
      <c r="F1685" s="10">
        <v>1</v>
      </c>
      <c r="G1685" s="10" t="s">
        <v>231</v>
      </c>
      <c r="H1685" s="10" t="s">
        <v>322</v>
      </c>
      <c r="I1685" s="10" t="s">
        <v>209</v>
      </c>
      <c r="J1685" s="10">
        <v>78</v>
      </c>
      <c r="K1685" s="12">
        <v>44958</v>
      </c>
      <c r="L1685" s="33">
        <v>0.5915393518518518</v>
      </c>
      <c r="M1685" s="10">
        <v>1</v>
      </c>
      <c r="N1685" s="10" t="s">
        <v>169</v>
      </c>
      <c r="O1685" s="10">
        <v>4.45</v>
      </c>
      <c r="P1685" s="10">
        <v>0.20899999999999999</v>
      </c>
      <c r="Q1685" s="10">
        <v>560</v>
      </c>
      <c r="R1685" s="10" t="s">
        <v>77</v>
      </c>
      <c r="S1685" s="34">
        <f t="shared" si="189"/>
        <v>560</v>
      </c>
      <c r="T1685" s="10" t="s">
        <v>1114</v>
      </c>
      <c r="U1685" s="34" t="str">
        <f t="shared" si="190"/>
        <v/>
      </c>
      <c r="V1685" s="31" t="str">
        <f>IF(H1685="CHK",VLOOKUP(I1685,QCCHK,3,),IF(H1685="GUP",VLOOKUP(E1685,QCGUP,2,),IF(AND(H1685="ATP",OR(I1685="TN",I1685="TDN",I1685="TNO2-3",I1685="NO2-3")),VLOOKUP(E1685,QCREC_N,2,),IF(AND(H1685="NIC",OR(I1685="TN",I1685="TDN",I1685="TNO2-3",I1685="NO2-3")),VLOOKUP(E1685,QCNIC_N,2,),IF(AND(H1685="UREA",OR(I1685="TN",I1685="TDN",I1685="TNO2-3",I1685="NO2-3")),VLOOKUP(E1685,QCUREA_N,2,),IF(H1685="PER",VLOOKUP(I1685,QCPER,MATCH(E1685,QCACTUAL!$J$25:$AA$25,0),),IF(H1685="SPK",VLOOKUP(I1685,QCSPK,3,),IF(AND(H1685="ATP",OR(I1685="TP",I1685="TDP")),VLOOKUP(E1685,QCATP_P,2,),""))))))))</f>
        <v/>
      </c>
      <c r="W1685" s="31" t="str">
        <f t="shared" si="191"/>
        <v>TRUE</v>
      </c>
      <c r="X1685" s="31" t="str">
        <f t="shared" si="188"/>
        <v/>
      </c>
      <c r="Y1685" s="10" t="s">
        <v>1096</v>
      </c>
      <c r="Z1685" s="10" t="s">
        <v>910</v>
      </c>
      <c r="AL1685" s="10" t="str">
        <f t="shared" si="193"/>
        <v>FALSE</v>
      </c>
      <c r="AM1685" s="10" t="str">
        <f t="shared" si="193"/>
        <v>FALSE</v>
      </c>
      <c r="AN1685" s="10" t="str">
        <f t="shared" si="193"/>
        <v>FALSE</v>
      </c>
      <c r="AO1685" s="10" t="str">
        <f t="shared" si="194"/>
        <v>FALSE</v>
      </c>
      <c r="AP1685" s="10" t="str">
        <f t="shared" si="194"/>
        <v>FALSE</v>
      </c>
      <c r="AQ1685" s="10" t="b">
        <f>IF(AND(I1685="TP",S1685&lt;=150),VLOOKUP(AF1685,TPCalibEq150!$AZ$2:$BB$55,3,),IF(AND(I1685="TDP",S1685&lt;=150),VLOOKUP(AF1685,TPCalibEq150!$AZ$2:$BB$55,3,)))</f>
        <v>0</v>
      </c>
      <c r="AR1685" s="10" t="b">
        <f>IF(AND(I1685="TP",S1685&lt;=300),VLOOKUP(AF1685,TPCalibEq300!$AZ$2:$BB$55,3,),IF(AND(I1685="TDP",S1685&lt;=300),VLOOKUP(AF1685,TPCalibEq300!$AZ$2:$BB$55,3,)))</f>
        <v>0</v>
      </c>
      <c r="AS1685" s="10" t="b">
        <f>IF(AND(I1685="TP",S1685&lt;=500),VLOOKUP(AF1685,TPCalibEq500!$AZ$2:$BB$56,3,),IF(AND(I1685="TDP",S1685&lt;=500),VLOOKUP(AF1685,TPCalibEq500!$AZ$2:$BB$56,3,)))</f>
        <v>0</v>
      </c>
      <c r="AT1685" s="10" t="b">
        <f>IF(AND(I1685="TN",S1685&lt;=2800),VLOOKUP(AF1685,TNCalibEq2500!$AZ$2:$BB$56,3,),IF(AND(I1685="TDN",S1685&lt;=2800),VLOOKUP(AF1685,TNCalibEq2500!$AZ$2:$BB$56,3,)))</f>
        <v>0</v>
      </c>
      <c r="AU1685" s="10" t="b">
        <f>IF(I1685="TP",VLOOKUP(AF1685,TPCalibEqFull!$AZ$2:$BB$56,3),IF(I1685="TDP",VLOOKUP(AF1685,TPCalibEqFull!$AZ$2:$BB$56,3),IF(I1685="TDN",VLOOKUP(AF1685,TNCalibEqFull!$AZ$1:$BB$56,3),IF(I1685="TN",VLOOKUP(AF1685,TNCalibEqFull!$AZ$1:$BB$56,3),FALSE))))</f>
        <v>0</v>
      </c>
      <c r="AV1685" s="10" t="str">
        <f t="shared" si="192"/>
        <v>0130 11:10:00-LRC-0-FIL-1-SW-UKN</v>
      </c>
    </row>
    <row r="1686" spans="1:48" s="10" customFormat="1" x14ac:dyDescent="0.55000000000000004">
      <c r="A1686" s="32">
        <v>44956</v>
      </c>
      <c r="B1686" s="33">
        <v>0.4777777777777778</v>
      </c>
      <c r="C1686" s="10" t="s">
        <v>228</v>
      </c>
      <c r="D1686" s="10">
        <v>0</v>
      </c>
      <c r="E1686" s="10" t="s">
        <v>911</v>
      </c>
      <c r="F1686" s="10">
        <v>1</v>
      </c>
      <c r="G1686" s="10" t="s">
        <v>231</v>
      </c>
      <c r="H1686" s="10" t="s">
        <v>322</v>
      </c>
      <c r="I1686" s="10" t="s">
        <v>209</v>
      </c>
      <c r="J1686" s="10">
        <v>79</v>
      </c>
      <c r="K1686" s="12">
        <v>44958</v>
      </c>
      <c r="L1686" s="33">
        <v>0.59236111111111112</v>
      </c>
      <c r="M1686" s="10">
        <v>1</v>
      </c>
      <c r="N1686" s="10" t="s">
        <v>169</v>
      </c>
      <c r="O1686" s="10">
        <v>6.22</v>
      </c>
      <c r="P1686" s="10">
        <v>0.29599999999999999</v>
      </c>
      <c r="Q1686" s="10">
        <v>783</v>
      </c>
      <c r="R1686" s="10" t="s">
        <v>77</v>
      </c>
      <c r="S1686" s="34">
        <f t="shared" si="189"/>
        <v>783</v>
      </c>
      <c r="T1686" s="10" t="s">
        <v>1114</v>
      </c>
      <c r="U1686" s="34" t="str">
        <f t="shared" si="190"/>
        <v/>
      </c>
      <c r="V1686" s="31" t="str">
        <f>IF(H1686="CHK",VLOOKUP(I1686,QCCHK,3,),IF(H1686="GUP",VLOOKUP(E1686,QCGUP,2,),IF(AND(H1686="ATP",OR(I1686="TN",I1686="TDN",I1686="TNO2-3",I1686="NO2-3")),VLOOKUP(E1686,QCREC_N,2,),IF(AND(H1686="NIC",OR(I1686="TN",I1686="TDN",I1686="TNO2-3",I1686="NO2-3")),VLOOKUP(E1686,QCNIC_N,2,),IF(AND(H1686="UREA",OR(I1686="TN",I1686="TDN",I1686="TNO2-3",I1686="NO2-3")),VLOOKUP(E1686,QCUREA_N,2,),IF(H1686="PER",VLOOKUP(I1686,QCPER,MATCH(E1686,QCACTUAL!$J$25:$AA$25,0),),IF(H1686="SPK",VLOOKUP(I1686,QCSPK,3,),IF(AND(H1686="ATP",OR(I1686="TP",I1686="TDP")),VLOOKUP(E1686,QCATP_P,2,),""))))))))</f>
        <v/>
      </c>
      <c r="W1686" s="31" t="str">
        <f t="shared" si="191"/>
        <v>TRUE</v>
      </c>
      <c r="X1686" s="31" t="str">
        <f t="shared" si="188"/>
        <v/>
      </c>
      <c r="Y1686" s="10" t="s">
        <v>1096</v>
      </c>
      <c r="Z1686" s="10" t="s">
        <v>910</v>
      </c>
      <c r="AL1686" s="10" t="str">
        <f t="shared" si="193"/>
        <v>FALSE</v>
      </c>
      <c r="AM1686" s="10" t="str">
        <f t="shared" si="193"/>
        <v>FALSE</v>
      </c>
      <c r="AN1686" s="10" t="str">
        <f t="shared" si="193"/>
        <v>FALSE</v>
      </c>
      <c r="AO1686" s="10" t="str">
        <f t="shared" si="194"/>
        <v>FALSE</v>
      </c>
      <c r="AP1686" s="10" t="str">
        <f t="shared" si="194"/>
        <v>FALSE</v>
      </c>
      <c r="AQ1686" s="10" t="b">
        <f>IF(AND(I1686="TP",S1686&lt;=150),VLOOKUP(AF1686,TPCalibEq150!$AZ$2:$BB$55,3,),IF(AND(I1686="TDP",S1686&lt;=150),VLOOKUP(AF1686,TPCalibEq150!$AZ$2:$BB$55,3,)))</f>
        <v>0</v>
      </c>
      <c r="AR1686" s="10" t="b">
        <f>IF(AND(I1686="TP",S1686&lt;=300),VLOOKUP(AF1686,TPCalibEq300!$AZ$2:$BB$55,3,),IF(AND(I1686="TDP",S1686&lt;=300),VLOOKUP(AF1686,TPCalibEq300!$AZ$2:$BB$55,3,)))</f>
        <v>0</v>
      </c>
      <c r="AS1686" s="10" t="b">
        <f>IF(AND(I1686="TP",S1686&lt;=500),VLOOKUP(AF1686,TPCalibEq500!$AZ$2:$BB$56,3,),IF(AND(I1686="TDP",S1686&lt;=500),VLOOKUP(AF1686,TPCalibEq500!$AZ$2:$BB$56,3,)))</f>
        <v>0</v>
      </c>
      <c r="AT1686" s="10" t="b">
        <f>IF(AND(I1686="TN",S1686&lt;=2800),VLOOKUP(AF1686,TNCalibEq2500!$AZ$2:$BB$56,3,),IF(AND(I1686="TDN",S1686&lt;=2800),VLOOKUP(AF1686,TNCalibEq2500!$AZ$2:$BB$56,3,)))</f>
        <v>0</v>
      </c>
      <c r="AU1686" s="10" t="b">
        <f>IF(I1686="TP",VLOOKUP(AF1686,TPCalibEqFull!$AZ$2:$BB$56,3),IF(I1686="TDP",VLOOKUP(AF1686,TPCalibEqFull!$AZ$2:$BB$56,3),IF(I1686="TDN",VLOOKUP(AF1686,TNCalibEqFull!$AZ$1:$BB$56,3),IF(I1686="TN",VLOOKUP(AF1686,TNCalibEqFull!$AZ$1:$BB$56,3),FALSE))))</f>
        <v>0</v>
      </c>
      <c r="AV1686" s="10" t="str">
        <f t="shared" si="192"/>
        <v>0130 11:28:00-DWT-0-FIL-1-SW-UKN</v>
      </c>
    </row>
    <row r="1687" spans="1:48" s="10" customFormat="1" x14ac:dyDescent="0.55000000000000004">
      <c r="A1687" s="32">
        <v>44956</v>
      </c>
      <c r="B1687" s="33">
        <v>0.49374999999999997</v>
      </c>
      <c r="C1687" s="10" t="s">
        <v>625</v>
      </c>
      <c r="D1687" s="10">
        <v>0</v>
      </c>
      <c r="E1687" s="10" t="s">
        <v>911</v>
      </c>
      <c r="F1687" s="10">
        <v>1</v>
      </c>
      <c r="G1687" s="10" t="s">
        <v>231</v>
      </c>
      <c r="H1687" s="10" t="s">
        <v>322</v>
      </c>
      <c r="I1687" s="10" t="s">
        <v>209</v>
      </c>
      <c r="J1687" s="10">
        <v>80</v>
      </c>
      <c r="K1687" s="12">
        <v>44958</v>
      </c>
      <c r="L1687" s="33">
        <v>0.59318287037037043</v>
      </c>
      <c r="M1687" s="10">
        <v>1</v>
      </c>
      <c r="N1687" s="10" t="s">
        <v>169</v>
      </c>
      <c r="O1687" s="10">
        <v>0.108</v>
      </c>
      <c r="P1687" s="10">
        <v>5.5900000000000004E-3</v>
      </c>
      <c r="Q1687" s="10">
        <v>13.6</v>
      </c>
      <c r="R1687" s="10" t="s">
        <v>77</v>
      </c>
      <c r="S1687" s="34">
        <f t="shared" si="189"/>
        <v>13.6</v>
      </c>
      <c r="T1687" s="10" t="s">
        <v>1114</v>
      </c>
      <c r="U1687" s="34" t="str">
        <f t="shared" si="190"/>
        <v/>
      </c>
      <c r="V1687" s="31" t="str">
        <f>IF(H1687="CHK",VLOOKUP(I1687,QCCHK,3,),IF(H1687="GUP",VLOOKUP(E1687,QCGUP,2,),IF(AND(H1687="ATP",OR(I1687="TN",I1687="TDN",I1687="TNO2-3",I1687="NO2-3")),VLOOKUP(E1687,QCREC_N,2,),IF(AND(H1687="NIC",OR(I1687="TN",I1687="TDN",I1687="TNO2-3",I1687="NO2-3")),VLOOKUP(E1687,QCNIC_N,2,),IF(AND(H1687="UREA",OR(I1687="TN",I1687="TDN",I1687="TNO2-3",I1687="NO2-3")),VLOOKUP(E1687,QCUREA_N,2,),IF(H1687="PER",VLOOKUP(I1687,QCPER,MATCH(E1687,QCACTUAL!$J$25:$AA$25,0),),IF(H1687="SPK",VLOOKUP(I1687,QCSPK,3,),IF(AND(H1687="ATP",OR(I1687="TP",I1687="TDP")),VLOOKUP(E1687,QCATP_P,2,),""))))))))</f>
        <v/>
      </c>
      <c r="W1687" s="31" t="str">
        <f t="shared" si="191"/>
        <v>TRUE</v>
      </c>
      <c r="X1687" s="31" t="str">
        <f t="shared" si="188"/>
        <v/>
      </c>
      <c r="Y1687" s="10" t="s">
        <v>1096</v>
      </c>
      <c r="Z1687" s="10" t="s">
        <v>910</v>
      </c>
      <c r="AL1687" s="10" t="str">
        <f t="shared" si="193"/>
        <v>FALSE</v>
      </c>
      <c r="AM1687" s="10" t="str">
        <f t="shared" si="193"/>
        <v>FALSE</v>
      </c>
      <c r="AN1687" s="10" t="str">
        <f t="shared" si="193"/>
        <v>FALSE</v>
      </c>
      <c r="AO1687" s="10" t="str">
        <f t="shared" si="194"/>
        <v>FALSE</v>
      </c>
      <c r="AP1687" s="10" t="str">
        <f t="shared" si="194"/>
        <v>FALSE</v>
      </c>
      <c r="AQ1687" s="10" t="b">
        <f>IF(AND(I1687="TP",S1687&lt;=150),VLOOKUP(AF1687,TPCalibEq150!$AZ$2:$BB$55,3,),IF(AND(I1687="TDP",S1687&lt;=150),VLOOKUP(AF1687,TPCalibEq150!$AZ$2:$BB$55,3,)))</f>
        <v>0</v>
      </c>
      <c r="AR1687" s="10" t="b">
        <f>IF(AND(I1687="TP",S1687&lt;=300),VLOOKUP(AF1687,TPCalibEq300!$AZ$2:$BB$55,3,),IF(AND(I1687="TDP",S1687&lt;=300),VLOOKUP(AF1687,TPCalibEq300!$AZ$2:$BB$55,3,)))</f>
        <v>0</v>
      </c>
      <c r="AS1687" s="10" t="b">
        <f>IF(AND(I1687="TP",S1687&lt;=500),VLOOKUP(AF1687,TPCalibEq500!$AZ$2:$BB$56,3,),IF(AND(I1687="TDP",S1687&lt;=500),VLOOKUP(AF1687,TPCalibEq500!$AZ$2:$BB$56,3,)))</f>
        <v>0</v>
      </c>
      <c r="AT1687" s="10" t="b">
        <f>IF(AND(I1687="TN",S1687&lt;=2800),VLOOKUP(AF1687,TNCalibEq2500!$AZ$2:$BB$56,3,),IF(AND(I1687="TDN",S1687&lt;=2800),VLOOKUP(AF1687,TNCalibEq2500!$AZ$2:$BB$56,3,)))</f>
        <v>0</v>
      </c>
      <c r="AU1687" s="10" t="b">
        <f>IF(I1687="TP",VLOOKUP(AF1687,TPCalibEqFull!$AZ$2:$BB$56,3),IF(I1687="TDP",VLOOKUP(AF1687,TPCalibEqFull!$AZ$2:$BB$56,3),IF(I1687="TDN",VLOOKUP(AF1687,TNCalibEqFull!$AZ$1:$BB$56,3),IF(I1687="TN",VLOOKUP(AF1687,TNCalibEqFull!$AZ$1:$BB$56,3),FALSE))))</f>
        <v>0</v>
      </c>
      <c r="AV1687" s="10" t="str">
        <f t="shared" si="192"/>
        <v>0130 11:51:00-TBS-0-FIL-1-SW-UKN</v>
      </c>
    </row>
    <row r="1688" spans="1:48" s="10" customFormat="1" x14ac:dyDescent="0.55000000000000004">
      <c r="A1688" s="32">
        <v>44956</v>
      </c>
      <c r="B1688" s="33">
        <v>0.49374999999999997</v>
      </c>
      <c r="C1688" s="10" t="s">
        <v>625</v>
      </c>
      <c r="D1688" s="10">
        <v>0</v>
      </c>
      <c r="E1688" s="10" t="s">
        <v>911</v>
      </c>
      <c r="F1688" s="10">
        <v>1</v>
      </c>
      <c r="G1688" s="10" t="s">
        <v>231</v>
      </c>
      <c r="H1688" s="10" t="s">
        <v>233</v>
      </c>
      <c r="I1688" s="10" t="s">
        <v>209</v>
      </c>
      <c r="J1688" s="10">
        <v>80</v>
      </c>
      <c r="K1688" s="12">
        <v>44958</v>
      </c>
      <c r="L1688" s="33">
        <v>0.59400462962962963</v>
      </c>
      <c r="M1688" s="10">
        <v>1</v>
      </c>
      <c r="N1688" s="10" t="s">
        <v>169</v>
      </c>
      <c r="O1688" s="10">
        <v>9.8799999999999999E-2</v>
      </c>
      <c r="P1688" s="10">
        <v>4.9100000000000003E-3</v>
      </c>
      <c r="Q1688" s="10">
        <v>12.4</v>
      </c>
      <c r="R1688" s="10" t="s">
        <v>77</v>
      </c>
      <c r="S1688" s="34">
        <f t="shared" si="189"/>
        <v>12.4</v>
      </c>
      <c r="T1688" s="10" t="s">
        <v>1114</v>
      </c>
      <c r="U1688" s="34">
        <f t="shared" si="190"/>
        <v>9.2307692307692264</v>
      </c>
      <c r="V1688" s="31" t="str">
        <f>IF(H1688="CHK",VLOOKUP(I1688,QCCHK,3,),IF(H1688="GUP",VLOOKUP(E1688,QCGUP,2,),IF(AND(H1688="ATP",OR(I1688="TN",I1688="TDN",I1688="TNO2-3",I1688="NO2-3")),VLOOKUP(E1688,QCREC_N,2,),IF(AND(H1688="NIC",OR(I1688="TN",I1688="TDN",I1688="TNO2-3",I1688="NO2-3")),VLOOKUP(E1688,QCNIC_N,2,),IF(AND(H1688="UREA",OR(I1688="TN",I1688="TDN",I1688="TNO2-3",I1688="NO2-3")),VLOOKUP(E1688,QCUREA_N,2,),IF(H1688="PER",VLOOKUP(I1688,QCPER,MATCH(E1688,QCACTUAL!$J$25:$AA$25,0),),IF(H1688="SPK",VLOOKUP(I1688,QCSPK,3,),IF(AND(H1688="ATP",OR(I1688="TP",I1688="TDP")),VLOOKUP(E1688,QCATP_P,2,),""))))))))</f>
        <v/>
      </c>
      <c r="W1688" s="31" t="str">
        <f t="shared" si="191"/>
        <v>TRUE</v>
      </c>
      <c r="X1688" s="31" t="str">
        <f t="shared" si="188"/>
        <v>((ABS(rep1-rep2))/((rep1+rep2)/2)*100</v>
      </c>
      <c r="Y1688" s="10" t="s">
        <v>1096</v>
      </c>
      <c r="Z1688" s="10" t="s">
        <v>910</v>
      </c>
      <c r="AL1688" s="10" t="str">
        <f t="shared" si="193"/>
        <v>FALSE</v>
      </c>
      <c r="AM1688" s="10" t="str">
        <f t="shared" si="193"/>
        <v>FALSE</v>
      </c>
      <c r="AN1688" s="10" t="str">
        <f t="shared" si="193"/>
        <v>FALSE</v>
      </c>
      <c r="AO1688" s="10" t="str">
        <f t="shared" si="194"/>
        <v>FALSE</v>
      </c>
      <c r="AP1688" s="10" t="str">
        <f t="shared" si="194"/>
        <v>FALSE</v>
      </c>
      <c r="AQ1688" s="10" t="b">
        <f>IF(AND(I1688="TP",S1688&lt;=150),VLOOKUP(AF1688,TPCalibEq150!$AZ$2:$BB$55,3,),IF(AND(I1688="TDP",S1688&lt;=150),VLOOKUP(AF1688,TPCalibEq150!$AZ$2:$BB$55,3,)))</f>
        <v>0</v>
      </c>
      <c r="AR1688" s="10" t="b">
        <f>IF(AND(I1688="TP",S1688&lt;=300),VLOOKUP(AF1688,TPCalibEq300!$AZ$2:$BB$55,3,),IF(AND(I1688="TDP",S1688&lt;=300),VLOOKUP(AF1688,TPCalibEq300!$AZ$2:$BB$55,3,)))</f>
        <v>0</v>
      </c>
      <c r="AS1688" s="10" t="b">
        <f>IF(AND(I1688="TP",S1688&lt;=500),VLOOKUP(AF1688,TPCalibEq500!$AZ$2:$BB$56,3,),IF(AND(I1688="TDP",S1688&lt;=500),VLOOKUP(AF1688,TPCalibEq500!$AZ$2:$BB$56,3,)))</f>
        <v>0</v>
      </c>
      <c r="AT1688" s="10" t="b">
        <f>IF(AND(I1688="TN",S1688&lt;=2800),VLOOKUP(AF1688,TNCalibEq2500!$AZ$2:$BB$56,3,),IF(AND(I1688="TDN",S1688&lt;=2800),VLOOKUP(AF1688,TNCalibEq2500!$AZ$2:$BB$56,3,)))</f>
        <v>0</v>
      </c>
      <c r="AU1688" s="10" t="b">
        <f>IF(I1688="TP",VLOOKUP(AF1688,TPCalibEqFull!$AZ$2:$BB$56,3),IF(I1688="TDP",VLOOKUP(AF1688,TPCalibEqFull!$AZ$2:$BB$56,3),IF(I1688="TDN",VLOOKUP(AF1688,TNCalibEqFull!$AZ$1:$BB$56,3),IF(I1688="TN",VLOOKUP(AF1688,TNCalibEqFull!$AZ$1:$BB$56,3),FALSE))))</f>
        <v>0</v>
      </c>
      <c r="AV1688" s="10" t="str">
        <f t="shared" si="192"/>
        <v>0130 11:51:00-TBS-0-FIL-1-SW-DUP</v>
      </c>
    </row>
    <row r="1689" spans="1:48" s="10" customFormat="1" x14ac:dyDescent="0.55000000000000004">
      <c r="A1689" s="32">
        <v>44958</v>
      </c>
      <c r="B1689" s="33">
        <v>0.375</v>
      </c>
      <c r="C1689" s="10" t="s">
        <v>70</v>
      </c>
      <c r="D1689" s="10" t="s">
        <v>71</v>
      </c>
      <c r="E1689" s="10" t="s">
        <v>901</v>
      </c>
      <c r="F1689" s="10">
        <v>1</v>
      </c>
      <c r="G1689" s="10" t="s">
        <v>73</v>
      </c>
      <c r="H1689" s="10" t="s">
        <v>207</v>
      </c>
      <c r="I1689" s="10" t="s">
        <v>256</v>
      </c>
      <c r="J1689" s="10">
        <v>202</v>
      </c>
      <c r="K1689" s="12">
        <v>44958</v>
      </c>
      <c r="L1689" s="33">
        <v>0.59482638888888884</v>
      </c>
      <c r="M1689" s="10">
        <v>1</v>
      </c>
      <c r="N1689" s="10" t="s">
        <v>169</v>
      </c>
      <c r="O1689" s="10">
        <v>2.39</v>
      </c>
      <c r="P1689" s="10">
        <v>0.115</v>
      </c>
      <c r="Q1689" s="10">
        <v>301</v>
      </c>
      <c r="R1689" s="10" t="s">
        <v>77</v>
      </c>
      <c r="S1689" s="34">
        <f t="shared" si="189"/>
        <v>301</v>
      </c>
      <c r="T1689" s="10" t="s">
        <v>1114</v>
      </c>
      <c r="U1689" s="34">
        <f t="shared" si="190"/>
        <v>100.33333333333334</v>
      </c>
      <c r="V1689" s="31">
        <f>IF(H1689="CHK",VLOOKUP(I1689,QCCHK,3,),IF(H1689="GUP",VLOOKUP(E1689,QCGUP,2,),IF(AND(H1689="ATP",OR(I1689="TN",I1689="TDN",I1689="TNO2-3",I1689="NO2-3")),VLOOKUP(E1689,QCREC_N,2,),IF(AND(H1689="NIC",OR(I1689="TN",I1689="TDN",I1689="TNO2-3",I1689="NO2-3")),VLOOKUP(E1689,QCNIC_N,2,),IF(AND(H1689="UREA",OR(I1689="TN",I1689="TDN",I1689="TNO2-3",I1689="NO2-3")),VLOOKUP(E1689,QCUREA_N,2,),IF(H1689="PER",VLOOKUP(I1689,QCPER,MATCH(E1689,QCACTUAL!$J$25:$AA$25,0),),IF(H1689="SPK",VLOOKUP(I1689,QCSPK,3,),IF(AND(H1689="ATP",OR(I1689="TP",I1689="TDP")),VLOOKUP(E1689,QCATP_P,2,),""))))))))</f>
        <v>300</v>
      </c>
      <c r="W1689" s="31" t="str">
        <f t="shared" si="191"/>
        <v>TRUE</v>
      </c>
      <c r="X1689" s="31" t="str">
        <f t="shared" si="188"/>
        <v>[chk]/[actual]*100</v>
      </c>
      <c r="Y1689" s="10" t="s">
        <v>1096</v>
      </c>
      <c r="AL1689" s="10" t="str">
        <f t="shared" si="193"/>
        <v>FALSE</v>
      </c>
      <c r="AM1689" s="10" t="str">
        <f t="shared" si="193"/>
        <v>FALSE</v>
      </c>
      <c r="AN1689" s="10" t="str">
        <f t="shared" si="193"/>
        <v>FALSE</v>
      </c>
      <c r="AO1689" s="10" t="str">
        <f t="shared" si="194"/>
        <v>FALSE</v>
      </c>
      <c r="AP1689" s="10" t="str">
        <f t="shared" si="194"/>
        <v>FALSE</v>
      </c>
      <c r="AQ1689" s="10" t="b">
        <f>IF(AND(I1689="TP",S1689&lt;=150),VLOOKUP(AF1689,TPCalibEq150!$AZ$2:$BB$55,3,),IF(AND(I1689="TDP",S1689&lt;=150),VLOOKUP(AF1689,TPCalibEq150!$AZ$2:$BB$55,3,)))</f>
        <v>0</v>
      </c>
      <c r="AR1689" s="10" t="b">
        <f>IF(AND(I1689="TP",S1689&lt;=300),VLOOKUP(AF1689,TPCalibEq300!$AZ$2:$BB$55,3,),IF(AND(I1689="TDP",S1689&lt;=300),VLOOKUP(AF1689,TPCalibEq300!$AZ$2:$BB$55,3,)))</f>
        <v>0</v>
      </c>
      <c r="AS1689" s="10" t="b">
        <f>IF(AND(I1689="TP",S1689&lt;=500),VLOOKUP(AF1689,TPCalibEq500!$AZ$2:$BB$56,3,),IF(AND(I1689="TDP",S1689&lt;=500),VLOOKUP(AF1689,TPCalibEq500!$AZ$2:$BB$56,3,)))</f>
        <v>0</v>
      </c>
      <c r="AT1689" s="10" t="b">
        <f>IF(AND(I1689="TN",S1689&lt;=2800),VLOOKUP(AF1689,TNCalibEq2500!$AZ$2:$BB$56,3,),IF(AND(I1689="TDN",S1689&lt;=2800),VLOOKUP(AF1689,TNCalibEq2500!$AZ$2:$BB$56,3,)))</f>
        <v>0</v>
      </c>
      <c r="AU1689" s="10" t="b">
        <f>IF(I1689="TP",VLOOKUP(AF1689,TPCalibEqFull!$AZ$2:$BB$56,3),IF(I1689="TDP",VLOOKUP(AF1689,TPCalibEqFull!$AZ$2:$BB$56,3),IF(I1689="TDN",VLOOKUP(AF1689,TNCalibEqFull!$AZ$1:$BB$56,3),IF(I1689="TN",VLOOKUP(AF1689,TNCalibEqFull!$AZ$1:$BB$56,3),FALSE))))</f>
        <v>0</v>
      </c>
      <c r="AV1689" s="10" t="str">
        <f t="shared" si="192"/>
        <v>0201 09:00:00-QAC-STD-D-1-DI-CHK</v>
      </c>
    </row>
    <row r="1690" spans="1:48" s="10" customFormat="1" x14ac:dyDescent="0.55000000000000004">
      <c r="A1690" s="32">
        <v>44958</v>
      </c>
      <c r="B1690" s="33">
        <v>0.375</v>
      </c>
      <c r="C1690" s="10" t="s">
        <v>70</v>
      </c>
      <c r="D1690" s="10" t="s">
        <v>71</v>
      </c>
      <c r="E1690" s="10" t="s">
        <v>901</v>
      </c>
      <c r="F1690" s="10">
        <v>1</v>
      </c>
      <c r="G1690" s="10" t="s">
        <v>73</v>
      </c>
      <c r="H1690" s="10" t="s">
        <v>207</v>
      </c>
      <c r="I1690" s="10" t="s">
        <v>256</v>
      </c>
      <c r="J1690" s="10">
        <v>202</v>
      </c>
      <c r="K1690" s="12">
        <v>44958</v>
      </c>
      <c r="L1690" s="33">
        <v>0.60053240740740743</v>
      </c>
      <c r="M1690" s="10">
        <v>1</v>
      </c>
      <c r="N1690" s="10" t="s">
        <v>169</v>
      </c>
      <c r="O1690" s="10">
        <v>2.41</v>
      </c>
      <c r="P1690" s="10">
        <v>0.11600000000000001</v>
      </c>
      <c r="Q1690" s="10">
        <v>304</v>
      </c>
      <c r="R1690" s="10" t="s">
        <v>77</v>
      </c>
      <c r="S1690" s="34">
        <f t="shared" si="189"/>
        <v>304</v>
      </c>
      <c r="T1690" s="10" t="s">
        <v>1114</v>
      </c>
      <c r="U1690" s="34">
        <f t="shared" si="190"/>
        <v>101.33333333333334</v>
      </c>
      <c r="V1690" s="31">
        <f>IF(H1690="CHK",VLOOKUP(I1690,QCCHK,3,),IF(H1690="GUP",VLOOKUP(E1690,QCGUP,2,),IF(AND(H1690="ATP",OR(I1690="TN",I1690="TDN",I1690="TNO2-3",I1690="NO2-3")),VLOOKUP(E1690,QCREC_N,2,),IF(AND(H1690="NIC",OR(I1690="TN",I1690="TDN",I1690="TNO2-3",I1690="NO2-3")),VLOOKUP(E1690,QCNIC_N,2,),IF(AND(H1690="UREA",OR(I1690="TN",I1690="TDN",I1690="TNO2-3",I1690="NO2-3")),VLOOKUP(E1690,QCUREA_N,2,),IF(H1690="PER",VLOOKUP(I1690,QCPER,MATCH(E1690,QCACTUAL!$J$25:$AA$25,0),),IF(H1690="SPK",VLOOKUP(I1690,QCSPK,3,),IF(AND(H1690="ATP",OR(I1690="TP",I1690="TDP")),VLOOKUP(E1690,QCATP_P,2,),""))))))))</f>
        <v>300</v>
      </c>
      <c r="W1690" s="31" t="str">
        <f t="shared" si="191"/>
        <v>TRUE</v>
      </c>
      <c r="X1690" s="31" t="str">
        <f t="shared" si="188"/>
        <v>[chk]/[actual]*100</v>
      </c>
      <c r="Y1690" s="10" t="s">
        <v>1096</v>
      </c>
      <c r="AL1690" s="10" t="str">
        <f t="shared" si="193"/>
        <v>FALSE</v>
      </c>
      <c r="AM1690" s="10" t="str">
        <f t="shared" si="193"/>
        <v>FALSE</v>
      </c>
      <c r="AN1690" s="10" t="str">
        <f t="shared" si="193"/>
        <v>FALSE</v>
      </c>
      <c r="AO1690" s="10" t="str">
        <f t="shared" si="194"/>
        <v>FALSE</v>
      </c>
      <c r="AP1690" s="10" t="str">
        <f t="shared" si="194"/>
        <v>FALSE</v>
      </c>
      <c r="AQ1690" s="10" t="b">
        <f>IF(AND(I1690="TP",S1690&lt;=150),VLOOKUP(AF1690,TPCalibEq150!$AZ$2:$BB$55,3,),IF(AND(I1690="TDP",S1690&lt;=150),VLOOKUP(AF1690,TPCalibEq150!$AZ$2:$BB$55,3,)))</f>
        <v>0</v>
      </c>
      <c r="AR1690" s="10" t="b">
        <f>IF(AND(I1690="TP",S1690&lt;=300),VLOOKUP(AF1690,TPCalibEq300!$AZ$2:$BB$55,3,),IF(AND(I1690="TDP",S1690&lt;=300),VLOOKUP(AF1690,TPCalibEq300!$AZ$2:$BB$55,3,)))</f>
        <v>0</v>
      </c>
      <c r="AS1690" s="10" t="b">
        <f>IF(AND(I1690="TP",S1690&lt;=500),VLOOKUP(AF1690,TPCalibEq500!$AZ$2:$BB$56,3,),IF(AND(I1690="TDP",S1690&lt;=500),VLOOKUP(AF1690,TPCalibEq500!$AZ$2:$BB$56,3,)))</f>
        <v>0</v>
      </c>
      <c r="AT1690" s="10" t="b">
        <f>IF(AND(I1690="TN",S1690&lt;=2800),VLOOKUP(AF1690,TNCalibEq2500!$AZ$2:$BB$56,3,),IF(AND(I1690="TDN",S1690&lt;=2800),VLOOKUP(AF1690,TNCalibEq2500!$AZ$2:$BB$56,3,)))</f>
        <v>0</v>
      </c>
      <c r="AU1690" s="10" t="b">
        <f>IF(I1690="TP",VLOOKUP(AF1690,TPCalibEqFull!$AZ$2:$BB$56,3),IF(I1690="TDP",VLOOKUP(AF1690,TPCalibEqFull!$AZ$2:$BB$56,3),IF(I1690="TDN",VLOOKUP(AF1690,TNCalibEqFull!$AZ$1:$BB$56,3),IF(I1690="TN",VLOOKUP(AF1690,TNCalibEqFull!$AZ$1:$BB$56,3),FALSE))))</f>
        <v>0</v>
      </c>
      <c r="AV1690" s="10" t="str">
        <f t="shared" si="192"/>
        <v>0201 09:00:00-QAC-STD-D-1-DI-CHK</v>
      </c>
    </row>
    <row r="1691" spans="1:48" s="10" customFormat="1" x14ac:dyDescent="0.55000000000000004">
      <c r="A1691" s="32">
        <v>44958</v>
      </c>
      <c r="B1691" s="33">
        <v>0.375</v>
      </c>
      <c r="C1691" s="10" t="s">
        <v>70</v>
      </c>
      <c r="D1691" s="10" t="s">
        <v>71</v>
      </c>
      <c r="E1691" s="10" t="s">
        <v>917</v>
      </c>
      <c r="F1691" s="10">
        <v>1</v>
      </c>
      <c r="G1691" s="10" t="s">
        <v>73</v>
      </c>
      <c r="H1691" s="10" t="s">
        <v>74</v>
      </c>
      <c r="I1691" s="10" t="s">
        <v>235</v>
      </c>
      <c r="J1691" s="10">
        <v>181</v>
      </c>
      <c r="K1691" s="12">
        <v>44958</v>
      </c>
      <c r="L1691" s="33">
        <v>0.64229166666666659</v>
      </c>
      <c r="M1691" s="10">
        <v>1</v>
      </c>
      <c r="N1691" s="10" t="s">
        <v>196</v>
      </c>
      <c r="O1691" s="10">
        <v>0.44</v>
      </c>
      <c r="P1691" s="10">
        <v>2.1600000000000001E-2</v>
      </c>
      <c r="Q1691" s="10">
        <v>0</v>
      </c>
      <c r="R1691" s="10" t="s">
        <v>170</v>
      </c>
      <c r="S1691" s="34">
        <f t="shared" si="189"/>
        <v>0</v>
      </c>
      <c r="T1691" s="10" t="s">
        <v>914</v>
      </c>
      <c r="U1691" s="34" t="str">
        <f t="shared" si="190"/>
        <v/>
      </c>
      <c r="V1691" s="31" t="str">
        <f>IF(H1691="CHK",VLOOKUP(I1691,QCCHK,3,),IF(H1691="GUP",VLOOKUP(E1691,QCGUP,2,),IF(AND(H1691="ATP",OR(I1691="TN",I1691="TDN",I1691="TNO2-3",I1691="NO2-3")),VLOOKUP(E1691,QCREC_N,2,),IF(AND(H1691="NIC",OR(I1691="TN",I1691="TDN",I1691="TNO2-3",I1691="NO2-3")),VLOOKUP(E1691,QCNIC_N,2,),IF(AND(H1691="UREA",OR(I1691="TN",I1691="TDN",I1691="TNO2-3",I1691="NO2-3")),VLOOKUP(E1691,QCUREA_N,2,),IF(H1691="PER",VLOOKUP(I1691,QCPER,MATCH(E1691,QCACTUAL!$J$25:$AA$25,0),),IF(H1691="SPK",VLOOKUP(I1691,QCSPK,3,),IF(AND(H1691="ATP",OR(I1691="TP",I1691="TDP")),VLOOKUP(E1691,QCATP_P,2,),""))))))))</f>
        <v/>
      </c>
      <c r="W1691" s="31" t="str">
        <f t="shared" si="191"/>
        <v>TRUE</v>
      </c>
      <c r="X1691" s="31" t="str">
        <f t="shared" si="188"/>
        <v/>
      </c>
      <c r="Y1691" s="10" t="s">
        <v>1116</v>
      </c>
      <c r="AF1691" s="12">
        <v>44958</v>
      </c>
      <c r="AJ1691" s="10">
        <f>0.9631*0.44^2+173.03*0.44-74.605</f>
        <v>1.7146561600000041</v>
      </c>
      <c r="AK1691" s="10">
        <f>-1.0839*0.44^2+204.73*0.44-119.55</f>
        <v>-29.678643039999997</v>
      </c>
      <c r="AL1691" s="10" t="str">
        <f t="shared" si="193"/>
        <v>FALSE</v>
      </c>
      <c r="AM1691" s="10" t="str">
        <f t="shared" si="193"/>
        <v>FALSE</v>
      </c>
      <c r="AN1691" s="10" t="str">
        <f t="shared" si="193"/>
        <v>FALSE</v>
      </c>
      <c r="AO1691" s="10" t="str">
        <f t="shared" si="194"/>
        <v>y=0.9631*0.44^2+173.03*0.44-74.605</v>
      </c>
      <c r="AP1691" s="10" t="str">
        <f t="shared" si="194"/>
        <v>y=-1.0839*0.44^2+204.73*0.44-119.55</v>
      </c>
      <c r="AQ1691" s="10" t="b">
        <f>IF(AND(I1691="TP",S1691&lt;=150),VLOOKUP(AF1691,TPCalibEq150!$AZ$2:$BB$55,3,),IF(AND(I1691="TDP",S1691&lt;=150),VLOOKUP(AF1691,TPCalibEq150!$AZ$2:$BB$55,3,)))</f>
        <v>0</v>
      </c>
      <c r="AR1691" s="10" t="b">
        <f>IF(AND(I1691="TP",S1691&lt;=300),VLOOKUP(AF1691,TPCalibEq300!$AZ$2:$BB$55,3,),IF(AND(I1691="TDP",S1691&lt;=300),VLOOKUP(AF1691,TPCalibEq300!$AZ$2:$BB$55,3,)))</f>
        <v>0</v>
      </c>
      <c r="AS1691" s="10" t="b">
        <f>IF(AND(I1691="TP",S1691&lt;=500),VLOOKUP(AF1691,TPCalibEq500!$AZ$2:$BB$56,3,),IF(AND(I1691="TDP",S1691&lt;=500),VLOOKUP(AF1691,TPCalibEq500!$AZ$2:$BB$56,3,)))</f>
        <v>0</v>
      </c>
      <c r="AT1691" s="10" t="str">
        <f>IF(AND(I1691="TN",S1691&lt;=2800),VLOOKUP(AF1691,TNCalibEq2500!$AZ$2:$BB$56,3,),IF(AND(I1691="TDN",S1691&lt;=2800),VLOOKUP(AF1691,TNCalibEq2500!$AZ$2:$BB$56,3,)))</f>
        <v>y=0.9631x2+173.03x-74.605</v>
      </c>
      <c r="AU1691" s="10" t="str">
        <f>IF(I1691="TP",VLOOKUP(AF1691,TPCalibEqFull!$AZ$2:$BB$56,3),IF(I1691="TDP",VLOOKUP(AF1691,TPCalibEqFull!$AZ$2:$BB$56,3),IF(I1691="TDN",VLOOKUP(AF1691,TNCalibEqFull!$AZ$1:$BB$56,3),IF(I1691="TN",VLOOKUP(AF1691,TNCalibEqFull!$AZ$1:$BB$56,3),FALSE))))</f>
        <v>y=-1.0839x2+204.73x-119.55</v>
      </c>
      <c r="AV1691" s="10" t="str">
        <f t="shared" si="192"/>
        <v>0201 09:00:00-QAC-STD-D.H-1-DI-CAL</v>
      </c>
    </row>
    <row r="1692" spans="1:48" s="10" customFormat="1" x14ac:dyDescent="0.55000000000000004">
      <c r="A1692" s="32">
        <v>44958</v>
      </c>
      <c r="B1692" s="33">
        <v>0.375</v>
      </c>
      <c r="C1692" s="10" t="s">
        <v>70</v>
      </c>
      <c r="D1692" s="10" t="s">
        <v>71</v>
      </c>
      <c r="E1692" s="10" t="s">
        <v>918</v>
      </c>
      <c r="F1692" s="10">
        <v>1</v>
      </c>
      <c r="G1692" s="10" t="s">
        <v>73</v>
      </c>
      <c r="H1692" s="10" t="s">
        <v>74</v>
      </c>
      <c r="I1692" s="10" t="s">
        <v>235</v>
      </c>
      <c r="J1692" s="10">
        <v>182</v>
      </c>
      <c r="K1692" s="12">
        <v>44958</v>
      </c>
      <c r="L1692" s="33">
        <v>0.64309027777777772</v>
      </c>
      <c r="M1692" s="10">
        <v>1</v>
      </c>
      <c r="N1692" s="10" t="s">
        <v>196</v>
      </c>
      <c r="O1692" s="10">
        <v>0.69199999999999995</v>
      </c>
      <c r="P1692" s="10">
        <v>3.32E-2</v>
      </c>
      <c r="Q1692" s="10">
        <v>30</v>
      </c>
      <c r="R1692" s="10" t="s">
        <v>170</v>
      </c>
      <c r="S1692" s="34">
        <f t="shared" si="189"/>
        <v>30</v>
      </c>
      <c r="T1692" s="10" t="s">
        <v>1117</v>
      </c>
      <c r="U1692" s="34" t="str">
        <f t="shared" si="190"/>
        <v/>
      </c>
      <c r="V1692" s="31" t="str">
        <f>IF(H1692="CHK",VLOOKUP(I1692,QCCHK,3,),IF(H1692="GUP",VLOOKUP(E1692,QCGUP,2,),IF(AND(H1692="ATP",OR(I1692="TN",I1692="TDN",I1692="TNO2-3",I1692="NO2-3")),VLOOKUP(E1692,QCREC_N,2,),IF(AND(H1692="NIC",OR(I1692="TN",I1692="TDN",I1692="TNO2-3",I1692="NO2-3")),VLOOKUP(E1692,QCNIC_N,2,),IF(AND(H1692="UREA",OR(I1692="TN",I1692="TDN",I1692="TNO2-3",I1692="NO2-3")),VLOOKUP(E1692,QCUREA_N,2,),IF(H1692="PER",VLOOKUP(I1692,QCPER,MATCH(E1692,QCACTUAL!$J$25:$AA$25,0),),IF(H1692="SPK",VLOOKUP(I1692,QCSPK,3,),IF(AND(H1692="ATP",OR(I1692="TP",I1692="TDP")),VLOOKUP(E1692,QCATP_P,2,),""))))))))</f>
        <v/>
      </c>
      <c r="W1692" s="31" t="str">
        <f t="shared" si="191"/>
        <v>TRUE</v>
      </c>
      <c r="X1692" s="31" t="str">
        <f t="shared" si="188"/>
        <v/>
      </c>
      <c r="Y1692" s="10" t="s">
        <v>1116</v>
      </c>
      <c r="AF1692" s="12">
        <v>44958</v>
      </c>
      <c r="AJ1692" s="10">
        <f>0.9631*0.692^2+173.03*0.692-74.605</f>
        <v>45.592953918399985</v>
      </c>
      <c r="AK1692" s="10">
        <f>-1.0839*0.692^2+204.73*0.692-119.55</f>
        <v>21.604119310400009</v>
      </c>
      <c r="AL1692" s="10" t="str">
        <f t="shared" si="193"/>
        <v>FALSE</v>
      </c>
      <c r="AM1692" s="10" t="str">
        <f t="shared" si="193"/>
        <v>FALSE</v>
      </c>
      <c r="AN1692" s="10" t="str">
        <f t="shared" si="193"/>
        <v>FALSE</v>
      </c>
      <c r="AO1692" s="10" t="str">
        <f t="shared" si="194"/>
        <v>y=0.9631*0.692^2+173.03*0.692-74.605</v>
      </c>
      <c r="AP1692" s="10" t="str">
        <f t="shared" si="194"/>
        <v>y=-1.0839*0.692^2+204.73*0.692-119.55</v>
      </c>
      <c r="AQ1692" s="10" t="b">
        <f>IF(AND(I1692="TP",S1692&lt;=150),VLOOKUP(AF1692,TPCalibEq150!$AZ$2:$BB$55,3,),IF(AND(I1692="TDP",S1692&lt;=150),VLOOKUP(AF1692,TPCalibEq150!$AZ$2:$BB$55,3,)))</f>
        <v>0</v>
      </c>
      <c r="AR1692" s="10" t="b">
        <f>IF(AND(I1692="TP",S1692&lt;=300),VLOOKUP(AF1692,TPCalibEq300!$AZ$2:$BB$55,3,),IF(AND(I1692="TDP",S1692&lt;=300),VLOOKUP(AF1692,TPCalibEq300!$AZ$2:$BB$55,3,)))</f>
        <v>0</v>
      </c>
      <c r="AS1692" s="10" t="b">
        <f>IF(AND(I1692="TP",S1692&lt;=500),VLOOKUP(AF1692,TPCalibEq500!$AZ$2:$BB$56,3,),IF(AND(I1692="TDP",S1692&lt;=500),VLOOKUP(AF1692,TPCalibEq500!$AZ$2:$BB$56,3,)))</f>
        <v>0</v>
      </c>
      <c r="AT1692" s="10" t="str">
        <f>IF(AND(I1692="TN",S1692&lt;=2800),VLOOKUP(AF1692,TNCalibEq2500!$AZ$2:$BB$56,3,),IF(AND(I1692="TDN",S1692&lt;=2800),VLOOKUP(AF1692,TNCalibEq2500!$AZ$2:$BB$56,3,)))</f>
        <v>y=0.9631x2+173.03x-74.605</v>
      </c>
      <c r="AU1692" s="10" t="str">
        <f>IF(I1692="TP",VLOOKUP(AF1692,TPCalibEqFull!$AZ$2:$BB$56,3),IF(I1692="TDP",VLOOKUP(AF1692,TPCalibEqFull!$AZ$2:$BB$56,3),IF(I1692="TDN",VLOOKUP(AF1692,TNCalibEqFull!$AZ$1:$BB$56,3),IF(I1692="TN",VLOOKUP(AF1692,TNCalibEqFull!$AZ$1:$BB$56,3),FALSE))))</f>
        <v>y=-1.0839x2+204.73x-119.55</v>
      </c>
      <c r="AV1692" s="10" t="str">
        <f t="shared" si="192"/>
        <v>0201 09:00:00-QAC-STD-D.G-1-DI-CAL</v>
      </c>
    </row>
    <row r="1693" spans="1:48" s="10" customFormat="1" x14ac:dyDescent="0.55000000000000004">
      <c r="A1693" s="32">
        <v>44958</v>
      </c>
      <c r="B1693" s="33">
        <v>0.375</v>
      </c>
      <c r="C1693" s="10" t="s">
        <v>70</v>
      </c>
      <c r="D1693" s="10" t="s">
        <v>71</v>
      </c>
      <c r="E1693" s="10" t="s">
        <v>919</v>
      </c>
      <c r="F1693" s="10">
        <v>1</v>
      </c>
      <c r="G1693" s="10" t="s">
        <v>73</v>
      </c>
      <c r="H1693" s="10" t="s">
        <v>74</v>
      </c>
      <c r="I1693" s="10" t="s">
        <v>235</v>
      </c>
      <c r="J1693" s="10">
        <v>183</v>
      </c>
      <c r="K1693" s="12">
        <v>44958</v>
      </c>
      <c r="L1693" s="33">
        <v>0.64376157407407408</v>
      </c>
      <c r="M1693" s="10">
        <v>1</v>
      </c>
      <c r="N1693" s="10" t="s">
        <v>196</v>
      </c>
      <c r="O1693" s="10">
        <v>1.1200000000000001</v>
      </c>
      <c r="P1693" s="10">
        <v>5.5100000000000003E-2</v>
      </c>
      <c r="Q1693" s="10">
        <v>125</v>
      </c>
      <c r="R1693" s="10" t="s">
        <v>170</v>
      </c>
      <c r="S1693" s="34">
        <f t="shared" si="189"/>
        <v>125</v>
      </c>
      <c r="T1693" s="10" t="s">
        <v>1118</v>
      </c>
      <c r="U1693" s="34" t="str">
        <f t="shared" si="190"/>
        <v/>
      </c>
      <c r="V1693" s="31" t="str">
        <f>IF(H1693="CHK",VLOOKUP(I1693,QCCHK,3,),IF(H1693="GUP",VLOOKUP(E1693,QCGUP,2,),IF(AND(H1693="ATP",OR(I1693="TN",I1693="TDN",I1693="TNO2-3",I1693="NO2-3")),VLOOKUP(E1693,QCREC_N,2,),IF(AND(H1693="NIC",OR(I1693="TN",I1693="TDN",I1693="TNO2-3",I1693="NO2-3")),VLOOKUP(E1693,QCNIC_N,2,),IF(AND(H1693="UREA",OR(I1693="TN",I1693="TDN",I1693="TNO2-3",I1693="NO2-3")),VLOOKUP(E1693,QCUREA_N,2,),IF(H1693="PER",VLOOKUP(I1693,QCPER,MATCH(E1693,QCACTUAL!$J$25:$AA$25,0),),IF(H1693="SPK",VLOOKUP(I1693,QCSPK,3,),IF(AND(H1693="ATP",OR(I1693="TP",I1693="TDP")),VLOOKUP(E1693,QCATP_P,2,),""))))))))</f>
        <v/>
      </c>
      <c r="W1693" s="31" t="str">
        <f t="shared" si="191"/>
        <v>TRUE</v>
      </c>
      <c r="X1693" s="31" t="str">
        <f t="shared" si="188"/>
        <v/>
      </c>
      <c r="Y1693" s="10" t="s">
        <v>1116</v>
      </c>
      <c r="AF1693" s="12">
        <v>44958</v>
      </c>
      <c r="AJ1693" s="10">
        <f>0.9631*1.12^2+173.03*1.12-74.605</f>
        <v>120.39671264000002</v>
      </c>
      <c r="AK1693" s="10">
        <f>-1.0839*1.12^2+204.73*1.12-119.55</f>
        <v>108.38795584000003</v>
      </c>
      <c r="AL1693" s="10" t="str">
        <f t="shared" si="193"/>
        <v>FALSE</v>
      </c>
      <c r="AM1693" s="10" t="str">
        <f t="shared" si="193"/>
        <v>FALSE</v>
      </c>
      <c r="AN1693" s="10" t="str">
        <f t="shared" si="193"/>
        <v>FALSE</v>
      </c>
      <c r="AO1693" s="10" t="str">
        <f t="shared" si="194"/>
        <v>y=0.9631*1.12^2+173.03*1.12-74.605</v>
      </c>
      <c r="AP1693" s="10" t="str">
        <f t="shared" si="194"/>
        <v>y=-1.0839*1.12^2+204.73*1.12-119.55</v>
      </c>
      <c r="AQ1693" s="10" t="b">
        <f>IF(AND(I1693="TP",S1693&lt;=150),VLOOKUP(AF1693,TPCalibEq150!$AZ$2:$BB$55,3,),IF(AND(I1693="TDP",S1693&lt;=150),VLOOKUP(AF1693,TPCalibEq150!$AZ$2:$BB$55,3,)))</f>
        <v>0</v>
      </c>
      <c r="AR1693" s="10" t="b">
        <f>IF(AND(I1693="TP",S1693&lt;=300),VLOOKUP(AF1693,TPCalibEq300!$AZ$2:$BB$55,3,),IF(AND(I1693="TDP",S1693&lt;=300),VLOOKUP(AF1693,TPCalibEq300!$AZ$2:$BB$55,3,)))</f>
        <v>0</v>
      </c>
      <c r="AS1693" s="10" t="b">
        <f>IF(AND(I1693="TP",S1693&lt;=500),VLOOKUP(AF1693,TPCalibEq500!$AZ$2:$BB$56,3,),IF(AND(I1693="TDP",S1693&lt;=500),VLOOKUP(AF1693,TPCalibEq500!$AZ$2:$BB$56,3,)))</f>
        <v>0</v>
      </c>
      <c r="AT1693" s="10" t="str">
        <f>IF(AND(I1693="TN",S1693&lt;=2800),VLOOKUP(AF1693,TNCalibEq2500!$AZ$2:$BB$56,3,),IF(AND(I1693="TDN",S1693&lt;=2800),VLOOKUP(AF1693,TNCalibEq2500!$AZ$2:$BB$56,3,)))</f>
        <v>y=0.9631x2+173.03x-74.605</v>
      </c>
      <c r="AU1693" s="10" t="str">
        <f>IF(I1693="TP",VLOOKUP(AF1693,TPCalibEqFull!$AZ$2:$BB$56,3),IF(I1693="TDP",VLOOKUP(AF1693,TPCalibEqFull!$AZ$2:$BB$56,3),IF(I1693="TDN",VLOOKUP(AF1693,TNCalibEqFull!$AZ$1:$BB$56,3),IF(I1693="TN",VLOOKUP(AF1693,TNCalibEqFull!$AZ$1:$BB$56,3),FALSE))))</f>
        <v>y=-1.0839x2+204.73x-119.55</v>
      </c>
      <c r="AV1693" s="10" t="str">
        <f t="shared" si="192"/>
        <v>0201 09:00:00-QAC-STD-D.F-1-DI-CAL</v>
      </c>
    </row>
    <row r="1694" spans="1:48" s="10" customFormat="1" x14ac:dyDescent="0.55000000000000004">
      <c r="A1694" s="32">
        <v>44958</v>
      </c>
      <c r="B1694" s="33">
        <v>0.375</v>
      </c>
      <c r="C1694" s="10" t="s">
        <v>70</v>
      </c>
      <c r="D1694" s="10" t="s">
        <v>71</v>
      </c>
      <c r="E1694" s="10" t="s">
        <v>920</v>
      </c>
      <c r="F1694" s="10">
        <v>1</v>
      </c>
      <c r="G1694" s="10" t="s">
        <v>73</v>
      </c>
      <c r="H1694" s="10" t="s">
        <v>74</v>
      </c>
      <c r="I1694" s="10" t="s">
        <v>235</v>
      </c>
      <c r="J1694" s="10">
        <v>184</v>
      </c>
      <c r="K1694" s="12">
        <v>44958</v>
      </c>
      <c r="L1694" s="33">
        <v>0.64443287037037034</v>
      </c>
      <c r="M1694" s="10">
        <v>1</v>
      </c>
      <c r="N1694" s="10" t="s">
        <v>196</v>
      </c>
      <c r="O1694" s="10">
        <v>3.12</v>
      </c>
      <c r="P1694" s="10">
        <v>0.153</v>
      </c>
      <c r="Q1694" s="10">
        <v>500</v>
      </c>
      <c r="R1694" s="10" t="s">
        <v>170</v>
      </c>
      <c r="S1694" s="34">
        <f t="shared" si="189"/>
        <v>500</v>
      </c>
      <c r="T1694" s="10" t="s">
        <v>1119</v>
      </c>
      <c r="U1694" s="34" t="str">
        <f t="shared" si="190"/>
        <v/>
      </c>
      <c r="V1694" s="31" t="str">
        <f>IF(H1694="CHK",VLOOKUP(I1694,QCCHK,3,),IF(H1694="GUP",VLOOKUP(E1694,QCGUP,2,),IF(AND(H1694="ATP",OR(I1694="TN",I1694="TDN",I1694="TNO2-3",I1694="NO2-3")),VLOOKUP(E1694,QCREC_N,2,),IF(AND(H1694="NIC",OR(I1694="TN",I1694="TDN",I1694="TNO2-3",I1694="NO2-3")),VLOOKUP(E1694,QCNIC_N,2,),IF(AND(H1694="UREA",OR(I1694="TN",I1694="TDN",I1694="TNO2-3",I1694="NO2-3")),VLOOKUP(E1694,QCUREA_N,2,),IF(H1694="PER",VLOOKUP(I1694,QCPER,MATCH(E1694,QCACTUAL!$J$25:$AA$25,0),),IF(H1694="SPK",VLOOKUP(I1694,QCSPK,3,),IF(AND(H1694="ATP",OR(I1694="TP",I1694="TDP")),VLOOKUP(E1694,QCATP_P,2,),""))))))))</f>
        <v/>
      </c>
      <c r="W1694" s="31" t="str">
        <f t="shared" si="191"/>
        <v>TRUE</v>
      </c>
      <c r="X1694" s="31" t="str">
        <f t="shared" si="188"/>
        <v/>
      </c>
      <c r="Y1694" s="10" t="s">
        <v>1116</v>
      </c>
      <c r="AF1694" s="12">
        <v>44958</v>
      </c>
      <c r="AJ1694" s="10">
        <f>0.9631*3.12^2+173.03*3.12-74.605</f>
        <v>474.62380064000001</v>
      </c>
      <c r="AK1694" s="10">
        <f>-1.0839*3.12^2+204.73*3.12-119.55</f>
        <v>508.65648384000002</v>
      </c>
      <c r="AL1694" s="10" t="str">
        <f t="shared" si="193"/>
        <v>FALSE</v>
      </c>
      <c r="AM1694" s="10" t="str">
        <f t="shared" si="193"/>
        <v>FALSE</v>
      </c>
      <c r="AN1694" s="10" t="str">
        <f t="shared" si="193"/>
        <v>FALSE</v>
      </c>
      <c r="AO1694" s="10" t="str">
        <f t="shared" si="194"/>
        <v>y=0.9631*3.12^2+173.03*3.12-74.605</v>
      </c>
      <c r="AP1694" s="10" t="str">
        <f t="shared" si="194"/>
        <v>y=-1.0839*3.12^2+204.73*3.12-119.55</v>
      </c>
      <c r="AQ1694" s="10" t="b">
        <f>IF(AND(I1694="TP",S1694&lt;=150),VLOOKUP(AF1694,TPCalibEq150!$AZ$2:$BB$55,3,),IF(AND(I1694="TDP",S1694&lt;=150),VLOOKUP(AF1694,TPCalibEq150!$AZ$2:$BB$55,3,)))</f>
        <v>0</v>
      </c>
      <c r="AR1694" s="10" t="b">
        <f>IF(AND(I1694="TP",S1694&lt;=300),VLOOKUP(AF1694,TPCalibEq300!$AZ$2:$BB$55,3,),IF(AND(I1694="TDP",S1694&lt;=300),VLOOKUP(AF1694,TPCalibEq300!$AZ$2:$BB$55,3,)))</f>
        <v>0</v>
      </c>
      <c r="AS1694" s="10" t="b">
        <f>IF(AND(I1694="TP",S1694&lt;=500),VLOOKUP(AF1694,TPCalibEq500!$AZ$2:$BB$56,3,),IF(AND(I1694="TDP",S1694&lt;=500),VLOOKUP(AF1694,TPCalibEq500!$AZ$2:$BB$56,3,)))</f>
        <v>0</v>
      </c>
      <c r="AT1694" s="10" t="str">
        <f>IF(AND(I1694="TN",S1694&lt;=2800),VLOOKUP(AF1694,TNCalibEq2500!$AZ$2:$BB$56,3,),IF(AND(I1694="TDN",S1694&lt;=2800),VLOOKUP(AF1694,TNCalibEq2500!$AZ$2:$BB$56,3,)))</f>
        <v>y=0.9631x2+173.03x-74.605</v>
      </c>
      <c r="AU1694" s="10" t="str">
        <f>IF(I1694="TP",VLOOKUP(AF1694,TPCalibEqFull!$AZ$2:$BB$56,3),IF(I1694="TDP",VLOOKUP(AF1694,TPCalibEqFull!$AZ$2:$BB$56,3),IF(I1694="TDN",VLOOKUP(AF1694,TNCalibEqFull!$AZ$1:$BB$56,3),IF(I1694="TN",VLOOKUP(AF1694,TNCalibEqFull!$AZ$1:$BB$56,3),FALSE))))</f>
        <v>y=-1.0839x2+204.73x-119.55</v>
      </c>
      <c r="AV1694" s="10" t="str">
        <f t="shared" si="192"/>
        <v>0201 09:00:00-QAC-STD-D.E-1-DI-CAL</v>
      </c>
    </row>
    <row r="1695" spans="1:48" s="10" customFormat="1" x14ac:dyDescent="0.55000000000000004">
      <c r="A1695" s="32">
        <v>44958</v>
      </c>
      <c r="B1695" s="33">
        <v>0.375</v>
      </c>
      <c r="C1695" s="10" t="s">
        <v>70</v>
      </c>
      <c r="D1695" s="10" t="s">
        <v>71</v>
      </c>
      <c r="E1695" s="10" t="s">
        <v>921</v>
      </c>
      <c r="F1695" s="10">
        <v>1</v>
      </c>
      <c r="G1695" s="10" t="s">
        <v>73</v>
      </c>
      <c r="H1695" s="10" t="s">
        <v>74</v>
      </c>
      <c r="I1695" s="10" t="s">
        <v>235</v>
      </c>
      <c r="J1695" s="10">
        <v>185</v>
      </c>
      <c r="K1695" s="12">
        <v>44958</v>
      </c>
      <c r="L1695" s="33">
        <v>0.64511574074074074</v>
      </c>
      <c r="M1695" s="10">
        <v>1</v>
      </c>
      <c r="N1695" s="10" t="s">
        <v>196</v>
      </c>
      <c r="O1695" s="10">
        <v>7.44</v>
      </c>
      <c r="P1695" s="10">
        <v>0.36599999999999999</v>
      </c>
      <c r="Q1695" s="10">
        <v>1250</v>
      </c>
      <c r="R1695" s="10" t="s">
        <v>170</v>
      </c>
      <c r="S1695" s="34">
        <f t="shared" si="189"/>
        <v>1250</v>
      </c>
      <c r="T1695" s="10" t="s">
        <v>1120</v>
      </c>
      <c r="U1695" s="34" t="str">
        <f t="shared" si="190"/>
        <v/>
      </c>
      <c r="V1695" s="31" t="str">
        <f>IF(H1695="CHK",VLOOKUP(I1695,QCCHK,3,),IF(H1695="GUP",VLOOKUP(E1695,QCGUP,2,),IF(AND(H1695="ATP",OR(I1695="TN",I1695="TDN",I1695="TNO2-3",I1695="NO2-3")),VLOOKUP(E1695,QCREC_N,2,),IF(AND(H1695="NIC",OR(I1695="TN",I1695="TDN",I1695="TNO2-3",I1695="NO2-3")),VLOOKUP(E1695,QCNIC_N,2,),IF(AND(H1695="UREA",OR(I1695="TN",I1695="TDN",I1695="TNO2-3",I1695="NO2-3")),VLOOKUP(E1695,QCUREA_N,2,),IF(H1695="PER",VLOOKUP(I1695,QCPER,MATCH(E1695,QCACTUAL!$J$25:$AA$25,0),),IF(H1695="SPK",VLOOKUP(I1695,QCSPK,3,),IF(AND(H1695="ATP",OR(I1695="TP",I1695="TDP")),VLOOKUP(E1695,QCATP_P,2,),""))))))))</f>
        <v/>
      </c>
      <c r="W1695" s="31" t="str">
        <f t="shared" si="191"/>
        <v>TRUE</v>
      </c>
      <c r="X1695" s="31" t="str">
        <f t="shared" si="188"/>
        <v/>
      </c>
      <c r="Y1695" s="10" t="s">
        <v>1116</v>
      </c>
      <c r="AF1695" s="12">
        <v>44958</v>
      </c>
      <c r="AJ1695" s="10">
        <f>0.9631*7.44^2+173.03*7.44-74.605</f>
        <v>1266.0492521599999</v>
      </c>
      <c r="AK1695" s="10">
        <f>-1.0839*7.44^2+204.73*7.44-119.55</f>
        <v>1343.6434329599999</v>
      </c>
      <c r="AL1695" s="10" t="str">
        <f t="shared" si="193"/>
        <v>FALSE</v>
      </c>
      <c r="AM1695" s="10" t="str">
        <f t="shared" si="193"/>
        <v>FALSE</v>
      </c>
      <c r="AN1695" s="10" t="str">
        <f t="shared" si="193"/>
        <v>FALSE</v>
      </c>
      <c r="AO1695" s="10" t="str">
        <f t="shared" si="194"/>
        <v>y=0.9631*7.44^2+173.03*7.44-74.605</v>
      </c>
      <c r="AP1695" s="10" t="str">
        <f t="shared" si="194"/>
        <v>y=-1.0839*7.44^2+204.73*7.44-119.55</v>
      </c>
      <c r="AQ1695" s="10" t="b">
        <f>IF(AND(I1695="TP",S1695&lt;=150),VLOOKUP(AF1695,TPCalibEq150!$AZ$2:$BB$55,3,),IF(AND(I1695="TDP",S1695&lt;=150),VLOOKUP(AF1695,TPCalibEq150!$AZ$2:$BB$55,3,)))</f>
        <v>0</v>
      </c>
      <c r="AR1695" s="10" t="b">
        <f>IF(AND(I1695="TP",S1695&lt;=300),VLOOKUP(AF1695,TPCalibEq300!$AZ$2:$BB$55,3,),IF(AND(I1695="TDP",S1695&lt;=300),VLOOKUP(AF1695,TPCalibEq300!$AZ$2:$BB$55,3,)))</f>
        <v>0</v>
      </c>
      <c r="AS1695" s="10" t="b">
        <f>IF(AND(I1695="TP",S1695&lt;=500),VLOOKUP(AF1695,TPCalibEq500!$AZ$2:$BB$56,3,),IF(AND(I1695="TDP",S1695&lt;=500),VLOOKUP(AF1695,TPCalibEq500!$AZ$2:$BB$56,3,)))</f>
        <v>0</v>
      </c>
      <c r="AT1695" s="10" t="str">
        <f>IF(AND(I1695="TN",S1695&lt;=2800),VLOOKUP(AF1695,TNCalibEq2500!$AZ$2:$BB$56,3,),IF(AND(I1695="TDN",S1695&lt;=2800),VLOOKUP(AF1695,TNCalibEq2500!$AZ$2:$BB$56,3,)))</f>
        <v>y=0.9631x2+173.03x-74.605</v>
      </c>
      <c r="AU1695" s="10" t="str">
        <f>IF(I1695="TP",VLOOKUP(AF1695,TPCalibEqFull!$AZ$2:$BB$56,3),IF(I1695="TDP",VLOOKUP(AF1695,TPCalibEqFull!$AZ$2:$BB$56,3),IF(I1695="TDN",VLOOKUP(AF1695,TNCalibEqFull!$AZ$1:$BB$56,3),IF(I1695="TN",VLOOKUP(AF1695,TNCalibEqFull!$AZ$1:$BB$56,3),FALSE))))</f>
        <v>y=-1.0839x2+204.73x-119.55</v>
      </c>
      <c r="AV1695" s="10" t="str">
        <f t="shared" si="192"/>
        <v>0201 09:00:00-QAC-STD-D.D-1-DI-CAL</v>
      </c>
    </row>
    <row r="1696" spans="1:48" s="10" customFormat="1" x14ac:dyDescent="0.55000000000000004">
      <c r="A1696" s="32">
        <v>44958</v>
      </c>
      <c r="B1696" s="33">
        <v>0.375</v>
      </c>
      <c r="C1696" s="10" t="s">
        <v>70</v>
      </c>
      <c r="D1696" s="10" t="s">
        <v>71</v>
      </c>
      <c r="E1696" s="10" t="s">
        <v>922</v>
      </c>
      <c r="F1696" s="10">
        <v>1</v>
      </c>
      <c r="G1696" s="10" t="s">
        <v>73</v>
      </c>
      <c r="H1696" s="10" t="s">
        <v>74</v>
      </c>
      <c r="I1696" s="10" t="s">
        <v>235</v>
      </c>
      <c r="J1696" s="10">
        <v>186</v>
      </c>
      <c r="K1696" s="12">
        <v>44958</v>
      </c>
      <c r="L1696" s="33">
        <v>0.64568287037037042</v>
      </c>
      <c r="M1696" s="10">
        <v>1</v>
      </c>
      <c r="N1696" s="10" t="s">
        <v>196</v>
      </c>
      <c r="O1696" s="10">
        <v>13.8</v>
      </c>
      <c r="P1696" s="10">
        <v>0.67700000000000005</v>
      </c>
      <c r="Q1696" s="10">
        <v>2500</v>
      </c>
      <c r="R1696" s="10" t="s">
        <v>170</v>
      </c>
      <c r="S1696" s="34">
        <f t="shared" si="189"/>
        <v>2500</v>
      </c>
      <c r="T1696" s="10" t="s">
        <v>1121</v>
      </c>
      <c r="U1696" s="34" t="str">
        <f t="shared" si="190"/>
        <v/>
      </c>
      <c r="V1696" s="31" t="str">
        <f>IF(H1696="CHK",VLOOKUP(I1696,QCCHK,3,),IF(H1696="GUP",VLOOKUP(E1696,QCGUP,2,),IF(AND(H1696="ATP",OR(I1696="TN",I1696="TDN",I1696="TNO2-3",I1696="NO2-3")),VLOOKUP(E1696,QCREC_N,2,),IF(AND(H1696="NIC",OR(I1696="TN",I1696="TDN",I1696="TNO2-3",I1696="NO2-3")),VLOOKUP(E1696,QCNIC_N,2,),IF(AND(H1696="UREA",OR(I1696="TN",I1696="TDN",I1696="TNO2-3",I1696="NO2-3")),VLOOKUP(E1696,QCUREA_N,2,),IF(H1696="PER",VLOOKUP(I1696,QCPER,MATCH(E1696,QCACTUAL!$J$25:$AA$25,0),),IF(H1696="SPK",VLOOKUP(I1696,QCSPK,3,),IF(AND(H1696="ATP",OR(I1696="TP",I1696="TDP")),VLOOKUP(E1696,QCATP_P,2,),""))))))))</f>
        <v/>
      </c>
      <c r="W1696" s="31" t="str">
        <f t="shared" si="191"/>
        <v>TRUE</v>
      </c>
      <c r="X1696" s="31" t="str">
        <f t="shared" si="188"/>
        <v/>
      </c>
      <c r="Y1696" s="10" t="s">
        <v>1116</v>
      </c>
      <c r="AF1696" s="12">
        <v>44958</v>
      </c>
      <c r="AJ1696" s="10">
        <f>0.9631*13.8^2+173.03*13.8-74.605</f>
        <v>2496.6217640000004</v>
      </c>
      <c r="AK1696" s="10">
        <f>-1.0839*13.8^2+204.73*13.8-119.55</f>
        <v>2499.3060839999998</v>
      </c>
      <c r="AL1696" s="10" t="str">
        <f t="shared" si="193"/>
        <v>FALSE</v>
      </c>
      <c r="AM1696" s="10" t="str">
        <f t="shared" si="193"/>
        <v>FALSE</v>
      </c>
      <c r="AN1696" s="10" t="str">
        <f t="shared" si="193"/>
        <v>FALSE</v>
      </c>
      <c r="AO1696" s="10" t="str">
        <f t="shared" si="194"/>
        <v>y=0.9631*13.8^2+173.03*13.8-74.605</v>
      </c>
      <c r="AP1696" s="10" t="str">
        <f t="shared" si="194"/>
        <v>y=-1.0839*13.8^2+204.73*13.8-119.55</v>
      </c>
      <c r="AQ1696" s="10" t="b">
        <f>IF(AND(I1696="TP",S1696&lt;=150),VLOOKUP(AF1696,TPCalibEq150!$AZ$2:$BB$55,3,),IF(AND(I1696="TDP",S1696&lt;=150),VLOOKUP(AF1696,TPCalibEq150!$AZ$2:$BB$55,3,)))</f>
        <v>0</v>
      </c>
      <c r="AR1696" s="10" t="b">
        <f>IF(AND(I1696="TP",S1696&lt;=300),VLOOKUP(AF1696,TPCalibEq300!$AZ$2:$BB$55,3,),IF(AND(I1696="TDP",S1696&lt;=300),VLOOKUP(AF1696,TPCalibEq300!$AZ$2:$BB$55,3,)))</f>
        <v>0</v>
      </c>
      <c r="AS1696" s="10" t="b">
        <f>IF(AND(I1696="TP",S1696&lt;=500),VLOOKUP(AF1696,TPCalibEq500!$AZ$2:$BB$56,3,),IF(AND(I1696="TDP",S1696&lt;=500),VLOOKUP(AF1696,TPCalibEq500!$AZ$2:$BB$56,3,)))</f>
        <v>0</v>
      </c>
      <c r="AT1696" s="10" t="str">
        <f>IF(AND(I1696="TN",S1696&lt;=2800),VLOOKUP(AF1696,TNCalibEq2500!$AZ$2:$BB$56,3,),IF(AND(I1696="TDN",S1696&lt;=2800),VLOOKUP(AF1696,TNCalibEq2500!$AZ$2:$BB$56,3,)))</f>
        <v>y=0.9631x2+173.03x-74.605</v>
      </c>
      <c r="AU1696" s="10" t="str">
        <f>IF(I1696="TP",VLOOKUP(AF1696,TPCalibEqFull!$AZ$2:$BB$56,3),IF(I1696="TDP",VLOOKUP(AF1696,TPCalibEqFull!$AZ$2:$BB$56,3),IF(I1696="TDN",VLOOKUP(AF1696,TNCalibEqFull!$AZ$1:$BB$56,3),IF(I1696="TN",VLOOKUP(AF1696,TNCalibEqFull!$AZ$1:$BB$56,3),FALSE))))</f>
        <v>y=-1.0839x2+204.73x-119.55</v>
      </c>
      <c r="AV1696" s="10" t="str">
        <f t="shared" si="192"/>
        <v>0201 09:00:00-QAC-STD-D.C-1-DI-CAL</v>
      </c>
    </row>
    <row r="1697" spans="1:48" s="10" customFormat="1" x14ac:dyDescent="0.55000000000000004">
      <c r="A1697" s="32">
        <v>44958</v>
      </c>
      <c r="B1697" s="33">
        <v>0.375</v>
      </c>
      <c r="C1697" s="10" t="s">
        <v>70</v>
      </c>
      <c r="D1697" s="10" t="s">
        <v>71</v>
      </c>
      <c r="E1697" s="10" t="s">
        <v>923</v>
      </c>
      <c r="F1697" s="10">
        <v>1</v>
      </c>
      <c r="G1697" s="10" t="s">
        <v>73</v>
      </c>
      <c r="H1697" s="10" t="s">
        <v>74</v>
      </c>
      <c r="I1697" s="10" t="s">
        <v>235</v>
      </c>
      <c r="J1697" s="10">
        <v>187</v>
      </c>
      <c r="K1697" s="12">
        <v>44958</v>
      </c>
      <c r="L1697" s="33">
        <v>0.64635416666666667</v>
      </c>
      <c r="M1697" s="10">
        <v>1</v>
      </c>
      <c r="N1697" s="10" t="s">
        <v>196</v>
      </c>
      <c r="O1697" s="10">
        <v>20.8</v>
      </c>
      <c r="P1697" s="10">
        <v>1.02</v>
      </c>
      <c r="Q1697" s="10">
        <v>3750</v>
      </c>
      <c r="R1697" s="10" t="s">
        <v>170</v>
      </c>
      <c r="S1697" s="34">
        <f t="shared" si="189"/>
        <v>3750</v>
      </c>
      <c r="T1697" s="10" t="s">
        <v>1122</v>
      </c>
      <c r="U1697" s="34" t="str">
        <f t="shared" si="190"/>
        <v/>
      </c>
      <c r="V1697" s="31" t="str">
        <f>IF(H1697="CHK",VLOOKUP(I1697,QCCHK,3,),IF(H1697="GUP",VLOOKUP(E1697,QCGUP,2,),IF(AND(H1697="ATP",OR(I1697="TN",I1697="TDN",I1697="TNO2-3",I1697="NO2-3")),VLOOKUP(E1697,QCREC_N,2,),IF(AND(H1697="NIC",OR(I1697="TN",I1697="TDN",I1697="TNO2-3",I1697="NO2-3")),VLOOKUP(E1697,QCNIC_N,2,),IF(AND(H1697="UREA",OR(I1697="TN",I1697="TDN",I1697="TNO2-3",I1697="NO2-3")),VLOOKUP(E1697,QCUREA_N,2,),IF(H1697="PER",VLOOKUP(I1697,QCPER,MATCH(E1697,QCACTUAL!$J$25:$AA$25,0),),IF(H1697="SPK",VLOOKUP(I1697,QCSPK,3,),IF(AND(H1697="ATP",OR(I1697="TP",I1697="TDP")),VLOOKUP(E1697,QCATP_P,2,),""))))))))</f>
        <v/>
      </c>
      <c r="W1697" s="31" t="str">
        <f t="shared" si="191"/>
        <v>TRUE</v>
      </c>
      <c r="X1697" s="31" t="str">
        <f t="shared" si="188"/>
        <v/>
      </c>
      <c r="Y1697" s="10" t="s">
        <v>1116</v>
      </c>
      <c r="AF1697" s="12">
        <v>44958</v>
      </c>
      <c r="AK1697" s="10">
        <f>-1.0839*20.8^2+204.73*20.8-119.55</f>
        <v>3669.8955039999996</v>
      </c>
      <c r="AL1697" s="10" t="str">
        <f t="shared" ref="AL1697:AN1760" si="195">IF($O1697="", "", IF(AQ1697&lt;&gt;"", SUBSTITUTE(SUBSTITUTE(AQ1697, "x", "*"&amp;$O1697&amp;"^", 1), "x", "*"&amp;$O1697, 1), ""))</f>
        <v>FALSE</v>
      </c>
      <c r="AM1697" s="10" t="str">
        <f t="shared" si="195"/>
        <v>FALSE</v>
      </c>
      <c r="AN1697" s="10" t="str">
        <f t="shared" si="195"/>
        <v>FALSE</v>
      </c>
      <c r="AO1697" s="10" t="str">
        <f t="shared" ref="AO1697:AP1760" si="196">IF($O1697="", "FALSE", IF(AT1697&lt;&gt;"FALSE", SUBSTITUTE(SUBSTITUTE(AT1697, "x", "*"&amp;$O1697&amp;"^", 1), "x", "*"&amp;$O1697, 1), ""))</f>
        <v>FALSE</v>
      </c>
      <c r="AP1697" s="10" t="str">
        <f t="shared" si="196"/>
        <v>y=-1.0839*20.8^2+204.73*20.8-119.55</v>
      </c>
      <c r="AQ1697" s="10" t="b">
        <f>IF(AND(I1697="TP",S1697&lt;=150),VLOOKUP(AF1697,TPCalibEq150!$AZ$2:$BB$55,3,),IF(AND(I1697="TDP",S1697&lt;=150),VLOOKUP(AF1697,TPCalibEq150!$AZ$2:$BB$55,3,)))</f>
        <v>0</v>
      </c>
      <c r="AR1697" s="10" t="b">
        <f>IF(AND(I1697="TP",S1697&lt;=300),VLOOKUP(AF1697,TPCalibEq300!$AZ$2:$BB$55,3,),IF(AND(I1697="TDP",S1697&lt;=300),VLOOKUP(AF1697,TPCalibEq300!$AZ$2:$BB$55,3,)))</f>
        <v>0</v>
      </c>
      <c r="AS1697" s="10" t="b">
        <f>IF(AND(I1697="TP",S1697&lt;=500),VLOOKUP(AF1697,TPCalibEq500!$AZ$2:$BB$56,3,),IF(AND(I1697="TDP",S1697&lt;=500),VLOOKUP(AF1697,TPCalibEq500!$AZ$2:$BB$56,3,)))</f>
        <v>0</v>
      </c>
      <c r="AT1697" s="10" t="b">
        <f>IF(AND(I1697="TN",S1697&lt;=2800),VLOOKUP(AF1697,TNCalibEq2500!$AZ$2:$BB$56,3,),IF(AND(I1697="TDN",S1697&lt;=2800),VLOOKUP(AF1697,TNCalibEq2500!$AZ$2:$BB$56,3,)))</f>
        <v>0</v>
      </c>
      <c r="AU1697" s="10" t="str">
        <f>IF(I1697="TP",VLOOKUP(AF1697,TPCalibEqFull!$AZ$2:$BB$56,3),IF(I1697="TDP",VLOOKUP(AF1697,TPCalibEqFull!$AZ$2:$BB$56,3),IF(I1697="TDN",VLOOKUP(AF1697,TNCalibEqFull!$AZ$1:$BB$56,3),IF(I1697="TN",VLOOKUP(AF1697,TNCalibEqFull!$AZ$1:$BB$56,3),FALSE))))</f>
        <v>y=-1.0839x2+204.73x-119.55</v>
      </c>
      <c r="AV1697" s="10" t="str">
        <f t="shared" si="192"/>
        <v>0201 09:00:00-QAC-STD-D.B-1-DI-CAL</v>
      </c>
    </row>
    <row r="1698" spans="1:48" s="10" customFormat="1" x14ac:dyDescent="0.55000000000000004">
      <c r="A1698" s="32">
        <v>44958</v>
      </c>
      <c r="B1698" s="33">
        <v>0.375</v>
      </c>
      <c r="C1698" s="10" t="s">
        <v>70</v>
      </c>
      <c r="D1698" s="10" t="s">
        <v>71</v>
      </c>
      <c r="E1698" s="10" t="s">
        <v>924</v>
      </c>
      <c r="F1698" s="10">
        <v>1</v>
      </c>
      <c r="G1698" s="10" t="s">
        <v>73</v>
      </c>
      <c r="H1698" s="10" t="s">
        <v>74</v>
      </c>
      <c r="I1698" s="10" t="s">
        <v>235</v>
      </c>
      <c r="J1698" s="10">
        <v>188</v>
      </c>
      <c r="K1698" s="12">
        <v>44958</v>
      </c>
      <c r="L1698" s="33">
        <v>0.64703703703703697</v>
      </c>
      <c r="M1698" s="10">
        <v>1</v>
      </c>
      <c r="N1698" s="10" t="s">
        <v>196</v>
      </c>
      <c r="O1698" s="10">
        <v>29.9</v>
      </c>
      <c r="P1698" s="10">
        <v>1.45</v>
      </c>
      <c r="Q1698" s="10">
        <v>5000</v>
      </c>
      <c r="R1698" s="10" t="s">
        <v>170</v>
      </c>
      <c r="S1698" s="34">
        <f t="shared" si="189"/>
        <v>5000</v>
      </c>
      <c r="T1698" s="10" t="s">
        <v>1123</v>
      </c>
      <c r="U1698" s="34" t="str">
        <f t="shared" si="190"/>
        <v/>
      </c>
      <c r="V1698" s="31" t="str">
        <f>IF(H1698="CHK",VLOOKUP(I1698,QCCHK,3,),IF(H1698="GUP",VLOOKUP(E1698,QCGUP,2,),IF(AND(H1698="ATP",OR(I1698="TN",I1698="TDN",I1698="TNO2-3",I1698="NO2-3")),VLOOKUP(E1698,QCREC_N,2,),IF(AND(H1698="NIC",OR(I1698="TN",I1698="TDN",I1698="TNO2-3",I1698="NO2-3")),VLOOKUP(E1698,QCNIC_N,2,),IF(AND(H1698="UREA",OR(I1698="TN",I1698="TDN",I1698="TNO2-3",I1698="NO2-3")),VLOOKUP(E1698,QCUREA_N,2,),IF(H1698="PER",VLOOKUP(I1698,QCPER,MATCH(E1698,QCACTUAL!$J$25:$AA$25,0),),IF(H1698="SPK",VLOOKUP(I1698,QCSPK,3,),IF(AND(H1698="ATP",OR(I1698="TP",I1698="TDP")),VLOOKUP(E1698,QCATP_P,2,),""))))))))</f>
        <v/>
      </c>
      <c r="W1698" s="31" t="str">
        <f t="shared" si="191"/>
        <v>TRUE</v>
      </c>
      <c r="X1698" s="31" t="str">
        <f t="shared" si="188"/>
        <v/>
      </c>
      <c r="Y1698" s="10" t="s">
        <v>1116</v>
      </c>
      <c r="AF1698" s="12">
        <v>44958</v>
      </c>
      <c r="AK1698" s="10">
        <f>-1.0839*29.9^2+204.73*29.9-119.55</f>
        <v>5032.8595609999993</v>
      </c>
      <c r="AL1698" s="10" t="str">
        <f t="shared" si="195"/>
        <v>FALSE</v>
      </c>
      <c r="AM1698" s="10" t="str">
        <f t="shared" si="195"/>
        <v>FALSE</v>
      </c>
      <c r="AN1698" s="10" t="str">
        <f t="shared" si="195"/>
        <v>FALSE</v>
      </c>
      <c r="AO1698" s="10" t="str">
        <f t="shared" si="196"/>
        <v>FALSE</v>
      </c>
      <c r="AP1698" s="10" t="str">
        <f t="shared" si="196"/>
        <v>y=-1.0839*29.9^2+204.73*29.9-119.55</v>
      </c>
      <c r="AQ1698" s="10" t="b">
        <f>IF(AND(I1698="TP",S1698&lt;=150),VLOOKUP(AF1698,TPCalibEq150!$AZ$2:$BB$55,3,),IF(AND(I1698="TDP",S1698&lt;=150),VLOOKUP(AF1698,TPCalibEq150!$AZ$2:$BB$55,3,)))</f>
        <v>0</v>
      </c>
      <c r="AR1698" s="10" t="b">
        <f>IF(AND(I1698="TP",S1698&lt;=300),VLOOKUP(AF1698,TPCalibEq300!$AZ$2:$BB$55,3,),IF(AND(I1698="TDP",S1698&lt;=300),VLOOKUP(AF1698,TPCalibEq300!$AZ$2:$BB$55,3,)))</f>
        <v>0</v>
      </c>
      <c r="AS1698" s="10" t="b">
        <f>IF(AND(I1698="TP",S1698&lt;=500),VLOOKUP(AF1698,TPCalibEq500!$AZ$2:$BB$56,3,),IF(AND(I1698="TDP",S1698&lt;=500),VLOOKUP(AF1698,TPCalibEq500!$AZ$2:$BB$56,3,)))</f>
        <v>0</v>
      </c>
      <c r="AT1698" s="10" t="b">
        <f>IF(AND(I1698="TN",S1698&lt;=2800),VLOOKUP(AF1698,TNCalibEq2500!$AZ$2:$BB$56,3,),IF(AND(I1698="TDN",S1698&lt;=2800),VLOOKUP(AF1698,TNCalibEq2500!$AZ$2:$BB$56,3,)))</f>
        <v>0</v>
      </c>
      <c r="AU1698" s="10" t="str">
        <f>IF(I1698="TP",VLOOKUP(AF1698,TPCalibEqFull!$AZ$2:$BB$56,3),IF(I1698="TDP",VLOOKUP(AF1698,TPCalibEqFull!$AZ$2:$BB$56,3),IF(I1698="TDN",VLOOKUP(AF1698,TNCalibEqFull!$AZ$1:$BB$56,3),IF(I1698="TN",VLOOKUP(AF1698,TNCalibEqFull!$AZ$1:$BB$56,3),FALSE))))</f>
        <v>y=-1.0839x2+204.73x-119.55</v>
      </c>
      <c r="AV1698" s="10" t="str">
        <f t="shared" si="192"/>
        <v>0201 09:00:00-QAC-STD-D.A-1-DI-CAL</v>
      </c>
    </row>
    <row r="1699" spans="1:48" s="10" customFormat="1" x14ac:dyDescent="0.55000000000000004">
      <c r="A1699" s="32">
        <v>44915</v>
      </c>
      <c r="B1699" s="33">
        <v>0.375</v>
      </c>
      <c r="C1699" s="10" t="s">
        <v>70</v>
      </c>
      <c r="D1699" s="10" t="s">
        <v>71</v>
      </c>
      <c r="E1699" s="10" t="s">
        <v>924</v>
      </c>
      <c r="F1699" s="10">
        <v>1</v>
      </c>
      <c r="G1699" s="10" t="s">
        <v>73</v>
      </c>
      <c r="H1699" s="10" t="s">
        <v>74</v>
      </c>
      <c r="I1699" s="10" t="s">
        <v>235</v>
      </c>
      <c r="J1699" s="10">
        <v>214</v>
      </c>
      <c r="K1699" s="12">
        <v>44958</v>
      </c>
      <c r="L1699" s="33">
        <v>0.64770833333333333</v>
      </c>
      <c r="M1699" s="10">
        <v>1</v>
      </c>
      <c r="N1699" s="10" t="s">
        <v>196</v>
      </c>
      <c r="O1699" s="10">
        <v>28.5</v>
      </c>
      <c r="P1699" s="10">
        <v>1.4</v>
      </c>
      <c r="Q1699" s="10">
        <v>4940</v>
      </c>
      <c r="R1699" s="10" t="s">
        <v>170</v>
      </c>
      <c r="S1699" s="34">
        <f t="shared" si="189"/>
        <v>4940</v>
      </c>
      <c r="T1699" s="10" t="s">
        <v>1123</v>
      </c>
      <c r="U1699" s="34" t="str">
        <f t="shared" si="190"/>
        <v/>
      </c>
      <c r="V1699" s="31" t="str">
        <f>IF(H1699="CHK",VLOOKUP(I1699,QCCHK,3,),IF(H1699="GUP",VLOOKUP(E1699,QCGUP,2,),IF(AND(H1699="ATP",OR(I1699="TN",I1699="TDN",I1699="TNO2-3",I1699="NO2-3")),VLOOKUP(E1699,QCREC_N,2,),IF(AND(H1699="NIC",OR(I1699="TN",I1699="TDN",I1699="TNO2-3",I1699="NO2-3")),VLOOKUP(E1699,QCNIC_N,2,),IF(AND(H1699="UREA",OR(I1699="TN",I1699="TDN",I1699="TNO2-3",I1699="NO2-3")),VLOOKUP(E1699,QCUREA_N,2,),IF(H1699="PER",VLOOKUP(I1699,QCPER,MATCH(E1699,QCACTUAL!$J$25:$AA$25,0),),IF(H1699="SPK",VLOOKUP(I1699,QCSPK,3,),IF(AND(H1699="ATP",OR(I1699="TP",I1699="TDP")),VLOOKUP(E1699,QCATP_P,2,),""))))))))</f>
        <v/>
      </c>
      <c r="W1699" s="31" t="str">
        <f t="shared" si="191"/>
        <v>TRUE</v>
      </c>
      <c r="X1699" s="31" t="str">
        <f t="shared" si="188"/>
        <v/>
      </c>
      <c r="Y1699" s="10" t="s">
        <v>1116</v>
      </c>
      <c r="AF1699" s="12">
        <v>44958</v>
      </c>
      <c r="AK1699" s="10">
        <f>-1.0839*28.5^2+204.73*28.5-119.55</f>
        <v>4834.8572249999988</v>
      </c>
      <c r="AL1699" s="10" t="str">
        <f t="shared" si="195"/>
        <v>FALSE</v>
      </c>
      <c r="AM1699" s="10" t="str">
        <f t="shared" si="195"/>
        <v>FALSE</v>
      </c>
      <c r="AN1699" s="10" t="str">
        <f t="shared" si="195"/>
        <v>FALSE</v>
      </c>
      <c r="AO1699" s="10" t="str">
        <f t="shared" si="196"/>
        <v>FALSE</v>
      </c>
      <c r="AP1699" s="10" t="str">
        <f t="shared" si="196"/>
        <v>y=-1.0839*28.5^2+204.73*28.5-119.55</v>
      </c>
      <c r="AQ1699" s="10" t="b">
        <f>IF(AND(I1699="TP",S1699&lt;=150),VLOOKUP(AF1699,TPCalibEq150!$AZ$2:$BB$55,3,),IF(AND(I1699="TDP",S1699&lt;=150),VLOOKUP(AF1699,TPCalibEq150!$AZ$2:$BB$55,3,)))</f>
        <v>0</v>
      </c>
      <c r="AR1699" s="10" t="b">
        <f>IF(AND(I1699="TP",S1699&lt;=300),VLOOKUP(AF1699,TPCalibEq300!$AZ$2:$BB$55,3,),IF(AND(I1699="TDP",S1699&lt;=300),VLOOKUP(AF1699,TPCalibEq300!$AZ$2:$BB$55,3,)))</f>
        <v>0</v>
      </c>
      <c r="AS1699" s="10" t="b">
        <f>IF(AND(I1699="TP",S1699&lt;=500),VLOOKUP(AF1699,TPCalibEq500!$AZ$2:$BB$56,3,),IF(AND(I1699="TDP",S1699&lt;=500),VLOOKUP(AF1699,TPCalibEq500!$AZ$2:$BB$56,3,)))</f>
        <v>0</v>
      </c>
      <c r="AT1699" s="10" t="b">
        <f>IF(AND(I1699="TN",S1699&lt;=2800),VLOOKUP(AF1699,TNCalibEq2500!$AZ$2:$BB$56,3,),IF(AND(I1699="TDN",S1699&lt;=2800),VLOOKUP(AF1699,TNCalibEq2500!$AZ$2:$BB$56,3,)))</f>
        <v>0</v>
      </c>
      <c r="AU1699" s="10" t="str">
        <f>IF(I1699="TP",VLOOKUP(AF1699,TPCalibEqFull!$AZ$2:$BB$56,3),IF(I1699="TDP",VLOOKUP(AF1699,TPCalibEqFull!$AZ$2:$BB$56,3),IF(I1699="TDN",VLOOKUP(AF1699,TNCalibEqFull!$AZ$1:$BB$56,3),IF(I1699="TN",VLOOKUP(AF1699,TNCalibEqFull!$AZ$1:$BB$56,3),FALSE))))</f>
        <v>y=-1.0839x2+204.73x-119.55</v>
      </c>
      <c r="AV1699" s="10" t="str">
        <f t="shared" si="192"/>
        <v>1220 09:00:00-QAC-STD-D.A-1-DI-CAL</v>
      </c>
    </row>
    <row r="1700" spans="1:48" s="10" customFormat="1" x14ac:dyDescent="0.55000000000000004">
      <c r="A1700" s="32">
        <v>44958</v>
      </c>
      <c r="B1700" s="33">
        <v>0.375</v>
      </c>
      <c r="C1700" s="10" t="s">
        <v>70</v>
      </c>
      <c r="D1700" s="10" t="s">
        <v>241</v>
      </c>
      <c r="E1700" s="10" t="s">
        <v>866</v>
      </c>
      <c r="F1700" s="10">
        <v>1</v>
      </c>
      <c r="G1700" s="10" t="s">
        <v>73</v>
      </c>
      <c r="H1700" s="10" t="s">
        <v>283</v>
      </c>
      <c r="I1700" s="10" t="s">
        <v>235</v>
      </c>
      <c r="J1700" s="10">
        <v>198</v>
      </c>
      <c r="K1700" s="12">
        <v>44958</v>
      </c>
      <c r="L1700" s="33">
        <v>0.64905092592592595</v>
      </c>
      <c r="M1700" s="10">
        <v>1</v>
      </c>
      <c r="N1700" s="10" t="s">
        <v>196</v>
      </c>
      <c r="O1700" s="10">
        <v>0.43</v>
      </c>
      <c r="P1700" s="10">
        <v>2.2499999999999999E-2</v>
      </c>
      <c r="Q1700" s="10">
        <v>34.799999999999997</v>
      </c>
      <c r="R1700" s="10" t="s">
        <v>170</v>
      </c>
      <c r="S1700" s="34">
        <f t="shared" si="189"/>
        <v>34.799999999999997</v>
      </c>
      <c r="T1700" s="10" t="s">
        <v>1123</v>
      </c>
      <c r="U1700" s="34">
        <f t="shared" si="190"/>
        <v>34.799999999999997</v>
      </c>
      <c r="V1700" s="31" t="str">
        <f>IF(H1700="CHK",VLOOKUP(I1700,QCCHK,3,),IF(H1700="GUP",VLOOKUP(E1700,QCGUP,2,),IF(AND(H1700="ATP",OR(I1700="TN",I1700="TDN",I1700="TNO2-3",I1700="NO2-3")),VLOOKUP(E1700,QCREC_N,2,),IF(AND(H1700="NIC",OR(I1700="TN",I1700="TDN",I1700="TNO2-3",I1700="NO2-3")),VLOOKUP(E1700,QCNIC_N,2,),IF(AND(H1700="UREA",OR(I1700="TN",I1700="TDN",I1700="TNO2-3",I1700="NO2-3")),VLOOKUP(E1700,QCUREA_N,2,),IF(H1700="PER",VLOOKUP(I1700,QCPER,MATCH(E1700,QCACTUAL!$J$25:$AA$25,0),),IF(H1700="SPK",VLOOKUP(I1700,QCSPK,3,),IF(AND(H1700="ATP",OR(I1700="TP",I1700="TDP")),VLOOKUP(E1700,QCATP_P,2,),""))))))))</f>
        <v/>
      </c>
      <c r="W1700" s="31" t="str">
        <f t="shared" si="191"/>
        <v>FALSE</v>
      </c>
      <c r="X1700" s="31" t="str">
        <f t="shared" si="188"/>
        <v>nominal concentration</v>
      </c>
      <c r="Y1700" s="10" t="s">
        <v>1116</v>
      </c>
      <c r="AF1700" s="12">
        <v>44958</v>
      </c>
      <c r="AJ1700" s="10">
        <f>0.9631*0.43^2+173.03*0.43-74.605</f>
        <v>-2.4022810000005279E-2</v>
      </c>
      <c r="AK1700" s="10">
        <f>-1.0839*0.43^2+204.73*0.43-119.55</f>
        <v>-31.716513110000008</v>
      </c>
      <c r="AL1700" s="10" t="str">
        <f t="shared" si="195"/>
        <v>FALSE</v>
      </c>
      <c r="AM1700" s="10" t="str">
        <f t="shared" si="195"/>
        <v>FALSE</v>
      </c>
      <c r="AN1700" s="10" t="str">
        <f t="shared" si="195"/>
        <v>FALSE</v>
      </c>
      <c r="AO1700" s="10" t="str">
        <f t="shared" si="196"/>
        <v>y=0.9631*0.43^2+173.03*0.43-74.605</v>
      </c>
      <c r="AP1700" s="10" t="str">
        <f t="shared" si="196"/>
        <v>y=-1.0839*0.43^2+204.73*0.43-119.55</v>
      </c>
      <c r="AQ1700" s="10" t="b">
        <f>IF(AND(I1700="TP",S1700&lt;=150),VLOOKUP(AF1700,TPCalibEq150!$AZ$2:$BB$55,3,),IF(AND(I1700="TDP",S1700&lt;=150),VLOOKUP(AF1700,TPCalibEq150!$AZ$2:$BB$55,3,)))</f>
        <v>0</v>
      </c>
      <c r="AR1700" s="10" t="b">
        <f>IF(AND(I1700="TP",S1700&lt;=300),VLOOKUP(AF1700,TPCalibEq300!$AZ$2:$BB$55,3,),IF(AND(I1700="TDP",S1700&lt;=300),VLOOKUP(AF1700,TPCalibEq300!$AZ$2:$BB$55,3,)))</f>
        <v>0</v>
      </c>
      <c r="AS1700" s="10" t="b">
        <f>IF(AND(I1700="TP",S1700&lt;=500),VLOOKUP(AF1700,TPCalibEq500!$AZ$2:$BB$56,3,),IF(AND(I1700="TDP",S1700&lt;=500),VLOOKUP(AF1700,TPCalibEq500!$AZ$2:$BB$56,3,)))</f>
        <v>0</v>
      </c>
      <c r="AT1700" s="10" t="str">
        <f>IF(AND(I1700="TN",S1700&lt;=2800),VLOOKUP(AF1700,TNCalibEq2500!$AZ$2:$BB$56,3,),IF(AND(I1700="TDN",S1700&lt;=2800),VLOOKUP(AF1700,TNCalibEq2500!$AZ$2:$BB$56,3,)))</f>
        <v>y=0.9631x2+173.03x-74.605</v>
      </c>
      <c r="AU1700" s="10" t="str">
        <f>IF(I1700="TP",VLOOKUP(AF1700,TPCalibEqFull!$AZ$2:$BB$56,3),IF(I1700="TDP",VLOOKUP(AF1700,TPCalibEqFull!$AZ$2:$BB$56,3),IF(I1700="TDN",VLOOKUP(AF1700,TNCalibEqFull!$AZ$1:$BB$56,3),IF(I1700="TN",VLOOKUP(AF1700,TNCalibEqFull!$AZ$1:$BB$56,3),FALSE))))</f>
        <v>y=-1.0839x2+204.73x-119.55</v>
      </c>
      <c r="AV1700" s="10" t="str">
        <f t="shared" si="192"/>
        <v>0201 09:00:00-QAC-BLK-A-1-DI-LAB</v>
      </c>
    </row>
    <row r="1701" spans="1:48" s="10" customFormat="1" x14ac:dyDescent="0.55000000000000004">
      <c r="A1701" s="32">
        <v>44958</v>
      </c>
      <c r="B1701" s="33">
        <v>0.375</v>
      </c>
      <c r="C1701" s="10" t="s">
        <v>70</v>
      </c>
      <c r="D1701" s="10" t="s">
        <v>241</v>
      </c>
      <c r="E1701" s="10" t="s">
        <v>866</v>
      </c>
      <c r="F1701" s="10">
        <v>1</v>
      </c>
      <c r="G1701" s="10" t="s">
        <v>73</v>
      </c>
      <c r="H1701" s="10" t="s">
        <v>314</v>
      </c>
      <c r="I1701" s="10" t="s">
        <v>235</v>
      </c>
      <c r="J1701" s="10">
        <v>225</v>
      </c>
      <c r="K1701" s="12">
        <v>44958</v>
      </c>
      <c r="L1701" s="33">
        <v>0.6497222222222222</v>
      </c>
      <c r="M1701" s="10">
        <v>1</v>
      </c>
      <c r="N1701" s="10" t="s">
        <v>196</v>
      </c>
      <c r="O1701" s="10">
        <v>15.2</v>
      </c>
      <c r="P1701" s="10">
        <v>0.74099999999999999</v>
      </c>
      <c r="Q1701" s="10">
        <v>2600</v>
      </c>
      <c r="R1701" s="10" t="s">
        <v>170</v>
      </c>
      <c r="S1701" s="34">
        <f t="shared" si="189"/>
        <v>2741.9217439999993</v>
      </c>
      <c r="T1701" s="10" t="s">
        <v>1123</v>
      </c>
      <c r="U1701" s="34">
        <f t="shared" si="190"/>
        <v>108.28486975999996</v>
      </c>
      <c r="V1701" s="31">
        <f>IF(H1701="CHK",VLOOKUP(I1701,QCCHK,3,),IF(H1701="GUP",VLOOKUP(E1701,QCGUP,2,),IF(AND(H1701="ATP",OR(I1701="TN",I1701="TDN",I1701="TNO2-3",I1701="NO2-3")),VLOOKUP(E1701,QCREC_N,2,),IF(AND(H1701="NIC",OR(I1701="TN",I1701="TDN",I1701="TNO2-3",I1701="NO2-3")),VLOOKUP(E1701,QCNIC_N,2,),IF(AND(H1701="UREA",OR(I1701="TN",I1701="TDN",I1701="TNO2-3",I1701="NO2-3")),VLOOKUP(E1701,QCUREA_N,2,),IF(H1701="PER",VLOOKUP(I1701,QCPER,MATCH(E1701,QCACTUAL!$J$25:$AA$25,0),),IF(H1701="SPK",VLOOKUP(I1701,QCSPK,3,),IF(AND(H1701="ATP",OR(I1701="TP",I1701="TDP")),VLOOKUP(E1701,QCATP_P,2,),""))))))))</f>
        <v>2500</v>
      </c>
      <c r="W1701" s="31" t="str">
        <f t="shared" si="191"/>
        <v>TRUE</v>
      </c>
      <c r="X1701" s="31" t="str">
        <f t="shared" si="188"/>
        <v>([spikedunkn]-[unkn])/[spike]*100</v>
      </c>
      <c r="Y1701" s="10" t="s">
        <v>1116</v>
      </c>
      <c r="AF1701" s="12">
        <v>44958</v>
      </c>
      <c r="AJ1701" s="10">
        <f>0.9631*15.2^2+173.03*15.2-74.605</f>
        <v>2777.9656239999999</v>
      </c>
      <c r="AK1701" s="10">
        <f>-1.0839*15.2^2+204.73*15.2-119.55</f>
        <v>2741.9217439999993</v>
      </c>
      <c r="AL1701" s="10" t="str">
        <f t="shared" si="195"/>
        <v>FALSE</v>
      </c>
      <c r="AM1701" s="10" t="str">
        <f t="shared" si="195"/>
        <v>FALSE</v>
      </c>
      <c r="AN1701" s="10" t="str">
        <f t="shared" si="195"/>
        <v>FALSE</v>
      </c>
      <c r="AO1701" s="10" t="str">
        <f t="shared" si="196"/>
        <v>y=0.9631*15.2^2+173.03*15.2-74.605</v>
      </c>
      <c r="AP1701" s="10" t="str">
        <f t="shared" si="196"/>
        <v>y=-1.0839*15.2^2+204.73*15.2-119.55</v>
      </c>
      <c r="AQ1701" s="10" t="b">
        <f>IF(AND(I1701="TP",S1701&lt;=150),VLOOKUP(AF1701,TPCalibEq150!$AZ$2:$BB$55,3,),IF(AND(I1701="TDP",S1701&lt;=150),VLOOKUP(AF1701,TPCalibEq150!$AZ$2:$BB$55,3,)))</f>
        <v>0</v>
      </c>
      <c r="AR1701" s="10" t="b">
        <f>IF(AND(I1701="TP",S1701&lt;=300),VLOOKUP(AF1701,TPCalibEq300!$AZ$2:$BB$55,3,),IF(AND(I1701="TDP",S1701&lt;=300),VLOOKUP(AF1701,TPCalibEq300!$AZ$2:$BB$55,3,)))</f>
        <v>0</v>
      </c>
      <c r="AS1701" s="10" t="b">
        <f>IF(AND(I1701="TP",S1701&lt;=500),VLOOKUP(AF1701,TPCalibEq500!$AZ$2:$BB$56,3,),IF(AND(I1701="TDP",S1701&lt;=500),VLOOKUP(AF1701,TPCalibEq500!$AZ$2:$BB$56,3,)))</f>
        <v>0</v>
      </c>
      <c r="AT1701" s="10" t="str">
        <f>IF(AND(I1701="TN",S1701&lt;=2800),VLOOKUP(AF1701,TNCalibEq2500!$AZ$2:$BB$56,3,),IF(AND(I1701="TDN",S1701&lt;=2800),VLOOKUP(AF1701,TNCalibEq2500!$AZ$2:$BB$56,3,)))</f>
        <v>y=0.9631x2+173.03x-74.605</v>
      </c>
      <c r="AU1701" s="10" t="str">
        <f>IF(I1701="TP",VLOOKUP(AF1701,TPCalibEqFull!$AZ$2:$BB$56,3),IF(I1701="TDP",VLOOKUP(AF1701,TPCalibEqFull!$AZ$2:$BB$56,3),IF(I1701="TDN",VLOOKUP(AF1701,TNCalibEqFull!$AZ$1:$BB$56,3),IF(I1701="TN",VLOOKUP(AF1701,TNCalibEqFull!$AZ$1:$BB$56,3),FALSE))))</f>
        <v>y=-1.0839x2+204.73x-119.55</v>
      </c>
      <c r="AV1701" s="10" t="str">
        <f t="shared" si="192"/>
        <v>0201 09:00:00-QAC-BLK-A-1-DI-SPK</v>
      </c>
    </row>
    <row r="1702" spans="1:48" s="10" customFormat="1" x14ac:dyDescent="0.55000000000000004">
      <c r="A1702" s="32">
        <v>44958</v>
      </c>
      <c r="B1702" s="33">
        <v>0.375</v>
      </c>
      <c r="C1702" s="10" t="s">
        <v>70</v>
      </c>
      <c r="D1702" s="10" t="s">
        <v>71</v>
      </c>
      <c r="E1702" s="10" t="s">
        <v>948</v>
      </c>
      <c r="F1702" s="10">
        <v>1</v>
      </c>
      <c r="G1702" s="10" t="s">
        <v>73</v>
      </c>
      <c r="H1702" s="10" t="s">
        <v>299</v>
      </c>
      <c r="I1702" s="10" t="s">
        <v>235</v>
      </c>
      <c r="J1702" s="10">
        <v>197</v>
      </c>
      <c r="K1702" s="12">
        <v>44958</v>
      </c>
      <c r="L1702" s="33">
        <v>0.6504050925925926</v>
      </c>
      <c r="M1702" s="10">
        <v>1</v>
      </c>
      <c r="N1702" s="10" t="s">
        <v>196</v>
      </c>
      <c r="O1702" s="10">
        <v>10.6</v>
      </c>
      <c r="P1702" s="10">
        <v>0.51900000000000002</v>
      </c>
      <c r="Q1702" s="10">
        <v>1800</v>
      </c>
      <c r="R1702" s="10" t="s">
        <v>170</v>
      </c>
      <c r="S1702" s="34">
        <f t="shared" si="189"/>
        <v>1928.8009960000002</v>
      </c>
      <c r="T1702" s="10" t="s">
        <v>1123</v>
      </c>
      <c r="U1702" s="34">
        <f t="shared" si="190"/>
        <v>103.14443828877006</v>
      </c>
      <c r="V1702" s="31">
        <f>IF(H1702="CHK",VLOOKUP(I1702,QCCHK,3,),IF(H1702="GUP",VLOOKUP(E1702,QCGUP,2,),IF(AND(H1702="ATP",OR(I1702="TN",I1702="TDN",I1702="TNO2-3",I1702="NO2-3")),VLOOKUP(E1702,QCREC_N,2,),IF(AND(H1702="NIC",OR(I1702="TN",I1702="TDN",I1702="TNO2-3",I1702="NO2-3")),VLOOKUP(E1702,QCNIC_N,2,),IF(AND(H1702="UREA",OR(I1702="TN",I1702="TDN",I1702="TNO2-3",I1702="NO2-3")),VLOOKUP(E1702,QCUREA_N,2,),IF(H1702="PER",VLOOKUP(I1702,QCPER,MATCH(E1702,QCACTUAL!$J$25:$AA$25,0),),IF(H1702="SPK",VLOOKUP(I1702,QCSPK,3,),IF(AND(H1702="ATP",OR(I1702="TP",I1702="TDP")),VLOOKUP(E1702,QCATP_P,2,),""))))))))</f>
        <v>1870</v>
      </c>
      <c r="W1702" s="31" t="str">
        <f t="shared" si="191"/>
        <v>TRUE</v>
      </c>
      <c r="X1702" s="31" t="str">
        <f t="shared" si="188"/>
        <v>[per]/[actual]*100</v>
      </c>
      <c r="Y1702" s="10" t="s">
        <v>1116</v>
      </c>
      <c r="AF1702" s="12">
        <v>44958</v>
      </c>
      <c r="AJ1702" s="10">
        <f>0.9631*10.6^2+173.03*10.6-74.605</f>
        <v>1867.7269159999998</v>
      </c>
      <c r="AK1702" s="10">
        <f>-1.0839*10.6^2+204.73*10.6-119.55</f>
        <v>1928.8009960000002</v>
      </c>
      <c r="AL1702" s="10" t="str">
        <f t="shared" si="195"/>
        <v>FALSE</v>
      </c>
      <c r="AM1702" s="10" t="str">
        <f t="shared" si="195"/>
        <v>FALSE</v>
      </c>
      <c r="AN1702" s="10" t="str">
        <f t="shared" si="195"/>
        <v>FALSE</v>
      </c>
      <c r="AO1702" s="10" t="str">
        <f t="shared" si="196"/>
        <v>y=0.9631*10.6^2+173.03*10.6-74.605</v>
      </c>
      <c r="AP1702" s="10" t="str">
        <f t="shared" si="196"/>
        <v>y=-1.0839*10.6^2+204.73*10.6-119.55</v>
      </c>
      <c r="AQ1702" s="10" t="b">
        <f>IF(AND(I1702="TP",S1702&lt;=150),VLOOKUP(AF1702,TPCalibEq150!$AZ$2:$BB$55,3,),IF(AND(I1702="TDP",S1702&lt;=150),VLOOKUP(AF1702,TPCalibEq150!$AZ$2:$BB$55,3,)))</f>
        <v>0</v>
      </c>
      <c r="AR1702" s="10" t="b">
        <f>IF(AND(I1702="TP",S1702&lt;=300),VLOOKUP(AF1702,TPCalibEq300!$AZ$2:$BB$55,3,),IF(AND(I1702="TDP",S1702&lt;=300),VLOOKUP(AF1702,TPCalibEq300!$AZ$2:$BB$55,3,)))</f>
        <v>0</v>
      </c>
      <c r="AS1702" s="10" t="b">
        <f>IF(AND(I1702="TP",S1702&lt;=500),VLOOKUP(AF1702,TPCalibEq500!$AZ$2:$BB$56,3,),IF(AND(I1702="TDP",S1702&lt;=500),VLOOKUP(AF1702,TPCalibEq500!$AZ$2:$BB$56,3,)))</f>
        <v>0</v>
      </c>
      <c r="AT1702" s="10" t="str">
        <f>IF(AND(I1702="TN",S1702&lt;=2800),VLOOKUP(AF1702,TNCalibEq2500!$AZ$2:$BB$56,3,),IF(AND(I1702="TDN",S1702&lt;=2800),VLOOKUP(AF1702,TNCalibEq2500!$AZ$2:$BB$56,3,)))</f>
        <v>y=0.9631x2+173.03x-74.605</v>
      </c>
      <c r="AU1702" s="10" t="str">
        <f>IF(I1702="TP",VLOOKUP(AF1702,TPCalibEqFull!$AZ$2:$BB$56,3),IF(I1702="TDP",VLOOKUP(AF1702,TPCalibEqFull!$AZ$2:$BB$56,3),IF(I1702="TDN",VLOOKUP(AF1702,TNCalibEqFull!$AZ$1:$BB$56,3),IF(I1702="TN",VLOOKUP(AF1702,TNCalibEqFull!$AZ$1:$BB$56,3),FALSE))))</f>
        <v>y=-1.0839x2+204.73x-119.55</v>
      </c>
      <c r="AV1702" s="10" t="str">
        <f t="shared" si="192"/>
        <v>0201 09:00:00-QAC-STD-22A-1-DI-PER</v>
      </c>
    </row>
    <row r="1703" spans="1:48" s="10" customFormat="1" x14ac:dyDescent="0.55000000000000004">
      <c r="A1703" s="32">
        <v>44903</v>
      </c>
      <c r="B1703" s="33">
        <v>0.375</v>
      </c>
      <c r="C1703" s="10" t="s">
        <v>70</v>
      </c>
      <c r="D1703" s="10" t="s">
        <v>305</v>
      </c>
      <c r="E1703" s="10" t="s">
        <v>866</v>
      </c>
      <c r="F1703" s="10">
        <v>1</v>
      </c>
      <c r="G1703" s="10" t="s">
        <v>73</v>
      </c>
      <c r="H1703" s="10" t="s">
        <v>274</v>
      </c>
      <c r="I1703" s="10" t="s">
        <v>235</v>
      </c>
      <c r="J1703" s="10">
        <v>215</v>
      </c>
      <c r="K1703" s="12">
        <v>44958</v>
      </c>
      <c r="L1703" s="33">
        <v>0.65108796296296301</v>
      </c>
      <c r="M1703" s="10">
        <v>1</v>
      </c>
      <c r="N1703" s="10" t="s">
        <v>196</v>
      </c>
      <c r="O1703" s="10">
        <v>5.57</v>
      </c>
      <c r="P1703" s="10">
        <v>0.27600000000000002</v>
      </c>
      <c r="Q1703" s="10">
        <v>932</v>
      </c>
      <c r="R1703" s="10" t="s">
        <v>170</v>
      </c>
      <c r="S1703" s="34">
        <f t="shared" si="189"/>
        <v>987.16821088999995</v>
      </c>
      <c r="T1703" s="10" t="s">
        <v>1123</v>
      </c>
      <c r="U1703" s="34">
        <f t="shared" si="190"/>
        <v>98.716821088999993</v>
      </c>
      <c r="V1703" s="31">
        <f>IF(H1703="CHK",VLOOKUP(I1703,QCCHK,3,),IF(H1703="GUP",VLOOKUP(E1703,QCGUP,2,),IF(AND(H1703="ATP",OR(I1703="TN",I1703="TDN",I1703="TNO2-3",I1703="NO2-3")),VLOOKUP(E1703,QCREC_N,2,),IF(AND(H1703="NIC",OR(I1703="TN",I1703="TDN",I1703="TNO2-3",I1703="NO2-3")),VLOOKUP(E1703,QCNIC_N,2,),IF(AND(H1703="UREA",OR(I1703="TN",I1703="TDN",I1703="TNO2-3",I1703="NO2-3")),VLOOKUP(E1703,QCUREA_N,2,),IF(H1703="PER",VLOOKUP(I1703,QCPER,MATCH(E1703,QCACTUAL!$J$25:$AA$25,0),),IF(H1703="SPK",VLOOKUP(I1703,QCSPK,3,),IF(AND(H1703="ATP",OR(I1703="TP",I1703="TDP")),VLOOKUP(E1703,QCATP_P,2,),""))))))))</f>
        <v>1000</v>
      </c>
      <c r="W1703" s="31" t="str">
        <f t="shared" si="191"/>
        <v>TRUE</v>
      </c>
      <c r="X1703" s="31" t="str">
        <f t="shared" si="188"/>
        <v>[rec]/[actual]*100</v>
      </c>
      <c r="Y1703" s="10" t="s">
        <v>1116</v>
      </c>
      <c r="AF1703" s="12">
        <v>44958</v>
      </c>
      <c r="AJ1703" s="10">
        <f>0.9631*5.57^2+173.03*5.57-74.605</f>
        <v>919.05218119000006</v>
      </c>
      <c r="AK1703" s="10">
        <f>-1.0839*5.57^2+204.73*5.57-119.55</f>
        <v>987.16821088999995</v>
      </c>
      <c r="AL1703" s="10" t="str">
        <f t="shared" si="195"/>
        <v>FALSE</v>
      </c>
      <c r="AM1703" s="10" t="str">
        <f t="shared" si="195"/>
        <v>FALSE</v>
      </c>
      <c r="AN1703" s="10" t="str">
        <f t="shared" si="195"/>
        <v>FALSE</v>
      </c>
      <c r="AO1703" s="10" t="str">
        <f t="shared" si="196"/>
        <v>y=0.9631*5.57^2+173.03*5.57-74.605</v>
      </c>
      <c r="AP1703" s="10" t="str">
        <f t="shared" si="196"/>
        <v>y=-1.0839*5.57^2+204.73*5.57-119.55</v>
      </c>
      <c r="AQ1703" s="10" t="b">
        <f>IF(AND(I1703="TP",S1703&lt;=150),VLOOKUP(AF1703,TPCalibEq150!$AZ$2:$BB$55,3,),IF(AND(I1703="TDP",S1703&lt;=150),VLOOKUP(AF1703,TPCalibEq150!$AZ$2:$BB$55,3,)))</f>
        <v>0</v>
      </c>
      <c r="AR1703" s="10" t="b">
        <f>IF(AND(I1703="TP",S1703&lt;=300),VLOOKUP(AF1703,TPCalibEq300!$AZ$2:$BB$55,3,),IF(AND(I1703="TDP",S1703&lt;=300),VLOOKUP(AF1703,TPCalibEq300!$AZ$2:$BB$55,3,)))</f>
        <v>0</v>
      </c>
      <c r="AS1703" s="10" t="b">
        <f>IF(AND(I1703="TP",S1703&lt;=500),VLOOKUP(AF1703,TPCalibEq500!$AZ$2:$BB$56,3,),IF(AND(I1703="TDP",S1703&lt;=500),VLOOKUP(AF1703,TPCalibEq500!$AZ$2:$BB$56,3,)))</f>
        <v>0</v>
      </c>
      <c r="AT1703" s="10" t="str">
        <f>IF(AND(I1703="TN",S1703&lt;=2800),VLOOKUP(AF1703,TNCalibEq2500!$AZ$2:$BB$56,3,),IF(AND(I1703="TDN",S1703&lt;=2800),VLOOKUP(AF1703,TNCalibEq2500!$AZ$2:$BB$56,3,)))</f>
        <v>y=0.9631x2+173.03x-74.605</v>
      </c>
      <c r="AU1703" s="10" t="str">
        <f>IF(I1703="TP",VLOOKUP(AF1703,TPCalibEqFull!$AZ$2:$BB$56,3),IF(I1703="TDP",VLOOKUP(AF1703,TPCalibEqFull!$AZ$2:$BB$56,3),IF(I1703="TDN",VLOOKUP(AF1703,TNCalibEqFull!$AZ$1:$BB$56,3),IF(I1703="TN",VLOOKUP(AF1703,TNCalibEqFull!$AZ$1:$BB$56,3),FALSE))))</f>
        <v>y=-1.0839x2+204.73x-119.55</v>
      </c>
      <c r="AV1703" s="10" t="str">
        <f t="shared" si="192"/>
        <v>1208 09:00:00-QAC-REC-A-1-DI-GUP</v>
      </c>
    </row>
    <row r="1704" spans="1:48" s="10" customFormat="1" x14ac:dyDescent="0.55000000000000004">
      <c r="A1704" s="32">
        <v>44958</v>
      </c>
      <c r="B1704" s="33">
        <v>0.375</v>
      </c>
      <c r="C1704" s="10" t="s">
        <v>70</v>
      </c>
      <c r="D1704" s="10" t="s">
        <v>305</v>
      </c>
      <c r="E1704" s="10" t="s">
        <v>866</v>
      </c>
      <c r="F1704" s="10">
        <v>1</v>
      </c>
      <c r="G1704" s="10" t="s">
        <v>73</v>
      </c>
      <c r="H1704" s="10" t="s">
        <v>274</v>
      </c>
      <c r="I1704" s="10" t="s">
        <v>235</v>
      </c>
      <c r="J1704" s="10">
        <v>204</v>
      </c>
      <c r="K1704" s="12">
        <v>44958</v>
      </c>
      <c r="L1704" s="33">
        <v>0.6517708333333333</v>
      </c>
      <c r="M1704" s="10">
        <v>1</v>
      </c>
      <c r="N1704" s="10" t="s">
        <v>196</v>
      </c>
      <c r="O1704" s="10">
        <v>6.46</v>
      </c>
      <c r="P1704" s="10">
        <v>0.318</v>
      </c>
      <c r="Q1704" s="10">
        <v>1090</v>
      </c>
      <c r="R1704" s="10" t="s">
        <v>170</v>
      </c>
      <c r="S1704" s="34">
        <f t="shared" si="189"/>
        <v>1157.7729187599998</v>
      </c>
      <c r="T1704" s="10" t="s">
        <v>1123</v>
      </c>
      <c r="U1704" s="34">
        <f t="shared" si="190"/>
        <v>115.77729187599999</v>
      </c>
      <c r="V1704" s="31">
        <f>IF(H1704="CHK",VLOOKUP(I1704,QCCHK,3,),IF(H1704="GUP",VLOOKUP(E1704,QCGUP,2,),IF(AND(H1704="ATP",OR(I1704="TN",I1704="TDN",I1704="TNO2-3",I1704="NO2-3")),VLOOKUP(E1704,QCREC_N,2,),IF(AND(H1704="NIC",OR(I1704="TN",I1704="TDN",I1704="TNO2-3",I1704="NO2-3")),VLOOKUP(E1704,QCNIC_N,2,),IF(AND(H1704="UREA",OR(I1704="TN",I1704="TDN",I1704="TNO2-3",I1704="NO2-3")),VLOOKUP(E1704,QCUREA_N,2,),IF(H1704="PER",VLOOKUP(I1704,QCPER,MATCH(E1704,QCACTUAL!$J$25:$AA$25,0),),IF(H1704="SPK",VLOOKUP(I1704,QCSPK,3,),IF(AND(H1704="ATP",OR(I1704="TP",I1704="TDP")),VLOOKUP(E1704,QCATP_P,2,),""))))))))</f>
        <v>1000</v>
      </c>
      <c r="W1704" s="31" t="str">
        <f t="shared" si="191"/>
        <v>TRUE</v>
      </c>
      <c r="X1704" s="31" t="str">
        <f t="shared" si="188"/>
        <v>[rec]/[actual]*100</v>
      </c>
      <c r="Y1704" s="10" t="s">
        <v>1116</v>
      </c>
      <c r="AF1704" s="12">
        <v>44958</v>
      </c>
      <c r="AJ1704" s="10">
        <f>0.9631*6.46^2+173.03*6.46-74.605</f>
        <v>1083.36050396</v>
      </c>
      <c r="AK1704" s="10">
        <f>-1.0839*6.46^2+204.73*6.46-119.55</f>
        <v>1157.7729187599998</v>
      </c>
      <c r="AL1704" s="10" t="str">
        <f t="shared" si="195"/>
        <v>FALSE</v>
      </c>
      <c r="AM1704" s="10" t="str">
        <f t="shared" si="195"/>
        <v>FALSE</v>
      </c>
      <c r="AN1704" s="10" t="str">
        <f t="shared" si="195"/>
        <v>FALSE</v>
      </c>
      <c r="AO1704" s="10" t="str">
        <f t="shared" si="196"/>
        <v>y=0.9631*6.46^2+173.03*6.46-74.605</v>
      </c>
      <c r="AP1704" s="10" t="str">
        <f t="shared" si="196"/>
        <v>y=-1.0839*6.46^2+204.73*6.46-119.55</v>
      </c>
      <c r="AQ1704" s="10" t="b">
        <f>IF(AND(I1704="TP",S1704&lt;=150),VLOOKUP(AF1704,TPCalibEq150!$AZ$2:$BB$55,3,),IF(AND(I1704="TDP",S1704&lt;=150),VLOOKUP(AF1704,TPCalibEq150!$AZ$2:$BB$55,3,)))</f>
        <v>0</v>
      </c>
      <c r="AR1704" s="10" t="b">
        <f>IF(AND(I1704="TP",S1704&lt;=300),VLOOKUP(AF1704,TPCalibEq300!$AZ$2:$BB$55,3,),IF(AND(I1704="TDP",S1704&lt;=300),VLOOKUP(AF1704,TPCalibEq300!$AZ$2:$BB$55,3,)))</f>
        <v>0</v>
      </c>
      <c r="AS1704" s="10" t="b">
        <f>IF(AND(I1704="TP",S1704&lt;=500),VLOOKUP(AF1704,TPCalibEq500!$AZ$2:$BB$56,3,),IF(AND(I1704="TDP",S1704&lt;=500),VLOOKUP(AF1704,TPCalibEq500!$AZ$2:$BB$56,3,)))</f>
        <v>0</v>
      </c>
      <c r="AT1704" s="10" t="str">
        <f>IF(AND(I1704="TN",S1704&lt;=2800),VLOOKUP(AF1704,TNCalibEq2500!$AZ$2:$BB$56,3,),IF(AND(I1704="TDN",S1704&lt;=2800),VLOOKUP(AF1704,TNCalibEq2500!$AZ$2:$BB$56,3,)))</f>
        <v>y=0.9631x2+173.03x-74.605</v>
      </c>
      <c r="AU1704" s="10" t="str">
        <f>IF(I1704="TP",VLOOKUP(AF1704,TPCalibEqFull!$AZ$2:$BB$56,3),IF(I1704="TDP",VLOOKUP(AF1704,TPCalibEqFull!$AZ$2:$BB$56,3),IF(I1704="TDN",VLOOKUP(AF1704,TNCalibEqFull!$AZ$1:$BB$56,3),IF(I1704="TN",VLOOKUP(AF1704,TNCalibEqFull!$AZ$1:$BB$56,3),FALSE))))</f>
        <v>y=-1.0839x2+204.73x-119.55</v>
      </c>
      <c r="AV1704" s="10" t="str">
        <f t="shared" si="192"/>
        <v>0201 09:00:00-QAC-REC-A-1-DI-GUP</v>
      </c>
    </row>
    <row r="1705" spans="1:48" s="10" customFormat="1" x14ac:dyDescent="0.55000000000000004">
      <c r="A1705" s="32">
        <v>44958</v>
      </c>
      <c r="B1705" s="33">
        <v>0.375</v>
      </c>
      <c r="C1705" s="10" t="s">
        <v>70</v>
      </c>
      <c r="D1705" s="10" t="s">
        <v>305</v>
      </c>
      <c r="E1705" s="10" t="s">
        <v>583</v>
      </c>
      <c r="F1705" s="10">
        <v>1</v>
      </c>
      <c r="G1705" s="10" t="s">
        <v>73</v>
      </c>
      <c r="H1705" s="10" t="s">
        <v>274</v>
      </c>
      <c r="I1705" s="10" t="s">
        <v>235</v>
      </c>
      <c r="J1705" s="10">
        <v>205</v>
      </c>
      <c r="K1705" s="12">
        <v>44958</v>
      </c>
      <c r="L1705" s="33">
        <v>0.65244212962962966</v>
      </c>
      <c r="M1705" s="10">
        <v>1</v>
      </c>
      <c r="N1705" s="10" t="s">
        <v>196</v>
      </c>
      <c r="O1705" s="10">
        <v>1.57</v>
      </c>
      <c r="P1705" s="10">
        <v>7.7600000000000002E-2</v>
      </c>
      <c r="Q1705" s="10">
        <v>235</v>
      </c>
      <c r="R1705" s="10" t="s">
        <v>170</v>
      </c>
      <c r="S1705" s="34">
        <f t="shared" si="189"/>
        <v>235</v>
      </c>
      <c r="T1705" s="10" t="s">
        <v>1123</v>
      </c>
      <c r="U1705" s="34">
        <f t="shared" si="190"/>
        <v>117.5</v>
      </c>
      <c r="V1705" s="31">
        <f>IF(H1705="CHK",VLOOKUP(I1705,QCCHK,3,),IF(H1705="GUP",VLOOKUP(E1705,QCGUP,2,),IF(AND(H1705="ATP",OR(I1705="TN",I1705="TDN",I1705="TNO2-3",I1705="NO2-3")),VLOOKUP(E1705,QCREC_N,2,),IF(AND(H1705="NIC",OR(I1705="TN",I1705="TDN",I1705="TNO2-3",I1705="NO2-3")),VLOOKUP(E1705,QCNIC_N,2,),IF(AND(H1705="UREA",OR(I1705="TN",I1705="TDN",I1705="TNO2-3",I1705="NO2-3")),VLOOKUP(E1705,QCUREA_N,2,),IF(H1705="PER",VLOOKUP(I1705,QCPER,MATCH(E1705,QCACTUAL!$J$25:$AA$25,0),),IF(H1705="SPK",VLOOKUP(I1705,QCSPK,3,),IF(AND(H1705="ATP",OR(I1705="TP",I1705="TDP")),VLOOKUP(E1705,QCATP_P,2,),""))))))))</f>
        <v>200</v>
      </c>
      <c r="W1705" s="31" t="str">
        <f t="shared" si="191"/>
        <v>TRUE</v>
      </c>
      <c r="X1705" s="31" t="str">
        <f t="shared" si="188"/>
        <v>[rec]/[actual]*100</v>
      </c>
      <c r="Y1705" s="10" t="s">
        <v>1116</v>
      </c>
      <c r="AF1705" s="12">
        <v>44958</v>
      </c>
      <c r="AJ1705" s="10">
        <f>0.9631*1.57^2+173.03*1.57-74.605</f>
        <v>199.42604518999997</v>
      </c>
      <c r="AK1705" s="10">
        <f>-1.0839*1.57^2+204.73*1.57-119.55</f>
        <v>199.20439489</v>
      </c>
      <c r="AL1705" s="10" t="str">
        <f t="shared" si="195"/>
        <v>FALSE</v>
      </c>
      <c r="AM1705" s="10" t="str">
        <f t="shared" si="195"/>
        <v>FALSE</v>
      </c>
      <c r="AN1705" s="10" t="str">
        <f t="shared" si="195"/>
        <v>FALSE</v>
      </c>
      <c r="AO1705" s="10" t="str">
        <f t="shared" si="196"/>
        <v>y=0.9631*1.57^2+173.03*1.57-74.605</v>
      </c>
      <c r="AP1705" s="10" t="str">
        <f t="shared" si="196"/>
        <v>y=-1.0839*1.57^2+204.73*1.57-119.55</v>
      </c>
      <c r="AQ1705" s="10" t="b">
        <f>IF(AND(I1705="TP",S1705&lt;=150),VLOOKUP(AF1705,TPCalibEq150!$AZ$2:$BB$55,3,),IF(AND(I1705="TDP",S1705&lt;=150),VLOOKUP(AF1705,TPCalibEq150!$AZ$2:$BB$55,3,)))</f>
        <v>0</v>
      </c>
      <c r="AR1705" s="10" t="b">
        <f>IF(AND(I1705="TP",S1705&lt;=300),VLOOKUP(AF1705,TPCalibEq300!$AZ$2:$BB$55,3,),IF(AND(I1705="TDP",S1705&lt;=300),VLOOKUP(AF1705,TPCalibEq300!$AZ$2:$BB$55,3,)))</f>
        <v>0</v>
      </c>
      <c r="AS1705" s="10" t="b">
        <f>IF(AND(I1705="TP",S1705&lt;=500),VLOOKUP(AF1705,TPCalibEq500!$AZ$2:$BB$56,3,),IF(AND(I1705="TDP",S1705&lt;=500),VLOOKUP(AF1705,TPCalibEq500!$AZ$2:$BB$56,3,)))</f>
        <v>0</v>
      </c>
      <c r="AT1705" s="10" t="str">
        <f>IF(AND(I1705="TN",S1705&lt;=2800),VLOOKUP(AF1705,TNCalibEq2500!$AZ$2:$BB$56,3,),IF(AND(I1705="TDN",S1705&lt;=2800),VLOOKUP(AF1705,TNCalibEq2500!$AZ$2:$BB$56,3,)))</f>
        <v>y=0.9631x2+173.03x-74.605</v>
      </c>
      <c r="AU1705" s="10" t="str">
        <f>IF(I1705="TP",VLOOKUP(AF1705,TPCalibEqFull!$AZ$2:$BB$56,3),IF(I1705="TDP",VLOOKUP(AF1705,TPCalibEqFull!$AZ$2:$BB$56,3),IF(I1705="TDN",VLOOKUP(AF1705,TNCalibEqFull!$AZ$1:$BB$56,3),IF(I1705="TN",VLOOKUP(AF1705,TNCalibEqFull!$AZ$1:$BB$56,3),FALSE))))</f>
        <v>y=-1.0839x2+204.73x-119.55</v>
      </c>
      <c r="AV1705" s="10" t="str">
        <f t="shared" si="192"/>
        <v>0201 09:00:00-QAC-REC-B-1-DI-GUP</v>
      </c>
    </row>
    <row r="1706" spans="1:48" s="10" customFormat="1" x14ac:dyDescent="0.55000000000000004">
      <c r="A1706" s="32">
        <v>44958</v>
      </c>
      <c r="B1706" s="33">
        <v>0.375</v>
      </c>
      <c r="C1706" s="10" t="s">
        <v>70</v>
      </c>
      <c r="D1706" s="10" t="s">
        <v>305</v>
      </c>
      <c r="E1706" s="10" t="s">
        <v>190</v>
      </c>
      <c r="F1706" s="10">
        <v>1</v>
      </c>
      <c r="G1706" s="10" t="s">
        <v>73</v>
      </c>
      <c r="H1706" s="10" t="s">
        <v>274</v>
      </c>
      <c r="I1706" s="10" t="s">
        <v>235</v>
      </c>
      <c r="J1706" s="10">
        <v>206</v>
      </c>
      <c r="K1706" s="12">
        <v>44958</v>
      </c>
      <c r="L1706" s="33">
        <v>0.65312500000000007</v>
      </c>
      <c r="M1706" s="10">
        <v>1</v>
      </c>
      <c r="N1706" s="10" t="s">
        <v>196</v>
      </c>
      <c r="O1706" s="10">
        <v>1.03</v>
      </c>
      <c r="P1706" s="10">
        <v>5.0299999999999997E-2</v>
      </c>
      <c r="Q1706" s="10">
        <v>140</v>
      </c>
      <c r="R1706" s="10" t="s">
        <v>170</v>
      </c>
      <c r="S1706" s="34">
        <f t="shared" si="189"/>
        <v>140</v>
      </c>
      <c r="T1706" s="10" t="s">
        <v>1123</v>
      </c>
      <c r="U1706" s="34">
        <f t="shared" si="190"/>
        <v>140</v>
      </c>
      <c r="V1706" s="31">
        <f>IF(H1706="CHK",VLOOKUP(I1706,QCCHK,3,),IF(H1706="GUP",VLOOKUP(E1706,QCGUP,2,),IF(AND(H1706="ATP",OR(I1706="TN",I1706="TDN",I1706="TNO2-3",I1706="NO2-3")),VLOOKUP(E1706,QCREC_N,2,),IF(AND(H1706="NIC",OR(I1706="TN",I1706="TDN",I1706="TNO2-3",I1706="NO2-3")),VLOOKUP(E1706,QCNIC_N,2,),IF(AND(H1706="UREA",OR(I1706="TN",I1706="TDN",I1706="TNO2-3",I1706="NO2-3")),VLOOKUP(E1706,QCUREA_N,2,),IF(H1706="PER",VLOOKUP(I1706,QCPER,MATCH(E1706,QCACTUAL!$J$25:$AA$25,0),),IF(H1706="SPK",VLOOKUP(I1706,QCSPK,3,),IF(AND(H1706="ATP",OR(I1706="TP",I1706="TDP")),VLOOKUP(E1706,QCATP_P,2,),""))))))))</f>
        <v>100</v>
      </c>
      <c r="W1706" s="31" t="str">
        <f t="shared" si="191"/>
        <v>FALSE</v>
      </c>
      <c r="X1706" s="31" t="str">
        <f t="shared" si="188"/>
        <v>[rec]/[actual]*100</v>
      </c>
      <c r="Y1706" s="10" t="s">
        <v>1116</v>
      </c>
      <c r="AF1706" s="12">
        <v>44958</v>
      </c>
      <c r="AJ1706" s="10">
        <f>0.9631*1.03^2+173.03*1.03-74.605</f>
        <v>104.63765278999999</v>
      </c>
      <c r="AK1706" s="10">
        <f>-1.0839*1.03^2+204.73*1.03-119.55</f>
        <v>90.171990489999999</v>
      </c>
      <c r="AL1706" s="10" t="str">
        <f t="shared" si="195"/>
        <v>FALSE</v>
      </c>
      <c r="AM1706" s="10" t="str">
        <f t="shared" si="195"/>
        <v>FALSE</v>
      </c>
      <c r="AN1706" s="10" t="str">
        <f t="shared" si="195"/>
        <v>FALSE</v>
      </c>
      <c r="AO1706" s="10" t="str">
        <f t="shared" si="196"/>
        <v>y=0.9631*1.03^2+173.03*1.03-74.605</v>
      </c>
      <c r="AP1706" s="10" t="str">
        <f t="shared" si="196"/>
        <v>y=-1.0839*1.03^2+204.73*1.03-119.55</v>
      </c>
      <c r="AQ1706" s="10" t="b">
        <f>IF(AND(I1706="TP",S1706&lt;=150),VLOOKUP(AF1706,TPCalibEq150!$AZ$2:$BB$55,3,),IF(AND(I1706="TDP",S1706&lt;=150),VLOOKUP(AF1706,TPCalibEq150!$AZ$2:$BB$55,3,)))</f>
        <v>0</v>
      </c>
      <c r="AR1706" s="10" t="b">
        <f>IF(AND(I1706="TP",S1706&lt;=300),VLOOKUP(AF1706,TPCalibEq300!$AZ$2:$BB$55,3,),IF(AND(I1706="TDP",S1706&lt;=300),VLOOKUP(AF1706,TPCalibEq300!$AZ$2:$BB$55,3,)))</f>
        <v>0</v>
      </c>
      <c r="AS1706" s="10" t="b">
        <f>IF(AND(I1706="TP",S1706&lt;=500),VLOOKUP(AF1706,TPCalibEq500!$AZ$2:$BB$56,3,),IF(AND(I1706="TDP",S1706&lt;=500),VLOOKUP(AF1706,TPCalibEq500!$AZ$2:$BB$56,3,)))</f>
        <v>0</v>
      </c>
      <c r="AT1706" s="10" t="str">
        <f>IF(AND(I1706="TN",S1706&lt;=2800),VLOOKUP(AF1706,TNCalibEq2500!$AZ$2:$BB$56,3,),IF(AND(I1706="TDN",S1706&lt;=2800),VLOOKUP(AF1706,TNCalibEq2500!$AZ$2:$BB$56,3,)))</f>
        <v>y=0.9631x2+173.03x-74.605</v>
      </c>
      <c r="AU1706" s="10" t="str">
        <f>IF(I1706="TP",VLOOKUP(AF1706,TPCalibEqFull!$AZ$2:$BB$56,3),IF(I1706="TDP",VLOOKUP(AF1706,TPCalibEqFull!$AZ$2:$BB$56,3),IF(I1706="TDN",VLOOKUP(AF1706,TNCalibEqFull!$AZ$1:$BB$56,3),IF(I1706="TN",VLOOKUP(AF1706,TNCalibEqFull!$AZ$1:$BB$56,3),FALSE))))</f>
        <v>y=-1.0839x2+204.73x-119.55</v>
      </c>
      <c r="AV1706" s="10" t="str">
        <f t="shared" si="192"/>
        <v>0201 09:00:00-QAC-REC-C-1-DI-GUP</v>
      </c>
    </row>
    <row r="1707" spans="1:48" s="10" customFormat="1" x14ac:dyDescent="0.55000000000000004">
      <c r="A1707" s="32">
        <v>44958</v>
      </c>
      <c r="B1707" s="33">
        <v>0.375</v>
      </c>
      <c r="C1707" s="10" t="s">
        <v>70</v>
      </c>
      <c r="D1707" s="10" t="s">
        <v>305</v>
      </c>
      <c r="E1707" s="10" t="s">
        <v>866</v>
      </c>
      <c r="F1707" s="10">
        <v>1</v>
      </c>
      <c r="G1707" s="10" t="s">
        <v>73</v>
      </c>
      <c r="H1707" s="10" t="s">
        <v>181</v>
      </c>
      <c r="I1707" s="10" t="s">
        <v>235</v>
      </c>
      <c r="J1707" s="10">
        <v>207</v>
      </c>
      <c r="K1707" s="12">
        <v>44958</v>
      </c>
      <c r="L1707" s="33">
        <v>0.65380787037037036</v>
      </c>
      <c r="M1707" s="10">
        <v>1</v>
      </c>
      <c r="N1707" s="10" t="s">
        <v>196</v>
      </c>
      <c r="O1707" s="10">
        <v>4.7699999999999996</v>
      </c>
      <c r="P1707" s="10">
        <v>0.23400000000000001</v>
      </c>
      <c r="Q1707" s="10">
        <v>791</v>
      </c>
      <c r="R1707" s="10" t="s">
        <v>170</v>
      </c>
      <c r="S1707" s="34">
        <f t="shared" si="189"/>
        <v>832.35023168999987</v>
      </c>
      <c r="T1707" s="10" t="s">
        <v>1123</v>
      </c>
      <c r="U1707" s="34">
        <f t="shared" si="190"/>
        <v>83.235023168999987</v>
      </c>
      <c r="V1707" s="31">
        <f>IF(H1707="CHK",VLOOKUP(I1707,QCCHK,3,),IF(H1707="GUP",VLOOKUP(E1707,QCGUP,2,),IF(AND(H1707="ATP",OR(I1707="TN",I1707="TDN",I1707="TNO2-3",I1707="NO2-3")),VLOOKUP(E1707,QCREC_N,2,),IF(AND(H1707="NIC",OR(I1707="TN",I1707="TDN",I1707="TNO2-3",I1707="NO2-3")),VLOOKUP(E1707,QCNIC_N,2,),IF(AND(H1707="UREA",OR(I1707="TN",I1707="TDN",I1707="TNO2-3",I1707="NO2-3")),VLOOKUP(E1707,QCUREA_N,2,),IF(H1707="PER",VLOOKUP(I1707,QCPER,MATCH(E1707,QCACTUAL!$J$25:$AA$25,0),),IF(H1707="SPK",VLOOKUP(I1707,QCSPK,3,),IF(AND(H1707="ATP",OR(I1707="TP",I1707="TDP")),VLOOKUP(E1707,QCATP_P,2,),""))))))))</f>
        <v>1000</v>
      </c>
      <c r="W1707" s="31" t="str">
        <f t="shared" si="191"/>
        <v>TRUE</v>
      </c>
      <c r="X1707" s="31" t="str">
        <f t="shared" si="188"/>
        <v>[rec]/[actual]*100</v>
      </c>
      <c r="Y1707" s="10" t="s">
        <v>1116</v>
      </c>
      <c r="AF1707" s="12">
        <v>44958</v>
      </c>
      <c r="AJ1707" s="10">
        <f>0.9631*4.77^2+173.03*4.77-74.605</f>
        <v>772.6614179899999</v>
      </c>
      <c r="AK1707" s="10">
        <f>-1.0839*4.77^2+204.73*4.77-119.55</f>
        <v>832.35023168999987</v>
      </c>
      <c r="AL1707" s="10" t="str">
        <f t="shared" si="195"/>
        <v>FALSE</v>
      </c>
      <c r="AM1707" s="10" t="str">
        <f t="shared" si="195"/>
        <v>FALSE</v>
      </c>
      <c r="AN1707" s="10" t="str">
        <f t="shared" si="195"/>
        <v>FALSE</v>
      </c>
      <c r="AO1707" s="10" t="str">
        <f t="shared" si="196"/>
        <v>y=0.9631*4.77^2+173.03*4.77-74.605</v>
      </c>
      <c r="AP1707" s="10" t="str">
        <f t="shared" si="196"/>
        <v>y=-1.0839*4.77^2+204.73*4.77-119.55</v>
      </c>
      <c r="AQ1707" s="10" t="b">
        <f>IF(AND(I1707="TP",S1707&lt;=150),VLOOKUP(AF1707,TPCalibEq150!$AZ$2:$BB$55,3,),IF(AND(I1707="TDP",S1707&lt;=150),VLOOKUP(AF1707,TPCalibEq150!$AZ$2:$BB$55,3,)))</f>
        <v>0</v>
      </c>
      <c r="AR1707" s="10" t="b">
        <f>IF(AND(I1707="TP",S1707&lt;=300),VLOOKUP(AF1707,TPCalibEq300!$AZ$2:$BB$55,3,),IF(AND(I1707="TDP",S1707&lt;=300),VLOOKUP(AF1707,TPCalibEq300!$AZ$2:$BB$55,3,)))</f>
        <v>0</v>
      </c>
      <c r="AS1707" s="10" t="b">
        <f>IF(AND(I1707="TP",S1707&lt;=500),VLOOKUP(AF1707,TPCalibEq500!$AZ$2:$BB$56,3,),IF(AND(I1707="TDP",S1707&lt;=500),VLOOKUP(AF1707,TPCalibEq500!$AZ$2:$BB$56,3,)))</f>
        <v>0</v>
      </c>
      <c r="AT1707" s="10" t="str">
        <f>IF(AND(I1707="TN",S1707&lt;=2800),VLOOKUP(AF1707,TNCalibEq2500!$AZ$2:$BB$56,3,),IF(AND(I1707="TDN",S1707&lt;=2800),VLOOKUP(AF1707,TNCalibEq2500!$AZ$2:$BB$56,3,)))</f>
        <v>y=0.9631x2+173.03x-74.605</v>
      </c>
      <c r="AU1707" s="10" t="str">
        <f>IF(I1707="TP",VLOOKUP(AF1707,TPCalibEqFull!$AZ$2:$BB$56,3),IF(I1707="TDP",VLOOKUP(AF1707,TPCalibEqFull!$AZ$2:$BB$56,3),IF(I1707="TDN",VLOOKUP(AF1707,TNCalibEqFull!$AZ$1:$BB$56,3),IF(I1707="TN",VLOOKUP(AF1707,TNCalibEqFull!$AZ$1:$BB$56,3),FALSE))))</f>
        <v>y=-1.0839x2+204.73x-119.55</v>
      </c>
      <c r="AV1707" s="10" t="str">
        <f t="shared" si="192"/>
        <v>0201 09:00:00-QAC-REC-A-1-DI-ATP</v>
      </c>
    </row>
    <row r="1708" spans="1:48" s="10" customFormat="1" x14ac:dyDescent="0.55000000000000004">
      <c r="A1708" s="32">
        <v>44958</v>
      </c>
      <c r="B1708" s="33">
        <v>0.375</v>
      </c>
      <c r="C1708" s="10" t="s">
        <v>70</v>
      </c>
      <c r="D1708" s="10" t="s">
        <v>305</v>
      </c>
      <c r="E1708" s="10" t="s">
        <v>583</v>
      </c>
      <c r="F1708" s="10">
        <v>1</v>
      </c>
      <c r="G1708" s="10" t="s">
        <v>73</v>
      </c>
      <c r="H1708" s="10" t="s">
        <v>181</v>
      </c>
      <c r="I1708" s="10" t="s">
        <v>235</v>
      </c>
      <c r="J1708" s="10">
        <v>208</v>
      </c>
      <c r="K1708" s="12">
        <v>44958</v>
      </c>
      <c r="L1708" s="33">
        <v>0.65447916666666661</v>
      </c>
      <c r="M1708" s="10">
        <v>1</v>
      </c>
      <c r="N1708" s="10" t="s">
        <v>196</v>
      </c>
      <c r="O1708" s="10">
        <v>1.44</v>
      </c>
      <c r="P1708" s="10">
        <v>7.0900000000000005E-2</v>
      </c>
      <c r="Q1708" s="10">
        <v>211</v>
      </c>
      <c r="R1708" s="10" t="s">
        <v>170</v>
      </c>
      <c r="S1708" s="34">
        <f t="shared" si="189"/>
        <v>211</v>
      </c>
      <c r="T1708" s="10" t="s">
        <v>1123</v>
      </c>
      <c r="U1708" s="34">
        <f t="shared" si="190"/>
        <v>105.5</v>
      </c>
      <c r="V1708" s="31">
        <f>IF(H1708="CHK",VLOOKUP(I1708,QCCHK,3,),IF(H1708="GUP",VLOOKUP(E1708,QCGUP,2,),IF(AND(H1708="ATP",OR(I1708="TN",I1708="TDN",I1708="TNO2-3",I1708="NO2-3")),VLOOKUP(E1708,QCREC_N,2,),IF(AND(H1708="NIC",OR(I1708="TN",I1708="TDN",I1708="TNO2-3",I1708="NO2-3")),VLOOKUP(E1708,QCNIC_N,2,),IF(AND(H1708="UREA",OR(I1708="TN",I1708="TDN",I1708="TNO2-3",I1708="NO2-3")),VLOOKUP(E1708,QCUREA_N,2,),IF(H1708="PER",VLOOKUP(I1708,QCPER,MATCH(E1708,QCACTUAL!$J$25:$AA$25,0),),IF(H1708="SPK",VLOOKUP(I1708,QCSPK,3,),IF(AND(H1708="ATP",OR(I1708="TP",I1708="TDP")),VLOOKUP(E1708,QCATP_P,2,),""))))))))</f>
        <v>200</v>
      </c>
      <c r="W1708" s="31" t="str">
        <f t="shared" si="191"/>
        <v>TRUE</v>
      </c>
      <c r="X1708" s="31" t="str">
        <f t="shared" si="188"/>
        <v>[rec]/[actual]*100</v>
      </c>
      <c r="Y1708" s="10" t="s">
        <v>1116</v>
      </c>
      <c r="AF1708" s="12">
        <v>44958</v>
      </c>
      <c r="AJ1708" s="10">
        <f>0.9631*1.44^2+173.03*1.44-74.605</f>
        <v>176.55528415999999</v>
      </c>
      <c r="AK1708" s="10">
        <f>-1.0839*1.44^2+204.73*1.44-119.55</f>
        <v>173.01362495999996</v>
      </c>
      <c r="AL1708" s="10" t="str">
        <f t="shared" si="195"/>
        <v>FALSE</v>
      </c>
      <c r="AM1708" s="10" t="str">
        <f t="shared" si="195"/>
        <v>FALSE</v>
      </c>
      <c r="AN1708" s="10" t="str">
        <f t="shared" si="195"/>
        <v>FALSE</v>
      </c>
      <c r="AO1708" s="10" t="str">
        <f t="shared" si="196"/>
        <v>y=0.9631*1.44^2+173.03*1.44-74.605</v>
      </c>
      <c r="AP1708" s="10" t="str">
        <f t="shared" si="196"/>
        <v>y=-1.0839*1.44^2+204.73*1.44-119.55</v>
      </c>
      <c r="AQ1708" s="10" t="b">
        <f>IF(AND(I1708="TP",S1708&lt;=150),VLOOKUP(AF1708,TPCalibEq150!$AZ$2:$BB$55,3,),IF(AND(I1708="TDP",S1708&lt;=150),VLOOKUP(AF1708,TPCalibEq150!$AZ$2:$BB$55,3,)))</f>
        <v>0</v>
      </c>
      <c r="AR1708" s="10" t="b">
        <f>IF(AND(I1708="TP",S1708&lt;=300),VLOOKUP(AF1708,TPCalibEq300!$AZ$2:$BB$55,3,),IF(AND(I1708="TDP",S1708&lt;=300),VLOOKUP(AF1708,TPCalibEq300!$AZ$2:$BB$55,3,)))</f>
        <v>0</v>
      </c>
      <c r="AS1708" s="10" t="b">
        <f>IF(AND(I1708="TP",S1708&lt;=500),VLOOKUP(AF1708,TPCalibEq500!$AZ$2:$BB$56,3,),IF(AND(I1708="TDP",S1708&lt;=500),VLOOKUP(AF1708,TPCalibEq500!$AZ$2:$BB$56,3,)))</f>
        <v>0</v>
      </c>
      <c r="AT1708" s="10" t="str">
        <f>IF(AND(I1708="TN",S1708&lt;=2800),VLOOKUP(AF1708,TNCalibEq2500!$AZ$2:$BB$56,3,),IF(AND(I1708="TDN",S1708&lt;=2800),VLOOKUP(AF1708,TNCalibEq2500!$AZ$2:$BB$56,3,)))</f>
        <v>y=0.9631x2+173.03x-74.605</v>
      </c>
      <c r="AU1708" s="10" t="str">
        <f>IF(I1708="TP",VLOOKUP(AF1708,TPCalibEqFull!$AZ$2:$BB$56,3),IF(I1708="TDP",VLOOKUP(AF1708,TPCalibEqFull!$AZ$2:$BB$56,3),IF(I1708="TDN",VLOOKUP(AF1708,TNCalibEqFull!$AZ$1:$BB$56,3),IF(I1708="TN",VLOOKUP(AF1708,TNCalibEqFull!$AZ$1:$BB$56,3),FALSE))))</f>
        <v>y=-1.0839x2+204.73x-119.55</v>
      </c>
      <c r="AV1708" s="10" t="str">
        <f t="shared" si="192"/>
        <v>0201 09:00:00-QAC-REC-B-1-DI-ATP</v>
      </c>
    </row>
    <row r="1709" spans="1:48" s="10" customFormat="1" x14ac:dyDescent="0.55000000000000004">
      <c r="A1709" s="32">
        <v>44958</v>
      </c>
      <c r="B1709" s="33">
        <v>0.375</v>
      </c>
      <c r="C1709" s="10" t="s">
        <v>70</v>
      </c>
      <c r="D1709" s="10" t="s">
        <v>305</v>
      </c>
      <c r="E1709" s="10" t="s">
        <v>190</v>
      </c>
      <c r="F1709" s="10">
        <v>1</v>
      </c>
      <c r="G1709" s="10" t="s">
        <v>73</v>
      </c>
      <c r="H1709" s="10" t="s">
        <v>181</v>
      </c>
      <c r="I1709" s="10" t="s">
        <v>235</v>
      </c>
      <c r="J1709" s="10">
        <v>209</v>
      </c>
      <c r="K1709" s="12">
        <v>44958</v>
      </c>
      <c r="L1709" s="33">
        <v>0.65516203703703701</v>
      </c>
      <c r="M1709" s="10">
        <v>1</v>
      </c>
      <c r="N1709" s="10" t="s">
        <v>196</v>
      </c>
      <c r="O1709" s="10">
        <v>0.97699999999999998</v>
      </c>
      <c r="P1709" s="10">
        <v>4.82E-2</v>
      </c>
      <c r="Q1709" s="10">
        <v>130</v>
      </c>
      <c r="R1709" s="10" t="s">
        <v>170</v>
      </c>
      <c r="S1709" s="34">
        <f t="shared" si="189"/>
        <v>130</v>
      </c>
      <c r="T1709" s="10" t="s">
        <v>1123</v>
      </c>
      <c r="U1709" s="34">
        <f t="shared" si="190"/>
        <v>130</v>
      </c>
      <c r="V1709" s="31">
        <f>IF(H1709="CHK",VLOOKUP(I1709,QCCHK,3,),IF(H1709="GUP",VLOOKUP(E1709,QCGUP,2,),IF(AND(H1709="ATP",OR(I1709="TN",I1709="TDN",I1709="TNO2-3",I1709="NO2-3")),VLOOKUP(E1709,QCREC_N,2,),IF(AND(H1709="NIC",OR(I1709="TN",I1709="TDN",I1709="TNO2-3",I1709="NO2-3")),VLOOKUP(E1709,QCNIC_N,2,),IF(AND(H1709="UREA",OR(I1709="TN",I1709="TDN",I1709="TNO2-3",I1709="NO2-3")),VLOOKUP(E1709,QCUREA_N,2,),IF(H1709="PER",VLOOKUP(I1709,QCPER,MATCH(E1709,QCACTUAL!$J$25:$AA$25,0),),IF(H1709="SPK",VLOOKUP(I1709,QCSPK,3,),IF(AND(H1709="ATP",OR(I1709="TP",I1709="TDP")),VLOOKUP(E1709,QCATP_P,2,),""))))))))</f>
        <v>100</v>
      </c>
      <c r="W1709" s="31" t="str">
        <f t="shared" si="191"/>
        <v>FALSE</v>
      </c>
      <c r="X1709" s="31" t="str">
        <f t="shared" si="188"/>
        <v>[rec]/[actual]*100</v>
      </c>
      <c r="Y1709" s="10" t="s">
        <v>1116</v>
      </c>
      <c r="AF1709" s="12">
        <v>44958</v>
      </c>
      <c r="AJ1709" s="10">
        <f>0.9631*0.977^2+173.03*0.977-74.605</f>
        <v>95.364616879899998</v>
      </c>
      <c r="AK1709" s="10">
        <f>-1.0839*0.977^2+204.73*0.977-119.55</f>
        <v>79.436596016899998</v>
      </c>
      <c r="AL1709" s="10" t="str">
        <f t="shared" si="195"/>
        <v>FALSE</v>
      </c>
      <c r="AM1709" s="10" t="str">
        <f t="shared" si="195"/>
        <v>FALSE</v>
      </c>
      <c r="AN1709" s="10" t="str">
        <f t="shared" si="195"/>
        <v>FALSE</v>
      </c>
      <c r="AO1709" s="10" t="str">
        <f t="shared" si="196"/>
        <v>y=0.9631*0.977^2+173.03*0.977-74.605</v>
      </c>
      <c r="AP1709" s="10" t="str">
        <f t="shared" si="196"/>
        <v>y=-1.0839*0.977^2+204.73*0.977-119.55</v>
      </c>
      <c r="AQ1709" s="10" t="b">
        <f>IF(AND(I1709="TP",S1709&lt;=150),VLOOKUP(AF1709,TPCalibEq150!$AZ$2:$BB$55,3,),IF(AND(I1709="TDP",S1709&lt;=150),VLOOKUP(AF1709,TPCalibEq150!$AZ$2:$BB$55,3,)))</f>
        <v>0</v>
      </c>
      <c r="AR1709" s="10" t="b">
        <f>IF(AND(I1709="TP",S1709&lt;=300),VLOOKUP(AF1709,TPCalibEq300!$AZ$2:$BB$55,3,),IF(AND(I1709="TDP",S1709&lt;=300),VLOOKUP(AF1709,TPCalibEq300!$AZ$2:$BB$55,3,)))</f>
        <v>0</v>
      </c>
      <c r="AS1709" s="10" t="b">
        <f>IF(AND(I1709="TP",S1709&lt;=500),VLOOKUP(AF1709,TPCalibEq500!$AZ$2:$BB$56,3,),IF(AND(I1709="TDP",S1709&lt;=500),VLOOKUP(AF1709,TPCalibEq500!$AZ$2:$BB$56,3,)))</f>
        <v>0</v>
      </c>
      <c r="AT1709" s="10" t="str">
        <f>IF(AND(I1709="TN",S1709&lt;=2800),VLOOKUP(AF1709,TNCalibEq2500!$AZ$2:$BB$56,3,),IF(AND(I1709="TDN",S1709&lt;=2800),VLOOKUP(AF1709,TNCalibEq2500!$AZ$2:$BB$56,3,)))</f>
        <v>y=0.9631x2+173.03x-74.605</v>
      </c>
      <c r="AU1709" s="10" t="str">
        <f>IF(I1709="TP",VLOOKUP(AF1709,TPCalibEqFull!$AZ$2:$BB$56,3),IF(I1709="TDP",VLOOKUP(AF1709,TPCalibEqFull!$AZ$2:$BB$56,3),IF(I1709="TDN",VLOOKUP(AF1709,TNCalibEqFull!$AZ$1:$BB$56,3),IF(I1709="TN",VLOOKUP(AF1709,TNCalibEqFull!$AZ$1:$BB$56,3),FALSE))))</f>
        <v>y=-1.0839x2+204.73x-119.55</v>
      </c>
      <c r="AV1709" s="10" t="str">
        <f t="shared" si="192"/>
        <v>0201 09:00:00-QAC-REC-C-1-DI-ATP</v>
      </c>
    </row>
    <row r="1710" spans="1:48" s="10" customFormat="1" x14ac:dyDescent="0.55000000000000004">
      <c r="A1710" s="32">
        <v>44958</v>
      </c>
      <c r="B1710" s="33">
        <v>0.375</v>
      </c>
      <c r="C1710" s="10" t="s">
        <v>70</v>
      </c>
      <c r="D1710" s="10" t="s">
        <v>305</v>
      </c>
      <c r="E1710" s="10" t="s">
        <v>190</v>
      </c>
      <c r="F1710" s="10">
        <v>1</v>
      </c>
      <c r="G1710" s="10" t="s">
        <v>73</v>
      </c>
      <c r="H1710" s="10" t="s">
        <v>856</v>
      </c>
      <c r="I1710" s="10" t="s">
        <v>235</v>
      </c>
      <c r="J1710" s="10">
        <v>210</v>
      </c>
      <c r="K1710" s="12">
        <v>44958</v>
      </c>
      <c r="L1710" s="33">
        <v>0.65583333333333338</v>
      </c>
      <c r="M1710" s="10">
        <v>1</v>
      </c>
      <c r="N1710" s="10" t="s">
        <v>196</v>
      </c>
      <c r="O1710" s="10">
        <v>27.5</v>
      </c>
      <c r="P1710" s="10">
        <v>1.34</v>
      </c>
      <c r="Q1710" s="10">
        <v>4760</v>
      </c>
      <c r="R1710" s="10" t="s">
        <v>170</v>
      </c>
      <c r="S1710" s="34">
        <f t="shared" si="189"/>
        <v>4760</v>
      </c>
      <c r="T1710" s="10" t="s">
        <v>1123</v>
      </c>
      <c r="U1710" s="34">
        <f t="shared" si="190"/>
        <v>4760</v>
      </c>
      <c r="V1710" s="31">
        <f>IF(H1710="CHK",VLOOKUP(I1710,QCCHK,3,),IF(H1710="GUP",VLOOKUP(E1710,QCGUP,2,),IF(AND(H1710="ATP",OR(I1710="TN",I1710="TDN",I1710="TNO2-3",I1710="NO2-3")),VLOOKUP(E1710,QCREC_N,2,),IF(AND(H1710="NIC",OR(I1710="TN",I1710="TDN",I1710="TNO2-3",I1710="NO2-3")),VLOOKUP(E1710,QCNIC_N,2,),IF(AND(H1710="UREA",OR(I1710="TN",I1710="TDN",I1710="TNO2-3",I1710="NO2-3")),VLOOKUP(E1710,QCUREA_N,2,),IF(H1710="PER",VLOOKUP(I1710,QCPER,MATCH(E1710,QCACTUAL!$J$25:$AA$25,0),),IF(H1710="SPK",VLOOKUP(I1710,QCSPK,3,),IF(AND(H1710="ATP",OR(I1710="TP",I1710="TDP")),VLOOKUP(E1710,QCATP_P,2,),""))))))))</f>
        <v>100</v>
      </c>
      <c r="W1710" s="31" t="str">
        <f t="shared" si="191"/>
        <v>FALSE</v>
      </c>
      <c r="X1710" s="31" t="str">
        <f t="shared" si="188"/>
        <v>[rec]/[actual]*100</v>
      </c>
      <c r="Y1710" s="10" t="s">
        <v>1116</v>
      </c>
      <c r="AF1710" s="12">
        <v>44958</v>
      </c>
      <c r="AK1710" s="10">
        <f>-1.0839*27.5^2+204.73*27.5-119.55</f>
        <v>4690.8256249999995</v>
      </c>
      <c r="AL1710" s="10" t="str">
        <f t="shared" si="195"/>
        <v>FALSE</v>
      </c>
      <c r="AM1710" s="10" t="str">
        <f t="shared" si="195"/>
        <v>FALSE</v>
      </c>
      <c r="AN1710" s="10" t="str">
        <f t="shared" si="195"/>
        <v>FALSE</v>
      </c>
      <c r="AO1710" s="10" t="str">
        <f t="shared" si="196"/>
        <v>FALSE</v>
      </c>
      <c r="AP1710" s="10" t="str">
        <f t="shared" si="196"/>
        <v>y=-1.0839*27.5^2+204.73*27.5-119.55</v>
      </c>
      <c r="AQ1710" s="10" t="b">
        <f>IF(AND(I1710="TP",S1710&lt;=150),VLOOKUP(AF1710,TPCalibEq150!$AZ$2:$BB$55,3,),IF(AND(I1710="TDP",S1710&lt;=150),VLOOKUP(AF1710,TPCalibEq150!$AZ$2:$BB$55,3,)))</f>
        <v>0</v>
      </c>
      <c r="AR1710" s="10" t="b">
        <f>IF(AND(I1710="TP",S1710&lt;=300),VLOOKUP(AF1710,TPCalibEq300!$AZ$2:$BB$55,3,),IF(AND(I1710="TDP",S1710&lt;=300),VLOOKUP(AF1710,TPCalibEq300!$AZ$2:$BB$55,3,)))</f>
        <v>0</v>
      </c>
      <c r="AS1710" s="10" t="b">
        <f>IF(AND(I1710="TP",S1710&lt;=500),VLOOKUP(AF1710,TPCalibEq500!$AZ$2:$BB$56,3,),IF(AND(I1710="TDP",S1710&lt;=500),VLOOKUP(AF1710,TPCalibEq500!$AZ$2:$BB$56,3,)))</f>
        <v>0</v>
      </c>
      <c r="AT1710" s="10" t="b">
        <f>IF(AND(I1710="TN",S1710&lt;=2800),VLOOKUP(AF1710,TNCalibEq2500!$AZ$2:$BB$56,3,),IF(AND(I1710="TDN",S1710&lt;=2800),VLOOKUP(AF1710,TNCalibEq2500!$AZ$2:$BB$56,3,)))</f>
        <v>0</v>
      </c>
      <c r="AU1710" s="10" t="str">
        <f>IF(I1710="TP",VLOOKUP(AF1710,TPCalibEqFull!$AZ$2:$BB$56,3),IF(I1710="TDP",VLOOKUP(AF1710,TPCalibEqFull!$AZ$2:$BB$56,3),IF(I1710="TDN",VLOOKUP(AF1710,TNCalibEqFull!$AZ$1:$BB$56,3),IF(I1710="TN",VLOOKUP(AF1710,TNCalibEqFull!$AZ$1:$BB$56,3),FALSE))))</f>
        <v>y=-1.0839x2+204.73x-119.55</v>
      </c>
      <c r="AV1710" s="10" t="str">
        <f t="shared" si="192"/>
        <v>0201 09:00:00-QAC-REC-C-1-DI-NIC</v>
      </c>
    </row>
    <row r="1711" spans="1:48" s="10" customFormat="1" x14ac:dyDescent="0.55000000000000004">
      <c r="A1711" s="32">
        <v>44958</v>
      </c>
      <c r="B1711" s="33">
        <v>0.375</v>
      </c>
      <c r="C1711" s="10" t="s">
        <v>70</v>
      </c>
      <c r="D1711" s="10" t="s">
        <v>305</v>
      </c>
      <c r="E1711" s="10" t="s">
        <v>583</v>
      </c>
      <c r="F1711" s="10">
        <v>1</v>
      </c>
      <c r="G1711" s="10" t="s">
        <v>73</v>
      </c>
      <c r="H1711" s="10" t="s">
        <v>856</v>
      </c>
      <c r="I1711" s="10" t="s">
        <v>235</v>
      </c>
      <c r="J1711" s="10">
        <v>211</v>
      </c>
      <c r="K1711" s="12">
        <v>44958</v>
      </c>
      <c r="L1711" s="33">
        <v>0.65651620370370367</v>
      </c>
      <c r="M1711" s="10">
        <v>1</v>
      </c>
      <c r="N1711" s="10" t="s">
        <v>196</v>
      </c>
      <c r="O1711" s="10">
        <v>6.14</v>
      </c>
      <c r="P1711" s="10">
        <v>0.30499999999999999</v>
      </c>
      <c r="Q1711" s="10">
        <v>1030</v>
      </c>
      <c r="R1711" s="10" t="s">
        <v>170</v>
      </c>
      <c r="S1711" s="34">
        <f t="shared" si="189"/>
        <v>1096.6296035599999</v>
      </c>
      <c r="T1711" s="10" t="s">
        <v>1123</v>
      </c>
      <c r="U1711" s="34">
        <f t="shared" si="190"/>
        <v>548.31480177999993</v>
      </c>
      <c r="V1711" s="31">
        <f>IF(H1711="CHK",VLOOKUP(I1711,QCCHK,3,),IF(H1711="GUP",VLOOKUP(E1711,QCGUP,2,),IF(AND(H1711="ATP",OR(I1711="TN",I1711="TDN",I1711="TNO2-3",I1711="NO2-3")),VLOOKUP(E1711,QCREC_N,2,),IF(AND(H1711="NIC",OR(I1711="TN",I1711="TDN",I1711="TNO2-3",I1711="NO2-3")),VLOOKUP(E1711,QCNIC_N,2,),IF(AND(H1711="UREA",OR(I1711="TN",I1711="TDN",I1711="TNO2-3",I1711="NO2-3")),VLOOKUP(E1711,QCUREA_N,2,),IF(H1711="PER",VLOOKUP(I1711,QCPER,MATCH(E1711,QCACTUAL!$J$25:$AA$25,0),),IF(H1711="SPK",VLOOKUP(I1711,QCSPK,3,),IF(AND(H1711="ATP",OR(I1711="TP",I1711="TDP")),VLOOKUP(E1711,QCATP_P,2,),""))))))))</f>
        <v>200</v>
      </c>
      <c r="W1711" s="31" t="str">
        <f t="shared" si="191"/>
        <v>FALSE</v>
      </c>
      <c r="X1711" s="31" t="str">
        <f t="shared" si="188"/>
        <v>[rec]/[actual]*100</v>
      </c>
      <c r="Y1711" s="10" t="s">
        <v>1116</v>
      </c>
      <c r="AF1711" s="12">
        <v>44958</v>
      </c>
      <c r="AJ1711" s="10">
        <f>0.9631*6.14^2+173.03*6.14-74.605</f>
        <v>1024.10768476</v>
      </c>
      <c r="AK1711" s="10">
        <f>-1.0839*6.14^2+204.73*6.14-119.55</f>
        <v>1096.6296035599999</v>
      </c>
      <c r="AL1711" s="10" t="str">
        <f t="shared" si="195"/>
        <v>FALSE</v>
      </c>
      <c r="AM1711" s="10" t="str">
        <f t="shared" si="195"/>
        <v>FALSE</v>
      </c>
      <c r="AN1711" s="10" t="str">
        <f t="shared" si="195"/>
        <v>FALSE</v>
      </c>
      <c r="AO1711" s="10" t="str">
        <f t="shared" si="196"/>
        <v>y=0.9631*6.14^2+173.03*6.14-74.605</v>
      </c>
      <c r="AP1711" s="10" t="str">
        <f t="shared" si="196"/>
        <v>y=-1.0839*6.14^2+204.73*6.14-119.55</v>
      </c>
      <c r="AQ1711" s="10" t="b">
        <f>IF(AND(I1711="TP",S1711&lt;=150),VLOOKUP(AF1711,TPCalibEq150!$AZ$2:$BB$55,3,),IF(AND(I1711="TDP",S1711&lt;=150),VLOOKUP(AF1711,TPCalibEq150!$AZ$2:$BB$55,3,)))</f>
        <v>0</v>
      </c>
      <c r="AR1711" s="10" t="b">
        <f>IF(AND(I1711="TP",S1711&lt;=300),VLOOKUP(AF1711,TPCalibEq300!$AZ$2:$BB$55,3,),IF(AND(I1711="TDP",S1711&lt;=300),VLOOKUP(AF1711,TPCalibEq300!$AZ$2:$BB$55,3,)))</f>
        <v>0</v>
      </c>
      <c r="AS1711" s="10" t="b">
        <f>IF(AND(I1711="TP",S1711&lt;=500),VLOOKUP(AF1711,TPCalibEq500!$AZ$2:$BB$56,3,),IF(AND(I1711="TDP",S1711&lt;=500),VLOOKUP(AF1711,TPCalibEq500!$AZ$2:$BB$56,3,)))</f>
        <v>0</v>
      </c>
      <c r="AT1711" s="10" t="str">
        <f>IF(AND(I1711="TN",S1711&lt;=2800),VLOOKUP(AF1711,TNCalibEq2500!$AZ$2:$BB$56,3,),IF(AND(I1711="TDN",S1711&lt;=2800),VLOOKUP(AF1711,TNCalibEq2500!$AZ$2:$BB$56,3,)))</f>
        <v>y=0.9631x2+173.03x-74.605</v>
      </c>
      <c r="AU1711" s="10" t="str">
        <f>IF(I1711="TP",VLOOKUP(AF1711,TPCalibEqFull!$AZ$2:$BB$56,3),IF(I1711="TDP",VLOOKUP(AF1711,TPCalibEqFull!$AZ$2:$BB$56,3),IF(I1711="TDN",VLOOKUP(AF1711,TNCalibEqFull!$AZ$1:$BB$56,3),IF(I1711="TN",VLOOKUP(AF1711,TNCalibEqFull!$AZ$1:$BB$56,3),FALSE))))</f>
        <v>y=-1.0839x2+204.73x-119.55</v>
      </c>
      <c r="AV1711" s="10" t="str">
        <f t="shared" si="192"/>
        <v>0201 09:00:00-QAC-REC-B-1-DI-NIC</v>
      </c>
    </row>
    <row r="1712" spans="1:48" s="10" customFormat="1" x14ac:dyDescent="0.55000000000000004">
      <c r="A1712" s="32">
        <v>44958</v>
      </c>
      <c r="B1712" s="33">
        <v>0.375</v>
      </c>
      <c r="C1712" s="10" t="s">
        <v>70</v>
      </c>
      <c r="D1712" s="10" t="s">
        <v>305</v>
      </c>
      <c r="E1712" s="10" t="s">
        <v>866</v>
      </c>
      <c r="F1712" s="10">
        <v>1</v>
      </c>
      <c r="G1712" s="10" t="s">
        <v>73</v>
      </c>
      <c r="H1712" s="10" t="s">
        <v>856</v>
      </c>
      <c r="I1712" s="10" t="s">
        <v>235</v>
      </c>
      <c r="J1712" s="10">
        <v>212</v>
      </c>
      <c r="K1712" s="12">
        <v>44958</v>
      </c>
      <c r="L1712" s="33">
        <v>0.65718750000000004</v>
      </c>
      <c r="M1712" s="10">
        <v>1</v>
      </c>
      <c r="N1712" s="10" t="s">
        <v>196</v>
      </c>
      <c r="O1712" s="10">
        <v>1.93</v>
      </c>
      <c r="P1712" s="10">
        <v>9.5399999999999999E-2</v>
      </c>
      <c r="Q1712" s="10">
        <v>296</v>
      </c>
      <c r="R1712" s="10" t="s">
        <v>170</v>
      </c>
      <c r="S1712" s="34">
        <f t="shared" si="189"/>
        <v>296</v>
      </c>
      <c r="T1712" s="10" t="s">
        <v>1123</v>
      </c>
      <c r="U1712" s="34">
        <f t="shared" si="190"/>
        <v>29.599999999999998</v>
      </c>
      <c r="V1712" s="31">
        <f>IF(H1712="CHK",VLOOKUP(I1712,QCCHK,3,),IF(H1712="GUP",VLOOKUP(E1712,QCGUP,2,),IF(AND(H1712="ATP",OR(I1712="TN",I1712="TDN",I1712="TNO2-3",I1712="NO2-3")),VLOOKUP(E1712,QCREC_N,2,),IF(AND(H1712="NIC",OR(I1712="TN",I1712="TDN",I1712="TNO2-3",I1712="NO2-3")),VLOOKUP(E1712,QCNIC_N,2,),IF(AND(H1712="UREA",OR(I1712="TN",I1712="TDN",I1712="TNO2-3",I1712="NO2-3")),VLOOKUP(E1712,QCUREA_N,2,),IF(H1712="PER",VLOOKUP(I1712,QCPER,MATCH(E1712,QCACTUAL!$J$25:$AA$25,0),),IF(H1712="SPK",VLOOKUP(I1712,QCSPK,3,),IF(AND(H1712="ATP",OR(I1712="TP",I1712="TDP")),VLOOKUP(E1712,QCATP_P,2,),""))))))))</f>
        <v>1000</v>
      </c>
      <c r="W1712" s="31" t="str">
        <f t="shared" si="191"/>
        <v>FALSE</v>
      </c>
      <c r="X1712" s="31" t="str">
        <f t="shared" si="188"/>
        <v>[rec]/[actual]*100</v>
      </c>
      <c r="Y1712" s="10" t="s">
        <v>1116</v>
      </c>
      <c r="AF1712" s="12">
        <v>44958</v>
      </c>
      <c r="AJ1712" s="10">
        <f>0.9631*1.93^2+173.03*1.93-74.605</f>
        <v>262.93035119000001</v>
      </c>
      <c r="AK1712" s="10">
        <f>-1.0839*1.93^2+204.73*1.93-119.55</f>
        <v>271.54148089</v>
      </c>
      <c r="AL1712" s="10" t="str">
        <f t="shared" si="195"/>
        <v>FALSE</v>
      </c>
      <c r="AM1712" s="10" t="str">
        <f t="shared" si="195"/>
        <v>FALSE</v>
      </c>
      <c r="AN1712" s="10" t="str">
        <f t="shared" si="195"/>
        <v>FALSE</v>
      </c>
      <c r="AO1712" s="10" t="str">
        <f t="shared" si="196"/>
        <v>y=0.9631*1.93^2+173.03*1.93-74.605</v>
      </c>
      <c r="AP1712" s="10" t="str">
        <f t="shared" si="196"/>
        <v>y=-1.0839*1.93^2+204.73*1.93-119.55</v>
      </c>
      <c r="AQ1712" s="10" t="b">
        <f>IF(AND(I1712="TP",S1712&lt;=150),VLOOKUP(AF1712,TPCalibEq150!$AZ$2:$BB$55,3,),IF(AND(I1712="TDP",S1712&lt;=150),VLOOKUP(AF1712,TPCalibEq150!$AZ$2:$BB$55,3,)))</f>
        <v>0</v>
      </c>
      <c r="AR1712" s="10" t="b">
        <f>IF(AND(I1712="TP",S1712&lt;=300),VLOOKUP(AF1712,TPCalibEq300!$AZ$2:$BB$55,3,),IF(AND(I1712="TDP",S1712&lt;=300),VLOOKUP(AF1712,TPCalibEq300!$AZ$2:$BB$55,3,)))</f>
        <v>0</v>
      </c>
      <c r="AS1712" s="10" t="b">
        <f>IF(AND(I1712="TP",S1712&lt;=500),VLOOKUP(AF1712,TPCalibEq500!$AZ$2:$BB$56,3,),IF(AND(I1712="TDP",S1712&lt;=500),VLOOKUP(AF1712,TPCalibEq500!$AZ$2:$BB$56,3,)))</f>
        <v>0</v>
      </c>
      <c r="AT1712" s="10" t="str">
        <f>IF(AND(I1712="TN",S1712&lt;=2800),VLOOKUP(AF1712,TNCalibEq2500!$AZ$2:$BB$56,3,),IF(AND(I1712="TDN",S1712&lt;=2800),VLOOKUP(AF1712,TNCalibEq2500!$AZ$2:$BB$56,3,)))</f>
        <v>y=0.9631x2+173.03x-74.605</v>
      </c>
      <c r="AU1712" s="10" t="str">
        <f>IF(I1712="TP",VLOOKUP(AF1712,TPCalibEqFull!$AZ$2:$BB$56,3),IF(I1712="TDP",VLOOKUP(AF1712,TPCalibEqFull!$AZ$2:$BB$56,3),IF(I1712="TDN",VLOOKUP(AF1712,TNCalibEqFull!$AZ$1:$BB$56,3),IF(I1712="TN",VLOOKUP(AF1712,TNCalibEqFull!$AZ$1:$BB$56,3),FALSE))))</f>
        <v>y=-1.0839x2+204.73x-119.55</v>
      </c>
      <c r="AV1712" s="10" t="str">
        <f t="shared" si="192"/>
        <v>0201 09:00:00-QAC-REC-A-1-DI-NIC</v>
      </c>
    </row>
    <row r="1713" spans="1:48" s="10" customFormat="1" x14ac:dyDescent="0.55000000000000004">
      <c r="A1713" s="32">
        <v>44958</v>
      </c>
      <c r="B1713" s="33">
        <v>0.375</v>
      </c>
      <c r="C1713" s="10" t="s">
        <v>70</v>
      </c>
      <c r="D1713" s="10" t="s">
        <v>305</v>
      </c>
      <c r="E1713" s="10" t="s">
        <v>901</v>
      </c>
      <c r="F1713" s="10">
        <v>1</v>
      </c>
      <c r="G1713" s="10" t="s">
        <v>73</v>
      </c>
      <c r="H1713" s="10" t="s">
        <v>856</v>
      </c>
      <c r="I1713" s="10" t="s">
        <v>235</v>
      </c>
      <c r="J1713" s="10">
        <v>213</v>
      </c>
      <c r="K1713" s="12">
        <v>44958</v>
      </c>
      <c r="L1713" s="33">
        <v>0.65787037037037044</v>
      </c>
      <c r="M1713" s="10">
        <v>1</v>
      </c>
      <c r="N1713" s="10" t="s">
        <v>196</v>
      </c>
      <c r="O1713" s="10">
        <v>1.23</v>
      </c>
      <c r="P1713" s="10">
        <v>6.1199999999999997E-2</v>
      </c>
      <c r="Q1713" s="10">
        <v>175</v>
      </c>
      <c r="R1713" s="10" t="s">
        <v>170</v>
      </c>
      <c r="S1713" s="34">
        <f t="shared" si="189"/>
        <v>175</v>
      </c>
      <c r="T1713" s="10" t="s">
        <v>1123</v>
      </c>
      <c r="U1713" s="34">
        <f t="shared" si="190"/>
        <v>3.5000000000000004</v>
      </c>
      <c r="V1713" s="31">
        <f>IF(H1713="CHK",VLOOKUP(I1713,QCCHK,3,),IF(H1713="GUP",VLOOKUP(E1713,QCGUP,2,),IF(AND(H1713="ATP",OR(I1713="TN",I1713="TDN",I1713="TNO2-3",I1713="NO2-3")),VLOOKUP(E1713,QCREC_N,2,),IF(AND(H1713="NIC",OR(I1713="TN",I1713="TDN",I1713="TNO2-3",I1713="NO2-3")),VLOOKUP(E1713,QCNIC_N,2,),IF(AND(H1713="UREA",OR(I1713="TN",I1713="TDN",I1713="TNO2-3",I1713="NO2-3")),VLOOKUP(E1713,QCUREA_N,2,),IF(H1713="PER",VLOOKUP(I1713,QCPER,MATCH(E1713,QCACTUAL!$J$25:$AA$25,0),),IF(H1713="SPK",VLOOKUP(I1713,QCSPK,3,),IF(AND(H1713="ATP",OR(I1713="TP",I1713="TDP")),VLOOKUP(E1713,QCATP_P,2,),""))))))))</f>
        <v>5000</v>
      </c>
      <c r="W1713" s="31" t="str">
        <f t="shared" si="191"/>
        <v>FALSE</v>
      </c>
      <c r="X1713" s="31" t="str">
        <f t="shared" si="188"/>
        <v>[rec]/[actual]*100</v>
      </c>
      <c r="Y1713" s="10" t="s">
        <v>1116</v>
      </c>
      <c r="AF1713" s="12">
        <v>44958</v>
      </c>
      <c r="AJ1713" s="10">
        <f>0.9631*1.23^2+173.03*1.23-74.605</f>
        <v>139.67897398999997</v>
      </c>
      <c r="AK1713" s="10">
        <f>-1.0839*1.23^2+204.73*1.23-119.55</f>
        <v>130.62806768999997</v>
      </c>
      <c r="AL1713" s="10" t="str">
        <f t="shared" si="195"/>
        <v>FALSE</v>
      </c>
      <c r="AM1713" s="10" t="str">
        <f t="shared" si="195"/>
        <v>FALSE</v>
      </c>
      <c r="AN1713" s="10" t="str">
        <f t="shared" si="195"/>
        <v>FALSE</v>
      </c>
      <c r="AO1713" s="10" t="str">
        <f t="shared" si="196"/>
        <v>y=0.9631*1.23^2+173.03*1.23-74.605</v>
      </c>
      <c r="AP1713" s="10" t="str">
        <f t="shared" si="196"/>
        <v>y=-1.0839*1.23^2+204.73*1.23-119.55</v>
      </c>
      <c r="AQ1713" s="10" t="b">
        <f>IF(AND(I1713="TP",S1713&lt;=150),VLOOKUP(AF1713,TPCalibEq150!$AZ$2:$BB$55,3,),IF(AND(I1713="TDP",S1713&lt;=150),VLOOKUP(AF1713,TPCalibEq150!$AZ$2:$BB$55,3,)))</f>
        <v>0</v>
      </c>
      <c r="AR1713" s="10" t="b">
        <f>IF(AND(I1713="TP",S1713&lt;=300),VLOOKUP(AF1713,TPCalibEq300!$AZ$2:$BB$55,3,),IF(AND(I1713="TDP",S1713&lt;=300),VLOOKUP(AF1713,TPCalibEq300!$AZ$2:$BB$55,3,)))</f>
        <v>0</v>
      </c>
      <c r="AS1713" s="10" t="b">
        <f>IF(AND(I1713="TP",S1713&lt;=500),VLOOKUP(AF1713,TPCalibEq500!$AZ$2:$BB$56,3,),IF(AND(I1713="TDP",S1713&lt;=500),VLOOKUP(AF1713,TPCalibEq500!$AZ$2:$BB$56,3,)))</f>
        <v>0</v>
      </c>
      <c r="AT1713" s="10" t="str">
        <f>IF(AND(I1713="TN",S1713&lt;=2800),VLOOKUP(AF1713,TNCalibEq2500!$AZ$2:$BB$56,3,),IF(AND(I1713="TDN",S1713&lt;=2800),VLOOKUP(AF1713,TNCalibEq2500!$AZ$2:$BB$56,3,)))</f>
        <v>y=0.9631x2+173.03x-74.605</v>
      </c>
      <c r="AU1713" s="10" t="str">
        <f>IF(I1713="TP",VLOOKUP(AF1713,TPCalibEqFull!$AZ$2:$BB$56,3),IF(I1713="TDP",VLOOKUP(AF1713,TPCalibEqFull!$AZ$2:$BB$56,3),IF(I1713="TDN",VLOOKUP(AF1713,TNCalibEqFull!$AZ$1:$BB$56,3),IF(I1713="TN",VLOOKUP(AF1713,TNCalibEqFull!$AZ$1:$BB$56,3),FALSE))))</f>
        <v>y=-1.0839x2+204.73x-119.55</v>
      </c>
      <c r="AV1713" s="10" t="str">
        <f t="shared" si="192"/>
        <v>0201 09:00:00-QAC-REC-D-1-DI-NIC</v>
      </c>
    </row>
    <row r="1714" spans="1:48" s="10" customFormat="1" x14ac:dyDescent="0.55000000000000004">
      <c r="A1714" s="32">
        <v>44949</v>
      </c>
      <c r="B1714" s="33">
        <v>0.25</v>
      </c>
      <c r="C1714" s="10" t="s">
        <v>70</v>
      </c>
      <c r="D1714" s="10" t="s">
        <v>241</v>
      </c>
      <c r="E1714" s="10" t="s">
        <v>866</v>
      </c>
      <c r="F1714" s="10">
        <v>1</v>
      </c>
      <c r="G1714" s="10" t="s">
        <v>73</v>
      </c>
      <c r="H1714" s="10" t="s">
        <v>264</v>
      </c>
      <c r="I1714" s="10" t="s">
        <v>235</v>
      </c>
      <c r="J1714" s="10">
        <v>91</v>
      </c>
      <c r="K1714" s="12">
        <v>44958</v>
      </c>
      <c r="L1714" s="33">
        <v>0.65921296296296295</v>
      </c>
      <c r="M1714" s="10">
        <v>1</v>
      </c>
      <c r="N1714" s="10" t="s">
        <v>196</v>
      </c>
      <c r="O1714" s="10">
        <v>0.39500000000000002</v>
      </c>
      <c r="P1714" s="10">
        <v>1.9300000000000001E-2</v>
      </c>
      <c r="Q1714" s="10">
        <v>28.7</v>
      </c>
      <c r="R1714" s="10" t="s">
        <v>170</v>
      </c>
      <c r="S1714" s="34">
        <f t="shared" si="189"/>
        <v>28.7</v>
      </c>
      <c r="T1714" s="10" t="s">
        <v>1123</v>
      </c>
      <c r="U1714" s="34">
        <f t="shared" si="190"/>
        <v>28.7</v>
      </c>
      <c r="V1714" s="31" t="str">
        <f>IF(H1714="CHK",VLOOKUP(I1714,QCCHK,3,),IF(H1714="GUP",VLOOKUP(E1714,QCGUP,2,),IF(AND(H1714="ATP",OR(I1714="TN",I1714="TDN",I1714="TNO2-3",I1714="NO2-3")),VLOOKUP(E1714,QCREC_N,2,),IF(AND(H1714="NIC",OR(I1714="TN",I1714="TDN",I1714="TNO2-3",I1714="NO2-3")),VLOOKUP(E1714,QCNIC_N,2,),IF(AND(H1714="UREA",OR(I1714="TN",I1714="TDN",I1714="TNO2-3",I1714="NO2-3")),VLOOKUP(E1714,QCUREA_N,2,),IF(H1714="PER",VLOOKUP(I1714,QCPER,MATCH(E1714,QCACTUAL!$J$25:$AA$25,0),),IF(H1714="SPK",VLOOKUP(I1714,QCSPK,3,),IF(AND(H1714="ATP",OR(I1714="TP",I1714="TDP")),VLOOKUP(E1714,QCATP_P,2,),""))))))))</f>
        <v/>
      </c>
      <c r="W1714" s="31" t="str">
        <f t="shared" si="191"/>
        <v>FALSE</v>
      </c>
      <c r="X1714" s="31" t="str">
        <f t="shared" si="188"/>
        <v>nominal concentration</v>
      </c>
      <c r="Y1714" s="10" t="s">
        <v>1116</v>
      </c>
      <c r="Z1714" s="10" t="s">
        <v>910</v>
      </c>
      <c r="AF1714" s="12">
        <v>44958</v>
      </c>
      <c r="AJ1714" s="10">
        <f>0.9631*0.395^2+173.03*0.395-74.605</f>
        <v>-6.1078823225000036</v>
      </c>
      <c r="AK1714" s="10">
        <f>-1.0839*0.395^2+204.73*0.395-119.55</f>
        <v>-38.850765497499992</v>
      </c>
      <c r="AL1714" s="10" t="str">
        <f t="shared" si="195"/>
        <v>FALSE</v>
      </c>
      <c r="AM1714" s="10" t="str">
        <f t="shared" si="195"/>
        <v>FALSE</v>
      </c>
      <c r="AN1714" s="10" t="str">
        <f t="shared" si="195"/>
        <v>FALSE</v>
      </c>
      <c r="AO1714" s="10" t="str">
        <f t="shared" si="196"/>
        <v>y=0.9631*0.395^2+173.03*0.395-74.605</v>
      </c>
      <c r="AP1714" s="10" t="str">
        <f t="shared" si="196"/>
        <v>y=-1.0839*0.395^2+204.73*0.395-119.55</v>
      </c>
      <c r="AQ1714" s="10" t="b">
        <f>IF(AND(I1714="TP",S1714&lt;=150),VLOOKUP(AF1714,TPCalibEq150!$AZ$2:$BB$55,3,),IF(AND(I1714="TDP",S1714&lt;=150),VLOOKUP(AF1714,TPCalibEq150!$AZ$2:$BB$55,3,)))</f>
        <v>0</v>
      </c>
      <c r="AR1714" s="10" t="b">
        <f>IF(AND(I1714="TP",S1714&lt;=300),VLOOKUP(AF1714,TPCalibEq300!$AZ$2:$BB$55,3,),IF(AND(I1714="TDP",S1714&lt;=300),VLOOKUP(AF1714,TPCalibEq300!$AZ$2:$BB$55,3,)))</f>
        <v>0</v>
      </c>
      <c r="AS1714" s="10" t="b">
        <f>IF(AND(I1714="TP",S1714&lt;=500),VLOOKUP(AF1714,TPCalibEq500!$AZ$2:$BB$56,3,),IF(AND(I1714="TDP",S1714&lt;=500),VLOOKUP(AF1714,TPCalibEq500!$AZ$2:$BB$56,3,)))</f>
        <v>0</v>
      </c>
      <c r="AT1714" s="10" t="str">
        <f>IF(AND(I1714="TN",S1714&lt;=2800),VLOOKUP(AF1714,TNCalibEq2500!$AZ$2:$BB$56,3,),IF(AND(I1714="TDN",S1714&lt;=2800),VLOOKUP(AF1714,TNCalibEq2500!$AZ$2:$BB$56,3,)))</f>
        <v>y=0.9631x2+173.03x-74.605</v>
      </c>
      <c r="AU1714" s="10" t="str">
        <f>IF(I1714="TP",VLOOKUP(AF1714,TPCalibEqFull!$AZ$2:$BB$56,3),IF(I1714="TDP",VLOOKUP(AF1714,TPCalibEqFull!$AZ$2:$BB$56,3),IF(I1714="TDN",VLOOKUP(AF1714,TNCalibEqFull!$AZ$1:$BB$56,3),IF(I1714="TN",VLOOKUP(AF1714,TNCalibEqFull!$AZ$1:$BB$56,3),FALSE))))</f>
        <v>y=-1.0839x2+204.73x-119.55</v>
      </c>
      <c r="AV1714" s="10" t="str">
        <f t="shared" si="192"/>
        <v>0123 06:00:00-QAC-BLK-A-1-DI-FLD</v>
      </c>
    </row>
    <row r="1715" spans="1:48" s="10" customFormat="1" x14ac:dyDescent="0.55000000000000004">
      <c r="A1715" s="32">
        <v>44956</v>
      </c>
      <c r="B1715" s="33">
        <v>0.25</v>
      </c>
      <c r="C1715" s="10" t="s">
        <v>70</v>
      </c>
      <c r="D1715" s="10" t="s">
        <v>241</v>
      </c>
      <c r="E1715" s="10" t="s">
        <v>866</v>
      </c>
      <c r="F1715" s="10">
        <v>1</v>
      </c>
      <c r="G1715" s="10" t="s">
        <v>73</v>
      </c>
      <c r="H1715" s="10" t="s">
        <v>264</v>
      </c>
      <c r="I1715" s="10" t="s">
        <v>235</v>
      </c>
      <c r="J1715" s="10">
        <v>92</v>
      </c>
      <c r="K1715" s="12">
        <v>44958</v>
      </c>
      <c r="L1715" s="33">
        <v>0.6598842592592592</v>
      </c>
      <c r="M1715" s="10">
        <v>1</v>
      </c>
      <c r="N1715" s="10" t="s">
        <v>196</v>
      </c>
      <c r="O1715" s="10">
        <v>0.32500000000000001</v>
      </c>
      <c r="P1715" s="10">
        <v>1.5900000000000001E-2</v>
      </c>
      <c r="Q1715" s="10">
        <v>16.600000000000001</v>
      </c>
      <c r="R1715" s="10" t="s">
        <v>170</v>
      </c>
      <c r="S1715" s="34">
        <f t="shared" si="189"/>
        <v>16.600000000000001</v>
      </c>
      <c r="T1715" s="10" t="s">
        <v>1123</v>
      </c>
      <c r="U1715" s="34">
        <f t="shared" si="190"/>
        <v>16.600000000000001</v>
      </c>
      <c r="V1715" s="31" t="str">
        <f>IF(H1715="CHK",VLOOKUP(I1715,QCCHK,3,),IF(H1715="GUP",VLOOKUP(E1715,QCGUP,2,),IF(AND(H1715="ATP",OR(I1715="TN",I1715="TDN",I1715="TNO2-3",I1715="NO2-3")),VLOOKUP(E1715,QCREC_N,2,),IF(AND(H1715="NIC",OR(I1715="TN",I1715="TDN",I1715="TNO2-3",I1715="NO2-3")),VLOOKUP(E1715,QCNIC_N,2,),IF(AND(H1715="UREA",OR(I1715="TN",I1715="TDN",I1715="TNO2-3",I1715="NO2-3")),VLOOKUP(E1715,QCUREA_N,2,),IF(H1715="PER",VLOOKUP(I1715,QCPER,MATCH(E1715,QCACTUAL!$J$25:$AA$25,0),),IF(H1715="SPK",VLOOKUP(I1715,QCSPK,3,),IF(AND(H1715="ATP",OR(I1715="TP",I1715="TDP")),VLOOKUP(E1715,QCATP_P,2,),""))))))))</f>
        <v/>
      </c>
      <c r="W1715" s="31" t="str">
        <f t="shared" si="191"/>
        <v>FALSE</v>
      </c>
      <c r="X1715" s="31" t="str">
        <f t="shared" si="188"/>
        <v>nominal concentration</v>
      </c>
      <c r="Y1715" s="10" t="s">
        <v>1116</v>
      </c>
      <c r="Z1715" s="10" t="s">
        <v>910</v>
      </c>
      <c r="AF1715" s="12">
        <v>44958</v>
      </c>
      <c r="AJ1715" s="10">
        <f>0.9631*0.325^2+173.03*0.325-74.605</f>
        <v>-18.268522562499996</v>
      </c>
      <c r="AK1715" s="10">
        <f>-1.0839*0.325^2+204.73*0.325-119.55</f>
        <v>-53.127236937500001</v>
      </c>
      <c r="AL1715" s="10" t="str">
        <f t="shared" si="195"/>
        <v>FALSE</v>
      </c>
      <c r="AM1715" s="10" t="str">
        <f t="shared" si="195"/>
        <v>FALSE</v>
      </c>
      <c r="AN1715" s="10" t="str">
        <f t="shared" si="195"/>
        <v>FALSE</v>
      </c>
      <c r="AO1715" s="10" t="str">
        <f t="shared" si="196"/>
        <v>y=0.9631*0.325^2+173.03*0.325-74.605</v>
      </c>
      <c r="AP1715" s="10" t="str">
        <f t="shared" si="196"/>
        <v>y=-1.0839*0.325^2+204.73*0.325-119.55</v>
      </c>
      <c r="AQ1715" s="10" t="b">
        <f>IF(AND(I1715="TP",S1715&lt;=150),VLOOKUP(AF1715,TPCalibEq150!$AZ$2:$BB$55,3,),IF(AND(I1715="TDP",S1715&lt;=150),VLOOKUP(AF1715,TPCalibEq150!$AZ$2:$BB$55,3,)))</f>
        <v>0</v>
      </c>
      <c r="AR1715" s="10" t="b">
        <f>IF(AND(I1715="TP",S1715&lt;=300),VLOOKUP(AF1715,TPCalibEq300!$AZ$2:$BB$55,3,),IF(AND(I1715="TDP",S1715&lt;=300),VLOOKUP(AF1715,TPCalibEq300!$AZ$2:$BB$55,3,)))</f>
        <v>0</v>
      </c>
      <c r="AS1715" s="10" t="b">
        <f>IF(AND(I1715="TP",S1715&lt;=500),VLOOKUP(AF1715,TPCalibEq500!$AZ$2:$BB$56,3,),IF(AND(I1715="TDP",S1715&lt;=500),VLOOKUP(AF1715,TPCalibEq500!$AZ$2:$BB$56,3,)))</f>
        <v>0</v>
      </c>
      <c r="AT1715" s="10" t="str">
        <f>IF(AND(I1715="TN",S1715&lt;=2800),VLOOKUP(AF1715,TNCalibEq2500!$AZ$2:$BB$56,3,),IF(AND(I1715="TDN",S1715&lt;=2800),VLOOKUP(AF1715,TNCalibEq2500!$AZ$2:$BB$56,3,)))</f>
        <v>y=0.9631x2+173.03x-74.605</v>
      </c>
      <c r="AU1715" s="10" t="str">
        <f>IF(I1715="TP",VLOOKUP(AF1715,TPCalibEqFull!$AZ$2:$BB$56,3),IF(I1715="TDP",VLOOKUP(AF1715,TPCalibEqFull!$AZ$2:$BB$56,3),IF(I1715="TDN",VLOOKUP(AF1715,TNCalibEqFull!$AZ$1:$BB$56,3),IF(I1715="TN",VLOOKUP(AF1715,TNCalibEqFull!$AZ$1:$BB$56,3),FALSE))))</f>
        <v>y=-1.0839x2+204.73x-119.55</v>
      </c>
      <c r="AV1715" s="10" t="str">
        <f t="shared" si="192"/>
        <v>0130 06:00:00-QAC-BLK-A-1-DI-FLD</v>
      </c>
    </row>
    <row r="1716" spans="1:48" s="10" customFormat="1" x14ac:dyDescent="0.55000000000000004">
      <c r="A1716" s="32">
        <v>44956</v>
      </c>
      <c r="B1716" s="33">
        <v>0.22569444444444445</v>
      </c>
      <c r="C1716" s="10" t="s">
        <v>70</v>
      </c>
      <c r="D1716" s="10" t="s">
        <v>241</v>
      </c>
      <c r="E1716" s="10" t="s">
        <v>866</v>
      </c>
      <c r="F1716" s="10">
        <v>1</v>
      </c>
      <c r="G1716" s="10" t="s">
        <v>73</v>
      </c>
      <c r="H1716" s="10" t="s">
        <v>245</v>
      </c>
      <c r="I1716" s="10" t="s">
        <v>235</v>
      </c>
      <c r="J1716" s="10">
        <v>93</v>
      </c>
      <c r="K1716" s="12">
        <v>44958</v>
      </c>
      <c r="L1716" s="33">
        <v>0.66055555555555556</v>
      </c>
      <c r="M1716" s="10">
        <v>1</v>
      </c>
      <c r="N1716" s="10" t="s">
        <v>196</v>
      </c>
      <c r="O1716" s="10">
        <v>0.36699999999999999</v>
      </c>
      <c r="P1716" s="10">
        <v>1.7299999999999999E-2</v>
      </c>
      <c r="Q1716" s="10">
        <v>23.8</v>
      </c>
      <c r="R1716" s="10" t="s">
        <v>170</v>
      </c>
      <c r="S1716" s="34">
        <f t="shared" si="189"/>
        <v>23.8</v>
      </c>
      <c r="T1716" s="10" t="s">
        <v>1123</v>
      </c>
      <c r="U1716" s="34">
        <f t="shared" si="190"/>
        <v>23.8</v>
      </c>
      <c r="V1716" s="31" t="str">
        <f>IF(H1716="CHK",VLOOKUP(I1716,QCCHK,3,),IF(H1716="GUP",VLOOKUP(E1716,QCGUP,2,),IF(AND(H1716="ATP",OR(I1716="TN",I1716="TDN",I1716="TNO2-3",I1716="NO2-3")),VLOOKUP(E1716,QCREC_N,2,),IF(AND(H1716="NIC",OR(I1716="TN",I1716="TDN",I1716="TNO2-3",I1716="NO2-3")),VLOOKUP(E1716,QCNIC_N,2,),IF(AND(H1716="UREA",OR(I1716="TN",I1716="TDN",I1716="TNO2-3",I1716="NO2-3")),VLOOKUP(E1716,QCUREA_N,2,),IF(H1716="PER",VLOOKUP(I1716,QCPER,MATCH(E1716,QCACTUAL!$J$25:$AA$25,0),),IF(H1716="SPK",VLOOKUP(I1716,QCSPK,3,),IF(AND(H1716="ATP",OR(I1716="TP",I1716="TDP")),VLOOKUP(E1716,QCATP_P,2,),""))))))))</f>
        <v/>
      </c>
      <c r="W1716" s="31" t="str">
        <f t="shared" si="191"/>
        <v>FALSE</v>
      </c>
      <c r="X1716" s="31" t="str">
        <f t="shared" si="188"/>
        <v>nominal concentration</v>
      </c>
      <c r="Y1716" s="10" t="s">
        <v>1116</v>
      </c>
      <c r="Z1716" s="10" t="s">
        <v>910</v>
      </c>
      <c r="AF1716" s="12">
        <v>44958</v>
      </c>
      <c r="AJ1716" s="10">
        <f>0.9631*0.367^2+173.03*0.367-74.605</f>
        <v>-10.973271024100008</v>
      </c>
      <c r="AK1716" s="10">
        <f>-1.0839*0.367^2+204.73*0.367-119.55</f>
        <v>-44.560079407100005</v>
      </c>
      <c r="AL1716" s="10" t="str">
        <f t="shared" si="195"/>
        <v>FALSE</v>
      </c>
      <c r="AM1716" s="10" t="str">
        <f t="shared" si="195"/>
        <v>FALSE</v>
      </c>
      <c r="AN1716" s="10" t="str">
        <f t="shared" si="195"/>
        <v>FALSE</v>
      </c>
      <c r="AO1716" s="10" t="str">
        <f t="shared" si="196"/>
        <v>y=0.9631*0.367^2+173.03*0.367-74.605</v>
      </c>
      <c r="AP1716" s="10" t="str">
        <f t="shared" si="196"/>
        <v>y=-1.0839*0.367^2+204.73*0.367-119.55</v>
      </c>
      <c r="AQ1716" s="10" t="b">
        <f>IF(AND(I1716="TP",S1716&lt;=150),VLOOKUP(AF1716,TPCalibEq150!$AZ$2:$BB$55,3,),IF(AND(I1716="TDP",S1716&lt;=150),VLOOKUP(AF1716,TPCalibEq150!$AZ$2:$BB$55,3,)))</f>
        <v>0</v>
      </c>
      <c r="AR1716" s="10" t="b">
        <f>IF(AND(I1716="TP",S1716&lt;=300),VLOOKUP(AF1716,TPCalibEq300!$AZ$2:$BB$55,3,),IF(AND(I1716="TDP",S1716&lt;=300),VLOOKUP(AF1716,TPCalibEq300!$AZ$2:$BB$55,3,)))</f>
        <v>0</v>
      </c>
      <c r="AS1716" s="10" t="b">
        <f>IF(AND(I1716="TP",S1716&lt;=500),VLOOKUP(AF1716,TPCalibEq500!$AZ$2:$BB$56,3,),IF(AND(I1716="TDP",S1716&lt;=500),VLOOKUP(AF1716,TPCalibEq500!$AZ$2:$BB$56,3,)))</f>
        <v>0</v>
      </c>
      <c r="AT1716" s="10" t="str">
        <f>IF(AND(I1716="TN",S1716&lt;=2800),VLOOKUP(AF1716,TNCalibEq2500!$AZ$2:$BB$56,3,),IF(AND(I1716="TDN",S1716&lt;=2800),VLOOKUP(AF1716,TNCalibEq2500!$AZ$2:$BB$56,3,)))</f>
        <v>y=0.9631x2+173.03x-74.605</v>
      </c>
      <c r="AU1716" s="10" t="str">
        <f>IF(I1716="TP",VLOOKUP(AF1716,TPCalibEqFull!$AZ$2:$BB$56,3),IF(I1716="TDP",VLOOKUP(AF1716,TPCalibEqFull!$AZ$2:$BB$56,3),IF(I1716="TDN",VLOOKUP(AF1716,TNCalibEqFull!$AZ$1:$BB$56,3),IF(I1716="TN",VLOOKUP(AF1716,TNCalibEqFull!$AZ$1:$BB$56,3),FALSE))))</f>
        <v>y=-1.0839x2+204.73x-119.55</v>
      </c>
      <c r="AV1716" s="10" t="str">
        <f t="shared" si="192"/>
        <v>0130 05:25:00-QAC-BLK-A-1-DI-ESF</v>
      </c>
    </row>
    <row r="1717" spans="1:48" s="10" customFormat="1" x14ac:dyDescent="0.55000000000000004">
      <c r="A1717" s="32">
        <v>44949</v>
      </c>
      <c r="B1717" s="33">
        <v>0.25</v>
      </c>
      <c r="C1717" s="10" t="s">
        <v>70</v>
      </c>
      <c r="D1717" s="10" t="s">
        <v>241</v>
      </c>
      <c r="E1717" s="10" t="s">
        <v>911</v>
      </c>
      <c r="F1717" s="10">
        <v>1</v>
      </c>
      <c r="G1717" s="10" t="s">
        <v>73</v>
      </c>
      <c r="H1717" s="10" t="s">
        <v>264</v>
      </c>
      <c r="I1717" s="10" t="s">
        <v>224</v>
      </c>
      <c r="J1717" s="10">
        <v>94</v>
      </c>
      <c r="K1717" s="12">
        <v>44958</v>
      </c>
      <c r="L1717" s="33">
        <v>0.66123842592592597</v>
      </c>
      <c r="M1717" s="10">
        <v>1</v>
      </c>
      <c r="N1717" s="10" t="s">
        <v>196</v>
      </c>
      <c r="O1717" s="10">
        <v>0.442</v>
      </c>
      <c r="P1717" s="10">
        <v>2.12E-2</v>
      </c>
      <c r="Q1717" s="10">
        <v>37</v>
      </c>
      <c r="R1717" s="10" t="s">
        <v>170</v>
      </c>
      <c r="S1717" s="34">
        <f t="shared" si="189"/>
        <v>37</v>
      </c>
      <c r="T1717" s="10" t="s">
        <v>1123</v>
      </c>
      <c r="U1717" s="34">
        <f t="shared" si="190"/>
        <v>37</v>
      </c>
      <c r="V1717" s="31" t="str">
        <f>IF(H1717="CHK",VLOOKUP(I1717,QCCHK,3,),IF(H1717="GUP",VLOOKUP(E1717,QCGUP,2,),IF(AND(H1717="ATP",OR(I1717="TN",I1717="TDN",I1717="TNO2-3",I1717="NO2-3")),VLOOKUP(E1717,QCREC_N,2,),IF(AND(H1717="NIC",OR(I1717="TN",I1717="TDN",I1717="TNO2-3",I1717="NO2-3")),VLOOKUP(E1717,QCNIC_N,2,),IF(AND(H1717="UREA",OR(I1717="TN",I1717="TDN",I1717="TNO2-3",I1717="NO2-3")),VLOOKUP(E1717,QCUREA_N,2,),IF(H1717="PER",VLOOKUP(I1717,QCPER,MATCH(E1717,QCACTUAL!$J$25:$AA$25,0),),IF(H1717="SPK",VLOOKUP(I1717,QCSPK,3,),IF(AND(H1717="ATP",OR(I1717="TP",I1717="TDP")),VLOOKUP(E1717,QCATP_P,2,),""))))))))</f>
        <v/>
      </c>
      <c r="W1717" s="31" t="str">
        <f t="shared" si="191"/>
        <v>FALSE</v>
      </c>
      <c r="X1717" s="31" t="str">
        <f t="shared" si="188"/>
        <v>nominal concentration</v>
      </c>
      <c r="Y1717" s="10" t="s">
        <v>1116</v>
      </c>
      <c r="Z1717" s="10" t="s">
        <v>910</v>
      </c>
      <c r="AF1717" s="12">
        <v>44958</v>
      </c>
      <c r="AJ1717" s="10">
        <f>0.9631*0.442^2+173.03*0.442-74.605</f>
        <v>2.0624150683999858</v>
      </c>
      <c r="AK1717" s="10">
        <f>-1.0839*0.442^2+204.73*0.442-119.55</f>
        <v>-29.271095039600013</v>
      </c>
      <c r="AL1717" s="10" t="str">
        <f t="shared" si="195"/>
        <v>FALSE</v>
      </c>
      <c r="AM1717" s="10" t="str">
        <f t="shared" si="195"/>
        <v>FALSE</v>
      </c>
      <c r="AN1717" s="10" t="str">
        <f t="shared" si="195"/>
        <v>FALSE</v>
      </c>
      <c r="AO1717" s="10" t="str">
        <f t="shared" si="196"/>
        <v>y=0.9631*0.442^2+173.03*0.442-74.605</v>
      </c>
      <c r="AP1717" s="10" t="str">
        <f t="shared" si="196"/>
        <v>y=-1.0839*0.442^2+204.73*0.442-119.55</v>
      </c>
      <c r="AQ1717" s="10" t="b">
        <f>IF(AND(I1717="TP",S1717&lt;=150),VLOOKUP(AF1717,TPCalibEq150!$AZ$2:$BB$55,3,),IF(AND(I1717="TDP",S1717&lt;=150),VLOOKUP(AF1717,TPCalibEq150!$AZ$2:$BB$55,3,)))</f>
        <v>0</v>
      </c>
      <c r="AR1717" s="10" t="b">
        <f>IF(AND(I1717="TP",S1717&lt;=300),VLOOKUP(AF1717,TPCalibEq300!$AZ$2:$BB$55,3,),IF(AND(I1717="TDP",S1717&lt;=300),VLOOKUP(AF1717,TPCalibEq300!$AZ$2:$BB$55,3,)))</f>
        <v>0</v>
      </c>
      <c r="AS1717" s="10" t="b">
        <f>IF(AND(I1717="TP",S1717&lt;=500),VLOOKUP(AF1717,TPCalibEq500!$AZ$2:$BB$56,3,),IF(AND(I1717="TDP",S1717&lt;=500),VLOOKUP(AF1717,TPCalibEq500!$AZ$2:$BB$56,3,)))</f>
        <v>0</v>
      </c>
      <c r="AT1717" s="10" t="str">
        <f>IF(AND(I1717="TN",S1717&lt;=2800),VLOOKUP(AF1717,TNCalibEq2500!$AZ$2:$BB$56,3,),IF(AND(I1717="TDN",S1717&lt;=2800),VLOOKUP(AF1717,TNCalibEq2500!$AZ$2:$BB$56,3,)))</f>
        <v>y=0.9631x2+173.03x-74.605</v>
      </c>
      <c r="AU1717" s="10" t="str">
        <f>IF(I1717="TP",VLOOKUP(AF1717,TPCalibEqFull!$AZ$2:$BB$56,3),IF(I1717="TDP",VLOOKUP(AF1717,TPCalibEqFull!$AZ$2:$BB$56,3),IF(I1717="TDN",VLOOKUP(AF1717,TNCalibEqFull!$AZ$1:$BB$56,3),IF(I1717="TN",VLOOKUP(AF1717,TNCalibEqFull!$AZ$1:$BB$56,3),FALSE))))</f>
        <v>y=-1.0839x2+204.73x-119.55</v>
      </c>
      <c r="AV1717" s="10" t="str">
        <f t="shared" si="192"/>
        <v>0123 06:00:00-QAC-BLK-FIL-1-DI-FLD</v>
      </c>
    </row>
    <row r="1718" spans="1:48" s="10" customFormat="1" x14ac:dyDescent="0.55000000000000004">
      <c r="A1718" s="32">
        <v>44956</v>
      </c>
      <c r="B1718" s="33">
        <v>0.25</v>
      </c>
      <c r="C1718" s="10" t="s">
        <v>70</v>
      </c>
      <c r="D1718" s="10" t="s">
        <v>241</v>
      </c>
      <c r="E1718" s="10" t="s">
        <v>911</v>
      </c>
      <c r="F1718" s="10">
        <v>1</v>
      </c>
      <c r="G1718" s="10" t="s">
        <v>73</v>
      </c>
      <c r="H1718" s="10" t="s">
        <v>264</v>
      </c>
      <c r="I1718" s="10" t="s">
        <v>224</v>
      </c>
      <c r="J1718" s="10">
        <v>95</v>
      </c>
      <c r="K1718" s="12">
        <v>44958</v>
      </c>
      <c r="L1718" s="33">
        <v>0.66190972222222222</v>
      </c>
      <c r="M1718" s="10">
        <v>1</v>
      </c>
      <c r="N1718" s="10" t="s">
        <v>196</v>
      </c>
      <c r="O1718" s="10">
        <v>0.45800000000000002</v>
      </c>
      <c r="P1718" s="10">
        <v>2.24E-2</v>
      </c>
      <c r="Q1718" s="10">
        <v>39.700000000000003</v>
      </c>
      <c r="R1718" s="10" t="s">
        <v>170</v>
      </c>
      <c r="S1718" s="34">
        <f t="shared" si="189"/>
        <v>39.700000000000003</v>
      </c>
      <c r="T1718" s="10" t="s">
        <v>1123</v>
      </c>
      <c r="U1718" s="34">
        <f t="shared" si="190"/>
        <v>39.700000000000003</v>
      </c>
      <c r="V1718" s="31" t="str">
        <f>IF(H1718="CHK",VLOOKUP(I1718,QCCHK,3,),IF(H1718="GUP",VLOOKUP(E1718,QCGUP,2,),IF(AND(H1718="ATP",OR(I1718="TN",I1718="TDN",I1718="TNO2-3",I1718="NO2-3")),VLOOKUP(E1718,QCREC_N,2,),IF(AND(H1718="NIC",OR(I1718="TN",I1718="TDN",I1718="TNO2-3",I1718="NO2-3")),VLOOKUP(E1718,QCNIC_N,2,),IF(AND(H1718="UREA",OR(I1718="TN",I1718="TDN",I1718="TNO2-3",I1718="NO2-3")),VLOOKUP(E1718,QCUREA_N,2,),IF(H1718="PER",VLOOKUP(I1718,QCPER,MATCH(E1718,QCACTUAL!$J$25:$AA$25,0),),IF(H1718="SPK",VLOOKUP(I1718,QCSPK,3,),IF(AND(H1718="ATP",OR(I1718="TP",I1718="TDP")),VLOOKUP(E1718,QCATP_P,2,),""))))))))</f>
        <v/>
      </c>
      <c r="W1718" s="31" t="str">
        <f t="shared" si="191"/>
        <v>FALSE</v>
      </c>
      <c r="X1718" s="31" t="str">
        <f t="shared" si="188"/>
        <v>nominal concentration</v>
      </c>
      <c r="Y1718" s="10" t="s">
        <v>1116</v>
      </c>
      <c r="Z1718" s="10" t="s">
        <v>910</v>
      </c>
      <c r="AF1718" s="12">
        <v>44958</v>
      </c>
      <c r="AJ1718" s="10">
        <f>0.9631*0.458^2+173.03*0.458-74.605</f>
        <v>4.8447637084000092</v>
      </c>
      <c r="AK1718" s="10">
        <f>-1.0839*0.458^2+204.73*0.458-119.55</f>
        <v>-26.011023199600004</v>
      </c>
      <c r="AL1718" s="10" t="str">
        <f t="shared" si="195"/>
        <v>FALSE</v>
      </c>
      <c r="AM1718" s="10" t="str">
        <f t="shared" si="195"/>
        <v>FALSE</v>
      </c>
      <c r="AN1718" s="10" t="str">
        <f t="shared" si="195"/>
        <v>FALSE</v>
      </c>
      <c r="AO1718" s="10" t="str">
        <f t="shared" si="196"/>
        <v>y=0.9631*0.458^2+173.03*0.458-74.605</v>
      </c>
      <c r="AP1718" s="10" t="str">
        <f t="shared" si="196"/>
        <v>y=-1.0839*0.458^2+204.73*0.458-119.55</v>
      </c>
      <c r="AQ1718" s="10" t="b">
        <f>IF(AND(I1718="TP",S1718&lt;=150),VLOOKUP(AF1718,TPCalibEq150!$AZ$2:$BB$55,3,),IF(AND(I1718="TDP",S1718&lt;=150),VLOOKUP(AF1718,TPCalibEq150!$AZ$2:$BB$55,3,)))</f>
        <v>0</v>
      </c>
      <c r="AR1718" s="10" t="b">
        <f>IF(AND(I1718="TP",S1718&lt;=300),VLOOKUP(AF1718,TPCalibEq300!$AZ$2:$BB$55,3,),IF(AND(I1718="TDP",S1718&lt;=300),VLOOKUP(AF1718,TPCalibEq300!$AZ$2:$BB$55,3,)))</f>
        <v>0</v>
      </c>
      <c r="AS1718" s="10" t="b">
        <f>IF(AND(I1718="TP",S1718&lt;=500),VLOOKUP(AF1718,TPCalibEq500!$AZ$2:$BB$56,3,),IF(AND(I1718="TDP",S1718&lt;=500),VLOOKUP(AF1718,TPCalibEq500!$AZ$2:$BB$56,3,)))</f>
        <v>0</v>
      </c>
      <c r="AT1718" s="10" t="str">
        <f>IF(AND(I1718="TN",S1718&lt;=2800),VLOOKUP(AF1718,TNCalibEq2500!$AZ$2:$BB$56,3,),IF(AND(I1718="TDN",S1718&lt;=2800),VLOOKUP(AF1718,TNCalibEq2500!$AZ$2:$BB$56,3,)))</f>
        <v>y=0.9631x2+173.03x-74.605</v>
      </c>
      <c r="AU1718" s="10" t="str">
        <f>IF(I1718="TP",VLOOKUP(AF1718,TPCalibEqFull!$AZ$2:$BB$56,3),IF(I1718="TDP",VLOOKUP(AF1718,TPCalibEqFull!$AZ$2:$BB$56,3),IF(I1718="TDN",VLOOKUP(AF1718,TNCalibEqFull!$AZ$1:$BB$56,3),IF(I1718="TN",VLOOKUP(AF1718,TNCalibEqFull!$AZ$1:$BB$56,3),FALSE))))</f>
        <v>y=-1.0839x2+204.73x-119.55</v>
      </c>
      <c r="AV1718" s="10" t="str">
        <f t="shared" si="192"/>
        <v>0130 06:00:00-QAC-BLK-FIL-1-DI-FLD</v>
      </c>
    </row>
    <row r="1719" spans="1:48" s="10" customFormat="1" x14ac:dyDescent="0.55000000000000004">
      <c r="A1719" s="32">
        <v>44956</v>
      </c>
      <c r="B1719" s="33">
        <v>0.22569444444444445</v>
      </c>
      <c r="C1719" s="10" t="s">
        <v>70</v>
      </c>
      <c r="D1719" s="10" t="s">
        <v>241</v>
      </c>
      <c r="E1719" s="10" t="s">
        <v>911</v>
      </c>
      <c r="F1719" s="10">
        <v>1</v>
      </c>
      <c r="G1719" s="10" t="s">
        <v>73</v>
      </c>
      <c r="H1719" s="10" t="s">
        <v>245</v>
      </c>
      <c r="I1719" s="10" t="s">
        <v>224</v>
      </c>
      <c r="J1719" s="10">
        <v>96</v>
      </c>
      <c r="K1719" s="12">
        <v>44958</v>
      </c>
      <c r="L1719" s="33">
        <v>0.66258101851851847</v>
      </c>
      <c r="M1719" s="10">
        <v>1</v>
      </c>
      <c r="N1719" s="10" t="s">
        <v>196</v>
      </c>
      <c r="O1719" s="10">
        <v>0.42</v>
      </c>
      <c r="P1719" s="10">
        <v>2.01E-2</v>
      </c>
      <c r="Q1719" s="10">
        <v>33.1</v>
      </c>
      <c r="R1719" s="10" t="s">
        <v>170</v>
      </c>
      <c r="S1719" s="34">
        <f t="shared" si="189"/>
        <v>33.1</v>
      </c>
      <c r="T1719" s="10" t="s">
        <v>1123</v>
      </c>
      <c r="U1719" s="34">
        <f t="shared" si="190"/>
        <v>33.1</v>
      </c>
      <c r="V1719" s="31" t="str">
        <f>IF(H1719="CHK",VLOOKUP(I1719,QCCHK,3,),IF(H1719="GUP",VLOOKUP(E1719,QCGUP,2,),IF(AND(H1719="ATP",OR(I1719="TN",I1719="TDN",I1719="TNO2-3",I1719="NO2-3")),VLOOKUP(E1719,QCREC_N,2,),IF(AND(H1719="NIC",OR(I1719="TN",I1719="TDN",I1719="TNO2-3",I1719="NO2-3")),VLOOKUP(E1719,QCNIC_N,2,),IF(AND(H1719="UREA",OR(I1719="TN",I1719="TDN",I1719="TNO2-3",I1719="NO2-3")),VLOOKUP(E1719,QCUREA_N,2,),IF(H1719="PER",VLOOKUP(I1719,QCPER,MATCH(E1719,QCACTUAL!$J$25:$AA$25,0),),IF(H1719="SPK",VLOOKUP(I1719,QCSPK,3,),IF(AND(H1719="ATP",OR(I1719="TP",I1719="TDP")),VLOOKUP(E1719,QCATP_P,2,),""))))))))</f>
        <v/>
      </c>
      <c r="W1719" s="31" t="str">
        <f t="shared" si="191"/>
        <v>FALSE</v>
      </c>
      <c r="X1719" s="31" t="str">
        <f t="shared" si="188"/>
        <v>nominal concentration</v>
      </c>
      <c r="Y1719" s="10" t="s">
        <v>1116</v>
      </c>
      <c r="Z1719" s="10" t="s">
        <v>910</v>
      </c>
      <c r="AF1719" s="12">
        <v>44958</v>
      </c>
      <c r="AJ1719" s="10">
        <f>0.9631*0.42^2+173.03*0.42-74.605</f>
        <v>-1.7625091600000076</v>
      </c>
      <c r="AK1719" s="10">
        <f>-1.0839*0.42^2+204.73*0.42-119.55</f>
        <v>-33.754599960000007</v>
      </c>
      <c r="AL1719" s="10" t="str">
        <f t="shared" si="195"/>
        <v>FALSE</v>
      </c>
      <c r="AM1719" s="10" t="str">
        <f t="shared" si="195"/>
        <v>FALSE</v>
      </c>
      <c r="AN1719" s="10" t="str">
        <f t="shared" si="195"/>
        <v>FALSE</v>
      </c>
      <c r="AO1719" s="10" t="str">
        <f t="shared" si="196"/>
        <v>y=0.9631*0.42^2+173.03*0.42-74.605</v>
      </c>
      <c r="AP1719" s="10" t="str">
        <f t="shared" si="196"/>
        <v>y=-1.0839*0.42^2+204.73*0.42-119.55</v>
      </c>
      <c r="AQ1719" s="10" t="b">
        <f>IF(AND(I1719="TP",S1719&lt;=150),VLOOKUP(AF1719,TPCalibEq150!$AZ$2:$BB$55,3,),IF(AND(I1719="TDP",S1719&lt;=150),VLOOKUP(AF1719,TPCalibEq150!$AZ$2:$BB$55,3,)))</f>
        <v>0</v>
      </c>
      <c r="AR1719" s="10" t="b">
        <f>IF(AND(I1719="TP",S1719&lt;=300),VLOOKUP(AF1719,TPCalibEq300!$AZ$2:$BB$55,3,),IF(AND(I1719="TDP",S1719&lt;=300),VLOOKUP(AF1719,TPCalibEq300!$AZ$2:$BB$55,3,)))</f>
        <v>0</v>
      </c>
      <c r="AS1719" s="10" t="b">
        <f>IF(AND(I1719="TP",S1719&lt;=500),VLOOKUP(AF1719,TPCalibEq500!$AZ$2:$BB$56,3,),IF(AND(I1719="TDP",S1719&lt;=500),VLOOKUP(AF1719,TPCalibEq500!$AZ$2:$BB$56,3,)))</f>
        <v>0</v>
      </c>
      <c r="AT1719" s="10" t="str">
        <f>IF(AND(I1719="TN",S1719&lt;=2800),VLOOKUP(AF1719,TNCalibEq2500!$AZ$2:$BB$56,3,),IF(AND(I1719="TDN",S1719&lt;=2800),VLOOKUP(AF1719,TNCalibEq2500!$AZ$2:$BB$56,3,)))</f>
        <v>y=0.9631x2+173.03x-74.605</v>
      </c>
      <c r="AU1719" s="10" t="str">
        <f>IF(I1719="TP",VLOOKUP(AF1719,TPCalibEqFull!$AZ$2:$BB$56,3),IF(I1719="TDP",VLOOKUP(AF1719,TPCalibEqFull!$AZ$2:$BB$56,3),IF(I1719="TDN",VLOOKUP(AF1719,TNCalibEqFull!$AZ$1:$BB$56,3),IF(I1719="TN",VLOOKUP(AF1719,TNCalibEqFull!$AZ$1:$BB$56,3),FALSE))))</f>
        <v>y=-1.0839x2+204.73x-119.55</v>
      </c>
      <c r="AV1719" s="10" t="str">
        <f t="shared" si="192"/>
        <v>0130 05:25:00-QAC-BLK-FIL-1-DI-ESF</v>
      </c>
    </row>
    <row r="1720" spans="1:48" s="10" customFormat="1" x14ac:dyDescent="0.55000000000000004">
      <c r="A1720" s="32">
        <v>44958</v>
      </c>
      <c r="B1720" s="33">
        <v>0.375</v>
      </c>
      <c r="C1720" s="10" t="s">
        <v>70</v>
      </c>
      <c r="D1720" s="10" t="s">
        <v>71</v>
      </c>
      <c r="E1720" s="10" t="s">
        <v>901</v>
      </c>
      <c r="F1720" s="10">
        <v>1</v>
      </c>
      <c r="G1720" s="10" t="s">
        <v>73</v>
      </c>
      <c r="H1720" s="10" t="s">
        <v>207</v>
      </c>
      <c r="I1720" s="10" t="s">
        <v>235</v>
      </c>
      <c r="J1720" s="10">
        <v>199</v>
      </c>
      <c r="K1720" s="12">
        <v>44958</v>
      </c>
      <c r="L1720" s="33">
        <v>0.66325231481481484</v>
      </c>
      <c r="M1720" s="10">
        <v>1</v>
      </c>
      <c r="N1720" s="10" t="s">
        <v>196</v>
      </c>
      <c r="O1720" s="10">
        <v>7.33</v>
      </c>
      <c r="P1720" s="10">
        <v>0.36</v>
      </c>
      <c r="Q1720" s="10">
        <v>1240</v>
      </c>
      <c r="R1720" s="10" t="s">
        <v>170</v>
      </c>
      <c r="S1720" s="34">
        <f t="shared" si="189"/>
        <v>1322.8841452899999</v>
      </c>
      <c r="T1720" s="10" t="s">
        <v>1123</v>
      </c>
      <c r="U1720" s="34">
        <f t="shared" si="190"/>
        <v>105.83073162319998</v>
      </c>
      <c r="V1720" s="31">
        <f>IF(H1720="CHK",VLOOKUP(I1720,QCCHK,3,),IF(H1720="GUP",VLOOKUP(E1720,QCGUP,2,),IF(AND(H1720="ATP",OR(I1720="TN",I1720="TDN",I1720="TNO2-3",I1720="NO2-3")),VLOOKUP(E1720,QCREC_N,2,),IF(AND(H1720="NIC",OR(I1720="TN",I1720="TDN",I1720="TNO2-3",I1720="NO2-3")),VLOOKUP(E1720,QCNIC_N,2,),IF(AND(H1720="UREA",OR(I1720="TN",I1720="TDN",I1720="TNO2-3",I1720="NO2-3")),VLOOKUP(E1720,QCUREA_N,2,),IF(H1720="PER",VLOOKUP(I1720,QCPER,MATCH(E1720,QCACTUAL!$J$25:$AA$25,0),),IF(H1720="SPK",VLOOKUP(I1720,QCSPK,3,),IF(AND(H1720="ATP",OR(I1720="TP",I1720="TDP")),VLOOKUP(E1720,QCATP_P,2,),""))))))))</f>
        <v>1250</v>
      </c>
      <c r="W1720" s="31" t="str">
        <f t="shared" si="191"/>
        <v>TRUE</v>
      </c>
      <c r="X1720" s="31" t="str">
        <f t="shared" si="188"/>
        <v>[chk]/[actual]*100</v>
      </c>
      <c r="Y1720" s="10" t="s">
        <v>1116</v>
      </c>
      <c r="AF1720" s="12">
        <v>44958</v>
      </c>
      <c r="AJ1720" s="10">
        <f>0.9631*7.33^2+173.03*7.33-74.605</f>
        <v>1245.45120359</v>
      </c>
      <c r="AK1720" s="10">
        <f>-1.0839*7.33^2+204.73*7.33-119.55</f>
        <v>1322.8841452899999</v>
      </c>
      <c r="AL1720" s="10" t="str">
        <f t="shared" si="195"/>
        <v>FALSE</v>
      </c>
      <c r="AM1720" s="10" t="str">
        <f t="shared" si="195"/>
        <v>FALSE</v>
      </c>
      <c r="AN1720" s="10" t="str">
        <f t="shared" si="195"/>
        <v>FALSE</v>
      </c>
      <c r="AO1720" s="10" t="str">
        <f t="shared" si="196"/>
        <v>y=0.9631*7.33^2+173.03*7.33-74.605</v>
      </c>
      <c r="AP1720" s="10" t="str">
        <f t="shared" si="196"/>
        <v>y=-1.0839*7.33^2+204.73*7.33-119.55</v>
      </c>
      <c r="AQ1720" s="10" t="b">
        <f>IF(AND(I1720="TP",S1720&lt;=150),VLOOKUP(AF1720,TPCalibEq150!$AZ$2:$BB$55,3,),IF(AND(I1720="TDP",S1720&lt;=150),VLOOKUP(AF1720,TPCalibEq150!$AZ$2:$BB$55,3,)))</f>
        <v>0</v>
      </c>
      <c r="AR1720" s="10" t="b">
        <f>IF(AND(I1720="TP",S1720&lt;=300),VLOOKUP(AF1720,TPCalibEq300!$AZ$2:$BB$55,3,),IF(AND(I1720="TDP",S1720&lt;=300),VLOOKUP(AF1720,TPCalibEq300!$AZ$2:$BB$55,3,)))</f>
        <v>0</v>
      </c>
      <c r="AS1720" s="10" t="b">
        <f>IF(AND(I1720="TP",S1720&lt;=500),VLOOKUP(AF1720,TPCalibEq500!$AZ$2:$BB$56,3,),IF(AND(I1720="TDP",S1720&lt;=500),VLOOKUP(AF1720,TPCalibEq500!$AZ$2:$BB$56,3,)))</f>
        <v>0</v>
      </c>
      <c r="AT1720" s="10" t="str">
        <f>IF(AND(I1720="TN",S1720&lt;=2800),VLOOKUP(AF1720,TNCalibEq2500!$AZ$2:$BB$56,3,),IF(AND(I1720="TDN",S1720&lt;=2800),VLOOKUP(AF1720,TNCalibEq2500!$AZ$2:$BB$56,3,)))</f>
        <v>y=0.9631x2+173.03x-74.605</v>
      </c>
      <c r="AU1720" s="10" t="str">
        <f>IF(I1720="TP",VLOOKUP(AF1720,TPCalibEqFull!$AZ$2:$BB$56,3),IF(I1720="TDP",VLOOKUP(AF1720,TPCalibEqFull!$AZ$2:$BB$56,3),IF(I1720="TDN",VLOOKUP(AF1720,TNCalibEqFull!$AZ$1:$BB$56,3),IF(I1720="TN",VLOOKUP(AF1720,TNCalibEqFull!$AZ$1:$BB$56,3),FALSE))))</f>
        <v>y=-1.0839x2+204.73x-119.55</v>
      </c>
      <c r="AV1720" s="10" t="str">
        <f t="shared" si="192"/>
        <v>0201 09:00:00-QAC-STD-D-1-DI-CHK</v>
      </c>
    </row>
    <row r="1721" spans="1:48" s="10" customFormat="1" x14ac:dyDescent="0.55000000000000004">
      <c r="A1721" s="32">
        <v>44949</v>
      </c>
      <c r="B1721" s="33">
        <v>0.33333333333333331</v>
      </c>
      <c r="C1721" s="10" t="s">
        <v>279</v>
      </c>
      <c r="D1721" s="10">
        <v>0</v>
      </c>
      <c r="E1721" s="10" t="s">
        <v>190</v>
      </c>
      <c r="F1721" s="10">
        <v>1</v>
      </c>
      <c r="G1721" s="10" t="s">
        <v>231</v>
      </c>
      <c r="H1721" s="10" t="s">
        <v>322</v>
      </c>
      <c r="I1721" s="10" t="s">
        <v>235</v>
      </c>
      <c r="J1721" s="10">
        <v>1</v>
      </c>
      <c r="K1721" s="12">
        <v>44958</v>
      </c>
      <c r="L1721" s="33">
        <v>0.66393518518518524</v>
      </c>
      <c r="M1721" s="10">
        <v>1</v>
      </c>
      <c r="N1721" s="10" t="s">
        <v>196</v>
      </c>
      <c r="O1721" s="10">
        <v>7.62</v>
      </c>
      <c r="P1721" s="10">
        <v>0.375</v>
      </c>
      <c r="Q1721" s="10">
        <v>1290</v>
      </c>
      <c r="R1721" s="10" t="s">
        <v>170</v>
      </c>
      <c r="S1721" s="34">
        <f t="shared" si="189"/>
        <v>1377.5565968400001</v>
      </c>
      <c r="T1721" s="10" t="s">
        <v>1123</v>
      </c>
      <c r="U1721" s="34" t="str">
        <f t="shared" si="190"/>
        <v/>
      </c>
      <c r="V1721" s="31" t="str">
        <f>IF(H1721="CHK",VLOOKUP(I1721,QCCHK,3,),IF(H1721="GUP",VLOOKUP(E1721,QCGUP,2,),IF(AND(H1721="ATP",OR(I1721="TN",I1721="TDN",I1721="TNO2-3",I1721="NO2-3")),VLOOKUP(E1721,QCREC_N,2,),IF(AND(H1721="NIC",OR(I1721="TN",I1721="TDN",I1721="TNO2-3",I1721="NO2-3")),VLOOKUP(E1721,QCNIC_N,2,),IF(AND(H1721="UREA",OR(I1721="TN",I1721="TDN",I1721="TNO2-3",I1721="NO2-3")),VLOOKUP(E1721,QCUREA_N,2,),IF(H1721="PER",VLOOKUP(I1721,QCPER,MATCH(E1721,QCACTUAL!$J$25:$AA$25,0),),IF(H1721="SPK",VLOOKUP(I1721,QCSPK,3,),IF(AND(H1721="ATP",OR(I1721="TP",I1721="TDP")),VLOOKUP(E1721,QCATP_P,2,),""))))))))</f>
        <v/>
      </c>
      <c r="W1721" s="31" t="str">
        <f t="shared" si="191"/>
        <v>TRUE</v>
      </c>
      <c r="X1721" s="31" t="str">
        <f t="shared" si="188"/>
        <v/>
      </c>
      <c r="Y1721" s="10" t="s">
        <v>1116</v>
      </c>
      <c r="Z1721" s="10" t="s">
        <v>910</v>
      </c>
      <c r="AF1721" s="12">
        <v>44958</v>
      </c>
      <c r="AJ1721" s="10">
        <f>0.9631*7.62^2+173.03*7.62-74.605</f>
        <v>1299.8054236400001</v>
      </c>
      <c r="AK1721" s="10">
        <f>-1.0839*7.62^2+204.73*7.62-119.55</f>
        <v>1377.5565968400001</v>
      </c>
      <c r="AL1721" s="10" t="str">
        <f t="shared" si="195"/>
        <v>FALSE</v>
      </c>
      <c r="AM1721" s="10" t="str">
        <f t="shared" si="195"/>
        <v>FALSE</v>
      </c>
      <c r="AN1721" s="10" t="str">
        <f t="shared" si="195"/>
        <v>FALSE</v>
      </c>
      <c r="AO1721" s="10" t="str">
        <f t="shared" si="196"/>
        <v>y=0.9631*7.62^2+173.03*7.62-74.605</v>
      </c>
      <c r="AP1721" s="10" t="str">
        <f t="shared" si="196"/>
        <v>y=-1.0839*7.62^2+204.73*7.62-119.55</v>
      </c>
      <c r="AQ1721" s="10" t="b">
        <f>IF(AND(I1721="TP",S1721&lt;=150),VLOOKUP(AF1721,TPCalibEq150!$AZ$2:$BB$55,3,),IF(AND(I1721="TDP",S1721&lt;=150),VLOOKUP(AF1721,TPCalibEq150!$AZ$2:$BB$55,3,)))</f>
        <v>0</v>
      </c>
      <c r="AR1721" s="10" t="b">
        <f>IF(AND(I1721="TP",S1721&lt;=300),VLOOKUP(AF1721,TPCalibEq300!$AZ$2:$BB$55,3,),IF(AND(I1721="TDP",S1721&lt;=300),VLOOKUP(AF1721,TPCalibEq300!$AZ$2:$BB$55,3,)))</f>
        <v>0</v>
      </c>
      <c r="AS1721" s="10" t="b">
        <f>IF(AND(I1721="TP",S1721&lt;=500),VLOOKUP(AF1721,TPCalibEq500!$AZ$2:$BB$56,3,),IF(AND(I1721="TDP",S1721&lt;=500),VLOOKUP(AF1721,TPCalibEq500!$AZ$2:$BB$56,3,)))</f>
        <v>0</v>
      </c>
      <c r="AT1721" s="10" t="str">
        <f>IF(AND(I1721="TN",S1721&lt;=2800),VLOOKUP(AF1721,TNCalibEq2500!$AZ$2:$BB$56,3,),IF(AND(I1721="TDN",S1721&lt;=2800),VLOOKUP(AF1721,TNCalibEq2500!$AZ$2:$BB$56,3,)))</f>
        <v>y=0.9631x2+173.03x-74.605</v>
      </c>
      <c r="AU1721" s="10" t="str">
        <f>IF(I1721="TP",VLOOKUP(AF1721,TPCalibEqFull!$AZ$2:$BB$56,3),IF(I1721="TDP",VLOOKUP(AF1721,TPCalibEqFull!$AZ$2:$BB$56,3),IF(I1721="TDN",VLOOKUP(AF1721,TNCalibEqFull!$AZ$1:$BB$56,3),IF(I1721="TN",VLOOKUP(AF1721,TNCalibEqFull!$AZ$1:$BB$56,3),FALSE))))</f>
        <v>y=-1.0839x2+204.73x-119.55</v>
      </c>
      <c r="AV1721" s="10" t="str">
        <f t="shared" si="192"/>
        <v>0123 08:00:00-EFK-0-C-1-SW-UKN</v>
      </c>
    </row>
    <row r="1722" spans="1:48" s="10" customFormat="1" x14ac:dyDescent="0.55000000000000004">
      <c r="A1722" s="32">
        <v>44949</v>
      </c>
      <c r="B1722" s="33">
        <v>0.32083333333333336</v>
      </c>
      <c r="C1722" s="10" t="s">
        <v>333</v>
      </c>
      <c r="D1722" s="10">
        <v>0</v>
      </c>
      <c r="E1722" s="10" t="s">
        <v>190</v>
      </c>
      <c r="F1722" s="10">
        <v>1</v>
      </c>
      <c r="G1722" s="10" t="s">
        <v>231</v>
      </c>
      <c r="H1722" s="10" t="s">
        <v>322</v>
      </c>
      <c r="I1722" s="10" t="s">
        <v>235</v>
      </c>
      <c r="J1722" s="10">
        <v>2</v>
      </c>
      <c r="K1722" s="12">
        <v>44958</v>
      </c>
      <c r="L1722" s="33">
        <v>0.66460648148148149</v>
      </c>
      <c r="M1722" s="10">
        <v>1</v>
      </c>
      <c r="N1722" s="10" t="s">
        <v>196</v>
      </c>
      <c r="O1722" s="10">
        <v>6.78</v>
      </c>
      <c r="P1722" s="10">
        <v>0.33100000000000002</v>
      </c>
      <c r="Q1722" s="10">
        <v>1140</v>
      </c>
      <c r="R1722" s="10" t="s">
        <v>170</v>
      </c>
      <c r="S1722" s="34">
        <f t="shared" si="189"/>
        <v>1218.6942512400001</v>
      </c>
      <c r="T1722" s="10" t="s">
        <v>1123</v>
      </c>
      <c r="U1722" s="34" t="str">
        <f t="shared" si="190"/>
        <v/>
      </c>
      <c r="V1722" s="31" t="str">
        <f>IF(H1722="CHK",VLOOKUP(I1722,QCCHK,3,),IF(H1722="GUP",VLOOKUP(E1722,QCGUP,2,),IF(AND(H1722="ATP",OR(I1722="TN",I1722="TDN",I1722="TNO2-3",I1722="NO2-3")),VLOOKUP(E1722,QCREC_N,2,),IF(AND(H1722="NIC",OR(I1722="TN",I1722="TDN",I1722="TNO2-3",I1722="NO2-3")),VLOOKUP(E1722,QCNIC_N,2,),IF(AND(H1722="UREA",OR(I1722="TN",I1722="TDN",I1722="TNO2-3",I1722="NO2-3")),VLOOKUP(E1722,QCUREA_N,2,),IF(H1722="PER",VLOOKUP(I1722,QCPER,MATCH(E1722,QCACTUAL!$J$25:$AA$25,0),),IF(H1722="SPK",VLOOKUP(I1722,QCSPK,3,),IF(AND(H1722="ATP",OR(I1722="TP",I1722="TDP")),VLOOKUP(E1722,QCATP_P,2,),""))))))))</f>
        <v/>
      </c>
      <c r="W1722" s="31" t="str">
        <f t="shared" si="191"/>
        <v>TRUE</v>
      </c>
      <c r="X1722" s="31" t="str">
        <f t="shared" si="188"/>
        <v/>
      </c>
      <c r="Y1722" s="10" t="s">
        <v>1116</v>
      </c>
      <c r="Z1722" s="10" t="s">
        <v>910</v>
      </c>
      <c r="AF1722" s="12">
        <v>44958</v>
      </c>
      <c r="AJ1722" s="10">
        <f>0.9631*6.78^2+173.03*6.78-74.605</f>
        <v>1142.8105660400001</v>
      </c>
      <c r="AK1722" s="10">
        <f>-1.0839*6.78^2+204.73*6.78-119.55</f>
        <v>1218.6942512400001</v>
      </c>
      <c r="AL1722" s="10" t="str">
        <f t="shared" si="195"/>
        <v>FALSE</v>
      </c>
      <c r="AM1722" s="10" t="str">
        <f t="shared" si="195"/>
        <v>FALSE</v>
      </c>
      <c r="AN1722" s="10" t="str">
        <f t="shared" si="195"/>
        <v>FALSE</v>
      </c>
      <c r="AO1722" s="10" t="str">
        <f t="shared" si="196"/>
        <v>y=0.9631*6.78^2+173.03*6.78-74.605</v>
      </c>
      <c r="AP1722" s="10" t="str">
        <f t="shared" si="196"/>
        <v>y=-1.0839*6.78^2+204.73*6.78-119.55</v>
      </c>
      <c r="AQ1722" s="10" t="b">
        <f>IF(AND(I1722="TP",S1722&lt;=150),VLOOKUP(AF1722,TPCalibEq150!$AZ$2:$BB$55,3,),IF(AND(I1722="TDP",S1722&lt;=150),VLOOKUP(AF1722,TPCalibEq150!$AZ$2:$BB$55,3,)))</f>
        <v>0</v>
      </c>
      <c r="AR1722" s="10" t="b">
        <f>IF(AND(I1722="TP",S1722&lt;=300),VLOOKUP(AF1722,TPCalibEq300!$AZ$2:$BB$55,3,),IF(AND(I1722="TDP",S1722&lt;=300),VLOOKUP(AF1722,TPCalibEq300!$AZ$2:$BB$55,3,)))</f>
        <v>0</v>
      </c>
      <c r="AS1722" s="10" t="b">
        <f>IF(AND(I1722="TP",S1722&lt;=500),VLOOKUP(AF1722,TPCalibEq500!$AZ$2:$BB$56,3,),IF(AND(I1722="TDP",S1722&lt;=500),VLOOKUP(AF1722,TPCalibEq500!$AZ$2:$BB$56,3,)))</f>
        <v>0</v>
      </c>
      <c r="AT1722" s="10" t="str">
        <f>IF(AND(I1722="TN",S1722&lt;=2800),VLOOKUP(AF1722,TNCalibEq2500!$AZ$2:$BB$56,3,),IF(AND(I1722="TDN",S1722&lt;=2800),VLOOKUP(AF1722,TNCalibEq2500!$AZ$2:$BB$56,3,)))</f>
        <v>y=0.9631x2+173.03x-74.605</v>
      </c>
      <c r="AU1722" s="10" t="str">
        <f>IF(I1722="TP",VLOOKUP(AF1722,TPCalibEqFull!$AZ$2:$BB$56,3),IF(I1722="TDP",VLOOKUP(AF1722,TPCalibEqFull!$AZ$2:$BB$56,3),IF(I1722="TDN",VLOOKUP(AF1722,TNCalibEqFull!$AZ$1:$BB$56,3),IF(I1722="TN",VLOOKUP(AF1722,TNCalibEqFull!$AZ$1:$BB$56,3),FALSE))))</f>
        <v>y=-1.0839x2+204.73x-119.55</v>
      </c>
      <c r="AV1722" s="10" t="str">
        <f t="shared" si="192"/>
        <v>0123 07:42:00-HST-0-C-1-SW-UKN</v>
      </c>
    </row>
    <row r="1723" spans="1:48" s="10" customFormat="1" x14ac:dyDescent="0.55000000000000004">
      <c r="A1723" s="32">
        <v>44950</v>
      </c>
      <c r="B1723" s="33">
        <v>0.5708333333333333</v>
      </c>
      <c r="C1723" s="10" t="s">
        <v>279</v>
      </c>
      <c r="D1723" s="10">
        <v>0</v>
      </c>
      <c r="E1723" s="10" t="s">
        <v>190</v>
      </c>
      <c r="F1723" s="10">
        <v>1</v>
      </c>
      <c r="G1723" s="10" t="s">
        <v>231</v>
      </c>
      <c r="H1723" s="10" t="s">
        <v>322</v>
      </c>
      <c r="I1723" s="10" t="s">
        <v>235</v>
      </c>
      <c r="J1723" s="10">
        <v>3</v>
      </c>
      <c r="K1723" s="12">
        <v>44958</v>
      </c>
      <c r="L1723" s="33">
        <v>0.66528935185185178</v>
      </c>
      <c r="M1723" s="10">
        <v>1</v>
      </c>
      <c r="N1723" s="10" t="s">
        <v>196</v>
      </c>
      <c r="O1723" s="10">
        <v>7.31</v>
      </c>
      <c r="P1723" s="10">
        <v>0.35899999999999999</v>
      </c>
      <c r="Q1723" s="10">
        <v>1240</v>
      </c>
      <c r="R1723" s="10" t="s">
        <v>170</v>
      </c>
      <c r="S1723" s="34">
        <f t="shared" si="189"/>
        <v>1319.1069112099999</v>
      </c>
      <c r="T1723" s="10" t="s">
        <v>1123</v>
      </c>
      <c r="U1723" s="34" t="str">
        <f t="shared" si="190"/>
        <v/>
      </c>
      <c r="V1723" s="31" t="str">
        <f>IF(H1723="CHK",VLOOKUP(I1723,QCCHK,3,),IF(H1723="GUP",VLOOKUP(E1723,QCGUP,2,),IF(AND(H1723="ATP",OR(I1723="TN",I1723="TDN",I1723="TNO2-3",I1723="NO2-3")),VLOOKUP(E1723,QCREC_N,2,),IF(AND(H1723="NIC",OR(I1723="TN",I1723="TDN",I1723="TNO2-3",I1723="NO2-3")),VLOOKUP(E1723,QCNIC_N,2,),IF(AND(H1723="UREA",OR(I1723="TN",I1723="TDN",I1723="TNO2-3",I1723="NO2-3")),VLOOKUP(E1723,QCUREA_N,2,),IF(H1723="PER",VLOOKUP(I1723,QCPER,MATCH(E1723,QCACTUAL!$J$25:$AA$25,0),),IF(H1723="SPK",VLOOKUP(I1723,QCSPK,3,),IF(AND(H1723="ATP",OR(I1723="TP",I1723="TDP")),VLOOKUP(E1723,QCATP_P,2,),""))))))))</f>
        <v/>
      </c>
      <c r="W1723" s="31" t="str">
        <f t="shared" si="191"/>
        <v>TRUE</v>
      </c>
      <c r="X1723" s="31" t="str">
        <f t="shared" si="188"/>
        <v/>
      </c>
      <c r="Y1723" s="10" t="s">
        <v>1116</v>
      </c>
      <c r="Z1723" s="10" t="s">
        <v>910</v>
      </c>
      <c r="AF1723" s="12">
        <v>44958</v>
      </c>
      <c r="AJ1723" s="10">
        <f>0.9631*7.31^2+173.03*7.31-74.605</f>
        <v>1241.7086079099997</v>
      </c>
      <c r="AK1723" s="10">
        <f>-1.0839*7.31^2+204.73*7.31-119.55</f>
        <v>1319.1069112099999</v>
      </c>
      <c r="AL1723" s="10" t="str">
        <f t="shared" si="195"/>
        <v>FALSE</v>
      </c>
      <c r="AM1723" s="10" t="str">
        <f t="shared" si="195"/>
        <v>FALSE</v>
      </c>
      <c r="AN1723" s="10" t="str">
        <f t="shared" si="195"/>
        <v>FALSE</v>
      </c>
      <c r="AO1723" s="10" t="str">
        <f t="shared" si="196"/>
        <v>y=0.9631*7.31^2+173.03*7.31-74.605</v>
      </c>
      <c r="AP1723" s="10" t="str">
        <f t="shared" si="196"/>
        <v>y=-1.0839*7.31^2+204.73*7.31-119.55</v>
      </c>
      <c r="AQ1723" s="10" t="b">
        <f>IF(AND(I1723="TP",S1723&lt;=150),VLOOKUP(AF1723,TPCalibEq150!$AZ$2:$BB$55,3,),IF(AND(I1723="TDP",S1723&lt;=150),VLOOKUP(AF1723,TPCalibEq150!$AZ$2:$BB$55,3,)))</f>
        <v>0</v>
      </c>
      <c r="AR1723" s="10" t="b">
        <f>IF(AND(I1723="TP",S1723&lt;=300),VLOOKUP(AF1723,TPCalibEq300!$AZ$2:$BB$55,3,),IF(AND(I1723="TDP",S1723&lt;=300),VLOOKUP(AF1723,TPCalibEq300!$AZ$2:$BB$55,3,)))</f>
        <v>0</v>
      </c>
      <c r="AS1723" s="10" t="b">
        <f>IF(AND(I1723="TP",S1723&lt;=500),VLOOKUP(AF1723,TPCalibEq500!$AZ$2:$BB$56,3,),IF(AND(I1723="TDP",S1723&lt;=500),VLOOKUP(AF1723,TPCalibEq500!$AZ$2:$BB$56,3,)))</f>
        <v>0</v>
      </c>
      <c r="AT1723" s="10" t="str">
        <f>IF(AND(I1723="TN",S1723&lt;=2800),VLOOKUP(AF1723,TNCalibEq2500!$AZ$2:$BB$56,3,),IF(AND(I1723="TDN",S1723&lt;=2800),VLOOKUP(AF1723,TNCalibEq2500!$AZ$2:$BB$56,3,)))</f>
        <v>y=0.9631x2+173.03x-74.605</v>
      </c>
      <c r="AU1723" s="10" t="str">
        <f>IF(I1723="TP",VLOOKUP(AF1723,TPCalibEqFull!$AZ$2:$BB$56,3),IF(I1723="TDP",VLOOKUP(AF1723,TPCalibEqFull!$AZ$2:$BB$56,3),IF(I1723="TDN",VLOOKUP(AF1723,TNCalibEqFull!$AZ$1:$BB$56,3),IF(I1723="TN",VLOOKUP(AF1723,TNCalibEqFull!$AZ$1:$BB$56,3),FALSE))))</f>
        <v>y=-1.0839x2+204.73x-119.55</v>
      </c>
      <c r="AV1723" s="10" t="str">
        <f t="shared" si="192"/>
        <v>0124 13:42:00-EFK-0-C-1-SW-UKN</v>
      </c>
    </row>
    <row r="1724" spans="1:48" s="10" customFormat="1" x14ac:dyDescent="0.55000000000000004">
      <c r="A1724" s="32">
        <v>44950</v>
      </c>
      <c r="B1724" s="33">
        <v>0.60555555555555551</v>
      </c>
      <c r="C1724" s="10" t="s">
        <v>333</v>
      </c>
      <c r="D1724" s="10">
        <v>0</v>
      </c>
      <c r="E1724" s="10" t="s">
        <v>190</v>
      </c>
      <c r="F1724" s="10">
        <v>1</v>
      </c>
      <c r="G1724" s="10" t="s">
        <v>231</v>
      </c>
      <c r="H1724" s="10" t="s">
        <v>322</v>
      </c>
      <c r="I1724" s="10" t="s">
        <v>235</v>
      </c>
      <c r="J1724" s="10">
        <v>4</v>
      </c>
      <c r="K1724" s="12">
        <v>44958</v>
      </c>
      <c r="L1724" s="33">
        <v>0.66596064814814815</v>
      </c>
      <c r="M1724" s="10">
        <v>1</v>
      </c>
      <c r="N1724" s="10" t="s">
        <v>196</v>
      </c>
      <c r="O1724" s="10">
        <v>8.1999999999999993</v>
      </c>
      <c r="P1724" s="10">
        <v>0.40200000000000002</v>
      </c>
      <c r="Q1724" s="10">
        <v>1390</v>
      </c>
      <c r="R1724" s="10" t="s">
        <v>170</v>
      </c>
      <c r="S1724" s="34">
        <f t="shared" si="189"/>
        <v>1486.354564</v>
      </c>
      <c r="T1724" s="10" t="s">
        <v>1123</v>
      </c>
      <c r="U1724" s="34" t="str">
        <f t="shared" si="190"/>
        <v/>
      </c>
      <c r="V1724" s="31" t="str">
        <f>IF(H1724="CHK",VLOOKUP(I1724,QCCHK,3,),IF(H1724="GUP",VLOOKUP(E1724,QCGUP,2,),IF(AND(H1724="ATP",OR(I1724="TN",I1724="TDN",I1724="TNO2-3",I1724="NO2-3")),VLOOKUP(E1724,QCREC_N,2,),IF(AND(H1724="NIC",OR(I1724="TN",I1724="TDN",I1724="TNO2-3",I1724="NO2-3")),VLOOKUP(E1724,QCNIC_N,2,),IF(AND(H1724="UREA",OR(I1724="TN",I1724="TDN",I1724="TNO2-3",I1724="NO2-3")),VLOOKUP(E1724,QCUREA_N,2,),IF(H1724="PER",VLOOKUP(I1724,QCPER,MATCH(E1724,QCACTUAL!$J$25:$AA$25,0),),IF(H1724="SPK",VLOOKUP(I1724,QCSPK,3,),IF(AND(H1724="ATP",OR(I1724="TP",I1724="TDP")),VLOOKUP(E1724,QCATP_P,2,),""))))))))</f>
        <v/>
      </c>
      <c r="W1724" s="31" t="str">
        <f t="shared" si="191"/>
        <v>TRUE</v>
      </c>
      <c r="X1724" s="31" t="str">
        <f t="shared" si="188"/>
        <v/>
      </c>
      <c r="Y1724" s="10" t="s">
        <v>1116</v>
      </c>
      <c r="Z1724" s="10" t="s">
        <v>910</v>
      </c>
      <c r="AF1724" s="12">
        <v>44958</v>
      </c>
      <c r="AJ1724" s="10">
        <f>0.9631*8.2^2+173.03*8.2-74.605</f>
        <v>1408.9998439999997</v>
      </c>
      <c r="AK1724" s="10">
        <f>-1.0839*8.2^2+204.73*8.2-119.55</f>
        <v>1486.354564</v>
      </c>
      <c r="AL1724" s="10" t="str">
        <f t="shared" si="195"/>
        <v>FALSE</v>
      </c>
      <c r="AM1724" s="10" t="str">
        <f t="shared" si="195"/>
        <v>FALSE</v>
      </c>
      <c r="AN1724" s="10" t="str">
        <f t="shared" si="195"/>
        <v>FALSE</v>
      </c>
      <c r="AO1724" s="10" t="str">
        <f t="shared" si="196"/>
        <v>y=0.9631*8.2^2+173.03*8.2-74.605</v>
      </c>
      <c r="AP1724" s="10" t="str">
        <f t="shared" si="196"/>
        <v>y=-1.0839*8.2^2+204.73*8.2-119.55</v>
      </c>
      <c r="AQ1724" s="10" t="b">
        <f>IF(AND(I1724="TP",S1724&lt;=150),VLOOKUP(AF1724,TPCalibEq150!$AZ$2:$BB$55,3,),IF(AND(I1724="TDP",S1724&lt;=150),VLOOKUP(AF1724,TPCalibEq150!$AZ$2:$BB$55,3,)))</f>
        <v>0</v>
      </c>
      <c r="AR1724" s="10" t="b">
        <f>IF(AND(I1724="TP",S1724&lt;=300),VLOOKUP(AF1724,TPCalibEq300!$AZ$2:$BB$55,3,),IF(AND(I1724="TDP",S1724&lt;=300),VLOOKUP(AF1724,TPCalibEq300!$AZ$2:$BB$55,3,)))</f>
        <v>0</v>
      </c>
      <c r="AS1724" s="10" t="b">
        <f>IF(AND(I1724="TP",S1724&lt;=500),VLOOKUP(AF1724,TPCalibEq500!$AZ$2:$BB$56,3,),IF(AND(I1724="TDP",S1724&lt;=500),VLOOKUP(AF1724,TPCalibEq500!$AZ$2:$BB$56,3,)))</f>
        <v>0</v>
      </c>
      <c r="AT1724" s="10" t="str">
        <f>IF(AND(I1724="TN",S1724&lt;=2800),VLOOKUP(AF1724,TNCalibEq2500!$AZ$2:$BB$56,3,),IF(AND(I1724="TDN",S1724&lt;=2800),VLOOKUP(AF1724,TNCalibEq2500!$AZ$2:$BB$56,3,)))</f>
        <v>y=0.9631x2+173.03x-74.605</v>
      </c>
      <c r="AU1724" s="10" t="str">
        <f>IF(I1724="TP",VLOOKUP(AF1724,TPCalibEqFull!$AZ$2:$BB$56,3),IF(I1724="TDP",VLOOKUP(AF1724,TPCalibEqFull!$AZ$2:$BB$56,3),IF(I1724="TDN",VLOOKUP(AF1724,TNCalibEqFull!$AZ$1:$BB$56,3),IF(I1724="TN",VLOOKUP(AF1724,TNCalibEqFull!$AZ$1:$BB$56,3),FALSE))))</f>
        <v>y=-1.0839x2+204.73x-119.55</v>
      </c>
      <c r="AV1724" s="10" t="str">
        <f t="shared" si="192"/>
        <v>0124 14:32:00-HST-0-C-1-SW-UKN</v>
      </c>
    </row>
    <row r="1725" spans="1:48" s="10" customFormat="1" x14ac:dyDescent="0.55000000000000004">
      <c r="A1725" s="32">
        <v>44951</v>
      </c>
      <c r="B1725" s="33">
        <v>0.23541666666666669</v>
      </c>
      <c r="C1725" s="10" t="s">
        <v>279</v>
      </c>
      <c r="D1725" s="10">
        <v>0</v>
      </c>
      <c r="E1725" s="10" t="s">
        <v>190</v>
      </c>
      <c r="F1725" s="10">
        <v>1</v>
      </c>
      <c r="G1725" s="10" t="s">
        <v>231</v>
      </c>
      <c r="H1725" s="10" t="s">
        <v>322</v>
      </c>
      <c r="I1725" s="10" t="s">
        <v>235</v>
      </c>
      <c r="J1725" s="10">
        <v>5</v>
      </c>
      <c r="K1725" s="12">
        <v>44958</v>
      </c>
      <c r="L1725" s="33">
        <v>0.66662037037037036</v>
      </c>
      <c r="M1725" s="10">
        <v>1</v>
      </c>
      <c r="N1725" s="10" t="s">
        <v>196</v>
      </c>
      <c r="O1725" s="10">
        <v>7.62</v>
      </c>
      <c r="P1725" s="10">
        <v>0.374</v>
      </c>
      <c r="Q1725" s="10">
        <v>1290</v>
      </c>
      <c r="R1725" s="10" t="s">
        <v>170</v>
      </c>
      <c r="S1725" s="34">
        <f t="shared" si="189"/>
        <v>1377.5565968400001</v>
      </c>
      <c r="T1725" s="10" t="s">
        <v>1123</v>
      </c>
      <c r="U1725" s="34" t="str">
        <f t="shared" si="190"/>
        <v/>
      </c>
      <c r="V1725" s="31" t="str">
        <f>IF(H1725="CHK",VLOOKUP(I1725,QCCHK,3,),IF(H1725="GUP",VLOOKUP(E1725,QCGUP,2,),IF(AND(H1725="ATP",OR(I1725="TN",I1725="TDN",I1725="TNO2-3",I1725="NO2-3")),VLOOKUP(E1725,QCREC_N,2,),IF(AND(H1725="NIC",OR(I1725="TN",I1725="TDN",I1725="TNO2-3",I1725="NO2-3")),VLOOKUP(E1725,QCNIC_N,2,),IF(AND(H1725="UREA",OR(I1725="TN",I1725="TDN",I1725="TNO2-3",I1725="NO2-3")),VLOOKUP(E1725,QCUREA_N,2,),IF(H1725="PER",VLOOKUP(I1725,QCPER,MATCH(E1725,QCACTUAL!$J$25:$AA$25,0),),IF(H1725="SPK",VLOOKUP(I1725,QCSPK,3,),IF(AND(H1725="ATP",OR(I1725="TP",I1725="TDP")),VLOOKUP(E1725,QCATP_P,2,),""))))))))</f>
        <v/>
      </c>
      <c r="W1725" s="31" t="str">
        <f t="shared" si="191"/>
        <v>TRUE</v>
      </c>
      <c r="X1725" s="31" t="str">
        <f t="shared" si="188"/>
        <v/>
      </c>
      <c r="Y1725" s="10" t="s">
        <v>1116</v>
      </c>
      <c r="Z1725" s="10" t="s">
        <v>910</v>
      </c>
      <c r="AF1725" s="12">
        <v>44958</v>
      </c>
      <c r="AJ1725" s="10">
        <f>0.9631*7.62^2+173.03*7.62-74.605</f>
        <v>1299.8054236400001</v>
      </c>
      <c r="AK1725" s="10">
        <f>-1.0839*7.62^2+204.73*7.62-119.55</f>
        <v>1377.5565968400001</v>
      </c>
      <c r="AL1725" s="10" t="str">
        <f t="shared" si="195"/>
        <v>FALSE</v>
      </c>
      <c r="AM1725" s="10" t="str">
        <f t="shared" si="195"/>
        <v>FALSE</v>
      </c>
      <c r="AN1725" s="10" t="str">
        <f t="shared" si="195"/>
        <v>FALSE</v>
      </c>
      <c r="AO1725" s="10" t="str">
        <f t="shared" si="196"/>
        <v>y=0.9631*7.62^2+173.03*7.62-74.605</v>
      </c>
      <c r="AP1725" s="10" t="str">
        <f t="shared" si="196"/>
        <v>y=-1.0839*7.62^2+204.73*7.62-119.55</v>
      </c>
      <c r="AQ1725" s="10" t="b">
        <f>IF(AND(I1725="TP",S1725&lt;=150),VLOOKUP(AF1725,TPCalibEq150!$AZ$2:$BB$55,3,),IF(AND(I1725="TDP",S1725&lt;=150),VLOOKUP(AF1725,TPCalibEq150!$AZ$2:$BB$55,3,)))</f>
        <v>0</v>
      </c>
      <c r="AR1725" s="10" t="b">
        <f>IF(AND(I1725="TP",S1725&lt;=300),VLOOKUP(AF1725,TPCalibEq300!$AZ$2:$BB$55,3,),IF(AND(I1725="TDP",S1725&lt;=300),VLOOKUP(AF1725,TPCalibEq300!$AZ$2:$BB$55,3,)))</f>
        <v>0</v>
      </c>
      <c r="AS1725" s="10" t="b">
        <f>IF(AND(I1725="TP",S1725&lt;=500),VLOOKUP(AF1725,TPCalibEq500!$AZ$2:$BB$56,3,),IF(AND(I1725="TDP",S1725&lt;=500),VLOOKUP(AF1725,TPCalibEq500!$AZ$2:$BB$56,3,)))</f>
        <v>0</v>
      </c>
      <c r="AT1725" s="10" t="str">
        <f>IF(AND(I1725="TN",S1725&lt;=2800),VLOOKUP(AF1725,TNCalibEq2500!$AZ$2:$BB$56,3,),IF(AND(I1725="TDN",S1725&lt;=2800),VLOOKUP(AF1725,TNCalibEq2500!$AZ$2:$BB$56,3,)))</f>
        <v>y=0.9631x2+173.03x-74.605</v>
      </c>
      <c r="AU1725" s="10" t="str">
        <f>IF(I1725="TP",VLOOKUP(AF1725,TPCalibEqFull!$AZ$2:$BB$56,3),IF(I1725="TDP",VLOOKUP(AF1725,TPCalibEqFull!$AZ$2:$BB$56,3),IF(I1725="TDN",VLOOKUP(AF1725,TNCalibEqFull!$AZ$1:$BB$56,3),IF(I1725="TN",VLOOKUP(AF1725,TNCalibEqFull!$AZ$1:$BB$56,3),FALSE))))</f>
        <v>y=-1.0839x2+204.73x-119.55</v>
      </c>
      <c r="AV1725" s="10" t="str">
        <f t="shared" si="192"/>
        <v>0125 05:39:00-EFK-0-C-1-SW-UKN</v>
      </c>
    </row>
    <row r="1726" spans="1:48" s="10" customFormat="1" x14ac:dyDescent="0.55000000000000004">
      <c r="A1726" s="32">
        <v>44951</v>
      </c>
      <c r="B1726" s="33">
        <v>0.23750000000000002</v>
      </c>
      <c r="C1726" s="10" t="s">
        <v>333</v>
      </c>
      <c r="D1726" s="10">
        <v>0</v>
      </c>
      <c r="E1726" s="10" t="s">
        <v>190</v>
      </c>
      <c r="F1726" s="10">
        <v>1</v>
      </c>
      <c r="G1726" s="10" t="s">
        <v>231</v>
      </c>
      <c r="H1726" s="10" t="s">
        <v>322</v>
      </c>
      <c r="I1726" s="10" t="s">
        <v>235</v>
      </c>
      <c r="J1726" s="10">
        <v>6</v>
      </c>
      <c r="K1726" s="12">
        <v>44958</v>
      </c>
      <c r="L1726" s="33">
        <v>0.66730324074074077</v>
      </c>
      <c r="M1726" s="10">
        <v>1</v>
      </c>
      <c r="N1726" s="10" t="s">
        <v>196</v>
      </c>
      <c r="O1726" s="10">
        <v>6.86</v>
      </c>
      <c r="P1726" s="10">
        <v>0.33500000000000002</v>
      </c>
      <c r="Q1726" s="10">
        <v>1160</v>
      </c>
      <c r="R1726" s="10" t="s">
        <v>170</v>
      </c>
      <c r="S1726" s="34">
        <f t="shared" si="189"/>
        <v>1233.88989956</v>
      </c>
      <c r="T1726" s="10" t="s">
        <v>1123</v>
      </c>
      <c r="U1726" s="34" t="str">
        <f t="shared" si="190"/>
        <v/>
      </c>
      <c r="V1726" s="31" t="str">
        <f>IF(H1726="CHK",VLOOKUP(I1726,QCCHK,3,),IF(H1726="GUP",VLOOKUP(E1726,QCGUP,2,),IF(AND(H1726="ATP",OR(I1726="TN",I1726="TDN",I1726="TNO2-3",I1726="NO2-3")),VLOOKUP(E1726,QCREC_N,2,),IF(AND(H1726="NIC",OR(I1726="TN",I1726="TDN",I1726="TNO2-3",I1726="NO2-3")),VLOOKUP(E1726,QCNIC_N,2,),IF(AND(H1726="UREA",OR(I1726="TN",I1726="TDN",I1726="TNO2-3",I1726="NO2-3")),VLOOKUP(E1726,QCUREA_N,2,),IF(H1726="PER",VLOOKUP(I1726,QCPER,MATCH(E1726,QCACTUAL!$J$25:$AA$25,0),),IF(H1726="SPK",VLOOKUP(I1726,QCSPK,3,),IF(AND(H1726="ATP",OR(I1726="TP",I1726="TDP")),VLOOKUP(E1726,QCATP_P,2,),""))))))))</f>
        <v/>
      </c>
      <c r="W1726" s="31" t="str">
        <f t="shared" si="191"/>
        <v>TRUE</v>
      </c>
      <c r="X1726" s="31" t="str">
        <f t="shared" si="188"/>
        <v/>
      </c>
      <c r="Y1726" s="10" t="s">
        <v>1116</v>
      </c>
      <c r="Z1726" s="10" t="s">
        <v>910</v>
      </c>
      <c r="AF1726" s="12">
        <v>44958</v>
      </c>
      <c r="AJ1726" s="10">
        <f>0.9631*6.86^2+173.03*6.86-74.605</f>
        <v>1157.7039007600001</v>
      </c>
      <c r="AK1726" s="10">
        <f>-1.0839*6.86^2+204.73*6.86-119.55</f>
        <v>1233.88989956</v>
      </c>
      <c r="AL1726" s="10" t="str">
        <f t="shared" si="195"/>
        <v>FALSE</v>
      </c>
      <c r="AM1726" s="10" t="str">
        <f t="shared" si="195"/>
        <v>FALSE</v>
      </c>
      <c r="AN1726" s="10" t="str">
        <f t="shared" si="195"/>
        <v>FALSE</v>
      </c>
      <c r="AO1726" s="10" t="str">
        <f t="shared" si="196"/>
        <v>y=0.9631*6.86^2+173.03*6.86-74.605</v>
      </c>
      <c r="AP1726" s="10" t="str">
        <f t="shared" si="196"/>
        <v>y=-1.0839*6.86^2+204.73*6.86-119.55</v>
      </c>
      <c r="AQ1726" s="10" t="b">
        <f>IF(AND(I1726="TP",S1726&lt;=150),VLOOKUP(AF1726,TPCalibEq150!$AZ$2:$BB$55,3,),IF(AND(I1726="TDP",S1726&lt;=150),VLOOKUP(AF1726,TPCalibEq150!$AZ$2:$BB$55,3,)))</f>
        <v>0</v>
      </c>
      <c r="AR1726" s="10" t="b">
        <f>IF(AND(I1726="TP",S1726&lt;=300),VLOOKUP(AF1726,TPCalibEq300!$AZ$2:$BB$55,3,),IF(AND(I1726="TDP",S1726&lt;=300),VLOOKUP(AF1726,TPCalibEq300!$AZ$2:$BB$55,3,)))</f>
        <v>0</v>
      </c>
      <c r="AS1726" s="10" t="b">
        <f>IF(AND(I1726="TP",S1726&lt;=500),VLOOKUP(AF1726,TPCalibEq500!$AZ$2:$BB$56,3,),IF(AND(I1726="TDP",S1726&lt;=500),VLOOKUP(AF1726,TPCalibEq500!$AZ$2:$BB$56,3,)))</f>
        <v>0</v>
      </c>
      <c r="AT1726" s="10" t="str">
        <f>IF(AND(I1726="TN",S1726&lt;=2800),VLOOKUP(AF1726,TNCalibEq2500!$AZ$2:$BB$56,3,),IF(AND(I1726="TDN",S1726&lt;=2800),VLOOKUP(AF1726,TNCalibEq2500!$AZ$2:$BB$56,3,)))</f>
        <v>y=0.9631x2+173.03x-74.605</v>
      </c>
      <c r="AU1726" s="10" t="str">
        <f>IF(I1726="TP",VLOOKUP(AF1726,TPCalibEqFull!$AZ$2:$BB$56,3),IF(I1726="TDP",VLOOKUP(AF1726,TPCalibEqFull!$AZ$2:$BB$56,3),IF(I1726="TDN",VLOOKUP(AF1726,TNCalibEqFull!$AZ$1:$BB$56,3),IF(I1726="TN",VLOOKUP(AF1726,TNCalibEqFull!$AZ$1:$BB$56,3),FALSE))))</f>
        <v>y=-1.0839x2+204.73x-119.55</v>
      </c>
      <c r="AV1726" s="10" t="str">
        <f t="shared" si="192"/>
        <v>0125 05:42:00-HST-0-C-1-SW-UKN</v>
      </c>
    </row>
    <row r="1727" spans="1:48" s="10" customFormat="1" x14ac:dyDescent="0.55000000000000004">
      <c r="A1727" s="32">
        <v>44952</v>
      </c>
      <c r="B1727" s="33">
        <v>0.39930555555555558</v>
      </c>
      <c r="C1727" s="10" t="s">
        <v>279</v>
      </c>
      <c r="D1727" s="10">
        <v>0</v>
      </c>
      <c r="E1727" s="10" t="s">
        <v>190</v>
      </c>
      <c r="F1727" s="10">
        <v>1</v>
      </c>
      <c r="G1727" s="10" t="s">
        <v>231</v>
      </c>
      <c r="H1727" s="10" t="s">
        <v>322</v>
      </c>
      <c r="I1727" s="10" t="s">
        <v>235</v>
      </c>
      <c r="J1727" s="10">
        <v>7</v>
      </c>
      <c r="K1727" s="12">
        <v>44958</v>
      </c>
      <c r="L1727" s="33">
        <v>0.66797453703703702</v>
      </c>
      <c r="M1727" s="10">
        <v>1</v>
      </c>
      <c r="N1727" s="10" t="s">
        <v>196</v>
      </c>
      <c r="O1727" s="10">
        <v>8</v>
      </c>
      <c r="P1727" s="10">
        <v>0.39400000000000002</v>
      </c>
      <c r="Q1727" s="10">
        <v>1360</v>
      </c>
      <c r="R1727" s="10" t="s">
        <v>170</v>
      </c>
      <c r="S1727" s="34">
        <f t="shared" si="189"/>
        <v>1448.9204</v>
      </c>
      <c r="T1727" s="10" t="s">
        <v>1123</v>
      </c>
      <c r="U1727" s="34" t="str">
        <f t="shared" si="190"/>
        <v/>
      </c>
      <c r="V1727" s="31" t="str">
        <f>IF(H1727="CHK",VLOOKUP(I1727,QCCHK,3,),IF(H1727="GUP",VLOOKUP(E1727,QCGUP,2,),IF(AND(H1727="ATP",OR(I1727="TN",I1727="TDN",I1727="TNO2-3",I1727="NO2-3")),VLOOKUP(E1727,QCREC_N,2,),IF(AND(H1727="NIC",OR(I1727="TN",I1727="TDN",I1727="TNO2-3",I1727="NO2-3")),VLOOKUP(E1727,QCNIC_N,2,),IF(AND(H1727="UREA",OR(I1727="TN",I1727="TDN",I1727="TNO2-3",I1727="NO2-3")),VLOOKUP(E1727,QCUREA_N,2,),IF(H1727="PER",VLOOKUP(I1727,QCPER,MATCH(E1727,QCACTUAL!$J$25:$AA$25,0),),IF(H1727="SPK",VLOOKUP(I1727,QCSPK,3,),IF(AND(H1727="ATP",OR(I1727="TP",I1727="TDP")),VLOOKUP(E1727,QCATP_P,2,),""))))))))</f>
        <v/>
      </c>
      <c r="W1727" s="31" t="str">
        <f t="shared" si="191"/>
        <v>TRUE</v>
      </c>
      <c r="X1727" s="31" t="str">
        <f t="shared" ref="X1727:X1790" si="197">IF(ISNA(VLOOKUP(H1727,QCEQUATIONS,2,)),"",(VLOOKUP(H1727,QCEQUATIONS,2,)))</f>
        <v/>
      </c>
      <c r="Y1727" s="10" t="s">
        <v>1116</v>
      </c>
      <c r="Z1727" s="10" t="s">
        <v>910</v>
      </c>
      <c r="AF1727" s="12">
        <v>44958</v>
      </c>
      <c r="AJ1727" s="10">
        <f>0.9631*8^2+173.03*8-74.605</f>
        <v>1371.2734</v>
      </c>
      <c r="AK1727" s="10">
        <f>-1.0839*8^2+204.73*8-119.55</f>
        <v>1448.9204</v>
      </c>
      <c r="AL1727" s="10" t="str">
        <f t="shared" si="195"/>
        <v>FALSE</v>
      </c>
      <c r="AM1727" s="10" t="str">
        <f t="shared" si="195"/>
        <v>FALSE</v>
      </c>
      <c r="AN1727" s="10" t="str">
        <f t="shared" si="195"/>
        <v>FALSE</v>
      </c>
      <c r="AO1727" s="10" t="str">
        <f t="shared" si="196"/>
        <v>y=0.9631*8^2+173.03*8-74.605</v>
      </c>
      <c r="AP1727" s="10" t="str">
        <f t="shared" si="196"/>
        <v>y=-1.0839*8^2+204.73*8-119.55</v>
      </c>
      <c r="AQ1727" s="10" t="b">
        <f>IF(AND(I1727="TP",S1727&lt;=150),VLOOKUP(AF1727,TPCalibEq150!$AZ$2:$BB$55,3,),IF(AND(I1727="TDP",S1727&lt;=150),VLOOKUP(AF1727,TPCalibEq150!$AZ$2:$BB$55,3,)))</f>
        <v>0</v>
      </c>
      <c r="AR1727" s="10" t="b">
        <f>IF(AND(I1727="TP",S1727&lt;=300),VLOOKUP(AF1727,TPCalibEq300!$AZ$2:$BB$55,3,),IF(AND(I1727="TDP",S1727&lt;=300),VLOOKUP(AF1727,TPCalibEq300!$AZ$2:$BB$55,3,)))</f>
        <v>0</v>
      </c>
      <c r="AS1727" s="10" t="b">
        <f>IF(AND(I1727="TP",S1727&lt;=500),VLOOKUP(AF1727,TPCalibEq500!$AZ$2:$BB$56,3,),IF(AND(I1727="TDP",S1727&lt;=500),VLOOKUP(AF1727,TPCalibEq500!$AZ$2:$BB$56,3,)))</f>
        <v>0</v>
      </c>
      <c r="AT1727" s="10" t="str">
        <f>IF(AND(I1727="TN",S1727&lt;=2800),VLOOKUP(AF1727,TNCalibEq2500!$AZ$2:$BB$56,3,),IF(AND(I1727="TDN",S1727&lt;=2800),VLOOKUP(AF1727,TNCalibEq2500!$AZ$2:$BB$56,3,)))</f>
        <v>y=0.9631x2+173.03x-74.605</v>
      </c>
      <c r="AU1727" s="10" t="str">
        <f>IF(I1727="TP",VLOOKUP(AF1727,TPCalibEqFull!$AZ$2:$BB$56,3),IF(I1727="TDP",VLOOKUP(AF1727,TPCalibEqFull!$AZ$2:$BB$56,3),IF(I1727="TDN",VLOOKUP(AF1727,TNCalibEqFull!$AZ$1:$BB$56,3),IF(I1727="TN",VLOOKUP(AF1727,TNCalibEqFull!$AZ$1:$BB$56,3),FALSE))))</f>
        <v>y=-1.0839x2+204.73x-119.55</v>
      </c>
      <c r="AV1727" s="10" t="str">
        <f t="shared" si="192"/>
        <v>0126 09:35:00-EFK-0-C-1-SW-UKN</v>
      </c>
    </row>
    <row r="1728" spans="1:48" s="10" customFormat="1" x14ac:dyDescent="0.55000000000000004">
      <c r="A1728" s="32">
        <v>44952</v>
      </c>
      <c r="B1728" s="33">
        <v>0.40416666666666662</v>
      </c>
      <c r="C1728" s="10" t="s">
        <v>333</v>
      </c>
      <c r="D1728" s="10">
        <v>0</v>
      </c>
      <c r="E1728" s="10" t="s">
        <v>190</v>
      </c>
      <c r="F1728" s="10">
        <v>1</v>
      </c>
      <c r="G1728" s="10" t="s">
        <v>231</v>
      </c>
      <c r="H1728" s="10" t="s">
        <v>322</v>
      </c>
      <c r="I1728" s="10" t="s">
        <v>235</v>
      </c>
      <c r="J1728" s="10">
        <v>8</v>
      </c>
      <c r="K1728" s="12">
        <v>44958</v>
      </c>
      <c r="L1728" s="33">
        <v>0.66864583333333327</v>
      </c>
      <c r="M1728" s="10">
        <v>1</v>
      </c>
      <c r="N1728" s="10" t="s">
        <v>196</v>
      </c>
      <c r="O1728" s="10">
        <v>6.65</v>
      </c>
      <c r="P1728" s="10">
        <v>0.32800000000000001</v>
      </c>
      <c r="Q1728" s="10">
        <v>1120</v>
      </c>
      <c r="R1728" s="10" t="s">
        <v>170</v>
      </c>
      <c r="S1728" s="34">
        <f t="shared" ref="S1728:S1791" si="198">IF(OR(AND(I1728&lt;&gt;"TP", I1728&lt;&gt;"TDP",I1728&lt;&gt;"TN", I1728&lt;&gt;"TDN"),H1728="CAL"), Q1728*M1728, IF(OR(AND(I1728="TN", Q1728&gt;2500), AND(I1728="TDN", Q1728&gt;2500)),MAX(Q1728, AK1728)*M1728, IF(OR(AND(I1728="TN", Q1728&lt;=2500), AND(I1728="TDN", Q1728&lt;=2500)),MAX(Q1728, AJ1728,AK1728)*M1728, IF(OR(AND(I1728="TP",Q1728&gt;500), AND(I1728="TDP", Q1728&gt;500)),MAX(Q1728,AK1728)*M1728,IF(OR(AND(I1728="TP",Q1728&lt;=150), AND(I1728="TDP", Q1728&lt;=150)),MAX(Q1728,AG1728:AI1728,AK1728)*M1728,IF(OR(AND(I1728="TP",Q1728&lt;=300), AND(I1728="TDP", Q1728&lt;=300)),MAX(Q1728,AH1728,AI1728,AK1728)*M1728,IF(OR(AND(I1728="TP",Q1728&lt;=500), AND(I1728="TDP", Q1728&lt;=500)),MAX(Q1728,AI1728,AK1728)*M1728,"")))))))</f>
        <v>1193.9717322500001</v>
      </c>
      <c r="T1728" s="10" t="s">
        <v>1123</v>
      </c>
      <c r="U1728" s="34" t="str">
        <f t="shared" si="190"/>
        <v/>
      </c>
      <c r="V1728" s="31" t="str">
        <f>IF(H1728="CHK",VLOOKUP(I1728,QCCHK,3,),IF(H1728="GUP",VLOOKUP(E1728,QCGUP,2,),IF(AND(H1728="ATP",OR(I1728="TN",I1728="TDN",I1728="TNO2-3",I1728="NO2-3")),VLOOKUP(E1728,QCREC_N,2,),IF(AND(H1728="NIC",OR(I1728="TN",I1728="TDN",I1728="TNO2-3",I1728="NO2-3")),VLOOKUP(E1728,QCNIC_N,2,),IF(AND(H1728="UREA",OR(I1728="TN",I1728="TDN",I1728="TNO2-3",I1728="NO2-3")),VLOOKUP(E1728,QCUREA_N,2,),IF(H1728="PER",VLOOKUP(I1728,QCPER,MATCH(E1728,QCACTUAL!$J$25:$AA$25,0),),IF(H1728="SPK",VLOOKUP(I1728,QCSPK,3,),IF(AND(H1728="ATP",OR(I1728="TP",I1728="TDP")),VLOOKUP(E1728,QCATP_P,2,),""))))))))</f>
        <v/>
      </c>
      <c r="W1728" s="31" t="str">
        <f t="shared" si="191"/>
        <v>TRUE</v>
      </c>
      <c r="X1728" s="31" t="str">
        <f t="shared" si="197"/>
        <v/>
      </c>
      <c r="Y1728" s="10" t="s">
        <v>1116</v>
      </c>
      <c r="Z1728" s="10" t="s">
        <v>910</v>
      </c>
      <c r="AF1728" s="12">
        <v>44958</v>
      </c>
      <c r="AJ1728" s="10">
        <f>0.9631*6.65^2+173.03*6.65-74.605</f>
        <v>1118.6351897499999</v>
      </c>
      <c r="AK1728" s="10">
        <f>-1.0839*6.65^2+204.73*6.65-119.55</f>
        <v>1193.9717322500001</v>
      </c>
      <c r="AL1728" s="10" t="str">
        <f t="shared" si="195"/>
        <v>FALSE</v>
      </c>
      <c r="AM1728" s="10" t="str">
        <f t="shared" si="195"/>
        <v>FALSE</v>
      </c>
      <c r="AN1728" s="10" t="str">
        <f t="shared" si="195"/>
        <v>FALSE</v>
      </c>
      <c r="AO1728" s="10" t="str">
        <f t="shared" si="196"/>
        <v>y=0.9631*6.65^2+173.03*6.65-74.605</v>
      </c>
      <c r="AP1728" s="10" t="str">
        <f t="shared" si="196"/>
        <v>y=-1.0839*6.65^2+204.73*6.65-119.55</v>
      </c>
      <c r="AQ1728" s="10" t="b">
        <f>IF(AND(I1728="TP",S1728&lt;=150),VLOOKUP(AF1728,TPCalibEq150!$AZ$2:$BB$55,3,),IF(AND(I1728="TDP",S1728&lt;=150),VLOOKUP(AF1728,TPCalibEq150!$AZ$2:$BB$55,3,)))</f>
        <v>0</v>
      </c>
      <c r="AR1728" s="10" t="b">
        <f>IF(AND(I1728="TP",S1728&lt;=300),VLOOKUP(AF1728,TPCalibEq300!$AZ$2:$BB$55,3,),IF(AND(I1728="TDP",S1728&lt;=300),VLOOKUP(AF1728,TPCalibEq300!$AZ$2:$BB$55,3,)))</f>
        <v>0</v>
      </c>
      <c r="AS1728" s="10" t="b">
        <f>IF(AND(I1728="TP",S1728&lt;=500),VLOOKUP(AF1728,TPCalibEq500!$AZ$2:$BB$56,3,),IF(AND(I1728="TDP",S1728&lt;=500),VLOOKUP(AF1728,TPCalibEq500!$AZ$2:$BB$56,3,)))</f>
        <v>0</v>
      </c>
      <c r="AT1728" s="10" t="str">
        <f>IF(AND(I1728="TN",S1728&lt;=2800),VLOOKUP(AF1728,TNCalibEq2500!$AZ$2:$BB$56,3,),IF(AND(I1728="TDN",S1728&lt;=2800),VLOOKUP(AF1728,TNCalibEq2500!$AZ$2:$BB$56,3,)))</f>
        <v>y=0.9631x2+173.03x-74.605</v>
      </c>
      <c r="AU1728" s="10" t="str">
        <f>IF(I1728="TP",VLOOKUP(AF1728,TPCalibEqFull!$AZ$2:$BB$56,3),IF(I1728="TDP",VLOOKUP(AF1728,TPCalibEqFull!$AZ$2:$BB$56,3),IF(I1728="TDN",VLOOKUP(AF1728,TNCalibEqFull!$AZ$1:$BB$56,3),IF(I1728="TN",VLOOKUP(AF1728,TNCalibEqFull!$AZ$1:$BB$56,3),FALSE))))</f>
        <v>y=-1.0839x2+204.73x-119.55</v>
      </c>
      <c r="AV1728" s="10" t="str">
        <f t="shared" si="192"/>
        <v>0126 09:42:00-HST-0-C-1-SW-UKN</v>
      </c>
    </row>
    <row r="1729" spans="1:48" s="10" customFormat="1" x14ac:dyDescent="0.55000000000000004">
      <c r="A1729" s="32">
        <v>44953</v>
      </c>
      <c r="B1729" s="33">
        <v>0.53333333333333333</v>
      </c>
      <c r="C1729" s="10" t="s">
        <v>279</v>
      </c>
      <c r="D1729" s="10">
        <v>0</v>
      </c>
      <c r="E1729" s="10" t="s">
        <v>190</v>
      </c>
      <c r="F1729" s="10">
        <v>1</v>
      </c>
      <c r="G1729" s="10" t="s">
        <v>231</v>
      </c>
      <c r="H1729" s="10" t="s">
        <v>322</v>
      </c>
      <c r="I1729" s="10" t="s">
        <v>235</v>
      </c>
      <c r="J1729" s="10">
        <v>9</v>
      </c>
      <c r="K1729" s="12">
        <v>44958</v>
      </c>
      <c r="L1729" s="33">
        <v>0.66930555555555549</v>
      </c>
      <c r="M1729" s="10">
        <v>1</v>
      </c>
      <c r="N1729" s="10" t="s">
        <v>196</v>
      </c>
      <c r="O1729" s="10">
        <v>7.61</v>
      </c>
      <c r="P1729" s="10">
        <v>0.376</v>
      </c>
      <c r="Q1729" s="10">
        <v>1290</v>
      </c>
      <c r="R1729" s="10" t="s">
        <v>170</v>
      </c>
      <c r="S1729" s="34">
        <f t="shared" si="198"/>
        <v>1375.67437481</v>
      </c>
      <c r="T1729" s="10" t="s">
        <v>1123</v>
      </c>
      <c r="U1729" s="34" t="str">
        <f t="shared" si="190"/>
        <v/>
      </c>
      <c r="V1729" s="31" t="str">
        <f>IF(H1729="CHK",VLOOKUP(I1729,QCCHK,3,),IF(H1729="GUP",VLOOKUP(E1729,QCGUP,2,),IF(AND(H1729="ATP",OR(I1729="TN",I1729="TDN",I1729="TNO2-3",I1729="NO2-3")),VLOOKUP(E1729,QCREC_N,2,),IF(AND(H1729="NIC",OR(I1729="TN",I1729="TDN",I1729="TNO2-3",I1729="NO2-3")),VLOOKUP(E1729,QCNIC_N,2,),IF(AND(H1729="UREA",OR(I1729="TN",I1729="TDN",I1729="TNO2-3",I1729="NO2-3")),VLOOKUP(E1729,QCUREA_N,2,),IF(H1729="PER",VLOOKUP(I1729,QCPER,MATCH(E1729,QCACTUAL!$J$25:$AA$25,0),),IF(H1729="SPK",VLOOKUP(I1729,QCSPK,3,),IF(AND(H1729="ATP",OR(I1729="TP",I1729="TDP")),VLOOKUP(E1729,QCATP_P,2,),""))))))))</f>
        <v/>
      </c>
      <c r="W1729" s="31" t="str">
        <f t="shared" si="191"/>
        <v>TRUE</v>
      </c>
      <c r="X1729" s="31" t="str">
        <f t="shared" si="197"/>
        <v/>
      </c>
      <c r="Y1729" s="10" t="s">
        <v>1116</v>
      </c>
      <c r="Z1729" s="10" t="s">
        <v>910</v>
      </c>
      <c r="AF1729" s="12">
        <v>44958</v>
      </c>
      <c r="AJ1729" s="10">
        <f>0.9631*7.61^2+173.03*7.61-74.605</f>
        <v>1297.9284435099999</v>
      </c>
      <c r="AK1729" s="10">
        <f>-1.0839*7.61^2+204.73*7.61-119.55</f>
        <v>1375.67437481</v>
      </c>
      <c r="AL1729" s="10" t="str">
        <f t="shared" si="195"/>
        <v>FALSE</v>
      </c>
      <c r="AM1729" s="10" t="str">
        <f t="shared" si="195"/>
        <v>FALSE</v>
      </c>
      <c r="AN1729" s="10" t="str">
        <f t="shared" si="195"/>
        <v>FALSE</v>
      </c>
      <c r="AO1729" s="10" t="str">
        <f t="shared" si="196"/>
        <v>y=0.9631*7.61^2+173.03*7.61-74.605</v>
      </c>
      <c r="AP1729" s="10" t="str">
        <f t="shared" si="196"/>
        <v>y=-1.0839*7.61^2+204.73*7.61-119.55</v>
      </c>
      <c r="AQ1729" s="10" t="b">
        <f>IF(AND(I1729="TP",S1729&lt;=150),VLOOKUP(AF1729,TPCalibEq150!$AZ$2:$BB$55,3,),IF(AND(I1729="TDP",S1729&lt;=150),VLOOKUP(AF1729,TPCalibEq150!$AZ$2:$BB$55,3,)))</f>
        <v>0</v>
      </c>
      <c r="AR1729" s="10" t="b">
        <f>IF(AND(I1729="TP",S1729&lt;=300),VLOOKUP(AF1729,TPCalibEq300!$AZ$2:$BB$55,3,),IF(AND(I1729="TDP",S1729&lt;=300),VLOOKUP(AF1729,TPCalibEq300!$AZ$2:$BB$55,3,)))</f>
        <v>0</v>
      </c>
      <c r="AS1729" s="10" t="b">
        <f>IF(AND(I1729="TP",S1729&lt;=500),VLOOKUP(AF1729,TPCalibEq500!$AZ$2:$BB$56,3,),IF(AND(I1729="TDP",S1729&lt;=500),VLOOKUP(AF1729,TPCalibEq500!$AZ$2:$BB$56,3,)))</f>
        <v>0</v>
      </c>
      <c r="AT1729" s="10" t="str">
        <f>IF(AND(I1729="TN",S1729&lt;=2800),VLOOKUP(AF1729,TNCalibEq2500!$AZ$2:$BB$56,3,),IF(AND(I1729="TDN",S1729&lt;=2800),VLOOKUP(AF1729,TNCalibEq2500!$AZ$2:$BB$56,3,)))</f>
        <v>y=0.9631x2+173.03x-74.605</v>
      </c>
      <c r="AU1729" s="10" t="str">
        <f>IF(I1729="TP",VLOOKUP(AF1729,TPCalibEqFull!$AZ$2:$BB$56,3),IF(I1729="TDP",VLOOKUP(AF1729,TPCalibEqFull!$AZ$2:$BB$56,3),IF(I1729="TDN",VLOOKUP(AF1729,TNCalibEqFull!$AZ$1:$BB$56,3),IF(I1729="TN",VLOOKUP(AF1729,TNCalibEqFull!$AZ$1:$BB$56,3),FALSE))))</f>
        <v>y=-1.0839x2+204.73x-119.55</v>
      </c>
      <c r="AV1729" s="10" t="str">
        <f t="shared" si="192"/>
        <v>0127 12:48:00-EFK-0-C-1-SW-UKN</v>
      </c>
    </row>
    <row r="1730" spans="1:48" s="10" customFormat="1" x14ac:dyDescent="0.55000000000000004">
      <c r="A1730" s="32">
        <v>44953</v>
      </c>
      <c r="B1730" s="33">
        <v>0.53611111111111109</v>
      </c>
      <c r="C1730" s="10" t="s">
        <v>333</v>
      </c>
      <c r="D1730" s="10">
        <v>0</v>
      </c>
      <c r="E1730" s="10" t="s">
        <v>190</v>
      </c>
      <c r="F1730" s="10">
        <v>1</v>
      </c>
      <c r="G1730" s="10" t="s">
        <v>231</v>
      </c>
      <c r="H1730" s="10" t="s">
        <v>322</v>
      </c>
      <c r="I1730" s="10" t="s">
        <v>235</v>
      </c>
      <c r="J1730" s="10">
        <v>10</v>
      </c>
      <c r="K1730" s="12">
        <v>44958</v>
      </c>
      <c r="L1730" s="33">
        <v>0.66997685185185185</v>
      </c>
      <c r="M1730" s="10">
        <v>1</v>
      </c>
      <c r="N1730" s="10" t="s">
        <v>196</v>
      </c>
      <c r="O1730" s="10">
        <v>7.22</v>
      </c>
      <c r="P1730" s="10">
        <v>0.35499999999999998</v>
      </c>
      <c r="Q1730" s="10">
        <v>1220</v>
      </c>
      <c r="R1730" s="10" t="s">
        <v>170</v>
      </c>
      <c r="S1730" s="34">
        <f t="shared" si="198"/>
        <v>1302.09862724</v>
      </c>
      <c r="T1730" s="10" t="s">
        <v>1123</v>
      </c>
      <c r="U1730" s="34" t="str">
        <f t="shared" ref="U1730:U1793" si="199">IF(OR(H1730="CHK",H1730="ATP",H1730="GUP",H1730="PER", H1730="NIC", H1730="UREA"),(S1730/V1730*100),IF(H1730="DUP",((ABS(S1730-S1729))/((S1729+S1730)/2))*100,IF(H1730="SPK",((S1730-S1729)/V1730*100),IF(OR(H1730="LAB",H1730="FLD",H1730="ESF"),S1730,""))))</f>
        <v/>
      </c>
      <c r="V1730" s="31" t="str">
        <f>IF(H1730="CHK",VLOOKUP(I1730,QCCHK,3,),IF(H1730="GUP",VLOOKUP(E1730,QCGUP,2,),IF(AND(H1730="ATP",OR(I1730="TN",I1730="TDN",I1730="TNO2-3",I1730="NO2-3")),VLOOKUP(E1730,QCREC_N,2,),IF(AND(H1730="NIC",OR(I1730="TN",I1730="TDN",I1730="TNO2-3",I1730="NO2-3")),VLOOKUP(E1730,QCNIC_N,2,),IF(AND(H1730="UREA",OR(I1730="TN",I1730="TDN",I1730="TNO2-3",I1730="NO2-3")),VLOOKUP(E1730,QCUREA_N,2,),IF(H1730="PER",VLOOKUP(I1730,QCPER,MATCH(E1730,QCACTUAL!$J$25:$AA$25,0),),IF(H1730="SPK",VLOOKUP(I1730,QCSPK,3,),IF(AND(H1730="ATP",OR(I1730="TP",I1730="TDP")),VLOOKUP(E1730,QCATP_P,2,),""))))))))</f>
        <v/>
      </c>
      <c r="W1730" s="31" t="str">
        <f t="shared" ref="W1730:W1793" si="200">IF(AND(OR(H1730="PER",H1730="ATP",H1730="GUP",H1730="CHK",H1730="SPK", H1730="NIC"),OR(U1730&gt;125,U1730&lt;75)),"FALSE",IF(AND(H1730="DUP",OR(U1730&gt;25, U1730&lt;-25)),"FALSE",IF(AND(OR(H1730="LAB",H1730="FLD",H1730="ESF"),U1730&gt;15),"FALSE","TRUE")))</f>
        <v>TRUE</v>
      </c>
      <c r="X1730" s="31" t="str">
        <f t="shared" si="197"/>
        <v/>
      </c>
      <c r="Y1730" s="10" t="s">
        <v>1116</v>
      </c>
      <c r="Z1730" s="10" t="s">
        <v>910</v>
      </c>
      <c r="AF1730" s="12">
        <v>44958</v>
      </c>
      <c r="AJ1730" s="10">
        <f>0.9631*7.22^2+173.03*7.22-74.605</f>
        <v>1224.87646204</v>
      </c>
      <c r="AK1730" s="10">
        <f>-1.0839*7.22^2+204.73*7.22-119.55</f>
        <v>1302.09862724</v>
      </c>
      <c r="AL1730" s="10" t="str">
        <f t="shared" si="195"/>
        <v>FALSE</v>
      </c>
      <c r="AM1730" s="10" t="str">
        <f t="shared" si="195"/>
        <v>FALSE</v>
      </c>
      <c r="AN1730" s="10" t="str">
        <f t="shared" si="195"/>
        <v>FALSE</v>
      </c>
      <c r="AO1730" s="10" t="str">
        <f t="shared" si="196"/>
        <v>y=0.9631*7.22^2+173.03*7.22-74.605</v>
      </c>
      <c r="AP1730" s="10" t="str">
        <f t="shared" si="196"/>
        <v>y=-1.0839*7.22^2+204.73*7.22-119.55</v>
      </c>
      <c r="AQ1730" s="10" t="b">
        <f>IF(AND(I1730="TP",S1730&lt;=150),VLOOKUP(AF1730,TPCalibEq150!$AZ$2:$BB$55,3,),IF(AND(I1730="TDP",S1730&lt;=150),VLOOKUP(AF1730,TPCalibEq150!$AZ$2:$BB$55,3,)))</f>
        <v>0</v>
      </c>
      <c r="AR1730" s="10" t="b">
        <f>IF(AND(I1730="TP",S1730&lt;=300),VLOOKUP(AF1730,TPCalibEq300!$AZ$2:$BB$55,3,),IF(AND(I1730="TDP",S1730&lt;=300),VLOOKUP(AF1730,TPCalibEq300!$AZ$2:$BB$55,3,)))</f>
        <v>0</v>
      </c>
      <c r="AS1730" s="10" t="b">
        <f>IF(AND(I1730="TP",S1730&lt;=500),VLOOKUP(AF1730,TPCalibEq500!$AZ$2:$BB$56,3,),IF(AND(I1730="TDP",S1730&lt;=500),VLOOKUP(AF1730,TPCalibEq500!$AZ$2:$BB$56,3,)))</f>
        <v>0</v>
      </c>
      <c r="AT1730" s="10" t="str">
        <f>IF(AND(I1730="TN",S1730&lt;=2800),VLOOKUP(AF1730,TNCalibEq2500!$AZ$2:$BB$56,3,),IF(AND(I1730="TDN",S1730&lt;=2800),VLOOKUP(AF1730,TNCalibEq2500!$AZ$2:$BB$56,3,)))</f>
        <v>y=0.9631x2+173.03x-74.605</v>
      </c>
      <c r="AU1730" s="10" t="str">
        <f>IF(I1730="TP",VLOOKUP(AF1730,TPCalibEqFull!$AZ$2:$BB$56,3),IF(I1730="TDP",VLOOKUP(AF1730,TPCalibEqFull!$AZ$2:$BB$56,3),IF(I1730="TDN",VLOOKUP(AF1730,TNCalibEqFull!$AZ$1:$BB$56,3),IF(I1730="TN",VLOOKUP(AF1730,TNCalibEqFull!$AZ$1:$BB$56,3),FALSE))))</f>
        <v>y=-1.0839x2+204.73x-119.55</v>
      </c>
      <c r="AV1730" s="10" t="str">
        <f t="shared" ref="AV1730:AV1793" si="201">TEXT(A1730, "MMDD")&amp;" "&amp;TEXT(B1730, "HH:MM:SS")&amp;"-"&amp;C1730&amp;"-"&amp;D1730&amp;"-"&amp;E1730&amp;"-"&amp;F1730&amp;"-"&amp;G1730&amp;"-"&amp;H1730</f>
        <v>0127 12:52:00-HST-0-C-1-SW-UKN</v>
      </c>
    </row>
    <row r="1731" spans="1:48" s="10" customFormat="1" x14ac:dyDescent="0.55000000000000004">
      <c r="A1731" s="32">
        <v>44953</v>
      </c>
      <c r="B1731" s="33">
        <v>0.53611111111111109</v>
      </c>
      <c r="C1731" s="10" t="s">
        <v>333</v>
      </c>
      <c r="D1731" s="10">
        <v>0</v>
      </c>
      <c r="E1731" s="10" t="s">
        <v>190</v>
      </c>
      <c r="F1731" s="10">
        <v>1</v>
      </c>
      <c r="G1731" s="10" t="s">
        <v>231</v>
      </c>
      <c r="H1731" s="10" t="s">
        <v>233</v>
      </c>
      <c r="I1731" s="10" t="s">
        <v>235</v>
      </c>
      <c r="J1731" s="10">
        <v>10</v>
      </c>
      <c r="K1731" s="12">
        <v>44958</v>
      </c>
      <c r="L1731" s="33">
        <v>0.67063657407407407</v>
      </c>
      <c r="M1731" s="10">
        <v>1</v>
      </c>
      <c r="N1731" s="10" t="s">
        <v>196</v>
      </c>
      <c r="O1731" s="10">
        <v>7.22</v>
      </c>
      <c r="P1731" s="10">
        <v>0.35499999999999998</v>
      </c>
      <c r="Q1731" s="10">
        <v>1220</v>
      </c>
      <c r="R1731" s="10" t="s">
        <v>170</v>
      </c>
      <c r="S1731" s="34">
        <f t="shared" si="198"/>
        <v>1302.09862724</v>
      </c>
      <c r="T1731" s="10" t="s">
        <v>1123</v>
      </c>
      <c r="U1731" s="34">
        <f t="shared" si="199"/>
        <v>0</v>
      </c>
      <c r="V1731" s="31" t="str">
        <f>IF(H1731="CHK",VLOOKUP(I1731,QCCHK,3,),IF(H1731="GUP",VLOOKUP(E1731,QCGUP,2,),IF(AND(H1731="ATP",OR(I1731="TN",I1731="TDN",I1731="TNO2-3",I1731="NO2-3")),VLOOKUP(E1731,QCREC_N,2,),IF(AND(H1731="NIC",OR(I1731="TN",I1731="TDN",I1731="TNO2-3",I1731="NO2-3")),VLOOKUP(E1731,QCNIC_N,2,),IF(AND(H1731="UREA",OR(I1731="TN",I1731="TDN",I1731="TNO2-3",I1731="NO2-3")),VLOOKUP(E1731,QCUREA_N,2,),IF(H1731="PER",VLOOKUP(I1731,QCPER,MATCH(E1731,QCACTUAL!$J$25:$AA$25,0),),IF(H1731="SPK",VLOOKUP(I1731,QCSPK,3,),IF(AND(H1731="ATP",OR(I1731="TP",I1731="TDP")),VLOOKUP(E1731,QCATP_P,2,),""))))))))</f>
        <v/>
      </c>
      <c r="W1731" s="31" t="str">
        <f t="shared" si="200"/>
        <v>TRUE</v>
      </c>
      <c r="X1731" s="31" t="str">
        <f t="shared" si="197"/>
        <v>((ABS(rep1-rep2))/((rep1+rep2)/2)*100</v>
      </c>
      <c r="Y1731" s="10" t="s">
        <v>1116</v>
      </c>
      <c r="Z1731" s="10" t="s">
        <v>910</v>
      </c>
      <c r="AF1731" s="12">
        <v>44958</v>
      </c>
      <c r="AJ1731" s="10">
        <f>0.9631*7.22^2+173.03*7.22-74.605</f>
        <v>1224.87646204</v>
      </c>
      <c r="AK1731" s="10">
        <f>-1.0839*7.22^2+204.73*7.22-119.55</f>
        <v>1302.09862724</v>
      </c>
      <c r="AL1731" s="10" t="str">
        <f t="shared" si="195"/>
        <v>FALSE</v>
      </c>
      <c r="AM1731" s="10" t="str">
        <f t="shared" si="195"/>
        <v>FALSE</v>
      </c>
      <c r="AN1731" s="10" t="str">
        <f t="shared" si="195"/>
        <v>FALSE</v>
      </c>
      <c r="AO1731" s="10" t="str">
        <f t="shared" si="196"/>
        <v>y=0.9631*7.22^2+173.03*7.22-74.605</v>
      </c>
      <c r="AP1731" s="10" t="str">
        <f t="shared" si="196"/>
        <v>y=-1.0839*7.22^2+204.73*7.22-119.55</v>
      </c>
      <c r="AQ1731" s="10" t="b">
        <f>IF(AND(I1731="TP",S1731&lt;=150),VLOOKUP(AF1731,TPCalibEq150!$AZ$2:$BB$55,3,),IF(AND(I1731="TDP",S1731&lt;=150),VLOOKUP(AF1731,TPCalibEq150!$AZ$2:$BB$55,3,)))</f>
        <v>0</v>
      </c>
      <c r="AR1731" s="10" t="b">
        <f>IF(AND(I1731="TP",S1731&lt;=300),VLOOKUP(AF1731,TPCalibEq300!$AZ$2:$BB$55,3,),IF(AND(I1731="TDP",S1731&lt;=300),VLOOKUP(AF1731,TPCalibEq300!$AZ$2:$BB$55,3,)))</f>
        <v>0</v>
      </c>
      <c r="AS1731" s="10" t="b">
        <f>IF(AND(I1731="TP",S1731&lt;=500),VLOOKUP(AF1731,TPCalibEq500!$AZ$2:$BB$56,3,),IF(AND(I1731="TDP",S1731&lt;=500),VLOOKUP(AF1731,TPCalibEq500!$AZ$2:$BB$56,3,)))</f>
        <v>0</v>
      </c>
      <c r="AT1731" s="10" t="str">
        <f>IF(AND(I1731="TN",S1731&lt;=2800),VLOOKUP(AF1731,TNCalibEq2500!$AZ$2:$BB$56,3,),IF(AND(I1731="TDN",S1731&lt;=2800),VLOOKUP(AF1731,TNCalibEq2500!$AZ$2:$BB$56,3,)))</f>
        <v>y=0.9631x2+173.03x-74.605</v>
      </c>
      <c r="AU1731" s="10" t="str">
        <f>IF(I1731="TP",VLOOKUP(AF1731,TPCalibEqFull!$AZ$2:$BB$56,3),IF(I1731="TDP",VLOOKUP(AF1731,TPCalibEqFull!$AZ$2:$BB$56,3),IF(I1731="TDN",VLOOKUP(AF1731,TNCalibEqFull!$AZ$1:$BB$56,3),IF(I1731="TN",VLOOKUP(AF1731,TNCalibEqFull!$AZ$1:$BB$56,3),FALSE))))</f>
        <v>y=-1.0839x2+204.73x-119.55</v>
      </c>
      <c r="AV1731" s="10" t="str">
        <f t="shared" si="201"/>
        <v>0127 12:52:00-HST-0-C-1-SW-DUP</v>
      </c>
    </row>
    <row r="1732" spans="1:48" s="10" customFormat="1" x14ac:dyDescent="0.55000000000000004">
      <c r="A1732" s="32">
        <v>44953</v>
      </c>
      <c r="B1732" s="33">
        <v>0.53611111111111109</v>
      </c>
      <c r="C1732" s="10" t="s">
        <v>912</v>
      </c>
      <c r="D1732" s="10">
        <v>0</v>
      </c>
      <c r="E1732" s="10" t="s">
        <v>190</v>
      </c>
      <c r="F1732" s="10">
        <v>1</v>
      </c>
      <c r="G1732" s="10" t="s">
        <v>231</v>
      </c>
      <c r="H1732" s="10" t="s">
        <v>314</v>
      </c>
      <c r="I1732" s="10" t="s">
        <v>235</v>
      </c>
      <c r="J1732" s="10">
        <v>81</v>
      </c>
      <c r="K1732" s="12">
        <v>44958</v>
      </c>
      <c r="L1732" s="33">
        <v>0.67130787037037043</v>
      </c>
      <c r="M1732" s="10">
        <v>1</v>
      </c>
      <c r="N1732" s="10" t="s">
        <v>196</v>
      </c>
      <c r="O1732" s="10">
        <v>22.1</v>
      </c>
      <c r="P1732" s="10">
        <v>1.08</v>
      </c>
      <c r="Q1732" s="10">
        <v>3810</v>
      </c>
      <c r="R1732" s="10" t="s">
        <v>170</v>
      </c>
      <c r="S1732" s="34">
        <f t="shared" si="198"/>
        <v>3875.595401</v>
      </c>
      <c r="T1732" s="10" t="s">
        <v>1123</v>
      </c>
      <c r="U1732" s="34">
        <f t="shared" si="199"/>
        <v>102.93987095040001</v>
      </c>
      <c r="V1732" s="31">
        <f>IF(H1732="CHK",VLOOKUP(I1732,QCCHK,3,),IF(H1732="GUP",VLOOKUP(E1732,QCGUP,2,),IF(AND(H1732="ATP",OR(I1732="TN",I1732="TDN",I1732="TNO2-3",I1732="NO2-3")),VLOOKUP(E1732,QCREC_N,2,),IF(AND(H1732="NIC",OR(I1732="TN",I1732="TDN",I1732="TNO2-3",I1732="NO2-3")),VLOOKUP(E1732,QCNIC_N,2,),IF(AND(H1732="UREA",OR(I1732="TN",I1732="TDN",I1732="TNO2-3",I1732="NO2-3")),VLOOKUP(E1732,QCUREA_N,2,),IF(H1732="PER",VLOOKUP(I1732,QCPER,MATCH(E1732,QCACTUAL!$J$25:$AA$25,0),),IF(H1732="SPK",VLOOKUP(I1732,QCSPK,3,),IF(AND(H1732="ATP",OR(I1732="TP",I1732="TDP")),VLOOKUP(E1732,QCATP_P,2,),""))))))))</f>
        <v>2500</v>
      </c>
      <c r="W1732" s="31" t="str">
        <f t="shared" si="200"/>
        <v>TRUE</v>
      </c>
      <c r="X1732" s="31" t="str">
        <f t="shared" si="197"/>
        <v>([spikedunkn]-[unkn])/[spike]*100</v>
      </c>
      <c r="Y1732" s="10" t="s">
        <v>1116</v>
      </c>
      <c r="Z1732" s="10" t="s">
        <v>910</v>
      </c>
      <c r="AF1732" s="12">
        <v>44958</v>
      </c>
      <c r="AK1732" s="10">
        <f>-1.0839*22.1^2+204.73*22.1-119.55</f>
        <v>3875.595401</v>
      </c>
      <c r="AL1732" s="10" t="str">
        <f t="shared" si="195"/>
        <v>FALSE</v>
      </c>
      <c r="AM1732" s="10" t="str">
        <f t="shared" si="195"/>
        <v>FALSE</v>
      </c>
      <c r="AN1732" s="10" t="str">
        <f t="shared" si="195"/>
        <v>FALSE</v>
      </c>
      <c r="AO1732" s="10" t="str">
        <f t="shared" si="196"/>
        <v>FALSE</v>
      </c>
      <c r="AP1732" s="10" t="str">
        <f t="shared" si="196"/>
        <v>y=-1.0839*22.1^2+204.73*22.1-119.55</v>
      </c>
      <c r="AQ1732" s="10" t="b">
        <f>IF(AND(I1732="TP",S1732&lt;=150),VLOOKUP(AF1732,TPCalibEq150!$AZ$2:$BB$55,3,),IF(AND(I1732="TDP",S1732&lt;=150),VLOOKUP(AF1732,TPCalibEq150!$AZ$2:$BB$55,3,)))</f>
        <v>0</v>
      </c>
      <c r="AR1732" s="10" t="b">
        <f>IF(AND(I1732="TP",S1732&lt;=300),VLOOKUP(AF1732,TPCalibEq300!$AZ$2:$BB$55,3,),IF(AND(I1732="TDP",S1732&lt;=300),VLOOKUP(AF1732,TPCalibEq300!$AZ$2:$BB$55,3,)))</f>
        <v>0</v>
      </c>
      <c r="AS1732" s="10" t="b">
        <f>IF(AND(I1732="TP",S1732&lt;=500),VLOOKUP(AF1732,TPCalibEq500!$AZ$2:$BB$56,3,),IF(AND(I1732="TDP",S1732&lt;=500),VLOOKUP(AF1732,TPCalibEq500!$AZ$2:$BB$56,3,)))</f>
        <v>0</v>
      </c>
      <c r="AT1732" s="10" t="b">
        <f>IF(AND(I1732="TN",S1732&lt;=2800),VLOOKUP(AF1732,TNCalibEq2500!$AZ$2:$BB$56,3,),IF(AND(I1732="TDN",S1732&lt;=2800),VLOOKUP(AF1732,TNCalibEq2500!$AZ$2:$BB$56,3,)))</f>
        <v>0</v>
      </c>
      <c r="AU1732" s="10" t="str">
        <f>IF(I1732="TP",VLOOKUP(AF1732,TPCalibEqFull!$AZ$2:$BB$56,3),IF(I1732="TDP",VLOOKUP(AF1732,TPCalibEqFull!$AZ$2:$BB$56,3),IF(I1732="TDN",VLOOKUP(AF1732,TNCalibEqFull!$AZ$1:$BB$56,3),IF(I1732="TN",VLOOKUP(AF1732,TNCalibEqFull!$AZ$1:$BB$56,3),FALSE))))</f>
        <v>y=-1.0839x2+204.73x-119.55</v>
      </c>
      <c r="AV1732" s="10" t="str">
        <f t="shared" si="201"/>
        <v>0127 12:52:00-HST -0-C-1-SW-SPK</v>
      </c>
    </row>
    <row r="1733" spans="1:48" s="10" customFormat="1" x14ac:dyDescent="0.55000000000000004">
      <c r="A1733" s="32">
        <v>44958</v>
      </c>
      <c r="B1733" s="33">
        <v>0.375</v>
      </c>
      <c r="C1733" s="10" t="s">
        <v>70</v>
      </c>
      <c r="D1733" s="10" t="s">
        <v>71</v>
      </c>
      <c r="E1733" s="10" t="s">
        <v>901</v>
      </c>
      <c r="F1733" s="10">
        <v>1</v>
      </c>
      <c r="G1733" s="10" t="s">
        <v>73</v>
      </c>
      <c r="H1733" s="10" t="s">
        <v>207</v>
      </c>
      <c r="I1733" s="10" t="s">
        <v>235</v>
      </c>
      <c r="J1733" s="10">
        <v>199</v>
      </c>
      <c r="K1733" s="12">
        <v>44958</v>
      </c>
      <c r="L1733" s="33">
        <v>0.67199074074074072</v>
      </c>
      <c r="M1733" s="10">
        <v>1</v>
      </c>
      <c r="N1733" s="10" t="s">
        <v>196</v>
      </c>
      <c r="O1733" s="10">
        <v>7.18</v>
      </c>
      <c r="P1733" s="10">
        <v>0.35599999999999998</v>
      </c>
      <c r="Q1733" s="10">
        <v>1210</v>
      </c>
      <c r="R1733" s="10" t="s">
        <v>170</v>
      </c>
      <c r="S1733" s="34">
        <f t="shared" si="198"/>
        <v>1294.53375364</v>
      </c>
      <c r="T1733" s="10" t="s">
        <v>1123</v>
      </c>
      <c r="U1733" s="34">
        <f t="shared" si="199"/>
        <v>103.5627002912</v>
      </c>
      <c r="V1733" s="31">
        <f>IF(H1733="CHK",VLOOKUP(I1733,QCCHK,3,),IF(H1733="GUP",VLOOKUP(E1733,QCGUP,2,),IF(AND(H1733="ATP",OR(I1733="TN",I1733="TDN",I1733="TNO2-3",I1733="NO2-3")),VLOOKUP(E1733,QCREC_N,2,),IF(AND(H1733="NIC",OR(I1733="TN",I1733="TDN",I1733="TNO2-3",I1733="NO2-3")),VLOOKUP(E1733,QCNIC_N,2,),IF(AND(H1733="UREA",OR(I1733="TN",I1733="TDN",I1733="TNO2-3",I1733="NO2-3")),VLOOKUP(E1733,QCUREA_N,2,),IF(H1733="PER",VLOOKUP(I1733,QCPER,MATCH(E1733,QCACTUAL!$J$25:$AA$25,0),),IF(H1733="SPK",VLOOKUP(I1733,QCSPK,3,),IF(AND(H1733="ATP",OR(I1733="TP",I1733="TDP")),VLOOKUP(E1733,QCATP_P,2,),""))))))))</f>
        <v>1250</v>
      </c>
      <c r="W1733" s="31" t="str">
        <f t="shared" si="200"/>
        <v>TRUE</v>
      </c>
      <c r="X1733" s="31" t="str">
        <f t="shared" si="197"/>
        <v>[chk]/[actual]*100</v>
      </c>
      <c r="Y1733" s="10" t="s">
        <v>1116</v>
      </c>
      <c r="AF1733" s="12">
        <v>44958</v>
      </c>
      <c r="AJ1733" s="10">
        <f>0.9631*7.18^2+173.03*7.18-74.605</f>
        <v>1217.4005164399998</v>
      </c>
      <c r="AK1733" s="10">
        <f>-1.0839*7.18^2+204.73*7.18-119.55</f>
        <v>1294.53375364</v>
      </c>
      <c r="AL1733" s="10" t="str">
        <f t="shared" si="195"/>
        <v>FALSE</v>
      </c>
      <c r="AM1733" s="10" t="str">
        <f t="shared" si="195"/>
        <v>FALSE</v>
      </c>
      <c r="AN1733" s="10" t="str">
        <f t="shared" si="195"/>
        <v>FALSE</v>
      </c>
      <c r="AO1733" s="10" t="str">
        <f t="shared" si="196"/>
        <v>y=0.9631*7.18^2+173.03*7.18-74.605</v>
      </c>
      <c r="AP1733" s="10" t="str">
        <f t="shared" si="196"/>
        <v>y=-1.0839*7.18^2+204.73*7.18-119.55</v>
      </c>
      <c r="AQ1733" s="10" t="b">
        <f>IF(AND(I1733="TP",S1733&lt;=150),VLOOKUP(AF1733,TPCalibEq150!$AZ$2:$BB$55,3,),IF(AND(I1733="TDP",S1733&lt;=150),VLOOKUP(AF1733,TPCalibEq150!$AZ$2:$BB$55,3,)))</f>
        <v>0</v>
      </c>
      <c r="AR1733" s="10" t="b">
        <f>IF(AND(I1733="TP",S1733&lt;=300),VLOOKUP(AF1733,TPCalibEq300!$AZ$2:$BB$55,3,),IF(AND(I1733="TDP",S1733&lt;=300),VLOOKUP(AF1733,TPCalibEq300!$AZ$2:$BB$55,3,)))</f>
        <v>0</v>
      </c>
      <c r="AS1733" s="10" t="b">
        <f>IF(AND(I1733="TP",S1733&lt;=500),VLOOKUP(AF1733,TPCalibEq500!$AZ$2:$BB$56,3,),IF(AND(I1733="TDP",S1733&lt;=500),VLOOKUP(AF1733,TPCalibEq500!$AZ$2:$BB$56,3,)))</f>
        <v>0</v>
      </c>
      <c r="AT1733" s="10" t="str">
        <f>IF(AND(I1733="TN",S1733&lt;=2800),VLOOKUP(AF1733,TNCalibEq2500!$AZ$2:$BB$56,3,),IF(AND(I1733="TDN",S1733&lt;=2800),VLOOKUP(AF1733,TNCalibEq2500!$AZ$2:$BB$56,3,)))</f>
        <v>y=0.9631x2+173.03x-74.605</v>
      </c>
      <c r="AU1733" s="10" t="str">
        <f>IF(I1733="TP",VLOOKUP(AF1733,TPCalibEqFull!$AZ$2:$BB$56,3),IF(I1733="TDP",VLOOKUP(AF1733,TPCalibEqFull!$AZ$2:$BB$56,3),IF(I1733="TDN",VLOOKUP(AF1733,TNCalibEqFull!$AZ$1:$BB$56,3),IF(I1733="TN",VLOOKUP(AF1733,TNCalibEqFull!$AZ$1:$BB$56,3),FALSE))))</f>
        <v>y=-1.0839x2+204.73x-119.55</v>
      </c>
      <c r="AV1733" s="10" t="str">
        <f t="shared" si="201"/>
        <v>0201 09:00:00-QAC-STD-D-1-DI-CHK</v>
      </c>
    </row>
    <row r="1734" spans="1:48" s="10" customFormat="1" x14ac:dyDescent="0.55000000000000004">
      <c r="A1734" s="32">
        <v>44956</v>
      </c>
      <c r="B1734" s="33">
        <v>0.32500000000000001</v>
      </c>
      <c r="C1734" s="10" t="s">
        <v>279</v>
      </c>
      <c r="D1734" s="10">
        <v>0</v>
      </c>
      <c r="E1734" s="10" t="s">
        <v>190</v>
      </c>
      <c r="F1734" s="10">
        <v>1</v>
      </c>
      <c r="G1734" s="10" t="s">
        <v>231</v>
      </c>
      <c r="H1734" s="10" t="s">
        <v>322</v>
      </c>
      <c r="I1734" s="10" t="s">
        <v>235</v>
      </c>
      <c r="J1734" s="10">
        <v>11</v>
      </c>
      <c r="K1734" s="12">
        <v>44958</v>
      </c>
      <c r="L1734" s="33">
        <v>0.67265046296296294</v>
      </c>
      <c r="M1734" s="10">
        <v>1</v>
      </c>
      <c r="N1734" s="10" t="s">
        <v>196</v>
      </c>
      <c r="O1734" s="10">
        <v>8.94</v>
      </c>
      <c r="P1734" s="10">
        <v>0.439</v>
      </c>
      <c r="Q1734" s="10">
        <v>1520</v>
      </c>
      <c r="R1734" s="10" t="s">
        <v>170</v>
      </c>
      <c r="S1734" s="34">
        <f t="shared" si="198"/>
        <v>1624.1070099599999</v>
      </c>
      <c r="T1734" s="10" t="s">
        <v>1123</v>
      </c>
      <c r="U1734" s="34" t="str">
        <f t="shared" si="199"/>
        <v/>
      </c>
      <c r="V1734" s="31" t="str">
        <f>IF(H1734="CHK",VLOOKUP(I1734,QCCHK,3,),IF(H1734="GUP",VLOOKUP(E1734,QCGUP,2,),IF(AND(H1734="ATP",OR(I1734="TN",I1734="TDN",I1734="TNO2-3",I1734="NO2-3")),VLOOKUP(E1734,QCREC_N,2,),IF(AND(H1734="NIC",OR(I1734="TN",I1734="TDN",I1734="TNO2-3",I1734="NO2-3")),VLOOKUP(E1734,QCNIC_N,2,),IF(AND(H1734="UREA",OR(I1734="TN",I1734="TDN",I1734="TNO2-3",I1734="NO2-3")),VLOOKUP(E1734,QCUREA_N,2,),IF(H1734="PER",VLOOKUP(I1734,QCPER,MATCH(E1734,QCACTUAL!$J$25:$AA$25,0),),IF(H1734="SPK",VLOOKUP(I1734,QCSPK,3,),IF(AND(H1734="ATP",OR(I1734="TP",I1734="TDP")),VLOOKUP(E1734,QCATP_P,2,),""))))))))</f>
        <v/>
      </c>
      <c r="W1734" s="31" t="str">
        <f t="shared" si="200"/>
        <v>TRUE</v>
      </c>
      <c r="X1734" s="31" t="str">
        <f t="shared" si="197"/>
        <v/>
      </c>
      <c r="Y1734" s="10" t="s">
        <v>1116</v>
      </c>
      <c r="Z1734" s="10" t="s">
        <v>910</v>
      </c>
      <c r="AF1734" s="12">
        <v>44958</v>
      </c>
      <c r="AJ1734" s="10">
        <f>0.9631*8.94^2+173.03*8.94-74.605</f>
        <v>1549.2576191599999</v>
      </c>
      <c r="AK1734" s="10">
        <f>-1.0839*8.94^2+204.73*8.94-119.55</f>
        <v>1624.1070099599999</v>
      </c>
      <c r="AL1734" s="10" t="str">
        <f t="shared" si="195"/>
        <v>FALSE</v>
      </c>
      <c r="AM1734" s="10" t="str">
        <f t="shared" si="195"/>
        <v>FALSE</v>
      </c>
      <c r="AN1734" s="10" t="str">
        <f t="shared" si="195"/>
        <v>FALSE</v>
      </c>
      <c r="AO1734" s="10" t="str">
        <f t="shared" si="196"/>
        <v>y=0.9631*8.94^2+173.03*8.94-74.605</v>
      </c>
      <c r="AP1734" s="10" t="str">
        <f t="shared" si="196"/>
        <v>y=-1.0839*8.94^2+204.73*8.94-119.55</v>
      </c>
      <c r="AQ1734" s="10" t="b">
        <f>IF(AND(I1734="TP",S1734&lt;=150),VLOOKUP(AF1734,TPCalibEq150!$AZ$2:$BB$55,3,),IF(AND(I1734="TDP",S1734&lt;=150),VLOOKUP(AF1734,TPCalibEq150!$AZ$2:$BB$55,3,)))</f>
        <v>0</v>
      </c>
      <c r="AR1734" s="10" t="b">
        <f>IF(AND(I1734="TP",S1734&lt;=300),VLOOKUP(AF1734,TPCalibEq300!$AZ$2:$BB$55,3,),IF(AND(I1734="TDP",S1734&lt;=300),VLOOKUP(AF1734,TPCalibEq300!$AZ$2:$BB$55,3,)))</f>
        <v>0</v>
      </c>
      <c r="AS1734" s="10" t="b">
        <f>IF(AND(I1734="TP",S1734&lt;=500),VLOOKUP(AF1734,TPCalibEq500!$AZ$2:$BB$56,3,),IF(AND(I1734="TDP",S1734&lt;=500),VLOOKUP(AF1734,TPCalibEq500!$AZ$2:$BB$56,3,)))</f>
        <v>0</v>
      </c>
      <c r="AT1734" s="10" t="str">
        <f>IF(AND(I1734="TN",S1734&lt;=2800),VLOOKUP(AF1734,TNCalibEq2500!$AZ$2:$BB$56,3,),IF(AND(I1734="TDN",S1734&lt;=2800),VLOOKUP(AF1734,TNCalibEq2500!$AZ$2:$BB$56,3,)))</f>
        <v>y=0.9631x2+173.03x-74.605</v>
      </c>
      <c r="AU1734" s="10" t="str">
        <f>IF(I1734="TP",VLOOKUP(AF1734,TPCalibEqFull!$AZ$2:$BB$56,3),IF(I1734="TDP",VLOOKUP(AF1734,TPCalibEqFull!$AZ$2:$BB$56,3),IF(I1734="TDN",VLOOKUP(AF1734,TNCalibEqFull!$AZ$1:$BB$56,3),IF(I1734="TN",VLOOKUP(AF1734,TNCalibEqFull!$AZ$1:$BB$56,3),FALSE))))</f>
        <v>y=-1.0839x2+204.73x-119.55</v>
      </c>
      <c r="AV1734" s="10" t="str">
        <f t="shared" si="201"/>
        <v>0130 07:48:00-EFK-0-C-1-SW-UKN</v>
      </c>
    </row>
    <row r="1735" spans="1:48" s="10" customFormat="1" x14ac:dyDescent="0.55000000000000004">
      <c r="A1735" s="32">
        <v>44956</v>
      </c>
      <c r="B1735" s="33">
        <v>0.33749999999999997</v>
      </c>
      <c r="C1735" s="10" t="s">
        <v>333</v>
      </c>
      <c r="D1735" s="10">
        <v>0</v>
      </c>
      <c r="E1735" s="10" t="s">
        <v>190</v>
      </c>
      <c r="F1735" s="10">
        <v>1</v>
      </c>
      <c r="G1735" s="10" t="s">
        <v>231</v>
      </c>
      <c r="H1735" s="10" t="s">
        <v>322</v>
      </c>
      <c r="I1735" s="10" t="s">
        <v>235</v>
      </c>
      <c r="J1735" s="10">
        <v>12</v>
      </c>
      <c r="K1735" s="12">
        <v>44958</v>
      </c>
      <c r="L1735" s="33">
        <v>0.67332175925925919</v>
      </c>
      <c r="M1735" s="10">
        <v>1</v>
      </c>
      <c r="N1735" s="10" t="s">
        <v>196</v>
      </c>
      <c r="O1735" s="10">
        <v>7.23</v>
      </c>
      <c r="P1735" s="10">
        <v>0.35599999999999998</v>
      </c>
      <c r="Q1735" s="10">
        <v>1220</v>
      </c>
      <c r="R1735" s="10" t="s">
        <v>170</v>
      </c>
      <c r="S1735" s="34">
        <f t="shared" si="198"/>
        <v>1303.98930369</v>
      </c>
      <c r="T1735" s="10" t="s">
        <v>1123</v>
      </c>
      <c r="U1735" s="34" t="str">
        <f t="shared" si="199"/>
        <v/>
      </c>
      <c r="V1735" s="31" t="str">
        <f>IF(H1735="CHK",VLOOKUP(I1735,QCCHK,3,),IF(H1735="GUP",VLOOKUP(E1735,QCGUP,2,),IF(AND(H1735="ATP",OR(I1735="TN",I1735="TDN",I1735="TNO2-3",I1735="NO2-3")),VLOOKUP(E1735,QCREC_N,2,),IF(AND(H1735="NIC",OR(I1735="TN",I1735="TDN",I1735="TNO2-3",I1735="NO2-3")),VLOOKUP(E1735,QCNIC_N,2,),IF(AND(H1735="UREA",OR(I1735="TN",I1735="TDN",I1735="TNO2-3",I1735="NO2-3")),VLOOKUP(E1735,QCUREA_N,2,),IF(H1735="PER",VLOOKUP(I1735,QCPER,MATCH(E1735,QCACTUAL!$J$25:$AA$25,0),),IF(H1735="SPK",VLOOKUP(I1735,QCSPK,3,),IF(AND(H1735="ATP",OR(I1735="TP",I1735="TDP")),VLOOKUP(E1735,QCATP_P,2,),""))))))))</f>
        <v/>
      </c>
      <c r="W1735" s="31" t="str">
        <f t="shared" si="200"/>
        <v>TRUE</v>
      </c>
      <c r="X1735" s="31" t="str">
        <f t="shared" si="197"/>
        <v/>
      </c>
      <c r="Y1735" s="10" t="s">
        <v>1116</v>
      </c>
      <c r="Z1735" s="10" t="s">
        <v>910</v>
      </c>
      <c r="AF1735" s="12">
        <v>44958</v>
      </c>
      <c r="AJ1735" s="10">
        <f>0.9631*7.23^2+173.03*7.23-74.605</f>
        <v>1226.7459299900001</v>
      </c>
      <c r="AK1735" s="10">
        <f>-1.0839*7.23^2+204.73*7.23-119.55</f>
        <v>1303.98930369</v>
      </c>
      <c r="AL1735" s="10" t="str">
        <f t="shared" si="195"/>
        <v>FALSE</v>
      </c>
      <c r="AM1735" s="10" t="str">
        <f t="shared" si="195"/>
        <v>FALSE</v>
      </c>
      <c r="AN1735" s="10" t="str">
        <f t="shared" si="195"/>
        <v>FALSE</v>
      </c>
      <c r="AO1735" s="10" t="str">
        <f t="shared" si="196"/>
        <v>y=0.9631*7.23^2+173.03*7.23-74.605</v>
      </c>
      <c r="AP1735" s="10" t="str">
        <f t="shared" si="196"/>
        <v>y=-1.0839*7.23^2+204.73*7.23-119.55</v>
      </c>
      <c r="AQ1735" s="10" t="b">
        <f>IF(AND(I1735="TP",S1735&lt;=150),VLOOKUP(AF1735,TPCalibEq150!$AZ$2:$BB$55,3,),IF(AND(I1735="TDP",S1735&lt;=150),VLOOKUP(AF1735,TPCalibEq150!$AZ$2:$BB$55,3,)))</f>
        <v>0</v>
      </c>
      <c r="AR1735" s="10" t="b">
        <f>IF(AND(I1735="TP",S1735&lt;=300),VLOOKUP(AF1735,TPCalibEq300!$AZ$2:$BB$55,3,),IF(AND(I1735="TDP",S1735&lt;=300),VLOOKUP(AF1735,TPCalibEq300!$AZ$2:$BB$55,3,)))</f>
        <v>0</v>
      </c>
      <c r="AS1735" s="10" t="b">
        <f>IF(AND(I1735="TP",S1735&lt;=500),VLOOKUP(AF1735,TPCalibEq500!$AZ$2:$BB$56,3,),IF(AND(I1735="TDP",S1735&lt;=500),VLOOKUP(AF1735,TPCalibEq500!$AZ$2:$BB$56,3,)))</f>
        <v>0</v>
      </c>
      <c r="AT1735" s="10" t="str">
        <f>IF(AND(I1735="TN",S1735&lt;=2800),VLOOKUP(AF1735,TNCalibEq2500!$AZ$2:$BB$56,3,),IF(AND(I1735="TDN",S1735&lt;=2800),VLOOKUP(AF1735,TNCalibEq2500!$AZ$2:$BB$56,3,)))</f>
        <v>y=0.9631x2+173.03x-74.605</v>
      </c>
      <c r="AU1735" s="10" t="str">
        <f>IF(I1735="TP",VLOOKUP(AF1735,TPCalibEqFull!$AZ$2:$BB$56,3),IF(I1735="TDP",VLOOKUP(AF1735,TPCalibEqFull!$AZ$2:$BB$56,3),IF(I1735="TDN",VLOOKUP(AF1735,TNCalibEqFull!$AZ$1:$BB$56,3),IF(I1735="TN",VLOOKUP(AF1735,TNCalibEqFull!$AZ$1:$BB$56,3),FALSE))))</f>
        <v>y=-1.0839x2+204.73x-119.55</v>
      </c>
      <c r="AV1735" s="10" t="str">
        <f t="shared" si="201"/>
        <v>0130 08:06:00-HST-0-C-1-SW-UKN</v>
      </c>
    </row>
    <row r="1736" spans="1:48" s="10" customFormat="1" x14ac:dyDescent="0.55000000000000004">
      <c r="A1736" s="32">
        <v>44957</v>
      </c>
      <c r="B1736" s="33">
        <v>0.41250000000000003</v>
      </c>
      <c r="C1736" s="10" t="s">
        <v>279</v>
      </c>
      <c r="D1736" s="10">
        <v>0</v>
      </c>
      <c r="E1736" s="10" t="s">
        <v>190</v>
      </c>
      <c r="F1736" s="10">
        <v>1</v>
      </c>
      <c r="G1736" s="10" t="s">
        <v>231</v>
      </c>
      <c r="H1736" s="10" t="s">
        <v>322</v>
      </c>
      <c r="I1736" s="10" t="s">
        <v>235</v>
      </c>
      <c r="J1736" s="10">
        <v>13</v>
      </c>
      <c r="K1736" s="12">
        <v>44958</v>
      </c>
      <c r="L1736" s="33">
        <v>0.6739814814814814</v>
      </c>
      <c r="M1736" s="10">
        <v>1</v>
      </c>
      <c r="N1736" s="10" t="s">
        <v>196</v>
      </c>
      <c r="O1736" s="10">
        <v>8.2100000000000009</v>
      </c>
      <c r="P1736" s="10">
        <v>0.40400000000000003</v>
      </c>
      <c r="Q1736" s="10">
        <v>1390</v>
      </c>
      <c r="R1736" s="10" t="s">
        <v>170</v>
      </c>
      <c r="S1736" s="34">
        <f t="shared" si="198"/>
        <v>1488.2239960100001</v>
      </c>
      <c r="T1736" s="10" t="s">
        <v>1123</v>
      </c>
      <c r="U1736" s="34" t="str">
        <f t="shared" si="199"/>
        <v/>
      </c>
      <c r="V1736" s="31" t="str">
        <f>IF(H1736="CHK",VLOOKUP(I1736,QCCHK,3,),IF(H1736="GUP",VLOOKUP(E1736,QCGUP,2,),IF(AND(H1736="ATP",OR(I1736="TN",I1736="TDN",I1736="TNO2-3",I1736="NO2-3")),VLOOKUP(E1736,QCREC_N,2,),IF(AND(H1736="NIC",OR(I1736="TN",I1736="TDN",I1736="TNO2-3",I1736="NO2-3")),VLOOKUP(E1736,QCNIC_N,2,),IF(AND(H1736="UREA",OR(I1736="TN",I1736="TDN",I1736="TNO2-3",I1736="NO2-3")),VLOOKUP(E1736,QCUREA_N,2,),IF(H1736="PER",VLOOKUP(I1736,QCPER,MATCH(E1736,QCACTUAL!$J$25:$AA$25,0),),IF(H1736="SPK",VLOOKUP(I1736,QCSPK,3,),IF(AND(H1736="ATP",OR(I1736="TP",I1736="TDP")),VLOOKUP(E1736,QCATP_P,2,),""))))))))</f>
        <v/>
      </c>
      <c r="W1736" s="31" t="str">
        <f t="shared" si="200"/>
        <v>TRUE</v>
      </c>
      <c r="X1736" s="31" t="str">
        <f t="shared" si="197"/>
        <v/>
      </c>
      <c r="Y1736" s="10" t="s">
        <v>1116</v>
      </c>
      <c r="AF1736" s="12">
        <v>44958</v>
      </c>
      <c r="AJ1736" s="10">
        <f>0.9631*8.21^2+173.03*8.21-74.605</f>
        <v>1410.8881887100001</v>
      </c>
      <c r="AK1736" s="10">
        <f>-1.0839*8.21^2+204.73*8.21-119.55</f>
        <v>1488.2239960100001</v>
      </c>
      <c r="AL1736" s="10" t="str">
        <f t="shared" si="195"/>
        <v>FALSE</v>
      </c>
      <c r="AM1736" s="10" t="str">
        <f t="shared" si="195"/>
        <v>FALSE</v>
      </c>
      <c r="AN1736" s="10" t="str">
        <f t="shared" si="195"/>
        <v>FALSE</v>
      </c>
      <c r="AO1736" s="10" t="str">
        <f t="shared" si="196"/>
        <v>y=0.9631*8.21^2+173.03*8.21-74.605</v>
      </c>
      <c r="AP1736" s="10" t="str">
        <f t="shared" si="196"/>
        <v>y=-1.0839*8.21^2+204.73*8.21-119.55</v>
      </c>
      <c r="AQ1736" s="10" t="b">
        <f>IF(AND(I1736="TP",S1736&lt;=150),VLOOKUP(AF1736,TPCalibEq150!$AZ$2:$BB$55,3,),IF(AND(I1736="TDP",S1736&lt;=150),VLOOKUP(AF1736,TPCalibEq150!$AZ$2:$BB$55,3,)))</f>
        <v>0</v>
      </c>
      <c r="AR1736" s="10" t="b">
        <f>IF(AND(I1736="TP",S1736&lt;=300),VLOOKUP(AF1736,TPCalibEq300!$AZ$2:$BB$55,3,),IF(AND(I1736="TDP",S1736&lt;=300),VLOOKUP(AF1736,TPCalibEq300!$AZ$2:$BB$55,3,)))</f>
        <v>0</v>
      </c>
      <c r="AS1736" s="10" t="b">
        <f>IF(AND(I1736="TP",S1736&lt;=500),VLOOKUP(AF1736,TPCalibEq500!$AZ$2:$BB$56,3,),IF(AND(I1736="TDP",S1736&lt;=500),VLOOKUP(AF1736,TPCalibEq500!$AZ$2:$BB$56,3,)))</f>
        <v>0</v>
      </c>
      <c r="AT1736" s="10" t="str">
        <f>IF(AND(I1736="TN",S1736&lt;=2800),VLOOKUP(AF1736,TNCalibEq2500!$AZ$2:$BB$56,3,),IF(AND(I1736="TDN",S1736&lt;=2800),VLOOKUP(AF1736,TNCalibEq2500!$AZ$2:$BB$56,3,)))</f>
        <v>y=0.9631x2+173.03x-74.605</v>
      </c>
      <c r="AU1736" s="10" t="str">
        <f>IF(I1736="TP",VLOOKUP(AF1736,TPCalibEqFull!$AZ$2:$BB$56,3),IF(I1736="TDP",VLOOKUP(AF1736,TPCalibEqFull!$AZ$2:$BB$56,3),IF(I1736="TDN",VLOOKUP(AF1736,TNCalibEqFull!$AZ$1:$BB$56,3),IF(I1736="TN",VLOOKUP(AF1736,TNCalibEqFull!$AZ$1:$BB$56,3),FALSE))))</f>
        <v>y=-1.0839x2+204.73x-119.55</v>
      </c>
      <c r="AV1736" s="10" t="str">
        <f t="shared" si="201"/>
        <v>0131 09:54:00-EFK-0-C-1-SW-UKN</v>
      </c>
    </row>
    <row r="1737" spans="1:48" s="10" customFormat="1" x14ac:dyDescent="0.55000000000000004">
      <c r="A1737" s="32">
        <v>44957</v>
      </c>
      <c r="B1737" s="33">
        <v>0.41597222222222219</v>
      </c>
      <c r="C1737" s="10" t="s">
        <v>333</v>
      </c>
      <c r="D1737" s="10">
        <v>0</v>
      </c>
      <c r="E1737" s="10" t="s">
        <v>190</v>
      </c>
      <c r="F1737" s="10">
        <v>1</v>
      </c>
      <c r="G1737" s="10" t="s">
        <v>231</v>
      </c>
      <c r="H1737" s="10" t="s">
        <v>322</v>
      </c>
      <c r="I1737" s="10" t="s">
        <v>235</v>
      </c>
      <c r="J1737" s="10">
        <v>14</v>
      </c>
      <c r="K1737" s="12">
        <v>44958</v>
      </c>
      <c r="L1737" s="33">
        <v>0.67464120370370362</v>
      </c>
      <c r="M1737" s="10">
        <v>1</v>
      </c>
      <c r="N1737" s="10" t="s">
        <v>196</v>
      </c>
      <c r="O1737" s="10">
        <v>7.01</v>
      </c>
      <c r="P1737" s="10">
        <v>0.34599999999999997</v>
      </c>
      <c r="Q1737" s="10">
        <v>1180</v>
      </c>
      <c r="R1737" s="10" t="s">
        <v>170</v>
      </c>
      <c r="S1737" s="34">
        <f t="shared" si="198"/>
        <v>1262.3443456099999</v>
      </c>
      <c r="T1737" s="10" t="s">
        <v>1123</v>
      </c>
      <c r="U1737" s="34" t="str">
        <f t="shared" si="199"/>
        <v/>
      </c>
      <c r="V1737" s="31" t="str">
        <f>IF(H1737="CHK",VLOOKUP(I1737,QCCHK,3,),IF(H1737="GUP",VLOOKUP(E1737,QCGUP,2,),IF(AND(H1737="ATP",OR(I1737="TN",I1737="TDN",I1737="TNO2-3",I1737="NO2-3")),VLOOKUP(E1737,QCREC_N,2,),IF(AND(H1737="NIC",OR(I1737="TN",I1737="TDN",I1737="TNO2-3",I1737="NO2-3")),VLOOKUP(E1737,QCNIC_N,2,),IF(AND(H1737="UREA",OR(I1737="TN",I1737="TDN",I1737="TNO2-3",I1737="NO2-3")),VLOOKUP(E1737,QCUREA_N,2,),IF(H1737="PER",VLOOKUP(I1737,QCPER,MATCH(E1737,QCACTUAL!$J$25:$AA$25,0),),IF(H1737="SPK",VLOOKUP(I1737,QCSPK,3,),IF(AND(H1737="ATP",OR(I1737="TP",I1737="TDP")),VLOOKUP(E1737,QCATP_P,2,),""))))))))</f>
        <v/>
      </c>
      <c r="W1737" s="31" t="str">
        <f t="shared" si="200"/>
        <v>TRUE</v>
      </c>
      <c r="X1737" s="31" t="str">
        <f t="shared" si="197"/>
        <v/>
      </c>
      <c r="Y1737" s="10" t="s">
        <v>1116</v>
      </c>
      <c r="AF1737" s="12">
        <v>44958</v>
      </c>
      <c r="AJ1737" s="10">
        <f>0.9631*7.01^2+173.03*7.01-74.605</f>
        <v>1185.6621303100001</v>
      </c>
      <c r="AK1737" s="10">
        <f>-1.0839*7.01^2+204.73*7.01-119.55</f>
        <v>1262.3443456099999</v>
      </c>
      <c r="AL1737" s="10" t="str">
        <f t="shared" si="195"/>
        <v>FALSE</v>
      </c>
      <c r="AM1737" s="10" t="str">
        <f t="shared" si="195"/>
        <v>FALSE</v>
      </c>
      <c r="AN1737" s="10" t="str">
        <f t="shared" si="195"/>
        <v>FALSE</v>
      </c>
      <c r="AO1737" s="10" t="str">
        <f t="shared" si="196"/>
        <v>y=0.9631*7.01^2+173.03*7.01-74.605</v>
      </c>
      <c r="AP1737" s="10" t="str">
        <f t="shared" si="196"/>
        <v>y=-1.0839*7.01^2+204.73*7.01-119.55</v>
      </c>
      <c r="AQ1737" s="10" t="b">
        <f>IF(AND(I1737="TP",S1737&lt;=150),VLOOKUP(AF1737,TPCalibEq150!$AZ$2:$BB$55,3,),IF(AND(I1737="TDP",S1737&lt;=150),VLOOKUP(AF1737,TPCalibEq150!$AZ$2:$BB$55,3,)))</f>
        <v>0</v>
      </c>
      <c r="AR1737" s="10" t="b">
        <f>IF(AND(I1737="TP",S1737&lt;=300),VLOOKUP(AF1737,TPCalibEq300!$AZ$2:$BB$55,3,),IF(AND(I1737="TDP",S1737&lt;=300),VLOOKUP(AF1737,TPCalibEq300!$AZ$2:$BB$55,3,)))</f>
        <v>0</v>
      </c>
      <c r="AS1737" s="10" t="b">
        <f>IF(AND(I1737="TP",S1737&lt;=500),VLOOKUP(AF1737,TPCalibEq500!$AZ$2:$BB$56,3,),IF(AND(I1737="TDP",S1737&lt;=500),VLOOKUP(AF1737,TPCalibEq500!$AZ$2:$BB$56,3,)))</f>
        <v>0</v>
      </c>
      <c r="AT1737" s="10" t="str">
        <f>IF(AND(I1737="TN",S1737&lt;=2800),VLOOKUP(AF1737,TNCalibEq2500!$AZ$2:$BB$56,3,),IF(AND(I1737="TDN",S1737&lt;=2800),VLOOKUP(AF1737,TNCalibEq2500!$AZ$2:$BB$56,3,)))</f>
        <v>y=0.9631x2+173.03x-74.605</v>
      </c>
      <c r="AU1737" s="10" t="str">
        <f>IF(I1737="TP",VLOOKUP(AF1737,TPCalibEqFull!$AZ$2:$BB$56,3),IF(I1737="TDP",VLOOKUP(AF1737,TPCalibEqFull!$AZ$2:$BB$56,3),IF(I1737="TDN",VLOOKUP(AF1737,TNCalibEqFull!$AZ$1:$BB$56,3),IF(I1737="TN",VLOOKUP(AF1737,TNCalibEqFull!$AZ$1:$BB$56,3),FALSE))))</f>
        <v>y=-1.0839x2+204.73x-119.55</v>
      </c>
      <c r="AV1737" s="10" t="str">
        <f t="shared" si="201"/>
        <v>0131 09:59:00-HST-0-C-1-SW-UKN</v>
      </c>
    </row>
    <row r="1738" spans="1:48" s="10" customFormat="1" x14ac:dyDescent="0.55000000000000004">
      <c r="A1738" s="32">
        <v>44957</v>
      </c>
      <c r="B1738" s="33">
        <v>0.41597222222222219</v>
      </c>
      <c r="C1738" s="10" t="s">
        <v>333</v>
      </c>
      <c r="D1738" s="10">
        <v>0</v>
      </c>
      <c r="E1738" s="10" t="s">
        <v>190</v>
      </c>
      <c r="F1738" s="10">
        <v>1</v>
      </c>
      <c r="G1738" s="10" t="s">
        <v>231</v>
      </c>
      <c r="H1738" s="10" t="s">
        <v>233</v>
      </c>
      <c r="I1738" s="10" t="s">
        <v>235</v>
      </c>
      <c r="J1738" s="10">
        <v>14</v>
      </c>
      <c r="K1738" s="12">
        <v>44958</v>
      </c>
      <c r="L1738" s="33">
        <v>0.67530092592592583</v>
      </c>
      <c r="M1738" s="10">
        <v>1</v>
      </c>
      <c r="N1738" s="10" t="s">
        <v>196</v>
      </c>
      <c r="O1738" s="10">
        <v>7</v>
      </c>
      <c r="P1738" s="10">
        <v>0.34599999999999997</v>
      </c>
      <c r="Q1738" s="10">
        <v>1180</v>
      </c>
      <c r="R1738" s="10" t="s">
        <v>170</v>
      </c>
      <c r="S1738" s="34">
        <f t="shared" si="198"/>
        <v>1260.4488999999999</v>
      </c>
      <c r="T1738" s="10" t="s">
        <v>1123</v>
      </c>
      <c r="U1738" s="34">
        <f t="shared" si="199"/>
        <v>0.15026563221527212</v>
      </c>
      <c r="V1738" s="31" t="str">
        <f>IF(H1738="CHK",VLOOKUP(I1738,QCCHK,3,),IF(H1738="GUP",VLOOKUP(E1738,QCGUP,2,),IF(AND(H1738="ATP",OR(I1738="TN",I1738="TDN",I1738="TNO2-3",I1738="NO2-3")),VLOOKUP(E1738,QCREC_N,2,),IF(AND(H1738="NIC",OR(I1738="TN",I1738="TDN",I1738="TNO2-3",I1738="NO2-3")),VLOOKUP(E1738,QCNIC_N,2,),IF(AND(H1738="UREA",OR(I1738="TN",I1738="TDN",I1738="TNO2-3",I1738="NO2-3")),VLOOKUP(E1738,QCUREA_N,2,),IF(H1738="PER",VLOOKUP(I1738,QCPER,MATCH(E1738,QCACTUAL!$J$25:$AA$25,0),),IF(H1738="SPK",VLOOKUP(I1738,QCSPK,3,),IF(AND(H1738="ATP",OR(I1738="TP",I1738="TDP")),VLOOKUP(E1738,QCATP_P,2,),""))))))))</f>
        <v/>
      </c>
      <c r="W1738" s="31" t="str">
        <f t="shared" si="200"/>
        <v>TRUE</v>
      </c>
      <c r="X1738" s="31" t="str">
        <f t="shared" si="197"/>
        <v>((ABS(rep1-rep2))/((rep1+rep2)/2)*100</v>
      </c>
      <c r="Y1738" s="10" t="s">
        <v>1116</v>
      </c>
      <c r="AF1738" s="12">
        <v>44958</v>
      </c>
      <c r="AJ1738" s="10">
        <f>0.9631*7^2+173.03*7-74.605</f>
        <v>1183.7969000000001</v>
      </c>
      <c r="AK1738" s="10">
        <f>-1.0839*7^2+204.73*7-119.55</f>
        <v>1260.4488999999999</v>
      </c>
      <c r="AL1738" s="10" t="str">
        <f t="shared" si="195"/>
        <v>FALSE</v>
      </c>
      <c r="AM1738" s="10" t="str">
        <f t="shared" si="195"/>
        <v>FALSE</v>
      </c>
      <c r="AN1738" s="10" t="str">
        <f t="shared" si="195"/>
        <v>FALSE</v>
      </c>
      <c r="AO1738" s="10" t="str">
        <f t="shared" si="196"/>
        <v>y=0.9631*7^2+173.03*7-74.605</v>
      </c>
      <c r="AP1738" s="10" t="str">
        <f t="shared" si="196"/>
        <v>y=-1.0839*7^2+204.73*7-119.55</v>
      </c>
      <c r="AQ1738" s="10" t="b">
        <f>IF(AND(I1738="TP",S1738&lt;=150),VLOOKUP(AF1738,TPCalibEq150!$AZ$2:$BB$55,3,),IF(AND(I1738="TDP",S1738&lt;=150),VLOOKUP(AF1738,TPCalibEq150!$AZ$2:$BB$55,3,)))</f>
        <v>0</v>
      </c>
      <c r="AR1738" s="10" t="b">
        <f>IF(AND(I1738="TP",S1738&lt;=300),VLOOKUP(AF1738,TPCalibEq300!$AZ$2:$BB$55,3,),IF(AND(I1738="TDP",S1738&lt;=300),VLOOKUP(AF1738,TPCalibEq300!$AZ$2:$BB$55,3,)))</f>
        <v>0</v>
      </c>
      <c r="AS1738" s="10" t="b">
        <f>IF(AND(I1738="TP",S1738&lt;=500),VLOOKUP(AF1738,TPCalibEq500!$AZ$2:$BB$56,3,),IF(AND(I1738="TDP",S1738&lt;=500),VLOOKUP(AF1738,TPCalibEq500!$AZ$2:$BB$56,3,)))</f>
        <v>0</v>
      </c>
      <c r="AT1738" s="10" t="str">
        <f>IF(AND(I1738="TN",S1738&lt;=2800),VLOOKUP(AF1738,TNCalibEq2500!$AZ$2:$BB$56,3,),IF(AND(I1738="TDN",S1738&lt;=2800),VLOOKUP(AF1738,TNCalibEq2500!$AZ$2:$BB$56,3,)))</f>
        <v>y=0.9631x2+173.03x-74.605</v>
      </c>
      <c r="AU1738" s="10" t="str">
        <f>IF(I1738="TP",VLOOKUP(AF1738,TPCalibEqFull!$AZ$2:$BB$56,3),IF(I1738="TDP",VLOOKUP(AF1738,TPCalibEqFull!$AZ$2:$BB$56,3),IF(I1738="TDN",VLOOKUP(AF1738,TNCalibEqFull!$AZ$1:$BB$56,3),IF(I1738="TN",VLOOKUP(AF1738,TNCalibEqFull!$AZ$1:$BB$56,3),FALSE))))</f>
        <v>y=-1.0839x2+204.73x-119.55</v>
      </c>
      <c r="AV1738" s="10" t="str">
        <f t="shared" si="201"/>
        <v>0131 09:59:00-HST-0-C-1-SW-DUP</v>
      </c>
    </row>
    <row r="1739" spans="1:48" s="10" customFormat="1" x14ac:dyDescent="0.55000000000000004">
      <c r="A1739" s="32">
        <v>44957</v>
      </c>
      <c r="B1739" s="33">
        <v>0.41597222222222219</v>
      </c>
      <c r="C1739" s="10" t="s">
        <v>912</v>
      </c>
      <c r="D1739" s="10">
        <v>0</v>
      </c>
      <c r="E1739" s="10" t="s">
        <v>190</v>
      </c>
      <c r="F1739" s="10">
        <v>1</v>
      </c>
      <c r="G1739" s="10" t="s">
        <v>231</v>
      </c>
      <c r="H1739" s="10" t="s">
        <v>314</v>
      </c>
      <c r="I1739" s="10" t="s">
        <v>235</v>
      </c>
      <c r="J1739" s="10">
        <v>82</v>
      </c>
      <c r="K1739" s="12">
        <v>44958</v>
      </c>
      <c r="L1739" s="33">
        <v>0.6759722222222222</v>
      </c>
      <c r="M1739" s="10">
        <v>1</v>
      </c>
      <c r="N1739" s="10" t="s">
        <v>196</v>
      </c>
      <c r="O1739" s="10">
        <v>23.7</v>
      </c>
      <c r="P1739" s="10">
        <v>1.1599999999999999</v>
      </c>
      <c r="Q1739" s="10">
        <v>4100</v>
      </c>
      <c r="R1739" s="10" t="s">
        <v>170</v>
      </c>
      <c r="S1739" s="34">
        <f t="shared" si="198"/>
        <v>4123.7352089999995</v>
      </c>
      <c r="T1739" s="10" t="s">
        <v>1123</v>
      </c>
      <c r="U1739" s="34">
        <f t="shared" si="199"/>
        <v>114.53145235999997</v>
      </c>
      <c r="V1739" s="31">
        <f>IF(H1739="CHK",VLOOKUP(I1739,QCCHK,3,),IF(H1739="GUP",VLOOKUP(E1739,QCGUP,2,),IF(AND(H1739="ATP",OR(I1739="TN",I1739="TDN",I1739="TNO2-3",I1739="NO2-3")),VLOOKUP(E1739,QCREC_N,2,),IF(AND(H1739="NIC",OR(I1739="TN",I1739="TDN",I1739="TNO2-3",I1739="NO2-3")),VLOOKUP(E1739,QCNIC_N,2,),IF(AND(H1739="UREA",OR(I1739="TN",I1739="TDN",I1739="TNO2-3",I1739="NO2-3")),VLOOKUP(E1739,QCUREA_N,2,),IF(H1739="PER",VLOOKUP(I1739,QCPER,MATCH(E1739,QCACTUAL!$J$25:$AA$25,0),),IF(H1739="SPK",VLOOKUP(I1739,QCSPK,3,),IF(AND(H1739="ATP",OR(I1739="TP",I1739="TDP")),VLOOKUP(E1739,QCATP_P,2,),""))))))))</f>
        <v>2500</v>
      </c>
      <c r="W1739" s="31" t="str">
        <f t="shared" si="200"/>
        <v>TRUE</v>
      </c>
      <c r="X1739" s="31" t="str">
        <f t="shared" si="197"/>
        <v>([spikedunkn]-[unkn])/[spike]*100</v>
      </c>
      <c r="Y1739" s="10" t="s">
        <v>1116</v>
      </c>
      <c r="AF1739" s="12">
        <v>44958</v>
      </c>
      <c r="AK1739" s="10">
        <f>-1.0839*23.7^2+204.73*23.7-119.55</f>
        <v>4123.7352089999995</v>
      </c>
      <c r="AL1739" s="10" t="str">
        <f t="shared" si="195"/>
        <v>FALSE</v>
      </c>
      <c r="AM1739" s="10" t="str">
        <f t="shared" si="195"/>
        <v>FALSE</v>
      </c>
      <c r="AN1739" s="10" t="str">
        <f t="shared" si="195"/>
        <v>FALSE</v>
      </c>
      <c r="AO1739" s="10" t="str">
        <f t="shared" si="196"/>
        <v>FALSE</v>
      </c>
      <c r="AP1739" s="10" t="str">
        <f t="shared" si="196"/>
        <v>y=-1.0839*23.7^2+204.73*23.7-119.55</v>
      </c>
      <c r="AQ1739" s="10" t="b">
        <f>IF(AND(I1739="TP",S1739&lt;=150),VLOOKUP(AF1739,TPCalibEq150!$AZ$2:$BB$55,3,),IF(AND(I1739="TDP",S1739&lt;=150),VLOOKUP(AF1739,TPCalibEq150!$AZ$2:$BB$55,3,)))</f>
        <v>0</v>
      </c>
      <c r="AR1739" s="10" t="b">
        <f>IF(AND(I1739="TP",S1739&lt;=300),VLOOKUP(AF1739,TPCalibEq300!$AZ$2:$BB$55,3,),IF(AND(I1739="TDP",S1739&lt;=300),VLOOKUP(AF1739,TPCalibEq300!$AZ$2:$BB$55,3,)))</f>
        <v>0</v>
      </c>
      <c r="AS1739" s="10" t="b">
        <f>IF(AND(I1739="TP",S1739&lt;=500),VLOOKUP(AF1739,TPCalibEq500!$AZ$2:$BB$56,3,),IF(AND(I1739="TDP",S1739&lt;=500),VLOOKUP(AF1739,TPCalibEq500!$AZ$2:$BB$56,3,)))</f>
        <v>0</v>
      </c>
      <c r="AT1739" s="10" t="b">
        <f>IF(AND(I1739="TN",S1739&lt;=2800),VLOOKUP(AF1739,TNCalibEq2500!$AZ$2:$BB$56,3,),IF(AND(I1739="TDN",S1739&lt;=2800),VLOOKUP(AF1739,TNCalibEq2500!$AZ$2:$BB$56,3,)))</f>
        <v>0</v>
      </c>
      <c r="AU1739" s="10" t="str">
        <f>IF(I1739="TP",VLOOKUP(AF1739,TPCalibEqFull!$AZ$2:$BB$56,3),IF(I1739="TDP",VLOOKUP(AF1739,TPCalibEqFull!$AZ$2:$BB$56,3),IF(I1739="TDN",VLOOKUP(AF1739,TNCalibEqFull!$AZ$1:$BB$56,3),IF(I1739="TN",VLOOKUP(AF1739,TNCalibEqFull!$AZ$1:$BB$56,3),FALSE))))</f>
        <v>y=-1.0839x2+204.73x-119.55</v>
      </c>
      <c r="AV1739" s="10" t="str">
        <f t="shared" si="201"/>
        <v>0131 09:59:00-HST -0-C-1-SW-SPK</v>
      </c>
    </row>
    <row r="1740" spans="1:48" s="10" customFormat="1" x14ac:dyDescent="0.55000000000000004">
      <c r="A1740" s="32">
        <v>44958</v>
      </c>
      <c r="B1740" s="33">
        <v>0.375</v>
      </c>
      <c r="C1740" s="10" t="s">
        <v>70</v>
      </c>
      <c r="D1740" s="10" t="s">
        <v>71</v>
      </c>
      <c r="E1740" s="10" t="s">
        <v>901</v>
      </c>
      <c r="F1740" s="10">
        <v>1</v>
      </c>
      <c r="G1740" s="10" t="s">
        <v>73</v>
      </c>
      <c r="H1740" s="10" t="s">
        <v>207</v>
      </c>
      <c r="I1740" s="10" t="s">
        <v>235</v>
      </c>
      <c r="J1740" s="10">
        <v>200</v>
      </c>
      <c r="K1740" s="12">
        <v>44958</v>
      </c>
      <c r="L1740" s="33">
        <v>0.67664351851851856</v>
      </c>
      <c r="M1740" s="10">
        <v>1</v>
      </c>
      <c r="N1740" s="10" t="s">
        <v>196</v>
      </c>
      <c r="O1740" s="10">
        <v>7.22</v>
      </c>
      <c r="P1740" s="10">
        <v>0.35899999999999999</v>
      </c>
      <c r="Q1740" s="10">
        <v>1220</v>
      </c>
      <c r="R1740" s="10" t="s">
        <v>170</v>
      </c>
      <c r="S1740" s="34">
        <f t="shared" si="198"/>
        <v>1302.09862724</v>
      </c>
      <c r="T1740" s="10" t="s">
        <v>1123</v>
      </c>
      <c r="U1740" s="34">
        <f t="shared" si="199"/>
        <v>104.1678901792</v>
      </c>
      <c r="V1740" s="31">
        <f>IF(H1740="CHK",VLOOKUP(I1740,QCCHK,3,),IF(H1740="GUP",VLOOKUP(E1740,QCGUP,2,),IF(AND(H1740="ATP",OR(I1740="TN",I1740="TDN",I1740="TNO2-3",I1740="NO2-3")),VLOOKUP(E1740,QCREC_N,2,),IF(AND(H1740="NIC",OR(I1740="TN",I1740="TDN",I1740="TNO2-3",I1740="NO2-3")),VLOOKUP(E1740,QCNIC_N,2,),IF(AND(H1740="UREA",OR(I1740="TN",I1740="TDN",I1740="TNO2-3",I1740="NO2-3")),VLOOKUP(E1740,QCUREA_N,2,),IF(H1740="PER",VLOOKUP(I1740,QCPER,MATCH(E1740,QCACTUAL!$J$25:$AA$25,0),),IF(H1740="SPK",VLOOKUP(I1740,QCSPK,3,),IF(AND(H1740="ATP",OR(I1740="TP",I1740="TDP")),VLOOKUP(E1740,QCATP_P,2,),""))))))))</f>
        <v>1250</v>
      </c>
      <c r="W1740" s="31" t="str">
        <f t="shared" si="200"/>
        <v>TRUE</v>
      </c>
      <c r="X1740" s="31" t="str">
        <f t="shared" si="197"/>
        <v>[chk]/[actual]*100</v>
      </c>
      <c r="Y1740" s="10" t="s">
        <v>1116</v>
      </c>
      <c r="AF1740" s="12">
        <v>44958</v>
      </c>
      <c r="AJ1740" s="10">
        <f>0.9631*7.22^2+173.03*7.22-74.605</f>
        <v>1224.87646204</v>
      </c>
      <c r="AK1740" s="10">
        <f>-1.0839*7.22^2+204.73*7.22-119.55</f>
        <v>1302.09862724</v>
      </c>
      <c r="AL1740" s="10" t="str">
        <f t="shared" si="195"/>
        <v>FALSE</v>
      </c>
      <c r="AM1740" s="10" t="str">
        <f t="shared" si="195"/>
        <v>FALSE</v>
      </c>
      <c r="AN1740" s="10" t="str">
        <f t="shared" si="195"/>
        <v>FALSE</v>
      </c>
      <c r="AO1740" s="10" t="str">
        <f t="shared" si="196"/>
        <v>y=0.9631*7.22^2+173.03*7.22-74.605</v>
      </c>
      <c r="AP1740" s="10" t="str">
        <f t="shared" si="196"/>
        <v>y=-1.0839*7.22^2+204.73*7.22-119.55</v>
      </c>
      <c r="AQ1740" s="10" t="b">
        <f>IF(AND(I1740="TP",S1740&lt;=150),VLOOKUP(AF1740,TPCalibEq150!$AZ$2:$BB$55,3,),IF(AND(I1740="TDP",S1740&lt;=150),VLOOKUP(AF1740,TPCalibEq150!$AZ$2:$BB$55,3,)))</f>
        <v>0</v>
      </c>
      <c r="AR1740" s="10" t="b">
        <f>IF(AND(I1740="TP",S1740&lt;=300),VLOOKUP(AF1740,TPCalibEq300!$AZ$2:$BB$55,3,),IF(AND(I1740="TDP",S1740&lt;=300),VLOOKUP(AF1740,TPCalibEq300!$AZ$2:$BB$55,3,)))</f>
        <v>0</v>
      </c>
      <c r="AS1740" s="10" t="b">
        <f>IF(AND(I1740="TP",S1740&lt;=500),VLOOKUP(AF1740,TPCalibEq500!$AZ$2:$BB$56,3,),IF(AND(I1740="TDP",S1740&lt;=500),VLOOKUP(AF1740,TPCalibEq500!$AZ$2:$BB$56,3,)))</f>
        <v>0</v>
      </c>
      <c r="AT1740" s="10" t="str">
        <f>IF(AND(I1740="TN",S1740&lt;=2800),VLOOKUP(AF1740,TNCalibEq2500!$AZ$2:$BB$56,3,),IF(AND(I1740="TDN",S1740&lt;=2800),VLOOKUP(AF1740,TNCalibEq2500!$AZ$2:$BB$56,3,)))</f>
        <v>y=0.9631x2+173.03x-74.605</v>
      </c>
      <c r="AU1740" s="10" t="str">
        <f>IF(I1740="TP",VLOOKUP(AF1740,TPCalibEqFull!$AZ$2:$BB$56,3),IF(I1740="TDP",VLOOKUP(AF1740,TPCalibEqFull!$AZ$2:$BB$56,3),IF(I1740="TDN",VLOOKUP(AF1740,TNCalibEqFull!$AZ$1:$BB$56,3),IF(I1740="TN",VLOOKUP(AF1740,TNCalibEqFull!$AZ$1:$BB$56,3),FALSE))))</f>
        <v>y=-1.0839x2+204.73x-119.55</v>
      </c>
      <c r="AV1740" s="10" t="str">
        <f t="shared" si="201"/>
        <v>0201 09:00:00-QAC-STD-D-1-DI-CHK</v>
      </c>
    </row>
    <row r="1741" spans="1:48" s="10" customFormat="1" x14ac:dyDescent="0.55000000000000004">
      <c r="A1741" s="32">
        <v>44949</v>
      </c>
      <c r="B1741" s="33">
        <v>0.34375</v>
      </c>
      <c r="C1741" s="10" t="s">
        <v>998</v>
      </c>
      <c r="D1741" s="10">
        <v>0</v>
      </c>
      <c r="E1741" s="10" t="s">
        <v>190</v>
      </c>
      <c r="F1741" s="10">
        <v>1</v>
      </c>
      <c r="G1741" s="10" t="s">
        <v>231</v>
      </c>
      <c r="H1741" s="10" t="s">
        <v>322</v>
      </c>
      <c r="I1741" s="10" t="s">
        <v>235</v>
      </c>
      <c r="J1741" s="10">
        <v>15</v>
      </c>
      <c r="K1741" s="12">
        <v>44958</v>
      </c>
      <c r="L1741" s="33">
        <v>0.67730324074074078</v>
      </c>
      <c r="M1741" s="10">
        <v>1</v>
      </c>
      <c r="N1741" s="10" t="s">
        <v>196</v>
      </c>
      <c r="O1741" s="10">
        <v>8.83</v>
      </c>
      <c r="P1741" s="10">
        <v>0.435</v>
      </c>
      <c r="Q1741" s="10">
        <v>1500</v>
      </c>
      <c r="R1741" s="10" t="s">
        <v>170</v>
      </c>
      <c r="S1741" s="34">
        <f t="shared" si="198"/>
        <v>1603.7054092899998</v>
      </c>
      <c r="T1741" s="10" t="s">
        <v>1123</v>
      </c>
      <c r="U1741" s="34" t="str">
        <f t="shared" si="199"/>
        <v/>
      </c>
      <c r="V1741" s="31" t="str">
        <f>IF(H1741="CHK",VLOOKUP(I1741,QCCHK,3,),IF(H1741="GUP",VLOOKUP(E1741,QCGUP,2,),IF(AND(H1741="ATP",OR(I1741="TN",I1741="TDN",I1741="TNO2-3",I1741="NO2-3")),VLOOKUP(E1741,QCREC_N,2,),IF(AND(H1741="NIC",OR(I1741="TN",I1741="TDN",I1741="TNO2-3",I1741="NO2-3")),VLOOKUP(E1741,QCNIC_N,2,),IF(AND(H1741="UREA",OR(I1741="TN",I1741="TDN",I1741="TNO2-3",I1741="NO2-3")),VLOOKUP(E1741,QCUREA_N,2,),IF(H1741="PER",VLOOKUP(I1741,QCPER,MATCH(E1741,QCACTUAL!$J$25:$AA$25,0),),IF(H1741="SPK",VLOOKUP(I1741,QCSPK,3,),IF(AND(H1741="ATP",OR(I1741="TP",I1741="TDP")),VLOOKUP(E1741,QCATP_P,2,),""))))))))</f>
        <v/>
      </c>
      <c r="W1741" s="31" t="str">
        <f t="shared" si="200"/>
        <v>TRUE</v>
      </c>
      <c r="X1741" s="31" t="str">
        <f t="shared" si="197"/>
        <v/>
      </c>
      <c r="Y1741" s="10" t="s">
        <v>1116</v>
      </c>
      <c r="Z1741" s="10" t="s">
        <v>910</v>
      </c>
      <c r="AF1741" s="12">
        <v>44958</v>
      </c>
      <c r="AJ1741" s="10">
        <f>0.9631*8.83^2+173.03*8.83-74.605</f>
        <v>1528.3417475900001</v>
      </c>
      <c r="AK1741" s="10">
        <f>-1.0839*8.83^2+204.73*8.83-119.55</f>
        <v>1603.7054092899998</v>
      </c>
      <c r="AL1741" s="10" t="str">
        <f t="shared" si="195"/>
        <v>FALSE</v>
      </c>
      <c r="AM1741" s="10" t="str">
        <f t="shared" si="195"/>
        <v>FALSE</v>
      </c>
      <c r="AN1741" s="10" t="str">
        <f t="shared" si="195"/>
        <v>FALSE</v>
      </c>
      <c r="AO1741" s="10" t="str">
        <f t="shared" si="196"/>
        <v>y=0.9631*8.83^2+173.03*8.83-74.605</v>
      </c>
      <c r="AP1741" s="10" t="str">
        <f t="shared" si="196"/>
        <v>y=-1.0839*8.83^2+204.73*8.83-119.55</v>
      </c>
      <c r="AQ1741" s="10" t="b">
        <f>IF(AND(I1741="TP",S1741&lt;=150),VLOOKUP(AF1741,TPCalibEq150!$AZ$2:$BB$55,3,),IF(AND(I1741="TDP",S1741&lt;=150),VLOOKUP(AF1741,TPCalibEq150!$AZ$2:$BB$55,3,)))</f>
        <v>0</v>
      </c>
      <c r="AR1741" s="10" t="b">
        <f>IF(AND(I1741="TP",S1741&lt;=300),VLOOKUP(AF1741,TPCalibEq300!$AZ$2:$BB$55,3,),IF(AND(I1741="TDP",S1741&lt;=300),VLOOKUP(AF1741,TPCalibEq300!$AZ$2:$BB$55,3,)))</f>
        <v>0</v>
      </c>
      <c r="AS1741" s="10" t="b">
        <f>IF(AND(I1741="TP",S1741&lt;=500),VLOOKUP(AF1741,TPCalibEq500!$AZ$2:$BB$56,3,),IF(AND(I1741="TDP",S1741&lt;=500),VLOOKUP(AF1741,TPCalibEq500!$AZ$2:$BB$56,3,)))</f>
        <v>0</v>
      </c>
      <c r="AT1741" s="10" t="str">
        <f>IF(AND(I1741="TN",S1741&lt;=2800),VLOOKUP(AF1741,TNCalibEq2500!$AZ$2:$BB$56,3,),IF(AND(I1741="TDN",S1741&lt;=2800),VLOOKUP(AF1741,TNCalibEq2500!$AZ$2:$BB$56,3,)))</f>
        <v>y=0.9631x2+173.03x-74.605</v>
      </c>
      <c r="AU1741" s="10" t="str">
        <f>IF(I1741="TP",VLOOKUP(AF1741,TPCalibEqFull!$AZ$2:$BB$56,3),IF(I1741="TDP",VLOOKUP(AF1741,TPCalibEqFull!$AZ$2:$BB$56,3),IF(I1741="TDN",VLOOKUP(AF1741,TNCalibEqFull!$AZ$1:$BB$56,3),IF(I1741="TN",VLOOKUP(AF1741,TNCalibEqFull!$AZ$1:$BB$56,3),FALSE))))</f>
        <v>y=-1.0839x2+204.73x-119.55</v>
      </c>
      <c r="AV1741" s="10" t="str">
        <f t="shared" si="201"/>
        <v>0123 08:15:00-ELW-0-C-1-SW-UKN</v>
      </c>
    </row>
    <row r="1742" spans="1:48" s="10" customFormat="1" x14ac:dyDescent="0.55000000000000004">
      <c r="A1742" s="32">
        <v>44949</v>
      </c>
      <c r="B1742" s="33">
        <v>0.37777777777777777</v>
      </c>
      <c r="C1742" s="10" t="s">
        <v>270</v>
      </c>
      <c r="D1742" s="10">
        <v>0</v>
      </c>
      <c r="E1742" s="10" t="s">
        <v>190</v>
      </c>
      <c r="F1742" s="10">
        <v>1</v>
      </c>
      <c r="G1742" s="10" t="s">
        <v>231</v>
      </c>
      <c r="H1742" s="10" t="s">
        <v>322</v>
      </c>
      <c r="I1742" s="10" t="s">
        <v>235</v>
      </c>
      <c r="J1742" s="10">
        <v>16</v>
      </c>
      <c r="K1742" s="12">
        <v>44958</v>
      </c>
      <c r="L1742" s="33">
        <v>0.67798611111111118</v>
      </c>
      <c r="M1742" s="10">
        <v>1</v>
      </c>
      <c r="N1742" s="10" t="s">
        <v>196</v>
      </c>
      <c r="O1742" s="10">
        <v>10.1</v>
      </c>
      <c r="P1742" s="10">
        <v>0.499</v>
      </c>
      <c r="Q1742" s="10">
        <v>1730</v>
      </c>
      <c r="R1742" s="10" t="s">
        <v>170</v>
      </c>
      <c r="S1742" s="34">
        <f t="shared" si="198"/>
        <v>1837.6543609999997</v>
      </c>
      <c r="T1742" s="10" t="s">
        <v>1123</v>
      </c>
      <c r="U1742" s="34" t="str">
        <f t="shared" si="199"/>
        <v/>
      </c>
      <c r="V1742" s="31" t="str">
        <f>IF(H1742="CHK",VLOOKUP(I1742,QCCHK,3,),IF(H1742="GUP",VLOOKUP(E1742,QCGUP,2,),IF(AND(H1742="ATP",OR(I1742="TN",I1742="TDN",I1742="TNO2-3",I1742="NO2-3")),VLOOKUP(E1742,QCREC_N,2,),IF(AND(H1742="NIC",OR(I1742="TN",I1742="TDN",I1742="TNO2-3",I1742="NO2-3")),VLOOKUP(E1742,QCNIC_N,2,),IF(AND(H1742="UREA",OR(I1742="TN",I1742="TDN",I1742="TNO2-3",I1742="NO2-3")),VLOOKUP(E1742,QCUREA_N,2,),IF(H1742="PER",VLOOKUP(I1742,QCPER,MATCH(E1742,QCACTUAL!$J$25:$AA$25,0),),IF(H1742="SPK",VLOOKUP(I1742,QCSPK,3,),IF(AND(H1742="ATP",OR(I1742="TP",I1742="TDP")),VLOOKUP(E1742,QCATP_P,2,),""))))))))</f>
        <v/>
      </c>
      <c r="W1742" s="31" t="str">
        <f t="shared" si="200"/>
        <v>TRUE</v>
      </c>
      <c r="X1742" s="31" t="str">
        <f t="shared" si="197"/>
        <v/>
      </c>
      <c r="Y1742" s="10" t="s">
        <v>1116</v>
      </c>
      <c r="Z1742" s="10" t="s">
        <v>910</v>
      </c>
      <c r="AF1742" s="12">
        <v>44958</v>
      </c>
      <c r="AJ1742" s="10">
        <f>0.9631*10.1^2+173.03*10.1-74.605</f>
        <v>1771.2438309999998</v>
      </c>
      <c r="AK1742" s="10">
        <f>-1.0839*10.1^2+204.73*10.1-119.55</f>
        <v>1837.6543609999997</v>
      </c>
      <c r="AL1742" s="10" t="str">
        <f t="shared" si="195"/>
        <v>FALSE</v>
      </c>
      <c r="AM1742" s="10" t="str">
        <f t="shared" si="195"/>
        <v>FALSE</v>
      </c>
      <c r="AN1742" s="10" t="str">
        <f t="shared" si="195"/>
        <v>FALSE</v>
      </c>
      <c r="AO1742" s="10" t="str">
        <f t="shared" si="196"/>
        <v>y=0.9631*10.1^2+173.03*10.1-74.605</v>
      </c>
      <c r="AP1742" s="10" t="str">
        <f t="shared" si="196"/>
        <v>y=-1.0839*10.1^2+204.73*10.1-119.55</v>
      </c>
      <c r="AQ1742" s="10" t="b">
        <f>IF(AND(I1742="TP",S1742&lt;=150),VLOOKUP(AF1742,TPCalibEq150!$AZ$2:$BB$55,3,),IF(AND(I1742="TDP",S1742&lt;=150),VLOOKUP(AF1742,TPCalibEq150!$AZ$2:$BB$55,3,)))</f>
        <v>0</v>
      </c>
      <c r="AR1742" s="10" t="b">
        <f>IF(AND(I1742="TP",S1742&lt;=300),VLOOKUP(AF1742,TPCalibEq300!$AZ$2:$BB$55,3,),IF(AND(I1742="TDP",S1742&lt;=300),VLOOKUP(AF1742,TPCalibEq300!$AZ$2:$BB$55,3,)))</f>
        <v>0</v>
      </c>
      <c r="AS1742" s="10" t="b">
        <f>IF(AND(I1742="TP",S1742&lt;=500),VLOOKUP(AF1742,TPCalibEq500!$AZ$2:$BB$56,3,),IF(AND(I1742="TDP",S1742&lt;=500),VLOOKUP(AF1742,TPCalibEq500!$AZ$2:$BB$56,3,)))</f>
        <v>0</v>
      </c>
      <c r="AT1742" s="10" t="str">
        <f>IF(AND(I1742="TN",S1742&lt;=2800),VLOOKUP(AF1742,TNCalibEq2500!$AZ$2:$BB$56,3,),IF(AND(I1742="TDN",S1742&lt;=2800),VLOOKUP(AF1742,TNCalibEq2500!$AZ$2:$BB$56,3,)))</f>
        <v>y=0.9631x2+173.03x-74.605</v>
      </c>
      <c r="AU1742" s="10" t="str">
        <f>IF(I1742="TP",VLOOKUP(AF1742,TPCalibEqFull!$AZ$2:$BB$56,3),IF(I1742="TDP",VLOOKUP(AF1742,TPCalibEqFull!$AZ$2:$BB$56,3),IF(I1742="TDN",VLOOKUP(AF1742,TNCalibEqFull!$AZ$1:$BB$56,3),IF(I1742="TN",VLOOKUP(AF1742,TNCalibEqFull!$AZ$1:$BB$56,3),FALSE))))</f>
        <v>y=-1.0839x2+204.73x-119.55</v>
      </c>
      <c r="AV1742" s="10" t="str">
        <f t="shared" si="201"/>
        <v>0123 09:04:00-EFG-0-C-1-SW-UKN</v>
      </c>
    </row>
    <row r="1743" spans="1:48" s="10" customFormat="1" x14ac:dyDescent="0.55000000000000004">
      <c r="A1743" s="32">
        <v>44949</v>
      </c>
      <c r="B1743" s="33">
        <v>0.39027777777777778</v>
      </c>
      <c r="C1743" s="10" t="s">
        <v>540</v>
      </c>
      <c r="D1743" s="10">
        <v>0</v>
      </c>
      <c r="E1743" s="10" t="s">
        <v>190</v>
      </c>
      <c r="F1743" s="10">
        <v>1</v>
      </c>
      <c r="G1743" s="10" t="s">
        <v>231</v>
      </c>
      <c r="H1743" s="10" t="s">
        <v>322</v>
      </c>
      <c r="I1743" s="10" t="s">
        <v>235</v>
      </c>
      <c r="J1743" s="10">
        <v>17</v>
      </c>
      <c r="K1743" s="12">
        <v>44958</v>
      </c>
      <c r="L1743" s="33">
        <v>0.67866898148148147</v>
      </c>
      <c r="M1743" s="10">
        <v>1</v>
      </c>
      <c r="N1743" s="10" t="s">
        <v>196</v>
      </c>
      <c r="O1743" s="10">
        <v>9.94</v>
      </c>
      <c r="P1743" s="10">
        <v>0.49</v>
      </c>
      <c r="Q1743" s="10">
        <v>1690</v>
      </c>
      <c r="R1743" s="10" t="s">
        <v>170</v>
      </c>
      <c r="S1743" s="34">
        <f t="shared" si="198"/>
        <v>1808.3729779599998</v>
      </c>
      <c r="T1743" s="10" t="s">
        <v>1123</v>
      </c>
      <c r="U1743" s="34" t="str">
        <f t="shared" si="199"/>
        <v/>
      </c>
      <c r="V1743" s="31" t="str">
        <f>IF(H1743="CHK",VLOOKUP(I1743,QCCHK,3,),IF(H1743="GUP",VLOOKUP(E1743,QCGUP,2,),IF(AND(H1743="ATP",OR(I1743="TN",I1743="TDN",I1743="TNO2-3",I1743="NO2-3")),VLOOKUP(E1743,QCREC_N,2,),IF(AND(H1743="NIC",OR(I1743="TN",I1743="TDN",I1743="TNO2-3",I1743="NO2-3")),VLOOKUP(E1743,QCNIC_N,2,),IF(AND(H1743="UREA",OR(I1743="TN",I1743="TDN",I1743="TNO2-3",I1743="NO2-3")),VLOOKUP(E1743,QCUREA_N,2,),IF(H1743="PER",VLOOKUP(I1743,QCPER,MATCH(E1743,QCACTUAL!$J$25:$AA$25,0),),IF(H1743="SPK",VLOOKUP(I1743,QCSPK,3,),IF(AND(H1743="ATP",OR(I1743="TP",I1743="TDP")),VLOOKUP(E1743,QCATP_P,2,),""))))))))</f>
        <v/>
      </c>
      <c r="W1743" s="31" t="str">
        <f t="shared" si="200"/>
        <v>TRUE</v>
      </c>
      <c r="X1743" s="31" t="str">
        <f t="shared" si="197"/>
        <v/>
      </c>
      <c r="Y1743" s="10" t="s">
        <v>1116</v>
      </c>
      <c r="Z1743" s="10" t="s">
        <v>910</v>
      </c>
      <c r="AF1743" s="12">
        <v>44958</v>
      </c>
      <c r="AJ1743" s="10">
        <f>0.9631*9.94^2+173.03*9.94-74.605</f>
        <v>1740.4709471599999</v>
      </c>
      <c r="AK1743" s="10">
        <f>-1.0839*9.94^2+204.73*9.94-119.55</f>
        <v>1808.3729779599998</v>
      </c>
      <c r="AL1743" s="10" t="str">
        <f t="shared" si="195"/>
        <v>FALSE</v>
      </c>
      <c r="AM1743" s="10" t="str">
        <f t="shared" si="195"/>
        <v>FALSE</v>
      </c>
      <c r="AN1743" s="10" t="str">
        <f t="shared" si="195"/>
        <v>FALSE</v>
      </c>
      <c r="AO1743" s="10" t="str">
        <f t="shared" si="196"/>
        <v>y=0.9631*9.94^2+173.03*9.94-74.605</v>
      </c>
      <c r="AP1743" s="10" t="str">
        <f t="shared" si="196"/>
        <v>y=-1.0839*9.94^2+204.73*9.94-119.55</v>
      </c>
      <c r="AQ1743" s="10" t="b">
        <f>IF(AND(I1743="TP",S1743&lt;=150),VLOOKUP(AF1743,TPCalibEq150!$AZ$2:$BB$55,3,),IF(AND(I1743="TDP",S1743&lt;=150),VLOOKUP(AF1743,TPCalibEq150!$AZ$2:$BB$55,3,)))</f>
        <v>0</v>
      </c>
      <c r="AR1743" s="10" t="b">
        <f>IF(AND(I1743="TP",S1743&lt;=300),VLOOKUP(AF1743,TPCalibEq300!$AZ$2:$BB$55,3,),IF(AND(I1743="TDP",S1743&lt;=300),VLOOKUP(AF1743,TPCalibEq300!$AZ$2:$BB$55,3,)))</f>
        <v>0</v>
      </c>
      <c r="AS1743" s="10" t="b">
        <f>IF(AND(I1743="TP",S1743&lt;=500),VLOOKUP(AF1743,TPCalibEq500!$AZ$2:$BB$56,3,),IF(AND(I1743="TDP",S1743&lt;=500),VLOOKUP(AF1743,TPCalibEq500!$AZ$2:$BB$56,3,)))</f>
        <v>0</v>
      </c>
      <c r="AT1743" s="10" t="str">
        <f>IF(AND(I1743="TN",S1743&lt;=2800),VLOOKUP(AF1743,TNCalibEq2500!$AZ$2:$BB$56,3,),IF(AND(I1743="TDN",S1743&lt;=2800),VLOOKUP(AF1743,TNCalibEq2500!$AZ$2:$BB$56,3,)))</f>
        <v>y=0.9631x2+173.03x-74.605</v>
      </c>
      <c r="AU1743" s="10" t="str">
        <f>IF(I1743="TP",VLOOKUP(AF1743,TPCalibEqFull!$AZ$2:$BB$56,3),IF(I1743="TDP",VLOOKUP(AF1743,TPCalibEqFull!$AZ$2:$BB$56,3),IF(I1743="TDN",VLOOKUP(AF1743,TNCalibEqFull!$AZ$1:$BB$56,3),IF(I1743="TN",VLOOKUP(AF1743,TNCalibEqFull!$AZ$1:$BB$56,3),FALSE))))</f>
        <v>y=-1.0839x2+204.73x-119.55</v>
      </c>
      <c r="AV1743" s="10" t="str">
        <f t="shared" si="201"/>
        <v>0123 09:22:00-S50-0-C-1-SW-UKN</v>
      </c>
    </row>
    <row r="1744" spans="1:48" s="10" customFormat="1" x14ac:dyDescent="0.55000000000000004">
      <c r="A1744" s="32">
        <v>44949</v>
      </c>
      <c r="B1744" s="33">
        <v>0.41250000000000003</v>
      </c>
      <c r="C1744" s="10" t="s">
        <v>528</v>
      </c>
      <c r="D1744" s="10">
        <v>0</v>
      </c>
      <c r="E1744" s="10" t="s">
        <v>190</v>
      </c>
      <c r="F1744" s="10">
        <v>1</v>
      </c>
      <c r="G1744" s="10" t="s">
        <v>231</v>
      </c>
      <c r="H1744" s="10" t="s">
        <v>322</v>
      </c>
      <c r="I1744" s="10" t="s">
        <v>235</v>
      </c>
      <c r="J1744" s="10">
        <v>18</v>
      </c>
      <c r="K1744" s="12">
        <v>44958</v>
      </c>
      <c r="L1744" s="33">
        <v>0.67934027777777783</v>
      </c>
      <c r="M1744" s="10">
        <v>1</v>
      </c>
      <c r="N1744" s="10" t="s">
        <v>196</v>
      </c>
      <c r="O1744" s="10">
        <v>16.2</v>
      </c>
      <c r="P1744" s="10">
        <v>0.79400000000000004</v>
      </c>
      <c r="Q1744" s="10">
        <v>2780</v>
      </c>
      <c r="R1744" s="10" t="s">
        <v>170</v>
      </c>
      <c r="S1744" s="34">
        <f t="shared" si="198"/>
        <v>2912.6172839999995</v>
      </c>
      <c r="T1744" s="10" t="s">
        <v>1123</v>
      </c>
      <c r="U1744" s="34" t="str">
        <f t="shared" si="199"/>
        <v/>
      </c>
      <c r="V1744" s="31" t="str">
        <f>IF(H1744="CHK",VLOOKUP(I1744,QCCHK,3,),IF(H1744="GUP",VLOOKUP(E1744,QCGUP,2,),IF(AND(H1744="ATP",OR(I1744="TN",I1744="TDN",I1744="TNO2-3",I1744="NO2-3")),VLOOKUP(E1744,QCREC_N,2,),IF(AND(H1744="NIC",OR(I1744="TN",I1744="TDN",I1744="TNO2-3",I1744="NO2-3")),VLOOKUP(E1744,QCNIC_N,2,),IF(AND(H1744="UREA",OR(I1744="TN",I1744="TDN",I1744="TNO2-3",I1744="NO2-3")),VLOOKUP(E1744,QCUREA_N,2,),IF(H1744="PER",VLOOKUP(I1744,QCPER,MATCH(E1744,QCACTUAL!$J$25:$AA$25,0),),IF(H1744="SPK",VLOOKUP(I1744,QCSPK,3,),IF(AND(H1744="ATP",OR(I1744="TP",I1744="TDP")),VLOOKUP(E1744,QCATP_P,2,),""))))))))</f>
        <v/>
      </c>
      <c r="W1744" s="31" t="str">
        <f t="shared" si="200"/>
        <v>TRUE</v>
      </c>
      <c r="X1744" s="31" t="str">
        <f t="shared" si="197"/>
        <v/>
      </c>
      <c r="Y1744" s="10" t="s">
        <v>1116</v>
      </c>
      <c r="Z1744" s="10" t="s">
        <v>910</v>
      </c>
      <c r="AF1744" s="12">
        <v>44958</v>
      </c>
      <c r="AJ1744" s="10">
        <f>0.9631*16.2^2+173.03*16.2-74.605</f>
        <v>2981.2369639999997</v>
      </c>
      <c r="AK1744" s="10">
        <f>-1.0839*16.2^2+204.73*16.2-119.55</f>
        <v>2912.6172839999995</v>
      </c>
      <c r="AL1744" s="10" t="str">
        <f t="shared" si="195"/>
        <v>FALSE</v>
      </c>
      <c r="AM1744" s="10" t="str">
        <f t="shared" si="195"/>
        <v>FALSE</v>
      </c>
      <c r="AN1744" s="10" t="str">
        <f t="shared" si="195"/>
        <v>FALSE</v>
      </c>
      <c r="AO1744" s="10" t="str">
        <f t="shared" si="196"/>
        <v>FALSE</v>
      </c>
      <c r="AP1744" s="10" t="str">
        <f t="shared" si="196"/>
        <v>y=-1.0839*16.2^2+204.73*16.2-119.55</v>
      </c>
      <c r="AQ1744" s="10" t="b">
        <f>IF(AND(I1744="TP",S1744&lt;=150),VLOOKUP(AF1744,TPCalibEq150!$AZ$2:$BB$55,3,),IF(AND(I1744="TDP",S1744&lt;=150),VLOOKUP(AF1744,TPCalibEq150!$AZ$2:$BB$55,3,)))</f>
        <v>0</v>
      </c>
      <c r="AR1744" s="10" t="b">
        <f>IF(AND(I1744="TP",S1744&lt;=300),VLOOKUP(AF1744,TPCalibEq300!$AZ$2:$BB$55,3,),IF(AND(I1744="TDP",S1744&lt;=300),VLOOKUP(AF1744,TPCalibEq300!$AZ$2:$BB$55,3,)))</f>
        <v>0</v>
      </c>
      <c r="AS1744" s="10" t="b">
        <f>IF(AND(I1744="TP",S1744&lt;=500),VLOOKUP(AF1744,TPCalibEq500!$AZ$2:$BB$56,3,),IF(AND(I1744="TDP",S1744&lt;=500),VLOOKUP(AF1744,TPCalibEq500!$AZ$2:$BB$56,3,)))</f>
        <v>0</v>
      </c>
      <c r="AT1744" s="10" t="b">
        <f>IF(AND(I1744="TN",S1744&lt;=2800),VLOOKUP(AF1744,TNCalibEq2500!$AZ$2:$BB$56,3,),IF(AND(I1744="TDN",S1744&lt;=2800),VLOOKUP(AF1744,TNCalibEq2500!$AZ$2:$BB$56,3,)))</f>
        <v>0</v>
      </c>
      <c r="AU1744" s="10" t="str">
        <f>IF(I1744="TP",VLOOKUP(AF1744,TPCalibEqFull!$AZ$2:$BB$56,3),IF(I1744="TDP",VLOOKUP(AF1744,TPCalibEqFull!$AZ$2:$BB$56,3),IF(I1744="TDN",VLOOKUP(AF1744,TNCalibEqFull!$AZ$1:$BB$56,3),IF(I1744="TN",VLOOKUP(AF1744,TNCalibEqFull!$AZ$1:$BB$56,3),FALSE))))</f>
        <v>y=-1.0839x2+204.73x-119.55</v>
      </c>
      <c r="AV1744" s="10" t="str">
        <f t="shared" si="201"/>
        <v>0123 09:54:00-P04-0-C-1-SW-UKN</v>
      </c>
    </row>
    <row r="1745" spans="1:48" s="10" customFormat="1" x14ac:dyDescent="0.55000000000000004">
      <c r="A1745" s="32">
        <v>44949</v>
      </c>
      <c r="B1745" s="33">
        <v>0.42569444444444443</v>
      </c>
      <c r="C1745" s="10">
        <v>506</v>
      </c>
      <c r="D1745" s="10">
        <v>0</v>
      </c>
      <c r="E1745" s="10" t="s">
        <v>190</v>
      </c>
      <c r="F1745" s="10">
        <v>1</v>
      </c>
      <c r="G1745" s="10" t="s">
        <v>231</v>
      </c>
      <c r="H1745" s="10" t="s">
        <v>322</v>
      </c>
      <c r="I1745" s="10" t="s">
        <v>235</v>
      </c>
      <c r="J1745" s="10">
        <v>19</v>
      </c>
      <c r="K1745" s="12">
        <v>44958</v>
      </c>
      <c r="L1745" s="33">
        <v>0.68001157407407409</v>
      </c>
      <c r="M1745" s="10">
        <v>1</v>
      </c>
      <c r="N1745" s="10" t="s">
        <v>196</v>
      </c>
      <c r="O1745" s="10">
        <v>13.4</v>
      </c>
      <c r="P1745" s="10">
        <v>0.65800000000000003</v>
      </c>
      <c r="Q1745" s="10">
        <v>2290</v>
      </c>
      <c r="R1745" s="10" t="s">
        <v>170</v>
      </c>
      <c r="S1745" s="34">
        <f t="shared" si="198"/>
        <v>2429.2069160000001</v>
      </c>
      <c r="T1745" s="10" t="s">
        <v>1123</v>
      </c>
      <c r="U1745" s="34" t="str">
        <f t="shared" si="199"/>
        <v/>
      </c>
      <c r="V1745" s="31" t="str">
        <f>IF(H1745="CHK",VLOOKUP(I1745,QCCHK,3,),IF(H1745="GUP",VLOOKUP(E1745,QCGUP,2,),IF(AND(H1745="ATP",OR(I1745="TN",I1745="TDN",I1745="TNO2-3",I1745="NO2-3")),VLOOKUP(E1745,QCREC_N,2,),IF(AND(H1745="NIC",OR(I1745="TN",I1745="TDN",I1745="TNO2-3",I1745="NO2-3")),VLOOKUP(E1745,QCNIC_N,2,),IF(AND(H1745="UREA",OR(I1745="TN",I1745="TDN",I1745="TNO2-3",I1745="NO2-3")),VLOOKUP(E1745,QCUREA_N,2,),IF(H1745="PER",VLOOKUP(I1745,QCPER,MATCH(E1745,QCACTUAL!$J$25:$AA$25,0),),IF(H1745="SPK",VLOOKUP(I1745,QCSPK,3,),IF(AND(H1745="ATP",OR(I1745="TP",I1745="TDP")),VLOOKUP(E1745,QCATP_P,2,),""))))))))</f>
        <v/>
      </c>
      <c r="W1745" s="31" t="str">
        <f t="shared" si="200"/>
        <v>TRUE</v>
      </c>
      <c r="X1745" s="31" t="str">
        <f t="shared" si="197"/>
        <v/>
      </c>
      <c r="Y1745" s="10" t="s">
        <v>1116</v>
      </c>
      <c r="Z1745" s="10" t="s">
        <v>910</v>
      </c>
      <c r="AF1745" s="12">
        <v>44958</v>
      </c>
      <c r="AJ1745" s="10">
        <f>0.9631*13.4^2+173.03*13.4-74.605</f>
        <v>2416.9312359999999</v>
      </c>
      <c r="AK1745" s="10">
        <f>-1.0839*13.4^2+204.73*13.4-119.55</f>
        <v>2429.2069160000001</v>
      </c>
      <c r="AL1745" s="10" t="str">
        <f t="shared" si="195"/>
        <v>FALSE</v>
      </c>
      <c r="AM1745" s="10" t="str">
        <f t="shared" si="195"/>
        <v>FALSE</v>
      </c>
      <c r="AN1745" s="10" t="str">
        <f t="shared" si="195"/>
        <v>FALSE</v>
      </c>
      <c r="AO1745" s="10" t="str">
        <f t="shared" si="196"/>
        <v>y=0.9631*13.4^2+173.03*13.4-74.605</v>
      </c>
      <c r="AP1745" s="10" t="str">
        <f t="shared" si="196"/>
        <v>y=-1.0839*13.4^2+204.73*13.4-119.55</v>
      </c>
      <c r="AQ1745" s="10" t="b">
        <f>IF(AND(I1745="TP",S1745&lt;=150),VLOOKUP(AF1745,TPCalibEq150!$AZ$2:$BB$55,3,),IF(AND(I1745="TDP",S1745&lt;=150),VLOOKUP(AF1745,TPCalibEq150!$AZ$2:$BB$55,3,)))</f>
        <v>0</v>
      </c>
      <c r="AR1745" s="10" t="b">
        <f>IF(AND(I1745="TP",S1745&lt;=300),VLOOKUP(AF1745,TPCalibEq300!$AZ$2:$BB$55,3,),IF(AND(I1745="TDP",S1745&lt;=300),VLOOKUP(AF1745,TPCalibEq300!$AZ$2:$BB$55,3,)))</f>
        <v>0</v>
      </c>
      <c r="AS1745" s="10" t="b">
        <f>IF(AND(I1745="TP",S1745&lt;=500),VLOOKUP(AF1745,TPCalibEq500!$AZ$2:$BB$56,3,),IF(AND(I1745="TDP",S1745&lt;=500),VLOOKUP(AF1745,TPCalibEq500!$AZ$2:$BB$56,3,)))</f>
        <v>0</v>
      </c>
      <c r="AT1745" s="10" t="str">
        <f>IF(AND(I1745="TN",S1745&lt;=2800),VLOOKUP(AF1745,TNCalibEq2500!$AZ$2:$BB$56,3,),IF(AND(I1745="TDN",S1745&lt;=2800),VLOOKUP(AF1745,TNCalibEq2500!$AZ$2:$BB$56,3,)))</f>
        <v>y=0.9631x2+173.03x-74.605</v>
      </c>
      <c r="AU1745" s="10" t="str">
        <f>IF(I1745="TP",VLOOKUP(AF1745,TPCalibEqFull!$AZ$2:$BB$56,3),IF(I1745="TDP",VLOOKUP(AF1745,TPCalibEqFull!$AZ$2:$BB$56,3),IF(I1745="TDN",VLOOKUP(AF1745,TNCalibEqFull!$AZ$1:$BB$56,3),IF(I1745="TN",VLOOKUP(AF1745,TNCalibEqFull!$AZ$1:$BB$56,3),FALSE))))</f>
        <v>y=-1.0839x2+204.73x-119.55</v>
      </c>
      <c r="AV1745" s="10" t="str">
        <f t="shared" si="201"/>
        <v>0123 10:13:00-506-0-C-1-SW-UKN</v>
      </c>
    </row>
    <row r="1746" spans="1:48" s="10" customFormat="1" x14ac:dyDescent="0.55000000000000004">
      <c r="A1746" s="32">
        <v>44949</v>
      </c>
      <c r="B1746" s="33">
        <v>0.43333333333333335</v>
      </c>
      <c r="C1746" s="10" t="s">
        <v>1104</v>
      </c>
      <c r="D1746" s="10">
        <v>0</v>
      </c>
      <c r="E1746" s="10" t="s">
        <v>190</v>
      </c>
      <c r="F1746" s="10">
        <v>1</v>
      </c>
      <c r="G1746" s="10" t="s">
        <v>231</v>
      </c>
      <c r="H1746" s="10" t="s">
        <v>322</v>
      </c>
      <c r="I1746" s="10" t="s">
        <v>235</v>
      </c>
      <c r="J1746" s="10">
        <v>20</v>
      </c>
      <c r="K1746" s="12">
        <v>44958</v>
      </c>
      <c r="L1746" s="33">
        <v>0.68068287037037034</v>
      </c>
      <c r="M1746" s="10">
        <v>1</v>
      </c>
      <c r="N1746" s="10" t="s">
        <v>196</v>
      </c>
      <c r="O1746" s="10">
        <v>14.5</v>
      </c>
      <c r="P1746" s="10">
        <v>0.71299999999999997</v>
      </c>
      <c r="Q1746" s="10">
        <v>2490</v>
      </c>
      <c r="R1746" s="10" t="s">
        <v>170</v>
      </c>
      <c r="S1746" s="34">
        <f t="shared" si="198"/>
        <v>2636.8217749999999</v>
      </c>
      <c r="T1746" s="10" t="s">
        <v>1123</v>
      </c>
      <c r="U1746" s="34" t="str">
        <f t="shared" si="199"/>
        <v/>
      </c>
      <c r="V1746" s="31" t="str">
        <f>IF(H1746="CHK",VLOOKUP(I1746,QCCHK,3,),IF(H1746="GUP",VLOOKUP(E1746,QCGUP,2,),IF(AND(H1746="ATP",OR(I1746="TN",I1746="TDN",I1746="TNO2-3",I1746="NO2-3")),VLOOKUP(E1746,QCREC_N,2,),IF(AND(H1746="NIC",OR(I1746="TN",I1746="TDN",I1746="TNO2-3",I1746="NO2-3")),VLOOKUP(E1746,QCNIC_N,2,),IF(AND(H1746="UREA",OR(I1746="TN",I1746="TDN",I1746="TNO2-3",I1746="NO2-3")),VLOOKUP(E1746,QCUREA_N,2,),IF(H1746="PER",VLOOKUP(I1746,QCPER,MATCH(E1746,QCACTUAL!$J$25:$AA$25,0),),IF(H1746="SPK",VLOOKUP(I1746,QCSPK,3,),IF(AND(H1746="ATP",OR(I1746="TP",I1746="TDP")),VLOOKUP(E1746,QCATP_P,2,),""))))))))</f>
        <v/>
      </c>
      <c r="W1746" s="31" t="str">
        <f t="shared" si="200"/>
        <v>TRUE</v>
      </c>
      <c r="X1746" s="31" t="str">
        <f t="shared" si="197"/>
        <v/>
      </c>
      <c r="Y1746" s="10" t="s">
        <v>1116</v>
      </c>
      <c r="Z1746" s="10" t="s">
        <v>910</v>
      </c>
      <c r="AF1746" s="12">
        <v>44958</v>
      </c>
      <c r="AJ1746" s="10">
        <f>0.9631*14.5^2+173.03*14.5-74.605</f>
        <v>2636.8217749999999</v>
      </c>
      <c r="AK1746" s="10">
        <f>-1.0839*14.5^2+204.73*14.5-119.55</f>
        <v>2621.1450249999998</v>
      </c>
      <c r="AL1746" s="10" t="str">
        <f t="shared" si="195"/>
        <v>FALSE</v>
      </c>
      <c r="AM1746" s="10" t="str">
        <f t="shared" si="195"/>
        <v>FALSE</v>
      </c>
      <c r="AN1746" s="10" t="str">
        <f t="shared" si="195"/>
        <v>FALSE</v>
      </c>
      <c r="AO1746" s="10" t="str">
        <f t="shared" si="196"/>
        <v>y=0.9631*14.5^2+173.03*14.5-74.605</v>
      </c>
      <c r="AP1746" s="10" t="str">
        <f t="shared" si="196"/>
        <v>y=-1.0839*14.5^2+204.73*14.5-119.55</v>
      </c>
      <c r="AQ1746" s="10" t="b">
        <f>IF(AND(I1746="TP",S1746&lt;=150),VLOOKUP(AF1746,TPCalibEq150!$AZ$2:$BB$55,3,),IF(AND(I1746="TDP",S1746&lt;=150),VLOOKUP(AF1746,TPCalibEq150!$AZ$2:$BB$55,3,)))</f>
        <v>0</v>
      </c>
      <c r="AR1746" s="10" t="b">
        <f>IF(AND(I1746="TP",S1746&lt;=300),VLOOKUP(AF1746,TPCalibEq300!$AZ$2:$BB$55,3,),IF(AND(I1746="TDP",S1746&lt;=300),VLOOKUP(AF1746,TPCalibEq300!$AZ$2:$BB$55,3,)))</f>
        <v>0</v>
      </c>
      <c r="AS1746" s="10" t="b">
        <f>IF(AND(I1746="TP",S1746&lt;=500),VLOOKUP(AF1746,TPCalibEq500!$AZ$2:$BB$56,3,),IF(AND(I1746="TDP",S1746&lt;=500),VLOOKUP(AF1746,TPCalibEq500!$AZ$2:$BB$56,3,)))</f>
        <v>0</v>
      </c>
      <c r="AT1746" s="10" t="str">
        <f>IF(AND(I1746="TN",S1746&lt;=2800),VLOOKUP(AF1746,TNCalibEq2500!$AZ$2:$BB$56,3,),IF(AND(I1746="TDN",S1746&lt;=2800),VLOOKUP(AF1746,TNCalibEq2500!$AZ$2:$BB$56,3,)))</f>
        <v>y=0.9631x2+173.03x-74.605</v>
      </c>
      <c r="AU1746" s="10" t="str">
        <f>IF(I1746="TP",VLOOKUP(AF1746,TPCalibEqFull!$AZ$2:$BB$56,3),IF(I1746="TDP",VLOOKUP(AF1746,TPCalibEqFull!$AZ$2:$BB$56,3),IF(I1746="TDN",VLOOKUP(AF1746,TNCalibEqFull!$AZ$1:$BB$56,3),IF(I1746="TN",VLOOKUP(AF1746,TNCalibEqFull!$AZ$1:$BB$56,3),FALSE))))</f>
        <v>y=-1.0839x2+204.73x-119.55</v>
      </c>
      <c r="AV1746" s="10" t="str">
        <f t="shared" si="201"/>
        <v>0123 10:24:00-LBW-0-C-1-SW-UKN</v>
      </c>
    </row>
    <row r="1747" spans="1:48" s="10" customFormat="1" x14ac:dyDescent="0.55000000000000004">
      <c r="A1747" s="32">
        <v>44949</v>
      </c>
      <c r="B1747" s="33">
        <v>0.45</v>
      </c>
      <c r="C1747" s="10" t="s">
        <v>537</v>
      </c>
      <c r="D1747" s="10">
        <v>0</v>
      </c>
      <c r="E1747" s="10" t="s">
        <v>190</v>
      </c>
      <c r="F1747" s="10">
        <v>1</v>
      </c>
      <c r="G1747" s="10" t="s">
        <v>231</v>
      </c>
      <c r="H1747" s="10" t="s">
        <v>322</v>
      </c>
      <c r="I1747" s="10" t="s">
        <v>235</v>
      </c>
      <c r="J1747" s="10">
        <v>21</v>
      </c>
      <c r="K1747" s="12">
        <v>44958</v>
      </c>
      <c r="L1747" s="33">
        <v>0.68135416666666659</v>
      </c>
      <c r="M1747" s="10">
        <v>1</v>
      </c>
      <c r="N1747" s="10" t="s">
        <v>196</v>
      </c>
      <c r="O1747" s="10">
        <v>5.92</v>
      </c>
      <c r="P1747" s="10">
        <v>0.29299999999999998</v>
      </c>
      <c r="Q1747" s="10">
        <v>993</v>
      </c>
      <c r="R1747" s="10" t="s">
        <v>170</v>
      </c>
      <c r="S1747" s="34">
        <f t="shared" si="198"/>
        <v>1054.4648070399999</v>
      </c>
      <c r="T1747" s="10" t="s">
        <v>1123</v>
      </c>
      <c r="U1747" s="34" t="str">
        <f t="shared" si="199"/>
        <v/>
      </c>
      <c r="V1747" s="31" t="str">
        <f>IF(H1747="CHK",VLOOKUP(I1747,QCCHK,3,),IF(H1747="GUP",VLOOKUP(E1747,QCGUP,2,),IF(AND(H1747="ATP",OR(I1747="TN",I1747="TDN",I1747="TNO2-3",I1747="NO2-3")),VLOOKUP(E1747,QCREC_N,2,),IF(AND(H1747="NIC",OR(I1747="TN",I1747="TDN",I1747="TNO2-3",I1747="NO2-3")),VLOOKUP(E1747,QCNIC_N,2,),IF(AND(H1747="UREA",OR(I1747="TN",I1747="TDN",I1747="TNO2-3",I1747="NO2-3")),VLOOKUP(E1747,QCUREA_N,2,),IF(H1747="PER",VLOOKUP(I1747,QCPER,MATCH(E1747,QCACTUAL!$J$25:$AA$25,0),),IF(H1747="SPK",VLOOKUP(I1747,QCSPK,3,),IF(AND(H1747="ATP",OR(I1747="TP",I1747="TDP")),VLOOKUP(E1747,QCATP_P,2,),""))))))))</f>
        <v/>
      </c>
      <c r="W1747" s="31" t="str">
        <f t="shared" si="200"/>
        <v>TRUE</v>
      </c>
      <c r="X1747" s="31" t="str">
        <f t="shared" si="197"/>
        <v/>
      </c>
      <c r="Y1747" s="10" t="s">
        <v>1116</v>
      </c>
      <c r="Z1747" s="10" t="s">
        <v>910</v>
      </c>
      <c r="AF1747" s="12">
        <v>44958</v>
      </c>
      <c r="AJ1747" s="10">
        <f>0.9631*5.92^2+173.03*5.92-74.605</f>
        <v>983.48578784000006</v>
      </c>
      <c r="AK1747" s="10">
        <f>-1.0839*5.92^2+204.73*5.92-119.55</f>
        <v>1054.4648070399999</v>
      </c>
      <c r="AL1747" s="10" t="str">
        <f t="shared" si="195"/>
        <v>FALSE</v>
      </c>
      <c r="AM1747" s="10" t="str">
        <f t="shared" si="195"/>
        <v>FALSE</v>
      </c>
      <c r="AN1747" s="10" t="str">
        <f t="shared" si="195"/>
        <v>FALSE</v>
      </c>
      <c r="AO1747" s="10" t="str">
        <f t="shared" si="196"/>
        <v>y=0.9631*5.92^2+173.03*5.92-74.605</v>
      </c>
      <c r="AP1747" s="10" t="str">
        <f t="shared" si="196"/>
        <v>y=-1.0839*5.92^2+204.73*5.92-119.55</v>
      </c>
      <c r="AQ1747" s="10" t="b">
        <f>IF(AND(I1747="TP",S1747&lt;=150),VLOOKUP(AF1747,TPCalibEq150!$AZ$2:$BB$55,3,),IF(AND(I1747="TDP",S1747&lt;=150),VLOOKUP(AF1747,TPCalibEq150!$AZ$2:$BB$55,3,)))</f>
        <v>0</v>
      </c>
      <c r="AR1747" s="10" t="b">
        <f>IF(AND(I1747="TP",S1747&lt;=300),VLOOKUP(AF1747,TPCalibEq300!$AZ$2:$BB$55,3,),IF(AND(I1747="TDP",S1747&lt;=300),VLOOKUP(AF1747,TPCalibEq300!$AZ$2:$BB$55,3,)))</f>
        <v>0</v>
      </c>
      <c r="AS1747" s="10" t="b">
        <f>IF(AND(I1747="TP",S1747&lt;=500),VLOOKUP(AF1747,TPCalibEq500!$AZ$2:$BB$56,3,),IF(AND(I1747="TDP",S1747&lt;=500),VLOOKUP(AF1747,TPCalibEq500!$AZ$2:$BB$56,3,)))</f>
        <v>0</v>
      </c>
      <c r="AT1747" s="10" t="str">
        <f>IF(AND(I1747="TN",S1747&lt;=2800),VLOOKUP(AF1747,TNCalibEq2500!$AZ$2:$BB$56,3,),IF(AND(I1747="TDN",S1747&lt;=2800),VLOOKUP(AF1747,TNCalibEq2500!$AZ$2:$BB$56,3,)))</f>
        <v>y=0.9631x2+173.03x-74.605</v>
      </c>
      <c r="AU1747" s="10" t="str">
        <f>IF(I1747="TP",VLOOKUP(AF1747,TPCalibEqFull!$AZ$2:$BB$56,3),IF(I1747="TDP",VLOOKUP(AF1747,TPCalibEqFull!$AZ$2:$BB$56,3),IF(I1747="TDN",VLOOKUP(AF1747,TNCalibEqFull!$AZ$1:$BB$56,3),IF(I1747="TN",VLOOKUP(AF1747,TNCalibEqFull!$AZ$1:$BB$56,3),FALSE))))</f>
        <v>y=-1.0839x2+204.73x-119.55</v>
      </c>
      <c r="AV1747" s="10" t="str">
        <f t="shared" si="201"/>
        <v>0123 10:48:00-S51-0-C-1-SW-UKN</v>
      </c>
    </row>
    <row r="1748" spans="1:48" s="10" customFormat="1" x14ac:dyDescent="0.55000000000000004">
      <c r="A1748" s="32">
        <v>44949</v>
      </c>
      <c r="B1748" s="33">
        <v>0.46736111111111112</v>
      </c>
      <c r="C1748" s="10">
        <v>890</v>
      </c>
      <c r="D1748" s="10">
        <v>0</v>
      </c>
      <c r="E1748" s="10" t="s">
        <v>190</v>
      </c>
      <c r="F1748" s="10">
        <v>1</v>
      </c>
      <c r="G1748" s="10" t="s">
        <v>231</v>
      </c>
      <c r="H1748" s="10" t="s">
        <v>322</v>
      </c>
      <c r="I1748" s="10" t="s">
        <v>235</v>
      </c>
      <c r="J1748" s="10">
        <v>22</v>
      </c>
      <c r="K1748" s="12">
        <v>44958</v>
      </c>
      <c r="L1748" s="33">
        <v>0.68202546296296296</v>
      </c>
      <c r="M1748" s="10">
        <v>1</v>
      </c>
      <c r="N1748" s="10" t="s">
        <v>196</v>
      </c>
      <c r="O1748" s="10">
        <v>6.14</v>
      </c>
      <c r="P1748" s="10">
        <v>0.30199999999999999</v>
      </c>
      <c r="Q1748" s="10">
        <v>1030</v>
      </c>
      <c r="R1748" s="10" t="s">
        <v>170</v>
      </c>
      <c r="S1748" s="34">
        <f t="shared" si="198"/>
        <v>1096.6296035599999</v>
      </c>
      <c r="T1748" s="10" t="s">
        <v>1123</v>
      </c>
      <c r="U1748" s="34" t="str">
        <f t="shared" si="199"/>
        <v/>
      </c>
      <c r="V1748" s="31" t="str">
        <f>IF(H1748="CHK",VLOOKUP(I1748,QCCHK,3,),IF(H1748="GUP",VLOOKUP(E1748,QCGUP,2,),IF(AND(H1748="ATP",OR(I1748="TN",I1748="TDN",I1748="TNO2-3",I1748="NO2-3")),VLOOKUP(E1748,QCREC_N,2,),IF(AND(H1748="NIC",OR(I1748="TN",I1748="TDN",I1748="TNO2-3",I1748="NO2-3")),VLOOKUP(E1748,QCNIC_N,2,),IF(AND(H1748="UREA",OR(I1748="TN",I1748="TDN",I1748="TNO2-3",I1748="NO2-3")),VLOOKUP(E1748,QCUREA_N,2,),IF(H1748="PER",VLOOKUP(I1748,QCPER,MATCH(E1748,QCACTUAL!$J$25:$AA$25,0),),IF(H1748="SPK",VLOOKUP(I1748,QCSPK,3,),IF(AND(H1748="ATP",OR(I1748="TP",I1748="TDP")),VLOOKUP(E1748,QCATP_P,2,),""))))))))</f>
        <v/>
      </c>
      <c r="W1748" s="31" t="str">
        <f t="shared" si="200"/>
        <v>TRUE</v>
      </c>
      <c r="X1748" s="31" t="str">
        <f t="shared" si="197"/>
        <v/>
      </c>
      <c r="Y1748" s="10" t="s">
        <v>1116</v>
      </c>
      <c r="Z1748" s="10" t="s">
        <v>910</v>
      </c>
      <c r="AF1748" s="12">
        <v>44958</v>
      </c>
      <c r="AJ1748" s="10">
        <f>0.9631*6.14^2+173.03*6.14-74.605</f>
        <v>1024.10768476</v>
      </c>
      <c r="AK1748" s="10">
        <f>-1.0839*6.14^2+204.73*6.14-119.55</f>
        <v>1096.6296035599999</v>
      </c>
      <c r="AL1748" s="10" t="str">
        <f t="shared" si="195"/>
        <v>FALSE</v>
      </c>
      <c r="AM1748" s="10" t="str">
        <f t="shared" si="195"/>
        <v>FALSE</v>
      </c>
      <c r="AN1748" s="10" t="str">
        <f t="shared" si="195"/>
        <v>FALSE</v>
      </c>
      <c r="AO1748" s="10" t="str">
        <f t="shared" si="196"/>
        <v>y=0.9631*6.14^2+173.03*6.14-74.605</v>
      </c>
      <c r="AP1748" s="10" t="str">
        <f t="shared" si="196"/>
        <v>y=-1.0839*6.14^2+204.73*6.14-119.55</v>
      </c>
      <c r="AQ1748" s="10" t="b">
        <f>IF(AND(I1748="TP",S1748&lt;=150),VLOOKUP(AF1748,TPCalibEq150!$AZ$2:$BB$55,3,),IF(AND(I1748="TDP",S1748&lt;=150),VLOOKUP(AF1748,TPCalibEq150!$AZ$2:$BB$55,3,)))</f>
        <v>0</v>
      </c>
      <c r="AR1748" s="10" t="b">
        <f>IF(AND(I1748="TP",S1748&lt;=300),VLOOKUP(AF1748,TPCalibEq300!$AZ$2:$BB$55,3,),IF(AND(I1748="TDP",S1748&lt;=300),VLOOKUP(AF1748,TPCalibEq300!$AZ$2:$BB$55,3,)))</f>
        <v>0</v>
      </c>
      <c r="AS1748" s="10" t="b">
        <f>IF(AND(I1748="TP",S1748&lt;=500),VLOOKUP(AF1748,TPCalibEq500!$AZ$2:$BB$56,3,),IF(AND(I1748="TDP",S1748&lt;=500),VLOOKUP(AF1748,TPCalibEq500!$AZ$2:$BB$56,3,)))</f>
        <v>0</v>
      </c>
      <c r="AT1748" s="10" t="str">
        <f>IF(AND(I1748="TN",S1748&lt;=2800),VLOOKUP(AF1748,TNCalibEq2500!$AZ$2:$BB$56,3,),IF(AND(I1748="TDN",S1748&lt;=2800),VLOOKUP(AF1748,TNCalibEq2500!$AZ$2:$BB$56,3,)))</f>
        <v>y=0.9631x2+173.03x-74.605</v>
      </c>
      <c r="AU1748" s="10" t="str">
        <f>IF(I1748="TP",VLOOKUP(AF1748,TPCalibEqFull!$AZ$2:$BB$56,3),IF(I1748="TDP",VLOOKUP(AF1748,TPCalibEqFull!$AZ$2:$BB$56,3),IF(I1748="TDN",VLOOKUP(AF1748,TNCalibEqFull!$AZ$1:$BB$56,3),IF(I1748="TN",VLOOKUP(AF1748,TNCalibEqFull!$AZ$1:$BB$56,3),FALSE))))</f>
        <v>y=-1.0839x2+204.73x-119.55</v>
      </c>
      <c r="AV1748" s="10" t="str">
        <f t="shared" si="201"/>
        <v>0123 11:13:00-890-0-C-1-SW-UKN</v>
      </c>
    </row>
    <row r="1749" spans="1:48" s="10" customFormat="1" x14ac:dyDescent="0.55000000000000004">
      <c r="A1749" s="32">
        <v>44949</v>
      </c>
      <c r="B1749" s="33">
        <v>0.4861111111111111</v>
      </c>
      <c r="C1749" s="10" t="s">
        <v>437</v>
      </c>
      <c r="D1749" s="10">
        <v>0</v>
      </c>
      <c r="E1749" s="10" t="s">
        <v>190</v>
      </c>
      <c r="F1749" s="10">
        <v>1</v>
      </c>
      <c r="G1749" s="10" t="s">
        <v>231</v>
      </c>
      <c r="H1749" s="10" t="s">
        <v>322</v>
      </c>
      <c r="I1749" s="10" t="s">
        <v>235</v>
      </c>
      <c r="J1749" s="10">
        <v>23</v>
      </c>
      <c r="K1749" s="12">
        <v>44958</v>
      </c>
      <c r="L1749" s="33">
        <v>0.68269675925925932</v>
      </c>
      <c r="M1749" s="10">
        <v>1</v>
      </c>
      <c r="N1749" s="10" t="s">
        <v>196</v>
      </c>
      <c r="O1749" s="10">
        <v>5.96</v>
      </c>
      <c r="P1749" s="10">
        <v>0.29399999999999998</v>
      </c>
      <c r="Q1749" s="10">
        <v>1000</v>
      </c>
      <c r="R1749" s="10" t="s">
        <v>170</v>
      </c>
      <c r="S1749" s="34">
        <f t="shared" si="198"/>
        <v>1062.1389377599999</v>
      </c>
      <c r="T1749" s="10" t="s">
        <v>1123</v>
      </c>
      <c r="U1749" s="34" t="str">
        <f t="shared" si="199"/>
        <v/>
      </c>
      <c r="V1749" s="31" t="str">
        <f>IF(H1749="CHK",VLOOKUP(I1749,QCCHK,3,),IF(H1749="GUP",VLOOKUP(E1749,QCGUP,2,),IF(AND(H1749="ATP",OR(I1749="TN",I1749="TDN",I1749="TNO2-3",I1749="NO2-3")),VLOOKUP(E1749,QCREC_N,2,),IF(AND(H1749="NIC",OR(I1749="TN",I1749="TDN",I1749="TNO2-3",I1749="NO2-3")),VLOOKUP(E1749,QCNIC_N,2,),IF(AND(H1749="UREA",OR(I1749="TN",I1749="TDN",I1749="TNO2-3",I1749="NO2-3")),VLOOKUP(E1749,QCUREA_N,2,),IF(H1749="PER",VLOOKUP(I1749,QCPER,MATCH(E1749,QCACTUAL!$J$25:$AA$25,0),),IF(H1749="SPK",VLOOKUP(I1749,QCSPK,3,),IF(AND(H1749="ATP",OR(I1749="TP",I1749="TDP")),VLOOKUP(E1749,QCATP_P,2,),""))))))))</f>
        <v/>
      </c>
      <c r="W1749" s="31" t="str">
        <f t="shared" si="200"/>
        <v>TRUE</v>
      </c>
      <c r="X1749" s="31" t="str">
        <f t="shared" si="197"/>
        <v/>
      </c>
      <c r="Y1749" s="10" t="s">
        <v>1116</v>
      </c>
      <c r="Z1749" s="10" t="s">
        <v>910</v>
      </c>
      <c r="AF1749" s="12">
        <v>44958</v>
      </c>
      <c r="AJ1749" s="10">
        <f>0.9631*5.96^2+173.03*5.96-74.605</f>
        <v>990.86465296000006</v>
      </c>
      <c r="AK1749" s="10">
        <f>-1.0839*5.96^2+204.73*5.96-119.55</f>
        <v>1062.1389377599999</v>
      </c>
      <c r="AL1749" s="10" t="str">
        <f t="shared" si="195"/>
        <v>FALSE</v>
      </c>
      <c r="AM1749" s="10" t="str">
        <f t="shared" si="195"/>
        <v>FALSE</v>
      </c>
      <c r="AN1749" s="10" t="str">
        <f t="shared" si="195"/>
        <v>FALSE</v>
      </c>
      <c r="AO1749" s="10" t="str">
        <f t="shared" si="196"/>
        <v>y=0.9631*5.96^2+173.03*5.96-74.605</v>
      </c>
      <c r="AP1749" s="10" t="str">
        <f t="shared" si="196"/>
        <v>y=-1.0839*5.96^2+204.73*5.96-119.55</v>
      </c>
      <c r="AQ1749" s="10" t="b">
        <f>IF(AND(I1749="TP",S1749&lt;=150),VLOOKUP(AF1749,TPCalibEq150!$AZ$2:$BB$55,3,),IF(AND(I1749="TDP",S1749&lt;=150),VLOOKUP(AF1749,TPCalibEq150!$AZ$2:$BB$55,3,)))</f>
        <v>0</v>
      </c>
      <c r="AR1749" s="10" t="b">
        <f>IF(AND(I1749="TP",S1749&lt;=300),VLOOKUP(AF1749,TPCalibEq300!$AZ$2:$BB$55,3,),IF(AND(I1749="TDP",S1749&lt;=300),VLOOKUP(AF1749,TPCalibEq300!$AZ$2:$BB$55,3,)))</f>
        <v>0</v>
      </c>
      <c r="AS1749" s="10" t="b">
        <f>IF(AND(I1749="TP",S1749&lt;=500),VLOOKUP(AF1749,TPCalibEq500!$AZ$2:$BB$56,3,),IF(AND(I1749="TDP",S1749&lt;=500),VLOOKUP(AF1749,TPCalibEq500!$AZ$2:$BB$56,3,)))</f>
        <v>0</v>
      </c>
      <c r="AT1749" s="10" t="str">
        <f>IF(AND(I1749="TN",S1749&lt;=2800),VLOOKUP(AF1749,TNCalibEq2500!$AZ$2:$BB$56,3,),IF(AND(I1749="TDN",S1749&lt;=2800),VLOOKUP(AF1749,TNCalibEq2500!$AZ$2:$BB$56,3,)))</f>
        <v>y=0.9631x2+173.03x-74.605</v>
      </c>
      <c r="AU1749" s="10" t="str">
        <f>IF(I1749="TP",VLOOKUP(AF1749,TPCalibEqFull!$AZ$2:$BB$56,3),IF(I1749="TDP",VLOOKUP(AF1749,TPCalibEqFull!$AZ$2:$BB$56,3),IF(I1749="TDN",VLOOKUP(AF1749,TNCalibEqFull!$AZ$1:$BB$56,3),IF(I1749="TN",VLOOKUP(AF1749,TNCalibEqFull!$AZ$1:$BB$56,3),FALSE))))</f>
        <v>y=-1.0839x2+204.73x-119.55</v>
      </c>
      <c r="AV1749" s="10" t="str">
        <f t="shared" si="201"/>
        <v>0123 11:40:00-FVM-0-C-1-SW-UKN</v>
      </c>
    </row>
    <row r="1750" spans="1:48" s="10" customFormat="1" x14ac:dyDescent="0.55000000000000004">
      <c r="A1750" s="32">
        <v>44949</v>
      </c>
      <c r="B1750" s="33">
        <v>0.4861111111111111</v>
      </c>
      <c r="C1750" s="10" t="s">
        <v>437</v>
      </c>
      <c r="D1750" s="10">
        <v>0</v>
      </c>
      <c r="E1750" s="10" t="s">
        <v>190</v>
      </c>
      <c r="F1750" s="10">
        <v>2</v>
      </c>
      <c r="G1750" s="10" t="s">
        <v>231</v>
      </c>
      <c r="H1750" s="10" t="s">
        <v>322</v>
      </c>
      <c r="I1750" s="10" t="s">
        <v>235</v>
      </c>
      <c r="J1750" s="10">
        <v>24</v>
      </c>
      <c r="K1750" s="12">
        <v>44958</v>
      </c>
      <c r="L1750" s="33">
        <v>0.68336805555555558</v>
      </c>
      <c r="M1750" s="10">
        <v>1</v>
      </c>
      <c r="N1750" s="10" t="s">
        <v>196</v>
      </c>
      <c r="O1750" s="10">
        <v>5.99</v>
      </c>
      <c r="P1750" s="10">
        <v>0.29399999999999998</v>
      </c>
      <c r="Q1750" s="10">
        <v>1000</v>
      </c>
      <c r="R1750" s="10" t="s">
        <v>170</v>
      </c>
      <c r="S1750" s="34">
        <f t="shared" si="198"/>
        <v>1067.8922596099999</v>
      </c>
      <c r="T1750" s="10" t="s">
        <v>1123</v>
      </c>
      <c r="U1750" s="34" t="str">
        <f t="shared" si="199"/>
        <v/>
      </c>
      <c r="V1750" s="31" t="str">
        <f>IF(H1750="CHK",VLOOKUP(I1750,QCCHK,3,),IF(H1750="GUP",VLOOKUP(E1750,QCGUP,2,),IF(AND(H1750="ATP",OR(I1750="TN",I1750="TDN",I1750="TNO2-3",I1750="NO2-3")),VLOOKUP(E1750,QCREC_N,2,),IF(AND(H1750="NIC",OR(I1750="TN",I1750="TDN",I1750="TNO2-3",I1750="NO2-3")),VLOOKUP(E1750,QCNIC_N,2,),IF(AND(H1750="UREA",OR(I1750="TN",I1750="TDN",I1750="TNO2-3",I1750="NO2-3")),VLOOKUP(E1750,QCUREA_N,2,),IF(H1750="PER",VLOOKUP(I1750,QCPER,MATCH(E1750,QCACTUAL!$J$25:$AA$25,0),),IF(H1750="SPK",VLOOKUP(I1750,QCSPK,3,),IF(AND(H1750="ATP",OR(I1750="TP",I1750="TDP")),VLOOKUP(E1750,QCATP_P,2,),""))))))))</f>
        <v/>
      </c>
      <c r="W1750" s="31" t="str">
        <f t="shared" si="200"/>
        <v>TRUE</v>
      </c>
      <c r="X1750" s="31" t="str">
        <f t="shared" si="197"/>
        <v/>
      </c>
      <c r="Y1750" s="10" t="s">
        <v>1116</v>
      </c>
      <c r="Z1750" s="10" t="s">
        <v>910</v>
      </c>
      <c r="AF1750" s="12">
        <v>44958</v>
      </c>
      <c r="AJ1750" s="10">
        <f>0.9631*5.99^2+173.03*5.99-74.605</f>
        <v>996.40082431000019</v>
      </c>
      <c r="AK1750" s="10">
        <f>-1.0839*5.99^2+204.73*5.99-119.55</f>
        <v>1067.8922596099999</v>
      </c>
      <c r="AL1750" s="10" t="str">
        <f t="shared" si="195"/>
        <v>FALSE</v>
      </c>
      <c r="AM1750" s="10" t="str">
        <f t="shared" si="195"/>
        <v>FALSE</v>
      </c>
      <c r="AN1750" s="10" t="str">
        <f t="shared" si="195"/>
        <v>FALSE</v>
      </c>
      <c r="AO1750" s="10" t="str">
        <f t="shared" si="196"/>
        <v>y=0.9631*5.99^2+173.03*5.99-74.605</v>
      </c>
      <c r="AP1750" s="10" t="str">
        <f t="shared" si="196"/>
        <v>y=-1.0839*5.99^2+204.73*5.99-119.55</v>
      </c>
      <c r="AQ1750" s="10" t="b">
        <f>IF(AND(I1750="TP",S1750&lt;=150),VLOOKUP(AF1750,TPCalibEq150!$AZ$2:$BB$55,3,),IF(AND(I1750="TDP",S1750&lt;=150),VLOOKUP(AF1750,TPCalibEq150!$AZ$2:$BB$55,3,)))</f>
        <v>0</v>
      </c>
      <c r="AR1750" s="10" t="b">
        <f>IF(AND(I1750="TP",S1750&lt;=300),VLOOKUP(AF1750,TPCalibEq300!$AZ$2:$BB$55,3,),IF(AND(I1750="TDP",S1750&lt;=300),VLOOKUP(AF1750,TPCalibEq300!$AZ$2:$BB$55,3,)))</f>
        <v>0</v>
      </c>
      <c r="AS1750" s="10" t="b">
        <f>IF(AND(I1750="TP",S1750&lt;=500),VLOOKUP(AF1750,TPCalibEq500!$AZ$2:$BB$56,3,),IF(AND(I1750="TDP",S1750&lt;=500),VLOOKUP(AF1750,TPCalibEq500!$AZ$2:$BB$56,3,)))</f>
        <v>0</v>
      </c>
      <c r="AT1750" s="10" t="str">
        <f>IF(AND(I1750="TN",S1750&lt;=2800),VLOOKUP(AF1750,TNCalibEq2500!$AZ$2:$BB$56,3,),IF(AND(I1750="TDN",S1750&lt;=2800),VLOOKUP(AF1750,TNCalibEq2500!$AZ$2:$BB$56,3,)))</f>
        <v>y=0.9631x2+173.03x-74.605</v>
      </c>
      <c r="AU1750" s="10" t="str">
        <f>IF(I1750="TP",VLOOKUP(AF1750,TPCalibEqFull!$AZ$2:$BB$56,3),IF(I1750="TDP",VLOOKUP(AF1750,TPCalibEqFull!$AZ$2:$BB$56,3),IF(I1750="TDN",VLOOKUP(AF1750,TNCalibEqFull!$AZ$1:$BB$56,3),IF(I1750="TN",VLOOKUP(AF1750,TNCalibEqFull!$AZ$1:$BB$56,3),FALSE))))</f>
        <v>y=-1.0839x2+204.73x-119.55</v>
      </c>
      <c r="AV1750" s="10" t="str">
        <f t="shared" si="201"/>
        <v>0123 11:40:00-FVM-0-C-2-SW-UKN</v>
      </c>
    </row>
    <row r="1751" spans="1:48" s="10" customFormat="1" x14ac:dyDescent="0.55000000000000004">
      <c r="A1751" s="32">
        <v>44949</v>
      </c>
      <c r="B1751" s="33">
        <v>0.4861111111111111</v>
      </c>
      <c r="C1751" s="10" t="s">
        <v>437</v>
      </c>
      <c r="D1751" s="10">
        <v>0</v>
      </c>
      <c r="E1751" s="10" t="s">
        <v>190</v>
      </c>
      <c r="F1751" s="10">
        <v>2</v>
      </c>
      <c r="G1751" s="10" t="s">
        <v>231</v>
      </c>
      <c r="H1751" s="10" t="s">
        <v>233</v>
      </c>
      <c r="I1751" s="10" t="s">
        <v>235</v>
      </c>
      <c r="J1751" s="10">
        <v>24</v>
      </c>
      <c r="K1751" s="12">
        <v>44958</v>
      </c>
      <c r="L1751" s="33">
        <v>0.68402777777777779</v>
      </c>
      <c r="M1751" s="10">
        <v>1</v>
      </c>
      <c r="N1751" s="10" t="s">
        <v>196</v>
      </c>
      <c r="O1751" s="10">
        <v>5.97</v>
      </c>
      <c r="P1751" s="10">
        <v>0.29499999999999998</v>
      </c>
      <c r="Q1751" s="10">
        <v>1000</v>
      </c>
      <c r="R1751" s="10" t="s">
        <v>170</v>
      </c>
      <c r="S1751" s="34">
        <f t="shared" si="198"/>
        <v>1064.0569284899998</v>
      </c>
      <c r="T1751" s="10" t="s">
        <v>1123</v>
      </c>
      <c r="U1751" s="34">
        <f t="shared" si="199"/>
        <v>0.35979573447696961</v>
      </c>
      <c r="V1751" s="31" t="str">
        <f>IF(H1751="CHK",VLOOKUP(I1751,QCCHK,3,),IF(H1751="GUP",VLOOKUP(E1751,QCGUP,2,),IF(AND(H1751="ATP",OR(I1751="TN",I1751="TDN",I1751="TNO2-3",I1751="NO2-3")),VLOOKUP(E1751,QCREC_N,2,),IF(AND(H1751="NIC",OR(I1751="TN",I1751="TDN",I1751="TNO2-3",I1751="NO2-3")),VLOOKUP(E1751,QCNIC_N,2,),IF(AND(H1751="UREA",OR(I1751="TN",I1751="TDN",I1751="TNO2-3",I1751="NO2-3")),VLOOKUP(E1751,QCUREA_N,2,),IF(H1751="PER",VLOOKUP(I1751,QCPER,MATCH(E1751,QCACTUAL!$J$25:$AA$25,0),),IF(H1751="SPK",VLOOKUP(I1751,QCSPK,3,),IF(AND(H1751="ATP",OR(I1751="TP",I1751="TDP")),VLOOKUP(E1751,QCATP_P,2,),""))))))))</f>
        <v/>
      </c>
      <c r="W1751" s="31" t="str">
        <f t="shared" si="200"/>
        <v>TRUE</v>
      </c>
      <c r="X1751" s="31" t="str">
        <f t="shared" si="197"/>
        <v>((ABS(rep1-rep2))/((rep1+rep2)/2)*100</v>
      </c>
      <c r="Y1751" s="10" t="s">
        <v>1116</v>
      </c>
      <c r="Z1751" s="10" t="s">
        <v>910</v>
      </c>
      <c r="AF1751" s="12">
        <v>44958</v>
      </c>
      <c r="AJ1751" s="10">
        <f>0.9631*5.97^2+173.03*5.97-74.605</f>
        <v>992.70985079000002</v>
      </c>
      <c r="AK1751" s="10">
        <f>-1.0839*5.97^2+204.73*5.97-119.55</f>
        <v>1064.0569284899998</v>
      </c>
      <c r="AL1751" s="10" t="str">
        <f t="shared" si="195"/>
        <v>FALSE</v>
      </c>
      <c r="AM1751" s="10" t="str">
        <f t="shared" si="195"/>
        <v>FALSE</v>
      </c>
      <c r="AN1751" s="10" t="str">
        <f t="shared" si="195"/>
        <v>FALSE</v>
      </c>
      <c r="AO1751" s="10" t="str">
        <f t="shared" si="196"/>
        <v>y=0.9631*5.97^2+173.03*5.97-74.605</v>
      </c>
      <c r="AP1751" s="10" t="str">
        <f t="shared" si="196"/>
        <v>y=-1.0839*5.97^2+204.73*5.97-119.55</v>
      </c>
      <c r="AQ1751" s="10" t="b">
        <f>IF(AND(I1751="TP",S1751&lt;=150),VLOOKUP(AF1751,TPCalibEq150!$AZ$2:$BB$55,3,),IF(AND(I1751="TDP",S1751&lt;=150),VLOOKUP(AF1751,TPCalibEq150!$AZ$2:$BB$55,3,)))</f>
        <v>0</v>
      </c>
      <c r="AR1751" s="10" t="b">
        <f>IF(AND(I1751="TP",S1751&lt;=300),VLOOKUP(AF1751,TPCalibEq300!$AZ$2:$BB$55,3,),IF(AND(I1751="TDP",S1751&lt;=300),VLOOKUP(AF1751,TPCalibEq300!$AZ$2:$BB$55,3,)))</f>
        <v>0</v>
      </c>
      <c r="AS1751" s="10" t="b">
        <f>IF(AND(I1751="TP",S1751&lt;=500),VLOOKUP(AF1751,TPCalibEq500!$AZ$2:$BB$56,3,),IF(AND(I1751="TDP",S1751&lt;=500),VLOOKUP(AF1751,TPCalibEq500!$AZ$2:$BB$56,3,)))</f>
        <v>0</v>
      </c>
      <c r="AT1751" s="10" t="str">
        <f>IF(AND(I1751="TN",S1751&lt;=2800),VLOOKUP(AF1751,TNCalibEq2500!$AZ$2:$BB$56,3,),IF(AND(I1751="TDN",S1751&lt;=2800),VLOOKUP(AF1751,TNCalibEq2500!$AZ$2:$BB$56,3,)))</f>
        <v>y=0.9631x2+173.03x-74.605</v>
      </c>
      <c r="AU1751" s="10" t="str">
        <f>IF(I1751="TP",VLOOKUP(AF1751,TPCalibEqFull!$AZ$2:$BB$56,3),IF(I1751="TDP",VLOOKUP(AF1751,TPCalibEqFull!$AZ$2:$BB$56,3),IF(I1751="TDN",VLOOKUP(AF1751,TNCalibEqFull!$AZ$1:$BB$56,3),IF(I1751="TN",VLOOKUP(AF1751,TNCalibEqFull!$AZ$1:$BB$56,3),FALSE))))</f>
        <v>y=-1.0839x2+204.73x-119.55</v>
      </c>
      <c r="AV1751" s="10" t="str">
        <f t="shared" si="201"/>
        <v>0123 11:40:00-FVM-0-C-2-SW-DUP</v>
      </c>
    </row>
    <row r="1752" spans="1:48" s="10" customFormat="1" x14ac:dyDescent="0.55000000000000004">
      <c r="A1752" s="32">
        <v>44949</v>
      </c>
      <c r="B1752" s="33">
        <v>0.4861111111111111</v>
      </c>
      <c r="C1752" s="10" t="s">
        <v>437</v>
      </c>
      <c r="D1752" s="10">
        <v>0</v>
      </c>
      <c r="E1752" s="10" t="s">
        <v>190</v>
      </c>
      <c r="F1752" s="10">
        <v>2</v>
      </c>
      <c r="G1752" s="10" t="s">
        <v>231</v>
      </c>
      <c r="H1752" s="10" t="s">
        <v>314</v>
      </c>
      <c r="I1752" s="10" t="s">
        <v>235</v>
      </c>
      <c r="J1752" s="10">
        <v>83</v>
      </c>
      <c r="K1752" s="12">
        <v>44958</v>
      </c>
      <c r="L1752" s="33">
        <v>0.68469907407407404</v>
      </c>
      <c r="M1752" s="10">
        <v>1</v>
      </c>
      <c r="N1752" s="10" t="s">
        <v>196</v>
      </c>
      <c r="O1752" s="10">
        <v>22.8</v>
      </c>
      <c r="P1752" s="10">
        <v>1.1200000000000001</v>
      </c>
      <c r="Q1752" s="10">
        <v>3940</v>
      </c>
      <c r="R1752" s="10" t="s">
        <v>170</v>
      </c>
      <c r="S1752" s="34">
        <f t="shared" si="198"/>
        <v>3984.8394239999998</v>
      </c>
      <c r="T1752" s="10" t="s">
        <v>1123</v>
      </c>
      <c r="U1752" s="34">
        <f t="shared" si="199"/>
        <v>116.83129982039999</v>
      </c>
      <c r="V1752" s="31">
        <f>IF(H1752="CHK",VLOOKUP(I1752,QCCHK,3,),IF(H1752="GUP",VLOOKUP(E1752,QCGUP,2,),IF(AND(H1752="ATP",OR(I1752="TN",I1752="TDN",I1752="TNO2-3",I1752="NO2-3")),VLOOKUP(E1752,QCREC_N,2,),IF(AND(H1752="NIC",OR(I1752="TN",I1752="TDN",I1752="TNO2-3",I1752="NO2-3")),VLOOKUP(E1752,QCNIC_N,2,),IF(AND(H1752="UREA",OR(I1752="TN",I1752="TDN",I1752="TNO2-3",I1752="NO2-3")),VLOOKUP(E1752,QCUREA_N,2,),IF(H1752="PER",VLOOKUP(I1752,QCPER,MATCH(E1752,QCACTUAL!$J$25:$AA$25,0),),IF(H1752="SPK",VLOOKUP(I1752,QCSPK,3,),IF(AND(H1752="ATP",OR(I1752="TP",I1752="TDP")),VLOOKUP(E1752,QCATP_P,2,),""))))))))</f>
        <v>2500</v>
      </c>
      <c r="W1752" s="31" t="str">
        <f t="shared" si="200"/>
        <v>TRUE</v>
      </c>
      <c r="X1752" s="31" t="str">
        <f t="shared" si="197"/>
        <v>([spikedunkn]-[unkn])/[spike]*100</v>
      </c>
      <c r="Y1752" s="10" t="s">
        <v>1116</v>
      </c>
      <c r="Z1752" s="10" t="s">
        <v>910</v>
      </c>
      <c r="AF1752" s="12">
        <v>44958</v>
      </c>
      <c r="AK1752" s="10">
        <f>-1.0839*22.8^2+204.73*22.8-119.55</f>
        <v>3984.8394239999998</v>
      </c>
      <c r="AL1752" s="10" t="str">
        <f t="shared" si="195"/>
        <v>FALSE</v>
      </c>
      <c r="AM1752" s="10" t="str">
        <f t="shared" si="195"/>
        <v>FALSE</v>
      </c>
      <c r="AN1752" s="10" t="str">
        <f t="shared" si="195"/>
        <v>FALSE</v>
      </c>
      <c r="AO1752" s="10" t="str">
        <f t="shared" si="196"/>
        <v>FALSE</v>
      </c>
      <c r="AP1752" s="10" t="str">
        <f t="shared" si="196"/>
        <v>y=-1.0839*22.8^2+204.73*22.8-119.55</v>
      </c>
      <c r="AQ1752" s="10" t="b">
        <f>IF(AND(I1752="TP",S1752&lt;=150),VLOOKUP(AF1752,TPCalibEq150!$AZ$2:$BB$55,3,),IF(AND(I1752="TDP",S1752&lt;=150),VLOOKUP(AF1752,TPCalibEq150!$AZ$2:$BB$55,3,)))</f>
        <v>0</v>
      </c>
      <c r="AR1752" s="10" t="b">
        <f>IF(AND(I1752="TP",S1752&lt;=300),VLOOKUP(AF1752,TPCalibEq300!$AZ$2:$BB$55,3,),IF(AND(I1752="TDP",S1752&lt;=300),VLOOKUP(AF1752,TPCalibEq300!$AZ$2:$BB$55,3,)))</f>
        <v>0</v>
      </c>
      <c r="AS1752" s="10" t="b">
        <f>IF(AND(I1752="TP",S1752&lt;=500),VLOOKUP(AF1752,TPCalibEq500!$AZ$2:$BB$56,3,),IF(AND(I1752="TDP",S1752&lt;=500),VLOOKUP(AF1752,TPCalibEq500!$AZ$2:$BB$56,3,)))</f>
        <v>0</v>
      </c>
      <c r="AT1752" s="10" t="b">
        <f>IF(AND(I1752="TN",S1752&lt;=2800),VLOOKUP(AF1752,TNCalibEq2500!$AZ$2:$BB$56,3,),IF(AND(I1752="TDN",S1752&lt;=2800),VLOOKUP(AF1752,TNCalibEq2500!$AZ$2:$BB$56,3,)))</f>
        <v>0</v>
      </c>
      <c r="AU1752" s="10" t="str">
        <f>IF(I1752="TP",VLOOKUP(AF1752,TPCalibEqFull!$AZ$2:$BB$56,3),IF(I1752="TDP",VLOOKUP(AF1752,TPCalibEqFull!$AZ$2:$BB$56,3),IF(I1752="TDN",VLOOKUP(AF1752,TNCalibEqFull!$AZ$1:$BB$56,3),IF(I1752="TN",VLOOKUP(AF1752,TNCalibEqFull!$AZ$1:$BB$56,3),FALSE))))</f>
        <v>y=-1.0839x2+204.73x-119.55</v>
      </c>
      <c r="AV1752" s="10" t="str">
        <f t="shared" si="201"/>
        <v>0123 11:40:00-FVM-0-C-2-SW-SPK</v>
      </c>
    </row>
    <row r="1753" spans="1:48" s="10" customFormat="1" x14ac:dyDescent="0.55000000000000004">
      <c r="A1753" s="32">
        <v>44958</v>
      </c>
      <c r="B1753" s="33">
        <v>0.375</v>
      </c>
      <c r="C1753" s="10" t="s">
        <v>70</v>
      </c>
      <c r="D1753" s="10" t="s">
        <v>71</v>
      </c>
      <c r="E1753" s="10" t="s">
        <v>901</v>
      </c>
      <c r="F1753" s="10">
        <v>1</v>
      </c>
      <c r="G1753" s="10" t="s">
        <v>73</v>
      </c>
      <c r="H1753" s="10" t="s">
        <v>207</v>
      </c>
      <c r="I1753" s="10" t="s">
        <v>235</v>
      </c>
      <c r="J1753" s="10">
        <v>200</v>
      </c>
      <c r="K1753" s="12">
        <v>44958</v>
      </c>
      <c r="L1753" s="33">
        <v>0.68538194444444445</v>
      </c>
      <c r="M1753" s="10">
        <v>1</v>
      </c>
      <c r="N1753" s="10" t="s">
        <v>196</v>
      </c>
      <c r="O1753" s="10">
        <v>7.25</v>
      </c>
      <c r="P1753" s="10">
        <v>0.36</v>
      </c>
      <c r="Q1753" s="10">
        <v>1220</v>
      </c>
      <c r="R1753" s="10" t="s">
        <v>170</v>
      </c>
      <c r="S1753" s="34">
        <f t="shared" si="198"/>
        <v>1307.7700062500001</v>
      </c>
      <c r="T1753" s="10" t="s">
        <v>1123</v>
      </c>
      <c r="U1753" s="34">
        <f t="shared" si="199"/>
        <v>104.6216005</v>
      </c>
      <c r="V1753" s="31">
        <f>IF(H1753="CHK",VLOOKUP(I1753,QCCHK,3,),IF(H1753="GUP",VLOOKUP(E1753,QCGUP,2,),IF(AND(H1753="ATP",OR(I1753="TN",I1753="TDN",I1753="TNO2-3",I1753="NO2-3")),VLOOKUP(E1753,QCREC_N,2,),IF(AND(H1753="NIC",OR(I1753="TN",I1753="TDN",I1753="TNO2-3",I1753="NO2-3")),VLOOKUP(E1753,QCNIC_N,2,),IF(AND(H1753="UREA",OR(I1753="TN",I1753="TDN",I1753="TNO2-3",I1753="NO2-3")),VLOOKUP(E1753,QCUREA_N,2,),IF(H1753="PER",VLOOKUP(I1753,QCPER,MATCH(E1753,QCACTUAL!$J$25:$AA$25,0),),IF(H1753="SPK",VLOOKUP(I1753,QCSPK,3,),IF(AND(H1753="ATP",OR(I1753="TP",I1753="TDP")),VLOOKUP(E1753,QCATP_P,2,),""))))))))</f>
        <v>1250</v>
      </c>
      <c r="W1753" s="31" t="str">
        <f t="shared" si="200"/>
        <v>TRUE</v>
      </c>
      <c r="X1753" s="31" t="str">
        <f t="shared" si="197"/>
        <v>[chk]/[actual]*100</v>
      </c>
      <c r="Y1753" s="10" t="s">
        <v>1116</v>
      </c>
      <c r="AF1753" s="12">
        <v>44958</v>
      </c>
      <c r="AJ1753" s="10">
        <f>0.9631*7.25^2+173.03*7.25-74.605</f>
        <v>1230.4854437500001</v>
      </c>
      <c r="AK1753" s="10">
        <f>-1.0839*7.25^2+204.73*7.25-119.55</f>
        <v>1307.7700062500001</v>
      </c>
      <c r="AL1753" s="10" t="str">
        <f t="shared" si="195"/>
        <v>FALSE</v>
      </c>
      <c r="AM1753" s="10" t="str">
        <f t="shared" si="195"/>
        <v>FALSE</v>
      </c>
      <c r="AN1753" s="10" t="str">
        <f t="shared" si="195"/>
        <v>FALSE</v>
      </c>
      <c r="AO1753" s="10" t="str">
        <f t="shared" si="196"/>
        <v>y=0.9631*7.25^2+173.03*7.25-74.605</v>
      </c>
      <c r="AP1753" s="10" t="str">
        <f t="shared" si="196"/>
        <v>y=-1.0839*7.25^2+204.73*7.25-119.55</v>
      </c>
      <c r="AQ1753" s="10" t="b">
        <f>IF(AND(I1753="TP",S1753&lt;=150),VLOOKUP(AF1753,TPCalibEq150!$AZ$2:$BB$55,3,),IF(AND(I1753="TDP",S1753&lt;=150),VLOOKUP(AF1753,TPCalibEq150!$AZ$2:$BB$55,3,)))</f>
        <v>0</v>
      </c>
      <c r="AR1753" s="10" t="b">
        <f>IF(AND(I1753="TP",S1753&lt;=300),VLOOKUP(AF1753,TPCalibEq300!$AZ$2:$BB$55,3,),IF(AND(I1753="TDP",S1753&lt;=300),VLOOKUP(AF1753,TPCalibEq300!$AZ$2:$BB$55,3,)))</f>
        <v>0</v>
      </c>
      <c r="AS1753" s="10" t="b">
        <f>IF(AND(I1753="TP",S1753&lt;=500),VLOOKUP(AF1753,TPCalibEq500!$AZ$2:$BB$56,3,),IF(AND(I1753="TDP",S1753&lt;=500),VLOOKUP(AF1753,TPCalibEq500!$AZ$2:$BB$56,3,)))</f>
        <v>0</v>
      </c>
      <c r="AT1753" s="10" t="str">
        <f>IF(AND(I1753="TN",S1753&lt;=2800),VLOOKUP(AF1753,TNCalibEq2500!$AZ$2:$BB$56,3,),IF(AND(I1753="TDN",S1753&lt;=2800),VLOOKUP(AF1753,TNCalibEq2500!$AZ$2:$BB$56,3,)))</f>
        <v>y=0.9631x2+173.03x-74.605</v>
      </c>
      <c r="AU1753" s="10" t="str">
        <f>IF(I1753="TP",VLOOKUP(AF1753,TPCalibEqFull!$AZ$2:$BB$56,3),IF(I1753="TDP",VLOOKUP(AF1753,TPCalibEqFull!$AZ$2:$BB$56,3),IF(I1753="TDN",VLOOKUP(AF1753,TNCalibEqFull!$AZ$1:$BB$56,3),IF(I1753="TN",VLOOKUP(AF1753,TNCalibEqFull!$AZ$1:$BB$56,3),FALSE))))</f>
        <v>y=-1.0839x2+204.73x-119.55</v>
      </c>
      <c r="AV1753" s="10" t="str">
        <f t="shared" si="201"/>
        <v>0201 09:00:00-QAC-STD-D-1-DI-CHK</v>
      </c>
    </row>
    <row r="1754" spans="1:48" s="10" customFormat="1" x14ac:dyDescent="0.55000000000000004">
      <c r="A1754" s="32">
        <v>44949</v>
      </c>
      <c r="B1754" s="33">
        <v>0.49861111111111112</v>
      </c>
      <c r="C1754" s="10" t="s">
        <v>336</v>
      </c>
      <c r="D1754" s="10">
        <v>0</v>
      </c>
      <c r="E1754" s="10" t="s">
        <v>190</v>
      </c>
      <c r="F1754" s="10">
        <v>1</v>
      </c>
      <c r="G1754" s="10" t="s">
        <v>231</v>
      </c>
      <c r="H1754" s="10" t="s">
        <v>322</v>
      </c>
      <c r="I1754" s="10" t="s">
        <v>235</v>
      </c>
      <c r="J1754" s="10">
        <v>25</v>
      </c>
      <c r="K1754" s="12">
        <v>44958</v>
      </c>
      <c r="L1754" s="33">
        <v>0.68604166666666666</v>
      </c>
      <c r="M1754" s="10">
        <v>1</v>
      </c>
      <c r="N1754" s="10" t="s">
        <v>196</v>
      </c>
      <c r="O1754" s="10">
        <v>5.44</v>
      </c>
      <c r="P1754" s="10">
        <v>0.26800000000000002</v>
      </c>
      <c r="Q1754" s="10">
        <v>908</v>
      </c>
      <c r="R1754" s="10" t="s">
        <v>170</v>
      </c>
      <c r="S1754" s="34">
        <f t="shared" si="198"/>
        <v>962.10469695999996</v>
      </c>
      <c r="T1754" s="10" t="s">
        <v>1123</v>
      </c>
      <c r="U1754" s="34" t="str">
        <f t="shared" si="199"/>
        <v/>
      </c>
      <c r="V1754" s="31" t="str">
        <f>IF(H1754="CHK",VLOOKUP(I1754,QCCHK,3,),IF(H1754="GUP",VLOOKUP(E1754,QCGUP,2,),IF(AND(H1754="ATP",OR(I1754="TN",I1754="TDN",I1754="TNO2-3",I1754="NO2-3")),VLOOKUP(E1754,QCREC_N,2,),IF(AND(H1754="NIC",OR(I1754="TN",I1754="TDN",I1754="TNO2-3",I1754="NO2-3")),VLOOKUP(E1754,QCNIC_N,2,),IF(AND(H1754="UREA",OR(I1754="TN",I1754="TDN",I1754="TNO2-3",I1754="NO2-3")),VLOOKUP(E1754,QCUREA_N,2,),IF(H1754="PER",VLOOKUP(I1754,QCPER,MATCH(E1754,QCACTUAL!$J$25:$AA$25,0),),IF(H1754="SPK",VLOOKUP(I1754,QCSPK,3,),IF(AND(H1754="ATP",OR(I1754="TP",I1754="TDP")),VLOOKUP(E1754,QCATP_P,2,),""))))))))</f>
        <v/>
      </c>
      <c r="W1754" s="31" t="str">
        <f t="shared" si="200"/>
        <v>TRUE</v>
      </c>
      <c r="X1754" s="31" t="str">
        <f t="shared" si="197"/>
        <v/>
      </c>
      <c r="Y1754" s="10" t="s">
        <v>1116</v>
      </c>
      <c r="Z1754" s="10" t="s">
        <v>910</v>
      </c>
      <c r="AF1754" s="12">
        <v>44958</v>
      </c>
      <c r="AJ1754" s="10">
        <f>0.9631*5.44^2+173.03*5.44-74.605</f>
        <v>895.17979616000002</v>
      </c>
      <c r="AK1754" s="10">
        <f>-1.0839*5.44^2+204.73*5.44-119.55</f>
        <v>962.10469695999996</v>
      </c>
      <c r="AL1754" s="10" t="str">
        <f t="shared" si="195"/>
        <v>FALSE</v>
      </c>
      <c r="AM1754" s="10" t="str">
        <f t="shared" si="195"/>
        <v>FALSE</v>
      </c>
      <c r="AN1754" s="10" t="str">
        <f t="shared" si="195"/>
        <v>FALSE</v>
      </c>
      <c r="AO1754" s="10" t="str">
        <f t="shared" si="196"/>
        <v>y=0.9631*5.44^2+173.03*5.44-74.605</v>
      </c>
      <c r="AP1754" s="10" t="str">
        <f t="shared" si="196"/>
        <v>y=-1.0839*5.44^2+204.73*5.44-119.55</v>
      </c>
      <c r="AQ1754" s="10" t="b">
        <f>IF(AND(I1754="TP",S1754&lt;=150),VLOOKUP(AF1754,TPCalibEq150!$AZ$2:$BB$55,3,),IF(AND(I1754="TDP",S1754&lt;=150),VLOOKUP(AF1754,TPCalibEq150!$AZ$2:$BB$55,3,)))</f>
        <v>0</v>
      </c>
      <c r="AR1754" s="10" t="b">
        <f>IF(AND(I1754="TP",S1754&lt;=300),VLOOKUP(AF1754,TPCalibEq300!$AZ$2:$BB$55,3,),IF(AND(I1754="TDP",S1754&lt;=300),VLOOKUP(AF1754,TPCalibEq300!$AZ$2:$BB$55,3,)))</f>
        <v>0</v>
      </c>
      <c r="AS1754" s="10" t="b">
        <f>IF(AND(I1754="TP",S1754&lt;=500),VLOOKUP(AF1754,TPCalibEq500!$AZ$2:$BB$56,3,),IF(AND(I1754="TDP",S1754&lt;=500),VLOOKUP(AF1754,TPCalibEq500!$AZ$2:$BB$56,3,)))</f>
        <v>0</v>
      </c>
      <c r="AT1754" s="10" t="str">
        <f>IF(AND(I1754="TN",S1754&lt;=2800),VLOOKUP(AF1754,TNCalibEq2500!$AZ$2:$BB$56,3,),IF(AND(I1754="TDN",S1754&lt;=2800),VLOOKUP(AF1754,TNCalibEq2500!$AZ$2:$BB$56,3,)))</f>
        <v>y=0.9631x2+173.03x-74.605</v>
      </c>
      <c r="AU1754" s="10" t="str">
        <f>IF(I1754="TP",VLOOKUP(AF1754,TPCalibEqFull!$AZ$2:$BB$56,3),IF(I1754="TDP",VLOOKUP(AF1754,TPCalibEqFull!$AZ$2:$BB$56,3),IF(I1754="TDN",VLOOKUP(AF1754,TNCalibEqFull!$AZ$1:$BB$56,3),IF(I1754="TN",VLOOKUP(AF1754,TNCalibEqFull!$AZ$1:$BB$56,3),FALSE))))</f>
        <v>y=-1.0839x2+204.73x-119.55</v>
      </c>
      <c r="AV1754" s="10" t="str">
        <f t="shared" si="201"/>
        <v>0123 11:58:00-HWR-0-C-1-SW-UKN</v>
      </c>
    </row>
    <row r="1755" spans="1:48" s="10" customFormat="1" x14ac:dyDescent="0.55000000000000004">
      <c r="A1755" s="32">
        <v>44949</v>
      </c>
      <c r="B1755" s="33">
        <v>0.50555555555555554</v>
      </c>
      <c r="C1755" s="10" t="s">
        <v>295</v>
      </c>
      <c r="D1755" s="10">
        <v>0</v>
      </c>
      <c r="E1755" s="10" t="s">
        <v>190</v>
      </c>
      <c r="F1755" s="10">
        <v>1</v>
      </c>
      <c r="G1755" s="10" t="s">
        <v>231</v>
      </c>
      <c r="H1755" s="10" t="s">
        <v>322</v>
      </c>
      <c r="I1755" s="10" t="s">
        <v>235</v>
      </c>
      <c r="J1755" s="10">
        <v>26</v>
      </c>
      <c r="K1755" s="12">
        <v>44958</v>
      </c>
      <c r="L1755" s="33">
        <v>0.68671296296296302</v>
      </c>
      <c r="M1755" s="10">
        <v>1</v>
      </c>
      <c r="N1755" s="10" t="s">
        <v>196</v>
      </c>
      <c r="O1755" s="10">
        <v>10.199999999999999</v>
      </c>
      <c r="P1755" s="10">
        <v>0.505</v>
      </c>
      <c r="Q1755" s="10">
        <v>1750</v>
      </c>
      <c r="R1755" s="10" t="s">
        <v>170</v>
      </c>
      <c r="S1755" s="34">
        <f t="shared" si="198"/>
        <v>1855.9270439999998</v>
      </c>
      <c r="T1755" s="10" t="s">
        <v>1123</v>
      </c>
      <c r="U1755" s="34" t="str">
        <f t="shared" si="199"/>
        <v/>
      </c>
      <c r="V1755" s="31" t="str">
        <f>IF(H1755="CHK",VLOOKUP(I1755,QCCHK,3,),IF(H1755="GUP",VLOOKUP(E1755,QCGUP,2,),IF(AND(H1755="ATP",OR(I1755="TN",I1755="TDN",I1755="TNO2-3",I1755="NO2-3")),VLOOKUP(E1755,QCREC_N,2,),IF(AND(H1755="NIC",OR(I1755="TN",I1755="TDN",I1755="TNO2-3",I1755="NO2-3")),VLOOKUP(E1755,QCNIC_N,2,),IF(AND(H1755="UREA",OR(I1755="TN",I1755="TDN",I1755="TNO2-3",I1755="NO2-3")),VLOOKUP(E1755,QCUREA_N,2,),IF(H1755="PER",VLOOKUP(I1755,QCPER,MATCH(E1755,QCACTUAL!$J$25:$AA$25,0),),IF(H1755="SPK",VLOOKUP(I1755,QCSPK,3,),IF(AND(H1755="ATP",OR(I1755="TP",I1755="TDP")),VLOOKUP(E1755,QCATP_P,2,),""))))))))</f>
        <v/>
      </c>
      <c r="W1755" s="31" t="str">
        <f t="shared" si="200"/>
        <v>TRUE</v>
      </c>
      <c r="X1755" s="31" t="str">
        <f t="shared" si="197"/>
        <v/>
      </c>
      <c r="Y1755" s="10" t="s">
        <v>1116</v>
      </c>
      <c r="Z1755" s="10" t="s">
        <v>910</v>
      </c>
      <c r="AF1755" s="12">
        <v>44958</v>
      </c>
      <c r="AJ1755" s="10">
        <f>0.9631*10.2^2+173.03*10.2-74.605</f>
        <v>1790.5019239999999</v>
      </c>
      <c r="AK1755" s="10">
        <f>-1.0839*10.2^2+204.73*10.2-119.55</f>
        <v>1855.9270439999998</v>
      </c>
      <c r="AL1755" s="10" t="str">
        <f t="shared" si="195"/>
        <v>FALSE</v>
      </c>
      <c r="AM1755" s="10" t="str">
        <f t="shared" si="195"/>
        <v>FALSE</v>
      </c>
      <c r="AN1755" s="10" t="str">
        <f t="shared" si="195"/>
        <v>FALSE</v>
      </c>
      <c r="AO1755" s="10" t="str">
        <f t="shared" si="196"/>
        <v>y=0.9631*10.2^2+173.03*10.2-74.605</v>
      </c>
      <c r="AP1755" s="10" t="str">
        <f t="shared" si="196"/>
        <v>y=-1.0839*10.2^2+204.73*10.2-119.55</v>
      </c>
      <c r="AQ1755" s="10" t="b">
        <f>IF(AND(I1755="TP",S1755&lt;=150),VLOOKUP(AF1755,TPCalibEq150!$AZ$2:$BB$55,3,),IF(AND(I1755="TDP",S1755&lt;=150),VLOOKUP(AF1755,TPCalibEq150!$AZ$2:$BB$55,3,)))</f>
        <v>0</v>
      </c>
      <c r="AR1755" s="10" t="b">
        <f>IF(AND(I1755="TP",S1755&lt;=300),VLOOKUP(AF1755,TPCalibEq300!$AZ$2:$BB$55,3,),IF(AND(I1755="TDP",S1755&lt;=300),VLOOKUP(AF1755,TPCalibEq300!$AZ$2:$BB$55,3,)))</f>
        <v>0</v>
      </c>
      <c r="AS1755" s="10" t="b">
        <f>IF(AND(I1755="TP",S1755&lt;=500),VLOOKUP(AF1755,TPCalibEq500!$AZ$2:$BB$56,3,),IF(AND(I1755="TDP",S1755&lt;=500),VLOOKUP(AF1755,TPCalibEq500!$AZ$2:$BB$56,3,)))</f>
        <v>0</v>
      </c>
      <c r="AT1755" s="10" t="str">
        <f>IF(AND(I1755="TN",S1755&lt;=2800),VLOOKUP(AF1755,TNCalibEq2500!$AZ$2:$BB$56,3,),IF(AND(I1755="TDN",S1755&lt;=2800),VLOOKUP(AF1755,TNCalibEq2500!$AZ$2:$BB$56,3,)))</f>
        <v>y=0.9631x2+173.03x-74.605</v>
      </c>
      <c r="AU1755" s="10" t="str">
        <f>IF(I1755="TP",VLOOKUP(AF1755,TPCalibEqFull!$AZ$2:$BB$56,3),IF(I1755="TDP",VLOOKUP(AF1755,TPCalibEqFull!$AZ$2:$BB$56,3),IF(I1755="TDN",VLOOKUP(AF1755,TNCalibEqFull!$AZ$1:$BB$56,3),IF(I1755="TN",VLOOKUP(AF1755,TNCalibEqFull!$AZ$1:$BB$56,3),FALSE))))</f>
        <v>y=-1.0839x2+204.73x-119.55</v>
      </c>
      <c r="AV1755" s="10" t="str">
        <f t="shared" si="201"/>
        <v>0123 12:08:00-EFM-0-C-1-SW-UKN</v>
      </c>
    </row>
    <row r="1756" spans="1:48" s="10" customFormat="1" x14ac:dyDescent="0.55000000000000004">
      <c r="A1756" s="32">
        <v>44949</v>
      </c>
      <c r="B1756" s="33">
        <v>0.52500000000000002</v>
      </c>
      <c r="C1756" s="10" t="s">
        <v>999</v>
      </c>
      <c r="D1756" s="10">
        <v>0</v>
      </c>
      <c r="E1756" s="10" t="s">
        <v>190</v>
      </c>
      <c r="F1756" s="10">
        <v>1</v>
      </c>
      <c r="G1756" s="10" t="s">
        <v>231</v>
      </c>
      <c r="H1756" s="10" t="s">
        <v>322</v>
      </c>
      <c r="I1756" s="10" t="s">
        <v>235</v>
      </c>
      <c r="J1756" s="10">
        <v>27</v>
      </c>
      <c r="K1756" s="12">
        <v>44958</v>
      </c>
      <c r="L1756" s="33">
        <v>0.68737268518518524</v>
      </c>
      <c r="M1756" s="10">
        <v>1</v>
      </c>
      <c r="N1756" s="10" t="s">
        <v>196</v>
      </c>
      <c r="O1756" s="10">
        <v>9.36</v>
      </c>
      <c r="P1756" s="10">
        <v>0.46100000000000002</v>
      </c>
      <c r="Q1756" s="10">
        <v>1590</v>
      </c>
      <c r="R1756" s="10" t="s">
        <v>170</v>
      </c>
      <c r="S1756" s="34">
        <f t="shared" si="198"/>
        <v>1701.7627545599998</v>
      </c>
      <c r="T1756" s="10" t="s">
        <v>1123</v>
      </c>
      <c r="U1756" s="34" t="str">
        <f t="shared" si="199"/>
        <v/>
      </c>
      <c r="V1756" s="31" t="str">
        <f>IF(H1756="CHK",VLOOKUP(I1756,QCCHK,3,),IF(H1756="GUP",VLOOKUP(E1756,QCGUP,2,),IF(AND(H1756="ATP",OR(I1756="TN",I1756="TDN",I1756="TNO2-3",I1756="NO2-3")),VLOOKUP(E1756,QCREC_N,2,),IF(AND(H1756="NIC",OR(I1756="TN",I1756="TDN",I1756="TNO2-3",I1756="NO2-3")),VLOOKUP(E1756,QCNIC_N,2,),IF(AND(H1756="UREA",OR(I1756="TN",I1756="TDN",I1756="TNO2-3",I1756="NO2-3")),VLOOKUP(E1756,QCUREA_N,2,),IF(H1756="PER",VLOOKUP(I1756,QCPER,MATCH(E1756,QCACTUAL!$J$25:$AA$25,0),),IF(H1756="SPK",VLOOKUP(I1756,QCSPK,3,),IF(AND(H1756="ATP",OR(I1756="TP",I1756="TDP")),VLOOKUP(E1756,QCATP_P,2,),""))))))))</f>
        <v/>
      </c>
      <c r="W1756" s="31" t="str">
        <f t="shared" si="200"/>
        <v>TRUE</v>
      </c>
      <c r="X1756" s="31" t="str">
        <f t="shared" si="197"/>
        <v/>
      </c>
      <c r="Y1756" s="10" t="s">
        <v>1116</v>
      </c>
      <c r="Z1756" s="10" t="s">
        <v>910</v>
      </c>
      <c r="AF1756" s="12">
        <v>44958</v>
      </c>
      <c r="AJ1756" s="10">
        <f>0.9631*9.36^2+173.03*9.36-74.605</f>
        <v>1629.33260576</v>
      </c>
      <c r="AK1756" s="10">
        <f>-1.0839*9.36^2+204.73*9.36-119.55</f>
        <v>1701.7627545599998</v>
      </c>
      <c r="AL1756" s="10" t="str">
        <f t="shared" si="195"/>
        <v>FALSE</v>
      </c>
      <c r="AM1756" s="10" t="str">
        <f t="shared" si="195"/>
        <v>FALSE</v>
      </c>
      <c r="AN1756" s="10" t="str">
        <f t="shared" si="195"/>
        <v>FALSE</v>
      </c>
      <c r="AO1756" s="10" t="str">
        <f t="shared" si="196"/>
        <v>y=0.9631*9.36^2+173.03*9.36-74.605</v>
      </c>
      <c r="AP1756" s="10" t="str">
        <f t="shared" si="196"/>
        <v>y=-1.0839*9.36^2+204.73*9.36-119.55</v>
      </c>
      <c r="AQ1756" s="10" t="b">
        <f>IF(AND(I1756="TP",S1756&lt;=150),VLOOKUP(AF1756,TPCalibEq150!$AZ$2:$BB$55,3,),IF(AND(I1756="TDP",S1756&lt;=150),VLOOKUP(AF1756,TPCalibEq150!$AZ$2:$BB$55,3,)))</f>
        <v>0</v>
      </c>
      <c r="AR1756" s="10" t="b">
        <f>IF(AND(I1756="TP",S1756&lt;=300),VLOOKUP(AF1756,TPCalibEq300!$AZ$2:$BB$55,3,),IF(AND(I1756="TDP",S1756&lt;=300),VLOOKUP(AF1756,TPCalibEq300!$AZ$2:$BB$55,3,)))</f>
        <v>0</v>
      </c>
      <c r="AS1756" s="10" t="b">
        <f>IF(AND(I1756="TP",S1756&lt;=500),VLOOKUP(AF1756,TPCalibEq500!$AZ$2:$BB$56,3,),IF(AND(I1756="TDP",S1756&lt;=500),VLOOKUP(AF1756,TPCalibEq500!$AZ$2:$BB$56,3,)))</f>
        <v>0</v>
      </c>
      <c r="AT1756" s="10" t="str">
        <f>IF(AND(I1756="TN",S1756&lt;=2800),VLOOKUP(AF1756,TNCalibEq2500!$AZ$2:$BB$56,3,),IF(AND(I1756="TDN",S1756&lt;=2800),VLOOKUP(AF1756,TNCalibEq2500!$AZ$2:$BB$56,3,)))</f>
        <v>y=0.9631x2+173.03x-74.605</v>
      </c>
      <c r="AU1756" s="10" t="str">
        <f>IF(I1756="TP",VLOOKUP(AF1756,TPCalibEqFull!$AZ$2:$BB$56,3),IF(I1756="TDP",VLOOKUP(AF1756,TPCalibEqFull!$AZ$2:$BB$56,3),IF(I1756="TDN",VLOOKUP(AF1756,TNCalibEqFull!$AZ$1:$BB$56,3),IF(I1756="TN",VLOOKUP(AF1756,TNCalibEqFull!$AZ$1:$BB$56,3),FALSE))))</f>
        <v>y=-1.0839x2+204.73x-119.55</v>
      </c>
      <c r="AV1756" s="10" t="str">
        <f t="shared" si="201"/>
        <v>0123 12:36:00-EAW-0-C-1-SW-UKN</v>
      </c>
    </row>
    <row r="1757" spans="1:48" s="10" customFormat="1" x14ac:dyDescent="0.55000000000000004">
      <c r="A1757" s="32">
        <v>44949</v>
      </c>
      <c r="B1757" s="33">
        <v>0.52916666666666667</v>
      </c>
      <c r="C1757" s="10" t="s">
        <v>310</v>
      </c>
      <c r="D1757" s="10">
        <v>0</v>
      </c>
      <c r="E1757" s="10" t="s">
        <v>190</v>
      </c>
      <c r="F1757" s="10">
        <v>1</v>
      </c>
      <c r="G1757" s="10" t="s">
        <v>231</v>
      </c>
      <c r="H1757" s="10" t="s">
        <v>322</v>
      </c>
      <c r="I1757" s="10" t="s">
        <v>235</v>
      </c>
      <c r="J1757" s="10">
        <v>28</v>
      </c>
      <c r="K1757" s="12">
        <v>44958</v>
      </c>
      <c r="L1757" s="33">
        <v>0.68803240740740745</v>
      </c>
      <c r="M1757" s="10">
        <v>1</v>
      </c>
      <c r="N1757" s="10" t="s">
        <v>196</v>
      </c>
      <c r="O1757" s="10">
        <v>9.5299999999999994</v>
      </c>
      <c r="P1757" s="10">
        <v>0.47099999999999997</v>
      </c>
      <c r="Q1757" s="10">
        <v>1620</v>
      </c>
      <c r="R1757" s="10" t="s">
        <v>170</v>
      </c>
      <c r="S1757" s="34">
        <f t="shared" si="198"/>
        <v>1733.0861264899997</v>
      </c>
      <c r="T1757" s="10" t="s">
        <v>1123</v>
      </c>
      <c r="U1757" s="34" t="str">
        <f t="shared" si="199"/>
        <v/>
      </c>
      <c r="V1757" s="31" t="str">
        <f>IF(H1757="CHK",VLOOKUP(I1757,QCCHK,3,),IF(H1757="GUP",VLOOKUP(E1757,QCGUP,2,),IF(AND(H1757="ATP",OR(I1757="TN",I1757="TDN",I1757="TNO2-3",I1757="NO2-3")),VLOOKUP(E1757,QCREC_N,2,),IF(AND(H1757="NIC",OR(I1757="TN",I1757="TDN",I1757="TNO2-3",I1757="NO2-3")),VLOOKUP(E1757,QCNIC_N,2,),IF(AND(H1757="UREA",OR(I1757="TN",I1757="TDN",I1757="TNO2-3",I1757="NO2-3")),VLOOKUP(E1757,QCUREA_N,2,),IF(H1757="PER",VLOOKUP(I1757,QCPER,MATCH(E1757,QCACTUAL!$J$25:$AA$25,0),),IF(H1757="SPK",VLOOKUP(I1757,QCSPK,3,),IF(AND(H1757="ATP",OR(I1757="TP",I1757="TDP")),VLOOKUP(E1757,QCATP_P,2,),""))))))))</f>
        <v/>
      </c>
      <c r="W1757" s="31" t="str">
        <f t="shared" si="200"/>
        <v>TRUE</v>
      </c>
      <c r="X1757" s="31" t="str">
        <f t="shared" si="197"/>
        <v/>
      </c>
      <c r="Y1757" s="10" t="s">
        <v>1116</v>
      </c>
      <c r="Z1757" s="10" t="s">
        <v>910</v>
      </c>
      <c r="AF1757" s="12">
        <v>44958</v>
      </c>
      <c r="AJ1757" s="10">
        <f>0.9631*9.53^2+173.03*9.53-74.605</f>
        <v>1661.8405087899998</v>
      </c>
      <c r="AK1757" s="10">
        <f>-1.0839*9.53^2+204.73*9.53-119.55</f>
        <v>1733.0861264899997</v>
      </c>
      <c r="AL1757" s="10" t="str">
        <f t="shared" si="195"/>
        <v>FALSE</v>
      </c>
      <c r="AM1757" s="10" t="str">
        <f t="shared" si="195"/>
        <v>FALSE</v>
      </c>
      <c r="AN1757" s="10" t="str">
        <f t="shared" si="195"/>
        <v>FALSE</v>
      </c>
      <c r="AO1757" s="10" t="str">
        <f t="shared" si="196"/>
        <v>y=0.9631*9.53^2+173.03*9.53-74.605</v>
      </c>
      <c r="AP1757" s="10" t="str">
        <f t="shared" si="196"/>
        <v>y=-1.0839*9.53^2+204.73*9.53-119.55</v>
      </c>
      <c r="AQ1757" s="10" t="b">
        <f>IF(AND(I1757="TP",S1757&lt;=150),VLOOKUP(AF1757,TPCalibEq150!$AZ$2:$BB$55,3,),IF(AND(I1757="TDP",S1757&lt;=150),VLOOKUP(AF1757,TPCalibEq150!$AZ$2:$BB$55,3,)))</f>
        <v>0</v>
      </c>
      <c r="AR1757" s="10" t="b">
        <f>IF(AND(I1757="TP",S1757&lt;=300),VLOOKUP(AF1757,TPCalibEq300!$AZ$2:$BB$55,3,),IF(AND(I1757="TDP",S1757&lt;=300),VLOOKUP(AF1757,TPCalibEq300!$AZ$2:$BB$55,3,)))</f>
        <v>0</v>
      </c>
      <c r="AS1757" s="10" t="b">
        <f>IF(AND(I1757="TP",S1757&lt;=500),VLOOKUP(AF1757,TPCalibEq500!$AZ$2:$BB$56,3,),IF(AND(I1757="TDP",S1757&lt;=500),VLOOKUP(AF1757,TPCalibEq500!$AZ$2:$BB$56,3,)))</f>
        <v>0</v>
      </c>
      <c r="AT1757" s="10" t="str">
        <f>IF(AND(I1757="TN",S1757&lt;=2800),VLOOKUP(AF1757,TNCalibEq2500!$AZ$2:$BB$56,3,),IF(AND(I1757="TDN",S1757&lt;=2800),VLOOKUP(AF1757,TNCalibEq2500!$AZ$2:$BB$56,3,)))</f>
        <v>y=0.9631x2+173.03x-74.605</v>
      </c>
      <c r="AU1757" s="10" t="str">
        <f>IF(I1757="TP",VLOOKUP(AF1757,TPCalibEqFull!$AZ$2:$BB$56,3),IF(I1757="TDP",VLOOKUP(AF1757,TPCalibEqFull!$AZ$2:$BB$56,3),IF(I1757="TDN",VLOOKUP(AF1757,TNCalibEqFull!$AZ$1:$BB$56,3),IF(I1757="TN",VLOOKUP(AF1757,TNCalibEqFull!$AZ$1:$BB$56,3),FALSE))))</f>
        <v>y=-1.0839x2+204.73x-119.55</v>
      </c>
      <c r="AV1757" s="10" t="str">
        <f t="shared" si="201"/>
        <v>0123 12:42:00-ELI-0-C-1-SW-UKN</v>
      </c>
    </row>
    <row r="1758" spans="1:48" s="10" customFormat="1" x14ac:dyDescent="0.55000000000000004">
      <c r="A1758" s="32">
        <v>44949</v>
      </c>
      <c r="B1758" s="33">
        <v>0.52916666666666667</v>
      </c>
      <c r="C1758" s="10" t="s">
        <v>310</v>
      </c>
      <c r="D1758" s="10">
        <v>0</v>
      </c>
      <c r="E1758" s="10" t="s">
        <v>190</v>
      </c>
      <c r="F1758" s="10">
        <v>1</v>
      </c>
      <c r="G1758" s="10" t="s">
        <v>231</v>
      </c>
      <c r="H1758" s="10" t="s">
        <v>233</v>
      </c>
      <c r="I1758" s="10" t="s">
        <v>235</v>
      </c>
      <c r="J1758" s="10">
        <v>28</v>
      </c>
      <c r="K1758" s="12">
        <v>44958</v>
      </c>
      <c r="L1758" s="33">
        <v>0.68870370370370371</v>
      </c>
      <c r="M1758" s="10">
        <v>1</v>
      </c>
      <c r="N1758" s="10" t="s">
        <v>196</v>
      </c>
      <c r="O1758" s="10">
        <v>9.59</v>
      </c>
      <c r="P1758" s="10">
        <v>0.47399999999999998</v>
      </c>
      <c r="Q1758" s="10">
        <v>1630</v>
      </c>
      <c r="R1758" s="10" t="s">
        <v>170</v>
      </c>
      <c r="S1758" s="34">
        <f t="shared" si="198"/>
        <v>1744.1264764099999</v>
      </c>
      <c r="T1758" s="10" t="s">
        <v>1123</v>
      </c>
      <c r="U1758" s="34">
        <f t="shared" si="199"/>
        <v>0.63501149804832102</v>
      </c>
      <c r="V1758" s="31" t="str">
        <f>IF(H1758="CHK",VLOOKUP(I1758,QCCHK,3,),IF(H1758="GUP",VLOOKUP(E1758,QCGUP,2,),IF(AND(H1758="ATP",OR(I1758="TN",I1758="TDN",I1758="TNO2-3",I1758="NO2-3")),VLOOKUP(E1758,QCREC_N,2,),IF(AND(H1758="NIC",OR(I1758="TN",I1758="TDN",I1758="TNO2-3",I1758="NO2-3")),VLOOKUP(E1758,QCNIC_N,2,),IF(AND(H1758="UREA",OR(I1758="TN",I1758="TDN",I1758="TNO2-3",I1758="NO2-3")),VLOOKUP(E1758,QCUREA_N,2,),IF(H1758="PER",VLOOKUP(I1758,QCPER,MATCH(E1758,QCACTUAL!$J$25:$AA$25,0),),IF(H1758="SPK",VLOOKUP(I1758,QCSPK,3,),IF(AND(H1758="ATP",OR(I1758="TP",I1758="TDP")),VLOOKUP(E1758,QCATP_P,2,),""))))))))</f>
        <v/>
      </c>
      <c r="W1758" s="31" t="str">
        <f t="shared" si="200"/>
        <v>TRUE</v>
      </c>
      <c r="X1758" s="31" t="str">
        <f t="shared" si="197"/>
        <v>((ABS(rep1-rep2))/((rep1+rep2)/2)*100</v>
      </c>
      <c r="Y1758" s="10" t="s">
        <v>1116</v>
      </c>
      <c r="Z1758" s="10" t="s">
        <v>910</v>
      </c>
      <c r="AF1758" s="12">
        <v>44958</v>
      </c>
      <c r="AJ1758" s="10">
        <f>0.9631*9.59^2+173.03*9.59-74.605</f>
        <v>1673.3271771100001</v>
      </c>
      <c r="AK1758" s="10">
        <f>-1.0839*9.59^2+204.73*9.59-119.55</f>
        <v>1744.1264764099999</v>
      </c>
      <c r="AL1758" s="10" t="str">
        <f t="shared" si="195"/>
        <v>FALSE</v>
      </c>
      <c r="AM1758" s="10" t="str">
        <f t="shared" si="195"/>
        <v>FALSE</v>
      </c>
      <c r="AN1758" s="10" t="str">
        <f t="shared" si="195"/>
        <v>FALSE</v>
      </c>
      <c r="AO1758" s="10" t="str">
        <f t="shared" si="196"/>
        <v>y=0.9631*9.59^2+173.03*9.59-74.605</v>
      </c>
      <c r="AP1758" s="10" t="str">
        <f t="shared" si="196"/>
        <v>y=-1.0839*9.59^2+204.73*9.59-119.55</v>
      </c>
      <c r="AQ1758" s="10" t="b">
        <f>IF(AND(I1758="TP",S1758&lt;=150),VLOOKUP(AF1758,TPCalibEq150!$AZ$2:$BB$55,3,),IF(AND(I1758="TDP",S1758&lt;=150),VLOOKUP(AF1758,TPCalibEq150!$AZ$2:$BB$55,3,)))</f>
        <v>0</v>
      </c>
      <c r="AR1758" s="10" t="b">
        <f>IF(AND(I1758="TP",S1758&lt;=300),VLOOKUP(AF1758,TPCalibEq300!$AZ$2:$BB$55,3,),IF(AND(I1758="TDP",S1758&lt;=300),VLOOKUP(AF1758,TPCalibEq300!$AZ$2:$BB$55,3,)))</f>
        <v>0</v>
      </c>
      <c r="AS1758" s="10" t="b">
        <f>IF(AND(I1758="TP",S1758&lt;=500),VLOOKUP(AF1758,TPCalibEq500!$AZ$2:$BB$56,3,),IF(AND(I1758="TDP",S1758&lt;=500),VLOOKUP(AF1758,TPCalibEq500!$AZ$2:$BB$56,3,)))</f>
        <v>0</v>
      </c>
      <c r="AT1758" s="10" t="str">
        <f>IF(AND(I1758="TN",S1758&lt;=2800),VLOOKUP(AF1758,TNCalibEq2500!$AZ$2:$BB$56,3,),IF(AND(I1758="TDN",S1758&lt;=2800),VLOOKUP(AF1758,TNCalibEq2500!$AZ$2:$BB$56,3,)))</f>
        <v>y=0.9631x2+173.03x-74.605</v>
      </c>
      <c r="AU1758" s="10" t="str">
        <f>IF(I1758="TP",VLOOKUP(AF1758,TPCalibEqFull!$AZ$2:$BB$56,3),IF(I1758="TDP",VLOOKUP(AF1758,TPCalibEqFull!$AZ$2:$BB$56,3),IF(I1758="TDN",VLOOKUP(AF1758,TNCalibEqFull!$AZ$1:$BB$56,3),IF(I1758="TN",VLOOKUP(AF1758,TNCalibEqFull!$AZ$1:$BB$56,3),FALSE))))</f>
        <v>y=-1.0839x2+204.73x-119.55</v>
      </c>
      <c r="AV1758" s="10" t="str">
        <f t="shared" si="201"/>
        <v>0123 12:42:00-ELI-0-C-1-SW-DUP</v>
      </c>
    </row>
    <row r="1759" spans="1:48" s="10" customFormat="1" x14ac:dyDescent="0.55000000000000004">
      <c r="A1759" s="32">
        <v>44949</v>
      </c>
      <c r="B1759" s="33">
        <v>0.52916666666666667</v>
      </c>
      <c r="C1759" s="10" t="s">
        <v>310</v>
      </c>
      <c r="D1759" s="10">
        <v>0</v>
      </c>
      <c r="E1759" s="10" t="s">
        <v>190</v>
      </c>
      <c r="F1759" s="10">
        <v>1</v>
      </c>
      <c r="G1759" s="10" t="s">
        <v>231</v>
      </c>
      <c r="H1759" s="10" t="s">
        <v>314</v>
      </c>
      <c r="I1759" s="10" t="s">
        <v>235</v>
      </c>
      <c r="J1759" s="10">
        <v>84</v>
      </c>
      <c r="K1759" s="12">
        <v>44958</v>
      </c>
      <c r="L1759" s="33">
        <v>0.68936342592592592</v>
      </c>
      <c r="M1759" s="10">
        <v>1</v>
      </c>
      <c r="N1759" s="10" t="s">
        <v>196</v>
      </c>
      <c r="O1759" s="10">
        <v>27.3</v>
      </c>
      <c r="P1759" s="10">
        <v>1.33</v>
      </c>
      <c r="Q1759" s="10">
        <v>4720</v>
      </c>
      <c r="R1759" s="10" t="s">
        <v>170</v>
      </c>
      <c r="S1759" s="34">
        <f t="shared" si="198"/>
        <v>4720</v>
      </c>
      <c r="T1759" s="10" t="s">
        <v>1123</v>
      </c>
      <c r="U1759" s="34">
        <f t="shared" si="199"/>
        <v>119.03494094360001</v>
      </c>
      <c r="V1759" s="31">
        <f>IF(H1759="CHK",VLOOKUP(I1759,QCCHK,3,),IF(H1759="GUP",VLOOKUP(E1759,QCGUP,2,),IF(AND(H1759="ATP",OR(I1759="TN",I1759="TDN",I1759="TNO2-3",I1759="NO2-3")),VLOOKUP(E1759,QCREC_N,2,),IF(AND(H1759="NIC",OR(I1759="TN",I1759="TDN",I1759="TNO2-3",I1759="NO2-3")),VLOOKUP(E1759,QCNIC_N,2,),IF(AND(H1759="UREA",OR(I1759="TN",I1759="TDN",I1759="TNO2-3",I1759="NO2-3")),VLOOKUP(E1759,QCUREA_N,2,),IF(H1759="PER",VLOOKUP(I1759,QCPER,MATCH(E1759,QCACTUAL!$J$25:$AA$25,0),),IF(H1759="SPK",VLOOKUP(I1759,QCSPK,3,),IF(AND(H1759="ATP",OR(I1759="TP",I1759="TDP")),VLOOKUP(E1759,QCATP_P,2,),""))))))))</f>
        <v>2500</v>
      </c>
      <c r="W1759" s="31" t="str">
        <f t="shared" si="200"/>
        <v>TRUE</v>
      </c>
      <c r="X1759" s="31" t="str">
        <f t="shared" si="197"/>
        <v>([spikedunkn]-[unkn])/[spike]*100</v>
      </c>
      <c r="Y1759" s="10" t="s">
        <v>1116</v>
      </c>
      <c r="Z1759" s="10" t="s">
        <v>910</v>
      </c>
      <c r="AF1759" s="12">
        <v>44958</v>
      </c>
      <c r="AK1759" s="10">
        <f>-1.0839*27.3^2+204.73*27.3-119.55</f>
        <v>4661.7591689999999</v>
      </c>
      <c r="AL1759" s="10" t="str">
        <f t="shared" si="195"/>
        <v>FALSE</v>
      </c>
      <c r="AM1759" s="10" t="str">
        <f t="shared" si="195"/>
        <v>FALSE</v>
      </c>
      <c r="AN1759" s="10" t="str">
        <f t="shared" si="195"/>
        <v>FALSE</v>
      </c>
      <c r="AO1759" s="10" t="str">
        <f t="shared" si="196"/>
        <v>FALSE</v>
      </c>
      <c r="AP1759" s="10" t="str">
        <f t="shared" si="196"/>
        <v>y=-1.0839*27.3^2+204.73*27.3-119.55</v>
      </c>
      <c r="AQ1759" s="10" t="b">
        <f>IF(AND(I1759="TP",S1759&lt;=150),VLOOKUP(AF1759,TPCalibEq150!$AZ$2:$BB$55,3,),IF(AND(I1759="TDP",S1759&lt;=150),VLOOKUP(AF1759,TPCalibEq150!$AZ$2:$BB$55,3,)))</f>
        <v>0</v>
      </c>
      <c r="AR1759" s="10" t="b">
        <f>IF(AND(I1759="TP",S1759&lt;=300),VLOOKUP(AF1759,TPCalibEq300!$AZ$2:$BB$55,3,),IF(AND(I1759="TDP",S1759&lt;=300),VLOOKUP(AF1759,TPCalibEq300!$AZ$2:$BB$55,3,)))</f>
        <v>0</v>
      </c>
      <c r="AS1759" s="10" t="b">
        <f>IF(AND(I1759="TP",S1759&lt;=500),VLOOKUP(AF1759,TPCalibEq500!$AZ$2:$BB$56,3,),IF(AND(I1759="TDP",S1759&lt;=500),VLOOKUP(AF1759,TPCalibEq500!$AZ$2:$BB$56,3,)))</f>
        <v>0</v>
      </c>
      <c r="AT1759" s="10" t="b">
        <f>IF(AND(I1759="TN",S1759&lt;=2800),VLOOKUP(AF1759,TNCalibEq2500!$AZ$2:$BB$56,3,),IF(AND(I1759="TDN",S1759&lt;=2800),VLOOKUP(AF1759,TNCalibEq2500!$AZ$2:$BB$56,3,)))</f>
        <v>0</v>
      </c>
      <c r="AU1759" s="10" t="str">
        <f>IF(I1759="TP",VLOOKUP(AF1759,TPCalibEqFull!$AZ$2:$BB$56,3),IF(I1759="TDP",VLOOKUP(AF1759,TPCalibEqFull!$AZ$2:$BB$56,3),IF(I1759="TDN",VLOOKUP(AF1759,TNCalibEqFull!$AZ$1:$BB$56,3),IF(I1759="TN",VLOOKUP(AF1759,TNCalibEqFull!$AZ$1:$BB$56,3),FALSE))))</f>
        <v>y=-1.0839x2+204.73x-119.55</v>
      </c>
      <c r="AV1759" s="10" t="str">
        <f t="shared" si="201"/>
        <v>0123 12:42:00-ELI-0-C-1-SW-SPK</v>
      </c>
    </row>
    <row r="1760" spans="1:48" s="10" customFormat="1" x14ac:dyDescent="0.55000000000000004">
      <c r="A1760" s="32">
        <v>44958</v>
      </c>
      <c r="B1760" s="33">
        <v>0.375</v>
      </c>
      <c r="C1760" s="10" t="s">
        <v>70</v>
      </c>
      <c r="D1760" s="10" t="s">
        <v>71</v>
      </c>
      <c r="E1760" s="10" t="s">
        <v>901</v>
      </c>
      <c r="F1760" s="10">
        <v>1</v>
      </c>
      <c r="G1760" s="10" t="s">
        <v>73</v>
      </c>
      <c r="H1760" s="10" t="s">
        <v>207</v>
      </c>
      <c r="I1760" s="10" t="s">
        <v>235</v>
      </c>
      <c r="J1760" s="10">
        <v>218</v>
      </c>
      <c r="K1760" s="12">
        <v>44958</v>
      </c>
      <c r="L1760" s="33">
        <v>0.69004629629629621</v>
      </c>
      <c r="M1760" s="10">
        <v>1</v>
      </c>
      <c r="N1760" s="10" t="s">
        <v>196</v>
      </c>
      <c r="O1760" s="10">
        <v>7.22</v>
      </c>
      <c r="P1760" s="10">
        <v>0.35899999999999999</v>
      </c>
      <c r="Q1760" s="10">
        <v>1220</v>
      </c>
      <c r="R1760" s="10" t="s">
        <v>170</v>
      </c>
      <c r="S1760" s="34">
        <f t="shared" si="198"/>
        <v>1302.09862724</v>
      </c>
      <c r="T1760" s="10" t="s">
        <v>1123</v>
      </c>
      <c r="U1760" s="34">
        <f t="shared" si="199"/>
        <v>104.1678901792</v>
      </c>
      <c r="V1760" s="31">
        <f>IF(H1760="CHK",VLOOKUP(I1760,QCCHK,3,),IF(H1760="GUP",VLOOKUP(E1760,QCGUP,2,),IF(AND(H1760="ATP",OR(I1760="TN",I1760="TDN",I1760="TNO2-3",I1760="NO2-3")),VLOOKUP(E1760,QCREC_N,2,),IF(AND(H1760="NIC",OR(I1760="TN",I1760="TDN",I1760="TNO2-3",I1760="NO2-3")),VLOOKUP(E1760,QCNIC_N,2,),IF(AND(H1760="UREA",OR(I1760="TN",I1760="TDN",I1760="TNO2-3",I1760="NO2-3")),VLOOKUP(E1760,QCUREA_N,2,),IF(H1760="PER",VLOOKUP(I1760,QCPER,MATCH(E1760,QCACTUAL!$J$25:$AA$25,0),),IF(H1760="SPK",VLOOKUP(I1760,QCSPK,3,),IF(AND(H1760="ATP",OR(I1760="TP",I1760="TDP")),VLOOKUP(E1760,QCATP_P,2,),""))))))))</f>
        <v>1250</v>
      </c>
      <c r="W1760" s="31" t="str">
        <f t="shared" si="200"/>
        <v>TRUE</v>
      </c>
      <c r="X1760" s="31" t="str">
        <f t="shared" si="197"/>
        <v>[chk]/[actual]*100</v>
      </c>
      <c r="Y1760" s="10" t="s">
        <v>1116</v>
      </c>
      <c r="AF1760" s="12">
        <v>44958</v>
      </c>
      <c r="AJ1760" s="10">
        <f>0.9631*7.22^2+173.03*7.22-74.605</f>
        <v>1224.87646204</v>
      </c>
      <c r="AK1760" s="10">
        <f>-1.0839*7.22^2+204.73*7.22-119.55</f>
        <v>1302.09862724</v>
      </c>
      <c r="AL1760" s="10" t="str">
        <f t="shared" si="195"/>
        <v>FALSE</v>
      </c>
      <c r="AM1760" s="10" t="str">
        <f t="shared" si="195"/>
        <v>FALSE</v>
      </c>
      <c r="AN1760" s="10" t="str">
        <f t="shared" si="195"/>
        <v>FALSE</v>
      </c>
      <c r="AO1760" s="10" t="str">
        <f t="shared" si="196"/>
        <v>y=0.9631*7.22^2+173.03*7.22-74.605</v>
      </c>
      <c r="AP1760" s="10" t="str">
        <f t="shared" si="196"/>
        <v>y=-1.0839*7.22^2+204.73*7.22-119.55</v>
      </c>
      <c r="AQ1760" s="10" t="b">
        <f>IF(AND(I1760="TP",S1760&lt;=150),VLOOKUP(AF1760,TPCalibEq150!$AZ$2:$BB$55,3,),IF(AND(I1760="TDP",S1760&lt;=150),VLOOKUP(AF1760,TPCalibEq150!$AZ$2:$BB$55,3,)))</f>
        <v>0</v>
      </c>
      <c r="AR1760" s="10" t="b">
        <f>IF(AND(I1760="TP",S1760&lt;=300),VLOOKUP(AF1760,TPCalibEq300!$AZ$2:$BB$55,3,),IF(AND(I1760="TDP",S1760&lt;=300),VLOOKUP(AF1760,TPCalibEq300!$AZ$2:$BB$55,3,)))</f>
        <v>0</v>
      </c>
      <c r="AS1760" s="10" t="b">
        <f>IF(AND(I1760="TP",S1760&lt;=500),VLOOKUP(AF1760,TPCalibEq500!$AZ$2:$BB$56,3,),IF(AND(I1760="TDP",S1760&lt;=500),VLOOKUP(AF1760,TPCalibEq500!$AZ$2:$BB$56,3,)))</f>
        <v>0</v>
      </c>
      <c r="AT1760" s="10" t="str">
        <f>IF(AND(I1760="TN",S1760&lt;=2800),VLOOKUP(AF1760,TNCalibEq2500!$AZ$2:$BB$56,3,),IF(AND(I1760="TDN",S1760&lt;=2800),VLOOKUP(AF1760,TNCalibEq2500!$AZ$2:$BB$56,3,)))</f>
        <v>y=0.9631x2+173.03x-74.605</v>
      </c>
      <c r="AU1760" s="10" t="str">
        <f>IF(I1760="TP",VLOOKUP(AF1760,TPCalibEqFull!$AZ$2:$BB$56,3),IF(I1760="TDP",VLOOKUP(AF1760,TPCalibEqFull!$AZ$2:$BB$56,3),IF(I1760="TDN",VLOOKUP(AF1760,TNCalibEqFull!$AZ$1:$BB$56,3),IF(I1760="TN",VLOOKUP(AF1760,TNCalibEqFull!$AZ$1:$BB$56,3),FALSE))))</f>
        <v>y=-1.0839x2+204.73x-119.55</v>
      </c>
      <c r="AV1760" s="10" t="str">
        <f t="shared" si="201"/>
        <v>0201 09:00:00-QAC-STD-D-1-DI-CHK</v>
      </c>
    </row>
    <row r="1761" spans="1:48" s="10" customFormat="1" x14ac:dyDescent="0.55000000000000004">
      <c r="A1761" s="32">
        <v>44956</v>
      </c>
      <c r="B1761" s="33">
        <v>0.35972222222222222</v>
      </c>
      <c r="C1761" s="10" t="s">
        <v>998</v>
      </c>
      <c r="D1761" s="10">
        <v>0</v>
      </c>
      <c r="E1761" s="10" t="s">
        <v>190</v>
      </c>
      <c r="F1761" s="10">
        <v>1</v>
      </c>
      <c r="G1761" s="10" t="s">
        <v>231</v>
      </c>
      <c r="H1761" s="10" t="s">
        <v>322</v>
      </c>
      <c r="I1761" s="10" t="s">
        <v>235</v>
      </c>
      <c r="J1761" s="10">
        <v>29</v>
      </c>
      <c r="K1761" s="12">
        <v>44958</v>
      </c>
      <c r="L1761" s="33">
        <v>0.69070601851851843</v>
      </c>
      <c r="M1761" s="10">
        <v>1</v>
      </c>
      <c r="N1761" s="10" t="s">
        <v>196</v>
      </c>
      <c r="O1761" s="10">
        <v>9.2899999999999991</v>
      </c>
      <c r="P1761" s="10">
        <v>0.45800000000000002</v>
      </c>
      <c r="Q1761" s="10">
        <v>1580</v>
      </c>
      <c r="R1761" s="10" t="s">
        <v>170</v>
      </c>
      <c r="S1761" s="34">
        <f t="shared" si="198"/>
        <v>1688.8466860099998</v>
      </c>
      <c r="T1761" s="10" t="s">
        <v>1123</v>
      </c>
      <c r="U1761" s="34" t="str">
        <f t="shared" si="199"/>
        <v/>
      </c>
      <c r="V1761" s="31" t="str">
        <f>IF(H1761="CHK",VLOOKUP(I1761,QCCHK,3,),IF(H1761="GUP",VLOOKUP(E1761,QCGUP,2,),IF(AND(H1761="ATP",OR(I1761="TN",I1761="TDN",I1761="TNO2-3",I1761="NO2-3")),VLOOKUP(E1761,QCREC_N,2,),IF(AND(H1761="NIC",OR(I1761="TN",I1761="TDN",I1761="TNO2-3",I1761="NO2-3")),VLOOKUP(E1761,QCNIC_N,2,),IF(AND(H1761="UREA",OR(I1761="TN",I1761="TDN",I1761="TNO2-3",I1761="NO2-3")),VLOOKUP(E1761,QCUREA_N,2,),IF(H1761="PER",VLOOKUP(I1761,QCPER,MATCH(E1761,QCACTUAL!$J$25:$AA$25,0),),IF(H1761="SPK",VLOOKUP(I1761,QCSPK,3,),IF(AND(H1761="ATP",OR(I1761="TP",I1761="TDP")),VLOOKUP(E1761,QCATP_P,2,),""))))))))</f>
        <v/>
      </c>
      <c r="W1761" s="31" t="str">
        <f t="shared" si="200"/>
        <v>TRUE</v>
      </c>
      <c r="X1761" s="31" t="str">
        <f t="shared" si="197"/>
        <v/>
      </c>
      <c r="Y1761" s="10" t="s">
        <v>1116</v>
      </c>
      <c r="Z1761" s="10" t="s">
        <v>910</v>
      </c>
      <c r="AF1761" s="12">
        <v>44958</v>
      </c>
      <c r="AJ1761" s="10">
        <f>0.9631*9.29^2+173.03*9.29-74.605</f>
        <v>1615.96317871</v>
      </c>
      <c r="AK1761" s="10">
        <f>-1.0839*9.29^2+204.73*9.29-119.55</f>
        <v>1688.8466860099998</v>
      </c>
      <c r="AL1761" s="10" t="str">
        <f t="shared" ref="AL1761:AN1824" si="202">IF($O1761="", "", IF(AQ1761&lt;&gt;"", SUBSTITUTE(SUBSTITUTE(AQ1761, "x", "*"&amp;$O1761&amp;"^", 1), "x", "*"&amp;$O1761, 1), ""))</f>
        <v>FALSE</v>
      </c>
      <c r="AM1761" s="10" t="str">
        <f t="shared" si="202"/>
        <v>FALSE</v>
      </c>
      <c r="AN1761" s="10" t="str">
        <f t="shared" si="202"/>
        <v>FALSE</v>
      </c>
      <c r="AO1761" s="10" t="str">
        <f t="shared" ref="AO1761:AP1824" si="203">IF($O1761="", "FALSE", IF(AT1761&lt;&gt;"FALSE", SUBSTITUTE(SUBSTITUTE(AT1761, "x", "*"&amp;$O1761&amp;"^", 1), "x", "*"&amp;$O1761, 1), ""))</f>
        <v>y=0.9631*9.29^2+173.03*9.29-74.605</v>
      </c>
      <c r="AP1761" s="10" t="str">
        <f t="shared" si="203"/>
        <v>y=-1.0839*9.29^2+204.73*9.29-119.55</v>
      </c>
      <c r="AQ1761" s="10" t="b">
        <f>IF(AND(I1761="TP",S1761&lt;=150),VLOOKUP(AF1761,TPCalibEq150!$AZ$2:$BB$55,3,),IF(AND(I1761="TDP",S1761&lt;=150),VLOOKUP(AF1761,TPCalibEq150!$AZ$2:$BB$55,3,)))</f>
        <v>0</v>
      </c>
      <c r="AR1761" s="10" t="b">
        <f>IF(AND(I1761="TP",S1761&lt;=300),VLOOKUP(AF1761,TPCalibEq300!$AZ$2:$BB$55,3,),IF(AND(I1761="TDP",S1761&lt;=300),VLOOKUP(AF1761,TPCalibEq300!$AZ$2:$BB$55,3,)))</f>
        <v>0</v>
      </c>
      <c r="AS1761" s="10" t="b">
        <f>IF(AND(I1761="TP",S1761&lt;=500),VLOOKUP(AF1761,TPCalibEq500!$AZ$2:$BB$56,3,),IF(AND(I1761="TDP",S1761&lt;=500),VLOOKUP(AF1761,TPCalibEq500!$AZ$2:$BB$56,3,)))</f>
        <v>0</v>
      </c>
      <c r="AT1761" s="10" t="str">
        <f>IF(AND(I1761="TN",S1761&lt;=2800),VLOOKUP(AF1761,TNCalibEq2500!$AZ$2:$BB$56,3,),IF(AND(I1761="TDN",S1761&lt;=2800),VLOOKUP(AF1761,TNCalibEq2500!$AZ$2:$BB$56,3,)))</f>
        <v>y=0.9631x2+173.03x-74.605</v>
      </c>
      <c r="AU1761" s="10" t="str">
        <f>IF(I1761="TP",VLOOKUP(AF1761,TPCalibEqFull!$AZ$2:$BB$56,3),IF(I1761="TDP",VLOOKUP(AF1761,TPCalibEqFull!$AZ$2:$BB$56,3),IF(I1761="TDN",VLOOKUP(AF1761,TNCalibEqFull!$AZ$1:$BB$56,3),IF(I1761="TN",VLOOKUP(AF1761,TNCalibEqFull!$AZ$1:$BB$56,3),FALSE))))</f>
        <v>y=-1.0839x2+204.73x-119.55</v>
      </c>
      <c r="AV1761" s="10" t="str">
        <f t="shared" si="201"/>
        <v>0130 08:38:00-ELW-0-C-1-SW-UKN</v>
      </c>
    </row>
    <row r="1762" spans="1:48" s="10" customFormat="1" x14ac:dyDescent="0.55000000000000004">
      <c r="A1762" s="32">
        <v>44956</v>
      </c>
      <c r="B1762" s="33">
        <v>0.38055555555555554</v>
      </c>
      <c r="C1762" s="10" t="s">
        <v>357</v>
      </c>
      <c r="D1762" s="10">
        <v>0</v>
      </c>
      <c r="E1762" s="10" t="s">
        <v>190</v>
      </c>
      <c r="F1762" s="10">
        <v>1</v>
      </c>
      <c r="G1762" s="10" t="s">
        <v>231</v>
      </c>
      <c r="H1762" s="10" t="s">
        <v>322</v>
      </c>
      <c r="I1762" s="10" t="s">
        <v>235</v>
      </c>
      <c r="J1762" s="10">
        <v>30</v>
      </c>
      <c r="K1762" s="12">
        <v>44958</v>
      </c>
      <c r="L1762" s="33">
        <v>0.69136574074074064</v>
      </c>
      <c r="M1762" s="10">
        <v>1</v>
      </c>
      <c r="N1762" s="10" t="s">
        <v>196</v>
      </c>
      <c r="O1762" s="10">
        <v>5.41</v>
      </c>
      <c r="P1762" s="10">
        <v>0.26600000000000001</v>
      </c>
      <c r="Q1762" s="10">
        <v>903</v>
      </c>
      <c r="R1762" s="10" t="s">
        <v>170</v>
      </c>
      <c r="S1762" s="34">
        <f t="shared" si="198"/>
        <v>956.31560640999987</v>
      </c>
      <c r="T1762" s="10" t="s">
        <v>1123</v>
      </c>
      <c r="U1762" s="34" t="str">
        <f t="shared" si="199"/>
        <v/>
      </c>
      <c r="V1762" s="31" t="str">
        <f>IF(H1762="CHK",VLOOKUP(I1762,QCCHK,3,),IF(H1762="GUP",VLOOKUP(E1762,QCGUP,2,),IF(AND(H1762="ATP",OR(I1762="TN",I1762="TDN",I1762="TNO2-3",I1762="NO2-3")),VLOOKUP(E1762,QCREC_N,2,),IF(AND(H1762="NIC",OR(I1762="TN",I1762="TDN",I1762="TNO2-3",I1762="NO2-3")),VLOOKUP(E1762,QCNIC_N,2,),IF(AND(H1762="UREA",OR(I1762="TN",I1762="TDN",I1762="TNO2-3",I1762="NO2-3")),VLOOKUP(E1762,QCUREA_N,2,),IF(H1762="PER",VLOOKUP(I1762,QCPER,MATCH(E1762,QCACTUAL!$J$25:$AA$25,0),),IF(H1762="SPK",VLOOKUP(I1762,QCSPK,3,),IF(AND(H1762="ATP",OR(I1762="TP",I1762="TDP")),VLOOKUP(E1762,QCATP_P,2,),""))))))))</f>
        <v/>
      </c>
      <c r="W1762" s="31" t="str">
        <f t="shared" si="200"/>
        <v>TRUE</v>
      </c>
      <c r="X1762" s="31" t="str">
        <f t="shared" si="197"/>
        <v/>
      </c>
      <c r="Y1762" s="10" t="s">
        <v>1116</v>
      </c>
      <c r="Z1762" s="10" t="s">
        <v>910</v>
      </c>
      <c r="AF1762" s="12">
        <v>44958</v>
      </c>
      <c r="AJ1762" s="10">
        <f>0.9631*5.41^2+173.03*5.41-74.605</f>
        <v>889.67540711000004</v>
      </c>
      <c r="AK1762" s="10">
        <f>-1.0839*5.41^2+204.73*5.41-119.55</f>
        <v>956.31560640999987</v>
      </c>
      <c r="AL1762" s="10" t="str">
        <f t="shared" si="202"/>
        <v>FALSE</v>
      </c>
      <c r="AM1762" s="10" t="str">
        <f t="shared" si="202"/>
        <v>FALSE</v>
      </c>
      <c r="AN1762" s="10" t="str">
        <f t="shared" si="202"/>
        <v>FALSE</v>
      </c>
      <c r="AO1762" s="10" t="str">
        <f t="shared" si="203"/>
        <v>y=0.9631*5.41^2+173.03*5.41-74.605</v>
      </c>
      <c r="AP1762" s="10" t="str">
        <f t="shared" si="203"/>
        <v>y=-1.0839*5.41^2+204.73*5.41-119.55</v>
      </c>
      <c r="AQ1762" s="10" t="b">
        <f>IF(AND(I1762="TP",S1762&lt;=150),VLOOKUP(AF1762,TPCalibEq150!$AZ$2:$BB$55,3,),IF(AND(I1762="TDP",S1762&lt;=150),VLOOKUP(AF1762,TPCalibEq150!$AZ$2:$BB$55,3,)))</f>
        <v>0</v>
      </c>
      <c r="AR1762" s="10" t="b">
        <f>IF(AND(I1762="TP",S1762&lt;=300),VLOOKUP(AF1762,TPCalibEq300!$AZ$2:$BB$55,3,),IF(AND(I1762="TDP",S1762&lt;=300),VLOOKUP(AF1762,TPCalibEq300!$AZ$2:$BB$55,3,)))</f>
        <v>0</v>
      </c>
      <c r="AS1762" s="10" t="b">
        <f>IF(AND(I1762="TP",S1762&lt;=500),VLOOKUP(AF1762,TPCalibEq500!$AZ$2:$BB$56,3,),IF(AND(I1762="TDP",S1762&lt;=500),VLOOKUP(AF1762,TPCalibEq500!$AZ$2:$BB$56,3,)))</f>
        <v>0</v>
      </c>
      <c r="AT1762" s="10" t="str">
        <f>IF(AND(I1762="TN",S1762&lt;=2800),VLOOKUP(AF1762,TNCalibEq2500!$AZ$2:$BB$56,3,),IF(AND(I1762="TDN",S1762&lt;=2800),VLOOKUP(AF1762,TNCalibEq2500!$AZ$2:$BB$56,3,)))</f>
        <v>y=0.9631x2+173.03x-74.605</v>
      </c>
      <c r="AU1762" s="10" t="str">
        <f>IF(I1762="TP",VLOOKUP(AF1762,TPCalibEqFull!$AZ$2:$BB$56,3),IF(I1762="TDP",VLOOKUP(AF1762,TPCalibEqFull!$AZ$2:$BB$56,3),IF(I1762="TDN",VLOOKUP(AF1762,TNCalibEqFull!$AZ$1:$BB$56,3),IF(I1762="TN",VLOOKUP(AF1762,TNCalibEqFull!$AZ$1:$BB$56,3),FALSE))))</f>
        <v>y=-1.0839x2+204.73x-119.55</v>
      </c>
      <c r="AV1762" s="10" t="str">
        <f t="shared" si="201"/>
        <v>0130 09:08:00-STC-0-C-1-SW-UKN</v>
      </c>
    </row>
    <row r="1763" spans="1:48" s="10" customFormat="1" x14ac:dyDescent="0.55000000000000004">
      <c r="A1763" s="32">
        <v>44956</v>
      </c>
      <c r="B1763" s="33">
        <v>0.3972222222222222</v>
      </c>
      <c r="C1763" s="10" t="s">
        <v>999</v>
      </c>
      <c r="D1763" s="10">
        <v>0</v>
      </c>
      <c r="E1763" s="10" t="s">
        <v>190</v>
      </c>
      <c r="F1763" s="10">
        <v>1</v>
      </c>
      <c r="G1763" s="10" t="s">
        <v>231</v>
      </c>
      <c r="H1763" s="10" t="s">
        <v>322</v>
      </c>
      <c r="I1763" s="10" t="s">
        <v>235</v>
      </c>
      <c r="J1763" s="10">
        <v>31</v>
      </c>
      <c r="K1763" s="12">
        <v>44958</v>
      </c>
      <c r="L1763" s="33">
        <v>0.69203703703703701</v>
      </c>
      <c r="M1763" s="10">
        <v>1</v>
      </c>
      <c r="N1763" s="10" t="s">
        <v>196</v>
      </c>
      <c r="O1763" s="10">
        <v>9.83</v>
      </c>
      <c r="P1763" s="10">
        <v>0.48199999999999998</v>
      </c>
      <c r="Q1763" s="10">
        <v>1670</v>
      </c>
      <c r="R1763" s="10" t="s">
        <v>170</v>
      </c>
      <c r="S1763" s="34">
        <f t="shared" si="198"/>
        <v>1788.20983529</v>
      </c>
      <c r="T1763" s="10" t="s">
        <v>1123</v>
      </c>
      <c r="U1763" s="34" t="str">
        <f t="shared" si="199"/>
        <v/>
      </c>
      <c r="V1763" s="31" t="str">
        <f>IF(H1763="CHK",VLOOKUP(I1763,QCCHK,3,),IF(H1763="GUP",VLOOKUP(E1763,QCGUP,2,),IF(AND(H1763="ATP",OR(I1763="TN",I1763="TDN",I1763="TNO2-3",I1763="NO2-3")),VLOOKUP(E1763,QCREC_N,2,),IF(AND(H1763="NIC",OR(I1763="TN",I1763="TDN",I1763="TNO2-3",I1763="NO2-3")),VLOOKUP(E1763,QCNIC_N,2,),IF(AND(H1763="UREA",OR(I1763="TN",I1763="TDN",I1763="TNO2-3",I1763="NO2-3")),VLOOKUP(E1763,QCUREA_N,2,),IF(H1763="PER",VLOOKUP(I1763,QCPER,MATCH(E1763,QCACTUAL!$J$25:$AA$25,0),),IF(H1763="SPK",VLOOKUP(I1763,QCSPK,3,),IF(AND(H1763="ATP",OR(I1763="TP",I1763="TDP")),VLOOKUP(E1763,QCATP_P,2,),""))))))))</f>
        <v/>
      </c>
      <c r="W1763" s="31" t="str">
        <f t="shared" si="200"/>
        <v>TRUE</v>
      </c>
      <c r="X1763" s="31" t="str">
        <f t="shared" si="197"/>
        <v/>
      </c>
      <c r="Y1763" s="10" t="s">
        <v>1116</v>
      </c>
      <c r="Z1763" s="10" t="s">
        <v>910</v>
      </c>
      <c r="AF1763" s="12">
        <v>44958</v>
      </c>
      <c r="AJ1763" s="10">
        <f>0.9631*9.83^2+173.03*9.83-74.605</f>
        <v>1719.3431935900001</v>
      </c>
      <c r="AK1763" s="10">
        <f>-1.0839*9.83^2+204.73*9.83-119.55</f>
        <v>1788.20983529</v>
      </c>
      <c r="AL1763" s="10" t="str">
        <f t="shared" si="202"/>
        <v>FALSE</v>
      </c>
      <c r="AM1763" s="10" t="str">
        <f t="shared" si="202"/>
        <v>FALSE</v>
      </c>
      <c r="AN1763" s="10" t="str">
        <f t="shared" si="202"/>
        <v>FALSE</v>
      </c>
      <c r="AO1763" s="10" t="str">
        <f t="shared" si="203"/>
        <v>y=0.9631*9.83^2+173.03*9.83-74.605</v>
      </c>
      <c r="AP1763" s="10" t="str">
        <f t="shared" si="203"/>
        <v>y=-1.0839*9.83^2+204.73*9.83-119.55</v>
      </c>
      <c r="AQ1763" s="10" t="b">
        <f>IF(AND(I1763="TP",S1763&lt;=150),VLOOKUP(AF1763,TPCalibEq150!$AZ$2:$BB$55,3,),IF(AND(I1763="TDP",S1763&lt;=150),VLOOKUP(AF1763,TPCalibEq150!$AZ$2:$BB$55,3,)))</f>
        <v>0</v>
      </c>
      <c r="AR1763" s="10" t="b">
        <f>IF(AND(I1763="TP",S1763&lt;=300),VLOOKUP(AF1763,TPCalibEq300!$AZ$2:$BB$55,3,),IF(AND(I1763="TDP",S1763&lt;=300),VLOOKUP(AF1763,TPCalibEq300!$AZ$2:$BB$55,3,)))</f>
        <v>0</v>
      </c>
      <c r="AS1763" s="10" t="b">
        <f>IF(AND(I1763="TP",S1763&lt;=500),VLOOKUP(AF1763,TPCalibEq500!$AZ$2:$BB$56,3,),IF(AND(I1763="TDP",S1763&lt;=500),VLOOKUP(AF1763,TPCalibEq500!$AZ$2:$BB$56,3,)))</f>
        <v>0</v>
      </c>
      <c r="AT1763" s="10" t="str">
        <f>IF(AND(I1763="TN",S1763&lt;=2800),VLOOKUP(AF1763,TNCalibEq2500!$AZ$2:$BB$56,3,),IF(AND(I1763="TDN",S1763&lt;=2800),VLOOKUP(AF1763,TNCalibEq2500!$AZ$2:$BB$56,3,)))</f>
        <v>y=0.9631x2+173.03x-74.605</v>
      </c>
      <c r="AU1763" s="10" t="str">
        <f>IF(I1763="TP",VLOOKUP(AF1763,TPCalibEqFull!$AZ$2:$BB$56,3),IF(I1763="TDP",VLOOKUP(AF1763,TPCalibEqFull!$AZ$2:$BB$56,3),IF(I1763="TDN",VLOOKUP(AF1763,TNCalibEqFull!$AZ$1:$BB$56,3),IF(I1763="TN",VLOOKUP(AF1763,TNCalibEqFull!$AZ$1:$BB$56,3),FALSE))))</f>
        <v>y=-1.0839x2+204.73x-119.55</v>
      </c>
      <c r="AV1763" s="10" t="str">
        <f t="shared" si="201"/>
        <v>0130 09:32:00-EAW-0-C-1-SW-UKN</v>
      </c>
    </row>
    <row r="1764" spans="1:48" s="10" customFormat="1" x14ac:dyDescent="0.55000000000000004">
      <c r="A1764" s="32">
        <v>44956</v>
      </c>
      <c r="B1764" s="33">
        <v>0.40486111111111112</v>
      </c>
      <c r="C1764" s="10" t="s">
        <v>310</v>
      </c>
      <c r="D1764" s="10">
        <v>0</v>
      </c>
      <c r="E1764" s="10" t="s">
        <v>190</v>
      </c>
      <c r="F1764" s="10">
        <v>1</v>
      </c>
      <c r="G1764" s="10" t="s">
        <v>231</v>
      </c>
      <c r="H1764" s="10" t="s">
        <v>322</v>
      </c>
      <c r="I1764" s="10" t="s">
        <v>235</v>
      </c>
      <c r="J1764" s="10">
        <v>32</v>
      </c>
      <c r="K1764" s="12">
        <v>44958</v>
      </c>
      <c r="L1764" s="33">
        <v>0.69271990740740741</v>
      </c>
      <c r="M1764" s="10">
        <v>1</v>
      </c>
      <c r="N1764" s="10" t="s">
        <v>196</v>
      </c>
      <c r="O1764" s="10">
        <v>9.8800000000000008</v>
      </c>
      <c r="P1764" s="10">
        <v>0.48599999999999999</v>
      </c>
      <c r="Q1764" s="10">
        <v>1680</v>
      </c>
      <c r="R1764" s="10" t="s">
        <v>170</v>
      </c>
      <c r="S1764" s="34">
        <f t="shared" si="198"/>
        <v>1797.3781518400001</v>
      </c>
      <c r="T1764" s="10" t="s">
        <v>1123</v>
      </c>
      <c r="U1764" s="34" t="str">
        <f t="shared" si="199"/>
        <v/>
      </c>
      <c r="V1764" s="31" t="str">
        <f>IF(H1764="CHK",VLOOKUP(I1764,QCCHK,3,),IF(H1764="GUP",VLOOKUP(E1764,QCGUP,2,),IF(AND(H1764="ATP",OR(I1764="TN",I1764="TDN",I1764="TNO2-3",I1764="NO2-3")),VLOOKUP(E1764,QCREC_N,2,),IF(AND(H1764="NIC",OR(I1764="TN",I1764="TDN",I1764="TNO2-3",I1764="NO2-3")),VLOOKUP(E1764,QCNIC_N,2,),IF(AND(H1764="UREA",OR(I1764="TN",I1764="TDN",I1764="TNO2-3",I1764="NO2-3")),VLOOKUP(E1764,QCUREA_N,2,),IF(H1764="PER",VLOOKUP(I1764,QCPER,MATCH(E1764,QCACTUAL!$J$25:$AA$25,0),),IF(H1764="SPK",VLOOKUP(I1764,QCSPK,3,),IF(AND(H1764="ATP",OR(I1764="TP",I1764="TDP")),VLOOKUP(E1764,QCATP_P,2,),""))))))))</f>
        <v/>
      </c>
      <c r="W1764" s="31" t="str">
        <f t="shared" si="200"/>
        <v>TRUE</v>
      </c>
      <c r="X1764" s="31" t="str">
        <f t="shared" si="197"/>
        <v/>
      </c>
      <c r="Y1764" s="10" t="s">
        <v>1116</v>
      </c>
      <c r="Z1764" s="10" t="s">
        <v>910</v>
      </c>
      <c r="AF1764" s="12">
        <v>44958</v>
      </c>
      <c r="AJ1764" s="10">
        <f>0.9631*9.88^2+173.03*9.88-74.605</f>
        <v>1728.9438286400002</v>
      </c>
      <c r="AK1764" s="10">
        <f>-1.0839*9.88^2+204.73*9.88-119.55</f>
        <v>1797.3781518400001</v>
      </c>
      <c r="AL1764" s="10" t="str">
        <f t="shared" si="202"/>
        <v>FALSE</v>
      </c>
      <c r="AM1764" s="10" t="str">
        <f t="shared" si="202"/>
        <v>FALSE</v>
      </c>
      <c r="AN1764" s="10" t="str">
        <f t="shared" si="202"/>
        <v>FALSE</v>
      </c>
      <c r="AO1764" s="10" t="str">
        <f t="shared" si="203"/>
        <v>y=0.9631*9.88^2+173.03*9.88-74.605</v>
      </c>
      <c r="AP1764" s="10" t="str">
        <f t="shared" si="203"/>
        <v>y=-1.0839*9.88^2+204.73*9.88-119.55</v>
      </c>
      <c r="AQ1764" s="10" t="b">
        <f>IF(AND(I1764="TP",S1764&lt;=150),VLOOKUP(AF1764,TPCalibEq150!$AZ$2:$BB$55,3,),IF(AND(I1764="TDP",S1764&lt;=150),VLOOKUP(AF1764,TPCalibEq150!$AZ$2:$BB$55,3,)))</f>
        <v>0</v>
      </c>
      <c r="AR1764" s="10" t="b">
        <f>IF(AND(I1764="TP",S1764&lt;=300),VLOOKUP(AF1764,TPCalibEq300!$AZ$2:$BB$55,3,),IF(AND(I1764="TDP",S1764&lt;=300),VLOOKUP(AF1764,TPCalibEq300!$AZ$2:$BB$55,3,)))</f>
        <v>0</v>
      </c>
      <c r="AS1764" s="10" t="b">
        <f>IF(AND(I1764="TP",S1764&lt;=500),VLOOKUP(AF1764,TPCalibEq500!$AZ$2:$BB$56,3,),IF(AND(I1764="TDP",S1764&lt;=500),VLOOKUP(AF1764,TPCalibEq500!$AZ$2:$BB$56,3,)))</f>
        <v>0</v>
      </c>
      <c r="AT1764" s="10" t="str">
        <f>IF(AND(I1764="TN",S1764&lt;=2800),VLOOKUP(AF1764,TNCalibEq2500!$AZ$2:$BB$56,3,),IF(AND(I1764="TDN",S1764&lt;=2800),VLOOKUP(AF1764,TNCalibEq2500!$AZ$2:$BB$56,3,)))</f>
        <v>y=0.9631x2+173.03x-74.605</v>
      </c>
      <c r="AU1764" s="10" t="str">
        <f>IF(I1764="TP",VLOOKUP(AF1764,TPCalibEqFull!$AZ$2:$BB$56,3),IF(I1764="TDP",VLOOKUP(AF1764,TPCalibEqFull!$AZ$2:$BB$56,3),IF(I1764="TDN",VLOOKUP(AF1764,TNCalibEqFull!$AZ$1:$BB$56,3),IF(I1764="TN",VLOOKUP(AF1764,TNCalibEqFull!$AZ$1:$BB$56,3),FALSE))))</f>
        <v>y=-1.0839x2+204.73x-119.55</v>
      </c>
      <c r="AV1764" s="10" t="str">
        <f t="shared" si="201"/>
        <v>0130 09:43:00-ELI-0-C-1-SW-UKN</v>
      </c>
    </row>
    <row r="1765" spans="1:48" s="10" customFormat="1" x14ac:dyDescent="0.55000000000000004">
      <c r="A1765" s="32">
        <v>44956</v>
      </c>
      <c r="B1765" s="33">
        <v>0.41597222222222219</v>
      </c>
      <c r="C1765" s="10" t="s">
        <v>408</v>
      </c>
      <c r="D1765" s="10">
        <v>0</v>
      </c>
      <c r="E1765" s="10" t="s">
        <v>190</v>
      </c>
      <c r="F1765" s="10">
        <v>1</v>
      </c>
      <c r="G1765" s="10" t="s">
        <v>231</v>
      </c>
      <c r="H1765" s="10" t="s">
        <v>322</v>
      </c>
      <c r="I1765" s="10" t="s">
        <v>235</v>
      </c>
      <c r="J1765" s="10">
        <v>33</v>
      </c>
      <c r="K1765" s="12">
        <v>44958</v>
      </c>
      <c r="L1765" s="33">
        <v>0.6934027777777777</v>
      </c>
      <c r="M1765" s="10">
        <v>1</v>
      </c>
      <c r="N1765" s="10" t="s">
        <v>196</v>
      </c>
      <c r="O1765" s="10">
        <v>5.01</v>
      </c>
      <c r="P1765" s="10">
        <v>0.247</v>
      </c>
      <c r="Q1765" s="10">
        <v>834</v>
      </c>
      <c r="R1765" s="10" t="s">
        <v>170</v>
      </c>
      <c r="S1765" s="34">
        <f t="shared" si="198"/>
        <v>878.94130160999987</v>
      </c>
      <c r="T1765" s="10" t="s">
        <v>1123</v>
      </c>
      <c r="U1765" s="34" t="str">
        <f t="shared" si="199"/>
        <v/>
      </c>
      <c r="V1765" s="31" t="str">
        <f>IF(H1765="CHK",VLOOKUP(I1765,QCCHK,3,),IF(H1765="GUP",VLOOKUP(E1765,QCGUP,2,),IF(AND(H1765="ATP",OR(I1765="TN",I1765="TDN",I1765="TNO2-3",I1765="NO2-3")),VLOOKUP(E1765,QCREC_N,2,),IF(AND(H1765="NIC",OR(I1765="TN",I1765="TDN",I1765="TNO2-3",I1765="NO2-3")),VLOOKUP(E1765,QCNIC_N,2,),IF(AND(H1765="UREA",OR(I1765="TN",I1765="TDN",I1765="TNO2-3",I1765="NO2-3")),VLOOKUP(E1765,QCUREA_N,2,),IF(H1765="PER",VLOOKUP(I1765,QCPER,MATCH(E1765,QCACTUAL!$J$25:$AA$25,0),),IF(H1765="SPK",VLOOKUP(I1765,QCSPK,3,),IF(AND(H1765="ATP",OR(I1765="TP",I1765="TDP")),VLOOKUP(E1765,QCATP_P,2,),""))))))))</f>
        <v/>
      </c>
      <c r="W1765" s="31" t="str">
        <f t="shared" si="200"/>
        <v>TRUE</v>
      </c>
      <c r="X1765" s="31" t="str">
        <f t="shared" si="197"/>
        <v/>
      </c>
      <c r="Y1765" s="10" t="s">
        <v>1116</v>
      </c>
      <c r="Z1765" s="10" t="s">
        <v>910</v>
      </c>
      <c r="AF1765" s="12">
        <v>44958</v>
      </c>
      <c r="AJ1765" s="10">
        <f>0.9631*5.01^2+173.03*5.01-74.605</f>
        <v>816.44920630999991</v>
      </c>
      <c r="AK1765" s="10">
        <f>-1.0839*5.01^2+204.73*5.01-119.55</f>
        <v>878.94130160999987</v>
      </c>
      <c r="AL1765" s="10" t="str">
        <f t="shared" si="202"/>
        <v>FALSE</v>
      </c>
      <c r="AM1765" s="10" t="str">
        <f t="shared" si="202"/>
        <v>FALSE</v>
      </c>
      <c r="AN1765" s="10" t="str">
        <f t="shared" si="202"/>
        <v>FALSE</v>
      </c>
      <c r="AO1765" s="10" t="str">
        <f t="shared" si="203"/>
        <v>y=0.9631*5.01^2+173.03*5.01-74.605</v>
      </c>
      <c r="AP1765" s="10" t="str">
        <f t="shared" si="203"/>
        <v>y=-1.0839*5.01^2+204.73*5.01-119.55</v>
      </c>
      <c r="AQ1765" s="10" t="b">
        <f>IF(AND(I1765="TP",S1765&lt;=150),VLOOKUP(AF1765,TPCalibEq150!$AZ$2:$BB$55,3,),IF(AND(I1765="TDP",S1765&lt;=150),VLOOKUP(AF1765,TPCalibEq150!$AZ$2:$BB$55,3,)))</f>
        <v>0</v>
      </c>
      <c r="AR1765" s="10" t="b">
        <f>IF(AND(I1765="TP",S1765&lt;=300),VLOOKUP(AF1765,TPCalibEq300!$AZ$2:$BB$55,3,),IF(AND(I1765="TDP",S1765&lt;=300),VLOOKUP(AF1765,TPCalibEq300!$AZ$2:$BB$55,3,)))</f>
        <v>0</v>
      </c>
      <c r="AS1765" s="10" t="b">
        <f>IF(AND(I1765="TP",S1765&lt;=500),VLOOKUP(AF1765,TPCalibEq500!$AZ$2:$BB$56,3,),IF(AND(I1765="TDP",S1765&lt;=500),VLOOKUP(AF1765,TPCalibEq500!$AZ$2:$BB$56,3,)))</f>
        <v>0</v>
      </c>
      <c r="AT1765" s="10" t="str">
        <f>IF(AND(I1765="TN",S1765&lt;=2800),VLOOKUP(AF1765,TNCalibEq2500!$AZ$2:$BB$56,3,),IF(AND(I1765="TDN",S1765&lt;=2800),VLOOKUP(AF1765,TNCalibEq2500!$AZ$2:$BB$56,3,)))</f>
        <v>y=0.9631x2+173.03x-74.605</v>
      </c>
      <c r="AU1765" s="10" t="str">
        <f>IF(I1765="TP",VLOOKUP(AF1765,TPCalibEqFull!$AZ$2:$BB$56,3),IF(I1765="TDP",VLOOKUP(AF1765,TPCalibEqFull!$AZ$2:$BB$56,3),IF(I1765="TDN",VLOOKUP(AF1765,TNCalibEqFull!$AZ$1:$BB$56,3),IF(I1765="TN",VLOOKUP(AF1765,TNCalibEqFull!$AZ$1:$BB$56,3),FALSE))))</f>
        <v>y=-1.0839x2+204.73x-119.55</v>
      </c>
      <c r="AV1765" s="10" t="str">
        <f t="shared" si="201"/>
        <v>0130 09:59:00-CLC-0-C-1-SW-UKN</v>
      </c>
    </row>
    <row r="1766" spans="1:48" s="10" customFormat="1" x14ac:dyDescent="0.55000000000000004">
      <c r="A1766" s="32">
        <v>44956</v>
      </c>
      <c r="B1766" s="33">
        <v>0.43055555555555558</v>
      </c>
      <c r="C1766" s="10" t="s">
        <v>349</v>
      </c>
      <c r="D1766" s="10">
        <v>0</v>
      </c>
      <c r="E1766" s="10" t="s">
        <v>190</v>
      </c>
      <c r="F1766" s="10">
        <v>1</v>
      </c>
      <c r="G1766" s="10" t="s">
        <v>231</v>
      </c>
      <c r="H1766" s="10" t="s">
        <v>322</v>
      </c>
      <c r="I1766" s="10" t="s">
        <v>235</v>
      </c>
      <c r="J1766" s="10">
        <v>34</v>
      </c>
      <c r="K1766" s="12">
        <v>44958</v>
      </c>
      <c r="L1766" s="33">
        <v>0.69407407407407407</v>
      </c>
      <c r="M1766" s="10">
        <v>1</v>
      </c>
      <c r="N1766" s="10" t="s">
        <v>196</v>
      </c>
      <c r="O1766" s="10">
        <v>4.8</v>
      </c>
      <c r="P1766" s="10">
        <v>0.23599999999999999</v>
      </c>
      <c r="Q1766" s="10">
        <v>797</v>
      </c>
      <c r="R1766" s="10" t="s">
        <v>170</v>
      </c>
      <c r="S1766" s="34">
        <f t="shared" si="198"/>
        <v>838.18094399999995</v>
      </c>
      <c r="T1766" s="10" t="s">
        <v>1123</v>
      </c>
      <c r="U1766" s="34" t="str">
        <f t="shared" si="199"/>
        <v/>
      </c>
      <c r="V1766" s="31" t="str">
        <f>IF(H1766="CHK",VLOOKUP(I1766,QCCHK,3,),IF(H1766="GUP",VLOOKUP(E1766,QCGUP,2,),IF(AND(H1766="ATP",OR(I1766="TN",I1766="TDN",I1766="TNO2-3",I1766="NO2-3")),VLOOKUP(E1766,QCREC_N,2,),IF(AND(H1766="NIC",OR(I1766="TN",I1766="TDN",I1766="TNO2-3",I1766="NO2-3")),VLOOKUP(E1766,QCNIC_N,2,),IF(AND(H1766="UREA",OR(I1766="TN",I1766="TDN",I1766="TNO2-3",I1766="NO2-3")),VLOOKUP(E1766,QCUREA_N,2,),IF(H1766="PER",VLOOKUP(I1766,QCPER,MATCH(E1766,QCACTUAL!$J$25:$AA$25,0),),IF(H1766="SPK",VLOOKUP(I1766,QCSPK,3,),IF(AND(H1766="ATP",OR(I1766="TP",I1766="TDP")),VLOOKUP(E1766,QCATP_P,2,),""))))))))</f>
        <v/>
      </c>
      <c r="W1766" s="31" t="str">
        <f t="shared" si="200"/>
        <v>TRUE</v>
      </c>
      <c r="X1766" s="31" t="str">
        <f t="shared" si="197"/>
        <v/>
      </c>
      <c r="Y1766" s="10" t="s">
        <v>1116</v>
      </c>
      <c r="Z1766" s="10" t="s">
        <v>910</v>
      </c>
      <c r="AF1766" s="12">
        <v>44958</v>
      </c>
      <c r="AJ1766" s="10">
        <f>0.9631*4.8^2+173.03*4.8-74.605</f>
        <v>778.12882400000001</v>
      </c>
      <c r="AK1766" s="10">
        <f>-1.0839*4.8^2+204.73*4.8-119.55</f>
        <v>838.18094399999995</v>
      </c>
      <c r="AL1766" s="10" t="str">
        <f t="shared" si="202"/>
        <v>FALSE</v>
      </c>
      <c r="AM1766" s="10" t="str">
        <f t="shared" si="202"/>
        <v>FALSE</v>
      </c>
      <c r="AN1766" s="10" t="str">
        <f t="shared" si="202"/>
        <v>FALSE</v>
      </c>
      <c r="AO1766" s="10" t="str">
        <f t="shared" si="203"/>
        <v>y=0.9631*4.8^2+173.03*4.8-74.605</v>
      </c>
      <c r="AP1766" s="10" t="str">
        <f t="shared" si="203"/>
        <v>y=-1.0839*4.8^2+204.73*4.8-119.55</v>
      </c>
      <c r="AQ1766" s="10" t="b">
        <f>IF(AND(I1766="TP",S1766&lt;=150),VLOOKUP(AF1766,TPCalibEq150!$AZ$2:$BB$55,3,),IF(AND(I1766="TDP",S1766&lt;=150),VLOOKUP(AF1766,TPCalibEq150!$AZ$2:$BB$55,3,)))</f>
        <v>0</v>
      </c>
      <c r="AR1766" s="10" t="b">
        <f>IF(AND(I1766="TP",S1766&lt;=300),VLOOKUP(AF1766,TPCalibEq300!$AZ$2:$BB$55,3,),IF(AND(I1766="TDP",S1766&lt;=300),VLOOKUP(AF1766,TPCalibEq300!$AZ$2:$BB$55,3,)))</f>
        <v>0</v>
      </c>
      <c r="AS1766" s="10" t="b">
        <f>IF(AND(I1766="TP",S1766&lt;=500),VLOOKUP(AF1766,TPCalibEq500!$AZ$2:$BB$56,3,),IF(AND(I1766="TDP",S1766&lt;=500),VLOOKUP(AF1766,TPCalibEq500!$AZ$2:$BB$56,3,)))</f>
        <v>0</v>
      </c>
      <c r="AT1766" s="10" t="str">
        <f>IF(AND(I1766="TN",S1766&lt;=2800),VLOOKUP(AF1766,TNCalibEq2500!$AZ$2:$BB$56,3,),IF(AND(I1766="TDN",S1766&lt;=2800),VLOOKUP(AF1766,TNCalibEq2500!$AZ$2:$BB$56,3,)))</f>
        <v>y=0.9631x2+173.03x-74.605</v>
      </c>
      <c r="AU1766" s="10" t="str">
        <f>IF(I1766="TP",VLOOKUP(AF1766,TPCalibEqFull!$AZ$2:$BB$56,3),IF(I1766="TDP",VLOOKUP(AF1766,TPCalibEqFull!$AZ$2:$BB$56,3),IF(I1766="TDN",VLOOKUP(AF1766,TNCalibEqFull!$AZ$1:$BB$56,3),IF(I1766="TN",VLOOKUP(AF1766,TNCalibEqFull!$AZ$1:$BB$56,3),FALSE))))</f>
        <v>y=-1.0839x2+204.73x-119.55</v>
      </c>
      <c r="AV1766" s="10" t="str">
        <f t="shared" si="201"/>
        <v>0130 10:20:00-SHA-0-C-1-SW-UKN</v>
      </c>
    </row>
    <row r="1767" spans="1:48" s="10" customFormat="1" x14ac:dyDescent="0.55000000000000004">
      <c r="A1767" s="32">
        <v>44956</v>
      </c>
      <c r="B1767" s="33">
        <v>0.44166666666666665</v>
      </c>
      <c r="C1767" s="10" t="s">
        <v>646</v>
      </c>
      <c r="D1767" s="10">
        <v>0</v>
      </c>
      <c r="E1767" s="10" t="s">
        <v>190</v>
      </c>
      <c r="F1767" s="10">
        <v>1</v>
      </c>
      <c r="G1767" s="10" t="s">
        <v>231</v>
      </c>
      <c r="H1767" s="10" t="s">
        <v>322</v>
      </c>
      <c r="I1767" s="10" t="s">
        <v>235</v>
      </c>
      <c r="J1767" s="10">
        <v>35</v>
      </c>
      <c r="K1767" s="12">
        <v>44958</v>
      </c>
      <c r="L1767" s="33">
        <v>0.69474537037037043</v>
      </c>
      <c r="M1767" s="10">
        <v>1</v>
      </c>
      <c r="N1767" s="10" t="s">
        <v>196</v>
      </c>
      <c r="O1767" s="10">
        <v>8.17</v>
      </c>
      <c r="P1767" s="10">
        <v>0.40100000000000002</v>
      </c>
      <c r="Q1767" s="10">
        <v>1380</v>
      </c>
      <c r="R1767" s="10" t="s">
        <v>170</v>
      </c>
      <c r="S1767" s="34">
        <f t="shared" si="198"/>
        <v>1480.74496729</v>
      </c>
      <c r="T1767" s="10" t="s">
        <v>1123</v>
      </c>
      <c r="U1767" s="34" t="str">
        <f t="shared" si="199"/>
        <v/>
      </c>
      <c r="V1767" s="31" t="str">
        <f>IF(H1767="CHK",VLOOKUP(I1767,QCCHK,3,),IF(H1767="GUP",VLOOKUP(E1767,QCGUP,2,),IF(AND(H1767="ATP",OR(I1767="TN",I1767="TDN",I1767="TNO2-3",I1767="NO2-3")),VLOOKUP(E1767,QCREC_N,2,),IF(AND(H1767="NIC",OR(I1767="TN",I1767="TDN",I1767="TNO2-3",I1767="NO2-3")),VLOOKUP(E1767,QCNIC_N,2,),IF(AND(H1767="UREA",OR(I1767="TN",I1767="TDN",I1767="TNO2-3",I1767="NO2-3")),VLOOKUP(E1767,QCUREA_N,2,),IF(H1767="PER",VLOOKUP(I1767,QCPER,MATCH(E1767,QCACTUAL!$J$25:$AA$25,0),),IF(H1767="SPK",VLOOKUP(I1767,QCSPK,3,),IF(AND(H1767="ATP",OR(I1767="TP",I1767="TDP")),VLOOKUP(E1767,QCATP_P,2,),""))))))))</f>
        <v/>
      </c>
      <c r="W1767" s="31" t="str">
        <f t="shared" si="200"/>
        <v>TRUE</v>
      </c>
      <c r="X1767" s="31" t="str">
        <f t="shared" si="197"/>
        <v/>
      </c>
      <c r="Y1767" s="10" t="s">
        <v>1116</v>
      </c>
      <c r="Z1767" s="10" t="s">
        <v>910</v>
      </c>
      <c r="AF1767" s="12">
        <v>44958</v>
      </c>
      <c r="AJ1767" s="10">
        <f>0.9631*8.17^2+173.03*8.17-74.605</f>
        <v>1403.3359655899999</v>
      </c>
      <c r="AK1767" s="10">
        <f>-1.0839*8.17^2+204.73*8.17-119.55</f>
        <v>1480.74496729</v>
      </c>
      <c r="AL1767" s="10" t="str">
        <f t="shared" si="202"/>
        <v>FALSE</v>
      </c>
      <c r="AM1767" s="10" t="str">
        <f t="shared" si="202"/>
        <v>FALSE</v>
      </c>
      <c r="AN1767" s="10" t="str">
        <f t="shared" si="202"/>
        <v>FALSE</v>
      </c>
      <c r="AO1767" s="10" t="str">
        <f t="shared" si="203"/>
        <v>y=0.9631*8.17^2+173.03*8.17-74.605</v>
      </c>
      <c r="AP1767" s="10" t="str">
        <f t="shared" si="203"/>
        <v>y=-1.0839*8.17^2+204.73*8.17-119.55</v>
      </c>
      <c r="AQ1767" s="10" t="b">
        <f>IF(AND(I1767="TP",S1767&lt;=150),VLOOKUP(AF1767,TPCalibEq150!$AZ$2:$BB$55,3,),IF(AND(I1767="TDP",S1767&lt;=150),VLOOKUP(AF1767,TPCalibEq150!$AZ$2:$BB$55,3,)))</f>
        <v>0</v>
      </c>
      <c r="AR1767" s="10" t="b">
        <f>IF(AND(I1767="TP",S1767&lt;=300),VLOOKUP(AF1767,TPCalibEq300!$AZ$2:$BB$55,3,),IF(AND(I1767="TDP",S1767&lt;=300),VLOOKUP(AF1767,TPCalibEq300!$AZ$2:$BB$55,3,)))</f>
        <v>0</v>
      </c>
      <c r="AS1767" s="10" t="b">
        <f>IF(AND(I1767="TP",S1767&lt;=500),VLOOKUP(AF1767,TPCalibEq500!$AZ$2:$BB$56,3,),IF(AND(I1767="TDP",S1767&lt;=500),VLOOKUP(AF1767,TPCalibEq500!$AZ$2:$BB$56,3,)))</f>
        <v>0</v>
      </c>
      <c r="AT1767" s="10" t="str">
        <f>IF(AND(I1767="TN",S1767&lt;=2800),VLOOKUP(AF1767,TNCalibEq2500!$AZ$2:$BB$56,3,),IF(AND(I1767="TDN",S1767&lt;=2800),VLOOKUP(AF1767,TNCalibEq2500!$AZ$2:$BB$56,3,)))</f>
        <v>y=0.9631x2+173.03x-74.605</v>
      </c>
      <c r="AU1767" s="10" t="str">
        <f>IF(I1767="TP",VLOOKUP(AF1767,TPCalibEqFull!$AZ$2:$BB$56,3),IF(I1767="TDP",VLOOKUP(AF1767,TPCalibEqFull!$AZ$2:$BB$56,3),IF(I1767="TDN",VLOOKUP(AF1767,TNCalibEqFull!$AZ$1:$BB$56,3),IF(I1767="TN",VLOOKUP(AF1767,TNCalibEqFull!$AZ$1:$BB$56,3),FALSE))))</f>
        <v>y=-1.0839x2+204.73x-119.55</v>
      </c>
      <c r="AV1767" s="10" t="str">
        <f t="shared" si="201"/>
        <v>0130 10:36:00-EMB-0-C-1-SW-UKN</v>
      </c>
    </row>
    <row r="1768" spans="1:48" s="10" customFormat="1" x14ac:dyDescent="0.55000000000000004">
      <c r="A1768" s="32">
        <v>44956</v>
      </c>
      <c r="B1768" s="33">
        <v>0.45208333333333334</v>
      </c>
      <c r="C1768" s="10" t="s">
        <v>214</v>
      </c>
      <c r="D1768" s="10">
        <v>0</v>
      </c>
      <c r="E1768" s="10" t="s">
        <v>190</v>
      </c>
      <c r="F1768" s="10">
        <v>1</v>
      </c>
      <c r="G1768" s="10" t="s">
        <v>231</v>
      </c>
      <c r="H1768" s="10" t="s">
        <v>322</v>
      </c>
      <c r="I1768" s="10" t="s">
        <v>235</v>
      </c>
      <c r="J1768" s="10">
        <v>36</v>
      </c>
      <c r="K1768" s="12">
        <v>44958</v>
      </c>
      <c r="L1768" s="33">
        <v>0.69541666666666668</v>
      </c>
      <c r="M1768" s="10">
        <v>1</v>
      </c>
      <c r="N1768" s="10" t="s">
        <v>196</v>
      </c>
      <c r="O1768" s="10">
        <v>7.33</v>
      </c>
      <c r="P1768" s="10">
        <v>0.36099999999999999</v>
      </c>
      <c r="Q1768" s="10">
        <v>1240</v>
      </c>
      <c r="R1768" s="10" t="s">
        <v>170</v>
      </c>
      <c r="S1768" s="34">
        <f t="shared" si="198"/>
        <v>1322.8841452899999</v>
      </c>
      <c r="T1768" s="10" t="s">
        <v>1123</v>
      </c>
      <c r="U1768" s="34" t="str">
        <f t="shared" si="199"/>
        <v/>
      </c>
      <c r="V1768" s="31" t="str">
        <f>IF(H1768="CHK",VLOOKUP(I1768,QCCHK,3,),IF(H1768="GUP",VLOOKUP(E1768,QCGUP,2,),IF(AND(H1768="ATP",OR(I1768="TN",I1768="TDN",I1768="TNO2-3",I1768="NO2-3")),VLOOKUP(E1768,QCREC_N,2,),IF(AND(H1768="NIC",OR(I1768="TN",I1768="TDN",I1768="TNO2-3",I1768="NO2-3")),VLOOKUP(E1768,QCNIC_N,2,),IF(AND(H1768="UREA",OR(I1768="TN",I1768="TDN",I1768="TNO2-3",I1768="NO2-3")),VLOOKUP(E1768,QCUREA_N,2,),IF(H1768="PER",VLOOKUP(I1768,QCPER,MATCH(E1768,QCACTUAL!$J$25:$AA$25,0),),IF(H1768="SPK",VLOOKUP(I1768,QCSPK,3,),IF(AND(H1768="ATP",OR(I1768="TP",I1768="TDP")),VLOOKUP(E1768,QCATP_P,2,),""))))))))</f>
        <v/>
      </c>
      <c r="W1768" s="31" t="str">
        <f t="shared" si="200"/>
        <v>TRUE</v>
      </c>
      <c r="X1768" s="31" t="str">
        <f t="shared" si="197"/>
        <v/>
      </c>
      <c r="Y1768" s="10" t="s">
        <v>1116</v>
      </c>
      <c r="Z1768" s="10" t="s">
        <v>910</v>
      </c>
      <c r="AF1768" s="12">
        <v>44958</v>
      </c>
      <c r="AJ1768" s="10">
        <f>0.9631*7.33^2+173.03*7.33-74.605</f>
        <v>1245.45120359</v>
      </c>
      <c r="AK1768" s="10">
        <f>-1.0839*7.33^2+204.73*7.33-119.55</f>
        <v>1322.8841452899999</v>
      </c>
      <c r="AL1768" s="10" t="str">
        <f t="shared" si="202"/>
        <v>FALSE</v>
      </c>
      <c r="AM1768" s="10" t="str">
        <f t="shared" si="202"/>
        <v>FALSE</v>
      </c>
      <c r="AN1768" s="10" t="str">
        <f t="shared" si="202"/>
        <v>FALSE</v>
      </c>
      <c r="AO1768" s="10" t="str">
        <f t="shared" si="203"/>
        <v>y=0.9631*7.33^2+173.03*7.33-74.605</v>
      </c>
      <c r="AP1768" s="10" t="str">
        <f t="shared" si="203"/>
        <v>y=-1.0839*7.33^2+204.73*7.33-119.55</v>
      </c>
      <c r="AQ1768" s="10" t="b">
        <f>IF(AND(I1768="TP",S1768&lt;=150),VLOOKUP(AF1768,TPCalibEq150!$AZ$2:$BB$55,3,),IF(AND(I1768="TDP",S1768&lt;=150),VLOOKUP(AF1768,TPCalibEq150!$AZ$2:$BB$55,3,)))</f>
        <v>0</v>
      </c>
      <c r="AR1768" s="10" t="b">
        <f>IF(AND(I1768="TP",S1768&lt;=300),VLOOKUP(AF1768,TPCalibEq300!$AZ$2:$BB$55,3,),IF(AND(I1768="TDP",S1768&lt;=300),VLOOKUP(AF1768,TPCalibEq300!$AZ$2:$BB$55,3,)))</f>
        <v>0</v>
      </c>
      <c r="AS1768" s="10" t="b">
        <f>IF(AND(I1768="TP",S1768&lt;=500),VLOOKUP(AF1768,TPCalibEq500!$AZ$2:$BB$56,3,),IF(AND(I1768="TDP",S1768&lt;=500),VLOOKUP(AF1768,TPCalibEq500!$AZ$2:$BB$56,3,)))</f>
        <v>0</v>
      </c>
      <c r="AT1768" s="10" t="str">
        <f>IF(AND(I1768="TN",S1768&lt;=2800),VLOOKUP(AF1768,TNCalibEq2500!$AZ$2:$BB$56,3,),IF(AND(I1768="TDN",S1768&lt;=2800),VLOOKUP(AF1768,TNCalibEq2500!$AZ$2:$BB$56,3,)))</f>
        <v>y=0.9631x2+173.03x-74.605</v>
      </c>
      <c r="AU1768" s="10" t="str">
        <f>IF(I1768="TP",VLOOKUP(AF1768,TPCalibEqFull!$AZ$2:$BB$56,3),IF(I1768="TDP",VLOOKUP(AF1768,TPCalibEqFull!$AZ$2:$BB$56,3),IF(I1768="TDN",VLOOKUP(AF1768,TNCalibEqFull!$AZ$1:$BB$56,3),IF(I1768="TN",VLOOKUP(AF1768,TNCalibEqFull!$AZ$1:$BB$56,3),FALSE))))</f>
        <v>y=-1.0839x2+204.73x-119.55</v>
      </c>
      <c r="AV1768" s="10" t="str">
        <f t="shared" si="201"/>
        <v>0130 10:51:00-DAM-0-C-1-SW-UKN</v>
      </c>
    </row>
    <row r="1769" spans="1:48" s="10" customFormat="1" x14ac:dyDescent="0.55000000000000004">
      <c r="A1769" s="32">
        <v>44956</v>
      </c>
      <c r="B1769" s="33">
        <v>0.45208333333333334</v>
      </c>
      <c r="C1769" s="10" t="s">
        <v>214</v>
      </c>
      <c r="D1769" s="10">
        <v>0</v>
      </c>
      <c r="E1769" s="10" t="s">
        <v>190</v>
      </c>
      <c r="F1769" s="10">
        <v>2</v>
      </c>
      <c r="G1769" s="10" t="s">
        <v>231</v>
      </c>
      <c r="H1769" s="10" t="s">
        <v>322</v>
      </c>
      <c r="I1769" s="10" t="s">
        <v>235</v>
      </c>
      <c r="J1769" s="10">
        <v>37</v>
      </c>
      <c r="K1769" s="12">
        <v>44958</v>
      </c>
      <c r="L1769" s="33">
        <v>0.69608796296296294</v>
      </c>
      <c r="M1769" s="10">
        <v>1</v>
      </c>
      <c r="N1769" s="10" t="s">
        <v>196</v>
      </c>
      <c r="O1769" s="10">
        <v>7.55</v>
      </c>
      <c r="P1769" s="10">
        <v>0.372</v>
      </c>
      <c r="Q1769" s="10">
        <v>1280</v>
      </c>
      <c r="R1769" s="10" t="s">
        <v>170</v>
      </c>
      <c r="S1769" s="34">
        <f t="shared" si="198"/>
        <v>1364.37649025</v>
      </c>
      <c r="T1769" s="10" t="s">
        <v>1123</v>
      </c>
      <c r="U1769" s="34" t="str">
        <f t="shared" si="199"/>
        <v/>
      </c>
      <c r="V1769" s="31" t="str">
        <f>IF(H1769="CHK",VLOOKUP(I1769,QCCHK,3,),IF(H1769="GUP",VLOOKUP(E1769,QCGUP,2,),IF(AND(H1769="ATP",OR(I1769="TN",I1769="TDN",I1769="TNO2-3",I1769="NO2-3")),VLOOKUP(E1769,QCREC_N,2,),IF(AND(H1769="NIC",OR(I1769="TN",I1769="TDN",I1769="TNO2-3",I1769="NO2-3")),VLOOKUP(E1769,QCNIC_N,2,),IF(AND(H1769="UREA",OR(I1769="TN",I1769="TDN",I1769="TNO2-3",I1769="NO2-3")),VLOOKUP(E1769,QCUREA_N,2,),IF(H1769="PER",VLOOKUP(I1769,QCPER,MATCH(E1769,QCACTUAL!$J$25:$AA$25,0),),IF(H1769="SPK",VLOOKUP(I1769,QCSPK,3,),IF(AND(H1769="ATP",OR(I1769="TP",I1769="TDP")),VLOOKUP(E1769,QCATP_P,2,),""))))))))</f>
        <v/>
      </c>
      <c r="W1769" s="31" t="str">
        <f t="shared" si="200"/>
        <v>TRUE</v>
      </c>
      <c r="X1769" s="31" t="str">
        <f t="shared" si="197"/>
        <v/>
      </c>
      <c r="Y1769" s="10" t="s">
        <v>1116</v>
      </c>
      <c r="Z1769" s="10" t="s">
        <v>910</v>
      </c>
      <c r="AF1769" s="12">
        <v>44958</v>
      </c>
      <c r="AJ1769" s="10">
        <f>0.9631*7.55^2+173.03*7.55-74.605</f>
        <v>1286.67060775</v>
      </c>
      <c r="AK1769" s="10">
        <f>-1.0839*7.55^2+204.73*7.55-119.55</f>
        <v>1364.37649025</v>
      </c>
      <c r="AL1769" s="10" t="str">
        <f t="shared" si="202"/>
        <v>FALSE</v>
      </c>
      <c r="AM1769" s="10" t="str">
        <f t="shared" si="202"/>
        <v>FALSE</v>
      </c>
      <c r="AN1769" s="10" t="str">
        <f t="shared" si="202"/>
        <v>FALSE</v>
      </c>
      <c r="AO1769" s="10" t="str">
        <f t="shared" si="203"/>
        <v>y=0.9631*7.55^2+173.03*7.55-74.605</v>
      </c>
      <c r="AP1769" s="10" t="str">
        <f t="shared" si="203"/>
        <v>y=-1.0839*7.55^2+204.73*7.55-119.55</v>
      </c>
      <c r="AQ1769" s="10" t="b">
        <f>IF(AND(I1769="TP",S1769&lt;=150),VLOOKUP(AF1769,TPCalibEq150!$AZ$2:$BB$55,3,),IF(AND(I1769="TDP",S1769&lt;=150),VLOOKUP(AF1769,TPCalibEq150!$AZ$2:$BB$55,3,)))</f>
        <v>0</v>
      </c>
      <c r="AR1769" s="10" t="b">
        <f>IF(AND(I1769="TP",S1769&lt;=300),VLOOKUP(AF1769,TPCalibEq300!$AZ$2:$BB$55,3,),IF(AND(I1769="TDP",S1769&lt;=300),VLOOKUP(AF1769,TPCalibEq300!$AZ$2:$BB$55,3,)))</f>
        <v>0</v>
      </c>
      <c r="AS1769" s="10" t="b">
        <f>IF(AND(I1769="TP",S1769&lt;=500),VLOOKUP(AF1769,TPCalibEq500!$AZ$2:$BB$56,3,),IF(AND(I1769="TDP",S1769&lt;=500),VLOOKUP(AF1769,TPCalibEq500!$AZ$2:$BB$56,3,)))</f>
        <v>0</v>
      </c>
      <c r="AT1769" s="10" t="str">
        <f>IF(AND(I1769="TN",S1769&lt;=2800),VLOOKUP(AF1769,TNCalibEq2500!$AZ$2:$BB$56,3,),IF(AND(I1769="TDN",S1769&lt;=2800),VLOOKUP(AF1769,TNCalibEq2500!$AZ$2:$BB$56,3,)))</f>
        <v>y=0.9631x2+173.03x-74.605</v>
      </c>
      <c r="AU1769" s="10" t="str">
        <f>IF(I1769="TP",VLOOKUP(AF1769,TPCalibEqFull!$AZ$2:$BB$56,3),IF(I1769="TDP",VLOOKUP(AF1769,TPCalibEqFull!$AZ$2:$BB$56,3),IF(I1769="TDN",VLOOKUP(AF1769,TNCalibEqFull!$AZ$1:$BB$56,3),IF(I1769="TN",VLOOKUP(AF1769,TNCalibEqFull!$AZ$1:$BB$56,3),FALSE))))</f>
        <v>y=-1.0839x2+204.73x-119.55</v>
      </c>
      <c r="AV1769" s="10" t="str">
        <f t="shared" si="201"/>
        <v>0130 10:51:00-DAM-0-C-2-SW-UKN</v>
      </c>
    </row>
    <row r="1770" spans="1:48" s="10" customFormat="1" x14ac:dyDescent="0.55000000000000004">
      <c r="A1770" s="32">
        <v>44956</v>
      </c>
      <c r="B1770" s="33">
        <v>0.45208333333333334</v>
      </c>
      <c r="C1770" s="10" t="s">
        <v>214</v>
      </c>
      <c r="D1770" s="10">
        <v>0</v>
      </c>
      <c r="E1770" s="10" t="s">
        <v>190</v>
      </c>
      <c r="F1770" s="10">
        <v>2</v>
      </c>
      <c r="G1770" s="10" t="s">
        <v>231</v>
      </c>
      <c r="H1770" s="10" t="s">
        <v>233</v>
      </c>
      <c r="I1770" s="10" t="s">
        <v>235</v>
      </c>
      <c r="J1770" s="10">
        <v>37</v>
      </c>
      <c r="K1770" s="12">
        <v>44958</v>
      </c>
      <c r="L1770" s="33">
        <v>0.69675925925925919</v>
      </c>
      <c r="M1770" s="10">
        <v>1</v>
      </c>
      <c r="N1770" s="10" t="s">
        <v>196</v>
      </c>
      <c r="O1770" s="10">
        <v>7.53</v>
      </c>
      <c r="P1770" s="10">
        <v>0.372</v>
      </c>
      <c r="Q1770" s="10">
        <v>1270</v>
      </c>
      <c r="R1770" s="10" t="s">
        <v>170</v>
      </c>
      <c r="S1770" s="34">
        <f t="shared" si="198"/>
        <v>1360.60879449</v>
      </c>
      <c r="T1770" s="10" t="s">
        <v>1123</v>
      </c>
      <c r="U1770" s="34">
        <f t="shared" si="199"/>
        <v>0.27652962246065216</v>
      </c>
      <c r="V1770" s="31" t="str">
        <f>IF(H1770="CHK",VLOOKUP(I1770,QCCHK,3,),IF(H1770="GUP",VLOOKUP(E1770,QCGUP,2,),IF(AND(H1770="ATP",OR(I1770="TN",I1770="TDN",I1770="TNO2-3",I1770="NO2-3")),VLOOKUP(E1770,QCREC_N,2,),IF(AND(H1770="NIC",OR(I1770="TN",I1770="TDN",I1770="TNO2-3",I1770="NO2-3")),VLOOKUP(E1770,QCNIC_N,2,),IF(AND(H1770="UREA",OR(I1770="TN",I1770="TDN",I1770="TNO2-3",I1770="NO2-3")),VLOOKUP(E1770,QCUREA_N,2,),IF(H1770="PER",VLOOKUP(I1770,QCPER,MATCH(E1770,QCACTUAL!$J$25:$AA$25,0),),IF(H1770="SPK",VLOOKUP(I1770,QCSPK,3,),IF(AND(H1770="ATP",OR(I1770="TP",I1770="TDP")),VLOOKUP(E1770,QCATP_P,2,),""))))))))</f>
        <v/>
      </c>
      <c r="W1770" s="31" t="str">
        <f t="shared" si="200"/>
        <v>TRUE</v>
      </c>
      <c r="X1770" s="31" t="str">
        <f t="shared" si="197"/>
        <v>((ABS(rep1-rep2))/((rep1+rep2)/2)*100</v>
      </c>
      <c r="Y1770" s="10" t="s">
        <v>1116</v>
      </c>
      <c r="Z1770" s="10" t="s">
        <v>910</v>
      </c>
      <c r="AF1770" s="12">
        <v>44958</v>
      </c>
      <c r="AJ1770" s="10">
        <f>0.9631*7.53^2+173.03*7.53-74.605</f>
        <v>1282.9195367899999</v>
      </c>
      <c r="AK1770" s="10">
        <f>-1.0839*7.53^2+204.73*7.53-119.55</f>
        <v>1360.60879449</v>
      </c>
      <c r="AL1770" s="10" t="str">
        <f t="shared" si="202"/>
        <v>FALSE</v>
      </c>
      <c r="AM1770" s="10" t="str">
        <f t="shared" si="202"/>
        <v>FALSE</v>
      </c>
      <c r="AN1770" s="10" t="str">
        <f t="shared" si="202"/>
        <v>FALSE</v>
      </c>
      <c r="AO1770" s="10" t="str">
        <f t="shared" si="203"/>
        <v>y=0.9631*7.53^2+173.03*7.53-74.605</v>
      </c>
      <c r="AP1770" s="10" t="str">
        <f t="shared" si="203"/>
        <v>y=-1.0839*7.53^2+204.73*7.53-119.55</v>
      </c>
      <c r="AQ1770" s="10" t="b">
        <f>IF(AND(I1770="TP",S1770&lt;=150),VLOOKUP(AF1770,TPCalibEq150!$AZ$2:$BB$55,3,),IF(AND(I1770="TDP",S1770&lt;=150),VLOOKUP(AF1770,TPCalibEq150!$AZ$2:$BB$55,3,)))</f>
        <v>0</v>
      </c>
      <c r="AR1770" s="10" t="b">
        <f>IF(AND(I1770="TP",S1770&lt;=300),VLOOKUP(AF1770,TPCalibEq300!$AZ$2:$BB$55,3,),IF(AND(I1770="TDP",S1770&lt;=300),VLOOKUP(AF1770,TPCalibEq300!$AZ$2:$BB$55,3,)))</f>
        <v>0</v>
      </c>
      <c r="AS1770" s="10" t="b">
        <f>IF(AND(I1770="TP",S1770&lt;=500),VLOOKUP(AF1770,TPCalibEq500!$AZ$2:$BB$56,3,),IF(AND(I1770="TDP",S1770&lt;=500),VLOOKUP(AF1770,TPCalibEq500!$AZ$2:$BB$56,3,)))</f>
        <v>0</v>
      </c>
      <c r="AT1770" s="10" t="str">
        <f>IF(AND(I1770="TN",S1770&lt;=2800),VLOOKUP(AF1770,TNCalibEq2500!$AZ$2:$BB$56,3,),IF(AND(I1770="TDN",S1770&lt;=2800),VLOOKUP(AF1770,TNCalibEq2500!$AZ$2:$BB$56,3,)))</f>
        <v>y=0.9631x2+173.03x-74.605</v>
      </c>
      <c r="AU1770" s="10" t="str">
        <f>IF(I1770="TP",VLOOKUP(AF1770,TPCalibEqFull!$AZ$2:$BB$56,3),IF(I1770="TDP",VLOOKUP(AF1770,TPCalibEqFull!$AZ$2:$BB$56,3),IF(I1770="TDN",VLOOKUP(AF1770,TNCalibEqFull!$AZ$1:$BB$56,3),IF(I1770="TN",VLOOKUP(AF1770,TNCalibEqFull!$AZ$1:$BB$56,3),FALSE))))</f>
        <v>y=-1.0839x2+204.73x-119.55</v>
      </c>
      <c r="AV1770" s="10" t="str">
        <f t="shared" si="201"/>
        <v>0130 10:51:00-DAM-0-C-2-SW-DUP</v>
      </c>
    </row>
    <row r="1771" spans="1:48" s="10" customFormat="1" x14ac:dyDescent="0.55000000000000004">
      <c r="A1771" s="32">
        <v>44956</v>
      </c>
      <c r="B1771" s="33">
        <v>0.45208333333333334</v>
      </c>
      <c r="C1771" s="10" t="s">
        <v>214</v>
      </c>
      <c r="D1771" s="10">
        <v>0</v>
      </c>
      <c r="E1771" s="10" t="s">
        <v>190</v>
      </c>
      <c r="F1771" s="10">
        <v>2</v>
      </c>
      <c r="G1771" s="10" t="s">
        <v>231</v>
      </c>
      <c r="H1771" s="10" t="s">
        <v>314</v>
      </c>
      <c r="I1771" s="10" t="s">
        <v>235</v>
      </c>
      <c r="J1771" s="10">
        <v>85</v>
      </c>
      <c r="K1771" s="12">
        <v>44958</v>
      </c>
      <c r="L1771" s="33">
        <v>0.6974189814814814</v>
      </c>
      <c r="M1771" s="10">
        <v>1</v>
      </c>
      <c r="N1771" s="10" t="s">
        <v>196</v>
      </c>
      <c r="O1771" s="10">
        <v>21.9</v>
      </c>
      <c r="P1771" s="10">
        <v>1.08</v>
      </c>
      <c r="Q1771" s="10">
        <v>3790</v>
      </c>
      <c r="R1771" s="10" t="s">
        <v>170</v>
      </c>
      <c r="S1771" s="34">
        <f t="shared" si="198"/>
        <v>3844.1877209999993</v>
      </c>
      <c r="T1771" s="10" t="s">
        <v>1123</v>
      </c>
      <c r="U1771" s="34">
        <f t="shared" si="199"/>
        <v>99.34315706039996</v>
      </c>
      <c r="V1771" s="31">
        <f>IF(H1771="CHK",VLOOKUP(I1771,QCCHK,3,),IF(H1771="GUP",VLOOKUP(E1771,QCGUP,2,),IF(AND(H1771="ATP",OR(I1771="TN",I1771="TDN",I1771="TNO2-3",I1771="NO2-3")),VLOOKUP(E1771,QCREC_N,2,),IF(AND(H1771="NIC",OR(I1771="TN",I1771="TDN",I1771="TNO2-3",I1771="NO2-3")),VLOOKUP(E1771,QCNIC_N,2,),IF(AND(H1771="UREA",OR(I1771="TN",I1771="TDN",I1771="TNO2-3",I1771="NO2-3")),VLOOKUP(E1771,QCUREA_N,2,),IF(H1771="PER",VLOOKUP(I1771,QCPER,MATCH(E1771,QCACTUAL!$J$25:$AA$25,0),),IF(H1771="SPK",VLOOKUP(I1771,QCSPK,3,),IF(AND(H1771="ATP",OR(I1771="TP",I1771="TDP")),VLOOKUP(E1771,QCATP_P,2,),""))))))))</f>
        <v>2500</v>
      </c>
      <c r="W1771" s="31" t="str">
        <f t="shared" si="200"/>
        <v>TRUE</v>
      </c>
      <c r="X1771" s="31" t="str">
        <f t="shared" si="197"/>
        <v>([spikedunkn]-[unkn])/[spike]*100</v>
      </c>
      <c r="Y1771" s="10" t="s">
        <v>1116</v>
      </c>
      <c r="Z1771" s="10" t="s">
        <v>910</v>
      </c>
      <c r="AF1771" s="12">
        <v>44958</v>
      </c>
      <c r="AK1771" s="10">
        <f>-1.0839*21.9^2+204.73*21.9-119.55</f>
        <v>3844.1877209999993</v>
      </c>
      <c r="AL1771" s="10" t="str">
        <f t="shared" si="202"/>
        <v>FALSE</v>
      </c>
      <c r="AM1771" s="10" t="str">
        <f t="shared" si="202"/>
        <v>FALSE</v>
      </c>
      <c r="AN1771" s="10" t="str">
        <f t="shared" si="202"/>
        <v>FALSE</v>
      </c>
      <c r="AO1771" s="10" t="str">
        <f t="shared" si="203"/>
        <v>FALSE</v>
      </c>
      <c r="AP1771" s="10" t="str">
        <f t="shared" si="203"/>
        <v>y=-1.0839*21.9^2+204.73*21.9-119.55</v>
      </c>
      <c r="AQ1771" s="10" t="b">
        <f>IF(AND(I1771="TP",S1771&lt;=150),VLOOKUP(AF1771,TPCalibEq150!$AZ$2:$BB$55,3,),IF(AND(I1771="TDP",S1771&lt;=150),VLOOKUP(AF1771,TPCalibEq150!$AZ$2:$BB$55,3,)))</f>
        <v>0</v>
      </c>
      <c r="AR1771" s="10" t="b">
        <f>IF(AND(I1771="TP",S1771&lt;=300),VLOOKUP(AF1771,TPCalibEq300!$AZ$2:$BB$55,3,),IF(AND(I1771="TDP",S1771&lt;=300),VLOOKUP(AF1771,TPCalibEq300!$AZ$2:$BB$55,3,)))</f>
        <v>0</v>
      </c>
      <c r="AS1771" s="10" t="b">
        <f>IF(AND(I1771="TP",S1771&lt;=500),VLOOKUP(AF1771,TPCalibEq500!$AZ$2:$BB$56,3,),IF(AND(I1771="TDP",S1771&lt;=500),VLOOKUP(AF1771,TPCalibEq500!$AZ$2:$BB$56,3,)))</f>
        <v>0</v>
      </c>
      <c r="AT1771" s="10" t="b">
        <f>IF(AND(I1771="TN",S1771&lt;=2800),VLOOKUP(AF1771,TNCalibEq2500!$AZ$2:$BB$56,3,),IF(AND(I1771="TDN",S1771&lt;=2800),VLOOKUP(AF1771,TNCalibEq2500!$AZ$2:$BB$56,3,)))</f>
        <v>0</v>
      </c>
      <c r="AU1771" s="10" t="str">
        <f>IF(I1771="TP",VLOOKUP(AF1771,TPCalibEqFull!$AZ$2:$BB$56,3),IF(I1771="TDP",VLOOKUP(AF1771,TPCalibEqFull!$AZ$2:$BB$56,3),IF(I1771="TDN",VLOOKUP(AF1771,TNCalibEqFull!$AZ$1:$BB$56,3),IF(I1771="TN",VLOOKUP(AF1771,TNCalibEqFull!$AZ$1:$BB$56,3),FALSE))))</f>
        <v>y=-1.0839x2+204.73x-119.55</v>
      </c>
      <c r="AV1771" s="10" t="str">
        <f t="shared" si="201"/>
        <v>0130 10:51:00-DAM-0-C-2-SW-SPK</v>
      </c>
    </row>
    <row r="1772" spans="1:48" s="10" customFormat="1" x14ac:dyDescent="0.55000000000000004">
      <c r="A1772" s="32">
        <v>44958</v>
      </c>
      <c r="B1772" s="33">
        <v>0.375</v>
      </c>
      <c r="C1772" s="10" t="s">
        <v>70</v>
      </c>
      <c r="D1772" s="10" t="s">
        <v>71</v>
      </c>
      <c r="E1772" s="10" t="s">
        <v>901</v>
      </c>
      <c r="F1772" s="10">
        <v>1</v>
      </c>
      <c r="G1772" s="10" t="s">
        <v>73</v>
      </c>
      <c r="H1772" s="10" t="s">
        <v>207</v>
      </c>
      <c r="I1772" s="10" t="s">
        <v>235</v>
      </c>
      <c r="J1772" s="10">
        <v>218</v>
      </c>
      <c r="K1772" s="12">
        <v>44958</v>
      </c>
      <c r="L1772" s="33">
        <v>0.69810185185185192</v>
      </c>
      <c r="M1772" s="10">
        <v>1</v>
      </c>
      <c r="N1772" s="10" t="s">
        <v>196</v>
      </c>
      <c r="O1772" s="10">
        <v>7.29</v>
      </c>
      <c r="P1772" s="10">
        <v>0.36099999999999999</v>
      </c>
      <c r="Q1772" s="10">
        <v>1230</v>
      </c>
      <c r="R1772" s="10" t="s">
        <v>170</v>
      </c>
      <c r="S1772" s="34">
        <f t="shared" si="198"/>
        <v>1315.3288100100001</v>
      </c>
      <c r="T1772" s="10" t="s">
        <v>1123</v>
      </c>
      <c r="U1772" s="34">
        <f t="shared" si="199"/>
        <v>105.22630480079999</v>
      </c>
      <c r="V1772" s="31">
        <f>IF(H1772="CHK",VLOOKUP(I1772,QCCHK,3,),IF(H1772="GUP",VLOOKUP(E1772,QCGUP,2,),IF(AND(H1772="ATP",OR(I1772="TN",I1772="TDN",I1772="TNO2-3",I1772="NO2-3")),VLOOKUP(E1772,QCREC_N,2,),IF(AND(H1772="NIC",OR(I1772="TN",I1772="TDN",I1772="TNO2-3",I1772="NO2-3")),VLOOKUP(E1772,QCNIC_N,2,),IF(AND(H1772="UREA",OR(I1772="TN",I1772="TDN",I1772="TNO2-3",I1772="NO2-3")),VLOOKUP(E1772,QCUREA_N,2,),IF(H1772="PER",VLOOKUP(I1772,QCPER,MATCH(E1772,QCACTUAL!$J$25:$AA$25,0),),IF(H1772="SPK",VLOOKUP(I1772,QCSPK,3,),IF(AND(H1772="ATP",OR(I1772="TP",I1772="TDP")),VLOOKUP(E1772,QCATP_P,2,),""))))))))</f>
        <v>1250</v>
      </c>
      <c r="W1772" s="31" t="str">
        <f t="shared" si="200"/>
        <v>TRUE</v>
      </c>
      <c r="X1772" s="31" t="str">
        <f t="shared" si="197"/>
        <v>[chk]/[actual]*100</v>
      </c>
      <c r="Y1772" s="10" t="s">
        <v>1116</v>
      </c>
      <c r="AF1772" s="12">
        <v>44958</v>
      </c>
      <c r="AJ1772" s="10">
        <f>0.9631*7.29^2+173.03*7.29-74.605</f>
        <v>1237.96678271</v>
      </c>
      <c r="AK1772" s="10">
        <f>-1.0839*7.29^2+204.73*7.29-119.55</f>
        <v>1315.3288100100001</v>
      </c>
      <c r="AL1772" s="10" t="str">
        <f t="shared" si="202"/>
        <v>FALSE</v>
      </c>
      <c r="AM1772" s="10" t="str">
        <f t="shared" si="202"/>
        <v>FALSE</v>
      </c>
      <c r="AN1772" s="10" t="str">
        <f t="shared" si="202"/>
        <v>FALSE</v>
      </c>
      <c r="AO1772" s="10" t="str">
        <f t="shared" si="203"/>
        <v>y=0.9631*7.29^2+173.03*7.29-74.605</v>
      </c>
      <c r="AP1772" s="10" t="str">
        <f t="shared" si="203"/>
        <v>y=-1.0839*7.29^2+204.73*7.29-119.55</v>
      </c>
      <c r="AQ1772" s="10" t="b">
        <f>IF(AND(I1772="TP",S1772&lt;=150),VLOOKUP(AF1772,TPCalibEq150!$AZ$2:$BB$55,3,),IF(AND(I1772="TDP",S1772&lt;=150),VLOOKUP(AF1772,TPCalibEq150!$AZ$2:$BB$55,3,)))</f>
        <v>0</v>
      </c>
      <c r="AR1772" s="10" t="b">
        <f>IF(AND(I1772="TP",S1772&lt;=300),VLOOKUP(AF1772,TPCalibEq300!$AZ$2:$BB$55,3,),IF(AND(I1772="TDP",S1772&lt;=300),VLOOKUP(AF1772,TPCalibEq300!$AZ$2:$BB$55,3,)))</f>
        <v>0</v>
      </c>
      <c r="AS1772" s="10" t="b">
        <f>IF(AND(I1772="TP",S1772&lt;=500),VLOOKUP(AF1772,TPCalibEq500!$AZ$2:$BB$56,3,),IF(AND(I1772="TDP",S1772&lt;=500),VLOOKUP(AF1772,TPCalibEq500!$AZ$2:$BB$56,3,)))</f>
        <v>0</v>
      </c>
      <c r="AT1772" s="10" t="str">
        <f>IF(AND(I1772="TN",S1772&lt;=2800),VLOOKUP(AF1772,TNCalibEq2500!$AZ$2:$BB$56,3,),IF(AND(I1772="TDN",S1772&lt;=2800),VLOOKUP(AF1772,TNCalibEq2500!$AZ$2:$BB$56,3,)))</f>
        <v>y=0.9631x2+173.03x-74.605</v>
      </c>
      <c r="AU1772" s="10" t="str">
        <f>IF(I1772="TP",VLOOKUP(AF1772,TPCalibEqFull!$AZ$2:$BB$56,3),IF(I1772="TDP",VLOOKUP(AF1772,TPCalibEqFull!$AZ$2:$BB$56,3),IF(I1772="TDN",VLOOKUP(AF1772,TNCalibEqFull!$AZ$1:$BB$56,3),IF(I1772="TN",VLOOKUP(AF1772,TNCalibEqFull!$AZ$1:$BB$56,3),FALSE))))</f>
        <v>y=-1.0839x2+204.73x-119.55</v>
      </c>
      <c r="AV1772" s="10" t="str">
        <f t="shared" si="201"/>
        <v>0201 09:00:00-QAC-STD-D-1-DI-CHK</v>
      </c>
    </row>
    <row r="1773" spans="1:48" s="10" customFormat="1" x14ac:dyDescent="0.55000000000000004">
      <c r="A1773" s="32">
        <v>44956</v>
      </c>
      <c r="B1773" s="33">
        <v>0.46527777777777773</v>
      </c>
      <c r="C1773" s="10" t="s">
        <v>341</v>
      </c>
      <c r="D1773" s="10">
        <v>0</v>
      </c>
      <c r="E1773" s="10" t="s">
        <v>190</v>
      </c>
      <c r="F1773" s="10">
        <v>1</v>
      </c>
      <c r="G1773" s="10" t="s">
        <v>231</v>
      </c>
      <c r="H1773" s="10" t="s">
        <v>322</v>
      </c>
      <c r="I1773" s="10" t="s">
        <v>235</v>
      </c>
      <c r="J1773" s="10">
        <v>38</v>
      </c>
      <c r="K1773" s="12">
        <v>44958</v>
      </c>
      <c r="L1773" s="33">
        <v>0.69877314814814817</v>
      </c>
      <c r="M1773" s="10">
        <v>1</v>
      </c>
      <c r="N1773" s="10" t="s">
        <v>196</v>
      </c>
      <c r="O1773" s="10">
        <v>4.0999999999999996</v>
      </c>
      <c r="P1773" s="10">
        <v>0.20300000000000001</v>
      </c>
      <c r="Q1773" s="10">
        <v>676</v>
      </c>
      <c r="R1773" s="10" t="s">
        <v>170</v>
      </c>
      <c r="S1773" s="34">
        <f t="shared" si="198"/>
        <v>701.62264099999993</v>
      </c>
      <c r="T1773" s="10" t="s">
        <v>1123</v>
      </c>
      <c r="U1773" s="34" t="str">
        <f t="shared" si="199"/>
        <v/>
      </c>
      <c r="V1773" s="31" t="str">
        <f>IF(H1773="CHK",VLOOKUP(I1773,QCCHK,3,),IF(H1773="GUP",VLOOKUP(E1773,QCGUP,2,),IF(AND(H1773="ATP",OR(I1773="TN",I1773="TDN",I1773="TNO2-3",I1773="NO2-3")),VLOOKUP(E1773,QCREC_N,2,),IF(AND(H1773="NIC",OR(I1773="TN",I1773="TDN",I1773="TNO2-3",I1773="NO2-3")),VLOOKUP(E1773,QCNIC_N,2,),IF(AND(H1773="UREA",OR(I1773="TN",I1773="TDN",I1773="TNO2-3",I1773="NO2-3")),VLOOKUP(E1773,QCUREA_N,2,),IF(H1773="PER",VLOOKUP(I1773,QCPER,MATCH(E1773,QCACTUAL!$J$25:$AA$25,0),),IF(H1773="SPK",VLOOKUP(I1773,QCSPK,3,),IF(AND(H1773="ATP",OR(I1773="TP",I1773="TDP")),VLOOKUP(E1773,QCATP_P,2,),""))))))))</f>
        <v/>
      </c>
      <c r="W1773" s="31" t="str">
        <f t="shared" si="200"/>
        <v>TRUE</v>
      </c>
      <c r="X1773" s="31" t="str">
        <f t="shared" si="197"/>
        <v/>
      </c>
      <c r="Y1773" s="10" t="s">
        <v>1116</v>
      </c>
      <c r="Z1773" s="10" t="s">
        <v>910</v>
      </c>
      <c r="AF1773" s="12">
        <v>44958</v>
      </c>
      <c r="AJ1773" s="10">
        <f>0.9631*4.1^2+173.03*4.1-74.605</f>
        <v>651.00771099999986</v>
      </c>
      <c r="AK1773" s="10">
        <f>-1.0839*4.1^2+204.73*4.1-119.55</f>
        <v>701.62264099999993</v>
      </c>
      <c r="AL1773" s="10" t="str">
        <f t="shared" si="202"/>
        <v>FALSE</v>
      </c>
      <c r="AM1773" s="10" t="str">
        <f t="shared" si="202"/>
        <v>FALSE</v>
      </c>
      <c r="AN1773" s="10" t="str">
        <f t="shared" si="202"/>
        <v>FALSE</v>
      </c>
      <c r="AO1773" s="10" t="str">
        <f t="shared" si="203"/>
        <v>y=0.9631*4.1^2+173.03*4.1-74.605</v>
      </c>
      <c r="AP1773" s="10" t="str">
        <f t="shared" si="203"/>
        <v>y=-1.0839*4.1^2+204.73*4.1-119.55</v>
      </c>
      <c r="AQ1773" s="10" t="b">
        <f>IF(AND(I1773="TP",S1773&lt;=150),VLOOKUP(AF1773,TPCalibEq150!$AZ$2:$BB$55,3,),IF(AND(I1773="TDP",S1773&lt;=150),VLOOKUP(AF1773,TPCalibEq150!$AZ$2:$BB$55,3,)))</f>
        <v>0</v>
      </c>
      <c r="AR1773" s="10" t="b">
        <f>IF(AND(I1773="TP",S1773&lt;=300),VLOOKUP(AF1773,TPCalibEq300!$AZ$2:$BB$55,3,),IF(AND(I1773="TDP",S1773&lt;=300),VLOOKUP(AF1773,TPCalibEq300!$AZ$2:$BB$55,3,)))</f>
        <v>0</v>
      </c>
      <c r="AS1773" s="10" t="b">
        <f>IF(AND(I1773="TP",S1773&lt;=500),VLOOKUP(AF1773,TPCalibEq500!$AZ$2:$BB$56,3,),IF(AND(I1773="TDP",S1773&lt;=500),VLOOKUP(AF1773,TPCalibEq500!$AZ$2:$BB$56,3,)))</f>
        <v>0</v>
      </c>
      <c r="AT1773" s="10" t="str">
        <f>IF(AND(I1773="TN",S1773&lt;=2800),VLOOKUP(AF1773,TNCalibEq2500!$AZ$2:$BB$56,3,),IF(AND(I1773="TDN",S1773&lt;=2800),VLOOKUP(AF1773,TNCalibEq2500!$AZ$2:$BB$56,3,)))</f>
        <v>y=0.9631x2+173.03x-74.605</v>
      </c>
      <c r="AU1773" s="10" t="str">
        <f>IF(I1773="TP",VLOOKUP(AF1773,TPCalibEqFull!$AZ$2:$BB$56,3),IF(I1773="TDP",VLOOKUP(AF1773,TPCalibEqFull!$AZ$2:$BB$56,3),IF(I1773="TDN",VLOOKUP(AF1773,TNCalibEqFull!$AZ$1:$BB$56,3),IF(I1773="TN",VLOOKUP(AF1773,TNCalibEqFull!$AZ$1:$BB$56,3),FALSE))))</f>
        <v>y=-1.0839x2+204.73x-119.55</v>
      </c>
      <c r="AV1773" s="10" t="str">
        <f t="shared" si="201"/>
        <v>0130 11:10:00-LRC-0-C-1-SW-UKN</v>
      </c>
    </row>
    <row r="1774" spans="1:48" s="10" customFormat="1" x14ac:dyDescent="0.55000000000000004">
      <c r="A1774" s="32">
        <v>44956</v>
      </c>
      <c r="B1774" s="33">
        <v>0.4777777777777778</v>
      </c>
      <c r="C1774" s="10" t="s">
        <v>228</v>
      </c>
      <c r="D1774" s="10">
        <v>0</v>
      </c>
      <c r="E1774" s="10" t="s">
        <v>190</v>
      </c>
      <c r="F1774" s="10">
        <v>1</v>
      </c>
      <c r="G1774" s="10" t="s">
        <v>231</v>
      </c>
      <c r="H1774" s="10" t="s">
        <v>322</v>
      </c>
      <c r="I1774" s="10" t="s">
        <v>235</v>
      </c>
      <c r="J1774" s="10">
        <v>39</v>
      </c>
      <c r="K1774" s="12">
        <v>44958</v>
      </c>
      <c r="L1774" s="33">
        <v>0.69944444444444442</v>
      </c>
      <c r="M1774" s="10">
        <v>1</v>
      </c>
      <c r="N1774" s="10" t="s">
        <v>196</v>
      </c>
      <c r="O1774" s="10">
        <v>6.99</v>
      </c>
      <c r="P1774" s="10">
        <v>0.34399999999999997</v>
      </c>
      <c r="Q1774" s="10">
        <v>1180</v>
      </c>
      <c r="R1774" s="10" t="s">
        <v>170</v>
      </c>
      <c r="S1774" s="34">
        <f t="shared" si="198"/>
        <v>1258.55323761</v>
      </c>
      <c r="T1774" s="10" t="s">
        <v>1123</v>
      </c>
      <c r="U1774" s="34" t="str">
        <f t="shared" si="199"/>
        <v/>
      </c>
      <c r="V1774" s="31" t="str">
        <f>IF(H1774="CHK",VLOOKUP(I1774,QCCHK,3,),IF(H1774="GUP",VLOOKUP(E1774,QCGUP,2,),IF(AND(H1774="ATP",OR(I1774="TN",I1774="TDN",I1774="TNO2-3",I1774="NO2-3")),VLOOKUP(E1774,QCREC_N,2,),IF(AND(H1774="NIC",OR(I1774="TN",I1774="TDN",I1774="TNO2-3",I1774="NO2-3")),VLOOKUP(E1774,QCNIC_N,2,),IF(AND(H1774="UREA",OR(I1774="TN",I1774="TDN",I1774="TNO2-3",I1774="NO2-3")),VLOOKUP(E1774,QCUREA_N,2,),IF(H1774="PER",VLOOKUP(I1774,QCPER,MATCH(E1774,QCACTUAL!$J$25:$AA$25,0),),IF(H1774="SPK",VLOOKUP(I1774,QCSPK,3,),IF(AND(H1774="ATP",OR(I1774="TP",I1774="TDP")),VLOOKUP(E1774,QCATP_P,2,),""))))))))</f>
        <v/>
      </c>
      <c r="W1774" s="31" t="str">
        <f t="shared" si="200"/>
        <v>TRUE</v>
      </c>
      <c r="X1774" s="31" t="str">
        <f t="shared" si="197"/>
        <v/>
      </c>
      <c r="Y1774" s="10" t="s">
        <v>1116</v>
      </c>
      <c r="Z1774" s="10" t="s">
        <v>910</v>
      </c>
      <c r="AF1774" s="12">
        <v>44958</v>
      </c>
      <c r="AJ1774" s="10">
        <f>0.9631*6.99^2+173.03*6.99-74.605</f>
        <v>1181.93186231</v>
      </c>
      <c r="AK1774" s="10">
        <f>-1.0839*6.99^2+204.73*6.99-119.55</f>
        <v>1258.55323761</v>
      </c>
      <c r="AL1774" s="10" t="str">
        <f t="shared" si="202"/>
        <v>FALSE</v>
      </c>
      <c r="AM1774" s="10" t="str">
        <f t="shared" si="202"/>
        <v>FALSE</v>
      </c>
      <c r="AN1774" s="10" t="str">
        <f t="shared" si="202"/>
        <v>FALSE</v>
      </c>
      <c r="AO1774" s="10" t="str">
        <f t="shared" si="203"/>
        <v>y=0.9631*6.99^2+173.03*6.99-74.605</v>
      </c>
      <c r="AP1774" s="10" t="str">
        <f t="shared" si="203"/>
        <v>y=-1.0839*6.99^2+204.73*6.99-119.55</v>
      </c>
      <c r="AQ1774" s="10" t="b">
        <f>IF(AND(I1774="TP",S1774&lt;=150),VLOOKUP(AF1774,TPCalibEq150!$AZ$2:$BB$55,3,),IF(AND(I1774="TDP",S1774&lt;=150),VLOOKUP(AF1774,TPCalibEq150!$AZ$2:$BB$55,3,)))</f>
        <v>0</v>
      </c>
      <c r="AR1774" s="10" t="b">
        <f>IF(AND(I1774="TP",S1774&lt;=300),VLOOKUP(AF1774,TPCalibEq300!$AZ$2:$BB$55,3,),IF(AND(I1774="TDP",S1774&lt;=300),VLOOKUP(AF1774,TPCalibEq300!$AZ$2:$BB$55,3,)))</f>
        <v>0</v>
      </c>
      <c r="AS1774" s="10" t="b">
        <f>IF(AND(I1774="TP",S1774&lt;=500),VLOOKUP(AF1774,TPCalibEq500!$AZ$2:$BB$56,3,),IF(AND(I1774="TDP",S1774&lt;=500),VLOOKUP(AF1774,TPCalibEq500!$AZ$2:$BB$56,3,)))</f>
        <v>0</v>
      </c>
      <c r="AT1774" s="10" t="str">
        <f>IF(AND(I1774="TN",S1774&lt;=2800),VLOOKUP(AF1774,TNCalibEq2500!$AZ$2:$BB$56,3,),IF(AND(I1774="TDN",S1774&lt;=2800),VLOOKUP(AF1774,TNCalibEq2500!$AZ$2:$BB$56,3,)))</f>
        <v>y=0.9631x2+173.03x-74.605</v>
      </c>
      <c r="AU1774" s="10" t="str">
        <f>IF(I1774="TP",VLOOKUP(AF1774,TPCalibEqFull!$AZ$2:$BB$56,3),IF(I1774="TDP",VLOOKUP(AF1774,TPCalibEqFull!$AZ$2:$BB$56,3),IF(I1774="TDN",VLOOKUP(AF1774,TNCalibEqFull!$AZ$1:$BB$56,3),IF(I1774="TN",VLOOKUP(AF1774,TNCalibEqFull!$AZ$1:$BB$56,3),FALSE))))</f>
        <v>y=-1.0839x2+204.73x-119.55</v>
      </c>
      <c r="AV1774" s="10" t="str">
        <f t="shared" si="201"/>
        <v>0130 11:28:00-DWT-0-C-1-SW-UKN</v>
      </c>
    </row>
    <row r="1775" spans="1:48" s="10" customFormat="1" x14ac:dyDescent="0.55000000000000004">
      <c r="A1775" s="32">
        <v>44956</v>
      </c>
      <c r="B1775" s="33">
        <v>0.49374999999999997</v>
      </c>
      <c r="C1775" s="10" t="s">
        <v>625</v>
      </c>
      <c r="D1775" s="10">
        <v>0</v>
      </c>
      <c r="E1775" s="10" t="s">
        <v>190</v>
      </c>
      <c r="F1775" s="10">
        <v>1</v>
      </c>
      <c r="G1775" s="10" t="s">
        <v>231</v>
      </c>
      <c r="H1775" s="10" t="s">
        <v>322</v>
      </c>
      <c r="I1775" s="10" t="s">
        <v>235</v>
      </c>
      <c r="J1775" s="10">
        <v>40</v>
      </c>
      <c r="K1775" s="12">
        <v>44958</v>
      </c>
      <c r="L1775" s="33">
        <v>0.70010416666666664</v>
      </c>
      <c r="M1775" s="10">
        <v>1</v>
      </c>
      <c r="N1775" s="10" t="s">
        <v>196</v>
      </c>
      <c r="O1775" s="10">
        <v>2.33</v>
      </c>
      <c r="P1775" s="10">
        <v>0.11600000000000001</v>
      </c>
      <c r="Q1775" s="10">
        <v>367</v>
      </c>
      <c r="R1775" s="10" t="s">
        <v>170</v>
      </c>
      <c r="S1775" s="34">
        <f t="shared" si="198"/>
        <v>367</v>
      </c>
      <c r="T1775" s="10" t="s">
        <v>1123</v>
      </c>
      <c r="U1775" s="34" t="str">
        <f t="shared" si="199"/>
        <v/>
      </c>
      <c r="V1775" s="31" t="str">
        <f>IF(H1775="CHK",VLOOKUP(I1775,QCCHK,3,),IF(H1775="GUP",VLOOKUP(E1775,QCGUP,2,),IF(AND(H1775="ATP",OR(I1775="TN",I1775="TDN",I1775="TNO2-3",I1775="NO2-3")),VLOOKUP(E1775,QCREC_N,2,),IF(AND(H1775="NIC",OR(I1775="TN",I1775="TDN",I1775="TNO2-3",I1775="NO2-3")),VLOOKUP(E1775,QCNIC_N,2,),IF(AND(H1775="UREA",OR(I1775="TN",I1775="TDN",I1775="TNO2-3",I1775="NO2-3")),VLOOKUP(E1775,QCUREA_N,2,),IF(H1775="PER",VLOOKUP(I1775,QCPER,MATCH(E1775,QCACTUAL!$J$25:$AA$25,0),),IF(H1775="SPK",VLOOKUP(I1775,QCSPK,3,),IF(AND(H1775="ATP",OR(I1775="TP",I1775="TDP")),VLOOKUP(E1775,QCATP_P,2,),""))))))))</f>
        <v/>
      </c>
      <c r="W1775" s="31" t="str">
        <f t="shared" si="200"/>
        <v>TRUE</v>
      </c>
      <c r="X1775" s="31" t="str">
        <f t="shared" si="197"/>
        <v/>
      </c>
      <c r="Y1775" s="10" t="s">
        <v>1116</v>
      </c>
      <c r="Z1775" s="10" t="s">
        <v>910</v>
      </c>
      <c r="AF1775" s="12">
        <v>44958</v>
      </c>
      <c r="AJ1775" s="10">
        <f>0.9631*2.33^2+173.03*2.33-74.605</f>
        <v>333.78347358999997</v>
      </c>
      <c r="AK1775" s="10">
        <f>-1.0839*2.33^2+204.73*2.33-119.55</f>
        <v>351.58651528999997</v>
      </c>
      <c r="AL1775" s="10" t="str">
        <f t="shared" si="202"/>
        <v>FALSE</v>
      </c>
      <c r="AM1775" s="10" t="str">
        <f t="shared" si="202"/>
        <v>FALSE</v>
      </c>
      <c r="AN1775" s="10" t="str">
        <f t="shared" si="202"/>
        <v>FALSE</v>
      </c>
      <c r="AO1775" s="10" t="str">
        <f t="shared" si="203"/>
        <v>y=0.9631*2.33^2+173.03*2.33-74.605</v>
      </c>
      <c r="AP1775" s="10" t="str">
        <f t="shared" si="203"/>
        <v>y=-1.0839*2.33^2+204.73*2.33-119.55</v>
      </c>
      <c r="AQ1775" s="10" t="b">
        <f>IF(AND(I1775="TP",S1775&lt;=150),VLOOKUP(AF1775,TPCalibEq150!$AZ$2:$BB$55,3,),IF(AND(I1775="TDP",S1775&lt;=150),VLOOKUP(AF1775,TPCalibEq150!$AZ$2:$BB$55,3,)))</f>
        <v>0</v>
      </c>
      <c r="AR1775" s="10" t="b">
        <f>IF(AND(I1775="TP",S1775&lt;=300),VLOOKUP(AF1775,TPCalibEq300!$AZ$2:$BB$55,3,),IF(AND(I1775="TDP",S1775&lt;=300),VLOOKUP(AF1775,TPCalibEq300!$AZ$2:$BB$55,3,)))</f>
        <v>0</v>
      </c>
      <c r="AS1775" s="10" t="b">
        <f>IF(AND(I1775="TP",S1775&lt;=500),VLOOKUP(AF1775,TPCalibEq500!$AZ$2:$BB$56,3,),IF(AND(I1775="TDP",S1775&lt;=500),VLOOKUP(AF1775,TPCalibEq500!$AZ$2:$BB$56,3,)))</f>
        <v>0</v>
      </c>
      <c r="AT1775" s="10" t="str">
        <f>IF(AND(I1775="TN",S1775&lt;=2800),VLOOKUP(AF1775,TNCalibEq2500!$AZ$2:$BB$56,3,),IF(AND(I1775="TDN",S1775&lt;=2800),VLOOKUP(AF1775,TNCalibEq2500!$AZ$2:$BB$56,3,)))</f>
        <v>y=0.9631x2+173.03x-74.605</v>
      </c>
      <c r="AU1775" s="10" t="str">
        <f>IF(I1775="TP",VLOOKUP(AF1775,TPCalibEqFull!$AZ$2:$BB$56,3),IF(I1775="TDP",VLOOKUP(AF1775,TPCalibEqFull!$AZ$2:$BB$56,3),IF(I1775="TDN",VLOOKUP(AF1775,TNCalibEqFull!$AZ$1:$BB$56,3),IF(I1775="TN",VLOOKUP(AF1775,TNCalibEqFull!$AZ$1:$BB$56,3),FALSE))))</f>
        <v>y=-1.0839x2+204.73x-119.55</v>
      </c>
      <c r="AV1775" s="10" t="str">
        <f t="shared" si="201"/>
        <v>0130 11:51:00-TBS-0-C-1-SW-UKN</v>
      </c>
    </row>
    <row r="1776" spans="1:48" s="10" customFormat="1" x14ac:dyDescent="0.55000000000000004">
      <c r="A1776" s="32">
        <v>44949</v>
      </c>
      <c r="B1776" s="33">
        <v>0.33333333333333331</v>
      </c>
      <c r="C1776" s="10" t="s">
        <v>279</v>
      </c>
      <c r="D1776" s="10">
        <v>0</v>
      </c>
      <c r="E1776" s="10" t="s">
        <v>911</v>
      </c>
      <c r="F1776" s="10">
        <v>1</v>
      </c>
      <c r="G1776" s="10" t="s">
        <v>231</v>
      </c>
      <c r="H1776" s="10" t="s">
        <v>322</v>
      </c>
      <c r="I1776" s="10" t="s">
        <v>224</v>
      </c>
      <c r="J1776" s="10">
        <v>41</v>
      </c>
      <c r="K1776" s="12">
        <v>44958</v>
      </c>
      <c r="L1776" s="33">
        <v>0.70076388888888896</v>
      </c>
      <c r="M1776" s="10">
        <v>1</v>
      </c>
      <c r="N1776" s="10" t="s">
        <v>196</v>
      </c>
      <c r="O1776" s="10">
        <v>7.33</v>
      </c>
      <c r="P1776" s="10">
        <v>0.36099999999999999</v>
      </c>
      <c r="Q1776" s="10">
        <v>1240</v>
      </c>
      <c r="R1776" s="10" t="s">
        <v>170</v>
      </c>
      <c r="S1776" s="34">
        <f t="shared" si="198"/>
        <v>1322.8841452899999</v>
      </c>
      <c r="T1776" s="10" t="s">
        <v>1123</v>
      </c>
      <c r="U1776" s="34" t="str">
        <f t="shared" si="199"/>
        <v/>
      </c>
      <c r="V1776" s="31" t="str">
        <f>IF(H1776="CHK",VLOOKUP(I1776,QCCHK,3,),IF(H1776="GUP",VLOOKUP(E1776,QCGUP,2,),IF(AND(H1776="ATP",OR(I1776="TN",I1776="TDN",I1776="TNO2-3",I1776="NO2-3")),VLOOKUP(E1776,QCREC_N,2,),IF(AND(H1776="NIC",OR(I1776="TN",I1776="TDN",I1776="TNO2-3",I1776="NO2-3")),VLOOKUP(E1776,QCNIC_N,2,),IF(AND(H1776="UREA",OR(I1776="TN",I1776="TDN",I1776="TNO2-3",I1776="NO2-3")),VLOOKUP(E1776,QCUREA_N,2,),IF(H1776="PER",VLOOKUP(I1776,QCPER,MATCH(E1776,QCACTUAL!$J$25:$AA$25,0),),IF(H1776="SPK",VLOOKUP(I1776,QCSPK,3,),IF(AND(H1776="ATP",OR(I1776="TP",I1776="TDP")),VLOOKUP(E1776,QCATP_P,2,),""))))))))</f>
        <v/>
      </c>
      <c r="W1776" s="31" t="str">
        <f t="shared" si="200"/>
        <v>TRUE</v>
      </c>
      <c r="X1776" s="31" t="str">
        <f t="shared" si="197"/>
        <v/>
      </c>
      <c r="Y1776" s="10" t="s">
        <v>1116</v>
      </c>
      <c r="Z1776" s="10" t="s">
        <v>910</v>
      </c>
      <c r="AF1776" s="12">
        <v>44958</v>
      </c>
      <c r="AJ1776" s="10">
        <f>0.9631*7.33^2+173.03*7.33-74.605</f>
        <v>1245.45120359</v>
      </c>
      <c r="AK1776" s="10">
        <f>-1.0839*7.33^2+204.73*7.33-119.55</f>
        <v>1322.8841452899999</v>
      </c>
      <c r="AL1776" s="10" t="str">
        <f t="shared" si="202"/>
        <v>FALSE</v>
      </c>
      <c r="AM1776" s="10" t="str">
        <f t="shared" si="202"/>
        <v>FALSE</v>
      </c>
      <c r="AN1776" s="10" t="str">
        <f t="shared" si="202"/>
        <v>FALSE</v>
      </c>
      <c r="AO1776" s="10" t="str">
        <f t="shared" si="203"/>
        <v>y=0.9631*7.33^2+173.03*7.33-74.605</v>
      </c>
      <c r="AP1776" s="10" t="str">
        <f t="shared" si="203"/>
        <v>y=-1.0839*7.33^2+204.73*7.33-119.55</v>
      </c>
      <c r="AQ1776" s="10" t="b">
        <f>IF(AND(I1776="TP",S1776&lt;=150),VLOOKUP(AF1776,TPCalibEq150!$AZ$2:$BB$55,3,),IF(AND(I1776="TDP",S1776&lt;=150),VLOOKUP(AF1776,TPCalibEq150!$AZ$2:$BB$55,3,)))</f>
        <v>0</v>
      </c>
      <c r="AR1776" s="10" t="b">
        <f>IF(AND(I1776="TP",S1776&lt;=300),VLOOKUP(AF1776,TPCalibEq300!$AZ$2:$BB$55,3,),IF(AND(I1776="TDP",S1776&lt;=300),VLOOKUP(AF1776,TPCalibEq300!$AZ$2:$BB$55,3,)))</f>
        <v>0</v>
      </c>
      <c r="AS1776" s="10" t="b">
        <f>IF(AND(I1776="TP",S1776&lt;=500),VLOOKUP(AF1776,TPCalibEq500!$AZ$2:$BB$56,3,),IF(AND(I1776="TDP",S1776&lt;=500),VLOOKUP(AF1776,TPCalibEq500!$AZ$2:$BB$56,3,)))</f>
        <v>0</v>
      </c>
      <c r="AT1776" s="10" t="str">
        <f>IF(AND(I1776="TN",S1776&lt;=2800),VLOOKUP(AF1776,TNCalibEq2500!$AZ$2:$BB$56,3,),IF(AND(I1776="TDN",S1776&lt;=2800),VLOOKUP(AF1776,TNCalibEq2500!$AZ$2:$BB$56,3,)))</f>
        <v>y=0.9631x2+173.03x-74.605</v>
      </c>
      <c r="AU1776" s="10" t="str">
        <f>IF(I1776="TP",VLOOKUP(AF1776,TPCalibEqFull!$AZ$2:$BB$56,3),IF(I1776="TDP",VLOOKUP(AF1776,TPCalibEqFull!$AZ$2:$BB$56,3),IF(I1776="TDN",VLOOKUP(AF1776,TNCalibEqFull!$AZ$1:$BB$56,3),IF(I1776="TN",VLOOKUP(AF1776,TNCalibEqFull!$AZ$1:$BB$56,3),FALSE))))</f>
        <v>y=-1.0839x2+204.73x-119.55</v>
      </c>
      <c r="AV1776" s="10" t="str">
        <f t="shared" si="201"/>
        <v>0123 08:00:00-EFK-0-FIL-1-SW-UKN</v>
      </c>
    </row>
    <row r="1777" spans="1:48" s="10" customFormat="1" x14ac:dyDescent="0.55000000000000004">
      <c r="A1777" s="32">
        <v>44949</v>
      </c>
      <c r="B1777" s="33">
        <v>0.32083333333333336</v>
      </c>
      <c r="C1777" s="10" t="s">
        <v>333</v>
      </c>
      <c r="D1777" s="10">
        <v>0</v>
      </c>
      <c r="E1777" s="10" t="s">
        <v>911</v>
      </c>
      <c r="F1777" s="10">
        <v>1</v>
      </c>
      <c r="G1777" s="10" t="s">
        <v>231</v>
      </c>
      <c r="H1777" s="10" t="s">
        <v>322</v>
      </c>
      <c r="I1777" s="10" t="s">
        <v>224</v>
      </c>
      <c r="J1777" s="10">
        <v>42</v>
      </c>
      <c r="K1777" s="12">
        <v>44958</v>
      </c>
      <c r="L1777" s="33">
        <v>0.70143518518518511</v>
      </c>
      <c r="M1777" s="10">
        <v>1</v>
      </c>
      <c r="N1777" s="10" t="s">
        <v>196</v>
      </c>
      <c r="O1777" s="10">
        <v>6.45</v>
      </c>
      <c r="P1777" s="10">
        <v>0.317</v>
      </c>
      <c r="Q1777" s="10">
        <v>1080</v>
      </c>
      <c r="R1777" s="10" t="s">
        <v>170</v>
      </c>
      <c r="S1777" s="34">
        <f t="shared" si="198"/>
        <v>1155.8655502499998</v>
      </c>
      <c r="T1777" s="10" t="s">
        <v>1123</v>
      </c>
      <c r="U1777" s="34" t="str">
        <f t="shared" si="199"/>
        <v/>
      </c>
      <c r="V1777" s="31" t="str">
        <f>IF(H1777="CHK",VLOOKUP(I1777,QCCHK,3,),IF(H1777="GUP",VLOOKUP(E1777,QCGUP,2,),IF(AND(H1777="ATP",OR(I1777="TN",I1777="TDN",I1777="TNO2-3",I1777="NO2-3")),VLOOKUP(E1777,QCREC_N,2,),IF(AND(H1777="NIC",OR(I1777="TN",I1777="TDN",I1777="TNO2-3",I1777="NO2-3")),VLOOKUP(E1777,QCNIC_N,2,),IF(AND(H1777="UREA",OR(I1777="TN",I1777="TDN",I1777="TNO2-3",I1777="NO2-3")),VLOOKUP(E1777,QCUREA_N,2,),IF(H1777="PER",VLOOKUP(I1777,QCPER,MATCH(E1777,QCACTUAL!$J$25:$AA$25,0),),IF(H1777="SPK",VLOOKUP(I1777,QCSPK,3,),IF(AND(H1777="ATP",OR(I1777="TP",I1777="TDP")),VLOOKUP(E1777,QCATP_P,2,),""))))))))</f>
        <v/>
      </c>
      <c r="W1777" s="31" t="str">
        <f t="shared" si="200"/>
        <v>TRUE</v>
      </c>
      <c r="X1777" s="31" t="str">
        <f t="shared" si="197"/>
        <v/>
      </c>
      <c r="Y1777" s="10" t="s">
        <v>1116</v>
      </c>
      <c r="Z1777" s="10" t="s">
        <v>910</v>
      </c>
      <c r="AF1777" s="12">
        <v>44958</v>
      </c>
      <c r="AJ1777" s="10">
        <f>0.9631*6.45^2+173.03*6.45-74.605</f>
        <v>1081.5058677499999</v>
      </c>
      <c r="AK1777" s="10">
        <f>-1.0839*6.45^2+204.73*6.45-119.55</f>
        <v>1155.8655502499998</v>
      </c>
      <c r="AL1777" s="10" t="str">
        <f t="shared" si="202"/>
        <v>FALSE</v>
      </c>
      <c r="AM1777" s="10" t="str">
        <f t="shared" si="202"/>
        <v>FALSE</v>
      </c>
      <c r="AN1777" s="10" t="str">
        <f t="shared" si="202"/>
        <v>FALSE</v>
      </c>
      <c r="AO1777" s="10" t="str">
        <f t="shared" si="203"/>
        <v>y=0.9631*6.45^2+173.03*6.45-74.605</v>
      </c>
      <c r="AP1777" s="10" t="str">
        <f t="shared" si="203"/>
        <v>y=-1.0839*6.45^2+204.73*6.45-119.55</v>
      </c>
      <c r="AQ1777" s="10" t="b">
        <f>IF(AND(I1777="TP",S1777&lt;=150),VLOOKUP(AF1777,TPCalibEq150!$AZ$2:$BB$55,3,),IF(AND(I1777="TDP",S1777&lt;=150),VLOOKUP(AF1777,TPCalibEq150!$AZ$2:$BB$55,3,)))</f>
        <v>0</v>
      </c>
      <c r="AR1777" s="10" t="b">
        <f>IF(AND(I1777="TP",S1777&lt;=300),VLOOKUP(AF1777,TPCalibEq300!$AZ$2:$BB$55,3,),IF(AND(I1777="TDP",S1777&lt;=300),VLOOKUP(AF1777,TPCalibEq300!$AZ$2:$BB$55,3,)))</f>
        <v>0</v>
      </c>
      <c r="AS1777" s="10" t="b">
        <f>IF(AND(I1777="TP",S1777&lt;=500),VLOOKUP(AF1777,TPCalibEq500!$AZ$2:$BB$56,3,),IF(AND(I1777="TDP",S1777&lt;=500),VLOOKUP(AF1777,TPCalibEq500!$AZ$2:$BB$56,3,)))</f>
        <v>0</v>
      </c>
      <c r="AT1777" s="10" t="str">
        <f>IF(AND(I1777="TN",S1777&lt;=2800),VLOOKUP(AF1777,TNCalibEq2500!$AZ$2:$BB$56,3,),IF(AND(I1777="TDN",S1777&lt;=2800),VLOOKUP(AF1777,TNCalibEq2500!$AZ$2:$BB$56,3,)))</f>
        <v>y=0.9631x2+173.03x-74.605</v>
      </c>
      <c r="AU1777" s="10" t="str">
        <f>IF(I1777="TP",VLOOKUP(AF1777,TPCalibEqFull!$AZ$2:$BB$56,3),IF(I1777="TDP",VLOOKUP(AF1777,TPCalibEqFull!$AZ$2:$BB$56,3),IF(I1777="TDN",VLOOKUP(AF1777,TNCalibEqFull!$AZ$1:$BB$56,3),IF(I1777="TN",VLOOKUP(AF1777,TNCalibEqFull!$AZ$1:$BB$56,3),FALSE))))</f>
        <v>y=-1.0839x2+204.73x-119.55</v>
      </c>
      <c r="AV1777" s="10" t="str">
        <f t="shared" si="201"/>
        <v>0123 07:42:00-HST-0-FIL-1-SW-UKN</v>
      </c>
    </row>
    <row r="1778" spans="1:48" s="10" customFormat="1" x14ac:dyDescent="0.55000000000000004">
      <c r="A1778" s="32">
        <v>44950</v>
      </c>
      <c r="B1778" s="33">
        <v>0.5708333333333333</v>
      </c>
      <c r="C1778" s="10" t="s">
        <v>279</v>
      </c>
      <c r="D1778" s="10">
        <v>0</v>
      </c>
      <c r="E1778" s="10" t="s">
        <v>911</v>
      </c>
      <c r="F1778" s="10">
        <v>1</v>
      </c>
      <c r="G1778" s="10" t="s">
        <v>231</v>
      </c>
      <c r="H1778" s="10" t="s">
        <v>322</v>
      </c>
      <c r="I1778" s="10" t="s">
        <v>224</v>
      </c>
      <c r="J1778" s="10">
        <v>43</v>
      </c>
      <c r="K1778" s="12">
        <v>44958</v>
      </c>
      <c r="L1778" s="33">
        <v>0.70209490740740732</v>
      </c>
      <c r="M1778" s="10">
        <v>1</v>
      </c>
      <c r="N1778" s="10" t="s">
        <v>196</v>
      </c>
      <c r="O1778" s="10">
        <v>6.75</v>
      </c>
      <c r="P1778" s="10">
        <v>0.33200000000000002</v>
      </c>
      <c r="Q1778" s="10">
        <v>1140</v>
      </c>
      <c r="R1778" s="10" t="s">
        <v>170</v>
      </c>
      <c r="S1778" s="34">
        <f t="shared" si="198"/>
        <v>1212.99230625</v>
      </c>
      <c r="T1778" s="10" t="s">
        <v>1123</v>
      </c>
      <c r="U1778" s="34" t="str">
        <f t="shared" si="199"/>
        <v/>
      </c>
      <c r="V1778" s="31" t="str">
        <f>IF(H1778="CHK",VLOOKUP(I1778,QCCHK,3,),IF(H1778="GUP",VLOOKUP(E1778,QCGUP,2,),IF(AND(H1778="ATP",OR(I1778="TN",I1778="TDN",I1778="TNO2-3",I1778="NO2-3")),VLOOKUP(E1778,QCREC_N,2,),IF(AND(H1778="NIC",OR(I1778="TN",I1778="TDN",I1778="TNO2-3",I1778="NO2-3")),VLOOKUP(E1778,QCNIC_N,2,),IF(AND(H1778="UREA",OR(I1778="TN",I1778="TDN",I1778="TNO2-3",I1778="NO2-3")),VLOOKUP(E1778,QCUREA_N,2,),IF(H1778="PER",VLOOKUP(I1778,QCPER,MATCH(E1778,QCACTUAL!$J$25:$AA$25,0),),IF(H1778="SPK",VLOOKUP(I1778,QCSPK,3,),IF(AND(H1778="ATP",OR(I1778="TP",I1778="TDP")),VLOOKUP(E1778,QCATP_P,2,),""))))))))</f>
        <v/>
      </c>
      <c r="W1778" s="31" t="str">
        <f t="shared" si="200"/>
        <v>TRUE</v>
      </c>
      <c r="X1778" s="31" t="str">
        <f t="shared" si="197"/>
        <v/>
      </c>
      <c r="Y1778" s="10" t="s">
        <v>1116</v>
      </c>
      <c r="Z1778" s="10" t="s">
        <v>910</v>
      </c>
      <c r="AF1778" s="12">
        <v>44958</v>
      </c>
      <c r="AJ1778" s="10">
        <f>0.9631*6.75^2+173.03*6.75-74.605</f>
        <v>1137.2287437500001</v>
      </c>
      <c r="AK1778" s="10">
        <f>-1.0839*6.75^2+204.73*6.75-119.55</f>
        <v>1212.99230625</v>
      </c>
      <c r="AL1778" s="10" t="str">
        <f t="shared" si="202"/>
        <v>FALSE</v>
      </c>
      <c r="AM1778" s="10" t="str">
        <f t="shared" si="202"/>
        <v>FALSE</v>
      </c>
      <c r="AN1778" s="10" t="str">
        <f t="shared" si="202"/>
        <v>FALSE</v>
      </c>
      <c r="AO1778" s="10" t="str">
        <f t="shared" si="203"/>
        <v>y=0.9631*6.75^2+173.03*6.75-74.605</v>
      </c>
      <c r="AP1778" s="10" t="str">
        <f t="shared" si="203"/>
        <v>y=-1.0839*6.75^2+204.73*6.75-119.55</v>
      </c>
      <c r="AQ1778" s="10" t="b">
        <f>IF(AND(I1778="TP",S1778&lt;=150),VLOOKUP(AF1778,TPCalibEq150!$AZ$2:$BB$55,3,),IF(AND(I1778="TDP",S1778&lt;=150),VLOOKUP(AF1778,TPCalibEq150!$AZ$2:$BB$55,3,)))</f>
        <v>0</v>
      </c>
      <c r="AR1778" s="10" t="b">
        <f>IF(AND(I1778="TP",S1778&lt;=300),VLOOKUP(AF1778,TPCalibEq300!$AZ$2:$BB$55,3,),IF(AND(I1778="TDP",S1778&lt;=300),VLOOKUP(AF1778,TPCalibEq300!$AZ$2:$BB$55,3,)))</f>
        <v>0</v>
      </c>
      <c r="AS1778" s="10" t="b">
        <f>IF(AND(I1778="TP",S1778&lt;=500),VLOOKUP(AF1778,TPCalibEq500!$AZ$2:$BB$56,3,),IF(AND(I1778="TDP",S1778&lt;=500),VLOOKUP(AF1778,TPCalibEq500!$AZ$2:$BB$56,3,)))</f>
        <v>0</v>
      </c>
      <c r="AT1778" s="10" t="str">
        <f>IF(AND(I1778="TN",S1778&lt;=2800),VLOOKUP(AF1778,TNCalibEq2500!$AZ$2:$BB$56,3,),IF(AND(I1778="TDN",S1778&lt;=2800),VLOOKUP(AF1778,TNCalibEq2500!$AZ$2:$BB$56,3,)))</f>
        <v>y=0.9631x2+173.03x-74.605</v>
      </c>
      <c r="AU1778" s="10" t="str">
        <f>IF(I1778="TP",VLOOKUP(AF1778,TPCalibEqFull!$AZ$2:$BB$56,3),IF(I1778="TDP",VLOOKUP(AF1778,TPCalibEqFull!$AZ$2:$BB$56,3),IF(I1778="TDN",VLOOKUP(AF1778,TNCalibEqFull!$AZ$1:$BB$56,3),IF(I1778="TN",VLOOKUP(AF1778,TNCalibEqFull!$AZ$1:$BB$56,3),FALSE))))</f>
        <v>y=-1.0839x2+204.73x-119.55</v>
      </c>
      <c r="AV1778" s="10" t="str">
        <f t="shared" si="201"/>
        <v>0124 13:42:00-EFK-0-FIL-1-SW-UKN</v>
      </c>
    </row>
    <row r="1779" spans="1:48" s="10" customFormat="1" x14ac:dyDescent="0.55000000000000004">
      <c r="A1779" s="32">
        <v>44950</v>
      </c>
      <c r="B1779" s="33">
        <v>0.60555555555555551</v>
      </c>
      <c r="C1779" s="10" t="s">
        <v>333</v>
      </c>
      <c r="D1779" s="10">
        <v>0</v>
      </c>
      <c r="E1779" s="10" t="s">
        <v>911</v>
      </c>
      <c r="F1779" s="10">
        <v>1</v>
      </c>
      <c r="G1779" s="10" t="s">
        <v>231</v>
      </c>
      <c r="H1779" s="10" t="s">
        <v>322</v>
      </c>
      <c r="I1779" s="10" t="s">
        <v>224</v>
      </c>
      <c r="J1779" s="10">
        <v>44</v>
      </c>
      <c r="K1779" s="12">
        <v>44958</v>
      </c>
      <c r="L1779" s="33">
        <v>0.70275462962962953</v>
      </c>
      <c r="M1779" s="10">
        <v>1</v>
      </c>
      <c r="N1779" s="10" t="s">
        <v>196</v>
      </c>
      <c r="O1779" s="10">
        <v>7.96</v>
      </c>
      <c r="P1779" s="10">
        <v>0.39</v>
      </c>
      <c r="Q1779" s="10">
        <v>1350</v>
      </c>
      <c r="R1779" s="10" t="s">
        <v>170</v>
      </c>
      <c r="S1779" s="34">
        <f t="shared" si="198"/>
        <v>1441.4231617599999</v>
      </c>
      <c r="T1779" s="10" t="s">
        <v>1123</v>
      </c>
      <c r="U1779" s="34" t="str">
        <f t="shared" si="199"/>
        <v/>
      </c>
      <c r="V1779" s="31" t="str">
        <f>IF(H1779="CHK",VLOOKUP(I1779,QCCHK,3,),IF(H1779="GUP",VLOOKUP(E1779,QCGUP,2,),IF(AND(H1779="ATP",OR(I1779="TN",I1779="TDN",I1779="TNO2-3",I1779="NO2-3")),VLOOKUP(E1779,QCREC_N,2,),IF(AND(H1779="NIC",OR(I1779="TN",I1779="TDN",I1779="TNO2-3",I1779="NO2-3")),VLOOKUP(E1779,QCNIC_N,2,),IF(AND(H1779="UREA",OR(I1779="TN",I1779="TDN",I1779="TNO2-3",I1779="NO2-3")),VLOOKUP(E1779,QCUREA_N,2,),IF(H1779="PER",VLOOKUP(I1779,QCPER,MATCH(E1779,QCACTUAL!$J$25:$AA$25,0),),IF(H1779="SPK",VLOOKUP(I1779,QCSPK,3,),IF(AND(H1779="ATP",OR(I1779="TP",I1779="TDP")),VLOOKUP(E1779,QCATP_P,2,),""))))))))</f>
        <v/>
      </c>
      <c r="W1779" s="31" t="str">
        <f t="shared" si="200"/>
        <v>TRUE</v>
      </c>
      <c r="X1779" s="31" t="str">
        <f t="shared" si="197"/>
        <v/>
      </c>
      <c r="Y1779" s="10" t="s">
        <v>1116</v>
      </c>
      <c r="Z1779" s="10" t="s">
        <v>910</v>
      </c>
      <c r="AF1779" s="12">
        <v>44958</v>
      </c>
      <c r="AJ1779" s="10">
        <f>0.9631*7.96^2+173.03*7.96-74.605</f>
        <v>1363.7373569599999</v>
      </c>
      <c r="AK1779" s="10">
        <f>-1.0839*7.96^2+204.73*7.96-119.55</f>
        <v>1441.4231617599999</v>
      </c>
      <c r="AL1779" s="10" t="str">
        <f t="shared" si="202"/>
        <v>FALSE</v>
      </c>
      <c r="AM1779" s="10" t="str">
        <f t="shared" si="202"/>
        <v>FALSE</v>
      </c>
      <c r="AN1779" s="10" t="str">
        <f t="shared" si="202"/>
        <v>FALSE</v>
      </c>
      <c r="AO1779" s="10" t="str">
        <f t="shared" si="203"/>
        <v>y=0.9631*7.96^2+173.03*7.96-74.605</v>
      </c>
      <c r="AP1779" s="10" t="str">
        <f t="shared" si="203"/>
        <v>y=-1.0839*7.96^2+204.73*7.96-119.55</v>
      </c>
      <c r="AQ1779" s="10" t="b">
        <f>IF(AND(I1779="TP",S1779&lt;=150),VLOOKUP(AF1779,TPCalibEq150!$AZ$2:$BB$55,3,),IF(AND(I1779="TDP",S1779&lt;=150),VLOOKUP(AF1779,TPCalibEq150!$AZ$2:$BB$55,3,)))</f>
        <v>0</v>
      </c>
      <c r="AR1779" s="10" t="b">
        <f>IF(AND(I1779="TP",S1779&lt;=300),VLOOKUP(AF1779,TPCalibEq300!$AZ$2:$BB$55,3,),IF(AND(I1779="TDP",S1779&lt;=300),VLOOKUP(AF1779,TPCalibEq300!$AZ$2:$BB$55,3,)))</f>
        <v>0</v>
      </c>
      <c r="AS1779" s="10" t="b">
        <f>IF(AND(I1779="TP",S1779&lt;=500),VLOOKUP(AF1779,TPCalibEq500!$AZ$2:$BB$56,3,),IF(AND(I1779="TDP",S1779&lt;=500),VLOOKUP(AF1779,TPCalibEq500!$AZ$2:$BB$56,3,)))</f>
        <v>0</v>
      </c>
      <c r="AT1779" s="10" t="str">
        <f>IF(AND(I1779="TN",S1779&lt;=2800),VLOOKUP(AF1779,TNCalibEq2500!$AZ$2:$BB$56,3,),IF(AND(I1779="TDN",S1779&lt;=2800),VLOOKUP(AF1779,TNCalibEq2500!$AZ$2:$BB$56,3,)))</f>
        <v>y=0.9631x2+173.03x-74.605</v>
      </c>
      <c r="AU1779" s="10" t="str">
        <f>IF(I1779="TP",VLOOKUP(AF1779,TPCalibEqFull!$AZ$2:$BB$56,3),IF(I1779="TDP",VLOOKUP(AF1779,TPCalibEqFull!$AZ$2:$BB$56,3),IF(I1779="TDN",VLOOKUP(AF1779,TNCalibEqFull!$AZ$1:$BB$56,3),IF(I1779="TN",VLOOKUP(AF1779,TNCalibEqFull!$AZ$1:$BB$56,3),FALSE))))</f>
        <v>y=-1.0839x2+204.73x-119.55</v>
      </c>
      <c r="AV1779" s="10" t="str">
        <f t="shared" si="201"/>
        <v>0124 14:32:00-HST-0-FIL-1-SW-UKN</v>
      </c>
    </row>
    <row r="1780" spans="1:48" s="10" customFormat="1" x14ac:dyDescent="0.55000000000000004">
      <c r="A1780" s="32">
        <v>44951</v>
      </c>
      <c r="B1780" s="33">
        <v>0.23541666666666669</v>
      </c>
      <c r="C1780" s="10" t="s">
        <v>279</v>
      </c>
      <c r="D1780" s="10">
        <v>0</v>
      </c>
      <c r="E1780" s="10" t="s">
        <v>911</v>
      </c>
      <c r="F1780" s="10">
        <v>1</v>
      </c>
      <c r="G1780" s="10" t="s">
        <v>231</v>
      </c>
      <c r="H1780" s="10" t="s">
        <v>322</v>
      </c>
      <c r="I1780" s="10" t="s">
        <v>224</v>
      </c>
      <c r="J1780" s="10">
        <v>45</v>
      </c>
      <c r="K1780" s="12">
        <v>44958</v>
      </c>
      <c r="L1780" s="33">
        <v>0.70341435185185175</v>
      </c>
      <c r="M1780" s="10">
        <v>1</v>
      </c>
      <c r="N1780" s="10" t="s">
        <v>196</v>
      </c>
      <c r="O1780" s="10">
        <v>7.01</v>
      </c>
      <c r="P1780" s="10">
        <v>0.34499999999999997</v>
      </c>
      <c r="Q1780" s="10">
        <v>1180</v>
      </c>
      <c r="R1780" s="10" t="s">
        <v>170</v>
      </c>
      <c r="S1780" s="34">
        <f t="shared" si="198"/>
        <v>1262.3443456099999</v>
      </c>
      <c r="T1780" s="10" t="s">
        <v>1123</v>
      </c>
      <c r="U1780" s="34" t="str">
        <f t="shared" si="199"/>
        <v/>
      </c>
      <c r="V1780" s="31" t="str">
        <f>IF(H1780="CHK",VLOOKUP(I1780,QCCHK,3,),IF(H1780="GUP",VLOOKUP(E1780,QCGUP,2,),IF(AND(H1780="ATP",OR(I1780="TN",I1780="TDN",I1780="TNO2-3",I1780="NO2-3")),VLOOKUP(E1780,QCREC_N,2,),IF(AND(H1780="NIC",OR(I1780="TN",I1780="TDN",I1780="TNO2-3",I1780="NO2-3")),VLOOKUP(E1780,QCNIC_N,2,),IF(AND(H1780="UREA",OR(I1780="TN",I1780="TDN",I1780="TNO2-3",I1780="NO2-3")),VLOOKUP(E1780,QCUREA_N,2,),IF(H1780="PER",VLOOKUP(I1780,QCPER,MATCH(E1780,QCACTUAL!$J$25:$AA$25,0),),IF(H1780="SPK",VLOOKUP(I1780,QCSPK,3,),IF(AND(H1780="ATP",OR(I1780="TP",I1780="TDP")),VLOOKUP(E1780,QCATP_P,2,),""))))))))</f>
        <v/>
      </c>
      <c r="W1780" s="31" t="str">
        <f t="shared" si="200"/>
        <v>TRUE</v>
      </c>
      <c r="X1780" s="31" t="str">
        <f t="shared" si="197"/>
        <v/>
      </c>
      <c r="Y1780" s="10" t="s">
        <v>1116</v>
      </c>
      <c r="Z1780" s="10" t="s">
        <v>910</v>
      </c>
      <c r="AF1780" s="12">
        <v>44958</v>
      </c>
      <c r="AJ1780" s="10">
        <f>0.9631*7.01^2+173.03*7.01-74.605</f>
        <v>1185.6621303100001</v>
      </c>
      <c r="AK1780" s="10">
        <f>-1.0839*7.01^2+204.73*7.01-119.55</f>
        <v>1262.3443456099999</v>
      </c>
      <c r="AL1780" s="10" t="str">
        <f t="shared" si="202"/>
        <v>FALSE</v>
      </c>
      <c r="AM1780" s="10" t="str">
        <f t="shared" si="202"/>
        <v>FALSE</v>
      </c>
      <c r="AN1780" s="10" t="str">
        <f t="shared" si="202"/>
        <v>FALSE</v>
      </c>
      <c r="AO1780" s="10" t="str">
        <f t="shared" si="203"/>
        <v>y=0.9631*7.01^2+173.03*7.01-74.605</v>
      </c>
      <c r="AP1780" s="10" t="str">
        <f t="shared" si="203"/>
        <v>y=-1.0839*7.01^2+204.73*7.01-119.55</v>
      </c>
      <c r="AQ1780" s="10" t="b">
        <f>IF(AND(I1780="TP",S1780&lt;=150),VLOOKUP(AF1780,TPCalibEq150!$AZ$2:$BB$55,3,),IF(AND(I1780="TDP",S1780&lt;=150),VLOOKUP(AF1780,TPCalibEq150!$AZ$2:$BB$55,3,)))</f>
        <v>0</v>
      </c>
      <c r="AR1780" s="10" t="b">
        <f>IF(AND(I1780="TP",S1780&lt;=300),VLOOKUP(AF1780,TPCalibEq300!$AZ$2:$BB$55,3,),IF(AND(I1780="TDP",S1780&lt;=300),VLOOKUP(AF1780,TPCalibEq300!$AZ$2:$BB$55,3,)))</f>
        <v>0</v>
      </c>
      <c r="AS1780" s="10" t="b">
        <f>IF(AND(I1780="TP",S1780&lt;=500),VLOOKUP(AF1780,TPCalibEq500!$AZ$2:$BB$56,3,),IF(AND(I1780="TDP",S1780&lt;=500),VLOOKUP(AF1780,TPCalibEq500!$AZ$2:$BB$56,3,)))</f>
        <v>0</v>
      </c>
      <c r="AT1780" s="10" t="str">
        <f>IF(AND(I1780="TN",S1780&lt;=2800),VLOOKUP(AF1780,TNCalibEq2500!$AZ$2:$BB$56,3,),IF(AND(I1780="TDN",S1780&lt;=2800),VLOOKUP(AF1780,TNCalibEq2500!$AZ$2:$BB$56,3,)))</f>
        <v>y=0.9631x2+173.03x-74.605</v>
      </c>
      <c r="AU1780" s="10" t="str">
        <f>IF(I1780="TP",VLOOKUP(AF1780,TPCalibEqFull!$AZ$2:$BB$56,3),IF(I1780="TDP",VLOOKUP(AF1780,TPCalibEqFull!$AZ$2:$BB$56,3),IF(I1780="TDN",VLOOKUP(AF1780,TNCalibEqFull!$AZ$1:$BB$56,3),IF(I1780="TN",VLOOKUP(AF1780,TNCalibEqFull!$AZ$1:$BB$56,3),FALSE))))</f>
        <v>y=-1.0839x2+204.73x-119.55</v>
      </c>
      <c r="AV1780" s="10" t="str">
        <f t="shared" si="201"/>
        <v>0125 05:39:00-EFK-0-FIL-1-SW-UKN</v>
      </c>
    </row>
    <row r="1781" spans="1:48" s="10" customFormat="1" x14ac:dyDescent="0.55000000000000004">
      <c r="A1781" s="32">
        <v>44951</v>
      </c>
      <c r="B1781" s="33">
        <v>0.23750000000000002</v>
      </c>
      <c r="C1781" s="10" t="s">
        <v>333</v>
      </c>
      <c r="D1781" s="10">
        <v>0</v>
      </c>
      <c r="E1781" s="10" t="s">
        <v>911</v>
      </c>
      <c r="F1781" s="10">
        <v>1</v>
      </c>
      <c r="G1781" s="10" t="s">
        <v>231</v>
      </c>
      <c r="H1781" s="10" t="s">
        <v>322</v>
      </c>
      <c r="I1781" s="10" t="s">
        <v>224</v>
      </c>
      <c r="J1781" s="10">
        <v>46</v>
      </c>
      <c r="K1781" s="12">
        <v>44958</v>
      </c>
      <c r="L1781" s="33">
        <v>0.70409722222222226</v>
      </c>
      <c r="M1781" s="10">
        <v>1</v>
      </c>
      <c r="N1781" s="10" t="s">
        <v>196</v>
      </c>
      <c r="O1781" s="10">
        <v>5.93</v>
      </c>
      <c r="P1781" s="10">
        <v>0.29099999999999998</v>
      </c>
      <c r="Q1781" s="10">
        <v>994</v>
      </c>
      <c r="R1781" s="10" t="s">
        <v>170</v>
      </c>
      <c r="S1781" s="34">
        <f t="shared" si="198"/>
        <v>1056.3836648899999</v>
      </c>
      <c r="T1781" s="10" t="s">
        <v>1123</v>
      </c>
      <c r="U1781" s="34" t="str">
        <f t="shared" si="199"/>
        <v/>
      </c>
      <c r="V1781" s="31" t="str">
        <f>IF(H1781="CHK",VLOOKUP(I1781,QCCHK,3,),IF(H1781="GUP",VLOOKUP(E1781,QCGUP,2,),IF(AND(H1781="ATP",OR(I1781="TN",I1781="TDN",I1781="TNO2-3",I1781="NO2-3")),VLOOKUP(E1781,QCREC_N,2,),IF(AND(H1781="NIC",OR(I1781="TN",I1781="TDN",I1781="TNO2-3",I1781="NO2-3")),VLOOKUP(E1781,QCNIC_N,2,),IF(AND(H1781="UREA",OR(I1781="TN",I1781="TDN",I1781="TNO2-3",I1781="NO2-3")),VLOOKUP(E1781,QCUREA_N,2,),IF(H1781="PER",VLOOKUP(I1781,QCPER,MATCH(E1781,QCACTUAL!$J$25:$AA$25,0),),IF(H1781="SPK",VLOOKUP(I1781,QCSPK,3,),IF(AND(H1781="ATP",OR(I1781="TP",I1781="TDP")),VLOOKUP(E1781,QCATP_P,2,),""))))))))</f>
        <v/>
      </c>
      <c r="W1781" s="31" t="str">
        <f t="shared" si="200"/>
        <v>TRUE</v>
      </c>
      <c r="X1781" s="31" t="str">
        <f t="shared" si="197"/>
        <v/>
      </c>
      <c r="Y1781" s="10" t="s">
        <v>1116</v>
      </c>
      <c r="Z1781" s="10" t="s">
        <v>910</v>
      </c>
      <c r="AF1781" s="12">
        <v>44958</v>
      </c>
      <c r="AJ1781" s="10">
        <f>0.9631*5.93^2+173.03*5.93-74.605</f>
        <v>985.33021518999999</v>
      </c>
      <c r="AK1781" s="10">
        <f>-1.0839*5.93^2+204.73*5.93-119.55</f>
        <v>1056.3836648899999</v>
      </c>
      <c r="AL1781" s="10" t="str">
        <f t="shared" si="202"/>
        <v>FALSE</v>
      </c>
      <c r="AM1781" s="10" t="str">
        <f t="shared" si="202"/>
        <v>FALSE</v>
      </c>
      <c r="AN1781" s="10" t="str">
        <f t="shared" si="202"/>
        <v>FALSE</v>
      </c>
      <c r="AO1781" s="10" t="str">
        <f t="shared" si="203"/>
        <v>y=0.9631*5.93^2+173.03*5.93-74.605</v>
      </c>
      <c r="AP1781" s="10" t="str">
        <f t="shared" si="203"/>
        <v>y=-1.0839*5.93^2+204.73*5.93-119.55</v>
      </c>
      <c r="AQ1781" s="10" t="b">
        <f>IF(AND(I1781="TP",S1781&lt;=150),VLOOKUP(AF1781,TPCalibEq150!$AZ$2:$BB$55,3,),IF(AND(I1781="TDP",S1781&lt;=150),VLOOKUP(AF1781,TPCalibEq150!$AZ$2:$BB$55,3,)))</f>
        <v>0</v>
      </c>
      <c r="AR1781" s="10" t="b">
        <f>IF(AND(I1781="TP",S1781&lt;=300),VLOOKUP(AF1781,TPCalibEq300!$AZ$2:$BB$55,3,),IF(AND(I1781="TDP",S1781&lt;=300),VLOOKUP(AF1781,TPCalibEq300!$AZ$2:$BB$55,3,)))</f>
        <v>0</v>
      </c>
      <c r="AS1781" s="10" t="b">
        <f>IF(AND(I1781="TP",S1781&lt;=500),VLOOKUP(AF1781,TPCalibEq500!$AZ$2:$BB$56,3,),IF(AND(I1781="TDP",S1781&lt;=500),VLOOKUP(AF1781,TPCalibEq500!$AZ$2:$BB$56,3,)))</f>
        <v>0</v>
      </c>
      <c r="AT1781" s="10" t="str">
        <f>IF(AND(I1781="TN",S1781&lt;=2800),VLOOKUP(AF1781,TNCalibEq2500!$AZ$2:$BB$56,3,),IF(AND(I1781="TDN",S1781&lt;=2800),VLOOKUP(AF1781,TNCalibEq2500!$AZ$2:$BB$56,3,)))</f>
        <v>y=0.9631x2+173.03x-74.605</v>
      </c>
      <c r="AU1781" s="10" t="str">
        <f>IF(I1781="TP",VLOOKUP(AF1781,TPCalibEqFull!$AZ$2:$BB$56,3),IF(I1781="TDP",VLOOKUP(AF1781,TPCalibEqFull!$AZ$2:$BB$56,3),IF(I1781="TDN",VLOOKUP(AF1781,TNCalibEqFull!$AZ$1:$BB$56,3),IF(I1781="TN",VLOOKUP(AF1781,TNCalibEqFull!$AZ$1:$BB$56,3),FALSE))))</f>
        <v>y=-1.0839x2+204.73x-119.55</v>
      </c>
      <c r="AV1781" s="10" t="str">
        <f t="shared" si="201"/>
        <v>0125 05:42:00-HST-0-FIL-1-SW-UKN</v>
      </c>
    </row>
    <row r="1782" spans="1:48" s="10" customFormat="1" x14ac:dyDescent="0.55000000000000004">
      <c r="A1782" s="32">
        <v>44952</v>
      </c>
      <c r="B1782" s="33">
        <v>0.39930555555555558</v>
      </c>
      <c r="C1782" s="10" t="s">
        <v>279</v>
      </c>
      <c r="D1782" s="10">
        <v>0</v>
      </c>
      <c r="E1782" s="10" t="s">
        <v>911</v>
      </c>
      <c r="F1782" s="10">
        <v>1</v>
      </c>
      <c r="G1782" s="10" t="s">
        <v>231</v>
      </c>
      <c r="H1782" s="10" t="s">
        <v>322</v>
      </c>
      <c r="I1782" s="10" t="s">
        <v>224</v>
      </c>
      <c r="J1782" s="10">
        <v>47</v>
      </c>
      <c r="K1782" s="12">
        <v>44958</v>
      </c>
      <c r="L1782" s="33">
        <v>0.70476851851851852</v>
      </c>
      <c r="M1782" s="10">
        <v>1</v>
      </c>
      <c r="N1782" s="10" t="s">
        <v>196</v>
      </c>
      <c r="O1782" s="10">
        <v>6.78</v>
      </c>
      <c r="P1782" s="10">
        <v>0.33300000000000002</v>
      </c>
      <c r="Q1782" s="10">
        <v>1140</v>
      </c>
      <c r="R1782" s="10" t="s">
        <v>170</v>
      </c>
      <c r="S1782" s="34">
        <f t="shared" si="198"/>
        <v>1218.6942512400001</v>
      </c>
      <c r="T1782" s="10" t="s">
        <v>1123</v>
      </c>
      <c r="U1782" s="34" t="str">
        <f t="shared" si="199"/>
        <v/>
      </c>
      <c r="V1782" s="31" t="str">
        <f>IF(H1782="CHK",VLOOKUP(I1782,QCCHK,3,),IF(H1782="GUP",VLOOKUP(E1782,QCGUP,2,),IF(AND(H1782="ATP",OR(I1782="TN",I1782="TDN",I1782="TNO2-3",I1782="NO2-3")),VLOOKUP(E1782,QCREC_N,2,),IF(AND(H1782="NIC",OR(I1782="TN",I1782="TDN",I1782="TNO2-3",I1782="NO2-3")),VLOOKUP(E1782,QCNIC_N,2,),IF(AND(H1782="UREA",OR(I1782="TN",I1782="TDN",I1782="TNO2-3",I1782="NO2-3")),VLOOKUP(E1782,QCUREA_N,2,),IF(H1782="PER",VLOOKUP(I1782,QCPER,MATCH(E1782,QCACTUAL!$J$25:$AA$25,0),),IF(H1782="SPK",VLOOKUP(I1782,QCSPK,3,),IF(AND(H1782="ATP",OR(I1782="TP",I1782="TDP")),VLOOKUP(E1782,QCATP_P,2,),""))))))))</f>
        <v/>
      </c>
      <c r="W1782" s="31" t="str">
        <f t="shared" si="200"/>
        <v>TRUE</v>
      </c>
      <c r="X1782" s="31" t="str">
        <f t="shared" si="197"/>
        <v/>
      </c>
      <c r="Y1782" s="10" t="s">
        <v>1116</v>
      </c>
      <c r="Z1782" s="10" t="s">
        <v>910</v>
      </c>
      <c r="AF1782" s="12">
        <v>44958</v>
      </c>
      <c r="AJ1782" s="10">
        <f>0.9631*6.78^2+173.03*6.78-74.605</f>
        <v>1142.8105660400001</v>
      </c>
      <c r="AK1782" s="10">
        <f>-1.0839*6.78^2+204.73*6.78-119.55</f>
        <v>1218.6942512400001</v>
      </c>
      <c r="AL1782" s="10" t="str">
        <f t="shared" si="202"/>
        <v>FALSE</v>
      </c>
      <c r="AM1782" s="10" t="str">
        <f t="shared" si="202"/>
        <v>FALSE</v>
      </c>
      <c r="AN1782" s="10" t="str">
        <f t="shared" si="202"/>
        <v>FALSE</v>
      </c>
      <c r="AO1782" s="10" t="str">
        <f t="shared" si="203"/>
        <v>y=0.9631*6.78^2+173.03*6.78-74.605</v>
      </c>
      <c r="AP1782" s="10" t="str">
        <f t="shared" si="203"/>
        <v>y=-1.0839*6.78^2+204.73*6.78-119.55</v>
      </c>
      <c r="AQ1782" s="10" t="b">
        <f>IF(AND(I1782="TP",S1782&lt;=150),VLOOKUP(AF1782,TPCalibEq150!$AZ$2:$BB$55,3,),IF(AND(I1782="TDP",S1782&lt;=150),VLOOKUP(AF1782,TPCalibEq150!$AZ$2:$BB$55,3,)))</f>
        <v>0</v>
      </c>
      <c r="AR1782" s="10" t="b">
        <f>IF(AND(I1782="TP",S1782&lt;=300),VLOOKUP(AF1782,TPCalibEq300!$AZ$2:$BB$55,3,),IF(AND(I1782="TDP",S1782&lt;=300),VLOOKUP(AF1782,TPCalibEq300!$AZ$2:$BB$55,3,)))</f>
        <v>0</v>
      </c>
      <c r="AS1782" s="10" t="b">
        <f>IF(AND(I1782="TP",S1782&lt;=500),VLOOKUP(AF1782,TPCalibEq500!$AZ$2:$BB$56,3,),IF(AND(I1782="TDP",S1782&lt;=500),VLOOKUP(AF1782,TPCalibEq500!$AZ$2:$BB$56,3,)))</f>
        <v>0</v>
      </c>
      <c r="AT1782" s="10" t="str">
        <f>IF(AND(I1782="TN",S1782&lt;=2800),VLOOKUP(AF1782,TNCalibEq2500!$AZ$2:$BB$56,3,),IF(AND(I1782="TDN",S1782&lt;=2800),VLOOKUP(AF1782,TNCalibEq2500!$AZ$2:$BB$56,3,)))</f>
        <v>y=0.9631x2+173.03x-74.605</v>
      </c>
      <c r="AU1782" s="10" t="str">
        <f>IF(I1782="TP",VLOOKUP(AF1782,TPCalibEqFull!$AZ$2:$BB$56,3),IF(I1782="TDP",VLOOKUP(AF1782,TPCalibEqFull!$AZ$2:$BB$56,3),IF(I1782="TDN",VLOOKUP(AF1782,TNCalibEqFull!$AZ$1:$BB$56,3),IF(I1782="TN",VLOOKUP(AF1782,TNCalibEqFull!$AZ$1:$BB$56,3),FALSE))))</f>
        <v>y=-1.0839x2+204.73x-119.55</v>
      </c>
      <c r="AV1782" s="10" t="str">
        <f t="shared" si="201"/>
        <v>0126 09:35:00-EFK-0-FIL-1-SW-UKN</v>
      </c>
    </row>
    <row r="1783" spans="1:48" s="10" customFormat="1" x14ac:dyDescent="0.55000000000000004">
      <c r="A1783" s="32">
        <v>44952</v>
      </c>
      <c r="B1783" s="33">
        <v>0.40416666666666662</v>
      </c>
      <c r="C1783" s="10" t="s">
        <v>333</v>
      </c>
      <c r="D1783" s="10">
        <v>0</v>
      </c>
      <c r="E1783" s="10" t="s">
        <v>911</v>
      </c>
      <c r="F1783" s="10" t="s">
        <v>190</v>
      </c>
      <c r="G1783" s="10" t="s">
        <v>231</v>
      </c>
      <c r="H1783" s="10" t="s">
        <v>322</v>
      </c>
      <c r="I1783" s="10" t="s">
        <v>224</v>
      </c>
      <c r="J1783" s="10">
        <v>48</v>
      </c>
      <c r="K1783" s="12">
        <v>44958</v>
      </c>
      <c r="L1783" s="33">
        <v>0.70545138888888881</v>
      </c>
      <c r="M1783" s="10">
        <v>1</v>
      </c>
      <c r="N1783" s="10" t="s">
        <v>196</v>
      </c>
      <c r="O1783" s="10">
        <v>6.52</v>
      </c>
      <c r="P1783" s="10">
        <v>0.32100000000000001</v>
      </c>
      <c r="Q1783" s="10">
        <v>1100</v>
      </c>
      <c r="R1783" s="10" t="s">
        <v>170</v>
      </c>
      <c r="S1783" s="34">
        <f t="shared" si="198"/>
        <v>1169.2125774399999</v>
      </c>
      <c r="T1783" s="10" t="s">
        <v>1123</v>
      </c>
      <c r="U1783" s="34" t="str">
        <f t="shared" si="199"/>
        <v/>
      </c>
      <c r="V1783" s="31" t="str">
        <f>IF(H1783="CHK",VLOOKUP(I1783,QCCHK,3,),IF(H1783="GUP",VLOOKUP(E1783,QCGUP,2,),IF(AND(H1783="ATP",OR(I1783="TN",I1783="TDN",I1783="TNO2-3",I1783="NO2-3")),VLOOKUP(E1783,QCREC_N,2,),IF(AND(H1783="NIC",OR(I1783="TN",I1783="TDN",I1783="TNO2-3",I1783="NO2-3")),VLOOKUP(E1783,QCNIC_N,2,),IF(AND(H1783="UREA",OR(I1783="TN",I1783="TDN",I1783="TNO2-3",I1783="NO2-3")),VLOOKUP(E1783,QCUREA_N,2,),IF(H1783="PER",VLOOKUP(I1783,QCPER,MATCH(E1783,QCACTUAL!$J$25:$AA$25,0),),IF(H1783="SPK",VLOOKUP(I1783,QCSPK,3,),IF(AND(H1783="ATP",OR(I1783="TP",I1783="TDP")),VLOOKUP(E1783,QCATP_P,2,),""))))))))</f>
        <v/>
      </c>
      <c r="W1783" s="31" t="str">
        <f t="shared" si="200"/>
        <v>TRUE</v>
      </c>
      <c r="X1783" s="31" t="str">
        <f t="shared" si="197"/>
        <v/>
      </c>
      <c r="Y1783" s="10" t="s">
        <v>1116</v>
      </c>
      <c r="Z1783" s="10" t="s">
        <v>910</v>
      </c>
      <c r="AF1783" s="12">
        <v>44958</v>
      </c>
      <c r="AJ1783" s="10">
        <f>0.9631*6.52^2+173.03*6.52-74.605</f>
        <v>1094.4923662399997</v>
      </c>
      <c r="AK1783" s="10">
        <f>-1.0839*6.52^2+204.73*6.52-119.55</f>
        <v>1169.2125774399999</v>
      </c>
      <c r="AL1783" s="10" t="str">
        <f t="shared" si="202"/>
        <v>FALSE</v>
      </c>
      <c r="AM1783" s="10" t="str">
        <f t="shared" si="202"/>
        <v>FALSE</v>
      </c>
      <c r="AN1783" s="10" t="str">
        <f t="shared" si="202"/>
        <v>FALSE</v>
      </c>
      <c r="AO1783" s="10" t="str">
        <f t="shared" si="203"/>
        <v>y=0.9631*6.52^2+173.03*6.52-74.605</v>
      </c>
      <c r="AP1783" s="10" t="str">
        <f t="shared" si="203"/>
        <v>y=-1.0839*6.52^2+204.73*6.52-119.55</v>
      </c>
      <c r="AQ1783" s="10" t="b">
        <f>IF(AND(I1783="TP",S1783&lt;=150),VLOOKUP(AF1783,TPCalibEq150!$AZ$2:$BB$55,3,),IF(AND(I1783="TDP",S1783&lt;=150),VLOOKUP(AF1783,TPCalibEq150!$AZ$2:$BB$55,3,)))</f>
        <v>0</v>
      </c>
      <c r="AR1783" s="10" t="b">
        <f>IF(AND(I1783="TP",S1783&lt;=300),VLOOKUP(AF1783,TPCalibEq300!$AZ$2:$BB$55,3,),IF(AND(I1783="TDP",S1783&lt;=300),VLOOKUP(AF1783,TPCalibEq300!$AZ$2:$BB$55,3,)))</f>
        <v>0</v>
      </c>
      <c r="AS1783" s="10" t="b">
        <f>IF(AND(I1783="TP",S1783&lt;=500),VLOOKUP(AF1783,TPCalibEq500!$AZ$2:$BB$56,3,),IF(AND(I1783="TDP",S1783&lt;=500),VLOOKUP(AF1783,TPCalibEq500!$AZ$2:$BB$56,3,)))</f>
        <v>0</v>
      </c>
      <c r="AT1783" s="10" t="str">
        <f>IF(AND(I1783="TN",S1783&lt;=2800),VLOOKUP(AF1783,TNCalibEq2500!$AZ$2:$BB$56,3,),IF(AND(I1783="TDN",S1783&lt;=2800),VLOOKUP(AF1783,TNCalibEq2500!$AZ$2:$BB$56,3,)))</f>
        <v>y=0.9631x2+173.03x-74.605</v>
      </c>
      <c r="AU1783" s="10" t="str">
        <f>IF(I1783="TP",VLOOKUP(AF1783,TPCalibEqFull!$AZ$2:$BB$56,3),IF(I1783="TDP",VLOOKUP(AF1783,TPCalibEqFull!$AZ$2:$BB$56,3),IF(I1783="TDN",VLOOKUP(AF1783,TNCalibEqFull!$AZ$1:$BB$56,3),IF(I1783="TN",VLOOKUP(AF1783,TNCalibEqFull!$AZ$1:$BB$56,3),FALSE))))</f>
        <v>y=-1.0839x2+204.73x-119.55</v>
      </c>
      <c r="AV1783" s="10" t="str">
        <f t="shared" si="201"/>
        <v>0126 09:42:00-HST-0-FIL-C-SW-UKN</v>
      </c>
    </row>
    <row r="1784" spans="1:48" s="10" customFormat="1" x14ac:dyDescent="0.55000000000000004">
      <c r="A1784" s="32">
        <v>44953</v>
      </c>
      <c r="B1784" s="33">
        <v>0.53333333333333333</v>
      </c>
      <c r="C1784" s="10" t="s">
        <v>279</v>
      </c>
      <c r="D1784" s="10">
        <v>0</v>
      </c>
      <c r="E1784" s="10" t="s">
        <v>911</v>
      </c>
      <c r="F1784" s="10">
        <v>1</v>
      </c>
      <c r="G1784" s="10" t="s">
        <v>231</v>
      </c>
      <c r="H1784" s="10" t="s">
        <v>322</v>
      </c>
      <c r="I1784" s="10" t="s">
        <v>224</v>
      </c>
      <c r="J1784" s="10">
        <v>49</v>
      </c>
      <c r="K1784" s="12">
        <v>44958</v>
      </c>
      <c r="L1784" s="33">
        <v>0.70612268518518517</v>
      </c>
      <c r="M1784" s="10">
        <v>1</v>
      </c>
      <c r="N1784" s="10" t="s">
        <v>196</v>
      </c>
      <c r="O1784" s="10">
        <v>7.34</v>
      </c>
      <c r="P1784" s="10">
        <v>0.36199999999999999</v>
      </c>
      <c r="Q1784" s="10">
        <v>1240</v>
      </c>
      <c r="R1784" s="10" t="s">
        <v>170</v>
      </c>
      <c r="S1784" s="34">
        <f t="shared" si="198"/>
        <v>1324.7724371599998</v>
      </c>
      <c r="T1784" s="10" t="s">
        <v>1123</v>
      </c>
      <c r="U1784" s="34" t="str">
        <f t="shared" si="199"/>
        <v/>
      </c>
      <c r="V1784" s="31" t="str">
        <f>IF(H1784="CHK",VLOOKUP(I1784,QCCHK,3,),IF(H1784="GUP",VLOOKUP(E1784,QCGUP,2,),IF(AND(H1784="ATP",OR(I1784="TN",I1784="TDN",I1784="TNO2-3",I1784="NO2-3")),VLOOKUP(E1784,QCREC_N,2,),IF(AND(H1784="NIC",OR(I1784="TN",I1784="TDN",I1784="TNO2-3",I1784="NO2-3")),VLOOKUP(E1784,QCNIC_N,2,),IF(AND(H1784="UREA",OR(I1784="TN",I1784="TDN",I1784="TNO2-3",I1784="NO2-3")),VLOOKUP(E1784,QCUREA_N,2,),IF(H1784="PER",VLOOKUP(I1784,QCPER,MATCH(E1784,QCACTUAL!$J$25:$AA$25,0),),IF(H1784="SPK",VLOOKUP(I1784,QCSPK,3,),IF(AND(H1784="ATP",OR(I1784="TP",I1784="TDP")),VLOOKUP(E1784,QCATP_P,2,),""))))))))</f>
        <v/>
      </c>
      <c r="W1784" s="31" t="str">
        <f t="shared" si="200"/>
        <v>TRUE</v>
      </c>
      <c r="X1784" s="31" t="str">
        <f t="shared" si="197"/>
        <v/>
      </c>
      <c r="Y1784" s="10" t="s">
        <v>1116</v>
      </c>
      <c r="Z1784" s="10" t="s">
        <v>910</v>
      </c>
      <c r="AF1784" s="12">
        <v>44958</v>
      </c>
      <c r="AJ1784" s="10">
        <f>0.9631*7.34^2+173.03*7.34-74.605</f>
        <v>1247.32279036</v>
      </c>
      <c r="AK1784" s="10">
        <f>-1.0839*7.34^2+204.73*7.34-119.55</f>
        <v>1324.7724371599998</v>
      </c>
      <c r="AL1784" s="10" t="str">
        <f t="shared" si="202"/>
        <v>FALSE</v>
      </c>
      <c r="AM1784" s="10" t="str">
        <f t="shared" si="202"/>
        <v>FALSE</v>
      </c>
      <c r="AN1784" s="10" t="str">
        <f t="shared" si="202"/>
        <v>FALSE</v>
      </c>
      <c r="AO1784" s="10" t="str">
        <f t="shared" si="203"/>
        <v>y=0.9631*7.34^2+173.03*7.34-74.605</v>
      </c>
      <c r="AP1784" s="10" t="str">
        <f t="shared" si="203"/>
        <v>y=-1.0839*7.34^2+204.73*7.34-119.55</v>
      </c>
      <c r="AQ1784" s="10" t="b">
        <f>IF(AND(I1784="TP",S1784&lt;=150),VLOOKUP(AF1784,TPCalibEq150!$AZ$2:$BB$55,3,),IF(AND(I1784="TDP",S1784&lt;=150),VLOOKUP(AF1784,TPCalibEq150!$AZ$2:$BB$55,3,)))</f>
        <v>0</v>
      </c>
      <c r="AR1784" s="10" t="b">
        <f>IF(AND(I1784="TP",S1784&lt;=300),VLOOKUP(AF1784,TPCalibEq300!$AZ$2:$BB$55,3,),IF(AND(I1784="TDP",S1784&lt;=300),VLOOKUP(AF1784,TPCalibEq300!$AZ$2:$BB$55,3,)))</f>
        <v>0</v>
      </c>
      <c r="AS1784" s="10" t="b">
        <f>IF(AND(I1784="TP",S1784&lt;=500),VLOOKUP(AF1784,TPCalibEq500!$AZ$2:$BB$56,3,),IF(AND(I1784="TDP",S1784&lt;=500),VLOOKUP(AF1784,TPCalibEq500!$AZ$2:$BB$56,3,)))</f>
        <v>0</v>
      </c>
      <c r="AT1784" s="10" t="str">
        <f>IF(AND(I1784="TN",S1784&lt;=2800),VLOOKUP(AF1784,TNCalibEq2500!$AZ$2:$BB$56,3,),IF(AND(I1784="TDN",S1784&lt;=2800),VLOOKUP(AF1784,TNCalibEq2500!$AZ$2:$BB$56,3,)))</f>
        <v>y=0.9631x2+173.03x-74.605</v>
      </c>
      <c r="AU1784" s="10" t="str">
        <f>IF(I1784="TP",VLOOKUP(AF1784,TPCalibEqFull!$AZ$2:$BB$56,3),IF(I1784="TDP",VLOOKUP(AF1784,TPCalibEqFull!$AZ$2:$BB$56,3),IF(I1784="TDN",VLOOKUP(AF1784,TNCalibEqFull!$AZ$1:$BB$56,3),IF(I1784="TN",VLOOKUP(AF1784,TNCalibEqFull!$AZ$1:$BB$56,3),FALSE))))</f>
        <v>y=-1.0839x2+204.73x-119.55</v>
      </c>
      <c r="AV1784" s="10" t="str">
        <f t="shared" si="201"/>
        <v>0127 12:48:00-EFK-0-FIL-1-SW-UKN</v>
      </c>
    </row>
    <row r="1785" spans="1:48" s="10" customFormat="1" x14ac:dyDescent="0.55000000000000004">
      <c r="A1785" s="32">
        <v>44953</v>
      </c>
      <c r="B1785" s="33">
        <v>0.53611111111111109</v>
      </c>
      <c r="C1785" s="10" t="s">
        <v>333</v>
      </c>
      <c r="D1785" s="10">
        <v>0</v>
      </c>
      <c r="E1785" s="10" t="s">
        <v>911</v>
      </c>
      <c r="F1785" s="10">
        <v>1</v>
      </c>
      <c r="G1785" s="10" t="s">
        <v>231</v>
      </c>
      <c r="H1785" s="10" t="s">
        <v>322</v>
      </c>
      <c r="I1785" s="10" t="s">
        <v>224</v>
      </c>
      <c r="J1785" s="10">
        <v>50</v>
      </c>
      <c r="K1785" s="12">
        <v>44958</v>
      </c>
      <c r="L1785" s="33">
        <v>0.70679398148148154</v>
      </c>
      <c r="M1785" s="10">
        <v>1</v>
      </c>
      <c r="N1785" s="10" t="s">
        <v>196</v>
      </c>
      <c r="O1785" s="10">
        <v>6.97</v>
      </c>
      <c r="P1785" s="10">
        <v>0.34300000000000003</v>
      </c>
      <c r="Q1785" s="10">
        <v>1180</v>
      </c>
      <c r="R1785" s="10" t="s">
        <v>170</v>
      </c>
      <c r="S1785" s="34">
        <f t="shared" si="198"/>
        <v>1254.7612624899998</v>
      </c>
      <c r="T1785" s="10" t="s">
        <v>1123</v>
      </c>
      <c r="U1785" s="34" t="str">
        <f t="shared" si="199"/>
        <v/>
      </c>
      <c r="V1785" s="31" t="str">
        <f>IF(H1785="CHK",VLOOKUP(I1785,QCCHK,3,),IF(H1785="GUP",VLOOKUP(E1785,QCGUP,2,),IF(AND(H1785="ATP",OR(I1785="TN",I1785="TDN",I1785="TNO2-3",I1785="NO2-3")),VLOOKUP(E1785,QCREC_N,2,),IF(AND(H1785="NIC",OR(I1785="TN",I1785="TDN",I1785="TNO2-3",I1785="NO2-3")),VLOOKUP(E1785,QCNIC_N,2,),IF(AND(H1785="UREA",OR(I1785="TN",I1785="TDN",I1785="TNO2-3",I1785="NO2-3")),VLOOKUP(E1785,QCUREA_N,2,),IF(H1785="PER",VLOOKUP(I1785,QCPER,MATCH(E1785,QCACTUAL!$J$25:$AA$25,0),),IF(H1785="SPK",VLOOKUP(I1785,QCSPK,3,),IF(AND(H1785="ATP",OR(I1785="TP",I1785="TDP")),VLOOKUP(E1785,QCATP_P,2,),""))))))))</f>
        <v/>
      </c>
      <c r="W1785" s="31" t="str">
        <f t="shared" si="200"/>
        <v>TRUE</v>
      </c>
      <c r="X1785" s="31" t="str">
        <f t="shared" si="197"/>
        <v/>
      </c>
      <c r="Y1785" s="10" t="s">
        <v>1116</v>
      </c>
      <c r="Z1785" s="10" t="s">
        <v>910</v>
      </c>
      <c r="AF1785" s="12">
        <v>44958</v>
      </c>
      <c r="AJ1785" s="10">
        <f>0.9631*6.97^2+173.03*6.97-74.605</f>
        <v>1178.20236479</v>
      </c>
      <c r="AK1785" s="10">
        <f>-1.0839*6.97^2+204.73*6.97-119.55</f>
        <v>1254.7612624899998</v>
      </c>
      <c r="AL1785" s="10" t="str">
        <f t="shared" si="202"/>
        <v>FALSE</v>
      </c>
      <c r="AM1785" s="10" t="str">
        <f t="shared" si="202"/>
        <v>FALSE</v>
      </c>
      <c r="AN1785" s="10" t="str">
        <f t="shared" si="202"/>
        <v>FALSE</v>
      </c>
      <c r="AO1785" s="10" t="str">
        <f t="shared" si="203"/>
        <v>y=0.9631*6.97^2+173.03*6.97-74.605</v>
      </c>
      <c r="AP1785" s="10" t="str">
        <f t="shared" si="203"/>
        <v>y=-1.0839*6.97^2+204.73*6.97-119.55</v>
      </c>
      <c r="AQ1785" s="10" t="b">
        <f>IF(AND(I1785="TP",S1785&lt;=150),VLOOKUP(AF1785,TPCalibEq150!$AZ$2:$BB$55,3,),IF(AND(I1785="TDP",S1785&lt;=150),VLOOKUP(AF1785,TPCalibEq150!$AZ$2:$BB$55,3,)))</f>
        <v>0</v>
      </c>
      <c r="AR1785" s="10" t="b">
        <f>IF(AND(I1785="TP",S1785&lt;=300),VLOOKUP(AF1785,TPCalibEq300!$AZ$2:$BB$55,3,),IF(AND(I1785="TDP",S1785&lt;=300),VLOOKUP(AF1785,TPCalibEq300!$AZ$2:$BB$55,3,)))</f>
        <v>0</v>
      </c>
      <c r="AS1785" s="10" t="b">
        <f>IF(AND(I1785="TP",S1785&lt;=500),VLOOKUP(AF1785,TPCalibEq500!$AZ$2:$BB$56,3,),IF(AND(I1785="TDP",S1785&lt;=500),VLOOKUP(AF1785,TPCalibEq500!$AZ$2:$BB$56,3,)))</f>
        <v>0</v>
      </c>
      <c r="AT1785" s="10" t="str">
        <f>IF(AND(I1785="TN",S1785&lt;=2800),VLOOKUP(AF1785,TNCalibEq2500!$AZ$2:$BB$56,3,),IF(AND(I1785="TDN",S1785&lt;=2800),VLOOKUP(AF1785,TNCalibEq2500!$AZ$2:$BB$56,3,)))</f>
        <v>y=0.9631x2+173.03x-74.605</v>
      </c>
      <c r="AU1785" s="10" t="str">
        <f>IF(I1785="TP",VLOOKUP(AF1785,TPCalibEqFull!$AZ$2:$BB$56,3),IF(I1785="TDP",VLOOKUP(AF1785,TPCalibEqFull!$AZ$2:$BB$56,3),IF(I1785="TDN",VLOOKUP(AF1785,TNCalibEqFull!$AZ$1:$BB$56,3),IF(I1785="TN",VLOOKUP(AF1785,TNCalibEqFull!$AZ$1:$BB$56,3),FALSE))))</f>
        <v>y=-1.0839x2+204.73x-119.55</v>
      </c>
      <c r="AV1785" s="10" t="str">
        <f t="shared" si="201"/>
        <v>0127 12:52:00-HST-0-FIL-1-SW-UKN</v>
      </c>
    </row>
    <row r="1786" spans="1:48" s="10" customFormat="1" x14ac:dyDescent="0.55000000000000004">
      <c r="A1786" s="32">
        <v>44953</v>
      </c>
      <c r="B1786" s="33">
        <v>0.53611111111111109</v>
      </c>
      <c r="C1786" s="10" t="s">
        <v>333</v>
      </c>
      <c r="D1786" s="10">
        <v>0</v>
      </c>
      <c r="E1786" s="10" t="s">
        <v>911</v>
      </c>
      <c r="F1786" s="10">
        <v>1</v>
      </c>
      <c r="G1786" s="10" t="s">
        <v>231</v>
      </c>
      <c r="H1786" s="10" t="s">
        <v>233</v>
      </c>
      <c r="I1786" s="10" t="s">
        <v>224</v>
      </c>
      <c r="J1786" s="10">
        <v>50</v>
      </c>
      <c r="K1786" s="12">
        <v>44958</v>
      </c>
      <c r="L1786" s="33">
        <v>0.70746527777777779</v>
      </c>
      <c r="M1786" s="10">
        <v>1</v>
      </c>
      <c r="N1786" s="10" t="s">
        <v>196</v>
      </c>
      <c r="O1786" s="10">
        <v>6.93</v>
      </c>
      <c r="P1786" s="10">
        <v>0.34200000000000003</v>
      </c>
      <c r="Q1786" s="10">
        <v>1170</v>
      </c>
      <c r="R1786" s="10" t="s">
        <v>170</v>
      </c>
      <c r="S1786" s="34">
        <f t="shared" si="198"/>
        <v>1247.1747108899999</v>
      </c>
      <c r="T1786" s="10" t="s">
        <v>1123</v>
      </c>
      <c r="U1786" s="34">
        <f t="shared" si="199"/>
        <v>0.60645449609574242</v>
      </c>
      <c r="V1786" s="31" t="str">
        <f>IF(H1786="CHK",VLOOKUP(I1786,QCCHK,3,),IF(H1786="GUP",VLOOKUP(E1786,QCGUP,2,),IF(AND(H1786="ATP",OR(I1786="TN",I1786="TDN",I1786="TNO2-3",I1786="NO2-3")),VLOOKUP(E1786,QCREC_N,2,),IF(AND(H1786="NIC",OR(I1786="TN",I1786="TDN",I1786="TNO2-3",I1786="NO2-3")),VLOOKUP(E1786,QCNIC_N,2,),IF(AND(H1786="UREA",OR(I1786="TN",I1786="TDN",I1786="TNO2-3",I1786="NO2-3")),VLOOKUP(E1786,QCUREA_N,2,),IF(H1786="PER",VLOOKUP(I1786,QCPER,MATCH(E1786,QCACTUAL!$J$25:$AA$25,0),),IF(H1786="SPK",VLOOKUP(I1786,QCSPK,3,),IF(AND(H1786="ATP",OR(I1786="TP",I1786="TDP")),VLOOKUP(E1786,QCATP_P,2,),""))))))))</f>
        <v/>
      </c>
      <c r="W1786" s="31" t="str">
        <f t="shared" si="200"/>
        <v>TRUE</v>
      </c>
      <c r="X1786" s="31" t="str">
        <f t="shared" si="197"/>
        <v>((ABS(rep1-rep2))/((rep1+rep2)/2)*100</v>
      </c>
      <c r="Y1786" s="10" t="s">
        <v>1116</v>
      </c>
      <c r="Z1786" s="10" t="s">
        <v>910</v>
      </c>
      <c r="AF1786" s="12">
        <v>44958</v>
      </c>
      <c r="AJ1786" s="10">
        <f>0.9631*6.93^2+173.03*6.93-74.605</f>
        <v>1170.7456811899999</v>
      </c>
      <c r="AK1786" s="10">
        <f>-1.0839*6.93^2+204.73*6.93-119.55</f>
        <v>1247.1747108899999</v>
      </c>
      <c r="AL1786" s="10" t="str">
        <f t="shared" si="202"/>
        <v>FALSE</v>
      </c>
      <c r="AM1786" s="10" t="str">
        <f t="shared" si="202"/>
        <v>FALSE</v>
      </c>
      <c r="AN1786" s="10" t="str">
        <f t="shared" si="202"/>
        <v>FALSE</v>
      </c>
      <c r="AO1786" s="10" t="str">
        <f t="shared" si="203"/>
        <v>y=0.9631*6.93^2+173.03*6.93-74.605</v>
      </c>
      <c r="AP1786" s="10" t="str">
        <f t="shared" si="203"/>
        <v>y=-1.0839*6.93^2+204.73*6.93-119.55</v>
      </c>
      <c r="AQ1786" s="10" t="b">
        <f>IF(AND(I1786="TP",S1786&lt;=150),VLOOKUP(AF1786,TPCalibEq150!$AZ$2:$BB$55,3,),IF(AND(I1786="TDP",S1786&lt;=150),VLOOKUP(AF1786,TPCalibEq150!$AZ$2:$BB$55,3,)))</f>
        <v>0</v>
      </c>
      <c r="AR1786" s="10" t="b">
        <f>IF(AND(I1786="TP",S1786&lt;=300),VLOOKUP(AF1786,TPCalibEq300!$AZ$2:$BB$55,3,),IF(AND(I1786="TDP",S1786&lt;=300),VLOOKUP(AF1786,TPCalibEq300!$AZ$2:$BB$55,3,)))</f>
        <v>0</v>
      </c>
      <c r="AS1786" s="10" t="b">
        <f>IF(AND(I1786="TP",S1786&lt;=500),VLOOKUP(AF1786,TPCalibEq500!$AZ$2:$BB$56,3,),IF(AND(I1786="TDP",S1786&lt;=500),VLOOKUP(AF1786,TPCalibEq500!$AZ$2:$BB$56,3,)))</f>
        <v>0</v>
      </c>
      <c r="AT1786" s="10" t="str">
        <f>IF(AND(I1786="TN",S1786&lt;=2800),VLOOKUP(AF1786,TNCalibEq2500!$AZ$2:$BB$56,3,),IF(AND(I1786="TDN",S1786&lt;=2800),VLOOKUP(AF1786,TNCalibEq2500!$AZ$2:$BB$56,3,)))</f>
        <v>y=0.9631x2+173.03x-74.605</v>
      </c>
      <c r="AU1786" s="10" t="str">
        <f>IF(I1786="TP",VLOOKUP(AF1786,TPCalibEqFull!$AZ$2:$BB$56,3),IF(I1786="TDP",VLOOKUP(AF1786,TPCalibEqFull!$AZ$2:$BB$56,3),IF(I1786="TDN",VLOOKUP(AF1786,TNCalibEqFull!$AZ$1:$BB$56,3),IF(I1786="TN",VLOOKUP(AF1786,TNCalibEqFull!$AZ$1:$BB$56,3),FALSE))))</f>
        <v>y=-1.0839x2+204.73x-119.55</v>
      </c>
      <c r="AV1786" s="10" t="str">
        <f t="shared" si="201"/>
        <v>0127 12:52:00-HST-0-FIL-1-SW-DUP</v>
      </c>
    </row>
    <row r="1787" spans="1:48" s="10" customFormat="1" x14ac:dyDescent="0.55000000000000004">
      <c r="A1787" s="32">
        <v>44953</v>
      </c>
      <c r="B1787" s="33">
        <v>0.53611111111111109</v>
      </c>
      <c r="C1787" s="10" t="s">
        <v>333</v>
      </c>
      <c r="D1787" s="10">
        <v>0</v>
      </c>
      <c r="E1787" s="10" t="s">
        <v>911</v>
      </c>
      <c r="F1787" s="10">
        <v>1</v>
      </c>
      <c r="G1787" s="10" t="s">
        <v>231</v>
      </c>
      <c r="H1787" s="10" t="s">
        <v>314</v>
      </c>
      <c r="I1787" s="10" t="s">
        <v>224</v>
      </c>
      <c r="J1787" s="10">
        <v>86</v>
      </c>
      <c r="K1787" s="12">
        <v>44958</v>
      </c>
      <c r="L1787" s="33">
        <v>0.708125</v>
      </c>
      <c r="M1787" s="10">
        <v>1</v>
      </c>
      <c r="N1787" s="10" t="s">
        <v>196</v>
      </c>
      <c r="O1787" s="10">
        <v>21.6</v>
      </c>
      <c r="P1787" s="10">
        <v>1.05</v>
      </c>
      <c r="Q1787" s="10">
        <v>3720</v>
      </c>
      <c r="R1787" s="10" t="s">
        <v>170</v>
      </c>
      <c r="S1787" s="34">
        <f t="shared" si="198"/>
        <v>3796.9136159999994</v>
      </c>
      <c r="T1787" s="10" t="s">
        <v>1123</v>
      </c>
      <c r="U1787" s="34">
        <f t="shared" si="199"/>
        <v>101.98955620439997</v>
      </c>
      <c r="V1787" s="31">
        <f>IF(H1787="CHK",VLOOKUP(I1787,QCCHK,3,),IF(H1787="GUP",VLOOKUP(E1787,QCGUP,2,),IF(AND(H1787="ATP",OR(I1787="TN",I1787="TDN",I1787="TNO2-3",I1787="NO2-3")),VLOOKUP(E1787,QCREC_N,2,),IF(AND(H1787="NIC",OR(I1787="TN",I1787="TDN",I1787="TNO2-3",I1787="NO2-3")),VLOOKUP(E1787,QCNIC_N,2,),IF(AND(H1787="UREA",OR(I1787="TN",I1787="TDN",I1787="TNO2-3",I1787="NO2-3")),VLOOKUP(E1787,QCUREA_N,2,),IF(H1787="PER",VLOOKUP(I1787,QCPER,MATCH(E1787,QCACTUAL!$J$25:$AA$25,0),),IF(H1787="SPK",VLOOKUP(I1787,QCSPK,3,),IF(AND(H1787="ATP",OR(I1787="TP",I1787="TDP")),VLOOKUP(E1787,QCATP_P,2,),""))))))))</f>
        <v>2500</v>
      </c>
      <c r="W1787" s="31" t="str">
        <f t="shared" si="200"/>
        <v>TRUE</v>
      </c>
      <c r="X1787" s="31" t="str">
        <f t="shared" si="197"/>
        <v>([spikedunkn]-[unkn])/[spike]*100</v>
      </c>
      <c r="Y1787" s="10" t="s">
        <v>1116</v>
      </c>
      <c r="Z1787" s="10" t="s">
        <v>910</v>
      </c>
      <c r="AF1787" s="12">
        <v>44958</v>
      </c>
      <c r="AK1787" s="10">
        <f>-1.0839*21.6^2+204.73*21.6-119.55</f>
        <v>3796.9136159999994</v>
      </c>
      <c r="AL1787" s="10" t="str">
        <f t="shared" si="202"/>
        <v>FALSE</v>
      </c>
      <c r="AM1787" s="10" t="str">
        <f t="shared" si="202"/>
        <v>FALSE</v>
      </c>
      <c r="AN1787" s="10" t="str">
        <f t="shared" si="202"/>
        <v>FALSE</v>
      </c>
      <c r="AO1787" s="10" t="str">
        <f t="shared" si="203"/>
        <v>FALSE</v>
      </c>
      <c r="AP1787" s="10" t="str">
        <f t="shared" si="203"/>
        <v>y=-1.0839*21.6^2+204.73*21.6-119.55</v>
      </c>
      <c r="AQ1787" s="10" t="b">
        <f>IF(AND(I1787="TP",S1787&lt;=150),VLOOKUP(AF1787,TPCalibEq150!$AZ$2:$BB$55,3,),IF(AND(I1787="TDP",S1787&lt;=150),VLOOKUP(AF1787,TPCalibEq150!$AZ$2:$BB$55,3,)))</f>
        <v>0</v>
      </c>
      <c r="AR1787" s="10" t="b">
        <f>IF(AND(I1787="TP",S1787&lt;=300),VLOOKUP(AF1787,TPCalibEq300!$AZ$2:$BB$55,3,),IF(AND(I1787="TDP",S1787&lt;=300),VLOOKUP(AF1787,TPCalibEq300!$AZ$2:$BB$55,3,)))</f>
        <v>0</v>
      </c>
      <c r="AS1787" s="10" t="b">
        <f>IF(AND(I1787="TP",S1787&lt;=500),VLOOKUP(AF1787,TPCalibEq500!$AZ$2:$BB$56,3,),IF(AND(I1787="TDP",S1787&lt;=500),VLOOKUP(AF1787,TPCalibEq500!$AZ$2:$BB$56,3,)))</f>
        <v>0</v>
      </c>
      <c r="AT1787" s="10" t="b">
        <f>IF(AND(I1787="TN",S1787&lt;=2800),VLOOKUP(AF1787,TNCalibEq2500!$AZ$2:$BB$56,3,),IF(AND(I1787="TDN",S1787&lt;=2800),VLOOKUP(AF1787,TNCalibEq2500!$AZ$2:$BB$56,3,)))</f>
        <v>0</v>
      </c>
      <c r="AU1787" s="10" t="str">
        <f>IF(I1787="TP",VLOOKUP(AF1787,TPCalibEqFull!$AZ$2:$BB$56,3),IF(I1787="TDP",VLOOKUP(AF1787,TPCalibEqFull!$AZ$2:$BB$56,3),IF(I1787="TDN",VLOOKUP(AF1787,TNCalibEqFull!$AZ$1:$BB$56,3),IF(I1787="TN",VLOOKUP(AF1787,TNCalibEqFull!$AZ$1:$BB$56,3),FALSE))))</f>
        <v>y=-1.0839x2+204.73x-119.55</v>
      </c>
      <c r="AV1787" s="10" t="str">
        <f t="shared" si="201"/>
        <v>0127 12:52:00-HST-0-FIL-1-SW-SPK</v>
      </c>
    </row>
    <row r="1788" spans="1:48" s="10" customFormat="1" x14ac:dyDescent="0.55000000000000004">
      <c r="A1788" s="32">
        <v>44958</v>
      </c>
      <c r="B1788" s="33">
        <v>0.375</v>
      </c>
      <c r="C1788" s="10" t="s">
        <v>70</v>
      </c>
      <c r="D1788" s="10" t="s">
        <v>71</v>
      </c>
      <c r="E1788" s="10" t="s">
        <v>901</v>
      </c>
      <c r="F1788" s="10">
        <v>1</v>
      </c>
      <c r="G1788" s="10" t="s">
        <v>73</v>
      </c>
      <c r="H1788" s="10" t="s">
        <v>207</v>
      </c>
      <c r="I1788" s="10" t="s">
        <v>235</v>
      </c>
      <c r="J1788" s="10">
        <v>201</v>
      </c>
      <c r="K1788" s="12">
        <v>44958</v>
      </c>
      <c r="L1788" s="33">
        <v>0.7088078703703703</v>
      </c>
      <c r="M1788" s="10">
        <v>1</v>
      </c>
      <c r="N1788" s="10" t="s">
        <v>196</v>
      </c>
      <c r="O1788" s="10">
        <v>7.28</v>
      </c>
      <c r="P1788" s="10">
        <v>0.36099999999999999</v>
      </c>
      <c r="Q1788" s="10">
        <v>1230</v>
      </c>
      <c r="R1788" s="10" t="s">
        <v>170</v>
      </c>
      <c r="S1788" s="34">
        <f t="shared" si="198"/>
        <v>1313.4394342399999</v>
      </c>
      <c r="T1788" s="10" t="s">
        <v>1123</v>
      </c>
      <c r="U1788" s="34">
        <f t="shared" si="199"/>
        <v>105.07515473919999</v>
      </c>
      <c r="V1788" s="31">
        <f>IF(H1788="CHK",VLOOKUP(I1788,QCCHK,3,),IF(H1788="GUP",VLOOKUP(E1788,QCGUP,2,),IF(AND(H1788="ATP",OR(I1788="TN",I1788="TDN",I1788="TNO2-3",I1788="NO2-3")),VLOOKUP(E1788,QCREC_N,2,),IF(AND(H1788="NIC",OR(I1788="TN",I1788="TDN",I1788="TNO2-3",I1788="NO2-3")),VLOOKUP(E1788,QCNIC_N,2,),IF(AND(H1788="UREA",OR(I1788="TN",I1788="TDN",I1788="TNO2-3",I1788="NO2-3")),VLOOKUP(E1788,QCUREA_N,2,),IF(H1788="PER",VLOOKUP(I1788,QCPER,MATCH(E1788,QCACTUAL!$J$25:$AA$25,0),),IF(H1788="SPK",VLOOKUP(I1788,QCSPK,3,),IF(AND(H1788="ATP",OR(I1788="TP",I1788="TDP")),VLOOKUP(E1788,QCATP_P,2,),""))))))))</f>
        <v>1250</v>
      </c>
      <c r="W1788" s="31" t="str">
        <f t="shared" si="200"/>
        <v>TRUE</v>
      </c>
      <c r="X1788" s="31" t="str">
        <f t="shared" si="197"/>
        <v>[chk]/[actual]*100</v>
      </c>
      <c r="Y1788" s="10" t="s">
        <v>1116</v>
      </c>
      <c r="AF1788" s="12">
        <v>44958</v>
      </c>
      <c r="AJ1788" s="10">
        <f>0.9631*7.28^2+173.03*7.28-74.605</f>
        <v>1236.09615904</v>
      </c>
      <c r="AK1788" s="10">
        <f>-1.0839*7.28^2+204.73*7.28-119.55</f>
        <v>1313.4394342399999</v>
      </c>
      <c r="AL1788" s="10" t="str">
        <f t="shared" si="202"/>
        <v>FALSE</v>
      </c>
      <c r="AM1788" s="10" t="str">
        <f t="shared" si="202"/>
        <v>FALSE</v>
      </c>
      <c r="AN1788" s="10" t="str">
        <f t="shared" si="202"/>
        <v>FALSE</v>
      </c>
      <c r="AO1788" s="10" t="str">
        <f t="shared" si="203"/>
        <v>y=0.9631*7.28^2+173.03*7.28-74.605</v>
      </c>
      <c r="AP1788" s="10" t="str">
        <f t="shared" si="203"/>
        <v>y=-1.0839*7.28^2+204.73*7.28-119.55</v>
      </c>
      <c r="AQ1788" s="10" t="b">
        <f>IF(AND(I1788="TP",S1788&lt;=150),VLOOKUP(AF1788,TPCalibEq150!$AZ$2:$BB$55,3,),IF(AND(I1788="TDP",S1788&lt;=150),VLOOKUP(AF1788,TPCalibEq150!$AZ$2:$BB$55,3,)))</f>
        <v>0</v>
      </c>
      <c r="AR1788" s="10" t="b">
        <f>IF(AND(I1788="TP",S1788&lt;=300),VLOOKUP(AF1788,TPCalibEq300!$AZ$2:$BB$55,3,),IF(AND(I1788="TDP",S1788&lt;=300),VLOOKUP(AF1788,TPCalibEq300!$AZ$2:$BB$55,3,)))</f>
        <v>0</v>
      </c>
      <c r="AS1788" s="10" t="b">
        <f>IF(AND(I1788="TP",S1788&lt;=500),VLOOKUP(AF1788,TPCalibEq500!$AZ$2:$BB$56,3,),IF(AND(I1788="TDP",S1788&lt;=500),VLOOKUP(AF1788,TPCalibEq500!$AZ$2:$BB$56,3,)))</f>
        <v>0</v>
      </c>
      <c r="AT1788" s="10" t="str">
        <f>IF(AND(I1788="TN",S1788&lt;=2800),VLOOKUP(AF1788,TNCalibEq2500!$AZ$2:$BB$56,3,),IF(AND(I1788="TDN",S1788&lt;=2800),VLOOKUP(AF1788,TNCalibEq2500!$AZ$2:$BB$56,3,)))</f>
        <v>y=0.9631x2+173.03x-74.605</v>
      </c>
      <c r="AU1788" s="10" t="str">
        <f>IF(I1788="TP",VLOOKUP(AF1788,TPCalibEqFull!$AZ$2:$BB$56,3),IF(I1788="TDP",VLOOKUP(AF1788,TPCalibEqFull!$AZ$2:$BB$56,3),IF(I1788="TDN",VLOOKUP(AF1788,TNCalibEqFull!$AZ$1:$BB$56,3),IF(I1788="TN",VLOOKUP(AF1788,TNCalibEqFull!$AZ$1:$BB$56,3),FALSE))))</f>
        <v>y=-1.0839x2+204.73x-119.55</v>
      </c>
      <c r="AV1788" s="10" t="str">
        <f t="shared" si="201"/>
        <v>0201 09:00:00-QAC-STD-D-1-DI-CHK</v>
      </c>
    </row>
    <row r="1789" spans="1:48" s="10" customFormat="1" x14ac:dyDescent="0.55000000000000004">
      <c r="A1789" s="32">
        <v>44956</v>
      </c>
      <c r="B1789" s="33">
        <v>0.32500000000000001</v>
      </c>
      <c r="C1789" s="10" t="s">
        <v>279</v>
      </c>
      <c r="D1789" s="10">
        <v>0</v>
      </c>
      <c r="E1789" s="10" t="s">
        <v>911</v>
      </c>
      <c r="F1789" s="10">
        <v>1</v>
      </c>
      <c r="G1789" s="10" t="s">
        <v>231</v>
      </c>
      <c r="H1789" s="10" t="s">
        <v>322</v>
      </c>
      <c r="I1789" s="10" t="s">
        <v>224</v>
      </c>
      <c r="J1789" s="10">
        <v>51</v>
      </c>
      <c r="K1789" s="12">
        <v>44958</v>
      </c>
      <c r="L1789" s="33">
        <v>0.70947916666666666</v>
      </c>
      <c r="M1789" s="10">
        <v>1</v>
      </c>
      <c r="N1789" s="10" t="s">
        <v>196</v>
      </c>
      <c r="O1789" s="10">
        <v>7.77</v>
      </c>
      <c r="P1789" s="10">
        <v>0.38200000000000001</v>
      </c>
      <c r="Q1789" s="10">
        <v>1310</v>
      </c>
      <c r="R1789" s="10" t="s">
        <v>170</v>
      </c>
      <c r="S1789" s="34">
        <f t="shared" si="198"/>
        <v>1405.76391369</v>
      </c>
      <c r="T1789" s="10" t="s">
        <v>1123</v>
      </c>
      <c r="U1789" s="34" t="str">
        <f t="shared" si="199"/>
        <v/>
      </c>
      <c r="V1789" s="31" t="str">
        <f>IF(H1789="CHK",VLOOKUP(I1789,QCCHK,3,),IF(H1789="GUP",VLOOKUP(E1789,QCGUP,2,),IF(AND(H1789="ATP",OR(I1789="TN",I1789="TDN",I1789="TNO2-3",I1789="NO2-3")),VLOOKUP(E1789,QCREC_N,2,),IF(AND(H1789="NIC",OR(I1789="TN",I1789="TDN",I1789="TNO2-3",I1789="NO2-3")),VLOOKUP(E1789,QCNIC_N,2,),IF(AND(H1789="UREA",OR(I1789="TN",I1789="TDN",I1789="TNO2-3",I1789="NO2-3")),VLOOKUP(E1789,QCUREA_N,2,),IF(H1789="PER",VLOOKUP(I1789,QCPER,MATCH(E1789,QCACTUAL!$J$25:$AA$25,0),),IF(H1789="SPK",VLOOKUP(I1789,QCSPK,3,),IF(AND(H1789="ATP",OR(I1789="TP",I1789="TDP")),VLOOKUP(E1789,QCATP_P,2,),""))))))))</f>
        <v/>
      </c>
      <c r="W1789" s="31" t="str">
        <f t="shared" si="200"/>
        <v>TRUE</v>
      </c>
      <c r="X1789" s="31" t="str">
        <f t="shared" si="197"/>
        <v/>
      </c>
      <c r="Y1789" s="10" t="s">
        <v>1116</v>
      </c>
      <c r="Z1789" s="10" t="s">
        <v>910</v>
      </c>
      <c r="AF1789" s="12">
        <v>44958</v>
      </c>
      <c r="AJ1789" s="10">
        <f>0.9631*7.77^2+173.03*7.77-74.605</f>
        <v>1327.9832399899999</v>
      </c>
      <c r="AK1789" s="10">
        <f>-1.0839*7.77^2+204.73*7.77-119.55</f>
        <v>1405.76391369</v>
      </c>
      <c r="AL1789" s="10" t="str">
        <f t="shared" si="202"/>
        <v>FALSE</v>
      </c>
      <c r="AM1789" s="10" t="str">
        <f t="shared" si="202"/>
        <v>FALSE</v>
      </c>
      <c r="AN1789" s="10" t="str">
        <f t="shared" si="202"/>
        <v>FALSE</v>
      </c>
      <c r="AO1789" s="10" t="str">
        <f t="shared" si="203"/>
        <v>y=0.9631*7.77^2+173.03*7.77-74.605</v>
      </c>
      <c r="AP1789" s="10" t="str">
        <f t="shared" si="203"/>
        <v>y=-1.0839*7.77^2+204.73*7.77-119.55</v>
      </c>
      <c r="AQ1789" s="10" t="b">
        <f>IF(AND(I1789="TP",S1789&lt;=150),VLOOKUP(AF1789,TPCalibEq150!$AZ$2:$BB$55,3,),IF(AND(I1789="TDP",S1789&lt;=150),VLOOKUP(AF1789,TPCalibEq150!$AZ$2:$BB$55,3,)))</f>
        <v>0</v>
      </c>
      <c r="AR1789" s="10" t="b">
        <f>IF(AND(I1789="TP",S1789&lt;=300),VLOOKUP(AF1789,TPCalibEq300!$AZ$2:$BB$55,3,),IF(AND(I1789="TDP",S1789&lt;=300),VLOOKUP(AF1789,TPCalibEq300!$AZ$2:$BB$55,3,)))</f>
        <v>0</v>
      </c>
      <c r="AS1789" s="10" t="b">
        <f>IF(AND(I1789="TP",S1789&lt;=500),VLOOKUP(AF1789,TPCalibEq500!$AZ$2:$BB$56,3,),IF(AND(I1789="TDP",S1789&lt;=500),VLOOKUP(AF1789,TPCalibEq500!$AZ$2:$BB$56,3,)))</f>
        <v>0</v>
      </c>
      <c r="AT1789" s="10" t="str">
        <f>IF(AND(I1789="TN",S1789&lt;=2800),VLOOKUP(AF1789,TNCalibEq2500!$AZ$2:$BB$56,3,),IF(AND(I1789="TDN",S1789&lt;=2800),VLOOKUP(AF1789,TNCalibEq2500!$AZ$2:$BB$56,3,)))</f>
        <v>y=0.9631x2+173.03x-74.605</v>
      </c>
      <c r="AU1789" s="10" t="str">
        <f>IF(I1789="TP",VLOOKUP(AF1789,TPCalibEqFull!$AZ$2:$BB$56,3),IF(I1789="TDP",VLOOKUP(AF1789,TPCalibEqFull!$AZ$2:$BB$56,3),IF(I1789="TDN",VLOOKUP(AF1789,TNCalibEqFull!$AZ$1:$BB$56,3),IF(I1789="TN",VLOOKUP(AF1789,TNCalibEqFull!$AZ$1:$BB$56,3),FALSE))))</f>
        <v>y=-1.0839x2+204.73x-119.55</v>
      </c>
      <c r="AV1789" s="10" t="str">
        <f t="shared" si="201"/>
        <v>0130 07:48:00-EFK-0-FIL-1-SW-UKN</v>
      </c>
    </row>
    <row r="1790" spans="1:48" s="10" customFormat="1" x14ac:dyDescent="0.55000000000000004">
      <c r="A1790" s="32">
        <v>44956</v>
      </c>
      <c r="B1790" s="33">
        <v>0.33749999999999997</v>
      </c>
      <c r="C1790" s="10" t="s">
        <v>333</v>
      </c>
      <c r="D1790" s="10">
        <v>0</v>
      </c>
      <c r="E1790" s="10" t="s">
        <v>911</v>
      </c>
      <c r="F1790" s="10">
        <v>1</v>
      </c>
      <c r="G1790" s="10" t="s">
        <v>231</v>
      </c>
      <c r="H1790" s="10" t="s">
        <v>322</v>
      </c>
      <c r="I1790" s="10" t="s">
        <v>224</v>
      </c>
      <c r="J1790" s="10">
        <v>52</v>
      </c>
      <c r="K1790" s="12">
        <v>44958</v>
      </c>
      <c r="L1790" s="33">
        <v>0.71015046296296302</v>
      </c>
      <c r="M1790" s="10">
        <v>1</v>
      </c>
      <c r="N1790" s="10" t="s">
        <v>196</v>
      </c>
      <c r="O1790" s="10">
        <v>7.34</v>
      </c>
      <c r="P1790" s="10">
        <v>0.36</v>
      </c>
      <c r="Q1790" s="10">
        <v>1240</v>
      </c>
      <c r="R1790" s="10" t="s">
        <v>170</v>
      </c>
      <c r="S1790" s="34">
        <f t="shared" si="198"/>
        <v>1324.7724371599998</v>
      </c>
      <c r="T1790" s="10" t="s">
        <v>1123</v>
      </c>
      <c r="U1790" s="34" t="str">
        <f t="shared" si="199"/>
        <v/>
      </c>
      <c r="V1790" s="31" t="str">
        <f>IF(H1790="CHK",VLOOKUP(I1790,QCCHK,3,),IF(H1790="GUP",VLOOKUP(E1790,QCGUP,2,),IF(AND(H1790="ATP",OR(I1790="TN",I1790="TDN",I1790="TNO2-3",I1790="NO2-3")),VLOOKUP(E1790,QCREC_N,2,),IF(AND(H1790="NIC",OR(I1790="TN",I1790="TDN",I1790="TNO2-3",I1790="NO2-3")),VLOOKUP(E1790,QCNIC_N,2,),IF(AND(H1790="UREA",OR(I1790="TN",I1790="TDN",I1790="TNO2-3",I1790="NO2-3")),VLOOKUP(E1790,QCUREA_N,2,),IF(H1790="PER",VLOOKUP(I1790,QCPER,MATCH(E1790,QCACTUAL!$J$25:$AA$25,0),),IF(H1790="SPK",VLOOKUP(I1790,QCSPK,3,),IF(AND(H1790="ATP",OR(I1790="TP",I1790="TDP")),VLOOKUP(E1790,QCATP_P,2,),""))))))))</f>
        <v/>
      </c>
      <c r="W1790" s="31" t="str">
        <f t="shared" si="200"/>
        <v>TRUE</v>
      </c>
      <c r="X1790" s="31" t="str">
        <f t="shared" si="197"/>
        <v/>
      </c>
      <c r="Y1790" s="10" t="s">
        <v>1116</v>
      </c>
      <c r="Z1790" s="10" t="s">
        <v>910</v>
      </c>
      <c r="AF1790" s="12">
        <v>44958</v>
      </c>
      <c r="AJ1790" s="10">
        <f>0.9631*7.34^2+173.03*7.34-74.605</f>
        <v>1247.32279036</v>
      </c>
      <c r="AK1790" s="10">
        <f>-1.0839*7.34^2+204.73*7.34-119.55</f>
        <v>1324.7724371599998</v>
      </c>
      <c r="AL1790" s="10" t="str">
        <f t="shared" si="202"/>
        <v>FALSE</v>
      </c>
      <c r="AM1790" s="10" t="str">
        <f t="shared" si="202"/>
        <v>FALSE</v>
      </c>
      <c r="AN1790" s="10" t="str">
        <f t="shared" si="202"/>
        <v>FALSE</v>
      </c>
      <c r="AO1790" s="10" t="str">
        <f t="shared" si="203"/>
        <v>y=0.9631*7.34^2+173.03*7.34-74.605</v>
      </c>
      <c r="AP1790" s="10" t="str">
        <f t="shared" si="203"/>
        <v>y=-1.0839*7.34^2+204.73*7.34-119.55</v>
      </c>
      <c r="AQ1790" s="10" t="b">
        <f>IF(AND(I1790="TP",S1790&lt;=150),VLOOKUP(AF1790,TPCalibEq150!$AZ$2:$BB$55,3,),IF(AND(I1790="TDP",S1790&lt;=150),VLOOKUP(AF1790,TPCalibEq150!$AZ$2:$BB$55,3,)))</f>
        <v>0</v>
      </c>
      <c r="AR1790" s="10" t="b">
        <f>IF(AND(I1790="TP",S1790&lt;=300),VLOOKUP(AF1790,TPCalibEq300!$AZ$2:$BB$55,3,),IF(AND(I1790="TDP",S1790&lt;=300),VLOOKUP(AF1790,TPCalibEq300!$AZ$2:$BB$55,3,)))</f>
        <v>0</v>
      </c>
      <c r="AS1790" s="10" t="b">
        <f>IF(AND(I1790="TP",S1790&lt;=500),VLOOKUP(AF1790,TPCalibEq500!$AZ$2:$BB$56,3,),IF(AND(I1790="TDP",S1790&lt;=500),VLOOKUP(AF1790,TPCalibEq500!$AZ$2:$BB$56,3,)))</f>
        <v>0</v>
      </c>
      <c r="AT1790" s="10" t="str">
        <f>IF(AND(I1790="TN",S1790&lt;=2800),VLOOKUP(AF1790,TNCalibEq2500!$AZ$2:$BB$56,3,),IF(AND(I1790="TDN",S1790&lt;=2800),VLOOKUP(AF1790,TNCalibEq2500!$AZ$2:$BB$56,3,)))</f>
        <v>y=0.9631x2+173.03x-74.605</v>
      </c>
      <c r="AU1790" s="10" t="str">
        <f>IF(I1790="TP",VLOOKUP(AF1790,TPCalibEqFull!$AZ$2:$BB$56,3),IF(I1790="TDP",VLOOKUP(AF1790,TPCalibEqFull!$AZ$2:$BB$56,3),IF(I1790="TDN",VLOOKUP(AF1790,TNCalibEqFull!$AZ$1:$BB$56,3),IF(I1790="TN",VLOOKUP(AF1790,TNCalibEqFull!$AZ$1:$BB$56,3),FALSE))))</f>
        <v>y=-1.0839x2+204.73x-119.55</v>
      </c>
      <c r="AV1790" s="10" t="str">
        <f t="shared" si="201"/>
        <v>0130 08:06:00-HST-0-FIL-1-SW-UKN</v>
      </c>
    </row>
    <row r="1791" spans="1:48" s="10" customFormat="1" x14ac:dyDescent="0.55000000000000004">
      <c r="A1791" s="32">
        <v>44957</v>
      </c>
      <c r="B1791" s="33">
        <v>0.41250000000000003</v>
      </c>
      <c r="C1791" s="10" t="s">
        <v>279</v>
      </c>
      <c r="D1791" s="10">
        <v>0</v>
      </c>
      <c r="E1791" s="10" t="s">
        <v>911</v>
      </c>
      <c r="F1791" s="10">
        <v>1</v>
      </c>
      <c r="G1791" s="10" t="s">
        <v>231</v>
      </c>
      <c r="H1791" s="10" t="s">
        <v>322</v>
      </c>
      <c r="I1791" s="10" t="s">
        <v>224</v>
      </c>
      <c r="J1791" s="10">
        <v>53</v>
      </c>
      <c r="K1791" s="12">
        <v>44958</v>
      </c>
      <c r="L1791" s="33">
        <v>0.71083333333333332</v>
      </c>
      <c r="M1791" s="10">
        <v>1</v>
      </c>
      <c r="N1791" s="10" t="s">
        <v>196</v>
      </c>
      <c r="O1791" s="10">
        <v>7.83</v>
      </c>
      <c r="P1791" s="10">
        <v>0.38500000000000001</v>
      </c>
      <c r="Q1791" s="10">
        <v>1330</v>
      </c>
      <c r="R1791" s="10" t="s">
        <v>170</v>
      </c>
      <c r="S1791" s="34">
        <f t="shared" si="198"/>
        <v>1417.0331832899999</v>
      </c>
      <c r="T1791" s="10" t="s">
        <v>1123</v>
      </c>
      <c r="U1791" s="34" t="str">
        <f t="shared" si="199"/>
        <v/>
      </c>
      <c r="V1791" s="31" t="str">
        <f>IF(H1791="CHK",VLOOKUP(I1791,QCCHK,3,),IF(H1791="GUP",VLOOKUP(E1791,QCGUP,2,),IF(AND(H1791="ATP",OR(I1791="TN",I1791="TDN",I1791="TNO2-3",I1791="NO2-3")),VLOOKUP(E1791,QCREC_N,2,),IF(AND(H1791="NIC",OR(I1791="TN",I1791="TDN",I1791="TNO2-3",I1791="NO2-3")),VLOOKUP(E1791,QCNIC_N,2,),IF(AND(H1791="UREA",OR(I1791="TN",I1791="TDN",I1791="TNO2-3",I1791="NO2-3")),VLOOKUP(E1791,QCUREA_N,2,),IF(H1791="PER",VLOOKUP(I1791,QCPER,MATCH(E1791,QCACTUAL!$J$25:$AA$25,0),),IF(H1791="SPK",VLOOKUP(I1791,QCSPK,3,),IF(AND(H1791="ATP",OR(I1791="TP",I1791="TDP")),VLOOKUP(E1791,QCATP_P,2,),""))))))))</f>
        <v/>
      </c>
      <c r="W1791" s="31" t="str">
        <f t="shared" si="200"/>
        <v>TRUE</v>
      </c>
      <c r="X1791" s="31" t="str">
        <f t="shared" ref="X1791:X1854" si="204">IF(ISNA(VLOOKUP(H1791,QCEQUATIONS,2,)),"",(VLOOKUP(H1791,QCEQUATIONS,2,)))</f>
        <v/>
      </c>
      <c r="Y1791" s="10" t="s">
        <v>1116</v>
      </c>
      <c r="AF1791" s="12">
        <v>44958</v>
      </c>
      <c r="AJ1791" s="10">
        <f>0.9631*7.83^2+173.03*7.83-74.605</f>
        <v>1339.26650159</v>
      </c>
      <c r="AK1791" s="10">
        <f>-1.0839*7.83^2+204.73*7.83-119.55</f>
        <v>1417.0331832899999</v>
      </c>
      <c r="AL1791" s="10" t="str">
        <f t="shared" si="202"/>
        <v>FALSE</v>
      </c>
      <c r="AM1791" s="10" t="str">
        <f t="shared" si="202"/>
        <v>FALSE</v>
      </c>
      <c r="AN1791" s="10" t="str">
        <f t="shared" si="202"/>
        <v>FALSE</v>
      </c>
      <c r="AO1791" s="10" t="str">
        <f t="shared" si="203"/>
        <v>y=0.9631*7.83^2+173.03*7.83-74.605</v>
      </c>
      <c r="AP1791" s="10" t="str">
        <f t="shared" si="203"/>
        <v>y=-1.0839*7.83^2+204.73*7.83-119.55</v>
      </c>
      <c r="AQ1791" s="10" t="b">
        <f>IF(AND(I1791="TP",S1791&lt;=150),VLOOKUP(AF1791,TPCalibEq150!$AZ$2:$BB$55,3,),IF(AND(I1791="TDP",S1791&lt;=150),VLOOKUP(AF1791,TPCalibEq150!$AZ$2:$BB$55,3,)))</f>
        <v>0</v>
      </c>
      <c r="AR1791" s="10" t="b">
        <f>IF(AND(I1791="TP",S1791&lt;=300),VLOOKUP(AF1791,TPCalibEq300!$AZ$2:$BB$55,3,),IF(AND(I1791="TDP",S1791&lt;=300),VLOOKUP(AF1791,TPCalibEq300!$AZ$2:$BB$55,3,)))</f>
        <v>0</v>
      </c>
      <c r="AS1791" s="10" t="b">
        <f>IF(AND(I1791="TP",S1791&lt;=500),VLOOKUP(AF1791,TPCalibEq500!$AZ$2:$BB$56,3,),IF(AND(I1791="TDP",S1791&lt;=500),VLOOKUP(AF1791,TPCalibEq500!$AZ$2:$BB$56,3,)))</f>
        <v>0</v>
      </c>
      <c r="AT1791" s="10" t="str">
        <f>IF(AND(I1791="TN",S1791&lt;=2800),VLOOKUP(AF1791,TNCalibEq2500!$AZ$2:$BB$56,3,),IF(AND(I1791="TDN",S1791&lt;=2800),VLOOKUP(AF1791,TNCalibEq2500!$AZ$2:$BB$56,3,)))</f>
        <v>y=0.9631x2+173.03x-74.605</v>
      </c>
      <c r="AU1791" s="10" t="str">
        <f>IF(I1791="TP",VLOOKUP(AF1791,TPCalibEqFull!$AZ$2:$BB$56,3),IF(I1791="TDP",VLOOKUP(AF1791,TPCalibEqFull!$AZ$2:$BB$56,3),IF(I1791="TDN",VLOOKUP(AF1791,TNCalibEqFull!$AZ$1:$BB$56,3),IF(I1791="TN",VLOOKUP(AF1791,TNCalibEqFull!$AZ$1:$BB$56,3),FALSE))))</f>
        <v>y=-1.0839x2+204.73x-119.55</v>
      </c>
      <c r="AV1791" s="10" t="str">
        <f t="shared" si="201"/>
        <v>0131 09:54:00-EFK-0-FIL-1-SW-UKN</v>
      </c>
    </row>
    <row r="1792" spans="1:48" s="10" customFormat="1" x14ac:dyDescent="0.55000000000000004">
      <c r="A1792" s="32">
        <v>44957</v>
      </c>
      <c r="B1792" s="33">
        <v>0.41597222222222219</v>
      </c>
      <c r="C1792" s="10" t="s">
        <v>333</v>
      </c>
      <c r="D1792" s="10">
        <v>0</v>
      </c>
      <c r="E1792" s="10" t="s">
        <v>911</v>
      </c>
      <c r="F1792" s="10">
        <v>1</v>
      </c>
      <c r="G1792" s="10" t="s">
        <v>231</v>
      </c>
      <c r="H1792" s="10" t="s">
        <v>322</v>
      </c>
      <c r="I1792" s="10" t="s">
        <v>224</v>
      </c>
      <c r="J1792" s="10">
        <v>54</v>
      </c>
      <c r="K1792" s="12">
        <v>44958</v>
      </c>
      <c r="L1792" s="33">
        <v>0.71149305555555553</v>
      </c>
      <c r="M1792" s="10">
        <v>1</v>
      </c>
      <c r="N1792" s="10" t="s">
        <v>196</v>
      </c>
      <c r="O1792" s="10">
        <v>6.98</v>
      </c>
      <c r="P1792" s="10">
        <v>0.34300000000000003</v>
      </c>
      <c r="Q1792" s="10">
        <v>1180</v>
      </c>
      <c r="R1792" s="10" t="s">
        <v>170</v>
      </c>
      <c r="S1792" s="34">
        <f t="shared" ref="S1792:S1855" si="205">IF(OR(AND(I1792&lt;&gt;"TP", I1792&lt;&gt;"TDP",I1792&lt;&gt;"TN", I1792&lt;&gt;"TDN"),H1792="CAL"), Q1792*M1792, IF(OR(AND(I1792="TN", Q1792&gt;2500), AND(I1792="TDN", Q1792&gt;2500)),MAX(Q1792, AK1792)*M1792, IF(OR(AND(I1792="TN", Q1792&lt;=2500), AND(I1792="TDN", Q1792&lt;=2500)),MAX(Q1792, AJ1792,AK1792)*M1792, IF(OR(AND(I1792="TP",Q1792&gt;500), AND(I1792="TDP", Q1792&gt;500)),MAX(Q1792,AK1792)*M1792,IF(OR(AND(I1792="TP",Q1792&lt;=150), AND(I1792="TDP", Q1792&lt;=150)),MAX(Q1792,AG1792:AI1792,AK1792)*M1792,IF(OR(AND(I1792="TP",Q1792&lt;=300), AND(I1792="TDP", Q1792&lt;=300)),MAX(Q1792,AH1792,AI1792,AK1792)*M1792,IF(OR(AND(I1792="TP",Q1792&lt;=500), AND(I1792="TDP", Q1792&lt;=500)),MAX(Q1792,AI1792,AK1792)*M1792,"")))))))</f>
        <v>1256.6573584400001</v>
      </c>
      <c r="T1792" s="10" t="s">
        <v>1123</v>
      </c>
      <c r="U1792" s="34" t="str">
        <f t="shared" si="199"/>
        <v/>
      </c>
      <c r="V1792" s="31" t="str">
        <f>IF(H1792="CHK",VLOOKUP(I1792,QCCHK,3,),IF(H1792="GUP",VLOOKUP(E1792,QCGUP,2,),IF(AND(H1792="ATP",OR(I1792="TN",I1792="TDN",I1792="TNO2-3",I1792="NO2-3")),VLOOKUP(E1792,QCREC_N,2,),IF(AND(H1792="NIC",OR(I1792="TN",I1792="TDN",I1792="TNO2-3",I1792="NO2-3")),VLOOKUP(E1792,QCNIC_N,2,),IF(AND(H1792="UREA",OR(I1792="TN",I1792="TDN",I1792="TNO2-3",I1792="NO2-3")),VLOOKUP(E1792,QCUREA_N,2,),IF(H1792="PER",VLOOKUP(I1792,QCPER,MATCH(E1792,QCACTUAL!$J$25:$AA$25,0),),IF(H1792="SPK",VLOOKUP(I1792,QCSPK,3,),IF(AND(H1792="ATP",OR(I1792="TP",I1792="TDP")),VLOOKUP(E1792,QCATP_P,2,),""))))))))</f>
        <v/>
      </c>
      <c r="W1792" s="31" t="str">
        <f t="shared" si="200"/>
        <v>TRUE</v>
      </c>
      <c r="X1792" s="31" t="str">
        <f t="shared" si="204"/>
        <v/>
      </c>
      <c r="Y1792" s="10" t="s">
        <v>1116</v>
      </c>
      <c r="AF1792" s="12">
        <v>44958</v>
      </c>
      <c r="AJ1792" s="10">
        <f>0.9631*6.98^2+173.03*6.98-74.605</f>
        <v>1180.06701724</v>
      </c>
      <c r="AK1792" s="10">
        <f>-1.0839*6.98^2+204.73*6.98-119.55</f>
        <v>1256.6573584400001</v>
      </c>
      <c r="AL1792" s="10" t="str">
        <f t="shared" si="202"/>
        <v>FALSE</v>
      </c>
      <c r="AM1792" s="10" t="str">
        <f t="shared" si="202"/>
        <v>FALSE</v>
      </c>
      <c r="AN1792" s="10" t="str">
        <f t="shared" si="202"/>
        <v>FALSE</v>
      </c>
      <c r="AO1792" s="10" t="str">
        <f t="shared" si="203"/>
        <v>y=0.9631*6.98^2+173.03*6.98-74.605</v>
      </c>
      <c r="AP1792" s="10" t="str">
        <f t="shared" si="203"/>
        <v>y=-1.0839*6.98^2+204.73*6.98-119.55</v>
      </c>
      <c r="AQ1792" s="10" t="b">
        <f>IF(AND(I1792="TP",S1792&lt;=150),VLOOKUP(AF1792,TPCalibEq150!$AZ$2:$BB$55,3,),IF(AND(I1792="TDP",S1792&lt;=150),VLOOKUP(AF1792,TPCalibEq150!$AZ$2:$BB$55,3,)))</f>
        <v>0</v>
      </c>
      <c r="AR1792" s="10" t="b">
        <f>IF(AND(I1792="TP",S1792&lt;=300),VLOOKUP(AF1792,TPCalibEq300!$AZ$2:$BB$55,3,),IF(AND(I1792="TDP",S1792&lt;=300),VLOOKUP(AF1792,TPCalibEq300!$AZ$2:$BB$55,3,)))</f>
        <v>0</v>
      </c>
      <c r="AS1792" s="10" t="b">
        <f>IF(AND(I1792="TP",S1792&lt;=500),VLOOKUP(AF1792,TPCalibEq500!$AZ$2:$BB$56,3,),IF(AND(I1792="TDP",S1792&lt;=500),VLOOKUP(AF1792,TPCalibEq500!$AZ$2:$BB$56,3,)))</f>
        <v>0</v>
      </c>
      <c r="AT1792" s="10" t="str">
        <f>IF(AND(I1792="TN",S1792&lt;=2800),VLOOKUP(AF1792,TNCalibEq2500!$AZ$2:$BB$56,3,),IF(AND(I1792="TDN",S1792&lt;=2800),VLOOKUP(AF1792,TNCalibEq2500!$AZ$2:$BB$56,3,)))</f>
        <v>y=0.9631x2+173.03x-74.605</v>
      </c>
      <c r="AU1792" s="10" t="str">
        <f>IF(I1792="TP",VLOOKUP(AF1792,TPCalibEqFull!$AZ$2:$BB$56,3),IF(I1792="TDP",VLOOKUP(AF1792,TPCalibEqFull!$AZ$2:$BB$56,3),IF(I1792="TDN",VLOOKUP(AF1792,TNCalibEqFull!$AZ$1:$BB$56,3),IF(I1792="TN",VLOOKUP(AF1792,TNCalibEqFull!$AZ$1:$BB$56,3),FALSE))))</f>
        <v>y=-1.0839x2+204.73x-119.55</v>
      </c>
      <c r="AV1792" s="10" t="str">
        <f t="shared" si="201"/>
        <v>0131 09:59:00-HST-0-FIL-1-SW-UKN</v>
      </c>
    </row>
    <row r="1793" spans="1:48" s="10" customFormat="1" x14ac:dyDescent="0.55000000000000004">
      <c r="A1793" s="32">
        <v>44957</v>
      </c>
      <c r="B1793" s="33">
        <v>0.41597222222222219</v>
      </c>
      <c r="C1793" s="10" t="s">
        <v>333</v>
      </c>
      <c r="D1793" s="10">
        <v>0</v>
      </c>
      <c r="E1793" s="10" t="s">
        <v>911</v>
      </c>
      <c r="F1793" s="10">
        <v>1</v>
      </c>
      <c r="G1793" s="10" t="s">
        <v>231</v>
      </c>
      <c r="H1793" s="10" t="s">
        <v>233</v>
      </c>
      <c r="I1793" s="10" t="s">
        <v>224</v>
      </c>
      <c r="J1793" s="10">
        <v>54</v>
      </c>
      <c r="K1793" s="12">
        <v>44958</v>
      </c>
      <c r="L1793" s="33">
        <v>0.71216435185185178</v>
      </c>
      <c r="M1793" s="10">
        <v>1</v>
      </c>
      <c r="N1793" s="10" t="s">
        <v>196</v>
      </c>
      <c r="O1793" s="10">
        <v>7</v>
      </c>
      <c r="P1793" s="10">
        <v>0.34599999999999997</v>
      </c>
      <c r="Q1793" s="10">
        <v>1180</v>
      </c>
      <c r="R1793" s="10" t="s">
        <v>170</v>
      </c>
      <c r="S1793" s="34">
        <f t="shared" si="205"/>
        <v>1260.4488999999999</v>
      </c>
      <c r="T1793" s="10" t="s">
        <v>1123</v>
      </c>
      <c r="U1793" s="34">
        <f t="shared" si="199"/>
        <v>0.30126193896555309</v>
      </c>
      <c r="V1793" s="31" t="str">
        <f>IF(H1793="CHK",VLOOKUP(I1793,QCCHK,3,),IF(H1793="GUP",VLOOKUP(E1793,QCGUP,2,),IF(AND(H1793="ATP",OR(I1793="TN",I1793="TDN",I1793="TNO2-3",I1793="NO2-3")),VLOOKUP(E1793,QCREC_N,2,),IF(AND(H1793="NIC",OR(I1793="TN",I1793="TDN",I1793="TNO2-3",I1793="NO2-3")),VLOOKUP(E1793,QCNIC_N,2,),IF(AND(H1793="UREA",OR(I1793="TN",I1793="TDN",I1793="TNO2-3",I1793="NO2-3")),VLOOKUP(E1793,QCUREA_N,2,),IF(H1793="PER",VLOOKUP(I1793,QCPER,MATCH(E1793,QCACTUAL!$J$25:$AA$25,0),),IF(H1793="SPK",VLOOKUP(I1793,QCSPK,3,),IF(AND(H1793="ATP",OR(I1793="TP",I1793="TDP")),VLOOKUP(E1793,QCATP_P,2,),""))))))))</f>
        <v/>
      </c>
      <c r="W1793" s="31" t="str">
        <f t="shared" si="200"/>
        <v>TRUE</v>
      </c>
      <c r="X1793" s="31" t="str">
        <f t="shared" si="204"/>
        <v>((ABS(rep1-rep2))/((rep1+rep2)/2)*100</v>
      </c>
      <c r="Y1793" s="10" t="s">
        <v>1116</v>
      </c>
      <c r="AF1793" s="12">
        <v>44958</v>
      </c>
      <c r="AJ1793" s="10">
        <f>0.9631*7^2+173.03*7-74.605</f>
        <v>1183.7969000000001</v>
      </c>
      <c r="AK1793" s="10">
        <f>-1.0839*7^2+204.73*7-119.55</f>
        <v>1260.4488999999999</v>
      </c>
      <c r="AL1793" s="10" t="str">
        <f t="shared" si="202"/>
        <v>FALSE</v>
      </c>
      <c r="AM1793" s="10" t="str">
        <f t="shared" si="202"/>
        <v>FALSE</v>
      </c>
      <c r="AN1793" s="10" t="str">
        <f t="shared" si="202"/>
        <v>FALSE</v>
      </c>
      <c r="AO1793" s="10" t="str">
        <f t="shared" si="203"/>
        <v>y=0.9631*7^2+173.03*7-74.605</v>
      </c>
      <c r="AP1793" s="10" t="str">
        <f t="shared" si="203"/>
        <v>y=-1.0839*7^2+204.73*7-119.55</v>
      </c>
      <c r="AQ1793" s="10" t="b">
        <f>IF(AND(I1793="TP",S1793&lt;=150),VLOOKUP(AF1793,TPCalibEq150!$AZ$2:$BB$55,3,),IF(AND(I1793="TDP",S1793&lt;=150),VLOOKUP(AF1793,TPCalibEq150!$AZ$2:$BB$55,3,)))</f>
        <v>0</v>
      </c>
      <c r="AR1793" s="10" t="b">
        <f>IF(AND(I1793="TP",S1793&lt;=300),VLOOKUP(AF1793,TPCalibEq300!$AZ$2:$BB$55,3,),IF(AND(I1793="TDP",S1793&lt;=300),VLOOKUP(AF1793,TPCalibEq300!$AZ$2:$BB$55,3,)))</f>
        <v>0</v>
      </c>
      <c r="AS1793" s="10" t="b">
        <f>IF(AND(I1793="TP",S1793&lt;=500),VLOOKUP(AF1793,TPCalibEq500!$AZ$2:$BB$56,3,),IF(AND(I1793="TDP",S1793&lt;=500),VLOOKUP(AF1793,TPCalibEq500!$AZ$2:$BB$56,3,)))</f>
        <v>0</v>
      </c>
      <c r="AT1793" s="10" t="str">
        <f>IF(AND(I1793="TN",S1793&lt;=2800),VLOOKUP(AF1793,TNCalibEq2500!$AZ$2:$BB$56,3,),IF(AND(I1793="TDN",S1793&lt;=2800),VLOOKUP(AF1793,TNCalibEq2500!$AZ$2:$BB$56,3,)))</f>
        <v>y=0.9631x2+173.03x-74.605</v>
      </c>
      <c r="AU1793" s="10" t="str">
        <f>IF(I1793="TP",VLOOKUP(AF1793,TPCalibEqFull!$AZ$2:$BB$56,3),IF(I1793="TDP",VLOOKUP(AF1793,TPCalibEqFull!$AZ$2:$BB$56,3),IF(I1793="TDN",VLOOKUP(AF1793,TNCalibEqFull!$AZ$1:$BB$56,3),IF(I1793="TN",VLOOKUP(AF1793,TNCalibEqFull!$AZ$1:$BB$56,3),FALSE))))</f>
        <v>y=-1.0839x2+204.73x-119.55</v>
      </c>
      <c r="AV1793" s="10" t="str">
        <f t="shared" si="201"/>
        <v>0131 09:59:00-HST-0-FIL-1-SW-DUP</v>
      </c>
    </row>
    <row r="1794" spans="1:48" s="10" customFormat="1" x14ac:dyDescent="0.55000000000000004">
      <c r="A1794" s="32">
        <v>44957</v>
      </c>
      <c r="B1794" s="33">
        <v>0.41597222222222219</v>
      </c>
      <c r="C1794" s="10" t="s">
        <v>912</v>
      </c>
      <c r="D1794" s="10">
        <v>0</v>
      </c>
      <c r="E1794" s="10" t="s">
        <v>911</v>
      </c>
      <c r="F1794" s="10">
        <v>1</v>
      </c>
      <c r="G1794" s="10" t="s">
        <v>231</v>
      </c>
      <c r="H1794" s="10" t="s">
        <v>314</v>
      </c>
      <c r="I1794" s="10" t="s">
        <v>224</v>
      </c>
      <c r="J1794" s="10">
        <v>87</v>
      </c>
      <c r="K1794" s="12">
        <v>44958</v>
      </c>
      <c r="L1794" s="33">
        <v>0.712824074074074</v>
      </c>
      <c r="M1794" s="10">
        <v>1</v>
      </c>
      <c r="N1794" s="10" t="s">
        <v>196</v>
      </c>
      <c r="O1794" s="10">
        <v>22.7</v>
      </c>
      <c r="P1794" s="10">
        <v>1.1100000000000001</v>
      </c>
      <c r="Q1794" s="10">
        <v>3930</v>
      </c>
      <c r="R1794" s="10" t="s">
        <v>170</v>
      </c>
      <c r="S1794" s="34">
        <f t="shared" si="205"/>
        <v>3969.2981689999988</v>
      </c>
      <c r="T1794" s="10" t="s">
        <v>1123</v>
      </c>
      <c r="U1794" s="34">
        <f t="shared" ref="U1794:U1857" si="206">IF(OR(H1794="CHK",H1794="ATP",H1794="GUP",H1794="PER", H1794="NIC", H1794="UREA"),(S1794/V1794*100),IF(H1794="DUP",((ABS(S1794-S1793))/((S1793+S1794)/2))*100,IF(H1794="SPK",((S1794-S1793)/V1794*100),IF(OR(H1794="LAB",H1794="FLD",H1794="ESF"),S1794,""))))</f>
        <v>108.35397075999995</v>
      </c>
      <c r="V1794" s="31">
        <f>IF(H1794="CHK",VLOOKUP(I1794,QCCHK,3,),IF(H1794="GUP",VLOOKUP(E1794,QCGUP,2,),IF(AND(H1794="ATP",OR(I1794="TN",I1794="TDN",I1794="TNO2-3",I1794="NO2-3")),VLOOKUP(E1794,QCREC_N,2,),IF(AND(H1794="NIC",OR(I1794="TN",I1794="TDN",I1794="TNO2-3",I1794="NO2-3")),VLOOKUP(E1794,QCNIC_N,2,),IF(AND(H1794="UREA",OR(I1794="TN",I1794="TDN",I1794="TNO2-3",I1794="NO2-3")),VLOOKUP(E1794,QCUREA_N,2,),IF(H1794="PER",VLOOKUP(I1794,QCPER,MATCH(E1794,QCACTUAL!$J$25:$AA$25,0),),IF(H1794="SPK",VLOOKUP(I1794,QCSPK,3,),IF(AND(H1794="ATP",OR(I1794="TP",I1794="TDP")),VLOOKUP(E1794,QCATP_P,2,),""))))))))</f>
        <v>2500</v>
      </c>
      <c r="W1794" s="31" t="str">
        <f t="shared" ref="W1794:W1857" si="207">IF(AND(OR(H1794="PER",H1794="ATP",H1794="GUP",H1794="CHK",H1794="SPK", H1794="NIC"),OR(U1794&gt;125,U1794&lt;75)),"FALSE",IF(AND(H1794="DUP",OR(U1794&gt;25, U1794&lt;-25)),"FALSE",IF(AND(OR(H1794="LAB",H1794="FLD",H1794="ESF"),U1794&gt;15),"FALSE","TRUE")))</f>
        <v>TRUE</v>
      </c>
      <c r="X1794" s="31" t="str">
        <f t="shared" si="204"/>
        <v>([spikedunkn]-[unkn])/[spike]*100</v>
      </c>
      <c r="Y1794" s="10" t="s">
        <v>1116</v>
      </c>
      <c r="AF1794" s="12">
        <v>44958</v>
      </c>
      <c r="AK1794" s="10">
        <f>-1.0839*22.7^2+204.73*22.7-119.55</f>
        <v>3969.2981689999988</v>
      </c>
      <c r="AL1794" s="10" t="str">
        <f t="shared" si="202"/>
        <v>FALSE</v>
      </c>
      <c r="AM1794" s="10" t="str">
        <f t="shared" si="202"/>
        <v>FALSE</v>
      </c>
      <c r="AN1794" s="10" t="str">
        <f t="shared" si="202"/>
        <v>FALSE</v>
      </c>
      <c r="AO1794" s="10" t="str">
        <f t="shared" si="203"/>
        <v>FALSE</v>
      </c>
      <c r="AP1794" s="10" t="str">
        <f t="shared" si="203"/>
        <v>y=-1.0839*22.7^2+204.73*22.7-119.55</v>
      </c>
      <c r="AQ1794" s="10" t="b">
        <f>IF(AND(I1794="TP",S1794&lt;=150),VLOOKUP(AF1794,TPCalibEq150!$AZ$2:$BB$55,3,),IF(AND(I1794="TDP",S1794&lt;=150),VLOOKUP(AF1794,TPCalibEq150!$AZ$2:$BB$55,3,)))</f>
        <v>0</v>
      </c>
      <c r="AR1794" s="10" t="b">
        <f>IF(AND(I1794="TP",S1794&lt;=300),VLOOKUP(AF1794,TPCalibEq300!$AZ$2:$BB$55,3,),IF(AND(I1794="TDP",S1794&lt;=300),VLOOKUP(AF1794,TPCalibEq300!$AZ$2:$BB$55,3,)))</f>
        <v>0</v>
      </c>
      <c r="AS1794" s="10" t="b">
        <f>IF(AND(I1794="TP",S1794&lt;=500),VLOOKUP(AF1794,TPCalibEq500!$AZ$2:$BB$56,3,),IF(AND(I1794="TDP",S1794&lt;=500),VLOOKUP(AF1794,TPCalibEq500!$AZ$2:$BB$56,3,)))</f>
        <v>0</v>
      </c>
      <c r="AT1794" s="10" t="b">
        <f>IF(AND(I1794="TN",S1794&lt;=2800),VLOOKUP(AF1794,TNCalibEq2500!$AZ$2:$BB$56,3,),IF(AND(I1794="TDN",S1794&lt;=2800),VLOOKUP(AF1794,TNCalibEq2500!$AZ$2:$BB$56,3,)))</f>
        <v>0</v>
      </c>
      <c r="AU1794" s="10" t="str">
        <f>IF(I1794="TP",VLOOKUP(AF1794,TPCalibEqFull!$AZ$2:$BB$56,3),IF(I1794="TDP",VLOOKUP(AF1794,TPCalibEqFull!$AZ$2:$BB$56,3),IF(I1794="TDN",VLOOKUP(AF1794,TNCalibEqFull!$AZ$1:$BB$56,3),IF(I1794="TN",VLOOKUP(AF1794,TNCalibEqFull!$AZ$1:$BB$56,3),FALSE))))</f>
        <v>y=-1.0839x2+204.73x-119.55</v>
      </c>
      <c r="AV1794" s="10" t="str">
        <f t="shared" ref="AV1794:AV1857" si="208">TEXT(A1794, "MMDD")&amp;" "&amp;TEXT(B1794, "HH:MM:SS")&amp;"-"&amp;C1794&amp;"-"&amp;D1794&amp;"-"&amp;E1794&amp;"-"&amp;F1794&amp;"-"&amp;G1794&amp;"-"&amp;H1794</f>
        <v>0131 09:59:00-HST -0-FIL-1-SW-SPK</v>
      </c>
    </row>
    <row r="1795" spans="1:48" s="10" customFormat="1" x14ac:dyDescent="0.55000000000000004">
      <c r="A1795" s="32">
        <v>44958</v>
      </c>
      <c r="B1795" s="33">
        <v>0.375</v>
      </c>
      <c r="C1795" s="10" t="s">
        <v>70</v>
      </c>
      <c r="D1795" s="10" t="s">
        <v>71</v>
      </c>
      <c r="E1795" s="10" t="s">
        <v>901</v>
      </c>
      <c r="F1795" s="10">
        <v>1</v>
      </c>
      <c r="G1795" s="10" t="s">
        <v>73</v>
      </c>
      <c r="H1795" s="10" t="s">
        <v>207</v>
      </c>
      <c r="I1795" s="10" t="s">
        <v>235</v>
      </c>
      <c r="J1795" s="10">
        <v>201</v>
      </c>
      <c r="K1795" s="12">
        <v>44958</v>
      </c>
      <c r="L1795" s="33">
        <v>0.71350694444444451</v>
      </c>
      <c r="M1795" s="10">
        <v>1</v>
      </c>
      <c r="N1795" s="10" t="s">
        <v>196</v>
      </c>
      <c r="O1795" s="10">
        <v>7.25</v>
      </c>
      <c r="P1795" s="10">
        <v>0.36</v>
      </c>
      <c r="Q1795" s="10">
        <v>1230</v>
      </c>
      <c r="R1795" s="10" t="s">
        <v>170</v>
      </c>
      <c r="S1795" s="34">
        <f t="shared" si="205"/>
        <v>1307.7700062500001</v>
      </c>
      <c r="T1795" s="10" t="s">
        <v>1123</v>
      </c>
      <c r="U1795" s="34">
        <f t="shared" si="206"/>
        <v>104.6216005</v>
      </c>
      <c r="V1795" s="31">
        <f>IF(H1795="CHK",VLOOKUP(I1795,QCCHK,3,),IF(H1795="GUP",VLOOKUP(E1795,QCGUP,2,),IF(AND(H1795="ATP",OR(I1795="TN",I1795="TDN",I1795="TNO2-3",I1795="NO2-3")),VLOOKUP(E1795,QCREC_N,2,),IF(AND(H1795="NIC",OR(I1795="TN",I1795="TDN",I1795="TNO2-3",I1795="NO2-3")),VLOOKUP(E1795,QCNIC_N,2,),IF(AND(H1795="UREA",OR(I1795="TN",I1795="TDN",I1795="TNO2-3",I1795="NO2-3")),VLOOKUP(E1795,QCUREA_N,2,),IF(H1795="PER",VLOOKUP(I1795,QCPER,MATCH(E1795,QCACTUAL!$J$25:$AA$25,0),),IF(H1795="SPK",VLOOKUP(I1795,QCSPK,3,),IF(AND(H1795="ATP",OR(I1795="TP",I1795="TDP")),VLOOKUP(E1795,QCATP_P,2,),""))))))))</f>
        <v>1250</v>
      </c>
      <c r="W1795" s="31" t="str">
        <f t="shared" si="207"/>
        <v>TRUE</v>
      </c>
      <c r="X1795" s="31" t="str">
        <f t="shared" si="204"/>
        <v>[chk]/[actual]*100</v>
      </c>
      <c r="Y1795" s="10" t="s">
        <v>1116</v>
      </c>
      <c r="AF1795" s="12">
        <v>44958</v>
      </c>
      <c r="AJ1795" s="10">
        <f>0.9631*7.25^2+173.03*7.25-74.605</f>
        <v>1230.4854437500001</v>
      </c>
      <c r="AK1795" s="10">
        <f>-1.0839*7.25^2+204.73*7.25-119.55</f>
        <v>1307.7700062500001</v>
      </c>
      <c r="AL1795" s="10" t="str">
        <f t="shared" si="202"/>
        <v>FALSE</v>
      </c>
      <c r="AM1795" s="10" t="str">
        <f t="shared" si="202"/>
        <v>FALSE</v>
      </c>
      <c r="AN1795" s="10" t="str">
        <f t="shared" si="202"/>
        <v>FALSE</v>
      </c>
      <c r="AO1795" s="10" t="str">
        <f t="shared" si="203"/>
        <v>y=0.9631*7.25^2+173.03*7.25-74.605</v>
      </c>
      <c r="AP1795" s="10" t="str">
        <f t="shared" si="203"/>
        <v>y=-1.0839*7.25^2+204.73*7.25-119.55</v>
      </c>
      <c r="AQ1795" s="10" t="b">
        <f>IF(AND(I1795="TP",S1795&lt;=150),VLOOKUP(AF1795,TPCalibEq150!$AZ$2:$BB$55,3,),IF(AND(I1795="TDP",S1795&lt;=150),VLOOKUP(AF1795,TPCalibEq150!$AZ$2:$BB$55,3,)))</f>
        <v>0</v>
      </c>
      <c r="AR1795" s="10" t="b">
        <f>IF(AND(I1795="TP",S1795&lt;=300),VLOOKUP(AF1795,TPCalibEq300!$AZ$2:$BB$55,3,),IF(AND(I1795="TDP",S1795&lt;=300),VLOOKUP(AF1795,TPCalibEq300!$AZ$2:$BB$55,3,)))</f>
        <v>0</v>
      </c>
      <c r="AS1795" s="10" t="b">
        <f>IF(AND(I1795="TP",S1795&lt;=500),VLOOKUP(AF1795,TPCalibEq500!$AZ$2:$BB$56,3,),IF(AND(I1795="TDP",S1795&lt;=500),VLOOKUP(AF1795,TPCalibEq500!$AZ$2:$BB$56,3,)))</f>
        <v>0</v>
      </c>
      <c r="AT1795" s="10" t="str">
        <f>IF(AND(I1795="TN",S1795&lt;=2800),VLOOKUP(AF1795,TNCalibEq2500!$AZ$2:$BB$56,3,),IF(AND(I1795="TDN",S1795&lt;=2800),VLOOKUP(AF1795,TNCalibEq2500!$AZ$2:$BB$56,3,)))</f>
        <v>y=0.9631x2+173.03x-74.605</v>
      </c>
      <c r="AU1795" s="10" t="str">
        <f>IF(I1795="TP",VLOOKUP(AF1795,TPCalibEqFull!$AZ$2:$BB$56,3),IF(I1795="TDP",VLOOKUP(AF1795,TPCalibEqFull!$AZ$2:$BB$56,3),IF(I1795="TDN",VLOOKUP(AF1795,TNCalibEqFull!$AZ$1:$BB$56,3),IF(I1795="TN",VLOOKUP(AF1795,TNCalibEqFull!$AZ$1:$BB$56,3),FALSE))))</f>
        <v>y=-1.0839x2+204.73x-119.55</v>
      </c>
      <c r="AV1795" s="10" t="str">
        <f t="shared" si="208"/>
        <v>0201 09:00:00-QAC-STD-D-1-DI-CHK</v>
      </c>
    </row>
    <row r="1796" spans="1:48" s="10" customFormat="1" x14ac:dyDescent="0.55000000000000004">
      <c r="A1796" s="32">
        <v>44949</v>
      </c>
      <c r="B1796" s="33">
        <v>0.34375</v>
      </c>
      <c r="C1796" s="10" t="s">
        <v>998</v>
      </c>
      <c r="D1796" s="10">
        <v>0</v>
      </c>
      <c r="E1796" s="10" t="s">
        <v>911</v>
      </c>
      <c r="F1796" s="10">
        <v>1</v>
      </c>
      <c r="G1796" s="10" t="s">
        <v>231</v>
      </c>
      <c r="H1796" s="10" t="s">
        <v>322</v>
      </c>
      <c r="I1796" s="10" t="s">
        <v>224</v>
      </c>
      <c r="J1796" s="10">
        <v>55</v>
      </c>
      <c r="K1796" s="12">
        <v>44958</v>
      </c>
      <c r="L1796" s="33">
        <v>0.71415509259259258</v>
      </c>
      <c r="M1796" s="10">
        <v>1</v>
      </c>
      <c r="N1796" s="10" t="s">
        <v>196</v>
      </c>
      <c r="O1796" s="10">
        <v>8.4499999999999993</v>
      </c>
      <c r="P1796" s="10">
        <v>0.41599999999999998</v>
      </c>
      <c r="Q1796" s="10">
        <v>1430</v>
      </c>
      <c r="R1796" s="10" t="s">
        <v>170</v>
      </c>
      <c r="S1796" s="34">
        <f t="shared" si="205"/>
        <v>1533.0253302499998</v>
      </c>
      <c r="T1796" s="10" t="s">
        <v>1123</v>
      </c>
      <c r="U1796" s="34" t="str">
        <f t="shared" si="206"/>
        <v/>
      </c>
      <c r="V1796" s="31" t="str">
        <f>IF(H1796="CHK",VLOOKUP(I1796,QCCHK,3,),IF(H1796="GUP",VLOOKUP(E1796,QCGUP,2,),IF(AND(H1796="ATP",OR(I1796="TN",I1796="TDN",I1796="TNO2-3",I1796="NO2-3")),VLOOKUP(E1796,QCREC_N,2,),IF(AND(H1796="NIC",OR(I1796="TN",I1796="TDN",I1796="TNO2-3",I1796="NO2-3")),VLOOKUP(E1796,QCNIC_N,2,),IF(AND(H1796="UREA",OR(I1796="TN",I1796="TDN",I1796="TNO2-3",I1796="NO2-3")),VLOOKUP(E1796,QCUREA_N,2,),IF(H1796="PER",VLOOKUP(I1796,QCPER,MATCH(E1796,QCACTUAL!$J$25:$AA$25,0),),IF(H1796="SPK",VLOOKUP(I1796,QCSPK,3,),IF(AND(H1796="ATP",OR(I1796="TP",I1796="TDP")),VLOOKUP(E1796,QCATP_P,2,),""))))))))</f>
        <v/>
      </c>
      <c r="W1796" s="31" t="str">
        <f t="shared" si="207"/>
        <v>TRUE</v>
      </c>
      <c r="X1796" s="31" t="str">
        <f t="shared" si="204"/>
        <v/>
      </c>
      <c r="Y1796" s="10" t="s">
        <v>1116</v>
      </c>
      <c r="Z1796" s="10" t="s">
        <v>910</v>
      </c>
      <c r="AF1796" s="12">
        <v>44958</v>
      </c>
      <c r="AJ1796" s="10">
        <f>0.9631*8.45^2+173.03*8.45-74.605</f>
        <v>1456.2662477499998</v>
      </c>
      <c r="AK1796" s="10">
        <f>-1.0839*8.45^2+204.73*8.45-119.55</f>
        <v>1533.0253302499998</v>
      </c>
      <c r="AL1796" s="10" t="str">
        <f t="shared" si="202"/>
        <v>FALSE</v>
      </c>
      <c r="AM1796" s="10" t="str">
        <f t="shared" si="202"/>
        <v>FALSE</v>
      </c>
      <c r="AN1796" s="10" t="str">
        <f t="shared" si="202"/>
        <v>FALSE</v>
      </c>
      <c r="AO1796" s="10" t="str">
        <f t="shared" si="203"/>
        <v>y=0.9631*8.45^2+173.03*8.45-74.605</v>
      </c>
      <c r="AP1796" s="10" t="str">
        <f t="shared" si="203"/>
        <v>y=-1.0839*8.45^2+204.73*8.45-119.55</v>
      </c>
      <c r="AQ1796" s="10" t="b">
        <f>IF(AND(I1796="TP",S1796&lt;=150),VLOOKUP(AF1796,TPCalibEq150!$AZ$2:$BB$55,3,),IF(AND(I1796="TDP",S1796&lt;=150),VLOOKUP(AF1796,TPCalibEq150!$AZ$2:$BB$55,3,)))</f>
        <v>0</v>
      </c>
      <c r="AR1796" s="10" t="b">
        <f>IF(AND(I1796="TP",S1796&lt;=300),VLOOKUP(AF1796,TPCalibEq300!$AZ$2:$BB$55,3,),IF(AND(I1796="TDP",S1796&lt;=300),VLOOKUP(AF1796,TPCalibEq300!$AZ$2:$BB$55,3,)))</f>
        <v>0</v>
      </c>
      <c r="AS1796" s="10" t="b">
        <f>IF(AND(I1796="TP",S1796&lt;=500),VLOOKUP(AF1796,TPCalibEq500!$AZ$2:$BB$56,3,),IF(AND(I1796="TDP",S1796&lt;=500),VLOOKUP(AF1796,TPCalibEq500!$AZ$2:$BB$56,3,)))</f>
        <v>0</v>
      </c>
      <c r="AT1796" s="10" t="str">
        <f>IF(AND(I1796="TN",S1796&lt;=2800),VLOOKUP(AF1796,TNCalibEq2500!$AZ$2:$BB$56,3,),IF(AND(I1796="TDN",S1796&lt;=2800),VLOOKUP(AF1796,TNCalibEq2500!$AZ$2:$BB$56,3,)))</f>
        <v>y=0.9631x2+173.03x-74.605</v>
      </c>
      <c r="AU1796" s="10" t="str">
        <f>IF(I1796="TP",VLOOKUP(AF1796,TPCalibEqFull!$AZ$2:$BB$56,3),IF(I1796="TDP",VLOOKUP(AF1796,TPCalibEqFull!$AZ$2:$BB$56,3),IF(I1796="TDN",VLOOKUP(AF1796,TNCalibEqFull!$AZ$1:$BB$56,3),IF(I1796="TN",VLOOKUP(AF1796,TNCalibEqFull!$AZ$1:$BB$56,3),FALSE))))</f>
        <v>y=-1.0839x2+204.73x-119.55</v>
      </c>
      <c r="AV1796" s="10" t="str">
        <f t="shared" si="208"/>
        <v>0123 08:15:00-ELW-0-FIL-1-SW-UKN</v>
      </c>
    </row>
    <row r="1797" spans="1:48" s="10" customFormat="1" x14ac:dyDescent="0.55000000000000004">
      <c r="A1797" s="32">
        <v>44949</v>
      </c>
      <c r="B1797" s="33">
        <v>0.37777777777777777</v>
      </c>
      <c r="C1797" s="10" t="s">
        <v>270</v>
      </c>
      <c r="D1797" s="10">
        <v>0</v>
      </c>
      <c r="E1797" s="10" t="s">
        <v>911</v>
      </c>
      <c r="F1797" s="10">
        <v>1</v>
      </c>
      <c r="G1797" s="10" t="s">
        <v>231</v>
      </c>
      <c r="H1797" s="10" t="s">
        <v>322</v>
      </c>
      <c r="I1797" s="10" t="s">
        <v>224</v>
      </c>
      <c r="J1797" s="10">
        <v>56</v>
      </c>
      <c r="K1797" s="12">
        <v>44958</v>
      </c>
      <c r="L1797" s="33">
        <v>0.71483796296296298</v>
      </c>
      <c r="M1797" s="10">
        <v>1</v>
      </c>
      <c r="N1797" s="10" t="s">
        <v>196</v>
      </c>
      <c r="O1797" s="10">
        <v>10.5</v>
      </c>
      <c r="P1797" s="10">
        <v>0.51600000000000001</v>
      </c>
      <c r="Q1797" s="10">
        <v>1790</v>
      </c>
      <c r="R1797" s="10" t="s">
        <v>170</v>
      </c>
      <c r="S1797" s="34">
        <f t="shared" si="205"/>
        <v>1910.6150250000001</v>
      </c>
      <c r="T1797" s="10" t="s">
        <v>1123</v>
      </c>
      <c r="U1797" s="34" t="str">
        <f t="shared" si="206"/>
        <v/>
      </c>
      <c r="V1797" s="31" t="str">
        <f>IF(H1797="CHK",VLOOKUP(I1797,QCCHK,3,),IF(H1797="GUP",VLOOKUP(E1797,QCGUP,2,),IF(AND(H1797="ATP",OR(I1797="TN",I1797="TDN",I1797="TNO2-3",I1797="NO2-3")),VLOOKUP(E1797,QCREC_N,2,),IF(AND(H1797="NIC",OR(I1797="TN",I1797="TDN",I1797="TNO2-3",I1797="NO2-3")),VLOOKUP(E1797,QCNIC_N,2,),IF(AND(H1797="UREA",OR(I1797="TN",I1797="TDN",I1797="TNO2-3",I1797="NO2-3")),VLOOKUP(E1797,QCUREA_N,2,),IF(H1797="PER",VLOOKUP(I1797,QCPER,MATCH(E1797,QCACTUAL!$J$25:$AA$25,0),),IF(H1797="SPK",VLOOKUP(I1797,QCSPK,3,),IF(AND(H1797="ATP",OR(I1797="TP",I1797="TDP")),VLOOKUP(E1797,QCATP_P,2,),""))))))))</f>
        <v/>
      </c>
      <c r="W1797" s="31" t="str">
        <f t="shared" si="207"/>
        <v>TRUE</v>
      </c>
      <c r="X1797" s="31" t="str">
        <f t="shared" si="204"/>
        <v/>
      </c>
      <c r="Y1797" s="10" t="s">
        <v>1116</v>
      </c>
      <c r="Z1797" s="10" t="s">
        <v>910</v>
      </c>
      <c r="AF1797" s="12">
        <v>44958</v>
      </c>
      <c r="AJ1797" s="10">
        <f>0.9631*10.5^2+173.03*10.5-74.605</f>
        <v>1848.3917750000001</v>
      </c>
      <c r="AK1797" s="10">
        <f>-1.0839*10.5^2+204.73*10.5-119.55</f>
        <v>1910.6150250000001</v>
      </c>
      <c r="AL1797" s="10" t="str">
        <f t="shared" si="202"/>
        <v>FALSE</v>
      </c>
      <c r="AM1797" s="10" t="str">
        <f t="shared" si="202"/>
        <v>FALSE</v>
      </c>
      <c r="AN1797" s="10" t="str">
        <f t="shared" si="202"/>
        <v>FALSE</v>
      </c>
      <c r="AO1797" s="10" t="str">
        <f t="shared" si="203"/>
        <v>y=0.9631*10.5^2+173.03*10.5-74.605</v>
      </c>
      <c r="AP1797" s="10" t="str">
        <f t="shared" si="203"/>
        <v>y=-1.0839*10.5^2+204.73*10.5-119.55</v>
      </c>
      <c r="AQ1797" s="10" t="b">
        <f>IF(AND(I1797="TP",S1797&lt;=150),VLOOKUP(AF1797,TPCalibEq150!$AZ$2:$BB$55,3,),IF(AND(I1797="TDP",S1797&lt;=150),VLOOKUP(AF1797,TPCalibEq150!$AZ$2:$BB$55,3,)))</f>
        <v>0</v>
      </c>
      <c r="AR1797" s="10" t="b">
        <f>IF(AND(I1797="TP",S1797&lt;=300),VLOOKUP(AF1797,TPCalibEq300!$AZ$2:$BB$55,3,),IF(AND(I1797="TDP",S1797&lt;=300),VLOOKUP(AF1797,TPCalibEq300!$AZ$2:$BB$55,3,)))</f>
        <v>0</v>
      </c>
      <c r="AS1797" s="10" t="b">
        <f>IF(AND(I1797="TP",S1797&lt;=500),VLOOKUP(AF1797,TPCalibEq500!$AZ$2:$BB$56,3,),IF(AND(I1797="TDP",S1797&lt;=500),VLOOKUP(AF1797,TPCalibEq500!$AZ$2:$BB$56,3,)))</f>
        <v>0</v>
      </c>
      <c r="AT1797" s="10" t="str">
        <f>IF(AND(I1797="TN",S1797&lt;=2800),VLOOKUP(AF1797,TNCalibEq2500!$AZ$2:$BB$56,3,),IF(AND(I1797="TDN",S1797&lt;=2800),VLOOKUP(AF1797,TNCalibEq2500!$AZ$2:$BB$56,3,)))</f>
        <v>y=0.9631x2+173.03x-74.605</v>
      </c>
      <c r="AU1797" s="10" t="str">
        <f>IF(I1797="TP",VLOOKUP(AF1797,TPCalibEqFull!$AZ$2:$BB$56,3),IF(I1797="TDP",VLOOKUP(AF1797,TPCalibEqFull!$AZ$2:$BB$56,3),IF(I1797="TDN",VLOOKUP(AF1797,TNCalibEqFull!$AZ$1:$BB$56,3),IF(I1797="TN",VLOOKUP(AF1797,TNCalibEqFull!$AZ$1:$BB$56,3),FALSE))))</f>
        <v>y=-1.0839x2+204.73x-119.55</v>
      </c>
      <c r="AV1797" s="10" t="str">
        <f t="shared" si="208"/>
        <v>0123 09:04:00-EFG-0-FIL-1-SW-UKN</v>
      </c>
    </row>
    <row r="1798" spans="1:48" s="10" customFormat="1" x14ac:dyDescent="0.55000000000000004">
      <c r="A1798" s="32">
        <v>44949</v>
      </c>
      <c r="B1798" s="33">
        <v>0.39027777777777778</v>
      </c>
      <c r="C1798" s="10" t="s">
        <v>540</v>
      </c>
      <c r="D1798" s="10">
        <v>0</v>
      </c>
      <c r="E1798" s="10" t="s">
        <v>911</v>
      </c>
      <c r="F1798" s="10">
        <v>1</v>
      </c>
      <c r="G1798" s="10" t="s">
        <v>231</v>
      </c>
      <c r="H1798" s="10" t="s">
        <v>322</v>
      </c>
      <c r="I1798" s="10" t="s">
        <v>224</v>
      </c>
      <c r="J1798" s="10">
        <v>57</v>
      </c>
      <c r="K1798" s="12">
        <v>44958</v>
      </c>
      <c r="L1798" s="33">
        <v>0.71549768518518519</v>
      </c>
      <c r="M1798" s="10">
        <v>1</v>
      </c>
      <c r="N1798" s="10" t="s">
        <v>196</v>
      </c>
      <c r="O1798" s="10">
        <v>9.1999999999999993</v>
      </c>
      <c r="P1798" s="10">
        <v>0.45400000000000001</v>
      </c>
      <c r="Q1798" s="10">
        <v>1570</v>
      </c>
      <c r="R1798" s="10" t="s">
        <v>170</v>
      </c>
      <c r="S1798" s="34">
        <f t="shared" si="205"/>
        <v>1672.224704</v>
      </c>
      <c r="T1798" s="10" t="s">
        <v>1123</v>
      </c>
      <c r="U1798" s="34" t="str">
        <f t="shared" si="206"/>
        <v/>
      </c>
      <c r="V1798" s="31" t="str">
        <f>IF(H1798="CHK",VLOOKUP(I1798,QCCHK,3,),IF(H1798="GUP",VLOOKUP(E1798,QCGUP,2,),IF(AND(H1798="ATP",OR(I1798="TN",I1798="TDN",I1798="TNO2-3",I1798="NO2-3")),VLOOKUP(E1798,QCREC_N,2,),IF(AND(H1798="NIC",OR(I1798="TN",I1798="TDN",I1798="TNO2-3",I1798="NO2-3")),VLOOKUP(E1798,QCNIC_N,2,),IF(AND(H1798="UREA",OR(I1798="TN",I1798="TDN",I1798="TNO2-3",I1798="NO2-3")),VLOOKUP(E1798,QCUREA_N,2,),IF(H1798="PER",VLOOKUP(I1798,QCPER,MATCH(E1798,QCACTUAL!$J$25:$AA$25,0),),IF(H1798="SPK",VLOOKUP(I1798,QCSPK,3,),IF(AND(H1798="ATP",OR(I1798="TP",I1798="TDP")),VLOOKUP(E1798,QCATP_P,2,),""))))))))</f>
        <v/>
      </c>
      <c r="W1798" s="31" t="str">
        <f t="shared" si="207"/>
        <v>TRUE</v>
      </c>
      <c r="X1798" s="31" t="str">
        <f t="shared" si="204"/>
        <v/>
      </c>
      <c r="Y1798" s="10" t="s">
        <v>1116</v>
      </c>
      <c r="Z1798" s="10" t="s">
        <v>910</v>
      </c>
      <c r="AF1798" s="12">
        <v>44958</v>
      </c>
      <c r="AJ1798" s="10">
        <f>0.9631*9.2^2+173.03*9.2-74.605</f>
        <v>1598.7877839999999</v>
      </c>
      <c r="AK1798" s="10">
        <f>-1.0839*9.2^2+204.73*9.2-119.55</f>
        <v>1672.224704</v>
      </c>
      <c r="AL1798" s="10" t="str">
        <f t="shared" si="202"/>
        <v>FALSE</v>
      </c>
      <c r="AM1798" s="10" t="str">
        <f t="shared" si="202"/>
        <v>FALSE</v>
      </c>
      <c r="AN1798" s="10" t="str">
        <f t="shared" si="202"/>
        <v>FALSE</v>
      </c>
      <c r="AO1798" s="10" t="str">
        <f t="shared" si="203"/>
        <v>y=0.9631*9.2^2+173.03*9.2-74.605</v>
      </c>
      <c r="AP1798" s="10" t="str">
        <f t="shared" si="203"/>
        <v>y=-1.0839*9.2^2+204.73*9.2-119.55</v>
      </c>
      <c r="AQ1798" s="10" t="b">
        <f>IF(AND(I1798="TP",S1798&lt;=150),VLOOKUP(AF1798,TPCalibEq150!$AZ$2:$BB$55,3,),IF(AND(I1798="TDP",S1798&lt;=150),VLOOKUP(AF1798,TPCalibEq150!$AZ$2:$BB$55,3,)))</f>
        <v>0</v>
      </c>
      <c r="AR1798" s="10" t="b">
        <f>IF(AND(I1798="TP",S1798&lt;=300),VLOOKUP(AF1798,TPCalibEq300!$AZ$2:$BB$55,3,),IF(AND(I1798="TDP",S1798&lt;=300),VLOOKUP(AF1798,TPCalibEq300!$AZ$2:$BB$55,3,)))</f>
        <v>0</v>
      </c>
      <c r="AS1798" s="10" t="b">
        <f>IF(AND(I1798="TP",S1798&lt;=500),VLOOKUP(AF1798,TPCalibEq500!$AZ$2:$BB$56,3,),IF(AND(I1798="TDP",S1798&lt;=500),VLOOKUP(AF1798,TPCalibEq500!$AZ$2:$BB$56,3,)))</f>
        <v>0</v>
      </c>
      <c r="AT1798" s="10" t="str">
        <f>IF(AND(I1798="TN",S1798&lt;=2800),VLOOKUP(AF1798,TNCalibEq2500!$AZ$2:$BB$56,3,),IF(AND(I1798="TDN",S1798&lt;=2800),VLOOKUP(AF1798,TNCalibEq2500!$AZ$2:$BB$56,3,)))</f>
        <v>y=0.9631x2+173.03x-74.605</v>
      </c>
      <c r="AU1798" s="10" t="str">
        <f>IF(I1798="TP",VLOOKUP(AF1798,TPCalibEqFull!$AZ$2:$BB$56,3),IF(I1798="TDP",VLOOKUP(AF1798,TPCalibEqFull!$AZ$2:$BB$56,3),IF(I1798="TDN",VLOOKUP(AF1798,TNCalibEqFull!$AZ$1:$BB$56,3),IF(I1798="TN",VLOOKUP(AF1798,TNCalibEqFull!$AZ$1:$BB$56,3),FALSE))))</f>
        <v>y=-1.0839x2+204.73x-119.55</v>
      </c>
      <c r="AV1798" s="10" t="str">
        <f t="shared" si="208"/>
        <v>0123 09:22:00-S50-0-FIL-1-SW-UKN</v>
      </c>
    </row>
    <row r="1799" spans="1:48" s="10" customFormat="1" x14ac:dyDescent="0.55000000000000004">
      <c r="A1799" s="32">
        <v>44949</v>
      </c>
      <c r="B1799" s="33">
        <v>0.41250000000000003</v>
      </c>
      <c r="C1799" s="10" t="s">
        <v>528</v>
      </c>
      <c r="D1799" s="10">
        <v>0</v>
      </c>
      <c r="E1799" s="10" t="s">
        <v>911</v>
      </c>
      <c r="F1799" s="10">
        <v>1</v>
      </c>
      <c r="G1799" s="10" t="s">
        <v>231</v>
      </c>
      <c r="H1799" s="10" t="s">
        <v>322</v>
      </c>
      <c r="I1799" s="10" t="s">
        <v>224</v>
      </c>
      <c r="J1799" s="10">
        <v>58</v>
      </c>
      <c r="K1799" s="12">
        <v>44958</v>
      </c>
      <c r="L1799" s="33">
        <v>0.71616898148148145</v>
      </c>
      <c r="M1799" s="10">
        <v>1</v>
      </c>
      <c r="N1799" s="10" t="s">
        <v>196</v>
      </c>
      <c r="O1799" s="10">
        <v>15.4</v>
      </c>
      <c r="P1799" s="10">
        <v>0.75600000000000001</v>
      </c>
      <c r="Q1799" s="10">
        <v>2650</v>
      </c>
      <c r="R1799" s="10" t="s">
        <v>170</v>
      </c>
      <c r="S1799" s="34">
        <f t="shared" si="205"/>
        <v>2776.2342759999997</v>
      </c>
      <c r="T1799" s="10" t="s">
        <v>1123</v>
      </c>
      <c r="U1799" s="34" t="str">
        <f t="shared" si="206"/>
        <v/>
      </c>
      <c r="V1799" s="31" t="str">
        <f>IF(H1799="CHK",VLOOKUP(I1799,QCCHK,3,),IF(H1799="GUP",VLOOKUP(E1799,QCGUP,2,),IF(AND(H1799="ATP",OR(I1799="TN",I1799="TDN",I1799="TNO2-3",I1799="NO2-3")),VLOOKUP(E1799,QCREC_N,2,),IF(AND(H1799="NIC",OR(I1799="TN",I1799="TDN",I1799="TNO2-3",I1799="NO2-3")),VLOOKUP(E1799,QCNIC_N,2,),IF(AND(H1799="UREA",OR(I1799="TN",I1799="TDN",I1799="TNO2-3",I1799="NO2-3")),VLOOKUP(E1799,QCUREA_N,2,),IF(H1799="PER",VLOOKUP(I1799,QCPER,MATCH(E1799,QCACTUAL!$J$25:$AA$25,0),),IF(H1799="SPK",VLOOKUP(I1799,QCSPK,3,),IF(AND(H1799="ATP",OR(I1799="TP",I1799="TDP")),VLOOKUP(E1799,QCATP_P,2,),""))))))))</f>
        <v/>
      </c>
      <c r="W1799" s="31" t="str">
        <f t="shared" si="207"/>
        <v>TRUE</v>
      </c>
      <c r="X1799" s="31" t="str">
        <f t="shared" si="204"/>
        <v/>
      </c>
      <c r="Y1799" s="10" t="s">
        <v>1116</v>
      </c>
      <c r="Z1799" s="10" t="s">
        <v>910</v>
      </c>
      <c r="AF1799" s="12">
        <v>44958</v>
      </c>
      <c r="AJ1799" s="10">
        <f>0.9631*15.4^2+173.03*15.4-74.605</f>
        <v>2818.4657960000004</v>
      </c>
      <c r="AK1799" s="10">
        <f>-1.0839*15.4^2+204.73*15.4-119.55</f>
        <v>2776.2342759999997</v>
      </c>
      <c r="AL1799" s="10" t="str">
        <f t="shared" si="202"/>
        <v>FALSE</v>
      </c>
      <c r="AM1799" s="10" t="str">
        <f t="shared" si="202"/>
        <v>FALSE</v>
      </c>
      <c r="AN1799" s="10" t="str">
        <f t="shared" si="202"/>
        <v>FALSE</v>
      </c>
      <c r="AO1799" s="10" t="str">
        <f t="shared" si="203"/>
        <v>y=0.9631*15.4^2+173.03*15.4-74.605</v>
      </c>
      <c r="AP1799" s="10" t="str">
        <f t="shared" si="203"/>
        <v>y=-1.0839*15.4^2+204.73*15.4-119.55</v>
      </c>
      <c r="AQ1799" s="10" t="b">
        <f>IF(AND(I1799="TP",S1799&lt;=150),VLOOKUP(AF1799,TPCalibEq150!$AZ$2:$BB$55,3,),IF(AND(I1799="TDP",S1799&lt;=150),VLOOKUP(AF1799,TPCalibEq150!$AZ$2:$BB$55,3,)))</f>
        <v>0</v>
      </c>
      <c r="AR1799" s="10" t="b">
        <f>IF(AND(I1799="TP",S1799&lt;=300),VLOOKUP(AF1799,TPCalibEq300!$AZ$2:$BB$55,3,),IF(AND(I1799="TDP",S1799&lt;=300),VLOOKUP(AF1799,TPCalibEq300!$AZ$2:$BB$55,3,)))</f>
        <v>0</v>
      </c>
      <c r="AS1799" s="10" t="b">
        <f>IF(AND(I1799="TP",S1799&lt;=500),VLOOKUP(AF1799,TPCalibEq500!$AZ$2:$BB$56,3,),IF(AND(I1799="TDP",S1799&lt;=500),VLOOKUP(AF1799,TPCalibEq500!$AZ$2:$BB$56,3,)))</f>
        <v>0</v>
      </c>
      <c r="AT1799" s="10" t="str">
        <f>IF(AND(I1799="TN",S1799&lt;=2800),VLOOKUP(AF1799,TNCalibEq2500!$AZ$2:$BB$56,3,),IF(AND(I1799="TDN",S1799&lt;=2800),VLOOKUP(AF1799,TNCalibEq2500!$AZ$2:$BB$56,3,)))</f>
        <v>y=0.9631x2+173.03x-74.605</v>
      </c>
      <c r="AU1799" s="10" t="str">
        <f>IF(I1799="TP",VLOOKUP(AF1799,TPCalibEqFull!$AZ$2:$BB$56,3),IF(I1799="TDP",VLOOKUP(AF1799,TPCalibEqFull!$AZ$2:$BB$56,3),IF(I1799="TDN",VLOOKUP(AF1799,TNCalibEqFull!$AZ$1:$BB$56,3),IF(I1799="TN",VLOOKUP(AF1799,TNCalibEqFull!$AZ$1:$BB$56,3),FALSE))))</f>
        <v>y=-1.0839x2+204.73x-119.55</v>
      </c>
      <c r="AV1799" s="10" t="str">
        <f t="shared" si="208"/>
        <v>0123 09:54:00-P04-0-FIL-1-SW-UKN</v>
      </c>
    </row>
    <row r="1800" spans="1:48" s="10" customFormat="1" x14ac:dyDescent="0.55000000000000004">
      <c r="A1800" s="32">
        <v>44949</v>
      </c>
      <c r="B1800" s="33">
        <v>0.42569444444444443</v>
      </c>
      <c r="C1800" s="10">
        <v>506</v>
      </c>
      <c r="D1800" s="10">
        <v>0</v>
      </c>
      <c r="E1800" s="10" t="s">
        <v>911</v>
      </c>
      <c r="F1800" s="10">
        <v>1</v>
      </c>
      <c r="G1800" s="10" t="s">
        <v>231</v>
      </c>
      <c r="H1800" s="10" t="s">
        <v>322</v>
      </c>
      <c r="I1800" s="10" t="s">
        <v>224</v>
      </c>
      <c r="J1800" s="10">
        <v>59</v>
      </c>
      <c r="K1800" s="12">
        <v>44958</v>
      </c>
      <c r="L1800" s="33">
        <v>0.71681712962962962</v>
      </c>
      <c r="M1800" s="10">
        <v>1</v>
      </c>
      <c r="N1800" s="10" t="s">
        <v>196</v>
      </c>
      <c r="O1800" s="10">
        <v>12.2</v>
      </c>
      <c r="P1800" s="10">
        <v>0.60199999999999998</v>
      </c>
      <c r="Q1800" s="10">
        <v>2090</v>
      </c>
      <c r="R1800" s="10" t="s">
        <v>170</v>
      </c>
      <c r="S1800" s="34">
        <f t="shared" si="205"/>
        <v>2216.8283239999996</v>
      </c>
      <c r="T1800" s="10" t="s">
        <v>1123</v>
      </c>
      <c r="U1800" s="34" t="str">
        <f t="shared" si="206"/>
        <v/>
      </c>
      <c r="V1800" s="31" t="str">
        <f>IF(H1800="CHK",VLOOKUP(I1800,QCCHK,3,),IF(H1800="GUP",VLOOKUP(E1800,QCGUP,2,),IF(AND(H1800="ATP",OR(I1800="TN",I1800="TDN",I1800="TNO2-3",I1800="NO2-3")),VLOOKUP(E1800,QCREC_N,2,),IF(AND(H1800="NIC",OR(I1800="TN",I1800="TDN",I1800="TNO2-3",I1800="NO2-3")),VLOOKUP(E1800,QCNIC_N,2,),IF(AND(H1800="UREA",OR(I1800="TN",I1800="TDN",I1800="TNO2-3",I1800="NO2-3")),VLOOKUP(E1800,QCUREA_N,2,),IF(H1800="PER",VLOOKUP(I1800,QCPER,MATCH(E1800,QCACTUAL!$J$25:$AA$25,0),),IF(H1800="SPK",VLOOKUP(I1800,QCSPK,3,),IF(AND(H1800="ATP",OR(I1800="TP",I1800="TDP")),VLOOKUP(E1800,QCATP_P,2,),""))))))))</f>
        <v/>
      </c>
      <c r="W1800" s="31" t="str">
        <f t="shared" si="207"/>
        <v>TRUE</v>
      </c>
      <c r="X1800" s="31" t="str">
        <f t="shared" si="204"/>
        <v/>
      </c>
      <c r="Y1800" s="10" t="s">
        <v>1116</v>
      </c>
      <c r="Z1800" s="10" t="s">
        <v>910</v>
      </c>
      <c r="AF1800" s="12">
        <v>44958</v>
      </c>
      <c r="AJ1800" s="10">
        <f>0.9631*12.2^2+173.03*12.2-74.605</f>
        <v>2179.7088039999999</v>
      </c>
      <c r="AK1800" s="10">
        <f>-1.0839*12.2^2+204.73*12.2-119.55</f>
        <v>2216.8283239999996</v>
      </c>
      <c r="AL1800" s="10" t="str">
        <f t="shared" si="202"/>
        <v>FALSE</v>
      </c>
      <c r="AM1800" s="10" t="str">
        <f t="shared" si="202"/>
        <v>FALSE</v>
      </c>
      <c r="AN1800" s="10" t="str">
        <f t="shared" si="202"/>
        <v>FALSE</v>
      </c>
      <c r="AO1800" s="10" t="str">
        <f t="shared" si="203"/>
        <v>y=0.9631*12.2^2+173.03*12.2-74.605</v>
      </c>
      <c r="AP1800" s="10" t="str">
        <f t="shared" si="203"/>
        <v>y=-1.0839*12.2^2+204.73*12.2-119.55</v>
      </c>
      <c r="AQ1800" s="10" t="b">
        <f>IF(AND(I1800="TP",S1800&lt;=150),VLOOKUP(AF1800,TPCalibEq150!$AZ$2:$BB$55,3,),IF(AND(I1800="TDP",S1800&lt;=150),VLOOKUP(AF1800,TPCalibEq150!$AZ$2:$BB$55,3,)))</f>
        <v>0</v>
      </c>
      <c r="AR1800" s="10" t="b">
        <f>IF(AND(I1800="TP",S1800&lt;=300),VLOOKUP(AF1800,TPCalibEq300!$AZ$2:$BB$55,3,),IF(AND(I1800="TDP",S1800&lt;=300),VLOOKUP(AF1800,TPCalibEq300!$AZ$2:$BB$55,3,)))</f>
        <v>0</v>
      </c>
      <c r="AS1800" s="10" t="b">
        <f>IF(AND(I1800="TP",S1800&lt;=500),VLOOKUP(AF1800,TPCalibEq500!$AZ$2:$BB$56,3,),IF(AND(I1800="TDP",S1800&lt;=500),VLOOKUP(AF1800,TPCalibEq500!$AZ$2:$BB$56,3,)))</f>
        <v>0</v>
      </c>
      <c r="AT1800" s="10" t="str">
        <f>IF(AND(I1800="TN",S1800&lt;=2800),VLOOKUP(AF1800,TNCalibEq2500!$AZ$2:$BB$56,3,),IF(AND(I1800="TDN",S1800&lt;=2800),VLOOKUP(AF1800,TNCalibEq2500!$AZ$2:$BB$56,3,)))</f>
        <v>y=0.9631x2+173.03x-74.605</v>
      </c>
      <c r="AU1800" s="10" t="str">
        <f>IF(I1800="TP",VLOOKUP(AF1800,TPCalibEqFull!$AZ$2:$BB$56,3),IF(I1800="TDP",VLOOKUP(AF1800,TPCalibEqFull!$AZ$2:$BB$56,3),IF(I1800="TDN",VLOOKUP(AF1800,TNCalibEqFull!$AZ$1:$BB$56,3),IF(I1800="TN",VLOOKUP(AF1800,TNCalibEqFull!$AZ$1:$BB$56,3),FALSE))))</f>
        <v>y=-1.0839x2+204.73x-119.55</v>
      </c>
      <c r="AV1800" s="10" t="str">
        <f t="shared" si="208"/>
        <v>0123 10:13:00-506-0-FIL-1-SW-UKN</v>
      </c>
    </row>
    <row r="1801" spans="1:48" s="10" customFormat="1" x14ac:dyDescent="0.55000000000000004">
      <c r="A1801" s="32">
        <v>44949</v>
      </c>
      <c r="B1801" s="33">
        <v>0.43333333333333335</v>
      </c>
      <c r="C1801" s="10" t="s">
        <v>1104</v>
      </c>
      <c r="D1801" s="10">
        <v>0</v>
      </c>
      <c r="E1801" s="10" t="s">
        <v>911</v>
      </c>
      <c r="F1801" s="10">
        <v>1</v>
      </c>
      <c r="G1801" s="10" t="s">
        <v>231</v>
      </c>
      <c r="H1801" s="10" t="s">
        <v>322</v>
      </c>
      <c r="I1801" s="10" t="s">
        <v>224</v>
      </c>
      <c r="J1801" s="10">
        <v>60</v>
      </c>
      <c r="K1801" s="12">
        <v>44958</v>
      </c>
      <c r="L1801" s="33">
        <v>0.71747685185185184</v>
      </c>
      <c r="M1801" s="10">
        <v>1</v>
      </c>
      <c r="N1801" s="10" t="s">
        <v>196</v>
      </c>
      <c r="O1801" s="10">
        <v>12.9</v>
      </c>
      <c r="P1801" s="10">
        <v>0.63300000000000001</v>
      </c>
      <c r="Q1801" s="10">
        <v>2210</v>
      </c>
      <c r="R1801" s="10" t="s">
        <v>170</v>
      </c>
      <c r="S1801" s="34">
        <f t="shared" si="205"/>
        <v>2341.0952009999996</v>
      </c>
      <c r="T1801" s="10" t="s">
        <v>1123</v>
      </c>
      <c r="U1801" s="34" t="str">
        <f t="shared" si="206"/>
        <v/>
      </c>
      <c r="V1801" s="31" t="str">
        <f>IF(H1801="CHK",VLOOKUP(I1801,QCCHK,3,),IF(H1801="GUP",VLOOKUP(E1801,QCGUP,2,),IF(AND(H1801="ATP",OR(I1801="TN",I1801="TDN",I1801="TNO2-3",I1801="NO2-3")),VLOOKUP(E1801,QCREC_N,2,),IF(AND(H1801="NIC",OR(I1801="TN",I1801="TDN",I1801="TNO2-3",I1801="NO2-3")),VLOOKUP(E1801,QCNIC_N,2,),IF(AND(H1801="UREA",OR(I1801="TN",I1801="TDN",I1801="TNO2-3",I1801="NO2-3")),VLOOKUP(E1801,QCUREA_N,2,),IF(H1801="PER",VLOOKUP(I1801,QCPER,MATCH(E1801,QCACTUAL!$J$25:$AA$25,0),),IF(H1801="SPK",VLOOKUP(I1801,QCSPK,3,),IF(AND(H1801="ATP",OR(I1801="TP",I1801="TDP")),VLOOKUP(E1801,QCATP_P,2,),""))))))))</f>
        <v/>
      </c>
      <c r="W1801" s="31" t="str">
        <f t="shared" si="207"/>
        <v>TRUE</v>
      </c>
      <c r="X1801" s="31" t="str">
        <f t="shared" si="204"/>
        <v/>
      </c>
      <c r="Y1801" s="10" t="s">
        <v>1116</v>
      </c>
      <c r="Z1801" s="10" t="s">
        <v>910</v>
      </c>
      <c r="AF1801" s="12">
        <v>44958</v>
      </c>
      <c r="AJ1801" s="10">
        <f>0.9631*12.9^2+173.03*12.9-74.605</f>
        <v>2317.751471</v>
      </c>
      <c r="AK1801" s="10">
        <f>-1.0839*12.9^2+204.73*12.9-119.55</f>
        <v>2341.0952009999996</v>
      </c>
      <c r="AL1801" s="10" t="str">
        <f t="shared" si="202"/>
        <v>FALSE</v>
      </c>
      <c r="AM1801" s="10" t="str">
        <f t="shared" si="202"/>
        <v>FALSE</v>
      </c>
      <c r="AN1801" s="10" t="str">
        <f t="shared" si="202"/>
        <v>FALSE</v>
      </c>
      <c r="AO1801" s="10" t="str">
        <f t="shared" si="203"/>
        <v>y=0.9631*12.9^2+173.03*12.9-74.605</v>
      </c>
      <c r="AP1801" s="10" t="str">
        <f t="shared" si="203"/>
        <v>y=-1.0839*12.9^2+204.73*12.9-119.55</v>
      </c>
      <c r="AQ1801" s="10" t="b">
        <f>IF(AND(I1801="TP",S1801&lt;=150),VLOOKUP(AF1801,TPCalibEq150!$AZ$2:$BB$55,3,),IF(AND(I1801="TDP",S1801&lt;=150),VLOOKUP(AF1801,TPCalibEq150!$AZ$2:$BB$55,3,)))</f>
        <v>0</v>
      </c>
      <c r="AR1801" s="10" t="b">
        <f>IF(AND(I1801="TP",S1801&lt;=300),VLOOKUP(AF1801,TPCalibEq300!$AZ$2:$BB$55,3,),IF(AND(I1801="TDP",S1801&lt;=300),VLOOKUP(AF1801,TPCalibEq300!$AZ$2:$BB$55,3,)))</f>
        <v>0</v>
      </c>
      <c r="AS1801" s="10" t="b">
        <f>IF(AND(I1801="TP",S1801&lt;=500),VLOOKUP(AF1801,TPCalibEq500!$AZ$2:$BB$56,3,),IF(AND(I1801="TDP",S1801&lt;=500),VLOOKUP(AF1801,TPCalibEq500!$AZ$2:$BB$56,3,)))</f>
        <v>0</v>
      </c>
      <c r="AT1801" s="10" t="str">
        <f>IF(AND(I1801="TN",S1801&lt;=2800),VLOOKUP(AF1801,TNCalibEq2500!$AZ$2:$BB$56,3,),IF(AND(I1801="TDN",S1801&lt;=2800),VLOOKUP(AF1801,TNCalibEq2500!$AZ$2:$BB$56,3,)))</f>
        <v>y=0.9631x2+173.03x-74.605</v>
      </c>
      <c r="AU1801" s="10" t="str">
        <f>IF(I1801="TP",VLOOKUP(AF1801,TPCalibEqFull!$AZ$2:$BB$56,3),IF(I1801="TDP",VLOOKUP(AF1801,TPCalibEqFull!$AZ$2:$BB$56,3),IF(I1801="TDN",VLOOKUP(AF1801,TNCalibEqFull!$AZ$1:$BB$56,3),IF(I1801="TN",VLOOKUP(AF1801,TNCalibEqFull!$AZ$1:$BB$56,3),FALSE))))</f>
        <v>y=-1.0839x2+204.73x-119.55</v>
      </c>
      <c r="AV1801" s="10" t="str">
        <f t="shared" si="208"/>
        <v>0123 10:24:00-LBW-0-FIL-1-SW-UKN</v>
      </c>
    </row>
    <row r="1802" spans="1:48" s="10" customFormat="1" x14ac:dyDescent="0.55000000000000004">
      <c r="A1802" s="32">
        <v>44949</v>
      </c>
      <c r="B1802" s="33">
        <v>0.45</v>
      </c>
      <c r="C1802" s="10" t="s">
        <v>537</v>
      </c>
      <c r="D1802" s="10">
        <v>0</v>
      </c>
      <c r="E1802" s="10" t="s">
        <v>911</v>
      </c>
      <c r="F1802" s="10">
        <v>1</v>
      </c>
      <c r="G1802" s="10" t="s">
        <v>231</v>
      </c>
      <c r="H1802" s="10" t="s">
        <v>322</v>
      </c>
      <c r="I1802" s="10" t="s">
        <v>224</v>
      </c>
      <c r="J1802" s="10">
        <v>61</v>
      </c>
      <c r="K1802" s="12">
        <v>44958</v>
      </c>
      <c r="L1802" s="33">
        <v>0.71815972222222213</v>
      </c>
      <c r="M1802" s="10">
        <v>1</v>
      </c>
      <c r="N1802" s="10" t="s">
        <v>196</v>
      </c>
      <c r="O1802" s="10">
        <v>5.86</v>
      </c>
      <c r="P1802" s="10">
        <v>0.28799999999999998</v>
      </c>
      <c r="Q1802" s="10">
        <v>981</v>
      </c>
      <c r="R1802" s="10" t="s">
        <v>170</v>
      </c>
      <c r="S1802" s="34">
        <f t="shared" si="205"/>
        <v>1042.9471075599999</v>
      </c>
      <c r="T1802" s="10" t="s">
        <v>1123</v>
      </c>
      <c r="U1802" s="34" t="str">
        <f t="shared" si="206"/>
        <v/>
      </c>
      <c r="V1802" s="31" t="str">
        <f>IF(H1802="CHK",VLOOKUP(I1802,QCCHK,3,),IF(H1802="GUP",VLOOKUP(E1802,QCGUP,2,),IF(AND(H1802="ATP",OR(I1802="TN",I1802="TDN",I1802="TNO2-3",I1802="NO2-3")),VLOOKUP(E1802,QCREC_N,2,),IF(AND(H1802="NIC",OR(I1802="TN",I1802="TDN",I1802="TNO2-3",I1802="NO2-3")),VLOOKUP(E1802,QCNIC_N,2,),IF(AND(H1802="UREA",OR(I1802="TN",I1802="TDN",I1802="TNO2-3",I1802="NO2-3")),VLOOKUP(E1802,QCUREA_N,2,),IF(H1802="PER",VLOOKUP(I1802,QCPER,MATCH(E1802,QCACTUAL!$J$25:$AA$25,0),),IF(H1802="SPK",VLOOKUP(I1802,QCSPK,3,),IF(AND(H1802="ATP",OR(I1802="TP",I1802="TDP")),VLOOKUP(E1802,QCATP_P,2,),""))))))))</f>
        <v/>
      </c>
      <c r="W1802" s="31" t="str">
        <f t="shared" si="207"/>
        <v>TRUE</v>
      </c>
      <c r="X1802" s="31" t="str">
        <f t="shared" si="204"/>
        <v/>
      </c>
      <c r="Y1802" s="10" t="s">
        <v>1116</v>
      </c>
      <c r="Z1802" s="10" t="s">
        <v>910</v>
      </c>
      <c r="AF1802" s="12">
        <v>44958</v>
      </c>
      <c r="AJ1802" s="10">
        <f>0.9631*5.86^2+173.03*5.86-74.605</f>
        <v>972.42326876000016</v>
      </c>
      <c r="AK1802" s="10">
        <f>-1.0839*5.86^2+204.73*5.86-119.55</f>
        <v>1042.9471075599999</v>
      </c>
      <c r="AL1802" s="10" t="str">
        <f t="shared" si="202"/>
        <v>FALSE</v>
      </c>
      <c r="AM1802" s="10" t="str">
        <f t="shared" si="202"/>
        <v>FALSE</v>
      </c>
      <c r="AN1802" s="10" t="str">
        <f t="shared" si="202"/>
        <v>FALSE</v>
      </c>
      <c r="AO1802" s="10" t="str">
        <f t="shared" si="203"/>
        <v>y=0.9631*5.86^2+173.03*5.86-74.605</v>
      </c>
      <c r="AP1802" s="10" t="str">
        <f t="shared" si="203"/>
        <v>y=-1.0839*5.86^2+204.73*5.86-119.55</v>
      </c>
      <c r="AQ1802" s="10" t="b">
        <f>IF(AND(I1802="TP",S1802&lt;=150),VLOOKUP(AF1802,TPCalibEq150!$AZ$2:$BB$55,3,),IF(AND(I1802="TDP",S1802&lt;=150),VLOOKUP(AF1802,TPCalibEq150!$AZ$2:$BB$55,3,)))</f>
        <v>0</v>
      </c>
      <c r="AR1802" s="10" t="b">
        <f>IF(AND(I1802="TP",S1802&lt;=300),VLOOKUP(AF1802,TPCalibEq300!$AZ$2:$BB$55,3,),IF(AND(I1802="TDP",S1802&lt;=300),VLOOKUP(AF1802,TPCalibEq300!$AZ$2:$BB$55,3,)))</f>
        <v>0</v>
      </c>
      <c r="AS1802" s="10" t="b">
        <f>IF(AND(I1802="TP",S1802&lt;=500),VLOOKUP(AF1802,TPCalibEq500!$AZ$2:$BB$56,3,),IF(AND(I1802="TDP",S1802&lt;=500),VLOOKUP(AF1802,TPCalibEq500!$AZ$2:$BB$56,3,)))</f>
        <v>0</v>
      </c>
      <c r="AT1802" s="10" t="str">
        <f>IF(AND(I1802="TN",S1802&lt;=2800),VLOOKUP(AF1802,TNCalibEq2500!$AZ$2:$BB$56,3,),IF(AND(I1802="TDN",S1802&lt;=2800),VLOOKUP(AF1802,TNCalibEq2500!$AZ$2:$BB$56,3,)))</f>
        <v>y=0.9631x2+173.03x-74.605</v>
      </c>
      <c r="AU1802" s="10" t="str">
        <f>IF(I1802="TP",VLOOKUP(AF1802,TPCalibEqFull!$AZ$2:$BB$56,3),IF(I1802="TDP",VLOOKUP(AF1802,TPCalibEqFull!$AZ$2:$BB$56,3),IF(I1802="TDN",VLOOKUP(AF1802,TNCalibEqFull!$AZ$1:$BB$56,3),IF(I1802="TN",VLOOKUP(AF1802,TNCalibEqFull!$AZ$1:$BB$56,3),FALSE))))</f>
        <v>y=-1.0839x2+204.73x-119.55</v>
      </c>
      <c r="AV1802" s="10" t="str">
        <f t="shared" si="208"/>
        <v>0123 10:48:00-S51-0-FIL-1-SW-UKN</v>
      </c>
    </row>
    <row r="1803" spans="1:48" s="10" customFormat="1" x14ac:dyDescent="0.55000000000000004">
      <c r="A1803" s="32">
        <v>44949</v>
      </c>
      <c r="B1803" s="33">
        <v>0.46736111111111112</v>
      </c>
      <c r="C1803" s="10">
        <v>890</v>
      </c>
      <c r="D1803" s="10">
        <v>0</v>
      </c>
      <c r="E1803" s="10" t="s">
        <v>911</v>
      </c>
      <c r="F1803" s="10">
        <v>1</v>
      </c>
      <c r="G1803" s="10" t="s">
        <v>231</v>
      </c>
      <c r="H1803" s="10" t="s">
        <v>322</v>
      </c>
      <c r="I1803" s="10" t="s">
        <v>224</v>
      </c>
      <c r="J1803" s="10">
        <v>62</v>
      </c>
      <c r="K1803" s="12">
        <v>44958</v>
      </c>
      <c r="L1803" s="33">
        <v>0.71884259259259264</v>
      </c>
      <c r="M1803" s="10">
        <v>1</v>
      </c>
      <c r="N1803" s="10" t="s">
        <v>196</v>
      </c>
      <c r="O1803" s="10">
        <v>5.92</v>
      </c>
      <c r="P1803" s="10">
        <v>0.28999999999999998</v>
      </c>
      <c r="Q1803" s="10">
        <v>993</v>
      </c>
      <c r="R1803" s="10" t="s">
        <v>170</v>
      </c>
      <c r="S1803" s="34">
        <f t="shared" si="205"/>
        <v>1054.4648070399999</v>
      </c>
      <c r="T1803" s="10" t="s">
        <v>1123</v>
      </c>
      <c r="U1803" s="34" t="str">
        <f t="shared" si="206"/>
        <v/>
      </c>
      <c r="V1803" s="31" t="str">
        <f>IF(H1803="CHK",VLOOKUP(I1803,QCCHK,3,),IF(H1803="GUP",VLOOKUP(E1803,QCGUP,2,),IF(AND(H1803="ATP",OR(I1803="TN",I1803="TDN",I1803="TNO2-3",I1803="NO2-3")),VLOOKUP(E1803,QCREC_N,2,),IF(AND(H1803="NIC",OR(I1803="TN",I1803="TDN",I1803="TNO2-3",I1803="NO2-3")),VLOOKUP(E1803,QCNIC_N,2,),IF(AND(H1803="UREA",OR(I1803="TN",I1803="TDN",I1803="TNO2-3",I1803="NO2-3")),VLOOKUP(E1803,QCUREA_N,2,),IF(H1803="PER",VLOOKUP(I1803,QCPER,MATCH(E1803,QCACTUAL!$J$25:$AA$25,0),),IF(H1803="SPK",VLOOKUP(I1803,QCSPK,3,),IF(AND(H1803="ATP",OR(I1803="TP",I1803="TDP")),VLOOKUP(E1803,QCATP_P,2,),""))))))))</f>
        <v/>
      </c>
      <c r="W1803" s="31" t="str">
        <f t="shared" si="207"/>
        <v>TRUE</v>
      </c>
      <c r="X1803" s="31" t="str">
        <f t="shared" si="204"/>
        <v/>
      </c>
      <c r="Y1803" s="10" t="s">
        <v>1116</v>
      </c>
      <c r="Z1803" s="10" t="s">
        <v>910</v>
      </c>
      <c r="AF1803" s="12">
        <v>44958</v>
      </c>
      <c r="AJ1803" s="10">
        <f>0.9631*5.92^2+173.03*5.92-74.605</f>
        <v>983.48578784000006</v>
      </c>
      <c r="AK1803" s="10">
        <f>-1.0839*5.92^2+204.73*5.92-119.55</f>
        <v>1054.4648070399999</v>
      </c>
      <c r="AL1803" s="10" t="str">
        <f t="shared" si="202"/>
        <v>FALSE</v>
      </c>
      <c r="AM1803" s="10" t="str">
        <f t="shared" si="202"/>
        <v>FALSE</v>
      </c>
      <c r="AN1803" s="10" t="str">
        <f t="shared" si="202"/>
        <v>FALSE</v>
      </c>
      <c r="AO1803" s="10" t="str">
        <f t="shared" si="203"/>
        <v>y=0.9631*5.92^2+173.03*5.92-74.605</v>
      </c>
      <c r="AP1803" s="10" t="str">
        <f t="shared" si="203"/>
        <v>y=-1.0839*5.92^2+204.73*5.92-119.55</v>
      </c>
      <c r="AQ1803" s="10" t="b">
        <f>IF(AND(I1803="TP",S1803&lt;=150),VLOOKUP(AF1803,TPCalibEq150!$AZ$2:$BB$55,3,),IF(AND(I1803="TDP",S1803&lt;=150),VLOOKUP(AF1803,TPCalibEq150!$AZ$2:$BB$55,3,)))</f>
        <v>0</v>
      </c>
      <c r="AR1803" s="10" t="b">
        <f>IF(AND(I1803="TP",S1803&lt;=300),VLOOKUP(AF1803,TPCalibEq300!$AZ$2:$BB$55,3,),IF(AND(I1803="TDP",S1803&lt;=300),VLOOKUP(AF1803,TPCalibEq300!$AZ$2:$BB$55,3,)))</f>
        <v>0</v>
      </c>
      <c r="AS1803" s="10" t="b">
        <f>IF(AND(I1803="TP",S1803&lt;=500),VLOOKUP(AF1803,TPCalibEq500!$AZ$2:$BB$56,3,),IF(AND(I1803="TDP",S1803&lt;=500),VLOOKUP(AF1803,TPCalibEq500!$AZ$2:$BB$56,3,)))</f>
        <v>0</v>
      </c>
      <c r="AT1803" s="10" t="str">
        <f>IF(AND(I1803="TN",S1803&lt;=2800),VLOOKUP(AF1803,TNCalibEq2500!$AZ$2:$BB$56,3,),IF(AND(I1803="TDN",S1803&lt;=2800),VLOOKUP(AF1803,TNCalibEq2500!$AZ$2:$BB$56,3,)))</f>
        <v>y=0.9631x2+173.03x-74.605</v>
      </c>
      <c r="AU1803" s="10" t="str">
        <f>IF(I1803="TP",VLOOKUP(AF1803,TPCalibEqFull!$AZ$2:$BB$56,3),IF(I1803="TDP",VLOOKUP(AF1803,TPCalibEqFull!$AZ$2:$BB$56,3),IF(I1803="TDN",VLOOKUP(AF1803,TNCalibEqFull!$AZ$1:$BB$56,3),IF(I1803="TN",VLOOKUP(AF1803,TNCalibEqFull!$AZ$1:$BB$56,3),FALSE))))</f>
        <v>y=-1.0839x2+204.73x-119.55</v>
      </c>
      <c r="AV1803" s="10" t="str">
        <f t="shared" si="208"/>
        <v>0123 11:13:00-890-0-FIL-1-SW-UKN</v>
      </c>
    </row>
    <row r="1804" spans="1:48" s="10" customFormat="1" x14ac:dyDescent="0.55000000000000004">
      <c r="A1804" s="32">
        <v>44949</v>
      </c>
      <c r="B1804" s="33">
        <v>0.4861111111111111</v>
      </c>
      <c r="C1804" s="10" t="s">
        <v>437</v>
      </c>
      <c r="D1804" s="10">
        <v>0</v>
      </c>
      <c r="E1804" s="10" t="s">
        <v>911</v>
      </c>
      <c r="F1804" s="10">
        <v>1</v>
      </c>
      <c r="G1804" s="10" t="s">
        <v>231</v>
      </c>
      <c r="H1804" s="10" t="s">
        <v>322</v>
      </c>
      <c r="I1804" s="10" t="s">
        <v>224</v>
      </c>
      <c r="J1804" s="10">
        <v>63</v>
      </c>
      <c r="K1804" s="12">
        <v>44958</v>
      </c>
      <c r="L1804" s="33">
        <v>0.7195138888888889</v>
      </c>
      <c r="M1804" s="10">
        <v>1</v>
      </c>
      <c r="N1804" s="10" t="s">
        <v>196</v>
      </c>
      <c r="O1804" s="10">
        <v>6.26</v>
      </c>
      <c r="P1804" s="10">
        <v>0.308</v>
      </c>
      <c r="Q1804" s="10">
        <v>1050</v>
      </c>
      <c r="R1804" s="10" t="s">
        <v>170</v>
      </c>
      <c r="S1804" s="34">
        <f t="shared" si="205"/>
        <v>1119.5843603599999</v>
      </c>
      <c r="T1804" s="10" t="s">
        <v>1123</v>
      </c>
      <c r="U1804" s="34" t="str">
        <f t="shared" si="206"/>
        <v/>
      </c>
      <c r="V1804" s="31" t="str">
        <f>IF(H1804="CHK",VLOOKUP(I1804,QCCHK,3,),IF(H1804="GUP",VLOOKUP(E1804,QCGUP,2,),IF(AND(H1804="ATP",OR(I1804="TN",I1804="TDN",I1804="TNO2-3",I1804="NO2-3")),VLOOKUP(E1804,QCREC_N,2,),IF(AND(H1804="NIC",OR(I1804="TN",I1804="TDN",I1804="TNO2-3",I1804="NO2-3")),VLOOKUP(E1804,QCNIC_N,2,),IF(AND(H1804="UREA",OR(I1804="TN",I1804="TDN",I1804="TNO2-3",I1804="NO2-3")),VLOOKUP(E1804,QCUREA_N,2,),IF(H1804="PER",VLOOKUP(I1804,QCPER,MATCH(E1804,QCACTUAL!$J$25:$AA$25,0),),IF(H1804="SPK",VLOOKUP(I1804,QCSPK,3,),IF(AND(H1804="ATP",OR(I1804="TP",I1804="TDP")),VLOOKUP(E1804,QCATP_P,2,),""))))))))</f>
        <v/>
      </c>
      <c r="W1804" s="31" t="str">
        <f t="shared" si="207"/>
        <v>TRUE</v>
      </c>
      <c r="X1804" s="31" t="str">
        <f t="shared" si="204"/>
        <v/>
      </c>
      <c r="Y1804" s="10" t="s">
        <v>1116</v>
      </c>
      <c r="Z1804" s="10" t="s">
        <v>910</v>
      </c>
      <c r="AF1804" s="12">
        <v>44958</v>
      </c>
      <c r="AJ1804" s="10">
        <f>0.9631*6.26^2+173.03*6.26-74.605</f>
        <v>1046.3043775599999</v>
      </c>
      <c r="AK1804" s="10">
        <f>-1.0839*6.26^2+204.73*6.26-119.55</f>
        <v>1119.5843603599999</v>
      </c>
      <c r="AL1804" s="10" t="str">
        <f t="shared" si="202"/>
        <v>FALSE</v>
      </c>
      <c r="AM1804" s="10" t="str">
        <f t="shared" si="202"/>
        <v>FALSE</v>
      </c>
      <c r="AN1804" s="10" t="str">
        <f t="shared" si="202"/>
        <v>FALSE</v>
      </c>
      <c r="AO1804" s="10" t="str">
        <f t="shared" si="203"/>
        <v>y=0.9631*6.26^2+173.03*6.26-74.605</v>
      </c>
      <c r="AP1804" s="10" t="str">
        <f t="shared" si="203"/>
        <v>y=-1.0839*6.26^2+204.73*6.26-119.55</v>
      </c>
      <c r="AQ1804" s="10" t="b">
        <f>IF(AND(I1804="TP",S1804&lt;=150),VLOOKUP(AF1804,TPCalibEq150!$AZ$2:$BB$55,3,),IF(AND(I1804="TDP",S1804&lt;=150),VLOOKUP(AF1804,TPCalibEq150!$AZ$2:$BB$55,3,)))</f>
        <v>0</v>
      </c>
      <c r="AR1804" s="10" t="b">
        <f>IF(AND(I1804="TP",S1804&lt;=300),VLOOKUP(AF1804,TPCalibEq300!$AZ$2:$BB$55,3,),IF(AND(I1804="TDP",S1804&lt;=300),VLOOKUP(AF1804,TPCalibEq300!$AZ$2:$BB$55,3,)))</f>
        <v>0</v>
      </c>
      <c r="AS1804" s="10" t="b">
        <f>IF(AND(I1804="TP",S1804&lt;=500),VLOOKUP(AF1804,TPCalibEq500!$AZ$2:$BB$56,3,),IF(AND(I1804="TDP",S1804&lt;=500),VLOOKUP(AF1804,TPCalibEq500!$AZ$2:$BB$56,3,)))</f>
        <v>0</v>
      </c>
      <c r="AT1804" s="10" t="str">
        <f>IF(AND(I1804="TN",S1804&lt;=2800),VLOOKUP(AF1804,TNCalibEq2500!$AZ$2:$BB$56,3,),IF(AND(I1804="TDN",S1804&lt;=2800),VLOOKUP(AF1804,TNCalibEq2500!$AZ$2:$BB$56,3,)))</f>
        <v>y=0.9631x2+173.03x-74.605</v>
      </c>
      <c r="AU1804" s="10" t="str">
        <f>IF(I1804="TP",VLOOKUP(AF1804,TPCalibEqFull!$AZ$2:$BB$56,3),IF(I1804="TDP",VLOOKUP(AF1804,TPCalibEqFull!$AZ$2:$BB$56,3),IF(I1804="TDN",VLOOKUP(AF1804,TNCalibEqFull!$AZ$1:$BB$56,3),IF(I1804="TN",VLOOKUP(AF1804,TNCalibEqFull!$AZ$1:$BB$56,3),FALSE))))</f>
        <v>y=-1.0839x2+204.73x-119.55</v>
      </c>
      <c r="AV1804" s="10" t="str">
        <f t="shared" si="208"/>
        <v>0123 11:40:00-FVM-0-FIL-1-SW-UKN</v>
      </c>
    </row>
    <row r="1805" spans="1:48" s="10" customFormat="1" x14ac:dyDescent="0.55000000000000004">
      <c r="A1805" s="32">
        <v>44949</v>
      </c>
      <c r="B1805" s="33">
        <v>0.4861111111111111</v>
      </c>
      <c r="C1805" s="10" t="s">
        <v>437</v>
      </c>
      <c r="D1805" s="10">
        <v>0</v>
      </c>
      <c r="E1805" s="10" t="s">
        <v>911</v>
      </c>
      <c r="F1805" s="10">
        <v>2</v>
      </c>
      <c r="G1805" s="10" t="s">
        <v>231</v>
      </c>
      <c r="H1805" s="10" t="s">
        <v>322</v>
      </c>
      <c r="I1805" s="10" t="s">
        <v>224</v>
      </c>
      <c r="J1805" s="10">
        <v>64</v>
      </c>
      <c r="K1805" s="12">
        <v>44958</v>
      </c>
      <c r="L1805" s="33">
        <v>0.72018518518518515</v>
      </c>
      <c r="M1805" s="10">
        <v>1</v>
      </c>
      <c r="N1805" s="10" t="s">
        <v>196</v>
      </c>
      <c r="O1805" s="10">
        <v>5.96</v>
      </c>
      <c r="P1805" s="10">
        <v>0.29199999999999998</v>
      </c>
      <c r="Q1805" s="10">
        <v>999</v>
      </c>
      <c r="R1805" s="10" t="s">
        <v>170</v>
      </c>
      <c r="S1805" s="34">
        <f t="shared" si="205"/>
        <v>1062.1389377599999</v>
      </c>
      <c r="T1805" s="10" t="s">
        <v>1123</v>
      </c>
      <c r="U1805" s="34" t="str">
        <f t="shared" si="206"/>
        <v/>
      </c>
      <c r="V1805" s="31" t="str">
        <f>IF(H1805="CHK",VLOOKUP(I1805,QCCHK,3,),IF(H1805="GUP",VLOOKUP(E1805,QCGUP,2,),IF(AND(H1805="ATP",OR(I1805="TN",I1805="TDN",I1805="TNO2-3",I1805="NO2-3")),VLOOKUP(E1805,QCREC_N,2,),IF(AND(H1805="NIC",OR(I1805="TN",I1805="TDN",I1805="TNO2-3",I1805="NO2-3")),VLOOKUP(E1805,QCNIC_N,2,),IF(AND(H1805="UREA",OR(I1805="TN",I1805="TDN",I1805="TNO2-3",I1805="NO2-3")),VLOOKUP(E1805,QCUREA_N,2,),IF(H1805="PER",VLOOKUP(I1805,QCPER,MATCH(E1805,QCACTUAL!$J$25:$AA$25,0),),IF(H1805="SPK",VLOOKUP(I1805,QCSPK,3,),IF(AND(H1805="ATP",OR(I1805="TP",I1805="TDP")),VLOOKUP(E1805,QCATP_P,2,),""))))))))</f>
        <v/>
      </c>
      <c r="W1805" s="31" t="str">
        <f t="shared" si="207"/>
        <v>TRUE</v>
      </c>
      <c r="X1805" s="31" t="str">
        <f t="shared" si="204"/>
        <v/>
      </c>
      <c r="Y1805" s="10" t="s">
        <v>1116</v>
      </c>
      <c r="Z1805" s="10" t="s">
        <v>910</v>
      </c>
      <c r="AF1805" s="12">
        <v>44958</v>
      </c>
      <c r="AJ1805" s="10">
        <f>0.9631*5.96^2+173.03*5.96-74.605</f>
        <v>990.86465296000006</v>
      </c>
      <c r="AK1805" s="10">
        <f>-1.0839*5.96^2+204.73*5.96-119.55</f>
        <v>1062.1389377599999</v>
      </c>
      <c r="AL1805" s="10" t="str">
        <f t="shared" si="202"/>
        <v>FALSE</v>
      </c>
      <c r="AM1805" s="10" t="str">
        <f t="shared" si="202"/>
        <v>FALSE</v>
      </c>
      <c r="AN1805" s="10" t="str">
        <f t="shared" si="202"/>
        <v>FALSE</v>
      </c>
      <c r="AO1805" s="10" t="str">
        <f t="shared" si="203"/>
        <v>y=0.9631*5.96^2+173.03*5.96-74.605</v>
      </c>
      <c r="AP1805" s="10" t="str">
        <f t="shared" si="203"/>
        <v>y=-1.0839*5.96^2+204.73*5.96-119.55</v>
      </c>
      <c r="AQ1805" s="10" t="b">
        <f>IF(AND(I1805="TP",S1805&lt;=150),VLOOKUP(AF1805,TPCalibEq150!$AZ$2:$BB$55,3,),IF(AND(I1805="TDP",S1805&lt;=150),VLOOKUP(AF1805,TPCalibEq150!$AZ$2:$BB$55,3,)))</f>
        <v>0</v>
      </c>
      <c r="AR1805" s="10" t="b">
        <f>IF(AND(I1805="TP",S1805&lt;=300),VLOOKUP(AF1805,TPCalibEq300!$AZ$2:$BB$55,3,),IF(AND(I1805="TDP",S1805&lt;=300),VLOOKUP(AF1805,TPCalibEq300!$AZ$2:$BB$55,3,)))</f>
        <v>0</v>
      </c>
      <c r="AS1805" s="10" t="b">
        <f>IF(AND(I1805="TP",S1805&lt;=500),VLOOKUP(AF1805,TPCalibEq500!$AZ$2:$BB$56,3,),IF(AND(I1805="TDP",S1805&lt;=500),VLOOKUP(AF1805,TPCalibEq500!$AZ$2:$BB$56,3,)))</f>
        <v>0</v>
      </c>
      <c r="AT1805" s="10" t="str">
        <f>IF(AND(I1805="TN",S1805&lt;=2800),VLOOKUP(AF1805,TNCalibEq2500!$AZ$2:$BB$56,3,),IF(AND(I1805="TDN",S1805&lt;=2800),VLOOKUP(AF1805,TNCalibEq2500!$AZ$2:$BB$56,3,)))</f>
        <v>y=0.9631x2+173.03x-74.605</v>
      </c>
      <c r="AU1805" s="10" t="str">
        <f>IF(I1805="TP",VLOOKUP(AF1805,TPCalibEqFull!$AZ$2:$BB$56,3),IF(I1805="TDP",VLOOKUP(AF1805,TPCalibEqFull!$AZ$2:$BB$56,3),IF(I1805="TDN",VLOOKUP(AF1805,TNCalibEqFull!$AZ$1:$BB$56,3),IF(I1805="TN",VLOOKUP(AF1805,TNCalibEqFull!$AZ$1:$BB$56,3),FALSE))))</f>
        <v>y=-1.0839x2+204.73x-119.55</v>
      </c>
      <c r="AV1805" s="10" t="str">
        <f t="shared" si="208"/>
        <v>0123 11:40:00-FVM-0-FIL-2-SW-UKN</v>
      </c>
    </row>
    <row r="1806" spans="1:48" s="10" customFormat="1" x14ac:dyDescent="0.55000000000000004">
      <c r="A1806" s="32">
        <v>44949</v>
      </c>
      <c r="B1806" s="33">
        <v>0.4861111111111111</v>
      </c>
      <c r="C1806" s="10" t="s">
        <v>437</v>
      </c>
      <c r="D1806" s="10">
        <v>0</v>
      </c>
      <c r="E1806" s="10" t="s">
        <v>911</v>
      </c>
      <c r="F1806" s="10">
        <v>2</v>
      </c>
      <c r="G1806" s="10" t="s">
        <v>231</v>
      </c>
      <c r="H1806" s="10" t="s">
        <v>233</v>
      </c>
      <c r="I1806" s="10" t="s">
        <v>224</v>
      </c>
      <c r="J1806" s="10">
        <v>64</v>
      </c>
      <c r="K1806" s="12">
        <v>44958</v>
      </c>
      <c r="L1806" s="33">
        <v>0.7208564814814814</v>
      </c>
      <c r="M1806" s="10">
        <v>1</v>
      </c>
      <c r="N1806" s="10" t="s">
        <v>196</v>
      </c>
      <c r="O1806" s="10">
        <v>5.92</v>
      </c>
      <c r="P1806" s="10">
        <v>0.28999999999999998</v>
      </c>
      <c r="Q1806" s="10">
        <v>992</v>
      </c>
      <c r="R1806" s="10" t="s">
        <v>170</v>
      </c>
      <c r="S1806" s="34">
        <f t="shared" si="205"/>
        <v>1054.4648070399999</v>
      </c>
      <c r="T1806" s="10" t="s">
        <v>1123</v>
      </c>
      <c r="U1806" s="34">
        <f t="shared" si="206"/>
        <v>0.72513626972961165</v>
      </c>
      <c r="V1806" s="31" t="str">
        <f>IF(H1806="CHK",VLOOKUP(I1806,QCCHK,3,),IF(H1806="GUP",VLOOKUP(E1806,QCGUP,2,),IF(AND(H1806="ATP",OR(I1806="TN",I1806="TDN",I1806="TNO2-3",I1806="NO2-3")),VLOOKUP(E1806,QCREC_N,2,),IF(AND(H1806="NIC",OR(I1806="TN",I1806="TDN",I1806="TNO2-3",I1806="NO2-3")),VLOOKUP(E1806,QCNIC_N,2,),IF(AND(H1806="UREA",OR(I1806="TN",I1806="TDN",I1806="TNO2-3",I1806="NO2-3")),VLOOKUP(E1806,QCUREA_N,2,),IF(H1806="PER",VLOOKUP(I1806,QCPER,MATCH(E1806,QCACTUAL!$J$25:$AA$25,0),),IF(H1806="SPK",VLOOKUP(I1806,QCSPK,3,),IF(AND(H1806="ATP",OR(I1806="TP",I1806="TDP")),VLOOKUP(E1806,QCATP_P,2,),""))))))))</f>
        <v/>
      </c>
      <c r="W1806" s="31" t="str">
        <f t="shared" si="207"/>
        <v>TRUE</v>
      </c>
      <c r="X1806" s="31" t="str">
        <f t="shared" si="204"/>
        <v>((ABS(rep1-rep2))/((rep1+rep2)/2)*100</v>
      </c>
      <c r="Y1806" s="10" t="s">
        <v>1116</v>
      </c>
      <c r="Z1806" s="10" t="s">
        <v>910</v>
      </c>
      <c r="AF1806" s="12">
        <v>44958</v>
      </c>
      <c r="AJ1806" s="10">
        <f>0.9631*5.92^2+173.03*5.92-74.605</f>
        <v>983.48578784000006</v>
      </c>
      <c r="AK1806" s="10">
        <f>-1.0839*5.92^2+204.73*5.92-119.55</f>
        <v>1054.4648070399999</v>
      </c>
      <c r="AL1806" s="10" t="str">
        <f t="shared" si="202"/>
        <v>FALSE</v>
      </c>
      <c r="AM1806" s="10" t="str">
        <f t="shared" si="202"/>
        <v>FALSE</v>
      </c>
      <c r="AN1806" s="10" t="str">
        <f t="shared" si="202"/>
        <v>FALSE</v>
      </c>
      <c r="AO1806" s="10" t="str">
        <f t="shared" si="203"/>
        <v>y=0.9631*5.92^2+173.03*5.92-74.605</v>
      </c>
      <c r="AP1806" s="10" t="str">
        <f t="shared" si="203"/>
        <v>y=-1.0839*5.92^2+204.73*5.92-119.55</v>
      </c>
      <c r="AQ1806" s="10" t="b">
        <f>IF(AND(I1806="TP",S1806&lt;=150),VLOOKUP(AF1806,TPCalibEq150!$AZ$2:$BB$55,3,),IF(AND(I1806="TDP",S1806&lt;=150),VLOOKUP(AF1806,TPCalibEq150!$AZ$2:$BB$55,3,)))</f>
        <v>0</v>
      </c>
      <c r="AR1806" s="10" t="b">
        <f>IF(AND(I1806="TP",S1806&lt;=300),VLOOKUP(AF1806,TPCalibEq300!$AZ$2:$BB$55,3,),IF(AND(I1806="TDP",S1806&lt;=300),VLOOKUP(AF1806,TPCalibEq300!$AZ$2:$BB$55,3,)))</f>
        <v>0</v>
      </c>
      <c r="AS1806" s="10" t="b">
        <f>IF(AND(I1806="TP",S1806&lt;=500),VLOOKUP(AF1806,TPCalibEq500!$AZ$2:$BB$56,3,),IF(AND(I1806="TDP",S1806&lt;=500),VLOOKUP(AF1806,TPCalibEq500!$AZ$2:$BB$56,3,)))</f>
        <v>0</v>
      </c>
      <c r="AT1806" s="10" t="str">
        <f>IF(AND(I1806="TN",S1806&lt;=2800),VLOOKUP(AF1806,TNCalibEq2500!$AZ$2:$BB$56,3,),IF(AND(I1806="TDN",S1806&lt;=2800),VLOOKUP(AF1806,TNCalibEq2500!$AZ$2:$BB$56,3,)))</f>
        <v>y=0.9631x2+173.03x-74.605</v>
      </c>
      <c r="AU1806" s="10" t="str">
        <f>IF(I1806="TP",VLOOKUP(AF1806,TPCalibEqFull!$AZ$2:$BB$56,3),IF(I1806="TDP",VLOOKUP(AF1806,TPCalibEqFull!$AZ$2:$BB$56,3),IF(I1806="TDN",VLOOKUP(AF1806,TNCalibEqFull!$AZ$1:$BB$56,3),IF(I1806="TN",VLOOKUP(AF1806,TNCalibEqFull!$AZ$1:$BB$56,3),FALSE))))</f>
        <v>y=-1.0839x2+204.73x-119.55</v>
      </c>
      <c r="AV1806" s="10" t="str">
        <f t="shared" si="208"/>
        <v>0123 11:40:00-FVM-0-FIL-2-SW-DUP</v>
      </c>
    </row>
    <row r="1807" spans="1:48" s="10" customFormat="1" x14ac:dyDescent="0.55000000000000004">
      <c r="A1807" s="32">
        <v>44949</v>
      </c>
      <c r="B1807" s="33">
        <v>0.4861111111111111</v>
      </c>
      <c r="C1807" s="10" t="s">
        <v>437</v>
      </c>
      <c r="D1807" s="10">
        <v>0</v>
      </c>
      <c r="E1807" s="10" t="s">
        <v>911</v>
      </c>
      <c r="F1807" s="10">
        <v>2</v>
      </c>
      <c r="G1807" s="10" t="s">
        <v>231</v>
      </c>
      <c r="H1807" s="10" t="s">
        <v>314</v>
      </c>
      <c r="I1807" s="10" t="s">
        <v>224</v>
      </c>
      <c r="J1807" s="10">
        <v>88</v>
      </c>
      <c r="K1807" s="12">
        <v>44958</v>
      </c>
      <c r="L1807" s="33">
        <v>0.72152777777777777</v>
      </c>
      <c r="M1807" s="10">
        <v>1</v>
      </c>
      <c r="N1807" s="10" t="s">
        <v>196</v>
      </c>
      <c r="O1807" s="10">
        <v>20.5</v>
      </c>
      <c r="P1807" s="10">
        <v>1</v>
      </c>
      <c r="Q1807" s="10">
        <v>3540</v>
      </c>
      <c r="R1807" s="10" t="s">
        <v>170</v>
      </c>
      <c r="S1807" s="34">
        <f t="shared" si="205"/>
        <v>3621.9060249999998</v>
      </c>
      <c r="T1807" s="10" t="s">
        <v>1123</v>
      </c>
      <c r="U1807" s="34">
        <f t="shared" si="206"/>
        <v>102.69764871839999</v>
      </c>
      <c r="V1807" s="31">
        <f>IF(H1807="CHK",VLOOKUP(I1807,QCCHK,3,),IF(H1807="GUP",VLOOKUP(E1807,QCGUP,2,),IF(AND(H1807="ATP",OR(I1807="TN",I1807="TDN",I1807="TNO2-3",I1807="NO2-3")),VLOOKUP(E1807,QCREC_N,2,),IF(AND(H1807="NIC",OR(I1807="TN",I1807="TDN",I1807="TNO2-3",I1807="NO2-3")),VLOOKUP(E1807,QCNIC_N,2,),IF(AND(H1807="UREA",OR(I1807="TN",I1807="TDN",I1807="TNO2-3",I1807="NO2-3")),VLOOKUP(E1807,QCUREA_N,2,),IF(H1807="PER",VLOOKUP(I1807,QCPER,MATCH(E1807,QCACTUAL!$J$25:$AA$25,0),),IF(H1807="SPK",VLOOKUP(I1807,QCSPK,3,),IF(AND(H1807="ATP",OR(I1807="TP",I1807="TDP")),VLOOKUP(E1807,QCATP_P,2,),""))))))))</f>
        <v>2500</v>
      </c>
      <c r="W1807" s="31" t="str">
        <f t="shared" si="207"/>
        <v>TRUE</v>
      </c>
      <c r="X1807" s="31" t="str">
        <f t="shared" si="204"/>
        <v>([spikedunkn]-[unkn])/[spike]*100</v>
      </c>
      <c r="Y1807" s="10" t="s">
        <v>1116</v>
      </c>
      <c r="Z1807" s="10" t="s">
        <v>910</v>
      </c>
      <c r="AF1807" s="12">
        <v>44958</v>
      </c>
      <c r="AK1807" s="10">
        <f>-1.0839*20.5^2+204.73*20.5-119.55</f>
        <v>3621.9060249999998</v>
      </c>
      <c r="AL1807" s="10" t="str">
        <f t="shared" si="202"/>
        <v>FALSE</v>
      </c>
      <c r="AM1807" s="10" t="str">
        <f t="shared" si="202"/>
        <v>FALSE</v>
      </c>
      <c r="AN1807" s="10" t="str">
        <f t="shared" si="202"/>
        <v>FALSE</v>
      </c>
      <c r="AO1807" s="10" t="str">
        <f t="shared" si="203"/>
        <v>FALSE</v>
      </c>
      <c r="AP1807" s="10" t="str">
        <f t="shared" si="203"/>
        <v>y=-1.0839*20.5^2+204.73*20.5-119.55</v>
      </c>
      <c r="AQ1807" s="10" t="b">
        <f>IF(AND(I1807="TP",S1807&lt;=150),VLOOKUP(AF1807,TPCalibEq150!$AZ$2:$BB$55,3,),IF(AND(I1807="TDP",S1807&lt;=150),VLOOKUP(AF1807,TPCalibEq150!$AZ$2:$BB$55,3,)))</f>
        <v>0</v>
      </c>
      <c r="AR1807" s="10" t="b">
        <f>IF(AND(I1807="TP",S1807&lt;=300),VLOOKUP(AF1807,TPCalibEq300!$AZ$2:$BB$55,3,),IF(AND(I1807="TDP",S1807&lt;=300),VLOOKUP(AF1807,TPCalibEq300!$AZ$2:$BB$55,3,)))</f>
        <v>0</v>
      </c>
      <c r="AS1807" s="10" t="b">
        <f>IF(AND(I1807="TP",S1807&lt;=500),VLOOKUP(AF1807,TPCalibEq500!$AZ$2:$BB$56,3,),IF(AND(I1807="TDP",S1807&lt;=500),VLOOKUP(AF1807,TPCalibEq500!$AZ$2:$BB$56,3,)))</f>
        <v>0</v>
      </c>
      <c r="AT1807" s="10" t="b">
        <f>IF(AND(I1807="TN",S1807&lt;=2800),VLOOKUP(AF1807,TNCalibEq2500!$AZ$2:$BB$56,3,),IF(AND(I1807="TDN",S1807&lt;=2800),VLOOKUP(AF1807,TNCalibEq2500!$AZ$2:$BB$56,3,)))</f>
        <v>0</v>
      </c>
      <c r="AU1807" s="10" t="str">
        <f>IF(I1807="TP",VLOOKUP(AF1807,TPCalibEqFull!$AZ$2:$BB$56,3),IF(I1807="TDP",VLOOKUP(AF1807,TPCalibEqFull!$AZ$2:$BB$56,3),IF(I1807="TDN",VLOOKUP(AF1807,TNCalibEqFull!$AZ$1:$BB$56,3),IF(I1807="TN",VLOOKUP(AF1807,TNCalibEqFull!$AZ$1:$BB$56,3),FALSE))))</f>
        <v>y=-1.0839x2+204.73x-119.55</v>
      </c>
      <c r="AV1807" s="10" t="str">
        <f t="shared" si="208"/>
        <v>0123 11:40:00-FVM-0-FIL-2-SW-SPK</v>
      </c>
    </row>
    <row r="1808" spans="1:48" s="10" customFormat="1" x14ac:dyDescent="0.55000000000000004">
      <c r="A1808" s="32">
        <v>44958</v>
      </c>
      <c r="B1808" s="33">
        <v>0.375</v>
      </c>
      <c r="C1808" s="10" t="s">
        <v>70</v>
      </c>
      <c r="D1808" s="10" t="s">
        <v>71</v>
      </c>
      <c r="E1808" s="10" t="s">
        <v>901</v>
      </c>
      <c r="F1808" s="10">
        <v>1</v>
      </c>
      <c r="G1808" s="10" t="s">
        <v>73</v>
      </c>
      <c r="H1808" s="10" t="s">
        <v>207</v>
      </c>
      <c r="I1808" s="10" t="s">
        <v>235</v>
      </c>
      <c r="J1808" s="10">
        <v>201</v>
      </c>
      <c r="K1808" s="12">
        <v>44958</v>
      </c>
      <c r="L1808" s="33">
        <v>0.72221064814814817</v>
      </c>
      <c r="M1808" s="10">
        <v>1</v>
      </c>
      <c r="N1808" s="10" t="s">
        <v>196</v>
      </c>
      <c r="O1808" s="10">
        <v>7.81</v>
      </c>
      <c r="P1808" s="10">
        <v>0.38500000000000001</v>
      </c>
      <c r="Q1808" s="10">
        <v>1320</v>
      </c>
      <c r="R1808" s="10" t="s">
        <v>170</v>
      </c>
      <c r="S1808" s="34">
        <f t="shared" si="205"/>
        <v>1413.2776272099998</v>
      </c>
      <c r="T1808" s="10" t="s">
        <v>1123</v>
      </c>
      <c r="U1808" s="34">
        <f t="shared" si="206"/>
        <v>113.06221017679998</v>
      </c>
      <c r="V1808" s="31">
        <f>IF(H1808="CHK",VLOOKUP(I1808,QCCHK,3,),IF(H1808="GUP",VLOOKUP(E1808,QCGUP,2,),IF(AND(H1808="ATP",OR(I1808="TN",I1808="TDN",I1808="TNO2-3",I1808="NO2-3")),VLOOKUP(E1808,QCREC_N,2,),IF(AND(H1808="NIC",OR(I1808="TN",I1808="TDN",I1808="TNO2-3",I1808="NO2-3")),VLOOKUP(E1808,QCNIC_N,2,),IF(AND(H1808="UREA",OR(I1808="TN",I1808="TDN",I1808="TNO2-3",I1808="NO2-3")),VLOOKUP(E1808,QCUREA_N,2,),IF(H1808="PER",VLOOKUP(I1808,QCPER,MATCH(E1808,QCACTUAL!$J$25:$AA$25,0),),IF(H1808="SPK",VLOOKUP(I1808,QCSPK,3,),IF(AND(H1808="ATP",OR(I1808="TP",I1808="TDP")),VLOOKUP(E1808,QCATP_P,2,),""))))))))</f>
        <v>1250</v>
      </c>
      <c r="W1808" s="31" t="str">
        <f t="shared" si="207"/>
        <v>TRUE</v>
      </c>
      <c r="X1808" s="31" t="str">
        <f t="shared" si="204"/>
        <v>[chk]/[actual]*100</v>
      </c>
      <c r="Y1808" s="10" t="s">
        <v>1116</v>
      </c>
      <c r="AF1808" s="12">
        <v>44958</v>
      </c>
      <c r="AJ1808" s="10">
        <f>0.9631*7.81^2+173.03*7.81-74.605</f>
        <v>1335.5046439099999</v>
      </c>
      <c r="AK1808" s="10">
        <f>-1.0839*7.81^2+204.73*7.81-119.55</f>
        <v>1413.2776272099998</v>
      </c>
      <c r="AL1808" s="10" t="str">
        <f t="shared" si="202"/>
        <v>FALSE</v>
      </c>
      <c r="AM1808" s="10" t="str">
        <f t="shared" si="202"/>
        <v>FALSE</v>
      </c>
      <c r="AN1808" s="10" t="str">
        <f t="shared" si="202"/>
        <v>FALSE</v>
      </c>
      <c r="AO1808" s="10" t="str">
        <f t="shared" si="203"/>
        <v>y=0.9631*7.81^2+173.03*7.81-74.605</v>
      </c>
      <c r="AP1808" s="10" t="str">
        <f t="shared" si="203"/>
        <v>y=-1.0839*7.81^2+204.73*7.81-119.55</v>
      </c>
      <c r="AQ1808" s="10" t="b">
        <f>IF(AND(I1808="TP",S1808&lt;=150),VLOOKUP(AF1808,TPCalibEq150!$AZ$2:$BB$55,3,),IF(AND(I1808="TDP",S1808&lt;=150),VLOOKUP(AF1808,TPCalibEq150!$AZ$2:$BB$55,3,)))</f>
        <v>0</v>
      </c>
      <c r="AR1808" s="10" t="b">
        <f>IF(AND(I1808="TP",S1808&lt;=300),VLOOKUP(AF1808,TPCalibEq300!$AZ$2:$BB$55,3,),IF(AND(I1808="TDP",S1808&lt;=300),VLOOKUP(AF1808,TPCalibEq300!$AZ$2:$BB$55,3,)))</f>
        <v>0</v>
      </c>
      <c r="AS1808" s="10" t="b">
        <f>IF(AND(I1808="TP",S1808&lt;=500),VLOOKUP(AF1808,TPCalibEq500!$AZ$2:$BB$56,3,),IF(AND(I1808="TDP",S1808&lt;=500),VLOOKUP(AF1808,TPCalibEq500!$AZ$2:$BB$56,3,)))</f>
        <v>0</v>
      </c>
      <c r="AT1808" s="10" t="str">
        <f>IF(AND(I1808="TN",S1808&lt;=2800),VLOOKUP(AF1808,TNCalibEq2500!$AZ$2:$BB$56,3,),IF(AND(I1808="TDN",S1808&lt;=2800),VLOOKUP(AF1808,TNCalibEq2500!$AZ$2:$BB$56,3,)))</f>
        <v>y=0.9631x2+173.03x-74.605</v>
      </c>
      <c r="AU1808" s="10" t="str">
        <f>IF(I1808="TP",VLOOKUP(AF1808,TPCalibEqFull!$AZ$2:$BB$56,3),IF(I1808="TDP",VLOOKUP(AF1808,TPCalibEqFull!$AZ$2:$BB$56,3),IF(I1808="TDN",VLOOKUP(AF1808,TNCalibEqFull!$AZ$1:$BB$56,3),IF(I1808="TN",VLOOKUP(AF1808,TNCalibEqFull!$AZ$1:$BB$56,3),FALSE))))</f>
        <v>y=-1.0839x2+204.73x-119.55</v>
      </c>
      <c r="AV1808" s="10" t="str">
        <f t="shared" si="208"/>
        <v>0201 09:00:00-QAC-STD-D-1-DI-CHK</v>
      </c>
    </row>
    <row r="1809" spans="1:48" s="10" customFormat="1" x14ac:dyDescent="0.55000000000000004">
      <c r="A1809" s="32">
        <v>44949</v>
      </c>
      <c r="B1809" s="33">
        <v>0.49861111111111112</v>
      </c>
      <c r="C1809" s="10" t="s">
        <v>336</v>
      </c>
      <c r="D1809" s="10">
        <v>0</v>
      </c>
      <c r="E1809" s="10" t="s">
        <v>911</v>
      </c>
      <c r="F1809" s="10">
        <v>1</v>
      </c>
      <c r="G1809" s="10" t="s">
        <v>231</v>
      </c>
      <c r="H1809" s="10" t="s">
        <v>322</v>
      </c>
      <c r="I1809" s="10" t="s">
        <v>224</v>
      </c>
      <c r="J1809" s="10">
        <v>65</v>
      </c>
      <c r="K1809" s="12">
        <v>44958</v>
      </c>
      <c r="L1809" s="33">
        <v>0.72288194444444442</v>
      </c>
      <c r="M1809" s="10">
        <v>1</v>
      </c>
      <c r="N1809" s="10" t="s">
        <v>196</v>
      </c>
      <c r="O1809" s="10">
        <v>5.21</v>
      </c>
      <c r="P1809" s="10">
        <v>0.25600000000000001</v>
      </c>
      <c r="Q1809" s="10">
        <v>869</v>
      </c>
      <c r="R1809" s="10" t="s">
        <v>170</v>
      </c>
      <c r="S1809" s="34">
        <f t="shared" si="205"/>
        <v>917.67181000999994</v>
      </c>
      <c r="T1809" s="10" t="s">
        <v>1123</v>
      </c>
      <c r="U1809" s="34" t="str">
        <f t="shared" si="206"/>
        <v/>
      </c>
      <c r="V1809" s="31" t="str">
        <f>IF(H1809="CHK",VLOOKUP(I1809,QCCHK,3,),IF(H1809="GUP",VLOOKUP(E1809,QCGUP,2,),IF(AND(H1809="ATP",OR(I1809="TN",I1809="TDN",I1809="TNO2-3",I1809="NO2-3")),VLOOKUP(E1809,QCREC_N,2,),IF(AND(H1809="NIC",OR(I1809="TN",I1809="TDN",I1809="TNO2-3",I1809="NO2-3")),VLOOKUP(E1809,QCNIC_N,2,),IF(AND(H1809="UREA",OR(I1809="TN",I1809="TDN",I1809="TNO2-3",I1809="NO2-3")),VLOOKUP(E1809,QCUREA_N,2,),IF(H1809="PER",VLOOKUP(I1809,QCPER,MATCH(E1809,QCACTUAL!$J$25:$AA$25,0),),IF(H1809="SPK",VLOOKUP(I1809,QCSPK,3,),IF(AND(H1809="ATP",OR(I1809="TP",I1809="TDP")),VLOOKUP(E1809,QCATP_P,2,),""))))))))</f>
        <v/>
      </c>
      <c r="W1809" s="31" t="str">
        <f t="shared" si="207"/>
        <v>TRUE</v>
      </c>
      <c r="X1809" s="31" t="str">
        <f t="shared" si="204"/>
        <v/>
      </c>
      <c r="Y1809" s="10" t="s">
        <v>1116</v>
      </c>
      <c r="Z1809" s="10" t="s">
        <v>910</v>
      </c>
      <c r="AF1809" s="12">
        <v>44958</v>
      </c>
      <c r="AJ1809" s="10">
        <f>0.9631*5.21^2+173.03*5.21-74.605</f>
        <v>853.02378270999998</v>
      </c>
      <c r="AK1809" s="10">
        <f>-1.0839*5.21^2+204.73*5.21-119.55</f>
        <v>917.67181000999994</v>
      </c>
      <c r="AL1809" s="10" t="str">
        <f t="shared" si="202"/>
        <v>FALSE</v>
      </c>
      <c r="AM1809" s="10" t="str">
        <f t="shared" si="202"/>
        <v>FALSE</v>
      </c>
      <c r="AN1809" s="10" t="str">
        <f t="shared" si="202"/>
        <v>FALSE</v>
      </c>
      <c r="AO1809" s="10" t="str">
        <f t="shared" si="203"/>
        <v>y=0.9631*5.21^2+173.03*5.21-74.605</v>
      </c>
      <c r="AP1809" s="10" t="str">
        <f t="shared" si="203"/>
        <v>y=-1.0839*5.21^2+204.73*5.21-119.55</v>
      </c>
      <c r="AQ1809" s="10" t="b">
        <f>IF(AND(I1809="TP",S1809&lt;=150),VLOOKUP(AF1809,TPCalibEq150!$AZ$2:$BB$55,3,),IF(AND(I1809="TDP",S1809&lt;=150),VLOOKUP(AF1809,TPCalibEq150!$AZ$2:$BB$55,3,)))</f>
        <v>0</v>
      </c>
      <c r="AR1809" s="10" t="b">
        <f>IF(AND(I1809="TP",S1809&lt;=300),VLOOKUP(AF1809,TPCalibEq300!$AZ$2:$BB$55,3,),IF(AND(I1809="TDP",S1809&lt;=300),VLOOKUP(AF1809,TPCalibEq300!$AZ$2:$BB$55,3,)))</f>
        <v>0</v>
      </c>
      <c r="AS1809" s="10" t="b">
        <f>IF(AND(I1809="TP",S1809&lt;=500),VLOOKUP(AF1809,TPCalibEq500!$AZ$2:$BB$56,3,),IF(AND(I1809="TDP",S1809&lt;=500),VLOOKUP(AF1809,TPCalibEq500!$AZ$2:$BB$56,3,)))</f>
        <v>0</v>
      </c>
      <c r="AT1809" s="10" t="str">
        <f>IF(AND(I1809="TN",S1809&lt;=2800),VLOOKUP(AF1809,TNCalibEq2500!$AZ$2:$BB$56,3,),IF(AND(I1809="TDN",S1809&lt;=2800),VLOOKUP(AF1809,TNCalibEq2500!$AZ$2:$BB$56,3,)))</f>
        <v>y=0.9631x2+173.03x-74.605</v>
      </c>
      <c r="AU1809" s="10" t="str">
        <f>IF(I1809="TP",VLOOKUP(AF1809,TPCalibEqFull!$AZ$2:$BB$56,3),IF(I1809="TDP",VLOOKUP(AF1809,TPCalibEqFull!$AZ$2:$BB$56,3),IF(I1809="TDN",VLOOKUP(AF1809,TNCalibEqFull!$AZ$1:$BB$56,3),IF(I1809="TN",VLOOKUP(AF1809,TNCalibEqFull!$AZ$1:$BB$56,3),FALSE))))</f>
        <v>y=-1.0839x2+204.73x-119.55</v>
      </c>
      <c r="AV1809" s="10" t="str">
        <f t="shared" si="208"/>
        <v>0123 11:58:00-HWR-0-FIL-1-SW-UKN</v>
      </c>
    </row>
    <row r="1810" spans="1:48" s="10" customFormat="1" x14ac:dyDescent="0.55000000000000004">
      <c r="A1810" s="32">
        <v>44949</v>
      </c>
      <c r="B1810" s="33">
        <v>0.50555555555555554</v>
      </c>
      <c r="C1810" s="10" t="s">
        <v>295</v>
      </c>
      <c r="D1810" s="10">
        <v>0</v>
      </c>
      <c r="E1810" s="10" t="s">
        <v>911</v>
      </c>
      <c r="F1810" s="10">
        <v>1</v>
      </c>
      <c r="G1810" s="10" t="s">
        <v>231</v>
      </c>
      <c r="H1810" s="10" t="s">
        <v>322</v>
      </c>
      <c r="I1810" s="10" t="s">
        <v>224</v>
      </c>
      <c r="J1810" s="10">
        <v>66</v>
      </c>
      <c r="K1810" s="12">
        <v>44958</v>
      </c>
      <c r="L1810" s="33">
        <v>0.72355324074074068</v>
      </c>
      <c r="M1810" s="10">
        <v>1</v>
      </c>
      <c r="N1810" s="10" t="s">
        <v>196</v>
      </c>
      <c r="O1810" s="10">
        <v>10.1</v>
      </c>
      <c r="P1810" s="10">
        <v>0.49399999999999999</v>
      </c>
      <c r="Q1810" s="10">
        <v>1720</v>
      </c>
      <c r="R1810" s="10" t="s">
        <v>170</v>
      </c>
      <c r="S1810" s="34">
        <f t="shared" si="205"/>
        <v>1837.6543609999997</v>
      </c>
      <c r="T1810" s="10" t="s">
        <v>1123</v>
      </c>
      <c r="U1810" s="34" t="str">
        <f t="shared" si="206"/>
        <v/>
      </c>
      <c r="V1810" s="31" t="str">
        <f>IF(H1810="CHK",VLOOKUP(I1810,QCCHK,3,),IF(H1810="GUP",VLOOKUP(E1810,QCGUP,2,),IF(AND(H1810="ATP",OR(I1810="TN",I1810="TDN",I1810="TNO2-3",I1810="NO2-3")),VLOOKUP(E1810,QCREC_N,2,),IF(AND(H1810="NIC",OR(I1810="TN",I1810="TDN",I1810="TNO2-3",I1810="NO2-3")),VLOOKUP(E1810,QCNIC_N,2,),IF(AND(H1810="UREA",OR(I1810="TN",I1810="TDN",I1810="TNO2-3",I1810="NO2-3")),VLOOKUP(E1810,QCUREA_N,2,),IF(H1810="PER",VLOOKUP(I1810,QCPER,MATCH(E1810,QCACTUAL!$J$25:$AA$25,0),),IF(H1810="SPK",VLOOKUP(I1810,QCSPK,3,),IF(AND(H1810="ATP",OR(I1810="TP",I1810="TDP")),VLOOKUP(E1810,QCATP_P,2,),""))))))))</f>
        <v/>
      </c>
      <c r="W1810" s="31" t="str">
        <f t="shared" si="207"/>
        <v>TRUE</v>
      </c>
      <c r="X1810" s="31" t="str">
        <f t="shared" si="204"/>
        <v/>
      </c>
      <c r="Y1810" s="10" t="s">
        <v>1116</v>
      </c>
      <c r="Z1810" s="10" t="s">
        <v>910</v>
      </c>
      <c r="AF1810" s="12">
        <v>44958</v>
      </c>
      <c r="AJ1810" s="10">
        <f>0.9631*10.1^2+173.03*10.1-74.605</f>
        <v>1771.2438309999998</v>
      </c>
      <c r="AK1810" s="10">
        <f>-1.0839*10.1^2+204.73*10.1-119.55</f>
        <v>1837.6543609999997</v>
      </c>
      <c r="AL1810" s="10" t="str">
        <f t="shared" si="202"/>
        <v>FALSE</v>
      </c>
      <c r="AM1810" s="10" t="str">
        <f t="shared" si="202"/>
        <v>FALSE</v>
      </c>
      <c r="AN1810" s="10" t="str">
        <f t="shared" si="202"/>
        <v>FALSE</v>
      </c>
      <c r="AO1810" s="10" t="str">
        <f t="shared" si="203"/>
        <v>y=0.9631*10.1^2+173.03*10.1-74.605</v>
      </c>
      <c r="AP1810" s="10" t="str">
        <f t="shared" si="203"/>
        <v>y=-1.0839*10.1^2+204.73*10.1-119.55</v>
      </c>
      <c r="AQ1810" s="10" t="b">
        <f>IF(AND(I1810="TP",S1810&lt;=150),VLOOKUP(AF1810,TPCalibEq150!$AZ$2:$BB$55,3,),IF(AND(I1810="TDP",S1810&lt;=150),VLOOKUP(AF1810,TPCalibEq150!$AZ$2:$BB$55,3,)))</f>
        <v>0</v>
      </c>
      <c r="AR1810" s="10" t="b">
        <f>IF(AND(I1810="TP",S1810&lt;=300),VLOOKUP(AF1810,TPCalibEq300!$AZ$2:$BB$55,3,),IF(AND(I1810="TDP",S1810&lt;=300),VLOOKUP(AF1810,TPCalibEq300!$AZ$2:$BB$55,3,)))</f>
        <v>0</v>
      </c>
      <c r="AS1810" s="10" t="b">
        <f>IF(AND(I1810="TP",S1810&lt;=500),VLOOKUP(AF1810,TPCalibEq500!$AZ$2:$BB$56,3,),IF(AND(I1810="TDP",S1810&lt;=500),VLOOKUP(AF1810,TPCalibEq500!$AZ$2:$BB$56,3,)))</f>
        <v>0</v>
      </c>
      <c r="AT1810" s="10" t="str">
        <f>IF(AND(I1810="TN",S1810&lt;=2800),VLOOKUP(AF1810,TNCalibEq2500!$AZ$2:$BB$56,3,),IF(AND(I1810="TDN",S1810&lt;=2800),VLOOKUP(AF1810,TNCalibEq2500!$AZ$2:$BB$56,3,)))</f>
        <v>y=0.9631x2+173.03x-74.605</v>
      </c>
      <c r="AU1810" s="10" t="str">
        <f>IF(I1810="TP",VLOOKUP(AF1810,TPCalibEqFull!$AZ$2:$BB$56,3),IF(I1810="TDP",VLOOKUP(AF1810,TPCalibEqFull!$AZ$2:$BB$56,3),IF(I1810="TDN",VLOOKUP(AF1810,TNCalibEqFull!$AZ$1:$BB$56,3),IF(I1810="TN",VLOOKUP(AF1810,TNCalibEqFull!$AZ$1:$BB$56,3),FALSE))))</f>
        <v>y=-1.0839x2+204.73x-119.55</v>
      </c>
      <c r="AV1810" s="10" t="str">
        <f t="shared" si="208"/>
        <v>0123 12:08:00-EFM-0-FIL-1-SW-UKN</v>
      </c>
    </row>
    <row r="1811" spans="1:48" s="10" customFormat="1" x14ac:dyDescent="0.55000000000000004">
      <c r="A1811" s="32">
        <v>44949</v>
      </c>
      <c r="B1811" s="33">
        <v>0.52500000000000002</v>
      </c>
      <c r="C1811" s="10" t="s">
        <v>999</v>
      </c>
      <c r="D1811" s="10">
        <v>0</v>
      </c>
      <c r="E1811" s="10" t="s">
        <v>911</v>
      </c>
      <c r="F1811" s="10">
        <v>1</v>
      </c>
      <c r="G1811" s="10" t="s">
        <v>231</v>
      </c>
      <c r="H1811" s="10" t="s">
        <v>322</v>
      </c>
      <c r="I1811" s="10" t="s">
        <v>224</v>
      </c>
      <c r="J1811" s="10">
        <v>67</v>
      </c>
      <c r="K1811" s="12">
        <v>44958</v>
      </c>
      <c r="L1811" s="33">
        <v>0.72422453703703704</v>
      </c>
      <c r="M1811" s="10">
        <v>1</v>
      </c>
      <c r="N1811" s="10" t="s">
        <v>196</v>
      </c>
      <c r="O1811" s="10">
        <v>9.41</v>
      </c>
      <c r="P1811" s="10">
        <v>0.46100000000000002</v>
      </c>
      <c r="Q1811" s="10">
        <v>1600</v>
      </c>
      <c r="R1811" s="10" t="s">
        <v>170</v>
      </c>
      <c r="S1811" s="34">
        <f t="shared" si="205"/>
        <v>1710.9820144099999</v>
      </c>
      <c r="T1811" s="10" t="s">
        <v>1123</v>
      </c>
      <c r="U1811" s="34" t="str">
        <f t="shared" si="206"/>
        <v/>
      </c>
      <c r="V1811" s="31" t="str">
        <f>IF(H1811="CHK",VLOOKUP(I1811,QCCHK,3,),IF(H1811="GUP",VLOOKUP(E1811,QCGUP,2,),IF(AND(H1811="ATP",OR(I1811="TN",I1811="TDN",I1811="TNO2-3",I1811="NO2-3")),VLOOKUP(E1811,QCREC_N,2,),IF(AND(H1811="NIC",OR(I1811="TN",I1811="TDN",I1811="TNO2-3",I1811="NO2-3")),VLOOKUP(E1811,QCNIC_N,2,),IF(AND(H1811="UREA",OR(I1811="TN",I1811="TDN",I1811="TNO2-3",I1811="NO2-3")),VLOOKUP(E1811,QCUREA_N,2,),IF(H1811="PER",VLOOKUP(I1811,QCPER,MATCH(E1811,QCACTUAL!$J$25:$AA$25,0),),IF(H1811="SPK",VLOOKUP(I1811,QCSPK,3,),IF(AND(H1811="ATP",OR(I1811="TP",I1811="TDP")),VLOOKUP(E1811,QCATP_P,2,),""))))))))</f>
        <v/>
      </c>
      <c r="W1811" s="31" t="str">
        <f t="shared" si="207"/>
        <v>TRUE</v>
      </c>
      <c r="X1811" s="31" t="str">
        <f t="shared" si="204"/>
        <v/>
      </c>
      <c r="Y1811" s="10" t="s">
        <v>1116</v>
      </c>
      <c r="Z1811" s="10" t="s">
        <v>910</v>
      </c>
      <c r="AF1811" s="12">
        <v>44958</v>
      </c>
      <c r="AJ1811" s="10">
        <f>0.9631*9.41^2+173.03*9.41-74.605</f>
        <v>1638.8879751100001</v>
      </c>
      <c r="AK1811" s="10">
        <f>-1.0839*9.41^2+204.73*9.41-119.55</f>
        <v>1710.9820144099999</v>
      </c>
      <c r="AL1811" s="10" t="str">
        <f t="shared" si="202"/>
        <v>FALSE</v>
      </c>
      <c r="AM1811" s="10" t="str">
        <f t="shared" si="202"/>
        <v>FALSE</v>
      </c>
      <c r="AN1811" s="10" t="str">
        <f t="shared" si="202"/>
        <v>FALSE</v>
      </c>
      <c r="AO1811" s="10" t="str">
        <f t="shared" si="203"/>
        <v>y=0.9631*9.41^2+173.03*9.41-74.605</v>
      </c>
      <c r="AP1811" s="10" t="str">
        <f t="shared" si="203"/>
        <v>y=-1.0839*9.41^2+204.73*9.41-119.55</v>
      </c>
      <c r="AQ1811" s="10" t="b">
        <f>IF(AND(I1811="TP",S1811&lt;=150),VLOOKUP(AF1811,TPCalibEq150!$AZ$2:$BB$55,3,),IF(AND(I1811="TDP",S1811&lt;=150),VLOOKUP(AF1811,TPCalibEq150!$AZ$2:$BB$55,3,)))</f>
        <v>0</v>
      </c>
      <c r="AR1811" s="10" t="b">
        <f>IF(AND(I1811="TP",S1811&lt;=300),VLOOKUP(AF1811,TPCalibEq300!$AZ$2:$BB$55,3,),IF(AND(I1811="TDP",S1811&lt;=300),VLOOKUP(AF1811,TPCalibEq300!$AZ$2:$BB$55,3,)))</f>
        <v>0</v>
      </c>
      <c r="AS1811" s="10" t="b">
        <f>IF(AND(I1811="TP",S1811&lt;=500),VLOOKUP(AF1811,TPCalibEq500!$AZ$2:$BB$56,3,),IF(AND(I1811="TDP",S1811&lt;=500),VLOOKUP(AF1811,TPCalibEq500!$AZ$2:$BB$56,3,)))</f>
        <v>0</v>
      </c>
      <c r="AT1811" s="10" t="str">
        <f>IF(AND(I1811="TN",S1811&lt;=2800),VLOOKUP(AF1811,TNCalibEq2500!$AZ$2:$BB$56,3,),IF(AND(I1811="TDN",S1811&lt;=2800),VLOOKUP(AF1811,TNCalibEq2500!$AZ$2:$BB$56,3,)))</f>
        <v>y=0.9631x2+173.03x-74.605</v>
      </c>
      <c r="AU1811" s="10" t="str">
        <f>IF(I1811="TP",VLOOKUP(AF1811,TPCalibEqFull!$AZ$2:$BB$56,3),IF(I1811="TDP",VLOOKUP(AF1811,TPCalibEqFull!$AZ$2:$BB$56,3),IF(I1811="TDN",VLOOKUP(AF1811,TNCalibEqFull!$AZ$1:$BB$56,3),IF(I1811="TN",VLOOKUP(AF1811,TNCalibEqFull!$AZ$1:$BB$56,3),FALSE))))</f>
        <v>y=-1.0839x2+204.73x-119.55</v>
      </c>
      <c r="AV1811" s="10" t="str">
        <f t="shared" si="208"/>
        <v>0123 12:36:00-EAW-0-FIL-1-SW-UKN</v>
      </c>
    </row>
    <row r="1812" spans="1:48" s="10" customFormat="1" x14ac:dyDescent="0.55000000000000004">
      <c r="A1812" s="32">
        <v>44949</v>
      </c>
      <c r="B1812" s="33">
        <v>0.52916666666666667</v>
      </c>
      <c r="C1812" s="10" t="s">
        <v>310</v>
      </c>
      <c r="D1812" s="10">
        <v>0</v>
      </c>
      <c r="E1812" s="10" t="s">
        <v>911</v>
      </c>
      <c r="F1812" s="10">
        <v>1</v>
      </c>
      <c r="G1812" s="10" t="s">
        <v>231</v>
      </c>
      <c r="H1812" s="10" t="s">
        <v>322</v>
      </c>
      <c r="I1812" s="10" t="s">
        <v>224</v>
      </c>
      <c r="J1812" s="10">
        <v>68</v>
      </c>
      <c r="K1812" s="12">
        <v>44958</v>
      </c>
      <c r="L1812" s="33">
        <v>0.72489583333333341</v>
      </c>
      <c r="M1812" s="10">
        <v>1</v>
      </c>
      <c r="N1812" s="10" t="s">
        <v>196</v>
      </c>
      <c r="O1812" s="10">
        <v>9.09</v>
      </c>
      <c r="P1812" s="10">
        <v>0.44700000000000001</v>
      </c>
      <c r="Q1812" s="10">
        <v>1550</v>
      </c>
      <c r="R1812" s="10" t="s">
        <v>170</v>
      </c>
      <c r="S1812" s="34">
        <f t="shared" si="205"/>
        <v>1651.8851024099999</v>
      </c>
      <c r="T1812" s="10" t="s">
        <v>1123</v>
      </c>
      <c r="U1812" s="34" t="str">
        <f t="shared" si="206"/>
        <v/>
      </c>
      <c r="V1812" s="31" t="str">
        <f>IF(H1812="CHK",VLOOKUP(I1812,QCCHK,3,),IF(H1812="GUP",VLOOKUP(E1812,QCGUP,2,),IF(AND(H1812="ATP",OR(I1812="TN",I1812="TDN",I1812="TNO2-3",I1812="NO2-3")),VLOOKUP(E1812,QCREC_N,2,),IF(AND(H1812="NIC",OR(I1812="TN",I1812="TDN",I1812="TNO2-3",I1812="NO2-3")),VLOOKUP(E1812,QCNIC_N,2,),IF(AND(H1812="UREA",OR(I1812="TN",I1812="TDN",I1812="TNO2-3",I1812="NO2-3")),VLOOKUP(E1812,QCUREA_N,2,),IF(H1812="PER",VLOOKUP(I1812,QCPER,MATCH(E1812,QCACTUAL!$J$25:$AA$25,0),),IF(H1812="SPK",VLOOKUP(I1812,QCSPK,3,),IF(AND(H1812="ATP",OR(I1812="TP",I1812="TDP")),VLOOKUP(E1812,QCATP_P,2,),""))))))))</f>
        <v/>
      </c>
      <c r="W1812" s="31" t="str">
        <f t="shared" si="207"/>
        <v>TRUE</v>
      </c>
      <c r="X1812" s="31" t="str">
        <f t="shared" si="204"/>
        <v/>
      </c>
      <c r="Y1812" s="10" t="s">
        <v>1116</v>
      </c>
      <c r="Z1812" s="10" t="s">
        <v>910</v>
      </c>
      <c r="AF1812" s="12">
        <v>44958</v>
      </c>
      <c r="AJ1812" s="10">
        <f>0.9631*9.09^2+173.03*9.09-74.605</f>
        <v>1577.8168231099999</v>
      </c>
      <c r="AK1812" s="10">
        <f>-1.0839*9.09^2+204.73*9.09-119.55</f>
        <v>1651.8851024099999</v>
      </c>
      <c r="AL1812" s="10" t="str">
        <f t="shared" si="202"/>
        <v>FALSE</v>
      </c>
      <c r="AM1812" s="10" t="str">
        <f t="shared" si="202"/>
        <v>FALSE</v>
      </c>
      <c r="AN1812" s="10" t="str">
        <f t="shared" si="202"/>
        <v>FALSE</v>
      </c>
      <c r="AO1812" s="10" t="str">
        <f t="shared" si="203"/>
        <v>y=0.9631*9.09^2+173.03*9.09-74.605</v>
      </c>
      <c r="AP1812" s="10" t="str">
        <f t="shared" si="203"/>
        <v>y=-1.0839*9.09^2+204.73*9.09-119.55</v>
      </c>
      <c r="AQ1812" s="10" t="b">
        <f>IF(AND(I1812="TP",S1812&lt;=150),VLOOKUP(AF1812,TPCalibEq150!$AZ$2:$BB$55,3,),IF(AND(I1812="TDP",S1812&lt;=150),VLOOKUP(AF1812,TPCalibEq150!$AZ$2:$BB$55,3,)))</f>
        <v>0</v>
      </c>
      <c r="AR1812" s="10" t="b">
        <f>IF(AND(I1812="TP",S1812&lt;=300),VLOOKUP(AF1812,TPCalibEq300!$AZ$2:$BB$55,3,),IF(AND(I1812="TDP",S1812&lt;=300),VLOOKUP(AF1812,TPCalibEq300!$AZ$2:$BB$55,3,)))</f>
        <v>0</v>
      </c>
      <c r="AS1812" s="10" t="b">
        <f>IF(AND(I1812="TP",S1812&lt;=500),VLOOKUP(AF1812,TPCalibEq500!$AZ$2:$BB$56,3,),IF(AND(I1812="TDP",S1812&lt;=500),VLOOKUP(AF1812,TPCalibEq500!$AZ$2:$BB$56,3,)))</f>
        <v>0</v>
      </c>
      <c r="AT1812" s="10" t="str">
        <f>IF(AND(I1812="TN",S1812&lt;=2800),VLOOKUP(AF1812,TNCalibEq2500!$AZ$2:$BB$56,3,),IF(AND(I1812="TDN",S1812&lt;=2800),VLOOKUP(AF1812,TNCalibEq2500!$AZ$2:$BB$56,3,)))</f>
        <v>y=0.9631x2+173.03x-74.605</v>
      </c>
      <c r="AU1812" s="10" t="str">
        <f>IF(I1812="TP",VLOOKUP(AF1812,TPCalibEqFull!$AZ$2:$BB$56,3),IF(I1812="TDP",VLOOKUP(AF1812,TPCalibEqFull!$AZ$2:$BB$56,3),IF(I1812="TDN",VLOOKUP(AF1812,TNCalibEqFull!$AZ$1:$BB$56,3),IF(I1812="TN",VLOOKUP(AF1812,TNCalibEqFull!$AZ$1:$BB$56,3),FALSE))))</f>
        <v>y=-1.0839x2+204.73x-119.55</v>
      </c>
      <c r="AV1812" s="10" t="str">
        <f t="shared" si="208"/>
        <v>0123 12:42:00-ELI-0-FIL-1-SW-UKN</v>
      </c>
    </row>
    <row r="1813" spans="1:48" s="10" customFormat="1" x14ac:dyDescent="0.55000000000000004">
      <c r="A1813" s="32">
        <v>44949</v>
      </c>
      <c r="B1813" s="33">
        <v>0.52916666666666667</v>
      </c>
      <c r="C1813" s="10" t="s">
        <v>310</v>
      </c>
      <c r="D1813" s="10">
        <v>0</v>
      </c>
      <c r="E1813" s="10" t="s">
        <v>911</v>
      </c>
      <c r="F1813" s="10">
        <v>1</v>
      </c>
      <c r="G1813" s="10" t="s">
        <v>231</v>
      </c>
      <c r="H1813" s="10" t="s">
        <v>233</v>
      </c>
      <c r="I1813" s="10" t="s">
        <v>224</v>
      </c>
      <c r="J1813" s="10">
        <v>68</v>
      </c>
      <c r="K1813" s="12">
        <v>44958</v>
      </c>
      <c r="L1813" s="33">
        <v>0.72556712962962966</v>
      </c>
      <c r="M1813" s="10">
        <v>1</v>
      </c>
      <c r="N1813" s="10" t="s">
        <v>196</v>
      </c>
      <c r="O1813" s="10">
        <v>9.08</v>
      </c>
      <c r="P1813" s="10">
        <v>0.44700000000000001</v>
      </c>
      <c r="Q1813" s="10">
        <v>1540</v>
      </c>
      <c r="R1813" s="10" t="s">
        <v>170</v>
      </c>
      <c r="S1813" s="34">
        <f t="shared" si="205"/>
        <v>1650.03474704</v>
      </c>
      <c r="T1813" s="10" t="s">
        <v>1123</v>
      </c>
      <c r="U1813" s="34">
        <f t="shared" si="206"/>
        <v>0.11207754605601354</v>
      </c>
      <c r="V1813" s="31" t="str">
        <f>IF(H1813="CHK",VLOOKUP(I1813,QCCHK,3,),IF(H1813="GUP",VLOOKUP(E1813,QCGUP,2,),IF(AND(H1813="ATP",OR(I1813="TN",I1813="TDN",I1813="TNO2-3",I1813="NO2-3")),VLOOKUP(E1813,QCREC_N,2,),IF(AND(H1813="NIC",OR(I1813="TN",I1813="TDN",I1813="TNO2-3",I1813="NO2-3")),VLOOKUP(E1813,QCNIC_N,2,),IF(AND(H1813="UREA",OR(I1813="TN",I1813="TDN",I1813="TNO2-3",I1813="NO2-3")),VLOOKUP(E1813,QCUREA_N,2,),IF(H1813="PER",VLOOKUP(I1813,QCPER,MATCH(E1813,QCACTUAL!$J$25:$AA$25,0),),IF(H1813="SPK",VLOOKUP(I1813,QCSPK,3,),IF(AND(H1813="ATP",OR(I1813="TP",I1813="TDP")),VLOOKUP(E1813,QCATP_P,2,),""))))))))</f>
        <v/>
      </c>
      <c r="W1813" s="31" t="str">
        <f t="shared" si="207"/>
        <v>TRUE</v>
      </c>
      <c r="X1813" s="31" t="str">
        <f t="shared" si="204"/>
        <v>((ABS(rep1-rep2))/((rep1+rep2)/2)*100</v>
      </c>
      <c r="Y1813" s="10" t="s">
        <v>1116</v>
      </c>
      <c r="Z1813" s="10" t="s">
        <v>910</v>
      </c>
      <c r="AF1813" s="12">
        <v>44958</v>
      </c>
      <c r="AJ1813" s="10">
        <f>0.9631*9.08^2+173.03*9.08-74.605</f>
        <v>1575.91152784</v>
      </c>
      <c r="AK1813" s="10">
        <f>-1.0839*9.08^2+204.73*9.08-119.55</f>
        <v>1650.03474704</v>
      </c>
      <c r="AL1813" s="10" t="str">
        <f t="shared" si="202"/>
        <v>FALSE</v>
      </c>
      <c r="AM1813" s="10" t="str">
        <f t="shared" si="202"/>
        <v>FALSE</v>
      </c>
      <c r="AN1813" s="10" t="str">
        <f t="shared" si="202"/>
        <v>FALSE</v>
      </c>
      <c r="AO1813" s="10" t="str">
        <f t="shared" si="203"/>
        <v>y=0.9631*9.08^2+173.03*9.08-74.605</v>
      </c>
      <c r="AP1813" s="10" t="str">
        <f t="shared" si="203"/>
        <v>y=-1.0839*9.08^2+204.73*9.08-119.55</v>
      </c>
      <c r="AQ1813" s="10" t="b">
        <f>IF(AND(I1813="TP",S1813&lt;=150),VLOOKUP(AF1813,TPCalibEq150!$AZ$2:$BB$55,3,),IF(AND(I1813="TDP",S1813&lt;=150),VLOOKUP(AF1813,TPCalibEq150!$AZ$2:$BB$55,3,)))</f>
        <v>0</v>
      </c>
      <c r="AR1813" s="10" t="b">
        <f>IF(AND(I1813="TP",S1813&lt;=300),VLOOKUP(AF1813,TPCalibEq300!$AZ$2:$BB$55,3,),IF(AND(I1813="TDP",S1813&lt;=300),VLOOKUP(AF1813,TPCalibEq300!$AZ$2:$BB$55,3,)))</f>
        <v>0</v>
      </c>
      <c r="AS1813" s="10" t="b">
        <f>IF(AND(I1813="TP",S1813&lt;=500),VLOOKUP(AF1813,TPCalibEq500!$AZ$2:$BB$56,3,),IF(AND(I1813="TDP",S1813&lt;=500),VLOOKUP(AF1813,TPCalibEq500!$AZ$2:$BB$56,3,)))</f>
        <v>0</v>
      </c>
      <c r="AT1813" s="10" t="str">
        <f>IF(AND(I1813="TN",S1813&lt;=2800),VLOOKUP(AF1813,TNCalibEq2500!$AZ$2:$BB$56,3,),IF(AND(I1813="TDN",S1813&lt;=2800),VLOOKUP(AF1813,TNCalibEq2500!$AZ$2:$BB$56,3,)))</f>
        <v>y=0.9631x2+173.03x-74.605</v>
      </c>
      <c r="AU1813" s="10" t="str">
        <f>IF(I1813="TP",VLOOKUP(AF1813,TPCalibEqFull!$AZ$2:$BB$56,3),IF(I1813="TDP",VLOOKUP(AF1813,TPCalibEqFull!$AZ$2:$BB$56,3),IF(I1813="TDN",VLOOKUP(AF1813,TNCalibEqFull!$AZ$1:$BB$56,3),IF(I1813="TN",VLOOKUP(AF1813,TNCalibEqFull!$AZ$1:$BB$56,3),FALSE))))</f>
        <v>y=-1.0839x2+204.73x-119.55</v>
      </c>
      <c r="AV1813" s="10" t="str">
        <f t="shared" si="208"/>
        <v>0123 12:42:00-ELI-0-FIL-1-SW-DUP</v>
      </c>
    </row>
    <row r="1814" spans="1:48" s="10" customFormat="1" x14ac:dyDescent="0.55000000000000004">
      <c r="A1814" s="32">
        <v>44949</v>
      </c>
      <c r="B1814" s="33">
        <v>0.52916666666666667</v>
      </c>
      <c r="C1814" s="10" t="s">
        <v>310</v>
      </c>
      <c r="D1814" s="10">
        <v>0</v>
      </c>
      <c r="E1814" s="10" t="s">
        <v>911</v>
      </c>
      <c r="F1814" s="10">
        <v>1</v>
      </c>
      <c r="G1814" s="10" t="s">
        <v>231</v>
      </c>
      <c r="H1814" s="10" t="s">
        <v>314</v>
      </c>
      <c r="I1814" s="10" t="s">
        <v>224</v>
      </c>
      <c r="J1814" s="10">
        <v>89</v>
      </c>
      <c r="K1814" s="12">
        <v>44958</v>
      </c>
      <c r="L1814" s="33">
        <v>0.72622685185185187</v>
      </c>
      <c r="M1814" s="10">
        <v>1</v>
      </c>
      <c r="N1814" s="10" t="s">
        <v>196</v>
      </c>
      <c r="O1814" s="10">
        <v>24.2</v>
      </c>
      <c r="P1814" s="10">
        <v>1.18</v>
      </c>
      <c r="Q1814" s="10">
        <v>4190</v>
      </c>
      <c r="R1814" s="10" t="s">
        <v>170</v>
      </c>
      <c r="S1814" s="34">
        <f t="shared" si="205"/>
        <v>4200.1408039999997</v>
      </c>
      <c r="T1814" s="10" t="s">
        <v>1123</v>
      </c>
      <c r="U1814" s="34">
        <f t="shared" si="206"/>
        <v>102.00424227839997</v>
      </c>
      <c r="V1814" s="31">
        <f>IF(H1814="CHK",VLOOKUP(I1814,QCCHK,3,),IF(H1814="GUP",VLOOKUP(E1814,QCGUP,2,),IF(AND(H1814="ATP",OR(I1814="TN",I1814="TDN",I1814="TNO2-3",I1814="NO2-3")),VLOOKUP(E1814,QCREC_N,2,),IF(AND(H1814="NIC",OR(I1814="TN",I1814="TDN",I1814="TNO2-3",I1814="NO2-3")),VLOOKUP(E1814,QCNIC_N,2,),IF(AND(H1814="UREA",OR(I1814="TN",I1814="TDN",I1814="TNO2-3",I1814="NO2-3")),VLOOKUP(E1814,QCUREA_N,2,),IF(H1814="PER",VLOOKUP(I1814,QCPER,MATCH(E1814,QCACTUAL!$J$25:$AA$25,0),),IF(H1814="SPK",VLOOKUP(I1814,QCSPK,3,),IF(AND(H1814="ATP",OR(I1814="TP",I1814="TDP")),VLOOKUP(E1814,QCATP_P,2,),""))))))))</f>
        <v>2500</v>
      </c>
      <c r="W1814" s="31" t="str">
        <f t="shared" si="207"/>
        <v>TRUE</v>
      </c>
      <c r="X1814" s="31" t="str">
        <f t="shared" si="204"/>
        <v>([spikedunkn]-[unkn])/[spike]*100</v>
      </c>
      <c r="Y1814" s="10" t="s">
        <v>1116</v>
      </c>
      <c r="Z1814" s="10" t="s">
        <v>910</v>
      </c>
      <c r="AF1814" s="12">
        <v>44958</v>
      </c>
      <c r="AK1814" s="10">
        <f>-1.0839*24.2^2+204.73*24.2-119.55</f>
        <v>4200.1408039999997</v>
      </c>
      <c r="AL1814" s="10" t="str">
        <f t="shared" si="202"/>
        <v>FALSE</v>
      </c>
      <c r="AM1814" s="10" t="str">
        <f t="shared" si="202"/>
        <v>FALSE</v>
      </c>
      <c r="AN1814" s="10" t="str">
        <f t="shared" si="202"/>
        <v>FALSE</v>
      </c>
      <c r="AO1814" s="10" t="str">
        <f t="shared" si="203"/>
        <v>FALSE</v>
      </c>
      <c r="AP1814" s="10" t="str">
        <f t="shared" si="203"/>
        <v>y=-1.0839*24.2^2+204.73*24.2-119.55</v>
      </c>
      <c r="AQ1814" s="10" t="b">
        <f>IF(AND(I1814="TP",S1814&lt;=150),VLOOKUP(AF1814,TPCalibEq150!$AZ$2:$BB$55,3,),IF(AND(I1814="TDP",S1814&lt;=150),VLOOKUP(AF1814,TPCalibEq150!$AZ$2:$BB$55,3,)))</f>
        <v>0</v>
      </c>
      <c r="AR1814" s="10" t="b">
        <f>IF(AND(I1814="TP",S1814&lt;=300),VLOOKUP(AF1814,TPCalibEq300!$AZ$2:$BB$55,3,),IF(AND(I1814="TDP",S1814&lt;=300),VLOOKUP(AF1814,TPCalibEq300!$AZ$2:$BB$55,3,)))</f>
        <v>0</v>
      </c>
      <c r="AS1814" s="10" t="b">
        <f>IF(AND(I1814="TP",S1814&lt;=500),VLOOKUP(AF1814,TPCalibEq500!$AZ$2:$BB$56,3,),IF(AND(I1814="TDP",S1814&lt;=500),VLOOKUP(AF1814,TPCalibEq500!$AZ$2:$BB$56,3,)))</f>
        <v>0</v>
      </c>
      <c r="AT1814" s="10" t="b">
        <f>IF(AND(I1814="TN",S1814&lt;=2800),VLOOKUP(AF1814,TNCalibEq2500!$AZ$2:$BB$56,3,),IF(AND(I1814="TDN",S1814&lt;=2800),VLOOKUP(AF1814,TNCalibEq2500!$AZ$2:$BB$56,3,)))</f>
        <v>0</v>
      </c>
      <c r="AU1814" s="10" t="str">
        <f>IF(I1814="TP",VLOOKUP(AF1814,TPCalibEqFull!$AZ$2:$BB$56,3),IF(I1814="TDP",VLOOKUP(AF1814,TPCalibEqFull!$AZ$2:$BB$56,3),IF(I1814="TDN",VLOOKUP(AF1814,TNCalibEqFull!$AZ$1:$BB$56,3),IF(I1814="TN",VLOOKUP(AF1814,TNCalibEqFull!$AZ$1:$BB$56,3),FALSE))))</f>
        <v>y=-1.0839x2+204.73x-119.55</v>
      </c>
      <c r="AV1814" s="10" t="str">
        <f t="shared" si="208"/>
        <v>0123 12:42:00-ELI-0-FIL-1-SW-SPK</v>
      </c>
    </row>
    <row r="1815" spans="1:48" s="10" customFormat="1" x14ac:dyDescent="0.55000000000000004">
      <c r="A1815" s="32">
        <v>44958</v>
      </c>
      <c r="B1815" s="33">
        <v>0.375</v>
      </c>
      <c r="C1815" s="10" t="s">
        <v>70</v>
      </c>
      <c r="D1815" s="10" t="s">
        <v>71</v>
      </c>
      <c r="E1815" s="10" t="s">
        <v>901</v>
      </c>
      <c r="F1815" s="10">
        <v>1</v>
      </c>
      <c r="G1815" s="10" t="s">
        <v>73</v>
      </c>
      <c r="H1815" s="10" t="s">
        <v>207</v>
      </c>
      <c r="I1815" s="10" t="s">
        <v>235</v>
      </c>
      <c r="J1815" s="10">
        <v>202</v>
      </c>
      <c r="K1815" s="12">
        <v>44958</v>
      </c>
      <c r="L1815" s="33">
        <v>0.72690972222222217</v>
      </c>
      <c r="M1815" s="10">
        <v>1</v>
      </c>
      <c r="N1815" s="10" t="s">
        <v>196</v>
      </c>
      <c r="O1815" s="10">
        <v>7.17</v>
      </c>
      <c r="P1815" s="10">
        <v>0.35499999999999998</v>
      </c>
      <c r="Q1815" s="10">
        <v>1210</v>
      </c>
      <c r="R1815" s="10" t="s">
        <v>170</v>
      </c>
      <c r="S1815" s="34">
        <f t="shared" si="205"/>
        <v>1292.6419932900001</v>
      </c>
      <c r="T1815" s="10" t="s">
        <v>1123</v>
      </c>
      <c r="U1815" s="34">
        <f t="shared" si="206"/>
        <v>103.41135946320001</v>
      </c>
      <c r="V1815" s="31">
        <f>IF(H1815="CHK",VLOOKUP(I1815,QCCHK,3,),IF(H1815="GUP",VLOOKUP(E1815,QCGUP,2,),IF(AND(H1815="ATP",OR(I1815="TN",I1815="TDN",I1815="TNO2-3",I1815="NO2-3")),VLOOKUP(E1815,QCREC_N,2,),IF(AND(H1815="NIC",OR(I1815="TN",I1815="TDN",I1815="TNO2-3",I1815="NO2-3")),VLOOKUP(E1815,QCNIC_N,2,),IF(AND(H1815="UREA",OR(I1815="TN",I1815="TDN",I1815="TNO2-3",I1815="NO2-3")),VLOOKUP(E1815,QCUREA_N,2,),IF(H1815="PER",VLOOKUP(I1815,QCPER,MATCH(E1815,QCACTUAL!$J$25:$AA$25,0),),IF(H1815="SPK",VLOOKUP(I1815,QCSPK,3,),IF(AND(H1815="ATP",OR(I1815="TP",I1815="TDP")),VLOOKUP(E1815,QCATP_P,2,),""))))))))</f>
        <v>1250</v>
      </c>
      <c r="W1815" s="31" t="str">
        <f t="shared" si="207"/>
        <v>TRUE</v>
      </c>
      <c r="X1815" s="31" t="str">
        <f t="shared" si="204"/>
        <v>[chk]/[actual]*100</v>
      </c>
      <c r="Y1815" s="10" t="s">
        <v>1116</v>
      </c>
      <c r="AF1815" s="12">
        <v>44958</v>
      </c>
      <c r="AJ1815" s="10">
        <f>0.9631*7.17^2+173.03*7.17-74.605</f>
        <v>1215.5320115899999</v>
      </c>
      <c r="AK1815" s="10">
        <f>-1.0839*7.17^2+204.73*7.17-119.55</f>
        <v>1292.6419932900001</v>
      </c>
      <c r="AL1815" s="10" t="str">
        <f t="shared" si="202"/>
        <v>FALSE</v>
      </c>
      <c r="AM1815" s="10" t="str">
        <f t="shared" si="202"/>
        <v>FALSE</v>
      </c>
      <c r="AN1815" s="10" t="str">
        <f t="shared" si="202"/>
        <v>FALSE</v>
      </c>
      <c r="AO1815" s="10" t="str">
        <f t="shared" si="203"/>
        <v>y=0.9631*7.17^2+173.03*7.17-74.605</v>
      </c>
      <c r="AP1815" s="10" t="str">
        <f t="shared" si="203"/>
        <v>y=-1.0839*7.17^2+204.73*7.17-119.55</v>
      </c>
      <c r="AQ1815" s="10" t="b">
        <f>IF(AND(I1815="TP",S1815&lt;=150),VLOOKUP(AF1815,TPCalibEq150!$AZ$2:$BB$55,3,),IF(AND(I1815="TDP",S1815&lt;=150),VLOOKUP(AF1815,TPCalibEq150!$AZ$2:$BB$55,3,)))</f>
        <v>0</v>
      </c>
      <c r="AR1815" s="10" t="b">
        <f>IF(AND(I1815="TP",S1815&lt;=300),VLOOKUP(AF1815,TPCalibEq300!$AZ$2:$BB$55,3,),IF(AND(I1815="TDP",S1815&lt;=300),VLOOKUP(AF1815,TPCalibEq300!$AZ$2:$BB$55,3,)))</f>
        <v>0</v>
      </c>
      <c r="AS1815" s="10" t="b">
        <f>IF(AND(I1815="TP",S1815&lt;=500),VLOOKUP(AF1815,TPCalibEq500!$AZ$2:$BB$56,3,),IF(AND(I1815="TDP",S1815&lt;=500),VLOOKUP(AF1815,TPCalibEq500!$AZ$2:$BB$56,3,)))</f>
        <v>0</v>
      </c>
      <c r="AT1815" s="10" t="str">
        <f>IF(AND(I1815="TN",S1815&lt;=2800),VLOOKUP(AF1815,TNCalibEq2500!$AZ$2:$BB$56,3,),IF(AND(I1815="TDN",S1815&lt;=2800),VLOOKUP(AF1815,TNCalibEq2500!$AZ$2:$BB$56,3,)))</f>
        <v>y=0.9631x2+173.03x-74.605</v>
      </c>
      <c r="AU1815" s="10" t="str">
        <f>IF(I1815="TP",VLOOKUP(AF1815,TPCalibEqFull!$AZ$2:$BB$56,3),IF(I1815="TDP",VLOOKUP(AF1815,TPCalibEqFull!$AZ$2:$BB$56,3),IF(I1815="TDN",VLOOKUP(AF1815,TNCalibEqFull!$AZ$1:$BB$56,3),IF(I1815="TN",VLOOKUP(AF1815,TNCalibEqFull!$AZ$1:$BB$56,3),FALSE))))</f>
        <v>y=-1.0839x2+204.73x-119.55</v>
      </c>
      <c r="AV1815" s="10" t="str">
        <f t="shared" si="208"/>
        <v>0201 09:00:00-QAC-STD-D-1-DI-CHK</v>
      </c>
    </row>
    <row r="1816" spans="1:48" s="10" customFormat="1" x14ac:dyDescent="0.55000000000000004">
      <c r="A1816" s="32">
        <v>44956</v>
      </c>
      <c r="B1816" s="33">
        <v>0.35972222222222222</v>
      </c>
      <c r="C1816" s="10" t="s">
        <v>998</v>
      </c>
      <c r="D1816" s="10">
        <v>0</v>
      </c>
      <c r="E1816" s="10" t="s">
        <v>911</v>
      </c>
      <c r="F1816" s="10">
        <v>1</v>
      </c>
      <c r="G1816" s="10" t="s">
        <v>231</v>
      </c>
      <c r="H1816" s="10" t="s">
        <v>322</v>
      </c>
      <c r="I1816" s="10" t="s">
        <v>224</v>
      </c>
      <c r="J1816" s="10">
        <v>69</v>
      </c>
      <c r="K1816" s="12">
        <v>44958</v>
      </c>
      <c r="L1816" s="33">
        <v>0.72756944444444438</v>
      </c>
      <c r="M1816" s="10">
        <v>1</v>
      </c>
      <c r="N1816" s="10" t="s">
        <v>196</v>
      </c>
      <c r="O1816" s="10">
        <v>9.64</v>
      </c>
      <c r="P1816" s="10">
        <v>0.47299999999999998</v>
      </c>
      <c r="Q1816" s="10">
        <v>1640</v>
      </c>
      <c r="R1816" s="10" t="s">
        <v>170</v>
      </c>
      <c r="S1816" s="34">
        <f t="shared" si="205"/>
        <v>1753.3208065599999</v>
      </c>
      <c r="T1816" s="10" t="s">
        <v>1123</v>
      </c>
      <c r="U1816" s="34" t="str">
        <f t="shared" si="206"/>
        <v/>
      </c>
      <c r="V1816" s="31" t="str">
        <f>IF(H1816="CHK",VLOOKUP(I1816,QCCHK,3,),IF(H1816="GUP",VLOOKUP(E1816,QCGUP,2,),IF(AND(H1816="ATP",OR(I1816="TN",I1816="TDN",I1816="TNO2-3",I1816="NO2-3")),VLOOKUP(E1816,QCREC_N,2,),IF(AND(H1816="NIC",OR(I1816="TN",I1816="TDN",I1816="TNO2-3",I1816="NO2-3")),VLOOKUP(E1816,QCNIC_N,2,),IF(AND(H1816="UREA",OR(I1816="TN",I1816="TDN",I1816="TNO2-3",I1816="NO2-3")),VLOOKUP(E1816,QCUREA_N,2,),IF(H1816="PER",VLOOKUP(I1816,QCPER,MATCH(E1816,QCACTUAL!$J$25:$AA$25,0),),IF(H1816="SPK",VLOOKUP(I1816,QCSPK,3,),IF(AND(H1816="ATP",OR(I1816="TP",I1816="TDP")),VLOOKUP(E1816,QCATP_P,2,),""))))))))</f>
        <v/>
      </c>
      <c r="W1816" s="31" t="str">
        <f t="shared" si="207"/>
        <v>TRUE</v>
      </c>
      <c r="X1816" s="31" t="str">
        <f t="shared" si="204"/>
        <v/>
      </c>
      <c r="Y1816" s="10" t="s">
        <v>1116</v>
      </c>
      <c r="Z1816" s="10" t="s">
        <v>910</v>
      </c>
      <c r="AF1816" s="12">
        <v>44958</v>
      </c>
      <c r="AJ1816" s="10">
        <f>0.9631*9.64^2+173.03*9.64-74.605</f>
        <v>1682.9046977600001</v>
      </c>
      <c r="AK1816" s="10">
        <f>-1.0839*9.64^2+204.73*9.64-119.55</f>
        <v>1753.3208065599999</v>
      </c>
      <c r="AL1816" s="10" t="str">
        <f t="shared" si="202"/>
        <v>FALSE</v>
      </c>
      <c r="AM1816" s="10" t="str">
        <f t="shared" si="202"/>
        <v>FALSE</v>
      </c>
      <c r="AN1816" s="10" t="str">
        <f t="shared" si="202"/>
        <v>FALSE</v>
      </c>
      <c r="AO1816" s="10" t="str">
        <f t="shared" si="203"/>
        <v>y=0.9631*9.64^2+173.03*9.64-74.605</v>
      </c>
      <c r="AP1816" s="10" t="str">
        <f t="shared" si="203"/>
        <v>y=-1.0839*9.64^2+204.73*9.64-119.55</v>
      </c>
      <c r="AQ1816" s="10" t="b">
        <f>IF(AND(I1816="TP",S1816&lt;=150),VLOOKUP(AF1816,TPCalibEq150!$AZ$2:$BB$55,3,),IF(AND(I1816="TDP",S1816&lt;=150),VLOOKUP(AF1816,TPCalibEq150!$AZ$2:$BB$55,3,)))</f>
        <v>0</v>
      </c>
      <c r="AR1816" s="10" t="b">
        <f>IF(AND(I1816="TP",S1816&lt;=300),VLOOKUP(AF1816,TPCalibEq300!$AZ$2:$BB$55,3,),IF(AND(I1816="TDP",S1816&lt;=300),VLOOKUP(AF1816,TPCalibEq300!$AZ$2:$BB$55,3,)))</f>
        <v>0</v>
      </c>
      <c r="AS1816" s="10" t="b">
        <f>IF(AND(I1816="TP",S1816&lt;=500),VLOOKUP(AF1816,TPCalibEq500!$AZ$2:$BB$56,3,),IF(AND(I1816="TDP",S1816&lt;=500),VLOOKUP(AF1816,TPCalibEq500!$AZ$2:$BB$56,3,)))</f>
        <v>0</v>
      </c>
      <c r="AT1816" s="10" t="str">
        <f>IF(AND(I1816="TN",S1816&lt;=2800),VLOOKUP(AF1816,TNCalibEq2500!$AZ$2:$BB$56,3,),IF(AND(I1816="TDN",S1816&lt;=2800),VLOOKUP(AF1816,TNCalibEq2500!$AZ$2:$BB$56,3,)))</f>
        <v>y=0.9631x2+173.03x-74.605</v>
      </c>
      <c r="AU1816" s="10" t="str">
        <f>IF(I1816="TP",VLOOKUP(AF1816,TPCalibEqFull!$AZ$2:$BB$56,3),IF(I1816="TDP",VLOOKUP(AF1816,TPCalibEqFull!$AZ$2:$BB$56,3),IF(I1816="TDN",VLOOKUP(AF1816,TNCalibEqFull!$AZ$1:$BB$56,3),IF(I1816="TN",VLOOKUP(AF1816,TNCalibEqFull!$AZ$1:$BB$56,3),FALSE))))</f>
        <v>y=-1.0839x2+204.73x-119.55</v>
      </c>
      <c r="AV1816" s="10" t="str">
        <f t="shared" si="208"/>
        <v>0130 08:38:00-ELW-0-FIL-1-SW-UKN</v>
      </c>
    </row>
    <row r="1817" spans="1:48" s="10" customFormat="1" x14ac:dyDescent="0.55000000000000004">
      <c r="A1817" s="32">
        <v>44956</v>
      </c>
      <c r="B1817" s="33">
        <v>0.38055555555555554</v>
      </c>
      <c r="C1817" s="10" t="s">
        <v>357</v>
      </c>
      <c r="D1817" s="10">
        <v>0</v>
      </c>
      <c r="E1817" s="10" t="s">
        <v>911</v>
      </c>
      <c r="F1817" s="10">
        <v>1</v>
      </c>
      <c r="G1817" s="10" t="s">
        <v>231</v>
      </c>
      <c r="H1817" s="10" t="s">
        <v>322</v>
      </c>
      <c r="I1817" s="10" t="s">
        <v>224</v>
      </c>
      <c r="J1817" s="10">
        <v>70</v>
      </c>
      <c r="K1817" s="12">
        <v>44958</v>
      </c>
      <c r="L1817" s="33">
        <v>0.72824074074074074</v>
      </c>
      <c r="M1817" s="10">
        <v>1</v>
      </c>
      <c r="N1817" s="10" t="s">
        <v>196</v>
      </c>
      <c r="O1817" s="10">
        <v>4.92</v>
      </c>
      <c r="P1817" s="10">
        <v>0.24299999999999999</v>
      </c>
      <c r="Q1817" s="10">
        <v>818</v>
      </c>
      <c r="R1817" s="10" t="s">
        <v>170</v>
      </c>
      <c r="S1817" s="34">
        <f t="shared" si="205"/>
        <v>861.48428303999992</v>
      </c>
      <c r="T1817" s="10" t="s">
        <v>1123</v>
      </c>
      <c r="U1817" s="34" t="str">
        <f t="shared" si="206"/>
        <v/>
      </c>
      <c r="V1817" s="31" t="str">
        <f>IF(H1817="CHK",VLOOKUP(I1817,QCCHK,3,),IF(H1817="GUP",VLOOKUP(E1817,QCGUP,2,),IF(AND(H1817="ATP",OR(I1817="TN",I1817="TDN",I1817="TNO2-3",I1817="NO2-3")),VLOOKUP(E1817,QCREC_N,2,),IF(AND(H1817="NIC",OR(I1817="TN",I1817="TDN",I1817="TNO2-3",I1817="NO2-3")),VLOOKUP(E1817,QCNIC_N,2,),IF(AND(H1817="UREA",OR(I1817="TN",I1817="TDN",I1817="TNO2-3",I1817="NO2-3")),VLOOKUP(E1817,QCUREA_N,2,),IF(H1817="PER",VLOOKUP(I1817,QCPER,MATCH(E1817,QCACTUAL!$J$25:$AA$25,0),),IF(H1817="SPK",VLOOKUP(I1817,QCSPK,3,),IF(AND(H1817="ATP",OR(I1817="TP",I1817="TDP")),VLOOKUP(E1817,QCATP_P,2,),""))))))))</f>
        <v/>
      </c>
      <c r="W1817" s="31" t="str">
        <f t="shared" si="207"/>
        <v>TRUE</v>
      </c>
      <c r="X1817" s="31" t="str">
        <f t="shared" si="204"/>
        <v/>
      </c>
      <c r="Y1817" s="10" t="s">
        <v>1116</v>
      </c>
      <c r="Z1817" s="10" t="s">
        <v>910</v>
      </c>
      <c r="AF1817" s="12">
        <v>44958</v>
      </c>
      <c r="AJ1817" s="10">
        <f>0.9631*4.92^2+173.03*4.92-74.605</f>
        <v>800.01578383999993</v>
      </c>
      <c r="AK1817" s="10">
        <f>-1.0839*4.92^2+204.73*4.92-119.55</f>
        <v>861.48428303999992</v>
      </c>
      <c r="AL1817" s="10" t="str">
        <f t="shared" si="202"/>
        <v>FALSE</v>
      </c>
      <c r="AM1817" s="10" t="str">
        <f t="shared" si="202"/>
        <v>FALSE</v>
      </c>
      <c r="AN1817" s="10" t="str">
        <f t="shared" si="202"/>
        <v>FALSE</v>
      </c>
      <c r="AO1817" s="10" t="str">
        <f t="shared" si="203"/>
        <v>y=0.9631*4.92^2+173.03*4.92-74.605</v>
      </c>
      <c r="AP1817" s="10" t="str">
        <f t="shared" si="203"/>
        <v>y=-1.0839*4.92^2+204.73*4.92-119.55</v>
      </c>
      <c r="AQ1817" s="10" t="b">
        <f>IF(AND(I1817="TP",S1817&lt;=150),VLOOKUP(AF1817,TPCalibEq150!$AZ$2:$BB$55,3,),IF(AND(I1817="TDP",S1817&lt;=150),VLOOKUP(AF1817,TPCalibEq150!$AZ$2:$BB$55,3,)))</f>
        <v>0</v>
      </c>
      <c r="AR1817" s="10" t="b">
        <f>IF(AND(I1817="TP",S1817&lt;=300),VLOOKUP(AF1817,TPCalibEq300!$AZ$2:$BB$55,3,),IF(AND(I1817="TDP",S1817&lt;=300),VLOOKUP(AF1817,TPCalibEq300!$AZ$2:$BB$55,3,)))</f>
        <v>0</v>
      </c>
      <c r="AS1817" s="10" t="b">
        <f>IF(AND(I1817="TP",S1817&lt;=500),VLOOKUP(AF1817,TPCalibEq500!$AZ$2:$BB$56,3,),IF(AND(I1817="TDP",S1817&lt;=500),VLOOKUP(AF1817,TPCalibEq500!$AZ$2:$BB$56,3,)))</f>
        <v>0</v>
      </c>
      <c r="AT1817" s="10" t="str">
        <f>IF(AND(I1817="TN",S1817&lt;=2800),VLOOKUP(AF1817,TNCalibEq2500!$AZ$2:$BB$56,3,),IF(AND(I1817="TDN",S1817&lt;=2800),VLOOKUP(AF1817,TNCalibEq2500!$AZ$2:$BB$56,3,)))</f>
        <v>y=0.9631x2+173.03x-74.605</v>
      </c>
      <c r="AU1817" s="10" t="str">
        <f>IF(I1817="TP",VLOOKUP(AF1817,TPCalibEqFull!$AZ$2:$BB$56,3),IF(I1817="TDP",VLOOKUP(AF1817,TPCalibEqFull!$AZ$2:$BB$56,3),IF(I1817="TDN",VLOOKUP(AF1817,TNCalibEqFull!$AZ$1:$BB$56,3),IF(I1817="TN",VLOOKUP(AF1817,TNCalibEqFull!$AZ$1:$BB$56,3),FALSE))))</f>
        <v>y=-1.0839x2+204.73x-119.55</v>
      </c>
      <c r="AV1817" s="10" t="str">
        <f t="shared" si="208"/>
        <v>0130 09:08:00-STC-0-FIL-1-SW-UKN</v>
      </c>
    </row>
    <row r="1818" spans="1:48" s="10" customFormat="1" x14ac:dyDescent="0.55000000000000004">
      <c r="A1818" s="32">
        <v>44956</v>
      </c>
      <c r="B1818" s="33">
        <v>0.3972222222222222</v>
      </c>
      <c r="C1818" s="10" t="s">
        <v>999</v>
      </c>
      <c r="D1818" s="10">
        <v>0</v>
      </c>
      <c r="E1818" s="10" t="s">
        <v>911</v>
      </c>
      <c r="F1818" s="10">
        <v>1</v>
      </c>
      <c r="G1818" s="10" t="s">
        <v>231</v>
      </c>
      <c r="H1818" s="10" t="s">
        <v>322</v>
      </c>
      <c r="I1818" s="10" t="s">
        <v>224</v>
      </c>
      <c r="J1818" s="10">
        <v>71</v>
      </c>
      <c r="K1818" s="12">
        <v>44958</v>
      </c>
      <c r="L1818" s="33">
        <v>0.72890046296296296</v>
      </c>
      <c r="M1818" s="10">
        <v>1</v>
      </c>
      <c r="N1818" s="10" t="s">
        <v>196</v>
      </c>
      <c r="O1818" s="10">
        <v>10.199999999999999</v>
      </c>
      <c r="P1818" s="10">
        <v>0.497</v>
      </c>
      <c r="Q1818" s="10">
        <v>1730</v>
      </c>
      <c r="R1818" s="10" t="s">
        <v>170</v>
      </c>
      <c r="S1818" s="34">
        <f t="shared" si="205"/>
        <v>1855.9270439999998</v>
      </c>
      <c r="T1818" s="10" t="s">
        <v>1123</v>
      </c>
      <c r="U1818" s="34" t="str">
        <f t="shared" si="206"/>
        <v/>
      </c>
      <c r="V1818" s="31" t="str">
        <f>IF(H1818="CHK",VLOOKUP(I1818,QCCHK,3,),IF(H1818="GUP",VLOOKUP(E1818,QCGUP,2,),IF(AND(H1818="ATP",OR(I1818="TN",I1818="TDN",I1818="TNO2-3",I1818="NO2-3")),VLOOKUP(E1818,QCREC_N,2,),IF(AND(H1818="NIC",OR(I1818="TN",I1818="TDN",I1818="TNO2-3",I1818="NO2-3")),VLOOKUP(E1818,QCNIC_N,2,),IF(AND(H1818="UREA",OR(I1818="TN",I1818="TDN",I1818="TNO2-3",I1818="NO2-3")),VLOOKUP(E1818,QCUREA_N,2,),IF(H1818="PER",VLOOKUP(I1818,QCPER,MATCH(E1818,QCACTUAL!$J$25:$AA$25,0),),IF(H1818="SPK",VLOOKUP(I1818,QCSPK,3,),IF(AND(H1818="ATP",OR(I1818="TP",I1818="TDP")),VLOOKUP(E1818,QCATP_P,2,),""))))))))</f>
        <v/>
      </c>
      <c r="W1818" s="31" t="str">
        <f t="shared" si="207"/>
        <v>TRUE</v>
      </c>
      <c r="X1818" s="31" t="str">
        <f t="shared" si="204"/>
        <v/>
      </c>
      <c r="Y1818" s="10" t="s">
        <v>1116</v>
      </c>
      <c r="Z1818" s="10" t="s">
        <v>910</v>
      </c>
      <c r="AF1818" s="12">
        <v>44958</v>
      </c>
      <c r="AJ1818" s="10">
        <f>0.9631*10.2^2+173.03*10.2-74.605</f>
        <v>1790.5019239999999</v>
      </c>
      <c r="AK1818" s="10">
        <f>-1.0839*10.2^2+204.73*10.2-119.55</f>
        <v>1855.9270439999998</v>
      </c>
      <c r="AL1818" s="10" t="str">
        <f t="shared" si="202"/>
        <v>FALSE</v>
      </c>
      <c r="AM1818" s="10" t="str">
        <f t="shared" si="202"/>
        <v>FALSE</v>
      </c>
      <c r="AN1818" s="10" t="str">
        <f t="shared" si="202"/>
        <v>FALSE</v>
      </c>
      <c r="AO1818" s="10" t="str">
        <f t="shared" si="203"/>
        <v>y=0.9631*10.2^2+173.03*10.2-74.605</v>
      </c>
      <c r="AP1818" s="10" t="str">
        <f t="shared" si="203"/>
        <v>y=-1.0839*10.2^2+204.73*10.2-119.55</v>
      </c>
      <c r="AQ1818" s="10" t="b">
        <f>IF(AND(I1818="TP",S1818&lt;=150),VLOOKUP(AF1818,TPCalibEq150!$AZ$2:$BB$55,3,),IF(AND(I1818="TDP",S1818&lt;=150),VLOOKUP(AF1818,TPCalibEq150!$AZ$2:$BB$55,3,)))</f>
        <v>0</v>
      </c>
      <c r="AR1818" s="10" t="b">
        <f>IF(AND(I1818="TP",S1818&lt;=300),VLOOKUP(AF1818,TPCalibEq300!$AZ$2:$BB$55,3,),IF(AND(I1818="TDP",S1818&lt;=300),VLOOKUP(AF1818,TPCalibEq300!$AZ$2:$BB$55,3,)))</f>
        <v>0</v>
      </c>
      <c r="AS1818" s="10" t="b">
        <f>IF(AND(I1818="TP",S1818&lt;=500),VLOOKUP(AF1818,TPCalibEq500!$AZ$2:$BB$56,3,),IF(AND(I1818="TDP",S1818&lt;=500),VLOOKUP(AF1818,TPCalibEq500!$AZ$2:$BB$56,3,)))</f>
        <v>0</v>
      </c>
      <c r="AT1818" s="10" t="str">
        <f>IF(AND(I1818="TN",S1818&lt;=2800),VLOOKUP(AF1818,TNCalibEq2500!$AZ$2:$BB$56,3,),IF(AND(I1818="TDN",S1818&lt;=2800),VLOOKUP(AF1818,TNCalibEq2500!$AZ$2:$BB$56,3,)))</f>
        <v>y=0.9631x2+173.03x-74.605</v>
      </c>
      <c r="AU1818" s="10" t="str">
        <f>IF(I1818="TP",VLOOKUP(AF1818,TPCalibEqFull!$AZ$2:$BB$56,3),IF(I1818="TDP",VLOOKUP(AF1818,TPCalibEqFull!$AZ$2:$BB$56,3),IF(I1818="TDN",VLOOKUP(AF1818,TNCalibEqFull!$AZ$1:$BB$56,3),IF(I1818="TN",VLOOKUP(AF1818,TNCalibEqFull!$AZ$1:$BB$56,3),FALSE))))</f>
        <v>y=-1.0839x2+204.73x-119.55</v>
      </c>
      <c r="AV1818" s="10" t="str">
        <f t="shared" si="208"/>
        <v>0130 09:32:00-EAW-0-FIL-1-SW-UKN</v>
      </c>
    </row>
    <row r="1819" spans="1:48" s="10" customFormat="1" x14ac:dyDescent="0.55000000000000004">
      <c r="A1819" s="32">
        <v>44956</v>
      </c>
      <c r="B1819" s="33">
        <v>0.40486111111111112</v>
      </c>
      <c r="C1819" s="10" t="s">
        <v>310</v>
      </c>
      <c r="D1819" s="10">
        <v>0</v>
      </c>
      <c r="E1819" s="10" t="s">
        <v>911</v>
      </c>
      <c r="F1819" s="10">
        <v>1</v>
      </c>
      <c r="G1819" s="10" t="s">
        <v>231</v>
      </c>
      <c r="H1819" s="10" t="s">
        <v>322</v>
      </c>
      <c r="I1819" s="10" t="s">
        <v>224</v>
      </c>
      <c r="J1819" s="10">
        <v>72</v>
      </c>
      <c r="K1819" s="12">
        <v>44958</v>
      </c>
      <c r="L1819" s="33">
        <v>0.72957175925925932</v>
      </c>
      <c r="M1819" s="10">
        <v>1</v>
      </c>
      <c r="N1819" s="10" t="s">
        <v>196</v>
      </c>
      <c r="O1819" s="10">
        <v>9.34</v>
      </c>
      <c r="P1819" s="10">
        <v>0.46</v>
      </c>
      <c r="Q1819" s="10">
        <v>1590</v>
      </c>
      <c r="R1819" s="10" t="s">
        <v>170</v>
      </c>
      <c r="S1819" s="34">
        <f t="shared" si="205"/>
        <v>1698.0735331599999</v>
      </c>
      <c r="T1819" s="10" t="s">
        <v>1123</v>
      </c>
      <c r="U1819" s="34" t="str">
        <f t="shared" si="206"/>
        <v/>
      </c>
      <c r="V1819" s="31" t="str">
        <f>IF(H1819="CHK",VLOOKUP(I1819,QCCHK,3,),IF(H1819="GUP",VLOOKUP(E1819,QCGUP,2,),IF(AND(H1819="ATP",OR(I1819="TN",I1819="TDN",I1819="TNO2-3",I1819="NO2-3")),VLOOKUP(E1819,QCREC_N,2,),IF(AND(H1819="NIC",OR(I1819="TN",I1819="TDN",I1819="TNO2-3",I1819="NO2-3")),VLOOKUP(E1819,QCNIC_N,2,),IF(AND(H1819="UREA",OR(I1819="TN",I1819="TDN",I1819="TNO2-3",I1819="NO2-3")),VLOOKUP(E1819,QCUREA_N,2,),IF(H1819="PER",VLOOKUP(I1819,QCPER,MATCH(E1819,QCACTUAL!$J$25:$AA$25,0),),IF(H1819="SPK",VLOOKUP(I1819,QCSPK,3,),IF(AND(H1819="ATP",OR(I1819="TP",I1819="TDP")),VLOOKUP(E1819,QCATP_P,2,),""))))))))</f>
        <v/>
      </c>
      <c r="W1819" s="31" t="str">
        <f t="shared" si="207"/>
        <v>TRUE</v>
      </c>
      <c r="X1819" s="31" t="str">
        <f t="shared" si="204"/>
        <v/>
      </c>
      <c r="Y1819" s="10" t="s">
        <v>1116</v>
      </c>
      <c r="Z1819" s="10" t="s">
        <v>910</v>
      </c>
      <c r="AF1819" s="12">
        <v>44958</v>
      </c>
      <c r="AJ1819" s="10">
        <f>0.9631*9.34^2+173.03*9.34-74.605</f>
        <v>1625.51180636</v>
      </c>
      <c r="AK1819" s="10">
        <f>-1.0839*9.34^2+204.73*9.34-119.55</f>
        <v>1698.0735331599999</v>
      </c>
      <c r="AL1819" s="10" t="str">
        <f t="shared" si="202"/>
        <v>FALSE</v>
      </c>
      <c r="AM1819" s="10" t="str">
        <f t="shared" si="202"/>
        <v>FALSE</v>
      </c>
      <c r="AN1819" s="10" t="str">
        <f t="shared" si="202"/>
        <v>FALSE</v>
      </c>
      <c r="AO1819" s="10" t="str">
        <f t="shared" si="203"/>
        <v>y=0.9631*9.34^2+173.03*9.34-74.605</v>
      </c>
      <c r="AP1819" s="10" t="str">
        <f t="shared" si="203"/>
        <v>y=-1.0839*9.34^2+204.73*9.34-119.55</v>
      </c>
      <c r="AQ1819" s="10" t="b">
        <f>IF(AND(I1819="TP",S1819&lt;=150),VLOOKUP(AF1819,TPCalibEq150!$AZ$2:$BB$55,3,),IF(AND(I1819="TDP",S1819&lt;=150),VLOOKUP(AF1819,TPCalibEq150!$AZ$2:$BB$55,3,)))</f>
        <v>0</v>
      </c>
      <c r="AR1819" s="10" t="b">
        <f>IF(AND(I1819="TP",S1819&lt;=300),VLOOKUP(AF1819,TPCalibEq300!$AZ$2:$BB$55,3,),IF(AND(I1819="TDP",S1819&lt;=300),VLOOKUP(AF1819,TPCalibEq300!$AZ$2:$BB$55,3,)))</f>
        <v>0</v>
      </c>
      <c r="AS1819" s="10" t="b">
        <f>IF(AND(I1819="TP",S1819&lt;=500),VLOOKUP(AF1819,TPCalibEq500!$AZ$2:$BB$56,3,),IF(AND(I1819="TDP",S1819&lt;=500),VLOOKUP(AF1819,TPCalibEq500!$AZ$2:$BB$56,3,)))</f>
        <v>0</v>
      </c>
      <c r="AT1819" s="10" t="str">
        <f>IF(AND(I1819="TN",S1819&lt;=2800),VLOOKUP(AF1819,TNCalibEq2500!$AZ$2:$BB$56,3,),IF(AND(I1819="TDN",S1819&lt;=2800),VLOOKUP(AF1819,TNCalibEq2500!$AZ$2:$BB$56,3,)))</f>
        <v>y=0.9631x2+173.03x-74.605</v>
      </c>
      <c r="AU1819" s="10" t="str">
        <f>IF(I1819="TP",VLOOKUP(AF1819,TPCalibEqFull!$AZ$2:$BB$56,3),IF(I1819="TDP",VLOOKUP(AF1819,TPCalibEqFull!$AZ$2:$BB$56,3),IF(I1819="TDN",VLOOKUP(AF1819,TNCalibEqFull!$AZ$1:$BB$56,3),IF(I1819="TN",VLOOKUP(AF1819,TNCalibEqFull!$AZ$1:$BB$56,3),FALSE))))</f>
        <v>y=-1.0839x2+204.73x-119.55</v>
      </c>
      <c r="AV1819" s="10" t="str">
        <f t="shared" si="208"/>
        <v>0130 09:43:00-ELI-0-FIL-1-SW-UKN</v>
      </c>
    </row>
    <row r="1820" spans="1:48" s="10" customFormat="1" x14ac:dyDescent="0.55000000000000004">
      <c r="A1820" s="32">
        <v>44956</v>
      </c>
      <c r="B1820" s="33">
        <v>0.41597222222222219</v>
      </c>
      <c r="C1820" s="10" t="s">
        <v>408</v>
      </c>
      <c r="D1820" s="10">
        <v>0</v>
      </c>
      <c r="E1820" s="10" t="s">
        <v>911</v>
      </c>
      <c r="F1820" s="10">
        <v>1</v>
      </c>
      <c r="G1820" s="10" t="s">
        <v>231</v>
      </c>
      <c r="H1820" s="10" t="s">
        <v>322</v>
      </c>
      <c r="I1820" s="10" t="s">
        <v>224</v>
      </c>
      <c r="J1820" s="10">
        <v>73</v>
      </c>
      <c r="K1820" s="12">
        <v>44958</v>
      </c>
      <c r="L1820" s="33">
        <v>0.73023148148148154</v>
      </c>
      <c r="M1820" s="10">
        <v>1</v>
      </c>
      <c r="N1820" s="10" t="s">
        <v>196</v>
      </c>
      <c r="O1820" s="10">
        <v>4.7300000000000004</v>
      </c>
      <c r="P1820" s="10">
        <v>0.23300000000000001</v>
      </c>
      <c r="Q1820" s="10">
        <v>785</v>
      </c>
      <c r="R1820" s="10" t="s">
        <v>170</v>
      </c>
      <c r="S1820" s="34">
        <f t="shared" si="205"/>
        <v>824.57291369000006</v>
      </c>
      <c r="T1820" s="10" t="s">
        <v>1123</v>
      </c>
      <c r="U1820" s="34" t="str">
        <f t="shared" si="206"/>
        <v/>
      </c>
      <c r="V1820" s="31" t="str">
        <f>IF(H1820="CHK",VLOOKUP(I1820,QCCHK,3,),IF(H1820="GUP",VLOOKUP(E1820,QCGUP,2,),IF(AND(H1820="ATP",OR(I1820="TN",I1820="TDN",I1820="TNO2-3",I1820="NO2-3")),VLOOKUP(E1820,QCREC_N,2,),IF(AND(H1820="NIC",OR(I1820="TN",I1820="TDN",I1820="TNO2-3",I1820="NO2-3")),VLOOKUP(E1820,QCNIC_N,2,),IF(AND(H1820="UREA",OR(I1820="TN",I1820="TDN",I1820="TNO2-3",I1820="NO2-3")),VLOOKUP(E1820,QCUREA_N,2,),IF(H1820="PER",VLOOKUP(I1820,QCPER,MATCH(E1820,QCACTUAL!$J$25:$AA$25,0),),IF(H1820="SPK",VLOOKUP(I1820,QCSPK,3,),IF(AND(H1820="ATP",OR(I1820="TP",I1820="TDP")),VLOOKUP(E1820,QCATP_P,2,),""))))))))</f>
        <v/>
      </c>
      <c r="W1820" s="31" t="str">
        <f t="shared" si="207"/>
        <v>TRUE</v>
      </c>
      <c r="X1820" s="31" t="str">
        <f t="shared" si="204"/>
        <v/>
      </c>
      <c r="Y1820" s="10" t="s">
        <v>1116</v>
      </c>
      <c r="Z1820" s="10" t="s">
        <v>910</v>
      </c>
      <c r="AF1820" s="12">
        <v>44958</v>
      </c>
      <c r="AJ1820" s="10">
        <f>0.9631*4.73^2+173.03*4.73-74.605</f>
        <v>765.37423998999998</v>
      </c>
      <c r="AK1820" s="10">
        <f>-1.0839*4.73^2+204.73*4.73-119.55</f>
        <v>824.57291369000006</v>
      </c>
      <c r="AL1820" s="10" t="str">
        <f t="shared" si="202"/>
        <v>FALSE</v>
      </c>
      <c r="AM1820" s="10" t="str">
        <f t="shared" si="202"/>
        <v>FALSE</v>
      </c>
      <c r="AN1820" s="10" t="str">
        <f t="shared" si="202"/>
        <v>FALSE</v>
      </c>
      <c r="AO1820" s="10" t="str">
        <f t="shared" si="203"/>
        <v>y=0.9631*4.73^2+173.03*4.73-74.605</v>
      </c>
      <c r="AP1820" s="10" t="str">
        <f t="shared" si="203"/>
        <v>y=-1.0839*4.73^2+204.73*4.73-119.55</v>
      </c>
      <c r="AQ1820" s="10" t="b">
        <f>IF(AND(I1820="TP",S1820&lt;=150),VLOOKUP(AF1820,TPCalibEq150!$AZ$2:$BB$55,3,),IF(AND(I1820="TDP",S1820&lt;=150),VLOOKUP(AF1820,TPCalibEq150!$AZ$2:$BB$55,3,)))</f>
        <v>0</v>
      </c>
      <c r="AR1820" s="10" t="b">
        <f>IF(AND(I1820="TP",S1820&lt;=300),VLOOKUP(AF1820,TPCalibEq300!$AZ$2:$BB$55,3,),IF(AND(I1820="TDP",S1820&lt;=300),VLOOKUP(AF1820,TPCalibEq300!$AZ$2:$BB$55,3,)))</f>
        <v>0</v>
      </c>
      <c r="AS1820" s="10" t="b">
        <f>IF(AND(I1820="TP",S1820&lt;=500),VLOOKUP(AF1820,TPCalibEq500!$AZ$2:$BB$56,3,),IF(AND(I1820="TDP",S1820&lt;=500),VLOOKUP(AF1820,TPCalibEq500!$AZ$2:$BB$56,3,)))</f>
        <v>0</v>
      </c>
      <c r="AT1820" s="10" t="str">
        <f>IF(AND(I1820="TN",S1820&lt;=2800),VLOOKUP(AF1820,TNCalibEq2500!$AZ$2:$BB$56,3,),IF(AND(I1820="TDN",S1820&lt;=2800),VLOOKUP(AF1820,TNCalibEq2500!$AZ$2:$BB$56,3,)))</f>
        <v>y=0.9631x2+173.03x-74.605</v>
      </c>
      <c r="AU1820" s="10" t="str">
        <f>IF(I1820="TP",VLOOKUP(AF1820,TPCalibEqFull!$AZ$2:$BB$56,3),IF(I1820="TDP",VLOOKUP(AF1820,TPCalibEqFull!$AZ$2:$BB$56,3),IF(I1820="TDN",VLOOKUP(AF1820,TNCalibEqFull!$AZ$1:$BB$56,3),IF(I1820="TN",VLOOKUP(AF1820,TNCalibEqFull!$AZ$1:$BB$56,3),FALSE))))</f>
        <v>y=-1.0839x2+204.73x-119.55</v>
      </c>
      <c r="AV1820" s="10" t="str">
        <f t="shared" si="208"/>
        <v>0130 09:59:00-CLC-0-FIL-1-SW-UKN</v>
      </c>
    </row>
    <row r="1821" spans="1:48" s="10" customFormat="1" x14ac:dyDescent="0.55000000000000004">
      <c r="A1821" s="32">
        <v>44956</v>
      </c>
      <c r="B1821" s="33">
        <v>0.43055555555555558</v>
      </c>
      <c r="C1821" s="10" t="s">
        <v>349</v>
      </c>
      <c r="D1821" s="10">
        <v>0</v>
      </c>
      <c r="E1821" s="10" t="s">
        <v>911</v>
      </c>
      <c r="F1821" s="10">
        <v>1</v>
      </c>
      <c r="G1821" s="10" t="s">
        <v>231</v>
      </c>
      <c r="H1821" s="10" t="s">
        <v>322</v>
      </c>
      <c r="I1821" s="10" t="s">
        <v>224</v>
      </c>
      <c r="J1821" s="10">
        <v>74</v>
      </c>
      <c r="K1821" s="12">
        <v>44958</v>
      </c>
      <c r="L1821" s="33">
        <v>0.73089120370370375</v>
      </c>
      <c r="M1821" s="10">
        <v>1</v>
      </c>
      <c r="N1821" s="10" t="s">
        <v>196</v>
      </c>
      <c r="O1821" s="10">
        <v>4.9400000000000004</v>
      </c>
      <c r="P1821" s="10">
        <v>0.24199999999999999</v>
      </c>
      <c r="Q1821" s="10">
        <v>821</v>
      </c>
      <c r="R1821" s="10" t="s">
        <v>170</v>
      </c>
      <c r="S1821" s="34">
        <f t="shared" si="205"/>
        <v>865.36513796000008</v>
      </c>
      <c r="T1821" s="10" t="s">
        <v>1123</v>
      </c>
      <c r="U1821" s="34" t="str">
        <f t="shared" si="206"/>
        <v/>
      </c>
      <c r="V1821" s="31" t="str">
        <f>IF(H1821="CHK",VLOOKUP(I1821,QCCHK,3,),IF(H1821="GUP",VLOOKUP(E1821,QCGUP,2,),IF(AND(H1821="ATP",OR(I1821="TN",I1821="TDN",I1821="TNO2-3",I1821="NO2-3")),VLOOKUP(E1821,QCREC_N,2,),IF(AND(H1821="NIC",OR(I1821="TN",I1821="TDN",I1821="TNO2-3",I1821="NO2-3")),VLOOKUP(E1821,QCNIC_N,2,),IF(AND(H1821="UREA",OR(I1821="TN",I1821="TDN",I1821="TNO2-3",I1821="NO2-3")),VLOOKUP(E1821,QCUREA_N,2,),IF(H1821="PER",VLOOKUP(I1821,QCPER,MATCH(E1821,QCACTUAL!$J$25:$AA$25,0),),IF(H1821="SPK",VLOOKUP(I1821,QCSPK,3,),IF(AND(H1821="ATP",OR(I1821="TP",I1821="TDP")),VLOOKUP(E1821,QCATP_P,2,),""))))))))</f>
        <v/>
      </c>
      <c r="W1821" s="31" t="str">
        <f t="shared" si="207"/>
        <v>TRUE</v>
      </c>
      <c r="X1821" s="31" t="str">
        <f t="shared" si="204"/>
        <v/>
      </c>
      <c r="Y1821" s="10" t="s">
        <v>1116</v>
      </c>
      <c r="Z1821" s="10" t="s">
        <v>910</v>
      </c>
      <c r="AF1821" s="12">
        <v>44958</v>
      </c>
      <c r="AJ1821" s="10">
        <f>0.9631*4.94^2+173.03*4.94-74.605</f>
        <v>803.66630716000009</v>
      </c>
      <c r="AK1821" s="10">
        <f>-1.0839*4.94^2+204.73*4.94-119.55</f>
        <v>865.36513796000008</v>
      </c>
      <c r="AL1821" s="10" t="str">
        <f t="shared" si="202"/>
        <v>FALSE</v>
      </c>
      <c r="AM1821" s="10" t="str">
        <f t="shared" si="202"/>
        <v>FALSE</v>
      </c>
      <c r="AN1821" s="10" t="str">
        <f t="shared" si="202"/>
        <v>FALSE</v>
      </c>
      <c r="AO1821" s="10" t="str">
        <f t="shared" si="203"/>
        <v>y=0.9631*4.94^2+173.03*4.94-74.605</v>
      </c>
      <c r="AP1821" s="10" t="str">
        <f t="shared" si="203"/>
        <v>y=-1.0839*4.94^2+204.73*4.94-119.55</v>
      </c>
      <c r="AQ1821" s="10" t="b">
        <f>IF(AND(I1821="TP",S1821&lt;=150),VLOOKUP(AF1821,TPCalibEq150!$AZ$2:$BB$55,3,),IF(AND(I1821="TDP",S1821&lt;=150),VLOOKUP(AF1821,TPCalibEq150!$AZ$2:$BB$55,3,)))</f>
        <v>0</v>
      </c>
      <c r="AR1821" s="10" t="b">
        <f>IF(AND(I1821="TP",S1821&lt;=300),VLOOKUP(AF1821,TPCalibEq300!$AZ$2:$BB$55,3,),IF(AND(I1821="TDP",S1821&lt;=300),VLOOKUP(AF1821,TPCalibEq300!$AZ$2:$BB$55,3,)))</f>
        <v>0</v>
      </c>
      <c r="AS1821" s="10" t="b">
        <f>IF(AND(I1821="TP",S1821&lt;=500),VLOOKUP(AF1821,TPCalibEq500!$AZ$2:$BB$56,3,),IF(AND(I1821="TDP",S1821&lt;=500),VLOOKUP(AF1821,TPCalibEq500!$AZ$2:$BB$56,3,)))</f>
        <v>0</v>
      </c>
      <c r="AT1821" s="10" t="str">
        <f>IF(AND(I1821="TN",S1821&lt;=2800),VLOOKUP(AF1821,TNCalibEq2500!$AZ$2:$BB$56,3,),IF(AND(I1821="TDN",S1821&lt;=2800),VLOOKUP(AF1821,TNCalibEq2500!$AZ$2:$BB$56,3,)))</f>
        <v>y=0.9631x2+173.03x-74.605</v>
      </c>
      <c r="AU1821" s="10" t="str">
        <f>IF(I1821="TP",VLOOKUP(AF1821,TPCalibEqFull!$AZ$2:$BB$56,3),IF(I1821="TDP",VLOOKUP(AF1821,TPCalibEqFull!$AZ$2:$BB$56,3),IF(I1821="TDN",VLOOKUP(AF1821,TNCalibEqFull!$AZ$1:$BB$56,3),IF(I1821="TN",VLOOKUP(AF1821,TNCalibEqFull!$AZ$1:$BB$56,3),FALSE))))</f>
        <v>y=-1.0839x2+204.73x-119.55</v>
      </c>
      <c r="AV1821" s="10" t="str">
        <f t="shared" si="208"/>
        <v>0130 10:20:00-SHA-0-FIL-1-SW-UKN</v>
      </c>
    </row>
    <row r="1822" spans="1:48" s="10" customFormat="1" x14ac:dyDescent="0.55000000000000004">
      <c r="A1822" s="32">
        <v>44956</v>
      </c>
      <c r="B1822" s="33">
        <v>0.44166666666666665</v>
      </c>
      <c r="C1822" s="10" t="s">
        <v>646</v>
      </c>
      <c r="D1822" s="10">
        <v>0</v>
      </c>
      <c r="E1822" s="10" t="s">
        <v>911</v>
      </c>
      <c r="F1822" s="10">
        <v>1</v>
      </c>
      <c r="G1822" s="10" t="s">
        <v>231</v>
      </c>
      <c r="H1822" s="10" t="s">
        <v>322</v>
      </c>
      <c r="I1822" s="10" t="s">
        <v>224</v>
      </c>
      <c r="J1822" s="10">
        <v>75</v>
      </c>
      <c r="K1822" s="12">
        <v>44958</v>
      </c>
      <c r="L1822" s="33">
        <v>0.7315625</v>
      </c>
      <c r="M1822" s="10">
        <v>1</v>
      </c>
      <c r="N1822" s="10" t="s">
        <v>196</v>
      </c>
      <c r="O1822" s="10">
        <v>7.17</v>
      </c>
      <c r="P1822" s="10">
        <v>0.35199999999999998</v>
      </c>
      <c r="Q1822" s="10">
        <v>1210</v>
      </c>
      <c r="R1822" s="10" t="s">
        <v>170</v>
      </c>
      <c r="S1822" s="34">
        <f t="shared" si="205"/>
        <v>1292.6419932900001</v>
      </c>
      <c r="T1822" s="10" t="s">
        <v>1123</v>
      </c>
      <c r="U1822" s="34" t="str">
        <f t="shared" si="206"/>
        <v/>
      </c>
      <c r="V1822" s="31" t="str">
        <f>IF(H1822="CHK",VLOOKUP(I1822,QCCHK,3,),IF(H1822="GUP",VLOOKUP(E1822,QCGUP,2,),IF(AND(H1822="ATP",OR(I1822="TN",I1822="TDN",I1822="TNO2-3",I1822="NO2-3")),VLOOKUP(E1822,QCREC_N,2,),IF(AND(H1822="NIC",OR(I1822="TN",I1822="TDN",I1822="TNO2-3",I1822="NO2-3")),VLOOKUP(E1822,QCNIC_N,2,),IF(AND(H1822="UREA",OR(I1822="TN",I1822="TDN",I1822="TNO2-3",I1822="NO2-3")),VLOOKUP(E1822,QCUREA_N,2,),IF(H1822="PER",VLOOKUP(I1822,QCPER,MATCH(E1822,QCACTUAL!$J$25:$AA$25,0),),IF(H1822="SPK",VLOOKUP(I1822,QCSPK,3,),IF(AND(H1822="ATP",OR(I1822="TP",I1822="TDP")),VLOOKUP(E1822,QCATP_P,2,),""))))))))</f>
        <v/>
      </c>
      <c r="W1822" s="31" t="str">
        <f t="shared" si="207"/>
        <v>TRUE</v>
      </c>
      <c r="X1822" s="31" t="str">
        <f t="shared" si="204"/>
        <v/>
      </c>
      <c r="Y1822" s="10" t="s">
        <v>1116</v>
      </c>
      <c r="Z1822" s="10" t="s">
        <v>910</v>
      </c>
      <c r="AF1822" s="12">
        <v>44958</v>
      </c>
      <c r="AJ1822" s="10">
        <f>0.9631*7.17^2+173.03*7.17-74.605</f>
        <v>1215.5320115899999</v>
      </c>
      <c r="AK1822" s="10">
        <f>-1.0839*7.17^2+204.73*7.17-119.55</f>
        <v>1292.6419932900001</v>
      </c>
      <c r="AL1822" s="10" t="str">
        <f t="shared" si="202"/>
        <v>FALSE</v>
      </c>
      <c r="AM1822" s="10" t="str">
        <f t="shared" si="202"/>
        <v>FALSE</v>
      </c>
      <c r="AN1822" s="10" t="str">
        <f t="shared" si="202"/>
        <v>FALSE</v>
      </c>
      <c r="AO1822" s="10" t="str">
        <f t="shared" si="203"/>
        <v>y=0.9631*7.17^2+173.03*7.17-74.605</v>
      </c>
      <c r="AP1822" s="10" t="str">
        <f t="shared" si="203"/>
        <v>y=-1.0839*7.17^2+204.73*7.17-119.55</v>
      </c>
      <c r="AQ1822" s="10" t="b">
        <f>IF(AND(I1822="TP",S1822&lt;=150),VLOOKUP(AF1822,TPCalibEq150!$AZ$2:$BB$55,3,),IF(AND(I1822="TDP",S1822&lt;=150),VLOOKUP(AF1822,TPCalibEq150!$AZ$2:$BB$55,3,)))</f>
        <v>0</v>
      </c>
      <c r="AR1822" s="10" t="b">
        <f>IF(AND(I1822="TP",S1822&lt;=300),VLOOKUP(AF1822,TPCalibEq300!$AZ$2:$BB$55,3,),IF(AND(I1822="TDP",S1822&lt;=300),VLOOKUP(AF1822,TPCalibEq300!$AZ$2:$BB$55,3,)))</f>
        <v>0</v>
      </c>
      <c r="AS1822" s="10" t="b">
        <f>IF(AND(I1822="TP",S1822&lt;=500),VLOOKUP(AF1822,TPCalibEq500!$AZ$2:$BB$56,3,),IF(AND(I1822="TDP",S1822&lt;=500),VLOOKUP(AF1822,TPCalibEq500!$AZ$2:$BB$56,3,)))</f>
        <v>0</v>
      </c>
      <c r="AT1822" s="10" t="str">
        <f>IF(AND(I1822="TN",S1822&lt;=2800),VLOOKUP(AF1822,TNCalibEq2500!$AZ$2:$BB$56,3,),IF(AND(I1822="TDN",S1822&lt;=2800),VLOOKUP(AF1822,TNCalibEq2500!$AZ$2:$BB$56,3,)))</f>
        <v>y=0.9631x2+173.03x-74.605</v>
      </c>
      <c r="AU1822" s="10" t="str">
        <f>IF(I1822="TP",VLOOKUP(AF1822,TPCalibEqFull!$AZ$2:$BB$56,3),IF(I1822="TDP",VLOOKUP(AF1822,TPCalibEqFull!$AZ$2:$BB$56,3),IF(I1822="TDN",VLOOKUP(AF1822,TNCalibEqFull!$AZ$1:$BB$56,3),IF(I1822="TN",VLOOKUP(AF1822,TNCalibEqFull!$AZ$1:$BB$56,3),FALSE))))</f>
        <v>y=-1.0839x2+204.73x-119.55</v>
      </c>
      <c r="AV1822" s="10" t="str">
        <f t="shared" si="208"/>
        <v>0130 10:36:00-EMB-0-FIL-1-SW-UKN</v>
      </c>
    </row>
    <row r="1823" spans="1:48" s="10" customFormat="1" x14ac:dyDescent="0.55000000000000004">
      <c r="A1823" s="32">
        <v>44956</v>
      </c>
      <c r="B1823" s="33">
        <v>0.45208333333333334</v>
      </c>
      <c r="C1823" s="10" t="s">
        <v>214</v>
      </c>
      <c r="D1823" s="10">
        <v>0</v>
      </c>
      <c r="E1823" s="10" t="s">
        <v>911</v>
      </c>
      <c r="F1823" s="10">
        <v>1</v>
      </c>
      <c r="G1823" s="10" t="s">
        <v>231</v>
      </c>
      <c r="H1823" s="10" t="s">
        <v>322</v>
      </c>
      <c r="I1823" s="10" t="s">
        <v>224</v>
      </c>
      <c r="J1823" s="10">
        <v>76</v>
      </c>
      <c r="K1823" s="12">
        <v>44958</v>
      </c>
      <c r="L1823" s="33">
        <v>0.73223379629629637</v>
      </c>
      <c r="M1823" s="10">
        <v>1</v>
      </c>
      <c r="N1823" s="10" t="s">
        <v>196</v>
      </c>
      <c r="O1823" s="10">
        <v>8.16</v>
      </c>
      <c r="P1823" s="10">
        <v>0.39900000000000002</v>
      </c>
      <c r="Q1823" s="10">
        <v>1380</v>
      </c>
      <c r="R1823" s="10" t="s">
        <v>170</v>
      </c>
      <c r="S1823" s="34">
        <f t="shared" si="205"/>
        <v>1478.8746681600001</v>
      </c>
      <c r="T1823" s="10" t="s">
        <v>1123</v>
      </c>
      <c r="U1823" s="34" t="str">
        <f t="shared" si="206"/>
        <v/>
      </c>
      <c r="V1823" s="31" t="str">
        <f>IF(H1823="CHK",VLOOKUP(I1823,QCCHK,3,),IF(H1823="GUP",VLOOKUP(E1823,QCGUP,2,),IF(AND(H1823="ATP",OR(I1823="TN",I1823="TDN",I1823="TNO2-3",I1823="NO2-3")),VLOOKUP(E1823,QCREC_N,2,),IF(AND(H1823="NIC",OR(I1823="TN",I1823="TDN",I1823="TNO2-3",I1823="NO2-3")),VLOOKUP(E1823,QCNIC_N,2,),IF(AND(H1823="UREA",OR(I1823="TN",I1823="TDN",I1823="TNO2-3",I1823="NO2-3")),VLOOKUP(E1823,QCUREA_N,2,),IF(H1823="PER",VLOOKUP(I1823,QCPER,MATCH(E1823,QCACTUAL!$J$25:$AA$25,0),),IF(H1823="SPK",VLOOKUP(I1823,QCSPK,3,),IF(AND(H1823="ATP",OR(I1823="TP",I1823="TDP")),VLOOKUP(E1823,QCATP_P,2,),""))))))))</f>
        <v/>
      </c>
      <c r="W1823" s="31" t="str">
        <f t="shared" si="207"/>
        <v>TRUE</v>
      </c>
      <c r="X1823" s="31" t="str">
        <f t="shared" si="204"/>
        <v/>
      </c>
      <c r="Y1823" s="10" t="s">
        <v>1116</v>
      </c>
      <c r="Z1823" s="10" t="s">
        <v>910</v>
      </c>
      <c r="AF1823" s="12">
        <v>44958</v>
      </c>
      <c r="AJ1823" s="10">
        <f>0.9631*8.16^2+173.03*8.16-74.605</f>
        <v>1401.44839136</v>
      </c>
      <c r="AK1823" s="10">
        <f>-1.0839*8.16^2+204.73*8.16-119.55</f>
        <v>1478.8746681600001</v>
      </c>
      <c r="AL1823" s="10" t="str">
        <f t="shared" si="202"/>
        <v>FALSE</v>
      </c>
      <c r="AM1823" s="10" t="str">
        <f t="shared" si="202"/>
        <v>FALSE</v>
      </c>
      <c r="AN1823" s="10" t="str">
        <f t="shared" si="202"/>
        <v>FALSE</v>
      </c>
      <c r="AO1823" s="10" t="str">
        <f t="shared" si="203"/>
        <v>y=0.9631*8.16^2+173.03*8.16-74.605</v>
      </c>
      <c r="AP1823" s="10" t="str">
        <f t="shared" si="203"/>
        <v>y=-1.0839*8.16^2+204.73*8.16-119.55</v>
      </c>
      <c r="AQ1823" s="10" t="b">
        <f>IF(AND(I1823="TP",S1823&lt;=150),VLOOKUP(AF1823,TPCalibEq150!$AZ$2:$BB$55,3,),IF(AND(I1823="TDP",S1823&lt;=150),VLOOKUP(AF1823,TPCalibEq150!$AZ$2:$BB$55,3,)))</f>
        <v>0</v>
      </c>
      <c r="AR1823" s="10" t="b">
        <f>IF(AND(I1823="TP",S1823&lt;=300),VLOOKUP(AF1823,TPCalibEq300!$AZ$2:$BB$55,3,),IF(AND(I1823="TDP",S1823&lt;=300),VLOOKUP(AF1823,TPCalibEq300!$AZ$2:$BB$55,3,)))</f>
        <v>0</v>
      </c>
      <c r="AS1823" s="10" t="b">
        <f>IF(AND(I1823="TP",S1823&lt;=500),VLOOKUP(AF1823,TPCalibEq500!$AZ$2:$BB$56,3,),IF(AND(I1823="TDP",S1823&lt;=500),VLOOKUP(AF1823,TPCalibEq500!$AZ$2:$BB$56,3,)))</f>
        <v>0</v>
      </c>
      <c r="AT1823" s="10" t="str">
        <f>IF(AND(I1823="TN",S1823&lt;=2800),VLOOKUP(AF1823,TNCalibEq2500!$AZ$2:$BB$56,3,),IF(AND(I1823="TDN",S1823&lt;=2800),VLOOKUP(AF1823,TNCalibEq2500!$AZ$2:$BB$56,3,)))</f>
        <v>y=0.9631x2+173.03x-74.605</v>
      </c>
      <c r="AU1823" s="10" t="str">
        <f>IF(I1823="TP",VLOOKUP(AF1823,TPCalibEqFull!$AZ$2:$BB$56,3),IF(I1823="TDP",VLOOKUP(AF1823,TPCalibEqFull!$AZ$2:$BB$56,3),IF(I1823="TDN",VLOOKUP(AF1823,TNCalibEqFull!$AZ$1:$BB$56,3),IF(I1823="TN",VLOOKUP(AF1823,TNCalibEqFull!$AZ$1:$BB$56,3),FALSE))))</f>
        <v>y=-1.0839x2+204.73x-119.55</v>
      </c>
      <c r="AV1823" s="10" t="str">
        <f t="shared" si="208"/>
        <v>0130 10:51:00-DAM-0-FIL-1-SW-UKN</v>
      </c>
    </row>
    <row r="1824" spans="1:48" s="10" customFormat="1" x14ac:dyDescent="0.55000000000000004">
      <c r="A1824" s="32">
        <v>44956</v>
      </c>
      <c r="B1824" s="33">
        <v>0.45208333333333334</v>
      </c>
      <c r="C1824" s="10" t="s">
        <v>214</v>
      </c>
      <c r="D1824" s="10">
        <v>0</v>
      </c>
      <c r="E1824" s="10" t="s">
        <v>911</v>
      </c>
      <c r="F1824" s="10">
        <v>2</v>
      </c>
      <c r="G1824" s="10" t="s">
        <v>231</v>
      </c>
      <c r="H1824" s="10" t="s">
        <v>322</v>
      </c>
      <c r="I1824" s="10" t="s">
        <v>224</v>
      </c>
      <c r="J1824" s="10">
        <v>77</v>
      </c>
      <c r="K1824" s="12">
        <v>44958</v>
      </c>
      <c r="L1824" s="33">
        <v>0.73291666666666666</v>
      </c>
      <c r="M1824" s="10">
        <v>1</v>
      </c>
      <c r="N1824" s="10" t="s">
        <v>196</v>
      </c>
      <c r="O1824" s="10">
        <v>7.09</v>
      </c>
      <c r="P1824" s="10">
        <v>0.34799999999999998</v>
      </c>
      <c r="Q1824" s="10">
        <v>1200</v>
      </c>
      <c r="R1824" s="10" t="s">
        <v>170</v>
      </c>
      <c r="S1824" s="34">
        <f t="shared" si="205"/>
        <v>1277.5001064099999</v>
      </c>
      <c r="T1824" s="10" t="s">
        <v>1123</v>
      </c>
      <c r="U1824" s="34" t="str">
        <f t="shared" si="206"/>
        <v/>
      </c>
      <c r="V1824" s="31" t="str">
        <f>IF(H1824="CHK",VLOOKUP(I1824,QCCHK,3,),IF(H1824="GUP",VLOOKUP(E1824,QCGUP,2,),IF(AND(H1824="ATP",OR(I1824="TN",I1824="TDN",I1824="TNO2-3",I1824="NO2-3")),VLOOKUP(E1824,QCREC_N,2,),IF(AND(H1824="NIC",OR(I1824="TN",I1824="TDN",I1824="TNO2-3",I1824="NO2-3")),VLOOKUP(E1824,QCNIC_N,2,),IF(AND(H1824="UREA",OR(I1824="TN",I1824="TDN",I1824="TNO2-3",I1824="NO2-3")),VLOOKUP(E1824,QCUREA_N,2,),IF(H1824="PER",VLOOKUP(I1824,QCPER,MATCH(E1824,QCACTUAL!$J$25:$AA$25,0),),IF(H1824="SPK",VLOOKUP(I1824,QCSPK,3,),IF(AND(H1824="ATP",OR(I1824="TP",I1824="TDP")),VLOOKUP(E1824,QCATP_P,2,),""))))))))</f>
        <v/>
      </c>
      <c r="W1824" s="31" t="str">
        <f t="shared" si="207"/>
        <v>TRUE</v>
      </c>
      <c r="X1824" s="31" t="str">
        <f t="shared" si="204"/>
        <v/>
      </c>
      <c r="Y1824" s="10" t="s">
        <v>1116</v>
      </c>
      <c r="Z1824" s="10" t="s">
        <v>910</v>
      </c>
      <c r="AF1824" s="12">
        <v>44958</v>
      </c>
      <c r="AJ1824" s="10">
        <f>0.9631*7.09^2+173.03*7.09-74.605</f>
        <v>1200.59090711</v>
      </c>
      <c r="AK1824" s="10">
        <f>-1.0839*7.09^2+204.73*7.09-119.55</f>
        <v>1277.5001064099999</v>
      </c>
      <c r="AL1824" s="10" t="str">
        <f t="shared" si="202"/>
        <v>FALSE</v>
      </c>
      <c r="AM1824" s="10" t="str">
        <f t="shared" si="202"/>
        <v>FALSE</v>
      </c>
      <c r="AN1824" s="10" t="str">
        <f t="shared" si="202"/>
        <v>FALSE</v>
      </c>
      <c r="AO1824" s="10" t="str">
        <f t="shared" si="203"/>
        <v>y=0.9631*7.09^2+173.03*7.09-74.605</v>
      </c>
      <c r="AP1824" s="10" t="str">
        <f t="shared" si="203"/>
        <v>y=-1.0839*7.09^2+204.73*7.09-119.55</v>
      </c>
      <c r="AQ1824" s="10" t="b">
        <f>IF(AND(I1824="TP",S1824&lt;=150),VLOOKUP(AF1824,TPCalibEq150!$AZ$2:$BB$55,3,),IF(AND(I1824="TDP",S1824&lt;=150),VLOOKUP(AF1824,TPCalibEq150!$AZ$2:$BB$55,3,)))</f>
        <v>0</v>
      </c>
      <c r="AR1824" s="10" t="b">
        <f>IF(AND(I1824="TP",S1824&lt;=300),VLOOKUP(AF1824,TPCalibEq300!$AZ$2:$BB$55,3,),IF(AND(I1824="TDP",S1824&lt;=300),VLOOKUP(AF1824,TPCalibEq300!$AZ$2:$BB$55,3,)))</f>
        <v>0</v>
      </c>
      <c r="AS1824" s="10" t="b">
        <f>IF(AND(I1824="TP",S1824&lt;=500),VLOOKUP(AF1824,TPCalibEq500!$AZ$2:$BB$56,3,),IF(AND(I1824="TDP",S1824&lt;=500),VLOOKUP(AF1824,TPCalibEq500!$AZ$2:$BB$56,3,)))</f>
        <v>0</v>
      </c>
      <c r="AT1824" s="10" t="str">
        <f>IF(AND(I1824="TN",S1824&lt;=2800),VLOOKUP(AF1824,TNCalibEq2500!$AZ$2:$BB$56,3,),IF(AND(I1824="TDN",S1824&lt;=2800),VLOOKUP(AF1824,TNCalibEq2500!$AZ$2:$BB$56,3,)))</f>
        <v>y=0.9631x2+173.03x-74.605</v>
      </c>
      <c r="AU1824" s="10" t="str">
        <f>IF(I1824="TP",VLOOKUP(AF1824,TPCalibEqFull!$AZ$2:$BB$56,3),IF(I1824="TDP",VLOOKUP(AF1824,TPCalibEqFull!$AZ$2:$BB$56,3),IF(I1824="TDN",VLOOKUP(AF1824,TNCalibEqFull!$AZ$1:$BB$56,3),IF(I1824="TN",VLOOKUP(AF1824,TNCalibEqFull!$AZ$1:$BB$56,3),FALSE))))</f>
        <v>y=-1.0839x2+204.73x-119.55</v>
      </c>
      <c r="AV1824" s="10" t="str">
        <f t="shared" si="208"/>
        <v>0130 10:51:00-DAM-0-FIL-2-SW-UKN</v>
      </c>
    </row>
    <row r="1825" spans="1:48" s="10" customFormat="1" x14ac:dyDescent="0.55000000000000004">
      <c r="A1825" s="32">
        <v>44956</v>
      </c>
      <c r="B1825" s="33">
        <v>0.45208333333333334</v>
      </c>
      <c r="C1825" s="10" t="s">
        <v>214</v>
      </c>
      <c r="D1825" s="10">
        <v>0</v>
      </c>
      <c r="E1825" s="10" t="s">
        <v>911</v>
      </c>
      <c r="F1825" s="10">
        <v>2</v>
      </c>
      <c r="G1825" s="10" t="s">
        <v>231</v>
      </c>
      <c r="H1825" s="10" t="s">
        <v>233</v>
      </c>
      <c r="I1825" s="10" t="s">
        <v>224</v>
      </c>
      <c r="J1825" s="10">
        <v>77</v>
      </c>
      <c r="K1825" s="12">
        <v>44958</v>
      </c>
      <c r="L1825" s="33">
        <v>0.73359953703703706</v>
      </c>
      <c r="M1825" s="10">
        <v>1</v>
      </c>
      <c r="N1825" s="10" t="s">
        <v>196</v>
      </c>
      <c r="O1825" s="10">
        <v>7.06</v>
      </c>
      <c r="P1825" s="10">
        <v>0.34799999999999998</v>
      </c>
      <c r="Q1825" s="10">
        <v>1190</v>
      </c>
      <c r="R1825" s="10" t="s">
        <v>170</v>
      </c>
      <c r="S1825" s="34">
        <f t="shared" si="205"/>
        <v>1271.8183219599998</v>
      </c>
      <c r="T1825" s="10" t="s">
        <v>1123</v>
      </c>
      <c r="U1825" s="34">
        <f t="shared" si="206"/>
        <v>0.44574929414627734</v>
      </c>
      <c r="V1825" s="31" t="str">
        <f>IF(H1825="CHK",VLOOKUP(I1825,QCCHK,3,),IF(H1825="GUP",VLOOKUP(E1825,QCGUP,2,),IF(AND(H1825="ATP",OR(I1825="TN",I1825="TDN",I1825="TNO2-3",I1825="NO2-3")),VLOOKUP(E1825,QCREC_N,2,),IF(AND(H1825="NIC",OR(I1825="TN",I1825="TDN",I1825="TNO2-3",I1825="NO2-3")),VLOOKUP(E1825,QCNIC_N,2,),IF(AND(H1825="UREA",OR(I1825="TN",I1825="TDN",I1825="TNO2-3",I1825="NO2-3")),VLOOKUP(E1825,QCUREA_N,2,),IF(H1825="PER",VLOOKUP(I1825,QCPER,MATCH(E1825,QCACTUAL!$J$25:$AA$25,0),),IF(H1825="SPK",VLOOKUP(I1825,QCSPK,3,),IF(AND(H1825="ATP",OR(I1825="TP",I1825="TDP")),VLOOKUP(E1825,QCATP_P,2,),""))))))))</f>
        <v/>
      </c>
      <c r="W1825" s="31" t="str">
        <f t="shared" si="207"/>
        <v>TRUE</v>
      </c>
      <c r="X1825" s="31" t="str">
        <f t="shared" si="204"/>
        <v>((ABS(rep1-rep2))/((rep1+rep2)/2)*100</v>
      </c>
      <c r="Y1825" s="10" t="s">
        <v>1116</v>
      </c>
      <c r="Z1825" s="10" t="s">
        <v>910</v>
      </c>
      <c r="AF1825" s="12">
        <v>44958</v>
      </c>
      <c r="AJ1825" s="10">
        <f>0.9631*7.06^2+173.03*7.06-74.605</f>
        <v>1194.9911711599998</v>
      </c>
      <c r="AK1825" s="10">
        <f>-1.0839*7.06^2+204.73*7.06-119.55</f>
        <v>1271.8183219599998</v>
      </c>
      <c r="AL1825" s="10" t="str">
        <f t="shared" ref="AL1825:AN1840" si="209">IF($O1825="", "", IF(AQ1825&lt;&gt;"", SUBSTITUTE(SUBSTITUTE(AQ1825, "x", "*"&amp;$O1825&amp;"^", 1), "x", "*"&amp;$O1825, 1), ""))</f>
        <v>FALSE</v>
      </c>
      <c r="AM1825" s="10" t="str">
        <f t="shared" si="209"/>
        <v>FALSE</v>
      </c>
      <c r="AN1825" s="10" t="str">
        <f t="shared" si="209"/>
        <v>FALSE</v>
      </c>
      <c r="AO1825" s="10" t="str">
        <f t="shared" ref="AO1825:AP1840" si="210">IF($O1825="", "FALSE", IF(AT1825&lt;&gt;"FALSE", SUBSTITUTE(SUBSTITUTE(AT1825, "x", "*"&amp;$O1825&amp;"^", 1), "x", "*"&amp;$O1825, 1), ""))</f>
        <v>y=0.9631*7.06^2+173.03*7.06-74.605</v>
      </c>
      <c r="AP1825" s="10" t="str">
        <f t="shared" si="210"/>
        <v>y=-1.0839*7.06^2+204.73*7.06-119.55</v>
      </c>
      <c r="AQ1825" s="10" t="b">
        <f>IF(AND(I1825="TP",S1825&lt;=150),VLOOKUP(AF1825,TPCalibEq150!$AZ$2:$BB$55,3,),IF(AND(I1825="TDP",S1825&lt;=150),VLOOKUP(AF1825,TPCalibEq150!$AZ$2:$BB$55,3,)))</f>
        <v>0</v>
      </c>
      <c r="AR1825" s="10" t="b">
        <f>IF(AND(I1825="TP",S1825&lt;=300),VLOOKUP(AF1825,TPCalibEq300!$AZ$2:$BB$55,3,),IF(AND(I1825="TDP",S1825&lt;=300),VLOOKUP(AF1825,TPCalibEq300!$AZ$2:$BB$55,3,)))</f>
        <v>0</v>
      </c>
      <c r="AS1825" s="10" t="b">
        <f>IF(AND(I1825="TP",S1825&lt;=500),VLOOKUP(AF1825,TPCalibEq500!$AZ$2:$BB$56,3,),IF(AND(I1825="TDP",S1825&lt;=500),VLOOKUP(AF1825,TPCalibEq500!$AZ$2:$BB$56,3,)))</f>
        <v>0</v>
      </c>
      <c r="AT1825" s="10" t="str">
        <f>IF(AND(I1825="TN",S1825&lt;=2800),VLOOKUP(AF1825,TNCalibEq2500!$AZ$2:$BB$56,3,),IF(AND(I1825="TDN",S1825&lt;=2800),VLOOKUP(AF1825,TNCalibEq2500!$AZ$2:$BB$56,3,)))</f>
        <v>y=0.9631x2+173.03x-74.605</v>
      </c>
      <c r="AU1825" s="10" t="str">
        <f>IF(I1825="TP",VLOOKUP(AF1825,TPCalibEqFull!$AZ$2:$BB$56,3),IF(I1825="TDP",VLOOKUP(AF1825,TPCalibEqFull!$AZ$2:$BB$56,3),IF(I1825="TDN",VLOOKUP(AF1825,TNCalibEqFull!$AZ$1:$BB$56,3),IF(I1825="TN",VLOOKUP(AF1825,TNCalibEqFull!$AZ$1:$BB$56,3),FALSE))))</f>
        <v>y=-1.0839x2+204.73x-119.55</v>
      </c>
      <c r="AV1825" s="10" t="str">
        <f t="shared" si="208"/>
        <v>0130 10:51:00-DAM-0-FIL-2-SW-DUP</v>
      </c>
    </row>
    <row r="1826" spans="1:48" s="10" customFormat="1" x14ac:dyDescent="0.55000000000000004">
      <c r="A1826" s="32">
        <v>44956</v>
      </c>
      <c r="B1826" s="33">
        <v>0.45208333333333334</v>
      </c>
      <c r="C1826" s="10" t="s">
        <v>214</v>
      </c>
      <c r="D1826" s="10">
        <v>0</v>
      </c>
      <c r="E1826" s="10" t="s">
        <v>911</v>
      </c>
      <c r="F1826" s="10">
        <v>2</v>
      </c>
      <c r="G1826" s="10" t="s">
        <v>231</v>
      </c>
      <c r="H1826" s="10" t="s">
        <v>314</v>
      </c>
      <c r="I1826" s="10" t="s">
        <v>224</v>
      </c>
      <c r="J1826" s="10">
        <v>90</v>
      </c>
      <c r="K1826" s="12">
        <v>44958</v>
      </c>
      <c r="L1826" s="33">
        <v>0.73425925925925928</v>
      </c>
      <c r="M1826" s="10">
        <v>1</v>
      </c>
      <c r="N1826" s="10" t="s">
        <v>196</v>
      </c>
      <c r="O1826" s="10">
        <v>22</v>
      </c>
      <c r="P1826" s="10">
        <v>1.07</v>
      </c>
      <c r="Q1826" s="10">
        <v>3800</v>
      </c>
      <c r="R1826" s="10" t="s">
        <v>170</v>
      </c>
      <c r="S1826" s="34">
        <f t="shared" si="205"/>
        <v>3859.902399999999</v>
      </c>
      <c r="T1826" s="10" t="s">
        <v>1123</v>
      </c>
      <c r="U1826" s="34">
        <f t="shared" si="206"/>
        <v>103.52336312159997</v>
      </c>
      <c r="V1826" s="31">
        <f>IF(H1826="CHK",VLOOKUP(I1826,QCCHK,3,),IF(H1826="GUP",VLOOKUP(E1826,QCGUP,2,),IF(AND(H1826="ATP",OR(I1826="TN",I1826="TDN",I1826="TNO2-3",I1826="NO2-3")),VLOOKUP(E1826,QCREC_N,2,),IF(AND(H1826="NIC",OR(I1826="TN",I1826="TDN",I1826="TNO2-3",I1826="NO2-3")),VLOOKUP(E1826,QCNIC_N,2,),IF(AND(H1826="UREA",OR(I1826="TN",I1826="TDN",I1826="TNO2-3",I1826="NO2-3")),VLOOKUP(E1826,QCUREA_N,2,),IF(H1826="PER",VLOOKUP(I1826,QCPER,MATCH(E1826,QCACTUAL!$J$25:$AA$25,0),),IF(H1826="SPK",VLOOKUP(I1826,QCSPK,3,),IF(AND(H1826="ATP",OR(I1826="TP",I1826="TDP")),VLOOKUP(E1826,QCATP_P,2,),""))))))))</f>
        <v>2500</v>
      </c>
      <c r="W1826" s="31" t="str">
        <f t="shared" si="207"/>
        <v>TRUE</v>
      </c>
      <c r="X1826" s="31" t="str">
        <f t="shared" si="204"/>
        <v>([spikedunkn]-[unkn])/[spike]*100</v>
      </c>
      <c r="Y1826" s="10" t="s">
        <v>1116</v>
      </c>
      <c r="Z1826" s="10" t="s">
        <v>910</v>
      </c>
      <c r="AF1826" s="12">
        <v>44958</v>
      </c>
      <c r="AK1826" s="10">
        <f>-1.0839*22^2+204.73*22-119.55</f>
        <v>3859.902399999999</v>
      </c>
      <c r="AL1826" s="10" t="str">
        <f t="shared" si="209"/>
        <v>FALSE</v>
      </c>
      <c r="AM1826" s="10" t="str">
        <f t="shared" si="209"/>
        <v>FALSE</v>
      </c>
      <c r="AN1826" s="10" t="str">
        <f t="shared" si="209"/>
        <v>FALSE</v>
      </c>
      <c r="AO1826" s="10" t="str">
        <f t="shared" si="210"/>
        <v>FALSE</v>
      </c>
      <c r="AP1826" s="10" t="str">
        <f t="shared" si="210"/>
        <v>y=-1.0839*22^2+204.73*22-119.55</v>
      </c>
      <c r="AQ1826" s="10" t="b">
        <f>IF(AND(I1826="TP",S1826&lt;=150),VLOOKUP(AF1826,TPCalibEq150!$AZ$2:$BB$55,3,),IF(AND(I1826="TDP",S1826&lt;=150),VLOOKUP(AF1826,TPCalibEq150!$AZ$2:$BB$55,3,)))</f>
        <v>0</v>
      </c>
      <c r="AR1826" s="10" t="b">
        <f>IF(AND(I1826="TP",S1826&lt;=300),VLOOKUP(AF1826,TPCalibEq300!$AZ$2:$BB$55,3,),IF(AND(I1826="TDP",S1826&lt;=300),VLOOKUP(AF1826,TPCalibEq300!$AZ$2:$BB$55,3,)))</f>
        <v>0</v>
      </c>
      <c r="AS1826" s="10" t="b">
        <f>IF(AND(I1826="TP",S1826&lt;=500),VLOOKUP(AF1826,TPCalibEq500!$AZ$2:$BB$56,3,),IF(AND(I1826="TDP",S1826&lt;=500),VLOOKUP(AF1826,TPCalibEq500!$AZ$2:$BB$56,3,)))</f>
        <v>0</v>
      </c>
      <c r="AT1826" s="10" t="b">
        <f>IF(AND(I1826="TN",S1826&lt;=2800),VLOOKUP(AF1826,TNCalibEq2500!$AZ$2:$BB$56,3,),IF(AND(I1826="TDN",S1826&lt;=2800),VLOOKUP(AF1826,TNCalibEq2500!$AZ$2:$BB$56,3,)))</f>
        <v>0</v>
      </c>
      <c r="AU1826" s="10" t="str">
        <f>IF(I1826="TP",VLOOKUP(AF1826,TPCalibEqFull!$AZ$2:$BB$56,3),IF(I1826="TDP",VLOOKUP(AF1826,TPCalibEqFull!$AZ$2:$BB$56,3),IF(I1826="TDN",VLOOKUP(AF1826,TNCalibEqFull!$AZ$1:$BB$56,3),IF(I1826="TN",VLOOKUP(AF1826,TNCalibEqFull!$AZ$1:$BB$56,3),FALSE))))</f>
        <v>y=-1.0839x2+204.73x-119.55</v>
      </c>
      <c r="AV1826" s="10" t="str">
        <f t="shared" si="208"/>
        <v>0130 10:51:00-DAM-0-FIL-2-SW-SPK</v>
      </c>
    </row>
    <row r="1827" spans="1:48" s="10" customFormat="1" x14ac:dyDescent="0.55000000000000004">
      <c r="A1827" s="32">
        <v>44958</v>
      </c>
      <c r="B1827" s="33">
        <v>0.375</v>
      </c>
      <c r="C1827" s="10" t="s">
        <v>70</v>
      </c>
      <c r="D1827" s="10" t="s">
        <v>71</v>
      </c>
      <c r="E1827" s="10" t="s">
        <v>901</v>
      </c>
      <c r="F1827" s="10">
        <v>1</v>
      </c>
      <c r="G1827" s="10" t="s">
        <v>73</v>
      </c>
      <c r="H1827" s="10" t="s">
        <v>207</v>
      </c>
      <c r="I1827" s="10" t="s">
        <v>235</v>
      </c>
      <c r="J1827" s="10">
        <v>203</v>
      </c>
      <c r="K1827" s="12">
        <v>44958</v>
      </c>
      <c r="L1827" s="33">
        <v>0.73494212962962957</v>
      </c>
      <c r="M1827" s="10">
        <v>1</v>
      </c>
      <c r="N1827" s="10" t="s">
        <v>196</v>
      </c>
      <c r="O1827" s="10">
        <v>7.42</v>
      </c>
      <c r="P1827" s="10">
        <v>0.36799999999999999</v>
      </c>
      <c r="Q1827" s="10">
        <v>1250</v>
      </c>
      <c r="R1827" s="10" t="s">
        <v>170</v>
      </c>
      <c r="S1827" s="34">
        <f t="shared" si="205"/>
        <v>1339.87096804</v>
      </c>
      <c r="T1827" s="10" t="s">
        <v>1123</v>
      </c>
      <c r="U1827" s="34">
        <f t="shared" si="206"/>
        <v>107.1896774432</v>
      </c>
      <c r="V1827" s="31">
        <f>IF(H1827="CHK",VLOOKUP(I1827,QCCHK,3,),IF(H1827="GUP",VLOOKUP(E1827,QCGUP,2,),IF(AND(H1827="ATP",OR(I1827="TN",I1827="TDN",I1827="TNO2-3",I1827="NO2-3")),VLOOKUP(E1827,QCREC_N,2,),IF(AND(H1827="NIC",OR(I1827="TN",I1827="TDN",I1827="TNO2-3",I1827="NO2-3")),VLOOKUP(E1827,QCNIC_N,2,),IF(AND(H1827="UREA",OR(I1827="TN",I1827="TDN",I1827="TNO2-3",I1827="NO2-3")),VLOOKUP(E1827,QCUREA_N,2,),IF(H1827="PER",VLOOKUP(I1827,QCPER,MATCH(E1827,QCACTUAL!$J$25:$AA$25,0),),IF(H1827="SPK",VLOOKUP(I1827,QCSPK,3,),IF(AND(H1827="ATP",OR(I1827="TP",I1827="TDP")),VLOOKUP(E1827,QCATP_P,2,),""))))))))</f>
        <v>1250</v>
      </c>
      <c r="W1827" s="31" t="str">
        <f t="shared" si="207"/>
        <v>TRUE</v>
      </c>
      <c r="X1827" s="31" t="str">
        <f t="shared" si="204"/>
        <v>[chk]/[actual]*100</v>
      </c>
      <c r="Y1827" s="10" t="s">
        <v>1116</v>
      </c>
      <c r="AF1827" s="12">
        <v>44958</v>
      </c>
      <c r="AJ1827" s="10">
        <f>0.9631*7.42^2+173.03*7.42-74.605</f>
        <v>1262.30241884</v>
      </c>
      <c r="AK1827" s="10">
        <f>-1.0839*7.42^2+204.73*7.42-119.55</f>
        <v>1339.87096804</v>
      </c>
      <c r="AL1827" s="10" t="str">
        <f t="shared" si="209"/>
        <v>FALSE</v>
      </c>
      <c r="AM1827" s="10" t="str">
        <f t="shared" si="209"/>
        <v>FALSE</v>
      </c>
      <c r="AN1827" s="10" t="str">
        <f t="shared" si="209"/>
        <v>FALSE</v>
      </c>
      <c r="AO1827" s="10" t="str">
        <f t="shared" si="210"/>
        <v>y=0.9631*7.42^2+173.03*7.42-74.605</v>
      </c>
      <c r="AP1827" s="10" t="str">
        <f t="shared" si="210"/>
        <v>y=-1.0839*7.42^2+204.73*7.42-119.55</v>
      </c>
      <c r="AQ1827" s="10" t="b">
        <f>IF(AND(I1827="TP",S1827&lt;=150),VLOOKUP(AF1827,TPCalibEq150!$AZ$2:$BB$55,3,),IF(AND(I1827="TDP",S1827&lt;=150),VLOOKUP(AF1827,TPCalibEq150!$AZ$2:$BB$55,3,)))</f>
        <v>0</v>
      </c>
      <c r="AR1827" s="10" t="b">
        <f>IF(AND(I1827="TP",S1827&lt;=300),VLOOKUP(AF1827,TPCalibEq300!$AZ$2:$BB$55,3,),IF(AND(I1827="TDP",S1827&lt;=300),VLOOKUP(AF1827,TPCalibEq300!$AZ$2:$BB$55,3,)))</f>
        <v>0</v>
      </c>
      <c r="AS1827" s="10" t="b">
        <f>IF(AND(I1827="TP",S1827&lt;=500),VLOOKUP(AF1827,TPCalibEq500!$AZ$2:$BB$56,3,),IF(AND(I1827="TDP",S1827&lt;=500),VLOOKUP(AF1827,TPCalibEq500!$AZ$2:$BB$56,3,)))</f>
        <v>0</v>
      </c>
      <c r="AT1827" s="10" t="str">
        <f>IF(AND(I1827="TN",S1827&lt;=2800),VLOOKUP(AF1827,TNCalibEq2500!$AZ$2:$BB$56,3,),IF(AND(I1827="TDN",S1827&lt;=2800),VLOOKUP(AF1827,TNCalibEq2500!$AZ$2:$BB$56,3,)))</f>
        <v>y=0.9631x2+173.03x-74.605</v>
      </c>
      <c r="AU1827" s="10" t="str">
        <f>IF(I1827="TP",VLOOKUP(AF1827,TPCalibEqFull!$AZ$2:$BB$56,3),IF(I1827="TDP",VLOOKUP(AF1827,TPCalibEqFull!$AZ$2:$BB$56,3),IF(I1827="TDN",VLOOKUP(AF1827,TNCalibEqFull!$AZ$1:$BB$56,3),IF(I1827="TN",VLOOKUP(AF1827,TNCalibEqFull!$AZ$1:$BB$56,3),FALSE))))</f>
        <v>y=-1.0839x2+204.73x-119.55</v>
      </c>
      <c r="AV1827" s="10" t="str">
        <f t="shared" si="208"/>
        <v>0201 09:00:00-QAC-STD-D-1-DI-CHK</v>
      </c>
    </row>
    <row r="1828" spans="1:48" s="10" customFormat="1" x14ac:dyDescent="0.55000000000000004">
      <c r="A1828" s="32">
        <v>44956</v>
      </c>
      <c r="B1828" s="33">
        <v>0.46527777777777773</v>
      </c>
      <c r="C1828" s="10" t="s">
        <v>341</v>
      </c>
      <c r="D1828" s="10">
        <v>0</v>
      </c>
      <c r="E1828" s="10" t="s">
        <v>911</v>
      </c>
      <c r="F1828" s="10">
        <v>1</v>
      </c>
      <c r="G1828" s="10" t="s">
        <v>231</v>
      </c>
      <c r="H1828" s="10" t="s">
        <v>322</v>
      </c>
      <c r="I1828" s="10" t="s">
        <v>224</v>
      </c>
      <c r="J1828" s="10">
        <v>78</v>
      </c>
      <c r="K1828" s="12">
        <v>44958</v>
      </c>
      <c r="L1828" s="33">
        <v>0.73561342592592593</v>
      </c>
      <c r="M1828" s="10">
        <v>1</v>
      </c>
      <c r="N1828" s="10" t="s">
        <v>196</v>
      </c>
      <c r="O1828" s="10">
        <v>4.3099999999999996</v>
      </c>
      <c r="P1828" s="10">
        <v>0.21</v>
      </c>
      <c r="Q1828" s="10">
        <v>711</v>
      </c>
      <c r="R1828" s="10" t="s">
        <v>170</v>
      </c>
      <c r="S1828" s="34">
        <f t="shared" si="205"/>
        <v>742.70166520999999</v>
      </c>
      <c r="T1828" s="10" t="s">
        <v>1123</v>
      </c>
      <c r="U1828" s="34" t="str">
        <f t="shared" si="206"/>
        <v/>
      </c>
      <c r="V1828" s="31" t="str">
        <f>IF(H1828="CHK",VLOOKUP(I1828,QCCHK,3,),IF(H1828="GUP",VLOOKUP(E1828,QCGUP,2,),IF(AND(H1828="ATP",OR(I1828="TN",I1828="TDN",I1828="TNO2-3",I1828="NO2-3")),VLOOKUP(E1828,QCREC_N,2,),IF(AND(H1828="NIC",OR(I1828="TN",I1828="TDN",I1828="TNO2-3",I1828="NO2-3")),VLOOKUP(E1828,QCNIC_N,2,),IF(AND(H1828="UREA",OR(I1828="TN",I1828="TDN",I1828="TNO2-3",I1828="NO2-3")),VLOOKUP(E1828,QCUREA_N,2,),IF(H1828="PER",VLOOKUP(I1828,QCPER,MATCH(E1828,QCACTUAL!$J$25:$AA$25,0),),IF(H1828="SPK",VLOOKUP(I1828,QCSPK,3,),IF(AND(H1828="ATP",OR(I1828="TP",I1828="TDP")),VLOOKUP(E1828,QCATP_P,2,),""))))))))</f>
        <v/>
      </c>
      <c r="W1828" s="31" t="str">
        <f t="shared" si="207"/>
        <v>TRUE</v>
      </c>
      <c r="X1828" s="31" t="str">
        <f t="shared" si="204"/>
        <v/>
      </c>
      <c r="Y1828" s="10" t="s">
        <v>1116</v>
      </c>
      <c r="Z1828" s="10" t="s">
        <v>910</v>
      </c>
      <c r="AF1828" s="12">
        <v>44958</v>
      </c>
      <c r="AJ1828" s="10">
        <f>0.9631*4.31^2+173.03*4.31-74.605</f>
        <v>689.04494190999992</v>
      </c>
      <c r="AK1828" s="10">
        <f>-1.0839*4.31^2+204.73*4.31-119.55</f>
        <v>742.70166520999999</v>
      </c>
      <c r="AL1828" s="10" t="str">
        <f t="shared" si="209"/>
        <v>FALSE</v>
      </c>
      <c r="AM1828" s="10" t="str">
        <f t="shared" si="209"/>
        <v>FALSE</v>
      </c>
      <c r="AN1828" s="10" t="str">
        <f t="shared" si="209"/>
        <v>FALSE</v>
      </c>
      <c r="AO1828" s="10" t="str">
        <f t="shared" si="210"/>
        <v>y=0.9631*4.31^2+173.03*4.31-74.605</v>
      </c>
      <c r="AP1828" s="10" t="str">
        <f t="shared" si="210"/>
        <v>y=-1.0839*4.31^2+204.73*4.31-119.55</v>
      </c>
      <c r="AQ1828" s="10" t="b">
        <f>IF(AND(I1828="TP",S1828&lt;=150),VLOOKUP(AF1828,TPCalibEq150!$AZ$2:$BB$55,3,),IF(AND(I1828="TDP",S1828&lt;=150),VLOOKUP(AF1828,TPCalibEq150!$AZ$2:$BB$55,3,)))</f>
        <v>0</v>
      </c>
      <c r="AR1828" s="10" t="b">
        <f>IF(AND(I1828="TP",S1828&lt;=300),VLOOKUP(AF1828,TPCalibEq300!$AZ$2:$BB$55,3,),IF(AND(I1828="TDP",S1828&lt;=300),VLOOKUP(AF1828,TPCalibEq300!$AZ$2:$BB$55,3,)))</f>
        <v>0</v>
      </c>
      <c r="AS1828" s="10" t="b">
        <f>IF(AND(I1828="TP",S1828&lt;=500),VLOOKUP(AF1828,TPCalibEq500!$AZ$2:$BB$56,3,),IF(AND(I1828="TDP",S1828&lt;=500),VLOOKUP(AF1828,TPCalibEq500!$AZ$2:$BB$56,3,)))</f>
        <v>0</v>
      </c>
      <c r="AT1828" s="10" t="str">
        <f>IF(AND(I1828="TN",S1828&lt;=2800),VLOOKUP(AF1828,TNCalibEq2500!$AZ$2:$BB$56,3,),IF(AND(I1828="TDN",S1828&lt;=2800),VLOOKUP(AF1828,TNCalibEq2500!$AZ$2:$BB$56,3,)))</f>
        <v>y=0.9631x2+173.03x-74.605</v>
      </c>
      <c r="AU1828" s="10" t="str">
        <f>IF(I1828="TP",VLOOKUP(AF1828,TPCalibEqFull!$AZ$2:$BB$56,3),IF(I1828="TDP",VLOOKUP(AF1828,TPCalibEqFull!$AZ$2:$BB$56,3),IF(I1828="TDN",VLOOKUP(AF1828,TNCalibEqFull!$AZ$1:$BB$56,3),IF(I1828="TN",VLOOKUP(AF1828,TNCalibEqFull!$AZ$1:$BB$56,3),FALSE))))</f>
        <v>y=-1.0839x2+204.73x-119.55</v>
      </c>
      <c r="AV1828" s="10" t="str">
        <f t="shared" si="208"/>
        <v>0130 11:10:00-LRC-0-FIL-1-SW-UKN</v>
      </c>
    </row>
    <row r="1829" spans="1:48" s="10" customFormat="1" x14ac:dyDescent="0.55000000000000004">
      <c r="A1829" s="32">
        <v>44956</v>
      </c>
      <c r="B1829" s="33">
        <v>0.4777777777777778</v>
      </c>
      <c r="C1829" s="10" t="s">
        <v>228</v>
      </c>
      <c r="D1829" s="10">
        <v>0</v>
      </c>
      <c r="E1829" s="10" t="s">
        <v>911</v>
      </c>
      <c r="F1829" s="10">
        <v>1</v>
      </c>
      <c r="G1829" s="10" t="s">
        <v>231</v>
      </c>
      <c r="H1829" s="10" t="s">
        <v>322</v>
      </c>
      <c r="I1829" s="10" t="s">
        <v>224</v>
      </c>
      <c r="J1829" s="10">
        <v>79</v>
      </c>
      <c r="K1829" s="12">
        <v>44958</v>
      </c>
      <c r="L1829" s="33">
        <v>0.7362847222222223</v>
      </c>
      <c r="M1829" s="10">
        <v>1</v>
      </c>
      <c r="N1829" s="10" t="s">
        <v>196</v>
      </c>
      <c r="O1829" s="10">
        <v>7.45</v>
      </c>
      <c r="P1829" s="10">
        <v>0.36399999999999999</v>
      </c>
      <c r="Q1829" s="10">
        <v>1260</v>
      </c>
      <c r="R1829" s="10" t="s">
        <v>170</v>
      </c>
      <c r="S1829" s="34">
        <f t="shared" si="205"/>
        <v>1345.5293402499999</v>
      </c>
      <c r="T1829" s="10" t="s">
        <v>1123</v>
      </c>
      <c r="U1829" s="34" t="str">
        <f t="shared" si="206"/>
        <v/>
      </c>
      <c r="V1829" s="31" t="str">
        <f>IF(H1829="CHK",VLOOKUP(I1829,QCCHK,3,),IF(H1829="GUP",VLOOKUP(E1829,QCGUP,2,),IF(AND(H1829="ATP",OR(I1829="TN",I1829="TDN",I1829="TNO2-3",I1829="NO2-3")),VLOOKUP(E1829,QCREC_N,2,),IF(AND(H1829="NIC",OR(I1829="TN",I1829="TDN",I1829="TNO2-3",I1829="NO2-3")),VLOOKUP(E1829,QCNIC_N,2,),IF(AND(H1829="UREA",OR(I1829="TN",I1829="TDN",I1829="TNO2-3",I1829="NO2-3")),VLOOKUP(E1829,QCUREA_N,2,),IF(H1829="PER",VLOOKUP(I1829,QCPER,MATCH(E1829,QCACTUAL!$J$25:$AA$25,0),),IF(H1829="SPK",VLOOKUP(I1829,QCSPK,3,),IF(AND(H1829="ATP",OR(I1829="TP",I1829="TDP")),VLOOKUP(E1829,QCATP_P,2,),""))))))))</f>
        <v/>
      </c>
      <c r="W1829" s="31" t="str">
        <f t="shared" si="207"/>
        <v>TRUE</v>
      </c>
      <c r="X1829" s="31" t="str">
        <f t="shared" si="204"/>
        <v/>
      </c>
      <c r="Y1829" s="10" t="s">
        <v>1116</v>
      </c>
      <c r="Z1829" s="10" t="s">
        <v>910</v>
      </c>
      <c r="AF1829" s="12">
        <v>44958</v>
      </c>
      <c r="AJ1829" s="10">
        <f>0.9631*7.45^2+173.03*7.45-74.605</f>
        <v>1267.92295775</v>
      </c>
      <c r="AK1829" s="10">
        <f>-1.0839*7.45^2+204.73*7.45-119.55</f>
        <v>1345.5293402499999</v>
      </c>
      <c r="AL1829" s="10" t="str">
        <f t="shared" si="209"/>
        <v>FALSE</v>
      </c>
      <c r="AM1829" s="10" t="str">
        <f t="shared" si="209"/>
        <v>FALSE</v>
      </c>
      <c r="AN1829" s="10" t="str">
        <f t="shared" si="209"/>
        <v>FALSE</v>
      </c>
      <c r="AO1829" s="10" t="str">
        <f t="shared" si="210"/>
        <v>y=0.9631*7.45^2+173.03*7.45-74.605</v>
      </c>
      <c r="AP1829" s="10" t="str">
        <f t="shared" si="210"/>
        <v>y=-1.0839*7.45^2+204.73*7.45-119.55</v>
      </c>
      <c r="AQ1829" s="10" t="b">
        <f>IF(AND(I1829="TP",S1829&lt;=150),VLOOKUP(AF1829,TPCalibEq150!$AZ$2:$BB$55,3,),IF(AND(I1829="TDP",S1829&lt;=150),VLOOKUP(AF1829,TPCalibEq150!$AZ$2:$BB$55,3,)))</f>
        <v>0</v>
      </c>
      <c r="AR1829" s="10" t="b">
        <f>IF(AND(I1829="TP",S1829&lt;=300),VLOOKUP(AF1829,TPCalibEq300!$AZ$2:$BB$55,3,),IF(AND(I1829="TDP",S1829&lt;=300),VLOOKUP(AF1829,TPCalibEq300!$AZ$2:$BB$55,3,)))</f>
        <v>0</v>
      </c>
      <c r="AS1829" s="10" t="b">
        <f>IF(AND(I1829="TP",S1829&lt;=500),VLOOKUP(AF1829,TPCalibEq500!$AZ$2:$BB$56,3,),IF(AND(I1829="TDP",S1829&lt;=500),VLOOKUP(AF1829,TPCalibEq500!$AZ$2:$BB$56,3,)))</f>
        <v>0</v>
      </c>
      <c r="AT1829" s="10" t="str">
        <f>IF(AND(I1829="TN",S1829&lt;=2800),VLOOKUP(AF1829,TNCalibEq2500!$AZ$2:$BB$56,3,),IF(AND(I1829="TDN",S1829&lt;=2800),VLOOKUP(AF1829,TNCalibEq2500!$AZ$2:$BB$56,3,)))</f>
        <v>y=0.9631x2+173.03x-74.605</v>
      </c>
      <c r="AU1829" s="10" t="str">
        <f>IF(I1829="TP",VLOOKUP(AF1829,TPCalibEqFull!$AZ$2:$BB$56,3),IF(I1829="TDP",VLOOKUP(AF1829,TPCalibEqFull!$AZ$2:$BB$56,3),IF(I1829="TDN",VLOOKUP(AF1829,TNCalibEqFull!$AZ$1:$BB$56,3),IF(I1829="TN",VLOOKUP(AF1829,TNCalibEqFull!$AZ$1:$BB$56,3),FALSE))))</f>
        <v>y=-1.0839x2+204.73x-119.55</v>
      </c>
      <c r="AV1829" s="10" t="str">
        <f t="shared" si="208"/>
        <v>0130 11:28:00-DWT-0-FIL-1-SW-UKN</v>
      </c>
    </row>
    <row r="1830" spans="1:48" s="10" customFormat="1" x14ac:dyDescent="0.55000000000000004">
      <c r="A1830" s="32">
        <v>44956</v>
      </c>
      <c r="B1830" s="33">
        <v>0.49374999999999997</v>
      </c>
      <c r="C1830" s="10" t="s">
        <v>625</v>
      </c>
      <c r="D1830" s="10">
        <v>0</v>
      </c>
      <c r="E1830" s="10" t="s">
        <v>911</v>
      </c>
      <c r="F1830" s="10">
        <v>1</v>
      </c>
      <c r="G1830" s="10" t="s">
        <v>231</v>
      </c>
      <c r="H1830" s="10" t="s">
        <v>322</v>
      </c>
      <c r="I1830" s="10" t="s">
        <v>224</v>
      </c>
      <c r="J1830" s="10">
        <v>80</v>
      </c>
      <c r="K1830" s="12">
        <v>44958</v>
      </c>
      <c r="L1830" s="33">
        <v>0.73695601851851855</v>
      </c>
      <c r="M1830" s="10">
        <v>1</v>
      </c>
      <c r="N1830" s="10" t="s">
        <v>196</v>
      </c>
      <c r="O1830" s="10">
        <v>2.5</v>
      </c>
      <c r="P1830" s="10">
        <v>0.123</v>
      </c>
      <c r="Q1830" s="10">
        <v>396</v>
      </c>
      <c r="R1830" s="10" t="s">
        <v>170</v>
      </c>
      <c r="S1830" s="34">
        <f t="shared" si="205"/>
        <v>396</v>
      </c>
      <c r="T1830" s="10" t="s">
        <v>1123</v>
      </c>
      <c r="U1830" s="34" t="str">
        <f t="shared" si="206"/>
        <v/>
      </c>
      <c r="V1830" s="31" t="str">
        <f>IF(H1830="CHK",VLOOKUP(I1830,QCCHK,3,),IF(H1830="GUP",VLOOKUP(E1830,QCGUP,2,),IF(AND(H1830="ATP",OR(I1830="TN",I1830="TDN",I1830="TNO2-3",I1830="NO2-3")),VLOOKUP(E1830,QCREC_N,2,),IF(AND(H1830="NIC",OR(I1830="TN",I1830="TDN",I1830="TNO2-3",I1830="NO2-3")),VLOOKUP(E1830,QCNIC_N,2,),IF(AND(H1830="UREA",OR(I1830="TN",I1830="TDN",I1830="TNO2-3",I1830="NO2-3")),VLOOKUP(E1830,QCUREA_N,2,),IF(H1830="PER",VLOOKUP(I1830,QCPER,MATCH(E1830,QCACTUAL!$J$25:$AA$25,0),),IF(H1830="SPK",VLOOKUP(I1830,QCSPK,3,),IF(AND(H1830="ATP",OR(I1830="TP",I1830="TDP")),VLOOKUP(E1830,QCATP_P,2,),""))))))))</f>
        <v/>
      </c>
      <c r="W1830" s="31" t="str">
        <f t="shared" si="207"/>
        <v>TRUE</v>
      </c>
      <c r="X1830" s="31" t="str">
        <f t="shared" si="204"/>
        <v/>
      </c>
      <c r="Y1830" s="10" t="s">
        <v>1116</v>
      </c>
      <c r="Z1830" s="10" t="s">
        <v>910</v>
      </c>
      <c r="AF1830" s="12">
        <v>44958</v>
      </c>
      <c r="AJ1830" s="10">
        <f>0.9631*2.5^2+173.03*2.5-74.605</f>
        <v>363.989375</v>
      </c>
      <c r="AK1830" s="10">
        <f>-1.0839*2.5^2+204.73*2.5-119.55</f>
        <v>385.50062499999996</v>
      </c>
      <c r="AL1830" s="10" t="str">
        <f t="shared" si="209"/>
        <v>FALSE</v>
      </c>
      <c r="AM1830" s="10" t="str">
        <f t="shared" si="209"/>
        <v>FALSE</v>
      </c>
      <c r="AN1830" s="10" t="str">
        <f t="shared" si="209"/>
        <v>FALSE</v>
      </c>
      <c r="AO1830" s="10" t="str">
        <f t="shared" si="210"/>
        <v>y=0.9631*2.5^2+173.03*2.5-74.605</v>
      </c>
      <c r="AP1830" s="10" t="str">
        <f t="shared" si="210"/>
        <v>y=-1.0839*2.5^2+204.73*2.5-119.55</v>
      </c>
      <c r="AQ1830" s="10" t="b">
        <f>IF(AND(I1830="TP",S1830&lt;=150),VLOOKUP(AF1830,TPCalibEq150!$AZ$2:$BB$55,3,),IF(AND(I1830="TDP",S1830&lt;=150),VLOOKUP(AF1830,TPCalibEq150!$AZ$2:$BB$55,3,)))</f>
        <v>0</v>
      </c>
      <c r="AR1830" s="10" t="b">
        <f>IF(AND(I1830="TP",S1830&lt;=300),VLOOKUP(AF1830,TPCalibEq300!$AZ$2:$BB$55,3,),IF(AND(I1830="TDP",S1830&lt;=300),VLOOKUP(AF1830,TPCalibEq300!$AZ$2:$BB$55,3,)))</f>
        <v>0</v>
      </c>
      <c r="AS1830" s="10" t="b">
        <f>IF(AND(I1830="TP",S1830&lt;=500),VLOOKUP(AF1830,TPCalibEq500!$AZ$2:$BB$56,3,),IF(AND(I1830="TDP",S1830&lt;=500),VLOOKUP(AF1830,TPCalibEq500!$AZ$2:$BB$56,3,)))</f>
        <v>0</v>
      </c>
      <c r="AT1830" s="10" t="str">
        <f>IF(AND(I1830="TN",S1830&lt;=2800),VLOOKUP(AF1830,TNCalibEq2500!$AZ$2:$BB$56,3,),IF(AND(I1830="TDN",S1830&lt;=2800),VLOOKUP(AF1830,TNCalibEq2500!$AZ$2:$BB$56,3,)))</f>
        <v>y=0.9631x2+173.03x-74.605</v>
      </c>
      <c r="AU1830" s="10" t="str">
        <f>IF(I1830="TP",VLOOKUP(AF1830,TPCalibEqFull!$AZ$2:$BB$56,3),IF(I1830="TDP",VLOOKUP(AF1830,TPCalibEqFull!$AZ$2:$BB$56,3),IF(I1830="TDN",VLOOKUP(AF1830,TNCalibEqFull!$AZ$1:$BB$56,3),IF(I1830="TN",VLOOKUP(AF1830,TNCalibEqFull!$AZ$1:$BB$56,3),FALSE))))</f>
        <v>y=-1.0839x2+204.73x-119.55</v>
      </c>
      <c r="AV1830" s="10" t="str">
        <f t="shared" si="208"/>
        <v>0130 11:51:00-TBS-0-FIL-1-SW-UKN</v>
      </c>
    </row>
    <row r="1831" spans="1:48" s="10" customFormat="1" x14ac:dyDescent="0.55000000000000004">
      <c r="A1831" s="32">
        <v>44956</v>
      </c>
      <c r="B1831" s="33">
        <v>0.49374999999999997</v>
      </c>
      <c r="C1831" s="10" t="s">
        <v>625</v>
      </c>
      <c r="D1831" s="10">
        <v>0</v>
      </c>
      <c r="E1831" s="10" t="s">
        <v>911</v>
      </c>
      <c r="F1831" s="10">
        <v>1</v>
      </c>
      <c r="G1831" s="10" t="s">
        <v>231</v>
      </c>
      <c r="H1831" s="10" t="s">
        <v>233</v>
      </c>
      <c r="I1831" s="10" t="s">
        <v>224</v>
      </c>
      <c r="J1831" s="10">
        <v>80</v>
      </c>
      <c r="K1831" s="12">
        <v>44958</v>
      </c>
      <c r="L1831" s="33">
        <v>0.73762731481481481</v>
      </c>
      <c r="M1831" s="10">
        <v>1</v>
      </c>
      <c r="N1831" s="10" t="s">
        <v>196</v>
      </c>
      <c r="O1831" s="10">
        <v>2.5299999999999998</v>
      </c>
      <c r="P1831" s="10">
        <v>0.124</v>
      </c>
      <c r="Q1831" s="10">
        <v>401</v>
      </c>
      <c r="R1831" s="10" t="s">
        <v>170</v>
      </c>
      <c r="S1831" s="34">
        <f t="shared" si="205"/>
        <v>401</v>
      </c>
      <c r="T1831" s="10" t="s">
        <v>1123</v>
      </c>
      <c r="U1831" s="34">
        <f t="shared" si="206"/>
        <v>1.2547051442910917</v>
      </c>
      <c r="V1831" s="31" t="str">
        <f>IF(H1831="CHK",VLOOKUP(I1831,QCCHK,3,),IF(H1831="GUP",VLOOKUP(E1831,QCGUP,2,),IF(AND(H1831="ATP",OR(I1831="TN",I1831="TDN",I1831="TNO2-3",I1831="NO2-3")),VLOOKUP(E1831,QCREC_N,2,),IF(AND(H1831="NIC",OR(I1831="TN",I1831="TDN",I1831="TNO2-3",I1831="NO2-3")),VLOOKUP(E1831,QCNIC_N,2,),IF(AND(H1831="UREA",OR(I1831="TN",I1831="TDN",I1831="TNO2-3",I1831="NO2-3")),VLOOKUP(E1831,QCUREA_N,2,),IF(H1831="PER",VLOOKUP(I1831,QCPER,MATCH(E1831,QCACTUAL!$J$25:$AA$25,0),),IF(H1831="SPK",VLOOKUP(I1831,QCSPK,3,),IF(AND(H1831="ATP",OR(I1831="TP",I1831="TDP")),VLOOKUP(E1831,QCATP_P,2,),""))))))))</f>
        <v/>
      </c>
      <c r="W1831" s="31" t="str">
        <f t="shared" si="207"/>
        <v>TRUE</v>
      </c>
      <c r="X1831" s="31" t="str">
        <f t="shared" si="204"/>
        <v>((ABS(rep1-rep2))/((rep1+rep2)/2)*100</v>
      </c>
      <c r="Y1831" s="10" t="s">
        <v>1116</v>
      </c>
      <c r="Z1831" s="10" t="s">
        <v>910</v>
      </c>
      <c r="AF1831" s="12">
        <v>44958</v>
      </c>
      <c r="AJ1831" s="10">
        <f>0.9631*2.53^2+173.03*2.53-74.605</f>
        <v>369.32560678999999</v>
      </c>
      <c r="AK1831" s="10">
        <f>-1.0839*2.53^2+204.73*2.53-119.55</f>
        <v>391.4789644899999</v>
      </c>
      <c r="AL1831" s="10" t="str">
        <f t="shared" si="209"/>
        <v>FALSE</v>
      </c>
      <c r="AM1831" s="10" t="str">
        <f t="shared" si="209"/>
        <v>FALSE</v>
      </c>
      <c r="AN1831" s="10" t="str">
        <f t="shared" si="209"/>
        <v>FALSE</v>
      </c>
      <c r="AO1831" s="10" t="str">
        <f t="shared" si="210"/>
        <v>y=0.9631*2.53^2+173.03*2.53-74.605</v>
      </c>
      <c r="AP1831" s="10" t="str">
        <f t="shared" si="210"/>
        <v>y=-1.0839*2.53^2+204.73*2.53-119.55</v>
      </c>
      <c r="AQ1831" s="10" t="b">
        <f>IF(AND(I1831="TP",S1831&lt;=150),VLOOKUP(AF1831,TPCalibEq150!$AZ$2:$BB$55,3,),IF(AND(I1831="TDP",S1831&lt;=150),VLOOKUP(AF1831,TPCalibEq150!$AZ$2:$BB$55,3,)))</f>
        <v>0</v>
      </c>
      <c r="AR1831" s="10" t="b">
        <f>IF(AND(I1831="TP",S1831&lt;=300),VLOOKUP(AF1831,TPCalibEq300!$AZ$2:$BB$55,3,),IF(AND(I1831="TDP",S1831&lt;=300),VLOOKUP(AF1831,TPCalibEq300!$AZ$2:$BB$55,3,)))</f>
        <v>0</v>
      </c>
      <c r="AS1831" s="10" t="b">
        <f>IF(AND(I1831="TP",S1831&lt;=500),VLOOKUP(AF1831,TPCalibEq500!$AZ$2:$BB$56,3,),IF(AND(I1831="TDP",S1831&lt;=500),VLOOKUP(AF1831,TPCalibEq500!$AZ$2:$BB$56,3,)))</f>
        <v>0</v>
      </c>
      <c r="AT1831" s="10" t="str">
        <f>IF(AND(I1831="TN",S1831&lt;=2800),VLOOKUP(AF1831,TNCalibEq2500!$AZ$2:$BB$56,3,),IF(AND(I1831="TDN",S1831&lt;=2800),VLOOKUP(AF1831,TNCalibEq2500!$AZ$2:$BB$56,3,)))</f>
        <v>y=0.9631x2+173.03x-74.605</v>
      </c>
      <c r="AU1831" s="10" t="str">
        <f>IF(I1831="TP",VLOOKUP(AF1831,TPCalibEqFull!$AZ$2:$BB$56,3),IF(I1831="TDP",VLOOKUP(AF1831,TPCalibEqFull!$AZ$2:$BB$56,3),IF(I1831="TDN",VLOOKUP(AF1831,TNCalibEqFull!$AZ$1:$BB$56,3),IF(I1831="TN",VLOOKUP(AF1831,TNCalibEqFull!$AZ$1:$BB$56,3),FALSE))))</f>
        <v>y=-1.0839x2+204.73x-119.55</v>
      </c>
      <c r="AV1831" s="10" t="str">
        <f t="shared" si="208"/>
        <v>0130 11:51:00-TBS-0-FIL-1-SW-DUP</v>
      </c>
    </row>
    <row r="1832" spans="1:48" s="10" customFormat="1" x14ac:dyDescent="0.55000000000000004">
      <c r="A1832" s="32">
        <v>44958</v>
      </c>
      <c r="B1832" s="33">
        <v>0.375</v>
      </c>
      <c r="C1832" s="10" t="s">
        <v>70</v>
      </c>
      <c r="D1832" s="10" t="s">
        <v>71</v>
      </c>
      <c r="E1832" s="10" t="s">
        <v>901</v>
      </c>
      <c r="F1832" s="10">
        <v>1</v>
      </c>
      <c r="G1832" s="10" t="s">
        <v>73</v>
      </c>
      <c r="H1832" s="10" t="s">
        <v>207</v>
      </c>
      <c r="I1832" s="10" t="s">
        <v>235</v>
      </c>
      <c r="J1832" s="10">
        <v>203</v>
      </c>
      <c r="K1832" s="12">
        <v>44958</v>
      </c>
      <c r="L1832" s="33">
        <v>0.73831018518518521</v>
      </c>
      <c r="M1832" s="10">
        <v>1</v>
      </c>
      <c r="N1832" s="10" t="s">
        <v>196</v>
      </c>
      <c r="O1832" s="10">
        <v>7.52</v>
      </c>
      <c r="P1832" s="10">
        <v>0.37</v>
      </c>
      <c r="Q1832" s="10">
        <v>1270</v>
      </c>
      <c r="R1832" s="10" t="s">
        <v>170</v>
      </c>
      <c r="S1832" s="34">
        <f t="shared" si="205"/>
        <v>1358.72462144</v>
      </c>
      <c r="T1832" s="10" t="s">
        <v>1123</v>
      </c>
      <c r="U1832" s="34">
        <f t="shared" si="206"/>
        <v>108.6979697152</v>
      </c>
      <c r="V1832" s="31">
        <f>IF(H1832="CHK",VLOOKUP(I1832,QCCHK,3,),IF(H1832="GUP",VLOOKUP(E1832,QCGUP,2,),IF(AND(H1832="ATP",OR(I1832="TN",I1832="TDN",I1832="TNO2-3",I1832="NO2-3")),VLOOKUP(E1832,QCREC_N,2,),IF(AND(H1832="NIC",OR(I1832="TN",I1832="TDN",I1832="TNO2-3",I1832="NO2-3")),VLOOKUP(E1832,QCNIC_N,2,),IF(AND(H1832="UREA",OR(I1832="TN",I1832="TDN",I1832="TNO2-3",I1832="NO2-3")),VLOOKUP(E1832,QCUREA_N,2,),IF(H1832="PER",VLOOKUP(I1832,QCPER,MATCH(E1832,QCACTUAL!$J$25:$AA$25,0),),IF(H1832="SPK",VLOOKUP(I1832,QCSPK,3,),IF(AND(H1832="ATP",OR(I1832="TP",I1832="TDP")),VLOOKUP(E1832,QCATP_P,2,),""))))))))</f>
        <v>1250</v>
      </c>
      <c r="W1832" s="31" t="str">
        <f t="shared" si="207"/>
        <v>TRUE</v>
      </c>
      <c r="X1832" s="31" t="str">
        <f t="shared" si="204"/>
        <v>[chk]/[actual]*100</v>
      </c>
      <c r="Y1832" s="10" t="s">
        <v>1116</v>
      </c>
      <c r="AF1832" s="12">
        <v>44958</v>
      </c>
      <c r="AJ1832" s="10">
        <f>0.9631*7.52^2+173.03*7.52-74.605</f>
        <v>1281.04429024</v>
      </c>
      <c r="AK1832" s="10">
        <f>-1.0839*7.52^2+204.73*7.52-119.55</f>
        <v>1358.72462144</v>
      </c>
      <c r="AL1832" s="10" t="str">
        <f t="shared" si="209"/>
        <v>FALSE</v>
      </c>
      <c r="AM1832" s="10" t="str">
        <f t="shared" si="209"/>
        <v>FALSE</v>
      </c>
      <c r="AN1832" s="10" t="str">
        <f t="shared" si="209"/>
        <v>FALSE</v>
      </c>
      <c r="AO1832" s="10" t="str">
        <f t="shared" si="210"/>
        <v>y=0.9631*7.52^2+173.03*7.52-74.605</v>
      </c>
      <c r="AP1832" s="10" t="str">
        <f t="shared" si="210"/>
        <v>y=-1.0839*7.52^2+204.73*7.52-119.55</v>
      </c>
      <c r="AQ1832" s="10" t="b">
        <f>IF(AND(I1832="TP",S1832&lt;=150),VLOOKUP(AF1832,TPCalibEq150!$AZ$2:$BB$55,3,),IF(AND(I1832="TDP",S1832&lt;=150),VLOOKUP(AF1832,TPCalibEq150!$AZ$2:$BB$55,3,)))</f>
        <v>0</v>
      </c>
      <c r="AR1832" s="10" t="b">
        <f>IF(AND(I1832="TP",S1832&lt;=300),VLOOKUP(AF1832,TPCalibEq300!$AZ$2:$BB$55,3,),IF(AND(I1832="TDP",S1832&lt;=300),VLOOKUP(AF1832,TPCalibEq300!$AZ$2:$BB$55,3,)))</f>
        <v>0</v>
      </c>
      <c r="AS1832" s="10" t="b">
        <f>IF(AND(I1832="TP",S1832&lt;=500),VLOOKUP(AF1832,TPCalibEq500!$AZ$2:$BB$56,3,),IF(AND(I1832="TDP",S1832&lt;=500),VLOOKUP(AF1832,TPCalibEq500!$AZ$2:$BB$56,3,)))</f>
        <v>0</v>
      </c>
      <c r="AT1832" s="10" t="str">
        <f>IF(AND(I1832="TN",S1832&lt;=2800),VLOOKUP(AF1832,TNCalibEq2500!$AZ$2:$BB$56,3,),IF(AND(I1832="TDN",S1832&lt;=2800),VLOOKUP(AF1832,TNCalibEq2500!$AZ$2:$BB$56,3,)))</f>
        <v>y=0.9631x2+173.03x-74.605</v>
      </c>
      <c r="AU1832" s="10" t="str">
        <f>IF(I1832="TP",VLOOKUP(AF1832,TPCalibEqFull!$AZ$2:$BB$56,3),IF(I1832="TDP",VLOOKUP(AF1832,TPCalibEqFull!$AZ$2:$BB$56,3),IF(I1832="TDN",VLOOKUP(AF1832,TNCalibEqFull!$AZ$1:$BB$56,3),IF(I1832="TN",VLOOKUP(AF1832,TNCalibEqFull!$AZ$1:$BB$56,3),FALSE))))</f>
        <v>y=-1.0839x2+204.73x-119.55</v>
      </c>
      <c r="AV1832" s="10" t="str">
        <f t="shared" si="208"/>
        <v>0201 09:00:00-QAC-STD-D-1-DI-CHK</v>
      </c>
    </row>
    <row r="1833" spans="1:48" s="10" customFormat="1" x14ac:dyDescent="0.55000000000000004">
      <c r="A1833" s="32">
        <v>44958</v>
      </c>
      <c r="B1833" s="33">
        <v>0.375</v>
      </c>
      <c r="C1833" s="10" t="s">
        <v>70</v>
      </c>
      <c r="D1833" s="10" t="s">
        <v>71</v>
      </c>
      <c r="E1833" s="10" t="s">
        <v>917</v>
      </c>
      <c r="F1833" s="10">
        <v>1</v>
      </c>
      <c r="G1833" s="10" t="s">
        <v>73</v>
      </c>
      <c r="H1833" s="10" t="s">
        <v>74</v>
      </c>
      <c r="I1833" s="10" t="s">
        <v>83</v>
      </c>
      <c r="J1833" s="10">
        <v>181</v>
      </c>
      <c r="K1833" s="12">
        <v>44958</v>
      </c>
      <c r="L1833" s="33">
        <v>0.57030092592592596</v>
      </c>
      <c r="M1833" s="10">
        <v>1</v>
      </c>
      <c r="N1833" s="10" t="s">
        <v>84</v>
      </c>
      <c r="O1833" s="10">
        <v>0.439</v>
      </c>
      <c r="P1833" s="10">
        <v>2.9000000000000001E-2</v>
      </c>
      <c r="Q1833" s="10">
        <v>0</v>
      </c>
      <c r="R1833" s="10" t="s">
        <v>85</v>
      </c>
      <c r="S1833" s="34">
        <f t="shared" si="205"/>
        <v>0</v>
      </c>
      <c r="T1833" s="10" t="s">
        <v>78</v>
      </c>
      <c r="U1833" s="34" t="str">
        <f t="shared" si="206"/>
        <v/>
      </c>
      <c r="V1833" s="31" t="str">
        <f>IF(H1833="CHK",VLOOKUP(I1833,QCCHK,3,),IF(H1833="GUP",VLOOKUP(E1833,QCGUP,2,),IF(AND(H1833="ATP",OR(I1833="TN",I1833="TDN",I1833="TNO2-3",I1833="NO2-3")),VLOOKUP(E1833,QCREC_N,2,),IF(AND(H1833="NIC",OR(I1833="TN",I1833="TDN",I1833="TNO2-3",I1833="NO2-3")),VLOOKUP(E1833,QCNIC_N,2,),IF(AND(H1833="UREA",OR(I1833="TN",I1833="TDN",I1833="TNO2-3",I1833="NO2-3")),VLOOKUP(E1833,QCUREA_N,2,),IF(H1833="PER",VLOOKUP(I1833,QCPER,MATCH(E1833,QCACTUAL!$J$25:$AA$25,0),),IF(H1833="SPK",VLOOKUP(I1833,QCSPK,3,),IF(AND(H1833="ATP",OR(I1833="TP",I1833="TDP")),VLOOKUP(E1833,QCATP_P,2,),""))))))))</f>
        <v/>
      </c>
      <c r="W1833" s="31" t="str">
        <f t="shared" si="207"/>
        <v>TRUE</v>
      </c>
      <c r="X1833" s="31" t="str">
        <f t="shared" si="204"/>
        <v/>
      </c>
      <c r="Y1833" s="10" t="s">
        <v>1126</v>
      </c>
      <c r="AF1833" s="12">
        <v>44958</v>
      </c>
      <c r="AG1833" s="10">
        <f>-20.9*0.439^2+141.62*0.439-73.036</f>
        <v>-14.892688900000003</v>
      </c>
      <c r="AH1833" s="10">
        <f>-1.3807*0.439^2+80.818*0.439-42.013</f>
        <v>-6.7999878847000019</v>
      </c>
      <c r="AI1833" s="10">
        <f>0.6312*0.439^2+63.45*0.439-30.993</f>
        <v>-3.0168045047999996</v>
      </c>
      <c r="AK1833" s="10">
        <f>0.0239*0.439^2+66.574*0.439-31.913</f>
        <v>-2.6824079681000015</v>
      </c>
      <c r="AL1833" s="10" t="str">
        <f t="shared" si="209"/>
        <v>y=-20.90*0.439^2+141.62*0.439-73.036</v>
      </c>
      <c r="AM1833" s="10" t="str">
        <f t="shared" si="209"/>
        <v>y=-1.3807*0.439^2+80.818*0.439-42.013</v>
      </c>
      <c r="AN1833" s="10" t="str">
        <f t="shared" si="209"/>
        <v>y=0.6312*0.439^2+63.45*0.439-30.993</v>
      </c>
      <c r="AO1833" s="10" t="str">
        <f t="shared" si="210"/>
        <v>FALSE</v>
      </c>
      <c r="AP1833" s="10" t="str">
        <f t="shared" si="210"/>
        <v>y=0.0239*0.439^2+66.574*0.439-31.913</v>
      </c>
      <c r="AQ1833" s="10" t="str">
        <f>IF(AND(I1833="TP",S1833&lt;=150),VLOOKUP(AF1833,TPCalibEq150!$AZ$2:$BB$55,3,),IF(AND(I1833="TDP",S1833&lt;=150),VLOOKUP(AF1833,TPCalibEq150!$AZ$2:$BB$55,3,)))</f>
        <v>y=-20.90x2+141.62x-73.036</v>
      </c>
      <c r="AR1833" s="10" t="str">
        <f>IF(AND(I1833="TP",S1833&lt;=300),VLOOKUP(AF1833,TPCalibEq300!$AZ$2:$BB$55,3,),IF(AND(I1833="TDP",S1833&lt;=300),VLOOKUP(AF1833,TPCalibEq300!$AZ$2:$BB$55,3,)))</f>
        <v>y=-1.3807x2+80.818x-42.013</v>
      </c>
      <c r="AS1833" s="10" t="str">
        <f>IF(AND(I1833="TP",S1833&lt;=500),VLOOKUP(AF1833,TPCalibEq500!$AZ$2:$BB$56,3,),IF(AND(I1833="TDP",S1833&lt;=500),VLOOKUP(AF1833,TPCalibEq500!$AZ$2:$BB$56,3,)))</f>
        <v>y=0.6312x2+63.45x-30.993</v>
      </c>
      <c r="AT1833" s="10" t="b">
        <f>IF(AND(I1833="TN",S1833&lt;=2800),VLOOKUP(AF1833,TNCalibEq2500!$AZ$2:$BB$56,3,),IF(AND(I1833="TDN",S1833&lt;=2800),VLOOKUP(AF1833,TNCalibEq2500!$AZ$2:$BB$56,3,)))</f>
        <v>0</v>
      </c>
      <c r="AU1833" s="10" t="str">
        <f>IF(I1833="TP",VLOOKUP(AF1833,TPCalibEqFull!$AZ$2:$BB$56,3),IF(I1833="TDP",VLOOKUP(AF1833,TPCalibEqFull!$AZ$2:$BB$56,3),IF(I1833="TDN",VLOOKUP(AF1833,TNCalibEqFull!$AZ$1:$BB$56,3),IF(I1833="TN",VLOOKUP(AF1833,TNCalibEqFull!$AZ$1:$BB$56,3),FALSE))))</f>
        <v>y=0.0239x2+66.574x-31.913</v>
      </c>
      <c r="AV1833" s="10" t="str">
        <f t="shared" si="208"/>
        <v>0201 09:00:00-QAC-STD-D.H-1-DI-CAL</v>
      </c>
    </row>
    <row r="1834" spans="1:48" s="10" customFormat="1" x14ac:dyDescent="0.55000000000000004">
      <c r="A1834" s="32">
        <v>44958</v>
      </c>
      <c r="B1834" s="33">
        <v>0.375</v>
      </c>
      <c r="C1834" s="10" t="s">
        <v>70</v>
      </c>
      <c r="D1834" s="10" t="s">
        <v>71</v>
      </c>
      <c r="E1834" s="10" t="s">
        <v>918</v>
      </c>
      <c r="F1834" s="10">
        <v>1</v>
      </c>
      <c r="G1834" s="10" t="s">
        <v>73</v>
      </c>
      <c r="H1834" s="10" t="s">
        <v>74</v>
      </c>
      <c r="I1834" s="10" t="s">
        <v>83</v>
      </c>
      <c r="J1834" s="10">
        <v>182</v>
      </c>
      <c r="K1834" s="12">
        <v>44958</v>
      </c>
      <c r="L1834" s="33">
        <v>0.5709953703703704</v>
      </c>
      <c r="M1834" s="10">
        <v>1</v>
      </c>
      <c r="N1834" s="10" t="s">
        <v>84</v>
      </c>
      <c r="O1834" s="10">
        <v>0.60899999999999999</v>
      </c>
      <c r="P1834" s="10">
        <v>4.1000000000000002E-2</v>
      </c>
      <c r="Q1834" s="10">
        <v>12</v>
      </c>
      <c r="R1834" s="10" t="s">
        <v>85</v>
      </c>
      <c r="S1834" s="34">
        <f t="shared" si="205"/>
        <v>12</v>
      </c>
      <c r="T1834" s="10" t="s">
        <v>78</v>
      </c>
      <c r="U1834" s="34" t="str">
        <f t="shared" si="206"/>
        <v/>
      </c>
      <c r="V1834" s="31" t="str">
        <f>IF(H1834="CHK",VLOOKUP(I1834,QCCHK,3,),IF(H1834="GUP",VLOOKUP(E1834,QCGUP,2,),IF(AND(H1834="ATP",OR(I1834="TN",I1834="TDN",I1834="TNO2-3",I1834="NO2-3")),VLOOKUP(E1834,QCREC_N,2,),IF(AND(H1834="NIC",OR(I1834="TN",I1834="TDN",I1834="TNO2-3",I1834="NO2-3")),VLOOKUP(E1834,QCNIC_N,2,),IF(AND(H1834="UREA",OR(I1834="TN",I1834="TDN",I1834="TNO2-3",I1834="NO2-3")),VLOOKUP(E1834,QCUREA_N,2,),IF(H1834="PER",VLOOKUP(I1834,QCPER,MATCH(E1834,QCACTUAL!$J$25:$AA$25,0),),IF(H1834="SPK",VLOOKUP(I1834,QCSPK,3,),IF(AND(H1834="ATP",OR(I1834="TP",I1834="TDP")),VLOOKUP(E1834,QCATP_P,2,),""))))))))</f>
        <v/>
      </c>
      <c r="W1834" s="31" t="str">
        <f t="shared" si="207"/>
        <v>TRUE</v>
      </c>
      <c r="X1834" s="31" t="str">
        <f t="shared" si="204"/>
        <v/>
      </c>
      <c r="Y1834" s="10" t="s">
        <v>1126</v>
      </c>
      <c r="AF1834" s="12">
        <v>44958</v>
      </c>
      <c r="AG1834" s="10">
        <f>-20.9*0.609^2+141.62*0.609-73.036</f>
        <v>5.4591671000000019</v>
      </c>
      <c r="AH1834" s="10">
        <f>-1.3807*0.609^2+80.818*0.609-42.013</f>
        <v>6.6930866033000029</v>
      </c>
      <c r="AI1834" s="10">
        <f>0.6312*0.609^2+63.45*0.609-30.993</f>
        <v>7.8821500871999994</v>
      </c>
      <c r="AK1834" s="10">
        <f>0.0239*0.609^2+66.574*0.609-31.913</f>
        <v>8.6394300558999966</v>
      </c>
      <c r="AL1834" s="10" t="str">
        <f t="shared" si="209"/>
        <v>y=-20.90*0.609^2+141.62*0.609-73.036</v>
      </c>
      <c r="AM1834" s="10" t="str">
        <f t="shared" si="209"/>
        <v>y=-1.3807*0.609^2+80.818*0.609-42.013</v>
      </c>
      <c r="AN1834" s="10" t="str">
        <f t="shared" si="209"/>
        <v>y=0.6312*0.609^2+63.45*0.609-30.993</v>
      </c>
      <c r="AO1834" s="10" t="str">
        <f t="shared" si="210"/>
        <v>FALSE</v>
      </c>
      <c r="AP1834" s="10" t="str">
        <f t="shared" si="210"/>
        <v>y=0.0239*0.609^2+66.574*0.609-31.913</v>
      </c>
      <c r="AQ1834" s="10" t="str">
        <f>IF(AND(I1834="TP",S1834&lt;=150),VLOOKUP(AF1834,TPCalibEq150!$AZ$2:$BB$55,3,),IF(AND(I1834="TDP",S1834&lt;=150),VLOOKUP(AF1834,TPCalibEq150!$AZ$2:$BB$55,3,)))</f>
        <v>y=-20.90x2+141.62x-73.036</v>
      </c>
      <c r="AR1834" s="10" t="str">
        <f>IF(AND(I1834="TP",S1834&lt;=300),VLOOKUP(AF1834,TPCalibEq300!$AZ$2:$BB$55,3,),IF(AND(I1834="TDP",S1834&lt;=300),VLOOKUP(AF1834,TPCalibEq300!$AZ$2:$BB$55,3,)))</f>
        <v>y=-1.3807x2+80.818x-42.013</v>
      </c>
      <c r="AS1834" s="10" t="str">
        <f>IF(AND(I1834="TP",S1834&lt;=500),VLOOKUP(AF1834,TPCalibEq500!$AZ$2:$BB$56,3,),IF(AND(I1834="TDP",S1834&lt;=500),VLOOKUP(AF1834,TPCalibEq500!$AZ$2:$BB$56,3,)))</f>
        <v>y=0.6312x2+63.45x-30.993</v>
      </c>
      <c r="AT1834" s="10" t="b">
        <f>IF(AND(I1834="TN",S1834&lt;=2800),VLOOKUP(AF1834,TNCalibEq2500!$AZ$2:$BB$56,3,),IF(AND(I1834="TDN",S1834&lt;=2800),VLOOKUP(AF1834,TNCalibEq2500!$AZ$2:$BB$56,3,)))</f>
        <v>0</v>
      </c>
      <c r="AU1834" s="10" t="str">
        <f>IF(I1834="TP",VLOOKUP(AF1834,TPCalibEqFull!$AZ$2:$BB$56,3),IF(I1834="TDP",VLOOKUP(AF1834,TPCalibEqFull!$AZ$2:$BB$56,3),IF(I1834="TDN",VLOOKUP(AF1834,TNCalibEqFull!$AZ$1:$BB$56,3),IF(I1834="TN",VLOOKUP(AF1834,TNCalibEqFull!$AZ$1:$BB$56,3),FALSE))))</f>
        <v>y=0.0239x2+66.574x-31.913</v>
      </c>
      <c r="AV1834" s="10" t="str">
        <f t="shared" si="208"/>
        <v>0201 09:00:00-QAC-STD-D.G-1-DI-CAL</v>
      </c>
    </row>
    <row r="1835" spans="1:48" s="10" customFormat="1" x14ac:dyDescent="0.55000000000000004">
      <c r="A1835" s="32">
        <v>44958</v>
      </c>
      <c r="B1835" s="33">
        <v>0.375</v>
      </c>
      <c r="C1835" s="10" t="s">
        <v>70</v>
      </c>
      <c r="D1835" s="10" t="s">
        <v>71</v>
      </c>
      <c r="E1835" s="10" t="s">
        <v>919</v>
      </c>
      <c r="F1835" s="10">
        <v>1</v>
      </c>
      <c r="G1835" s="10" t="s">
        <v>73</v>
      </c>
      <c r="H1835" s="10" t="s">
        <v>74</v>
      </c>
      <c r="I1835" s="10" t="s">
        <v>83</v>
      </c>
      <c r="J1835" s="10">
        <v>183</v>
      </c>
      <c r="K1835" s="12">
        <v>44958</v>
      </c>
      <c r="L1835" s="33">
        <v>0.57170138888888888</v>
      </c>
      <c r="M1835" s="10">
        <v>1</v>
      </c>
      <c r="N1835" s="10" t="s">
        <v>84</v>
      </c>
      <c r="O1835" s="10">
        <v>1.0900000000000001</v>
      </c>
      <c r="P1835" s="10">
        <v>7.4200000000000002E-2</v>
      </c>
      <c r="Q1835" s="10">
        <v>50</v>
      </c>
      <c r="R1835" s="10" t="s">
        <v>85</v>
      </c>
      <c r="S1835" s="34">
        <f t="shared" si="205"/>
        <v>50</v>
      </c>
      <c r="T1835" s="10" t="s">
        <v>1127</v>
      </c>
      <c r="U1835" s="34" t="str">
        <f t="shared" si="206"/>
        <v/>
      </c>
      <c r="V1835" s="31" t="str">
        <f>IF(H1835="CHK",VLOOKUP(I1835,QCCHK,3,),IF(H1835="GUP",VLOOKUP(E1835,QCGUP,2,),IF(AND(H1835="ATP",OR(I1835="TN",I1835="TDN",I1835="TNO2-3",I1835="NO2-3")),VLOOKUP(E1835,QCREC_N,2,),IF(AND(H1835="NIC",OR(I1835="TN",I1835="TDN",I1835="TNO2-3",I1835="NO2-3")),VLOOKUP(E1835,QCNIC_N,2,),IF(AND(H1835="UREA",OR(I1835="TN",I1835="TDN",I1835="TNO2-3",I1835="NO2-3")),VLOOKUP(E1835,QCUREA_N,2,),IF(H1835="PER",VLOOKUP(I1835,QCPER,MATCH(E1835,QCACTUAL!$J$25:$AA$25,0),),IF(H1835="SPK",VLOOKUP(I1835,QCSPK,3,),IF(AND(H1835="ATP",OR(I1835="TP",I1835="TDP")),VLOOKUP(E1835,QCATP_P,2,),""))))))))</f>
        <v/>
      </c>
      <c r="W1835" s="31" t="str">
        <f t="shared" si="207"/>
        <v>TRUE</v>
      </c>
      <c r="X1835" s="31" t="str">
        <f t="shared" si="204"/>
        <v/>
      </c>
      <c r="Y1835" s="10" t="s">
        <v>1126</v>
      </c>
      <c r="AF1835" s="12">
        <v>44958</v>
      </c>
      <c r="AG1835" s="10">
        <f>-20.9*1.09^2+141.62*1.09-73.036</f>
        <v>56.49851000000001</v>
      </c>
      <c r="AH1835" s="10">
        <f>-1.3807*1.09^2+80.818*1.09-42.013</f>
        <v>44.438210330000011</v>
      </c>
      <c r="AI1835" s="10">
        <f>0.6312*1.09^2+63.45*1.09-30.993</f>
        <v>38.917428720000018</v>
      </c>
      <c r="AK1835" s="10">
        <f>0.0239*1.09^2+66.574*1.09-31.913</f>
        <v>40.681055590000014</v>
      </c>
      <c r="AL1835" s="10" t="str">
        <f t="shared" si="209"/>
        <v>y=-20.90*1.09^2+141.62*1.09-73.036</v>
      </c>
      <c r="AM1835" s="10" t="str">
        <f t="shared" si="209"/>
        <v>y=-1.3807*1.09^2+80.818*1.09-42.013</v>
      </c>
      <c r="AN1835" s="10" t="str">
        <f t="shared" si="209"/>
        <v>y=0.6312*1.09^2+63.45*1.09-30.993</v>
      </c>
      <c r="AO1835" s="10" t="str">
        <f t="shared" si="210"/>
        <v>FALSE</v>
      </c>
      <c r="AP1835" s="10" t="str">
        <f t="shared" si="210"/>
        <v>y=0.0239*1.09^2+66.574*1.09-31.913</v>
      </c>
      <c r="AQ1835" s="10" t="str">
        <f>IF(AND(I1835="TP",S1835&lt;=150),VLOOKUP(AF1835,TPCalibEq150!$AZ$2:$BB$55,3,),IF(AND(I1835="TDP",S1835&lt;=150),VLOOKUP(AF1835,TPCalibEq150!$AZ$2:$BB$55,3,)))</f>
        <v>y=-20.90x2+141.62x-73.036</v>
      </c>
      <c r="AR1835" s="10" t="str">
        <f>IF(AND(I1835="TP",S1835&lt;=300),VLOOKUP(AF1835,TPCalibEq300!$AZ$2:$BB$55,3,),IF(AND(I1835="TDP",S1835&lt;=300),VLOOKUP(AF1835,TPCalibEq300!$AZ$2:$BB$55,3,)))</f>
        <v>y=-1.3807x2+80.818x-42.013</v>
      </c>
      <c r="AS1835" s="10" t="str">
        <f>IF(AND(I1835="TP",S1835&lt;=500),VLOOKUP(AF1835,TPCalibEq500!$AZ$2:$BB$56,3,),IF(AND(I1835="TDP",S1835&lt;=500),VLOOKUP(AF1835,TPCalibEq500!$AZ$2:$BB$56,3,)))</f>
        <v>y=0.6312x2+63.45x-30.993</v>
      </c>
      <c r="AT1835" s="10" t="b">
        <f>IF(AND(I1835="TN",S1835&lt;=2800),VLOOKUP(AF1835,TNCalibEq2500!$AZ$2:$BB$56,3,),IF(AND(I1835="TDN",S1835&lt;=2800),VLOOKUP(AF1835,TNCalibEq2500!$AZ$2:$BB$56,3,)))</f>
        <v>0</v>
      </c>
      <c r="AU1835" s="10" t="str">
        <f>IF(I1835="TP",VLOOKUP(AF1835,TPCalibEqFull!$AZ$2:$BB$56,3),IF(I1835="TDP",VLOOKUP(AF1835,TPCalibEqFull!$AZ$2:$BB$56,3),IF(I1835="TDN",VLOOKUP(AF1835,TNCalibEqFull!$AZ$1:$BB$56,3),IF(I1835="TN",VLOOKUP(AF1835,TNCalibEqFull!$AZ$1:$BB$56,3),FALSE))))</f>
        <v>y=0.0239x2+66.574x-31.913</v>
      </c>
      <c r="AV1835" s="10" t="str">
        <f t="shared" si="208"/>
        <v>0201 09:00:00-QAC-STD-D.F-1-DI-CAL</v>
      </c>
    </row>
    <row r="1836" spans="1:48" s="10" customFormat="1" x14ac:dyDescent="0.55000000000000004">
      <c r="A1836" s="32">
        <v>44958</v>
      </c>
      <c r="B1836" s="33">
        <v>0.375</v>
      </c>
      <c r="C1836" s="10" t="s">
        <v>70</v>
      </c>
      <c r="D1836" s="10" t="s">
        <v>71</v>
      </c>
      <c r="E1836" s="10" t="s">
        <v>920</v>
      </c>
      <c r="F1836" s="10">
        <v>1</v>
      </c>
      <c r="G1836" s="10" t="s">
        <v>73</v>
      </c>
      <c r="H1836" s="10" t="s">
        <v>74</v>
      </c>
      <c r="I1836" s="10" t="s">
        <v>83</v>
      </c>
      <c r="J1836" s="10">
        <v>184</v>
      </c>
      <c r="K1836" s="12">
        <v>44958</v>
      </c>
      <c r="L1836" s="33">
        <v>0.57240740740740736</v>
      </c>
      <c r="M1836" s="10">
        <v>1</v>
      </c>
      <c r="N1836" s="10" t="s">
        <v>84</v>
      </c>
      <c r="O1836" s="10">
        <v>3.36</v>
      </c>
      <c r="P1836" s="10">
        <v>0.23200000000000001</v>
      </c>
      <c r="Q1836" s="10">
        <v>200</v>
      </c>
      <c r="R1836" s="10" t="s">
        <v>85</v>
      </c>
      <c r="S1836" s="34">
        <f t="shared" si="205"/>
        <v>200</v>
      </c>
      <c r="T1836" s="10" t="s">
        <v>1128</v>
      </c>
      <c r="U1836" s="34" t="str">
        <f t="shared" si="206"/>
        <v/>
      </c>
      <c r="V1836" s="31" t="str">
        <f>IF(H1836="CHK",VLOOKUP(I1836,QCCHK,3,),IF(H1836="GUP",VLOOKUP(E1836,QCGUP,2,),IF(AND(H1836="ATP",OR(I1836="TN",I1836="TDN",I1836="TNO2-3",I1836="NO2-3")),VLOOKUP(E1836,QCREC_N,2,),IF(AND(H1836="NIC",OR(I1836="TN",I1836="TDN",I1836="TNO2-3",I1836="NO2-3")),VLOOKUP(E1836,QCNIC_N,2,),IF(AND(H1836="UREA",OR(I1836="TN",I1836="TDN",I1836="TNO2-3",I1836="NO2-3")),VLOOKUP(E1836,QCUREA_N,2,),IF(H1836="PER",VLOOKUP(I1836,QCPER,MATCH(E1836,QCACTUAL!$J$25:$AA$25,0),),IF(H1836="SPK",VLOOKUP(I1836,QCSPK,3,),IF(AND(H1836="ATP",OR(I1836="TP",I1836="TDP")),VLOOKUP(E1836,QCATP_P,2,),""))))))))</f>
        <v/>
      </c>
      <c r="W1836" s="31" t="str">
        <f t="shared" si="207"/>
        <v>TRUE</v>
      </c>
      <c r="X1836" s="31" t="str">
        <f t="shared" si="204"/>
        <v/>
      </c>
      <c r="Y1836" s="10" t="s">
        <v>1126</v>
      </c>
      <c r="AF1836" s="12">
        <v>44958</v>
      </c>
      <c r="AH1836" s="10">
        <f>-1.3807*3.36^2+80.818*3.36-42.013</f>
        <v>213.94792927999998</v>
      </c>
      <c r="AI1836" s="10">
        <f>0.6312*3.36^2+63.45*3.36-30.993</f>
        <v>189.32499552000002</v>
      </c>
      <c r="AK1836" s="10">
        <f>0.0239*3.36^2+66.574*3.36-31.913</f>
        <v>192.04546143999997</v>
      </c>
      <c r="AL1836" s="10" t="str">
        <f t="shared" si="209"/>
        <v>FALSE</v>
      </c>
      <c r="AM1836" s="10" t="str">
        <f t="shared" si="209"/>
        <v>y=-1.3807*3.36^2+80.818*3.36-42.013</v>
      </c>
      <c r="AN1836" s="10" t="str">
        <f t="shared" si="209"/>
        <v>y=0.6312*3.36^2+63.45*3.36-30.993</v>
      </c>
      <c r="AO1836" s="10" t="str">
        <f t="shared" si="210"/>
        <v>FALSE</v>
      </c>
      <c r="AP1836" s="10" t="str">
        <f t="shared" si="210"/>
        <v>y=0.0239*3.36^2+66.574*3.36-31.913</v>
      </c>
      <c r="AQ1836" s="10" t="b">
        <f>IF(AND(I1836="TP",S1836&lt;=150),VLOOKUP(AF1836,TPCalibEq150!$AZ$2:$BB$55,3,),IF(AND(I1836="TDP",S1836&lt;=150),VLOOKUP(AF1836,TPCalibEq150!$AZ$2:$BB$55,3,)))</f>
        <v>0</v>
      </c>
      <c r="AR1836" s="10" t="str">
        <f>IF(AND(I1836="TP",S1836&lt;=300),VLOOKUP(AF1836,TPCalibEq300!$AZ$2:$BB$55,3,),IF(AND(I1836="TDP",S1836&lt;=300),VLOOKUP(AF1836,TPCalibEq300!$AZ$2:$BB$55,3,)))</f>
        <v>y=-1.3807x2+80.818x-42.013</v>
      </c>
      <c r="AS1836" s="10" t="str">
        <f>IF(AND(I1836="TP",S1836&lt;=500),VLOOKUP(AF1836,TPCalibEq500!$AZ$2:$BB$56,3,),IF(AND(I1836="TDP",S1836&lt;=500),VLOOKUP(AF1836,TPCalibEq500!$AZ$2:$BB$56,3,)))</f>
        <v>y=0.6312x2+63.45x-30.993</v>
      </c>
      <c r="AT1836" s="10" t="b">
        <f>IF(AND(I1836="TN",S1836&lt;=2800),VLOOKUP(AF1836,TNCalibEq2500!$AZ$2:$BB$56,3,),IF(AND(I1836="TDN",S1836&lt;=2800),VLOOKUP(AF1836,TNCalibEq2500!$AZ$2:$BB$56,3,)))</f>
        <v>0</v>
      </c>
      <c r="AU1836" s="10" t="str">
        <f>IF(I1836="TP",VLOOKUP(AF1836,TPCalibEqFull!$AZ$2:$BB$56,3),IF(I1836="TDP",VLOOKUP(AF1836,TPCalibEqFull!$AZ$2:$BB$56,3),IF(I1836="TDN",VLOOKUP(AF1836,TNCalibEqFull!$AZ$1:$BB$56,3),IF(I1836="TN",VLOOKUP(AF1836,TNCalibEqFull!$AZ$1:$BB$56,3),FALSE))))</f>
        <v>y=0.0239x2+66.574x-31.913</v>
      </c>
      <c r="AV1836" s="10" t="str">
        <f t="shared" si="208"/>
        <v>0201 09:00:00-QAC-STD-D.E-1-DI-CAL</v>
      </c>
    </row>
    <row r="1837" spans="1:48" s="10" customFormat="1" x14ac:dyDescent="0.55000000000000004">
      <c r="A1837" s="32">
        <v>44958</v>
      </c>
      <c r="B1837" s="33">
        <v>0.375</v>
      </c>
      <c r="C1837" s="10" t="s">
        <v>70</v>
      </c>
      <c r="D1837" s="10" t="s">
        <v>71</v>
      </c>
      <c r="E1837" s="10" t="s">
        <v>921</v>
      </c>
      <c r="F1837" s="10">
        <v>1</v>
      </c>
      <c r="G1837" s="10" t="s">
        <v>73</v>
      </c>
      <c r="H1837" s="10" t="s">
        <v>74</v>
      </c>
      <c r="I1837" s="10" t="s">
        <v>83</v>
      </c>
      <c r="J1837" s="10">
        <v>185</v>
      </c>
      <c r="K1837" s="12">
        <v>44958</v>
      </c>
      <c r="L1837" s="33">
        <v>0.57311342592592596</v>
      </c>
      <c r="M1837" s="10">
        <v>1</v>
      </c>
      <c r="N1837" s="10" t="s">
        <v>84</v>
      </c>
      <c r="O1837" s="10">
        <v>7.94</v>
      </c>
      <c r="P1837" s="10">
        <v>0.56599999999999995</v>
      </c>
      <c r="Q1837" s="10">
        <v>500</v>
      </c>
      <c r="R1837" s="10" t="s">
        <v>85</v>
      </c>
      <c r="S1837" s="34">
        <f t="shared" si="205"/>
        <v>500</v>
      </c>
      <c r="T1837" s="10" t="s">
        <v>1129</v>
      </c>
      <c r="U1837" s="34" t="str">
        <f t="shared" si="206"/>
        <v/>
      </c>
      <c r="V1837" s="31" t="str">
        <f>IF(H1837="CHK",VLOOKUP(I1837,QCCHK,3,),IF(H1837="GUP",VLOOKUP(E1837,QCGUP,2,),IF(AND(H1837="ATP",OR(I1837="TN",I1837="TDN",I1837="TNO2-3",I1837="NO2-3")),VLOOKUP(E1837,QCREC_N,2,),IF(AND(H1837="NIC",OR(I1837="TN",I1837="TDN",I1837="TNO2-3",I1837="NO2-3")),VLOOKUP(E1837,QCNIC_N,2,),IF(AND(H1837="UREA",OR(I1837="TN",I1837="TDN",I1837="TNO2-3",I1837="NO2-3")),VLOOKUP(E1837,QCUREA_N,2,),IF(H1837="PER",VLOOKUP(I1837,QCPER,MATCH(E1837,QCACTUAL!$J$25:$AA$25,0),),IF(H1837="SPK",VLOOKUP(I1837,QCSPK,3,),IF(AND(H1837="ATP",OR(I1837="TP",I1837="TDP")),VLOOKUP(E1837,QCATP_P,2,),""))))))))</f>
        <v/>
      </c>
      <c r="W1837" s="31" t="str">
        <f t="shared" si="207"/>
        <v>TRUE</v>
      </c>
      <c r="X1837" s="31" t="str">
        <f t="shared" si="204"/>
        <v/>
      </c>
      <c r="Y1837" s="10" t="s">
        <v>1126</v>
      </c>
      <c r="AF1837" s="12">
        <v>44958</v>
      </c>
      <c r="AI1837" s="10">
        <f>0.6312*7.94^2+63.45*7.94-30.993</f>
        <v>512.59312032000003</v>
      </c>
      <c r="AK1837" s="10">
        <f>0.0239*7.94^2+66.574*7.94-31.913</f>
        <v>498.19130203999998</v>
      </c>
      <c r="AL1837" s="10" t="str">
        <f t="shared" si="209"/>
        <v>FALSE</v>
      </c>
      <c r="AM1837" s="10" t="str">
        <f t="shared" si="209"/>
        <v>FALSE</v>
      </c>
      <c r="AN1837" s="10" t="str">
        <f t="shared" si="209"/>
        <v>y=0.6312*7.94^2+63.45*7.94-30.993</v>
      </c>
      <c r="AO1837" s="10" t="str">
        <f t="shared" si="210"/>
        <v>FALSE</v>
      </c>
      <c r="AP1837" s="10" t="str">
        <f t="shared" si="210"/>
        <v>y=0.0239*7.94^2+66.574*7.94-31.913</v>
      </c>
      <c r="AQ1837" s="10" t="b">
        <f>IF(AND(I1837="TP",S1837&lt;=150),VLOOKUP(AF1837,TPCalibEq150!$AZ$2:$BB$55,3,),IF(AND(I1837="TDP",S1837&lt;=150),VLOOKUP(AF1837,TPCalibEq150!$AZ$2:$BB$55,3,)))</f>
        <v>0</v>
      </c>
      <c r="AR1837" s="10" t="b">
        <f>IF(AND(I1837="TP",S1837&lt;=300),VLOOKUP(AF1837,TPCalibEq300!$AZ$2:$BB$55,3,),IF(AND(I1837="TDP",S1837&lt;=300),VLOOKUP(AF1837,TPCalibEq300!$AZ$2:$BB$55,3,)))</f>
        <v>0</v>
      </c>
      <c r="AS1837" s="10" t="str">
        <f>IF(AND(I1837="TP",S1837&lt;=500),VLOOKUP(AF1837,TPCalibEq500!$AZ$2:$BB$56,3,),IF(AND(I1837="TDP",S1837&lt;=500),VLOOKUP(AF1837,TPCalibEq500!$AZ$2:$BB$56,3,)))</f>
        <v>y=0.6312x2+63.45x-30.993</v>
      </c>
      <c r="AT1837" s="10" t="b">
        <f>IF(AND(I1837="TN",S1837&lt;=2800),VLOOKUP(AF1837,TNCalibEq2500!$AZ$2:$BB$56,3,),IF(AND(I1837="TDN",S1837&lt;=2800),VLOOKUP(AF1837,TNCalibEq2500!$AZ$2:$BB$56,3,)))</f>
        <v>0</v>
      </c>
      <c r="AU1837" s="10" t="str">
        <f>IF(I1837="TP",VLOOKUP(AF1837,TPCalibEqFull!$AZ$2:$BB$56,3),IF(I1837="TDP",VLOOKUP(AF1837,TPCalibEqFull!$AZ$2:$BB$56,3),IF(I1837="TDN",VLOOKUP(AF1837,TNCalibEqFull!$AZ$1:$BB$56,3),IF(I1837="TN",VLOOKUP(AF1837,TNCalibEqFull!$AZ$1:$BB$56,3),FALSE))))</f>
        <v>y=0.0239x2+66.574x-31.913</v>
      </c>
      <c r="AV1837" s="10" t="str">
        <f t="shared" si="208"/>
        <v>0201 09:00:00-QAC-STD-D.D-1-DI-CAL</v>
      </c>
    </row>
    <row r="1838" spans="1:48" s="10" customFormat="1" x14ac:dyDescent="0.55000000000000004">
      <c r="A1838" s="32">
        <v>44958</v>
      </c>
      <c r="B1838" s="33">
        <v>0.375</v>
      </c>
      <c r="C1838" s="10" t="s">
        <v>70</v>
      </c>
      <c r="D1838" s="10" t="s">
        <v>71</v>
      </c>
      <c r="E1838" s="10" t="s">
        <v>922</v>
      </c>
      <c r="F1838" s="10">
        <v>1</v>
      </c>
      <c r="G1838" s="10" t="s">
        <v>73</v>
      </c>
      <c r="H1838" s="10" t="s">
        <v>74</v>
      </c>
      <c r="I1838" s="10" t="s">
        <v>83</v>
      </c>
      <c r="J1838" s="10">
        <v>186</v>
      </c>
      <c r="K1838" s="12">
        <v>44958</v>
      </c>
      <c r="L1838" s="33">
        <v>0.57381944444444444</v>
      </c>
      <c r="M1838" s="10">
        <v>1</v>
      </c>
      <c r="N1838" s="10" t="s">
        <v>84</v>
      </c>
      <c r="O1838" s="10">
        <v>15.4</v>
      </c>
      <c r="P1838" s="10">
        <v>1.0900000000000001</v>
      </c>
      <c r="Q1838" s="10">
        <v>1000</v>
      </c>
      <c r="R1838" s="10" t="s">
        <v>85</v>
      </c>
      <c r="S1838" s="34">
        <f t="shared" si="205"/>
        <v>1000</v>
      </c>
      <c r="T1838" s="10" t="s">
        <v>1130</v>
      </c>
      <c r="U1838" s="34" t="str">
        <f t="shared" si="206"/>
        <v/>
      </c>
      <c r="V1838" s="31" t="str">
        <f>IF(H1838="CHK",VLOOKUP(I1838,QCCHK,3,),IF(H1838="GUP",VLOOKUP(E1838,QCGUP,2,),IF(AND(H1838="ATP",OR(I1838="TN",I1838="TDN",I1838="TNO2-3",I1838="NO2-3")),VLOOKUP(E1838,QCREC_N,2,),IF(AND(H1838="NIC",OR(I1838="TN",I1838="TDN",I1838="TNO2-3",I1838="NO2-3")),VLOOKUP(E1838,QCNIC_N,2,),IF(AND(H1838="UREA",OR(I1838="TN",I1838="TDN",I1838="TNO2-3",I1838="NO2-3")),VLOOKUP(E1838,QCUREA_N,2,),IF(H1838="PER",VLOOKUP(I1838,QCPER,MATCH(E1838,QCACTUAL!$J$25:$AA$25,0),),IF(H1838="SPK",VLOOKUP(I1838,QCSPK,3,),IF(AND(H1838="ATP",OR(I1838="TP",I1838="TDP")),VLOOKUP(E1838,QCATP_P,2,),""))))))))</f>
        <v/>
      </c>
      <c r="W1838" s="31" t="str">
        <f t="shared" si="207"/>
        <v>TRUE</v>
      </c>
      <c r="X1838" s="31" t="str">
        <f t="shared" si="204"/>
        <v/>
      </c>
      <c r="Y1838" s="10" t="s">
        <v>1126</v>
      </c>
      <c r="AF1838" s="12">
        <v>44958</v>
      </c>
      <c r="AK1838" s="10">
        <f>0.0239*15.4^2+66.574*15.4-31.913</f>
        <v>998.99472399999991</v>
      </c>
      <c r="AL1838" s="10" t="str">
        <f t="shared" si="209"/>
        <v>FALSE</v>
      </c>
      <c r="AM1838" s="10" t="str">
        <f t="shared" si="209"/>
        <v>FALSE</v>
      </c>
      <c r="AN1838" s="10" t="str">
        <f t="shared" si="209"/>
        <v>FALSE</v>
      </c>
      <c r="AO1838" s="10" t="str">
        <f t="shared" si="210"/>
        <v>FALSE</v>
      </c>
      <c r="AP1838" s="10" t="str">
        <f t="shared" si="210"/>
        <v>y=0.0239*15.4^2+66.574*15.4-31.913</v>
      </c>
      <c r="AQ1838" s="10" t="b">
        <f>IF(AND(I1838="TP",S1838&lt;=150),VLOOKUP(AF1838,TPCalibEq150!$AZ$2:$BB$55,3,),IF(AND(I1838="TDP",S1838&lt;=150),VLOOKUP(AF1838,TPCalibEq150!$AZ$2:$BB$55,3,)))</f>
        <v>0</v>
      </c>
      <c r="AR1838" s="10" t="b">
        <f>IF(AND(I1838="TP",S1838&lt;=300),VLOOKUP(AF1838,TPCalibEq300!$AZ$2:$BB$55,3,),IF(AND(I1838="TDP",S1838&lt;=300),VLOOKUP(AF1838,TPCalibEq300!$AZ$2:$BB$55,3,)))</f>
        <v>0</v>
      </c>
      <c r="AS1838" s="10" t="b">
        <f>IF(AND(I1838="TP",S1838&lt;=500),VLOOKUP(AF1838,TPCalibEq500!$AZ$2:$BB$56,3,),IF(AND(I1838="TDP",S1838&lt;=500),VLOOKUP(AF1838,TPCalibEq500!$AZ$2:$BB$56,3,)))</f>
        <v>0</v>
      </c>
      <c r="AT1838" s="10" t="b">
        <f>IF(AND(I1838="TN",S1838&lt;=2800),VLOOKUP(AF1838,TNCalibEq2500!$AZ$2:$BB$56,3,),IF(AND(I1838="TDN",S1838&lt;=2800),VLOOKUP(AF1838,TNCalibEq2500!$AZ$2:$BB$56,3,)))</f>
        <v>0</v>
      </c>
      <c r="AU1838" s="10" t="str">
        <f>IF(I1838="TP",VLOOKUP(AF1838,TPCalibEqFull!$AZ$2:$BB$56,3),IF(I1838="TDP",VLOOKUP(AF1838,TPCalibEqFull!$AZ$2:$BB$56,3),IF(I1838="TDN",VLOOKUP(AF1838,TNCalibEqFull!$AZ$1:$BB$56,3),IF(I1838="TN",VLOOKUP(AF1838,TNCalibEqFull!$AZ$1:$BB$56,3),FALSE))))</f>
        <v>y=0.0239x2+66.574x-31.913</v>
      </c>
      <c r="AV1838" s="10" t="str">
        <f t="shared" si="208"/>
        <v>0201 09:00:00-QAC-STD-D.C-1-DI-CAL</v>
      </c>
    </row>
    <row r="1839" spans="1:48" s="10" customFormat="1" x14ac:dyDescent="0.55000000000000004">
      <c r="A1839" s="32">
        <v>44958</v>
      </c>
      <c r="B1839" s="33">
        <v>0.375</v>
      </c>
      <c r="C1839" s="10" t="s">
        <v>70</v>
      </c>
      <c r="D1839" s="10" t="s">
        <v>71</v>
      </c>
      <c r="E1839" s="10" t="s">
        <v>923</v>
      </c>
      <c r="F1839" s="10">
        <v>1</v>
      </c>
      <c r="G1839" s="10" t="s">
        <v>73</v>
      </c>
      <c r="H1839" s="10" t="s">
        <v>74</v>
      </c>
      <c r="I1839" s="10" t="s">
        <v>83</v>
      </c>
      <c r="J1839" s="10">
        <v>187</v>
      </c>
      <c r="K1839" s="12">
        <v>44958</v>
      </c>
      <c r="L1839" s="33">
        <v>0.57452546296296292</v>
      </c>
      <c r="M1839" s="10">
        <v>1</v>
      </c>
      <c r="N1839" s="10" t="s">
        <v>84</v>
      </c>
      <c r="O1839" s="10">
        <v>23.2</v>
      </c>
      <c r="P1839" s="10">
        <v>1.62</v>
      </c>
      <c r="Q1839" s="10">
        <v>1500</v>
      </c>
      <c r="R1839" s="10" t="s">
        <v>85</v>
      </c>
      <c r="S1839" s="34">
        <f t="shared" si="205"/>
        <v>1500</v>
      </c>
      <c r="T1839" s="10" t="s">
        <v>1131</v>
      </c>
      <c r="U1839" s="34" t="str">
        <f t="shared" si="206"/>
        <v/>
      </c>
      <c r="V1839" s="31" t="str">
        <f>IF(H1839="CHK",VLOOKUP(I1839,QCCHK,3,),IF(H1839="GUP",VLOOKUP(E1839,QCGUP,2,),IF(AND(H1839="ATP",OR(I1839="TN",I1839="TDN",I1839="TNO2-3",I1839="NO2-3")),VLOOKUP(E1839,QCREC_N,2,),IF(AND(H1839="NIC",OR(I1839="TN",I1839="TDN",I1839="TNO2-3",I1839="NO2-3")),VLOOKUP(E1839,QCNIC_N,2,),IF(AND(H1839="UREA",OR(I1839="TN",I1839="TDN",I1839="TNO2-3",I1839="NO2-3")),VLOOKUP(E1839,QCUREA_N,2,),IF(H1839="PER",VLOOKUP(I1839,QCPER,MATCH(E1839,QCACTUAL!$J$25:$AA$25,0),),IF(H1839="SPK",VLOOKUP(I1839,QCSPK,3,),IF(AND(H1839="ATP",OR(I1839="TP",I1839="TDP")),VLOOKUP(E1839,QCATP_P,2,),""))))))))</f>
        <v/>
      </c>
      <c r="W1839" s="31" t="str">
        <f t="shared" si="207"/>
        <v>TRUE</v>
      </c>
      <c r="X1839" s="31" t="str">
        <f t="shared" si="204"/>
        <v/>
      </c>
      <c r="Y1839" s="10" t="s">
        <v>1126</v>
      </c>
      <c r="AF1839" s="12">
        <v>44958</v>
      </c>
      <c r="AK1839" s="10">
        <f>0.0239*23.2^2+66.574*23.2-31.913</f>
        <v>1525.4677359999998</v>
      </c>
      <c r="AL1839" s="10" t="str">
        <f t="shared" si="209"/>
        <v>FALSE</v>
      </c>
      <c r="AM1839" s="10" t="str">
        <f t="shared" si="209"/>
        <v>FALSE</v>
      </c>
      <c r="AN1839" s="10" t="str">
        <f t="shared" si="209"/>
        <v>FALSE</v>
      </c>
      <c r="AO1839" s="10" t="str">
        <f t="shared" si="210"/>
        <v>FALSE</v>
      </c>
      <c r="AP1839" s="10" t="str">
        <f t="shared" si="210"/>
        <v>y=0.0239*23.2^2+66.574*23.2-31.913</v>
      </c>
      <c r="AQ1839" s="10" t="b">
        <f>IF(AND(I1839="TP",S1839&lt;=150),VLOOKUP(AF1839,TPCalibEq150!$AZ$2:$BB$55,3,),IF(AND(I1839="TDP",S1839&lt;=150),VLOOKUP(AF1839,TPCalibEq150!$AZ$2:$BB$55,3,)))</f>
        <v>0</v>
      </c>
      <c r="AR1839" s="10" t="b">
        <f>IF(AND(I1839="TP",S1839&lt;=300),VLOOKUP(AF1839,TPCalibEq300!$AZ$2:$BB$55,3,),IF(AND(I1839="TDP",S1839&lt;=300),VLOOKUP(AF1839,TPCalibEq300!$AZ$2:$BB$55,3,)))</f>
        <v>0</v>
      </c>
      <c r="AS1839" s="10" t="b">
        <f>IF(AND(I1839="TP",S1839&lt;=500),VLOOKUP(AF1839,TPCalibEq500!$AZ$2:$BB$56,3,),IF(AND(I1839="TDP",S1839&lt;=500),VLOOKUP(AF1839,TPCalibEq500!$AZ$2:$BB$56,3,)))</f>
        <v>0</v>
      </c>
      <c r="AT1839" s="10" t="b">
        <f>IF(AND(I1839="TN",S1839&lt;=2800),VLOOKUP(AF1839,TNCalibEq2500!$AZ$2:$BB$56,3,),IF(AND(I1839="TDN",S1839&lt;=2800),VLOOKUP(AF1839,TNCalibEq2500!$AZ$2:$BB$56,3,)))</f>
        <v>0</v>
      </c>
      <c r="AU1839" s="10" t="str">
        <f>IF(I1839="TP",VLOOKUP(AF1839,TPCalibEqFull!$AZ$2:$BB$56,3),IF(I1839="TDP",VLOOKUP(AF1839,TPCalibEqFull!$AZ$2:$BB$56,3),IF(I1839="TDN",VLOOKUP(AF1839,TNCalibEqFull!$AZ$1:$BB$56,3),IF(I1839="TN",VLOOKUP(AF1839,TNCalibEqFull!$AZ$1:$BB$56,3),FALSE))))</f>
        <v>y=0.0239x2+66.574x-31.913</v>
      </c>
      <c r="AV1839" s="10" t="str">
        <f t="shared" si="208"/>
        <v>0201 09:00:00-QAC-STD-D.B-1-DI-CAL</v>
      </c>
    </row>
    <row r="1840" spans="1:48" s="10" customFormat="1" x14ac:dyDescent="0.55000000000000004">
      <c r="A1840" s="32">
        <v>44958</v>
      </c>
      <c r="B1840" s="33">
        <v>0.375</v>
      </c>
      <c r="C1840" s="10" t="s">
        <v>70</v>
      </c>
      <c r="D1840" s="10" t="s">
        <v>71</v>
      </c>
      <c r="E1840" s="10" t="s">
        <v>924</v>
      </c>
      <c r="F1840" s="10">
        <v>1</v>
      </c>
      <c r="G1840" s="10" t="s">
        <v>73</v>
      </c>
      <c r="H1840" s="10" t="s">
        <v>74</v>
      </c>
      <c r="I1840" s="10" t="s">
        <v>83</v>
      </c>
      <c r="J1840" s="10">
        <v>188</v>
      </c>
      <c r="K1840" s="12">
        <v>44958</v>
      </c>
      <c r="L1840" s="33">
        <v>0.57523148148148151</v>
      </c>
      <c r="M1840" s="10">
        <v>1</v>
      </c>
      <c r="N1840" s="10" t="s">
        <v>84</v>
      </c>
      <c r="O1840" s="10">
        <v>30</v>
      </c>
      <c r="P1840" s="10">
        <v>2.08</v>
      </c>
      <c r="Q1840" s="10">
        <v>2000</v>
      </c>
      <c r="R1840" s="10" t="s">
        <v>85</v>
      </c>
      <c r="S1840" s="34">
        <f t="shared" si="205"/>
        <v>2000</v>
      </c>
      <c r="T1840" s="10" t="s">
        <v>1132</v>
      </c>
      <c r="U1840" s="34" t="str">
        <f t="shared" si="206"/>
        <v/>
      </c>
      <c r="V1840" s="31" t="str">
        <f>IF(H1840="CHK",VLOOKUP(I1840,QCCHK,3,),IF(H1840="GUP",VLOOKUP(E1840,QCGUP,2,),IF(AND(H1840="ATP",OR(I1840="TN",I1840="TDN",I1840="TNO2-3",I1840="NO2-3")),VLOOKUP(E1840,QCREC_N,2,),IF(AND(H1840="NIC",OR(I1840="TN",I1840="TDN",I1840="TNO2-3",I1840="NO2-3")),VLOOKUP(E1840,QCNIC_N,2,),IF(AND(H1840="UREA",OR(I1840="TN",I1840="TDN",I1840="TNO2-3",I1840="NO2-3")),VLOOKUP(E1840,QCUREA_N,2,),IF(H1840="PER",VLOOKUP(I1840,QCPER,MATCH(E1840,QCACTUAL!$J$25:$AA$25,0),),IF(H1840="SPK",VLOOKUP(I1840,QCSPK,3,),IF(AND(H1840="ATP",OR(I1840="TP",I1840="TDP")),VLOOKUP(E1840,QCATP_P,2,),""))))))))</f>
        <v/>
      </c>
      <c r="W1840" s="31" t="str">
        <f t="shared" si="207"/>
        <v>TRUE</v>
      </c>
      <c r="X1840" s="31" t="str">
        <f t="shared" si="204"/>
        <v/>
      </c>
      <c r="Y1840" s="10" t="s">
        <v>1126</v>
      </c>
      <c r="AF1840" s="12">
        <v>44958</v>
      </c>
      <c r="AK1840" s="10">
        <f>0.0239*30^2+66.574*30-31.913</f>
        <v>1986.817</v>
      </c>
      <c r="AL1840" s="10" t="str">
        <f t="shared" si="209"/>
        <v>FALSE</v>
      </c>
      <c r="AM1840" s="10" t="str">
        <f t="shared" si="209"/>
        <v>FALSE</v>
      </c>
      <c r="AN1840" s="10" t="str">
        <f t="shared" si="209"/>
        <v>FALSE</v>
      </c>
      <c r="AO1840" s="10" t="str">
        <f t="shared" si="210"/>
        <v>FALSE</v>
      </c>
      <c r="AP1840" s="10" t="str">
        <f t="shared" si="210"/>
        <v>y=0.0239*30^2+66.574*30-31.913</v>
      </c>
      <c r="AQ1840" s="10" t="b">
        <f>IF(AND(I1840="TP",S1840&lt;=150),VLOOKUP(AF1840,TPCalibEq150!$AZ$2:$BB$55,3,),IF(AND(I1840="TDP",S1840&lt;=150),VLOOKUP(AF1840,TPCalibEq150!$AZ$2:$BB$55,3,)))</f>
        <v>0</v>
      </c>
      <c r="AR1840" s="10" t="b">
        <f>IF(AND(I1840="TP",S1840&lt;=300),VLOOKUP(AF1840,TPCalibEq300!$AZ$2:$BB$55,3,),IF(AND(I1840="TDP",S1840&lt;=300),VLOOKUP(AF1840,TPCalibEq300!$AZ$2:$BB$55,3,)))</f>
        <v>0</v>
      </c>
      <c r="AS1840" s="10" t="b">
        <f>IF(AND(I1840="TP",S1840&lt;=500),VLOOKUP(AF1840,TPCalibEq500!$AZ$2:$BB$56,3,),IF(AND(I1840="TDP",S1840&lt;=500),VLOOKUP(AF1840,TPCalibEq500!$AZ$2:$BB$56,3,)))</f>
        <v>0</v>
      </c>
      <c r="AT1840" s="10" t="b">
        <f>IF(AND(I1840="TN",S1840&lt;=2800),VLOOKUP(AF1840,TNCalibEq2500!$AZ$2:$BB$56,3,),IF(AND(I1840="TDN",S1840&lt;=2800),VLOOKUP(AF1840,TNCalibEq2500!$AZ$2:$BB$56,3,)))</f>
        <v>0</v>
      </c>
      <c r="AU1840" s="10" t="str">
        <f>IF(I1840="TP",VLOOKUP(AF1840,TPCalibEqFull!$AZ$2:$BB$56,3),IF(I1840="TDP",VLOOKUP(AF1840,TPCalibEqFull!$AZ$2:$BB$56,3),IF(I1840="TDN",VLOOKUP(AF1840,TNCalibEqFull!$AZ$1:$BB$56,3),IF(I1840="TN",VLOOKUP(AF1840,TNCalibEqFull!$AZ$1:$BB$56,3),FALSE))))</f>
        <v>y=0.0239x2+66.574x-31.913</v>
      </c>
      <c r="AV1840" s="10" t="str">
        <f t="shared" si="208"/>
        <v>0201 09:00:00-QAC-STD-D.A-1-DI-CAL</v>
      </c>
    </row>
    <row r="1841" spans="1:48" s="10" customFormat="1" x14ac:dyDescent="0.55000000000000004">
      <c r="A1841" s="32">
        <v>44958</v>
      </c>
      <c r="B1841" s="33">
        <v>0.375</v>
      </c>
      <c r="C1841" s="10" t="s">
        <v>70</v>
      </c>
      <c r="D1841" s="10" t="s">
        <v>71</v>
      </c>
      <c r="E1841" s="10" t="s">
        <v>925</v>
      </c>
      <c r="F1841" s="10">
        <v>1</v>
      </c>
      <c r="G1841" s="10" t="s">
        <v>73</v>
      </c>
      <c r="H1841" s="10" t="s">
        <v>74</v>
      </c>
      <c r="I1841" s="10" t="s">
        <v>83</v>
      </c>
      <c r="J1841" s="10">
        <v>189</v>
      </c>
      <c r="K1841" s="12">
        <v>44958</v>
      </c>
      <c r="L1841" s="33">
        <v>0.57594907407407414</v>
      </c>
      <c r="M1841" s="10">
        <v>1</v>
      </c>
      <c r="N1841" s="10" t="s">
        <v>84</v>
      </c>
      <c r="O1841" s="10">
        <v>0.57399999999999995</v>
      </c>
      <c r="P1841" s="10">
        <v>3.7699999999999997E-2</v>
      </c>
      <c r="Q1841" s="10">
        <v>0</v>
      </c>
      <c r="R1841" s="10" t="s">
        <v>85</v>
      </c>
      <c r="S1841" s="34">
        <f t="shared" si="205"/>
        <v>0</v>
      </c>
      <c r="T1841" s="10" t="s">
        <v>1132</v>
      </c>
      <c r="U1841" s="34" t="str">
        <f t="shared" si="206"/>
        <v/>
      </c>
      <c r="V1841" s="31" t="str">
        <f>IF(H1841="CHK",VLOOKUP(I1841,QCCHK,3,),IF(H1841="GUP",VLOOKUP(E1841,QCGUP,2,),IF(AND(H1841="ATP",OR(I1841="TN",I1841="TDN",I1841="TNO2-3",I1841="NO2-3")),VLOOKUP(E1841,QCREC_N,2,),IF(AND(H1841="NIC",OR(I1841="TN",I1841="TDN",I1841="TNO2-3",I1841="NO2-3")),VLOOKUP(E1841,QCNIC_N,2,),IF(AND(H1841="UREA",OR(I1841="TN",I1841="TDN",I1841="TNO2-3",I1841="NO2-3")),VLOOKUP(E1841,QCUREA_N,2,),IF(H1841="PER",VLOOKUP(I1841,QCPER,MATCH(E1841,QCACTUAL!$J$25:$AA$25,0),),IF(H1841="SPK",VLOOKUP(I1841,QCSPK,3,),IF(AND(H1841="ATP",OR(I1841="TP",I1841="TDP")),VLOOKUP(E1841,QCATP_P,2,),""))))))))</f>
        <v/>
      </c>
      <c r="W1841" s="31" t="str">
        <f t="shared" si="207"/>
        <v>TRUE</v>
      </c>
      <c r="X1841" s="31" t="str">
        <f t="shared" si="204"/>
        <v/>
      </c>
      <c r="Y1841" s="10" t="s">
        <v>1126</v>
      </c>
      <c r="AF1841" s="12">
        <v>44958</v>
      </c>
      <c r="AG1841" s="10">
        <f>-20.9*0.574^2+141.62*0.574-73.036</f>
        <v>1.3678316000000024</v>
      </c>
      <c r="AH1841" s="10">
        <f>-1.3807*0.574^2+80.818*0.574-42.013</f>
        <v>3.921624486799999</v>
      </c>
      <c r="AI1841" s="10">
        <f>0.6312*0.574^2+63.45*0.574-30.993</f>
        <v>5.6352652511999999</v>
      </c>
      <c r="AK1841" s="10">
        <f>0.0239*0.574^2+66.574*0.574-31.913</f>
        <v>6.3083504763999905</v>
      </c>
      <c r="AL1841" s="10" t="str">
        <f t="shared" ref="AL1841:AN1904" si="211">IF($O1841="", "", IF(AQ1841&lt;&gt;"", SUBSTITUTE(SUBSTITUTE(AQ1841, "x", "*"&amp;$O1841&amp;"^", 1), "x", "*"&amp;$O1841, 1), ""))</f>
        <v>y=-20.90*0.574^2+141.62*0.574-73.036</v>
      </c>
      <c r="AM1841" s="10" t="str">
        <f t="shared" si="211"/>
        <v>y=-1.3807*0.574^2+80.818*0.574-42.013</v>
      </c>
      <c r="AN1841" s="10" t="str">
        <f t="shared" si="211"/>
        <v>y=0.6312*0.574^2+63.45*0.574-30.993</v>
      </c>
      <c r="AO1841" s="10" t="str">
        <f t="shared" ref="AO1841:AP1904" si="212">IF($O1841="", "FALSE", IF(AT1841&lt;&gt;"FALSE", SUBSTITUTE(SUBSTITUTE(AT1841, "x", "*"&amp;$O1841&amp;"^", 1), "x", "*"&amp;$O1841, 1), ""))</f>
        <v>FALSE</v>
      </c>
      <c r="AP1841" s="10" t="str">
        <f t="shared" si="212"/>
        <v>y=0.0239*0.574^2+66.574*0.574-31.913</v>
      </c>
      <c r="AQ1841" s="10" t="str">
        <f>IF(AND(I1841="TP",S1841&lt;=150),VLOOKUP(AF1841,TPCalibEq150!$AZ$2:$BB$55,3,),IF(AND(I1841="TDP",S1841&lt;=150),VLOOKUP(AF1841,TPCalibEq150!$AZ$2:$BB$55,3,)))</f>
        <v>y=-20.90x2+141.62x-73.036</v>
      </c>
      <c r="AR1841" s="10" t="str">
        <f>IF(AND(I1841="TP",S1841&lt;=300),VLOOKUP(AF1841,TPCalibEq300!$AZ$2:$BB$55,3,),IF(AND(I1841="TDP",S1841&lt;=300),VLOOKUP(AF1841,TPCalibEq300!$AZ$2:$BB$55,3,)))</f>
        <v>y=-1.3807x2+80.818x-42.013</v>
      </c>
      <c r="AS1841" s="10" t="str">
        <f>IF(AND(I1841="TP",S1841&lt;=500),VLOOKUP(AF1841,TPCalibEq500!$AZ$2:$BB$56,3,),IF(AND(I1841="TDP",S1841&lt;=500),VLOOKUP(AF1841,TPCalibEq500!$AZ$2:$BB$56,3,)))</f>
        <v>y=0.6312x2+63.45x-30.993</v>
      </c>
      <c r="AT1841" s="10" t="b">
        <f>IF(AND(I1841="TN",S1841&lt;=2800),VLOOKUP(AF1841,TNCalibEq2500!$AZ$2:$BB$56,3,),IF(AND(I1841="TDN",S1841&lt;=2800),VLOOKUP(AF1841,TNCalibEq2500!$AZ$2:$BB$56,3,)))</f>
        <v>0</v>
      </c>
      <c r="AU1841" s="10" t="str">
        <f>IF(I1841="TP",VLOOKUP(AF1841,TPCalibEqFull!$AZ$2:$BB$56,3),IF(I1841="TDP",VLOOKUP(AF1841,TPCalibEqFull!$AZ$2:$BB$56,3),IF(I1841="TDN",VLOOKUP(AF1841,TNCalibEqFull!$AZ$1:$BB$56,3),IF(I1841="TN",VLOOKUP(AF1841,TNCalibEqFull!$AZ$1:$BB$56,3),FALSE))))</f>
        <v>y=0.0239x2+66.574x-31.913</v>
      </c>
      <c r="AV1841" s="10" t="str">
        <f t="shared" si="208"/>
        <v>0201 09:00:00-QAC-STD-Q.H-1-DI-CAL</v>
      </c>
    </row>
    <row r="1842" spans="1:48" s="10" customFormat="1" x14ac:dyDescent="0.55000000000000004">
      <c r="A1842" s="32">
        <v>44958</v>
      </c>
      <c r="B1842" s="33">
        <v>0.375</v>
      </c>
      <c r="C1842" s="10" t="s">
        <v>70</v>
      </c>
      <c r="D1842" s="10" t="s">
        <v>71</v>
      </c>
      <c r="E1842" s="10" t="s">
        <v>926</v>
      </c>
      <c r="F1842" s="10">
        <v>1</v>
      </c>
      <c r="G1842" s="10" t="s">
        <v>73</v>
      </c>
      <c r="H1842" s="10" t="s">
        <v>74</v>
      </c>
      <c r="I1842" s="10" t="s">
        <v>83</v>
      </c>
      <c r="J1842" s="10">
        <v>190</v>
      </c>
      <c r="K1842" s="12">
        <v>44958</v>
      </c>
      <c r="L1842" s="33">
        <v>0.57665509259259262</v>
      </c>
      <c r="M1842" s="10">
        <v>1</v>
      </c>
      <c r="N1842" s="10" t="s">
        <v>84</v>
      </c>
      <c r="O1842" s="10">
        <v>0.59699999999999998</v>
      </c>
      <c r="P1842" s="10">
        <v>3.8899999999999997E-2</v>
      </c>
      <c r="Q1842" s="10">
        <v>5</v>
      </c>
      <c r="R1842" s="10" t="s">
        <v>85</v>
      </c>
      <c r="S1842" s="34">
        <f t="shared" si="205"/>
        <v>5</v>
      </c>
      <c r="T1842" s="10" t="s">
        <v>1133</v>
      </c>
      <c r="U1842" s="34" t="str">
        <f t="shared" si="206"/>
        <v/>
      </c>
      <c r="V1842" s="31" t="str">
        <f>IF(H1842="CHK",VLOOKUP(I1842,QCCHK,3,),IF(H1842="GUP",VLOOKUP(E1842,QCGUP,2,),IF(AND(H1842="ATP",OR(I1842="TN",I1842="TDN",I1842="TNO2-3",I1842="NO2-3")),VLOOKUP(E1842,QCREC_N,2,),IF(AND(H1842="NIC",OR(I1842="TN",I1842="TDN",I1842="TNO2-3",I1842="NO2-3")),VLOOKUP(E1842,QCNIC_N,2,),IF(AND(H1842="UREA",OR(I1842="TN",I1842="TDN",I1842="TNO2-3",I1842="NO2-3")),VLOOKUP(E1842,QCUREA_N,2,),IF(H1842="PER",VLOOKUP(I1842,QCPER,MATCH(E1842,QCACTUAL!$J$25:$AA$25,0),),IF(H1842="SPK",VLOOKUP(I1842,QCSPK,3,),IF(AND(H1842="ATP",OR(I1842="TP",I1842="TDP")),VLOOKUP(E1842,QCATP_P,2,),""))))))))</f>
        <v/>
      </c>
      <c r="W1842" s="31" t="str">
        <f t="shared" si="207"/>
        <v>TRUE</v>
      </c>
      <c r="X1842" s="31" t="str">
        <f t="shared" si="204"/>
        <v/>
      </c>
      <c r="Y1842" s="10" t="s">
        <v>1126</v>
      </c>
      <c r="AF1842" s="12">
        <v>44958</v>
      </c>
      <c r="AG1842" s="10">
        <f>-20.9*0.597^2+141.62*0.597-73.036</f>
        <v>4.062191900000002</v>
      </c>
      <c r="AH1842" s="10">
        <f>-1.3807*0.597^2+80.818*0.597-42.013</f>
        <v>5.7432520937000007</v>
      </c>
      <c r="AI1842" s="10">
        <f>0.6312*0.597^2+63.45*0.597-30.993</f>
        <v>7.1116153607999983</v>
      </c>
      <c r="AK1842" s="10">
        <f>0.0239*0.597^2+66.574*0.597-31.913</f>
        <v>7.8401961751000009</v>
      </c>
      <c r="AL1842" s="10" t="str">
        <f t="shared" si="211"/>
        <v>y=-20.90*0.597^2+141.62*0.597-73.036</v>
      </c>
      <c r="AM1842" s="10" t="str">
        <f t="shared" si="211"/>
        <v>y=-1.3807*0.597^2+80.818*0.597-42.013</v>
      </c>
      <c r="AN1842" s="10" t="str">
        <f t="shared" si="211"/>
        <v>y=0.6312*0.597^2+63.45*0.597-30.993</v>
      </c>
      <c r="AO1842" s="10" t="str">
        <f t="shared" si="212"/>
        <v>FALSE</v>
      </c>
      <c r="AP1842" s="10" t="str">
        <f t="shared" si="212"/>
        <v>y=0.0239*0.597^2+66.574*0.597-31.913</v>
      </c>
      <c r="AQ1842" s="10" t="str">
        <f>IF(AND(I1842="TP",S1842&lt;=150),VLOOKUP(AF1842,TPCalibEq150!$AZ$2:$BB$55,3,),IF(AND(I1842="TDP",S1842&lt;=150),VLOOKUP(AF1842,TPCalibEq150!$AZ$2:$BB$55,3,)))</f>
        <v>y=-20.90x2+141.62x-73.036</v>
      </c>
      <c r="AR1842" s="10" t="str">
        <f>IF(AND(I1842="TP",S1842&lt;=300),VLOOKUP(AF1842,TPCalibEq300!$AZ$2:$BB$55,3,),IF(AND(I1842="TDP",S1842&lt;=300),VLOOKUP(AF1842,TPCalibEq300!$AZ$2:$BB$55,3,)))</f>
        <v>y=-1.3807x2+80.818x-42.013</v>
      </c>
      <c r="AS1842" s="10" t="str">
        <f>IF(AND(I1842="TP",S1842&lt;=500),VLOOKUP(AF1842,TPCalibEq500!$AZ$2:$BB$56,3,),IF(AND(I1842="TDP",S1842&lt;=500),VLOOKUP(AF1842,TPCalibEq500!$AZ$2:$BB$56,3,)))</f>
        <v>y=0.6312x2+63.45x-30.993</v>
      </c>
      <c r="AT1842" s="10" t="b">
        <f>IF(AND(I1842="TN",S1842&lt;=2800),VLOOKUP(AF1842,TNCalibEq2500!$AZ$2:$BB$56,3,),IF(AND(I1842="TDN",S1842&lt;=2800),VLOOKUP(AF1842,TNCalibEq2500!$AZ$2:$BB$56,3,)))</f>
        <v>0</v>
      </c>
      <c r="AU1842" s="10" t="str">
        <f>IF(I1842="TP",VLOOKUP(AF1842,TPCalibEqFull!$AZ$2:$BB$56,3),IF(I1842="TDP",VLOOKUP(AF1842,TPCalibEqFull!$AZ$2:$BB$56,3),IF(I1842="TDN",VLOOKUP(AF1842,TNCalibEqFull!$AZ$1:$BB$56,3),IF(I1842="TN",VLOOKUP(AF1842,TNCalibEqFull!$AZ$1:$BB$56,3),FALSE))))</f>
        <v>y=0.0239x2+66.574x-31.913</v>
      </c>
      <c r="AV1842" s="10" t="str">
        <f t="shared" si="208"/>
        <v>0201 09:00:00-QAC-STD-Q.G-1-DI-CAL</v>
      </c>
    </row>
    <row r="1843" spans="1:48" s="10" customFormat="1" x14ac:dyDescent="0.55000000000000004">
      <c r="A1843" s="32">
        <v>44958</v>
      </c>
      <c r="B1843" s="33">
        <v>0.375</v>
      </c>
      <c r="C1843" s="10" t="s">
        <v>70</v>
      </c>
      <c r="D1843" s="10" t="s">
        <v>71</v>
      </c>
      <c r="E1843" s="10" t="s">
        <v>927</v>
      </c>
      <c r="F1843" s="10">
        <v>1</v>
      </c>
      <c r="G1843" s="10" t="s">
        <v>73</v>
      </c>
      <c r="H1843" s="10" t="s">
        <v>74</v>
      </c>
      <c r="I1843" s="10" t="s">
        <v>83</v>
      </c>
      <c r="J1843" s="10">
        <v>191</v>
      </c>
      <c r="K1843" s="12">
        <v>44958</v>
      </c>
      <c r="L1843" s="33">
        <v>0.5773611111111111</v>
      </c>
      <c r="M1843" s="10">
        <v>1</v>
      </c>
      <c r="N1843" s="10" t="s">
        <v>84</v>
      </c>
      <c r="O1843" s="10">
        <v>0.67900000000000005</v>
      </c>
      <c r="P1843" s="10">
        <v>4.4499999999999998E-2</v>
      </c>
      <c r="Q1843" s="10">
        <v>15</v>
      </c>
      <c r="R1843" s="10" t="s">
        <v>85</v>
      </c>
      <c r="S1843" s="34">
        <f t="shared" si="205"/>
        <v>15</v>
      </c>
      <c r="T1843" s="10" t="s">
        <v>1134</v>
      </c>
      <c r="U1843" s="34" t="str">
        <f t="shared" si="206"/>
        <v/>
      </c>
      <c r="V1843" s="31" t="str">
        <f>IF(H1843="CHK",VLOOKUP(I1843,QCCHK,3,),IF(H1843="GUP",VLOOKUP(E1843,QCGUP,2,),IF(AND(H1843="ATP",OR(I1843="TN",I1843="TDN",I1843="TNO2-3",I1843="NO2-3")),VLOOKUP(E1843,QCREC_N,2,),IF(AND(H1843="NIC",OR(I1843="TN",I1843="TDN",I1843="TNO2-3",I1843="NO2-3")),VLOOKUP(E1843,QCNIC_N,2,),IF(AND(H1843="UREA",OR(I1843="TN",I1843="TDN",I1843="TNO2-3",I1843="NO2-3")),VLOOKUP(E1843,QCUREA_N,2,),IF(H1843="PER",VLOOKUP(I1843,QCPER,MATCH(E1843,QCACTUAL!$J$25:$AA$25,0),),IF(H1843="SPK",VLOOKUP(I1843,QCSPK,3,),IF(AND(H1843="ATP",OR(I1843="TP",I1843="TDP")),VLOOKUP(E1843,QCATP_P,2,),""))))))))</f>
        <v/>
      </c>
      <c r="W1843" s="31" t="str">
        <f t="shared" si="207"/>
        <v>TRUE</v>
      </c>
      <c r="X1843" s="31" t="str">
        <f t="shared" si="204"/>
        <v/>
      </c>
      <c r="Y1843" s="10" t="s">
        <v>1126</v>
      </c>
      <c r="AF1843" s="12">
        <v>44958</v>
      </c>
      <c r="AG1843" s="10">
        <f>-20.9*0.679^2+141.62*0.679-73.036</f>
        <v>13.488223099999999</v>
      </c>
      <c r="AH1843" s="10">
        <f>-1.3807*0.679^2+80.818*0.679-42.013</f>
        <v>12.225862691300001</v>
      </c>
      <c r="AI1843" s="10">
        <f>0.6312*0.679^2+63.45*0.679-30.993</f>
        <v>12.380559079200008</v>
      </c>
      <c r="AK1843" s="10">
        <f>0.0239*0.679^2+66.574*0.679-31.913</f>
        <v>13.301764879900002</v>
      </c>
      <c r="AL1843" s="10" t="str">
        <f t="shared" si="211"/>
        <v>y=-20.90*0.679^2+141.62*0.679-73.036</v>
      </c>
      <c r="AM1843" s="10" t="str">
        <f t="shared" si="211"/>
        <v>y=-1.3807*0.679^2+80.818*0.679-42.013</v>
      </c>
      <c r="AN1843" s="10" t="str">
        <f t="shared" si="211"/>
        <v>y=0.6312*0.679^2+63.45*0.679-30.993</v>
      </c>
      <c r="AO1843" s="10" t="str">
        <f t="shared" si="212"/>
        <v>FALSE</v>
      </c>
      <c r="AP1843" s="10" t="str">
        <f t="shared" si="212"/>
        <v>y=0.0239*0.679^2+66.574*0.679-31.913</v>
      </c>
      <c r="AQ1843" s="10" t="str">
        <f>IF(AND(I1843="TP",S1843&lt;=150),VLOOKUP(AF1843,TPCalibEq150!$AZ$2:$BB$55,3,),IF(AND(I1843="TDP",S1843&lt;=150),VLOOKUP(AF1843,TPCalibEq150!$AZ$2:$BB$55,3,)))</f>
        <v>y=-20.90x2+141.62x-73.036</v>
      </c>
      <c r="AR1843" s="10" t="str">
        <f>IF(AND(I1843="TP",S1843&lt;=300),VLOOKUP(AF1843,TPCalibEq300!$AZ$2:$BB$55,3,),IF(AND(I1843="TDP",S1843&lt;=300),VLOOKUP(AF1843,TPCalibEq300!$AZ$2:$BB$55,3,)))</f>
        <v>y=-1.3807x2+80.818x-42.013</v>
      </c>
      <c r="AS1843" s="10" t="str">
        <f>IF(AND(I1843="TP",S1843&lt;=500),VLOOKUP(AF1843,TPCalibEq500!$AZ$2:$BB$56,3,),IF(AND(I1843="TDP",S1843&lt;=500),VLOOKUP(AF1843,TPCalibEq500!$AZ$2:$BB$56,3,)))</f>
        <v>y=0.6312x2+63.45x-30.993</v>
      </c>
      <c r="AT1843" s="10" t="b">
        <f>IF(AND(I1843="TN",S1843&lt;=2800),VLOOKUP(AF1843,TNCalibEq2500!$AZ$2:$BB$56,3,),IF(AND(I1843="TDN",S1843&lt;=2800),VLOOKUP(AF1843,TNCalibEq2500!$AZ$2:$BB$56,3,)))</f>
        <v>0</v>
      </c>
      <c r="AU1843" s="10" t="str">
        <f>IF(I1843="TP",VLOOKUP(AF1843,TPCalibEqFull!$AZ$2:$BB$56,3),IF(I1843="TDP",VLOOKUP(AF1843,TPCalibEqFull!$AZ$2:$BB$56,3),IF(I1843="TDN",VLOOKUP(AF1843,TNCalibEqFull!$AZ$1:$BB$56,3),IF(I1843="TN",VLOOKUP(AF1843,TNCalibEqFull!$AZ$1:$BB$56,3),FALSE))))</f>
        <v>y=0.0239x2+66.574x-31.913</v>
      </c>
      <c r="AV1843" s="10" t="str">
        <f t="shared" si="208"/>
        <v>0201 09:00:00-QAC-STD-Q.F-1-DI-CAL</v>
      </c>
    </row>
    <row r="1844" spans="1:48" s="10" customFormat="1" x14ac:dyDescent="0.55000000000000004">
      <c r="A1844" s="32">
        <v>44958</v>
      </c>
      <c r="B1844" s="33">
        <v>0.375</v>
      </c>
      <c r="C1844" s="10" t="s">
        <v>70</v>
      </c>
      <c r="D1844" s="10" t="s">
        <v>71</v>
      </c>
      <c r="E1844" s="10" t="s">
        <v>928</v>
      </c>
      <c r="F1844" s="10">
        <v>1</v>
      </c>
      <c r="G1844" s="10" t="s">
        <v>73</v>
      </c>
      <c r="H1844" s="10" t="s">
        <v>74</v>
      </c>
      <c r="I1844" s="10" t="s">
        <v>83</v>
      </c>
      <c r="J1844" s="10">
        <v>192</v>
      </c>
      <c r="K1844" s="12">
        <v>44958</v>
      </c>
      <c r="L1844" s="33">
        <v>0.57806712962962969</v>
      </c>
      <c r="M1844" s="10">
        <v>1</v>
      </c>
      <c r="N1844" s="10" t="s">
        <v>84</v>
      </c>
      <c r="O1844" s="10">
        <v>0.747</v>
      </c>
      <c r="P1844" s="10">
        <v>4.8899999999999999E-2</v>
      </c>
      <c r="Q1844" s="10">
        <v>20</v>
      </c>
      <c r="R1844" s="10" t="s">
        <v>85</v>
      </c>
      <c r="S1844" s="34">
        <f t="shared" si="205"/>
        <v>20</v>
      </c>
      <c r="T1844" s="10" t="s">
        <v>1135</v>
      </c>
      <c r="U1844" s="34" t="str">
        <f t="shared" si="206"/>
        <v/>
      </c>
      <c r="V1844" s="31" t="str">
        <f>IF(H1844="CHK",VLOOKUP(I1844,QCCHK,3,),IF(H1844="GUP",VLOOKUP(E1844,QCGUP,2,),IF(AND(H1844="ATP",OR(I1844="TN",I1844="TDN",I1844="TNO2-3",I1844="NO2-3")),VLOOKUP(E1844,QCREC_N,2,),IF(AND(H1844="NIC",OR(I1844="TN",I1844="TDN",I1844="TNO2-3",I1844="NO2-3")),VLOOKUP(E1844,QCNIC_N,2,),IF(AND(H1844="UREA",OR(I1844="TN",I1844="TDN",I1844="TNO2-3",I1844="NO2-3")),VLOOKUP(E1844,QCUREA_N,2,),IF(H1844="PER",VLOOKUP(I1844,QCPER,MATCH(E1844,QCACTUAL!$J$25:$AA$25,0),),IF(H1844="SPK",VLOOKUP(I1844,QCSPK,3,),IF(AND(H1844="ATP",OR(I1844="TP",I1844="TDP")),VLOOKUP(E1844,QCATP_P,2,),""))))))))</f>
        <v/>
      </c>
      <c r="W1844" s="31" t="str">
        <f t="shared" si="207"/>
        <v>TRUE</v>
      </c>
      <c r="X1844" s="31" t="str">
        <f t="shared" si="204"/>
        <v/>
      </c>
      <c r="Y1844" s="10" t="s">
        <v>1126</v>
      </c>
      <c r="AF1844" s="12">
        <v>44958</v>
      </c>
      <c r="AG1844" s="10">
        <f>-20.9*0.747^2+141.62*0.747-73.036</f>
        <v>21.091751900000006</v>
      </c>
      <c r="AH1844" s="10">
        <f>-1.3807*0.747^2+80.818*0.747-42.013</f>
        <v>17.587602973700001</v>
      </c>
      <c r="AI1844" s="10">
        <f>0.6312*0.747^2+63.45*0.747-30.993</f>
        <v>16.756365280800008</v>
      </c>
      <c r="AK1844" s="10">
        <f>0.0239*0.747^2+66.574*0.747-31.913</f>
        <v>17.8311144151</v>
      </c>
      <c r="AL1844" s="10" t="str">
        <f t="shared" si="211"/>
        <v>y=-20.90*0.747^2+141.62*0.747-73.036</v>
      </c>
      <c r="AM1844" s="10" t="str">
        <f t="shared" si="211"/>
        <v>y=-1.3807*0.747^2+80.818*0.747-42.013</v>
      </c>
      <c r="AN1844" s="10" t="str">
        <f t="shared" si="211"/>
        <v>y=0.6312*0.747^2+63.45*0.747-30.993</v>
      </c>
      <c r="AO1844" s="10" t="str">
        <f t="shared" si="212"/>
        <v>FALSE</v>
      </c>
      <c r="AP1844" s="10" t="str">
        <f t="shared" si="212"/>
        <v>y=0.0239*0.747^2+66.574*0.747-31.913</v>
      </c>
      <c r="AQ1844" s="10" t="str">
        <f>IF(AND(I1844="TP",S1844&lt;=150),VLOOKUP(AF1844,TPCalibEq150!$AZ$2:$BB$55,3,),IF(AND(I1844="TDP",S1844&lt;=150),VLOOKUP(AF1844,TPCalibEq150!$AZ$2:$BB$55,3,)))</f>
        <v>y=-20.90x2+141.62x-73.036</v>
      </c>
      <c r="AR1844" s="10" t="str">
        <f>IF(AND(I1844="TP",S1844&lt;=300),VLOOKUP(AF1844,TPCalibEq300!$AZ$2:$BB$55,3,),IF(AND(I1844="TDP",S1844&lt;=300),VLOOKUP(AF1844,TPCalibEq300!$AZ$2:$BB$55,3,)))</f>
        <v>y=-1.3807x2+80.818x-42.013</v>
      </c>
      <c r="AS1844" s="10" t="str">
        <f>IF(AND(I1844="TP",S1844&lt;=500),VLOOKUP(AF1844,TPCalibEq500!$AZ$2:$BB$56,3,),IF(AND(I1844="TDP",S1844&lt;=500),VLOOKUP(AF1844,TPCalibEq500!$AZ$2:$BB$56,3,)))</f>
        <v>y=0.6312x2+63.45x-30.993</v>
      </c>
      <c r="AT1844" s="10" t="b">
        <f>IF(AND(I1844="TN",S1844&lt;=2800),VLOOKUP(AF1844,TNCalibEq2500!$AZ$2:$BB$56,3,),IF(AND(I1844="TDN",S1844&lt;=2800),VLOOKUP(AF1844,TNCalibEq2500!$AZ$2:$BB$56,3,)))</f>
        <v>0</v>
      </c>
      <c r="AU1844" s="10" t="str">
        <f>IF(I1844="TP",VLOOKUP(AF1844,TPCalibEqFull!$AZ$2:$BB$56,3),IF(I1844="TDP",VLOOKUP(AF1844,TPCalibEqFull!$AZ$2:$BB$56,3),IF(I1844="TDN",VLOOKUP(AF1844,TNCalibEqFull!$AZ$1:$BB$56,3),IF(I1844="TN",VLOOKUP(AF1844,TNCalibEqFull!$AZ$1:$BB$56,3),FALSE))))</f>
        <v>y=0.0239x2+66.574x-31.913</v>
      </c>
      <c r="AV1844" s="10" t="str">
        <f t="shared" si="208"/>
        <v>0201 09:00:00-QAC-STD-Q.E-1-DI-CAL</v>
      </c>
    </row>
    <row r="1845" spans="1:48" s="10" customFormat="1" x14ac:dyDescent="0.55000000000000004">
      <c r="A1845" s="32">
        <v>44958</v>
      </c>
      <c r="B1845" s="33">
        <v>0.375</v>
      </c>
      <c r="C1845" s="10" t="s">
        <v>70</v>
      </c>
      <c r="D1845" s="10" t="s">
        <v>71</v>
      </c>
      <c r="E1845" s="10" t="s">
        <v>929</v>
      </c>
      <c r="F1845" s="10">
        <v>1</v>
      </c>
      <c r="G1845" s="10" t="s">
        <v>73</v>
      </c>
      <c r="H1845" s="10" t="s">
        <v>74</v>
      </c>
      <c r="I1845" s="10" t="s">
        <v>83</v>
      </c>
      <c r="J1845" s="10">
        <v>193</v>
      </c>
      <c r="K1845" s="12">
        <v>44958</v>
      </c>
      <c r="L1845" s="33">
        <v>0.57877314814814818</v>
      </c>
      <c r="M1845" s="10">
        <v>1</v>
      </c>
      <c r="N1845" s="10" t="s">
        <v>84</v>
      </c>
      <c r="O1845" s="10">
        <v>2.67</v>
      </c>
      <c r="P1845" s="10">
        <v>0.186</v>
      </c>
      <c r="Q1845" s="10">
        <v>75</v>
      </c>
      <c r="R1845" s="10" t="s">
        <v>85</v>
      </c>
      <c r="S1845" s="34">
        <f t="shared" si="205"/>
        <v>75</v>
      </c>
      <c r="T1845" s="10" t="s">
        <v>1136</v>
      </c>
      <c r="U1845" s="34" t="str">
        <f t="shared" si="206"/>
        <v/>
      </c>
      <c r="V1845" s="31" t="str">
        <f>IF(H1845="CHK",VLOOKUP(I1845,QCCHK,3,),IF(H1845="GUP",VLOOKUP(E1845,QCGUP,2,),IF(AND(H1845="ATP",OR(I1845="TN",I1845="TDN",I1845="TNO2-3",I1845="NO2-3")),VLOOKUP(E1845,QCREC_N,2,),IF(AND(H1845="NIC",OR(I1845="TN",I1845="TDN",I1845="TNO2-3",I1845="NO2-3")),VLOOKUP(E1845,QCNIC_N,2,),IF(AND(H1845="UREA",OR(I1845="TN",I1845="TDN",I1845="TNO2-3",I1845="NO2-3")),VLOOKUP(E1845,QCUREA_N,2,),IF(H1845="PER",VLOOKUP(I1845,QCPER,MATCH(E1845,QCACTUAL!$J$25:$AA$25,0),),IF(H1845="SPK",VLOOKUP(I1845,QCSPK,3,),IF(AND(H1845="ATP",OR(I1845="TP",I1845="TDP")),VLOOKUP(E1845,QCATP_P,2,),""))))))))</f>
        <v/>
      </c>
      <c r="W1845" s="31" t="str">
        <f t="shared" si="207"/>
        <v>TRUE</v>
      </c>
      <c r="X1845" s="31" t="str">
        <f t="shared" si="204"/>
        <v/>
      </c>
      <c r="Y1845" s="10" t="s">
        <v>1126</v>
      </c>
      <c r="AF1845" s="12">
        <v>44958</v>
      </c>
      <c r="AG1845" s="10">
        <f>-20.9*2.67^2+141.62*2.67-73.036</f>
        <v>156.09539000000004</v>
      </c>
      <c r="AH1845" s="10">
        <f>-1.3807*2.67^2+80.818*2.67-42.013</f>
        <v>163.92818776999997</v>
      </c>
      <c r="AI1845" s="10">
        <f>0.6312*2.67^2+63.45*2.67-30.993</f>
        <v>142.91826168</v>
      </c>
      <c r="AK1845" s="10">
        <f>0.0239*2.67^2+66.574*2.67-31.913</f>
        <v>146.00996070999997</v>
      </c>
      <c r="AL1845" s="10" t="str">
        <f t="shared" si="211"/>
        <v>y=-20.90*2.67^2+141.62*2.67-73.036</v>
      </c>
      <c r="AM1845" s="10" t="str">
        <f t="shared" si="211"/>
        <v>y=-1.3807*2.67^2+80.818*2.67-42.013</v>
      </c>
      <c r="AN1845" s="10" t="str">
        <f t="shared" si="211"/>
        <v>y=0.6312*2.67^2+63.45*2.67-30.993</v>
      </c>
      <c r="AO1845" s="10" t="str">
        <f t="shared" si="212"/>
        <v>FALSE</v>
      </c>
      <c r="AP1845" s="10" t="str">
        <f t="shared" si="212"/>
        <v>y=0.0239*2.67^2+66.574*2.67-31.913</v>
      </c>
      <c r="AQ1845" s="10" t="str">
        <f>IF(AND(I1845="TP",S1845&lt;=150),VLOOKUP(AF1845,TPCalibEq150!$AZ$2:$BB$55,3,),IF(AND(I1845="TDP",S1845&lt;=150),VLOOKUP(AF1845,TPCalibEq150!$AZ$2:$BB$55,3,)))</f>
        <v>y=-20.90x2+141.62x-73.036</v>
      </c>
      <c r="AR1845" s="10" t="str">
        <f>IF(AND(I1845="TP",S1845&lt;=300),VLOOKUP(AF1845,TPCalibEq300!$AZ$2:$BB$55,3,),IF(AND(I1845="TDP",S1845&lt;=300),VLOOKUP(AF1845,TPCalibEq300!$AZ$2:$BB$55,3,)))</f>
        <v>y=-1.3807x2+80.818x-42.013</v>
      </c>
      <c r="AS1845" s="10" t="str">
        <f>IF(AND(I1845="TP",S1845&lt;=500),VLOOKUP(AF1845,TPCalibEq500!$AZ$2:$BB$56,3,),IF(AND(I1845="TDP",S1845&lt;=500),VLOOKUP(AF1845,TPCalibEq500!$AZ$2:$BB$56,3,)))</f>
        <v>y=0.6312x2+63.45x-30.993</v>
      </c>
      <c r="AT1845" s="10" t="b">
        <f>IF(AND(I1845="TN",S1845&lt;=2800),VLOOKUP(AF1845,TNCalibEq2500!$AZ$2:$BB$56,3,),IF(AND(I1845="TDN",S1845&lt;=2800),VLOOKUP(AF1845,TNCalibEq2500!$AZ$2:$BB$56,3,)))</f>
        <v>0</v>
      </c>
      <c r="AU1845" s="10" t="str">
        <f>IF(I1845="TP",VLOOKUP(AF1845,TPCalibEqFull!$AZ$2:$BB$56,3),IF(I1845="TDP",VLOOKUP(AF1845,TPCalibEqFull!$AZ$2:$BB$56,3),IF(I1845="TDN",VLOOKUP(AF1845,TNCalibEqFull!$AZ$1:$BB$56,3),IF(I1845="TN",VLOOKUP(AF1845,TNCalibEqFull!$AZ$1:$BB$56,3),FALSE))))</f>
        <v>y=0.0239x2+66.574x-31.913</v>
      </c>
      <c r="AV1845" s="10" t="str">
        <f t="shared" si="208"/>
        <v>0201 09:00:00-QAC-STD-Q.D-1-DI-CAL</v>
      </c>
    </row>
    <row r="1846" spans="1:48" s="10" customFormat="1" x14ac:dyDescent="0.55000000000000004">
      <c r="A1846" s="32">
        <v>44958</v>
      </c>
      <c r="B1846" s="33">
        <v>0.375</v>
      </c>
      <c r="C1846" s="10" t="s">
        <v>70</v>
      </c>
      <c r="D1846" s="10" t="s">
        <v>71</v>
      </c>
      <c r="E1846" s="10" t="s">
        <v>930</v>
      </c>
      <c r="F1846" s="10">
        <v>1</v>
      </c>
      <c r="G1846" s="10" t="s">
        <v>73</v>
      </c>
      <c r="H1846" s="10" t="s">
        <v>74</v>
      </c>
      <c r="I1846" s="10" t="s">
        <v>83</v>
      </c>
      <c r="J1846" s="10">
        <v>194</v>
      </c>
      <c r="K1846" s="12">
        <v>44958</v>
      </c>
      <c r="L1846" s="33">
        <v>0.57947916666666666</v>
      </c>
      <c r="M1846" s="10">
        <v>1</v>
      </c>
      <c r="N1846" s="10" t="s">
        <v>84</v>
      </c>
      <c r="O1846" s="10">
        <v>2.4900000000000002</v>
      </c>
      <c r="P1846" s="10">
        <v>0.17299999999999999</v>
      </c>
      <c r="Q1846" s="10">
        <v>150</v>
      </c>
      <c r="R1846" s="10" t="s">
        <v>85</v>
      </c>
      <c r="S1846" s="34">
        <f t="shared" si="205"/>
        <v>150</v>
      </c>
      <c r="T1846" s="10" t="s">
        <v>1137</v>
      </c>
      <c r="U1846" s="34" t="str">
        <f t="shared" si="206"/>
        <v/>
      </c>
      <c r="V1846" s="31" t="str">
        <f>IF(H1846="CHK",VLOOKUP(I1846,QCCHK,3,),IF(H1846="GUP",VLOOKUP(E1846,QCGUP,2,),IF(AND(H1846="ATP",OR(I1846="TN",I1846="TDN",I1846="TNO2-3",I1846="NO2-3")),VLOOKUP(E1846,QCREC_N,2,),IF(AND(H1846="NIC",OR(I1846="TN",I1846="TDN",I1846="TNO2-3",I1846="NO2-3")),VLOOKUP(E1846,QCNIC_N,2,),IF(AND(H1846="UREA",OR(I1846="TN",I1846="TDN",I1846="TNO2-3",I1846="NO2-3")),VLOOKUP(E1846,QCUREA_N,2,),IF(H1846="PER",VLOOKUP(I1846,QCPER,MATCH(E1846,QCACTUAL!$J$25:$AA$25,0),),IF(H1846="SPK",VLOOKUP(I1846,QCSPK,3,),IF(AND(H1846="ATP",OR(I1846="TP",I1846="TDP")),VLOOKUP(E1846,QCATP_P,2,),""))))))))</f>
        <v/>
      </c>
      <c r="W1846" s="31" t="str">
        <f t="shared" si="207"/>
        <v>TRUE</v>
      </c>
      <c r="X1846" s="31" t="str">
        <f t="shared" si="204"/>
        <v/>
      </c>
      <c r="Y1846" s="10" t="s">
        <v>1126</v>
      </c>
      <c r="AF1846" s="12">
        <v>44958</v>
      </c>
      <c r="AG1846" s="10">
        <f>-20.9*2.49^2+141.62*2.49-73.036</f>
        <v>150.01571000000004</v>
      </c>
      <c r="AH1846" s="10">
        <f>-1.3807*2.49^2+80.818*2.49-42.013</f>
        <v>150.66334193000003</v>
      </c>
      <c r="AI1846" s="10">
        <f>0.6312*2.49^2+63.45*2.49-30.993</f>
        <v>130.91100312000003</v>
      </c>
      <c r="AK1846" s="10">
        <f>0.0239*2.49^2+66.574*2.49-31.913</f>
        <v>134.00444238999998</v>
      </c>
      <c r="AL1846" s="10" t="str">
        <f t="shared" si="211"/>
        <v>y=-20.90*2.49^2+141.62*2.49-73.036</v>
      </c>
      <c r="AM1846" s="10" t="str">
        <f t="shared" si="211"/>
        <v>y=-1.3807*2.49^2+80.818*2.49-42.013</v>
      </c>
      <c r="AN1846" s="10" t="str">
        <f t="shared" si="211"/>
        <v>y=0.6312*2.49^2+63.45*2.49-30.993</v>
      </c>
      <c r="AO1846" s="10" t="str">
        <f t="shared" si="212"/>
        <v>FALSE</v>
      </c>
      <c r="AP1846" s="10" t="str">
        <f t="shared" si="212"/>
        <v>y=0.0239*2.49^2+66.574*2.49-31.913</v>
      </c>
      <c r="AQ1846" s="10" t="str">
        <f>IF(AND(I1846="TP",S1846&lt;=150),VLOOKUP(AF1846,TPCalibEq150!$AZ$2:$BB$55,3,),IF(AND(I1846="TDP",S1846&lt;=150),VLOOKUP(AF1846,TPCalibEq150!$AZ$2:$BB$55,3,)))</f>
        <v>y=-20.90x2+141.62x-73.036</v>
      </c>
      <c r="AR1846" s="10" t="str">
        <f>IF(AND(I1846="TP",S1846&lt;=300),VLOOKUP(AF1846,TPCalibEq300!$AZ$2:$BB$55,3,),IF(AND(I1846="TDP",S1846&lt;=300),VLOOKUP(AF1846,TPCalibEq300!$AZ$2:$BB$55,3,)))</f>
        <v>y=-1.3807x2+80.818x-42.013</v>
      </c>
      <c r="AS1846" s="10" t="str">
        <f>IF(AND(I1846="TP",S1846&lt;=500),VLOOKUP(AF1846,TPCalibEq500!$AZ$2:$BB$56,3,),IF(AND(I1846="TDP",S1846&lt;=500),VLOOKUP(AF1846,TPCalibEq500!$AZ$2:$BB$56,3,)))</f>
        <v>y=0.6312x2+63.45x-30.993</v>
      </c>
      <c r="AT1846" s="10" t="b">
        <f>IF(AND(I1846="TN",S1846&lt;=2800),VLOOKUP(AF1846,TNCalibEq2500!$AZ$2:$BB$56,3,),IF(AND(I1846="TDN",S1846&lt;=2800),VLOOKUP(AF1846,TNCalibEq2500!$AZ$2:$BB$56,3,)))</f>
        <v>0</v>
      </c>
      <c r="AU1846" s="10" t="str">
        <f>IF(I1846="TP",VLOOKUP(AF1846,TPCalibEqFull!$AZ$2:$BB$56,3),IF(I1846="TDP",VLOOKUP(AF1846,TPCalibEqFull!$AZ$2:$BB$56,3),IF(I1846="TDN",VLOOKUP(AF1846,TNCalibEqFull!$AZ$1:$BB$56,3),IF(I1846="TN",VLOOKUP(AF1846,TNCalibEqFull!$AZ$1:$BB$56,3),FALSE))))</f>
        <v>y=0.0239x2+66.574x-31.913</v>
      </c>
      <c r="AV1846" s="10" t="str">
        <f t="shared" si="208"/>
        <v>0201 09:00:00-QAC-STD-Q.C-1-DI-CAL</v>
      </c>
    </row>
    <row r="1847" spans="1:48" s="10" customFormat="1" x14ac:dyDescent="0.55000000000000004">
      <c r="A1847" s="32">
        <v>44958</v>
      </c>
      <c r="B1847" s="33">
        <v>0.375</v>
      </c>
      <c r="C1847" s="10" t="s">
        <v>70</v>
      </c>
      <c r="D1847" s="10" t="s">
        <v>71</v>
      </c>
      <c r="E1847" s="10" t="s">
        <v>931</v>
      </c>
      <c r="F1847" s="10">
        <v>1</v>
      </c>
      <c r="G1847" s="10" t="s">
        <v>73</v>
      </c>
      <c r="H1847" s="10" t="s">
        <v>74</v>
      </c>
      <c r="I1847" s="10" t="s">
        <v>83</v>
      </c>
      <c r="J1847" s="10">
        <v>195</v>
      </c>
      <c r="K1847" s="12">
        <v>44958</v>
      </c>
      <c r="L1847" s="33">
        <v>0.58019675925925929</v>
      </c>
      <c r="M1847" s="10">
        <v>1</v>
      </c>
      <c r="N1847" s="10" t="s">
        <v>84</v>
      </c>
      <c r="O1847" s="10">
        <v>4.59</v>
      </c>
      <c r="P1847" s="10">
        <v>0.32700000000000001</v>
      </c>
      <c r="Q1847" s="10">
        <v>300</v>
      </c>
      <c r="R1847" s="10" t="s">
        <v>85</v>
      </c>
      <c r="S1847" s="34">
        <f t="shared" si="205"/>
        <v>300</v>
      </c>
      <c r="T1847" s="10" t="s">
        <v>1138</v>
      </c>
      <c r="U1847" s="34" t="str">
        <f t="shared" si="206"/>
        <v/>
      </c>
      <c r="V1847" s="31" t="str">
        <f>IF(H1847="CHK",VLOOKUP(I1847,QCCHK,3,),IF(H1847="GUP",VLOOKUP(E1847,QCGUP,2,),IF(AND(H1847="ATP",OR(I1847="TN",I1847="TDN",I1847="TNO2-3",I1847="NO2-3")),VLOOKUP(E1847,QCREC_N,2,),IF(AND(H1847="NIC",OR(I1847="TN",I1847="TDN",I1847="TNO2-3",I1847="NO2-3")),VLOOKUP(E1847,QCNIC_N,2,),IF(AND(H1847="UREA",OR(I1847="TN",I1847="TDN",I1847="TNO2-3",I1847="NO2-3")),VLOOKUP(E1847,QCUREA_N,2,),IF(H1847="PER",VLOOKUP(I1847,QCPER,MATCH(E1847,QCACTUAL!$J$25:$AA$25,0),),IF(H1847="SPK",VLOOKUP(I1847,QCSPK,3,),IF(AND(H1847="ATP",OR(I1847="TP",I1847="TDP")),VLOOKUP(E1847,QCATP_P,2,),""))))))))</f>
        <v/>
      </c>
      <c r="W1847" s="31" t="str">
        <f t="shared" si="207"/>
        <v>TRUE</v>
      </c>
      <c r="X1847" s="31" t="str">
        <f t="shared" si="204"/>
        <v/>
      </c>
      <c r="Y1847" s="10" t="s">
        <v>1126</v>
      </c>
      <c r="AF1847" s="12">
        <v>44958</v>
      </c>
      <c r="AH1847" s="10">
        <f>-1.3807*4.59^2+80.818*4.59-42.013</f>
        <v>299.85289433000003</v>
      </c>
      <c r="AI1847" s="10">
        <f>0.6312*4.59^2+63.45*4.59-30.993</f>
        <v>273.54068472</v>
      </c>
      <c r="AK1847" s="10">
        <f>0.0239*4.59^2+66.574*4.59-31.913</f>
        <v>274.16518758999996</v>
      </c>
      <c r="AL1847" s="10" t="str">
        <f t="shared" si="211"/>
        <v>FALSE</v>
      </c>
      <c r="AM1847" s="10" t="str">
        <f t="shared" si="211"/>
        <v>y=-1.3807*4.59^2+80.818*4.59-42.013</v>
      </c>
      <c r="AN1847" s="10" t="str">
        <f t="shared" si="211"/>
        <v>y=0.6312*4.59^2+63.45*4.59-30.993</v>
      </c>
      <c r="AO1847" s="10" t="str">
        <f t="shared" si="212"/>
        <v>FALSE</v>
      </c>
      <c r="AP1847" s="10" t="str">
        <f t="shared" si="212"/>
        <v>y=0.0239*4.59^2+66.574*4.59-31.913</v>
      </c>
      <c r="AQ1847" s="10" t="b">
        <f>IF(AND(I1847="TP",S1847&lt;=150),VLOOKUP(AF1847,TPCalibEq150!$AZ$2:$BB$55,3,),IF(AND(I1847="TDP",S1847&lt;=150),VLOOKUP(AF1847,TPCalibEq150!$AZ$2:$BB$55,3,)))</f>
        <v>0</v>
      </c>
      <c r="AR1847" s="10" t="str">
        <f>IF(AND(I1847="TP",S1847&lt;=300),VLOOKUP(AF1847,TPCalibEq300!$AZ$2:$BB$55,3,),IF(AND(I1847="TDP",S1847&lt;=300),VLOOKUP(AF1847,TPCalibEq300!$AZ$2:$BB$55,3,)))</f>
        <v>y=-1.3807x2+80.818x-42.013</v>
      </c>
      <c r="AS1847" s="10" t="str">
        <f>IF(AND(I1847="TP",S1847&lt;=500),VLOOKUP(AF1847,TPCalibEq500!$AZ$2:$BB$56,3,),IF(AND(I1847="TDP",S1847&lt;=500),VLOOKUP(AF1847,TPCalibEq500!$AZ$2:$BB$56,3,)))</f>
        <v>y=0.6312x2+63.45x-30.993</v>
      </c>
      <c r="AT1847" s="10" t="b">
        <f>IF(AND(I1847="TN",S1847&lt;=2800),VLOOKUP(AF1847,TNCalibEq2500!$AZ$2:$BB$56,3,),IF(AND(I1847="TDN",S1847&lt;=2800),VLOOKUP(AF1847,TNCalibEq2500!$AZ$2:$BB$56,3,)))</f>
        <v>0</v>
      </c>
      <c r="AU1847" s="10" t="str">
        <f>IF(I1847="TP",VLOOKUP(AF1847,TPCalibEqFull!$AZ$2:$BB$56,3),IF(I1847="TDP",VLOOKUP(AF1847,TPCalibEqFull!$AZ$2:$BB$56,3),IF(I1847="TDN",VLOOKUP(AF1847,TNCalibEqFull!$AZ$1:$BB$56,3),IF(I1847="TN",VLOOKUP(AF1847,TNCalibEqFull!$AZ$1:$BB$56,3),FALSE))))</f>
        <v>y=0.0239x2+66.574x-31.913</v>
      </c>
      <c r="AV1847" s="10" t="str">
        <f t="shared" si="208"/>
        <v>0201 09:00:00-QAC-STD-Q.B-1-DI-CAL</v>
      </c>
    </row>
    <row r="1848" spans="1:48" s="10" customFormat="1" x14ac:dyDescent="0.55000000000000004">
      <c r="A1848" s="32">
        <v>44958</v>
      </c>
      <c r="B1848" s="33">
        <v>0.375</v>
      </c>
      <c r="C1848" s="10" t="s">
        <v>70</v>
      </c>
      <c r="D1848" s="10" t="s">
        <v>71</v>
      </c>
      <c r="E1848" s="10" t="s">
        <v>932</v>
      </c>
      <c r="F1848" s="10">
        <v>1</v>
      </c>
      <c r="G1848" s="10" t="s">
        <v>73</v>
      </c>
      <c r="H1848" s="10" t="s">
        <v>74</v>
      </c>
      <c r="I1848" s="10" t="s">
        <v>83</v>
      </c>
      <c r="J1848" s="10">
        <v>196</v>
      </c>
      <c r="K1848" s="12">
        <v>44958</v>
      </c>
      <c r="L1848" s="33">
        <v>0.58090277777777777</v>
      </c>
      <c r="M1848" s="10">
        <v>1</v>
      </c>
      <c r="N1848" s="10" t="s">
        <v>84</v>
      </c>
      <c r="O1848" s="10">
        <v>7.66</v>
      </c>
      <c r="P1848" s="10">
        <v>0.54500000000000004</v>
      </c>
      <c r="Q1848" s="10">
        <v>500</v>
      </c>
      <c r="R1848" s="10" t="s">
        <v>85</v>
      </c>
      <c r="S1848" s="34">
        <f t="shared" si="205"/>
        <v>500</v>
      </c>
      <c r="T1848" s="10" t="s">
        <v>1139</v>
      </c>
      <c r="U1848" s="34" t="str">
        <f t="shared" si="206"/>
        <v/>
      </c>
      <c r="V1848" s="31" t="str">
        <f>IF(H1848="CHK",VLOOKUP(I1848,QCCHK,3,),IF(H1848="GUP",VLOOKUP(E1848,QCGUP,2,),IF(AND(H1848="ATP",OR(I1848="TN",I1848="TDN",I1848="TNO2-3",I1848="NO2-3")),VLOOKUP(E1848,QCREC_N,2,),IF(AND(H1848="NIC",OR(I1848="TN",I1848="TDN",I1848="TNO2-3",I1848="NO2-3")),VLOOKUP(E1848,QCNIC_N,2,),IF(AND(H1848="UREA",OR(I1848="TN",I1848="TDN",I1848="TNO2-3",I1848="NO2-3")),VLOOKUP(E1848,QCUREA_N,2,),IF(H1848="PER",VLOOKUP(I1848,QCPER,MATCH(E1848,QCACTUAL!$J$25:$AA$25,0),),IF(H1848="SPK",VLOOKUP(I1848,QCSPK,3,),IF(AND(H1848="ATP",OR(I1848="TP",I1848="TDP")),VLOOKUP(E1848,QCATP_P,2,),""))))))))</f>
        <v/>
      </c>
      <c r="W1848" s="31" t="str">
        <f t="shared" si="207"/>
        <v>TRUE</v>
      </c>
      <c r="X1848" s="31" t="str">
        <f t="shared" si="204"/>
        <v/>
      </c>
      <c r="Y1848" s="10" t="s">
        <v>1126</v>
      </c>
      <c r="AF1848" s="12">
        <v>44958</v>
      </c>
      <c r="AI1848" s="10">
        <f>0.6312*7.66^2+63.45*7.66-30.993</f>
        <v>492.07003872000001</v>
      </c>
      <c r="AK1848" s="10">
        <f>0.0239*7.66^2+66.574*7.66-31.913</f>
        <v>479.44618684</v>
      </c>
      <c r="AL1848" s="10" t="str">
        <f t="shared" si="211"/>
        <v>FALSE</v>
      </c>
      <c r="AM1848" s="10" t="str">
        <f t="shared" si="211"/>
        <v>FALSE</v>
      </c>
      <c r="AN1848" s="10" t="str">
        <f t="shared" si="211"/>
        <v>y=0.6312*7.66^2+63.45*7.66-30.993</v>
      </c>
      <c r="AO1848" s="10" t="str">
        <f t="shared" si="212"/>
        <v>FALSE</v>
      </c>
      <c r="AP1848" s="10" t="str">
        <f t="shared" si="212"/>
        <v>y=0.0239*7.66^2+66.574*7.66-31.913</v>
      </c>
      <c r="AQ1848" s="10" t="b">
        <f>IF(AND(I1848="TP",S1848&lt;=150),VLOOKUP(AF1848,TPCalibEq150!$AZ$2:$BB$55,3,),IF(AND(I1848="TDP",S1848&lt;=150),VLOOKUP(AF1848,TPCalibEq150!$AZ$2:$BB$55,3,)))</f>
        <v>0</v>
      </c>
      <c r="AR1848" s="10" t="b">
        <f>IF(AND(I1848="TP",S1848&lt;=300),VLOOKUP(AF1848,TPCalibEq300!$AZ$2:$BB$55,3,),IF(AND(I1848="TDP",S1848&lt;=300),VLOOKUP(AF1848,TPCalibEq300!$AZ$2:$BB$55,3,)))</f>
        <v>0</v>
      </c>
      <c r="AS1848" s="10" t="str">
        <f>IF(AND(I1848="TP",S1848&lt;=500),VLOOKUP(AF1848,TPCalibEq500!$AZ$2:$BB$56,3,),IF(AND(I1848="TDP",S1848&lt;=500),VLOOKUP(AF1848,TPCalibEq500!$AZ$2:$BB$56,3,)))</f>
        <v>y=0.6312x2+63.45x-30.993</v>
      </c>
      <c r="AT1848" s="10" t="b">
        <f>IF(AND(I1848="TN",S1848&lt;=2800),VLOOKUP(AF1848,TNCalibEq2500!$AZ$2:$BB$56,3,),IF(AND(I1848="TDN",S1848&lt;=2800),VLOOKUP(AF1848,TNCalibEq2500!$AZ$2:$BB$56,3,)))</f>
        <v>0</v>
      </c>
      <c r="AU1848" s="10" t="str">
        <f>IF(I1848="TP",VLOOKUP(AF1848,TPCalibEqFull!$AZ$2:$BB$56,3),IF(I1848="TDP",VLOOKUP(AF1848,TPCalibEqFull!$AZ$2:$BB$56,3),IF(I1848="TDN",VLOOKUP(AF1848,TNCalibEqFull!$AZ$1:$BB$56,3),IF(I1848="TN",VLOOKUP(AF1848,TNCalibEqFull!$AZ$1:$BB$56,3),FALSE))))</f>
        <v>y=0.0239x2+66.574x-31.913</v>
      </c>
      <c r="AV1848" s="10" t="str">
        <f t="shared" si="208"/>
        <v>0201 09:00:00-QAC-STD-Q.A-1-DI-CAL</v>
      </c>
    </row>
    <row r="1849" spans="1:48" s="10" customFormat="1" x14ac:dyDescent="0.55000000000000004">
      <c r="A1849" s="32">
        <v>44915</v>
      </c>
      <c r="B1849" s="33">
        <v>0.375</v>
      </c>
      <c r="C1849" s="10" t="s">
        <v>70</v>
      </c>
      <c r="D1849" s="10" t="s">
        <v>71</v>
      </c>
      <c r="E1849" s="10" t="s">
        <v>924</v>
      </c>
      <c r="F1849" s="10">
        <v>1</v>
      </c>
      <c r="G1849" s="10" t="s">
        <v>73</v>
      </c>
      <c r="H1849" s="10" t="s">
        <v>74</v>
      </c>
      <c r="I1849" s="10" t="s">
        <v>83</v>
      </c>
      <c r="J1849" s="10">
        <v>215</v>
      </c>
      <c r="K1849" s="12">
        <v>44958</v>
      </c>
      <c r="L1849" s="33">
        <v>0.58160879629629625</v>
      </c>
      <c r="M1849" s="10">
        <v>1</v>
      </c>
      <c r="N1849" s="10" t="s">
        <v>84</v>
      </c>
      <c r="O1849" s="10">
        <v>30.1</v>
      </c>
      <c r="P1849" s="10">
        <v>2.08</v>
      </c>
      <c r="Q1849" s="10">
        <v>1990</v>
      </c>
      <c r="R1849" s="10" t="s">
        <v>85</v>
      </c>
      <c r="S1849" s="34">
        <f t="shared" si="205"/>
        <v>1990</v>
      </c>
      <c r="T1849" s="10" t="s">
        <v>1139</v>
      </c>
      <c r="U1849" s="34" t="str">
        <f t="shared" si="206"/>
        <v/>
      </c>
      <c r="V1849" s="31" t="str">
        <f>IF(H1849="CHK",VLOOKUP(I1849,QCCHK,3,),IF(H1849="GUP",VLOOKUP(E1849,QCGUP,2,),IF(AND(H1849="ATP",OR(I1849="TN",I1849="TDN",I1849="TNO2-3",I1849="NO2-3")),VLOOKUP(E1849,QCREC_N,2,),IF(AND(H1849="NIC",OR(I1849="TN",I1849="TDN",I1849="TNO2-3",I1849="NO2-3")),VLOOKUP(E1849,QCNIC_N,2,),IF(AND(H1849="UREA",OR(I1849="TN",I1849="TDN",I1849="TNO2-3",I1849="NO2-3")),VLOOKUP(E1849,QCUREA_N,2,),IF(H1849="PER",VLOOKUP(I1849,QCPER,MATCH(E1849,QCACTUAL!$J$25:$AA$25,0),),IF(H1849="SPK",VLOOKUP(I1849,QCSPK,3,),IF(AND(H1849="ATP",OR(I1849="TP",I1849="TDP")),VLOOKUP(E1849,QCATP_P,2,),""))))))))</f>
        <v/>
      </c>
      <c r="W1849" s="31" t="str">
        <f t="shared" si="207"/>
        <v>TRUE</v>
      </c>
      <c r="X1849" s="31" t="str">
        <f t="shared" si="204"/>
        <v/>
      </c>
      <c r="Y1849" s="10" t="s">
        <v>1126</v>
      </c>
      <c r="AF1849" s="12">
        <v>44958</v>
      </c>
      <c r="AK1849" s="10">
        <f>0.0239*30.1^2+66.574*30.1-31.913</f>
        <v>1993.6180390000002</v>
      </c>
      <c r="AL1849" s="10" t="str">
        <f t="shared" si="211"/>
        <v>FALSE</v>
      </c>
      <c r="AM1849" s="10" t="str">
        <f t="shared" si="211"/>
        <v>FALSE</v>
      </c>
      <c r="AN1849" s="10" t="str">
        <f t="shared" si="211"/>
        <v>FALSE</v>
      </c>
      <c r="AO1849" s="10" t="str">
        <f t="shared" si="212"/>
        <v>FALSE</v>
      </c>
      <c r="AP1849" s="10" t="str">
        <f t="shared" si="212"/>
        <v>y=0.0239*30.1^2+66.574*30.1-31.913</v>
      </c>
      <c r="AQ1849" s="10" t="b">
        <f>IF(AND(I1849="TP",S1849&lt;=150),VLOOKUP(AF1849,TPCalibEq150!$AZ$2:$BB$55,3,),IF(AND(I1849="TDP",S1849&lt;=150),VLOOKUP(AF1849,TPCalibEq150!$AZ$2:$BB$55,3,)))</f>
        <v>0</v>
      </c>
      <c r="AR1849" s="10" t="b">
        <f>IF(AND(I1849="TP",S1849&lt;=300),VLOOKUP(AF1849,TPCalibEq300!$AZ$2:$BB$55,3,),IF(AND(I1849="TDP",S1849&lt;=300),VLOOKUP(AF1849,TPCalibEq300!$AZ$2:$BB$55,3,)))</f>
        <v>0</v>
      </c>
      <c r="AS1849" s="10" t="b">
        <f>IF(AND(I1849="TP",S1849&lt;=500),VLOOKUP(AF1849,TPCalibEq500!$AZ$2:$BB$56,3,),IF(AND(I1849="TDP",S1849&lt;=500),VLOOKUP(AF1849,TPCalibEq500!$AZ$2:$BB$56,3,)))</f>
        <v>0</v>
      </c>
      <c r="AT1849" s="10" t="b">
        <f>IF(AND(I1849="TN",S1849&lt;=2800),VLOOKUP(AF1849,TNCalibEq2500!$AZ$2:$BB$56,3,),IF(AND(I1849="TDN",S1849&lt;=2800),VLOOKUP(AF1849,TNCalibEq2500!$AZ$2:$BB$56,3,)))</f>
        <v>0</v>
      </c>
      <c r="AU1849" s="10" t="str">
        <f>IF(I1849="TP",VLOOKUP(AF1849,TPCalibEqFull!$AZ$2:$BB$56,3),IF(I1849="TDP",VLOOKUP(AF1849,TPCalibEqFull!$AZ$2:$BB$56,3),IF(I1849="TDN",VLOOKUP(AF1849,TNCalibEqFull!$AZ$1:$BB$56,3),IF(I1849="TN",VLOOKUP(AF1849,TNCalibEqFull!$AZ$1:$BB$56,3),FALSE))))</f>
        <v>y=0.0239x2+66.574x-31.913</v>
      </c>
      <c r="AV1849" s="10" t="str">
        <f t="shared" si="208"/>
        <v>1220 09:00:00-QAC-STD-D.A-1-DI-CAL</v>
      </c>
    </row>
    <row r="1850" spans="1:48" s="10" customFormat="1" x14ac:dyDescent="0.55000000000000004">
      <c r="A1850" s="32">
        <v>44958</v>
      </c>
      <c r="B1850" s="33">
        <v>0.375</v>
      </c>
      <c r="C1850" s="10" t="s">
        <v>70</v>
      </c>
      <c r="D1850" s="10" t="s">
        <v>241</v>
      </c>
      <c r="E1850" s="10" t="s">
        <v>866</v>
      </c>
      <c r="F1850" s="10">
        <v>1</v>
      </c>
      <c r="G1850" s="10" t="s">
        <v>73</v>
      </c>
      <c r="H1850" s="10" t="s">
        <v>283</v>
      </c>
      <c r="I1850" s="10" t="s">
        <v>83</v>
      </c>
      <c r="J1850" s="10">
        <v>198</v>
      </c>
      <c r="K1850" s="12">
        <v>44958</v>
      </c>
      <c r="L1850" s="33">
        <v>0.58300925925925928</v>
      </c>
      <c r="M1850" s="10">
        <v>1</v>
      </c>
      <c r="N1850" s="10" t="s">
        <v>84</v>
      </c>
      <c r="O1850" s="10">
        <v>0.58399999999999996</v>
      </c>
      <c r="P1850" s="10">
        <v>3.7699999999999997E-2</v>
      </c>
      <c r="Q1850" s="10">
        <v>13</v>
      </c>
      <c r="R1850" s="10" t="s">
        <v>85</v>
      </c>
      <c r="S1850" s="34">
        <f t="shared" si="205"/>
        <v>13</v>
      </c>
      <c r="T1850" s="10" t="s">
        <v>1139</v>
      </c>
      <c r="U1850" s="34">
        <f t="shared" si="206"/>
        <v>13</v>
      </c>
      <c r="V1850" s="31" t="str">
        <f>IF(H1850="CHK",VLOOKUP(I1850,QCCHK,3,),IF(H1850="GUP",VLOOKUP(E1850,QCGUP,2,),IF(AND(H1850="ATP",OR(I1850="TN",I1850="TDN",I1850="TNO2-3",I1850="NO2-3")),VLOOKUP(E1850,QCREC_N,2,),IF(AND(H1850="NIC",OR(I1850="TN",I1850="TDN",I1850="TNO2-3",I1850="NO2-3")),VLOOKUP(E1850,QCNIC_N,2,),IF(AND(H1850="UREA",OR(I1850="TN",I1850="TDN",I1850="TNO2-3",I1850="NO2-3")),VLOOKUP(E1850,QCUREA_N,2,),IF(H1850="PER",VLOOKUP(I1850,QCPER,MATCH(E1850,QCACTUAL!$J$25:$AA$25,0),),IF(H1850="SPK",VLOOKUP(I1850,QCSPK,3,),IF(AND(H1850="ATP",OR(I1850="TP",I1850="TDP")),VLOOKUP(E1850,QCATP_P,2,),""))))))))</f>
        <v/>
      </c>
      <c r="W1850" s="31" t="str">
        <f t="shared" si="207"/>
        <v>TRUE</v>
      </c>
      <c r="X1850" s="31" t="str">
        <f t="shared" si="204"/>
        <v>nominal concentration</v>
      </c>
      <c r="Y1850" s="10" t="s">
        <v>1126</v>
      </c>
      <c r="AF1850" s="12">
        <v>44958</v>
      </c>
      <c r="AG1850" s="10">
        <f>-20.9*0.584^2+141.62*0.584-73.036</f>
        <v>2.5420096000000001</v>
      </c>
      <c r="AH1850" s="10">
        <f>-1.3807*0.584^2+80.818*0.584-42.013</f>
        <v>4.7138159807999997</v>
      </c>
      <c r="AI1850" s="10">
        <f>0.6312*0.584^2+63.45*0.584-30.993</f>
        <v>6.2770745472000051</v>
      </c>
      <c r="AK1850" s="10">
        <f>0.0239*0.584^2+66.574*0.584-31.913</f>
        <v>6.9743672384000028</v>
      </c>
      <c r="AL1850" s="10" t="str">
        <f t="shared" si="211"/>
        <v>y=-20.90*0.584^2+141.62*0.584-73.036</v>
      </c>
      <c r="AM1850" s="10" t="str">
        <f t="shared" si="211"/>
        <v>y=-1.3807*0.584^2+80.818*0.584-42.013</v>
      </c>
      <c r="AN1850" s="10" t="str">
        <f t="shared" si="211"/>
        <v>y=0.6312*0.584^2+63.45*0.584-30.993</v>
      </c>
      <c r="AO1850" s="10" t="str">
        <f t="shared" si="212"/>
        <v>FALSE</v>
      </c>
      <c r="AP1850" s="10" t="str">
        <f t="shared" si="212"/>
        <v>y=0.0239*0.584^2+66.574*0.584-31.913</v>
      </c>
      <c r="AQ1850" s="10" t="str">
        <f>IF(AND(I1850="TP",S1850&lt;=150),VLOOKUP(AF1850,TPCalibEq150!$AZ$2:$BB$55,3,),IF(AND(I1850="TDP",S1850&lt;=150),VLOOKUP(AF1850,TPCalibEq150!$AZ$2:$BB$55,3,)))</f>
        <v>y=-20.90x2+141.62x-73.036</v>
      </c>
      <c r="AR1850" s="10" t="str">
        <f>IF(AND(I1850="TP",S1850&lt;=300),VLOOKUP(AF1850,TPCalibEq300!$AZ$2:$BB$55,3,),IF(AND(I1850="TDP",S1850&lt;=300),VLOOKUP(AF1850,TPCalibEq300!$AZ$2:$BB$55,3,)))</f>
        <v>y=-1.3807x2+80.818x-42.013</v>
      </c>
      <c r="AS1850" s="10" t="str">
        <f>IF(AND(I1850="TP",S1850&lt;=500),VLOOKUP(AF1850,TPCalibEq500!$AZ$2:$BB$56,3,),IF(AND(I1850="TDP",S1850&lt;=500),VLOOKUP(AF1850,TPCalibEq500!$AZ$2:$BB$56,3,)))</f>
        <v>y=0.6312x2+63.45x-30.993</v>
      </c>
      <c r="AT1850" s="10" t="b">
        <f>IF(AND(I1850="TN",S1850&lt;=2800),VLOOKUP(AF1850,TNCalibEq2500!$AZ$2:$BB$56,3,),IF(AND(I1850="TDN",S1850&lt;=2800),VLOOKUP(AF1850,TNCalibEq2500!$AZ$2:$BB$56,3,)))</f>
        <v>0</v>
      </c>
      <c r="AU1850" s="10" t="str">
        <f>IF(I1850="TP",VLOOKUP(AF1850,TPCalibEqFull!$AZ$2:$BB$56,3),IF(I1850="TDP",VLOOKUP(AF1850,TPCalibEqFull!$AZ$2:$BB$56,3),IF(I1850="TDN",VLOOKUP(AF1850,TNCalibEqFull!$AZ$1:$BB$56,3),IF(I1850="TN",VLOOKUP(AF1850,TNCalibEqFull!$AZ$1:$BB$56,3),FALSE))))</f>
        <v>y=0.0239x2+66.574x-31.913</v>
      </c>
      <c r="AV1850" s="10" t="str">
        <f t="shared" si="208"/>
        <v>0201 09:00:00-QAC-BLK-A-1-DI-LAB</v>
      </c>
    </row>
    <row r="1851" spans="1:48" s="10" customFormat="1" x14ac:dyDescent="0.55000000000000004">
      <c r="A1851" s="32">
        <v>44958</v>
      </c>
      <c r="B1851" s="33">
        <v>0.375</v>
      </c>
      <c r="C1851" s="10" t="s">
        <v>70</v>
      </c>
      <c r="D1851" s="10" t="s">
        <v>241</v>
      </c>
      <c r="E1851" s="10" t="s">
        <v>866</v>
      </c>
      <c r="F1851" s="10">
        <v>1</v>
      </c>
      <c r="G1851" s="10" t="s">
        <v>73</v>
      </c>
      <c r="H1851" s="10" t="s">
        <v>314</v>
      </c>
      <c r="I1851" s="10" t="s">
        <v>83</v>
      </c>
      <c r="J1851" s="10">
        <v>225</v>
      </c>
      <c r="K1851" s="12">
        <v>44958</v>
      </c>
      <c r="L1851" s="33">
        <v>0.58371527777777776</v>
      </c>
      <c r="M1851" s="10">
        <v>1</v>
      </c>
      <c r="N1851" s="10" t="s">
        <v>84</v>
      </c>
      <c r="O1851" s="10">
        <v>14.8</v>
      </c>
      <c r="P1851" s="10">
        <v>1.05</v>
      </c>
      <c r="Q1851" s="10">
        <v>966</v>
      </c>
      <c r="R1851" s="10" t="s">
        <v>85</v>
      </c>
      <c r="S1851" s="34">
        <f t="shared" si="205"/>
        <v>966</v>
      </c>
      <c r="T1851" s="10" t="s">
        <v>1139</v>
      </c>
      <c r="U1851" s="34">
        <f t="shared" si="206"/>
        <v>95.3</v>
      </c>
      <c r="V1851" s="31">
        <f>IF(H1851="CHK",VLOOKUP(I1851,QCCHK,3,),IF(H1851="GUP",VLOOKUP(E1851,QCGUP,2,),IF(AND(H1851="ATP",OR(I1851="TN",I1851="TDN",I1851="TNO2-3",I1851="NO2-3")),VLOOKUP(E1851,QCREC_N,2,),IF(AND(H1851="NIC",OR(I1851="TN",I1851="TDN",I1851="TNO2-3",I1851="NO2-3")),VLOOKUP(E1851,QCNIC_N,2,),IF(AND(H1851="UREA",OR(I1851="TN",I1851="TDN",I1851="TNO2-3",I1851="NO2-3")),VLOOKUP(E1851,QCUREA_N,2,),IF(H1851="PER",VLOOKUP(I1851,QCPER,MATCH(E1851,QCACTUAL!$J$25:$AA$25,0),),IF(H1851="SPK",VLOOKUP(I1851,QCSPK,3,),IF(AND(H1851="ATP",OR(I1851="TP",I1851="TDP")),VLOOKUP(E1851,QCATP_P,2,),""))))))))</f>
        <v>1000</v>
      </c>
      <c r="W1851" s="31" t="str">
        <f t="shared" si="207"/>
        <v>TRUE</v>
      </c>
      <c r="X1851" s="31" t="str">
        <f t="shared" si="204"/>
        <v>([spikedunkn]-[unkn])/[spike]*100</v>
      </c>
      <c r="Y1851" s="10" t="s">
        <v>1126</v>
      </c>
      <c r="AF1851" s="12">
        <v>44958</v>
      </c>
      <c r="AK1851" s="10">
        <f>0.0239*14.8^2+66.574*14.8-31.913</f>
        <v>958.617256</v>
      </c>
      <c r="AL1851" s="10" t="str">
        <f t="shared" si="211"/>
        <v>FALSE</v>
      </c>
      <c r="AM1851" s="10" t="str">
        <f t="shared" si="211"/>
        <v>FALSE</v>
      </c>
      <c r="AN1851" s="10" t="str">
        <f t="shared" si="211"/>
        <v>FALSE</v>
      </c>
      <c r="AO1851" s="10" t="str">
        <f t="shared" si="212"/>
        <v>FALSE</v>
      </c>
      <c r="AP1851" s="10" t="str">
        <f t="shared" si="212"/>
        <v>y=0.0239*14.8^2+66.574*14.8-31.913</v>
      </c>
      <c r="AQ1851" s="10" t="b">
        <f>IF(AND(I1851="TP",S1851&lt;=150),VLOOKUP(AF1851,TPCalibEq150!$AZ$2:$BB$55,3,),IF(AND(I1851="TDP",S1851&lt;=150),VLOOKUP(AF1851,TPCalibEq150!$AZ$2:$BB$55,3,)))</f>
        <v>0</v>
      </c>
      <c r="AR1851" s="10" t="b">
        <f>IF(AND(I1851="TP",S1851&lt;=300),VLOOKUP(AF1851,TPCalibEq300!$AZ$2:$BB$55,3,),IF(AND(I1851="TDP",S1851&lt;=300),VLOOKUP(AF1851,TPCalibEq300!$AZ$2:$BB$55,3,)))</f>
        <v>0</v>
      </c>
      <c r="AS1851" s="10" t="b">
        <f>IF(AND(I1851="TP",S1851&lt;=500),VLOOKUP(AF1851,TPCalibEq500!$AZ$2:$BB$56,3,),IF(AND(I1851="TDP",S1851&lt;=500),VLOOKUP(AF1851,TPCalibEq500!$AZ$2:$BB$56,3,)))</f>
        <v>0</v>
      </c>
      <c r="AT1851" s="10" t="b">
        <f>IF(AND(I1851="TN",S1851&lt;=2800),VLOOKUP(AF1851,TNCalibEq2500!$AZ$2:$BB$56,3,),IF(AND(I1851="TDN",S1851&lt;=2800),VLOOKUP(AF1851,TNCalibEq2500!$AZ$2:$BB$56,3,)))</f>
        <v>0</v>
      </c>
      <c r="AU1851" s="10" t="str">
        <f>IF(I1851="TP",VLOOKUP(AF1851,TPCalibEqFull!$AZ$2:$BB$56,3),IF(I1851="TDP",VLOOKUP(AF1851,TPCalibEqFull!$AZ$2:$BB$56,3),IF(I1851="TDN",VLOOKUP(AF1851,TNCalibEqFull!$AZ$1:$BB$56,3),IF(I1851="TN",VLOOKUP(AF1851,TNCalibEqFull!$AZ$1:$BB$56,3),FALSE))))</f>
        <v>y=0.0239x2+66.574x-31.913</v>
      </c>
      <c r="AV1851" s="10" t="str">
        <f t="shared" si="208"/>
        <v>0201 09:00:00-QAC-BLK-A-1-DI-SPK</v>
      </c>
    </row>
    <row r="1852" spans="1:48" s="10" customFormat="1" x14ac:dyDescent="0.55000000000000004">
      <c r="A1852" s="32">
        <v>44958</v>
      </c>
      <c r="B1852" s="33">
        <v>0.375</v>
      </c>
      <c r="C1852" s="10" t="s">
        <v>70</v>
      </c>
      <c r="D1852" s="10" t="s">
        <v>71</v>
      </c>
      <c r="E1852" s="10" t="s">
        <v>948</v>
      </c>
      <c r="F1852" s="10">
        <v>1</v>
      </c>
      <c r="G1852" s="10" t="s">
        <v>73</v>
      </c>
      <c r="H1852" s="10" t="s">
        <v>299</v>
      </c>
      <c r="I1852" s="10" t="s">
        <v>83</v>
      </c>
      <c r="J1852" s="10">
        <v>197</v>
      </c>
      <c r="K1852" s="12">
        <v>44958</v>
      </c>
      <c r="L1852" s="33">
        <v>0.58442129629629636</v>
      </c>
      <c r="M1852" s="10">
        <v>1</v>
      </c>
      <c r="N1852" s="10" t="s">
        <v>84</v>
      </c>
      <c r="O1852" s="10">
        <v>5.15</v>
      </c>
      <c r="P1852" s="10">
        <v>0.36499999999999999</v>
      </c>
      <c r="Q1852" s="10">
        <v>319</v>
      </c>
      <c r="R1852" s="10" t="s">
        <v>85</v>
      </c>
      <c r="S1852" s="34">
        <f t="shared" si="205"/>
        <v>319</v>
      </c>
      <c r="T1852" s="10" t="s">
        <v>1139</v>
      </c>
      <c r="U1852" s="34">
        <f t="shared" si="206"/>
        <v>96.666666666666671</v>
      </c>
      <c r="V1852" s="31">
        <f>IF(H1852="CHK",VLOOKUP(I1852,QCCHK,3,),IF(H1852="GUP",VLOOKUP(E1852,QCGUP,2,),IF(AND(H1852="ATP",OR(I1852="TN",I1852="TDN",I1852="TNO2-3",I1852="NO2-3")),VLOOKUP(E1852,QCREC_N,2,),IF(AND(H1852="NIC",OR(I1852="TN",I1852="TDN",I1852="TNO2-3",I1852="NO2-3")),VLOOKUP(E1852,QCNIC_N,2,),IF(AND(H1852="UREA",OR(I1852="TN",I1852="TDN",I1852="TNO2-3",I1852="NO2-3")),VLOOKUP(E1852,QCUREA_N,2,),IF(H1852="PER",VLOOKUP(I1852,QCPER,MATCH(E1852,QCACTUAL!$J$25:$AA$25,0),),IF(H1852="SPK",VLOOKUP(I1852,QCSPK,3,),IF(AND(H1852="ATP",OR(I1852="TP",I1852="TDP")),VLOOKUP(E1852,QCATP_P,2,),""))))))))</f>
        <v>330</v>
      </c>
      <c r="W1852" s="31" t="str">
        <f t="shared" si="207"/>
        <v>TRUE</v>
      </c>
      <c r="X1852" s="31" t="str">
        <f t="shared" si="204"/>
        <v>[per]/[actual]*100</v>
      </c>
      <c r="Y1852" s="10" t="s">
        <v>1126</v>
      </c>
      <c r="AF1852" s="12">
        <v>44958</v>
      </c>
      <c r="AI1852" s="10">
        <f>0.6312*5.15^2+63.45*5.15-30.993</f>
        <v>312.51550200000003</v>
      </c>
      <c r="AK1852" s="10">
        <f>0.0239*5.15^2+66.574*5.15-31.913</f>
        <v>311.57698775</v>
      </c>
      <c r="AL1852" s="10" t="str">
        <f t="shared" si="211"/>
        <v>FALSE</v>
      </c>
      <c r="AM1852" s="10" t="str">
        <f t="shared" si="211"/>
        <v>FALSE</v>
      </c>
      <c r="AN1852" s="10" t="str">
        <f t="shared" si="211"/>
        <v>y=0.6312*5.15^2+63.45*5.15-30.993</v>
      </c>
      <c r="AO1852" s="10" t="str">
        <f t="shared" si="212"/>
        <v>FALSE</v>
      </c>
      <c r="AP1852" s="10" t="str">
        <f t="shared" si="212"/>
        <v>y=0.0239*5.15^2+66.574*5.15-31.913</v>
      </c>
      <c r="AQ1852" s="10" t="b">
        <f>IF(AND(I1852="TP",S1852&lt;=150),VLOOKUP(AF1852,TPCalibEq150!$AZ$2:$BB$55,3,),IF(AND(I1852="TDP",S1852&lt;=150),VLOOKUP(AF1852,TPCalibEq150!$AZ$2:$BB$55,3,)))</f>
        <v>0</v>
      </c>
      <c r="AR1852" s="10" t="b">
        <f>IF(AND(I1852="TP",S1852&lt;=300),VLOOKUP(AF1852,TPCalibEq300!$AZ$2:$BB$55,3,),IF(AND(I1852="TDP",S1852&lt;=300),VLOOKUP(AF1852,TPCalibEq300!$AZ$2:$BB$55,3,)))</f>
        <v>0</v>
      </c>
      <c r="AS1852" s="10" t="str">
        <f>IF(AND(I1852="TP",S1852&lt;=500),VLOOKUP(AF1852,TPCalibEq500!$AZ$2:$BB$56,3,),IF(AND(I1852="TDP",S1852&lt;=500),VLOOKUP(AF1852,TPCalibEq500!$AZ$2:$BB$56,3,)))</f>
        <v>y=0.6312x2+63.45x-30.993</v>
      </c>
      <c r="AT1852" s="10" t="b">
        <f>IF(AND(I1852="TN",S1852&lt;=2800),VLOOKUP(AF1852,TNCalibEq2500!$AZ$2:$BB$56,3,),IF(AND(I1852="TDN",S1852&lt;=2800),VLOOKUP(AF1852,TNCalibEq2500!$AZ$2:$BB$56,3,)))</f>
        <v>0</v>
      </c>
      <c r="AU1852" s="10" t="str">
        <f>IF(I1852="TP",VLOOKUP(AF1852,TPCalibEqFull!$AZ$2:$BB$56,3),IF(I1852="TDP",VLOOKUP(AF1852,TPCalibEqFull!$AZ$2:$BB$56,3),IF(I1852="TDN",VLOOKUP(AF1852,TNCalibEqFull!$AZ$1:$BB$56,3),IF(I1852="TN",VLOOKUP(AF1852,TNCalibEqFull!$AZ$1:$BB$56,3),FALSE))))</f>
        <v>y=0.0239x2+66.574x-31.913</v>
      </c>
      <c r="AV1852" s="10" t="str">
        <f t="shared" si="208"/>
        <v>0201 09:00:00-QAC-STD-22A-1-DI-PER</v>
      </c>
    </row>
    <row r="1853" spans="1:48" s="10" customFormat="1" x14ac:dyDescent="0.55000000000000004">
      <c r="A1853" s="32">
        <v>44958</v>
      </c>
      <c r="B1853" s="33">
        <v>0.375</v>
      </c>
      <c r="C1853" s="10" t="s">
        <v>70</v>
      </c>
      <c r="D1853" s="10" t="s">
        <v>71</v>
      </c>
      <c r="E1853" s="10" t="s">
        <v>948</v>
      </c>
      <c r="F1853" s="10">
        <v>2</v>
      </c>
      <c r="G1853" s="10" t="s">
        <v>73</v>
      </c>
      <c r="H1853" s="10" t="s">
        <v>299</v>
      </c>
      <c r="I1853" s="10" t="s">
        <v>83</v>
      </c>
      <c r="J1853" s="10">
        <v>214</v>
      </c>
      <c r="K1853" s="12">
        <v>44958</v>
      </c>
      <c r="L1853" s="33">
        <v>0.58513888888888888</v>
      </c>
      <c r="M1853" s="10">
        <v>1</v>
      </c>
      <c r="N1853" s="10" t="s">
        <v>84</v>
      </c>
      <c r="O1853" s="10">
        <v>3.36</v>
      </c>
      <c r="P1853" s="10">
        <v>0.23699999999999999</v>
      </c>
      <c r="Q1853" s="10">
        <v>199</v>
      </c>
      <c r="R1853" s="10" t="s">
        <v>85</v>
      </c>
      <c r="S1853" s="34">
        <f t="shared" si="205"/>
        <v>213.94792927999998</v>
      </c>
      <c r="T1853" s="10" t="s">
        <v>1139</v>
      </c>
      <c r="U1853" s="34">
        <f t="shared" si="206"/>
        <v>64.832705842424232</v>
      </c>
      <c r="V1853" s="31">
        <f>IF(H1853="CHK",VLOOKUP(I1853,QCCHK,3,),IF(H1853="GUP",VLOOKUP(E1853,QCGUP,2,),IF(AND(H1853="ATP",OR(I1853="TN",I1853="TDN",I1853="TNO2-3",I1853="NO2-3")),VLOOKUP(E1853,QCREC_N,2,),IF(AND(H1853="NIC",OR(I1853="TN",I1853="TDN",I1853="TNO2-3",I1853="NO2-3")),VLOOKUP(E1853,QCNIC_N,2,),IF(AND(H1853="UREA",OR(I1853="TN",I1853="TDN",I1853="TNO2-3",I1853="NO2-3")),VLOOKUP(E1853,QCUREA_N,2,),IF(H1853="PER",VLOOKUP(I1853,QCPER,MATCH(E1853,QCACTUAL!$J$25:$AA$25,0),),IF(H1853="SPK",VLOOKUP(I1853,QCSPK,3,),IF(AND(H1853="ATP",OR(I1853="TP",I1853="TDP")),VLOOKUP(E1853,QCATP_P,2,),""))))))))</f>
        <v>330</v>
      </c>
      <c r="W1853" s="31" t="str">
        <f t="shared" si="207"/>
        <v>FALSE</v>
      </c>
      <c r="X1853" s="31" t="str">
        <f t="shared" si="204"/>
        <v>[per]/[actual]*100</v>
      </c>
      <c r="Y1853" s="10" t="s">
        <v>1126</v>
      </c>
      <c r="AF1853" s="12">
        <v>44958</v>
      </c>
      <c r="AH1853" s="10">
        <f>-1.3807*3.36^2+80.818*3.36-42.013</f>
        <v>213.94792927999998</v>
      </c>
      <c r="AI1853" s="10">
        <f>0.6312*3.36^2+63.45*3.36-30.993</f>
        <v>189.32499552000002</v>
      </c>
      <c r="AK1853" s="10">
        <f>0.0239*3.36^2+66.574*3.36-31.913</f>
        <v>192.04546143999997</v>
      </c>
      <c r="AL1853" s="10" t="str">
        <f t="shared" si="211"/>
        <v>FALSE</v>
      </c>
      <c r="AM1853" s="10" t="str">
        <f t="shared" si="211"/>
        <v>y=-1.3807*3.36^2+80.818*3.36-42.013</v>
      </c>
      <c r="AN1853" s="10" t="str">
        <f t="shared" si="211"/>
        <v>y=0.6312*3.36^2+63.45*3.36-30.993</v>
      </c>
      <c r="AO1853" s="10" t="str">
        <f t="shared" si="212"/>
        <v>FALSE</v>
      </c>
      <c r="AP1853" s="10" t="str">
        <f t="shared" si="212"/>
        <v>y=0.0239*3.36^2+66.574*3.36-31.913</v>
      </c>
      <c r="AQ1853" s="10" t="b">
        <f>IF(AND(I1853="TP",S1853&lt;=150),VLOOKUP(AF1853,TPCalibEq150!$AZ$2:$BB$55,3,),IF(AND(I1853="TDP",S1853&lt;=150),VLOOKUP(AF1853,TPCalibEq150!$AZ$2:$BB$55,3,)))</f>
        <v>0</v>
      </c>
      <c r="AR1853" s="10" t="str">
        <f>IF(AND(I1853="TP",S1853&lt;=300),VLOOKUP(AF1853,TPCalibEq300!$AZ$2:$BB$55,3,),IF(AND(I1853="TDP",S1853&lt;=300),VLOOKUP(AF1853,TPCalibEq300!$AZ$2:$BB$55,3,)))</f>
        <v>y=-1.3807x2+80.818x-42.013</v>
      </c>
      <c r="AS1853" s="10" t="str">
        <f>IF(AND(I1853="TP",S1853&lt;=500),VLOOKUP(AF1853,TPCalibEq500!$AZ$2:$BB$56,3,),IF(AND(I1853="TDP",S1853&lt;=500),VLOOKUP(AF1853,TPCalibEq500!$AZ$2:$BB$56,3,)))</f>
        <v>y=0.6312x2+63.45x-30.993</v>
      </c>
      <c r="AT1853" s="10" t="b">
        <f>IF(AND(I1853="TN",S1853&lt;=2800),VLOOKUP(AF1853,TNCalibEq2500!$AZ$2:$BB$56,3,),IF(AND(I1853="TDN",S1853&lt;=2800),VLOOKUP(AF1853,TNCalibEq2500!$AZ$2:$BB$56,3,)))</f>
        <v>0</v>
      </c>
      <c r="AU1853" s="10" t="str">
        <f>IF(I1853="TP",VLOOKUP(AF1853,TPCalibEqFull!$AZ$2:$BB$56,3),IF(I1853="TDP",VLOOKUP(AF1853,TPCalibEqFull!$AZ$2:$BB$56,3),IF(I1853="TDN",VLOOKUP(AF1853,TNCalibEqFull!$AZ$1:$BB$56,3),IF(I1853="TN",VLOOKUP(AF1853,TNCalibEqFull!$AZ$1:$BB$56,3),FALSE))))</f>
        <v>y=0.0239x2+66.574x-31.913</v>
      </c>
      <c r="AV1853" s="10" t="str">
        <f t="shared" si="208"/>
        <v>0201 09:00:00-QAC-STD-22A-2-DI-PER</v>
      </c>
    </row>
    <row r="1854" spans="1:48" s="10" customFormat="1" x14ac:dyDescent="0.55000000000000004">
      <c r="A1854" s="32">
        <v>44958</v>
      </c>
      <c r="B1854" s="33">
        <v>0.375</v>
      </c>
      <c r="C1854" s="10" t="s">
        <v>70</v>
      </c>
      <c r="D1854" s="10" t="s">
        <v>305</v>
      </c>
      <c r="E1854" s="10" t="s">
        <v>866</v>
      </c>
      <c r="F1854" s="10">
        <v>1</v>
      </c>
      <c r="G1854" s="10" t="s">
        <v>73</v>
      </c>
      <c r="H1854" s="10" t="s">
        <v>274</v>
      </c>
      <c r="I1854" s="10" t="s">
        <v>83</v>
      </c>
      <c r="J1854" s="10">
        <v>204</v>
      </c>
      <c r="K1854" s="12">
        <v>44958</v>
      </c>
      <c r="L1854" s="33">
        <v>0.58584490740740736</v>
      </c>
      <c r="M1854" s="10">
        <v>1</v>
      </c>
      <c r="N1854" s="10" t="s">
        <v>84</v>
      </c>
      <c r="O1854" s="10">
        <v>15.7</v>
      </c>
      <c r="P1854" s="10">
        <v>1.1000000000000001</v>
      </c>
      <c r="Q1854" s="10">
        <v>1030</v>
      </c>
      <c r="R1854" s="10" t="s">
        <v>85</v>
      </c>
      <c r="S1854" s="34">
        <f t="shared" si="205"/>
        <v>1030</v>
      </c>
      <c r="T1854" s="10" t="s">
        <v>1139</v>
      </c>
      <c r="U1854" s="34">
        <f t="shared" si="206"/>
        <v>103</v>
      </c>
      <c r="V1854" s="31">
        <f>IF(H1854="CHK",VLOOKUP(I1854,QCCHK,3,),IF(H1854="GUP",VLOOKUP(E1854,QCGUP,2,),IF(AND(H1854="ATP",OR(I1854="TN",I1854="TDN",I1854="TNO2-3",I1854="NO2-3")),VLOOKUP(E1854,QCREC_N,2,),IF(AND(H1854="NIC",OR(I1854="TN",I1854="TDN",I1854="TNO2-3",I1854="NO2-3")),VLOOKUP(E1854,QCNIC_N,2,),IF(AND(H1854="UREA",OR(I1854="TN",I1854="TDN",I1854="TNO2-3",I1854="NO2-3")),VLOOKUP(E1854,QCUREA_N,2,),IF(H1854="PER",VLOOKUP(I1854,QCPER,MATCH(E1854,QCACTUAL!$J$25:$AA$25,0),),IF(H1854="SPK",VLOOKUP(I1854,QCSPK,3,),IF(AND(H1854="ATP",OR(I1854="TP",I1854="TDP")),VLOOKUP(E1854,QCATP_P,2,),""))))))))</f>
        <v>1000</v>
      </c>
      <c r="W1854" s="31" t="str">
        <f t="shared" si="207"/>
        <v>TRUE</v>
      </c>
      <c r="X1854" s="31" t="str">
        <f t="shared" si="204"/>
        <v>[rec]/[actual]*100</v>
      </c>
      <c r="Y1854" s="10" t="s">
        <v>1126</v>
      </c>
      <c r="AF1854" s="12">
        <v>44958</v>
      </c>
      <c r="AK1854" s="10">
        <f>0.0239*15.7^2+66.574*15.7-31.913</f>
        <v>1019.1899109999997</v>
      </c>
      <c r="AL1854" s="10" t="str">
        <f t="shared" si="211"/>
        <v>FALSE</v>
      </c>
      <c r="AM1854" s="10" t="str">
        <f t="shared" si="211"/>
        <v>FALSE</v>
      </c>
      <c r="AN1854" s="10" t="str">
        <f t="shared" si="211"/>
        <v>FALSE</v>
      </c>
      <c r="AO1854" s="10" t="str">
        <f t="shared" si="212"/>
        <v>FALSE</v>
      </c>
      <c r="AP1854" s="10" t="str">
        <f t="shared" si="212"/>
        <v>y=0.0239*15.7^2+66.574*15.7-31.913</v>
      </c>
      <c r="AQ1854" s="10" t="b">
        <f>IF(AND(I1854="TP",S1854&lt;=150),VLOOKUP(AF1854,TPCalibEq150!$AZ$2:$BB$55,3,),IF(AND(I1854="TDP",S1854&lt;=150),VLOOKUP(AF1854,TPCalibEq150!$AZ$2:$BB$55,3,)))</f>
        <v>0</v>
      </c>
      <c r="AR1854" s="10" t="b">
        <f>IF(AND(I1854="TP",S1854&lt;=300),VLOOKUP(AF1854,TPCalibEq300!$AZ$2:$BB$55,3,),IF(AND(I1854="TDP",S1854&lt;=300),VLOOKUP(AF1854,TPCalibEq300!$AZ$2:$BB$55,3,)))</f>
        <v>0</v>
      </c>
      <c r="AS1854" s="10" t="b">
        <f>IF(AND(I1854="TP",S1854&lt;=500),VLOOKUP(AF1854,TPCalibEq500!$AZ$2:$BB$56,3,),IF(AND(I1854="TDP",S1854&lt;=500),VLOOKUP(AF1854,TPCalibEq500!$AZ$2:$BB$56,3,)))</f>
        <v>0</v>
      </c>
      <c r="AT1854" s="10" t="b">
        <f>IF(AND(I1854="TN",S1854&lt;=2800),VLOOKUP(AF1854,TNCalibEq2500!$AZ$2:$BB$56,3,),IF(AND(I1854="TDN",S1854&lt;=2800),VLOOKUP(AF1854,TNCalibEq2500!$AZ$2:$BB$56,3,)))</f>
        <v>0</v>
      </c>
      <c r="AU1854" s="10" t="str">
        <f>IF(I1854="TP",VLOOKUP(AF1854,TPCalibEqFull!$AZ$2:$BB$56,3),IF(I1854="TDP",VLOOKUP(AF1854,TPCalibEqFull!$AZ$2:$BB$56,3),IF(I1854="TDN",VLOOKUP(AF1854,TNCalibEqFull!$AZ$1:$BB$56,3),IF(I1854="TN",VLOOKUP(AF1854,TNCalibEqFull!$AZ$1:$BB$56,3),FALSE))))</f>
        <v>y=0.0239x2+66.574x-31.913</v>
      </c>
      <c r="AV1854" s="10" t="str">
        <f t="shared" si="208"/>
        <v>0201 09:00:00-QAC-REC-A-1-DI-GUP</v>
      </c>
    </row>
    <row r="1855" spans="1:48" s="10" customFormat="1" x14ac:dyDescent="0.55000000000000004">
      <c r="A1855" s="32">
        <v>44903</v>
      </c>
      <c r="B1855" s="33">
        <v>0.375</v>
      </c>
      <c r="C1855" s="10" t="s">
        <v>70</v>
      </c>
      <c r="D1855" s="10" t="s">
        <v>305</v>
      </c>
      <c r="E1855" s="10" t="s">
        <v>866</v>
      </c>
      <c r="F1855" s="10">
        <v>1</v>
      </c>
      <c r="G1855" s="10" t="s">
        <v>73</v>
      </c>
      <c r="H1855" s="10" t="s">
        <v>274</v>
      </c>
      <c r="I1855" s="10" t="s">
        <v>83</v>
      </c>
      <c r="J1855" s="10">
        <v>216</v>
      </c>
      <c r="K1855" s="12">
        <v>44958</v>
      </c>
      <c r="L1855" s="33">
        <v>0.58656249999999999</v>
      </c>
      <c r="M1855" s="10">
        <v>1</v>
      </c>
      <c r="N1855" s="10" t="s">
        <v>84</v>
      </c>
      <c r="O1855" s="10">
        <v>15.3</v>
      </c>
      <c r="P1855" s="10">
        <v>1.08</v>
      </c>
      <c r="Q1855" s="10">
        <v>997</v>
      </c>
      <c r="R1855" s="10" t="s">
        <v>85</v>
      </c>
      <c r="S1855" s="34">
        <f t="shared" si="205"/>
        <v>997</v>
      </c>
      <c r="T1855" s="10" t="s">
        <v>1139</v>
      </c>
      <c r="U1855" s="34">
        <f t="shared" si="206"/>
        <v>99.7</v>
      </c>
      <c r="V1855" s="31">
        <f>IF(H1855="CHK",VLOOKUP(I1855,QCCHK,3,),IF(H1855="GUP",VLOOKUP(E1855,QCGUP,2,),IF(AND(H1855="ATP",OR(I1855="TN",I1855="TDN",I1855="TNO2-3",I1855="NO2-3")),VLOOKUP(E1855,QCREC_N,2,),IF(AND(H1855="NIC",OR(I1855="TN",I1855="TDN",I1855="TNO2-3",I1855="NO2-3")),VLOOKUP(E1855,QCNIC_N,2,),IF(AND(H1855="UREA",OR(I1855="TN",I1855="TDN",I1855="TNO2-3",I1855="NO2-3")),VLOOKUP(E1855,QCUREA_N,2,),IF(H1855="PER",VLOOKUP(I1855,QCPER,MATCH(E1855,QCACTUAL!$J$25:$AA$25,0),),IF(H1855="SPK",VLOOKUP(I1855,QCSPK,3,),IF(AND(H1855="ATP",OR(I1855="TP",I1855="TDP")),VLOOKUP(E1855,QCATP_P,2,),""))))))))</f>
        <v>1000</v>
      </c>
      <c r="W1855" s="31" t="str">
        <f t="shared" si="207"/>
        <v>TRUE</v>
      </c>
      <c r="X1855" s="31" t="str">
        <f t="shared" ref="X1855:X1918" si="213">IF(ISNA(VLOOKUP(H1855,QCEQUATIONS,2,)),"",(VLOOKUP(H1855,QCEQUATIONS,2,)))</f>
        <v>[rec]/[actual]*100</v>
      </c>
      <c r="Y1855" s="10" t="s">
        <v>1126</v>
      </c>
      <c r="AF1855" s="12">
        <v>44958</v>
      </c>
      <c r="AK1855" s="10">
        <f>0.0239*15.3^2+66.574*15.3-31.913</f>
        <v>992.26395100000013</v>
      </c>
      <c r="AL1855" s="10" t="str">
        <f t="shared" si="211"/>
        <v>FALSE</v>
      </c>
      <c r="AM1855" s="10" t="str">
        <f t="shared" si="211"/>
        <v>FALSE</v>
      </c>
      <c r="AN1855" s="10" t="str">
        <f t="shared" si="211"/>
        <v>FALSE</v>
      </c>
      <c r="AO1855" s="10" t="str">
        <f t="shared" si="212"/>
        <v>FALSE</v>
      </c>
      <c r="AP1855" s="10" t="str">
        <f t="shared" si="212"/>
        <v>y=0.0239*15.3^2+66.574*15.3-31.913</v>
      </c>
      <c r="AQ1855" s="10" t="b">
        <f>IF(AND(I1855="TP",S1855&lt;=150),VLOOKUP(AF1855,TPCalibEq150!$AZ$2:$BB$55,3,),IF(AND(I1855="TDP",S1855&lt;=150),VLOOKUP(AF1855,TPCalibEq150!$AZ$2:$BB$55,3,)))</f>
        <v>0</v>
      </c>
      <c r="AR1855" s="10" t="b">
        <f>IF(AND(I1855="TP",S1855&lt;=300),VLOOKUP(AF1855,TPCalibEq300!$AZ$2:$BB$55,3,),IF(AND(I1855="TDP",S1855&lt;=300),VLOOKUP(AF1855,TPCalibEq300!$AZ$2:$BB$55,3,)))</f>
        <v>0</v>
      </c>
      <c r="AS1855" s="10" t="b">
        <f>IF(AND(I1855="TP",S1855&lt;=500),VLOOKUP(AF1855,TPCalibEq500!$AZ$2:$BB$56,3,),IF(AND(I1855="TDP",S1855&lt;=500),VLOOKUP(AF1855,TPCalibEq500!$AZ$2:$BB$56,3,)))</f>
        <v>0</v>
      </c>
      <c r="AT1855" s="10" t="b">
        <f>IF(AND(I1855="TN",S1855&lt;=2800),VLOOKUP(AF1855,TNCalibEq2500!$AZ$2:$BB$56,3,),IF(AND(I1855="TDN",S1855&lt;=2800),VLOOKUP(AF1855,TNCalibEq2500!$AZ$2:$BB$56,3,)))</f>
        <v>0</v>
      </c>
      <c r="AU1855" s="10" t="str">
        <f>IF(I1855="TP",VLOOKUP(AF1855,TPCalibEqFull!$AZ$2:$BB$56,3),IF(I1855="TDP",VLOOKUP(AF1855,TPCalibEqFull!$AZ$2:$BB$56,3),IF(I1855="TDN",VLOOKUP(AF1855,TNCalibEqFull!$AZ$1:$BB$56,3),IF(I1855="TN",VLOOKUP(AF1855,TNCalibEqFull!$AZ$1:$BB$56,3),FALSE))))</f>
        <v>y=0.0239x2+66.574x-31.913</v>
      </c>
      <c r="AV1855" s="10" t="str">
        <f t="shared" si="208"/>
        <v>1208 09:00:00-QAC-REC-A-1-DI-GUP</v>
      </c>
    </row>
    <row r="1856" spans="1:48" s="10" customFormat="1" x14ac:dyDescent="0.55000000000000004">
      <c r="A1856" s="32">
        <v>44958</v>
      </c>
      <c r="B1856" s="33">
        <v>0.375</v>
      </c>
      <c r="C1856" s="10" t="s">
        <v>70</v>
      </c>
      <c r="D1856" s="10" t="s">
        <v>305</v>
      </c>
      <c r="E1856" s="10" t="s">
        <v>583</v>
      </c>
      <c r="F1856" s="10">
        <v>1</v>
      </c>
      <c r="G1856" s="10" t="s">
        <v>73</v>
      </c>
      <c r="H1856" s="10" t="s">
        <v>274</v>
      </c>
      <c r="I1856" s="10" t="s">
        <v>83</v>
      </c>
      <c r="J1856" s="10">
        <v>205</v>
      </c>
      <c r="K1856" s="12">
        <v>44958</v>
      </c>
      <c r="L1856" s="33">
        <v>0.58726851851851858</v>
      </c>
      <c r="M1856" s="10">
        <v>1</v>
      </c>
      <c r="N1856" s="10" t="s">
        <v>84</v>
      </c>
      <c r="O1856" s="10">
        <v>3.39</v>
      </c>
      <c r="P1856" s="10">
        <v>0.23899999999999999</v>
      </c>
      <c r="Q1856" s="10">
        <v>201</v>
      </c>
      <c r="R1856" s="10" t="s">
        <v>85</v>
      </c>
      <c r="S1856" s="34">
        <f t="shared" ref="S1856:S1919" si="214">IF(OR(AND(I1856&lt;&gt;"TP", I1856&lt;&gt;"TDP",I1856&lt;&gt;"TN", I1856&lt;&gt;"TDN"),H1856="CAL"), Q1856*M1856, IF(OR(AND(I1856="TN", Q1856&gt;2500), AND(I1856="TDN", Q1856&gt;2500)),MAX(Q1856, AK1856)*M1856, IF(OR(AND(I1856="TN", Q1856&lt;=2500), AND(I1856="TDN", Q1856&lt;=2500)),MAX(Q1856, AJ1856,AK1856)*M1856, IF(OR(AND(I1856="TP",Q1856&gt;500), AND(I1856="TDP", Q1856&gt;500)),MAX(Q1856,AK1856)*M1856,IF(OR(AND(I1856="TP",Q1856&lt;=150), AND(I1856="TDP", Q1856&lt;=150)),MAX(Q1856,AG1856:AI1856,AK1856)*M1856,IF(OR(AND(I1856="TP",Q1856&lt;=300), AND(I1856="TDP", Q1856&lt;=300)),MAX(Q1856,AH1856,AI1856,AK1856)*M1856,IF(OR(AND(I1856="TP",Q1856&lt;=500), AND(I1856="TDP", Q1856&lt;=500)),MAX(Q1856,AI1856,AK1856)*M1856,"")))))))</f>
        <v>216.09287753000004</v>
      </c>
      <c r="T1856" s="10" t="s">
        <v>1139</v>
      </c>
      <c r="U1856" s="34">
        <f t="shared" si="206"/>
        <v>108.04643876500002</v>
      </c>
      <c r="V1856" s="31">
        <f>IF(H1856="CHK",VLOOKUP(I1856,QCCHK,3,),IF(H1856="GUP",VLOOKUP(E1856,QCGUP,2,),IF(AND(H1856="ATP",OR(I1856="TN",I1856="TDN",I1856="TNO2-3",I1856="NO2-3")),VLOOKUP(E1856,QCREC_N,2,),IF(AND(H1856="NIC",OR(I1856="TN",I1856="TDN",I1856="TNO2-3",I1856="NO2-3")),VLOOKUP(E1856,QCNIC_N,2,),IF(AND(H1856="UREA",OR(I1856="TN",I1856="TDN",I1856="TNO2-3",I1856="NO2-3")),VLOOKUP(E1856,QCUREA_N,2,),IF(H1856="PER",VLOOKUP(I1856,QCPER,MATCH(E1856,QCACTUAL!$J$25:$AA$25,0),),IF(H1856="SPK",VLOOKUP(I1856,QCSPK,3,),IF(AND(H1856="ATP",OR(I1856="TP",I1856="TDP")),VLOOKUP(E1856,QCATP_P,2,),""))))))))</f>
        <v>200</v>
      </c>
      <c r="W1856" s="31" t="str">
        <f t="shared" si="207"/>
        <v>TRUE</v>
      </c>
      <c r="X1856" s="31" t="str">
        <f t="shared" si="213"/>
        <v>[rec]/[actual]*100</v>
      </c>
      <c r="Y1856" s="10" t="s">
        <v>1126</v>
      </c>
      <c r="AF1856" s="12">
        <v>44958</v>
      </c>
      <c r="AH1856" s="10">
        <f>-1.3807*3.39^2+80.818*3.39-42.013</f>
        <v>216.09287753000004</v>
      </c>
      <c r="AI1856" s="10">
        <f>0.6312*3.39^2+63.45*3.39-30.993</f>
        <v>191.35631352000001</v>
      </c>
      <c r="AK1856" s="10">
        <f>0.0239*3.39^2+66.574*3.39-31.913</f>
        <v>194.04752118999997</v>
      </c>
      <c r="AL1856" s="10" t="str">
        <f t="shared" si="211"/>
        <v>FALSE</v>
      </c>
      <c r="AM1856" s="10" t="str">
        <f t="shared" si="211"/>
        <v>y=-1.3807*3.39^2+80.818*3.39-42.013</v>
      </c>
      <c r="AN1856" s="10" t="str">
        <f t="shared" si="211"/>
        <v>y=0.6312*3.39^2+63.45*3.39-30.993</v>
      </c>
      <c r="AO1856" s="10" t="str">
        <f t="shared" si="212"/>
        <v>FALSE</v>
      </c>
      <c r="AP1856" s="10" t="str">
        <f t="shared" si="212"/>
        <v>y=0.0239*3.39^2+66.574*3.39-31.913</v>
      </c>
      <c r="AQ1856" s="10" t="b">
        <f>IF(AND(I1856="TP",S1856&lt;=150),VLOOKUP(AF1856,TPCalibEq150!$AZ$2:$BB$55,3,),IF(AND(I1856="TDP",S1856&lt;=150),VLOOKUP(AF1856,TPCalibEq150!$AZ$2:$BB$55,3,)))</f>
        <v>0</v>
      </c>
      <c r="AR1856" s="10" t="str">
        <f>IF(AND(I1856="TP",S1856&lt;=300),VLOOKUP(AF1856,TPCalibEq300!$AZ$2:$BB$55,3,),IF(AND(I1856="TDP",S1856&lt;=300),VLOOKUP(AF1856,TPCalibEq300!$AZ$2:$BB$55,3,)))</f>
        <v>y=-1.3807x2+80.818x-42.013</v>
      </c>
      <c r="AS1856" s="10" t="str">
        <f>IF(AND(I1856="TP",S1856&lt;=500),VLOOKUP(AF1856,TPCalibEq500!$AZ$2:$BB$56,3,),IF(AND(I1856="TDP",S1856&lt;=500),VLOOKUP(AF1856,TPCalibEq500!$AZ$2:$BB$56,3,)))</f>
        <v>y=0.6312x2+63.45x-30.993</v>
      </c>
      <c r="AT1856" s="10" t="b">
        <f>IF(AND(I1856="TN",S1856&lt;=2800),VLOOKUP(AF1856,TNCalibEq2500!$AZ$2:$BB$56,3,),IF(AND(I1856="TDN",S1856&lt;=2800),VLOOKUP(AF1856,TNCalibEq2500!$AZ$2:$BB$56,3,)))</f>
        <v>0</v>
      </c>
      <c r="AU1856" s="10" t="str">
        <f>IF(I1856="TP",VLOOKUP(AF1856,TPCalibEqFull!$AZ$2:$BB$56,3),IF(I1856="TDP",VLOOKUP(AF1856,TPCalibEqFull!$AZ$2:$BB$56,3),IF(I1856="TDN",VLOOKUP(AF1856,TNCalibEqFull!$AZ$1:$BB$56,3),IF(I1856="TN",VLOOKUP(AF1856,TNCalibEqFull!$AZ$1:$BB$56,3),FALSE))))</f>
        <v>y=0.0239x2+66.574x-31.913</v>
      </c>
      <c r="AV1856" s="10" t="str">
        <f t="shared" si="208"/>
        <v>0201 09:00:00-QAC-REC-B-1-DI-GUP</v>
      </c>
    </row>
    <row r="1857" spans="1:48" s="10" customFormat="1" x14ac:dyDescent="0.55000000000000004">
      <c r="A1857" s="32">
        <v>44958</v>
      </c>
      <c r="B1857" s="33">
        <v>0.375</v>
      </c>
      <c r="C1857" s="10" t="s">
        <v>70</v>
      </c>
      <c r="D1857" s="10" t="s">
        <v>305</v>
      </c>
      <c r="E1857" s="10" t="s">
        <v>190</v>
      </c>
      <c r="F1857" s="10">
        <v>1</v>
      </c>
      <c r="G1857" s="10" t="s">
        <v>73</v>
      </c>
      <c r="H1857" s="10" t="s">
        <v>274</v>
      </c>
      <c r="I1857" s="10" t="s">
        <v>83</v>
      </c>
      <c r="J1857" s="10">
        <v>206</v>
      </c>
      <c r="K1857" s="12">
        <v>44958</v>
      </c>
      <c r="L1857" s="33">
        <v>0.58797453703703706</v>
      </c>
      <c r="M1857" s="10">
        <v>1</v>
      </c>
      <c r="N1857" s="10" t="s">
        <v>84</v>
      </c>
      <c r="O1857" s="10">
        <v>1.89</v>
      </c>
      <c r="P1857" s="10">
        <v>0.13100000000000001</v>
      </c>
      <c r="Q1857" s="10">
        <v>100</v>
      </c>
      <c r="R1857" s="10" t="s">
        <v>85</v>
      </c>
      <c r="S1857" s="34">
        <f t="shared" si="214"/>
        <v>119.96890999999999</v>
      </c>
      <c r="T1857" s="10" t="s">
        <v>1139</v>
      </c>
      <c r="U1857" s="34">
        <f t="shared" si="206"/>
        <v>119.96890999999998</v>
      </c>
      <c r="V1857" s="31">
        <f>IF(H1857="CHK",VLOOKUP(I1857,QCCHK,3,),IF(H1857="GUP",VLOOKUP(E1857,QCGUP,2,),IF(AND(H1857="ATP",OR(I1857="TN",I1857="TDN",I1857="TNO2-3",I1857="NO2-3")),VLOOKUP(E1857,QCREC_N,2,),IF(AND(H1857="NIC",OR(I1857="TN",I1857="TDN",I1857="TNO2-3",I1857="NO2-3")),VLOOKUP(E1857,QCNIC_N,2,),IF(AND(H1857="UREA",OR(I1857="TN",I1857="TDN",I1857="TNO2-3",I1857="NO2-3")),VLOOKUP(E1857,QCUREA_N,2,),IF(H1857="PER",VLOOKUP(I1857,QCPER,MATCH(E1857,QCACTUAL!$J$25:$AA$25,0),),IF(H1857="SPK",VLOOKUP(I1857,QCSPK,3,),IF(AND(H1857="ATP",OR(I1857="TP",I1857="TDP")),VLOOKUP(E1857,QCATP_P,2,),""))))))))</f>
        <v>100</v>
      </c>
      <c r="W1857" s="31" t="str">
        <f t="shared" si="207"/>
        <v>TRUE</v>
      </c>
      <c r="X1857" s="31" t="str">
        <f t="shared" si="213"/>
        <v>[rec]/[actual]*100</v>
      </c>
      <c r="Y1857" s="10" t="s">
        <v>1126</v>
      </c>
      <c r="AF1857" s="12">
        <v>44958</v>
      </c>
      <c r="AG1857" s="10">
        <f>-20.9*1.89^2+141.62*1.89-73.036</f>
        <v>119.96890999999999</v>
      </c>
      <c r="AH1857" s="10">
        <f>-1.3807*1.89^2+80.818*1.89-42.013</f>
        <v>105.80102152999999</v>
      </c>
      <c r="AI1857" s="10">
        <f>0.6312*1.89^2+63.45*1.89-30.993</f>
        <v>91.182209520000015</v>
      </c>
      <c r="AK1857" s="10">
        <f>0.0239*1.89^2+66.574*1.89-31.913</f>
        <v>93.997233189999989</v>
      </c>
      <c r="AL1857" s="10" t="str">
        <f t="shared" si="211"/>
        <v>y=-20.90*1.89^2+141.62*1.89-73.036</v>
      </c>
      <c r="AM1857" s="10" t="str">
        <f t="shared" si="211"/>
        <v>y=-1.3807*1.89^2+80.818*1.89-42.013</v>
      </c>
      <c r="AN1857" s="10" t="str">
        <f t="shared" si="211"/>
        <v>y=0.6312*1.89^2+63.45*1.89-30.993</v>
      </c>
      <c r="AO1857" s="10" t="str">
        <f t="shared" si="212"/>
        <v>FALSE</v>
      </c>
      <c r="AP1857" s="10" t="str">
        <f t="shared" si="212"/>
        <v>y=0.0239*1.89^2+66.574*1.89-31.913</v>
      </c>
      <c r="AQ1857" s="10" t="str">
        <f>IF(AND(I1857="TP",S1857&lt;=150),VLOOKUP(AF1857,TPCalibEq150!$AZ$2:$BB$55,3,),IF(AND(I1857="TDP",S1857&lt;=150),VLOOKUP(AF1857,TPCalibEq150!$AZ$2:$BB$55,3,)))</f>
        <v>y=-20.90x2+141.62x-73.036</v>
      </c>
      <c r="AR1857" s="10" t="str">
        <f>IF(AND(I1857="TP",S1857&lt;=300),VLOOKUP(AF1857,TPCalibEq300!$AZ$2:$BB$55,3,),IF(AND(I1857="TDP",S1857&lt;=300),VLOOKUP(AF1857,TPCalibEq300!$AZ$2:$BB$55,3,)))</f>
        <v>y=-1.3807x2+80.818x-42.013</v>
      </c>
      <c r="AS1857" s="10" t="str">
        <f>IF(AND(I1857="TP",S1857&lt;=500),VLOOKUP(AF1857,TPCalibEq500!$AZ$2:$BB$56,3,),IF(AND(I1857="TDP",S1857&lt;=500),VLOOKUP(AF1857,TPCalibEq500!$AZ$2:$BB$56,3,)))</f>
        <v>y=0.6312x2+63.45x-30.993</v>
      </c>
      <c r="AT1857" s="10" t="b">
        <f>IF(AND(I1857="TN",S1857&lt;=2800),VLOOKUP(AF1857,TNCalibEq2500!$AZ$2:$BB$56,3,),IF(AND(I1857="TDN",S1857&lt;=2800),VLOOKUP(AF1857,TNCalibEq2500!$AZ$2:$BB$56,3,)))</f>
        <v>0</v>
      </c>
      <c r="AU1857" s="10" t="str">
        <f>IF(I1857="TP",VLOOKUP(AF1857,TPCalibEqFull!$AZ$2:$BB$56,3),IF(I1857="TDP",VLOOKUP(AF1857,TPCalibEqFull!$AZ$2:$BB$56,3),IF(I1857="TDN",VLOOKUP(AF1857,TNCalibEqFull!$AZ$1:$BB$56,3),IF(I1857="TN",VLOOKUP(AF1857,TNCalibEqFull!$AZ$1:$BB$56,3),FALSE))))</f>
        <v>y=0.0239x2+66.574x-31.913</v>
      </c>
      <c r="AV1857" s="10" t="str">
        <f t="shared" si="208"/>
        <v>0201 09:00:00-QAC-REC-C-1-DI-GUP</v>
      </c>
    </row>
    <row r="1858" spans="1:48" s="10" customFormat="1" x14ac:dyDescent="0.55000000000000004">
      <c r="A1858" s="32">
        <v>44958</v>
      </c>
      <c r="B1858" s="33">
        <v>0.375</v>
      </c>
      <c r="C1858" s="10" t="s">
        <v>70</v>
      </c>
      <c r="D1858" s="10" t="s">
        <v>305</v>
      </c>
      <c r="E1858" s="10" t="s">
        <v>866</v>
      </c>
      <c r="F1858" s="10">
        <v>1</v>
      </c>
      <c r="G1858" s="10" t="s">
        <v>73</v>
      </c>
      <c r="H1858" s="10" t="s">
        <v>181</v>
      </c>
      <c r="I1858" s="10" t="s">
        <v>83</v>
      </c>
      <c r="J1858" s="10">
        <v>207</v>
      </c>
      <c r="K1858" s="12">
        <v>44958</v>
      </c>
      <c r="L1858" s="33">
        <v>0.5886689814814815</v>
      </c>
      <c r="M1858" s="10">
        <v>1</v>
      </c>
      <c r="N1858" s="10" t="s">
        <v>84</v>
      </c>
      <c r="O1858" s="10">
        <v>19.2</v>
      </c>
      <c r="P1858" s="10">
        <v>1.34</v>
      </c>
      <c r="Q1858" s="10">
        <v>1260</v>
      </c>
      <c r="R1858" s="10" t="s">
        <v>85</v>
      </c>
      <c r="S1858" s="34">
        <f t="shared" si="214"/>
        <v>1260</v>
      </c>
      <c r="T1858" s="10" t="s">
        <v>1139</v>
      </c>
      <c r="U1858" s="34">
        <f t="shared" ref="U1858:U1921" si="215">IF(OR(H1858="CHK",H1858="ATP",H1858="GUP",H1858="PER", H1858="NIC", H1858="UREA"),(S1858/V1858*100),IF(H1858="DUP",((ABS(S1858-S1857))/((S1857+S1858)/2))*100,IF(H1858="SPK",((S1858-S1857)/V1858*100),IF(OR(H1858="LAB",H1858="FLD",H1858="ESF"),S1858,""))))</f>
        <v>94.523630907726925</v>
      </c>
      <c r="V1858" s="31">
        <f>IF(H1858="CHK",VLOOKUP(I1858,QCCHK,3,),IF(H1858="GUP",VLOOKUP(E1858,QCGUP,2,),IF(AND(H1858="ATP",OR(I1858="TN",I1858="TDN",I1858="TNO2-3",I1858="NO2-3")),VLOOKUP(E1858,QCREC_N,2,),IF(AND(H1858="NIC",OR(I1858="TN",I1858="TDN",I1858="TNO2-3",I1858="NO2-3")),VLOOKUP(E1858,QCNIC_N,2,),IF(AND(H1858="UREA",OR(I1858="TN",I1858="TDN",I1858="TNO2-3",I1858="NO2-3")),VLOOKUP(E1858,QCUREA_N,2,),IF(H1858="PER",VLOOKUP(I1858,QCPER,MATCH(E1858,QCACTUAL!$J$25:$AA$25,0),),IF(H1858="SPK",VLOOKUP(I1858,QCSPK,3,),IF(AND(H1858="ATP",OR(I1858="TP",I1858="TDP")),VLOOKUP(E1858,QCATP_P,2,),""))))))))</f>
        <v>1333</v>
      </c>
      <c r="W1858" s="31" t="str">
        <f t="shared" ref="W1858:W1921" si="216">IF(AND(OR(H1858="PER",H1858="ATP",H1858="GUP",H1858="CHK",H1858="SPK", H1858="NIC"),OR(U1858&gt;125,U1858&lt;75)),"FALSE",IF(AND(H1858="DUP",OR(U1858&gt;25, U1858&lt;-25)),"FALSE",IF(AND(OR(H1858="LAB",H1858="FLD",H1858="ESF"),U1858&gt;15),"FALSE","TRUE")))</f>
        <v>TRUE</v>
      </c>
      <c r="X1858" s="31" t="str">
        <f t="shared" si="213"/>
        <v>[rec]/[actual]*100</v>
      </c>
      <c r="Y1858" s="10" t="s">
        <v>1126</v>
      </c>
      <c r="AF1858" s="12">
        <v>44958</v>
      </c>
      <c r="AK1858" s="10">
        <f>0.0239*19.2^2+66.574*19.2-31.913</f>
        <v>1255.1182959999999</v>
      </c>
      <c r="AL1858" s="10" t="str">
        <f t="shared" si="211"/>
        <v>FALSE</v>
      </c>
      <c r="AM1858" s="10" t="str">
        <f t="shared" si="211"/>
        <v>FALSE</v>
      </c>
      <c r="AN1858" s="10" t="str">
        <f t="shared" si="211"/>
        <v>FALSE</v>
      </c>
      <c r="AO1858" s="10" t="str">
        <f t="shared" si="212"/>
        <v>FALSE</v>
      </c>
      <c r="AP1858" s="10" t="str">
        <f t="shared" si="212"/>
        <v>y=0.0239*19.2^2+66.574*19.2-31.913</v>
      </c>
      <c r="AQ1858" s="10" t="b">
        <f>IF(AND(I1858="TP",S1858&lt;=150),VLOOKUP(AF1858,TPCalibEq150!$AZ$2:$BB$55,3,),IF(AND(I1858="TDP",S1858&lt;=150),VLOOKUP(AF1858,TPCalibEq150!$AZ$2:$BB$55,3,)))</f>
        <v>0</v>
      </c>
      <c r="AR1858" s="10" t="b">
        <f>IF(AND(I1858="TP",S1858&lt;=300),VLOOKUP(AF1858,TPCalibEq300!$AZ$2:$BB$55,3,),IF(AND(I1858="TDP",S1858&lt;=300),VLOOKUP(AF1858,TPCalibEq300!$AZ$2:$BB$55,3,)))</f>
        <v>0</v>
      </c>
      <c r="AS1858" s="10" t="b">
        <f>IF(AND(I1858="TP",S1858&lt;=500),VLOOKUP(AF1858,TPCalibEq500!$AZ$2:$BB$56,3,),IF(AND(I1858="TDP",S1858&lt;=500),VLOOKUP(AF1858,TPCalibEq500!$AZ$2:$BB$56,3,)))</f>
        <v>0</v>
      </c>
      <c r="AT1858" s="10" t="b">
        <f>IF(AND(I1858="TN",S1858&lt;=2800),VLOOKUP(AF1858,TNCalibEq2500!$AZ$2:$BB$56,3,),IF(AND(I1858="TDN",S1858&lt;=2800),VLOOKUP(AF1858,TNCalibEq2500!$AZ$2:$BB$56,3,)))</f>
        <v>0</v>
      </c>
      <c r="AU1858" s="10" t="str">
        <f>IF(I1858="TP",VLOOKUP(AF1858,TPCalibEqFull!$AZ$2:$BB$56,3),IF(I1858="TDP",VLOOKUP(AF1858,TPCalibEqFull!$AZ$2:$BB$56,3),IF(I1858="TDN",VLOOKUP(AF1858,TNCalibEqFull!$AZ$1:$BB$56,3),IF(I1858="TN",VLOOKUP(AF1858,TNCalibEqFull!$AZ$1:$BB$56,3),FALSE))))</f>
        <v>y=0.0239x2+66.574x-31.913</v>
      </c>
      <c r="AV1858" s="10" t="str">
        <f t="shared" ref="AV1858:AV1921" si="217">TEXT(A1858, "MMDD")&amp;" "&amp;TEXT(B1858, "HH:MM:SS")&amp;"-"&amp;C1858&amp;"-"&amp;D1858&amp;"-"&amp;E1858&amp;"-"&amp;F1858&amp;"-"&amp;G1858&amp;"-"&amp;H1858</f>
        <v>0201 09:00:00-QAC-REC-A-1-DI-ATP</v>
      </c>
    </row>
    <row r="1859" spans="1:48" s="10" customFormat="1" x14ac:dyDescent="0.55000000000000004">
      <c r="A1859" s="32">
        <v>44958</v>
      </c>
      <c r="B1859" s="33">
        <v>0.375</v>
      </c>
      <c r="C1859" s="10" t="s">
        <v>70</v>
      </c>
      <c r="D1859" s="10" t="s">
        <v>305</v>
      </c>
      <c r="E1859" s="10" t="s">
        <v>583</v>
      </c>
      <c r="F1859" s="10">
        <v>1</v>
      </c>
      <c r="G1859" s="10" t="s">
        <v>73</v>
      </c>
      <c r="H1859" s="10" t="s">
        <v>181</v>
      </c>
      <c r="I1859" s="10" t="s">
        <v>83</v>
      </c>
      <c r="J1859" s="10">
        <v>208</v>
      </c>
      <c r="K1859" s="12">
        <v>44958</v>
      </c>
      <c r="L1859" s="33">
        <v>0.58938657407407413</v>
      </c>
      <c r="M1859" s="10">
        <v>1</v>
      </c>
      <c r="N1859" s="10" t="s">
        <v>84</v>
      </c>
      <c r="O1859" s="10">
        <v>4.3600000000000003</v>
      </c>
      <c r="P1859" s="10">
        <v>0.317</v>
      </c>
      <c r="Q1859" s="10">
        <v>265</v>
      </c>
      <c r="R1859" s="10" t="s">
        <v>85</v>
      </c>
      <c r="S1859" s="34">
        <f t="shared" si="214"/>
        <v>284.10692528000004</v>
      </c>
      <c r="T1859" s="10" t="s">
        <v>1139</v>
      </c>
      <c r="U1859" s="34">
        <f t="shared" si="215"/>
        <v>106.80711476691731</v>
      </c>
      <c r="V1859" s="31">
        <f>IF(H1859="CHK",VLOOKUP(I1859,QCCHK,3,),IF(H1859="GUP",VLOOKUP(E1859,QCGUP,2,),IF(AND(H1859="ATP",OR(I1859="TN",I1859="TDN",I1859="TNO2-3",I1859="NO2-3")),VLOOKUP(E1859,QCREC_N,2,),IF(AND(H1859="NIC",OR(I1859="TN",I1859="TDN",I1859="TNO2-3",I1859="NO2-3")),VLOOKUP(E1859,QCNIC_N,2,),IF(AND(H1859="UREA",OR(I1859="TN",I1859="TDN",I1859="TNO2-3",I1859="NO2-3")),VLOOKUP(E1859,QCUREA_N,2,),IF(H1859="PER",VLOOKUP(I1859,QCPER,MATCH(E1859,QCACTUAL!$J$25:$AA$25,0),),IF(H1859="SPK",VLOOKUP(I1859,QCSPK,3,),IF(AND(H1859="ATP",OR(I1859="TP",I1859="TDP")),VLOOKUP(E1859,QCATP_P,2,),""))))))))</f>
        <v>266</v>
      </c>
      <c r="W1859" s="31" t="str">
        <f t="shared" si="216"/>
        <v>TRUE</v>
      </c>
      <c r="X1859" s="31" t="str">
        <f t="shared" si="213"/>
        <v>[rec]/[actual]*100</v>
      </c>
      <c r="Y1859" s="10" t="s">
        <v>1126</v>
      </c>
      <c r="AF1859" s="12">
        <v>44958</v>
      </c>
      <c r="AH1859" s="10">
        <f>-1.3807*4.36^2+80.818*4.36-42.013</f>
        <v>284.10692528000004</v>
      </c>
      <c r="AI1859" s="10">
        <f>0.6312*4.36^2+63.45*4.36-30.993</f>
        <v>257.64785952000005</v>
      </c>
      <c r="AK1859" s="10">
        <f>0.0239*4.36^2+66.574*4.36-31.913</f>
        <v>258.80396944</v>
      </c>
      <c r="AL1859" s="10" t="str">
        <f t="shared" si="211"/>
        <v>FALSE</v>
      </c>
      <c r="AM1859" s="10" t="str">
        <f t="shared" si="211"/>
        <v>y=-1.3807*4.36^2+80.818*4.36-42.013</v>
      </c>
      <c r="AN1859" s="10" t="str">
        <f t="shared" si="211"/>
        <v>y=0.6312*4.36^2+63.45*4.36-30.993</v>
      </c>
      <c r="AO1859" s="10" t="str">
        <f t="shared" si="212"/>
        <v>FALSE</v>
      </c>
      <c r="AP1859" s="10" t="str">
        <f t="shared" si="212"/>
        <v>y=0.0239*4.36^2+66.574*4.36-31.913</v>
      </c>
      <c r="AQ1859" s="10" t="b">
        <f>IF(AND(I1859="TP",S1859&lt;=150),VLOOKUP(AF1859,TPCalibEq150!$AZ$2:$BB$55,3,),IF(AND(I1859="TDP",S1859&lt;=150),VLOOKUP(AF1859,TPCalibEq150!$AZ$2:$BB$55,3,)))</f>
        <v>0</v>
      </c>
      <c r="AR1859" s="10" t="str">
        <f>IF(AND(I1859="TP",S1859&lt;=300),VLOOKUP(AF1859,TPCalibEq300!$AZ$2:$BB$55,3,),IF(AND(I1859="TDP",S1859&lt;=300),VLOOKUP(AF1859,TPCalibEq300!$AZ$2:$BB$55,3,)))</f>
        <v>y=-1.3807x2+80.818x-42.013</v>
      </c>
      <c r="AS1859" s="10" t="str">
        <f>IF(AND(I1859="TP",S1859&lt;=500),VLOOKUP(AF1859,TPCalibEq500!$AZ$2:$BB$56,3,),IF(AND(I1859="TDP",S1859&lt;=500),VLOOKUP(AF1859,TPCalibEq500!$AZ$2:$BB$56,3,)))</f>
        <v>y=0.6312x2+63.45x-30.993</v>
      </c>
      <c r="AT1859" s="10" t="b">
        <f>IF(AND(I1859="TN",S1859&lt;=2800),VLOOKUP(AF1859,TNCalibEq2500!$AZ$2:$BB$56,3,),IF(AND(I1859="TDN",S1859&lt;=2800),VLOOKUP(AF1859,TNCalibEq2500!$AZ$2:$BB$56,3,)))</f>
        <v>0</v>
      </c>
      <c r="AU1859" s="10" t="str">
        <f>IF(I1859="TP",VLOOKUP(AF1859,TPCalibEqFull!$AZ$2:$BB$56,3),IF(I1859="TDP",VLOOKUP(AF1859,TPCalibEqFull!$AZ$2:$BB$56,3),IF(I1859="TDN",VLOOKUP(AF1859,TNCalibEqFull!$AZ$1:$BB$56,3),IF(I1859="TN",VLOOKUP(AF1859,TNCalibEqFull!$AZ$1:$BB$56,3),FALSE))))</f>
        <v>y=0.0239x2+66.574x-31.913</v>
      </c>
      <c r="AV1859" s="10" t="str">
        <f t="shared" si="217"/>
        <v>0201 09:00:00-QAC-REC-B-1-DI-ATP</v>
      </c>
    </row>
    <row r="1860" spans="1:48" s="10" customFormat="1" x14ac:dyDescent="0.55000000000000004">
      <c r="A1860" s="32">
        <v>44958</v>
      </c>
      <c r="B1860" s="33">
        <v>0.375</v>
      </c>
      <c r="C1860" s="10" t="s">
        <v>70</v>
      </c>
      <c r="D1860" s="10" t="s">
        <v>305</v>
      </c>
      <c r="E1860" s="10" t="s">
        <v>190</v>
      </c>
      <c r="F1860" s="10">
        <v>1</v>
      </c>
      <c r="G1860" s="10" t="s">
        <v>73</v>
      </c>
      <c r="H1860" s="10" t="s">
        <v>181</v>
      </c>
      <c r="I1860" s="10" t="s">
        <v>83</v>
      </c>
      <c r="J1860" s="10">
        <v>209</v>
      </c>
      <c r="K1860" s="12">
        <v>44958</v>
      </c>
      <c r="L1860" s="33">
        <v>0.59009259259259261</v>
      </c>
      <c r="M1860" s="10">
        <v>1</v>
      </c>
      <c r="N1860" s="10" t="s">
        <v>84</v>
      </c>
      <c r="O1860" s="10">
        <v>2.48</v>
      </c>
      <c r="P1860" s="10">
        <v>0.17899999999999999</v>
      </c>
      <c r="Q1860" s="10">
        <v>140</v>
      </c>
      <c r="R1860" s="10" t="s">
        <v>85</v>
      </c>
      <c r="S1860" s="34">
        <f t="shared" si="214"/>
        <v>149.92378271999999</v>
      </c>
      <c r="T1860" s="10" t="s">
        <v>1139</v>
      </c>
      <c r="U1860" s="34">
        <f t="shared" si="215"/>
        <v>112.72464866165413</v>
      </c>
      <c r="V1860" s="31">
        <f>IF(H1860="CHK",VLOOKUP(I1860,QCCHK,3,),IF(H1860="GUP",VLOOKUP(E1860,QCGUP,2,),IF(AND(H1860="ATP",OR(I1860="TN",I1860="TDN",I1860="TNO2-3",I1860="NO2-3")),VLOOKUP(E1860,QCREC_N,2,),IF(AND(H1860="NIC",OR(I1860="TN",I1860="TDN",I1860="TNO2-3",I1860="NO2-3")),VLOOKUP(E1860,QCNIC_N,2,),IF(AND(H1860="UREA",OR(I1860="TN",I1860="TDN",I1860="TNO2-3",I1860="NO2-3")),VLOOKUP(E1860,QCUREA_N,2,),IF(H1860="PER",VLOOKUP(I1860,QCPER,MATCH(E1860,QCACTUAL!$J$25:$AA$25,0),),IF(H1860="SPK",VLOOKUP(I1860,QCSPK,3,),IF(AND(H1860="ATP",OR(I1860="TP",I1860="TDP")),VLOOKUP(E1860,QCATP_P,2,),""))))))))</f>
        <v>133</v>
      </c>
      <c r="W1860" s="31" t="str">
        <f t="shared" si="216"/>
        <v>TRUE</v>
      </c>
      <c r="X1860" s="31" t="str">
        <f t="shared" si="213"/>
        <v>[rec]/[actual]*100</v>
      </c>
      <c r="Y1860" s="10" t="s">
        <v>1126</v>
      </c>
      <c r="AF1860" s="12">
        <v>44958</v>
      </c>
      <c r="AG1860" s="10">
        <f>-20.9*2.48^2+141.62*2.48-73.036</f>
        <v>149.63824</v>
      </c>
      <c r="AH1860" s="10">
        <f>-1.3807*2.48^2+80.818*2.48-42.013</f>
        <v>149.92378271999999</v>
      </c>
      <c r="AI1860" s="10">
        <f>0.6312*2.48^2+63.45*2.48-30.993</f>
        <v>130.24513248</v>
      </c>
      <c r="AK1860" s="10">
        <f>0.0239*2.48^2+66.574*2.48-31.913</f>
        <v>133.33751455999999</v>
      </c>
      <c r="AL1860" s="10" t="str">
        <f t="shared" si="211"/>
        <v>y=-20.90*2.48^2+141.62*2.48-73.036</v>
      </c>
      <c r="AM1860" s="10" t="str">
        <f t="shared" si="211"/>
        <v>y=-1.3807*2.48^2+80.818*2.48-42.013</v>
      </c>
      <c r="AN1860" s="10" t="str">
        <f t="shared" si="211"/>
        <v>y=0.6312*2.48^2+63.45*2.48-30.993</v>
      </c>
      <c r="AO1860" s="10" t="str">
        <f t="shared" si="212"/>
        <v>FALSE</v>
      </c>
      <c r="AP1860" s="10" t="str">
        <f t="shared" si="212"/>
        <v>y=0.0239*2.48^2+66.574*2.48-31.913</v>
      </c>
      <c r="AQ1860" s="10" t="str">
        <f>IF(AND(I1860="TP",S1860&lt;=150),VLOOKUP(AF1860,TPCalibEq150!$AZ$2:$BB$55,3,),IF(AND(I1860="TDP",S1860&lt;=150),VLOOKUP(AF1860,TPCalibEq150!$AZ$2:$BB$55,3,)))</f>
        <v>y=-20.90x2+141.62x-73.036</v>
      </c>
      <c r="AR1860" s="10" t="str">
        <f>IF(AND(I1860="TP",S1860&lt;=300),VLOOKUP(AF1860,TPCalibEq300!$AZ$2:$BB$55,3,),IF(AND(I1860="TDP",S1860&lt;=300),VLOOKUP(AF1860,TPCalibEq300!$AZ$2:$BB$55,3,)))</f>
        <v>y=-1.3807x2+80.818x-42.013</v>
      </c>
      <c r="AS1860" s="10" t="str">
        <f>IF(AND(I1860="TP",S1860&lt;=500),VLOOKUP(AF1860,TPCalibEq500!$AZ$2:$BB$56,3,),IF(AND(I1860="TDP",S1860&lt;=500),VLOOKUP(AF1860,TPCalibEq500!$AZ$2:$BB$56,3,)))</f>
        <v>y=0.6312x2+63.45x-30.993</v>
      </c>
      <c r="AT1860" s="10" t="b">
        <f>IF(AND(I1860="TN",S1860&lt;=2800),VLOOKUP(AF1860,TNCalibEq2500!$AZ$2:$BB$56,3,),IF(AND(I1860="TDN",S1860&lt;=2800),VLOOKUP(AF1860,TNCalibEq2500!$AZ$2:$BB$56,3,)))</f>
        <v>0</v>
      </c>
      <c r="AU1860" s="10" t="str">
        <f>IF(I1860="TP",VLOOKUP(AF1860,TPCalibEqFull!$AZ$2:$BB$56,3),IF(I1860="TDP",VLOOKUP(AF1860,TPCalibEqFull!$AZ$2:$BB$56,3),IF(I1860="TDN",VLOOKUP(AF1860,TNCalibEqFull!$AZ$1:$BB$56,3),IF(I1860="TN",VLOOKUP(AF1860,TNCalibEqFull!$AZ$1:$BB$56,3),FALSE))))</f>
        <v>y=0.0239x2+66.574x-31.913</v>
      </c>
      <c r="AV1860" s="10" t="str">
        <f t="shared" si="217"/>
        <v>0201 09:00:00-QAC-REC-C-1-DI-ATP</v>
      </c>
    </row>
    <row r="1861" spans="1:48" s="10" customFormat="1" x14ac:dyDescent="0.55000000000000004">
      <c r="A1861" s="32">
        <v>44958</v>
      </c>
      <c r="B1861" s="33">
        <v>0.375</v>
      </c>
      <c r="C1861" s="10" t="s">
        <v>70</v>
      </c>
      <c r="D1861" s="10" t="s">
        <v>71</v>
      </c>
      <c r="E1861" s="10" t="s">
        <v>901</v>
      </c>
      <c r="F1861" s="10">
        <v>1</v>
      </c>
      <c r="G1861" s="10" t="s">
        <v>73</v>
      </c>
      <c r="H1861" s="10" t="s">
        <v>207</v>
      </c>
      <c r="I1861" s="10" t="s">
        <v>83</v>
      </c>
      <c r="J1861" s="10">
        <v>199</v>
      </c>
      <c r="K1861" s="12">
        <v>44958</v>
      </c>
      <c r="L1861" s="33">
        <v>0.59079861111111109</v>
      </c>
      <c r="M1861" s="10">
        <v>1</v>
      </c>
      <c r="N1861" s="10" t="s">
        <v>84</v>
      </c>
      <c r="O1861" s="10">
        <v>8.1199999999999992</v>
      </c>
      <c r="P1861" s="10">
        <v>0.57699999999999996</v>
      </c>
      <c r="Q1861" s="10">
        <v>518</v>
      </c>
      <c r="R1861" s="10" t="s">
        <v>85</v>
      </c>
      <c r="S1861" s="34">
        <f t="shared" si="214"/>
        <v>518</v>
      </c>
      <c r="T1861" s="10" t="s">
        <v>1139</v>
      </c>
      <c r="U1861" s="34">
        <f t="shared" si="215"/>
        <v>103.60000000000001</v>
      </c>
      <c r="V1861" s="31">
        <f>IF(H1861="CHK",VLOOKUP(I1861,QCCHK,3,),IF(H1861="GUP",VLOOKUP(E1861,QCGUP,2,),IF(AND(H1861="ATP",OR(I1861="TN",I1861="TDN",I1861="TNO2-3",I1861="NO2-3")),VLOOKUP(E1861,QCREC_N,2,),IF(AND(H1861="NIC",OR(I1861="TN",I1861="TDN",I1861="TNO2-3",I1861="NO2-3")),VLOOKUP(E1861,QCNIC_N,2,),IF(AND(H1861="UREA",OR(I1861="TN",I1861="TDN",I1861="TNO2-3",I1861="NO2-3")),VLOOKUP(E1861,QCUREA_N,2,),IF(H1861="PER",VLOOKUP(I1861,QCPER,MATCH(E1861,QCACTUAL!$J$25:$AA$25,0),),IF(H1861="SPK",VLOOKUP(I1861,QCSPK,3,),IF(AND(H1861="ATP",OR(I1861="TP",I1861="TDP")),VLOOKUP(E1861,QCATP_P,2,),""))))))))</f>
        <v>500</v>
      </c>
      <c r="W1861" s="31" t="str">
        <f t="shared" si="216"/>
        <v>TRUE</v>
      </c>
      <c r="X1861" s="31" t="str">
        <f t="shared" si="213"/>
        <v>[chk]/[actual]*100</v>
      </c>
      <c r="Y1861" s="10" t="s">
        <v>1126</v>
      </c>
      <c r="AF1861" s="12">
        <v>44958</v>
      </c>
      <c r="AK1861" s="10">
        <f>0.0239*8.12^2+66.574*8.12-31.913</f>
        <v>510.24371215999997</v>
      </c>
      <c r="AL1861" s="10" t="str">
        <f t="shared" si="211"/>
        <v>FALSE</v>
      </c>
      <c r="AM1861" s="10" t="str">
        <f t="shared" si="211"/>
        <v>FALSE</v>
      </c>
      <c r="AN1861" s="10" t="str">
        <f t="shared" si="211"/>
        <v>FALSE</v>
      </c>
      <c r="AO1861" s="10" t="str">
        <f t="shared" si="212"/>
        <v>FALSE</v>
      </c>
      <c r="AP1861" s="10" t="str">
        <f t="shared" si="212"/>
        <v>y=0.0239*8.12^2+66.574*8.12-31.913</v>
      </c>
      <c r="AQ1861" s="10" t="b">
        <f>IF(AND(I1861="TP",S1861&lt;=150),VLOOKUP(AF1861,TPCalibEq150!$AZ$2:$BB$55,3,),IF(AND(I1861="TDP",S1861&lt;=150),VLOOKUP(AF1861,TPCalibEq150!$AZ$2:$BB$55,3,)))</f>
        <v>0</v>
      </c>
      <c r="AR1861" s="10" t="b">
        <f>IF(AND(I1861="TP",S1861&lt;=300),VLOOKUP(AF1861,TPCalibEq300!$AZ$2:$BB$55,3,),IF(AND(I1861="TDP",S1861&lt;=300),VLOOKUP(AF1861,TPCalibEq300!$AZ$2:$BB$55,3,)))</f>
        <v>0</v>
      </c>
      <c r="AS1861" s="10" t="b">
        <f>IF(AND(I1861="TP",S1861&lt;=500),VLOOKUP(AF1861,TPCalibEq500!$AZ$2:$BB$56,3,),IF(AND(I1861="TDP",S1861&lt;=500),VLOOKUP(AF1861,TPCalibEq500!$AZ$2:$BB$56,3,)))</f>
        <v>0</v>
      </c>
      <c r="AT1861" s="10" t="b">
        <f>IF(AND(I1861="TN",S1861&lt;=2800),VLOOKUP(AF1861,TNCalibEq2500!$AZ$2:$BB$56,3,),IF(AND(I1861="TDN",S1861&lt;=2800),VLOOKUP(AF1861,TNCalibEq2500!$AZ$2:$BB$56,3,)))</f>
        <v>0</v>
      </c>
      <c r="AU1861" s="10" t="str">
        <f>IF(I1861="TP",VLOOKUP(AF1861,TPCalibEqFull!$AZ$2:$BB$56,3),IF(I1861="TDP",VLOOKUP(AF1861,TPCalibEqFull!$AZ$2:$BB$56,3),IF(I1861="TDN",VLOOKUP(AF1861,TNCalibEqFull!$AZ$1:$BB$56,3),IF(I1861="TN",VLOOKUP(AF1861,TNCalibEqFull!$AZ$1:$BB$56,3),FALSE))))</f>
        <v>y=0.0239x2+66.574x-31.913</v>
      </c>
      <c r="AV1861" s="10" t="str">
        <f t="shared" si="217"/>
        <v>0201 09:00:00-QAC-STD-D-1-DI-CHK</v>
      </c>
    </row>
    <row r="1862" spans="1:48" s="10" customFormat="1" x14ac:dyDescent="0.55000000000000004">
      <c r="A1862" s="32">
        <v>44949</v>
      </c>
      <c r="B1862" s="33">
        <v>0.25</v>
      </c>
      <c r="C1862" s="10" t="s">
        <v>70</v>
      </c>
      <c r="D1862" s="10" t="s">
        <v>241</v>
      </c>
      <c r="E1862" s="10" t="s">
        <v>866</v>
      </c>
      <c r="F1862" s="10">
        <v>1</v>
      </c>
      <c r="G1862" s="10" t="s">
        <v>73</v>
      </c>
      <c r="H1862" s="10" t="s">
        <v>264</v>
      </c>
      <c r="I1862" s="10" t="s">
        <v>83</v>
      </c>
      <c r="J1862" s="10">
        <v>91</v>
      </c>
      <c r="K1862" s="12">
        <v>44958</v>
      </c>
      <c r="L1862" s="33">
        <v>0.59218749999999998</v>
      </c>
      <c r="M1862" s="10">
        <v>1</v>
      </c>
      <c r="N1862" s="10" t="s">
        <v>84</v>
      </c>
      <c r="O1862" s="10">
        <v>1.17</v>
      </c>
      <c r="P1862" s="10">
        <v>7.9100000000000004E-2</v>
      </c>
      <c r="Q1862" s="10">
        <v>52.4</v>
      </c>
      <c r="R1862" s="10" t="s">
        <v>85</v>
      </c>
      <c r="S1862" s="34">
        <f t="shared" si="214"/>
        <v>64.049390000000017</v>
      </c>
      <c r="T1862" s="10" t="s">
        <v>1139</v>
      </c>
      <c r="U1862" s="34">
        <f t="shared" si="215"/>
        <v>64.049390000000017</v>
      </c>
      <c r="V1862" s="31" t="str">
        <f>IF(H1862="CHK",VLOOKUP(I1862,QCCHK,3,),IF(H1862="GUP",VLOOKUP(E1862,QCGUP,2,),IF(AND(H1862="ATP",OR(I1862="TN",I1862="TDN",I1862="TNO2-3",I1862="NO2-3")),VLOOKUP(E1862,QCREC_N,2,),IF(AND(H1862="NIC",OR(I1862="TN",I1862="TDN",I1862="TNO2-3",I1862="NO2-3")),VLOOKUP(E1862,QCNIC_N,2,),IF(AND(H1862="UREA",OR(I1862="TN",I1862="TDN",I1862="TNO2-3",I1862="NO2-3")),VLOOKUP(E1862,QCUREA_N,2,),IF(H1862="PER",VLOOKUP(I1862,QCPER,MATCH(E1862,QCACTUAL!$J$25:$AA$25,0),),IF(H1862="SPK",VLOOKUP(I1862,QCSPK,3,),IF(AND(H1862="ATP",OR(I1862="TP",I1862="TDP")),VLOOKUP(E1862,QCATP_P,2,),""))))))))</f>
        <v/>
      </c>
      <c r="W1862" s="31" t="str">
        <f t="shared" si="216"/>
        <v>FALSE</v>
      </c>
      <c r="X1862" s="31" t="str">
        <f t="shared" si="213"/>
        <v>nominal concentration</v>
      </c>
      <c r="Y1862" s="10" t="s">
        <v>1126</v>
      </c>
      <c r="Z1862" s="10" t="s">
        <v>910</v>
      </c>
      <c r="AF1862" s="12">
        <v>44958</v>
      </c>
      <c r="AG1862" s="10">
        <f>-20.9*1.17^2+141.62*1.17-73.036</f>
        <v>64.049390000000017</v>
      </c>
      <c r="AH1862" s="10">
        <f>-1.3807*1.17^2+80.818*1.17-42.013</f>
        <v>50.654019769999998</v>
      </c>
      <c r="AI1862" s="10">
        <f>0.6312*1.17^2+63.45*1.17-30.993</f>
        <v>44.107549679999991</v>
      </c>
      <c r="AK1862" s="10">
        <f>0.0239*1.17^2+66.574*1.17-31.913</f>
        <v>46.011296709999996</v>
      </c>
      <c r="AL1862" s="10" t="str">
        <f t="shared" si="211"/>
        <v>y=-20.90*1.17^2+141.62*1.17-73.036</v>
      </c>
      <c r="AM1862" s="10" t="str">
        <f t="shared" si="211"/>
        <v>y=-1.3807*1.17^2+80.818*1.17-42.013</v>
      </c>
      <c r="AN1862" s="10" t="str">
        <f t="shared" si="211"/>
        <v>y=0.6312*1.17^2+63.45*1.17-30.993</v>
      </c>
      <c r="AO1862" s="10" t="str">
        <f t="shared" si="212"/>
        <v>FALSE</v>
      </c>
      <c r="AP1862" s="10" t="str">
        <f t="shared" si="212"/>
        <v>y=0.0239*1.17^2+66.574*1.17-31.913</v>
      </c>
      <c r="AQ1862" s="10" t="str">
        <f>IF(AND(I1862="TP",S1862&lt;=150),VLOOKUP(AF1862,TPCalibEq150!$AZ$2:$BB$55,3,),IF(AND(I1862="TDP",S1862&lt;=150),VLOOKUP(AF1862,TPCalibEq150!$AZ$2:$BB$55,3,)))</f>
        <v>y=-20.90x2+141.62x-73.036</v>
      </c>
      <c r="AR1862" s="10" t="str">
        <f>IF(AND(I1862="TP",S1862&lt;=300),VLOOKUP(AF1862,TPCalibEq300!$AZ$2:$BB$55,3,),IF(AND(I1862="TDP",S1862&lt;=300),VLOOKUP(AF1862,TPCalibEq300!$AZ$2:$BB$55,3,)))</f>
        <v>y=-1.3807x2+80.818x-42.013</v>
      </c>
      <c r="AS1862" s="10" t="str">
        <f>IF(AND(I1862="TP",S1862&lt;=500),VLOOKUP(AF1862,TPCalibEq500!$AZ$2:$BB$56,3,),IF(AND(I1862="TDP",S1862&lt;=500),VLOOKUP(AF1862,TPCalibEq500!$AZ$2:$BB$56,3,)))</f>
        <v>y=0.6312x2+63.45x-30.993</v>
      </c>
      <c r="AT1862" s="10" t="b">
        <f>IF(AND(I1862="TN",S1862&lt;=2800),VLOOKUP(AF1862,TNCalibEq2500!$AZ$2:$BB$56,3,),IF(AND(I1862="TDN",S1862&lt;=2800),VLOOKUP(AF1862,TNCalibEq2500!$AZ$2:$BB$56,3,)))</f>
        <v>0</v>
      </c>
      <c r="AU1862" s="10" t="str">
        <f>IF(I1862="TP",VLOOKUP(AF1862,TPCalibEqFull!$AZ$2:$BB$56,3),IF(I1862="TDP",VLOOKUP(AF1862,TPCalibEqFull!$AZ$2:$BB$56,3),IF(I1862="TDN",VLOOKUP(AF1862,TNCalibEqFull!$AZ$1:$BB$56,3),IF(I1862="TN",VLOOKUP(AF1862,TNCalibEqFull!$AZ$1:$BB$56,3),FALSE))))</f>
        <v>y=0.0239x2+66.574x-31.913</v>
      </c>
      <c r="AV1862" s="10" t="str">
        <f t="shared" si="217"/>
        <v>0123 06:00:00-QAC-BLK-A-1-DI-FLD</v>
      </c>
    </row>
    <row r="1863" spans="1:48" s="10" customFormat="1" x14ac:dyDescent="0.55000000000000004">
      <c r="A1863" s="32">
        <v>44956</v>
      </c>
      <c r="B1863" s="33">
        <v>0.25</v>
      </c>
      <c r="C1863" s="10" t="s">
        <v>70</v>
      </c>
      <c r="D1863" s="10" t="s">
        <v>241</v>
      </c>
      <c r="E1863" s="10" t="s">
        <v>866</v>
      </c>
      <c r="F1863" s="10">
        <v>1</v>
      </c>
      <c r="G1863" s="10" t="s">
        <v>73</v>
      </c>
      <c r="H1863" s="10" t="s">
        <v>264</v>
      </c>
      <c r="I1863" s="10" t="s">
        <v>83</v>
      </c>
      <c r="J1863" s="10">
        <v>92</v>
      </c>
      <c r="K1863" s="12">
        <v>44958</v>
      </c>
      <c r="L1863" s="33">
        <v>0.59289351851851857</v>
      </c>
      <c r="M1863" s="10">
        <v>1</v>
      </c>
      <c r="N1863" s="10" t="s">
        <v>84</v>
      </c>
      <c r="O1863" s="10">
        <v>1.67</v>
      </c>
      <c r="P1863" s="10">
        <v>0.114</v>
      </c>
      <c r="Q1863" s="10">
        <v>85.7</v>
      </c>
      <c r="R1863" s="10" t="s">
        <v>85</v>
      </c>
      <c r="S1863" s="34">
        <f t="shared" si="214"/>
        <v>105.18139000000002</v>
      </c>
      <c r="T1863" s="10" t="s">
        <v>1139</v>
      </c>
      <c r="U1863" s="34">
        <f t="shared" si="215"/>
        <v>105.18139000000002</v>
      </c>
      <c r="V1863" s="31" t="str">
        <f>IF(H1863="CHK",VLOOKUP(I1863,QCCHK,3,),IF(H1863="GUP",VLOOKUP(E1863,QCGUP,2,),IF(AND(H1863="ATP",OR(I1863="TN",I1863="TDN",I1863="TNO2-3",I1863="NO2-3")),VLOOKUP(E1863,QCREC_N,2,),IF(AND(H1863="NIC",OR(I1863="TN",I1863="TDN",I1863="TNO2-3",I1863="NO2-3")),VLOOKUP(E1863,QCNIC_N,2,),IF(AND(H1863="UREA",OR(I1863="TN",I1863="TDN",I1863="TNO2-3",I1863="NO2-3")),VLOOKUP(E1863,QCUREA_N,2,),IF(H1863="PER",VLOOKUP(I1863,QCPER,MATCH(E1863,QCACTUAL!$J$25:$AA$25,0),),IF(H1863="SPK",VLOOKUP(I1863,QCSPK,3,),IF(AND(H1863="ATP",OR(I1863="TP",I1863="TDP")),VLOOKUP(E1863,QCATP_P,2,),""))))))))</f>
        <v/>
      </c>
      <c r="W1863" s="31" t="str">
        <f t="shared" si="216"/>
        <v>FALSE</v>
      </c>
      <c r="X1863" s="31" t="str">
        <f t="shared" si="213"/>
        <v>nominal concentration</v>
      </c>
      <c r="Y1863" s="10" t="s">
        <v>1126</v>
      </c>
      <c r="Z1863" s="10" t="s">
        <v>910</v>
      </c>
      <c r="AF1863" s="12">
        <v>44958</v>
      </c>
      <c r="AG1863" s="10">
        <f>-20.9*1.67^2+141.62*1.67-73.036</f>
        <v>105.18139000000002</v>
      </c>
      <c r="AH1863" s="10">
        <f>-1.3807*1.67^2+80.818*1.67-42.013</f>
        <v>89.102425769999996</v>
      </c>
      <c r="AI1863" s="10">
        <f>0.6312*1.67^2+63.45*1.67-30.993</f>
        <v>76.72885368</v>
      </c>
      <c r="AK1863" s="10">
        <f>0.0239*1.67^2+66.574*1.67-31.913</f>
        <v>79.332234709999994</v>
      </c>
      <c r="AL1863" s="10" t="str">
        <f t="shared" si="211"/>
        <v>y=-20.90*1.67^2+141.62*1.67-73.036</v>
      </c>
      <c r="AM1863" s="10" t="str">
        <f t="shared" si="211"/>
        <v>y=-1.3807*1.67^2+80.818*1.67-42.013</v>
      </c>
      <c r="AN1863" s="10" t="str">
        <f t="shared" si="211"/>
        <v>y=0.6312*1.67^2+63.45*1.67-30.993</v>
      </c>
      <c r="AO1863" s="10" t="str">
        <f t="shared" si="212"/>
        <v>FALSE</v>
      </c>
      <c r="AP1863" s="10" t="str">
        <f t="shared" si="212"/>
        <v>y=0.0239*1.67^2+66.574*1.67-31.913</v>
      </c>
      <c r="AQ1863" s="10" t="str">
        <f>IF(AND(I1863="TP",S1863&lt;=150),VLOOKUP(AF1863,TPCalibEq150!$AZ$2:$BB$55,3,),IF(AND(I1863="TDP",S1863&lt;=150),VLOOKUP(AF1863,TPCalibEq150!$AZ$2:$BB$55,3,)))</f>
        <v>y=-20.90x2+141.62x-73.036</v>
      </c>
      <c r="AR1863" s="10" t="str">
        <f>IF(AND(I1863="TP",S1863&lt;=300),VLOOKUP(AF1863,TPCalibEq300!$AZ$2:$BB$55,3,),IF(AND(I1863="TDP",S1863&lt;=300),VLOOKUP(AF1863,TPCalibEq300!$AZ$2:$BB$55,3,)))</f>
        <v>y=-1.3807x2+80.818x-42.013</v>
      </c>
      <c r="AS1863" s="10" t="str">
        <f>IF(AND(I1863="TP",S1863&lt;=500),VLOOKUP(AF1863,TPCalibEq500!$AZ$2:$BB$56,3,),IF(AND(I1863="TDP",S1863&lt;=500),VLOOKUP(AF1863,TPCalibEq500!$AZ$2:$BB$56,3,)))</f>
        <v>y=0.6312x2+63.45x-30.993</v>
      </c>
      <c r="AT1863" s="10" t="b">
        <f>IF(AND(I1863="TN",S1863&lt;=2800),VLOOKUP(AF1863,TNCalibEq2500!$AZ$2:$BB$56,3,),IF(AND(I1863="TDN",S1863&lt;=2800),VLOOKUP(AF1863,TNCalibEq2500!$AZ$2:$BB$56,3,)))</f>
        <v>0</v>
      </c>
      <c r="AU1863" s="10" t="str">
        <f>IF(I1863="TP",VLOOKUP(AF1863,TPCalibEqFull!$AZ$2:$BB$56,3),IF(I1863="TDP",VLOOKUP(AF1863,TPCalibEqFull!$AZ$2:$BB$56,3),IF(I1863="TDN",VLOOKUP(AF1863,TNCalibEqFull!$AZ$1:$BB$56,3),IF(I1863="TN",VLOOKUP(AF1863,TNCalibEqFull!$AZ$1:$BB$56,3),FALSE))))</f>
        <v>y=0.0239x2+66.574x-31.913</v>
      </c>
      <c r="AV1863" s="10" t="str">
        <f t="shared" si="217"/>
        <v>0130 06:00:00-QAC-BLK-A-1-DI-FLD</v>
      </c>
    </row>
    <row r="1864" spans="1:48" s="10" customFormat="1" x14ac:dyDescent="0.55000000000000004">
      <c r="A1864" s="32">
        <v>44956</v>
      </c>
      <c r="B1864" s="33">
        <v>0.22569444444444445</v>
      </c>
      <c r="C1864" s="10" t="s">
        <v>70</v>
      </c>
      <c r="D1864" s="10" t="s">
        <v>241</v>
      </c>
      <c r="E1864" s="10" t="s">
        <v>866</v>
      </c>
      <c r="F1864" s="10">
        <v>1</v>
      </c>
      <c r="G1864" s="10" t="s">
        <v>73</v>
      </c>
      <c r="H1864" s="10" t="s">
        <v>245</v>
      </c>
      <c r="I1864" s="10" t="s">
        <v>83</v>
      </c>
      <c r="J1864" s="10">
        <v>93</v>
      </c>
      <c r="K1864" s="12">
        <v>44958</v>
      </c>
      <c r="L1864" s="33">
        <v>0.59359953703703705</v>
      </c>
      <c r="M1864" s="10">
        <v>1</v>
      </c>
      <c r="N1864" s="10" t="s">
        <v>84</v>
      </c>
      <c r="O1864" s="10">
        <v>1.47</v>
      </c>
      <c r="P1864" s="10">
        <v>0.10100000000000001</v>
      </c>
      <c r="Q1864" s="10">
        <v>72.5</v>
      </c>
      <c r="R1864" s="10" t="s">
        <v>85</v>
      </c>
      <c r="S1864" s="34">
        <f t="shared" si="214"/>
        <v>89.982590000000016</v>
      </c>
      <c r="T1864" s="10" t="s">
        <v>1139</v>
      </c>
      <c r="U1864" s="34">
        <f t="shared" si="215"/>
        <v>89.982590000000016</v>
      </c>
      <c r="V1864" s="31" t="str">
        <f>IF(H1864="CHK",VLOOKUP(I1864,QCCHK,3,),IF(H1864="GUP",VLOOKUP(E1864,QCGUP,2,),IF(AND(H1864="ATP",OR(I1864="TN",I1864="TDN",I1864="TNO2-3",I1864="NO2-3")),VLOOKUP(E1864,QCREC_N,2,),IF(AND(H1864="NIC",OR(I1864="TN",I1864="TDN",I1864="TNO2-3",I1864="NO2-3")),VLOOKUP(E1864,QCNIC_N,2,),IF(AND(H1864="UREA",OR(I1864="TN",I1864="TDN",I1864="TNO2-3",I1864="NO2-3")),VLOOKUP(E1864,QCUREA_N,2,),IF(H1864="PER",VLOOKUP(I1864,QCPER,MATCH(E1864,QCACTUAL!$J$25:$AA$25,0),),IF(H1864="SPK",VLOOKUP(I1864,QCSPK,3,),IF(AND(H1864="ATP",OR(I1864="TP",I1864="TDP")),VLOOKUP(E1864,QCATP_P,2,),""))))))))</f>
        <v/>
      </c>
      <c r="W1864" s="31" t="str">
        <f t="shared" si="216"/>
        <v>FALSE</v>
      </c>
      <c r="X1864" s="31" t="str">
        <f t="shared" si="213"/>
        <v>nominal concentration</v>
      </c>
      <c r="Y1864" s="10" t="s">
        <v>1126</v>
      </c>
      <c r="Z1864" s="10" t="s">
        <v>910</v>
      </c>
      <c r="AF1864" s="12">
        <v>44958</v>
      </c>
      <c r="AG1864" s="10">
        <f>-20.9*1.47^2+141.62*1.47-73.036</f>
        <v>89.982590000000016</v>
      </c>
      <c r="AH1864" s="10">
        <f>-1.3807*1.47^2+80.818*1.47-42.013</f>
        <v>73.805905370000005</v>
      </c>
      <c r="AI1864" s="10">
        <f>0.6312*1.47^2+63.45*1.47-30.993</f>
        <v>63.642460080000006</v>
      </c>
      <c r="AK1864" s="10">
        <f>0.0239*1.47^2+66.574*1.47-31.913</f>
        <v>66.002425509999995</v>
      </c>
      <c r="AL1864" s="10" t="str">
        <f t="shared" si="211"/>
        <v>y=-20.90*1.47^2+141.62*1.47-73.036</v>
      </c>
      <c r="AM1864" s="10" t="str">
        <f t="shared" si="211"/>
        <v>y=-1.3807*1.47^2+80.818*1.47-42.013</v>
      </c>
      <c r="AN1864" s="10" t="str">
        <f t="shared" si="211"/>
        <v>y=0.6312*1.47^2+63.45*1.47-30.993</v>
      </c>
      <c r="AO1864" s="10" t="str">
        <f t="shared" si="212"/>
        <v>FALSE</v>
      </c>
      <c r="AP1864" s="10" t="str">
        <f t="shared" si="212"/>
        <v>y=0.0239*1.47^2+66.574*1.47-31.913</v>
      </c>
      <c r="AQ1864" s="10" t="str">
        <f>IF(AND(I1864="TP",S1864&lt;=150),VLOOKUP(AF1864,TPCalibEq150!$AZ$2:$BB$55,3,),IF(AND(I1864="TDP",S1864&lt;=150),VLOOKUP(AF1864,TPCalibEq150!$AZ$2:$BB$55,3,)))</f>
        <v>y=-20.90x2+141.62x-73.036</v>
      </c>
      <c r="AR1864" s="10" t="str">
        <f>IF(AND(I1864="TP",S1864&lt;=300),VLOOKUP(AF1864,TPCalibEq300!$AZ$2:$BB$55,3,),IF(AND(I1864="TDP",S1864&lt;=300),VLOOKUP(AF1864,TPCalibEq300!$AZ$2:$BB$55,3,)))</f>
        <v>y=-1.3807x2+80.818x-42.013</v>
      </c>
      <c r="AS1864" s="10" t="str">
        <f>IF(AND(I1864="TP",S1864&lt;=500),VLOOKUP(AF1864,TPCalibEq500!$AZ$2:$BB$56,3,),IF(AND(I1864="TDP",S1864&lt;=500),VLOOKUP(AF1864,TPCalibEq500!$AZ$2:$BB$56,3,)))</f>
        <v>y=0.6312x2+63.45x-30.993</v>
      </c>
      <c r="AT1864" s="10" t="b">
        <f>IF(AND(I1864="TN",S1864&lt;=2800),VLOOKUP(AF1864,TNCalibEq2500!$AZ$2:$BB$56,3,),IF(AND(I1864="TDN",S1864&lt;=2800),VLOOKUP(AF1864,TNCalibEq2500!$AZ$2:$BB$56,3,)))</f>
        <v>0</v>
      </c>
      <c r="AU1864" s="10" t="str">
        <f>IF(I1864="TP",VLOOKUP(AF1864,TPCalibEqFull!$AZ$2:$BB$56,3),IF(I1864="TDP",VLOOKUP(AF1864,TPCalibEqFull!$AZ$2:$BB$56,3),IF(I1864="TDN",VLOOKUP(AF1864,TNCalibEqFull!$AZ$1:$BB$56,3),IF(I1864="TN",VLOOKUP(AF1864,TNCalibEqFull!$AZ$1:$BB$56,3),FALSE))))</f>
        <v>y=0.0239x2+66.574x-31.913</v>
      </c>
      <c r="AV1864" s="10" t="str">
        <f t="shared" si="217"/>
        <v>0130 05:25:00-QAC-BLK-A-1-DI-ESF</v>
      </c>
    </row>
    <row r="1865" spans="1:48" s="10" customFormat="1" x14ac:dyDescent="0.55000000000000004">
      <c r="A1865" s="32">
        <v>44949</v>
      </c>
      <c r="B1865" s="33">
        <v>0.25</v>
      </c>
      <c r="C1865" s="10" t="s">
        <v>70</v>
      </c>
      <c r="D1865" s="10" t="s">
        <v>241</v>
      </c>
      <c r="E1865" s="10" t="s">
        <v>911</v>
      </c>
      <c r="F1865" s="10">
        <v>1</v>
      </c>
      <c r="G1865" s="10" t="s">
        <v>73</v>
      </c>
      <c r="H1865" s="10" t="s">
        <v>264</v>
      </c>
      <c r="I1865" s="10" t="s">
        <v>266</v>
      </c>
      <c r="J1865" s="10">
        <v>94</v>
      </c>
      <c r="K1865" s="12">
        <v>44958</v>
      </c>
      <c r="L1865" s="33">
        <v>0.59430555555555553</v>
      </c>
      <c r="M1865" s="10">
        <v>1</v>
      </c>
      <c r="N1865" s="10" t="s">
        <v>84</v>
      </c>
      <c r="O1865" s="10">
        <v>1.53</v>
      </c>
      <c r="P1865" s="10">
        <v>0.104</v>
      </c>
      <c r="Q1865" s="10">
        <v>76.400000000000006</v>
      </c>
      <c r="R1865" s="10" t="s">
        <v>85</v>
      </c>
      <c r="S1865" s="34">
        <f t="shared" si="214"/>
        <v>94.717790000000036</v>
      </c>
      <c r="T1865" s="10" t="s">
        <v>1139</v>
      </c>
      <c r="U1865" s="34">
        <f t="shared" si="215"/>
        <v>94.717790000000036</v>
      </c>
      <c r="V1865" s="31" t="str">
        <f>IF(H1865="CHK",VLOOKUP(I1865,QCCHK,3,),IF(H1865="GUP",VLOOKUP(E1865,QCGUP,2,),IF(AND(H1865="ATP",OR(I1865="TN",I1865="TDN",I1865="TNO2-3",I1865="NO2-3")),VLOOKUP(E1865,QCREC_N,2,),IF(AND(H1865="NIC",OR(I1865="TN",I1865="TDN",I1865="TNO2-3",I1865="NO2-3")),VLOOKUP(E1865,QCNIC_N,2,),IF(AND(H1865="UREA",OR(I1865="TN",I1865="TDN",I1865="TNO2-3",I1865="NO2-3")),VLOOKUP(E1865,QCUREA_N,2,),IF(H1865="PER",VLOOKUP(I1865,QCPER,MATCH(E1865,QCACTUAL!$J$25:$AA$25,0),),IF(H1865="SPK",VLOOKUP(I1865,QCSPK,3,),IF(AND(H1865="ATP",OR(I1865="TP",I1865="TDP")),VLOOKUP(E1865,QCATP_P,2,),""))))))))</f>
        <v/>
      </c>
      <c r="W1865" s="31" t="str">
        <f t="shared" si="216"/>
        <v>FALSE</v>
      </c>
      <c r="X1865" s="31" t="str">
        <f t="shared" si="213"/>
        <v>nominal concentration</v>
      </c>
      <c r="Y1865" s="10" t="s">
        <v>1126</v>
      </c>
      <c r="Z1865" s="10" t="s">
        <v>910</v>
      </c>
      <c r="AF1865" s="12">
        <v>44958</v>
      </c>
      <c r="AG1865" s="10">
        <f>-20.9*1.53^2+141.62*1.53-73.036</f>
        <v>94.717790000000036</v>
      </c>
      <c r="AH1865" s="10">
        <f>-1.3807*1.53^2+80.818*1.53-42.013</f>
        <v>78.406459369999993</v>
      </c>
      <c r="AI1865" s="10">
        <f>0.6312*1.53^2+63.45*1.53-30.993</f>
        <v>67.563076080000016</v>
      </c>
      <c r="AK1865" s="10">
        <f>0.0239*1.53^2+66.574*1.53-31.913</f>
        <v>70.001167510000002</v>
      </c>
      <c r="AL1865" s="10" t="str">
        <f t="shared" si="211"/>
        <v>y=-20.90*1.53^2+141.62*1.53-73.036</v>
      </c>
      <c r="AM1865" s="10" t="str">
        <f t="shared" si="211"/>
        <v>y=-1.3807*1.53^2+80.818*1.53-42.013</v>
      </c>
      <c r="AN1865" s="10" t="str">
        <f t="shared" si="211"/>
        <v>y=0.6312*1.53^2+63.45*1.53-30.993</v>
      </c>
      <c r="AO1865" s="10" t="str">
        <f t="shared" si="212"/>
        <v>FALSE</v>
      </c>
      <c r="AP1865" s="10" t="str">
        <f t="shared" si="212"/>
        <v>y=0.0239*1.53^2+66.574*1.53-31.913</v>
      </c>
      <c r="AQ1865" s="10" t="str">
        <f>IF(AND(I1865="TP",S1865&lt;=150),VLOOKUP(AF1865,TPCalibEq150!$AZ$2:$BB$55,3,),IF(AND(I1865="TDP",S1865&lt;=150),VLOOKUP(AF1865,TPCalibEq150!$AZ$2:$BB$55,3,)))</f>
        <v>y=-20.90x2+141.62x-73.036</v>
      </c>
      <c r="AR1865" s="10" t="str">
        <f>IF(AND(I1865="TP",S1865&lt;=300),VLOOKUP(AF1865,TPCalibEq300!$AZ$2:$BB$55,3,),IF(AND(I1865="TDP",S1865&lt;=300),VLOOKUP(AF1865,TPCalibEq300!$AZ$2:$BB$55,3,)))</f>
        <v>y=-1.3807x2+80.818x-42.013</v>
      </c>
      <c r="AS1865" s="10" t="str">
        <f>IF(AND(I1865="TP",S1865&lt;=500),VLOOKUP(AF1865,TPCalibEq500!$AZ$2:$BB$56,3,),IF(AND(I1865="TDP",S1865&lt;=500),VLOOKUP(AF1865,TPCalibEq500!$AZ$2:$BB$56,3,)))</f>
        <v>y=0.6312x2+63.45x-30.993</v>
      </c>
      <c r="AT1865" s="10" t="b">
        <f>IF(AND(I1865="TN",S1865&lt;=2800),VLOOKUP(AF1865,TNCalibEq2500!$AZ$2:$BB$56,3,),IF(AND(I1865="TDN",S1865&lt;=2800),VLOOKUP(AF1865,TNCalibEq2500!$AZ$2:$BB$56,3,)))</f>
        <v>0</v>
      </c>
      <c r="AU1865" s="10" t="str">
        <f>IF(I1865="TP",VLOOKUP(AF1865,TPCalibEqFull!$AZ$2:$BB$56,3),IF(I1865="TDP",VLOOKUP(AF1865,TPCalibEqFull!$AZ$2:$BB$56,3),IF(I1865="TDN",VLOOKUP(AF1865,TNCalibEqFull!$AZ$1:$BB$56,3),IF(I1865="TN",VLOOKUP(AF1865,TNCalibEqFull!$AZ$1:$BB$56,3),FALSE))))</f>
        <v>y=0.0239x2+66.574x-31.913</v>
      </c>
      <c r="AV1865" s="10" t="str">
        <f t="shared" si="217"/>
        <v>0123 06:00:00-QAC-BLK-FIL-1-DI-FLD</v>
      </c>
    </row>
    <row r="1866" spans="1:48" s="10" customFormat="1" x14ac:dyDescent="0.55000000000000004">
      <c r="A1866" s="32">
        <v>44956</v>
      </c>
      <c r="B1866" s="33">
        <v>0.25</v>
      </c>
      <c r="C1866" s="10" t="s">
        <v>70</v>
      </c>
      <c r="D1866" s="10" t="s">
        <v>241</v>
      </c>
      <c r="E1866" s="10" t="s">
        <v>911</v>
      </c>
      <c r="F1866" s="10">
        <v>1</v>
      </c>
      <c r="G1866" s="10" t="s">
        <v>73</v>
      </c>
      <c r="H1866" s="10" t="s">
        <v>264</v>
      </c>
      <c r="I1866" s="10" t="s">
        <v>266</v>
      </c>
      <c r="J1866" s="10">
        <v>95</v>
      </c>
      <c r="K1866" s="12">
        <v>44958</v>
      </c>
      <c r="L1866" s="33">
        <v>0.59499999999999997</v>
      </c>
      <c r="M1866" s="10">
        <v>1</v>
      </c>
      <c r="N1866" s="10" t="s">
        <v>84</v>
      </c>
      <c r="O1866" s="10">
        <v>1.22</v>
      </c>
      <c r="P1866" s="10">
        <v>8.2299999999999998E-2</v>
      </c>
      <c r="Q1866" s="10">
        <v>55.7</v>
      </c>
      <c r="R1866" s="10" t="s">
        <v>85</v>
      </c>
      <c r="S1866" s="34">
        <f t="shared" si="214"/>
        <v>68.632839999999987</v>
      </c>
      <c r="T1866" s="10" t="s">
        <v>1139</v>
      </c>
      <c r="U1866" s="34">
        <f t="shared" si="215"/>
        <v>68.632839999999987</v>
      </c>
      <c r="V1866" s="31" t="str">
        <f>IF(H1866="CHK",VLOOKUP(I1866,QCCHK,3,),IF(H1866="GUP",VLOOKUP(E1866,QCGUP,2,),IF(AND(H1866="ATP",OR(I1866="TN",I1866="TDN",I1866="TNO2-3",I1866="NO2-3")),VLOOKUP(E1866,QCREC_N,2,),IF(AND(H1866="NIC",OR(I1866="TN",I1866="TDN",I1866="TNO2-3",I1866="NO2-3")),VLOOKUP(E1866,QCNIC_N,2,),IF(AND(H1866="UREA",OR(I1866="TN",I1866="TDN",I1866="TNO2-3",I1866="NO2-3")),VLOOKUP(E1866,QCUREA_N,2,),IF(H1866="PER",VLOOKUP(I1866,QCPER,MATCH(E1866,QCACTUAL!$J$25:$AA$25,0),),IF(H1866="SPK",VLOOKUP(I1866,QCSPK,3,),IF(AND(H1866="ATP",OR(I1866="TP",I1866="TDP")),VLOOKUP(E1866,QCATP_P,2,),""))))))))</f>
        <v/>
      </c>
      <c r="W1866" s="31" t="str">
        <f t="shared" si="216"/>
        <v>FALSE</v>
      </c>
      <c r="X1866" s="31" t="str">
        <f t="shared" si="213"/>
        <v>nominal concentration</v>
      </c>
      <c r="Y1866" s="10" t="s">
        <v>1126</v>
      </c>
      <c r="Z1866" s="10" t="s">
        <v>910</v>
      </c>
      <c r="AF1866" s="12">
        <v>44958</v>
      </c>
      <c r="AG1866" s="10">
        <f>-20.9*1.22^2+141.62*1.22-73.036</f>
        <v>68.632839999999987</v>
      </c>
      <c r="AH1866" s="10">
        <f>-1.3807*1.22^2+80.818*1.22-42.013</f>
        <v>54.529926120000006</v>
      </c>
      <c r="AI1866" s="10">
        <f>0.6312*1.22^2+63.45*1.22-30.993</f>
        <v>47.355478080000012</v>
      </c>
      <c r="AK1866" s="10">
        <f>0.0239*1.22^2+66.574*1.22-31.913</f>
        <v>49.34285276</v>
      </c>
      <c r="AL1866" s="10" t="str">
        <f t="shared" si="211"/>
        <v>y=-20.90*1.22^2+141.62*1.22-73.036</v>
      </c>
      <c r="AM1866" s="10" t="str">
        <f t="shared" si="211"/>
        <v>y=-1.3807*1.22^2+80.818*1.22-42.013</v>
      </c>
      <c r="AN1866" s="10" t="str">
        <f t="shared" si="211"/>
        <v>y=0.6312*1.22^2+63.45*1.22-30.993</v>
      </c>
      <c r="AO1866" s="10" t="str">
        <f t="shared" si="212"/>
        <v>FALSE</v>
      </c>
      <c r="AP1866" s="10" t="str">
        <f t="shared" si="212"/>
        <v>y=0.0239*1.22^2+66.574*1.22-31.913</v>
      </c>
      <c r="AQ1866" s="10" t="str">
        <f>IF(AND(I1866="TP",S1866&lt;=150),VLOOKUP(AF1866,TPCalibEq150!$AZ$2:$BB$55,3,),IF(AND(I1866="TDP",S1866&lt;=150),VLOOKUP(AF1866,TPCalibEq150!$AZ$2:$BB$55,3,)))</f>
        <v>y=-20.90x2+141.62x-73.036</v>
      </c>
      <c r="AR1866" s="10" t="str">
        <f>IF(AND(I1866="TP",S1866&lt;=300),VLOOKUP(AF1866,TPCalibEq300!$AZ$2:$BB$55,3,),IF(AND(I1866="TDP",S1866&lt;=300),VLOOKUP(AF1866,TPCalibEq300!$AZ$2:$BB$55,3,)))</f>
        <v>y=-1.3807x2+80.818x-42.013</v>
      </c>
      <c r="AS1866" s="10" t="str">
        <f>IF(AND(I1866="TP",S1866&lt;=500),VLOOKUP(AF1866,TPCalibEq500!$AZ$2:$BB$56,3,),IF(AND(I1866="TDP",S1866&lt;=500),VLOOKUP(AF1866,TPCalibEq500!$AZ$2:$BB$56,3,)))</f>
        <v>y=0.6312x2+63.45x-30.993</v>
      </c>
      <c r="AT1866" s="10" t="b">
        <f>IF(AND(I1866="TN",S1866&lt;=2800),VLOOKUP(AF1866,TNCalibEq2500!$AZ$2:$BB$56,3,),IF(AND(I1866="TDN",S1866&lt;=2800),VLOOKUP(AF1866,TNCalibEq2500!$AZ$2:$BB$56,3,)))</f>
        <v>0</v>
      </c>
      <c r="AU1866" s="10" t="str">
        <f>IF(I1866="TP",VLOOKUP(AF1866,TPCalibEqFull!$AZ$2:$BB$56,3),IF(I1866="TDP",VLOOKUP(AF1866,TPCalibEqFull!$AZ$2:$BB$56,3),IF(I1866="TDN",VLOOKUP(AF1866,TNCalibEqFull!$AZ$1:$BB$56,3),IF(I1866="TN",VLOOKUP(AF1866,TNCalibEqFull!$AZ$1:$BB$56,3),FALSE))))</f>
        <v>y=0.0239x2+66.574x-31.913</v>
      </c>
      <c r="AV1866" s="10" t="str">
        <f t="shared" si="217"/>
        <v>0130 06:00:00-QAC-BLK-FIL-1-DI-FLD</v>
      </c>
    </row>
    <row r="1867" spans="1:48" s="10" customFormat="1" x14ac:dyDescent="0.55000000000000004">
      <c r="A1867" s="32">
        <v>44956</v>
      </c>
      <c r="B1867" s="33">
        <v>0.22569444444444445</v>
      </c>
      <c r="C1867" s="10" t="s">
        <v>70</v>
      </c>
      <c r="D1867" s="10" t="s">
        <v>241</v>
      </c>
      <c r="E1867" s="10" t="s">
        <v>911</v>
      </c>
      <c r="F1867" s="10">
        <v>1</v>
      </c>
      <c r="G1867" s="10" t="s">
        <v>73</v>
      </c>
      <c r="H1867" s="10" t="s">
        <v>245</v>
      </c>
      <c r="I1867" s="10" t="s">
        <v>266</v>
      </c>
      <c r="J1867" s="10">
        <v>96</v>
      </c>
      <c r="K1867" s="12">
        <v>44958</v>
      </c>
      <c r="L1867" s="33">
        <v>0.59570601851851845</v>
      </c>
      <c r="M1867" s="10">
        <v>1</v>
      </c>
      <c r="N1867" s="10" t="s">
        <v>84</v>
      </c>
      <c r="O1867" s="10">
        <v>0.58599999999999997</v>
      </c>
      <c r="P1867" s="10">
        <v>3.7600000000000001E-2</v>
      </c>
      <c r="Q1867" s="10">
        <v>13.2</v>
      </c>
      <c r="R1867" s="10" t="s">
        <v>85</v>
      </c>
      <c r="S1867" s="34">
        <f t="shared" si="214"/>
        <v>13.2</v>
      </c>
      <c r="T1867" s="10" t="s">
        <v>1139</v>
      </c>
      <c r="U1867" s="34">
        <f t="shared" si="215"/>
        <v>13.2</v>
      </c>
      <c r="V1867" s="31" t="str">
        <f>IF(H1867="CHK",VLOOKUP(I1867,QCCHK,3,),IF(H1867="GUP",VLOOKUP(E1867,QCGUP,2,),IF(AND(H1867="ATP",OR(I1867="TN",I1867="TDN",I1867="TNO2-3",I1867="NO2-3")),VLOOKUP(E1867,QCREC_N,2,),IF(AND(H1867="NIC",OR(I1867="TN",I1867="TDN",I1867="TNO2-3",I1867="NO2-3")),VLOOKUP(E1867,QCNIC_N,2,),IF(AND(H1867="UREA",OR(I1867="TN",I1867="TDN",I1867="TNO2-3",I1867="NO2-3")),VLOOKUP(E1867,QCUREA_N,2,),IF(H1867="PER",VLOOKUP(I1867,QCPER,MATCH(E1867,QCACTUAL!$J$25:$AA$25,0),),IF(H1867="SPK",VLOOKUP(I1867,QCSPK,3,),IF(AND(H1867="ATP",OR(I1867="TP",I1867="TDP")),VLOOKUP(E1867,QCATP_P,2,),""))))))))</f>
        <v/>
      </c>
      <c r="W1867" s="31" t="str">
        <f t="shared" si="216"/>
        <v>TRUE</v>
      </c>
      <c r="X1867" s="31" t="str">
        <f t="shared" si="213"/>
        <v>nominal concentration</v>
      </c>
      <c r="Y1867" s="10" t="s">
        <v>1126</v>
      </c>
      <c r="Z1867" s="10" t="s">
        <v>910</v>
      </c>
      <c r="AF1867" s="12">
        <v>44958</v>
      </c>
      <c r="AG1867" s="10">
        <f>-20.9*0.586^2+141.62*0.586-73.036</f>
        <v>2.7763435999999899</v>
      </c>
      <c r="AH1867" s="10">
        <f>-1.3807*0.586^2+80.818*0.586-42.013</f>
        <v>4.8722211428000008</v>
      </c>
      <c r="AI1867" s="10">
        <f>0.6312*0.586^2+63.45*0.586-30.993</f>
        <v>6.4054515551999991</v>
      </c>
      <c r="AK1867" s="10">
        <f>0.0239*0.586^2+66.574*0.586-31.913</f>
        <v>7.1075711643999959</v>
      </c>
      <c r="AL1867" s="10" t="str">
        <f t="shared" si="211"/>
        <v>y=-20.90*0.586^2+141.62*0.586-73.036</v>
      </c>
      <c r="AM1867" s="10" t="str">
        <f t="shared" si="211"/>
        <v>y=-1.3807*0.586^2+80.818*0.586-42.013</v>
      </c>
      <c r="AN1867" s="10" t="str">
        <f t="shared" si="211"/>
        <v>y=0.6312*0.586^2+63.45*0.586-30.993</v>
      </c>
      <c r="AO1867" s="10" t="str">
        <f t="shared" si="212"/>
        <v>FALSE</v>
      </c>
      <c r="AP1867" s="10" t="str">
        <f t="shared" si="212"/>
        <v>y=0.0239*0.586^2+66.574*0.586-31.913</v>
      </c>
      <c r="AQ1867" s="10" t="str">
        <f>IF(AND(I1867="TP",S1867&lt;=150),VLOOKUP(AF1867,TPCalibEq150!$AZ$2:$BB$55,3,),IF(AND(I1867="TDP",S1867&lt;=150),VLOOKUP(AF1867,TPCalibEq150!$AZ$2:$BB$55,3,)))</f>
        <v>y=-20.90x2+141.62x-73.036</v>
      </c>
      <c r="AR1867" s="10" t="str">
        <f>IF(AND(I1867="TP",S1867&lt;=300),VLOOKUP(AF1867,TPCalibEq300!$AZ$2:$BB$55,3,),IF(AND(I1867="TDP",S1867&lt;=300),VLOOKUP(AF1867,TPCalibEq300!$AZ$2:$BB$55,3,)))</f>
        <v>y=-1.3807x2+80.818x-42.013</v>
      </c>
      <c r="AS1867" s="10" t="str">
        <f>IF(AND(I1867="TP",S1867&lt;=500),VLOOKUP(AF1867,TPCalibEq500!$AZ$2:$BB$56,3,),IF(AND(I1867="TDP",S1867&lt;=500),VLOOKUP(AF1867,TPCalibEq500!$AZ$2:$BB$56,3,)))</f>
        <v>y=0.6312x2+63.45x-30.993</v>
      </c>
      <c r="AT1867" s="10" t="b">
        <f>IF(AND(I1867="TN",S1867&lt;=2800),VLOOKUP(AF1867,TNCalibEq2500!$AZ$2:$BB$56,3,),IF(AND(I1867="TDN",S1867&lt;=2800),VLOOKUP(AF1867,TNCalibEq2500!$AZ$2:$BB$56,3,)))</f>
        <v>0</v>
      </c>
      <c r="AU1867" s="10" t="str">
        <f>IF(I1867="TP",VLOOKUP(AF1867,TPCalibEqFull!$AZ$2:$BB$56,3),IF(I1867="TDP",VLOOKUP(AF1867,TPCalibEqFull!$AZ$2:$BB$56,3),IF(I1867="TDN",VLOOKUP(AF1867,TNCalibEqFull!$AZ$1:$BB$56,3),IF(I1867="TN",VLOOKUP(AF1867,TNCalibEqFull!$AZ$1:$BB$56,3),FALSE))))</f>
        <v>y=0.0239x2+66.574x-31.913</v>
      </c>
      <c r="AV1867" s="10" t="str">
        <f t="shared" si="217"/>
        <v>0130 05:25:00-QAC-BLK-FIL-1-DI-ESF</v>
      </c>
    </row>
    <row r="1868" spans="1:48" s="10" customFormat="1" x14ac:dyDescent="0.55000000000000004">
      <c r="A1868" s="32">
        <v>44949</v>
      </c>
      <c r="B1868" s="33">
        <v>0.33333333333333331</v>
      </c>
      <c r="C1868" s="10" t="s">
        <v>279</v>
      </c>
      <c r="D1868" s="10">
        <v>0</v>
      </c>
      <c r="E1868" s="10" t="s">
        <v>190</v>
      </c>
      <c r="F1868" s="10">
        <v>1</v>
      </c>
      <c r="G1868" s="10" t="s">
        <v>231</v>
      </c>
      <c r="H1868" s="10" t="s">
        <v>322</v>
      </c>
      <c r="I1868" s="10" t="s">
        <v>83</v>
      </c>
      <c r="J1868" s="10">
        <v>1</v>
      </c>
      <c r="K1868" s="12">
        <v>44958</v>
      </c>
      <c r="L1868" s="33">
        <v>0.59641203703703705</v>
      </c>
      <c r="M1868" s="10">
        <v>1</v>
      </c>
      <c r="N1868" s="10" t="s">
        <v>84</v>
      </c>
      <c r="O1868" s="10">
        <v>3.76</v>
      </c>
      <c r="P1868" s="10">
        <v>0.252</v>
      </c>
      <c r="Q1868" s="10">
        <v>225</v>
      </c>
      <c r="R1868" s="10" t="s">
        <v>85</v>
      </c>
      <c r="S1868" s="34">
        <f t="shared" si="214"/>
        <v>242.34289568</v>
      </c>
      <c r="T1868" s="10" t="s">
        <v>1139</v>
      </c>
      <c r="U1868" s="34" t="str">
        <f t="shared" si="215"/>
        <v/>
      </c>
      <c r="V1868" s="31" t="str">
        <f>IF(H1868="CHK",VLOOKUP(I1868,QCCHK,3,),IF(H1868="GUP",VLOOKUP(E1868,QCGUP,2,),IF(AND(H1868="ATP",OR(I1868="TN",I1868="TDN",I1868="TNO2-3",I1868="NO2-3")),VLOOKUP(E1868,QCREC_N,2,),IF(AND(H1868="NIC",OR(I1868="TN",I1868="TDN",I1868="TNO2-3",I1868="NO2-3")),VLOOKUP(E1868,QCNIC_N,2,),IF(AND(H1868="UREA",OR(I1868="TN",I1868="TDN",I1868="TNO2-3",I1868="NO2-3")),VLOOKUP(E1868,QCUREA_N,2,),IF(H1868="PER",VLOOKUP(I1868,QCPER,MATCH(E1868,QCACTUAL!$J$25:$AA$25,0),),IF(H1868="SPK",VLOOKUP(I1868,QCSPK,3,),IF(AND(H1868="ATP",OR(I1868="TP",I1868="TDP")),VLOOKUP(E1868,QCATP_P,2,),""))))))))</f>
        <v/>
      </c>
      <c r="W1868" s="31" t="str">
        <f t="shared" si="216"/>
        <v>TRUE</v>
      </c>
      <c r="X1868" s="31" t="str">
        <f t="shared" si="213"/>
        <v/>
      </c>
      <c r="Y1868" s="10" t="s">
        <v>1126</v>
      </c>
      <c r="Z1868" s="10" t="s">
        <v>910</v>
      </c>
      <c r="AF1868" s="12">
        <v>44958</v>
      </c>
      <c r="AH1868" s="10">
        <f>-1.3807*3.76^2+80.818*3.76-42.013</f>
        <v>242.34289568</v>
      </c>
      <c r="AI1868" s="10">
        <f>0.6312*3.76^2+63.45*3.76-30.993</f>
        <v>216.50265312000002</v>
      </c>
      <c r="AK1868" s="10">
        <f>0.0239*3.76^2+66.574*3.76-31.913</f>
        <v>218.74312863999995</v>
      </c>
      <c r="AL1868" s="10" t="str">
        <f t="shared" si="211"/>
        <v>FALSE</v>
      </c>
      <c r="AM1868" s="10" t="str">
        <f t="shared" si="211"/>
        <v>y=-1.3807*3.76^2+80.818*3.76-42.013</v>
      </c>
      <c r="AN1868" s="10" t="str">
        <f t="shared" si="211"/>
        <v>y=0.6312*3.76^2+63.45*3.76-30.993</v>
      </c>
      <c r="AO1868" s="10" t="str">
        <f t="shared" si="212"/>
        <v>FALSE</v>
      </c>
      <c r="AP1868" s="10" t="str">
        <f t="shared" si="212"/>
        <v>y=0.0239*3.76^2+66.574*3.76-31.913</v>
      </c>
      <c r="AQ1868" s="10" t="b">
        <f>IF(AND(I1868="TP",S1868&lt;=150),VLOOKUP(AF1868,TPCalibEq150!$AZ$2:$BB$55,3,),IF(AND(I1868="TDP",S1868&lt;=150),VLOOKUP(AF1868,TPCalibEq150!$AZ$2:$BB$55,3,)))</f>
        <v>0</v>
      </c>
      <c r="AR1868" s="10" t="str">
        <f>IF(AND(I1868="TP",S1868&lt;=300),VLOOKUP(AF1868,TPCalibEq300!$AZ$2:$BB$55,3,),IF(AND(I1868="TDP",S1868&lt;=300),VLOOKUP(AF1868,TPCalibEq300!$AZ$2:$BB$55,3,)))</f>
        <v>y=-1.3807x2+80.818x-42.013</v>
      </c>
      <c r="AS1868" s="10" t="str">
        <f>IF(AND(I1868="TP",S1868&lt;=500),VLOOKUP(AF1868,TPCalibEq500!$AZ$2:$BB$56,3,),IF(AND(I1868="TDP",S1868&lt;=500),VLOOKUP(AF1868,TPCalibEq500!$AZ$2:$BB$56,3,)))</f>
        <v>y=0.6312x2+63.45x-30.993</v>
      </c>
      <c r="AT1868" s="10" t="b">
        <f>IF(AND(I1868="TN",S1868&lt;=2800),VLOOKUP(AF1868,TNCalibEq2500!$AZ$2:$BB$56,3,),IF(AND(I1868="TDN",S1868&lt;=2800),VLOOKUP(AF1868,TNCalibEq2500!$AZ$2:$BB$56,3,)))</f>
        <v>0</v>
      </c>
      <c r="AU1868" s="10" t="str">
        <f>IF(I1868="TP",VLOOKUP(AF1868,TPCalibEqFull!$AZ$2:$BB$56,3),IF(I1868="TDP",VLOOKUP(AF1868,TPCalibEqFull!$AZ$2:$BB$56,3),IF(I1868="TDN",VLOOKUP(AF1868,TNCalibEqFull!$AZ$1:$BB$56,3),IF(I1868="TN",VLOOKUP(AF1868,TNCalibEqFull!$AZ$1:$BB$56,3),FALSE))))</f>
        <v>y=0.0239x2+66.574x-31.913</v>
      </c>
      <c r="AV1868" s="10" t="str">
        <f t="shared" si="217"/>
        <v>0123 08:00:00-EFK-0-C-1-SW-UKN</v>
      </c>
    </row>
    <row r="1869" spans="1:48" s="10" customFormat="1" x14ac:dyDescent="0.55000000000000004">
      <c r="A1869" s="32">
        <v>44949</v>
      </c>
      <c r="B1869" s="33">
        <v>0.32083333333333336</v>
      </c>
      <c r="C1869" s="10" t="s">
        <v>333</v>
      </c>
      <c r="D1869" s="10">
        <v>0</v>
      </c>
      <c r="E1869" s="10" t="s">
        <v>190</v>
      </c>
      <c r="F1869" s="10">
        <v>1</v>
      </c>
      <c r="G1869" s="10" t="s">
        <v>231</v>
      </c>
      <c r="H1869" s="10" t="s">
        <v>322</v>
      </c>
      <c r="I1869" s="10" t="s">
        <v>83</v>
      </c>
      <c r="J1869" s="10">
        <v>2</v>
      </c>
      <c r="K1869" s="12">
        <v>44958</v>
      </c>
      <c r="L1869" s="33">
        <v>0.59710648148148149</v>
      </c>
      <c r="M1869" s="10">
        <v>1</v>
      </c>
      <c r="N1869" s="10" t="s">
        <v>84</v>
      </c>
      <c r="O1869" s="10">
        <v>1.99</v>
      </c>
      <c r="P1869" s="10">
        <v>0.13800000000000001</v>
      </c>
      <c r="Q1869" s="10">
        <v>107</v>
      </c>
      <c r="R1869" s="10" t="s">
        <v>85</v>
      </c>
      <c r="S1869" s="34">
        <f t="shared" si="214"/>
        <v>126.02171000000001</v>
      </c>
      <c r="T1869" s="10" t="s">
        <v>1139</v>
      </c>
      <c r="U1869" s="34" t="str">
        <f t="shared" si="215"/>
        <v/>
      </c>
      <c r="V1869" s="31" t="str">
        <f>IF(H1869="CHK",VLOOKUP(I1869,QCCHK,3,),IF(H1869="GUP",VLOOKUP(E1869,QCGUP,2,),IF(AND(H1869="ATP",OR(I1869="TN",I1869="TDN",I1869="TNO2-3",I1869="NO2-3")),VLOOKUP(E1869,QCREC_N,2,),IF(AND(H1869="NIC",OR(I1869="TN",I1869="TDN",I1869="TNO2-3",I1869="NO2-3")),VLOOKUP(E1869,QCNIC_N,2,),IF(AND(H1869="UREA",OR(I1869="TN",I1869="TDN",I1869="TNO2-3",I1869="NO2-3")),VLOOKUP(E1869,QCUREA_N,2,),IF(H1869="PER",VLOOKUP(I1869,QCPER,MATCH(E1869,QCACTUAL!$J$25:$AA$25,0),),IF(H1869="SPK",VLOOKUP(I1869,QCSPK,3,),IF(AND(H1869="ATP",OR(I1869="TP",I1869="TDP")),VLOOKUP(E1869,QCATP_P,2,),""))))))))</f>
        <v/>
      </c>
      <c r="W1869" s="31" t="str">
        <f t="shared" si="216"/>
        <v>TRUE</v>
      </c>
      <c r="X1869" s="31" t="str">
        <f t="shared" si="213"/>
        <v/>
      </c>
      <c r="Y1869" s="10" t="s">
        <v>1126</v>
      </c>
      <c r="Z1869" s="10" t="s">
        <v>910</v>
      </c>
      <c r="AF1869" s="12">
        <v>44958</v>
      </c>
      <c r="AG1869" s="10">
        <f>-20.9*1.99^2+141.62*1.99-73.036</f>
        <v>126.02171000000001</v>
      </c>
      <c r="AH1869" s="10">
        <f>-1.3807*1.99^2+80.818*1.99-42.013</f>
        <v>113.34710992999999</v>
      </c>
      <c r="AI1869" s="10">
        <f>0.6312*1.99^2+63.45*1.99-30.993</f>
        <v>97.772115119999995</v>
      </c>
      <c r="AK1869" s="10">
        <f>0.0239*1.99^2+66.574*1.99-31.913</f>
        <v>100.66390639000001</v>
      </c>
      <c r="AL1869" s="10" t="str">
        <f t="shared" si="211"/>
        <v>y=-20.90*1.99^2+141.62*1.99-73.036</v>
      </c>
      <c r="AM1869" s="10" t="str">
        <f t="shared" si="211"/>
        <v>y=-1.3807*1.99^2+80.818*1.99-42.013</v>
      </c>
      <c r="AN1869" s="10" t="str">
        <f t="shared" si="211"/>
        <v>y=0.6312*1.99^2+63.45*1.99-30.993</v>
      </c>
      <c r="AO1869" s="10" t="str">
        <f t="shared" si="212"/>
        <v>FALSE</v>
      </c>
      <c r="AP1869" s="10" t="str">
        <f t="shared" si="212"/>
        <v>y=0.0239*1.99^2+66.574*1.99-31.913</v>
      </c>
      <c r="AQ1869" s="10" t="str">
        <f>IF(AND(I1869="TP",S1869&lt;=150),VLOOKUP(AF1869,TPCalibEq150!$AZ$2:$BB$55,3,),IF(AND(I1869="TDP",S1869&lt;=150),VLOOKUP(AF1869,TPCalibEq150!$AZ$2:$BB$55,3,)))</f>
        <v>y=-20.90x2+141.62x-73.036</v>
      </c>
      <c r="AR1869" s="10" t="str">
        <f>IF(AND(I1869="TP",S1869&lt;=300),VLOOKUP(AF1869,TPCalibEq300!$AZ$2:$BB$55,3,),IF(AND(I1869="TDP",S1869&lt;=300),VLOOKUP(AF1869,TPCalibEq300!$AZ$2:$BB$55,3,)))</f>
        <v>y=-1.3807x2+80.818x-42.013</v>
      </c>
      <c r="AS1869" s="10" t="str">
        <f>IF(AND(I1869="TP",S1869&lt;=500),VLOOKUP(AF1869,TPCalibEq500!$AZ$2:$BB$56,3,),IF(AND(I1869="TDP",S1869&lt;=500),VLOOKUP(AF1869,TPCalibEq500!$AZ$2:$BB$56,3,)))</f>
        <v>y=0.6312x2+63.45x-30.993</v>
      </c>
      <c r="AT1869" s="10" t="b">
        <f>IF(AND(I1869="TN",S1869&lt;=2800),VLOOKUP(AF1869,TNCalibEq2500!$AZ$2:$BB$56,3,),IF(AND(I1869="TDN",S1869&lt;=2800),VLOOKUP(AF1869,TNCalibEq2500!$AZ$2:$BB$56,3,)))</f>
        <v>0</v>
      </c>
      <c r="AU1869" s="10" t="str">
        <f>IF(I1869="TP",VLOOKUP(AF1869,TPCalibEqFull!$AZ$2:$BB$56,3),IF(I1869="TDP",VLOOKUP(AF1869,TPCalibEqFull!$AZ$2:$BB$56,3),IF(I1869="TDN",VLOOKUP(AF1869,TNCalibEqFull!$AZ$1:$BB$56,3),IF(I1869="TN",VLOOKUP(AF1869,TNCalibEqFull!$AZ$1:$BB$56,3),FALSE))))</f>
        <v>y=0.0239x2+66.574x-31.913</v>
      </c>
      <c r="AV1869" s="10" t="str">
        <f t="shared" si="217"/>
        <v>0123 07:42:00-HST-0-C-1-SW-UKN</v>
      </c>
    </row>
    <row r="1870" spans="1:48" s="10" customFormat="1" x14ac:dyDescent="0.55000000000000004">
      <c r="A1870" s="32">
        <v>44950</v>
      </c>
      <c r="B1870" s="33">
        <v>0.5708333333333333</v>
      </c>
      <c r="C1870" s="10" t="s">
        <v>279</v>
      </c>
      <c r="D1870" s="10">
        <v>0</v>
      </c>
      <c r="E1870" s="10" t="s">
        <v>190</v>
      </c>
      <c r="F1870" s="10">
        <v>1</v>
      </c>
      <c r="G1870" s="10" t="s">
        <v>231</v>
      </c>
      <c r="H1870" s="10" t="s">
        <v>322</v>
      </c>
      <c r="I1870" s="10" t="s">
        <v>83</v>
      </c>
      <c r="J1870" s="10">
        <v>3</v>
      </c>
      <c r="K1870" s="12">
        <v>44958</v>
      </c>
      <c r="L1870" s="33">
        <v>0.59782407407407401</v>
      </c>
      <c r="M1870" s="10">
        <v>1</v>
      </c>
      <c r="N1870" s="10" t="s">
        <v>84</v>
      </c>
      <c r="O1870" s="10">
        <v>2.64</v>
      </c>
      <c r="P1870" s="10">
        <v>0.184</v>
      </c>
      <c r="Q1870" s="10">
        <v>150</v>
      </c>
      <c r="R1870" s="10" t="s">
        <v>85</v>
      </c>
      <c r="S1870" s="34">
        <f t="shared" si="214"/>
        <v>161.72359327999999</v>
      </c>
      <c r="T1870" s="10" t="s">
        <v>1139</v>
      </c>
      <c r="U1870" s="34" t="str">
        <f t="shared" si="215"/>
        <v/>
      </c>
      <c r="V1870" s="31" t="str">
        <f>IF(H1870="CHK",VLOOKUP(I1870,QCCHK,3,),IF(H1870="GUP",VLOOKUP(E1870,QCGUP,2,),IF(AND(H1870="ATP",OR(I1870="TN",I1870="TDN",I1870="TNO2-3",I1870="NO2-3")),VLOOKUP(E1870,QCREC_N,2,),IF(AND(H1870="NIC",OR(I1870="TN",I1870="TDN",I1870="TNO2-3",I1870="NO2-3")),VLOOKUP(E1870,QCNIC_N,2,),IF(AND(H1870="UREA",OR(I1870="TN",I1870="TDN",I1870="TNO2-3",I1870="NO2-3")),VLOOKUP(E1870,QCUREA_N,2,),IF(H1870="PER",VLOOKUP(I1870,QCPER,MATCH(E1870,QCACTUAL!$J$25:$AA$25,0),),IF(H1870="SPK",VLOOKUP(I1870,QCSPK,3,),IF(AND(H1870="ATP",OR(I1870="TP",I1870="TDP")),VLOOKUP(E1870,QCATP_P,2,),""))))))))</f>
        <v/>
      </c>
      <c r="W1870" s="31" t="str">
        <f t="shared" si="216"/>
        <v>TRUE</v>
      </c>
      <c r="X1870" s="31" t="str">
        <f t="shared" si="213"/>
        <v/>
      </c>
      <c r="Y1870" s="10" t="s">
        <v>1126</v>
      </c>
      <c r="Z1870" s="10" t="s">
        <v>910</v>
      </c>
      <c r="AF1870" s="12">
        <v>44958</v>
      </c>
      <c r="AG1870" s="10">
        <f>-20.9*2.64^2+141.62*2.64-73.036</f>
        <v>155.17616000000001</v>
      </c>
      <c r="AH1870" s="10">
        <f>-1.3807*2.64^2+80.818*2.64-42.013</f>
        <v>161.72359327999999</v>
      </c>
      <c r="AI1870" s="10">
        <f>0.6312*2.64^2+63.45*2.64-30.993</f>
        <v>140.91421152000001</v>
      </c>
      <c r="AK1870" s="10">
        <f>0.0239*2.64^2+66.574*2.64-31.913</f>
        <v>144.00893343999999</v>
      </c>
      <c r="AL1870" s="10" t="str">
        <f t="shared" si="211"/>
        <v>FALSE</v>
      </c>
      <c r="AM1870" s="10" t="str">
        <f t="shared" si="211"/>
        <v>y=-1.3807*2.64^2+80.818*2.64-42.013</v>
      </c>
      <c r="AN1870" s="10" t="str">
        <f t="shared" si="211"/>
        <v>y=0.6312*2.64^2+63.45*2.64-30.993</v>
      </c>
      <c r="AO1870" s="10" t="str">
        <f t="shared" si="212"/>
        <v>FALSE</v>
      </c>
      <c r="AP1870" s="10" t="str">
        <f t="shared" si="212"/>
        <v>y=0.0239*2.64^2+66.574*2.64-31.913</v>
      </c>
      <c r="AQ1870" s="10" t="b">
        <f>IF(AND(I1870="TP",S1870&lt;=150),VLOOKUP(AF1870,TPCalibEq150!$AZ$2:$BB$55,3,),IF(AND(I1870="TDP",S1870&lt;=150),VLOOKUP(AF1870,TPCalibEq150!$AZ$2:$BB$55,3,)))</f>
        <v>0</v>
      </c>
      <c r="AR1870" s="10" t="str">
        <f>IF(AND(I1870="TP",S1870&lt;=300),VLOOKUP(AF1870,TPCalibEq300!$AZ$2:$BB$55,3,),IF(AND(I1870="TDP",S1870&lt;=300),VLOOKUP(AF1870,TPCalibEq300!$AZ$2:$BB$55,3,)))</f>
        <v>y=-1.3807x2+80.818x-42.013</v>
      </c>
      <c r="AS1870" s="10" t="str">
        <f>IF(AND(I1870="TP",S1870&lt;=500),VLOOKUP(AF1870,TPCalibEq500!$AZ$2:$BB$56,3,),IF(AND(I1870="TDP",S1870&lt;=500),VLOOKUP(AF1870,TPCalibEq500!$AZ$2:$BB$56,3,)))</f>
        <v>y=0.6312x2+63.45x-30.993</v>
      </c>
      <c r="AT1870" s="10" t="b">
        <f>IF(AND(I1870="TN",S1870&lt;=2800),VLOOKUP(AF1870,TNCalibEq2500!$AZ$2:$BB$56,3,),IF(AND(I1870="TDN",S1870&lt;=2800),VLOOKUP(AF1870,TNCalibEq2500!$AZ$2:$BB$56,3,)))</f>
        <v>0</v>
      </c>
      <c r="AU1870" s="10" t="str">
        <f>IF(I1870="TP",VLOOKUP(AF1870,TPCalibEqFull!$AZ$2:$BB$56,3),IF(I1870="TDP",VLOOKUP(AF1870,TPCalibEqFull!$AZ$2:$BB$56,3),IF(I1870="TDN",VLOOKUP(AF1870,TNCalibEqFull!$AZ$1:$BB$56,3),IF(I1870="TN",VLOOKUP(AF1870,TNCalibEqFull!$AZ$1:$BB$56,3),FALSE))))</f>
        <v>y=0.0239x2+66.574x-31.913</v>
      </c>
      <c r="AV1870" s="10" t="str">
        <f t="shared" si="217"/>
        <v>0124 13:42:00-EFK-0-C-1-SW-UKN</v>
      </c>
    </row>
    <row r="1871" spans="1:48" s="10" customFormat="1" x14ac:dyDescent="0.55000000000000004">
      <c r="A1871" s="32">
        <v>44950</v>
      </c>
      <c r="B1871" s="33">
        <v>0.60555555555555551</v>
      </c>
      <c r="C1871" s="10" t="s">
        <v>333</v>
      </c>
      <c r="D1871" s="10">
        <v>0</v>
      </c>
      <c r="E1871" s="10" t="s">
        <v>190</v>
      </c>
      <c r="F1871" s="10">
        <v>1</v>
      </c>
      <c r="G1871" s="10" t="s">
        <v>231</v>
      </c>
      <c r="H1871" s="10" t="s">
        <v>322</v>
      </c>
      <c r="I1871" s="10" t="s">
        <v>83</v>
      </c>
      <c r="J1871" s="10">
        <v>4</v>
      </c>
      <c r="K1871" s="12">
        <v>44958</v>
      </c>
      <c r="L1871" s="33">
        <v>0.59851851851851856</v>
      </c>
      <c r="M1871" s="10">
        <v>1</v>
      </c>
      <c r="N1871" s="10" t="s">
        <v>84</v>
      </c>
      <c r="O1871" s="10">
        <v>2.65</v>
      </c>
      <c r="P1871" s="10">
        <v>0.185</v>
      </c>
      <c r="Q1871" s="10">
        <v>151</v>
      </c>
      <c r="R1871" s="10" t="s">
        <v>85</v>
      </c>
      <c r="S1871" s="34">
        <f t="shared" si="214"/>
        <v>162.45873424999999</v>
      </c>
      <c r="T1871" s="10" t="s">
        <v>1139</v>
      </c>
      <c r="U1871" s="34" t="str">
        <f t="shared" si="215"/>
        <v/>
      </c>
      <c r="V1871" s="31" t="str">
        <f>IF(H1871="CHK",VLOOKUP(I1871,QCCHK,3,),IF(H1871="GUP",VLOOKUP(E1871,QCGUP,2,),IF(AND(H1871="ATP",OR(I1871="TN",I1871="TDN",I1871="TNO2-3",I1871="NO2-3")),VLOOKUP(E1871,QCREC_N,2,),IF(AND(H1871="NIC",OR(I1871="TN",I1871="TDN",I1871="TNO2-3",I1871="NO2-3")),VLOOKUP(E1871,QCNIC_N,2,),IF(AND(H1871="UREA",OR(I1871="TN",I1871="TDN",I1871="TNO2-3",I1871="NO2-3")),VLOOKUP(E1871,QCUREA_N,2,),IF(H1871="PER",VLOOKUP(I1871,QCPER,MATCH(E1871,QCACTUAL!$J$25:$AA$25,0),),IF(H1871="SPK",VLOOKUP(I1871,QCSPK,3,),IF(AND(H1871="ATP",OR(I1871="TP",I1871="TDP")),VLOOKUP(E1871,QCATP_P,2,),""))))))))</f>
        <v/>
      </c>
      <c r="W1871" s="31" t="str">
        <f t="shared" si="216"/>
        <v>TRUE</v>
      </c>
      <c r="X1871" s="31" t="str">
        <f t="shared" si="213"/>
        <v/>
      </c>
      <c r="Y1871" s="10" t="s">
        <v>1126</v>
      </c>
      <c r="Z1871" s="10" t="s">
        <v>910</v>
      </c>
      <c r="AF1871" s="12">
        <v>44958</v>
      </c>
      <c r="AH1871" s="10">
        <f>-1.3807*2.65^2+80.818*2.65-42.013</f>
        <v>162.45873424999999</v>
      </c>
      <c r="AI1871" s="10">
        <f>0.6312*2.65^2+63.45*2.65-30.993</f>
        <v>141.58210200000002</v>
      </c>
      <c r="AK1871" s="10">
        <f>0.0239*2.65^2+66.574*2.65-31.913</f>
        <v>144.67593774999997</v>
      </c>
      <c r="AL1871" s="10" t="str">
        <f t="shared" si="211"/>
        <v>FALSE</v>
      </c>
      <c r="AM1871" s="10" t="str">
        <f t="shared" si="211"/>
        <v>y=-1.3807*2.65^2+80.818*2.65-42.013</v>
      </c>
      <c r="AN1871" s="10" t="str">
        <f t="shared" si="211"/>
        <v>y=0.6312*2.65^2+63.45*2.65-30.993</v>
      </c>
      <c r="AO1871" s="10" t="str">
        <f t="shared" si="212"/>
        <v>FALSE</v>
      </c>
      <c r="AP1871" s="10" t="str">
        <f t="shared" si="212"/>
        <v>y=0.0239*2.65^2+66.574*2.65-31.913</v>
      </c>
      <c r="AQ1871" s="10" t="b">
        <f>IF(AND(I1871="TP",S1871&lt;=150),VLOOKUP(AF1871,TPCalibEq150!$AZ$2:$BB$55,3,),IF(AND(I1871="TDP",S1871&lt;=150),VLOOKUP(AF1871,TPCalibEq150!$AZ$2:$BB$55,3,)))</f>
        <v>0</v>
      </c>
      <c r="AR1871" s="10" t="str">
        <f>IF(AND(I1871="TP",S1871&lt;=300),VLOOKUP(AF1871,TPCalibEq300!$AZ$2:$BB$55,3,),IF(AND(I1871="TDP",S1871&lt;=300),VLOOKUP(AF1871,TPCalibEq300!$AZ$2:$BB$55,3,)))</f>
        <v>y=-1.3807x2+80.818x-42.013</v>
      </c>
      <c r="AS1871" s="10" t="str">
        <f>IF(AND(I1871="TP",S1871&lt;=500),VLOOKUP(AF1871,TPCalibEq500!$AZ$2:$BB$56,3,),IF(AND(I1871="TDP",S1871&lt;=500),VLOOKUP(AF1871,TPCalibEq500!$AZ$2:$BB$56,3,)))</f>
        <v>y=0.6312x2+63.45x-30.993</v>
      </c>
      <c r="AT1871" s="10" t="b">
        <f>IF(AND(I1871="TN",S1871&lt;=2800),VLOOKUP(AF1871,TNCalibEq2500!$AZ$2:$BB$56,3,),IF(AND(I1871="TDN",S1871&lt;=2800),VLOOKUP(AF1871,TNCalibEq2500!$AZ$2:$BB$56,3,)))</f>
        <v>0</v>
      </c>
      <c r="AU1871" s="10" t="str">
        <f>IF(I1871="TP",VLOOKUP(AF1871,TPCalibEqFull!$AZ$2:$BB$56,3),IF(I1871="TDP",VLOOKUP(AF1871,TPCalibEqFull!$AZ$2:$BB$56,3),IF(I1871="TDN",VLOOKUP(AF1871,TNCalibEqFull!$AZ$1:$BB$56,3),IF(I1871="TN",VLOOKUP(AF1871,TNCalibEqFull!$AZ$1:$BB$56,3),FALSE))))</f>
        <v>y=0.0239x2+66.574x-31.913</v>
      </c>
      <c r="AV1871" s="10" t="str">
        <f t="shared" si="217"/>
        <v>0124 14:32:00-HST-0-C-1-SW-UKN</v>
      </c>
    </row>
    <row r="1872" spans="1:48" s="10" customFormat="1" x14ac:dyDescent="0.55000000000000004">
      <c r="A1872" s="32">
        <v>44951</v>
      </c>
      <c r="B1872" s="33">
        <v>0.23541666666666669</v>
      </c>
      <c r="C1872" s="10" t="s">
        <v>279</v>
      </c>
      <c r="D1872" s="10">
        <v>0</v>
      </c>
      <c r="E1872" s="10" t="s">
        <v>190</v>
      </c>
      <c r="F1872" s="10">
        <v>1</v>
      </c>
      <c r="G1872" s="10" t="s">
        <v>231</v>
      </c>
      <c r="H1872" s="10" t="s">
        <v>322</v>
      </c>
      <c r="I1872" s="10" t="s">
        <v>83</v>
      </c>
      <c r="J1872" s="10">
        <v>5</v>
      </c>
      <c r="K1872" s="12">
        <v>44958</v>
      </c>
      <c r="L1872" s="33">
        <v>0.59921296296296289</v>
      </c>
      <c r="M1872" s="10">
        <v>1</v>
      </c>
      <c r="N1872" s="10" t="s">
        <v>84</v>
      </c>
      <c r="O1872" s="10">
        <v>3.67</v>
      </c>
      <c r="P1872" s="10">
        <v>0.25900000000000001</v>
      </c>
      <c r="Q1872" s="10">
        <v>220</v>
      </c>
      <c r="R1872" s="10" t="s">
        <v>85</v>
      </c>
      <c r="S1872" s="34">
        <f t="shared" si="214"/>
        <v>235.99254977000001</v>
      </c>
      <c r="T1872" s="10" t="s">
        <v>1139</v>
      </c>
      <c r="U1872" s="34" t="str">
        <f t="shared" si="215"/>
        <v/>
      </c>
      <c r="V1872" s="31" t="str">
        <f>IF(H1872="CHK",VLOOKUP(I1872,QCCHK,3,),IF(H1872="GUP",VLOOKUP(E1872,QCGUP,2,),IF(AND(H1872="ATP",OR(I1872="TN",I1872="TDN",I1872="TNO2-3",I1872="NO2-3")),VLOOKUP(E1872,QCREC_N,2,),IF(AND(H1872="NIC",OR(I1872="TN",I1872="TDN",I1872="TNO2-3",I1872="NO2-3")),VLOOKUP(E1872,QCNIC_N,2,),IF(AND(H1872="UREA",OR(I1872="TN",I1872="TDN",I1872="TNO2-3",I1872="NO2-3")),VLOOKUP(E1872,QCUREA_N,2,),IF(H1872="PER",VLOOKUP(I1872,QCPER,MATCH(E1872,QCACTUAL!$J$25:$AA$25,0),),IF(H1872="SPK",VLOOKUP(I1872,QCSPK,3,),IF(AND(H1872="ATP",OR(I1872="TP",I1872="TDP")),VLOOKUP(E1872,QCATP_P,2,),""))))))))</f>
        <v/>
      </c>
      <c r="W1872" s="31" t="str">
        <f t="shared" si="216"/>
        <v>TRUE</v>
      </c>
      <c r="X1872" s="31" t="str">
        <f t="shared" si="213"/>
        <v/>
      </c>
      <c r="Y1872" s="10" t="s">
        <v>1126</v>
      </c>
      <c r="Z1872" s="10" t="s">
        <v>910</v>
      </c>
      <c r="AF1872" s="12">
        <v>44958</v>
      </c>
      <c r="AH1872" s="10">
        <f>-1.3807*3.67^2+80.818*3.67-42.013</f>
        <v>235.99254977000001</v>
      </c>
      <c r="AI1872" s="10">
        <f>0.6312*3.67^2+63.45*3.67-30.993</f>
        <v>210.37006968</v>
      </c>
      <c r="AK1872" s="10">
        <f>0.0239*3.67^2+66.574*3.67-31.913</f>
        <v>212.73548670999998</v>
      </c>
      <c r="AL1872" s="10" t="str">
        <f t="shared" si="211"/>
        <v>FALSE</v>
      </c>
      <c r="AM1872" s="10" t="str">
        <f t="shared" si="211"/>
        <v>y=-1.3807*3.67^2+80.818*3.67-42.013</v>
      </c>
      <c r="AN1872" s="10" t="str">
        <f t="shared" si="211"/>
        <v>y=0.6312*3.67^2+63.45*3.67-30.993</v>
      </c>
      <c r="AO1872" s="10" t="str">
        <f t="shared" si="212"/>
        <v>FALSE</v>
      </c>
      <c r="AP1872" s="10" t="str">
        <f t="shared" si="212"/>
        <v>y=0.0239*3.67^2+66.574*3.67-31.913</v>
      </c>
      <c r="AQ1872" s="10" t="b">
        <f>IF(AND(I1872="TP",S1872&lt;=150),VLOOKUP(AF1872,TPCalibEq150!$AZ$2:$BB$55,3,),IF(AND(I1872="TDP",S1872&lt;=150),VLOOKUP(AF1872,TPCalibEq150!$AZ$2:$BB$55,3,)))</f>
        <v>0</v>
      </c>
      <c r="AR1872" s="10" t="str">
        <f>IF(AND(I1872="TP",S1872&lt;=300),VLOOKUP(AF1872,TPCalibEq300!$AZ$2:$BB$55,3,),IF(AND(I1872="TDP",S1872&lt;=300),VLOOKUP(AF1872,TPCalibEq300!$AZ$2:$BB$55,3,)))</f>
        <v>y=-1.3807x2+80.818x-42.013</v>
      </c>
      <c r="AS1872" s="10" t="str">
        <f>IF(AND(I1872="TP",S1872&lt;=500),VLOOKUP(AF1872,TPCalibEq500!$AZ$2:$BB$56,3,),IF(AND(I1872="TDP",S1872&lt;=500),VLOOKUP(AF1872,TPCalibEq500!$AZ$2:$BB$56,3,)))</f>
        <v>y=0.6312x2+63.45x-30.993</v>
      </c>
      <c r="AT1872" s="10" t="b">
        <f>IF(AND(I1872="TN",S1872&lt;=2800),VLOOKUP(AF1872,TNCalibEq2500!$AZ$2:$BB$56,3,),IF(AND(I1872="TDN",S1872&lt;=2800),VLOOKUP(AF1872,TNCalibEq2500!$AZ$2:$BB$56,3,)))</f>
        <v>0</v>
      </c>
      <c r="AU1872" s="10" t="str">
        <f>IF(I1872="TP",VLOOKUP(AF1872,TPCalibEqFull!$AZ$2:$BB$56,3),IF(I1872="TDP",VLOOKUP(AF1872,TPCalibEqFull!$AZ$2:$BB$56,3),IF(I1872="TDN",VLOOKUP(AF1872,TNCalibEqFull!$AZ$1:$BB$56,3),IF(I1872="TN",VLOOKUP(AF1872,TNCalibEqFull!$AZ$1:$BB$56,3),FALSE))))</f>
        <v>y=0.0239x2+66.574x-31.913</v>
      </c>
      <c r="AV1872" s="10" t="str">
        <f t="shared" si="217"/>
        <v>0125 05:39:00-EFK-0-C-1-SW-UKN</v>
      </c>
    </row>
    <row r="1873" spans="1:48" s="10" customFormat="1" x14ac:dyDescent="0.55000000000000004">
      <c r="A1873" s="32">
        <v>44951</v>
      </c>
      <c r="B1873" s="33">
        <v>0.23750000000000002</v>
      </c>
      <c r="C1873" s="10" t="s">
        <v>333</v>
      </c>
      <c r="D1873" s="10">
        <v>0</v>
      </c>
      <c r="E1873" s="10" t="s">
        <v>190</v>
      </c>
      <c r="F1873" s="10">
        <v>1</v>
      </c>
      <c r="G1873" s="10" t="s">
        <v>231</v>
      </c>
      <c r="H1873" s="10" t="s">
        <v>322</v>
      </c>
      <c r="I1873" s="10" t="s">
        <v>83</v>
      </c>
      <c r="J1873" s="10">
        <v>6</v>
      </c>
      <c r="K1873" s="12">
        <v>44958</v>
      </c>
      <c r="L1873" s="33">
        <v>0.59990740740740744</v>
      </c>
      <c r="M1873" s="10">
        <v>1</v>
      </c>
      <c r="N1873" s="10" t="s">
        <v>84</v>
      </c>
      <c r="O1873" s="10">
        <v>3.52</v>
      </c>
      <c r="P1873" s="10">
        <v>0.247</v>
      </c>
      <c r="Q1873" s="10">
        <v>209</v>
      </c>
      <c r="R1873" s="10" t="s">
        <v>85</v>
      </c>
      <c r="S1873" s="34">
        <f t="shared" si="214"/>
        <v>225.35893472000001</v>
      </c>
      <c r="T1873" s="10" t="s">
        <v>1139</v>
      </c>
      <c r="U1873" s="34" t="str">
        <f t="shared" si="215"/>
        <v/>
      </c>
      <c r="V1873" s="31" t="str">
        <f>IF(H1873="CHK",VLOOKUP(I1873,QCCHK,3,),IF(H1873="GUP",VLOOKUP(E1873,QCGUP,2,),IF(AND(H1873="ATP",OR(I1873="TN",I1873="TDN",I1873="TNO2-3",I1873="NO2-3")),VLOOKUP(E1873,QCREC_N,2,),IF(AND(H1873="NIC",OR(I1873="TN",I1873="TDN",I1873="TNO2-3",I1873="NO2-3")),VLOOKUP(E1873,QCNIC_N,2,),IF(AND(H1873="UREA",OR(I1873="TN",I1873="TDN",I1873="TNO2-3",I1873="NO2-3")),VLOOKUP(E1873,QCUREA_N,2,),IF(H1873="PER",VLOOKUP(I1873,QCPER,MATCH(E1873,QCACTUAL!$J$25:$AA$25,0),),IF(H1873="SPK",VLOOKUP(I1873,QCSPK,3,),IF(AND(H1873="ATP",OR(I1873="TP",I1873="TDP")),VLOOKUP(E1873,QCATP_P,2,),""))))))))</f>
        <v/>
      </c>
      <c r="W1873" s="31" t="str">
        <f t="shared" si="216"/>
        <v>TRUE</v>
      </c>
      <c r="X1873" s="31" t="str">
        <f t="shared" si="213"/>
        <v/>
      </c>
      <c r="Y1873" s="10" t="s">
        <v>1126</v>
      </c>
      <c r="Z1873" s="10" t="s">
        <v>910</v>
      </c>
      <c r="AF1873" s="12">
        <v>44958</v>
      </c>
      <c r="AH1873" s="10">
        <f>-1.3807*3.52^2+80.818*3.52-42.013</f>
        <v>225.35893472000001</v>
      </c>
      <c r="AI1873" s="10">
        <f>0.6312*3.52^2+63.45*3.52-30.993</f>
        <v>200.17182048000004</v>
      </c>
      <c r="AK1873" s="10">
        <f>0.0239*3.52^2+66.574*3.52-31.913</f>
        <v>202.72361055999997</v>
      </c>
      <c r="AL1873" s="10" t="str">
        <f t="shared" si="211"/>
        <v>FALSE</v>
      </c>
      <c r="AM1873" s="10" t="str">
        <f t="shared" si="211"/>
        <v>y=-1.3807*3.52^2+80.818*3.52-42.013</v>
      </c>
      <c r="AN1873" s="10" t="str">
        <f t="shared" si="211"/>
        <v>y=0.6312*3.52^2+63.45*3.52-30.993</v>
      </c>
      <c r="AO1873" s="10" t="str">
        <f t="shared" si="212"/>
        <v>FALSE</v>
      </c>
      <c r="AP1873" s="10" t="str">
        <f t="shared" si="212"/>
        <v>y=0.0239*3.52^2+66.574*3.52-31.913</v>
      </c>
      <c r="AQ1873" s="10" t="b">
        <f>IF(AND(I1873="TP",S1873&lt;=150),VLOOKUP(AF1873,TPCalibEq150!$AZ$2:$BB$55,3,),IF(AND(I1873="TDP",S1873&lt;=150),VLOOKUP(AF1873,TPCalibEq150!$AZ$2:$BB$55,3,)))</f>
        <v>0</v>
      </c>
      <c r="AR1873" s="10" t="str">
        <f>IF(AND(I1873="TP",S1873&lt;=300),VLOOKUP(AF1873,TPCalibEq300!$AZ$2:$BB$55,3,),IF(AND(I1873="TDP",S1873&lt;=300),VLOOKUP(AF1873,TPCalibEq300!$AZ$2:$BB$55,3,)))</f>
        <v>y=-1.3807x2+80.818x-42.013</v>
      </c>
      <c r="AS1873" s="10" t="str">
        <f>IF(AND(I1873="TP",S1873&lt;=500),VLOOKUP(AF1873,TPCalibEq500!$AZ$2:$BB$56,3,),IF(AND(I1873="TDP",S1873&lt;=500),VLOOKUP(AF1873,TPCalibEq500!$AZ$2:$BB$56,3,)))</f>
        <v>y=0.6312x2+63.45x-30.993</v>
      </c>
      <c r="AT1873" s="10" t="b">
        <f>IF(AND(I1873="TN",S1873&lt;=2800),VLOOKUP(AF1873,TNCalibEq2500!$AZ$2:$BB$56,3,),IF(AND(I1873="TDN",S1873&lt;=2800),VLOOKUP(AF1873,TNCalibEq2500!$AZ$2:$BB$56,3,)))</f>
        <v>0</v>
      </c>
      <c r="AU1873" s="10" t="str">
        <f>IF(I1873="TP",VLOOKUP(AF1873,TPCalibEqFull!$AZ$2:$BB$56,3),IF(I1873="TDP",VLOOKUP(AF1873,TPCalibEqFull!$AZ$2:$BB$56,3),IF(I1873="TDN",VLOOKUP(AF1873,TNCalibEqFull!$AZ$1:$BB$56,3),IF(I1873="TN",VLOOKUP(AF1873,TNCalibEqFull!$AZ$1:$BB$56,3),FALSE))))</f>
        <v>y=0.0239x2+66.574x-31.913</v>
      </c>
      <c r="AV1873" s="10" t="str">
        <f t="shared" si="217"/>
        <v>0125 05:42:00-HST-0-C-1-SW-UKN</v>
      </c>
    </row>
    <row r="1874" spans="1:48" s="10" customFormat="1" x14ac:dyDescent="0.55000000000000004">
      <c r="A1874" s="32">
        <v>44952</v>
      </c>
      <c r="B1874" s="33">
        <v>0.39930555555555558</v>
      </c>
      <c r="C1874" s="10" t="s">
        <v>279</v>
      </c>
      <c r="D1874" s="10">
        <v>0</v>
      </c>
      <c r="E1874" s="10" t="s">
        <v>190</v>
      </c>
      <c r="F1874" s="10">
        <v>1</v>
      </c>
      <c r="G1874" s="10" t="s">
        <v>231</v>
      </c>
      <c r="H1874" s="10" t="s">
        <v>322</v>
      </c>
      <c r="I1874" s="10" t="s">
        <v>83</v>
      </c>
      <c r="J1874" s="10">
        <v>7</v>
      </c>
      <c r="K1874" s="12">
        <v>44958</v>
      </c>
      <c r="L1874" s="33">
        <v>0.60060185185185189</v>
      </c>
      <c r="M1874" s="10">
        <v>1</v>
      </c>
      <c r="N1874" s="10" t="s">
        <v>84</v>
      </c>
      <c r="O1874" s="10">
        <v>3.23</v>
      </c>
      <c r="P1874" s="10">
        <v>0.22600000000000001</v>
      </c>
      <c r="Q1874" s="10">
        <v>190</v>
      </c>
      <c r="R1874" s="10" t="s">
        <v>85</v>
      </c>
      <c r="S1874" s="34">
        <f t="shared" si="214"/>
        <v>204.62443497000001</v>
      </c>
      <c r="T1874" s="10" t="s">
        <v>1139</v>
      </c>
      <c r="U1874" s="34" t="str">
        <f t="shared" si="215"/>
        <v/>
      </c>
      <c r="V1874" s="31" t="str">
        <f>IF(H1874="CHK",VLOOKUP(I1874,QCCHK,3,),IF(H1874="GUP",VLOOKUP(E1874,QCGUP,2,),IF(AND(H1874="ATP",OR(I1874="TN",I1874="TDN",I1874="TNO2-3",I1874="NO2-3")),VLOOKUP(E1874,QCREC_N,2,),IF(AND(H1874="NIC",OR(I1874="TN",I1874="TDN",I1874="TNO2-3",I1874="NO2-3")),VLOOKUP(E1874,QCNIC_N,2,),IF(AND(H1874="UREA",OR(I1874="TN",I1874="TDN",I1874="TNO2-3",I1874="NO2-3")),VLOOKUP(E1874,QCUREA_N,2,),IF(H1874="PER",VLOOKUP(I1874,QCPER,MATCH(E1874,QCACTUAL!$J$25:$AA$25,0),),IF(H1874="SPK",VLOOKUP(I1874,QCSPK,3,),IF(AND(H1874="ATP",OR(I1874="TP",I1874="TDP")),VLOOKUP(E1874,QCATP_P,2,),""))))))))</f>
        <v/>
      </c>
      <c r="W1874" s="31" t="str">
        <f t="shared" si="216"/>
        <v>TRUE</v>
      </c>
      <c r="X1874" s="31" t="str">
        <f t="shared" si="213"/>
        <v/>
      </c>
      <c r="Y1874" s="10" t="s">
        <v>1126</v>
      </c>
      <c r="Z1874" s="10" t="s">
        <v>910</v>
      </c>
      <c r="AF1874" s="12">
        <v>44958</v>
      </c>
      <c r="AH1874" s="10">
        <f>-1.3807*3.23^2+80.818*3.23-42.013</f>
        <v>204.62443497000001</v>
      </c>
      <c r="AI1874" s="10">
        <f>0.6312*3.23^2+63.45*3.23-30.993</f>
        <v>180.53574648</v>
      </c>
      <c r="AK1874" s="10">
        <f>0.0239*3.23^2+66.574*3.23-31.913</f>
        <v>183.37036630999998</v>
      </c>
      <c r="AL1874" s="10" t="str">
        <f t="shared" si="211"/>
        <v>FALSE</v>
      </c>
      <c r="AM1874" s="10" t="str">
        <f t="shared" si="211"/>
        <v>y=-1.3807*3.23^2+80.818*3.23-42.013</v>
      </c>
      <c r="AN1874" s="10" t="str">
        <f t="shared" si="211"/>
        <v>y=0.6312*3.23^2+63.45*3.23-30.993</v>
      </c>
      <c r="AO1874" s="10" t="str">
        <f t="shared" si="212"/>
        <v>FALSE</v>
      </c>
      <c r="AP1874" s="10" t="str">
        <f t="shared" si="212"/>
        <v>y=0.0239*3.23^2+66.574*3.23-31.913</v>
      </c>
      <c r="AQ1874" s="10" t="b">
        <f>IF(AND(I1874="TP",S1874&lt;=150),VLOOKUP(AF1874,TPCalibEq150!$AZ$2:$BB$55,3,),IF(AND(I1874="TDP",S1874&lt;=150),VLOOKUP(AF1874,TPCalibEq150!$AZ$2:$BB$55,3,)))</f>
        <v>0</v>
      </c>
      <c r="AR1874" s="10" t="str">
        <f>IF(AND(I1874="TP",S1874&lt;=300),VLOOKUP(AF1874,TPCalibEq300!$AZ$2:$BB$55,3,),IF(AND(I1874="TDP",S1874&lt;=300),VLOOKUP(AF1874,TPCalibEq300!$AZ$2:$BB$55,3,)))</f>
        <v>y=-1.3807x2+80.818x-42.013</v>
      </c>
      <c r="AS1874" s="10" t="str">
        <f>IF(AND(I1874="TP",S1874&lt;=500),VLOOKUP(AF1874,TPCalibEq500!$AZ$2:$BB$56,3,),IF(AND(I1874="TDP",S1874&lt;=500),VLOOKUP(AF1874,TPCalibEq500!$AZ$2:$BB$56,3,)))</f>
        <v>y=0.6312x2+63.45x-30.993</v>
      </c>
      <c r="AT1874" s="10" t="b">
        <f>IF(AND(I1874="TN",S1874&lt;=2800),VLOOKUP(AF1874,TNCalibEq2500!$AZ$2:$BB$56,3,),IF(AND(I1874="TDN",S1874&lt;=2800),VLOOKUP(AF1874,TNCalibEq2500!$AZ$2:$BB$56,3,)))</f>
        <v>0</v>
      </c>
      <c r="AU1874" s="10" t="str">
        <f>IF(I1874="TP",VLOOKUP(AF1874,TPCalibEqFull!$AZ$2:$BB$56,3),IF(I1874="TDP",VLOOKUP(AF1874,TPCalibEqFull!$AZ$2:$BB$56,3),IF(I1874="TDN",VLOOKUP(AF1874,TNCalibEqFull!$AZ$1:$BB$56,3),IF(I1874="TN",VLOOKUP(AF1874,TNCalibEqFull!$AZ$1:$BB$56,3),FALSE))))</f>
        <v>y=0.0239x2+66.574x-31.913</v>
      </c>
      <c r="AV1874" s="10" t="str">
        <f t="shared" si="217"/>
        <v>0126 09:35:00-EFK-0-C-1-SW-UKN</v>
      </c>
    </row>
    <row r="1875" spans="1:48" s="10" customFormat="1" x14ac:dyDescent="0.55000000000000004">
      <c r="A1875" s="32">
        <v>44952</v>
      </c>
      <c r="B1875" s="33">
        <v>0.40416666666666662</v>
      </c>
      <c r="C1875" s="10" t="s">
        <v>333</v>
      </c>
      <c r="D1875" s="10">
        <v>0</v>
      </c>
      <c r="E1875" s="10" t="s">
        <v>190</v>
      </c>
      <c r="F1875" s="10">
        <v>1</v>
      </c>
      <c r="G1875" s="10" t="s">
        <v>231</v>
      </c>
      <c r="H1875" s="10" t="s">
        <v>322</v>
      </c>
      <c r="I1875" s="10" t="s">
        <v>83</v>
      </c>
      <c r="J1875" s="10">
        <v>8</v>
      </c>
      <c r="K1875" s="12">
        <v>44958</v>
      </c>
      <c r="L1875" s="33">
        <v>0.60130787037037037</v>
      </c>
      <c r="M1875" s="10">
        <v>1</v>
      </c>
      <c r="N1875" s="10" t="s">
        <v>84</v>
      </c>
      <c r="O1875" s="10">
        <v>2.57</v>
      </c>
      <c r="P1875" s="10">
        <v>0.17799999999999999</v>
      </c>
      <c r="Q1875" s="10">
        <v>146</v>
      </c>
      <c r="R1875" s="10" t="s">
        <v>85</v>
      </c>
      <c r="S1875" s="34">
        <f t="shared" si="214"/>
        <v>156.56987457</v>
      </c>
      <c r="T1875" s="10" t="s">
        <v>1139</v>
      </c>
      <c r="U1875" s="34" t="str">
        <f t="shared" si="215"/>
        <v/>
      </c>
      <c r="V1875" s="31" t="str">
        <f>IF(H1875="CHK",VLOOKUP(I1875,QCCHK,3,),IF(H1875="GUP",VLOOKUP(E1875,QCGUP,2,),IF(AND(H1875="ATP",OR(I1875="TN",I1875="TDN",I1875="TNO2-3",I1875="NO2-3")),VLOOKUP(E1875,QCREC_N,2,),IF(AND(H1875="NIC",OR(I1875="TN",I1875="TDN",I1875="TNO2-3",I1875="NO2-3")),VLOOKUP(E1875,QCNIC_N,2,),IF(AND(H1875="UREA",OR(I1875="TN",I1875="TDN",I1875="TNO2-3",I1875="NO2-3")),VLOOKUP(E1875,QCUREA_N,2,),IF(H1875="PER",VLOOKUP(I1875,QCPER,MATCH(E1875,QCACTUAL!$J$25:$AA$25,0),),IF(H1875="SPK",VLOOKUP(I1875,QCSPK,3,),IF(AND(H1875="ATP",OR(I1875="TP",I1875="TDP")),VLOOKUP(E1875,QCATP_P,2,),""))))))))</f>
        <v/>
      </c>
      <c r="W1875" s="31" t="str">
        <f t="shared" si="216"/>
        <v>TRUE</v>
      </c>
      <c r="X1875" s="31" t="str">
        <f t="shared" si="213"/>
        <v/>
      </c>
      <c r="Y1875" s="10" t="s">
        <v>1126</v>
      </c>
      <c r="Z1875" s="10" t="s">
        <v>910</v>
      </c>
      <c r="AF1875" s="12">
        <v>44958</v>
      </c>
      <c r="AG1875" s="10">
        <f>-20.9*2.57^2+141.62*2.57-73.036</f>
        <v>152.88499000000002</v>
      </c>
      <c r="AH1875" s="10">
        <f>-1.3807*2.57^2+80.818*2.57-42.013</f>
        <v>156.56987457</v>
      </c>
      <c r="AI1875" s="10">
        <f>0.6312*2.57^2+63.45*2.57-30.993</f>
        <v>136.24251287999999</v>
      </c>
      <c r="AK1875" s="10">
        <f>0.0239*2.57^2+66.574*2.57-31.913</f>
        <v>139.34003710999997</v>
      </c>
      <c r="AL1875" s="10" t="str">
        <f t="shared" si="211"/>
        <v>FALSE</v>
      </c>
      <c r="AM1875" s="10" t="str">
        <f t="shared" si="211"/>
        <v>y=-1.3807*2.57^2+80.818*2.57-42.013</v>
      </c>
      <c r="AN1875" s="10" t="str">
        <f t="shared" si="211"/>
        <v>y=0.6312*2.57^2+63.45*2.57-30.993</v>
      </c>
      <c r="AO1875" s="10" t="str">
        <f t="shared" si="212"/>
        <v>FALSE</v>
      </c>
      <c r="AP1875" s="10" t="str">
        <f t="shared" si="212"/>
        <v>y=0.0239*2.57^2+66.574*2.57-31.913</v>
      </c>
      <c r="AQ1875" s="10" t="b">
        <f>IF(AND(I1875="TP",S1875&lt;=150),VLOOKUP(AF1875,TPCalibEq150!$AZ$2:$BB$55,3,),IF(AND(I1875="TDP",S1875&lt;=150),VLOOKUP(AF1875,TPCalibEq150!$AZ$2:$BB$55,3,)))</f>
        <v>0</v>
      </c>
      <c r="AR1875" s="10" t="str">
        <f>IF(AND(I1875="TP",S1875&lt;=300),VLOOKUP(AF1875,TPCalibEq300!$AZ$2:$BB$55,3,),IF(AND(I1875="TDP",S1875&lt;=300),VLOOKUP(AF1875,TPCalibEq300!$AZ$2:$BB$55,3,)))</f>
        <v>y=-1.3807x2+80.818x-42.013</v>
      </c>
      <c r="AS1875" s="10" t="str">
        <f>IF(AND(I1875="TP",S1875&lt;=500),VLOOKUP(AF1875,TPCalibEq500!$AZ$2:$BB$56,3,),IF(AND(I1875="TDP",S1875&lt;=500),VLOOKUP(AF1875,TPCalibEq500!$AZ$2:$BB$56,3,)))</f>
        <v>y=0.6312x2+63.45x-30.993</v>
      </c>
      <c r="AT1875" s="10" t="b">
        <f>IF(AND(I1875="TN",S1875&lt;=2800),VLOOKUP(AF1875,TNCalibEq2500!$AZ$2:$BB$56,3,),IF(AND(I1875="TDN",S1875&lt;=2800),VLOOKUP(AF1875,TNCalibEq2500!$AZ$2:$BB$56,3,)))</f>
        <v>0</v>
      </c>
      <c r="AU1875" s="10" t="str">
        <f>IF(I1875="TP",VLOOKUP(AF1875,TPCalibEqFull!$AZ$2:$BB$56,3),IF(I1875="TDP",VLOOKUP(AF1875,TPCalibEqFull!$AZ$2:$BB$56,3),IF(I1875="TDN",VLOOKUP(AF1875,TNCalibEqFull!$AZ$1:$BB$56,3),IF(I1875="TN",VLOOKUP(AF1875,TNCalibEqFull!$AZ$1:$BB$56,3),FALSE))))</f>
        <v>y=0.0239x2+66.574x-31.913</v>
      </c>
      <c r="AV1875" s="10" t="str">
        <f t="shared" si="217"/>
        <v>0126 09:42:00-HST-0-C-1-SW-UKN</v>
      </c>
    </row>
    <row r="1876" spans="1:48" s="10" customFormat="1" x14ac:dyDescent="0.55000000000000004">
      <c r="A1876" s="32">
        <v>44953</v>
      </c>
      <c r="B1876" s="33">
        <v>0.53333333333333333</v>
      </c>
      <c r="C1876" s="10" t="s">
        <v>279</v>
      </c>
      <c r="D1876" s="10">
        <v>0</v>
      </c>
      <c r="E1876" s="10" t="s">
        <v>190</v>
      </c>
      <c r="F1876" s="10">
        <v>1</v>
      </c>
      <c r="G1876" s="10" t="s">
        <v>231</v>
      </c>
      <c r="H1876" s="10" t="s">
        <v>322</v>
      </c>
      <c r="I1876" s="10" t="s">
        <v>83</v>
      </c>
      <c r="J1876" s="10">
        <v>9</v>
      </c>
      <c r="K1876" s="12">
        <v>44958</v>
      </c>
      <c r="L1876" s="33">
        <v>0.60199074074074077</v>
      </c>
      <c r="M1876" s="10">
        <v>1</v>
      </c>
      <c r="N1876" s="10" t="s">
        <v>84</v>
      </c>
      <c r="O1876" s="10">
        <v>2.56</v>
      </c>
      <c r="P1876" s="10">
        <v>0.17899999999999999</v>
      </c>
      <c r="Q1876" s="10">
        <v>145</v>
      </c>
      <c r="R1876" s="10" t="s">
        <v>85</v>
      </c>
      <c r="S1876" s="34">
        <f t="shared" si="214"/>
        <v>155.83252447999999</v>
      </c>
      <c r="T1876" s="10" t="s">
        <v>1139</v>
      </c>
      <c r="U1876" s="34" t="str">
        <f t="shared" si="215"/>
        <v/>
      </c>
      <c r="V1876" s="31" t="str">
        <f>IF(H1876="CHK",VLOOKUP(I1876,QCCHK,3,),IF(H1876="GUP",VLOOKUP(E1876,QCGUP,2,),IF(AND(H1876="ATP",OR(I1876="TN",I1876="TDN",I1876="TNO2-3",I1876="NO2-3")),VLOOKUP(E1876,QCREC_N,2,),IF(AND(H1876="NIC",OR(I1876="TN",I1876="TDN",I1876="TNO2-3",I1876="NO2-3")),VLOOKUP(E1876,QCNIC_N,2,),IF(AND(H1876="UREA",OR(I1876="TN",I1876="TDN",I1876="TNO2-3",I1876="NO2-3")),VLOOKUP(E1876,QCUREA_N,2,),IF(H1876="PER",VLOOKUP(I1876,QCPER,MATCH(E1876,QCACTUAL!$J$25:$AA$25,0),),IF(H1876="SPK",VLOOKUP(I1876,QCSPK,3,),IF(AND(H1876="ATP",OR(I1876="TP",I1876="TDP")),VLOOKUP(E1876,QCATP_P,2,),""))))))))</f>
        <v/>
      </c>
      <c r="W1876" s="31" t="str">
        <f t="shared" si="216"/>
        <v>TRUE</v>
      </c>
      <c r="X1876" s="31" t="str">
        <f t="shared" si="213"/>
        <v/>
      </c>
      <c r="Y1876" s="10" t="s">
        <v>1126</v>
      </c>
      <c r="Z1876" s="10" t="s">
        <v>910</v>
      </c>
      <c r="AF1876" s="12">
        <v>44958</v>
      </c>
      <c r="AG1876" s="10">
        <f>-20.9*2.56^2+141.62*2.56-73.036</f>
        <v>152.54096000000004</v>
      </c>
      <c r="AH1876" s="10">
        <f>-1.3807*2.56^2+80.818*2.56-42.013</f>
        <v>155.83252447999999</v>
      </c>
      <c r="AI1876" s="10">
        <f>0.6312*2.56^2+63.45*2.56-30.993</f>
        <v>135.57563232000001</v>
      </c>
      <c r="AK1876" s="10">
        <f>0.0239*2.56^2+66.574*2.56-31.913</f>
        <v>138.67307104</v>
      </c>
      <c r="AL1876" s="10" t="str">
        <f t="shared" si="211"/>
        <v>FALSE</v>
      </c>
      <c r="AM1876" s="10" t="str">
        <f t="shared" si="211"/>
        <v>y=-1.3807*2.56^2+80.818*2.56-42.013</v>
      </c>
      <c r="AN1876" s="10" t="str">
        <f t="shared" si="211"/>
        <v>y=0.6312*2.56^2+63.45*2.56-30.993</v>
      </c>
      <c r="AO1876" s="10" t="str">
        <f t="shared" si="212"/>
        <v>FALSE</v>
      </c>
      <c r="AP1876" s="10" t="str">
        <f t="shared" si="212"/>
        <v>y=0.0239*2.56^2+66.574*2.56-31.913</v>
      </c>
      <c r="AQ1876" s="10" t="b">
        <f>IF(AND(I1876="TP",S1876&lt;=150),VLOOKUP(AF1876,TPCalibEq150!$AZ$2:$BB$55,3,),IF(AND(I1876="TDP",S1876&lt;=150),VLOOKUP(AF1876,TPCalibEq150!$AZ$2:$BB$55,3,)))</f>
        <v>0</v>
      </c>
      <c r="AR1876" s="10" t="str">
        <f>IF(AND(I1876="TP",S1876&lt;=300),VLOOKUP(AF1876,TPCalibEq300!$AZ$2:$BB$55,3,),IF(AND(I1876="TDP",S1876&lt;=300),VLOOKUP(AF1876,TPCalibEq300!$AZ$2:$BB$55,3,)))</f>
        <v>y=-1.3807x2+80.818x-42.013</v>
      </c>
      <c r="AS1876" s="10" t="str">
        <f>IF(AND(I1876="TP",S1876&lt;=500),VLOOKUP(AF1876,TPCalibEq500!$AZ$2:$BB$56,3,),IF(AND(I1876="TDP",S1876&lt;=500),VLOOKUP(AF1876,TPCalibEq500!$AZ$2:$BB$56,3,)))</f>
        <v>y=0.6312x2+63.45x-30.993</v>
      </c>
      <c r="AT1876" s="10" t="b">
        <f>IF(AND(I1876="TN",S1876&lt;=2800),VLOOKUP(AF1876,TNCalibEq2500!$AZ$2:$BB$56,3,),IF(AND(I1876="TDN",S1876&lt;=2800),VLOOKUP(AF1876,TNCalibEq2500!$AZ$2:$BB$56,3,)))</f>
        <v>0</v>
      </c>
      <c r="AU1876" s="10" t="str">
        <f>IF(I1876="TP",VLOOKUP(AF1876,TPCalibEqFull!$AZ$2:$BB$56,3),IF(I1876="TDP",VLOOKUP(AF1876,TPCalibEqFull!$AZ$2:$BB$56,3),IF(I1876="TDN",VLOOKUP(AF1876,TNCalibEqFull!$AZ$1:$BB$56,3),IF(I1876="TN",VLOOKUP(AF1876,TNCalibEqFull!$AZ$1:$BB$56,3),FALSE))))</f>
        <v>y=0.0239x2+66.574x-31.913</v>
      </c>
      <c r="AV1876" s="10" t="str">
        <f t="shared" si="217"/>
        <v>0127 12:48:00-EFK-0-C-1-SW-UKN</v>
      </c>
    </row>
    <row r="1877" spans="1:48" s="10" customFormat="1" x14ac:dyDescent="0.55000000000000004">
      <c r="A1877" s="32">
        <v>44953</v>
      </c>
      <c r="B1877" s="33">
        <v>0.53611111111111109</v>
      </c>
      <c r="C1877" s="10" t="s">
        <v>333</v>
      </c>
      <c r="D1877" s="10">
        <v>0</v>
      </c>
      <c r="E1877" s="10" t="s">
        <v>190</v>
      </c>
      <c r="F1877" s="10">
        <v>1</v>
      </c>
      <c r="G1877" s="10" t="s">
        <v>231</v>
      </c>
      <c r="H1877" s="10" t="s">
        <v>322</v>
      </c>
      <c r="I1877" s="10" t="s">
        <v>83</v>
      </c>
      <c r="J1877" s="10">
        <v>10</v>
      </c>
      <c r="K1877" s="12">
        <v>44958</v>
      </c>
      <c r="L1877" s="33">
        <v>0.60267361111111117</v>
      </c>
      <c r="M1877" s="10">
        <v>1</v>
      </c>
      <c r="N1877" s="10" t="s">
        <v>84</v>
      </c>
      <c r="O1877" s="10">
        <v>2.71</v>
      </c>
      <c r="P1877" s="10">
        <v>0.189</v>
      </c>
      <c r="Q1877" s="10">
        <v>155</v>
      </c>
      <c r="R1877" s="10" t="s">
        <v>85</v>
      </c>
      <c r="S1877" s="34">
        <f t="shared" si="214"/>
        <v>166.86378112999998</v>
      </c>
      <c r="T1877" s="10" t="s">
        <v>1139</v>
      </c>
      <c r="U1877" s="34" t="str">
        <f t="shared" si="215"/>
        <v/>
      </c>
      <c r="V1877" s="31" t="str">
        <f>IF(H1877="CHK",VLOOKUP(I1877,QCCHK,3,),IF(H1877="GUP",VLOOKUP(E1877,QCGUP,2,),IF(AND(H1877="ATP",OR(I1877="TN",I1877="TDN",I1877="TNO2-3",I1877="NO2-3")),VLOOKUP(E1877,QCREC_N,2,),IF(AND(H1877="NIC",OR(I1877="TN",I1877="TDN",I1877="TNO2-3",I1877="NO2-3")),VLOOKUP(E1877,QCNIC_N,2,),IF(AND(H1877="UREA",OR(I1877="TN",I1877="TDN",I1877="TNO2-3",I1877="NO2-3")),VLOOKUP(E1877,QCUREA_N,2,),IF(H1877="PER",VLOOKUP(I1877,QCPER,MATCH(E1877,QCACTUAL!$J$25:$AA$25,0),),IF(H1877="SPK",VLOOKUP(I1877,QCSPK,3,),IF(AND(H1877="ATP",OR(I1877="TP",I1877="TDP")),VLOOKUP(E1877,QCATP_P,2,),""))))))))</f>
        <v/>
      </c>
      <c r="W1877" s="31" t="str">
        <f t="shared" si="216"/>
        <v>TRUE</v>
      </c>
      <c r="X1877" s="31" t="str">
        <f t="shared" si="213"/>
        <v/>
      </c>
      <c r="Y1877" s="10" t="s">
        <v>1126</v>
      </c>
      <c r="Z1877" s="10" t="s">
        <v>910</v>
      </c>
      <c r="AF1877" s="12">
        <v>44958</v>
      </c>
      <c r="AH1877" s="10">
        <f>-1.3807*2.71^2+80.818*2.71-42.013</f>
        <v>166.86378112999998</v>
      </c>
      <c r="AI1877" s="10">
        <f>0.6312*2.71^2+63.45*2.71-30.993</f>
        <v>145.59209592000002</v>
      </c>
      <c r="AK1877" s="10">
        <f>0.0239*2.71^2+66.574*2.71-31.913</f>
        <v>148.67806398999997</v>
      </c>
      <c r="AL1877" s="10" t="str">
        <f t="shared" si="211"/>
        <v>FALSE</v>
      </c>
      <c r="AM1877" s="10" t="str">
        <f t="shared" si="211"/>
        <v>y=-1.3807*2.71^2+80.818*2.71-42.013</v>
      </c>
      <c r="AN1877" s="10" t="str">
        <f t="shared" si="211"/>
        <v>y=0.6312*2.71^2+63.45*2.71-30.993</v>
      </c>
      <c r="AO1877" s="10" t="str">
        <f t="shared" si="212"/>
        <v>FALSE</v>
      </c>
      <c r="AP1877" s="10" t="str">
        <f t="shared" si="212"/>
        <v>y=0.0239*2.71^2+66.574*2.71-31.913</v>
      </c>
      <c r="AQ1877" s="10" t="b">
        <f>IF(AND(I1877="TP",S1877&lt;=150),VLOOKUP(AF1877,TPCalibEq150!$AZ$2:$BB$55,3,),IF(AND(I1877="TDP",S1877&lt;=150),VLOOKUP(AF1877,TPCalibEq150!$AZ$2:$BB$55,3,)))</f>
        <v>0</v>
      </c>
      <c r="AR1877" s="10" t="str">
        <f>IF(AND(I1877="TP",S1877&lt;=300),VLOOKUP(AF1877,TPCalibEq300!$AZ$2:$BB$55,3,),IF(AND(I1877="TDP",S1877&lt;=300),VLOOKUP(AF1877,TPCalibEq300!$AZ$2:$BB$55,3,)))</f>
        <v>y=-1.3807x2+80.818x-42.013</v>
      </c>
      <c r="AS1877" s="10" t="str">
        <f>IF(AND(I1877="TP",S1877&lt;=500),VLOOKUP(AF1877,TPCalibEq500!$AZ$2:$BB$56,3,),IF(AND(I1877="TDP",S1877&lt;=500),VLOOKUP(AF1877,TPCalibEq500!$AZ$2:$BB$56,3,)))</f>
        <v>y=0.6312x2+63.45x-30.993</v>
      </c>
      <c r="AT1877" s="10" t="b">
        <f>IF(AND(I1877="TN",S1877&lt;=2800),VLOOKUP(AF1877,TNCalibEq2500!$AZ$2:$BB$56,3,),IF(AND(I1877="TDN",S1877&lt;=2800),VLOOKUP(AF1877,TNCalibEq2500!$AZ$2:$BB$56,3,)))</f>
        <v>0</v>
      </c>
      <c r="AU1877" s="10" t="str">
        <f>IF(I1877="TP",VLOOKUP(AF1877,TPCalibEqFull!$AZ$2:$BB$56,3),IF(I1877="TDP",VLOOKUP(AF1877,TPCalibEqFull!$AZ$2:$BB$56,3),IF(I1877="TDN",VLOOKUP(AF1877,TNCalibEqFull!$AZ$1:$BB$56,3),IF(I1877="TN",VLOOKUP(AF1877,TNCalibEqFull!$AZ$1:$BB$56,3),FALSE))))</f>
        <v>y=0.0239x2+66.574x-31.913</v>
      </c>
      <c r="AV1877" s="10" t="str">
        <f t="shared" si="217"/>
        <v>0127 12:52:00-HST-0-C-1-SW-UKN</v>
      </c>
    </row>
    <row r="1878" spans="1:48" s="10" customFormat="1" x14ac:dyDescent="0.55000000000000004">
      <c r="A1878" s="32">
        <v>44953</v>
      </c>
      <c r="B1878" s="33">
        <v>0.53611111111111109</v>
      </c>
      <c r="C1878" s="10" t="s">
        <v>333</v>
      </c>
      <c r="D1878" s="10">
        <v>0</v>
      </c>
      <c r="E1878" s="10" t="s">
        <v>190</v>
      </c>
      <c r="F1878" s="10">
        <v>1</v>
      </c>
      <c r="G1878" s="10" t="s">
        <v>231</v>
      </c>
      <c r="H1878" s="10" t="s">
        <v>233</v>
      </c>
      <c r="I1878" s="10" t="s">
        <v>83</v>
      </c>
      <c r="J1878" s="10">
        <v>10</v>
      </c>
      <c r="K1878" s="12">
        <v>44958</v>
      </c>
      <c r="L1878" s="33">
        <v>0.60335648148148147</v>
      </c>
      <c r="M1878" s="10">
        <v>1</v>
      </c>
      <c r="N1878" s="10" t="s">
        <v>84</v>
      </c>
      <c r="O1878" s="10">
        <v>2.71</v>
      </c>
      <c r="P1878" s="10">
        <v>0.189</v>
      </c>
      <c r="Q1878" s="10">
        <v>155</v>
      </c>
      <c r="R1878" s="10" t="s">
        <v>85</v>
      </c>
      <c r="S1878" s="34">
        <f t="shared" si="214"/>
        <v>166.86378112999998</v>
      </c>
      <c r="T1878" s="10" t="s">
        <v>1139</v>
      </c>
      <c r="U1878" s="34">
        <f t="shared" si="215"/>
        <v>0</v>
      </c>
      <c r="V1878" s="31" t="str">
        <f>IF(H1878="CHK",VLOOKUP(I1878,QCCHK,3,),IF(H1878="GUP",VLOOKUP(E1878,QCGUP,2,),IF(AND(H1878="ATP",OR(I1878="TN",I1878="TDN",I1878="TNO2-3",I1878="NO2-3")),VLOOKUP(E1878,QCREC_N,2,),IF(AND(H1878="NIC",OR(I1878="TN",I1878="TDN",I1878="TNO2-3",I1878="NO2-3")),VLOOKUP(E1878,QCNIC_N,2,),IF(AND(H1878="UREA",OR(I1878="TN",I1878="TDN",I1878="TNO2-3",I1878="NO2-3")),VLOOKUP(E1878,QCUREA_N,2,),IF(H1878="PER",VLOOKUP(I1878,QCPER,MATCH(E1878,QCACTUAL!$J$25:$AA$25,0),),IF(H1878="SPK",VLOOKUP(I1878,QCSPK,3,),IF(AND(H1878="ATP",OR(I1878="TP",I1878="TDP")),VLOOKUP(E1878,QCATP_P,2,),""))))))))</f>
        <v/>
      </c>
      <c r="W1878" s="31" t="str">
        <f t="shared" si="216"/>
        <v>TRUE</v>
      </c>
      <c r="X1878" s="31" t="str">
        <f t="shared" si="213"/>
        <v>((ABS(rep1-rep2))/((rep1+rep2)/2)*100</v>
      </c>
      <c r="Y1878" s="10" t="s">
        <v>1126</v>
      </c>
      <c r="Z1878" s="10" t="s">
        <v>910</v>
      </c>
      <c r="AF1878" s="12">
        <v>44958</v>
      </c>
      <c r="AH1878" s="10">
        <f>-1.3807*2.71^2+80.818*2.71-42.013</f>
        <v>166.86378112999998</v>
      </c>
      <c r="AI1878" s="10">
        <f>0.6312*2.71^2+63.45*2.71-30.993</f>
        <v>145.59209592000002</v>
      </c>
      <c r="AK1878" s="10">
        <f>0.0239*2.71^2+66.574*2.71-31.913</f>
        <v>148.67806398999997</v>
      </c>
      <c r="AL1878" s="10" t="str">
        <f t="shared" si="211"/>
        <v>FALSE</v>
      </c>
      <c r="AM1878" s="10" t="str">
        <f t="shared" si="211"/>
        <v>y=-1.3807*2.71^2+80.818*2.71-42.013</v>
      </c>
      <c r="AN1878" s="10" t="str">
        <f t="shared" si="211"/>
        <v>y=0.6312*2.71^2+63.45*2.71-30.993</v>
      </c>
      <c r="AO1878" s="10" t="str">
        <f t="shared" si="212"/>
        <v>FALSE</v>
      </c>
      <c r="AP1878" s="10" t="str">
        <f t="shared" si="212"/>
        <v>y=0.0239*2.71^2+66.574*2.71-31.913</v>
      </c>
      <c r="AQ1878" s="10" t="b">
        <f>IF(AND(I1878="TP",S1878&lt;=150),VLOOKUP(AF1878,TPCalibEq150!$AZ$2:$BB$55,3,),IF(AND(I1878="TDP",S1878&lt;=150),VLOOKUP(AF1878,TPCalibEq150!$AZ$2:$BB$55,3,)))</f>
        <v>0</v>
      </c>
      <c r="AR1878" s="10" t="str">
        <f>IF(AND(I1878="TP",S1878&lt;=300),VLOOKUP(AF1878,TPCalibEq300!$AZ$2:$BB$55,3,),IF(AND(I1878="TDP",S1878&lt;=300),VLOOKUP(AF1878,TPCalibEq300!$AZ$2:$BB$55,3,)))</f>
        <v>y=-1.3807x2+80.818x-42.013</v>
      </c>
      <c r="AS1878" s="10" t="str">
        <f>IF(AND(I1878="TP",S1878&lt;=500),VLOOKUP(AF1878,TPCalibEq500!$AZ$2:$BB$56,3,),IF(AND(I1878="TDP",S1878&lt;=500),VLOOKUP(AF1878,TPCalibEq500!$AZ$2:$BB$56,3,)))</f>
        <v>y=0.6312x2+63.45x-30.993</v>
      </c>
      <c r="AT1878" s="10" t="b">
        <f>IF(AND(I1878="TN",S1878&lt;=2800),VLOOKUP(AF1878,TNCalibEq2500!$AZ$2:$BB$56,3,),IF(AND(I1878="TDN",S1878&lt;=2800),VLOOKUP(AF1878,TNCalibEq2500!$AZ$2:$BB$56,3,)))</f>
        <v>0</v>
      </c>
      <c r="AU1878" s="10" t="str">
        <f>IF(I1878="TP",VLOOKUP(AF1878,TPCalibEqFull!$AZ$2:$BB$56,3),IF(I1878="TDP",VLOOKUP(AF1878,TPCalibEqFull!$AZ$2:$BB$56,3),IF(I1878="TDN",VLOOKUP(AF1878,TNCalibEqFull!$AZ$1:$BB$56,3),IF(I1878="TN",VLOOKUP(AF1878,TNCalibEqFull!$AZ$1:$BB$56,3),FALSE))))</f>
        <v>y=0.0239x2+66.574x-31.913</v>
      </c>
      <c r="AV1878" s="10" t="str">
        <f t="shared" si="217"/>
        <v>0127 12:52:00-HST-0-C-1-SW-DUP</v>
      </c>
    </row>
    <row r="1879" spans="1:48" s="10" customFormat="1" x14ac:dyDescent="0.55000000000000004">
      <c r="A1879" s="32">
        <v>44953</v>
      </c>
      <c r="B1879" s="33">
        <v>0.53611111111111109</v>
      </c>
      <c r="C1879" s="10" t="s">
        <v>912</v>
      </c>
      <c r="D1879" s="10">
        <v>0</v>
      </c>
      <c r="E1879" s="10" t="s">
        <v>190</v>
      </c>
      <c r="F1879" s="10">
        <v>1</v>
      </c>
      <c r="G1879" s="10" t="s">
        <v>231</v>
      </c>
      <c r="H1879" s="10" t="s">
        <v>314</v>
      </c>
      <c r="I1879" s="10" t="s">
        <v>83</v>
      </c>
      <c r="J1879" s="10">
        <v>81</v>
      </c>
      <c r="K1879" s="12">
        <v>44958</v>
      </c>
      <c r="L1879" s="33">
        <v>0.60405092592592591</v>
      </c>
      <c r="M1879" s="10">
        <v>1</v>
      </c>
      <c r="N1879" s="10" t="s">
        <v>84</v>
      </c>
      <c r="O1879" s="10">
        <v>16.899999999999999</v>
      </c>
      <c r="P1879" s="10">
        <v>1.18</v>
      </c>
      <c r="Q1879" s="10">
        <v>1100</v>
      </c>
      <c r="R1879" s="10" t="s">
        <v>85</v>
      </c>
      <c r="S1879" s="34">
        <f t="shared" si="214"/>
        <v>1100.0136789999999</v>
      </c>
      <c r="T1879" s="10" t="s">
        <v>1139</v>
      </c>
      <c r="U1879" s="34">
        <f t="shared" si="215"/>
        <v>93.314989786999988</v>
      </c>
      <c r="V1879" s="31">
        <f>IF(H1879="CHK",VLOOKUP(I1879,QCCHK,3,),IF(H1879="GUP",VLOOKUP(E1879,QCGUP,2,),IF(AND(H1879="ATP",OR(I1879="TN",I1879="TDN",I1879="TNO2-3",I1879="NO2-3")),VLOOKUP(E1879,QCREC_N,2,),IF(AND(H1879="NIC",OR(I1879="TN",I1879="TDN",I1879="TNO2-3",I1879="NO2-3")),VLOOKUP(E1879,QCNIC_N,2,),IF(AND(H1879="UREA",OR(I1879="TN",I1879="TDN",I1879="TNO2-3",I1879="NO2-3")),VLOOKUP(E1879,QCUREA_N,2,),IF(H1879="PER",VLOOKUP(I1879,QCPER,MATCH(E1879,QCACTUAL!$J$25:$AA$25,0),),IF(H1879="SPK",VLOOKUP(I1879,QCSPK,3,),IF(AND(H1879="ATP",OR(I1879="TP",I1879="TDP")),VLOOKUP(E1879,QCATP_P,2,),""))))))))</f>
        <v>1000</v>
      </c>
      <c r="W1879" s="31" t="str">
        <f t="shared" si="216"/>
        <v>TRUE</v>
      </c>
      <c r="X1879" s="31" t="str">
        <f t="shared" si="213"/>
        <v>([spikedunkn]-[unkn])/[spike]*100</v>
      </c>
      <c r="Y1879" s="10" t="s">
        <v>1126</v>
      </c>
      <c r="Z1879" s="10" t="s">
        <v>910</v>
      </c>
      <c r="AF1879" s="12">
        <v>44958</v>
      </c>
      <c r="AK1879" s="10">
        <f>0.0239*16.9^2+66.574*16.9-31.913</f>
        <v>1100.0136789999999</v>
      </c>
      <c r="AL1879" s="10" t="str">
        <f t="shared" si="211"/>
        <v>FALSE</v>
      </c>
      <c r="AM1879" s="10" t="str">
        <f t="shared" si="211"/>
        <v>FALSE</v>
      </c>
      <c r="AN1879" s="10" t="str">
        <f t="shared" si="211"/>
        <v>FALSE</v>
      </c>
      <c r="AO1879" s="10" t="str">
        <f t="shared" si="212"/>
        <v>FALSE</v>
      </c>
      <c r="AP1879" s="10" t="str">
        <f t="shared" si="212"/>
        <v>y=0.0239*16.9^2+66.574*16.9-31.913</v>
      </c>
      <c r="AQ1879" s="10" t="b">
        <f>IF(AND(I1879="TP",S1879&lt;=150),VLOOKUP(AF1879,TPCalibEq150!$AZ$2:$BB$55,3,),IF(AND(I1879="TDP",S1879&lt;=150),VLOOKUP(AF1879,TPCalibEq150!$AZ$2:$BB$55,3,)))</f>
        <v>0</v>
      </c>
      <c r="AR1879" s="10" t="b">
        <f>IF(AND(I1879="TP",S1879&lt;=300),VLOOKUP(AF1879,TPCalibEq300!$AZ$2:$BB$55,3,),IF(AND(I1879="TDP",S1879&lt;=300),VLOOKUP(AF1879,TPCalibEq300!$AZ$2:$BB$55,3,)))</f>
        <v>0</v>
      </c>
      <c r="AS1879" s="10" t="b">
        <f>IF(AND(I1879="TP",S1879&lt;=500),VLOOKUP(AF1879,TPCalibEq500!$AZ$2:$BB$56,3,),IF(AND(I1879="TDP",S1879&lt;=500),VLOOKUP(AF1879,TPCalibEq500!$AZ$2:$BB$56,3,)))</f>
        <v>0</v>
      </c>
      <c r="AT1879" s="10" t="b">
        <f>IF(AND(I1879="TN",S1879&lt;=2800),VLOOKUP(AF1879,TNCalibEq2500!$AZ$2:$BB$56,3,),IF(AND(I1879="TDN",S1879&lt;=2800),VLOOKUP(AF1879,TNCalibEq2500!$AZ$2:$BB$56,3,)))</f>
        <v>0</v>
      </c>
      <c r="AU1879" s="10" t="str">
        <f>IF(I1879="TP",VLOOKUP(AF1879,TPCalibEqFull!$AZ$2:$BB$56,3),IF(I1879="TDP",VLOOKUP(AF1879,TPCalibEqFull!$AZ$2:$BB$56,3),IF(I1879="TDN",VLOOKUP(AF1879,TNCalibEqFull!$AZ$1:$BB$56,3),IF(I1879="TN",VLOOKUP(AF1879,TNCalibEqFull!$AZ$1:$BB$56,3),FALSE))))</f>
        <v>y=0.0239x2+66.574x-31.913</v>
      </c>
      <c r="AV1879" s="10" t="str">
        <f t="shared" si="217"/>
        <v>0127 12:52:00-HST -0-C-1-SW-SPK</v>
      </c>
    </row>
    <row r="1880" spans="1:48" s="10" customFormat="1" x14ac:dyDescent="0.55000000000000004">
      <c r="A1880" s="32">
        <v>44958</v>
      </c>
      <c r="B1880" s="33">
        <v>0.375</v>
      </c>
      <c r="C1880" s="10" t="s">
        <v>70</v>
      </c>
      <c r="D1880" s="10" t="s">
        <v>71</v>
      </c>
      <c r="E1880" s="10" t="s">
        <v>901</v>
      </c>
      <c r="F1880" s="10">
        <v>1</v>
      </c>
      <c r="G1880" s="10" t="s">
        <v>73</v>
      </c>
      <c r="H1880" s="10" t="s">
        <v>207</v>
      </c>
      <c r="I1880" s="10" t="s">
        <v>83</v>
      </c>
      <c r="J1880" s="10">
        <v>199</v>
      </c>
      <c r="K1880" s="12">
        <v>44958</v>
      </c>
      <c r="L1880" s="33">
        <v>0.60474537037037035</v>
      </c>
      <c r="M1880" s="10">
        <v>1</v>
      </c>
      <c r="N1880" s="10" t="s">
        <v>84</v>
      </c>
      <c r="O1880" s="10">
        <v>8.15</v>
      </c>
      <c r="P1880" s="10">
        <v>0.57799999999999996</v>
      </c>
      <c r="Q1880" s="10">
        <v>519</v>
      </c>
      <c r="R1880" s="10" t="s">
        <v>85</v>
      </c>
      <c r="S1880" s="34">
        <f t="shared" si="214"/>
        <v>519</v>
      </c>
      <c r="T1880" s="10" t="s">
        <v>1139</v>
      </c>
      <c r="U1880" s="34">
        <f t="shared" si="215"/>
        <v>103.8</v>
      </c>
      <c r="V1880" s="31">
        <f>IF(H1880="CHK",VLOOKUP(I1880,QCCHK,3,),IF(H1880="GUP",VLOOKUP(E1880,QCGUP,2,),IF(AND(H1880="ATP",OR(I1880="TN",I1880="TDN",I1880="TNO2-3",I1880="NO2-3")),VLOOKUP(E1880,QCREC_N,2,),IF(AND(H1880="NIC",OR(I1880="TN",I1880="TDN",I1880="TNO2-3",I1880="NO2-3")),VLOOKUP(E1880,QCNIC_N,2,),IF(AND(H1880="UREA",OR(I1880="TN",I1880="TDN",I1880="TNO2-3",I1880="NO2-3")),VLOOKUP(E1880,QCUREA_N,2,),IF(H1880="PER",VLOOKUP(I1880,QCPER,MATCH(E1880,QCACTUAL!$J$25:$AA$25,0),),IF(H1880="SPK",VLOOKUP(I1880,QCSPK,3,),IF(AND(H1880="ATP",OR(I1880="TP",I1880="TDP")),VLOOKUP(E1880,QCATP_P,2,),""))))))))</f>
        <v>500</v>
      </c>
      <c r="W1880" s="31" t="str">
        <f t="shared" si="216"/>
        <v>TRUE</v>
      </c>
      <c r="X1880" s="31" t="str">
        <f t="shared" si="213"/>
        <v>[chk]/[actual]*100</v>
      </c>
      <c r="Y1880" s="10" t="s">
        <v>1126</v>
      </c>
      <c r="AF1880" s="12">
        <v>44958</v>
      </c>
      <c r="AK1880" s="10">
        <f>0.0239*8.15^2+66.574*8.15-31.913</f>
        <v>512.25259775000006</v>
      </c>
      <c r="AL1880" s="10" t="str">
        <f t="shared" si="211"/>
        <v>FALSE</v>
      </c>
      <c r="AM1880" s="10" t="str">
        <f t="shared" si="211"/>
        <v>FALSE</v>
      </c>
      <c r="AN1880" s="10" t="str">
        <f t="shared" si="211"/>
        <v>FALSE</v>
      </c>
      <c r="AO1880" s="10" t="str">
        <f t="shared" si="212"/>
        <v>FALSE</v>
      </c>
      <c r="AP1880" s="10" t="str">
        <f t="shared" si="212"/>
        <v>y=0.0239*8.15^2+66.574*8.15-31.913</v>
      </c>
      <c r="AQ1880" s="10" t="b">
        <f>IF(AND(I1880="TP",S1880&lt;=150),VLOOKUP(AF1880,TPCalibEq150!$AZ$2:$BB$55,3,),IF(AND(I1880="TDP",S1880&lt;=150),VLOOKUP(AF1880,TPCalibEq150!$AZ$2:$BB$55,3,)))</f>
        <v>0</v>
      </c>
      <c r="AR1880" s="10" t="b">
        <f>IF(AND(I1880="TP",S1880&lt;=300),VLOOKUP(AF1880,TPCalibEq300!$AZ$2:$BB$55,3,),IF(AND(I1880="TDP",S1880&lt;=300),VLOOKUP(AF1880,TPCalibEq300!$AZ$2:$BB$55,3,)))</f>
        <v>0</v>
      </c>
      <c r="AS1880" s="10" t="b">
        <f>IF(AND(I1880="TP",S1880&lt;=500),VLOOKUP(AF1880,TPCalibEq500!$AZ$2:$BB$56,3,),IF(AND(I1880="TDP",S1880&lt;=500),VLOOKUP(AF1880,TPCalibEq500!$AZ$2:$BB$56,3,)))</f>
        <v>0</v>
      </c>
      <c r="AT1880" s="10" t="b">
        <f>IF(AND(I1880="TN",S1880&lt;=2800),VLOOKUP(AF1880,TNCalibEq2500!$AZ$2:$BB$56,3,),IF(AND(I1880="TDN",S1880&lt;=2800),VLOOKUP(AF1880,TNCalibEq2500!$AZ$2:$BB$56,3,)))</f>
        <v>0</v>
      </c>
      <c r="AU1880" s="10" t="str">
        <f>IF(I1880="TP",VLOOKUP(AF1880,TPCalibEqFull!$AZ$2:$BB$56,3),IF(I1880="TDP",VLOOKUP(AF1880,TPCalibEqFull!$AZ$2:$BB$56,3),IF(I1880="TDN",VLOOKUP(AF1880,TNCalibEqFull!$AZ$1:$BB$56,3),IF(I1880="TN",VLOOKUP(AF1880,TNCalibEqFull!$AZ$1:$BB$56,3),FALSE))))</f>
        <v>y=0.0239x2+66.574x-31.913</v>
      </c>
      <c r="AV1880" s="10" t="str">
        <f t="shared" si="217"/>
        <v>0201 09:00:00-QAC-STD-D-1-DI-CHK</v>
      </c>
    </row>
    <row r="1881" spans="1:48" s="10" customFormat="1" x14ac:dyDescent="0.55000000000000004">
      <c r="A1881" s="32">
        <v>44956</v>
      </c>
      <c r="B1881" s="33">
        <v>0.32500000000000001</v>
      </c>
      <c r="C1881" s="10" t="s">
        <v>279</v>
      </c>
      <c r="D1881" s="10">
        <v>0</v>
      </c>
      <c r="E1881" s="10" t="s">
        <v>190</v>
      </c>
      <c r="F1881" s="10">
        <v>1</v>
      </c>
      <c r="G1881" s="10" t="s">
        <v>231</v>
      </c>
      <c r="H1881" s="10" t="s">
        <v>322</v>
      </c>
      <c r="I1881" s="10" t="s">
        <v>279</v>
      </c>
      <c r="J1881" s="10">
        <v>11</v>
      </c>
      <c r="K1881" s="12">
        <v>44958</v>
      </c>
      <c r="L1881" s="33" t="s">
        <v>933</v>
      </c>
      <c r="M1881" s="10">
        <v>1</v>
      </c>
      <c r="N1881" s="10" t="s">
        <v>84</v>
      </c>
      <c r="O1881" s="10" t="s">
        <v>933</v>
      </c>
      <c r="P1881" s="10" t="s">
        <v>933</v>
      </c>
      <c r="Q1881" s="10" t="s">
        <v>933</v>
      </c>
      <c r="R1881" s="10" t="s">
        <v>85</v>
      </c>
      <c r="S1881" s="34" t="e">
        <f t="shared" si="214"/>
        <v>#VALUE!</v>
      </c>
      <c r="T1881" s="10" t="s">
        <v>1139</v>
      </c>
      <c r="U1881" s="34" t="str">
        <f t="shared" si="215"/>
        <v/>
      </c>
      <c r="V1881" s="31" t="str">
        <f>IF(H1881="CHK",VLOOKUP(I1881,QCCHK,3,),IF(H1881="GUP",VLOOKUP(E1881,QCGUP,2,),IF(AND(H1881="ATP",OR(I1881="TN",I1881="TDN",I1881="TNO2-3",I1881="NO2-3")),VLOOKUP(E1881,QCREC_N,2,),IF(AND(H1881="NIC",OR(I1881="TN",I1881="TDN",I1881="TNO2-3",I1881="NO2-3")),VLOOKUP(E1881,QCNIC_N,2,),IF(AND(H1881="UREA",OR(I1881="TN",I1881="TDN",I1881="TNO2-3",I1881="NO2-3")),VLOOKUP(E1881,QCUREA_N,2,),IF(H1881="PER",VLOOKUP(I1881,QCPER,MATCH(E1881,QCACTUAL!$J$25:$AA$25,0),),IF(H1881="SPK",VLOOKUP(I1881,QCSPK,3,),IF(AND(H1881="ATP",OR(I1881="TP",I1881="TDP")),VLOOKUP(E1881,QCATP_P,2,),""))))))))</f>
        <v/>
      </c>
      <c r="W1881" s="31" t="str">
        <f t="shared" si="216"/>
        <v>TRUE</v>
      </c>
      <c r="X1881" s="31" t="str">
        <f t="shared" si="213"/>
        <v/>
      </c>
      <c r="Y1881" s="10" t="s">
        <v>1126</v>
      </c>
      <c r="Z1881" s="10" t="s">
        <v>935</v>
      </c>
      <c r="AF1881" s="12">
        <v>44958</v>
      </c>
      <c r="AG1881" s="10" t="e">
        <v>#VALUE!</v>
      </c>
      <c r="AH1881" s="10" t="e">
        <v>#VALUE!</v>
      </c>
      <c r="AI1881" s="10" t="e">
        <v>#VALUE!</v>
      </c>
      <c r="AJ1881" s="10" t="e">
        <v>#VALUE!</v>
      </c>
      <c r="AL1881" s="10" t="e">
        <f t="shared" si="211"/>
        <v>#VALUE!</v>
      </c>
      <c r="AM1881" s="10" t="e">
        <f t="shared" si="211"/>
        <v>#VALUE!</v>
      </c>
      <c r="AN1881" s="10" t="e">
        <f t="shared" si="211"/>
        <v>#VALUE!</v>
      </c>
      <c r="AO1881" s="10" t="e">
        <f t="shared" si="212"/>
        <v>#VALUE!</v>
      </c>
      <c r="AP1881" s="10" t="str">
        <f t="shared" si="212"/>
        <v>FALSE</v>
      </c>
      <c r="AQ1881" s="10" t="e">
        <f>IF(AND(I1881="TP",S1881&lt;=150),VLOOKUP(AF1881,TPCalibEq150!$AZ$2:$BB$55,3,),IF(AND(I1881="TDP",S1881&lt;=150),VLOOKUP(AF1881,TPCalibEq150!$AZ$2:$BB$55,3,)))</f>
        <v>#VALUE!</v>
      </c>
      <c r="AR1881" s="10" t="e">
        <f>IF(AND(I1881="TP",S1881&lt;=300),VLOOKUP(AF1881,TPCalibEq300!$AZ$2:$BB$55,3,),IF(AND(I1881="TDP",S1881&lt;=300),VLOOKUP(AF1881,TPCalibEq300!$AZ$2:$BB$55,3,)))</f>
        <v>#VALUE!</v>
      </c>
      <c r="AS1881" s="10" t="e">
        <f>IF(AND(I1881="TP",S1881&lt;=500),VLOOKUP(AF1881,TPCalibEq500!$AZ$2:$BB$56,3,),IF(AND(I1881="TDP",S1881&lt;=500),VLOOKUP(AF1881,TPCalibEq500!$AZ$2:$BB$56,3,)))</f>
        <v>#VALUE!</v>
      </c>
      <c r="AT1881" s="10" t="e">
        <f>IF(AND(I1881="TN",S1881&lt;=2800),VLOOKUP(AF1881,TNCalibEq2500!$AZ$2:$BB$56,3,),IF(AND(I1881="TDN",S1881&lt;=2800),VLOOKUP(AF1881,TNCalibEq2500!$AZ$2:$BB$56,3,)))</f>
        <v>#VALUE!</v>
      </c>
      <c r="AU1881" s="10" t="b">
        <f>IF(I1881="TP",VLOOKUP(AF1881,TPCalibEqFull!$AZ$2:$BB$56,3),IF(I1881="TDP",VLOOKUP(AF1881,TPCalibEqFull!$AZ$2:$BB$56,3),IF(I1881="TDN",VLOOKUP(AF1881,TNCalibEqFull!$AZ$1:$BB$56,3),IF(I1881="TN",VLOOKUP(AF1881,TNCalibEqFull!$AZ$1:$BB$56,3),FALSE))))</f>
        <v>0</v>
      </c>
      <c r="AV1881" s="10" t="str">
        <f t="shared" si="217"/>
        <v>0130 07:48:00-EFK-0-C-1-SW-UKN</v>
      </c>
    </row>
    <row r="1882" spans="1:48" s="10" customFormat="1" x14ac:dyDescent="0.55000000000000004">
      <c r="A1882" s="32">
        <v>44956</v>
      </c>
      <c r="B1882" s="33">
        <v>0.33749999999999997</v>
      </c>
      <c r="C1882" s="10" t="s">
        <v>333</v>
      </c>
      <c r="D1882" s="10">
        <v>0</v>
      </c>
      <c r="E1882" s="10" t="s">
        <v>190</v>
      </c>
      <c r="F1882" s="10">
        <v>1</v>
      </c>
      <c r="G1882" s="10" t="s">
        <v>231</v>
      </c>
      <c r="H1882" s="10" t="s">
        <v>322</v>
      </c>
      <c r="I1882" s="10" t="s">
        <v>83</v>
      </c>
      <c r="J1882" s="10">
        <v>12</v>
      </c>
      <c r="K1882" s="12">
        <v>44958</v>
      </c>
      <c r="L1882" s="33">
        <v>0.60543981481481479</v>
      </c>
      <c r="M1882" s="10">
        <v>1</v>
      </c>
      <c r="N1882" s="10" t="s">
        <v>84</v>
      </c>
      <c r="O1882" s="10">
        <v>2.39</v>
      </c>
      <c r="P1882" s="10">
        <v>0.16600000000000001</v>
      </c>
      <c r="Q1882" s="10">
        <v>134</v>
      </c>
      <c r="R1882" s="10" t="s">
        <v>85</v>
      </c>
      <c r="S1882" s="34">
        <f t="shared" si="214"/>
        <v>146.05291000000003</v>
      </c>
      <c r="T1882" s="10" t="s">
        <v>1139</v>
      </c>
      <c r="U1882" s="34" t="str">
        <f t="shared" si="215"/>
        <v/>
      </c>
      <c r="V1882" s="31" t="str">
        <f>IF(H1882="CHK",VLOOKUP(I1882,QCCHK,3,),IF(H1882="GUP",VLOOKUP(E1882,QCGUP,2,),IF(AND(H1882="ATP",OR(I1882="TN",I1882="TDN",I1882="TNO2-3",I1882="NO2-3")),VLOOKUP(E1882,QCREC_N,2,),IF(AND(H1882="NIC",OR(I1882="TN",I1882="TDN",I1882="TNO2-3",I1882="NO2-3")),VLOOKUP(E1882,QCNIC_N,2,),IF(AND(H1882="UREA",OR(I1882="TN",I1882="TDN",I1882="TNO2-3",I1882="NO2-3")),VLOOKUP(E1882,QCUREA_N,2,),IF(H1882="PER",VLOOKUP(I1882,QCPER,MATCH(E1882,QCACTUAL!$J$25:$AA$25,0),),IF(H1882="SPK",VLOOKUP(I1882,QCSPK,3,),IF(AND(H1882="ATP",OR(I1882="TP",I1882="TDP")),VLOOKUP(E1882,QCATP_P,2,),""))))))))</f>
        <v/>
      </c>
      <c r="W1882" s="31" t="str">
        <f t="shared" si="216"/>
        <v>TRUE</v>
      </c>
      <c r="X1882" s="31" t="str">
        <f t="shared" si="213"/>
        <v/>
      </c>
      <c r="Y1882" s="10" t="s">
        <v>1126</v>
      </c>
      <c r="Z1882" s="10" t="s">
        <v>910</v>
      </c>
      <c r="AF1882" s="12">
        <v>44958</v>
      </c>
      <c r="AG1882" s="10">
        <f>-20.9*2.39^2+141.62*2.39-73.036</f>
        <v>146.05291000000003</v>
      </c>
      <c r="AH1882" s="10">
        <f>-1.3807*2.39^2+80.818*2.39-42.013</f>
        <v>143.25532353</v>
      </c>
      <c r="AI1882" s="10">
        <f>0.6312*2.39^2+63.45*2.39-30.993</f>
        <v>124.25797752000003</v>
      </c>
      <c r="AK1882" s="10">
        <f>0.0239*2.39^2+66.574*2.39-31.913</f>
        <v>127.33537919000001</v>
      </c>
      <c r="AL1882" s="10" t="str">
        <f t="shared" si="211"/>
        <v>y=-20.90*2.39^2+141.62*2.39-73.036</v>
      </c>
      <c r="AM1882" s="10" t="str">
        <f t="shared" si="211"/>
        <v>y=-1.3807*2.39^2+80.818*2.39-42.013</v>
      </c>
      <c r="AN1882" s="10" t="str">
        <f t="shared" si="211"/>
        <v>y=0.6312*2.39^2+63.45*2.39-30.993</v>
      </c>
      <c r="AO1882" s="10" t="str">
        <f t="shared" si="212"/>
        <v>FALSE</v>
      </c>
      <c r="AP1882" s="10" t="str">
        <f t="shared" si="212"/>
        <v>y=0.0239*2.39^2+66.574*2.39-31.913</v>
      </c>
      <c r="AQ1882" s="10" t="str">
        <f>IF(AND(I1882="TP",S1882&lt;=150),VLOOKUP(AF1882,TPCalibEq150!$AZ$2:$BB$55,3,),IF(AND(I1882="TDP",S1882&lt;=150),VLOOKUP(AF1882,TPCalibEq150!$AZ$2:$BB$55,3,)))</f>
        <v>y=-20.90x2+141.62x-73.036</v>
      </c>
      <c r="AR1882" s="10" t="str">
        <f>IF(AND(I1882="TP",S1882&lt;=300),VLOOKUP(AF1882,TPCalibEq300!$AZ$2:$BB$55,3,),IF(AND(I1882="TDP",S1882&lt;=300),VLOOKUP(AF1882,TPCalibEq300!$AZ$2:$BB$55,3,)))</f>
        <v>y=-1.3807x2+80.818x-42.013</v>
      </c>
      <c r="AS1882" s="10" t="str">
        <f>IF(AND(I1882="TP",S1882&lt;=500),VLOOKUP(AF1882,TPCalibEq500!$AZ$2:$BB$56,3,),IF(AND(I1882="TDP",S1882&lt;=500),VLOOKUP(AF1882,TPCalibEq500!$AZ$2:$BB$56,3,)))</f>
        <v>y=0.6312x2+63.45x-30.993</v>
      </c>
      <c r="AT1882" s="10" t="b">
        <f>IF(AND(I1882="TN",S1882&lt;=2800),VLOOKUP(AF1882,TNCalibEq2500!$AZ$2:$BB$56,3,),IF(AND(I1882="TDN",S1882&lt;=2800),VLOOKUP(AF1882,TNCalibEq2500!$AZ$2:$BB$56,3,)))</f>
        <v>0</v>
      </c>
      <c r="AU1882" s="10" t="str">
        <f>IF(I1882="TP",VLOOKUP(AF1882,TPCalibEqFull!$AZ$2:$BB$56,3),IF(I1882="TDP",VLOOKUP(AF1882,TPCalibEqFull!$AZ$2:$BB$56,3),IF(I1882="TDN",VLOOKUP(AF1882,TNCalibEqFull!$AZ$1:$BB$56,3),IF(I1882="TN",VLOOKUP(AF1882,TNCalibEqFull!$AZ$1:$BB$56,3),FALSE))))</f>
        <v>y=0.0239x2+66.574x-31.913</v>
      </c>
      <c r="AV1882" s="10" t="str">
        <f t="shared" si="217"/>
        <v>0130 08:06:00-HST-0-C-1-SW-UKN</v>
      </c>
    </row>
    <row r="1883" spans="1:48" s="10" customFormat="1" x14ac:dyDescent="0.55000000000000004">
      <c r="A1883" s="32">
        <v>44957</v>
      </c>
      <c r="B1883" s="33">
        <v>0.41250000000000003</v>
      </c>
      <c r="C1883" s="10" t="s">
        <v>279</v>
      </c>
      <c r="D1883" s="10">
        <v>0</v>
      </c>
      <c r="E1883" s="10" t="s">
        <v>190</v>
      </c>
      <c r="F1883" s="10">
        <v>1</v>
      </c>
      <c r="G1883" s="10" t="s">
        <v>231</v>
      </c>
      <c r="H1883" s="10" t="s">
        <v>322</v>
      </c>
      <c r="I1883" s="10" t="s">
        <v>83</v>
      </c>
      <c r="J1883" s="10">
        <v>13</v>
      </c>
      <c r="K1883" s="12">
        <v>44958</v>
      </c>
      <c r="L1883" s="33">
        <v>0.60612268518518519</v>
      </c>
      <c r="M1883" s="10">
        <v>1</v>
      </c>
      <c r="N1883" s="10" t="s">
        <v>84</v>
      </c>
      <c r="O1883" s="10">
        <v>4</v>
      </c>
      <c r="P1883" s="10">
        <v>0.28199999999999997</v>
      </c>
      <c r="Q1883" s="10">
        <v>242</v>
      </c>
      <c r="R1883" s="10" t="s">
        <v>85</v>
      </c>
      <c r="S1883" s="34">
        <f t="shared" si="214"/>
        <v>259.1678</v>
      </c>
      <c r="T1883" s="10" t="s">
        <v>1139</v>
      </c>
      <c r="U1883" s="34" t="str">
        <f t="shared" si="215"/>
        <v/>
      </c>
      <c r="V1883" s="31" t="str">
        <f>IF(H1883="CHK",VLOOKUP(I1883,QCCHK,3,),IF(H1883="GUP",VLOOKUP(E1883,QCGUP,2,),IF(AND(H1883="ATP",OR(I1883="TN",I1883="TDN",I1883="TNO2-3",I1883="NO2-3")),VLOOKUP(E1883,QCREC_N,2,),IF(AND(H1883="NIC",OR(I1883="TN",I1883="TDN",I1883="TNO2-3",I1883="NO2-3")),VLOOKUP(E1883,QCNIC_N,2,),IF(AND(H1883="UREA",OR(I1883="TN",I1883="TDN",I1883="TNO2-3",I1883="NO2-3")),VLOOKUP(E1883,QCUREA_N,2,),IF(H1883="PER",VLOOKUP(I1883,QCPER,MATCH(E1883,QCACTUAL!$J$25:$AA$25,0),),IF(H1883="SPK",VLOOKUP(I1883,QCSPK,3,),IF(AND(H1883="ATP",OR(I1883="TP",I1883="TDP")),VLOOKUP(E1883,QCATP_P,2,),""))))))))</f>
        <v/>
      </c>
      <c r="W1883" s="31" t="str">
        <f t="shared" si="216"/>
        <v>TRUE</v>
      </c>
      <c r="X1883" s="31" t="str">
        <f t="shared" si="213"/>
        <v/>
      </c>
      <c r="Y1883" s="10" t="s">
        <v>1126</v>
      </c>
      <c r="AF1883" s="12">
        <v>44958</v>
      </c>
      <c r="AH1883" s="10">
        <f>-1.3807*4^2+80.818*4-42.013</f>
        <v>259.1678</v>
      </c>
      <c r="AI1883" s="10">
        <f>0.6312*4^2+63.45*4-30.993</f>
        <v>232.90620000000001</v>
      </c>
      <c r="AK1883" s="10">
        <f>0.0239*4^2+66.574*4-31.913</f>
        <v>234.7654</v>
      </c>
      <c r="AL1883" s="10" t="str">
        <f t="shared" si="211"/>
        <v>FALSE</v>
      </c>
      <c r="AM1883" s="10" t="str">
        <f t="shared" si="211"/>
        <v>y=-1.3807*4^2+80.818*4-42.013</v>
      </c>
      <c r="AN1883" s="10" t="str">
        <f t="shared" si="211"/>
        <v>y=0.6312*4^2+63.45*4-30.993</v>
      </c>
      <c r="AO1883" s="10" t="str">
        <f t="shared" si="212"/>
        <v>FALSE</v>
      </c>
      <c r="AP1883" s="10" t="str">
        <f t="shared" si="212"/>
        <v>y=0.0239*4^2+66.574*4-31.913</v>
      </c>
      <c r="AQ1883" s="10" t="b">
        <f>IF(AND(I1883="TP",S1883&lt;=150),VLOOKUP(AF1883,TPCalibEq150!$AZ$2:$BB$55,3,),IF(AND(I1883="TDP",S1883&lt;=150),VLOOKUP(AF1883,TPCalibEq150!$AZ$2:$BB$55,3,)))</f>
        <v>0</v>
      </c>
      <c r="AR1883" s="10" t="str">
        <f>IF(AND(I1883="TP",S1883&lt;=300),VLOOKUP(AF1883,TPCalibEq300!$AZ$2:$BB$55,3,),IF(AND(I1883="TDP",S1883&lt;=300),VLOOKUP(AF1883,TPCalibEq300!$AZ$2:$BB$55,3,)))</f>
        <v>y=-1.3807x2+80.818x-42.013</v>
      </c>
      <c r="AS1883" s="10" t="str">
        <f>IF(AND(I1883="TP",S1883&lt;=500),VLOOKUP(AF1883,TPCalibEq500!$AZ$2:$BB$56,3,),IF(AND(I1883="TDP",S1883&lt;=500),VLOOKUP(AF1883,TPCalibEq500!$AZ$2:$BB$56,3,)))</f>
        <v>y=0.6312x2+63.45x-30.993</v>
      </c>
      <c r="AT1883" s="10" t="b">
        <f>IF(AND(I1883="TN",S1883&lt;=2800),VLOOKUP(AF1883,TNCalibEq2500!$AZ$2:$BB$56,3,),IF(AND(I1883="TDN",S1883&lt;=2800),VLOOKUP(AF1883,TNCalibEq2500!$AZ$2:$BB$56,3,)))</f>
        <v>0</v>
      </c>
      <c r="AU1883" s="10" t="str">
        <f>IF(I1883="TP",VLOOKUP(AF1883,TPCalibEqFull!$AZ$2:$BB$56,3),IF(I1883="TDP",VLOOKUP(AF1883,TPCalibEqFull!$AZ$2:$BB$56,3),IF(I1883="TDN",VLOOKUP(AF1883,TNCalibEqFull!$AZ$1:$BB$56,3),IF(I1883="TN",VLOOKUP(AF1883,TNCalibEqFull!$AZ$1:$BB$56,3),FALSE))))</f>
        <v>y=0.0239x2+66.574x-31.913</v>
      </c>
      <c r="AV1883" s="10" t="str">
        <f t="shared" si="217"/>
        <v>0131 09:54:00-EFK-0-C-1-SW-UKN</v>
      </c>
    </row>
    <row r="1884" spans="1:48" s="10" customFormat="1" x14ac:dyDescent="0.55000000000000004">
      <c r="A1884" s="32">
        <v>44957</v>
      </c>
      <c r="B1884" s="33">
        <v>0.41597222222222219</v>
      </c>
      <c r="C1884" s="10" t="s">
        <v>333</v>
      </c>
      <c r="D1884" s="10">
        <v>0</v>
      </c>
      <c r="E1884" s="10" t="s">
        <v>190</v>
      </c>
      <c r="F1884" s="10">
        <v>1</v>
      </c>
      <c r="G1884" s="10" t="s">
        <v>231</v>
      </c>
      <c r="H1884" s="10" t="s">
        <v>322</v>
      </c>
      <c r="I1884" s="10" t="s">
        <v>83</v>
      </c>
      <c r="J1884" s="10">
        <v>14</v>
      </c>
      <c r="K1884" s="12">
        <v>44958</v>
      </c>
      <c r="L1884" s="33">
        <v>0.60680555555555549</v>
      </c>
      <c r="M1884" s="10">
        <v>1</v>
      </c>
      <c r="N1884" s="10" t="s">
        <v>84</v>
      </c>
      <c r="O1884" s="10">
        <v>2.84</v>
      </c>
      <c r="P1884" s="10">
        <v>0.19900000000000001</v>
      </c>
      <c r="Q1884" s="10">
        <v>164</v>
      </c>
      <c r="R1884" s="10" t="s">
        <v>85</v>
      </c>
      <c r="S1884" s="34">
        <f t="shared" si="214"/>
        <v>176.37394607999997</v>
      </c>
      <c r="T1884" s="10" t="s">
        <v>1139</v>
      </c>
      <c r="U1884" s="34" t="str">
        <f t="shared" si="215"/>
        <v/>
      </c>
      <c r="V1884" s="31" t="str">
        <f>IF(H1884="CHK",VLOOKUP(I1884,QCCHK,3,),IF(H1884="GUP",VLOOKUP(E1884,QCGUP,2,),IF(AND(H1884="ATP",OR(I1884="TN",I1884="TDN",I1884="TNO2-3",I1884="NO2-3")),VLOOKUP(E1884,QCREC_N,2,),IF(AND(H1884="NIC",OR(I1884="TN",I1884="TDN",I1884="TNO2-3",I1884="NO2-3")),VLOOKUP(E1884,QCNIC_N,2,),IF(AND(H1884="UREA",OR(I1884="TN",I1884="TDN",I1884="TNO2-3",I1884="NO2-3")),VLOOKUP(E1884,QCUREA_N,2,),IF(H1884="PER",VLOOKUP(I1884,QCPER,MATCH(E1884,QCACTUAL!$J$25:$AA$25,0),),IF(H1884="SPK",VLOOKUP(I1884,QCSPK,3,),IF(AND(H1884="ATP",OR(I1884="TP",I1884="TDP")),VLOOKUP(E1884,QCATP_P,2,),""))))))))</f>
        <v/>
      </c>
      <c r="W1884" s="31" t="str">
        <f t="shared" si="216"/>
        <v>TRUE</v>
      </c>
      <c r="X1884" s="31" t="str">
        <f t="shared" si="213"/>
        <v/>
      </c>
      <c r="Y1884" s="10" t="s">
        <v>1126</v>
      </c>
      <c r="AF1884" s="12">
        <v>44958</v>
      </c>
      <c r="AH1884" s="10">
        <f>-1.3807*2.84^2+80.818*2.84-42.013</f>
        <v>176.37394607999997</v>
      </c>
      <c r="AI1884" s="10">
        <f>0.6312*2.84^2+63.45*2.84-30.993</f>
        <v>154.29600672000001</v>
      </c>
      <c r="AK1884" s="10">
        <f>0.0239*2.84^2+66.574*2.84-31.913</f>
        <v>157.34992783999996</v>
      </c>
      <c r="AL1884" s="10" t="str">
        <f t="shared" si="211"/>
        <v>FALSE</v>
      </c>
      <c r="AM1884" s="10" t="str">
        <f t="shared" si="211"/>
        <v>y=-1.3807*2.84^2+80.818*2.84-42.013</v>
      </c>
      <c r="AN1884" s="10" t="str">
        <f t="shared" si="211"/>
        <v>y=0.6312*2.84^2+63.45*2.84-30.993</v>
      </c>
      <c r="AO1884" s="10" t="str">
        <f t="shared" si="212"/>
        <v>FALSE</v>
      </c>
      <c r="AP1884" s="10" t="str">
        <f t="shared" si="212"/>
        <v>y=0.0239*2.84^2+66.574*2.84-31.913</v>
      </c>
      <c r="AQ1884" s="10" t="b">
        <f>IF(AND(I1884="TP",S1884&lt;=150),VLOOKUP(AF1884,TPCalibEq150!$AZ$2:$BB$55,3,),IF(AND(I1884="TDP",S1884&lt;=150),VLOOKUP(AF1884,TPCalibEq150!$AZ$2:$BB$55,3,)))</f>
        <v>0</v>
      </c>
      <c r="AR1884" s="10" t="str">
        <f>IF(AND(I1884="TP",S1884&lt;=300),VLOOKUP(AF1884,TPCalibEq300!$AZ$2:$BB$55,3,),IF(AND(I1884="TDP",S1884&lt;=300),VLOOKUP(AF1884,TPCalibEq300!$AZ$2:$BB$55,3,)))</f>
        <v>y=-1.3807x2+80.818x-42.013</v>
      </c>
      <c r="AS1884" s="10" t="str">
        <f>IF(AND(I1884="TP",S1884&lt;=500),VLOOKUP(AF1884,TPCalibEq500!$AZ$2:$BB$56,3,),IF(AND(I1884="TDP",S1884&lt;=500),VLOOKUP(AF1884,TPCalibEq500!$AZ$2:$BB$56,3,)))</f>
        <v>y=0.6312x2+63.45x-30.993</v>
      </c>
      <c r="AT1884" s="10" t="b">
        <f>IF(AND(I1884="TN",S1884&lt;=2800),VLOOKUP(AF1884,TNCalibEq2500!$AZ$2:$BB$56,3,),IF(AND(I1884="TDN",S1884&lt;=2800),VLOOKUP(AF1884,TNCalibEq2500!$AZ$2:$BB$56,3,)))</f>
        <v>0</v>
      </c>
      <c r="AU1884" s="10" t="str">
        <f>IF(I1884="TP",VLOOKUP(AF1884,TPCalibEqFull!$AZ$2:$BB$56,3),IF(I1884="TDP",VLOOKUP(AF1884,TPCalibEqFull!$AZ$2:$BB$56,3),IF(I1884="TDN",VLOOKUP(AF1884,TNCalibEqFull!$AZ$1:$BB$56,3),IF(I1884="TN",VLOOKUP(AF1884,TNCalibEqFull!$AZ$1:$BB$56,3),FALSE))))</f>
        <v>y=0.0239x2+66.574x-31.913</v>
      </c>
      <c r="AV1884" s="10" t="str">
        <f t="shared" si="217"/>
        <v>0131 09:59:00-HST-0-C-1-SW-UKN</v>
      </c>
    </row>
    <row r="1885" spans="1:48" s="10" customFormat="1" x14ac:dyDescent="0.55000000000000004">
      <c r="A1885" s="32">
        <v>44957</v>
      </c>
      <c r="B1885" s="33">
        <v>0.41597222222222219</v>
      </c>
      <c r="C1885" s="10" t="s">
        <v>333</v>
      </c>
      <c r="D1885" s="10">
        <v>0</v>
      </c>
      <c r="E1885" s="10" t="s">
        <v>190</v>
      </c>
      <c r="F1885" s="10">
        <v>1</v>
      </c>
      <c r="G1885" s="10" t="s">
        <v>231</v>
      </c>
      <c r="H1885" s="10" t="s">
        <v>233</v>
      </c>
      <c r="I1885" s="10" t="s">
        <v>83</v>
      </c>
      <c r="J1885" s="10">
        <v>14</v>
      </c>
      <c r="K1885" s="12">
        <v>44958</v>
      </c>
      <c r="L1885" s="33">
        <v>0.60748842592592589</v>
      </c>
      <c r="M1885" s="10">
        <v>1</v>
      </c>
      <c r="N1885" s="10" t="s">
        <v>84</v>
      </c>
      <c r="O1885" s="10">
        <v>2.85</v>
      </c>
      <c r="P1885" s="10">
        <v>0.19800000000000001</v>
      </c>
      <c r="Q1885" s="10">
        <v>165</v>
      </c>
      <c r="R1885" s="10" t="s">
        <v>85</v>
      </c>
      <c r="S1885" s="34">
        <f t="shared" si="214"/>
        <v>177.10356425000001</v>
      </c>
      <c r="T1885" s="10" t="s">
        <v>1139</v>
      </c>
      <c r="U1885" s="34">
        <f t="shared" si="215"/>
        <v>0.41282296535294688</v>
      </c>
      <c r="V1885" s="31" t="str">
        <f>IF(H1885="CHK",VLOOKUP(I1885,QCCHK,3,),IF(H1885="GUP",VLOOKUP(E1885,QCGUP,2,),IF(AND(H1885="ATP",OR(I1885="TN",I1885="TDN",I1885="TNO2-3",I1885="NO2-3")),VLOOKUP(E1885,QCREC_N,2,),IF(AND(H1885="NIC",OR(I1885="TN",I1885="TDN",I1885="TNO2-3",I1885="NO2-3")),VLOOKUP(E1885,QCNIC_N,2,),IF(AND(H1885="UREA",OR(I1885="TN",I1885="TDN",I1885="TNO2-3",I1885="NO2-3")),VLOOKUP(E1885,QCUREA_N,2,),IF(H1885="PER",VLOOKUP(I1885,QCPER,MATCH(E1885,QCACTUAL!$J$25:$AA$25,0),),IF(H1885="SPK",VLOOKUP(I1885,QCSPK,3,),IF(AND(H1885="ATP",OR(I1885="TP",I1885="TDP")),VLOOKUP(E1885,QCATP_P,2,),""))))))))</f>
        <v/>
      </c>
      <c r="W1885" s="31" t="str">
        <f t="shared" si="216"/>
        <v>TRUE</v>
      </c>
      <c r="X1885" s="31" t="str">
        <f t="shared" si="213"/>
        <v>((ABS(rep1-rep2))/((rep1+rep2)/2)*100</v>
      </c>
      <c r="Y1885" s="10" t="s">
        <v>1126</v>
      </c>
      <c r="AF1885" s="12">
        <v>44958</v>
      </c>
      <c r="AH1885" s="10">
        <f>-1.3807*2.85^2+80.818*2.85-42.013</f>
        <v>177.10356425000001</v>
      </c>
      <c r="AI1885" s="10">
        <f>0.6312*2.85^2+63.45*2.85-30.993</f>
        <v>154.96642200000002</v>
      </c>
      <c r="AK1885" s="10">
        <f>0.0239*2.85^2+66.574*2.85-31.913</f>
        <v>158.01702774999998</v>
      </c>
      <c r="AL1885" s="10" t="str">
        <f t="shared" si="211"/>
        <v>FALSE</v>
      </c>
      <c r="AM1885" s="10" t="str">
        <f t="shared" si="211"/>
        <v>y=-1.3807*2.85^2+80.818*2.85-42.013</v>
      </c>
      <c r="AN1885" s="10" t="str">
        <f t="shared" si="211"/>
        <v>y=0.6312*2.85^2+63.45*2.85-30.993</v>
      </c>
      <c r="AO1885" s="10" t="str">
        <f t="shared" si="212"/>
        <v>FALSE</v>
      </c>
      <c r="AP1885" s="10" t="str">
        <f t="shared" si="212"/>
        <v>y=0.0239*2.85^2+66.574*2.85-31.913</v>
      </c>
      <c r="AQ1885" s="10" t="b">
        <f>IF(AND(I1885="TP",S1885&lt;=150),VLOOKUP(AF1885,TPCalibEq150!$AZ$2:$BB$55,3,),IF(AND(I1885="TDP",S1885&lt;=150),VLOOKUP(AF1885,TPCalibEq150!$AZ$2:$BB$55,3,)))</f>
        <v>0</v>
      </c>
      <c r="AR1885" s="10" t="str">
        <f>IF(AND(I1885="TP",S1885&lt;=300),VLOOKUP(AF1885,TPCalibEq300!$AZ$2:$BB$55,3,),IF(AND(I1885="TDP",S1885&lt;=300),VLOOKUP(AF1885,TPCalibEq300!$AZ$2:$BB$55,3,)))</f>
        <v>y=-1.3807x2+80.818x-42.013</v>
      </c>
      <c r="AS1885" s="10" t="str">
        <f>IF(AND(I1885="TP",S1885&lt;=500),VLOOKUP(AF1885,TPCalibEq500!$AZ$2:$BB$56,3,),IF(AND(I1885="TDP",S1885&lt;=500),VLOOKUP(AF1885,TPCalibEq500!$AZ$2:$BB$56,3,)))</f>
        <v>y=0.6312x2+63.45x-30.993</v>
      </c>
      <c r="AT1885" s="10" t="b">
        <f>IF(AND(I1885="TN",S1885&lt;=2800),VLOOKUP(AF1885,TNCalibEq2500!$AZ$2:$BB$56,3,),IF(AND(I1885="TDN",S1885&lt;=2800),VLOOKUP(AF1885,TNCalibEq2500!$AZ$2:$BB$56,3,)))</f>
        <v>0</v>
      </c>
      <c r="AU1885" s="10" t="str">
        <f>IF(I1885="TP",VLOOKUP(AF1885,TPCalibEqFull!$AZ$2:$BB$56,3),IF(I1885="TDP",VLOOKUP(AF1885,TPCalibEqFull!$AZ$2:$BB$56,3),IF(I1885="TDN",VLOOKUP(AF1885,TNCalibEqFull!$AZ$1:$BB$56,3),IF(I1885="TN",VLOOKUP(AF1885,TNCalibEqFull!$AZ$1:$BB$56,3),FALSE))))</f>
        <v>y=0.0239x2+66.574x-31.913</v>
      </c>
      <c r="AV1885" s="10" t="str">
        <f t="shared" si="217"/>
        <v>0131 09:59:00-HST-0-C-1-SW-DUP</v>
      </c>
    </row>
    <row r="1886" spans="1:48" s="10" customFormat="1" x14ac:dyDescent="0.55000000000000004">
      <c r="A1886" s="32">
        <v>44957</v>
      </c>
      <c r="B1886" s="33">
        <v>0.41597222222222219</v>
      </c>
      <c r="C1886" s="10" t="s">
        <v>912</v>
      </c>
      <c r="D1886" s="10">
        <v>0</v>
      </c>
      <c r="E1886" s="10" t="s">
        <v>190</v>
      </c>
      <c r="F1886" s="10">
        <v>1</v>
      </c>
      <c r="G1886" s="10" t="s">
        <v>231</v>
      </c>
      <c r="H1886" s="10" t="s">
        <v>314</v>
      </c>
      <c r="I1886" s="10" t="s">
        <v>83</v>
      </c>
      <c r="J1886" s="10">
        <v>82</v>
      </c>
      <c r="K1886" s="12">
        <v>44958</v>
      </c>
      <c r="L1886" s="33">
        <v>0.60817129629629629</v>
      </c>
      <c r="M1886" s="10">
        <v>1</v>
      </c>
      <c r="N1886" s="10" t="s">
        <v>84</v>
      </c>
      <c r="O1886" s="10">
        <v>17.399999999999999</v>
      </c>
      <c r="P1886" s="10">
        <v>1.21</v>
      </c>
      <c r="Q1886" s="10">
        <v>1140</v>
      </c>
      <c r="R1886" s="10" t="s">
        <v>85</v>
      </c>
      <c r="S1886" s="34">
        <f t="shared" si="214"/>
        <v>1140</v>
      </c>
      <c r="T1886" s="10" t="s">
        <v>1139</v>
      </c>
      <c r="U1886" s="34">
        <f t="shared" si="215"/>
        <v>96.289643574999999</v>
      </c>
      <c r="V1886" s="31">
        <f>IF(H1886="CHK",VLOOKUP(I1886,QCCHK,3,),IF(H1886="GUP",VLOOKUP(E1886,QCGUP,2,),IF(AND(H1886="ATP",OR(I1886="TN",I1886="TDN",I1886="TNO2-3",I1886="NO2-3")),VLOOKUP(E1886,QCREC_N,2,),IF(AND(H1886="NIC",OR(I1886="TN",I1886="TDN",I1886="TNO2-3",I1886="NO2-3")),VLOOKUP(E1886,QCNIC_N,2,),IF(AND(H1886="UREA",OR(I1886="TN",I1886="TDN",I1886="TNO2-3",I1886="NO2-3")),VLOOKUP(E1886,QCUREA_N,2,),IF(H1886="PER",VLOOKUP(I1886,QCPER,MATCH(E1886,QCACTUAL!$J$25:$AA$25,0),),IF(H1886="SPK",VLOOKUP(I1886,QCSPK,3,),IF(AND(H1886="ATP",OR(I1886="TP",I1886="TDP")),VLOOKUP(E1886,QCATP_P,2,),""))))))))</f>
        <v>1000</v>
      </c>
      <c r="W1886" s="31" t="str">
        <f t="shared" si="216"/>
        <v>TRUE</v>
      </c>
      <c r="X1886" s="31" t="str">
        <f t="shared" si="213"/>
        <v>([spikedunkn]-[unkn])/[spike]*100</v>
      </c>
      <c r="Y1886" s="10" t="s">
        <v>1126</v>
      </c>
      <c r="AF1886" s="12">
        <v>44958</v>
      </c>
      <c r="AK1886" s="10">
        <f>0.0239*17.4^2+66.574*17.4-31.913</f>
        <v>1133.7105639999997</v>
      </c>
      <c r="AL1886" s="10" t="str">
        <f t="shared" si="211"/>
        <v>FALSE</v>
      </c>
      <c r="AM1886" s="10" t="str">
        <f t="shared" si="211"/>
        <v>FALSE</v>
      </c>
      <c r="AN1886" s="10" t="str">
        <f t="shared" si="211"/>
        <v>FALSE</v>
      </c>
      <c r="AO1886" s="10" t="str">
        <f t="shared" si="212"/>
        <v>FALSE</v>
      </c>
      <c r="AP1886" s="10" t="str">
        <f t="shared" si="212"/>
        <v>y=0.0239*17.4^2+66.574*17.4-31.913</v>
      </c>
      <c r="AQ1886" s="10" t="b">
        <f>IF(AND(I1886="TP",S1886&lt;=150),VLOOKUP(AF1886,TPCalibEq150!$AZ$2:$BB$55,3,),IF(AND(I1886="TDP",S1886&lt;=150),VLOOKUP(AF1886,TPCalibEq150!$AZ$2:$BB$55,3,)))</f>
        <v>0</v>
      </c>
      <c r="AR1886" s="10" t="b">
        <f>IF(AND(I1886="TP",S1886&lt;=300),VLOOKUP(AF1886,TPCalibEq300!$AZ$2:$BB$55,3,),IF(AND(I1886="TDP",S1886&lt;=300),VLOOKUP(AF1886,TPCalibEq300!$AZ$2:$BB$55,3,)))</f>
        <v>0</v>
      </c>
      <c r="AS1886" s="10" t="b">
        <f>IF(AND(I1886="TP",S1886&lt;=500),VLOOKUP(AF1886,TPCalibEq500!$AZ$2:$BB$56,3,),IF(AND(I1886="TDP",S1886&lt;=500),VLOOKUP(AF1886,TPCalibEq500!$AZ$2:$BB$56,3,)))</f>
        <v>0</v>
      </c>
      <c r="AT1886" s="10" t="b">
        <f>IF(AND(I1886="TN",S1886&lt;=2800),VLOOKUP(AF1886,TNCalibEq2500!$AZ$2:$BB$56,3,),IF(AND(I1886="TDN",S1886&lt;=2800),VLOOKUP(AF1886,TNCalibEq2500!$AZ$2:$BB$56,3,)))</f>
        <v>0</v>
      </c>
      <c r="AU1886" s="10" t="str">
        <f>IF(I1886="TP",VLOOKUP(AF1886,TPCalibEqFull!$AZ$2:$BB$56,3),IF(I1886="TDP",VLOOKUP(AF1886,TPCalibEqFull!$AZ$2:$BB$56,3),IF(I1886="TDN",VLOOKUP(AF1886,TNCalibEqFull!$AZ$1:$BB$56,3),IF(I1886="TN",VLOOKUP(AF1886,TNCalibEqFull!$AZ$1:$BB$56,3),FALSE))))</f>
        <v>y=0.0239x2+66.574x-31.913</v>
      </c>
      <c r="AV1886" s="10" t="str">
        <f t="shared" si="217"/>
        <v>0131 09:59:00-HST -0-C-1-SW-SPK</v>
      </c>
    </row>
    <row r="1887" spans="1:48" s="10" customFormat="1" x14ac:dyDescent="0.55000000000000004">
      <c r="A1887" s="32">
        <v>44958</v>
      </c>
      <c r="B1887" s="33">
        <v>0.375</v>
      </c>
      <c r="C1887" s="10" t="s">
        <v>70</v>
      </c>
      <c r="D1887" s="10" t="s">
        <v>71</v>
      </c>
      <c r="E1887" s="10" t="s">
        <v>901</v>
      </c>
      <c r="F1887" s="10">
        <v>1</v>
      </c>
      <c r="G1887" s="10" t="s">
        <v>73</v>
      </c>
      <c r="H1887" s="10" t="s">
        <v>207</v>
      </c>
      <c r="I1887" s="10" t="s">
        <v>83</v>
      </c>
      <c r="J1887" s="10">
        <v>200</v>
      </c>
      <c r="K1887" s="12">
        <v>44958</v>
      </c>
      <c r="L1887" s="33">
        <v>0.60887731481481489</v>
      </c>
      <c r="M1887" s="10">
        <v>1</v>
      </c>
      <c r="N1887" s="10" t="s">
        <v>84</v>
      </c>
      <c r="O1887" s="10">
        <v>8.1</v>
      </c>
      <c r="P1887" s="10">
        <v>0.57299999999999995</v>
      </c>
      <c r="Q1887" s="10">
        <v>516</v>
      </c>
      <c r="R1887" s="10" t="s">
        <v>85</v>
      </c>
      <c r="S1887" s="34">
        <f t="shared" si="214"/>
        <v>516</v>
      </c>
      <c r="T1887" s="10" t="s">
        <v>1139</v>
      </c>
      <c r="U1887" s="34">
        <f t="shared" si="215"/>
        <v>103.2</v>
      </c>
      <c r="V1887" s="31">
        <f>IF(H1887="CHK",VLOOKUP(I1887,QCCHK,3,),IF(H1887="GUP",VLOOKUP(E1887,QCGUP,2,),IF(AND(H1887="ATP",OR(I1887="TN",I1887="TDN",I1887="TNO2-3",I1887="NO2-3")),VLOOKUP(E1887,QCREC_N,2,),IF(AND(H1887="NIC",OR(I1887="TN",I1887="TDN",I1887="TNO2-3",I1887="NO2-3")),VLOOKUP(E1887,QCNIC_N,2,),IF(AND(H1887="UREA",OR(I1887="TN",I1887="TDN",I1887="TNO2-3",I1887="NO2-3")),VLOOKUP(E1887,QCUREA_N,2,),IF(H1887="PER",VLOOKUP(I1887,QCPER,MATCH(E1887,QCACTUAL!$J$25:$AA$25,0),),IF(H1887="SPK",VLOOKUP(I1887,QCSPK,3,),IF(AND(H1887="ATP",OR(I1887="TP",I1887="TDP")),VLOOKUP(E1887,QCATP_P,2,),""))))))))</f>
        <v>500</v>
      </c>
      <c r="W1887" s="31" t="str">
        <f t="shared" si="216"/>
        <v>TRUE</v>
      </c>
      <c r="X1887" s="31" t="str">
        <f t="shared" si="213"/>
        <v>[chk]/[actual]*100</v>
      </c>
      <c r="Y1887" s="10" t="s">
        <v>1126</v>
      </c>
      <c r="AF1887" s="12">
        <v>44958</v>
      </c>
      <c r="AK1887" s="10">
        <f>0.0239*8.1^2+66.574*8.1-31.913</f>
        <v>508.90447899999992</v>
      </c>
      <c r="AL1887" s="10" t="str">
        <f t="shared" si="211"/>
        <v>FALSE</v>
      </c>
      <c r="AM1887" s="10" t="str">
        <f t="shared" si="211"/>
        <v>FALSE</v>
      </c>
      <c r="AN1887" s="10" t="str">
        <f t="shared" si="211"/>
        <v>FALSE</v>
      </c>
      <c r="AO1887" s="10" t="str">
        <f t="shared" si="212"/>
        <v>FALSE</v>
      </c>
      <c r="AP1887" s="10" t="str">
        <f t="shared" si="212"/>
        <v>y=0.0239*8.1^2+66.574*8.1-31.913</v>
      </c>
      <c r="AQ1887" s="10" t="b">
        <f>IF(AND(I1887="TP",S1887&lt;=150),VLOOKUP(AF1887,TPCalibEq150!$AZ$2:$BB$55,3,),IF(AND(I1887="TDP",S1887&lt;=150),VLOOKUP(AF1887,TPCalibEq150!$AZ$2:$BB$55,3,)))</f>
        <v>0</v>
      </c>
      <c r="AR1887" s="10" t="b">
        <f>IF(AND(I1887="TP",S1887&lt;=300),VLOOKUP(AF1887,TPCalibEq300!$AZ$2:$BB$55,3,),IF(AND(I1887="TDP",S1887&lt;=300),VLOOKUP(AF1887,TPCalibEq300!$AZ$2:$BB$55,3,)))</f>
        <v>0</v>
      </c>
      <c r="AS1887" s="10" t="b">
        <f>IF(AND(I1887="TP",S1887&lt;=500),VLOOKUP(AF1887,TPCalibEq500!$AZ$2:$BB$56,3,),IF(AND(I1887="TDP",S1887&lt;=500),VLOOKUP(AF1887,TPCalibEq500!$AZ$2:$BB$56,3,)))</f>
        <v>0</v>
      </c>
      <c r="AT1887" s="10" t="b">
        <f>IF(AND(I1887="TN",S1887&lt;=2800),VLOOKUP(AF1887,TNCalibEq2500!$AZ$2:$BB$56,3,),IF(AND(I1887="TDN",S1887&lt;=2800),VLOOKUP(AF1887,TNCalibEq2500!$AZ$2:$BB$56,3,)))</f>
        <v>0</v>
      </c>
      <c r="AU1887" s="10" t="str">
        <f>IF(I1887="TP",VLOOKUP(AF1887,TPCalibEqFull!$AZ$2:$BB$56,3),IF(I1887="TDP",VLOOKUP(AF1887,TPCalibEqFull!$AZ$2:$BB$56,3),IF(I1887="TDN",VLOOKUP(AF1887,TNCalibEqFull!$AZ$1:$BB$56,3),IF(I1887="TN",VLOOKUP(AF1887,TNCalibEqFull!$AZ$1:$BB$56,3),FALSE))))</f>
        <v>y=0.0239x2+66.574x-31.913</v>
      </c>
      <c r="AV1887" s="10" t="str">
        <f t="shared" si="217"/>
        <v>0201 09:00:00-QAC-STD-D-1-DI-CHK</v>
      </c>
    </row>
    <row r="1888" spans="1:48" s="10" customFormat="1" x14ac:dyDescent="0.55000000000000004">
      <c r="A1888" s="32">
        <v>44949</v>
      </c>
      <c r="B1888" s="33">
        <v>0.34375</v>
      </c>
      <c r="C1888" s="10" t="s">
        <v>998</v>
      </c>
      <c r="D1888" s="10">
        <v>0</v>
      </c>
      <c r="E1888" s="10" t="s">
        <v>190</v>
      </c>
      <c r="F1888" s="10">
        <v>1</v>
      </c>
      <c r="G1888" s="10" t="s">
        <v>231</v>
      </c>
      <c r="H1888" s="10" t="s">
        <v>322</v>
      </c>
      <c r="I1888" s="10" t="s">
        <v>83</v>
      </c>
      <c r="J1888" s="10">
        <v>15</v>
      </c>
      <c r="K1888" s="12">
        <v>44958</v>
      </c>
      <c r="L1888" s="33">
        <v>0.60956018518518518</v>
      </c>
      <c r="M1888" s="10">
        <v>1</v>
      </c>
      <c r="N1888" s="10" t="s">
        <v>84</v>
      </c>
      <c r="O1888" s="10">
        <v>3.59</v>
      </c>
      <c r="P1888" s="10">
        <v>0.252</v>
      </c>
      <c r="Q1888" s="10">
        <v>214</v>
      </c>
      <c r="R1888" s="10" t="s">
        <v>85</v>
      </c>
      <c r="S1888" s="34">
        <f t="shared" si="214"/>
        <v>230.32902032999996</v>
      </c>
      <c r="T1888" s="10" t="s">
        <v>1139</v>
      </c>
      <c r="U1888" s="34" t="str">
        <f t="shared" si="215"/>
        <v/>
      </c>
      <c r="V1888" s="31" t="str">
        <f>IF(H1888="CHK",VLOOKUP(I1888,QCCHK,3,),IF(H1888="GUP",VLOOKUP(E1888,QCGUP,2,),IF(AND(H1888="ATP",OR(I1888="TN",I1888="TDN",I1888="TNO2-3",I1888="NO2-3")),VLOOKUP(E1888,QCREC_N,2,),IF(AND(H1888="NIC",OR(I1888="TN",I1888="TDN",I1888="TNO2-3",I1888="NO2-3")),VLOOKUP(E1888,QCNIC_N,2,),IF(AND(H1888="UREA",OR(I1888="TN",I1888="TDN",I1888="TNO2-3",I1888="NO2-3")),VLOOKUP(E1888,QCUREA_N,2,),IF(H1888="PER",VLOOKUP(I1888,QCPER,MATCH(E1888,QCACTUAL!$J$25:$AA$25,0),),IF(H1888="SPK",VLOOKUP(I1888,QCSPK,3,),IF(AND(H1888="ATP",OR(I1888="TP",I1888="TDP")),VLOOKUP(E1888,QCATP_P,2,),""))))))))</f>
        <v/>
      </c>
      <c r="W1888" s="31" t="str">
        <f t="shared" si="216"/>
        <v>TRUE</v>
      </c>
      <c r="X1888" s="31" t="str">
        <f t="shared" si="213"/>
        <v/>
      </c>
      <c r="Y1888" s="10" t="s">
        <v>1126</v>
      </c>
      <c r="Z1888" s="10" t="s">
        <v>910</v>
      </c>
      <c r="AF1888" s="12">
        <v>44958</v>
      </c>
      <c r="AH1888" s="10">
        <f>-1.3807*3.59^2+80.818*3.59-42.013</f>
        <v>230.32902032999996</v>
      </c>
      <c r="AI1888" s="10">
        <f>0.6312*3.59^2+63.45*3.59-30.993</f>
        <v>204.92746872000001</v>
      </c>
      <c r="AK1888" s="10">
        <f>0.0239*3.59^2+66.574*3.59-31.913</f>
        <v>207.39568558999997</v>
      </c>
      <c r="AL1888" s="10" t="str">
        <f t="shared" si="211"/>
        <v>FALSE</v>
      </c>
      <c r="AM1888" s="10" t="str">
        <f t="shared" si="211"/>
        <v>y=-1.3807*3.59^2+80.818*3.59-42.013</v>
      </c>
      <c r="AN1888" s="10" t="str">
        <f t="shared" si="211"/>
        <v>y=0.6312*3.59^2+63.45*3.59-30.993</v>
      </c>
      <c r="AO1888" s="10" t="str">
        <f t="shared" si="212"/>
        <v>FALSE</v>
      </c>
      <c r="AP1888" s="10" t="str">
        <f t="shared" si="212"/>
        <v>y=0.0239*3.59^2+66.574*3.59-31.913</v>
      </c>
      <c r="AQ1888" s="10" t="b">
        <f>IF(AND(I1888="TP",S1888&lt;=150),VLOOKUP(AF1888,TPCalibEq150!$AZ$2:$BB$55,3,),IF(AND(I1888="TDP",S1888&lt;=150),VLOOKUP(AF1888,TPCalibEq150!$AZ$2:$BB$55,3,)))</f>
        <v>0</v>
      </c>
      <c r="AR1888" s="10" t="str">
        <f>IF(AND(I1888="TP",S1888&lt;=300),VLOOKUP(AF1888,TPCalibEq300!$AZ$2:$BB$55,3,),IF(AND(I1888="TDP",S1888&lt;=300),VLOOKUP(AF1888,TPCalibEq300!$AZ$2:$BB$55,3,)))</f>
        <v>y=-1.3807x2+80.818x-42.013</v>
      </c>
      <c r="AS1888" s="10" t="str">
        <f>IF(AND(I1888="TP",S1888&lt;=500),VLOOKUP(AF1888,TPCalibEq500!$AZ$2:$BB$56,3,),IF(AND(I1888="TDP",S1888&lt;=500),VLOOKUP(AF1888,TPCalibEq500!$AZ$2:$BB$56,3,)))</f>
        <v>y=0.6312x2+63.45x-30.993</v>
      </c>
      <c r="AT1888" s="10" t="b">
        <f>IF(AND(I1888="TN",S1888&lt;=2800),VLOOKUP(AF1888,TNCalibEq2500!$AZ$2:$BB$56,3,),IF(AND(I1888="TDN",S1888&lt;=2800),VLOOKUP(AF1888,TNCalibEq2500!$AZ$2:$BB$56,3,)))</f>
        <v>0</v>
      </c>
      <c r="AU1888" s="10" t="str">
        <f>IF(I1888="TP",VLOOKUP(AF1888,TPCalibEqFull!$AZ$2:$BB$56,3),IF(I1888="TDP",VLOOKUP(AF1888,TPCalibEqFull!$AZ$2:$BB$56,3),IF(I1888="TDN",VLOOKUP(AF1888,TNCalibEqFull!$AZ$1:$BB$56,3),IF(I1888="TN",VLOOKUP(AF1888,TNCalibEqFull!$AZ$1:$BB$56,3),FALSE))))</f>
        <v>y=0.0239x2+66.574x-31.913</v>
      </c>
      <c r="AV1888" s="10" t="str">
        <f t="shared" si="217"/>
        <v>0123 08:15:00-ELW-0-C-1-SW-UKN</v>
      </c>
    </row>
    <row r="1889" spans="1:48" s="10" customFormat="1" x14ac:dyDescent="0.55000000000000004">
      <c r="A1889" s="32">
        <v>44949</v>
      </c>
      <c r="B1889" s="33">
        <v>0.37777777777777777</v>
      </c>
      <c r="C1889" s="10" t="s">
        <v>270</v>
      </c>
      <c r="D1889" s="10">
        <v>0</v>
      </c>
      <c r="E1889" s="10" t="s">
        <v>190</v>
      </c>
      <c r="F1889" s="10">
        <v>1</v>
      </c>
      <c r="G1889" s="10" t="s">
        <v>231</v>
      </c>
      <c r="H1889" s="10" t="s">
        <v>322</v>
      </c>
      <c r="I1889" s="10" t="s">
        <v>83</v>
      </c>
      <c r="J1889" s="10">
        <v>16</v>
      </c>
      <c r="K1889" s="12">
        <v>44958</v>
      </c>
      <c r="L1889" s="33">
        <v>0.61025462962962962</v>
      </c>
      <c r="M1889" s="10">
        <v>1</v>
      </c>
      <c r="N1889" s="10" t="s">
        <v>84</v>
      </c>
      <c r="O1889" s="10">
        <v>3.02</v>
      </c>
      <c r="P1889" s="10">
        <v>0.21</v>
      </c>
      <c r="Q1889" s="10">
        <v>176</v>
      </c>
      <c r="R1889" s="10" t="s">
        <v>85</v>
      </c>
      <c r="S1889" s="34">
        <f t="shared" si="214"/>
        <v>189.46482372</v>
      </c>
      <c r="T1889" s="10" t="s">
        <v>1139</v>
      </c>
      <c r="U1889" s="34" t="str">
        <f t="shared" si="215"/>
        <v/>
      </c>
      <c r="V1889" s="31" t="str">
        <f>IF(H1889="CHK",VLOOKUP(I1889,QCCHK,3,),IF(H1889="GUP",VLOOKUP(E1889,QCGUP,2,),IF(AND(H1889="ATP",OR(I1889="TN",I1889="TDN",I1889="TNO2-3",I1889="NO2-3")),VLOOKUP(E1889,QCREC_N,2,),IF(AND(H1889="NIC",OR(I1889="TN",I1889="TDN",I1889="TNO2-3",I1889="NO2-3")),VLOOKUP(E1889,QCNIC_N,2,),IF(AND(H1889="UREA",OR(I1889="TN",I1889="TDN",I1889="TNO2-3",I1889="NO2-3")),VLOOKUP(E1889,QCUREA_N,2,),IF(H1889="PER",VLOOKUP(I1889,QCPER,MATCH(E1889,QCACTUAL!$J$25:$AA$25,0),),IF(H1889="SPK",VLOOKUP(I1889,QCSPK,3,),IF(AND(H1889="ATP",OR(I1889="TP",I1889="TDP")),VLOOKUP(E1889,QCATP_P,2,),""))))))))</f>
        <v/>
      </c>
      <c r="W1889" s="31" t="str">
        <f t="shared" si="216"/>
        <v>TRUE</v>
      </c>
      <c r="X1889" s="31" t="str">
        <f t="shared" si="213"/>
        <v/>
      </c>
      <c r="Y1889" s="10" t="s">
        <v>1126</v>
      </c>
      <c r="Z1889" s="10" t="s">
        <v>910</v>
      </c>
      <c r="AF1889" s="12">
        <v>44958</v>
      </c>
      <c r="AH1889" s="10">
        <f>-1.3807*3.02^2+80.818*3.02-42.013</f>
        <v>189.46482372</v>
      </c>
      <c r="AI1889" s="10">
        <f>0.6312*3.02^2+63.45*3.02-30.993</f>
        <v>166.38279648</v>
      </c>
      <c r="AK1889" s="10">
        <f>0.0239*3.02^2+66.574*3.02-31.913</f>
        <v>169.35845756000001</v>
      </c>
      <c r="AL1889" s="10" t="str">
        <f t="shared" si="211"/>
        <v>FALSE</v>
      </c>
      <c r="AM1889" s="10" t="str">
        <f t="shared" si="211"/>
        <v>y=-1.3807*3.02^2+80.818*3.02-42.013</v>
      </c>
      <c r="AN1889" s="10" t="str">
        <f t="shared" si="211"/>
        <v>y=0.6312*3.02^2+63.45*3.02-30.993</v>
      </c>
      <c r="AO1889" s="10" t="str">
        <f t="shared" si="212"/>
        <v>FALSE</v>
      </c>
      <c r="AP1889" s="10" t="str">
        <f t="shared" si="212"/>
        <v>y=0.0239*3.02^2+66.574*3.02-31.913</v>
      </c>
      <c r="AQ1889" s="10" t="b">
        <f>IF(AND(I1889="TP",S1889&lt;=150),VLOOKUP(AF1889,TPCalibEq150!$AZ$2:$BB$55,3,),IF(AND(I1889="TDP",S1889&lt;=150),VLOOKUP(AF1889,TPCalibEq150!$AZ$2:$BB$55,3,)))</f>
        <v>0</v>
      </c>
      <c r="AR1889" s="10" t="str">
        <f>IF(AND(I1889="TP",S1889&lt;=300),VLOOKUP(AF1889,TPCalibEq300!$AZ$2:$BB$55,3,),IF(AND(I1889="TDP",S1889&lt;=300),VLOOKUP(AF1889,TPCalibEq300!$AZ$2:$BB$55,3,)))</f>
        <v>y=-1.3807x2+80.818x-42.013</v>
      </c>
      <c r="AS1889" s="10" t="str">
        <f>IF(AND(I1889="TP",S1889&lt;=500),VLOOKUP(AF1889,TPCalibEq500!$AZ$2:$BB$56,3,),IF(AND(I1889="TDP",S1889&lt;=500),VLOOKUP(AF1889,TPCalibEq500!$AZ$2:$BB$56,3,)))</f>
        <v>y=0.6312x2+63.45x-30.993</v>
      </c>
      <c r="AT1889" s="10" t="b">
        <f>IF(AND(I1889="TN",S1889&lt;=2800),VLOOKUP(AF1889,TNCalibEq2500!$AZ$2:$BB$56,3,),IF(AND(I1889="TDN",S1889&lt;=2800),VLOOKUP(AF1889,TNCalibEq2500!$AZ$2:$BB$56,3,)))</f>
        <v>0</v>
      </c>
      <c r="AU1889" s="10" t="str">
        <f>IF(I1889="TP",VLOOKUP(AF1889,TPCalibEqFull!$AZ$2:$BB$56,3),IF(I1889="TDP",VLOOKUP(AF1889,TPCalibEqFull!$AZ$2:$BB$56,3),IF(I1889="TDN",VLOOKUP(AF1889,TNCalibEqFull!$AZ$1:$BB$56,3),IF(I1889="TN",VLOOKUP(AF1889,TNCalibEqFull!$AZ$1:$BB$56,3),FALSE))))</f>
        <v>y=0.0239x2+66.574x-31.913</v>
      </c>
      <c r="AV1889" s="10" t="str">
        <f t="shared" si="217"/>
        <v>0123 09:04:00-EFG-0-C-1-SW-UKN</v>
      </c>
    </row>
    <row r="1890" spans="1:48" s="10" customFormat="1" x14ac:dyDescent="0.55000000000000004">
      <c r="A1890" s="32">
        <v>44949</v>
      </c>
      <c r="B1890" s="33">
        <v>0.39027777777777778</v>
      </c>
      <c r="C1890" s="10" t="s">
        <v>540</v>
      </c>
      <c r="D1890" s="10">
        <v>0</v>
      </c>
      <c r="E1890" s="10" t="s">
        <v>190</v>
      </c>
      <c r="F1890" s="10">
        <v>1</v>
      </c>
      <c r="G1890" s="10" t="s">
        <v>231</v>
      </c>
      <c r="H1890" s="10" t="s">
        <v>322</v>
      </c>
      <c r="I1890" s="10" t="s">
        <v>83</v>
      </c>
      <c r="J1890" s="10">
        <v>17</v>
      </c>
      <c r="K1890" s="12">
        <v>44958</v>
      </c>
      <c r="L1890" s="33">
        <v>0.61094907407407406</v>
      </c>
      <c r="M1890" s="10">
        <v>1</v>
      </c>
      <c r="N1890" s="10" t="s">
        <v>84</v>
      </c>
      <c r="O1890" s="10">
        <v>3.22</v>
      </c>
      <c r="P1890" s="10">
        <v>0.22500000000000001</v>
      </c>
      <c r="Q1890" s="10">
        <v>190</v>
      </c>
      <c r="R1890" s="10" t="s">
        <v>85</v>
      </c>
      <c r="S1890" s="34">
        <f t="shared" si="214"/>
        <v>203.90531012000002</v>
      </c>
      <c r="T1890" s="10" t="s">
        <v>1139</v>
      </c>
      <c r="U1890" s="34" t="str">
        <f t="shared" si="215"/>
        <v/>
      </c>
      <c r="V1890" s="31" t="str">
        <f>IF(H1890="CHK",VLOOKUP(I1890,QCCHK,3,),IF(H1890="GUP",VLOOKUP(E1890,QCGUP,2,),IF(AND(H1890="ATP",OR(I1890="TN",I1890="TDN",I1890="TNO2-3",I1890="NO2-3")),VLOOKUP(E1890,QCREC_N,2,),IF(AND(H1890="NIC",OR(I1890="TN",I1890="TDN",I1890="TNO2-3",I1890="NO2-3")),VLOOKUP(E1890,QCNIC_N,2,),IF(AND(H1890="UREA",OR(I1890="TN",I1890="TDN",I1890="TNO2-3",I1890="NO2-3")),VLOOKUP(E1890,QCUREA_N,2,),IF(H1890="PER",VLOOKUP(I1890,QCPER,MATCH(E1890,QCACTUAL!$J$25:$AA$25,0),),IF(H1890="SPK",VLOOKUP(I1890,QCSPK,3,),IF(AND(H1890="ATP",OR(I1890="TP",I1890="TDP")),VLOOKUP(E1890,QCATP_P,2,),""))))))))</f>
        <v/>
      </c>
      <c r="W1890" s="31" t="str">
        <f t="shared" si="216"/>
        <v>TRUE</v>
      </c>
      <c r="X1890" s="31" t="str">
        <f t="shared" si="213"/>
        <v/>
      </c>
      <c r="Y1890" s="10" t="s">
        <v>1126</v>
      </c>
      <c r="Z1890" s="10" t="s">
        <v>910</v>
      </c>
      <c r="AF1890" s="12">
        <v>44958</v>
      </c>
      <c r="AH1890" s="10">
        <f>-1.3807*3.22^2+80.818*3.22-42.013</f>
        <v>203.90531012000002</v>
      </c>
      <c r="AI1890" s="10">
        <f>0.6312*3.22^2+63.45*3.22-30.993</f>
        <v>179.86053408000004</v>
      </c>
      <c r="AK1890" s="10">
        <f>0.0239*3.22^2+66.574*3.22-31.913</f>
        <v>182.70308476</v>
      </c>
      <c r="AL1890" s="10" t="str">
        <f t="shared" si="211"/>
        <v>FALSE</v>
      </c>
      <c r="AM1890" s="10" t="str">
        <f t="shared" si="211"/>
        <v>y=-1.3807*3.22^2+80.818*3.22-42.013</v>
      </c>
      <c r="AN1890" s="10" t="str">
        <f t="shared" si="211"/>
        <v>y=0.6312*3.22^2+63.45*3.22-30.993</v>
      </c>
      <c r="AO1890" s="10" t="str">
        <f t="shared" si="212"/>
        <v>FALSE</v>
      </c>
      <c r="AP1890" s="10" t="str">
        <f t="shared" si="212"/>
        <v>y=0.0239*3.22^2+66.574*3.22-31.913</v>
      </c>
      <c r="AQ1890" s="10" t="b">
        <f>IF(AND(I1890="TP",S1890&lt;=150),VLOOKUP(AF1890,TPCalibEq150!$AZ$2:$BB$55,3,),IF(AND(I1890="TDP",S1890&lt;=150),VLOOKUP(AF1890,TPCalibEq150!$AZ$2:$BB$55,3,)))</f>
        <v>0</v>
      </c>
      <c r="AR1890" s="10" t="str">
        <f>IF(AND(I1890="TP",S1890&lt;=300),VLOOKUP(AF1890,TPCalibEq300!$AZ$2:$BB$55,3,),IF(AND(I1890="TDP",S1890&lt;=300),VLOOKUP(AF1890,TPCalibEq300!$AZ$2:$BB$55,3,)))</f>
        <v>y=-1.3807x2+80.818x-42.013</v>
      </c>
      <c r="AS1890" s="10" t="str">
        <f>IF(AND(I1890="TP",S1890&lt;=500),VLOOKUP(AF1890,TPCalibEq500!$AZ$2:$BB$56,3,),IF(AND(I1890="TDP",S1890&lt;=500),VLOOKUP(AF1890,TPCalibEq500!$AZ$2:$BB$56,3,)))</f>
        <v>y=0.6312x2+63.45x-30.993</v>
      </c>
      <c r="AT1890" s="10" t="b">
        <f>IF(AND(I1890="TN",S1890&lt;=2800),VLOOKUP(AF1890,TNCalibEq2500!$AZ$2:$BB$56,3,),IF(AND(I1890="TDN",S1890&lt;=2800),VLOOKUP(AF1890,TNCalibEq2500!$AZ$2:$BB$56,3,)))</f>
        <v>0</v>
      </c>
      <c r="AU1890" s="10" t="str">
        <f>IF(I1890="TP",VLOOKUP(AF1890,TPCalibEqFull!$AZ$2:$BB$56,3),IF(I1890="TDP",VLOOKUP(AF1890,TPCalibEqFull!$AZ$2:$BB$56,3),IF(I1890="TDN",VLOOKUP(AF1890,TNCalibEqFull!$AZ$1:$BB$56,3),IF(I1890="TN",VLOOKUP(AF1890,TNCalibEqFull!$AZ$1:$BB$56,3),FALSE))))</f>
        <v>y=0.0239x2+66.574x-31.913</v>
      </c>
      <c r="AV1890" s="10" t="str">
        <f t="shared" si="217"/>
        <v>0123 09:22:00-S50-0-C-1-SW-UKN</v>
      </c>
    </row>
    <row r="1891" spans="1:48" s="10" customFormat="1" x14ac:dyDescent="0.55000000000000004">
      <c r="A1891" s="32">
        <v>44949</v>
      </c>
      <c r="B1891" s="33">
        <v>0.41250000000000003</v>
      </c>
      <c r="C1891" s="10" t="s">
        <v>528</v>
      </c>
      <c r="D1891" s="10">
        <v>0</v>
      </c>
      <c r="E1891" s="10" t="s">
        <v>190</v>
      </c>
      <c r="F1891" s="10">
        <v>1</v>
      </c>
      <c r="G1891" s="10" t="s">
        <v>231</v>
      </c>
      <c r="H1891" s="10" t="s">
        <v>322</v>
      </c>
      <c r="I1891" s="10" t="s">
        <v>83</v>
      </c>
      <c r="J1891" s="10">
        <v>18</v>
      </c>
      <c r="K1891" s="12">
        <v>44958</v>
      </c>
      <c r="L1891" s="33">
        <v>0.61165509259259265</v>
      </c>
      <c r="M1891" s="10">
        <v>1</v>
      </c>
      <c r="N1891" s="10" t="s">
        <v>84</v>
      </c>
      <c r="O1891" s="10">
        <v>2.11</v>
      </c>
      <c r="P1891" s="10">
        <v>0.14699999999999999</v>
      </c>
      <c r="Q1891" s="10">
        <v>115</v>
      </c>
      <c r="R1891" s="10" t="s">
        <v>85</v>
      </c>
      <c r="S1891" s="34">
        <f t="shared" si="214"/>
        <v>132.73331000000002</v>
      </c>
      <c r="T1891" s="10" t="s">
        <v>1139</v>
      </c>
      <c r="U1891" s="34" t="str">
        <f t="shared" si="215"/>
        <v/>
      </c>
      <c r="V1891" s="31" t="str">
        <f>IF(H1891="CHK",VLOOKUP(I1891,QCCHK,3,),IF(H1891="GUP",VLOOKUP(E1891,QCGUP,2,),IF(AND(H1891="ATP",OR(I1891="TN",I1891="TDN",I1891="TNO2-3",I1891="NO2-3")),VLOOKUP(E1891,QCREC_N,2,),IF(AND(H1891="NIC",OR(I1891="TN",I1891="TDN",I1891="TNO2-3",I1891="NO2-3")),VLOOKUP(E1891,QCNIC_N,2,),IF(AND(H1891="UREA",OR(I1891="TN",I1891="TDN",I1891="TNO2-3",I1891="NO2-3")),VLOOKUP(E1891,QCUREA_N,2,),IF(H1891="PER",VLOOKUP(I1891,QCPER,MATCH(E1891,QCACTUAL!$J$25:$AA$25,0),),IF(H1891="SPK",VLOOKUP(I1891,QCSPK,3,),IF(AND(H1891="ATP",OR(I1891="TP",I1891="TDP")),VLOOKUP(E1891,QCATP_P,2,),""))))))))</f>
        <v/>
      </c>
      <c r="W1891" s="31" t="str">
        <f t="shared" si="216"/>
        <v>TRUE</v>
      </c>
      <c r="X1891" s="31" t="str">
        <f t="shared" si="213"/>
        <v/>
      </c>
      <c r="Y1891" s="10" t="s">
        <v>1126</v>
      </c>
      <c r="Z1891" s="10" t="s">
        <v>910</v>
      </c>
      <c r="AF1891" s="12">
        <v>44958</v>
      </c>
      <c r="AG1891" s="10">
        <f>-20.9*2.11^2+141.62*2.11-73.036</f>
        <v>132.73331000000002</v>
      </c>
      <c r="AH1891" s="10">
        <f>-1.3807*2.11^2+80.818*2.11-42.013</f>
        <v>122.36596552999998</v>
      </c>
      <c r="AI1891" s="10">
        <f>0.6312*2.11^2+63.45*2.11-30.993</f>
        <v>105.69666552000001</v>
      </c>
      <c r="AK1891" s="10">
        <f>0.0239*2.11^2+66.574*2.11-31.913</f>
        <v>108.66454519</v>
      </c>
      <c r="AL1891" s="10" t="str">
        <f t="shared" si="211"/>
        <v>y=-20.90*2.11^2+141.62*2.11-73.036</v>
      </c>
      <c r="AM1891" s="10" t="str">
        <f t="shared" si="211"/>
        <v>y=-1.3807*2.11^2+80.818*2.11-42.013</v>
      </c>
      <c r="AN1891" s="10" t="str">
        <f t="shared" si="211"/>
        <v>y=0.6312*2.11^2+63.45*2.11-30.993</v>
      </c>
      <c r="AO1891" s="10" t="str">
        <f t="shared" si="212"/>
        <v>FALSE</v>
      </c>
      <c r="AP1891" s="10" t="str">
        <f t="shared" si="212"/>
        <v>y=0.0239*2.11^2+66.574*2.11-31.913</v>
      </c>
      <c r="AQ1891" s="10" t="str">
        <f>IF(AND(I1891="TP",S1891&lt;=150),VLOOKUP(AF1891,TPCalibEq150!$AZ$2:$BB$55,3,),IF(AND(I1891="TDP",S1891&lt;=150),VLOOKUP(AF1891,TPCalibEq150!$AZ$2:$BB$55,3,)))</f>
        <v>y=-20.90x2+141.62x-73.036</v>
      </c>
      <c r="AR1891" s="10" t="str">
        <f>IF(AND(I1891="TP",S1891&lt;=300),VLOOKUP(AF1891,TPCalibEq300!$AZ$2:$BB$55,3,),IF(AND(I1891="TDP",S1891&lt;=300),VLOOKUP(AF1891,TPCalibEq300!$AZ$2:$BB$55,3,)))</f>
        <v>y=-1.3807x2+80.818x-42.013</v>
      </c>
      <c r="AS1891" s="10" t="str">
        <f>IF(AND(I1891="TP",S1891&lt;=500),VLOOKUP(AF1891,TPCalibEq500!$AZ$2:$BB$56,3,),IF(AND(I1891="TDP",S1891&lt;=500),VLOOKUP(AF1891,TPCalibEq500!$AZ$2:$BB$56,3,)))</f>
        <v>y=0.6312x2+63.45x-30.993</v>
      </c>
      <c r="AT1891" s="10" t="b">
        <f>IF(AND(I1891="TN",S1891&lt;=2800),VLOOKUP(AF1891,TNCalibEq2500!$AZ$2:$BB$56,3,),IF(AND(I1891="TDN",S1891&lt;=2800),VLOOKUP(AF1891,TNCalibEq2500!$AZ$2:$BB$56,3,)))</f>
        <v>0</v>
      </c>
      <c r="AU1891" s="10" t="str">
        <f>IF(I1891="TP",VLOOKUP(AF1891,TPCalibEqFull!$AZ$2:$BB$56,3),IF(I1891="TDP",VLOOKUP(AF1891,TPCalibEqFull!$AZ$2:$BB$56,3),IF(I1891="TDN",VLOOKUP(AF1891,TNCalibEqFull!$AZ$1:$BB$56,3),IF(I1891="TN",VLOOKUP(AF1891,TNCalibEqFull!$AZ$1:$BB$56,3),FALSE))))</f>
        <v>y=0.0239x2+66.574x-31.913</v>
      </c>
      <c r="AV1891" s="10" t="str">
        <f t="shared" si="217"/>
        <v>0123 09:54:00-P04-0-C-1-SW-UKN</v>
      </c>
    </row>
    <row r="1892" spans="1:48" s="10" customFormat="1" x14ac:dyDescent="0.55000000000000004">
      <c r="A1892" s="32">
        <v>44949</v>
      </c>
      <c r="B1892" s="33">
        <v>0.42569444444444443</v>
      </c>
      <c r="C1892" s="10">
        <v>506</v>
      </c>
      <c r="D1892" s="10">
        <v>0</v>
      </c>
      <c r="E1892" s="10" t="s">
        <v>190</v>
      </c>
      <c r="F1892" s="10">
        <v>1</v>
      </c>
      <c r="G1892" s="10" t="s">
        <v>231</v>
      </c>
      <c r="H1892" s="10" t="s">
        <v>322</v>
      </c>
      <c r="I1892" s="10" t="s">
        <v>83</v>
      </c>
      <c r="J1892" s="10">
        <v>19</v>
      </c>
      <c r="K1892" s="12">
        <v>44958</v>
      </c>
      <c r="L1892" s="33">
        <v>0.61234953703703698</v>
      </c>
      <c r="M1892" s="10">
        <v>1</v>
      </c>
      <c r="N1892" s="10" t="s">
        <v>84</v>
      </c>
      <c r="O1892" s="10">
        <v>1.91</v>
      </c>
      <c r="P1892" s="10">
        <v>0.13100000000000001</v>
      </c>
      <c r="Q1892" s="10">
        <v>102</v>
      </c>
      <c r="R1892" s="10" t="s">
        <v>85</v>
      </c>
      <c r="S1892" s="34">
        <f t="shared" si="214"/>
        <v>121.21290999999997</v>
      </c>
      <c r="T1892" s="10" t="s">
        <v>1139</v>
      </c>
      <c r="U1892" s="34" t="str">
        <f t="shared" si="215"/>
        <v/>
      </c>
      <c r="V1892" s="31" t="str">
        <f>IF(H1892="CHK",VLOOKUP(I1892,QCCHK,3,),IF(H1892="GUP",VLOOKUP(E1892,QCGUP,2,),IF(AND(H1892="ATP",OR(I1892="TN",I1892="TDN",I1892="TNO2-3",I1892="NO2-3")),VLOOKUP(E1892,QCREC_N,2,),IF(AND(H1892="NIC",OR(I1892="TN",I1892="TDN",I1892="TNO2-3",I1892="NO2-3")),VLOOKUP(E1892,QCNIC_N,2,),IF(AND(H1892="UREA",OR(I1892="TN",I1892="TDN",I1892="TNO2-3",I1892="NO2-3")),VLOOKUP(E1892,QCUREA_N,2,),IF(H1892="PER",VLOOKUP(I1892,QCPER,MATCH(E1892,QCACTUAL!$J$25:$AA$25,0),),IF(H1892="SPK",VLOOKUP(I1892,QCSPK,3,),IF(AND(H1892="ATP",OR(I1892="TP",I1892="TDP")),VLOOKUP(E1892,QCATP_P,2,),""))))))))</f>
        <v/>
      </c>
      <c r="W1892" s="31" t="str">
        <f t="shared" si="216"/>
        <v>TRUE</v>
      </c>
      <c r="X1892" s="31" t="str">
        <f t="shared" si="213"/>
        <v/>
      </c>
      <c r="Y1892" s="10" t="s">
        <v>1126</v>
      </c>
      <c r="Z1892" s="10" t="s">
        <v>910</v>
      </c>
      <c r="AF1892" s="12">
        <v>44958</v>
      </c>
      <c r="AG1892" s="10">
        <f>-20.9*1.91^2+141.62*1.91-73.036</f>
        <v>121.21290999999997</v>
      </c>
      <c r="AH1892" s="10">
        <f>-1.3807*1.91^2+80.818*1.91-42.013</f>
        <v>107.31244833</v>
      </c>
      <c r="AI1892" s="10">
        <f>0.6312*1.91^2+63.45*1.91-30.993</f>
        <v>92.499180719999998</v>
      </c>
      <c r="AK1892" s="10">
        <f>0.0239*1.91^2+66.574*1.91-31.913</f>
        <v>95.330529589999983</v>
      </c>
      <c r="AL1892" s="10" t="str">
        <f t="shared" si="211"/>
        <v>y=-20.90*1.91^2+141.62*1.91-73.036</v>
      </c>
      <c r="AM1892" s="10" t="str">
        <f t="shared" si="211"/>
        <v>y=-1.3807*1.91^2+80.818*1.91-42.013</v>
      </c>
      <c r="AN1892" s="10" t="str">
        <f t="shared" si="211"/>
        <v>y=0.6312*1.91^2+63.45*1.91-30.993</v>
      </c>
      <c r="AO1892" s="10" t="str">
        <f t="shared" si="212"/>
        <v>FALSE</v>
      </c>
      <c r="AP1892" s="10" t="str">
        <f t="shared" si="212"/>
        <v>y=0.0239*1.91^2+66.574*1.91-31.913</v>
      </c>
      <c r="AQ1892" s="10" t="str">
        <f>IF(AND(I1892="TP",S1892&lt;=150),VLOOKUP(AF1892,TPCalibEq150!$AZ$2:$BB$55,3,),IF(AND(I1892="TDP",S1892&lt;=150),VLOOKUP(AF1892,TPCalibEq150!$AZ$2:$BB$55,3,)))</f>
        <v>y=-20.90x2+141.62x-73.036</v>
      </c>
      <c r="AR1892" s="10" t="str">
        <f>IF(AND(I1892="TP",S1892&lt;=300),VLOOKUP(AF1892,TPCalibEq300!$AZ$2:$BB$55,3,),IF(AND(I1892="TDP",S1892&lt;=300),VLOOKUP(AF1892,TPCalibEq300!$AZ$2:$BB$55,3,)))</f>
        <v>y=-1.3807x2+80.818x-42.013</v>
      </c>
      <c r="AS1892" s="10" t="str">
        <f>IF(AND(I1892="TP",S1892&lt;=500),VLOOKUP(AF1892,TPCalibEq500!$AZ$2:$BB$56,3,),IF(AND(I1892="TDP",S1892&lt;=500),VLOOKUP(AF1892,TPCalibEq500!$AZ$2:$BB$56,3,)))</f>
        <v>y=0.6312x2+63.45x-30.993</v>
      </c>
      <c r="AT1892" s="10" t="b">
        <f>IF(AND(I1892="TN",S1892&lt;=2800),VLOOKUP(AF1892,TNCalibEq2500!$AZ$2:$BB$56,3,),IF(AND(I1892="TDN",S1892&lt;=2800),VLOOKUP(AF1892,TNCalibEq2500!$AZ$2:$BB$56,3,)))</f>
        <v>0</v>
      </c>
      <c r="AU1892" s="10" t="str">
        <f>IF(I1892="TP",VLOOKUP(AF1892,TPCalibEqFull!$AZ$2:$BB$56,3),IF(I1892="TDP",VLOOKUP(AF1892,TPCalibEqFull!$AZ$2:$BB$56,3),IF(I1892="TDN",VLOOKUP(AF1892,TNCalibEqFull!$AZ$1:$BB$56,3),IF(I1892="TN",VLOOKUP(AF1892,TNCalibEqFull!$AZ$1:$BB$56,3),FALSE))))</f>
        <v>y=0.0239x2+66.574x-31.913</v>
      </c>
      <c r="AV1892" s="10" t="str">
        <f t="shared" si="217"/>
        <v>0123 10:13:00-506-0-C-1-SW-UKN</v>
      </c>
    </row>
    <row r="1893" spans="1:48" s="10" customFormat="1" x14ac:dyDescent="0.55000000000000004">
      <c r="A1893" s="32">
        <v>44949</v>
      </c>
      <c r="B1893" s="33">
        <v>0.43333333333333335</v>
      </c>
      <c r="C1893" s="10" t="s">
        <v>1104</v>
      </c>
      <c r="D1893" s="10">
        <v>0</v>
      </c>
      <c r="E1893" s="10" t="s">
        <v>190</v>
      </c>
      <c r="F1893" s="10">
        <v>1</v>
      </c>
      <c r="G1893" s="10" t="s">
        <v>231</v>
      </c>
      <c r="H1893" s="10" t="s">
        <v>322</v>
      </c>
      <c r="I1893" s="10" t="s">
        <v>83</v>
      </c>
      <c r="J1893" s="10">
        <v>20</v>
      </c>
      <c r="K1893" s="12">
        <v>44958</v>
      </c>
      <c r="L1893" s="33">
        <v>0.61304398148148154</v>
      </c>
      <c r="M1893" s="10">
        <v>1</v>
      </c>
      <c r="N1893" s="10" t="s">
        <v>84</v>
      </c>
      <c r="O1893" s="10">
        <v>1.86</v>
      </c>
      <c r="P1893" s="10">
        <v>0.128</v>
      </c>
      <c r="Q1893" s="10">
        <v>98.4</v>
      </c>
      <c r="R1893" s="10" t="s">
        <v>85</v>
      </c>
      <c r="S1893" s="34">
        <f t="shared" si="214"/>
        <v>118.07156000000001</v>
      </c>
      <c r="T1893" s="10" t="s">
        <v>1139</v>
      </c>
      <c r="U1893" s="34" t="str">
        <f t="shared" si="215"/>
        <v/>
      </c>
      <c r="V1893" s="31" t="str">
        <f>IF(H1893="CHK",VLOOKUP(I1893,QCCHK,3,),IF(H1893="GUP",VLOOKUP(E1893,QCGUP,2,),IF(AND(H1893="ATP",OR(I1893="TN",I1893="TDN",I1893="TNO2-3",I1893="NO2-3")),VLOOKUP(E1893,QCREC_N,2,),IF(AND(H1893="NIC",OR(I1893="TN",I1893="TDN",I1893="TNO2-3",I1893="NO2-3")),VLOOKUP(E1893,QCNIC_N,2,),IF(AND(H1893="UREA",OR(I1893="TN",I1893="TDN",I1893="TNO2-3",I1893="NO2-3")),VLOOKUP(E1893,QCUREA_N,2,),IF(H1893="PER",VLOOKUP(I1893,QCPER,MATCH(E1893,QCACTUAL!$J$25:$AA$25,0),),IF(H1893="SPK",VLOOKUP(I1893,QCSPK,3,),IF(AND(H1893="ATP",OR(I1893="TP",I1893="TDP")),VLOOKUP(E1893,QCATP_P,2,),""))))))))</f>
        <v/>
      </c>
      <c r="W1893" s="31" t="str">
        <f t="shared" si="216"/>
        <v>TRUE</v>
      </c>
      <c r="X1893" s="31" t="str">
        <f t="shared" si="213"/>
        <v/>
      </c>
      <c r="Y1893" s="10" t="s">
        <v>1126</v>
      </c>
      <c r="Z1893" s="10" t="s">
        <v>910</v>
      </c>
      <c r="AF1893" s="12">
        <v>44958</v>
      </c>
      <c r="AG1893" s="10">
        <f>-20.9*1.86^2+141.62*1.86-73.036</f>
        <v>118.07156000000001</v>
      </c>
      <c r="AH1893" s="10">
        <f>-1.3807*1.86^2+80.818*1.86-42.013</f>
        <v>103.53181028</v>
      </c>
      <c r="AI1893" s="10">
        <f>0.6312*1.86^2+63.45*1.86-30.993</f>
        <v>89.20769952000002</v>
      </c>
      <c r="AK1893" s="10">
        <f>0.0239*1.86^2+66.574*1.86-31.913</f>
        <v>91.99732444</v>
      </c>
      <c r="AL1893" s="10" t="str">
        <f t="shared" si="211"/>
        <v>y=-20.90*1.86^2+141.62*1.86-73.036</v>
      </c>
      <c r="AM1893" s="10" t="str">
        <f t="shared" si="211"/>
        <v>y=-1.3807*1.86^2+80.818*1.86-42.013</v>
      </c>
      <c r="AN1893" s="10" t="str">
        <f t="shared" si="211"/>
        <v>y=0.6312*1.86^2+63.45*1.86-30.993</v>
      </c>
      <c r="AO1893" s="10" t="str">
        <f t="shared" si="212"/>
        <v>FALSE</v>
      </c>
      <c r="AP1893" s="10" t="str">
        <f t="shared" si="212"/>
        <v>y=0.0239*1.86^2+66.574*1.86-31.913</v>
      </c>
      <c r="AQ1893" s="10" t="str">
        <f>IF(AND(I1893="TP",S1893&lt;=150),VLOOKUP(AF1893,TPCalibEq150!$AZ$2:$BB$55,3,),IF(AND(I1893="TDP",S1893&lt;=150),VLOOKUP(AF1893,TPCalibEq150!$AZ$2:$BB$55,3,)))</f>
        <v>y=-20.90x2+141.62x-73.036</v>
      </c>
      <c r="AR1893" s="10" t="str">
        <f>IF(AND(I1893="TP",S1893&lt;=300),VLOOKUP(AF1893,TPCalibEq300!$AZ$2:$BB$55,3,),IF(AND(I1893="TDP",S1893&lt;=300),VLOOKUP(AF1893,TPCalibEq300!$AZ$2:$BB$55,3,)))</f>
        <v>y=-1.3807x2+80.818x-42.013</v>
      </c>
      <c r="AS1893" s="10" t="str">
        <f>IF(AND(I1893="TP",S1893&lt;=500),VLOOKUP(AF1893,TPCalibEq500!$AZ$2:$BB$56,3,),IF(AND(I1893="TDP",S1893&lt;=500),VLOOKUP(AF1893,TPCalibEq500!$AZ$2:$BB$56,3,)))</f>
        <v>y=0.6312x2+63.45x-30.993</v>
      </c>
      <c r="AT1893" s="10" t="b">
        <f>IF(AND(I1893="TN",S1893&lt;=2800),VLOOKUP(AF1893,TNCalibEq2500!$AZ$2:$BB$56,3,),IF(AND(I1893="TDN",S1893&lt;=2800),VLOOKUP(AF1893,TNCalibEq2500!$AZ$2:$BB$56,3,)))</f>
        <v>0</v>
      </c>
      <c r="AU1893" s="10" t="str">
        <f>IF(I1893="TP",VLOOKUP(AF1893,TPCalibEqFull!$AZ$2:$BB$56,3),IF(I1893="TDP",VLOOKUP(AF1893,TPCalibEqFull!$AZ$2:$BB$56,3),IF(I1893="TDN",VLOOKUP(AF1893,TNCalibEqFull!$AZ$1:$BB$56,3),IF(I1893="TN",VLOOKUP(AF1893,TNCalibEqFull!$AZ$1:$BB$56,3),FALSE))))</f>
        <v>y=0.0239x2+66.574x-31.913</v>
      </c>
      <c r="AV1893" s="10" t="str">
        <f t="shared" si="217"/>
        <v>0123 10:24:00-LBW-0-C-1-SW-UKN</v>
      </c>
    </row>
    <row r="1894" spans="1:48" s="10" customFormat="1" x14ac:dyDescent="0.55000000000000004">
      <c r="A1894" s="32">
        <v>44949</v>
      </c>
      <c r="B1894" s="33">
        <v>0.45</v>
      </c>
      <c r="C1894" s="10" t="s">
        <v>537</v>
      </c>
      <c r="D1894" s="10">
        <v>0</v>
      </c>
      <c r="E1894" s="10" t="s">
        <v>190</v>
      </c>
      <c r="F1894" s="10">
        <v>1</v>
      </c>
      <c r="G1894" s="10" t="s">
        <v>231</v>
      </c>
      <c r="H1894" s="10" t="s">
        <v>322</v>
      </c>
      <c r="I1894" s="10" t="s">
        <v>83</v>
      </c>
      <c r="J1894" s="10">
        <v>21</v>
      </c>
      <c r="K1894" s="12">
        <v>44958</v>
      </c>
      <c r="L1894" s="33">
        <v>0.61373842592592587</v>
      </c>
      <c r="M1894" s="10">
        <v>1</v>
      </c>
      <c r="N1894" s="10" t="s">
        <v>84</v>
      </c>
      <c r="O1894" s="10">
        <v>2.37</v>
      </c>
      <c r="P1894" s="10">
        <v>0.16300000000000001</v>
      </c>
      <c r="Q1894" s="10">
        <v>132</v>
      </c>
      <c r="R1894" s="10" t="s">
        <v>85</v>
      </c>
      <c r="S1894" s="34">
        <f t="shared" si="214"/>
        <v>145.21019000000001</v>
      </c>
      <c r="T1894" s="10" t="s">
        <v>1139</v>
      </c>
      <c r="U1894" s="34" t="str">
        <f t="shared" si="215"/>
        <v/>
      </c>
      <c r="V1894" s="31" t="str">
        <f>IF(H1894="CHK",VLOOKUP(I1894,QCCHK,3,),IF(H1894="GUP",VLOOKUP(E1894,QCGUP,2,),IF(AND(H1894="ATP",OR(I1894="TN",I1894="TDN",I1894="TNO2-3",I1894="NO2-3")),VLOOKUP(E1894,QCREC_N,2,),IF(AND(H1894="NIC",OR(I1894="TN",I1894="TDN",I1894="TNO2-3",I1894="NO2-3")),VLOOKUP(E1894,QCNIC_N,2,),IF(AND(H1894="UREA",OR(I1894="TN",I1894="TDN",I1894="TNO2-3",I1894="NO2-3")),VLOOKUP(E1894,QCUREA_N,2,),IF(H1894="PER",VLOOKUP(I1894,QCPER,MATCH(E1894,QCACTUAL!$J$25:$AA$25,0),),IF(H1894="SPK",VLOOKUP(I1894,QCSPK,3,),IF(AND(H1894="ATP",OR(I1894="TP",I1894="TDP")),VLOOKUP(E1894,QCATP_P,2,),""))))))))</f>
        <v/>
      </c>
      <c r="W1894" s="31" t="str">
        <f t="shared" si="216"/>
        <v>TRUE</v>
      </c>
      <c r="X1894" s="31" t="str">
        <f t="shared" si="213"/>
        <v/>
      </c>
      <c r="Y1894" s="10" t="s">
        <v>1126</v>
      </c>
      <c r="Z1894" s="10" t="s">
        <v>910</v>
      </c>
      <c r="AF1894" s="12">
        <v>44958</v>
      </c>
      <c r="AG1894" s="10">
        <f>-20.9*2.37^2+141.62*2.37-73.036</f>
        <v>145.21019000000001</v>
      </c>
      <c r="AH1894" s="10">
        <f>-1.3807*2.37^2+80.818*2.37-42.013</f>
        <v>141.77040616999997</v>
      </c>
      <c r="AI1894" s="10">
        <f>0.6312*2.37^2+63.45*2.37-30.993</f>
        <v>122.92888728000003</v>
      </c>
      <c r="AK1894" s="10">
        <f>0.0239*2.37^2+66.574*2.37-31.913</f>
        <v>126.00162391000002</v>
      </c>
      <c r="AL1894" s="10" t="str">
        <f t="shared" si="211"/>
        <v>y=-20.90*2.37^2+141.62*2.37-73.036</v>
      </c>
      <c r="AM1894" s="10" t="str">
        <f t="shared" si="211"/>
        <v>y=-1.3807*2.37^2+80.818*2.37-42.013</v>
      </c>
      <c r="AN1894" s="10" t="str">
        <f t="shared" si="211"/>
        <v>y=0.6312*2.37^2+63.45*2.37-30.993</v>
      </c>
      <c r="AO1894" s="10" t="str">
        <f t="shared" si="212"/>
        <v>FALSE</v>
      </c>
      <c r="AP1894" s="10" t="str">
        <f t="shared" si="212"/>
        <v>y=0.0239*2.37^2+66.574*2.37-31.913</v>
      </c>
      <c r="AQ1894" s="10" t="str">
        <f>IF(AND(I1894="TP",S1894&lt;=150),VLOOKUP(AF1894,TPCalibEq150!$AZ$2:$BB$55,3,),IF(AND(I1894="TDP",S1894&lt;=150),VLOOKUP(AF1894,TPCalibEq150!$AZ$2:$BB$55,3,)))</f>
        <v>y=-20.90x2+141.62x-73.036</v>
      </c>
      <c r="AR1894" s="10" t="str">
        <f>IF(AND(I1894="TP",S1894&lt;=300),VLOOKUP(AF1894,TPCalibEq300!$AZ$2:$BB$55,3,),IF(AND(I1894="TDP",S1894&lt;=300),VLOOKUP(AF1894,TPCalibEq300!$AZ$2:$BB$55,3,)))</f>
        <v>y=-1.3807x2+80.818x-42.013</v>
      </c>
      <c r="AS1894" s="10" t="str">
        <f>IF(AND(I1894="TP",S1894&lt;=500),VLOOKUP(AF1894,TPCalibEq500!$AZ$2:$BB$56,3,),IF(AND(I1894="TDP",S1894&lt;=500),VLOOKUP(AF1894,TPCalibEq500!$AZ$2:$BB$56,3,)))</f>
        <v>y=0.6312x2+63.45x-30.993</v>
      </c>
      <c r="AT1894" s="10" t="b">
        <f>IF(AND(I1894="TN",S1894&lt;=2800),VLOOKUP(AF1894,TNCalibEq2500!$AZ$2:$BB$56,3,),IF(AND(I1894="TDN",S1894&lt;=2800),VLOOKUP(AF1894,TNCalibEq2500!$AZ$2:$BB$56,3,)))</f>
        <v>0</v>
      </c>
      <c r="AU1894" s="10" t="str">
        <f>IF(I1894="TP",VLOOKUP(AF1894,TPCalibEqFull!$AZ$2:$BB$56,3),IF(I1894="TDP",VLOOKUP(AF1894,TPCalibEqFull!$AZ$2:$BB$56,3),IF(I1894="TDN",VLOOKUP(AF1894,TNCalibEqFull!$AZ$1:$BB$56,3),IF(I1894="TN",VLOOKUP(AF1894,TNCalibEqFull!$AZ$1:$BB$56,3),FALSE))))</f>
        <v>y=0.0239x2+66.574x-31.913</v>
      </c>
      <c r="AV1894" s="10" t="str">
        <f t="shared" si="217"/>
        <v>0123 10:48:00-S51-0-C-1-SW-UKN</v>
      </c>
    </row>
    <row r="1895" spans="1:48" s="10" customFormat="1" x14ac:dyDescent="0.55000000000000004">
      <c r="A1895" s="32">
        <v>44949</v>
      </c>
      <c r="B1895" s="33">
        <v>0.46736111111111112</v>
      </c>
      <c r="C1895" s="10">
        <v>890</v>
      </c>
      <c r="D1895" s="10">
        <v>0</v>
      </c>
      <c r="E1895" s="10" t="s">
        <v>190</v>
      </c>
      <c r="F1895" s="10">
        <v>1</v>
      </c>
      <c r="G1895" s="10" t="s">
        <v>231</v>
      </c>
      <c r="H1895" s="10" t="s">
        <v>322</v>
      </c>
      <c r="I1895" s="10" t="s">
        <v>83</v>
      </c>
      <c r="J1895" s="10">
        <v>22</v>
      </c>
      <c r="K1895" s="12">
        <v>44958</v>
      </c>
      <c r="L1895" s="33">
        <v>0.61443287037037042</v>
      </c>
      <c r="M1895" s="10">
        <v>1</v>
      </c>
      <c r="N1895" s="10" t="s">
        <v>84</v>
      </c>
      <c r="O1895" s="10">
        <v>3.13</v>
      </c>
      <c r="P1895" s="10">
        <v>0.219</v>
      </c>
      <c r="Q1895" s="10">
        <v>183</v>
      </c>
      <c r="R1895" s="10" t="s">
        <v>85</v>
      </c>
      <c r="S1895" s="34">
        <f t="shared" si="214"/>
        <v>197.42076016999997</v>
      </c>
      <c r="T1895" s="10" t="s">
        <v>1139</v>
      </c>
      <c r="U1895" s="34" t="str">
        <f t="shared" si="215"/>
        <v/>
      </c>
      <c r="V1895" s="31" t="str">
        <f>IF(H1895="CHK",VLOOKUP(I1895,QCCHK,3,),IF(H1895="GUP",VLOOKUP(E1895,QCGUP,2,),IF(AND(H1895="ATP",OR(I1895="TN",I1895="TDN",I1895="TNO2-3",I1895="NO2-3")),VLOOKUP(E1895,QCREC_N,2,),IF(AND(H1895="NIC",OR(I1895="TN",I1895="TDN",I1895="TNO2-3",I1895="NO2-3")),VLOOKUP(E1895,QCNIC_N,2,),IF(AND(H1895="UREA",OR(I1895="TN",I1895="TDN",I1895="TNO2-3",I1895="NO2-3")),VLOOKUP(E1895,QCUREA_N,2,),IF(H1895="PER",VLOOKUP(I1895,QCPER,MATCH(E1895,QCACTUAL!$J$25:$AA$25,0),),IF(H1895="SPK",VLOOKUP(I1895,QCSPK,3,),IF(AND(H1895="ATP",OR(I1895="TP",I1895="TDP")),VLOOKUP(E1895,QCATP_P,2,),""))))))))</f>
        <v/>
      </c>
      <c r="W1895" s="31" t="str">
        <f t="shared" si="216"/>
        <v>TRUE</v>
      </c>
      <c r="X1895" s="31" t="str">
        <f t="shared" si="213"/>
        <v/>
      </c>
      <c r="Y1895" s="10" t="s">
        <v>1126</v>
      </c>
      <c r="Z1895" s="10" t="s">
        <v>910</v>
      </c>
      <c r="AF1895" s="12">
        <v>44958</v>
      </c>
      <c r="AH1895" s="10">
        <f>-1.3807*3.13^2+80.818*3.13-42.013</f>
        <v>197.42076016999997</v>
      </c>
      <c r="AI1895" s="10">
        <f>0.6312*3.13^2+63.45*3.13-30.993</f>
        <v>173.78930328000001</v>
      </c>
      <c r="AK1895" s="10">
        <f>0.0239*3.13^2+66.574*3.13-31.913</f>
        <v>176.69776590999996</v>
      </c>
      <c r="AL1895" s="10" t="str">
        <f t="shared" si="211"/>
        <v>FALSE</v>
      </c>
      <c r="AM1895" s="10" t="str">
        <f t="shared" si="211"/>
        <v>y=-1.3807*3.13^2+80.818*3.13-42.013</v>
      </c>
      <c r="AN1895" s="10" t="str">
        <f t="shared" si="211"/>
        <v>y=0.6312*3.13^2+63.45*3.13-30.993</v>
      </c>
      <c r="AO1895" s="10" t="str">
        <f t="shared" si="212"/>
        <v>FALSE</v>
      </c>
      <c r="AP1895" s="10" t="str">
        <f t="shared" si="212"/>
        <v>y=0.0239*3.13^2+66.574*3.13-31.913</v>
      </c>
      <c r="AQ1895" s="10" t="b">
        <f>IF(AND(I1895="TP",S1895&lt;=150),VLOOKUP(AF1895,TPCalibEq150!$AZ$2:$BB$55,3,),IF(AND(I1895="TDP",S1895&lt;=150),VLOOKUP(AF1895,TPCalibEq150!$AZ$2:$BB$55,3,)))</f>
        <v>0</v>
      </c>
      <c r="AR1895" s="10" t="str">
        <f>IF(AND(I1895="TP",S1895&lt;=300),VLOOKUP(AF1895,TPCalibEq300!$AZ$2:$BB$55,3,),IF(AND(I1895="TDP",S1895&lt;=300),VLOOKUP(AF1895,TPCalibEq300!$AZ$2:$BB$55,3,)))</f>
        <v>y=-1.3807x2+80.818x-42.013</v>
      </c>
      <c r="AS1895" s="10" t="str">
        <f>IF(AND(I1895="TP",S1895&lt;=500),VLOOKUP(AF1895,TPCalibEq500!$AZ$2:$BB$56,3,),IF(AND(I1895="TDP",S1895&lt;=500),VLOOKUP(AF1895,TPCalibEq500!$AZ$2:$BB$56,3,)))</f>
        <v>y=0.6312x2+63.45x-30.993</v>
      </c>
      <c r="AT1895" s="10" t="b">
        <f>IF(AND(I1895="TN",S1895&lt;=2800),VLOOKUP(AF1895,TNCalibEq2500!$AZ$2:$BB$56,3,),IF(AND(I1895="TDN",S1895&lt;=2800),VLOOKUP(AF1895,TNCalibEq2500!$AZ$2:$BB$56,3,)))</f>
        <v>0</v>
      </c>
      <c r="AU1895" s="10" t="str">
        <f>IF(I1895="TP",VLOOKUP(AF1895,TPCalibEqFull!$AZ$2:$BB$56,3),IF(I1895="TDP",VLOOKUP(AF1895,TPCalibEqFull!$AZ$2:$BB$56,3),IF(I1895="TDN",VLOOKUP(AF1895,TNCalibEqFull!$AZ$1:$BB$56,3),IF(I1895="TN",VLOOKUP(AF1895,TNCalibEqFull!$AZ$1:$BB$56,3),FALSE))))</f>
        <v>y=0.0239x2+66.574x-31.913</v>
      </c>
      <c r="AV1895" s="10" t="str">
        <f t="shared" si="217"/>
        <v>0123 11:13:00-890-0-C-1-SW-UKN</v>
      </c>
    </row>
    <row r="1896" spans="1:48" s="10" customFormat="1" x14ac:dyDescent="0.55000000000000004">
      <c r="A1896" s="32">
        <v>44949</v>
      </c>
      <c r="B1896" s="33">
        <v>0.4861111111111111</v>
      </c>
      <c r="C1896" s="10" t="s">
        <v>437</v>
      </c>
      <c r="D1896" s="10">
        <v>0</v>
      </c>
      <c r="E1896" s="10" t="s">
        <v>190</v>
      </c>
      <c r="F1896" s="10">
        <v>1</v>
      </c>
      <c r="G1896" s="10" t="s">
        <v>231</v>
      </c>
      <c r="H1896" s="10" t="s">
        <v>322</v>
      </c>
      <c r="I1896" s="10" t="s">
        <v>83</v>
      </c>
      <c r="J1896" s="10">
        <v>23</v>
      </c>
      <c r="K1896" s="12">
        <v>44958</v>
      </c>
      <c r="L1896" s="33">
        <v>0.6151388888888889</v>
      </c>
      <c r="M1896" s="10">
        <v>1</v>
      </c>
      <c r="N1896" s="10" t="s">
        <v>84</v>
      </c>
      <c r="O1896" s="10">
        <v>4.7699999999999996</v>
      </c>
      <c r="P1896" s="10">
        <v>0.33700000000000002</v>
      </c>
      <c r="Q1896" s="10">
        <v>293</v>
      </c>
      <c r="R1896" s="10" t="s">
        <v>85</v>
      </c>
      <c r="S1896" s="34">
        <f t="shared" si="214"/>
        <v>312.07393096999999</v>
      </c>
      <c r="T1896" s="10" t="s">
        <v>1139</v>
      </c>
      <c r="U1896" s="34" t="str">
        <f t="shared" si="215"/>
        <v/>
      </c>
      <c r="V1896" s="31" t="str">
        <f>IF(H1896="CHK",VLOOKUP(I1896,QCCHK,3,),IF(H1896="GUP",VLOOKUP(E1896,QCGUP,2,),IF(AND(H1896="ATP",OR(I1896="TN",I1896="TDN",I1896="TNO2-3",I1896="NO2-3")),VLOOKUP(E1896,QCREC_N,2,),IF(AND(H1896="NIC",OR(I1896="TN",I1896="TDN",I1896="TNO2-3",I1896="NO2-3")),VLOOKUP(E1896,QCNIC_N,2,),IF(AND(H1896="UREA",OR(I1896="TN",I1896="TDN",I1896="TNO2-3",I1896="NO2-3")),VLOOKUP(E1896,QCUREA_N,2,),IF(H1896="PER",VLOOKUP(I1896,QCPER,MATCH(E1896,QCACTUAL!$J$25:$AA$25,0),),IF(H1896="SPK",VLOOKUP(I1896,QCSPK,3,),IF(AND(H1896="ATP",OR(I1896="TP",I1896="TDP")),VLOOKUP(E1896,QCATP_P,2,),""))))))))</f>
        <v/>
      </c>
      <c r="W1896" s="31" t="str">
        <f t="shared" si="216"/>
        <v>TRUE</v>
      </c>
      <c r="X1896" s="31" t="str">
        <f t="shared" si="213"/>
        <v/>
      </c>
      <c r="Y1896" s="10" t="s">
        <v>1126</v>
      </c>
      <c r="Z1896" s="10" t="s">
        <v>910</v>
      </c>
      <c r="AF1896" s="12">
        <v>44958</v>
      </c>
      <c r="AH1896" s="10">
        <f>-1.3807*4.77^2+80.818*4.77-42.013</f>
        <v>312.07393096999999</v>
      </c>
      <c r="AI1896" s="10">
        <f>0.6312*4.77^2+63.45*4.77-30.993</f>
        <v>286.02513047999997</v>
      </c>
      <c r="AK1896" s="10">
        <f>0.0239*4.77^2+66.574*4.77-31.913</f>
        <v>286.18877430999999</v>
      </c>
      <c r="AL1896" s="10" t="str">
        <f t="shared" si="211"/>
        <v>FALSE</v>
      </c>
      <c r="AM1896" s="10" t="str">
        <f t="shared" si="211"/>
        <v>FALSE</v>
      </c>
      <c r="AN1896" s="10" t="str">
        <f t="shared" si="211"/>
        <v>y=0.6312*4.77^2+63.45*4.77-30.993</v>
      </c>
      <c r="AO1896" s="10" t="str">
        <f t="shared" si="212"/>
        <v>FALSE</v>
      </c>
      <c r="AP1896" s="10" t="str">
        <f t="shared" si="212"/>
        <v>y=0.0239*4.77^2+66.574*4.77-31.913</v>
      </c>
      <c r="AQ1896" s="10" t="b">
        <f>IF(AND(I1896="TP",S1896&lt;=150),VLOOKUP(AF1896,TPCalibEq150!$AZ$2:$BB$55,3,),IF(AND(I1896="TDP",S1896&lt;=150),VLOOKUP(AF1896,TPCalibEq150!$AZ$2:$BB$55,3,)))</f>
        <v>0</v>
      </c>
      <c r="AR1896" s="10" t="b">
        <f>IF(AND(I1896="TP",S1896&lt;=300),VLOOKUP(AF1896,TPCalibEq300!$AZ$2:$BB$55,3,),IF(AND(I1896="TDP",S1896&lt;=300),VLOOKUP(AF1896,TPCalibEq300!$AZ$2:$BB$55,3,)))</f>
        <v>0</v>
      </c>
      <c r="AS1896" s="10" t="str">
        <f>IF(AND(I1896="TP",S1896&lt;=500),VLOOKUP(AF1896,TPCalibEq500!$AZ$2:$BB$56,3,),IF(AND(I1896="TDP",S1896&lt;=500),VLOOKUP(AF1896,TPCalibEq500!$AZ$2:$BB$56,3,)))</f>
        <v>y=0.6312x2+63.45x-30.993</v>
      </c>
      <c r="AT1896" s="10" t="b">
        <f>IF(AND(I1896="TN",S1896&lt;=2800),VLOOKUP(AF1896,TNCalibEq2500!$AZ$2:$BB$56,3,),IF(AND(I1896="TDN",S1896&lt;=2800),VLOOKUP(AF1896,TNCalibEq2500!$AZ$2:$BB$56,3,)))</f>
        <v>0</v>
      </c>
      <c r="AU1896" s="10" t="str">
        <f>IF(I1896="TP",VLOOKUP(AF1896,TPCalibEqFull!$AZ$2:$BB$56,3),IF(I1896="TDP",VLOOKUP(AF1896,TPCalibEqFull!$AZ$2:$BB$56,3),IF(I1896="TDN",VLOOKUP(AF1896,TNCalibEqFull!$AZ$1:$BB$56,3),IF(I1896="TN",VLOOKUP(AF1896,TNCalibEqFull!$AZ$1:$BB$56,3),FALSE))))</f>
        <v>y=0.0239x2+66.574x-31.913</v>
      </c>
      <c r="AV1896" s="10" t="str">
        <f t="shared" si="217"/>
        <v>0123 11:40:00-FVM-0-C-1-SW-UKN</v>
      </c>
    </row>
    <row r="1897" spans="1:48" s="10" customFormat="1" x14ac:dyDescent="0.55000000000000004">
      <c r="A1897" s="32">
        <v>44949</v>
      </c>
      <c r="B1897" s="33">
        <v>0.4861111111111111</v>
      </c>
      <c r="C1897" s="10" t="s">
        <v>437</v>
      </c>
      <c r="D1897" s="10">
        <v>0</v>
      </c>
      <c r="E1897" s="10" t="s">
        <v>190</v>
      </c>
      <c r="F1897" s="10">
        <v>2</v>
      </c>
      <c r="G1897" s="10" t="s">
        <v>231</v>
      </c>
      <c r="H1897" s="10" t="s">
        <v>322</v>
      </c>
      <c r="I1897" s="10" t="s">
        <v>83</v>
      </c>
      <c r="J1897" s="10">
        <v>24</v>
      </c>
      <c r="K1897" s="12">
        <v>44958</v>
      </c>
      <c r="L1897" s="33">
        <v>0.61583333333333334</v>
      </c>
      <c r="M1897" s="10">
        <v>1</v>
      </c>
      <c r="N1897" s="10" t="s">
        <v>84</v>
      </c>
      <c r="O1897" s="10">
        <v>5.26</v>
      </c>
      <c r="P1897" s="10">
        <v>0.37</v>
      </c>
      <c r="Q1897" s="10">
        <v>326</v>
      </c>
      <c r="R1897" s="10" t="s">
        <v>85</v>
      </c>
      <c r="S1897" s="34">
        <f t="shared" si="214"/>
        <v>326</v>
      </c>
      <c r="T1897" s="10" t="s">
        <v>1139</v>
      </c>
      <c r="U1897" s="34" t="str">
        <f t="shared" si="215"/>
        <v/>
      </c>
      <c r="V1897" s="31" t="str">
        <f>IF(H1897="CHK",VLOOKUP(I1897,QCCHK,3,),IF(H1897="GUP",VLOOKUP(E1897,QCGUP,2,),IF(AND(H1897="ATP",OR(I1897="TN",I1897="TDN",I1897="TNO2-3",I1897="NO2-3")),VLOOKUP(E1897,QCREC_N,2,),IF(AND(H1897="NIC",OR(I1897="TN",I1897="TDN",I1897="TNO2-3",I1897="NO2-3")),VLOOKUP(E1897,QCNIC_N,2,),IF(AND(H1897="UREA",OR(I1897="TN",I1897="TDN",I1897="TNO2-3",I1897="NO2-3")),VLOOKUP(E1897,QCUREA_N,2,),IF(H1897="PER",VLOOKUP(I1897,QCPER,MATCH(E1897,QCACTUAL!$J$25:$AA$25,0),),IF(H1897="SPK",VLOOKUP(I1897,QCSPK,3,),IF(AND(H1897="ATP",OR(I1897="TP",I1897="TDP")),VLOOKUP(E1897,QCATP_P,2,),""))))))))</f>
        <v/>
      </c>
      <c r="W1897" s="31" t="str">
        <f t="shared" si="216"/>
        <v>TRUE</v>
      </c>
      <c r="X1897" s="31" t="str">
        <f t="shared" si="213"/>
        <v/>
      </c>
      <c r="Y1897" s="10" t="s">
        <v>1126</v>
      </c>
      <c r="Z1897" s="10" t="s">
        <v>910</v>
      </c>
      <c r="AF1897" s="12">
        <v>44958</v>
      </c>
      <c r="AI1897" s="10">
        <f>0.6312*5.26^2+63.45*5.26-30.993</f>
        <v>320.21778912000002</v>
      </c>
      <c r="AK1897" s="10">
        <f>0.0239*5.26^2+66.574*5.26-31.913</f>
        <v>318.92749563999996</v>
      </c>
      <c r="AL1897" s="10" t="str">
        <f t="shared" si="211"/>
        <v>FALSE</v>
      </c>
      <c r="AM1897" s="10" t="str">
        <f t="shared" si="211"/>
        <v>FALSE</v>
      </c>
      <c r="AN1897" s="10" t="str">
        <f t="shared" si="211"/>
        <v>y=0.6312*5.26^2+63.45*5.26-30.993</v>
      </c>
      <c r="AO1897" s="10" t="str">
        <f t="shared" si="212"/>
        <v>FALSE</v>
      </c>
      <c r="AP1897" s="10" t="str">
        <f t="shared" si="212"/>
        <v>y=0.0239*5.26^2+66.574*5.26-31.913</v>
      </c>
      <c r="AQ1897" s="10" t="b">
        <f>IF(AND(I1897="TP",S1897&lt;=150),VLOOKUP(AF1897,TPCalibEq150!$AZ$2:$BB$55,3,),IF(AND(I1897="TDP",S1897&lt;=150),VLOOKUP(AF1897,TPCalibEq150!$AZ$2:$BB$55,3,)))</f>
        <v>0</v>
      </c>
      <c r="AR1897" s="10" t="b">
        <f>IF(AND(I1897="TP",S1897&lt;=300),VLOOKUP(AF1897,TPCalibEq300!$AZ$2:$BB$55,3,),IF(AND(I1897="TDP",S1897&lt;=300),VLOOKUP(AF1897,TPCalibEq300!$AZ$2:$BB$55,3,)))</f>
        <v>0</v>
      </c>
      <c r="AS1897" s="10" t="str">
        <f>IF(AND(I1897="TP",S1897&lt;=500),VLOOKUP(AF1897,TPCalibEq500!$AZ$2:$BB$56,3,),IF(AND(I1897="TDP",S1897&lt;=500),VLOOKUP(AF1897,TPCalibEq500!$AZ$2:$BB$56,3,)))</f>
        <v>y=0.6312x2+63.45x-30.993</v>
      </c>
      <c r="AT1897" s="10" t="b">
        <f>IF(AND(I1897="TN",S1897&lt;=2800),VLOOKUP(AF1897,TNCalibEq2500!$AZ$2:$BB$56,3,),IF(AND(I1897="TDN",S1897&lt;=2800),VLOOKUP(AF1897,TNCalibEq2500!$AZ$2:$BB$56,3,)))</f>
        <v>0</v>
      </c>
      <c r="AU1897" s="10" t="str">
        <f>IF(I1897="TP",VLOOKUP(AF1897,TPCalibEqFull!$AZ$2:$BB$56,3),IF(I1897="TDP",VLOOKUP(AF1897,TPCalibEqFull!$AZ$2:$BB$56,3),IF(I1897="TDN",VLOOKUP(AF1897,TNCalibEqFull!$AZ$1:$BB$56,3),IF(I1897="TN",VLOOKUP(AF1897,TNCalibEqFull!$AZ$1:$BB$56,3),FALSE))))</f>
        <v>y=0.0239x2+66.574x-31.913</v>
      </c>
      <c r="AV1897" s="10" t="str">
        <f t="shared" si="217"/>
        <v>0123 11:40:00-FVM-0-C-2-SW-UKN</v>
      </c>
    </row>
    <row r="1898" spans="1:48" s="10" customFormat="1" x14ac:dyDescent="0.55000000000000004">
      <c r="A1898" s="32">
        <v>44949</v>
      </c>
      <c r="B1898" s="33">
        <v>0.4861111111111111</v>
      </c>
      <c r="C1898" s="10" t="s">
        <v>437</v>
      </c>
      <c r="D1898" s="10">
        <v>0</v>
      </c>
      <c r="E1898" s="10" t="s">
        <v>190</v>
      </c>
      <c r="F1898" s="10">
        <v>2</v>
      </c>
      <c r="G1898" s="10" t="s">
        <v>231</v>
      </c>
      <c r="H1898" s="10" t="s">
        <v>233</v>
      </c>
      <c r="I1898" s="10" t="s">
        <v>83</v>
      </c>
      <c r="J1898" s="10">
        <v>24</v>
      </c>
      <c r="K1898" s="12">
        <v>44958</v>
      </c>
      <c r="L1898" s="33">
        <v>0.61652777777777779</v>
      </c>
      <c r="M1898" s="10">
        <v>1</v>
      </c>
      <c r="N1898" s="10" t="s">
        <v>84</v>
      </c>
      <c r="O1898" s="10">
        <v>5.23</v>
      </c>
      <c r="P1898" s="10">
        <v>0.36799999999999999</v>
      </c>
      <c r="Q1898" s="10">
        <v>324</v>
      </c>
      <c r="R1898" s="10" t="s">
        <v>85</v>
      </c>
      <c r="S1898" s="34">
        <f t="shared" si="214"/>
        <v>324</v>
      </c>
      <c r="T1898" s="10" t="s">
        <v>1139</v>
      </c>
      <c r="U1898" s="34">
        <f t="shared" si="215"/>
        <v>0.61538461538461542</v>
      </c>
      <c r="V1898" s="31" t="str">
        <f>IF(H1898="CHK",VLOOKUP(I1898,QCCHK,3,),IF(H1898="GUP",VLOOKUP(E1898,QCGUP,2,),IF(AND(H1898="ATP",OR(I1898="TN",I1898="TDN",I1898="TNO2-3",I1898="NO2-3")),VLOOKUP(E1898,QCREC_N,2,),IF(AND(H1898="NIC",OR(I1898="TN",I1898="TDN",I1898="TNO2-3",I1898="NO2-3")),VLOOKUP(E1898,QCNIC_N,2,),IF(AND(H1898="UREA",OR(I1898="TN",I1898="TDN",I1898="TNO2-3",I1898="NO2-3")),VLOOKUP(E1898,QCUREA_N,2,),IF(H1898="PER",VLOOKUP(I1898,QCPER,MATCH(E1898,QCACTUAL!$J$25:$AA$25,0),),IF(H1898="SPK",VLOOKUP(I1898,QCSPK,3,),IF(AND(H1898="ATP",OR(I1898="TP",I1898="TDP")),VLOOKUP(E1898,QCATP_P,2,),""))))))))</f>
        <v/>
      </c>
      <c r="W1898" s="31" t="str">
        <f t="shared" si="216"/>
        <v>TRUE</v>
      </c>
      <c r="X1898" s="31" t="str">
        <f t="shared" si="213"/>
        <v>((ABS(rep1-rep2))/((rep1+rep2)/2)*100</v>
      </c>
      <c r="Y1898" s="10" t="s">
        <v>1126</v>
      </c>
      <c r="Z1898" s="10" t="s">
        <v>910</v>
      </c>
      <c r="AF1898" s="12">
        <v>44958</v>
      </c>
      <c r="AI1898" s="10">
        <f>0.6312*5.23^2+63.45*5.23-30.993</f>
        <v>318.11565048000006</v>
      </c>
      <c r="AK1898" s="10">
        <f>0.0239*5.23^2+66.574*5.23-31.913</f>
        <v>316.92275431000002</v>
      </c>
      <c r="AL1898" s="10" t="str">
        <f t="shared" si="211"/>
        <v>FALSE</v>
      </c>
      <c r="AM1898" s="10" t="str">
        <f t="shared" si="211"/>
        <v>FALSE</v>
      </c>
      <c r="AN1898" s="10" t="str">
        <f t="shared" si="211"/>
        <v>y=0.6312*5.23^2+63.45*5.23-30.993</v>
      </c>
      <c r="AO1898" s="10" t="str">
        <f t="shared" si="212"/>
        <v>FALSE</v>
      </c>
      <c r="AP1898" s="10" t="str">
        <f t="shared" si="212"/>
        <v>y=0.0239*5.23^2+66.574*5.23-31.913</v>
      </c>
      <c r="AQ1898" s="10" t="b">
        <f>IF(AND(I1898="TP",S1898&lt;=150),VLOOKUP(AF1898,TPCalibEq150!$AZ$2:$BB$55,3,),IF(AND(I1898="TDP",S1898&lt;=150),VLOOKUP(AF1898,TPCalibEq150!$AZ$2:$BB$55,3,)))</f>
        <v>0</v>
      </c>
      <c r="AR1898" s="10" t="b">
        <f>IF(AND(I1898="TP",S1898&lt;=300),VLOOKUP(AF1898,TPCalibEq300!$AZ$2:$BB$55,3,),IF(AND(I1898="TDP",S1898&lt;=300),VLOOKUP(AF1898,TPCalibEq300!$AZ$2:$BB$55,3,)))</f>
        <v>0</v>
      </c>
      <c r="AS1898" s="10" t="str">
        <f>IF(AND(I1898="TP",S1898&lt;=500),VLOOKUP(AF1898,TPCalibEq500!$AZ$2:$BB$56,3,),IF(AND(I1898="TDP",S1898&lt;=500),VLOOKUP(AF1898,TPCalibEq500!$AZ$2:$BB$56,3,)))</f>
        <v>y=0.6312x2+63.45x-30.993</v>
      </c>
      <c r="AT1898" s="10" t="b">
        <f>IF(AND(I1898="TN",S1898&lt;=2800),VLOOKUP(AF1898,TNCalibEq2500!$AZ$2:$BB$56,3,),IF(AND(I1898="TDN",S1898&lt;=2800),VLOOKUP(AF1898,TNCalibEq2500!$AZ$2:$BB$56,3,)))</f>
        <v>0</v>
      </c>
      <c r="AU1898" s="10" t="str">
        <f>IF(I1898="TP",VLOOKUP(AF1898,TPCalibEqFull!$AZ$2:$BB$56,3),IF(I1898="TDP",VLOOKUP(AF1898,TPCalibEqFull!$AZ$2:$BB$56,3),IF(I1898="TDN",VLOOKUP(AF1898,TNCalibEqFull!$AZ$1:$BB$56,3),IF(I1898="TN",VLOOKUP(AF1898,TNCalibEqFull!$AZ$1:$BB$56,3),FALSE))))</f>
        <v>y=0.0239x2+66.574x-31.913</v>
      </c>
      <c r="AV1898" s="10" t="str">
        <f t="shared" si="217"/>
        <v>0123 11:40:00-FVM-0-C-2-SW-DUP</v>
      </c>
    </row>
    <row r="1899" spans="1:48" s="10" customFormat="1" x14ac:dyDescent="0.55000000000000004">
      <c r="A1899" s="32">
        <v>44949</v>
      </c>
      <c r="B1899" s="33">
        <v>0.4861111111111111</v>
      </c>
      <c r="C1899" s="10" t="s">
        <v>437</v>
      </c>
      <c r="D1899" s="10">
        <v>0</v>
      </c>
      <c r="E1899" s="10" t="s">
        <v>190</v>
      </c>
      <c r="F1899" s="10">
        <v>2</v>
      </c>
      <c r="G1899" s="10" t="s">
        <v>231</v>
      </c>
      <c r="H1899" s="10" t="s">
        <v>314</v>
      </c>
      <c r="I1899" s="10" t="s">
        <v>83</v>
      </c>
      <c r="J1899" s="10">
        <v>83</v>
      </c>
      <c r="K1899" s="12">
        <v>44958</v>
      </c>
      <c r="L1899" s="33">
        <v>0.61721064814814819</v>
      </c>
      <c r="M1899" s="10">
        <v>1</v>
      </c>
      <c r="N1899" s="10" t="s">
        <v>84</v>
      </c>
      <c r="O1899" s="10">
        <v>20</v>
      </c>
      <c r="P1899" s="10">
        <v>1.38</v>
      </c>
      <c r="Q1899" s="10">
        <v>1310</v>
      </c>
      <c r="R1899" s="10" t="s">
        <v>85</v>
      </c>
      <c r="S1899" s="34">
        <f t="shared" si="214"/>
        <v>1310</v>
      </c>
      <c r="T1899" s="10" t="s">
        <v>1139</v>
      </c>
      <c r="U1899" s="34">
        <f t="shared" si="215"/>
        <v>98.6</v>
      </c>
      <c r="V1899" s="31">
        <f>IF(H1899="CHK",VLOOKUP(I1899,QCCHK,3,),IF(H1899="GUP",VLOOKUP(E1899,QCGUP,2,),IF(AND(H1899="ATP",OR(I1899="TN",I1899="TDN",I1899="TNO2-3",I1899="NO2-3")),VLOOKUP(E1899,QCREC_N,2,),IF(AND(H1899="NIC",OR(I1899="TN",I1899="TDN",I1899="TNO2-3",I1899="NO2-3")),VLOOKUP(E1899,QCNIC_N,2,),IF(AND(H1899="UREA",OR(I1899="TN",I1899="TDN",I1899="TNO2-3",I1899="NO2-3")),VLOOKUP(E1899,QCUREA_N,2,),IF(H1899="PER",VLOOKUP(I1899,QCPER,MATCH(E1899,QCACTUAL!$J$25:$AA$25,0),),IF(H1899="SPK",VLOOKUP(I1899,QCSPK,3,),IF(AND(H1899="ATP",OR(I1899="TP",I1899="TDP")),VLOOKUP(E1899,QCATP_P,2,),""))))))))</f>
        <v>1000</v>
      </c>
      <c r="W1899" s="31" t="str">
        <f t="shared" si="216"/>
        <v>TRUE</v>
      </c>
      <c r="X1899" s="31" t="str">
        <f t="shared" si="213"/>
        <v>([spikedunkn]-[unkn])/[spike]*100</v>
      </c>
      <c r="Y1899" s="10" t="s">
        <v>1126</v>
      </c>
      <c r="Z1899" s="10" t="s">
        <v>910</v>
      </c>
      <c r="AF1899" s="12">
        <v>44958</v>
      </c>
      <c r="AK1899" s="10">
        <f>0.0239*20^2+66.574*20-31.913</f>
        <v>1309.127</v>
      </c>
      <c r="AL1899" s="10" t="str">
        <f t="shared" si="211"/>
        <v>FALSE</v>
      </c>
      <c r="AM1899" s="10" t="str">
        <f t="shared" si="211"/>
        <v>FALSE</v>
      </c>
      <c r="AN1899" s="10" t="str">
        <f t="shared" si="211"/>
        <v>FALSE</v>
      </c>
      <c r="AO1899" s="10" t="str">
        <f t="shared" si="212"/>
        <v>FALSE</v>
      </c>
      <c r="AP1899" s="10" t="str">
        <f t="shared" si="212"/>
        <v>y=0.0239*20^2+66.574*20-31.913</v>
      </c>
      <c r="AQ1899" s="10" t="b">
        <f>IF(AND(I1899="TP",S1899&lt;=150),VLOOKUP(AF1899,TPCalibEq150!$AZ$2:$BB$55,3,),IF(AND(I1899="TDP",S1899&lt;=150),VLOOKUP(AF1899,TPCalibEq150!$AZ$2:$BB$55,3,)))</f>
        <v>0</v>
      </c>
      <c r="AR1899" s="10" t="b">
        <f>IF(AND(I1899="TP",S1899&lt;=300),VLOOKUP(AF1899,TPCalibEq300!$AZ$2:$BB$55,3,),IF(AND(I1899="TDP",S1899&lt;=300),VLOOKUP(AF1899,TPCalibEq300!$AZ$2:$BB$55,3,)))</f>
        <v>0</v>
      </c>
      <c r="AS1899" s="10" t="b">
        <f>IF(AND(I1899="TP",S1899&lt;=500),VLOOKUP(AF1899,TPCalibEq500!$AZ$2:$BB$56,3,),IF(AND(I1899="TDP",S1899&lt;=500),VLOOKUP(AF1899,TPCalibEq500!$AZ$2:$BB$56,3,)))</f>
        <v>0</v>
      </c>
      <c r="AT1899" s="10" t="b">
        <f>IF(AND(I1899="TN",S1899&lt;=2800),VLOOKUP(AF1899,TNCalibEq2500!$AZ$2:$BB$56,3,),IF(AND(I1899="TDN",S1899&lt;=2800),VLOOKUP(AF1899,TNCalibEq2500!$AZ$2:$BB$56,3,)))</f>
        <v>0</v>
      </c>
      <c r="AU1899" s="10" t="str">
        <f>IF(I1899="TP",VLOOKUP(AF1899,TPCalibEqFull!$AZ$2:$BB$56,3),IF(I1899="TDP",VLOOKUP(AF1899,TPCalibEqFull!$AZ$2:$BB$56,3),IF(I1899="TDN",VLOOKUP(AF1899,TNCalibEqFull!$AZ$1:$BB$56,3),IF(I1899="TN",VLOOKUP(AF1899,TNCalibEqFull!$AZ$1:$BB$56,3),FALSE))))</f>
        <v>y=0.0239x2+66.574x-31.913</v>
      </c>
      <c r="AV1899" s="10" t="str">
        <f t="shared" si="217"/>
        <v>0123 11:40:00-FVM-0-C-2-SW-SPK</v>
      </c>
    </row>
    <row r="1900" spans="1:48" s="10" customFormat="1" x14ac:dyDescent="0.55000000000000004">
      <c r="A1900" s="32">
        <v>44958</v>
      </c>
      <c r="B1900" s="33">
        <v>0.375</v>
      </c>
      <c r="C1900" s="10" t="s">
        <v>70</v>
      </c>
      <c r="D1900" s="10" t="s">
        <v>71</v>
      </c>
      <c r="E1900" s="10" t="s">
        <v>901</v>
      </c>
      <c r="F1900" s="10">
        <v>1</v>
      </c>
      <c r="G1900" s="10" t="s">
        <v>73</v>
      </c>
      <c r="H1900" s="10" t="s">
        <v>207</v>
      </c>
      <c r="I1900" s="10" t="s">
        <v>83</v>
      </c>
      <c r="J1900" s="10">
        <v>200</v>
      </c>
      <c r="K1900" s="12">
        <v>44958</v>
      </c>
      <c r="L1900" s="33">
        <v>0.61790509259259252</v>
      </c>
      <c r="M1900" s="10">
        <v>1</v>
      </c>
      <c r="N1900" s="10" t="s">
        <v>84</v>
      </c>
      <c r="O1900" s="10">
        <v>8.14</v>
      </c>
      <c r="P1900" s="10">
        <v>0.57299999999999995</v>
      </c>
      <c r="Q1900" s="10">
        <v>519</v>
      </c>
      <c r="R1900" s="10" t="s">
        <v>85</v>
      </c>
      <c r="S1900" s="34">
        <f t="shared" si="214"/>
        <v>519</v>
      </c>
      <c r="T1900" s="10" t="s">
        <v>1139</v>
      </c>
      <c r="U1900" s="34">
        <f t="shared" si="215"/>
        <v>103.8</v>
      </c>
      <c r="V1900" s="31">
        <f>IF(H1900="CHK",VLOOKUP(I1900,QCCHK,3,),IF(H1900="GUP",VLOOKUP(E1900,QCGUP,2,),IF(AND(H1900="ATP",OR(I1900="TN",I1900="TDN",I1900="TNO2-3",I1900="NO2-3")),VLOOKUP(E1900,QCREC_N,2,),IF(AND(H1900="NIC",OR(I1900="TN",I1900="TDN",I1900="TNO2-3",I1900="NO2-3")),VLOOKUP(E1900,QCNIC_N,2,),IF(AND(H1900="UREA",OR(I1900="TN",I1900="TDN",I1900="TNO2-3",I1900="NO2-3")),VLOOKUP(E1900,QCUREA_N,2,),IF(H1900="PER",VLOOKUP(I1900,QCPER,MATCH(E1900,QCACTUAL!$J$25:$AA$25,0),),IF(H1900="SPK",VLOOKUP(I1900,QCSPK,3,),IF(AND(H1900="ATP",OR(I1900="TP",I1900="TDP")),VLOOKUP(E1900,QCATP_P,2,),""))))))))</f>
        <v>500</v>
      </c>
      <c r="W1900" s="31" t="str">
        <f t="shared" si="216"/>
        <v>TRUE</v>
      </c>
      <c r="X1900" s="31" t="str">
        <f t="shared" si="213"/>
        <v>[chk]/[actual]*100</v>
      </c>
      <c r="Y1900" s="10" t="s">
        <v>1126</v>
      </c>
      <c r="AF1900" s="12">
        <v>44958</v>
      </c>
      <c r="AK1900" s="10">
        <f>0.0239*8.14^2+66.574*8.14-31.913</f>
        <v>511.58296444000007</v>
      </c>
      <c r="AL1900" s="10" t="str">
        <f t="shared" si="211"/>
        <v>FALSE</v>
      </c>
      <c r="AM1900" s="10" t="str">
        <f t="shared" si="211"/>
        <v>FALSE</v>
      </c>
      <c r="AN1900" s="10" t="str">
        <f t="shared" si="211"/>
        <v>FALSE</v>
      </c>
      <c r="AO1900" s="10" t="str">
        <f t="shared" si="212"/>
        <v>FALSE</v>
      </c>
      <c r="AP1900" s="10" t="str">
        <f t="shared" si="212"/>
        <v>y=0.0239*8.14^2+66.574*8.14-31.913</v>
      </c>
      <c r="AQ1900" s="10" t="b">
        <f>IF(AND(I1900="TP",S1900&lt;=150),VLOOKUP(AF1900,TPCalibEq150!$AZ$2:$BB$55,3,),IF(AND(I1900="TDP",S1900&lt;=150),VLOOKUP(AF1900,TPCalibEq150!$AZ$2:$BB$55,3,)))</f>
        <v>0</v>
      </c>
      <c r="AR1900" s="10" t="b">
        <f>IF(AND(I1900="TP",S1900&lt;=300),VLOOKUP(AF1900,TPCalibEq300!$AZ$2:$BB$55,3,),IF(AND(I1900="TDP",S1900&lt;=300),VLOOKUP(AF1900,TPCalibEq300!$AZ$2:$BB$55,3,)))</f>
        <v>0</v>
      </c>
      <c r="AS1900" s="10" t="b">
        <f>IF(AND(I1900="TP",S1900&lt;=500),VLOOKUP(AF1900,TPCalibEq500!$AZ$2:$BB$56,3,),IF(AND(I1900="TDP",S1900&lt;=500),VLOOKUP(AF1900,TPCalibEq500!$AZ$2:$BB$56,3,)))</f>
        <v>0</v>
      </c>
      <c r="AT1900" s="10" t="b">
        <f>IF(AND(I1900="TN",S1900&lt;=2800),VLOOKUP(AF1900,TNCalibEq2500!$AZ$2:$BB$56,3,),IF(AND(I1900="TDN",S1900&lt;=2800),VLOOKUP(AF1900,TNCalibEq2500!$AZ$2:$BB$56,3,)))</f>
        <v>0</v>
      </c>
      <c r="AU1900" s="10" t="str">
        <f>IF(I1900="TP",VLOOKUP(AF1900,TPCalibEqFull!$AZ$2:$BB$56,3),IF(I1900="TDP",VLOOKUP(AF1900,TPCalibEqFull!$AZ$2:$BB$56,3),IF(I1900="TDN",VLOOKUP(AF1900,TNCalibEqFull!$AZ$1:$BB$56,3),IF(I1900="TN",VLOOKUP(AF1900,TNCalibEqFull!$AZ$1:$BB$56,3),FALSE))))</f>
        <v>y=0.0239x2+66.574x-31.913</v>
      </c>
      <c r="AV1900" s="10" t="str">
        <f t="shared" si="217"/>
        <v>0201 09:00:00-QAC-STD-D-1-DI-CHK</v>
      </c>
    </row>
    <row r="1901" spans="1:48" s="10" customFormat="1" x14ac:dyDescent="0.55000000000000004">
      <c r="A1901" s="32">
        <v>44949</v>
      </c>
      <c r="B1901" s="33">
        <v>0.49861111111111112</v>
      </c>
      <c r="C1901" s="10" t="s">
        <v>336</v>
      </c>
      <c r="D1901" s="10">
        <v>0</v>
      </c>
      <c r="E1901" s="10" t="s">
        <v>190</v>
      </c>
      <c r="F1901" s="10">
        <v>1</v>
      </c>
      <c r="G1901" s="10" t="s">
        <v>231</v>
      </c>
      <c r="H1901" s="10" t="s">
        <v>322</v>
      </c>
      <c r="I1901" s="10" t="s">
        <v>83</v>
      </c>
      <c r="J1901" s="10">
        <v>25</v>
      </c>
      <c r="K1901" s="12">
        <v>44958</v>
      </c>
      <c r="L1901" s="33">
        <v>0.61859953703703707</v>
      </c>
      <c r="M1901" s="10">
        <v>1</v>
      </c>
      <c r="N1901" s="10" t="s">
        <v>84</v>
      </c>
      <c r="O1901" s="10">
        <v>3.57</v>
      </c>
      <c r="P1901" s="10">
        <v>0.25</v>
      </c>
      <c r="Q1901" s="10">
        <v>213</v>
      </c>
      <c r="R1901" s="10" t="s">
        <v>85</v>
      </c>
      <c r="S1901" s="34">
        <f t="shared" si="214"/>
        <v>228.91037657000001</v>
      </c>
      <c r="T1901" s="10" t="s">
        <v>1139</v>
      </c>
      <c r="U1901" s="34" t="str">
        <f t="shared" si="215"/>
        <v/>
      </c>
      <c r="V1901" s="31" t="str">
        <f>IF(H1901="CHK",VLOOKUP(I1901,QCCHK,3,),IF(H1901="GUP",VLOOKUP(E1901,QCGUP,2,),IF(AND(H1901="ATP",OR(I1901="TN",I1901="TDN",I1901="TNO2-3",I1901="NO2-3")),VLOOKUP(E1901,QCREC_N,2,),IF(AND(H1901="NIC",OR(I1901="TN",I1901="TDN",I1901="TNO2-3",I1901="NO2-3")),VLOOKUP(E1901,QCNIC_N,2,),IF(AND(H1901="UREA",OR(I1901="TN",I1901="TDN",I1901="TNO2-3",I1901="NO2-3")),VLOOKUP(E1901,QCUREA_N,2,),IF(H1901="PER",VLOOKUP(I1901,QCPER,MATCH(E1901,QCACTUAL!$J$25:$AA$25,0),),IF(H1901="SPK",VLOOKUP(I1901,QCSPK,3,),IF(AND(H1901="ATP",OR(I1901="TP",I1901="TDP")),VLOOKUP(E1901,QCATP_P,2,),""))))))))</f>
        <v/>
      </c>
      <c r="W1901" s="31" t="str">
        <f t="shared" si="216"/>
        <v>TRUE</v>
      </c>
      <c r="X1901" s="31" t="str">
        <f t="shared" si="213"/>
        <v/>
      </c>
      <c r="Y1901" s="10" t="s">
        <v>1126</v>
      </c>
      <c r="Z1901" s="10" t="s">
        <v>910</v>
      </c>
      <c r="AF1901" s="12">
        <v>44958</v>
      </c>
      <c r="AH1901" s="10">
        <f>-1.3807*3.57^2+80.818*3.57-42.013</f>
        <v>228.91037657000001</v>
      </c>
      <c r="AI1901" s="10">
        <f>0.6312*3.57^2+63.45*3.57-30.993</f>
        <v>203.56808088000002</v>
      </c>
      <c r="AK1901" s="10">
        <f>0.0239*3.57^2+66.574*3.57-31.913</f>
        <v>206.06078310999996</v>
      </c>
      <c r="AL1901" s="10" t="str">
        <f t="shared" si="211"/>
        <v>FALSE</v>
      </c>
      <c r="AM1901" s="10" t="str">
        <f t="shared" si="211"/>
        <v>y=-1.3807*3.57^2+80.818*3.57-42.013</v>
      </c>
      <c r="AN1901" s="10" t="str">
        <f t="shared" si="211"/>
        <v>y=0.6312*3.57^2+63.45*3.57-30.993</v>
      </c>
      <c r="AO1901" s="10" t="str">
        <f t="shared" si="212"/>
        <v>FALSE</v>
      </c>
      <c r="AP1901" s="10" t="str">
        <f t="shared" si="212"/>
        <v>y=0.0239*3.57^2+66.574*3.57-31.913</v>
      </c>
      <c r="AQ1901" s="10" t="b">
        <f>IF(AND(I1901="TP",S1901&lt;=150),VLOOKUP(AF1901,TPCalibEq150!$AZ$2:$BB$55,3,),IF(AND(I1901="TDP",S1901&lt;=150),VLOOKUP(AF1901,TPCalibEq150!$AZ$2:$BB$55,3,)))</f>
        <v>0</v>
      </c>
      <c r="AR1901" s="10" t="str">
        <f>IF(AND(I1901="TP",S1901&lt;=300),VLOOKUP(AF1901,TPCalibEq300!$AZ$2:$BB$55,3,),IF(AND(I1901="TDP",S1901&lt;=300),VLOOKUP(AF1901,TPCalibEq300!$AZ$2:$BB$55,3,)))</f>
        <v>y=-1.3807x2+80.818x-42.013</v>
      </c>
      <c r="AS1901" s="10" t="str">
        <f>IF(AND(I1901="TP",S1901&lt;=500),VLOOKUP(AF1901,TPCalibEq500!$AZ$2:$BB$56,3,),IF(AND(I1901="TDP",S1901&lt;=500),VLOOKUP(AF1901,TPCalibEq500!$AZ$2:$BB$56,3,)))</f>
        <v>y=0.6312x2+63.45x-30.993</v>
      </c>
      <c r="AT1901" s="10" t="b">
        <f>IF(AND(I1901="TN",S1901&lt;=2800),VLOOKUP(AF1901,TNCalibEq2500!$AZ$2:$BB$56,3,),IF(AND(I1901="TDN",S1901&lt;=2800),VLOOKUP(AF1901,TNCalibEq2500!$AZ$2:$BB$56,3,)))</f>
        <v>0</v>
      </c>
      <c r="AU1901" s="10" t="str">
        <f>IF(I1901="TP",VLOOKUP(AF1901,TPCalibEqFull!$AZ$2:$BB$56,3),IF(I1901="TDP",VLOOKUP(AF1901,TPCalibEqFull!$AZ$2:$BB$56,3),IF(I1901="TDN",VLOOKUP(AF1901,TNCalibEqFull!$AZ$1:$BB$56,3),IF(I1901="TN",VLOOKUP(AF1901,TNCalibEqFull!$AZ$1:$BB$56,3),FALSE))))</f>
        <v>y=0.0239x2+66.574x-31.913</v>
      </c>
      <c r="AV1901" s="10" t="str">
        <f t="shared" si="217"/>
        <v>0123 11:58:00-HWR-0-C-1-SW-UKN</v>
      </c>
    </row>
    <row r="1902" spans="1:48" s="10" customFormat="1" x14ac:dyDescent="0.55000000000000004">
      <c r="A1902" s="32">
        <v>44949</v>
      </c>
      <c r="B1902" s="33">
        <v>0.50555555555555554</v>
      </c>
      <c r="C1902" s="10" t="s">
        <v>295</v>
      </c>
      <c r="D1902" s="10">
        <v>0</v>
      </c>
      <c r="E1902" s="10" t="s">
        <v>190</v>
      </c>
      <c r="F1902" s="10">
        <v>1</v>
      </c>
      <c r="G1902" s="10" t="s">
        <v>231</v>
      </c>
      <c r="H1902" s="10" t="s">
        <v>322</v>
      </c>
      <c r="I1902" s="10" t="s">
        <v>83</v>
      </c>
      <c r="J1902" s="10">
        <v>26</v>
      </c>
      <c r="K1902" s="12">
        <v>44958</v>
      </c>
      <c r="L1902" s="33">
        <v>0.61928240740740736</v>
      </c>
      <c r="M1902" s="10">
        <v>1</v>
      </c>
      <c r="N1902" s="10" t="s">
        <v>84</v>
      </c>
      <c r="O1902" s="10">
        <v>2.5499999999999998</v>
      </c>
      <c r="P1902" s="10">
        <v>0.17899999999999999</v>
      </c>
      <c r="Q1902" s="10">
        <v>145</v>
      </c>
      <c r="R1902" s="10" t="s">
        <v>85</v>
      </c>
      <c r="S1902" s="34">
        <f t="shared" si="214"/>
        <v>155.09489824999997</v>
      </c>
      <c r="T1902" s="10" t="s">
        <v>1139</v>
      </c>
      <c r="U1902" s="34" t="str">
        <f t="shared" si="215"/>
        <v/>
      </c>
      <c r="V1902" s="31" t="str">
        <f>IF(H1902="CHK",VLOOKUP(I1902,QCCHK,3,),IF(H1902="GUP",VLOOKUP(E1902,QCGUP,2,),IF(AND(H1902="ATP",OR(I1902="TN",I1902="TDN",I1902="TNO2-3",I1902="NO2-3")),VLOOKUP(E1902,QCREC_N,2,),IF(AND(H1902="NIC",OR(I1902="TN",I1902="TDN",I1902="TNO2-3",I1902="NO2-3")),VLOOKUP(E1902,QCNIC_N,2,),IF(AND(H1902="UREA",OR(I1902="TN",I1902="TDN",I1902="TNO2-3",I1902="NO2-3")),VLOOKUP(E1902,QCUREA_N,2,),IF(H1902="PER",VLOOKUP(I1902,QCPER,MATCH(E1902,QCACTUAL!$J$25:$AA$25,0),),IF(H1902="SPK",VLOOKUP(I1902,QCSPK,3,),IF(AND(H1902="ATP",OR(I1902="TP",I1902="TDP")),VLOOKUP(E1902,QCATP_P,2,),""))))))))</f>
        <v/>
      </c>
      <c r="W1902" s="31" t="str">
        <f t="shared" si="216"/>
        <v>TRUE</v>
      </c>
      <c r="X1902" s="31" t="str">
        <f t="shared" si="213"/>
        <v/>
      </c>
      <c r="Y1902" s="10" t="s">
        <v>1126</v>
      </c>
      <c r="Z1902" s="10" t="s">
        <v>910</v>
      </c>
      <c r="AF1902" s="12">
        <v>44958</v>
      </c>
      <c r="AG1902" s="10">
        <f>-20.9*2.55^2+141.62*2.55-73.036</f>
        <v>152.19274999999999</v>
      </c>
      <c r="AH1902" s="10">
        <f>-1.3807*2.55^2+80.818*2.55-42.013</f>
        <v>155.09489824999997</v>
      </c>
      <c r="AI1902" s="10">
        <f>0.6312*2.55^2+63.45*2.55-30.993</f>
        <v>134.90887799999999</v>
      </c>
      <c r="AK1902" s="10">
        <f>0.0239*2.55^2+66.574*2.55-31.913</f>
        <v>138.00610974999995</v>
      </c>
      <c r="AL1902" s="10" t="str">
        <f t="shared" si="211"/>
        <v>FALSE</v>
      </c>
      <c r="AM1902" s="10" t="str">
        <f t="shared" si="211"/>
        <v>y=-1.3807*2.55^2+80.818*2.55-42.013</v>
      </c>
      <c r="AN1902" s="10" t="str">
        <f t="shared" si="211"/>
        <v>y=0.6312*2.55^2+63.45*2.55-30.993</v>
      </c>
      <c r="AO1902" s="10" t="str">
        <f t="shared" si="212"/>
        <v>FALSE</v>
      </c>
      <c r="AP1902" s="10" t="str">
        <f t="shared" si="212"/>
        <v>y=0.0239*2.55^2+66.574*2.55-31.913</v>
      </c>
      <c r="AQ1902" s="10" t="b">
        <f>IF(AND(I1902="TP",S1902&lt;=150),VLOOKUP(AF1902,TPCalibEq150!$AZ$2:$BB$55,3,),IF(AND(I1902="TDP",S1902&lt;=150),VLOOKUP(AF1902,TPCalibEq150!$AZ$2:$BB$55,3,)))</f>
        <v>0</v>
      </c>
      <c r="AR1902" s="10" t="str">
        <f>IF(AND(I1902="TP",S1902&lt;=300),VLOOKUP(AF1902,TPCalibEq300!$AZ$2:$BB$55,3,),IF(AND(I1902="TDP",S1902&lt;=300),VLOOKUP(AF1902,TPCalibEq300!$AZ$2:$BB$55,3,)))</f>
        <v>y=-1.3807x2+80.818x-42.013</v>
      </c>
      <c r="AS1902" s="10" t="str">
        <f>IF(AND(I1902="TP",S1902&lt;=500),VLOOKUP(AF1902,TPCalibEq500!$AZ$2:$BB$56,3,),IF(AND(I1902="TDP",S1902&lt;=500),VLOOKUP(AF1902,TPCalibEq500!$AZ$2:$BB$56,3,)))</f>
        <v>y=0.6312x2+63.45x-30.993</v>
      </c>
      <c r="AT1902" s="10" t="b">
        <f>IF(AND(I1902="TN",S1902&lt;=2800),VLOOKUP(AF1902,TNCalibEq2500!$AZ$2:$BB$56,3,),IF(AND(I1902="TDN",S1902&lt;=2800),VLOOKUP(AF1902,TNCalibEq2500!$AZ$2:$BB$56,3,)))</f>
        <v>0</v>
      </c>
      <c r="AU1902" s="10" t="str">
        <f>IF(I1902="TP",VLOOKUP(AF1902,TPCalibEqFull!$AZ$2:$BB$56,3),IF(I1902="TDP",VLOOKUP(AF1902,TPCalibEqFull!$AZ$2:$BB$56,3),IF(I1902="TDN",VLOOKUP(AF1902,TNCalibEqFull!$AZ$1:$BB$56,3),IF(I1902="TN",VLOOKUP(AF1902,TNCalibEqFull!$AZ$1:$BB$56,3),FALSE))))</f>
        <v>y=0.0239x2+66.574x-31.913</v>
      </c>
      <c r="AV1902" s="10" t="str">
        <f t="shared" si="217"/>
        <v>0123 12:08:00-EFM-0-C-1-SW-UKN</v>
      </c>
    </row>
    <row r="1903" spans="1:48" s="10" customFormat="1" x14ac:dyDescent="0.55000000000000004">
      <c r="A1903" s="32">
        <v>44949</v>
      </c>
      <c r="B1903" s="33">
        <v>0.52500000000000002</v>
      </c>
      <c r="C1903" s="10" t="s">
        <v>999</v>
      </c>
      <c r="D1903" s="10">
        <v>0</v>
      </c>
      <c r="E1903" s="10" t="s">
        <v>190</v>
      </c>
      <c r="F1903" s="10">
        <v>1</v>
      </c>
      <c r="G1903" s="10" t="s">
        <v>231</v>
      </c>
      <c r="H1903" s="10" t="s">
        <v>322</v>
      </c>
      <c r="I1903" s="10" t="s">
        <v>83</v>
      </c>
      <c r="J1903" s="10">
        <v>27</v>
      </c>
      <c r="K1903" s="12">
        <v>44958</v>
      </c>
      <c r="L1903" s="33">
        <v>0.61997685185185192</v>
      </c>
      <c r="M1903" s="10">
        <v>1</v>
      </c>
      <c r="N1903" s="10" t="s">
        <v>84</v>
      </c>
      <c r="O1903" s="10">
        <v>3.89</v>
      </c>
      <c r="P1903" s="10">
        <v>0.27300000000000002</v>
      </c>
      <c r="Q1903" s="10">
        <v>234</v>
      </c>
      <c r="R1903" s="10" t="s">
        <v>85</v>
      </c>
      <c r="S1903" s="34">
        <f t="shared" si="214"/>
        <v>251.47612953000001</v>
      </c>
      <c r="T1903" s="10" t="s">
        <v>1139</v>
      </c>
      <c r="U1903" s="34" t="str">
        <f t="shared" si="215"/>
        <v/>
      </c>
      <c r="V1903" s="31" t="str">
        <f>IF(H1903="CHK",VLOOKUP(I1903,QCCHK,3,),IF(H1903="GUP",VLOOKUP(E1903,QCGUP,2,),IF(AND(H1903="ATP",OR(I1903="TN",I1903="TDN",I1903="TNO2-3",I1903="NO2-3")),VLOOKUP(E1903,QCREC_N,2,),IF(AND(H1903="NIC",OR(I1903="TN",I1903="TDN",I1903="TNO2-3",I1903="NO2-3")),VLOOKUP(E1903,QCNIC_N,2,),IF(AND(H1903="UREA",OR(I1903="TN",I1903="TDN",I1903="TNO2-3",I1903="NO2-3")),VLOOKUP(E1903,QCUREA_N,2,),IF(H1903="PER",VLOOKUP(I1903,QCPER,MATCH(E1903,QCACTUAL!$J$25:$AA$25,0),),IF(H1903="SPK",VLOOKUP(I1903,QCSPK,3,),IF(AND(H1903="ATP",OR(I1903="TP",I1903="TDP")),VLOOKUP(E1903,QCATP_P,2,),""))))))))</f>
        <v/>
      </c>
      <c r="W1903" s="31" t="str">
        <f t="shared" si="216"/>
        <v>TRUE</v>
      </c>
      <c r="X1903" s="31" t="str">
        <f t="shared" si="213"/>
        <v/>
      </c>
      <c r="Y1903" s="10" t="s">
        <v>1126</v>
      </c>
      <c r="Z1903" s="10" t="s">
        <v>910</v>
      </c>
      <c r="AF1903" s="12">
        <v>44958</v>
      </c>
      <c r="AH1903" s="10">
        <f>-1.3807*3.89^2+80.818*3.89-42.013</f>
        <v>251.47612953000001</v>
      </c>
      <c r="AI1903" s="10">
        <f>0.6312*3.89^2+63.45*3.89-30.993</f>
        <v>225.37888151999999</v>
      </c>
      <c r="AK1903" s="10">
        <f>0.0239*3.89^2+66.574*3.89-31.913</f>
        <v>227.42151719000003</v>
      </c>
      <c r="AL1903" s="10" t="str">
        <f t="shared" si="211"/>
        <v>FALSE</v>
      </c>
      <c r="AM1903" s="10" t="str">
        <f t="shared" si="211"/>
        <v>y=-1.3807*3.89^2+80.818*3.89-42.013</v>
      </c>
      <c r="AN1903" s="10" t="str">
        <f t="shared" si="211"/>
        <v>y=0.6312*3.89^2+63.45*3.89-30.993</v>
      </c>
      <c r="AO1903" s="10" t="str">
        <f t="shared" si="212"/>
        <v>FALSE</v>
      </c>
      <c r="AP1903" s="10" t="str">
        <f t="shared" si="212"/>
        <v>y=0.0239*3.89^2+66.574*3.89-31.913</v>
      </c>
      <c r="AQ1903" s="10" t="b">
        <f>IF(AND(I1903="TP",S1903&lt;=150),VLOOKUP(AF1903,TPCalibEq150!$AZ$2:$BB$55,3,),IF(AND(I1903="TDP",S1903&lt;=150),VLOOKUP(AF1903,TPCalibEq150!$AZ$2:$BB$55,3,)))</f>
        <v>0</v>
      </c>
      <c r="AR1903" s="10" t="str">
        <f>IF(AND(I1903="TP",S1903&lt;=300),VLOOKUP(AF1903,TPCalibEq300!$AZ$2:$BB$55,3,),IF(AND(I1903="TDP",S1903&lt;=300),VLOOKUP(AF1903,TPCalibEq300!$AZ$2:$BB$55,3,)))</f>
        <v>y=-1.3807x2+80.818x-42.013</v>
      </c>
      <c r="AS1903" s="10" t="str">
        <f>IF(AND(I1903="TP",S1903&lt;=500),VLOOKUP(AF1903,TPCalibEq500!$AZ$2:$BB$56,3,),IF(AND(I1903="TDP",S1903&lt;=500),VLOOKUP(AF1903,TPCalibEq500!$AZ$2:$BB$56,3,)))</f>
        <v>y=0.6312x2+63.45x-30.993</v>
      </c>
      <c r="AT1903" s="10" t="b">
        <f>IF(AND(I1903="TN",S1903&lt;=2800),VLOOKUP(AF1903,TNCalibEq2500!$AZ$2:$BB$56,3,),IF(AND(I1903="TDN",S1903&lt;=2800),VLOOKUP(AF1903,TNCalibEq2500!$AZ$2:$BB$56,3,)))</f>
        <v>0</v>
      </c>
      <c r="AU1903" s="10" t="str">
        <f>IF(I1903="TP",VLOOKUP(AF1903,TPCalibEqFull!$AZ$2:$BB$56,3),IF(I1903="TDP",VLOOKUP(AF1903,TPCalibEqFull!$AZ$2:$BB$56,3),IF(I1903="TDN",VLOOKUP(AF1903,TNCalibEqFull!$AZ$1:$BB$56,3),IF(I1903="TN",VLOOKUP(AF1903,TNCalibEqFull!$AZ$1:$BB$56,3),FALSE))))</f>
        <v>y=0.0239x2+66.574x-31.913</v>
      </c>
      <c r="AV1903" s="10" t="str">
        <f t="shared" si="217"/>
        <v>0123 12:36:00-EAW-0-C-1-SW-UKN</v>
      </c>
    </row>
    <row r="1904" spans="1:48" s="10" customFormat="1" x14ac:dyDescent="0.55000000000000004">
      <c r="A1904" s="32">
        <v>44949</v>
      </c>
      <c r="B1904" s="33">
        <v>0.52916666666666667</v>
      </c>
      <c r="C1904" s="10" t="s">
        <v>310</v>
      </c>
      <c r="D1904" s="10">
        <v>0</v>
      </c>
      <c r="E1904" s="10" t="s">
        <v>190</v>
      </c>
      <c r="F1904" s="10">
        <v>1</v>
      </c>
      <c r="G1904" s="10" t="s">
        <v>231</v>
      </c>
      <c r="H1904" s="10" t="s">
        <v>322</v>
      </c>
      <c r="I1904" s="10" t="s">
        <v>83</v>
      </c>
      <c r="J1904" s="10">
        <v>28</v>
      </c>
      <c r="K1904" s="12">
        <v>44958</v>
      </c>
      <c r="L1904" s="33">
        <v>0.62065972222222221</v>
      </c>
      <c r="M1904" s="10">
        <v>1</v>
      </c>
      <c r="N1904" s="10" t="s">
        <v>84</v>
      </c>
      <c r="O1904" s="10">
        <v>3.76</v>
      </c>
      <c r="P1904" s="10">
        <v>0.26400000000000001</v>
      </c>
      <c r="Q1904" s="10">
        <v>225</v>
      </c>
      <c r="R1904" s="10" t="s">
        <v>85</v>
      </c>
      <c r="S1904" s="34">
        <f t="shared" si="214"/>
        <v>242.34289568</v>
      </c>
      <c r="T1904" s="10" t="s">
        <v>1139</v>
      </c>
      <c r="U1904" s="34" t="str">
        <f t="shared" si="215"/>
        <v/>
      </c>
      <c r="V1904" s="31" t="str">
        <f>IF(H1904="CHK",VLOOKUP(I1904,QCCHK,3,),IF(H1904="GUP",VLOOKUP(E1904,QCGUP,2,),IF(AND(H1904="ATP",OR(I1904="TN",I1904="TDN",I1904="TNO2-3",I1904="NO2-3")),VLOOKUP(E1904,QCREC_N,2,),IF(AND(H1904="NIC",OR(I1904="TN",I1904="TDN",I1904="TNO2-3",I1904="NO2-3")),VLOOKUP(E1904,QCNIC_N,2,),IF(AND(H1904="UREA",OR(I1904="TN",I1904="TDN",I1904="TNO2-3",I1904="NO2-3")),VLOOKUP(E1904,QCUREA_N,2,),IF(H1904="PER",VLOOKUP(I1904,QCPER,MATCH(E1904,QCACTUAL!$J$25:$AA$25,0),),IF(H1904="SPK",VLOOKUP(I1904,QCSPK,3,),IF(AND(H1904="ATP",OR(I1904="TP",I1904="TDP")),VLOOKUP(E1904,QCATP_P,2,),""))))))))</f>
        <v/>
      </c>
      <c r="W1904" s="31" t="str">
        <f t="shared" si="216"/>
        <v>TRUE</v>
      </c>
      <c r="X1904" s="31" t="str">
        <f t="shared" si="213"/>
        <v/>
      </c>
      <c r="Y1904" s="10" t="s">
        <v>1126</v>
      </c>
      <c r="Z1904" s="10" t="s">
        <v>910</v>
      </c>
      <c r="AF1904" s="12">
        <v>44958</v>
      </c>
      <c r="AH1904" s="10">
        <f>-1.3807*3.76^2+80.818*3.76-42.013</f>
        <v>242.34289568</v>
      </c>
      <c r="AI1904" s="10">
        <f>0.6312*3.76^2+63.45*3.76-30.993</f>
        <v>216.50265312000002</v>
      </c>
      <c r="AK1904" s="10">
        <f>0.0239*3.76^2+66.574*3.76-31.913</f>
        <v>218.74312863999995</v>
      </c>
      <c r="AL1904" s="10" t="str">
        <f t="shared" si="211"/>
        <v>FALSE</v>
      </c>
      <c r="AM1904" s="10" t="str">
        <f t="shared" si="211"/>
        <v>y=-1.3807*3.76^2+80.818*3.76-42.013</v>
      </c>
      <c r="AN1904" s="10" t="str">
        <f t="shared" si="211"/>
        <v>y=0.6312*3.76^2+63.45*3.76-30.993</v>
      </c>
      <c r="AO1904" s="10" t="str">
        <f t="shared" si="212"/>
        <v>FALSE</v>
      </c>
      <c r="AP1904" s="10" t="str">
        <f t="shared" si="212"/>
        <v>y=0.0239*3.76^2+66.574*3.76-31.913</v>
      </c>
      <c r="AQ1904" s="10" t="b">
        <f>IF(AND(I1904="TP",S1904&lt;=150),VLOOKUP(AF1904,TPCalibEq150!$AZ$2:$BB$55,3,),IF(AND(I1904="TDP",S1904&lt;=150),VLOOKUP(AF1904,TPCalibEq150!$AZ$2:$BB$55,3,)))</f>
        <v>0</v>
      </c>
      <c r="AR1904" s="10" t="str">
        <f>IF(AND(I1904="TP",S1904&lt;=300),VLOOKUP(AF1904,TPCalibEq300!$AZ$2:$BB$55,3,),IF(AND(I1904="TDP",S1904&lt;=300),VLOOKUP(AF1904,TPCalibEq300!$AZ$2:$BB$55,3,)))</f>
        <v>y=-1.3807x2+80.818x-42.013</v>
      </c>
      <c r="AS1904" s="10" t="str">
        <f>IF(AND(I1904="TP",S1904&lt;=500),VLOOKUP(AF1904,TPCalibEq500!$AZ$2:$BB$56,3,),IF(AND(I1904="TDP",S1904&lt;=500),VLOOKUP(AF1904,TPCalibEq500!$AZ$2:$BB$56,3,)))</f>
        <v>y=0.6312x2+63.45x-30.993</v>
      </c>
      <c r="AT1904" s="10" t="b">
        <f>IF(AND(I1904="TN",S1904&lt;=2800),VLOOKUP(AF1904,TNCalibEq2500!$AZ$2:$BB$56,3,),IF(AND(I1904="TDN",S1904&lt;=2800),VLOOKUP(AF1904,TNCalibEq2500!$AZ$2:$BB$56,3,)))</f>
        <v>0</v>
      </c>
      <c r="AU1904" s="10" t="str">
        <f>IF(I1904="TP",VLOOKUP(AF1904,TPCalibEqFull!$AZ$2:$BB$56,3),IF(I1904="TDP",VLOOKUP(AF1904,TPCalibEqFull!$AZ$2:$BB$56,3),IF(I1904="TDN",VLOOKUP(AF1904,TNCalibEqFull!$AZ$1:$BB$56,3),IF(I1904="TN",VLOOKUP(AF1904,TNCalibEqFull!$AZ$1:$BB$56,3),FALSE))))</f>
        <v>y=0.0239x2+66.574x-31.913</v>
      </c>
      <c r="AV1904" s="10" t="str">
        <f t="shared" si="217"/>
        <v>0123 12:42:00-ELI-0-C-1-SW-UKN</v>
      </c>
    </row>
    <row r="1905" spans="1:48" s="10" customFormat="1" x14ac:dyDescent="0.55000000000000004">
      <c r="A1905" s="32">
        <v>44949</v>
      </c>
      <c r="B1905" s="33">
        <v>0.52916666666666667</v>
      </c>
      <c r="C1905" s="10" t="s">
        <v>310</v>
      </c>
      <c r="D1905" s="10">
        <v>0</v>
      </c>
      <c r="E1905" s="10" t="s">
        <v>190</v>
      </c>
      <c r="F1905" s="10">
        <v>1</v>
      </c>
      <c r="G1905" s="10" t="s">
        <v>231</v>
      </c>
      <c r="H1905" s="10" t="s">
        <v>233</v>
      </c>
      <c r="I1905" s="10" t="s">
        <v>83</v>
      </c>
      <c r="J1905" s="10">
        <v>28</v>
      </c>
      <c r="K1905" s="12">
        <v>44958</v>
      </c>
      <c r="L1905" s="33">
        <v>0.62133101851851846</v>
      </c>
      <c r="M1905" s="10">
        <v>1</v>
      </c>
      <c r="N1905" s="10" t="s">
        <v>84</v>
      </c>
      <c r="O1905" s="10">
        <v>3.75</v>
      </c>
      <c r="P1905" s="10">
        <v>0.26300000000000001</v>
      </c>
      <c r="Q1905" s="10">
        <v>225</v>
      </c>
      <c r="R1905" s="10" t="s">
        <v>85</v>
      </c>
      <c r="S1905" s="34">
        <f t="shared" si="214"/>
        <v>241.63840624999997</v>
      </c>
      <c r="T1905" s="10" t="s">
        <v>1139</v>
      </c>
      <c r="U1905" s="34">
        <f t="shared" si="215"/>
        <v>0.29112258146779263</v>
      </c>
      <c r="V1905" s="31" t="str">
        <f>IF(H1905="CHK",VLOOKUP(I1905,QCCHK,3,),IF(H1905="GUP",VLOOKUP(E1905,QCGUP,2,),IF(AND(H1905="ATP",OR(I1905="TN",I1905="TDN",I1905="TNO2-3",I1905="NO2-3")),VLOOKUP(E1905,QCREC_N,2,),IF(AND(H1905="NIC",OR(I1905="TN",I1905="TDN",I1905="TNO2-3",I1905="NO2-3")),VLOOKUP(E1905,QCNIC_N,2,),IF(AND(H1905="UREA",OR(I1905="TN",I1905="TDN",I1905="TNO2-3",I1905="NO2-3")),VLOOKUP(E1905,QCUREA_N,2,),IF(H1905="PER",VLOOKUP(I1905,QCPER,MATCH(E1905,QCACTUAL!$J$25:$AA$25,0),),IF(H1905="SPK",VLOOKUP(I1905,QCSPK,3,),IF(AND(H1905="ATP",OR(I1905="TP",I1905="TDP")),VLOOKUP(E1905,QCATP_P,2,),""))))))))</f>
        <v/>
      </c>
      <c r="W1905" s="31" t="str">
        <f t="shared" si="216"/>
        <v>TRUE</v>
      </c>
      <c r="X1905" s="31" t="str">
        <f t="shared" si="213"/>
        <v>((ABS(rep1-rep2))/((rep1+rep2)/2)*100</v>
      </c>
      <c r="Y1905" s="10" t="s">
        <v>1126</v>
      </c>
      <c r="Z1905" s="10" t="s">
        <v>910</v>
      </c>
      <c r="AF1905" s="12">
        <v>44958</v>
      </c>
      <c r="AH1905" s="10">
        <f>-1.3807*3.75^2+80.818*3.75-42.013</f>
        <v>241.63840624999997</v>
      </c>
      <c r="AI1905" s="10">
        <f>0.6312*3.75^2+63.45*3.75-30.993</f>
        <v>215.82075</v>
      </c>
      <c r="AK1905" s="10">
        <f>0.0239*3.75^2+66.574*3.75-31.913</f>
        <v>218.07559375</v>
      </c>
      <c r="AL1905" s="10" t="str">
        <f t="shared" ref="AL1905:AN1968" si="218">IF($O1905="", "", IF(AQ1905&lt;&gt;"", SUBSTITUTE(SUBSTITUTE(AQ1905, "x", "*"&amp;$O1905&amp;"^", 1), "x", "*"&amp;$O1905, 1), ""))</f>
        <v>FALSE</v>
      </c>
      <c r="AM1905" s="10" t="str">
        <f t="shared" si="218"/>
        <v>y=-1.3807*3.75^2+80.818*3.75-42.013</v>
      </c>
      <c r="AN1905" s="10" t="str">
        <f t="shared" si="218"/>
        <v>y=0.6312*3.75^2+63.45*3.75-30.993</v>
      </c>
      <c r="AO1905" s="10" t="str">
        <f t="shared" ref="AO1905:AP1968" si="219">IF($O1905="", "FALSE", IF(AT1905&lt;&gt;"FALSE", SUBSTITUTE(SUBSTITUTE(AT1905, "x", "*"&amp;$O1905&amp;"^", 1), "x", "*"&amp;$O1905, 1), ""))</f>
        <v>FALSE</v>
      </c>
      <c r="AP1905" s="10" t="str">
        <f t="shared" si="219"/>
        <v>y=0.0239*3.75^2+66.574*3.75-31.913</v>
      </c>
      <c r="AQ1905" s="10" t="b">
        <f>IF(AND(I1905="TP",S1905&lt;=150),VLOOKUP(AF1905,TPCalibEq150!$AZ$2:$BB$55,3,),IF(AND(I1905="TDP",S1905&lt;=150),VLOOKUP(AF1905,TPCalibEq150!$AZ$2:$BB$55,3,)))</f>
        <v>0</v>
      </c>
      <c r="AR1905" s="10" t="str">
        <f>IF(AND(I1905="TP",S1905&lt;=300),VLOOKUP(AF1905,TPCalibEq300!$AZ$2:$BB$55,3,),IF(AND(I1905="TDP",S1905&lt;=300),VLOOKUP(AF1905,TPCalibEq300!$AZ$2:$BB$55,3,)))</f>
        <v>y=-1.3807x2+80.818x-42.013</v>
      </c>
      <c r="AS1905" s="10" t="str">
        <f>IF(AND(I1905="TP",S1905&lt;=500),VLOOKUP(AF1905,TPCalibEq500!$AZ$2:$BB$56,3,),IF(AND(I1905="TDP",S1905&lt;=500),VLOOKUP(AF1905,TPCalibEq500!$AZ$2:$BB$56,3,)))</f>
        <v>y=0.6312x2+63.45x-30.993</v>
      </c>
      <c r="AT1905" s="10" t="b">
        <f>IF(AND(I1905="TN",S1905&lt;=2800),VLOOKUP(AF1905,TNCalibEq2500!$AZ$2:$BB$56,3,),IF(AND(I1905="TDN",S1905&lt;=2800),VLOOKUP(AF1905,TNCalibEq2500!$AZ$2:$BB$56,3,)))</f>
        <v>0</v>
      </c>
      <c r="AU1905" s="10" t="str">
        <f>IF(I1905="TP",VLOOKUP(AF1905,TPCalibEqFull!$AZ$2:$BB$56,3),IF(I1905="TDP",VLOOKUP(AF1905,TPCalibEqFull!$AZ$2:$BB$56,3),IF(I1905="TDN",VLOOKUP(AF1905,TNCalibEqFull!$AZ$1:$BB$56,3),IF(I1905="TN",VLOOKUP(AF1905,TNCalibEqFull!$AZ$1:$BB$56,3),FALSE))))</f>
        <v>y=0.0239x2+66.574x-31.913</v>
      </c>
      <c r="AV1905" s="10" t="str">
        <f t="shared" si="217"/>
        <v>0123 12:42:00-ELI-0-C-1-SW-DUP</v>
      </c>
    </row>
    <row r="1906" spans="1:48" s="10" customFormat="1" x14ac:dyDescent="0.55000000000000004">
      <c r="A1906" s="32">
        <v>44949</v>
      </c>
      <c r="B1906" s="33">
        <v>0.52916666666666667</v>
      </c>
      <c r="C1906" s="10" t="s">
        <v>310</v>
      </c>
      <c r="D1906" s="10">
        <v>0</v>
      </c>
      <c r="E1906" s="10" t="s">
        <v>190</v>
      </c>
      <c r="F1906" s="10">
        <v>1</v>
      </c>
      <c r="G1906" s="10" t="s">
        <v>231</v>
      </c>
      <c r="H1906" s="10" t="s">
        <v>314</v>
      </c>
      <c r="I1906" s="10" t="s">
        <v>83</v>
      </c>
      <c r="J1906" s="10">
        <v>84</v>
      </c>
      <c r="K1906" s="12">
        <v>44958</v>
      </c>
      <c r="L1906" s="33">
        <v>0.62202546296296302</v>
      </c>
      <c r="M1906" s="10">
        <v>1</v>
      </c>
      <c r="N1906" s="10" t="s">
        <v>84</v>
      </c>
      <c r="O1906" s="10">
        <v>18.600000000000001</v>
      </c>
      <c r="P1906" s="10">
        <v>1.29</v>
      </c>
      <c r="Q1906" s="10">
        <v>1220</v>
      </c>
      <c r="R1906" s="10" t="s">
        <v>85</v>
      </c>
      <c r="S1906" s="34">
        <f t="shared" si="214"/>
        <v>1220</v>
      </c>
      <c r="T1906" s="10" t="s">
        <v>1139</v>
      </c>
      <c r="U1906" s="34">
        <f t="shared" si="215"/>
        <v>97.836159374999994</v>
      </c>
      <c r="V1906" s="31">
        <f>IF(H1906="CHK",VLOOKUP(I1906,QCCHK,3,),IF(H1906="GUP",VLOOKUP(E1906,QCGUP,2,),IF(AND(H1906="ATP",OR(I1906="TN",I1906="TDN",I1906="TNO2-3",I1906="NO2-3")),VLOOKUP(E1906,QCREC_N,2,),IF(AND(H1906="NIC",OR(I1906="TN",I1906="TDN",I1906="TNO2-3",I1906="NO2-3")),VLOOKUP(E1906,QCNIC_N,2,),IF(AND(H1906="UREA",OR(I1906="TN",I1906="TDN",I1906="TNO2-3",I1906="NO2-3")),VLOOKUP(E1906,QCUREA_N,2,),IF(H1906="PER",VLOOKUP(I1906,QCPER,MATCH(E1906,QCACTUAL!$J$25:$AA$25,0),),IF(H1906="SPK",VLOOKUP(I1906,QCSPK,3,),IF(AND(H1906="ATP",OR(I1906="TP",I1906="TDP")),VLOOKUP(E1906,QCATP_P,2,),""))))))))</f>
        <v>1000</v>
      </c>
      <c r="W1906" s="31" t="str">
        <f t="shared" si="216"/>
        <v>TRUE</v>
      </c>
      <c r="X1906" s="31" t="str">
        <f t="shared" si="213"/>
        <v>([spikedunkn]-[unkn])/[spike]*100</v>
      </c>
      <c r="Y1906" s="10" t="s">
        <v>1126</v>
      </c>
      <c r="Z1906" s="10" t="s">
        <v>910</v>
      </c>
      <c r="AF1906" s="12">
        <v>44958</v>
      </c>
      <c r="AK1906" s="10">
        <f>0.0239*18.6^2+66.574*18.6-31.913</f>
        <v>1214.631844</v>
      </c>
      <c r="AL1906" s="10" t="str">
        <f t="shared" si="218"/>
        <v>FALSE</v>
      </c>
      <c r="AM1906" s="10" t="str">
        <f t="shared" si="218"/>
        <v>FALSE</v>
      </c>
      <c r="AN1906" s="10" t="str">
        <f t="shared" si="218"/>
        <v>FALSE</v>
      </c>
      <c r="AO1906" s="10" t="str">
        <f t="shared" si="219"/>
        <v>FALSE</v>
      </c>
      <c r="AP1906" s="10" t="str">
        <f t="shared" si="219"/>
        <v>y=0.0239*18.6^2+66.574*18.6-31.913</v>
      </c>
      <c r="AQ1906" s="10" t="b">
        <f>IF(AND(I1906="TP",S1906&lt;=150),VLOOKUP(AF1906,TPCalibEq150!$AZ$2:$BB$55,3,),IF(AND(I1906="TDP",S1906&lt;=150),VLOOKUP(AF1906,TPCalibEq150!$AZ$2:$BB$55,3,)))</f>
        <v>0</v>
      </c>
      <c r="AR1906" s="10" t="b">
        <f>IF(AND(I1906="TP",S1906&lt;=300),VLOOKUP(AF1906,TPCalibEq300!$AZ$2:$BB$55,3,),IF(AND(I1906="TDP",S1906&lt;=300),VLOOKUP(AF1906,TPCalibEq300!$AZ$2:$BB$55,3,)))</f>
        <v>0</v>
      </c>
      <c r="AS1906" s="10" t="b">
        <f>IF(AND(I1906="TP",S1906&lt;=500),VLOOKUP(AF1906,TPCalibEq500!$AZ$2:$BB$56,3,),IF(AND(I1906="TDP",S1906&lt;=500),VLOOKUP(AF1906,TPCalibEq500!$AZ$2:$BB$56,3,)))</f>
        <v>0</v>
      </c>
      <c r="AT1906" s="10" t="b">
        <f>IF(AND(I1906="TN",S1906&lt;=2800),VLOOKUP(AF1906,TNCalibEq2500!$AZ$2:$BB$56,3,),IF(AND(I1906="TDN",S1906&lt;=2800),VLOOKUP(AF1906,TNCalibEq2500!$AZ$2:$BB$56,3,)))</f>
        <v>0</v>
      </c>
      <c r="AU1906" s="10" t="str">
        <f>IF(I1906="TP",VLOOKUP(AF1906,TPCalibEqFull!$AZ$2:$BB$56,3),IF(I1906="TDP",VLOOKUP(AF1906,TPCalibEqFull!$AZ$2:$BB$56,3),IF(I1906="TDN",VLOOKUP(AF1906,TNCalibEqFull!$AZ$1:$BB$56,3),IF(I1906="TN",VLOOKUP(AF1906,TNCalibEqFull!$AZ$1:$BB$56,3),FALSE))))</f>
        <v>y=0.0239x2+66.574x-31.913</v>
      </c>
      <c r="AV1906" s="10" t="str">
        <f t="shared" si="217"/>
        <v>0123 12:42:00-ELI-0-C-1-SW-SPK</v>
      </c>
    </row>
    <row r="1907" spans="1:48" s="10" customFormat="1" x14ac:dyDescent="0.55000000000000004">
      <c r="A1907" s="32">
        <v>44958</v>
      </c>
      <c r="B1907" s="33">
        <v>0.375</v>
      </c>
      <c r="C1907" s="10" t="s">
        <v>70</v>
      </c>
      <c r="D1907" s="10" t="s">
        <v>71</v>
      </c>
      <c r="E1907" s="10" t="s">
        <v>901</v>
      </c>
      <c r="F1907" s="10">
        <v>1</v>
      </c>
      <c r="G1907" s="10" t="s">
        <v>73</v>
      </c>
      <c r="H1907" s="10" t="s">
        <v>207</v>
      </c>
      <c r="I1907" s="10" t="s">
        <v>83</v>
      </c>
      <c r="J1907" s="10">
        <v>201</v>
      </c>
      <c r="K1907" s="12">
        <v>44958</v>
      </c>
      <c r="L1907" s="33">
        <v>0.62271990740740735</v>
      </c>
      <c r="M1907" s="10">
        <v>1</v>
      </c>
      <c r="N1907" s="10" t="s">
        <v>84</v>
      </c>
      <c r="O1907" s="10">
        <v>8.07</v>
      </c>
      <c r="P1907" s="10">
        <v>0.56899999999999995</v>
      </c>
      <c r="Q1907" s="10">
        <v>514</v>
      </c>
      <c r="R1907" s="10" t="s">
        <v>85</v>
      </c>
      <c r="S1907" s="34">
        <f t="shared" si="214"/>
        <v>514</v>
      </c>
      <c r="T1907" s="10" t="s">
        <v>1139</v>
      </c>
      <c r="U1907" s="34">
        <f t="shared" si="215"/>
        <v>102.8</v>
      </c>
      <c r="V1907" s="31">
        <f>IF(H1907="CHK",VLOOKUP(I1907,QCCHK,3,),IF(H1907="GUP",VLOOKUP(E1907,QCGUP,2,),IF(AND(H1907="ATP",OR(I1907="TN",I1907="TDN",I1907="TNO2-3",I1907="NO2-3")),VLOOKUP(E1907,QCREC_N,2,),IF(AND(H1907="NIC",OR(I1907="TN",I1907="TDN",I1907="TNO2-3",I1907="NO2-3")),VLOOKUP(E1907,QCNIC_N,2,),IF(AND(H1907="UREA",OR(I1907="TN",I1907="TDN",I1907="TNO2-3",I1907="NO2-3")),VLOOKUP(E1907,QCUREA_N,2,),IF(H1907="PER",VLOOKUP(I1907,QCPER,MATCH(E1907,QCACTUAL!$J$25:$AA$25,0),),IF(H1907="SPK",VLOOKUP(I1907,QCSPK,3,),IF(AND(H1907="ATP",OR(I1907="TP",I1907="TDP")),VLOOKUP(E1907,QCATP_P,2,),""))))))))</f>
        <v>500</v>
      </c>
      <c r="W1907" s="31" t="str">
        <f t="shared" si="216"/>
        <v>TRUE</v>
      </c>
      <c r="X1907" s="31" t="str">
        <f t="shared" si="213"/>
        <v>[chk]/[actual]*100</v>
      </c>
      <c r="Y1907" s="10" t="s">
        <v>1126</v>
      </c>
      <c r="AF1907" s="12">
        <v>44958</v>
      </c>
      <c r="AK1907" s="10">
        <f>0.0239*8.07^2+66.574*8.07-31.913</f>
        <v>506.89566510999998</v>
      </c>
      <c r="AL1907" s="10" t="str">
        <f t="shared" si="218"/>
        <v>FALSE</v>
      </c>
      <c r="AM1907" s="10" t="str">
        <f t="shared" si="218"/>
        <v>FALSE</v>
      </c>
      <c r="AN1907" s="10" t="str">
        <f t="shared" si="218"/>
        <v>FALSE</v>
      </c>
      <c r="AO1907" s="10" t="str">
        <f t="shared" si="219"/>
        <v>FALSE</v>
      </c>
      <c r="AP1907" s="10" t="str">
        <f t="shared" si="219"/>
        <v>y=0.0239*8.07^2+66.574*8.07-31.913</v>
      </c>
      <c r="AQ1907" s="10" t="b">
        <f>IF(AND(I1907="TP",S1907&lt;=150),VLOOKUP(AF1907,TPCalibEq150!$AZ$2:$BB$55,3,),IF(AND(I1907="TDP",S1907&lt;=150),VLOOKUP(AF1907,TPCalibEq150!$AZ$2:$BB$55,3,)))</f>
        <v>0</v>
      </c>
      <c r="AR1907" s="10" t="b">
        <f>IF(AND(I1907="TP",S1907&lt;=300),VLOOKUP(AF1907,TPCalibEq300!$AZ$2:$BB$55,3,),IF(AND(I1907="TDP",S1907&lt;=300),VLOOKUP(AF1907,TPCalibEq300!$AZ$2:$BB$55,3,)))</f>
        <v>0</v>
      </c>
      <c r="AS1907" s="10" t="b">
        <f>IF(AND(I1907="TP",S1907&lt;=500),VLOOKUP(AF1907,TPCalibEq500!$AZ$2:$BB$56,3,),IF(AND(I1907="TDP",S1907&lt;=500),VLOOKUP(AF1907,TPCalibEq500!$AZ$2:$BB$56,3,)))</f>
        <v>0</v>
      </c>
      <c r="AT1907" s="10" t="b">
        <f>IF(AND(I1907="TN",S1907&lt;=2800),VLOOKUP(AF1907,TNCalibEq2500!$AZ$2:$BB$56,3,),IF(AND(I1907="TDN",S1907&lt;=2800),VLOOKUP(AF1907,TNCalibEq2500!$AZ$2:$BB$56,3,)))</f>
        <v>0</v>
      </c>
      <c r="AU1907" s="10" t="str">
        <f>IF(I1907="TP",VLOOKUP(AF1907,TPCalibEqFull!$AZ$2:$BB$56,3),IF(I1907="TDP",VLOOKUP(AF1907,TPCalibEqFull!$AZ$2:$BB$56,3),IF(I1907="TDN",VLOOKUP(AF1907,TNCalibEqFull!$AZ$1:$BB$56,3),IF(I1907="TN",VLOOKUP(AF1907,TNCalibEqFull!$AZ$1:$BB$56,3),FALSE))))</f>
        <v>y=0.0239x2+66.574x-31.913</v>
      </c>
      <c r="AV1907" s="10" t="str">
        <f t="shared" si="217"/>
        <v>0201 09:00:00-QAC-STD-D-1-DI-CHK</v>
      </c>
    </row>
    <row r="1908" spans="1:48" s="10" customFormat="1" x14ac:dyDescent="0.55000000000000004">
      <c r="A1908" s="32">
        <v>44956</v>
      </c>
      <c r="B1908" s="33">
        <v>0.35972222222222222</v>
      </c>
      <c r="C1908" s="10" t="s">
        <v>998</v>
      </c>
      <c r="D1908" s="10">
        <v>0</v>
      </c>
      <c r="E1908" s="10" t="s">
        <v>190</v>
      </c>
      <c r="F1908" s="10">
        <v>1</v>
      </c>
      <c r="G1908" s="10" t="s">
        <v>231</v>
      </c>
      <c r="H1908" s="10" t="s">
        <v>322</v>
      </c>
      <c r="I1908" s="10" t="s">
        <v>83</v>
      </c>
      <c r="J1908" s="10">
        <v>29</v>
      </c>
      <c r="K1908" s="12">
        <v>44958</v>
      </c>
      <c r="L1908" s="33">
        <v>0.62340277777777775</v>
      </c>
      <c r="M1908" s="10">
        <v>1</v>
      </c>
      <c r="N1908" s="10" t="s">
        <v>84</v>
      </c>
      <c r="O1908" s="10">
        <v>3.33</v>
      </c>
      <c r="P1908" s="10">
        <v>0.23300000000000001</v>
      </c>
      <c r="Q1908" s="10">
        <v>196</v>
      </c>
      <c r="R1908" s="10" t="s">
        <v>85</v>
      </c>
      <c r="S1908" s="34">
        <f t="shared" si="214"/>
        <v>211.80049577</v>
      </c>
      <c r="T1908" s="10" t="s">
        <v>1139</v>
      </c>
      <c r="U1908" s="34" t="str">
        <f t="shared" si="215"/>
        <v/>
      </c>
      <c r="V1908" s="31" t="str">
        <f>IF(H1908="CHK",VLOOKUP(I1908,QCCHK,3,),IF(H1908="GUP",VLOOKUP(E1908,QCGUP,2,),IF(AND(H1908="ATP",OR(I1908="TN",I1908="TDN",I1908="TNO2-3",I1908="NO2-3")),VLOOKUP(E1908,QCREC_N,2,),IF(AND(H1908="NIC",OR(I1908="TN",I1908="TDN",I1908="TNO2-3",I1908="NO2-3")),VLOOKUP(E1908,QCNIC_N,2,),IF(AND(H1908="UREA",OR(I1908="TN",I1908="TDN",I1908="TNO2-3",I1908="NO2-3")),VLOOKUP(E1908,QCUREA_N,2,),IF(H1908="PER",VLOOKUP(I1908,QCPER,MATCH(E1908,QCACTUAL!$J$25:$AA$25,0),),IF(H1908="SPK",VLOOKUP(I1908,QCSPK,3,),IF(AND(H1908="ATP",OR(I1908="TP",I1908="TDP")),VLOOKUP(E1908,QCATP_P,2,),""))))))))</f>
        <v/>
      </c>
      <c r="W1908" s="31" t="str">
        <f t="shared" si="216"/>
        <v>TRUE</v>
      </c>
      <c r="X1908" s="31" t="str">
        <f t="shared" si="213"/>
        <v/>
      </c>
      <c r="Y1908" s="10" t="s">
        <v>1126</v>
      </c>
      <c r="Z1908" s="10" t="s">
        <v>910</v>
      </c>
      <c r="AF1908" s="12">
        <v>44958</v>
      </c>
      <c r="AH1908" s="10">
        <f>-1.3807*3.33^2+80.818*3.33-42.013</f>
        <v>211.80049577</v>
      </c>
      <c r="AI1908" s="10">
        <f>0.6312*3.33^2+63.45*3.33-30.993</f>
        <v>187.29481368000003</v>
      </c>
      <c r="AK1908" s="10">
        <f>0.0239*3.33^2+66.574*3.33-31.913</f>
        <v>190.04344470999999</v>
      </c>
      <c r="AL1908" s="10" t="str">
        <f t="shared" si="218"/>
        <v>FALSE</v>
      </c>
      <c r="AM1908" s="10" t="str">
        <f t="shared" si="218"/>
        <v>y=-1.3807*3.33^2+80.818*3.33-42.013</v>
      </c>
      <c r="AN1908" s="10" t="str">
        <f t="shared" si="218"/>
        <v>y=0.6312*3.33^2+63.45*3.33-30.993</v>
      </c>
      <c r="AO1908" s="10" t="str">
        <f t="shared" si="219"/>
        <v>FALSE</v>
      </c>
      <c r="AP1908" s="10" t="str">
        <f t="shared" si="219"/>
        <v>y=0.0239*3.33^2+66.574*3.33-31.913</v>
      </c>
      <c r="AQ1908" s="10" t="b">
        <f>IF(AND(I1908="TP",S1908&lt;=150),VLOOKUP(AF1908,TPCalibEq150!$AZ$2:$BB$55,3,),IF(AND(I1908="TDP",S1908&lt;=150),VLOOKUP(AF1908,TPCalibEq150!$AZ$2:$BB$55,3,)))</f>
        <v>0</v>
      </c>
      <c r="AR1908" s="10" t="str">
        <f>IF(AND(I1908="TP",S1908&lt;=300),VLOOKUP(AF1908,TPCalibEq300!$AZ$2:$BB$55,3,),IF(AND(I1908="TDP",S1908&lt;=300),VLOOKUP(AF1908,TPCalibEq300!$AZ$2:$BB$55,3,)))</f>
        <v>y=-1.3807x2+80.818x-42.013</v>
      </c>
      <c r="AS1908" s="10" t="str">
        <f>IF(AND(I1908="TP",S1908&lt;=500),VLOOKUP(AF1908,TPCalibEq500!$AZ$2:$BB$56,3,),IF(AND(I1908="TDP",S1908&lt;=500),VLOOKUP(AF1908,TPCalibEq500!$AZ$2:$BB$56,3,)))</f>
        <v>y=0.6312x2+63.45x-30.993</v>
      </c>
      <c r="AT1908" s="10" t="b">
        <f>IF(AND(I1908="TN",S1908&lt;=2800),VLOOKUP(AF1908,TNCalibEq2500!$AZ$2:$BB$56,3,),IF(AND(I1908="TDN",S1908&lt;=2800),VLOOKUP(AF1908,TNCalibEq2500!$AZ$2:$BB$56,3,)))</f>
        <v>0</v>
      </c>
      <c r="AU1908" s="10" t="str">
        <f>IF(I1908="TP",VLOOKUP(AF1908,TPCalibEqFull!$AZ$2:$BB$56,3),IF(I1908="TDP",VLOOKUP(AF1908,TPCalibEqFull!$AZ$2:$BB$56,3),IF(I1908="TDN",VLOOKUP(AF1908,TNCalibEqFull!$AZ$1:$BB$56,3),IF(I1908="TN",VLOOKUP(AF1908,TNCalibEqFull!$AZ$1:$BB$56,3),FALSE))))</f>
        <v>y=0.0239x2+66.574x-31.913</v>
      </c>
      <c r="AV1908" s="10" t="str">
        <f t="shared" si="217"/>
        <v>0130 08:38:00-ELW-0-C-1-SW-UKN</v>
      </c>
    </row>
    <row r="1909" spans="1:48" s="10" customFormat="1" x14ac:dyDescent="0.55000000000000004">
      <c r="A1909" s="32">
        <v>44956</v>
      </c>
      <c r="B1909" s="33">
        <v>0.38055555555555554</v>
      </c>
      <c r="C1909" s="10" t="s">
        <v>357</v>
      </c>
      <c r="D1909" s="10">
        <v>0</v>
      </c>
      <c r="E1909" s="10" t="s">
        <v>190</v>
      </c>
      <c r="F1909" s="10">
        <v>1</v>
      </c>
      <c r="G1909" s="10" t="s">
        <v>231</v>
      </c>
      <c r="H1909" s="10" t="s">
        <v>322</v>
      </c>
      <c r="I1909" s="10" t="s">
        <v>83</v>
      </c>
      <c r="J1909" s="10">
        <v>30</v>
      </c>
      <c r="K1909" s="12">
        <v>44958</v>
      </c>
      <c r="L1909" s="33">
        <v>0.62408564814814815</v>
      </c>
      <c r="M1909" s="10">
        <v>1</v>
      </c>
      <c r="N1909" s="10" t="s">
        <v>84</v>
      </c>
      <c r="O1909" s="10">
        <v>3.09</v>
      </c>
      <c r="P1909" s="10">
        <v>0.216</v>
      </c>
      <c r="Q1909" s="10">
        <v>181</v>
      </c>
      <c r="R1909" s="10" t="s">
        <v>85</v>
      </c>
      <c r="S1909" s="34">
        <f t="shared" si="214"/>
        <v>194.53155832999997</v>
      </c>
      <c r="T1909" s="10" t="s">
        <v>1139</v>
      </c>
      <c r="U1909" s="34" t="str">
        <f t="shared" si="215"/>
        <v/>
      </c>
      <c r="V1909" s="31" t="str">
        <f>IF(H1909="CHK",VLOOKUP(I1909,QCCHK,3,),IF(H1909="GUP",VLOOKUP(E1909,QCGUP,2,),IF(AND(H1909="ATP",OR(I1909="TN",I1909="TDN",I1909="TNO2-3",I1909="NO2-3")),VLOOKUP(E1909,QCREC_N,2,),IF(AND(H1909="NIC",OR(I1909="TN",I1909="TDN",I1909="TNO2-3",I1909="NO2-3")),VLOOKUP(E1909,QCNIC_N,2,),IF(AND(H1909="UREA",OR(I1909="TN",I1909="TDN",I1909="TNO2-3",I1909="NO2-3")),VLOOKUP(E1909,QCUREA_N,2,),IF(H1909="PER",VLOOKUP(I1909,QCPER,MATCH(E1909,QCACTUAL!$J$25:$AA$25,0),),IF(H1909="SPK",VLOOKUP(I1909,QCSPK,3,),IF(AND(H1909="ATP",OR(I1909="TP",I1909="TDP")),VLOOKUP(E1909,QCATP_P,2,),""))))))))</f>
        <v/>
      </c>
      <c r="W1909" s="31" t="str">
        <f t="shared" si="216"/>
        <v>TRUE</v>
      </c>
      <c r="X1909" s="31" t="str">
        <f t="shared" si="213"/>
        <v/>
      </c>
      <c r="Y1909" s="10" t="s">
        <v>1126</v>
      </c>
      <c r="Z1909" s="10" t="s">
        <v>910</v>
      </c>
      <c r="AF1909" s="12">
        <v>44958</v>
      </c>
      <c r="AH1909" s="10">
        <f>-1.3807*3.09^2+80.818*3.09-42.013</f>
        <v>194.53155832999997</v>
      </c>
      <c r="AI1909" s="10">
        <f>0.6312*3.09^2+63.45*3.09-30.993</f>
        <v>171.09426071999999</v>
      </c>
      <c r="AK1909" s="10">
        <f>0.0239*3.09^2+66.574*3.09-31.913</f>
        <v>174.02885958999997</v>
      </c>
      <c r="AL1909" s="10" t="str">
        <f t="shared" si="218"/>
        <v>FALSE</v>
      </c>
      <c r="AM1909" s="10" t="str">
        <f t="shared" si="218"/>
        <v>y=-1.3807*3.09^2+80.818*3.09-42.013</v>
      </c>
      <c r="AN1909" s="10" t="str">
        <f t="shared" si="218"/>
        <v>y=0.6312*3.09^2+63.45*3.09-30.993</v>
      </c>
      <c r="AO1909" s="10" t="str">
        <f t="shared" si="219"/>
        <v>FALSE</v>
      </c>
      <c r="AP1909" s="10" t="str">
        <f t="shared" si="219"/>
        <v>y=0.0239*3.09^2+66.574*3.09-31.913</v>
      </c>
      <c r="AQ1909" s="10" t="b">
        <f>IF(AND(I1909="TP",S1909&lt;=150),VLOOKUP(AF1909,TPCalibEq150!$AZ$2:$BB$55,3,),IF(AND(I1909="TDP",S1909&lt;=150),VLOOKUP(AF1909,TPCalibEq150!$AZ$2:$BB$55,3,)))</f>
        <v>0</v>
      </c>
      <c r="AR1909" s="10" t="str">
        <f>IF(AND(I1909="TP",S1909&lt;=300),VLOOKUP(AF1909,TPCalibEq300!$AZ$2:$BB$55,3,),IF(AND(I1909="TDP",S1909&lt;=300),VLOOKUP(AF1909,TPCalibEq300!$AZ$2:$BB$55,3,)))</f>
        <v>y=-1.3807x2+80.818x-42.013</v>
      </c>
      <c r="AS1909" s="10" t="str">
        <f>IF(AND(I1909="TP",S1909&lt;=500),VLOOKUP(AF1909,TPCalibEq500!$AZ$2:$BB$56,3,),IF(AND(I1909="TDP",S1909&lt;=500),VLOOKUP(AF1909,TPCalibEq500!$AZ$2:$BB$56,3,)))</f>
        <v>y=0.6312x2+63.45x-30.993</v>
      </c>
      <c r="AT1909" s="10" t="b">
        <f>IF(AND(I1909="TN",S1909&lt;=2800),VLOOKUP(AF1909,TNCalibEq2500!$AZ$2:$BB$56,3,),IF(AND(I1909="TDN",S1909&lt;=2800),VLOOKUP(AF1909,TNCalibEq2500!$AZ$2:$BB$56,3,)))</f>
        <v>0</v>
      </c>
      <c r="AU1909" s="10" t="str">
        <f>IF(I1909="TP",VLOOKUP(AF1909,TPCalibEqFull!$AZ$2:$BB$56,3),IF(I1909="TDP",VLOOKUP(AF1909,TPCalibEqFull!$AZ$2:$BB$56,3),IF(I1909="TDN",VLOOKUP(AF1909,TNCalibEqFull!$AZ$1:$BB$56,3),IF(I1909="TN",VLOOKUP(AF1909,TNCalibEqFull!$AZ$1:$BB$56,3),FALSE))))</f>
        <v>y=0.0239x2+66.574x-31.913</v>
      </c>
      <c r="AV1909" s="10" t="str">
        <f t="shared" si="217"/>
        <v>0130 09:08:00-STC-0-C-1-SW-UKN</v>
      </c>
    </row>
    <row r="1910" spans="1:48" s="10" customFormat="1" x14ac:dyDescent="0.55000000000000004">
      <c r="A1910" s="32">
        <v>44956</v>
      </c>
      <c r="B1910" s="33">
        <v>0.3972222222222222</v>
      </c>
      <c r="C1910" s="10" t="s">
        <v>999</v>
      </c>
      <c r="D1910" s="10">
        <v>0</v>
      </c>
      <c r="E1910" s="10" t="s">
        <v>190</v>
      </c>
      <c r="F1910" s="10">
        <v>1</v>
      </c>
      <c r="G1910" s="10" t="s">
        <v>231</v>
      </c>
      <c r="H1910" s="10" t="s">
        <v>322</v>
      </c>
      <c r="I1910" s="10" t="s">
        <v>83</v>
      </c>
      <c r="J1910" s="10">
        <v>31</v>
      </c>
      <c r="K1910" s="12">
        <v>44958</v>
      </c>
      <c r="L1910" s="33">
        <v>0.6247800925925926</v>
      </c>
      <c r="M1910" s="10">
        <v>1</v>
      </c>
      <c r="N1910" s="10" t="s">
        <v>84</v>
      </c>
      <c r="O1910" s="10">
        <v>4.74</v>
      </c>
      <c r="P1910" s="10">
        <v>0.32900000000000001</v>
      </c>
      <c r="Q1910" s="10">
        <v>291</v>
      </c>
      <c r="R1910" s="10" t="s">
        <v>85</v>
      </c>
      <c r="S1910" s="34">
        <f t="shared" si="214"/>
        <v>310.04330468000001</v>
      </c>
      <c r="T1910" s="10" t="s">
        <v>1139</v>
      </c>
      <c r="U1910" s="34" t="str">
        <f t="shared" si="215"/>
        <v/>
      </c>
      <c r="V1910" s="31" t="str">
        <f>IF(H1910="CHK",VLOOKUP(I1910,QCCHK,3,),IF(H1910="GUP",VLOOKUP(E1910,QCGUP,2,),IF(AND(H1910="ATP",OR(I1910="TN",I1910="TDN",I1910="TNO2-3",I1910="NO2-3")),VLOOKUP(E1910,QCREC_N,2,),IF(AND(H1910="NIC",OR(I1910="TN",I1910="TDN",I1910="TNO2-3",I1910="NO2-3")),VLOOKUP(E1910,QCNIC_N,2,),IF(AND(H1910="UREA",OR(I1910="TN",I1910="TDN",I1910="TNO2-3",I1910="NO2-3")),VLOOKUP(E1910,QCUREA_N,2,),IF(H1910="PER",VLOOKUP(I1910,QCPER,MATCH(E1910,QCACTUAL!$J$25:$AA$25,0),),IF(H1910="SPK",VLOOKUP(I1910,QCSPK,3,),IF(AND(H1910="ATP",OR(I1910="TP",I1910="TDP")),VLOOKUP(E1910,QCATP_P,2,),""))))))))</f>
        <v/>
      </c>
      <c r="W1910" s="31" t="str">
        <f t="shared" si="216"/>
        <v>TRUE</v>
      </c>
      <c r="X1910" s="31" t="str">
        <f t="shared" si="213"/>
        <v/>
      </c>
      <c r="Y1910" s="10" t="s">
        <v>1126</v>
      </c>
      <c r="Z1910" s="10" t="s">
        <v>910</v>
      </c>
      <c r="AF1910" s="12">
        <v>44958</v>
      </c>
      <c r="AH1910" s="10">
        <f>-1.3807*4.74^2+80.818*4.74-42.013</f>
        <v>310.04330468000001</v>
      </c>
      <c r="AI1910" s="10">
        <f>0.6312*4.74^2+63.45*4.74-30.993</f>
        <v>283.94154912000005</v>
      </c>
      <c r="AK1910" s="10">
        <f>0.0239*4.74^2+66.574*4.74-31.913</f>
        <v>284.18473563999999</v>
      </c>
      <c r="AL1910" s="10" t="str">
        <f t="shared" si="218"/>
        <v>FALSE</v>
      </c>
      <c r="AM1910" s="10" t="str">
        <f t="shared" si="218"/>
        <v>FALSE</v>
      </c>
      <c r="AN1910" s="10" t="str">
        <f t="shared" si="218"/>
        <v>y=0.6312*4.74^2+63.45*4.74-30.993</v>
      </c>
      <c r="AO1910" s="10" t="str">
        <f t="shared" si="219"/>
        <v>FALSE</v>
      </c>
      <c r="AP1910" s="10" t="str">
        <f t="shared" si="219"/>
        <v>y=0.0239*4.74^2+66.574*4.74-31.913</v>
      </c>
      <c r="AQ1910" s="10" t="b">
        <f>IF(AND(I1910="TP",S1910&lt;=150),VLOOKUP(AF1910,TPCalibEq150!$AZ$2:$BB$55,3,),IF(AND(I1910="TDP",S1910&lt;=150),VLOOKUP(AF1910,TPCalibEq150!$AZ$2:$BB$55,3,)))</f>
        <v>0</v>
      </c>
      <c r="AR1910" s="10" t="b">
        <f>IF(AND(I1910="TP",S1910&lt;=300),VLOOKUP(AF1910,TPCalibEq300!$AZ$2:$BB$55,3,),IF(AND(I1910="TDP",S1910&lt;=300),VLOOKUP(AF1910,TPCalibEq300!$AZ$2:$BB$55,3,)))</f>
        <v>0</v>
      </c>
      <c r="AS1910" s="10" t="str">
        <f>IF(AND(I1910="TP",S1910&lt;=500),VLOOKUP(AF1910,TPCalibEq500!$AZ$2:$BB$56,3,),IF(AND(I1910="TDP",S1910&lt;=500),VLOOKUP(AF1910,TPCalibEq500!$AZ$2:$BB$56,3,)))</f>
        <v>y=0.6312x2+63.45x-30.993</v>
      </c>
      <c r="AT1910" s="10" t="b">
        <f>IF(AND(I1910="TN",S1910&lt;=2800),VLOOKUP(AF1910,TNCalibEq2500!$AZ$2:$BB$56,3,),IF(AND(I1910="TDN",S1910&lt;=2800),VLOOKUP(AF1910,TNCalibEq2500!$AZ$2:$BB$56,3,)))</f>
        <v>0</v>
      </c>
      <c r="AU1910" s="10" t="str">
        <f>IF(I1910="TP",VLOOKUP(AF1910,TPCalibEqFull!$AZ$2:$BB$56,3),IF(I1910="TDP",VLOOKUP(AF1910,TPCalibEqFull!$AZ$2:$BB$56,3),IF(I1910="TDN",VLOOKUP(AF1910,TNCalibEqFull!$AZ$1:$BB$56,3),IF(I1910="TN",VLOOKUP(AF1910,TNCalibEqFull!$AZ$1:$BB$56,3),FALSE))))</f>
        <v>y=0.0239x2+66.574x-31.913</v>
      </c>
      <c r="AV1910" s="10" t="str">
        <f t="shared" si="217"/>
        <v>0130 09:32:00-EAW-0-C-1-SW-UKN</v>
      </c>
    </row>
    <row r="1911" spans="1:48" s="10" customFormat="1" x14ac:dyDescent="0.55000000000000004">
      <c r="A1911" s="32">
        <v>44956</v>
      </c>
      <c r="B1911" s="33">
        <v>0.40486111111111112</v>
      </c>
      <c r="C1911" s="10" t="s">
        <v>310</v>
      </c>
      <c r="D1911" s="10">
        <v>0</v>
      </c>
      <c r="E1911" s="10" t="s">
        <v>190</v>
      </c>
      <c r="F1911" s="10">
        <v>1</v>
      </c>
      <c r="G1911" s="10" t="s">
        <v>231</v>
      </c>
      <c r="H1911" s="10" t="s">
        <v>322</v>
      </c>
      <c r="I1911" s="10" t="s">
        <v>83</v>
      </c>
      <c r="J1911" s="10">
        <v>32</v>
      </c>
      <c r="K1911" s="12">
        <v>44958</v>
      </c>
      <c r="L1911" s="33">
        <v>0.62548611111111108</v>
      </c>
      <c r="M1911" s="10">
        <v>1</v>
      </c>
      <c r="N1911" s="10" t="s">
        <v>84</v>
      </c>
      <c r="O1911" s="10">
        <v>3.77</v>
      </c>
      <c r="P1911" s="10">
        <v>0.26400000000000001</v>
      </c>
      <c r="Q1911" s="10">
        <v>227</v>
      </c>
      <c r="R1911" s="10" t="s">
        <v>85</v>
      </c>
      <c r="S1911" s="34">
        <f t="shared" si="214"/>
        <v>243.04710896999998</v>
      </c>
      <c r="T1911" s="10" t="s">
        <v>1139</v>
      </c>
      <c r="U1911" s="34" t="str">
        <f t="shared" si="215"/>
        <v/>
      </c>
      <c r="V1911" s="31" t="str">
        <f>IF(H1911="CHK",VLOOKUP(I1911,QCCHK,3,),IF(H1911="GUP",VLOOKUP(E1911,QCGUP,2,),IF(AND(H1911="ATP",OR(I1911="TN",I1911="TDN",I1911="TNO2-3",I1911="NO2-3")),VLOOKUP(E1911,QCREC_N,2,),IF(AND(H1911="NIC",OR(I1911="TN",I1911="TDN",I1911="TNO2-3",I1911="NO2-3")),VLOOKUP(E1911,QCNIC_N,2,),IF(AND(H1911="UREA",OR(I1911="TN",I1911="TDN",I1911="TNO2-3",I1911="NO2-3")),VLOOKUP(E1911,QCUREA_N,2,),IF(H1911="PER",VLOOKUP(I1911,QCPER,MATCH(E1911,QCACTUAL!$J$25:$AA$25,0),),IF(H1911="SPK",VLOOKUP(I1911,QCSPK,3,),IF(AND(H1911="ATP",OR(I1911="TP",I1911="TDP")),VLOOKUP(E1911,QCATP_P,2,),""))))))))</f>
        <v/>
      </c>
      <c r="W1911" s="31" t="str">
        <f t="shared" si="216"/>
        <v>TRUE</v>
      </c>
      <c r="X1911" s="31" t="str">
        <f t="shared" si="213"/>
        <v/>
      </c>
      <c r="Y1911" s="10" t="s">
        <v>1126</v>
      </c>
      <c r="Z1911" s="10" t="s">
        <v>910</v>
      </c>
      <c r="AF1911" s="12">
        <v>44958</v>
      </c>
      <c r="AH1911" s="10">
        <f>-1.3807*3.77^2+80.818*3.77-42.013</f>
        <v>243.04710896999998</v>
      </c>
      <c r="AI1911" s="10">
        <f>0.6312*3.77^2+63.45*3.77-30.993</f>
        <v>217.18468248000002</v>
      </c>
      <c r="AK1911" s="10">
        <f>0.0239*3.77^2+66.574*3.77-31.913</f>
        <v>219.41066831000001</v>
      </c>
      <c r="AL1911" s="10" t="str">
        <f t="shared" si="218"/>
        <v>FALSE</v>
      </c>
      <c r="AM1911" s="10" t="str">
        <f t="shared" si="218"/>
        <v>y=-1.3807*3.77^2+80.818*3.77-42.013</v>
      </c>
      <c r="AN1911" s="10" t="str">
        <f t="shared" si="218"/>
        <v>y=0.6312*3.77^2+63.45*3.77-30.993</v>
      </c>
      <c r="AO1911" s="10" t="str">
        <f t="shared" si="219"/>
        <v>FALSE</v>
      </c>
      <c r="AP1911" s="10" t="str">
        <f t="shared" si="219"/>
        <v>y=0.0239*3.77^2+66.574*3.77-31.913</v>
      </c>
      <c r="AQ1911" s="10" t="b">
        <f>IF(AND(I1911="TP",S1911&lt;=150),VLOOKUP(AF1911,TPCalibEq150!$AZ$2:$BB$55,3,),IF(AND(I1911="TDP",S1911&lt;=150),VLOOKUP(AF1911,TPCalibEq150!$AZ$2:$BB$55,3,)))</f>
        <v>0</v>
      </c>
      <c r="AR1911" s="10" t="str">
        <f>IF(AND(I1911="TP",S1911&lt;=300),VLOOKUP(AF1911,TPCalibEq300!$AZ$2:$BB$55,3,),IF(AND(I1911="TDP",S1911&lt;=300),VLOOKUP(AF1911,TPCalibEq300!$AZ$2:$BB$55,3,)))</f>
        <v>y=-1.3807x2+80.818x-42.013</v>
      </c>
      <c r="AS1911" s="10" t="str">
        <f>IF(AND(I1911="TP",S1911&lt;=500),VLOOKUP(AF1911,TPCalibEq500!$AZ$2:$BB$56,3,),IF(AND(I1911="TDP",S1911&lt;=500),VLOOKUP(AF1911,TPCalibEq500!$AZ$2:$BB$56,3,)))</f>
        <v>y=0.6312x2+63.45x-30.993</v>
      </c>
      <c r="AT1911" s="10" t="b">
        <f>IF(AND(I1911="TN",S1911&lt;=2800),VLOOKUP(AF1911,TNCalibEq2500!$AZ$2:$BB$56,3,),IF(AND(I1911="TDN",S1911&lt;=2800),VLOOKUP(AF1911,TNCalibEq2500!$AZ$2:$BB$56,3,)))</f>
        <v>0</v>
      </c>
      <c r="AU1911" s="10" t="str">
        <f>IF(I1911="TP",VLOOKUP(AF1911,TPCalibEqFull!$AZ$2:$BB$56,3),IF(I1911="TDP",VLOOKUP(AF1911,TPCalibEqFull!$AZ$2:$BB$56,3),IF(I1911="TDN",VLOOKUP(AF1911,TNCalibEqFull!$AZ$1:$BB$56,3),IF(I1911="TN",VLOOKUP(AF1911,TNCalibEqFull!$AZ$1:$BB$56,3),FALSE))))</f>
        <v>y=0.0239x2+66.574x-31.913</v>
      </c>
      <c r="AV1911" s="10" t="str">
        <f t="shared" si="217"/>
        <v>0130 09:43:00-ELI-0-C-1-SW-UKN</v>
      </c>
    </row>
    <row r="1912" spans="1:48" s="10" customFormat="1" x14ac:dyDescent="0.55000000000000004">
      <c r="A1912" s="32">
        <v>44956</v>
      </c>
      <c r="B1912" s="33">
        <v>0.41597222222222219</v>
      </c>
      <c r="C1912" s="10" t="s">
        <v>408</v>
      </c>
      <c r="D1912" s="10">
        <v>0</v>
      </c>
      <c r="E1912" s="10" t="s">
        <v>190</v>
      </c>
      <c r="F1912" s="10">
        <v>1</v>
      </c>
      <c r="G1912" s="10" t="s">
        <v>231</v>
      </c>
      <c r="H1912" s="10" t="s">
        <v>322</v>
      </c>
      <c r="I1912" s="10" t="s">
        <v>83</v>
      </c>
      <c r="J1912" s="10">
        <v>33</v>
      </c>
      <c r="K1912" s="12">
        <v>44958</v>
      </c>
      <c r="L1912" s="33">
        <v>0.62619212962962967</v>
      </c>
      <c r="M1912" s="10">
        <v>1</v>
      </c>
      <c r="N1912" s="10" t="s">
        <v>84</v>
      </c>
      <c r="O1912" s="10">
        <v>1.92</v>
      </c>
      <c r="P1912" s="10">
        <v>0.13100000000000001</v>
      </c>
      <c r="Q1912" s="10">
        <v>102</v>
      </c>
      <c r="R1912" s="10" t="s">
        <v>85</v>
      </c>
      <c r="S1912" s="34">
        <f t="shared" si="214"/>
        <v>121.82864000000001</v>
      </c>
      <c r="T1912" s="10" t="s">
        <v>1139</v>
      </c>
      <c r="U1912" s="34" t="str">
        <f t="shared" si="215"/>
        <v/>
      </c>
      <c r="V1912" s="31" t="str">
        <f>IF(H1912="CHK",VLOOKUP(I1912,QCCHK,3,),IF(H1912="GUP",VLOOKUP(E1912,QCGUP,2,),IF(AND(H1912="ATP",OR(I1912="TN",I1912="TDN",I1912="TNO2-3",I1912="NO2-3")),VLOOKUP(E1912,QCREC_N,2,),IF(AND(H1912="NIC",OR(I1912="TN",I1912="TDN",I1912="TNO2-3",I1912="NO2-3")),VLOOKUP(E1912,QCNIC_N,2,),IF(AND(H1912="UREA",OR(I1912="TN",I1912="TDN",I1912="TNO2-3",I1912="NO2-3")),VLOOKUP(E1912,QCUREA_N,2,),IF(H1912="PER",VLOOKUP(I1912,QCPER,MATCH(E1912,QCACTUAL!$J$25:$AA$25,0),),IF(H1912="SPK",VLOOKUP(I1912,QCSPK,3,),IF(AND(H1912="ATP",OR(I1912="TP",I1912="TDP")),VLOOKUP(E1912,QCATP_P,2,),""))))))))</f>
        <v/>
      </c>
      <c r="W1912" s="31" t="str">
        <f t="shared" si="216"/>
        <v>TRUE</v>
      </c>
      <c r="X1912" s="31" t="str">
        <f t="shared" si="213"/>
        <v/>
      </c>
      <c r="Y1912" s="10" t="s">
        <v>1126</v>
      </c>
      <c r="Z1912" s="10" t="s">
        <v>910</v>
      </c>
      <c r="AF1912" s="12">
        <v>44958</v>
      </c>
      <c r="AG1912" s="10">
        <f>-20.9*1.92^2+141.62*1.92-73.036</f>
        <v>121.82864000000001</v>
      </c>
      <c r="AH1912" s="10">
        <f>-1.3807*1.92^2+80.818*1.92-42.013</f>
        <v>108.06774751999998</v>
      </c>
      <c r="AI1912" s="10">
        <f>0.6312*1.92^2+63.45*1.92-30.993</f>
        <v>93.157855679999997</v>
      </c>
      <c r="AK1912" s="10">
        <f>0.0239*1.92^2+66.574*1.92-31.913</f>
        <v>95.997184959999984</v>
      </c>
      <c r="AL1912" s="10" t="str">
        <f t="shared" si="218"/>
        <v>y=-20.90*1.92^2+141.62*1.92-73.036</v>
      </c>
      <c r="AM1912" s="10" t="str">
        <f t="shared" si="218"/>
        <v>y=-1.3807*1.92^2+80.818*1.92-42.013</v>
      </c>
      <c r="AN1912" s="10" t="str">
        <f t="shared" si="218"/>
        <v>y=0.6312*1.92^2+63.45*1.92-30.993</v>
      </c>
      <c r="AO1912" s="10" t="str">
        <f t="shared" si="219"/>
        <v>FALSE</v>
      </c>
      <c r="AP1912" s="10" t="str">
        <f t="shared" si="219"/>
        <v>y=0.0239*1.92^2+66.574*1.92-31.913</v>
      </c>
      <c r="AQ1912" s="10" t="str">
        <f>IF(AND(I1912="TP",S1912&lt;=150),VLOOKUP(AF1912,TPCalibEq150!$AZ$2:$BB$55,3,),IF(AND(I1912="TDP",S1912&lt;=150),VLOOKUP(AF1912,TPCalibEq150!$AZ$2:$BB$55,3,)))</f>
        <v>y=-20.90x2+141.62x-73.036</v>
      </c>
      <c r="AR1912" s="10" t="str">
        <f>IF(AND(I1912="TP",S1912&lt;=300),VLOOKUP(AF1912,TPCalibEq300!$AZ$2:$BB$55,3,),IF(AND(I1912="TDP",S1912&lt;=300),VLOOKUP(AF1912,TPCalibEq300!$AZ$2:$BB$55,3,)))</f>
        <v>y=-1.3807x2+80.818x-42.013</v>
      </c>
      <c r="AS1912" s="10" t="str">
        <f>IF(AND(I1912="TP",S1912&lt;=500),VLOOKUP(AF1912,TPCalibEq500!$AZ$2:$BB$56,3,),IF(AND(I1912="TDP",S1912&lt;=500),VLOOKUP(AF1912,TPCalibEq500!$AZ$2:$BB$56,3,)))</f>
        <v>y=0.6312x2+63.45x-30.993</v>
      </c>
      <c r="AT1912" s="10" t="b">
        <f>IF(AND(I1912="TN",S1912&lt;=2800),VLOOKUP(AF1912,TNCalibEq2500!$AZ$2:$BB$56,3,),IF(AND(I1912="TDN",S1912&lt;=2800),VLOOKUP(AF1912,TNCalibEq2500!$AZ$2:$BB$56,3,)))</f>
        <v>0</v>
      </c>
      <c r="AU1912" s="10" t="str">
        <f>IF(I1912="TP",VLOOKUP(AF1912,TPCalibEqFull!$AZ$2:$BB$56,3),IF(I1912="TDP",VLOOKUP(AF1912,TPCalibEqFull!$AZ$2:$BB$56,3),IF(I1912="TDN",VLOOKUP(AF1912,TNCalibEqFull!$AZ$1:$BB$56,3),IF(I1912="TN",VLOOKUP(AF1912,TNCalibEqFull!$AZ$1:$BB$56,3),FALSE))))</f>
        <v>y=0.0239x2+66.574x-31.913</v>
      </c>
      <c r="AV1912" s="10" t="str">
        <f t="shared" si="217"/>
        <v>0130 09:59:00-CLC-0-C-1-SW-UKN</v>
      </c>
    </row>
    <row r="1913" spans="1:48" s="10" customFormat="1" x14ac:dyDescent="0.55000000000000004">
      <c r="A1913" s="32">
        <v>44956</v>
      </c>
      <c r="B1913" s="33">
        <v>0.43055555555555558</v>
      </c>
      <c r="C1913" s="10" t="s">
        <v>349</v>
      </c>
      <c r="D1913" s="10">
        <v>0</v>
      </c>
      <c r="E1913" s="10" t="s">
        <v>190</v>
      </c>
      <c r="F1913" s="10">
        <v>1</v>
      </c>
      <c r="G1913" s="10" t="s">
        <v>231</v>
      </c>
      <c r="H1913" s="10" t="s">
        <v>322</v>
      </c>
      <c r="I1913" s="10" t="s">
        <v>83</v>
      </c>
      <c r="J1913" s="10">
        <v>34</v>
      </c>
      <c r="K1913" s="12">
        <v>44958</v>
      </c>
      <c r="L1913" s="33">
        <v>0.62688657407407411</v>
      </c>
      <c r="M1913" s="10">
        <v>1</v>
      </c>
      <c r="N1913" s="10" t="s">
        <v>84</v>
      </c>
      <c r="O1913" s="10">
        <v>2.31</v>
      </c>
      <c r="P1913" s="10">
        <v>0.16</v>
      </c>
      <c r="Q1913" s="10">
        <v>129</v>
      </c>
      <c r="R1913" s="10" t="s">
        <v>85</v>
      </c>
      <c r="S1913" s="34">
        <f t="shared" si="214"/>
        <v>142.58170999999999</v>
      </c>
      <c r="T1913" s="10" t="s">
        <v>1139</v>
      </c>
      <c r="U1913" s="34" t="str">
        <f t="shared" si="215"/>
        <v/>
      </c>
      <c r="V1913" s="31" t="str">
        <f>IF(H1913="CHK",VLOOKUP(I1913,QCCHK,3,),IF(H1913="GUP",VLOOKUP(E1913,QCGUP,2,),IF(AND(H1913="ATP",OR(I1913="TN",I1913="TDN",I1913="TNO2-3",I1913="NO2-3")),VLOOKUP(E1913,QCREC_N,2,),IF(AND(H1913="NIC",OR(I1913="TN",I1913="TDN",I1913="TNO2-3",I1913="NO2-3")),VLOOKUP(E1913,QCNIC_N,2,),IF(AND(H1913="UREA",OR(I1913="TN",I1913="TDN",I1913="TNO2-3",I1913="NO2-3")),VLOOKUP(E1913,QCUREA_N,2,),IF(H1913="PER",VLOOKUP(I1913,QCPER,MATCH(E1913,QCACTUAL!$J$25:$AA$25,0),),IF(H1913="SPK",VLOOKUP(I1913,QCSPK,3,),IF(AND(H1913="ATP",OR(I1913="TP",I1913="TDP")),VLOOKUP(E1913,QCATP_P,2,),""))))))))</f>
        <v/>
      </c>
      <c r="W1913" s="31" t="str">
        <f t="shared" si="216"/>
        <v>TRUE</v>
      </c>
      <c r="X1913" s="31" t="str">
        <f t="shared" si="213"/>
        <v/>
      </c>
      <c r="Y1913" s="10" t="s">
        <v>1126</v>
      </c>
      <c r="Z1913" s="10" t="s">
        <v>910</v>
      </c>
      <c r="AF1913" s="12">
        <v>44958</v>
      </c>
      <c r="AG1913" s="10">
        <f>-20.9*2.31^2+141.62*2.31-73.036</f>
        <v>142.58170999999999</v>
      </c>
      <c r="AH1913" s="10">
        <f>-1.3807*2.31^2+80.818*2.31-42.013</f>
        <v>137.30902673</v>
      </c>
      <c r="AI1913" s="10">
        <f>0.6312*2.31^2+63.45*2.31-30.993</f>
        <v>118.94464632</v>
      </c>
      <c r="AK1913" s="10">
        <f>0.0239*2.31^2+66.574*2.31-31.913</f>
        <v>122.00047279000002</v>
      </c>
      <c r="AL1913" s="10" t="str">
        <f t="shared" si="218"/>
        <v>y=-20.90*2.31^2+141.62*2.31-73.036</v>
      </c>
      <c r="AM1913" s="10" t="str">
        <f t="shared" si="218"/>
        <v>y=-1.3807*2.31^2+80.818*2.31-42.013</v>
      </c>
      <c r="AN1913" s="10" t="str">
        <f t="shared" si="218"/>
        <v>y=0.6312*2.31^2+63.45*2.31-30.993</v>
      </c>
      <c r="AO1913" s="10" t="str">
        <f t="shared" si="219"/>
        <v>FALSE</v>
      </c>
      <c r="AP1913" s="10" t="str">
        <f t="shared" si="219"/>
        <v>y=0.0239*2.31^2+66.574*2.31-31.913</v>
      </c>
      <c r="AQ1913" s="10" t="str">
        <f>IF(AND(I1913="TP",S1913&lt;=150),VLOOKUP(AF1913,TPCalibEq150!$AZ$2:$BB$55,3,),IF(AND(I1913="TDP",S1913&lt;=150),VLOOKUP(AF1913,TPCalibEq150!$AZ$2:$BB$55,3,)))</f>
        <v>y=-20.90x2+141.62x-73.036</v>
      </c>
      <c r="AR1913" s="10" t="str">
        <f>IF(AND(I1913="TP",S1913&lt;=300),VLOOKUP(AF1913,TPCalibEq300!$AZ$2:$BB$55,3,),IF(AND(I1913="TDP",S1913&lt;=300),VLOOKUP(AF1913,TPCalibEq300!$AZ$2:$BB$55,3,)))</f>
        <v>y=-1.3807x2+80.818x-42.013</v>
      </c>
      <c r="AS1913" s="10" t="str">
        <f>IF(AND(I1913="TP",S1913&lt;=500),VLOOKUP(AF1913,TPCalibEq500!$AZ$2:$BB$56,3,),IF(AND(I1913="TDP",S1913&lt;=500),VLOOKUP(AF1913,TPCalibEq500!$AZ$2:$BB$56,3,)))</f>
        <v>y=0.6312x2+63.45x-30.993</v>
      </c>
      <c r="AT1913" s="10" t="b">
        <f>IF(AND(I1913="TN",S1913&lt;=2800),VLOOKUP(AF1913,TNCalibEq2500!$AZ$2:$BB$56,3,),IF(AND(I1913="TDN",S1913&lt;=2800),VLOOKUP(AF1913,TNCalibEq2500!$AZ$2:$BB$56,3,)))</f>
        <v>0</v>
      </c>
      <c r="AU1913" s="10" t="str">
        <f>IF(I1913="TP",VLOOKUP(AF1913,TPCalibEqFull!$AZ$2:$BB$56,3),IF(I1913="TDP",VLOOKUP(AF1913,TPCalibEqFull!$AZ$2:$BB$56,3),IF(I1913="TDN",VLOOKUP(AF1913,TNCalibEqFull!$AZ$1:$BB$56,3),IF(I1913="TN",VLOOKUP(AF1913,TNCalibEqFull!$AZ$1:$BB$56,3),FALSE))))</f>
        <v>y=0.0239x2+66.574x-31.913</v>
      </c>
      <c r="AV1913" s="10" t="str">
        <f t="shared" si="217"/>
        <v>0130 10:20:00-SHA-0-C-1-SW-UKN</v>
      </c>
    </row>
    <row r="1914" spans="1:48" s="10" customFormat="1" x14ac:dyDescent="0.55000000000000004">
      <c r="A1914" s="32">
        <v>44956</v>
      </c>
      <c r="B1914" s="33">
        <v>0.44166666666666665</v>
      </c>
      <c r="C1914" s="10" t="s">
        <v>646</v>
      </c>
      <c r="D1914" s="10">
        <v>0</v>
      </c>
      <c r="E1914" s="10" t="s">
        <v>190</v>
      </c>
      <c r="F1914" s="10">
        <v>1</v>
      </c>
      <c r="G1914" s="10" t="s">
        <v>231</v>
      </c>
      <c r="H1914" s="10" t="s">
        <v>322</v>
      </c>
      <c r="I1914" s="10" t="s">
        <v>83</v>
      </c>
      <c r="J1914" s="10">
        <v>35</v>
      </c>
      <c r="K1914" s="12">
        <v>44958</v>
      </c>
      <c r="L1914" s="33">
        <v>0.62759259259259259</v>
      </c>
      <c r="M1914" s="10">
        <v>1</v>
      </c>
      <c r="N1914" s="10" t="s">
        <v>84</v>
      </c>
      <c r="O1914" s="10">
        <v>3.76</v>
      </c>
      <c r="P1914" s="10">
        <v>0.26200000000000001</v>
      </c>
      <c r="Q1914" s="10">
        <v>226</v>
      </c>
      <c r="R1914" s="10" t="s">
        <v>85</v>
      </c>
      <c r="S1914" s="34">
        <f t="shared" si="214"/>
        <v>242.34289568</v>
      </c>
      <c r="T1914" s="10" t="s">
        <v>1139</v>
      </c>
      <c r="U1914" s="34" t="str">
        <f t="shared" si="215"/>
        <v/>
      </c>
      <c r="V1914" s="31" t="str">
        <f>IF(H1914="CHK",VLOOKUP(I1914,QCCHK,3,),IF(H1914="GUP",VLOOKUP(E1914,QCGUP,2,),IF(AND(H1914="ATP",OR(I1914="TN",I1914="TDN",I1914="TNO2-3",I1914="NO2-3")),VLOOKUP(E1914,QCREC_N,2,),IF(AND(H1914="NIC",OR(I1914="TN",I1914="TDN",I1914="TNO2-3",I1914="NO2-3")),VLOOKUP(E1914,QCNIC_N,2,),IF(AND(H1914="UREA",OR(I1914="TN",I1914="TDN",I1914="TNO2-3",I1914="NO2-3")),VLOOKUP(E1914,QCUREA_N,2,),IF(H1914="PER",VLOOKUP(I1914,QCPER,MATCH(E1914,QCACTUAL!$J$25:$AA$25,0),),IF(H1914="SPK",VLOOKUP(I1914,QCSPK,3,),IF(AND(H1914="ATP",OR(I1914="TP",I1914="TDP")),VLOOKUP(E1914,QCATP_P,2,),""))))))))</f>
        <v/>
      </c>
      <c r="W1914" s="31" t="str">
        <f t="shared" si="216"/>
        <v>TRUE</v>
      </c>
      <c r="X1914" s="31" t="str">
        <f t="shared" si="213"/>
        <v/>
      </c>
      <c r="Y1914" s="10" t="s">
        <v>1126</v>
      </c>
      <c r="Z1914" s="10" t="s">
        <v>910</v>
      </c>
      <c r="AF1914" s="12">
        <v>44958</v>
      </c>
      <c r="AH1914" s="10">
        <f>-1.3807*3.76^2+80.818*3.76-42.013</f>
        <v>242.34289568</v>
      </c>
      <c r="AI1914" s="10">
        <f>0.6312*3.76^2+63.45*3.76-30.993</f>
        <v>216.50265312000002</v>
      </c>
      <c r="AK1914" s="10">
        <f>0.0239*3.76^2+66.574*3.76-31.913</f>
        <v>218.74312863999995</v>
      </c>
      <c r="AL1914" s="10" t="str">
        <f t="shared" si="218"/>
        <v>FALSE</v>
      </c>
      <c r="AM1914" s="10" t="str">
        <f t="shared" si="218"/>
        <v>y=-1.3807*3.76^2+80.818*3.76-42.013</v>
      </c>
      <c r="AN1914" s="10" t="str">
        <f t="shared" si="218"/>
        <v>y=0.6312*3.76^2+63.45*3.76-30.993</v>
      </c>
      <c r="AO1914" s="10" t="str">
        <f t="shared" si="219"/>
        <v>FALSE</v>
      </c>
      <c r="AP1914" s="10" t="str">
        <f t="shared" si="219"/>
        <v>y=0.0239*3.76^2+66.574*3.76-31.913</v>
      </c>
      <c r="AQ1914" s="10" t="b">
        <f>IF(AND(I1914="TP",S1914&lt;=150),VLOOKUP(AF1914,TPCalibEq150!$AZ$2:$BB$55,3,),IF(AND(I1914="TDP",S1914&lt;=150),VLOOKUP(AF1914,TPCalibEq150!$AZ$2:$BB$55,3,)))</f>
        <v>0</v>
      </c>
      <c r="AR1914" s="10" t="str">
        <f>IF(AND(I1914="TP",S1914&lt;=300),VLOOKUP(AF1914,TPCalibEq300!$AZ$2:$BB$55,3,),IF(AND(I1914="TDP",S1914&lt;=300),VLOOKUP(AF1914,TPCalibEq300!$AZ$2:$BB$55,3,)))</f>
        <v>y=-1.3807x2+80.818x-42.013</v>
      </c>
      <c r="AS1914" s="10" t="str">
        <f>IF(AND(I1914="TP",S1914&lt;=500),VLOOKUP(AF1914,TPCalibEq500!$AZ$2:$BB$56,3,),IF(AND(I1914="TDP",S1914&lt;=500),VLOOKUP(AF1914,TPCalibEq500!$AZ$2:$BB$56,3,)))</f>
        <v>y=0.6312x2+63.45x-30.993</v>
      </c>
      <c r="AT1914" s="10" t="b">
        <f>IF(AND(I1914="TN",S1914&lt;=2800),VLOOKUP(AF1914,TNCalibEq2500!$AZ$2:$BB$56,3,),IF(AND(I1914="TDN",S1914&lt;=2800),VLOOKUP(AF1914,TNCalibEq2500!$AZ$2:$BB$56,3,)))</f>
        <v>0</v>
      </c>
      <c r="AU1914" s="10" t="str">
        <f>IF(I1914="TP",VLOOKUP(AF1914,TPCalibEqFull!$AZ$2:$BB$56,3),IF(I1914="TDP",VLOOKUP(AF1914,TPCalibEqFull!$AZ$2:$BB$56,3),IF(I1914="TDN",VLOOKUP(AF1914,TNCalibEqFull!$AZ$1:$BB$56,3),IF(I1914="TN",VLOOKUP(AF1914,TNCalibEqFull!$AZ$1:$BB$56,3),FALSE))))</f>
        <v>y=0.0239x2+66.574x-31.913</v>
      </c>
      <c r="AV1914" s="10" t="str">
        <f t="shared" si="217"/>
        <v>0130 10:36:00-EMB-0-C-1-SW-UKN</v>
      </c>
    </row>
    <row r="1915" spans="1:48" s="10" customFormat="1" x14ac:dyDescent="0.55000000000000004">
      <c r="A1915" s="32">
        <v>44956</v>
      </c>
      <c r="B1915" s="33">
        <v>0.45208333333333334</v>
      </c>
      <c r="C1915" s="10" t="s">
        <v>214</v>
      </c>
      <c r="D1915" s="10">
        <v>0</v>
      </c>
      <c r="E1915" s="10" t="s">
        <v>190</v>
      </c>
      <c r="F1915" s="10">
        <v>1</v>
      </c>
      <c r="G1915" s="10" t="s">
        <v>231</v>
      </c>
      <c r="H1915" s="10" t="s">
        <v>322</v>
      </c>
      <c r="I1915" s="10" t="s">
        <v>83</v>
      </c>
      <c r="J1915" s="10">
        <v>36</v>
      </c>
      <c r="K1915" s="12">
        <v>44958</v>
      </c>
      <c r="L1915" s="33">
        <v>0.62828703703703703</v>
      </c>
      <c r="M1915" s="10">
        <v>1</v>
      </c>
      <c r="N1915" s="10" t="s">
        <v>84</v>
      </c>
      <c r="O1915" s="10">
        <v>2.61</v>
      </c>
      <c r="P1915" s="10">
        <v>0.18</v>
      </c>
      <c r="Q1915" s="10">
        <v>148</v>
      </c>
      <c r="R1915" s="10" t="s">
        <v>85</v>
      </c>
      <c r="S1915" s="34">
        <f t="shared" si="214"/>
        <v>159.51651353</v>
      </c>
      <c r="T1915" s="10" t="s">
        <v>1139</v>
      </c>
      <c r="U1915" s="34" t="str">
        <f t="shared" si="215"/>
        <v/>
      </c>
      <c r="V1915" s="31" t="str">
        <f>IF(H1915="CHK",VLOOKUP(I1915,QCCHK,3,),IF(H1915="GUP",VLOOKUP(E1915,QCGUP,2,),IF(AND(H1915="ATP",OR(I1915="TN",I1915="TDN",I1915="TNO2-3",I1915="NO2-3")),VLOOKUP(E1915,QCREC_N,2,),IF(AND(H1915="NIC",OR(I1915="TN",I1915="TDN",I1915="TNO2-3",I1915="NO2-3")),VLOOKUP(E1915,QCNIC_N,2,),IF(AND(H1915="UREA",OR(I1915="TN",I1915="TDN",I1915="TNO2-3",I1915="NO2-3")),VLOOKUP(E1915,QCUREA_N,2,),IF(H1915="PER",VLOOKUP(I1915,QCPER,MATCH(E1915,QCACTUAL!$J$25:$AA$25,0),),IF(H1915="SPK",VLOOKUP(I1915,QCSPK,3,),IF(AND(H1915="ATP",OR(I1915="TP",I1915="TDP")),VLOOKUP(E1915,QCATP_P,2,),""))))))))</f>
        <v/>
      </c>
      <c r="W1915" s="31" t="str">
        <f t="shared" si="216"/>
        <v>TRUE</v>
      </c>
      <c r="X1915" s="31" t="str">
        <f t="shared" si="213"/>
        <v/>
      </c>
      <c r="Y1915" s="10" t="s">
        <v>1126</v>
      </c>
      <c r="Z1915" s="10" t="s">
        <v>910</v>
      </c>
      <c r="AF1915" s="12">
        <v>44958</v>
      </c>
      <c r="AG1915" s="10">
        <f>-20.9*2.61^2+141.62*2.61-73.036</f>
        <v>154.21931000000001</v>
      </c>
      <c r="AH1915" s="10">
        <f>-1.3807*2.61^2+80.818*2.61-42.013</f>
        <v>159.51651353</v>
      </c>
      <c r="AI1915" s="10">
        <f>0.6312*2.61^2+63.45*2.61-30.993</f>
        <v>138.91129752000001</v>
      </c>
      <c r="AK1915" s="10">
        <f>0.0239*2.61^2+66.574*2.61-31.913</f>
        <v>142.00794918999998</v>
      </c>
      <c r="AL1915" s="10" t="str">
        <f t="shared" si="218"/>
        <v>FALSE</v>
      </c>
      <c r="AM1915" s="10" t="str">
        <f t="shared" si="218"/>
        <v>y=-1.3807*2.61^2+80.818*2.61-42.013</v>
      </c>
      <c r="AN1915" s="10" t="str">
        <f t="shared" si="218"/>
        <v>y=0.6312*2.61^2+63.45*2.61-30.993</v>
      </c>
      <c r="AO1915" s="10" t="str">
        <f t="shared" si="219"/>
        <v>FALSE</v>
      </c>
      <c r="AP1915" s="10" t="str">
        <f t="shared" si="219"/>
        <v>y=0.0239*2.61^2+66.574*2.61-31.913</v>
      </c>
      <c r="AQ1915" s="10" t="b">
        <f>IF(AND(I1915="TP",S1915&lt;=150),VLOOKUP(AF1915,TPCalibEq150!$AZ$2:$BB$55,3,),IF(AND(I1915="TDP",S1915&lt;=150),VLOOKUP(AF1915,TPCalibEq150!$AZ$2:$BB$55,3,)))</f>
        <v>0</v>
      </c>
      <c r="AR1915" s="10" t="str">
        <f>IF(AND(I1915="TP",S1915&lt;=300),VLOOKUP(AF1915,TPCalibEq300!$AZ$2:$BB$55,3,),IF(AND(I1915="TDP",S1915&lt;=300),VLOOKUP(AF1915,TPCalibEq300!$AZ$2:$BB$55,3,)))</f>
        <v>y=-1.3807x2+80.818x-42.013</v>
      </c>
      <c r="AS1915" s="10" t="str">
        <f>IF(AND(I1915="TP",S1915&lt;=500),VLOOKUP(AF1915,TPCalibEq500!$AZ$2:$BB$56,3,),IF(AND(I1915="TDP",S1915&lt;=500),VLOOKUP(AF1915,TPCalibEq500!$AZ$2:$BB$56,3,)))</f>
        <v>y=0.6312x2+63.45x-30.993</v>
      </c>
      <c r="AT1915" s="10" t="b">
        <f>IF(AND(I1915="TN",S1915&lt;=2800),VLOOKUP(AF1915,TNCalibEq2500!$AZ$2:$BB$56,3,),IF(AND(I1915="TDN",S1915&lt;=2800),VLOOKUP(AF1915,TNCalibEq2500!$AZ$2:$BB$56,3,)))</f>
        <v>0</v>
      </c>
      <c r="AU1915" s="10" t="str">
        <f>IF(I1915="TP",VLOOKUP(AF1915,TPCalibEqFull!$AZ$2:$BB$56,3),IF(I1915="TDP",VLOOKUP(AF1915,TPCalibEqFull!$AZ$2:$BB$56,3),IF(I1915="TDN",VLOOKUP(AF1915,TNCalibEqFull!$AZ$1:$BB$56,3),IF(I1915="TN",VLOOKUP(AF1915,TNCalibEqFull!$AZ$1:$BB$56,3),FALSE))))</f>
        <v>y=0.0239x2+66.574x-31.913</v>
      </c>
      <c r="AV1915" s="10" t="str">
        <f t="shared" si="217"/>
        <v>0130 10:51:00-DAM-0-C-1-SW-UKN</v>
      </c>
    </row>
    <row r="1916" spans="1:48" s="10" customFormat="1" x14ac:dyDescent="0.55000000000000004">
      <c r="A1916" s="32">
        <v>44956</v>
      </c>
      <c r="B1916" s="33">
        <v>0.45208333333333334</v>
      </c>
      <c r="C1916" s="10" t="s">
        <v>214</v>
      </c>
      <c r="D1916" s="10">
        <v>0</v>
      </c>
      <c r="E1916" s="10" t="s">
        <v>190</v>
      </c>
      <c r="F1916" s="10">
        <v>2</v>
      </c>
      <c r="G1916" s="10" t="s">
        <v>231</v>
      </c>
      <c r="H1916" s="10" t="s">
        <v>322</v>
      </c>
      <c r="I1916" s="10" t="s">
        <v>83</v>
      </c>
      <c r="J1916" s="10">
        <v>37</v>
      </c>
      <c r="K1916" s="12">
        <v>44958</v>
      </c>
      <c r="L1916" s="33">
        <v>0.62898148148148147</v>
      </c>
      <c r="M1916" s="10">
        <v>1</v>
      </c>
      <c r="N1916" s="10" t="s">
        <v>84</v>
      </c>
      <c r="O1916" s="10">
        <v>4.18</v>
      </c>
      <c r="P1916" s="10">
        <v>0.29399999999999998</v>
      </c>
      <c r="Q1916" s="10">
        <v>254</v>
      </c>
      <c r="R1916" s="10" t="s">
        <v>85</v>
      </c>
      <c r="S1916" s="34">
        <f t="shared" si="214"/>
        <v>271.68209732000003</v>
      </c>
      <c r="T1916" s="10" t="s">
        <v>1139</v>
      </c>
      <c r="U1916" s="34" t="str">
        <f t="shared" si="215"/>
        <v/>
      </c>
      <c r="V1916" s="31" t="str">
        <f>IF(H1916="CHK",VLOOKUP(I1916,QCCHK,3,),IF(H1916="GUP",VLOOKUP(E1916,QCGUP,2,),IF(AND(H1916="ATP",OR(I1916="TN",I1916="TDN",I1916="TNO2-3",I1916="NO2-3")),VLOOKUP(E1916,QCREC_N,2,),IF(AND(H1916="NIC",OR(I1916="TN",I1916="TDN",I1916="TNO2-3",I1916="NO2-3")),VLOOKUP(E1916,QCNIC_N,2,),IF(AND(H1916="UREA",OR(I1916="TN",I1916="TDN",I1916="TNO2-3",I1916="NO2-3")),VLOOKUP(E1916,QCUREA_N,2,),IF(H1916="PER",VLOOKUP(I1916,QCPER,MATCH(E1916,QCACTUAL!$J$25:$AA$25,0),),IF(H1916="SPK",VLOOKUP(I1916,QCSPK,3,),IF(AND(H1916="ATP",OR(I1916="TP",I1916="TDP")),VLOOKUP(E1916,QCATP_P,2,),""))))))))</f>
        <v/>
      </c>
      <c r="W1916" s="31" t="str">
        <f t="shared" si="216"/>
        <v>TRUE</v>
      </c>
      <c r="X1916" s="31" t="str">
        <f t="shared" si="213"/>
        <v/>
      </c>
      <c r="Y1916" s="10" t="s">
        <v>1126</v>
      </c>
      <c r="Z1916" s="10" t="s">
        <v>910</v>
      </c>
      <c r="AF1916" s="12">
        <v>44958</v>
      </c>
      <c r="AH1916" s="10">
        <f>-1.3807*4.18^2+80.818*4.18-42.013</f>
        <v>271.68209732000003</v>
      </c>
      <c r="AI1916" s="10">
        <f>0.6312*4.18^2+63.45*4.18-30.993</f>
        <v>245.25657888000001</v>
      </c>
      <c r="AK1916" s="10">
        <f>0.0239*4.18^2+66.574*4.18-31.913</f>
        <v>246.78391035999999</v>
      </c>
      <c r="AL1916" s="10" t="str">
        <f t="shared" si="218"/>
        <v>FALSE</v>
      </c>
      <c r="AM1916" s="10" t="str">
        <f t="shared" si="218"/>
        <v>y=-1.3807*4.18^2+80.818*4.18-42.013</v>
      </c>
      <c r="AN1916" s="10" t="str">
        <f t="shared" si="218"/>
        <v>y=0.6312*4.18^2+63.45*4.18-30.993</v>
      </c>
      <c r="AO1916" s="10" t="str">
        <f t="shared" si="219"/>
        <v>FALSE</v>
      </c>
      <c r="AP1916" s="10" t="str">
        <f t="shared" si="219"/>
        <v>y=0.0239*4.18^2+66.574*4.18-31.913</v>
      </c>
      <c r="AQ1916" s="10" t="b">
        <f>IF(AND(I1916="TP",S1916&lt;=150),VLOOKUP(AF1916,TPCalibEq150!$AZ$2:$BB$55,3,),IF(AND(I1916="TDP",S1916&lt;=150),VLOOKUP(AF1916,TPCalibEq150!$AZ$2:$BB$55,3,)))</f>
        <v>0</v>
      </c>
      <c r="AR1916" s="10" t="str">
        <f>IF(AND(I1916="TP",S1916&lt;=300),VLOOKUP(AF1916,TPCalibEq300!$AZ$2:$BB$55,3,),IF(AND(I1916="TDP",S1916&lt;=300),VLOOKUP(AF1916,TPCalibEq300!$AZ$2:$BB$55,3,)))</f>
        <v>y=-1.3807x2+80.818x-42.013</v>
      </c>
      <c r="AS1916" s="10" t="str">
        <f>IF(AND(I1916="TP",S1916&lt;=500),VLOOKUP(AF1916,TPCalibEq500!$AZ$2:$BB$56,3,),IF(AND(I1916="TDP",S1916&lt;=500),VLOOKUP(AF1916,TPCalibEq500!$AZ$2:$BB$56,3,)))</f>
        <v>y=0.6312x2+63.45x-30.993</v>
      </c>
      <c r="AT1916" s="10" t="b">
        <f>IF(AND(I1916="TN",S1916&lt;=2800),VLOOKUP(AF1916,TNCalibEq2500!$AZ$2:$BB$56,3,),IF(AND(I1916="TDN",S1916&lt;=2800),VLOOKUP(AF1916,TNCalibEq2500!$AZ$2:$BB$56,3,)))</f>
        <v>0</v>
      </c>
      <c r="AU1916" s="10" t="str">
        <f>IF(I1916="TP",VLOOKUP(AF1916,TPCalibEqFull!$AZ$2:$BB$56,3),IF(I1916="TDP",VLOOKUP(AF1916,TPCalibEqFull!$AZ$2:$BB$56,3),IF(I1916="TDN",VLOOKUP(AF1916,TNCalibEqFull!$AZ$1:$BB$56,3),IF(I1916="TN",VLOOKUP(AF1916,TNCalibEqFull!$AZ$1:$BB$56,3),FALSE))))</f>
        <v>y=0.0239x2+66.574x-31.913</v>
      </c>
      <c r="AV1916" s="10" t="str">
        <f t="shared" si="217"/>
        <v>0130 10:51:00-DAM-0-C-2-SW-UKN</v>
      </c>
    </row>
    <row r="1917" spans="1:48" s="10" customFormat="1" x14ac:dyDescent="0.55000000000000004">
      <c r="A1917" s="32">
        <v>44956</v>
      </c>
      <c r="B1917" s="33">
        <v>0.45208333333333334</v>
      </c>
      <c r="C1917" s="10" t="s">
        <v>214</v>
      </c>
      <c r="D1917" s="10">
        <v>0</v>
      </c>
      <c r="E1917" s="10" t="s">
        <v>190</v>
      </c>
      <c r="F1917" s="10">
        <v>2</v>
      </c>
      <c r="G1917" s="10" t="s">
        <v>231</v>
      </c>
      <c r="H1917" s="10" t="s">
        <v>233</v>
      </c>
      <c r="I1917" s="10" t="s">
        <v>83</v>
      </c>
      <c r="J1917" s="10">
        <v>37</v>
      </c>
      <c r="K1917" s="12">
        <v>44958</v>
      </c>
      <c r="L1917" s="33">
        <v>0.62968750000000007</v>
      </c>
      <c r="M1917" s="10">
        <v>1</v>
      </c>
      <c r="N1917" s="10" t="s">
        <v>84</v>
      </c>
      <c r="O1917" s="10">
        <v>4.1900000000000004</v>
      </c>
      <c r="P1917" s="10">
        <v>0.29399999999999998</v>
      </c>
      <c r="Q1917" s="10">
        <v>254</v>
      </c>
      <c r="R1917" s="10" t="s">
        <v>85</v>
      </c>
      <c r="S1917" s="34">
        <f t="shared" si="214"/>
        <v>272.37471273000006</v>
      </c>
      <c r="T1917" s="10" t="s">
        <v>1139</v>
      </c>
      <c r="U1917" s="34">
        <f t="shared" si="215"/>
        <v>0.25461142924996288</v>
      </c>
      <c r="V1917" s="31" t="str">
        <f>IF(H1917="CHK",VLOOKUP(I1917,QCCHK,3,),IF(H1917="GUP",VLOOKUP(E1917,QCGUP,2,),IF(AND(H1917="ATP",OR(I1917="TN",I1917="TDN",I1917="TNO2-3",I1917="NO2-3")),VLOOKUP(E1917,QCREC_N,2,),IF(AND(H1917="NIC",OR(I1917="TN",I1917="TDN",I1917="TNO2-3",I1917="NO2-3")),VLOOKUP(E1917,QCNIC_N,2,),IF(AND(H1917="UREA",OR(I1917="TN",I1917="TDN",I1917="TNO2-3",I1917="NO2-3")),VLOOKUP(E1917,QCUREA_N,2,),IF(H1917="PER",VLOOKUP(I1917,QCPER,MATCH(E1917,QCACTUAL!$J$25:$AA$25,0),),IF(H1917="SPK",VLOOKUP(I1917,QCSPK,3,),IF(AND(H1917="ATP",OR(I1917="TP",I1917="TDP")),VLOOKUP(E1917,QCATP_P,2,),""))))))))</f>
        <v/>
      </c>
      <c r="W1917" s="31" t="str">
        <f t="shared" si="216"/>
        <v>TRUE</v>
      </c>
      <c r="X1917" s="31" t="str">
        <f t="shared" si="213"/>
        <v>((ABS(rep1-rep2))/((rep1+rep2)/2)*100</v>
      </c>
      <c r="Y1917" s="10" t="s">
        <v>1126</v>
      </c>
      <c r="Z1917" s="10" t="s">
        <v>910</v>
      </c>
      <c r="AF1917" s="12">
        <v>44958</v>
      </c>
      <c r="AH1917" s="10">
        <f>-1.3807*4.19^2+80.818*4.19-42.013</f>
        <v>272.37471273000006</v>
      </c>
      <c r="AI1917" s="10">
        <f>0.6312*4.19^2+63.45*4.19-30.993</f>
        <v>245.94391032000004</v>
      </c>
      <c r="AK1917" s="10">
        <f>0.0239*4.19^2+66.574*4.19-31.913</f>
        <v>247.45165078999997</v>
      </c>
      <c r="AL1917" s="10" t="str">
        <f t="shared" si="218"/>
        <v>FALSE</v>
      </c>
      <c r="AM1917" s="10" t="str">
        <f t="shared" si="218"/>
        <v>y=-1.3807*4.19^2+80.818*4.19-42.013</v>
      </c>
      <c r="AN1917" s="10" t="str">
        <f t="shared" si="218"/>
        <v>y=0.6312*4.19^2+63.45*4.19-30.993</v>
      </c>
      <c r="AO1917" s="10" t="str">
        <f t="shared" si="219"/>
        <v>FALSE</v>
      </c>
      <c r="AP1917" s="10" t="str">
        <f t="shared" si="219"/>
        <v>y=0.0239*4.19^2+66.574*4.19-31.913</v>
      </c>
      <c r="AQ1917" s="10" t="b">
        <f>IF(AND(I1917="TP",S1917&lt;=150),VLOOKUP(AF1917,TPCalibEq150!$AZ$2:$BB$55,3,),IF(AND(I1917="TDP",S1917&lt;=150),VLOOKUP(AF1917,TPCalibEq150!$AZ$2:$BB$55,3,)))</f>
        <v>0</v>
      </c>
      <c r="AR1917" s="10" t="str">
        <f>IF(AND(I1917="TP",S1917&lt;=300),VLOOKUP(AF1917,TPCalibEq300!$AZ$2:$BB$55,3,),IF(AND(I1917="TDP",S1917&lt;=300),VLOOKUP(AF1917,TPCalibEq300!$AZ$2:$BB$55,3,)))</f>
        <v>y=-1.3807x2+80.818x-42.013</v>
      </c>
      <c r="AS1917" s="10" t="str">
        <f>IF(AND(I1917="TP",S1917&lt;=500),VLOOKUP(AF1917,TPCalibEq500!$AZ$2:$BB$56,3,),IF(AND(I1917="TDP",S1917&lt;=500),VLOOKUP(AF1917,TPCalibEq500!$AZ$2:$BB$56,3,)))</f>
        <v>y=0.6312x2+63.45x-30.993</v>
      </c>
      <c r="AT1917" s="10" t="b">
        <f>IF(AND(I1917="TN",S1917&lt;=2800),VLOOKUP(AF1917,TNCalibEq2500!$AZ$2:$BB$56,3,),IF(AND(I1917="TDN",S1917&lt;=2800),VLOOKUP(AF1917,TNCalibEq2500!$AZ$2:$BB$56,3,)))</f>
        <v>0</v>
      </c>
      <c r="AU1917" s="10" t="str">
        <f>IF(I1917="TP",VLOOKUP(AF1917,TPCalibEqFull!$AZ$2:$BB$56,3),IF(I1917="TDP",VLOOKUP(AF1917,TPCalibEqFull!$AZ$2:$BB$56,3),IF(I1917="TDN",VLOOKUP(AF1917,TNCalibEqFull!$AZ$1:$BB$56,3),IF(I1917="TN",VLOOKUP(AF1917,TNCalibEqFull!$AZ$1:$BB$56,3),FALSE))))</f>
        <v>y=0.0239x2+66.574x-31.913</v>
      </c>
      <c r="AV1917" s="10" t="str">
        <f t="shared" si="217"/>
        <v>0130 10:51:00-DAM-0-C-2-SW-DUP</v>
      </c>
    </row>
    <row r="1918" spans="1:48" s="10" customFormat="1" x14ac:dyDescent="0.55000000000000004">
      <c r="A1918" s="32">
        <v>44956</v>
      </c>
      <c r="B1918" s="33">
        <v>0.45208333333333334</v>
      </c>
      <c r="C1918" s="10" t="s">
        <v>214</v>
      </c>
      <c r="D1918" s="10">
        <v>0</v>
      </c>
      <c r="E1918" s="10" t="s">
        <v>190</v>
      </c>
      <c r="F1918" s="10">
        <v>2</v>
      </c>
      <c r="G1918" s="10" t="s">
        <v>231</v>
      </c>
      <c r="H1918" s="10" t="s">
        <v>314</v>
      </c>
      <c r="I1918" s="10" t="s">
        <v>83</v>
      </c>
      <c r="J1918" s="10">
        <v>85</v>
      </c>
      <c r="K1918" s="12">
        <v>44958</v>
      </c>
      <c r="L1918" s="33">
        <v>0.6303819444444444</v>
      </c>
      <c r="M1918" s="10">
        <v>1</v>
      </c>
      <c r="N1918" s="10" t="s">
        <v>84</v>
      </c>
      <c r="O1918" s="10">
        <v>17.600000000000001</v>
      </c>
      <c r="P1918" s="10">
        <v>1.23</v>
      </c>
      <c r="Q1918" s="10">
        <v>1150</v>
      </c>
      <c r="R1918" s="10" t="s">
        <v>85</v>
      </c>
      <c r="S1918" s="34">
        <f t="shared" si="214"/>
        <v>1150</v>
      </c>
      <c r="T1918" s="10" t="s">
        <v>1139</v>
      </c>
      <c r="U1918" s="34">
        <f t="shared" si="215"/>
        <v>87.762528727000003</v>
      </c>
      <c r="V1918" s="31">
        <f>IF(H1918="CHK",VLOOKUP(I1918,QCCHK,3,),IF(H1918="GUP",VLOOKUP(E1918,QCGUP,2,),IF(AND(H1918="ATP",OR(I1918="TN",I1918="TDN",I1918="TNO2-3",I1918="NO2-3")),VLOOKUP(E1918,QCREC_N,2,),IF(AND(H1918="NIC",OR(I1918="TN",I1918="TDN",I1918="TNO2-3",I1918="NO2-3")),VLOOKUP(E1918,QCNIC_N,2,),IF(AND(H1918="UREA",OR(I1918="TN",I1918="TDN",I1918="TNO2-3",I1918="NO2-3")),VLOOKUP(E1918,QCUREA_N,2,),IF(H1918="PER",VLOOKUP(I1918,QCPER,MATCH(E1918,QCACTUAL!$J$25:$AA$25,0),),IF(H1918="SPK",VLOOKUP(I1918,QCSPK,3,),IF(AND(H1918="ATP",OR(I1918="TP",I1918="TDP")),VLOOKUP(E1918,QCATP_P,2,),""))))))))</f>
        <v>1000</v>
      </c>
      <c r="W1918" s="31" t="str">
        <f t="shared" si="216"/>
        <v>TRUE</v>
      </c>
      <c r="X1918" s="31" t="str">
        <f t="shared" si="213"/>
        <v>([spikedunkn]-[unkn])/[spike]*100</v>
      </c>
      <c r="Y1918" s="10" t="s">
        <v>1126</v>
      </c>
      <c r="Z1918" s="10" t="s">
        <v>910</v>
      </c>
      <c r="AF1918" s="12">
        <v>44958</v>
      </c>
      <c r="AK1918" s="10">
        <f>0.0239*17.6^2+66.574*17.6-31.913</f>
        <v>1147.1926640000001</v>
      </c>
      <c r="AL1918" s="10" t="str">
        <f t="shared" si="218"/>
        <v>FALSE</v>
      </c>
      <c r="AM1918" s="10" t="str">
        <f t="shared" si="218"/>
        <v>FALSE</v>
      </c>
      <c r="AN1918" s="10" t="str">
        <f t="shared" si="218"/>
        <v>FALSE</v>
      </c>
      <c r="AO1918" s="10" t="str">
        <f t="shared" si="219"/>
        <v>FALSE</v>
      </c>
      <c r="AP1918" s="10" t="str">
        <f t="shared" si="219"/>
        <v>y=0.0239*17.6^2+66.574*17.6-31.913</v>
      </c>
      <c r="AQ1918" s="10" t="b">
        <f>IF(AND(I1918="TP",S1918&lt;=150),VLOOKUP(AF1918,TPCalibEq150!$AZ$2:$BB$55,3,),IF(AND(I1918="TDP",S1918&lt;=150),VLOOKUP(AF1918,TPCalibEq150!$AZ$2:$BB$55,3,)))</f>
        <v>0</v>
      </c>
      <c r="AR1918" s="10" t="b">
        <f>IF(AND(I1918="TP",S1918&lt;=300),VLOOKUP(AF1918,TPCalibEq300!$AZ$2:$BB$55,3,),IF(AND(I1918="TDP",S1918&lt;=300),VLOOKUP(AF1918,TPCalibEq300!$AZ$2:$BB$55,3,)))</f>
        <v>0</v>
      </c>
      <c r="AS1918" s="10" t="b">
        <f>IF(AND(I1918="TP",S1918&lt;=500),VLOOKUP(AF1918,TPCalibEq500!$AZ$2:$BB$56,3,),IF(AND(I1918="TDP",S1918&lt;=500),VLOOKUP(AF1918,TPCalibEq500!$AZ$2:$BB$56,3,)))</f>
        <v>0</v>
      </c>
      <c r="AT1918" s="10" t="b">
        <f>IF(AND(I1918="TN",S1918&lt;=2800),VLOOKUP(AF1918,TNCalibEq2500!$AZ$2:$BB$56,3,),IF(AND(I1918="TDN",S1918&lt;=2800),VLOOKUP(AF1918,TNCalibEq2500!$AZ$2:$BB$56,3,)))</f>
        <v>0</v>
      </c>
      <c r="AU1918" s="10" t="str">
        <f>IF(I1918="TP",VLOOKUP(AF1918,TPCalibEqFull!$AZ$2:$BB$56,3),IF(I1918="TDP",VLOOKUP(AF1918,TPCalibEqFull!$AZ$2:$BB$56,3),IF(I1918="TDN",VLOOKUP(AF1918,TNCalibEqFull!$AZ$1:$BB$56,3),IF(I1918="TN",VLOOKUP(AF1918,TNCalibEqFull!$AZ$1:$BB$56,3),FALSE))))</f>
        <v>y=0.0239x2+66.574x-31.913</v>
      </c>
      <c r="AV1918" s="10" t="str">
        <f t="shared" si="217"/>
        <v>0130 10:51:00-DAM-0-C-2-SW-SPK</v>
      </c>
    </row>
    <row r="1919" spans="1:48" s="10" customFormat="1" x14ac:dyDescent="0.55000000000000004">
      <c r="A1919" s="32">
        <v>44958</v>
      </c>
      <c r="B1919" s="33">
        <v>0.375</v>
      </c>
      <c r="C1919" s="10" t="s">
        <v>70</v>
      </c>
      <c r="D1919" s="10" t="s">
        <v>71</v>
      </c>
      <c r="E1919" s="10" t="s">
        <v>901</v>
      </c>
      <c r="F1919" s="10">
        <v>1</v>
      </c>
      <c r="G1919" s="10" t="s">
        <v>73</v>
      </c>
      <c r="H1919" s="10" t="s">
        <v>207</v>
      </c>
      <c r="I1919" s="10" t="s">
        <v>83</v>
      </c>
      <c r="J1919" s="10">
        <v>201</v>
      </c>
      <c r="K1919" s="12">
        <v>44958</v>
      </c>
      <c r="L1919" s="33">
        <v>0.63108796296296299</v>
      </c>
      <c r="M1919" s="10">
        <v>1</v>
      </c>
      <c r="N1919" s="10" t="s">
        <v>84</v>
      </c>
      <c r="O1919" s="10">
        <v>8.1199999999999992</v>
      </c>
      <c r="P1919" s="10">
        <v>0.57299999999999995</v>
      </c>
      <c r="Q1919" s="10">
        <v>517</v>
      </c>
      <c r="R1919" s="10" t="s">
        <v>85</v>
      </c>
      <c r="S1919" s="34">
        <f t="shared" si="214"/>
        <v>517</v>
      </c>
      <c r="T1919" s="10" t="s">
        <v>1139</v>
      </c>
      <c r="U1919" s="34">
        <f t="shared" si="215"/>
        <v>103.4</v>
      </c>
      <c r="V1919" s="31">
        <f>IF(H1919="CHK",VLOOKUP(I1919,QCCHK,3,),IF(H1919="GUP",VLOOKUP(E1919,QCGUP,2,),IF(AND(H1919="ATP",OR(I1919="TN",I1919="TDN",I1919="TNO2-3",I1919="NO2-3")),VLOOKUP(E1919,QCREC_N,2,),IF(AND(H1919="NIC",OR(I1919="TN",I1919="TDN",I1919="TNO2-3",I1919="NO2-3")),VLOOKUP(E1919,QCNIC_N,2,),IF(AND(H1919="UREA",OR(I1919="TN",I1919="TDN",I1919="TNO2-3",I1919="NO2-3")),VLOOKUP(E1919,QCUREA_N,2,),IF(H1919="PER",VLOOKUP(I1919,QCPER,MATCH(E1919,QCACTUAL!$J$25:$AA$25,0),),IF(H1919="SPK",VLOOKUP(I1919,QCSPK,3,),IF(AND(H1919="ATP",OR(I1919="TP",I1919="TDP")),VLOOKUP(E1919,QCATP_P,2,),""))))))))</f>
        <v>500</v>
      </c>
      <c r="W1919" s="31" t="str">
        <f t="shared" si="216"/>
        <v>TRUE</v>
      </c>
      <c r="X1919" s="31" t="str">
        <f t="shared" ref="X1919:X1982" si="220">IF(ISNA(VLOOKUP(H1919,QCEQUATIONS,2,)),"",(VLOOKUP(H1919,QCEQUATIONS,2,)))</f>
        <v>[chk]/[actual]*100</v>
      </c>
      <c r="Y1919" s="10" t="s">
        <v>1126</v>
      </c>
      <c r="AF1919" s="12">
        <v>44958</v>
      </c>
      <c r="AK1919" s="10">
        <f>0.0239*8.12^2+66.574*8.12-31.913</f>
        <v>510.24371215999997</v>
      </c>
      <c r="AL1919" s="10" t="str">
        <f t="shared" si="218"/>
        <v>FALSE</v>
      </c>
      <c r="AM1919" s="10" t="str">
        <f t="shared" si="218"/>
        <v>FALSE</v>
      </c>
      <c r="AN1919" s="10" t="str">
        <f t="shared" si="218"/>
        <v>FALSE</v>
      </c>
      <c r="AO1919" s="10" t="str">
        <f t="shared" si="219"/>
        <v>FALSE</v>
      </c>
      <c r="AP1919" s="10" t="str">
        <f t="shared" si="219"/>
        <v>y=0.0239*8.12^2+66.574*8.12-31.913</v>
      </c>
      <c r="AQ1919" s="10" t="b">
        <f>IF(AND(I1919="TP",S1919&lt;=150),VLOOKUP(AF1919,TPCalibEq150!$AZ$2:$BB$55,3,),IF(AND(I1919="TDP",S1919&lt;=150),VLOOKUP(AF1919,TPCalibEq150!$AZ$2:$BB$55,3,)))</f>
        <v>0</v>
      </c>
      <c r="AR1919" s="10" t="b">
        <f>IF(AND(I1919="TP",S1919&lt;=300),VLOOKUP(AF1919,TPCalibEq300!$AZ$2:$BB$55,3,),IF(AND(I1919="TDP",S1919&lt;=300),VLOOKUP(AF1919,TPCalibEq300!$AZ$2:$BB$55,3,)))</f>
        <v>0</v>
      </c>
      <c r="AS1919" s="10" t="b">
        <f>IF(AND(I1919="TP",S1919&lt;=500),VLOOKUP(AF1919,TPCalibEq500!$AZ$2:$BB$56,3,),IF(AND(I1919="TDP",S1919&lt;=500),VLOOKUP(AF1919,TPCalibEq500!$AZ$2:$BB$56,3,)))</f>
        <v>0</v>
      </c>
      <c r="AT1919" s="10" t="b">
        <f>IF(AND(I1919="TN",S1919&lt;=2800),VLOOKUP(AF1919,TNCalibEq2500!$AZ$2:$BB$56,3,),IF(AND(I1919="TDN",S1919&lt;=2800),VLOOKUP(AF1919,TNCalibEq2500!$AZ$2:$BB$56,3,)))</f>
        <v>0</v>
      </c>
      <c r="AU1919" s="10" t="str">
        <f>IF(I1919="TP",VLOOKUP(AF1919,TPCalibEqFull!$AZ$2:$BB$56,3),IF(I1919="TDP",VLOOKUP(AF1919,TPCalibEqFull!$AZ$2:$BB$56,3),IF(I1919="TDN",VLOOKUP(AF1919,TNCalibEqFull!$AZ$1:$BB$56,3),IF(I1919="TN",VLOOKUP(AF1919,TNCalibEqFull!$AZ$1:$BB$56,3),FALSE))))</f>
        <v>y=0.0239x2+66.574x-31.913</v>
      </c>
      <c r="AV1919" s="10" t="str">
        <f t="shared" si="217"/>
        <v>0201 09:00:00-QAC-STD-D-1-DI-CHK</v>
      </c>
    </row>
    <row r="1920" spans="1:48" s="10" customFormat="1" x14ac:dyDescent="0.55000000000000004">
      <c r="A1920" s="32">
        <v>44956</v>
      </c>
      <c r="B1920" s="33">
        <v>0.46527777777777773</v>
      </c>
      <c r="C1920" s="10" t="s">
        <v>341</v>
      </c>
      <c r="D1920" s="10">
        <v>0</v>
      </c>
      <c r="E1920" s="10" t="s">
        <v>190</v>
      </c>
      <c r="F1920" s="10">
        <v>1</v>
      </c>
      <c r="G1920" s="10" t="s">
        <v>231</v>
      </c>
      <c r="H1920" s="10" t="s">
        <v>322</v>
      </c>
      <c r="I1920" s="10" t="s">
        <v>83</v>
      </c>
      <c r="J1920" s="10">
        <v>38</v>
      </c>
      <c r="K1920" s="12">
        <v>44958</v>
      </c>
      <c r="L1920" s="33">
        <v>0.63178240740740743</v>
      </c>
      <c r="M1920" s="10">
        <v>1</v>
      </c>
      <c r="N1920" s="10" t="s">
        <v>84</v>
      </c>
      <c r="O1920" s="10">
        <v>1.76</v>
      </c>
      <c r="P1920" s="10">
        <v>0.121</v>
      </c>
      <c r="Q1920" s="10">
        <v>91.7</v>
      </c>
      <c r="R1920" s="10" t="s">
        <v>85</v>
      </c>
      <c r="S1920" s="34">
        <f t="shared" ref="S1920:S1983" si="221">IF(OR(AND(I1920&lt;&gt;"TP", I1920&lt;&gt;"TDP",I1920&lt;&gt;"TN", I1920&lt;&gt;"TDN"),H1920="CAL"), Q1920*M1920, IF(OR(AND(I1920="TN", Q1920&gt;2500), AND(I1920="TDN", Q1920&gt;2500)),MAX(Q1920, AK1920)*M1920, IF(OR(AND(I1920="TN", Q1920&lt;=2500), AND(I1920="TDN", Q1920&lt;=2500)),MAX(Q1920, AJ1920,AK1920)*M1920, IF(OR(AND(I1920="TP",Q1920&gt;500), AND(I1920="TDP", Q1920&gt;500)),MAX(Q1920,AK1920)*M1920,IF(OR(AND(I1920="TP",Q1920&lt;=150), AND(I1920="TDP", Q1920&lt;=150)),MAX(Q1920,AG1920:AI1920,AK1920)*M1920,IF(OR(AND(I1920="TP",Q1920&lt;=300), AND(I1920="TDP", Q1920&lt;=300)),MAX(Q1920,AH1920,AI1920,AK1920)*M1920,IF(OR(AND(I1920="TP",Q1920&lt;=500), AND(I1920="TDP", Q1920&lt;=500)),MAX(Q1920,AI1920,AK1920)*M1920,"")))))))</f>
        <v>111.47536000000002</v>
      </c>
      <c r="T1920" s="10" t="s">
        <v>1139</v>
      </c>
      <c r="U1920" s="34" t="str">
        <f t="shared" si="215"/>
        <v/>
      </c>
      <c r="V1920" s="31" t="str">
        <f>IF(H1920="CHK",VLOOKUP(I1920,QCCHK,3,),IF(H1920="GUP",VLOOKUP(E1920,QCGUP,2,),IF(AND(H1920="ATP",OR(I1920="TN",I1920="TDN",I1920="TNO2-3",I1920="NO2-3")),VLOOKUP(E1920,QCREC_N,2,),IF(AND(H1920="NIC",OR(I1920="TN",I1920="TDN",I1920="TNO2-3",I1920="NO2-3")),VLOOKUP(E1920,QCNIC_N,2,),IF(AND(H1920="UREA",OR(I1920="TN",I1920="TDN",I1920="TNO2-3",I1920="NO2-3")),VLOOKUP(E1920,QCUREA_N,2,),IF(H1920="PER",VLOOKUP(I1920,QCPER,MATCH(E1920,QCACTUAL!$J$25:$AA$25,0),),IF(H1920="SPK",VLOOKUP(I1920,QCSPK,3,),IF(AND(H1920="ATP",OR(I1920="TP",I1920="TDP")),VLOOKUP(E1920,QCATP_P,2,),""))))))))</f>
        <v/>
      </c>
      <c r="W1920" s="31" t="str">
        <f t="shared" si="216"/>
        <v>TRUE</v>
      </c>
      <c r="X1920" s="31" t="str">
        <f t="shared" si="220"/>
        <v/>
      </c>
      <c r="Y1920" s="10" t="s">
        <v>1126</v>
      </c>
      <c r="Z1920" s="10" t="s">
        <v>910</v>
      </c>
      <c r="AF1920" s="12">
        <v>44958</v>
      </c>
      <c r="AG1920" s="10">
        <f>-20.9*1.76^2+141.62*1.76-73.036</f>
        <v>111.47536000000002</v>
      </c>
      <c r="AH1920" s="10">
        <f>-1.3807*1.76^2+80.818*1.76-42.013</f>
        <v>95.94982367999998</v>
      </c>
      <c r="AI1920" s="10">
        <f>0.6312*1.76^2+63.45*1.76-30.993</f>
        <v>82.634205120000018</v>
      </c>
      <c r="AK1920" s="10">
        <f>0.0239*1.76^2+66.574*1.76-31.913</f>
        <v>85.331272639999995</v>
      </c>
      <c r="AL1920" s="10" t="str">
        <f t="shared" si="218"/>
        <v>y=-20.90*1.76^2+141.62*1.76-73.036</v>
      </c>
      <c r="AM1920" s="10" t="str">
        <f t="shared" si="218"/>
        <v>y=-1.3807*1.76^2+80.818*1.76-42.013</v>
      </c>
      <c r="AN1920" s="10" t="str">
        <f t="shared" si="218"/>
        <v>y=0.6312*1.76^2+63.45*1.76-30.993</v>
      </c>
      <c r="AO1920" s="10" t="str">
        <f t="shared" si="219"/>
        <v>FALSE</v>
      </c>
      <c r="AP1920" s="10" t="str">
        <f t="shared" si="219"/>
        <v>y=0.0239*1.76^2+66.574*1.76-31.913</v>
      </c>
      <c r="AQ1920" s="10" t="str">
        <f>IF(AND(I1920="TP",S1920&lt;=150),VLOOKUP(AF1920,TPCalibEq150!$AZ$2:$BB$55,3,),IF(AND(I1920="TDP",S1920&lt;=150),VLOOKUP(AF1920,TPCalibEq150!$AZ$2:$BB$55,3,)))</f>
        <v>y=-20.90x2+141.62x-73.036</v>
      </c>
      <c r="AR1920" s="10" t="str">
        <f>IF(AND(I1920="TP",S1920&lt;=300),VLOOKUP(AF1920,TPCalibEq300!$AZ$2:$BB$55,3,),IF(AND(I1920="TDP",S1920&lt;=300),VLOOKUP(AF1920,TPCalibEq300!$AZ$2:$BB$55,3,)))</f>
        <v>y=-1.3807x2+80.818x-42.013</v>
      </c>
      <c r="AS1920" s="10" t="str">
        <f>IF(AND(I1920="TP",S1920&lt;=500),VLOOKUP(AF1920,TPCalibEq500!$AZ$2:$BB$56,3,),IF(AND(I1920="TDP",S1920&lt;=500),VLOOKUP(AF1920,TPCalibEq500!$AZ$2:$BB$56,3,)))</f>
        <v>y=0.6312x2+63.45x-30.993</v>
      </c>
      <c r="AT1920" s="10" t="b">
        <f>IF(AND(I1920="TN",S1920&lt;=2800),VLOOKUP(AF1920,TNCalibEq2500!$AZ$2:$BB$56,3,),IF(AND(I1920="TDN",S1920&lt;=2800),VLOOKUP(AF1920,TNCalibEq2500!$AZ$2:$BB$56,3,)))</f>
        <v>0</v>
      </c>
      <c r="AU1920" s="10" t="str">
        <f>IF(I1920="TP",VLOOKUP(AF1920,TPCalibEqFull!$AZ$2:$BB$56,3),IF(I1920="TDP",VLOOKUP(AF1920,TPCalibEqFull!$AZ$2:$BB$56,3),IF(I1920="TDN",VLOOKUP(AF1920,TNCalibEqFull!$AZ$1:$BB$56,3),IF(I1920="TN",VLOOKUP(AF1920,TNCalibEqFull!$AZ$1:$BB$56,3),FALSE))))</f>
        <v>y=0.0239x2+66.574x-31.913</v>
      </c>
      <c r="AV1920" s="10" t="str">
        <f t="shared" si="217"/>
        <v>0130 11:10:00-LRC-0-C-1-SW-UKN</v>
      </c>
    </row>
    <row r="1921" spans="1:48" s="10" customFormat="1" x14ac:dyDescent="0.55000000000000004">
      <c r="A1921" s="32">
        <v>44956</v>
      </c>
      <c r="B1921" s="33">
        <v>0.4777777777777778</v>
      </c>
      <c r="C1921" s="10" t="s">
        <v>228</v>
      </c>
      <c r="D1921" s="10">
        <v>0</v>
      </c>
      <c r="E1921" s="10" t="s">
        <v>190</v>
      </c>
      <c r="F1921" s="10">
        <v>1</v>
      </c>
      <c r="G1921" s="10" t="s">
        <v>231</v>
      </c>
      <c r="H1921" s="10" t="s">
        <v>322</v>
      </c>
      <c r="I1921" s="10" t="s">
        <v>83</v>
      </c>
      <c r="J1921" s="10">
        <v>39</v>
      </c>
      <c r="K1921" s="12">
        <v>44958</v>
      </c>
      <c r="L1921" s="33">
        <v>0.63246527777777783</v>
      </c>
      <c r="M1921" s="10">
        <v>1</v>
      </c>
      <c r="N1921" s="10" t="s">
        <v>84</v>
      </c>
      <c r="O1921" s="10">
        <v>3.08</v>
      </c>
      <c r="P1921" s="10">
        <v>0.215</v>
      </c>
      <c r="Q1921" s="10">
        <v>180</v>
      </c>
      <c r="R1921" s="10" t="s">
        <v>85</v>
      </c>
      <c r="S1921" s="34">
        <f t="shared" si="221"/>
        <v>193.80856752</v>
      </c>
      <c r="T1921" s="10" t="s">
        <v>1139</v>
      </c>
      <c r="U1921" s="34" t="str">
        <f t="shared" si="215"/>
        <v/>
      </c>
      <c r="V1921" s="31" t="str">
        <f>IF(H1921="CHK",VLOOKUP(I1921,QCCHK,3,),IF(H1921="GUP",VLOOKUP(E1921,QCGUP,2,),IF(AND(H1921="ATP",OR(I1921="TN",I1921="TDN",I1921="TNO2-3",I1921="NO2-3")),VLOOKUP(E1921,QCREC_N,2,),IF(AND(H1921="NIC",OR(I1921="TN",I1921="TDN",I1921="TNO2-3",I1921="NO2-3")),VLOOKUP(E1921,QCNIC_N,2,),IF(AND(H1921="UREA",OR(I1921="TN",I1921="TDN",I1921="TNO2-3",I1921="NO2-3")),VLOOKUP(E1921,QCUREA_N,2,),IF(H1921="PER",VLOOKUP(I1921,QCPER,MATCH(E1921,QCACTUAL!$J$25:$AA$25,0),),IF(H1921="SPK",VLOOKUP(I1921,QCSPK,3,),IF(AND(H1921="ATP",OR(I1921="TP",I1921="TDP")),VLOOKUP(E1921,QCATP_P,2,),""))))))))</f>
        <v/>
      </c>
      <c r="W1921" s="31" t="str">
        <f t="shared" si="216"/>
        <v>TRUE</v>
      </c>
      <c r="X1921" s="31" t="str">
        <f t="shared" si="220"/>
        <v/>
      </c>
      <c r="Y1921" s="10" t="s">
        <v>1126</v>
      </c>
      <c r="Z1921" s="10" t="s">
        <v>910</v>
      </c>
      <c r="AF1921" s="12">
        <v>44958</v>
      </c>
      <c r="AH1921" s="10">
        <f>-1.3807*3.08^2+80.818*3.08-42.013</f>
        <v>193.80856752</v>
      </c>
      <c r="AI1921" s="10">
        <f>0.6312*3.08^2+63.45*3.08-30.993</f>
        <v>170.42081568000003</v>
      </c>
      <c r="AK1921" s="10">
        <f>0.0239*3.08^2+66.574*3.08-31.913</f>
        <v>173.36164496000001</v>
      </c>
      <c r="AL1921" s="10" t="str">
        <f t="shared" si="218"/>
        <v>FALSE</v>
      </c>
      <c r="AM1921" s="10" t="str">
        <f t="shared" si="218"/>
        <v>y=-1.3807*3.08^2+80.818*3.08-42.013</v>
      </c>
      <c r="AN1921" s="10" t="str">
        <f t="shared" si="218"/>
        <v>y=0.6312*3.08^2+63.45*3.08-30.993</v>
      </c>
      <c r="AO1921" s="10" t="str">
        <f t="shared" si="219"/>
        <v>FALSE</v>
      </c>
      <c r="AP1921" s="10" t="str">
        <f t="shared" si="219"/>
        <v>y=0.0239*3.08^2+66.574*3.08-31.913</v>
      </c>
      <c r="AQ1921" s="10" t="b">
        <f>IF(AND(I1921="TP",S1921&lt;=150),VLOOKUP(AF1921,TPCalibEq150!$AZ$2:$BB$55,3,),IF(AND(I1921="TDP",S1921&lt;=150),VLOOKUP(AF1921,TPCalibEq150!$AZ$2:$BB$55,3,)))</f>
        <v>0</v>
      </c>
      <c r="AR1921" s="10" t="str">
        <f>IF(AND(I1921="TP",S1921&lt;=300),VLOOKUP(AF1921,TPCalibEq300!$AZ$2:$BB$55,3,),IF(AND(I1921="TDP",S1921&lt;=300),VLOOKUP(AF1921,TPCalibEq300!$AZ$2:$BB$55,3,)))</f>
        <v>y=-1.3807x2+80.818x-42.013</v>
      </c>
      <c r="AS1921" s="10" t="str">
        <f>IF(AND(I1921="TP",S1921&lt;=500),VLOOKUP(AF1921,TPCalibEq500!$AZ$2:$BB$56,3,),IF(AND(I1921="TDP",S1921&lt;=500),VLOOKUP(AF1921,TPCalibEq500!$AZ$2:$BB$56,3,)))</f>
        <v>y=0.6312x2+63.45x-30.993</v>
      </c>
      <c r="AT1921" s="10" t="b">
        <f>IF(AND(I1921="TN",S1921&lt;=2800),VLOOKUP(AF1921,TNCalibEq2500!$AZ$2:$BB$56,3,),IF(AND(I1921="TDN",S1921&lt;=2800),VLOOKUP(AF1921,TNCalibEq2500!$AZ$2:$BB$56,3,)))</f>
        <v>0</v>
      </c>
      <c r="AU1921" s="10" t="str">
        <f>IF(I1921="TP",VLOOKUP(AF1921,TPCalibEqFull!$AZ$2:$BB$56,3),IF(I1921="TDP",VLOOKUP(AF1921,TPCalibEqFull!$AZ$2:$BB$56,3),IF(I1921="TDN",VLOOKUP(AF1921,TNCalibEqFull!$AZ$1:$BB$56,3),IF(I1921="TN",VLOOKUP(AF1921,TNCalibEqFull!$AZ$1:$BB$56,3),FALSE))))</f>
        <v>y=0.0239x2+66.574x-31.913</v>
      </c>
      <c r="AV1921" s="10" t="str">
        <f t="shared" si="217"/>
        <v>0130 11:28:00-DWT-0-C-1-SW-UKN</v>
      </c>
    </row>
    <row r="1922" spans="1:48" s="10" customFormat="1" x14ac:dyDescent="0.55000000000000004">
      <c r="A1922" s="32">
        <v>44956</v>
      </c>
      <c r="B1922" s="33">
        <v>0.49374999999999997</v>
      </c>
      <c r="C1922" s="10" t="s">
        <v>625</v>
      </c>
      <c r="D1922" s="10">
        <v>0</v>
      </c>
      <c r="E1922" s="10" t="s">
        <v>190</v>
      </c>
      <c r="F1922" s="10">
        <v>1</v>
      </c>
      <c r="G1922" s="10" t="s">
        <v>231</v>
      </c>
      <c r="H1922" s="10" t="s">
        <v>322</v>
      </c>
      <c r="I1922" s="10" t="s">
        <v>83</v>
      </c>
      <c r="J1922" s="10">
        <v>40</v>
      </c>
      <c r="K1922" s="12">
        <v>44958</v>
      </c>
      <c r="L1922" s="33">
        <v>0.63315972222222217</v>
      </c>
      <c r="M1922" s="10">
        <v>1</v>
      </c>
      <c r="N1922" s="10" t="s">
        <v>84</v>
      </c>
      <c r="O1922" s="10">
        <v>1.74</v>
      </c>
      <c r="P1922" s="10">
        <v>0.11899999999999999</v>
      </c>
      <c r="Q1922" s="10">
        <v>90.6</v>
      </c>
      <c r="R1922" s="10" t="s">
        <v>85</v>
      </c>
      <c r="S1922" s="34">
        <f t="shared" si="221"/>
        <v>110.10596000000001</v>
      </c>
      <c r="T1922" s="10" t="s">
        <v>1139</v>
      </c>
      <c r="U1922" s="34" t="str">
        <f t="shared" ref="U1922:U1985" si="222">IF(OR(H1922="CHK",H1922="ATP",H1922="GUP",H1922="PER", H1922="NIC", H1922="UREA"),(S1922/V1922*100),IF(H1922="DUP",((ABS(S1922-S1921))/((S1921+S1922)/2))*100,IF(H1922="SPK",((S1922-S1921)/V1922*100),IF(OR(H1922="LAB",H1922="FLD",H1922="ESF"),S1922,""))))</f>
        <v/>
      </c>
      <c r="V1922" s="31" t="str">
        <f>IF(H1922="CHK",VLOOKUP(I1922,QCCHK,3,),IF(H1922="GUP",VLOOKUP(E1922,QCGUP,2,),IF(AND(H1922="ATP",OR(I1922="TN",I1922="TDN",I1922="TNO2-3",I1922="NO2-3")),VLOOKUP(E1922,QCREC_N,2,),IF(AND(H1922="NIC",OR(I1922="TN",I1922="TDN",I1922="TNO2-3",I1922="NO2-3")),VLOOKUP(E1922,QCNIC_N,2,),IF(AND(H1922="UREA",OR(I1922="TN",I1922="TDN",I1922="TNO2-3",I1922="NO2-3")),VLOOKUP(E1922,QCUREA_N,2,),IF(H1922="PER",VLOOKUP(I1922,QCPER,MATCH(E1922,QCACTUAL!$J$25:$AA$25,0),),IF(H1922="SPK",VLOOKUP(I1922,QCSPK,3,),IF(AND(H1922="ATP",OR(I1922="TP",I1922="TDP")),VLOOKUP(E1922,QCATP_P,2,),""))))))))</f>
        <v/>
      </c>
      <c r="W1922" s="31" t="str">
        <f t="shared" ref="W1922:W1985" si="223">IF(AND(OR(H1922="PER",H1922="ATP",H1922="GUP",H1922="CHK",H1922="SPK", H1922="NIC"),OR(U1922&gt;125,U1922&lt;75)),"FALSE",IF(AND(H1922="DUP",OR(U1922&gt;25, U1922&lt;-25)),"FALSE",IF(AND(OR(H1922="LAB",H1922="FLD",H1922="ESF"),U1922&gt;15),"FALSE","TRUE")))</f>
        <v>TRUE</v>
      </c>
      <c r="X1922" s="31" t="str">
        <f t="shared" si="220"/>
        <v/>
      </c>
      <c r="Y1922" s="10" t="s">
        <v>1126</v>
      </c>
      <c r="Z1922" s="10" t="s">
        <v>910</v>
      </c>
      <c r="AF1922" s="12">
        <v>44958</v>
      </c>
      <c r="AG1922" s="10">
        <f>-20.9*1.74^2+141.62*1.74-73.036</f>
        <v>110.10596000000001</v>
      </c>
      <c r="AH1922" s="10">
        <f>-1.3807*1.74^2+80.818*1.74-42.013</f>
        <v>94.430112680000008</v>
      </c>
      <c r="AI1922" s="10">
        <f>0.6312*1.74^2+63.45*1.74-30.993</f>
        <v>81.321021120000012</v>
      </c>
      <c r="AK1922" s="10">
        <f>0.0239*1.74^2+66.574*1.74-31.913</f>
        <v>83.998119639999999</v>
      </c>
      <c r="AL1922" s="10" t="str">
        <f t="shared" si="218"/>
        <v>y=-20.90*1.74^2+141.62*1.74-73.036</v>
      </c>
      <c r="AM1922" s="10" t="str">
        <f t="shared" si="218"/>
        <v>y=-1.3807*1.74^2+80.818*1.74-42.013</v>
      </c>
      <c r="AN1922" s="10" t="str">
        <f t="shared" si="218"/>
        <v>y=0.6312*1.74^2+63.45*1.74-30.993</v>
      </c>
      <c r="AO1922" s="10" t="str">
        <f t="shared" si="219"/>
        <v>FALSE</v>
      </c>
      <c r="AP1922" s="10" t="str">
        <f t="shared" si="219"/>
        <v>y=0.0239*1.74^2+66.574*1.74-31.913</v>
      </c>
      <c r="AQ1922" s="10" t="str">
        <f>IF(AND(I1922="TP",S1922&lt;=150),VLOOKUP(AF1922,TPCalibEq150!$AZ$2:$BB$55,3,),IF(AND(I1922="TDP",S1922&lt;=150),VLOOKUP(AF1922,TPCalibEq150!$AZ$2:$BB$55,3,)))</f>
        <v>y=-20.90x2+141.62x-73.036</v>
      </c>
      <c r="AR1922" s="10" t="str">
        <f>IF(AND(I1922="TP",S1922&lt;=300),VLOOKUP(AF1922,TPCalibEq300!$AZ$2:$BB$55,3,),IF(AND(I1922="TDP",S1922&lt;=300),VLOOKUP(AF1922,TPCalibEq300!$AZ$2:$BB$55,3,)))</f>
        <v>y=-1.3807x2+80.818x-42.013</v>
      </c>
      <c r="AS1922" s="10" t="str">
        <f>IF(AND(I1922="TP",S1922&lt;=500),VLOOKUP(AF1922,TPCalibEq500!$AZ$2:$BB$56,3,),IF(AND(I1922="TDP",S1922&lt;=500),VLOOKUP(AF1922,TPCalibEq500!$AZ$2:$BB$56,3,)))</f>
        <v>y=0.6312x2+63.45x-30.993</v>
      </c>
      <c r="AT1922" s="10" t="b">
        <f>IF(AND(I1922="TN",S1922&lt;=2800),VLOOKUP(AF1922,TNCalibEq2500!$AZ$2:$BB$56,3,),IF(AND(I1922="TDN",S1922&lt;=2800),VLOOKUP(AF1922,TNCalibEq2500!$AZ$2:$BB$56,3,)))</f>
        <v>0</v>
      </c>
      <c r="AU1922" s="10" t="str">
        <f>IF(I1922="TP",VLOOKUP(AF1922,TPCalibEqFull!$AZ$2:$BB$56,3),IF(I1922="TDP",VLOOKUP(AF1922,TPCalibEqFull!$AZ$2:$BB$56,3),IF(I1922="TDN",VLOOKUP(AF1922,TNCalibEqFull!$AZ$1:$BB$56,3),IF(I1922="TN",VLOOKUP(AF1922,TNCalibEqFull!$AZ$1:$BB$56,3),FALSE))))</f>
        <v>y=0.0239x2+66.574x-31.913</v>
      </c>
      <c r="AV1922" s="10" t="str">
        <f t="shared" ref="AV1922:AV1985" si="224">TEXT(A1922, "MMDD")&amp;" "&amp;TEXT(B1922, "HH:MM:SS")&amp;"-"&amp;C1922&amp;"-"&amp;D1922&amp;"-"&amp;E1922&amp;"-"&amp;F1922&amp;"-"&amp;G1922&amp;"-"&amp;H1922</f>
        <v>0130 11:51:00-TBS-0-C-1-SW-UKN</v>
      </c>
    </row>
    <row r="1923" spans="1:48" s="10" customFormat="1" x14ac:dyDescent="0.55000000000000004">
      <c r="A1923" s="32">
        <v>44949</v>
      </c>
      <c r="B1923" s="33">
        <v>0.33333333333333331</v>
      </c>
      <c r="C1923" s="10" t="s">
        <v>279</v>
      </c>
      <c r="D1923" s="10">
        <v>0</v>
      </c>
      <c r="E1923" s="10" t="s">
        <v>911</v>
      </c>
      <c r="F1923" s="10">
        <v>1</v>
      </c>
      <c r="G1923" s="10" t="s">
        <v>231</v>
      </c>
      <c r="H1923" s="10" t="s">
        <v>322</v>
      </c>
      <c r="I1923" s="10" t="s">
        <v>266</v>
      </c>
      <c r="J1923" s="10">
        <v>41</v>
      </c>
      <c r="K1923" s="12">
        <v>44958</v>
      </c>
      <c r="L1923" s="33">
        <v>0.63384259259259257</v>
      </c>
      <c r="M1923" s="10">
        <v>1</v>
      </c>
      <c r="N1923" s="10" t="s">
        <v>84</v>
      </c>
      <c r="O1923" s="10">
        <v>2.38</v>
      </c>
      <c r="P1923" s="10">
        <v>0.16500000000000001</v>
      </c>
      <c r="Q1923" s="10">
        <v>133</v>
      </c>
      <c r="R1923" s="10" t="s">
        <v>85</v>
      </c>
      <c r="S1923" s="34">
        <f t="shared" si="221"/>
        <v>145.63363999999999</v>
      </c>
      <c r="T1923" s="10" t="s">
        <v>1139</v>
      </c>
      <c r="U1923" s="34" t="str">
        <f t="shared" si="222"/>
        <v/>
      </c>
      <c r="V1923" s="31" t="str">
        <f>IF(H1923="CHK",VLOOKUP(I1923,QCCHK,3,),IF(H1923="GUP",VLOOKUP(E1923,QCGUP,2,),IF(AND(H1923="ATP",OR(I1923="TN",I1923="TDN",I1923="TNO2-3",I1923="NO2-3")),VLOOKUP(E1923,QCREC_N,2,),IF(AND(H1923="NIC",OR(I1923="TN",I1923="TDN",I1923="TNO2-3",I1923="NO2-3")),VLOOKUP(E1923,QCNIC_N,2,),IF(AND(H1923="UREA",OR(I1923="TN",I1923="TDN",I1923="TNO2-3",I1923="NO2-3")),VLOOKUP(E1923,QCUREA_N,2,),IF(H1923="PER",VLOOKUP(I1923,QCPER,MATCH(E1923,QCACTUAL!$J$25:$AA$25,0),),IF(H1923="SPK",VLOOKUP(I1923,QCSPK,3,),IF(AND(H1923="ATP",OR(I1923="TP",I1923="TDP")),VLOOKUP(E1923,QCATP_P,2,),""))))))))</f>
        <v/>
      </c>
      <c r="W1923" s="31" t="str">
        <f t="shared" si="223"/>
        <v>TRUE</v>
      </c>
      <c r="X1923" s="31" t="str">
        <f t="shared" si="220"/>
        <v/>
      </c>
      <c r="Y1923" s="10" t="s">
        <v>1126</v>
      </c>
      <c r="Z1923" s="10" t="s">
        <v>910</v>
      </c>
      <c r="AF1923" s="12">
        <v>44958</v>
      </c>
      <c r="AG1923" s="10">
        <f>-20.9*2.38^2+141.62*2.38-73.036</f>
        <v>145.63363999999999</v>
      </c>
      <c r="AH1923" s="10">
        <f>-1.3807*2.38^2+80.818*2.38-42.013</f>
        <v>142.51300291999999</v>
      </c>
      <c r="AI1923" s="10">
        <f>0.6312*2.38^2+63.45*2.38-30.993</f>
        <v>123.59336927999999</v>
      </c>
      <c r="AK1923" s="10">
        <f>0.0239*2.38^2+66.574*2.38-31.913</f>
        <v>126.66849916</v>
      </c>
      <c r="AL1923" s="10" t="str">
        <f t="shared" si="218"/>
        <v>y=-20.90*2.38^2+141.62*2.38-73.036</v>
      </c>
      <c r="AM1923" s="10" t="str">
        <f t="shared" si="218"/>
        <v>y=-1.3807*2.38^2+80.818*2.38-42.013</v>
      </c>
      <c r="AN1923" s="10" t="str">
        <f t="shared" si="218"/>
        <v>y=0.6312*2.38^2+63.45*2.38-30.993</v>
      </c>
      <c r="AO1923" s="10" t="str">
        <f t="shared" si="219"/>
        <v>FALSE</v>
      </c>
      <c r="AP1923" s="10" t="str">
        <f t="shared" si="219"/>
        <v>y=0.0239*2.38^2+66.574*2.38-31.913</v>
      </c>
      <c r="AQ1923" s="10" t="str">
        <f>IF(AND(I1923="TP",S1923&lt;=150),VLOOKUP(AF1923,TPCalibEq150!$AZ$2:$BB$55,3,),IF(AND(I1923="TDP",S1923&lt;=150),VLOOKUP(AF1923,TPCalibEq150!$AZ$2:$BB$55,3,)))</f>
        <v>y=-20.90x2+141.62x-73.036</v>
      </c>
      <c r="AR1923" s="10" t="str">
        <f>IF(AND(I1923="TP",S1923&lt;=300),VLOOKUP(AF1923,TPCalibEq300!$AZ$2:$BB$55,3,),IF(AND(I1923="TDP",S1923&lt;=300),VLOOKUP(AF1923,TPCalibEq300!$AZ$2:$BB$55,3,)))</f>
        <v>y=-1.3807x2+80.818x-42.013</v>
      </c>
      <c r="AS1923" s="10" t="str">
        <f>IF(AND(I1923="TP",S1923&lt;=500),VLOOKUP(AF1923,TPCalibEq500!$AZ$2:$BB$56,3,),IF(AND(I1923="TDP",S1923&lt;=500),VLOOKUP(AF1923,TPCalibEq500!$AZ$2:$BB$56,3,)))</f>
        <v>y=0.6312x2+63.45x-30.993</v>
      </c>
      <c r="AT1923" s="10" t="b">
        <f>IF(AND(I1923="TN",S1923&lt;=2800),VLOOKUP(AF1923,TNCalibEq2500!$AZ$2:$BB$56,3,),IF(AND(I1923="TDN",S1923&lt;=2800),VLOOKUP(AF1923,TNCalibEq2500!$AZ$2:$BB$56,3,)))</f>
        <v>0</v>
      </c>
      <c r="AU1923" s="10" t="str">
        <f>IF(I1923="TP",VLOOKUP(AF1923,TPCalibEqFull!$AZ$2:$BB$56,3),IF(I1923="TDP",VLOOKUP(AF1923,TPCalibEqFull!$AZ$2:$BB$56,3),IF(I1923="TDN",VLOOKUP(AF1923,TNCalibEqFull!$AZ$1:$BB$56,3),IF(I1923="TN",VLOOKUP(AF1923,TNCalibEqFull!$AZ$1:$BB$56,3),FALSE))))</f>
        <v>y=0.0239x2+66.574x-31.913</v>
      </c>
      <c r="AV1923" s="10" t="str">
        <f t="shared" si="224"/>
        <v>0123 08:00:00-EFK-0-FIL-1-SW-UKN</v>
      </c>
    </row>
    <row r="1924" spans="1:48" s="10" customFormat="1" x14ac:dyDescent="0.55000000000000004">
      <c r="A1924" s="32">
        <v>44949</v>
      </c>
      <c r="B1924" s="33">
        <v>0.32083333333333336</v>
      </c>
      <c r="C1924" s="10" t="s">
        <v>333</v>
      </c>
      <c r="D1924" s="10">
        <v>0</v>
      </c>
      <c r="E1924" s="10" t="s">
        <v>911</v>
      </c>
      <c r="F1924" s="10">
        <v>1</v>
      </c>
      <c r="G1924" s="10" t="s">
        <v>231</v>
      </c>
      <c r="H1924" s="10" t="s">
        <v>322</v>
      </c>
      <c r="I1924" s="10" t="s">
        <v>266</v>
      </c>
      <c r="J1924" s="10">
        <v>42</v>
      </c>
      <c r="K1924" s="12">
        <v>44958</v>
      </c>
      <c r="L1924" s="33">
        <v>0.63452546296296297</v>
      </c>
      <c r="M1924" s="10">
        <v>1</v>
      </c>
      <c r="N1924" s="10" t="s">
        <v>84</v>
      </c>
      <c r="O1924" s="10">
        <v>1.49</v>
      </c>
      <c r="P1924" s="10">
        <v>0.1</v>
      </c>
      <c r="Q1924" s="10">
        <v>73.5</v>
      </c>
      <c r="R1924" s="10" t="s">
        <v>85</v>
      </c>
      <c r="S1924" s="34">
        <f t="shared" si="221"/>
        <v>91.577709999999996</v>
      </c>
      <c r="T1924" s="10" t="s">
        <v>1139</v>
      </c>
      <c r="U1924" s="34" t="str">
        <f t="shared" si="222"/>
        <v/>
      </c>
      <c r="V1924" s="31" t="str">
        <f>IF(H1924="CHK",VLOOKUP(I1924,QCCHK,3,),IF(H1924="GUP",VLOOKUP(E1924,QCGUP,2,),IF(AND(H1924="ATP",OR(I1924="TN",I1924="TDN",I1924="TNO2-3",I1924="NO2-3")),VLOOKUP(E1924,QCREC_N,2,),IF(AND(H1924="NIC",OR(I1924="TN",I1924="TDN",I1924="TNO2-3",I1924="NO2-3")),VLOOKUP(E1924,QCNIC_N,2,),IF(AND(H1924="UREA",OR(I1924="TN",I1924="TDN",I1924="TNO2-3",I1924="NO2-3")),VLOOKUP(E1924,QCUREA_N,2,),IF(H1924="PER",VLOOKUP(I1924,QCPER,MATCH(E1924,QCACTUAL!$J$25:$AA$25,0),),IF(H1924="SPK",VLOOKUP(I1924,QCSPK,3,),IF(AND(H1924="ATP",OR(I1924="TP",I1924="TDP")),VLOOKUP(E1924,QCATP_P,2,),""))))))))</f>
        <v/>
      </c>
      <c r="W1924" s="31" t="str">
        <f t="shared" si="223"/>
        <v>TRUE</v>
      </c>
      <c r="X1924" s="31" t="str">
        <f t="shared" si="220"/>
        <v/>
      </c>
      <c r="Y1924" s="10" t="s">
        <v>1126</v>
      </c>
      <c r="Z1924" s="10" t="s">
        <v>910</v>
      </c>
      <c r="AF1924" s="12">
        <v>44958</v>
      </c>
      <c r="AG1924" s="10">
        <f>-20.9*1.49^2+141.62*1.49-73.036</f>
        <v>91.577709999999996</v>
      </c>
      <c r="AH1924" s="10">
        <f>-1.3807*1.49^2+80.818*1.49-42.013</f>
        <v>75.340527930000007</v>
      </c>
      <c r="AI1924" s="10">
        <f>0.6312*1.49^2+63.45*1.49-30.993</f>
        <v>64.948827120000018</v>
      </c>
      <c r="AK1924" s="10">
        <f>0.0239*1.49^2+66.574*1.49-31.913</f>
        <v>67.335320389999993</v>
      </c>
      <c r="AL1924" s="10" t="str">
        <f t="shared" si="218"/>
        <v>y=-20.90*1.49^2+141.62*1.49-73.036</v>
      </c>
      <c r="AM1924" s="10" t="str">
        <f t="shared" si="218"/>
        <v>y=-1.3807*1.49^2+80.818*1.49-42.013</v>
      </c>
      <c r="AN1924" s="10" t="str">
        <f t="shared" si="218"/>
        <v>y=0.6312*1.49^2+63.45*1.49-30.993</v>
      </c>
      <c r="AO1924" s="10" t="str">
        <f t="shared" si="219"/>
        <v>FALSE</v>
      </c>
      <c r="AP1924" s="10" t="str">
        <f t="shared" si="219"/>
        <v>y=0.0239*1.49^2+66.574*1.49-31.913</v>
      </c>
      <c r="AQ1924" s="10" t="str">
        <f>IF(AND(I1924="TP",S1924&lt;=150),VLOOKUP(AF1924,TPCalibEq150!$AZ$2:$BB$55,3,),IF(AND(I1924="TDP",S1924&lt;=150),VLOOKUP(AF1924,TPCalibEq150!$AZ$2:$BB$55,3,)))</f>
        <v>y=-20.90x2+141.62x-73.036</v>
      </c>
      <c r="AR1924" s="10" t="str">
        <f>IF(AND(I1924="TP",S1924&lt;=300),VLOOKUP(AF1924,TPCalibEq300!$AZ$2:$BB$55,3,),IF(AND(I1924="TDP",S1924&lt;=300),VLOOKUP(AF1924,TPCalibEq300!$AZ$2:$BB$55,3,)))</f>
        <v>y=-1.3807x2+80.818x-42.013</v>
      </c>
      <c r="AS1924" s="10" t="str">
        <f>IF(AND(I1924="TP",S1924&lt;=500),VLOOKUP(AF1924,TPCalibEq500!$AZ$2:$BB$56,3,),IF(AND(I1924="TDP",S1924&lt;=500),VLOOKUP(AF1924,TPCalibEq500!$AZ$2:$BB$56,3,)))</f>
        <v>y=0.6312x2+63.45x-30.993</v>
      </c>
      <c r="AT1924" s="10" t="b">
        <f>IF(AND(I1924="TN",S1924&lt;=2800),VLOOKUP(AF1924,TNCalibEq2500!$AZ$2:$BB$56,3,),IF(AND(I1924="TDN",S1924&lt;=2800),VLOOKUP(AF1924,TNCalibEq2500!$AZ$2:$BB$56,3,)))</f>
        <v>0</v>
      </c>
      <c r="AU1924" s="10" t="str">
        <f>IF(I1924="TP",VLOOKUP(AF1924,TPCalibEqFull!$AZ$2:$BB$56,3),IF(I1924="TDP",VLOOKUP(AF1924,TPCalibEqFull!$AZ$2:$BB$56,3),IF(I1924="TDN",VLOOKUP(AF1924,TNCalibEqFull!$AZ$1:$BB$56,3),IF(I1924="TN",VLOOKUP(AF1924,TNCalibEqFull!$AZ$1:$BB$56,3),FALSE))))</f>
        <v>y=0.0239x2+66.574x-31.913</v>
      </c>
      <c r="AV1924" s="10" t="str">
        <f t="shared" si="224"/>
        <v>0123 07:42:00-HST-0-FIL-1-SW-UKN</v>
      </c>
    </row>
    <row r="1925" spans="1:48" s="10" customFormat="1" x14ac:dyDescent="0.55000000000000004">
      <c r="A1925" s="32">
        <v>44950</v>
      </c>
      <c r="B1925" s="33">
        <v>0.5708333333333333</v>
      </c>
      <c r="C1925" s="10" t="s">
        <v>279</v>
      </c>
      <c r="D1925" s="10">
        <v>0</v>
      </c>
      <c r="E1925" s="10" t="s">
        <v>911</v>
      </c>
      <c r="F1925" s="10">
        <v>1</v>
      </c>
      <c r="G1925" s="10" t="s">
        <v>231</v>
      </c>
      <c r="H1925" s="10" t="s">
        <v>322</v>
      </c>
      <c r="I1925" s="10" t="s">
        <v>266</v>
      </c>
      <c r="J1925" s="10">
        <v>43</v>
      </c>
      <c r="K1925" s="12">
        <v>44958</v>
      </c>
      <c r="L1925" s="33">
        <v>0.63521990740740741</v>
      </c>
      <c r="M1925" s="10">
        <v>1</v>
      </c>
      <c r="N1925" s="10" t="s">
        <v>84</v>
      </c>
      <c r="O1925" s="10">
        <v>2.86</v>
      </c>
      <c r="P1925" s="10">
        <v>0.19800000000000001</v>
      </c>
      <c r="Q1925" s="10">
        <v>165</v>
      </c>
      <c r="R1925" s="10" t="s">
        <v>85</v>
      </c>
      <c r="S1925" s="34">
        <f t="shared" si="221"/>
        <v>177.83290627999997</v>
      </c>
      <c r="T1925" s="10" t="s">
        <v>1139</v>
      </c>
      <c r="U1925" s="34" t="str">
        <f t="shared" si="222"/>
        <v/>
      </c>
      <c r="V1925" s="31" t="str">
        <f>IF(H1925="CHK",VLOOKUP(I1925,QCCHK,3,),IF(H1925="GUP",VLOOKUP(E1925,QCGUP,2,),IF(AND(H1925="ATP",OR(I1925="TN",I1925="TDN",I1925="TNO2-3",I1925="NO2-3")),VLOOKUP(E1925,QCREC_N,2,),IF(AND(H1925="NIC",OR(I1925="TN",I1925="TDN",I1925="TNO2-3",I1925="NO2-3")),VLOOKUP(E1925,QCNIC_N,2,),IF(AND(H1925="UREA",OR(I1925="TN",I1925="TDN",I1925="TNO2-3",I1925="NO2-3")),VLOOKUP(E1925,QCUREA_N,2,),IF(H1925="PER",VLOOKUP(I1925,QCPER,MATCH(E1925,QCACTUAL!$J$25:$AA$25,0),),IF(H1925="SPK",VLOOKUP(I1925,QCSPK,3,),IF(AND(H1925="ATP",OR(I1925="TP",I1925="TDP")),VLOOKUP(E1925,QCATP_P,2,),""))))))))</f>
        <v/>
      </c>
      <c r="W1925" s="31" t="str">
        <f t="shared" si="223"/>
        <v>TRUE</v>
      </c>
      <c r="X1925" s="31" t="str">
        <f t="shared" si="220"/>
        <v/>
      </c>
      <c r="Y1925" s="10" t="s">
        <v>1126</v>
      </c>
      <c r="Z1925" s="10" t="s">
        <v>910</v>
      </c>
      <c r="AF1925" s="12">
        <v>44958</v>
      </c>
      <c r="AH1925" s="10">
        <f>-1.3807*2.86^2+80.818*2.86-42.013</f>
        <v>177.83290627999997</v>
      </c>
      <c r="AI1925" s="10">
        <f>0.6312*2.86^2+63.45*2.86-30.993</f>
        <v>155.63696352000002</v>
      </c>
      <c r="AK1925" s="10">
        <f>0.0239*2.86^2+66.574*2.86-31.913</f>
        <v>158.68413243999998</v>
      </c>
      <c r="AL1925" s="10" t="str">
        <f t="shared" si="218"/>
        <v>FALSE</v>
      </c>
      <c r="AM1925" s="10" t="str">
        <f t="shared" si="218"/>
        <v>y=-1.3807*2.86^2+80.818*2.86-42.013</v>
      </c>
      <c r="AN1925" s="10" t="str">
        <f t="shared" si="218"/>
        <v>y=0.6312*2.86^2+63.45*2.86-30.993</v>
      </c>
      <c r="AO1925" s="10" t="str">
        <f t="shared" si="219"/>
        <v>FALSE</v>
      </c>
      <c r="AP1925" s="10" t="str">
        <f t="shared" si="219"/>
        <v>y=0.0239*2.86^2+66.574*2.86-31.913</v>
      </c>
      <c r="AQ1925" s="10" t="b">
        <f>IF(AND(I1925="TP",S1925&lt;=150),VLOOKUP(AF1925,TPCalibEq150!$AZ$2:$BB$55,3,),IF(AND(I1925="TDP",S1925&lt;=150),VLOOKUP(AF1925,TPCalibEq150!$AZ$2:$BB$55,3,)))</f>
        <v>0</v>
      </c>
      <c r="AR1925" s="10" t="str">
        <f>IF(AND(I1925="TP",S1925&lt;=300),VLOOKUP(AF1925,TPCalibEq300!$AZ$2:$BB$55,3,),IF(AND(I1925="TDP",S1925&lt;=300),VLOOKUP(AF1925,TPCalibEq300!$AZ$2:$BB$55,3,)))</f>
        <v>y=-1.3807x2+80.818x-42.013</v>
      </c>
      <c r="AS1925" s="10" t="str">
        <f>IF(AND(I1925="TP",S1925&lt;=500),VLOOKUP(AF1925,TPCalibEq500!$AZ$2:$BB$56,3,),IF(AND(I1925="TDP",S1925&lt;=500),VLOOKUP(AF1925,TPCalibEq500!$AZ$2:$BB$56,3,)))</f>
        <v>y=0.6312x2+63.45x-30.993</v>
      </c>
      <c r="AT1925" s="10" t="b">
        <f>IF(AND(I1925="TN",S1925&lt;=2800),VLOOKUP(AF1925,TNCalibEq2500!$AZ$2:$BB$56,3,),IF(AND(I1925="TDN",S1925&lt;=2800),VLOOKUP(AF1925,TNCalibEq2500!$AZ$2:$BB$56,3,)))</f>
        <v>0</v>
      </c>
      <c r="AU1925" s="10" t="str">
        <f>IF(I1925="TP",VLOOKUP(AF1925,TPCalibEqFull!$AZ$2:$BB$56,3),IF(I1925="TDP",VLOOKUP(AF1925,TPCalibEqFull!$AZ$2:$BB$56,3),IF(I1925="TDN",VLOOKUP(AF1925,TNCalibEqFull!$AZ$1:$BB$56,3),IF(I1925="TN",VLOOKUP(AF1925,TNCalibEqFull!$AZ$1:$BB$56,3),FALSE))))</f>
        <v>y=0.0239x2+66.574x-31.913</v>
      </c>
      <c r="AV1925" s="10" t="str">
        <f t="shared" si="224"/>
        <v>0124 13:42:00-EFK-0-FIL-1-SW-UKN</v>
      </c>
    </row>
    <row r="1926" spans="1:48" s="10" customFormat="1" x14ac:dyDescent="0.55000000000000004">
      <c r="A1926" s="32">
        <v>44950</v>
      </c>
      <c r="B1926" s="33">
        <v>0.60555555555555551</v>
      </c>
      <c r="C1926" s="10" t="s">
        <v>333</v>
      </c>
      <c r="D1926" s="10">
        <v>0</v>
      </c>
      <c r="E1926" s="10" t="s">
        <v>911</v>
      </c>
      <c r="F1926" s="10">
        <v>1</v>
      </c>
      <c r="G1926" s="10" t="s">
        <v>231</v>
      </c>
      <c r="H1926" s="10" t="s">
        <v>322</v>
      </c>
      <c r="I1926" s="10" t="s">
        <v>266</v>
      </c>
      <c r="J1926" s="10">
        <v>44</v>
      </c>
      <c r="K1926" s="12">
        <v>44958</v>
      </c>
      <c r="L1926" s="33">
        <v>0.63590277777777782</v>
      </c>
      <c r="M1926" s="10">
        <v>1</v>
      </c>
      <c r="N1926" s="10" t="s">
        <v>84</v>
      </c>
      <c r="O1926" s="10">
        <v>2.87</v>
      </c>
      <c r="P1926" s="10">
        <v>0.2</v>
      </c>
      <c r="Q1926" s="10">
        <v>166</v>
      </c>
      <c r="R1926" s="10" t="s">
        <v>85</v>
      </c>
      <c r="S1926" s="34">
        <f t="shared" si="221"/>
        <v>178.56197217000002</v>
      </c>
      <c r="T1926" s="10" t="s">
        <v>1139</v>
      </c>
      <c r="U1926" s="34" t="str">
        <f t="shared" si="222"/>
        <v/>
      </c>
      <c r="V1926" s="31" t="str">
        <f>IF(H1926="CHK",VLOOKUP(I1926,QCCHK,3,),IF(H1926="GUP",VLOOKUP(E1926,QCGUP,2,),IF(AND(H1926="ATP",OR(I1926="TN",I1926="TDN",I1926="TNO2-3",I1926="NO2-3")),VLOOKUP(E1926,QCREC_N,2,),IF(AND(H1926="NIC",OR(I1926="TN",I1926="TDN",I1926="TNO2-3",I1926="NO2-3")),VLOOKUP(E1926,QCNIC_N,2,),IF(AND(H1926="UREA",OR(I1926="TN",I1926="TDN",I1926="TNO2-3",I1926="NO2-3")),VLOOKUP(E1926,QCUREA_N,2,),IF(H1926="PER",VLOOKUP(I1926,QCPER,MATCH(E1926,QCACTUAL!$J$25:$AA$25,0),),IF(H1926="SPK",VLOOKUP(I1926,QCSPK,3,),IF(AND(H1926="ATP",OR(I1926="TP",I1926="TDP")),VLOOKUP(E1926,QCATP_P,2,),""))))))))</f>
        <v/>
      </c>
      <c r="W1926" s="31" t="str">
        <f t="shared" si="223"/>
        <v>TRUE</v>
      </c>
      <c r="X1926" s="31" t="str">
        <f t="shared" si="220"/>
        <v/>
      </c>
      <c r="Y1926" s="10" t="s">
        <v>1126</v>
      </c>
      <c r="Z1926" s="10" t="s">
        <v>910</v>
      </c>
      <c r="AF1926" s="12">
        <v>44958</v>
      </c>
      <c r="AH1926" s="10">
        <f>-1.3807*2.87^2+80.818*2.87-42.013</f>
        <v>178.56197217000002</v>
      </c>
      <c r="AI1926" s="10">
        <f>0.6312*2.87^2+63.45*2.87-30.993</f>
        <v>156.30763128000001</v>
      </c>
      <c r="AK1926" s="10">
        <f>0.0239*2.87^2+66.574*2.87-31.913</f>
        <v>159.35124191</v>
      </c>
      <c r="AL1926" s="10" t="str">
        <f t="shared" si="218"/>
        <v>FALSE</v>
      </c>
      <c r="AM1926" s="10" t="str">
        <f t="shared" si="218"/>
        <v>y=-1.3807*2.87^2+80.818*2.87-42.013</v>
      </c>
      <c r="AN1926" s="10" t="str">
        <f t="shared" si="218"/>
        <v>y=0.6312*2.87^2+63.45*2.87-30.993</v>
      </c>
      <c r="AO1926" s="10" t="str">
        <f t="shared" si="219"/>
        <v>FALSE</v>
      </c>
      <c r="AP1926" s="10" t="str">
        <f t="shared" si="219"/>
        <v>y=0.0239*2.87^2+66.574*2.87-31.913</v>
      </c>
      <c r="AQ1926" s="10" t="b">
        <f>IF(AND(I1926="TP",S1926&lt;=150),VLOOKUP(AF1926,TPCalibEq150!$AZ$2:$BB$55,3,),IF(AND(I1926="TDP",S1926&lt;=150),VLOOKUP(AF1926,TPCalibEq150!$AZ$2:$BB$55,3,)))</f>
        <v>0</v>
      </c>
      <c r="AR1926" s="10" t="str">
        <f>IF(AND(I1926="TP",S1926&lt;=300),VLOOKUP(AF1926,TPCalibEq300!$AZ$2:$BB$55,3,),IF(AND(I1926="TDP",S1926&lt;=300),VLOOKUP(AF1926,TPCalibEq300!$AZ$2:$BB$55,3,)))</f>
        <v>y=-1.3807x2+80.818x-42.013</v>
      </c>
      <c r="AS1926" s="10" t="str">
        <f>IF(AND(I1926="TP",S1926&lt;=500),VLOOKUP(AF1926,TPCalibEq500!$AZ$2:$BB$56,3,),IF(AND(I1926="TDP",S1926&lt;=500),VLOOKUP(AF1926,TPCalibEq500!$AZ$2:$BB$56,3,)))</f>
        <v>y=0.6312x2+63.45x-30.993</v>
      </c>
      <c r="AT1926" s="10" t="b">
        <f>IF(AND(I1926="TN",S1926&lt;=2800),VLOOKUP(AF1926,TNCalibEq2500!$AZ$2:$BB$56,3,),IF(AND(I1926="TDN",S1926&lt;=2800),VLOOKUP(AF1926,TNCalibEq2500!$AZ$2:$BB$56,3,)))</f>
        <v>0</v>
      </c>
      <c r="AU1926" s="10" t="str">
        <f>IF(I1926="TP",VLOOKUP(AF1926,TPCalibEqFull!$AZ$2:$BB$56,3),IF(I1926="TDP",VLOOKUP(AF1926,TPCalibEqFull!$AZ$2:$BB$56,3),IF(I1926="TDN",VLOOKUP(AF1926,TNCalibEqFull!$AZ$1:$BB$56,3),IF(I1926="TN",VLOOKUP(AF1926,TNCalibEqFull!$AZ$1:$BB$56,3),FALSE))))</f>
        <v>y=0.0239x2+66.574x-31.913</v>
      </c>
      <c r="AV1926" s="10" t="str">
        <f t="shared" si="224"/>
        <v>0124 14:32:00-HST-0-FIL-1-SW-UKN</v>
      </c>
    </row>
    <row r="1927" spans="1:48" s="10" customFormat="1" x14ac:dyDescent="0.55000000000000004">
      <c r="A1927" s="32">
        <v>44951</v>
      </c>
      <c r="B1927" s="33">
        <v>0.23541666666666669</v>
      </c>
      <c r="C1927" s="10" t="s">
        <v>279</v>
      </c>
      <c r="D1927" s="10">
        <v>0</v>
      </c>
      <c r="E1927" s="10" t="s">
        <v>911</v>
      </c>
      <c r="F1927" s="10">
        <v>1</v>
      </c>
      <c r="G1927" s="10" t="s">
        <v>231</v>
      </c>
      <c r="H1927" s="10" t="s">
        <v>322</v>
      </c>
      <c r="I1927" s="10" t="s">
        <v>266</v>
      </c>
      <c r="J1927" s="10">
        <v>45</v>
      </c>
      <c r="K1927" s="12">
        <v>44958</v>
      </c>
      <c r="L1927" s="33">
        <v>0.63658564814814811</v>
      </c>
      <c r="M1927" s="10">
        <v>1</v>
      </c>
      <c r="N1927" s="10" t="s">
        <v>84</v>
      </c>
      <c r="O1927" s="10">
        <v>2.33</v>
      </c>
      <c r="P1927" s="10">
        <v>0.16</v>
      </c>
      <c r="Q1927" s="10">
        <v>130</v>
      </c>
      <c r="R1927" s="10" t="s">
        <v>85</v>
      </c>
      <c r="S1927" s="34">
        <f t="shared" si="221"/>
        <v>143.47459000000001</v>
      </c>
      <c r="T1927" s="10" t="s">
        <v>1139</v>
      </c>
      <c r="U1927" s="34" t="str">
        <f t="shared" si="222"/>
        <v/>
      </c>
      <c r="V1927" s="31" t="str">
        <f>IF(H1927="CHK",VLOOKUP(I1927,QCCHK,3,),IF(H1927="GUP",VLOOKUP(E1927,QCGUP,2,),IF(AND(H1927="ATP",OR(I1927="TN",I1927="TDN",I1927="TNO2-3",I1927="NO2-3")),VLOOKUP(E1927,QCREC_N,2,),IF(AND(H1927="NIC",OR(I1927="TN",I1927="TDN",I1927="TNO2-3",I1927="NO2-3")),VLOOKUP(E1927,QCNIC_N,2,),IF(AND(H1927="UREA",OR(I1927="TN",I1927="TDN",I1927="TNO2-3",I1927="NO2-3")),VLOOKUP(E1927,QCUREA_N,2,),IF(H1927="PER",VLOOKUP(I1927,QCPER,MATCH(E1927,QCACTUAL!$J$25:$AA$25,0),),IF(H1927="SPK",VLOOKUP(I1927,QCSPK,3,),IF(AND(H1927="ATP",OR(I1927="TP",I1927="TDP")),VLOOKUP(E1927,QCATP_P,2,),""))))))))</f>
        <v/>
      </c>
      <c r="W1927" s="31" t="str">
        <f t="shared" si="223"/>
        <v>TRUE</v>
      </c>
      <c r="X1927" s="31" t="str">
        <f t="shared" si="220"/>
        <v/>
      </c>
      <c r="Y1927" s="10" t="s">
        <v>1126</v>
      </c>
      <c r="Z1927" s="10" t="s">
        <v>910</v>
      </c>
      <c r="AF1927" s="12">
        <v>44958</v>
      </c>
      <c r="AG1927" s="10">
        <f>-20.9*2.33^2+141.62*2.33-73.036</f>
        <v>143.47459000000001</v>
      </c>
      <c r="AH1927" s="10">
        <f>-1.3807*2.33^2+80.818*2.33-42.013</f>
        <v>138.79725776999999</v>
      </c>
      <c r="AI1927" s="10">
        <f>0.6312*2.33^2+63.45*2.33-30.993</f>
        <v>120.27222168000003</v>
      </c>
      <c r="AK1927" s="10">
        <f>0.0239*2.33^2+66.574*2.33-31.913</f>
        <v>123.33417071000001</v>
      </c>
      <c r="AL1927" s="10" t="str">
        <f t="shared" si="218"/>
        <v>y=-20.90*2.33^2+141.62*2.33-73.036</v>
      </c>
      <c r="AM1927" s="10" t="str">
        <f t="shared" si="218"/>
        <v>y=-1.3807*2.33^2+80.818*2.33-42.013</v>
      </c>
      <c r="AN1927" s="10" t="str">
        <f t="shared" si="218"/>
        <v>y=0.6312*2.33^2+63.45*2.33-30.993</v>
      </c>
      <c r="AO1927" s="10" t="str">
        <f t="shared" si="219"/>
        <v>FALSE</v>
      </c>
      <c r="AP1927" s="10" t="str">
        <f t="shared" si="219"/>
        <v>y=0.0239*2.33^2+66.574*2.33-31.913</v>
      </c>
      <c r="AQ1927" s="10" t="str">
        <f>IF(AND(I1927="TP",S1927&lt;=150),VLOOKUP(AF1927,TPCalibEq150!$AZ$2:$BB$55,3,),IF(AND(I1927="TDP",S1927&lt;=150),VLOOKUP(AF1927,TPCalibEq150!$AZ$2:$BB$55,3,)))</f>
        <v>y=-20.90x2+141.62x-73.036</v>
      </c>
      <c r="AR1927" s="10" t="str">
        <f>IF(AND(I1927="TP",S1927&lt;=300),VLOOKUP(AF1927,TPCalibEq300!$AZ$2:$BB$55,3,),IF(AND(I1927="TDP",S1927&lt;=300),VLOOKUP(AF1927,TPCalibEq300!$AZ$2:$BB$55,3,)))</f>
        <v>y=-1.3807x2+80.818x-42.013</v>
      </c>
      <c r="AS1927" s="10" t="str">
        <f>IF(AND(I1927="TP",S1927&lt;=500),VLOOKUP(AF1927,TPCalibEq500!$AZ$2:$BB$56,3,),IF(AND(I1927="TDP",S1927&lt;=500),VLOOKUP(AF1927,TPCalibEq500!$AZ$2:$BB$56,3,)))</f>
        <v>y=0.6312x2+63.45x-30.993</v>
      </c>
      <c r="AT1927" s="10" t="b">
        <f>IF(AND(I1927="TN",S1927&lt;=2800),VLOOKUP(AF1927,TNCalibEq2500!$AZ$2:$BB$56,3,),IF(AND(I1927="TDN",S1927&lt;=2800),VLOOKUP(AF1927,TNCalibEq2500!$AZ$2:$BB$56,3,)))</f>
        <v>0</v>
      </c>
      <c r="AU1927" s="10" t="str">
        <f>IF(I1927="TP",VLOOKUP(AF1927,TPCalibEqFull!$AZ$2:$BB$56,3),IF(I1927="TDP",VLOOKUP(AF1927,TPCalibEqFull!$AZ$2:$BB$56,3),IF(I1927="TDN",VLOOKUP(AF1927,TNCalibEqFull!$AZ$1:$BB$56,3),IF(I1927="TN",VLOOKUP(AF1927,TNCalibEqFull!$AZ$1:$BB$56,3),FALSE))))</f>
        <v>y=0.0239x2+66.574x-31.913</v>
      </c>
      <c r="AV1927" s="10" t="str">
        <f t="shared" si="224"/>
        <v>0125 05:39:00-EFK-0-FIL-1-SW-UKN</v>
      </c>
    </row>
    <row r="1928" spans="1:48" s="10" customFormat="1" x14ac:dyDescent="0.55000000000000004">
      <c r="A1928" s="32">
        <v>44951</v>
      </c>
      <c r="B1928" s="33">
        <v>0.23750000000000002</v>
      </c>
      <c r="C1928" s="10" t="s">
        <v>333</v>
      </c>
      <c r="D1928" s="10">
        <v>0</v>
      </c>
      <c r="E1928" s="10" t="s">
        <v>911</v>
      </c>
      <c r="F1928" s="10">
        <v>1</v>
      </c>
      <c r="G1928" s="10" t="s">
        <v>231</v>
      </c>
      <c r="H1928" s="10" t="s">
        <v>322</v>
      </c>
      <c r="I1928" s="10" t="s">
        <v>266</v>
      </c>
      <c r="J1928" s="10">
        <v>46</v>
      </c>
      <c r="K1928" s="12">
        <v>44958</v>
      </c>
      <c r="L1928" s="33">
        <v>0.6372916666666667</v>
      </c>
      <c r="M1928" s="10">
        <v>1</v>
      </c>
      <c r="N1928" s="10" t="s">
        <v>84</v>
      </c>
      <c r="O1928" s="10">
        <v>2.92</v>
      </c>
      <c r="P1928" s="10">
        <v>0.20200000000000001</v>
      </c>
      <c r="Q1928" s="10">
        <v>170</v>
      </c>
      <c r="R1928" s="10" t="s">
        <v>85</v>
      </c>
      <c r="S1928" s="34">
        <f t="shared" si="221"/>
        <v>182.20315951999999</v>
      </c>
      <c r="T1928" s="10" t="s">
        <v>1139</v>
      </c>
      <c r="U1928" s="34" t="str">
        <f t="shared" si="222"/>
        <v/>
      </c>
      <c r="V1928" s="31" t="str">
        <f>IF(H1928="CHK",VLOOKUP(I1928,QCCHK,3,),IF(H1928="GUP",VLOOKUP(E1928,QCGUP,2,),IF(AND(H1928="ATP",OR(I1928="TN",I1928="TDN",I1928="TNO2-3",I1928="NO2-3")),VLOOKUP(E1928,QCREC_N,2,),IF(AND(H1928="NIC",OR(I1928="TN",I1928="TDN",I1928="TNO2-3",I1928="NO2-3")),VLOOKUP(E1928,QCNIC_N,2,),IF(AND(H1928="UREA",OR(I1928="TN",I1928="TDN",I1928="TNO2-3",I1928="NO2-3")),VLOOKUP(E1928,QCUREA_N,2,),IF(H1928="PER",VLOOKUP(I1928,QCPER,MATCH(E1928,QCACTUAL!$J$25:$AA$25,0),),IF(H1928="SPK",VLOOKUP(I1928,QCSPK,3,),IF(AND(H1928="ATP",OR(I1928="TP",I1928="TDP")),VLOOKUP(E1928,QCATP_P,2,),""))))))))</f>
        <v/>
      </c>
      <c r="W1928" s="31" t="str">
        <f t="shared" si="223"/>
        <v>TRUE</v>
      </c>
      <c r="X1928" s="31" t="str">
        <f t="shared" si="220"/>
        <v/>
      </c>
      <c r="Y1928" s="10" t="s">
        <v>1126</v>
      </c>
      <c r="Z1928" s="10" t="s">
        <v>910</v>
      </c>
      <c r="AF1928" s="12">
        <v>44958</v>
      </c>
      <c r="AH1928" s="10">
        <f>-1.3807*2.92^2+80.818*2.92-42.013</f>
        <v>182.20315951999999</v>
      </c>
      <c r="AI1928" s="10">
        <f>0.6312*2.92^2+63.45*2.92-30.993</f>
        <v>159.66286368000002</v>
      </c>
      <c r="AK1928" s="10">
        <f>0.0239*2.92^2+66.574*2.92-31.913</f>
        <v>162.68686095999996</v>
      </c>
      <c r="AL1928" s="10" t="str">
        <f t="shared" si="218"/>
        <v>FALSE</v>
      </c>
      <c r="AM1928" s="10" t="str">
        <f t="shared" si="218"/>
        <v>y=-1.3807*2.92^2+80.818*2.92-42.013</v>
      </c>
      <c r="AN1928" s="10" t="str">
        <f t="shared" si="218"/>
        <v>y=0.6312*2.92^2+63.45*2.92-30.993</v>
      </c>
      <c r="AO1928" s="10" t="str">
        <f t="shared" si="219"/>
        <v>FALSE</v>
      </c>
      <c r="AP1928" s="10" t="str">
        <f t="shared" si="219"/>
        <v>y=0.0239*2.92^2+66.574*2.92-31.913</v>
      </c>
      <c r="AQ1928" s="10" t="b">
        <f>IF(AND(I1928="TP",S1928&lt;=150),VLOOKUP(AF1928,TPCalibEq150!$AZ$2:$BB$55,3,),IF(AND(I1928="TDP",S1928&lt;=150),VLOOKUP(AF1928,TPCalibEq150!$AZ$2:$BB$55,3,)))</f>
        <v>0</v>
      </c>
      <c r="AR1928" s="10" t="str">
        <f>IF(AND(I1928="TP",S1928&lt;=300),VLOOKUP(AF1928,TPCalibEq300!$AZ$2:$BB$55,3,),IF(AND(I1928="TDP",S1928&lt;=300),VLOOKUP(AF1928,TPCalibEq300!$AZ$2:$BB$55,3,)))</f>
        <v>y=-1.3807x2+80.818x-42.013</v>
      </c>
      <c r="AS1928" s="10" t="str">
        <f>IF(AND(I1928="TP",S1928&lt;=500),VLOOKUP(AF1928,TPCalibEq500!$AZ$2:$BB$56,3,),IF(AND(I1928="TDP",S1928&lt;=500),VLOOKUP(AF1928,TPCalibEq500!$AZ$2:$BB$56,3,)))</f>
        <v>y=0.6312x2+63.45x-30.993</v>
      </c>
      <c r="AT1928" s="10" t="b">
        <f>IF(AND(I1928="TN",S1928&lt;=2800),VLOOKUP(AF1928,TNCalibEq2500!$AZ$2:$BB$56,3,),IF(AND(I1928="TDN",S1928&lt;=2800),VLOOKUP(AF1928,TNCalibEq2500!$AZ$2:$BB$56,3,)))</f>
        <v>0</v>
      </c>
      <c r="AU1928" s="10" t="str">
        <f>IF(I1928="TP",VLOOKUP(AF1928,TPCalibEqFull!$AZ$2:$BB$56,3),IF(I1928="TDP",VLOOKUP(AF1928,TPCalibEqFull!$AZ$2:$BB$56,3),IF(I1928="TDN",VLOOKUP(AF1928,TNCalibEqFull!$AZ$1:$BB$56,3),IF(I1928="TN",VLOOKUP(AF1928,TNCalibEqFull!$AZ$1:$BB$56,3),FALSE))))</f>
        <v>y=0.0239x2+66.574x-31.913</v>
      </c>
      <c r="AV1928" s="10" t="str">
        <f t="shared" si="224"/>
        <v>0125 05:42:00-HST-0-FIL-1-SW-UKN</v>
      </c>
    </row>
    <row r="1929" spans="1:48" s="10" customFormat="1" x14ac:dyDescent="0.55000000000000004">
      <c r="A1929" s="32">
        <v>44952</v>
      </c>
      <c r="B1929" s="33">
        <v>0.39930555555555558</v>
      </c>
      <c r="C1929" s="10" t="s">
        <v>279</v>
      </c>
      <c r="D1929" s="10">
        <v>0</v>
      </c>
      <c r="E1929" s="10" t="s">
        <v>911</v>
      </c>
      <c r="F1929" s="10">
        <v>1</v>
      </c>
      <c r="G1929" s="10" t="s">
        <v>231</v>
      </c>
      <c r="H1929" s="10" t="s">
        <v>322</v>
      </c>
      <c r="I1929" s="10" t="s">
        <v>266</v>
      </c>
      <c r="J1929" s="10">
        <v>47</v>
      </c>
      <c r="K1929" s="12">
        <v>44958</v>
      </c>
      <c r="L1929" s="33">
        <v>0.63798611111111114</v>
      </c>
      <c r="M1929" s="10">
        <v>1</v>
      </c>
      <c r="N1929" s="10" t="s">
        <v>84</v>
      </c>
      <c r="O1929" s="10">
        <v>3.22</v>
      </c>
      <c r="P1929" s="10">
        <v>0.224</v>
      </c>
      <c r="Q1929" s="10">
        <v>190</v>
      </c>
      <c r="R1929" s="10" t="s">
        <v>85</v>
      </c>
      <c r="S1929" s="34">
        <f t="shared" si="221"/>
        <v>203.90531012000002</v>
      </c>
      <c r="T1929" s="10" t="s">
        <v>1139</v>
      </c>
      <c r="U1929" s="34" t="str">
        <f t="shared" si="222"/>
        <v/>
      </c>
      <c r="V1929" s="31" t="str">
        <f>IF(H1929="CHK",VLOOKUP(I1929,QCCHK,3,),IF(H1929="GUP",VLOOKUP(E1929,QCGUP,2,),IF(AND(H1929="ATP",OR(I1929="TN",I1929="TDN",I1929="TNO2-3",I1929="NO2-3")),VLOOKUP(E1929,QCREC_N,2,),IF(AND(H1929="NIC",OR(I1929="TN",I1929="TDN",I1929="TNO2-3",I1929="NO2-3")),VLOOKUP(E1929,QCNIC_N,2,),IF(AND(H1929="UREA",OR(I1929="TN",I1929="TDN",I1929="TNO2-3",I1929="NO2-3")),VLOOKUP(E1929,QCUREA_N,2,),IF(H1929="PER",VLOOKUP(I1929,QCPER,MATCH(E1929,QCACTUAL!$J$25:$AA$25,0),),IF(H1929="SPK",VLOOKUP(I1929,QCSPK,3,),IF(AND(H1929="ATP",OR(I1929="TP",I1929="TDP")),VLOOKUP(E1929,QCATP_P,2,),""))))))))</f>
        <v/>
      </c>
      <c r="W1929" s="31" t="str">
        <f t="shared" si="223"/>
        <v>TRUE</v>
      </c>
      <c r="X1929" s="31" t="str">
        <f t="shared" si="220"/>
        <v/>
      </c>
      <c r="Y1929" s="10" t="s">
        <v>1126</v>
      </c>
      <c r="Z1929" s="10" t="s">
        <v>910</v>
      </c>
      <c r="AF1929" s="12">
        <v>44958</v>
      </c>
      <c r="AH1929" s="10">
        <f>-1.3807*3.22^2+80.818*3.22-42.013</f>
        <v>203.90531012000002</v>
      </c>
      <c r="AI1929" s="10">
        <f>0.6312*3.22^2+63.45*3.22-30.993</f>
        <v>179.86053408000004</v>
      </c>
      <c r="AK1929" s="10">
        <f>0.0239*3.22^2+66.574*3.22-31.913</f>
        <v>182.70308476</v>
      </c>
      <c r="AL1929" s="10" t="str">
        <f t="shared" si="218"/>
        <v>FALSE</v>
      </c>
      <c r="AM1929" s="10" t="str">
        <f t="shared" si="218"/>
        <v>y=-1.3807*3.22^2+80.818*3.22-42.013</v>
      </c>
      <c r="AN1929" s="10" t="str">
        <f t="shared" si="218"/>
        <v>y=0.6312*3.22^2+63.45*3.22-30.993</v>
      </c>
      <c r="AO1929" s="10" t="str">
        <f t="shared" si="219"/>
        <v>FALSE</v>
      </c>
      <c r="AP1929" s="10" t="str">
        <f t="shared" si="219"/>
        <v>y=0.0239*3.22^2+66.574*3.22-31.913</v>
      </c>
      <c r="AQ1929" s="10" t="b">
        <f>IF(AND(I1929="TP",S1929&lt;=150),VLOOKUP(AF1929,TPCalibEq150!$AZ$2:$BB$55,3,),IF(AND(I1929="TDP",S1929&lt;=150),VLOOKUP(AF1929,TPCalibEq150!$AZ$2:$BB$55,3,)))</f>
        <v>0</v>
      </c>
      <c r="AR1929" s="10" t="str">
        <f>IF(AND(I1929="TP",S1929&lt;=300),VLOOKUP(AF1929,TPCalibEq300!$AZ$2:$BB$55,3,),IF(AND(I1929="TDP",S1929&lt;=300),VLOOKUP(AF1929,TPCalibEq300!$AZ$2:$BB$55,3,)))</f>
        <v>y=-1.3807x2+80.818x-42.013</v>
      </c>
      <c r="AS1929" s="10" t="str">
        <f>IF(AND(I1929="TP",S1929&lt;=500),VLOOKUP(AF1929,TPCalibEq500!$AZ$2:$BB$56,3,),IF(AND(I1929="TDP",S1929&lt;=500),VLOOKUP(AF1929,TPCalibEq500!$AZ$2:$BB$56,3,)))</f>
        <v>y=0.6312x2+63.45x-30.993</v>
      </c>
      <c r="AT1929" s="10" t="b">
        <f>IF(AND(I1929="TN",S1929&lt;=2800),VLOOKUP(AF1929,TNCalibEq2500!$AZ$2:$BB$56,3,),IF(AND(I1929="TDN",S1929&lt;=2800),VLOOKUP(AF1929,TNCalibEq2500!$AZ$2:$BB$56,3,)))</f>
        <v>0</v>
      </c>
      <c r="AU1929" s="10" t="str">
        <f>IF(I1929="TP",VLOOKUP(AF1929,TPCalibEqFull!$AZ$2:$BB$56,3),IF(I1929="TDP",VLOOKUP(AF1929,TPCalibEqFull!$AZ$2:$BB$56,3),IF(I1929="TDN",VLOOKUP(AF1929,TNCalibEqFull!$AZ$1:$BB$56,3),IF(I1929="TN",VLOOKUP(AF1929,TNCalibEqFull!$AZ$1:$BB$56,3),FALSE))))</f>
        <v>y=0.0239x2+66.574x-31.913</v>
      </c>
      <c r="AV1929" s="10" t="str">
        <f t="shared" si="224"/>
        <v>0126 09:35:00-EFK-0-FIL-1-SW-UKN</v>
      </c>
    </row>
    <row r="1930" spans="1:48" s="10" customFormat="1" x14ac:dyDescent="0.55000000000000004">
      <c r="A1930" s="32">
        <v>44952</v>
      </c>
      <c r="B1930" s="33">
        <v>0.40416666666666662</v>
      </c>
      <c r="C1930" s="10" t="s">
        <v>333</v>
      </c>
      <c r="D1930" s="10">
        <v>0</v>
      </c>
      <c r="E1930" s="10" t="s">
        <v>911</v>
      </c>
      <c r="F1930" s="10" t="s">
        <v>190</v>
      </c>
      <c r="G1930" s="10" t="s">
        <v>231</v>
      </c>
      <c r="H1930" s="10" t="s">
        <v>322</v>
      </c>
      <c r="I1930" s="10" t="s">
        <v>266</v>
      </c>
      <c r="J1930" s="10">
        <v>48</v>
      </c>
      <c r="K1930" s="12">
        <v>44958</v>
      </c>
      <c r="L1930" s="33">
        <v>0.63869212962962962</v>
      </c>
      <c r="M1930" s="10">
        <v>1</v>
      </c>
      <c r="N1930" s="10" t="s">
        <v>84</v>
      </c>
      <c r="O1930" s="10">
        <v>2.33</v>
      </c>
      <c r="P1930" s="10">
        <v>0.16</v>
      </c>
      <c r="Q1930" s="10">
        <v>130</v>
      </c>
      <c r="R1930" s="10" t="s">
        <v>85</v>
      </c>
      <c r="S1930" s="34">
        <f t="shared" si="221"/>
        <v>143.47459000000001</v>
      </c>
      <c r="T1930" s="10" t="s">
        <v>1139</v>
      </c>
      <c r="U1930" s="34" t="str">
        <f t="shared" si="222"/>
        <v/>
      </c>
      <c r="V1930" s="31" t="str">
        <f>IF(H1930="CHK",VLOOKUP(I1930,QCCHK,3,),IF(H1930="GUP",VLOOKUP(E1930,QCGUP,2,),IF(AND(H1930="ATP",OR(I1930="TN",I1930="TDN",I1930="TNO2-3",I1930="NO2-3")),VLOOKUP(E1930,QCREC_N,2,),IF(AND(H1930="NIC",OR(I1930="TN",I1930="TDN",I1930="TNO2-3",I1930="NO2-3")),VLOOKUP(E1930,QCNIC_N,2,),IF(AND(H1930="UREA",OR(I1930="TN",I1930="TDN",I1930="TNO2-3",I1930="NO2-3")),VLOOKUP(E1930,QCUREA_N,2,),IF(H1930="PER",VLOOKUP(I1930,QCPER,MATCH(E1930,QCACTUAL!$J$25:$AA$25,0),),IF(H1930="SPK",VLOOKUP(I1930,QCSPK,3,),IF(AND(H1930="ATP",OR(I1930="TP",I1930="TDP")),VLOOKUP(E1930,QCATP_P,2,),""))))))))</f>
        <v/>
      </c>
      <c r="W1930" s="31" t="str">
        <f t="shared" si="223"/>
        <v>TRUE</v>
      </c>
      <c r="X1930" s="31" t="str">
        <f t="shared" si="220"/>
        <v/>
      </c>
      <c r="Y1930" s="10" t="s">
        <v>1126</v>
      </c>
      <c r="Z1930" s="10" t="s">
        <v>910</v>
      </c>
      <c r="AF1930" s="12">
        <v>44958</v>
      </c>
      <c r="AG1930" s="10">
        <f>-20.9*2.33^2+141.62*2.33-73.036</f>
        <v>143.47459000000001</v>
      </c>
      <c r="AH1930" s="10">
        <f>-1.3807*2.33^2+80.818*2.33-42.013</f>
        <v>138.79725776999999</v>
      </c>
      <c r="AI1930" s="10">
        <f>0.6312*2.33^2+63.45*2.33-30.993</f>
        <v>120.27222168000003</v>
      </c>
      <c r="AK1930" s="10">
        <f>0.0239*2.33^2+66.574*2.33-31.913</f>
        <v>123.33417071000001</v>
      </c>
      <c r="AL1930" s="10" t="str">
        <f t="shared" si="218"/>
        <v>y=-20.90*2.33^2+141.62*2.33-73.036</v>
      </c>
      <c r="AM1930" s="10" t="str">
        <f t="shared" si="218"/>
        <v>y=-1.3807*2.33^2+80.818*2.33-42.013</v>
      </c>
      <c r="AN1930" s="10" t="str">
        <f t="shared" si="218"/>
        <v>y=0.6312*2.33^2+63.45*2.33-30.993</v>
      </c>
      <c r="AO1930" s="10" t="str">
        <f t="shared" si="219"/>
        <v>FALSE</v>
      </c>
      <c r="AP1930" s="10" t="str">
        <f t="shared" si="219"/>
        <v>y=0.0239*2.33^2+66.574*2.33-31.913</v>
      </c>
      <c r="AQ1930" s="10" t="str">
        <f>IF(AND(I1930="TP",S1930&lt;=150),VLOOKUP(AF1930,TPCalibEq150!$AZ$2:$BB$55,3,),IF(AND(I1930="TDP",S1930&lt;=150),VLOOKUP(AF1930,TPCalibEq150!$AZ$2:$BB$55,3,)))</f>
        <v>y=-20.90x2+141.62x-73.036</v>
      </c>
      <c r="AR1930" s="10" t="str">
        <f>IF(AND(I1930="TP",S1930&lt;=300),VLOOKUP(AF1930,TPCalibEq300!$AZ$2:$BB$55,3,),IF(AND(I1930="TDP",S1930&lt;=300),VLOOKUP(AF1930,TPCalibEq300!$AZ$2:$BB$55,3,)))</f>
        <v>y=-1.3807x2+80.818x-42.013</v>
      </c>
      <c r="AS1930" s="10" t="str">
        <f>IF(AND(I1930="TP",S1930&lt;=500),VLOOKUP(AF1930,TPCalibEq500!$AZ$2:$BB$56,3,),IF(AND(I1930="TDP",S1930&lt;=500),VLOOKUP(AF1930,TPCalibEq500!$AZ$2:$BB$56,3,)))</f>
        <v>y=0.6312x2+63.45x-30.993</v>
      </c>
      <c r="AT1930" s="10" t="b">
        <f>IF(AND(I1930="TN",S1930&lt;=2800),VLOOKUP(AF1930,TNCalibEq2500!$AZ$2:$BB$56,3,),IF(AND(I1930="TDN",S1930&lt;=2800),VLOOKUP(AF1930,TNCalibEq2500!$AZ$2:$BB$56,3,)))</f>
        <v>0</v>
      </c>
      <c r="AU1930" s="10" t="str">
        <f>IF(I1930="TP",VLOOKUP(AF1930,TPCalibEqFull!$AZ$2:$BB$56,3),IF(I1930="TDP",VLOOKUP(AF1930,TPCalibEqFull!$AZ$2:$BB$56,3),IF(I1930="TDN",VLOOKUP(AF1930,TNCalibEqFull!$AZ$1:$BB$56,3),IF(I1930="TN",VLOOKUP(AF1930,TNCalibEqFull!$AZ$1:$BB$56,3),FALSE))))</f>
        <v>y=0.0239x2+66.574x-31.913</v>
      </c>
      <c r="AV1930" s="10" t="str">
        <f t="shared" si="224"/>
        <v>0126 09:42:00-HST-0-FIL-C-SW-UKN</v>
      </c>
    </row>
    <row r="1931" spans="1:48" s="10" customFormat="1" x14ac:dyDescent="0.55000000000000004">
      <c r="A1931" s="32">
        <v>44953</v>
      </c>
      <c r="B1931" s="33">
        <v>0.53333333333333333</v>
      </c>
      <c r="C1931" s="10" t="s">
        <v>279</v>
      </c>
      <c r="D1931" s="10">
        <v>0</v>
      </c>
      <c r="E1931" s="10" t="s">
        <v>911</v>
      </c>
      <c r="F1931" s="10">
        <v>1</v>
      </c>
      <c r="G1931" s="10" t="s">
        <v>231</v>
      </c>
      <c r="H1931" s="10" t="s">
        <v>322</v>
      </c>
      <c r="I1931" s="10" t="s">
        <v>266</v>
      </c>
      <c r="J1931" s="10">
        <v>49</v>
      </c>
      <c r="K1931" s="12">
        <v>44958</v>
      </c>
      <c r="L1931" s="33">
        <v>0.63938657407407407</v>
      </c>
      <c r="M1931" s="10">
        <v>1</v>
      </c>
      <c r="N1931" s="10" t="s">
        <v>84</v>
      </c>
      <c r="O1931" s="10">
        <v>3.25</v>
      </c>
      <c r="P1931" s="10">
        <v>0.22600000000000001</v>
      </c>
      <c r="Q1931" s="10">
        <v>191</v>
      </c>
      <c r="R1931" s="10" t="s">
        <v>85</v>
      </c>
      <c r="S1931" s="34">
        <f t="shared" si="221"/>
        <v>206.06185625000001</v>
      </c>
      <c r="T1931" s="10" t="s">
        <v>1139</v>
      </c>
      <c r="U1931" s="34" t="str">
        <f t="shared" si="222"/>
        <v/>
      </c>
      <c r="V1931" s="31" t="str">
        <f>IF(H1931="CHK",VLOOKUP(I1931,QCCHK,3,),IF(H1931="GUP",VLOOKUP(E1931,QCGUP,2,),IF(AND(H1931="ATP",OR(I1931="TN",I1931="TDN",I1931="TNO2-3",I1931="NO2-3")),VLOOKUP(E1931,QCREC_N,2,),IF(AND(H1931="NIC",OR(I1931="TN",I1931="TDN",I1931="TNO2-3",I1931="NO2-3")),VLOOKUP(E1931,QCNIC_N,2,),IF(AND(H1931="UREA",OR(I1931="TN",I1931="TDN",I1931="TNO2-3",I1931="NO2-3")),VLOOKUP(E1931,QCUREA_N,2,),IF(H1931="PER",VLOOKUP(I1931,QCPER,MATCH(E1931,QCACTUAL!$J$25:$AA$25,0),),IF(H1931="SPK",VLOOKUP(I1931,QCSPK,3,),IF(AND(H1931="ATP",OR(I1931="TP",I1931="TDP")),VLOOKUP(E1931,QCATP_P,2,),""))))))))</f>
        <v/>
      </c>
      <c r="W1931" s="31" t="str">
        <f t="shared" si="223"/>
        <v>TRUE</v>
      </c>
      <c r="X1931" s="31" t="str">
        <f t="shared" si="220"/>
        <v/>
      </c>
      <c r="Y1931" s="10" t="s">
        <v>1126</v>
      </c>
      <c r="Z1931" s="10" t="s">
        <v>910</v>
      </c>
      <c r="AF1931" s="12">
        <v>44958</v>
      </c>
      <c r="AH1931" s="10">
        <f>-1.3807*3.25^2+80.818*3.25-42.013</f>
        <v>206.06185625000001</v>
      </c>
      <c r="AI1931" s="10">
        <f>0.6312*3.25^2+63.45*3.25-30.993</f>
        <v>181.88655</v>
      </c>
      <c r="AK1931" s="10">
        <f>0.0239*3.25^2+66.574*3.25-31.913</f>
        <v>184.70494374999998</v>
      </c>
      <c r="AL1931" s="10" t="str">
        <f t="shared" si="218"/>
        <v>FALSE</v>
      </c>
      <c r="AM1931" s="10" t="str">
        <f t="shared" si="218"/>
        <v>y=-1.3807*3.25^2+80.818*3.25-42.013</v>
      </c>
      <c r="AN1931" s="10" t="str">
        <f t="shared" si="218"/>
        <v>y=0.6312*3.25^2+63.45*3.25-30.993</v>
      </c>
      <c r="AO1931" s="10" t="str">
        <f t="shared" si="219"/>
        <v>FALSE</v>
      </c>
      <c r="AP1931" s="10" t="str">
        <f t="shared" si="219"/>
        <v>y=0.0239*3.25^2+66.574*3.25-31.913</v>
      </c>
      <c r="AQ1931" s="10" t="b">
        <f>IF(AND(I1931="TP",S1931&lt;=150),VLOOKUP(AF1931,TPCalibEq150!$AZ$2:$BB$55,3,),IF(AND(I1931="TDP",S1931&lt;=150),VLOOKUP(AF1931,TPCalibEq150!$AZ$2:$BB$55,3,)))</f>
        <v>0</v>
      </c>
      <c r="AR1931" s="10" t="str">
        <f>IF(AND(I1931="TP",S1931&lt;=300),VLOOKUP(AF1931,TPCalibEq300!$AZ$2:$BB$55,3,),IF(AND(I1931="TDP",S1931&lt;=300),VLOOKUP(AF1931,TPCalibEq300!$AZ$2:$BB$55,3,)))</f>
        <v>y=-1.3807x2+80.818x-42.013</v>
      </c>
      <c r="AS1931" s="10" t="str">
        <f>IF(AND(I1931="TP",S1931&lt;=500),VLOOKUP(AF1931,TPCalibEq500!$AZ$2:$BB$56,3,),IF(AND(I1931="TDP",S1931&lt;=500),VLOOKUP(AF1931,TPCalibEq500!$AZ$2:$BB$56,3,)))</f>
        <v>y=0.6312x2+63.45x-30.993</v>
      </c>
      <c r="AT1931" s="10" t="b">
        <f>IF(AND(I1931="TN",S1931&lt;=2800),VLOOKUP(AF1931,TNCalibEq2500!$AZ$2:$BB$56,3,),IF(AND(I1931="TDN",S1931&lt;=2800),VLOOKUP(AF1931,TNCalibEq2500!$AZ$2:$BB$56,3,)))</f>
        <v>0</v>
      </c>
      <c r="AU1931" s="10" t="str">
        <f>IF(I1931="TP",VLOOKUP(AF1931,TPCalibEqFull!$AZ$2:$BB$56,3),IF(I1931="TDP",VLOOKUP(AF1931,TPCalibEqFull!$AZ$2:$BB$56,3),IF(I1931="TDN",VLOOKUP(AF1931,TNCalibEqFull!$AZ$1:$BB$56,3),IF(I1931="TN",VLOOKUP(AF1931,TNCalibEqFull!$AZ$1:$BB$56,3),FALSE))))</f>
        <v>y=0.0239x2+66.574x-31.913</v>
      </c>
      <c r="AV1931" s="10" t="str">
        <f t="shared" si="224"/>
        <v>0127 12:48:00-EFK-0-FIL-1-SW-UKN</v>
      </c>
    </row>
    <row r="1932" spans="1:48" s="10" customFormat="1" x14ac:dyDescent="0.55000000000000004">
      <c r="A1932" s="32">
        <v>44953</v>
      </c>
      <c r="B1932" s="33">
        <v>0.53611111111111109</v>
      </c>
      <c r="C1932" s="10" t="s">
        <v>333</v>
      </c>
      <c r="D1932" s="10">
        <v>0</v>
      </c>
      <c r="E1932" s="10" t="s">
        <v>911</v>
      </c>
      <c r="F1932" s="10">
        <v>1</v>
      </c>
      <c r="G1932" s="10" t="s">
        <v>231</v>
      </c>
      <c r="H1932" s="10" t="s">
        <v>322</v>
      </c>
      <c r="I1932" s="10" t="s">
        <v>266</v>
      </c>
      <c r="J1932" s="10">
        <v>50</v>
      </c>
      <c r="K1932" s="12">
        <v>44958</v>
      </c>
      <c r="L1932" s="33">
        <v>0.64009259259259255</v>
      </c>
      <c r="M1932" s="10">
        <v>1</v>
      </c>
      <c r="N1932" s="10" t="s">
        <v>84</v>
      </c>
      <c r="O1932" s="10">
        <v>2.02</v>
      </c>
      <c r="P1932" s="10">
        <v>0.13900000000000001</v>
      </c>
      <c r="Q1932" s="10">
        <v>109</v>
      </c>
      <c r="R1932" s="10" t="s">
        <v>85</v>
      </c>
      <c r="S1932" s="34">
        <f t="shared" si="221"/>
        <v>127.75604000000001</v>
      </c>
      <c r="T1932" s="10" t="s">
        <v>1139</v>
      </c>
      <c r="U1932" s="34" t="str">
        <f t="shared" si="222"/>
        <v/>
      </c>
      <c r="V1932" s="31" t="str">
        <f>IF(H1932="CHK",VLOOKUP(I1932,QCCHK,3,),IF(H1932="GUP",VLOOKUP(E1932,QCGUP,2,),IF(AND(H1932="ATP",OR(I1932="TN",I1932="TDN",I1932="TNO2-3",I1932="NO2-3")),VLOOKUP(E1932,QCREC_N,2,),IF(AND(H1932="NIC",OR(I1932="TN",I1932="TDN",I1932="TNO2-3",I1932="NO2-3")),VLOOKUP(E1932,QCNIC_N,2,),IF(AND(H1932="UREA",OR(I1932="TN",I1932="TDN",I1932="TNO2-3",I1932="NO2-3")),VLOOKUP(E1932,QCUREA_N,2,),IF(H1932="PER",VLOOKUP(I1932,QCPER,MATCH(E1932,QCACTUAL!$J$25:$AA$25,0),),IF(H1932="SPK",VLOOKUP(I1932,QCSPK,3,),IF(AND(H1932="ATP",OR(I1932="TP",I1932="TDP")),VLOOKUP(E1932,QCATP_P,2,),""))))))))</f>
        <v/>
      </c>
      <c r="W1932" s="31" t="str">
        <f t="shared" si="223"/>
        <v>TRUE</v>
      </c>
      <c r="X1932" s="31" t="str">
        <f t="shared" si="220"/>
        <v/>
      </c>
      <c r="Y1932" s="10" t="s">
        <v>1126</v>
      </c>
      <c r="Z1932" s="10" t="s">
        <v>910</v>
      </c>
      <c r="AF1932" s="12">
        <v>44958</v>
      </c>
      <c r="AG1932" s="10">
        <f>-20.9*2.02^2+141.62*2.02-73.036</f>
        <v>127.75604000000001</v>
      </c>
      <c r="AH1932" s="10">
        <f>-1.3807*2.02^2+80.818*2.02-42.013</f>
        <v>115.60555171999999</v>
      </c>
      <c r="AI1932" s="10">
        <f>0.6312*2.02^2+63.45*2.02-30.993</f>
        <v>99.751548480000025</v>
      </c>
      <c r="AK1932" s="10">
        <f>0.0239*2.02^2+66.574*2.02-31.913</f>
        <v>102.66400155999999</v>
      </c>
      <c r="AL1932" s="10" t="str">
        <f t="shared" si="218"/>
        <v>y=-20.90*2.02^2+141.62*2.02-73.036</v>
      </c>
      <c r="AM1932" s="10" t="str">
        <f t="shared" si="218"/>
        <v>y=-1.3807*2.02^2+80.818*2.02-42.013</v>
      </c>
      <c r="AN1932" s="10" t="str">
        <f t="shared" si="218"/>
        <v>y=0.6312*2.02^2+63.45*2.02-30.993</v>
      </c>
      <c r="AO1932" s="10" t="str">
        <f t="shared" si="219"/>
        <v>FALSE</v>
      </c>
      <c r="AP1932" s="10" t="str">
        <f t="shared" si="219"/>
        <v>y=0.0239*2.02^2+66.574*2.02-31.913</v>
      </c>
      <c r="AQ1932" s="10" t="str">
        <f>IF(AND(I1932="TP",S1932&lt;=150),VLOOKUP(AF1932,TPCalibEq150!$AZ$2:$BB$55,3,),IF(AND(I1932="TDP",S1932&lt;=150),VLOOKUP(AF1932,TPCalibEq150!$AZ$2:$BB$55,3,)))</f>
        <v>y=-20.90x2+141.62x-73.036</v>
      </c>
      <c r="AR1932" s="10" t="str">
        <f>IF(AND(I1932="TP",S1932&lt;=300),VLOOKUP(AF1932,TPCalibEq300!$AZ$2:$BB$55,3,),IF(AND(I1932="TDP",S1932&lt;=300),VLOOKUP(AF1932,TPCalibEq300!$AZ$2:$BB$55,3,)))</f>
        <v>y=-1.3807x2+80.818x-42.013</v>
      </c>
      <c r="AS1932" s="10" t="str">
        <f>IF(AND(I1932="TP",S1932&lt;=500),VLOOKUP(AF1932,TPCalibEq500!$AZ$2:$BB$56,3,),IF(AND(I1932="TDP",S1932&lt;=500),VLOOKUP(AF1932,TPCalibEq500!$AZ$2:$BB$56,3,)))</f>
        <v>y=0.6312x2+63.45x-30.993</v>
      </c>
      <c r="AT1932" s="10" t="b">
        <f>IF(AND(I1932="TN",S1932&lt;=2800),VLOOKUP(AF1932,TNCalibEq2500!$AZ$2:$BB$56,3,),IF(AND(I1932="TDN",S1932&lt;=2800),VLOOKUP(AF1932,TNCalibEq2500!$AZ$2:$BB$56,3,)))</f>
        <v>0</v>
      </c>
      <c r="AU1932" s="10" t="str">
        <f>IF(I1932="TP",VLOOKUP(AF1932,TPCalibEqFull!$AZ$2:$BB$56,3),IF(I1932="TDP",VLOOKUP(AF1932,TPCalibEqFull!$AZ$2:$BB$56,3),IF(I1932="TDN",VLOOKUP(AF1932,TNCalibEqFull!$AZ$1:$BB$56,3),IF(I1932="TN",VLOOKUP(AF1932,TNCalibEqFull!$AZ$1:$BB$56,3),FALSE))))</f>
        <v>y=0.0239x2+66.574x-31.913</v>
      </c>
      <c r="AV1932" s="10" t="str">
        <f t="shared" si="224"/>
        <v>0127 12:52:00-HST-0-FIL-1-SW-UKN</v>
      </c>
    </row>
    <row r="1933" spans="1:48" s="10" customFormat="1" x14ac:dyDescent="0.55000000000000004">
      <c r="A1933" s="32">
        <v>44953</v>
      </c>
      <c r="B1933" s="33">
        <v>0.53611111111111109</v>
      </c>
      <c r="C1933" s="10" t="s">
        <v>333</v>
      </c>
      <c r="D1933" s="10">
        <v>0</v>
      </c>
      <c r="E1933" s="10" t="s">
        <v>911</v>
      </c>
      <c r="F1933" s="10">
        <v>1</v>
      </c>
      <c r="G1933" s="10" t="s">
        <v>231</v>
      </c>
      <c r="H1933" s="10" t="s">
        <v>233</v>
      </c>
      <c r="I1933" s="10" t="s">
        <v>266</v>
      </c>
      <c r="J1933" s="10">
        <v>50</v>
      </c>
      <c r="K1933" s="12">
        <v>44958</v>
      </c>
      <c r="L1933" s="33">
        <v>0.64077546296296295</v>
      </c>
      <c r="M1933" s="10">
        <v>1</v>
      </c>
      <c r="N1933" s="10" t="s">
        <v>84</v>
      </c>
      <c r="O1933" s="10">
        <v>2.02</v>
      </c>
      <c r="P1933" s="10">
        <v>0.13800000000000001</v>
      </c>
      <c r="Q1933" s="10">
        <v>109</v>
      </c>
      <c r="R1933" s="10" t="s">
        <v>85</v>
      </c>
      <c r="S1933" s="34">
        <f t="shared" si="221"/>
        <v>127.75604000000001</v>
      </c>
      <c r="T1933" s="10" t="s">
        <v>1139</v>
      </c>
      <c r="U1933" s="34">
        <f t="shared" si="222"/>
        <v>0</v>
      </c>
      <c r="V1933" s="31" t="str">
        <f>IF(H1933="CHK",VLOOKUP(I1933,QCCHK,3,),IF(H1933="GUP",VLOOKUP(E1933,QCGUP,2,),IF(AND(H1933="ATP",OR(I1933="TN",I1933="TDN",I1933="TNO2-3",I1933="NO2-3")),VLOOKUP(E1933,QCREC_N,2,),IF(AND(H1933="NIC",OR(I1933="TN",I1933="TDN",I1933="TNO2-3",I1933="NO2-3")),VLOOKUP(E1933,QCNIC_N,2,),IF(AND(H1933="UREA",OR(I1933="TN",I1933="TDN",I1933="TNO2-3",I1933="NO2-3")),VLOOKUP(E1933,QCUREA_N,2,),IF(H1933="PER",VLOOKUP(I1933,QCPER,MATCH(E1933,QCACTUAL!$J$25:$AA$25,0),),IF(H1933="SPK",VLOOKUP(I1933,QCSPK,3,),IF(AND(H1933="ATP",OR(I1933="TP",I1933="TDP")),VLOOKUP(E1933,QCATP_P,2,),""))))))))</f>
        <v/>
      </c>
      <c r="W1933" s="31" t="str">
        <f t="shared" si="223"/>
        <v>TRUE</v>
      </c>
      <c r="X1933" s="31" t="str">
        <f t="shared" si="220"/>
        <v>((ABS(rep1-rep2))/((rep1+rep2)/2)*100</v>
      </c>
      <c r="Y1933" s="10" t="s">
        <v>1126</v>
      </c>
      <c r="Z1933" s="10" t="s">
        <v>910</v>
      </c>
      <c r="AF1933" s="12">
        <v>44958</v>
      </c>
      <c r="AG1933" s="10">
        <f>-20.9*2.02^2+141.62*2.02-73.036</f>
        <v>127.75604000000001</v>
      </c>
      <c r="AH1933" s="10">
        <f>-1.3807*2.02^2+80.818*2.02-42.013</f>
        <v>115.60555171999999</v>
      </c>
      <c r="AI1933" s="10">
        <f>0.6312*2.02^2+63.45*2.02-30.993</f>
        <v>99.751548480000025</v>
      </c>
      <c r="AK1933" s="10">
        <f>0.0239*2.02^2+66.574*2.02-31.913</f>
        <v>102.66400155999999</v>
      </c>
      <c r="AL1933" s="10" t="str">
        <f t="shared" si="218"/>
        <v>y=-20.90*2.02^2+141.62*2.02-73.036</v>
      </c>
      <c r="AM1933" s="10" t="str">
        <f t="shared" si="218"/>
        <v>y=-1.3807*2.02^2+80.818*2.02-42.013</v>
      </c>
      <c r="AN1933" s="10" t="str">
        <f t="shared" si="218"/>
        <v>y=0.6312*2.02^2+63.45*2.02-30.993</v>
      </c>
      <c r="AO1933" s="10" t="str">
        <f t="shared" si="219"/>
        <v>FALSE</v>
      </c>
      <c r="AP1933" s="10" t="str">
        <f t="shared" si="219"/>
        <v>y=0.0239*2.02^2+66.574*2.02-31.913</v>
      </c>
      <c r="AQ1933" s="10" t="str">
        <f>IF(AND(I1933="TP",S1933&lt;=150),VLOOKUP(AF1933,TPCalibEq150!$AZ$2:$BB$55,3,),IF(AND(I1933="TDP",S1933&lt;=150),VLOOKUP(AF1933,TPCalibEq150!$AZ$2:$BB$55,3,)))</f>
        <v>y=-20.90x2+141.62x-73.036</v>
      </c>
      <c r="AR1933" s="10" t="str">
        <f>IF(AND(I1933="TP",S1933&lt;=300),VLOOKUP(AF1933,TPCalibEq300!$AZ$2:$BB$55,3,),IF(AND(I1933="TDP",S1933&lt;=300),VLOOKUP(AF1933,TPCalibEq300!$AZ$2:$BB$55,3,)))</f>
        <v>y=-1.3807x2+80.818x-42.013</v>
      </c>
      <c r="AS1933" s="10" t="str">
        <f>IF(AND(I1933="TP",S1933&lt;=500),VLOOKUP(AF1933,TPCalibEq500!$AZ$2:$BB$56,3,),IF(AND(I1933="TDP",S1933&lt;=500),VLOOKUP(AF1933,TPCalibEq500!$AZ$2:$BB$56,3,)))</f>
        <v>y=0.6312x2+63.45x-30.993</v>
      </c>
      <c r="AT1933" s="10" t="b">
        <f>IF(AND(I1933="TN",S1933&lt;=2800),VLOOKUP(AF1933,TNCalibEq2500!$AZ$2:$BB$56,3,),IF(AND(I1933="TDN",S1933&lt;=2800),VLOOKUP(AF1933,TNCalibEq2500!$AZ$2:$BB$56,3,)))</f>
        <v>0</v>
      </c>
      <c r="AU1933" s="10" t="str">
        <f>IF(I1933="TP",VLOOKUP(AF1933,TPCalibEqFull!$AZ$2:$BB$56,3),IF(I1933="TDP",VLOOKUP(AF1933,TPCalibEqFull!$AZ$2:$BB$56,3),IF(I1933="TDN",VLOOKUP(AF1933,TNCalibEqFull!$AZ$1:$BB$56,3),IF(I1933="TN",VLOOKUP(AF1933,TNCalibEqFull!$AZ$1:$BB$56,3),FALSE))))</f>
        <v>y=0.0239x2+66.574x-31.913</v>
      </c>
      <c r="AV1933" s="10" t="str">
        <f t="shared" si="224"/>
        <v>0127 12:52:00-HST-0-FIL-1-SW-DUP</v>
      </c>
    </row>
    <row r="1934" spans="1:48" s="10" customFormat="1" x14ac:dyDescent="0.55000000000000004">
      <c r="A1934" s="32">
        <v>44953</v>
      </c>
      <c r="B1934" s="33">
        <v>0.53611111111111109</v>
      </c>
      <c r="C1934" s="10" t="s">
        <v>333</v>
      </c>
      <c r="D1934" s="10">
        <v>0</v>
      </c>
      <c r="E1934" s="10" t="s">
        <v>911</v>
      </c>
      <c r="F1934" s="10">
        <v>1</v>
      </c>
      <c r="G1934" s="10" t="s">
        <v>231</v>
      </c>
      <c r="H1934" s="10" t="s">
        <v>314</v>
      </c>
      <c r="I1934" s="10" t="s">
        <v>266</v>
      </c>
      <c r="J1934" s="10">
        <v>86</v>
      </c>
      <c r="K1934" s="12">
        <v>44958</v>
      </c>
      <c r="L1934" s="33">
        <v>0.64148148148148143</v>
      </c>
      <c r="M1934" s="10">
        <v>1</v>
      </c>
      <c r="N1934" s="10" t="s">
        <v>84</v>
      </c>
      <c r="O1934" s="10">
        <v>16.399999999999999</v>
      </c>
      <c r="P1934" s="10">
        <v>1.1399999999999999</v>
      </c>
      <c r="Q1934" s="10">
        <v>1070</v>
      </c>
      <c r="R1934" s="10" t="s">
        <v>85</v>
      </c>
      <c r="S1934" s="34">
        <f t="shared" si="221"/>
        <v>1070</v>
      </c>
      <c r="T1934" s="10" t="s">
        <v>1139</v>
      </c>
      <c r="U1934" s="34">
        <f t="shared" si="222"/>
        <v>94.224395999999999</v>
      </c>
      <c r="V1934" s="31">
        <f>IF(H1934="CHK",VLOOKUP(I1934,QCCHK,3,),IF(H1934="GUP",VLOOKUP(E1934,QCGUP,2,),IF(AND(H1934="ATP",OR(I1934="TN",I1934="TDN",I1934="TNO2-3",I1934="NO2-3")),VLOOKUP(E1934,QCREC_N,2,),IF(AND(H1934="NIC",OR(I1934="TN",I1934="TDN",I1934="TNO2-3",I1934="NO2-3")),VLOOKUP(E1934,QCNIC_N,2,),IF(AND(H1934="UREA",OR(I1934="TN",I1934="TDN",I1934="TNO2-3",I1934="NO2-3")),VLOOKUP(E1934,QCUREA_N,2,),IF(H1934="PER",VLOOKUP(I1934,QCPER,MATCH(E1934,QCACTUAL!$J$25:$AA$25,0),),IF(H1934="SPK",VLOOKUP(I1934,QCSPK,3,),IF(AND(H1934="ATP",OR(I1934="TP",I1934="TDP")),VLOOKUP(E1934,QCATP_P,2,),""))))))))</f>
        <v>1000</v>
      </c>
      <c r="W1934" s="31" t="str">
        <f t="shared" si="223"/>
        <v>TRUE</v>
      </c>
      <c r="X1934" s="31" t="str">
        <f t="shared" si="220"/>
        <v>([spikedunkn]-[unkn])/[spike]*100</v>
      </c>
      <c r="Y1934" s="10" t="s">
        <v>1126</v>
      </c>
      <c r="Z1934" s="10" t="s">
        <v>910</v>
      </c>
      <c r="AF1934" s="12">
        <v>44958</v>
      </c>
      <c r="AK1934" s="10">
        <f>0.0239*16.4^2+66.574*16.4-31.913</f>
        <v>1066.3287439999999</v>
      </c>
      <c r="AL1934" s="10" t="str">
        <f t="shared" si="218"/>
        <v>FALSE</v>
      </c>
      <c r="AM1934" s="10" t="str">
        <f t="shared" si="218"/>
        <v>FALSE</v>
      </c>
      <c r="AN1934" s="10" t="str">
        <f t="shared" si="218"/>
        <v>FALSE</v>
      </c>
      <c r="AO1934" s="10" t="str">
        <f t="shared" si="219"/>
        <v>FALSE</v>
      </c>
      <c r="AP1934" s="10" t="str">
        <f t="shared" si="219"/>
        <v>y=0.0239*16.4^2+66.574*16.4-31.913</v>
      </c>
      <c r="AQ1934" s="10" t="b">
        <f>IF(AND(I1934="TP",S1934&lt;=150),VLOOKUP(AF1934,TPCalibEq150!$AZ$2:$BB$55,3,),IF(AND(I1934="TDP",S1934&lt;=150),VLOOKUP(AF1934,TPCalibEq150!$AZ$2:$BB$55,3,)))</f>
        <v>0</v>
      </c>
      <c r="AR1934" s="10" t="b">
        <f>IF(AND(I1934="TP",S1934&lt;=300),VLOOKUP(AF1934,TPCalibEq300!$AZ$2:$BB$55,3,),IF(AND(I1934="TDP",S1934&lt;=300),VLOOKUP(AF1934,TPCalibEq300!$AZ$2:$BB$55,3,)))</f>
        <v>0</v>
      </c>
      <c r="AS1934" s="10" t="b">
        <f>IF(AND(I1934="TP",S1934&lt;=500),VLOOKUP(AF1934,TPCalibEq500!$AZ$2:$BB$56,3,),IF(AND(I1934="TDP",S1934&lt;=500),VLOOKUP(AF1934,TPCalibEq500!$AZ$2:$BB$56,3,)))</f>
        <v>0</v>
      </c>
      <c r="AT1934" s="10" t="b">
        <f>IF(AND(I1934="TN",S1934&lt;=2800),VLOOKUP(AF1934,TNCalibEq2500!$AZ$2:$BB$56,3,),IF(AND(I1934="TDN",S1934&lt;=2800),VLOOKUP(AF1934,TNCalibEq2500!$AZ$2:$BB$56,3,)))</f>
        <v>0</v>
      </c>
      <c r="AU1934" s="10" t="str">
        <f>IF(I1934="TP",VLOOKUP(AF1934,TPCalibEqFull!$AZ$2:$BB$56,3),IF(I1934="TDP",VLOOKUP(AF1934,TPCalibEqFull!$AZ$2:$BB$56,3),IF(I1934="TDN",VLOOKUP(AF1934,TNCalibEqFull!$AZ$1:$BB$56,3),IF(I1934="TN",VLOOKUP(AF1934,TNCalibEqFull!$AZ$1:$BB$56,3),FALSE))))</f>
        <v>y=0.0239x2+66.574x-31.913</v>
      </c>
      <c r="AV1934" s="10" t="str">
        <f t="shared" si="224"/>
        <v>0127 12:52:00-HST-0-FIL-1-SW-SPK</v>
      </c>
    </row>
    <row r="1935" spans="1:48" s="10" customFormat="1" x14ac:dyDescent="0.55000000000000004">
      <c r="A1935" s="32">
        <v>44958</v>
      </c>
      <c r="B1935" s="33">
        <v>0.375</v>
      </c>
      <c r="C1935" s="10" t="s">
        <v>70</v>
      </c>
      <c r="D1935" s="10" t="s">
        <v>71</v>
      </c>
      <c r="E1935" s="10" t="s">
        <v>901</v>
      </c>
      <c r="F1935" s="10">
        <v>1</v>
      </c>
      <c r="G1935" s="10" t="s">
        <v>73</v>
      </c>
      <c r="H1935" s="10" t="s">
        <v>207</v>
      </c>
      <c r="I1935" s="10" t="s">
        <v>83</v>
      </c>
      <c r="J1935" s="10">
        <v>202</v>
      </c>
      <c r="K1935" s="12">
        <v>44958</v>
      </c>
      <c r="L1935" s="33">
        <v>0.64217592592592598</v>
      </c>
      <c r="M1935" s="10">
        <v>1</v>
      </c>
      <c r="N1935" s="10" t="s">
        <v>84</v>
      </c>
      <c r="O1935" s="10">
        <v>8.2100000000000009</v>
      </c>
      <c r="P1935" s="10">
        <v>0.57699999999999996</v>
      </c>
      <c r="Q1935" s="10">
        <v>524</v>
      </c>
      <c r="R1935" s="10" t="s">
        <v>85</v>
      </c>
      <c r="S1935" s="34">
        <f t="shared" si="221"/>
        <v>524</v>
      </c>
      <c r="T1935" s="10" t="s">
        <v>1139</v>
      </c>
      <c r="U1935" s="34">
        <f t="shared" si="222"/>
        <v>104.80000000000001</v>
      </c>
      <c r="V1935" s="31">
        <f>IF(H1935="CHK",VLOOKUP(I1935,QCCHK,3,),IF(H1935="GUP",VLOOKUP(E1935,QCGUP,2,),IF(AND(H1935="ATP",OR(I1935="TN",I1935="TDN",I1935="TNO2-3",I1935="NO2-3")),VLOOKUP(E1935,QCREC_N,2,),IF(AND(H1935="NIC",OR(I1935="TN",I1935="TDN",I1935="TNO2-3",I1935="NO2-3")),VLOOKUP(E1935,QCNIC_N,2,),IF(AND(H1935="UREA",OR(I1935="TN",I1935="TDN",I1935="TNO2-3",I1935="NO2-3")),VLOOKUP(E1935,QCUREA_N,2,),IF(H1935="PER",VLOOKUP(I1935,QCPER,MATCH(E1935,QCACTUAL!$J$25:$AA$25,0),),IF(H1935="SPK",VLOOKUP(I1935,QCSPK,3,),IF(AND(H1935="ATP",OR(I1935="TP",I1935="TDP")),VLOOKUP(E1935,QCATP_P,2,),""))))))))</f>
        <v>500</v>
      </c>
      <c r="W1935" s="31" t="str">
        <f t="shared" si="223"/>
        <v>TRUE</v>
      </c>
      <c r="X1935" s="31" t="str">
        <f t="shared" si="220"/>
        <v>[chk]/[actual]*100</v>
      </c>
      <c r="Y1935" s="10" t="s">
        <v>1126</v>
      </c>
      <c r="AF1935" s="12">
        <v>44958</v>
      </c>
      <c r="AK1935" s="10">
        <f>0.0239*8.21^2+66.574*8.21-31.913</f>
        <v>516.27049798999997</v>
      </c>
      <c r="AL1935" s="10" t="str">
        <f t="shared" si="218"/>
        <v>FALSE</v>
      </c>
      <c r="AM1935" s="10" t="str">
        <f t="shared" si="218"/>
        <v>FALSE</v>
      </c>
      <c r="AN1935" s="10" t="str">
        <f t="shared" si="218"/>
        <v>FALSE</v>
      </c>
      <c r="AO1935" s="10" t="str">
        <f t="shared" si="219"/>
        <v>FALSE</v>
      </c>
      <c r="AP1935" s="10" t="str">
        <f t="shared" si="219"/>
        <v>y=0.0239*8.21^2+66.574*8.21-31.913</v>
      </c>
      <c r="AQ1935" s="10" t="b">
        <f>IF(AND(I1935="TP",S1935&lt;=150),VLOOKUP(AF1935,TPCalibEq150!$AZ$2:$BB$55,3,),IF(AND(I1935="TDP",S1935&lt;=150),VLOOKUP(AF1935,TPCalibEq150!$AZ$2:$BB$55,3,)))</f>
        <v>0</v>
      </c>
      <c r="AR1935" s="10" t="b">
        <f>IF(AND(I1935="TP",S1935&lt;=300),VLOOKUP(AF1935,TPCalibEq300!$AZ$2:$BB$55,3,),IF(AND(I1935="TDP",S1935&lt;=300),VLOOKUP(AF1935,TPCalibEq300!$AZ$2:$BB$55,3,)))</f>
        <v>0</v>
      </c>
      <c r="AS1935" s="10" t="b">
        <f>IF(AND(I1935="TP",S1935&lt;=500),VLOOKUP(AF1935,TPCalibEq500!$AZ$2:$BB$56,3,),IF(AND(I1935="TDP",S1935&lt;=500),VLOOKUP(AF1935,TPCalibEq500!$AZ$2:$BB$56,3,)))</f>
        <v>0</v>
      </c>
      <c r="AT1935" s="10" t="b">
        <f>IF(AND(I1935="TN",S1935&lt;=2800),VLOOKUP(AF1935,TNCalibEq2500!$AZ$2:$BB$56,3,),IF(AND(I1935="TDN",S1935&lt;=2800),VLOOKUP(AF1935,TNCalibEq2500!$AZ$2:$BB$56,3,)))</f>
        <v>0</v>
      </c>
      <c r="AU1935" s="10" t="str">
        <f>IF(I1935="TP",VLOOKUP(AF1935,TPCalibEqFull!$AZ$2:$BB$56,3),IF(I1935="TDP",VLOOKUP(AF1935,TPCalibEqFull!$AZ$2:$BB$56,3),IF(I1935="TDN",VLOOKUP(AF1935,TNCalibEqFull!$AZ$1:$BB$56,3),IF(I1935="TN",VLOOKUP(AF1935,TNCalibEqFull!$AZ$1:$BB$56,3),FALSE))))</f>
        <v>y=0.0239x2+66.574x-31.913</v>
      </c>
      <c r="AV1935" s="10" t="str">
        <f t="shared" si="224"/>
        <v>0201 09:00:00-QAC-STD-D-1-DI-CHK</v>
      </c>
    </row>
    <row r="1936" spans="1:48" s="10" customFormat="1" x14ac:dyDescent="0.55000000000000004">
      <c r="A1936" s="32">
        <v>44956</v>
      </c>
      <c r="B1936" s="33">
        <v>0.32500000000000001</v>
      </c>
      <c r="C1936" s="10" t="s">
        <v>279</v>
      </c>
      <c r="D1936" s="10">
        <v>0</v>
      </c>
      <c r="E1936" s="10" t="s">
        <v>911</v>
      </c>
      <c r="F1936" s="10">
        <v>1</v>
      </c>
      <c r="G1936" s="10" t="s">
        <v>231</v>
      </c>
      <c r="H1936" s="10" t="s">
        <v>322</v>
      </c>
      <c r="I1936" s="10" t="s">
        <v>266</v>
      </c>
      <c r="J1936" s="10">
        <v>51</v>
      </c>
      <c r="K1936" s="12">
        <v>44958</v>
      </c>
      <c r="L1936" s="33">
        <v>0.64288194444444446</v>
      </c>
      <c r="M1936" s="10">
        <v>1</v>
      </c>
      <c r="N1936" s="10" t="s">
        <v>84</v>
      </c>
      <c r="O1936" s="10">
        <v>3.2</v>
      </c>
      <c r="P1936" s="10">
        <v>0.222</v>
      </c>
      <c r="Q1936" s="10">
        <v>188</v>
      </c>
      <c r="R1936" s="10" t="s">
        <v>85</v>
      </c>
      <c r="S1936" s="34">
        <f t="shared" si="221"/>
        <v>202.46623199999996</v>
      </c>
      <c r="T1936" s="10" t="s">
        <v>1139</v>
      </c>
      <c r="U1936" s="34" t="str">
        <f t="shared" si="222"/>
        <v/>
      </c>
      <c r="V1936" s="31" t="str">
        <f>IF(H1936="CHK",VLOOKUP(I1936,QCCHK,3,),IF(H1936="GUP",VLOOKUP(E1936,QCGUP,2,),IF(AND(H1936="ATP",OR(I1936="TN",I1936="TDN",I1936="TNO2-3",I1936="NO2-3")),VLOOKUP(E1936,QCREC_N,2,),IF(AND(H1936="NIC",OR(I1936="TN",I1936="TDN",I1936="TNO2-3",I1936="NO2-3")),VLOOKUP(E1936,QCNIC_N,2,),IF(AND(H1936="UREA",OR(I1936="TN",I1936="TDN",I1936="TNO2-3",I1936="NO2-3")),VLOOKUP(E1936,QCUREA_N,2,),IF(H1936="PER",VLOOKUP(I1936,QCPER,MATCH(E1936,QCACTUAL!$J$25:$AA$25,0),),IF(H1936="SPK",VLOOKUP(I1936,QCSPK,3,),IF(AND(H1936="ATP",OR(I1936="TP",I1936="TDP")),VLOOKUP(E1936,QCATP_P,2,),""))))))))</f>
        <v/>
      </c>
      <c r="W1936" s="31" t="str">
        <f t="shared" si="223"/>
        <v>TRUE</v>
      </c>
      <c r="X1936" s="31" t="str">
        <f t="shared" si="220"/>
        <v/>
      </c>
      <c r="Y1936" s="10" t="s">
        <v>1126</v>
      </c>
      <c r="Z1936" s="10" t="s">
        <v>910</v>
      </c>
      <c r="AF1936" s="12">
        <v>44958</v>
      </c>
      <c r="AH1936" s="10">
        <f>-1.3807*3.2^2+80.818*3.2-42.013</f>
        <v>202.46623199999996</v>
      </c>
      <c r="AI1936" s="10">
        <f>0.6312*3.2^2+63.45*3.2-30.993</f>
        <v>178.51048800000004</v>
      </c>
      <c r="AK1936" s="10">
        <f>0.0239*3.2^2+66.574*3.2-31.913</f>
        <v>181.36853599999998</v>
      </c>
      <c r="AL1936" s="10" t="str">
        <f t="shared" si="218"/>
        <v>FALSE</v>
      </c>
      <c r="AM1936" s="10" t="str">
        <f t="shared" si="218"/>
        <v>y=-1.3807*3.2^2+80.818*3.2-42.013</v>
      </c>
      <c r="AN1936" s="10" t="str">
        <f t="shared" si="218"/>
        <v>y=0.6312*3.2^2+63.45*3.2-30.993</v>
      </c>
      <c r="AO1936" s="10" t="str">
        <f t="shared" si="219"/>
        <v>FALSE</v>
      </c>
      <c r="AP1936" s="10" t="str">
        <f t="shared" si="219"/>
        <v>y=0.0239*3.2^2+66.574*3.2-31.913</v>
      </c>
      <c r="AQ1936" s="10" t="b">
        <f>IF(AND(I1936="TP",S1936&lt;=150),VLOOKUP(AF1936,TPCalibEq150!$AZ$2:$BB$55,3,),IF(AND(I1936="TDP",S1936&lt;=150),VLOOKUP(AF1936,TPCalibEq150!$AZ$2:$BB$55,3,)))</f>
        <v>0</v>
      </c>
      <c r="AR1936" s="10" t="str">
        <f>IF(AND(I1936="TP",S1936&lt;=300),VLOOKUP(AF1936,TPCalibEq300!$AZ$2:$BB$55,3,),IF(AND(I1936="TDP",S1936&lt;=300),VLOOKUP(AF1936,TPCalibEq300!$AZ$2:$BB$55,3,)))</f>
        <v>y=-1.3807x2+80.818x-42.013</v>
      </c>
      <c r="AS1936" s="10" t="str">
        <f>IF(AND(I1936="TP",S1936&lt;=500),VLOOKUP(AF1936,TPCalibEq500!$AZ$2:$BB$56,3,),IF(AND(I1936="TDP",S1936&lt;=500),VLOOKUP(AF1936,TPCalibEq500!$AZ$2:$BB$56,3,)))</f>
        <v>y=0.6312x2+63.45x-30.993</v>
      </c>
      <c r="AT1936" s="10" t="b">
        <f>IF(AND(I1936="TN",S1936&lt;=2800),VLOOKUP(AF1936,TNCalibEq2500!$AZ$2:$BB$56,3,),IF(AND(I1936="TDN",S1936&lt;=2800),VLOOKUP(AF1936,TNCalibEq2500!$AZ$2:$BB$56,3,)))</f>
        <v>0</v>
      </c>
      <c r="AU1936" s="10" t="str">
        <f>IF(I1936="TP",VLOOKUP(AF1936,TPCalibEqFull!$AZ$2:$BB$56,3),IF(I1936="TDP",VLOOKUP(AF1936,TPCalibEqFull!$AZ$2:$BB$56,3),IF(I1936="TDN",VLOOKUP(AF1936,TNCalibEqFull!$AZ$1:$BB$56,3),IF(I1936="TN",VLOOKUP(AF1936,TNCalibEqFull!$AZ$1:$BB$56,3),FALSE))))</f>
        <v>y=0.0239x2+66.574x-31.913</v>
      </c>
      <c r="AV1936" s="10" t="str">
        <f t="shared" si="224"/>
        <v>0130 07:48:00-EFK-0-FIL-1-SW-UKN</v>
      </c>
    </row>
    <row r="1937" spans="1:48" s="10" customFormat="1" x14ac:dyDescent="0.55000000000000004">
      <c r="A1937" s="32">
        <v>44956</v>
      </c>
      <c r="B1937" s="33">
        <v>0.33749999999999997</v>
      </c>
      <c r="C1937" s="10" t="s">
        <v>333</v>
      </c>
      <c r="D1937" s="10">
        <v>0</v>
      </c>
      <c r="E1937" s="10" t="s">
        <v>911</v>
      </c>
      <c r="F1937" s="10">
        <v>1</v>
      </c>
      <c r="G1937" s="10" t="s">
        <v>231</v>
      </c>
      <c r="H1937" s="10" t="s">
        <v>322</v>
      </c>
      <c r="I1937" s="10" t="s">
        <v>266</v>
      </c>
      <c r="J1937" s="10">
        <v>52</v>
      </c>
      <c r="K1937" s="12">
        <v>44958</v>
      </c>
      <c r="L1937" s="33">
        <v>0.64358796296296295</v>
      </c>
      <c r="M1937" s="10">
        <v>1</v>
      </c>
      <c r="N1937" s="10" t="s">
        <v>84</v>
      </c>
      <c r="O1937" s="10">
        <v>1.62</v>
      </c>
      <c r="P1937" s="10">
        <v>0.11</v>
      </c>
      <c r="Q1937" s="10">
        <v>82.2</v>
      </c>
      <c r="R1937" s="10" t="s">
        <v>85</v>
      </c>
      <c r="S1937" s="34">
        <f t="shared" si="221"/>
        <v>101.53844000000001</v>
      </c>
      <c r="T1937" s="10" t="s">
        <v>1139</v>
      </c>
      <c r="U1937" s="34" t="str">
        <f t="shared" si="222"/>
        <v/>
      </c>
      <c r="V1937" s="31" t="str">
        <f>IF(H1937="CHK",VLOOKUP(I1937,QCCHK,3,),IF(H1937="GUP",VLOOKUP(E1937,QCGUP,2,),IF(AND(H1937="ATP",OR(I1937="TN",I1937="TDN",I1937="TNO2-3",I1937="NO2-3")),VLOOKUP(E1937,QCREC_N,2,),IF(AND(H1937="NIC",OR(I1937="TN",I1937="TDN",I1937="TNO2-3",I1937="NO2-3")),VLOOKUP(E1937,QCNIC_N,2,),IF(AND(H1937="UREA",OR(I1937="TN",I1937="TDN",I1937="TNO2-3",I1937="NO2-3")),VLOOKUP(E1937,QCUREA_N,2,),IF(H1937="PER",VLOOKUP(I1937,QCPER,MATCH(E1937,QCACTUAL!$J$25:$AA$25,0),),IF(H1937="SPK",VLOOKUP(I1937,QCSPK,3,),IF(AND(H1937="ATP",OR(I1937="TP",I1937="TDP")),VLOOKUP(E1937,QCATP_P,2,),""))))))))</f>
        <v/>
      </c>
      <c r="W1937" s="31" t="str">
        <f t="shared" si="223"/>
        <v>TRUE</v>
      </c>
      <c r="X1937" s="31" t="str">
        <f t="shared" si="220"/>
        <v/>
      </c>
      <c r="Y1937" s="10" t="s">
        <v>1126</v>
      </c>
      <c r="Z1937" s="10" t="s">
        <v>910</v>
      </c>
      <c r="AF1937" s="12">
        <v>44958</v>
      </c>
      <c r="AG1937" s="10">
        <f>-20.9*1.62^2+141.62*1.62-73.036</f>
        <v>101.53844000000001</v>
      </c>
      <c r="AH1937" s="10">
        <f>-1.3807*1.62^2+80.818*1.62-42.013</f>
        <v>85.288650920000009</v>
      </c>
      <c r="AI1937" s="10">
        <f>0.6312*1.62^2+63.45*1.62-30.993</f>
        <v>73.452521280000028</v>
      </c>
      <c r="AK1937" s="10">
        <f>0.0239*1.62^2+66.574*1.62-31.913</f>
        <v>75.999603160000007</v>
      </c>
      <c r="AL1937" s="10" t="str">
        <f t="shared" si="218"/>
        <v>y=-20.90*1.62^2+141.62*1.62-73.036</v>
      </c>
      <c r="AM1937" s="10" t="str">
        <f t="shared" si="218"/>
        <v>y=-1.3807*1.62^2+80.818*1.62-42.013</v>
      </c>
      <c r="AN1937" s="10" t="str">
        <f t="shared" si="218"/>
        <v>y=0.6312*1.62^2+63.45*1.62-30.993</v>
      </c>
      <c r="AO1937" s="10" t="str">
        <f t="shared" si="219"/>
        <v>FALSE</v>
      </c>
      <c r="AP1937" s="10" t="str">
        <f t="shared" si="219"/>
        <v>y=0.0239*1.62^2+66.574*1.62-31.913</v>
      </c>
      <c r="AQ1937" s="10" t="str">
        <f>IF(AND(I1937="TP",S1937&lt;=150),VLOOKUP(AF1937,TPCalibEq150!$AZ$2:$BB$55,3,),IF(AND(I1937="TDP",S1937&lt;=150),VLOOKUP(AF1937,TPCalibEq150!$AZ$2:$BB$55,3,)))</f>
        <v>y=-20.90x2+141.62x-73.036</v>
      </c>
      <c r="AR1937" s="10" t="str">
        <f>IF(AND(I1937="TP",S1937&lt;=300),VLOOKUP(AF1937,TPCalibEq300!$AZ$2:$BB$55,3,),IF(AND(I1937="TDP",S1937&lt;=300),VLOOKUP(AF1937,TPCalibEq300!$AZ$2:$BB$55,3,)))</f>
        <v>y=-1.3807x2+80.818x-42.013</v>
      </c>
      <c r="AS1937" s="10" t="str">
        <f>IF(AND(I1937="TP",S1937&lt;=500),VLOOKUP(AF1937,TPCalibEq500!$AZ$2:$BB$56,3,),IF(AND(I1937="TDP",S1937&lt;=500),VLOOKUP(AF1937,TPCalibEq500!$AZ$2:$BB$56,3,)))</f>
        <v>y=0.6312x2+63.45x-30.993</v>
      </c>
      <c r="AT1937" s="10" t="b">
        <f>IF(AND(I1937="TN",S1937&lt;=2800),VLOOKUP(AF1937,TNCalibEq2500!$AZ$2:$BB$56,3,),IF(AND(I1937="TDN",S1937&lt;=2800),VLOOKUP(AF1937,TNCalibEq2500!$AZ$2:$BB$56,3,)))</f>
        <v>0</v>
      </c>
      <c r="AU1937" s="10" t="str">
        <f>IF(I1937="TP",VLOOKUP(AF1937,TPCalibEqFull!$AZ$2:$BB$56,3),IF(I1937="TDP",VLOOKUP(AF1937,TPCalibEqFull!$AZ$2:$BB$56,3),IF(I1937="TDN",VLOOKUP(AF1937,TNCalibEqFull!$AZ$1:$BB$56,3),IF(I1937="TN",VLOOKUP(AF1937,TNCalibEqFull!$AZ$1:$BB$56,3),FALSE))))</f>
        <v>y=0.0239x2+66.574x-31.913</v>
      </c>
      <c r="AV1937" s="10" t="str">
        <f t="shared" si="224"/>
        <v>0130 08:06:00-HST-0-FIL-1-SW-UKN</v>
      </c>
    </row>
    <row r="1938" spans="1:48" s="10" customFormat="1" x14ac:dyDescent="0.55000000000000004">
      <c r="A1938" s="32">
        <v>44957</v>
      </c>
      <c r="B1938" s="33">
        <v>0.41250000000000003</v>
      </c>
      <c r="C1938" s="10" t="s">
        <v>279</v>
      </c>
      <c r="D1938" s="10">
        <v>0</v>
      </c>
      <c r="E1938" s="10" t="s">
        <v>911</v>
      </c>
      <c r="F1938" s="10">
        <v>1</v>
      </c>
      <c r="G1938" s="10" t="s">
        <v>231</v>
      </c>
      <c r="H1938" s="10" t="s">
        <v>322</v>
      </c>
      <c r="I1938" s="10" t="s">
        <v>266</v>
      </c>
      <c r="J1938" s="10">
        <v>53</v>
      </c>
      <c r="K1938" s="12">
        <v>44958</v>
      </c>
      <c r="L1938" s="33">
        <v>0.64428240740740739</v>
      </c>
      <c r="M1938" s="10">
        <v>1</v>
      </c>
      <c r="N1938" s="10" t="s">
        <v>84</v>
      </c>
      <c r="O1938" s="10">
        <v>2.42</v>
      </c>
      <c r="P1938" s="10">
        <v>0.16700000000000001</v>
      </c>
      <c r="Q1938" s="10">
        <v>136</v>
      </c>
      <c r="R1938" s="10" t="s">
        <v>85</v>
      </c>
      <c r="S1938" s="34">
        <f t="shared" si="221"/>
        <v>147.28564</v>
      </c>
      <c r="T1938" s="10" t="s">
        <v>1139</v>
      </c>
      <c r="U1938" s="34" t="str">
        <f t="shared" si="222"/>
        <v/>
      </c>
      <c r="V1938" s="31" t="str">
        <f>IF(H1938="CHK",VLOOKUP(I1938,QCCHK,3,),IF(H1938="GUP",VLOOKUP(E1938,QCGUP,2,),IF(AND(H1938="ATP",OR(I1938="TN",I1938="TDN",I1938="TNO2-3",I1938="NO2-3")),VLOOKUP(E1938,QCREC_N,2,),IF(AND(H1938="NIC",OR(I1938="TN",I1938="TDN",I1938="TNO2-3",I1938="NO2-3")),VLOOKUP(E1938,QCNIC_N,2,),IF(AND(H1938="UREA",OR(I1938="TN",I1938="TDN",I1938="TNO2-3",I1938="NO2-3")),VLOOKUP(E1938,QCUREA_N,2,),IF(H1938="PER",VLOOKUP(I1938,QCPER,MATCH(E1938,QCACTUAL!$J$25:$AA$25,0),),IF(H1938="SPK",VLOOKUP(I1938,QCSPK,3,),IF(AND(H1938="ATP",OR(I1938="TP",I1938="TDP")),VLOOKUP(E1938,QCATP_P,2,),""))))))))</f>
        <v/>
      </c>
      <c r="W1938" s="31" t="str">
        <f t="shared" si="223"/>
        <v>TRUE</v>
      </c>
      <c r="X1938" s="31" t="str">
        <f t="shared" si="220"/>
        <v/>
      </c>
      <c r="Y1938" s="10" t="s">
        <v>1126</v>
      </c>
      <c r="AF1938" s="12">
        <v>44958</v>
      </c>
      <c r="AG1938" s="10">
        <f>-20.9*2.42^2+141.62*2.42-73.036</f>
        <v>147.28564</v>
      </c>
      <c r="AH1938" s="10">
        <f>-1.3807*2.42^2+80.818*2.42-42.013</f>
        <v>145.48062851999998</v>
      </c>
      <c r="AI1938" s="10">
        <f>0.6312*2.42^2+63.45*2.42-30.993</f>
        <v>126.25255968000002</v>
      </c>
      <c r="AK1938" s="10">
        <f>0.0239*2.42^2+66.574*2.42-31.913</f>
        <v>129.33604795999997</v>
      </c>
      <c r="AL1938" s="10" t="str">
        <f t="shared" si="218"/>
        <v>y=-20.90*2.42^2+141.62*2.42-73.036</v>
      </c>
      <c r="AM1938" s="10" t="str">
        <f t="shared" si="218"/>
        <v>y=-1.3807*2.42^2+80.818*2.42-42.013</v>
      </c>
      <c r="AN1938" s="10" t="str">
        <f t="shared" si="218"/>
        <v>y=0.6312*2.42^2+63.45*2.42-30.993</v>
      </c>
      <c r="AO1938" s="10" t="str">
        <f t="shared" si="219"/>
        <v>FALSE</v>
      </c>
      <c r="AP1938" s="10" t="str">
        <f t="shared" si="219"/>
        <v>y=0.0239*2.42^2+66.574*2.42-31.913</v>
      </c>
      <c r="AQ1938" s="10" t="str">
        <f>IF(AND(I1938="TP",S1938&lt;=150),VLOOKUP(AF1938,TPCalibEq150!$AZ$2:$BB$55,3,),IF(AND(I1938="TDP",S1938&lt;=150),VLOOKUP(AF1938,TPCalibEq150!$AZ$2:$BB$55,3,)))</f>
        <v>y=-20.90x2+141.62x-73.036</v>
      </c>
      <c r="AR1938" s="10" t="str">
        <f>IF(AND(I1938="TP",S1938&lt;=300),VLOOKUP(AF1938,TPCalibEq300!$AZ$2:$BB$55,3,),IF(AND(I1938="TDP",S1938&lt;=300),VLOOKUP(AF1938,TPCalibEq300!$AZ$2:$BB$55,3,)))</f>
        <v>y=-1.3807x2+80.818x-42.013</v>
      </c>
      <c r="AS1938" s="10" t="str">
        <f>IF(AND(I1938="TP",S1938&lt;=500),VLOOKUP(AF1938,TPCalibEq500!$AZ$2:$BB$56,3,),IF(AND(I1938="TDP",S1938&lt;=500),VLOOKUP(AF1938,TPCalibEq500!$AZ$2:$BB$56,3,)))</f>
        <v>y=0.6312x2+63.45x-30.993</v>
      </c>
      <c r="AT1938" s="10" t="b">
        <f>IF(AND(I1938="TN",S1938&lt;=2800),VLOOKUP(AF1938,TNCalibEq2500!$AZ$2:$BB$56,3,),IF(AND(I1938="TDN",S1938&lt;=2800),VLOOKUP(AF1938,TNCalibEq2500!$AZ$2:$BB$56,3,)))</f>
        <v>0</v>
      </c>
      <c r="AU1938" s="10" t="str">
        <f>IF(I1938="TP",VLOOKUP(AF1938,TPCalibEqFull!$AZ$2:$BB$56,3),IF(I1938="TDP",VLOOKUP(AF1938,TPCalibEqFull!$AZ$2:$BB$56,3),IF(I1938="TDN",VLOOKUP(AF1938,TNCalibEqFull!$AZ$1:$BB$56,3),IF(I1938="TN",VLOOKUP(AF1938,TNCalibEqFull!$AZ$1:$BB$56,3),FALSE))))</f>
        <v>y=0.0239x2+66.574x-31.913</v>
      </c>
      <c r="AV1938" s="10" t="str">
        <f t="shared" si="224"/>
        <v>0131 09:54:00-EFK-0-FIL-1-SW-UKN</v>
      </c>
    </row>
    <row r="1939" spans="1:48" s="10" customFormat="1" x14ac:dyDescent="0.55000000000000004">
      <c r="A1939" s="32">
        <v>44957</v>
      </c>
      <c r="B1939" s="33">
        <v>0.41597222222222219</v>
      </c>
      <c r="C1939" s="10" t="s">
        <v>333</v>
      </c>
      <c r="D1939" s="10">
        <v>0</v>
      </c>
      <c r="E1939" s="10" t="s">
        <v>911</v>
      </c>
      <c r="F1939" s="10">
        <v>1</v>
      </c>
      <c r="G1939" s="10" t="s">
        <v>231</v>
      </c>
      <c r="H1939" s="10" t="s">
        <v>322</v>
      </c>
      <c r="I1939" s="10" t="s">
        <v>266</v>
      </c>
      <c r="J1939" s="10">
        <v>54</v>
      </c>
      <c r="K1939" s="12">
        <v>44958</v>
      </c>
      <c r="L1939" s="33">
        <v>0.64497685185185183</v>
      </c>
      <c r="M1939" s="10">
        <v>1</v>
      </c>
      <c r="N1939" s="10" t="s">
        <v>84</v>
      </c>
      <c r="O1939" s="10">
        <v>2.52</v>
      </c>
      <c r="P1939" s="10">
        <v>0.17299999999999999</v>
      </c>
      <c r="Q1939" s="10">
        <v>143</v>
      </c>
      <c r="R1939" s="10" t="s">
        <v>85</v>
      </c>
      <c r="S1939" s="34">
        <f t="shared" si="221"/>
        <v>152.88036271999999</v>
      </c>
      <c r="T1939" s="10" t="s">
        <v>1139</v>
      </c>
      <c r="U1939" s="34" t="str">
        <f t="shared" si="222"/>
        <v/>
      </c>
      <c r="V1939" s="31" t="str">
        <f>IF(H1939="CHK",VLOOKUP(I1939,QCCHK,3,),IF(H1939="GUP",VLOOKUP(E1939,QCGUP,2,),IF(AND(H1939="ATP",OR(I1939="TN",I1939="TDN",I1939="TNO2-3",I1939="NO2-3")),VLOOKUP(E1939,QCREC_N,2,),IF(AND(H1939="NIC",OR(I1939="TN",I1939="TDN",I1939="TNO2-3",I1939="NO2-3")),VLOOKUP(E1939,QCNIC_N,2,),IF(AND(H1939="UREA",OR(I1939="TN",I1939="TDN",I1939="TNO2-3",I1939="NO2-3")),VLOOKUP(E1939,QCUREA_N,2,),IF(H1939="PER",VLOOKUP(I1939,QCPER,MATCH(E1939,QCACTUAL!$J$25:$AA$25,0),),IF(H1939="SPK",VLOOKUP(I1939,QCSPK,3,),IF(AND(H1939="ATP",OR(I1939="TP",I1939="TDP")),VLOOKUP(E1939,QCATP_P,2,),""))))))))</f>
        <v/>
      </c>
      <c r="W1939" s="31" t="str">
        <f t="shared" si="223"/>
        <v>TRUE</v>
      </c>
      <c r="X1939" s="31" t="str">
        <f t="shared" si="220"/>
        <v/>
      </c>
      <c r="Y1939" s="10" t="s">
        <v>1126</v>
      </c>
      <c r="AF1939" s="12">
        <v>44958</v>
      </c>
      <c r="AG1939" s="10">
        <f>-20.9*2.52^2+141.62*2.52-73.036</f>
        <v>151.12304</v>
      </c>
      <c r="AH1939" s="10">
        <f>-1.3807*2.52^2+80.818*2.52-42.013</f>
        <v>152.88036271999999</v>
      </c>
      <c r="AI1939" s="10">
        <f>0.6312*2.52^2+63.45*2.52-30.993</f>
        <v>132.90937248</v>
      </c>
      <c r="AK1939" s="10">
        <f>0.0239*2.52^2+66.574*2.52-31.913</f>
        <v>136.00525456</v>
      </c>
      <c r="AL1939" s="10" t="str">
        <f t="shared" si="218"/>
        <v>FALSE</v>
      </c>
      <c r="AM1939" s="10" t="str">
        <f t="shared" si="218"/>
        <v>y=-1.3807*2.52^2+80.818*2.52-42.013</v>
      </c>
      <c r="AN1939" s="10" t="str">
        <f t="shared" si="218"/>
        <v>y=0.6312*2.52^2+63.45*2.52-30.993</v>
      </c>
      <c r="AO1939" s="10" t="str">
        <f t="shared" si="219"/>
        <v>FALSE</v>
      </c>
      <c r="AP1939" s="10" t="str">
        <f t="shared" si="219"/>
        <v>y=0.0239*2.52^2+66.574*2.52-31.913</v>
      </c>
      <c r="AQ1939" s="10" t="b">
        <f>IF(AND(I1939="TP",S1939&lt;=150),VLOOKUP(AF1939,TPCalibEq150!$AZ$2:$BB$55,3,),IF(AND(I1939="TDP",S1939&lt;=150),VLOOKUP(AF1939,TPCalibEq150!$AZ$2:$BB$55,3,)))</f>
        <v>0</v>
      </c>
      <c r="AR1939" s="10" t="str">
        <f>IF(AND(I1939="TP",S1939&lt;=300),VLOOKUP(AF1939,TPCalibEq300!$AZ$2:$BB$55,3,),IF(AND(I1939="TDP",S1939&lt;=300),VLOOKUP(AF1939,TPCalibEq300!$AZ$2:$BB$55,3,)))</f>
        <v>y=-1.3807x2+80.818x-42.013</v>
      </c>
      <c r="AS1939" s="10" t="str">
        <f>IF(AND(I1939="TP",S1939&lt;=500),VLOOKUP(AF1939,TPCalibEq500!$AZ$2:$BB$56,3,),IF(AND(I1939="TDP",S1939&lt;=500),VLOOKUP(AF1939,TPCalibEq500!$AZ$2:$BB$56,3,)))</f>
        <v>y=0.6312x2+63.45x-30.993</v>
      </c>
      <c r="AT1939" s="10" t="b">
        <f>IF(AND(I1939="TN",S1939&lt;=2800),VLOOKUP(AF1939,TNCalibEq2500!$AZ$2:$BB$56,3,),IF(AND(I1939="TDN",S1939&lt;=2800),VLOOKUP(AF1939,TNCalibEq2500!$AZ$2:$BB$56,3,)))</f>
        <v>0</v>
      </c>
      <c r="AU1939" s="10" t="str">
        <f>IF(I1939="TP",VLOOKUP(AF1939,TPCalibEqFull!$AZ$2:$BB$56,3),IF(I1939="TDP",VLOOKUP(AF1939,TPCalibEqFull!$AZ$2:$BB$56,3),IF(I1939="TDN",VLOOKUP(AF1939,TNCalibEqFull!$AZ$1:$BB$56,3),IF(I1939="TN",VLOOKUP(AF1939,TNCalibEqFull!$AZ$1:$BB$56,3),FALSE))))</f>
        <v>y=0.0239x2+66.574x-31.913</v>
      </c>
      <c r="AV1939" s="10" t="str">
        <f t="shared" si="224"/>
        <v>0131 09:59:00-HST-0-FIL-1-SW-UKN</v>
      </c>
    </row>
    <row r="1940" spans="1:48" s="10" customFormat="1" x14ac:dyDescent="0.55000000000000004">
      <c r="A1940" s="32">
        <v>44957</v>
      </c>
      <c r="B1940" s="33">
        <v>0.41597222222222219</v>
      </c>
      <c r="C1940" s="10" t="s">
        <v>333</v>
      </c>
      <c r="D1940" s="10">
        <v>0</v>
      </c>
      <c r="E1940" s="10" t="s">
        <v>911</v>
      </c>
      <c r="F1940" s="10">
        <v>1</v>
      </c>
      <c r="G1940" s="10" t="s">
        <v>231</v>
      </c>
      <c r="H1940" s="10" t="s">
        <v>233</v>
      </c>
      <c r="I1940" s="10" t="s">
        <v>266</v>
      </c>
      <c r="J1940" s="10">
        <v>54</v>
      </c>
      <c r="K1940" s="12">
        <v>44958</v>
      </c>
      <c r="L1940" s="33">
        <v>0.64567129629629627</v>
      </c>
      <c r="M1940" s="10">
        <v>1</v>
      </c>
      <c r="N1940" s="10" t="s">
        <v>84</v>
      </c>
      <c r="O1940" s="10">
        <v>2.56</v>
      </c>
      <c r="P1940" s="10">
        <v>0.17699999999999999</v>
      </c>
      <c r="Q1940" s="10">
        <v>145</v>
      </c>
      <c r="R1940" s="10" t="s">
        <v>85</v>
      </c>
      <c r="S1940" s="34">
        <f t="shared" si="221"/>
        <v>155.83252447999999</v>
      </c>
      <c r="T1940" s="10" t="s">
        <v>1139</v>
      </c>
      <c r="U1940" s="34">
        <f t="shared" si="222"/>
        <v>1.9125614008380767</v>
      </c>
      <c r="V1940" s="31" t="str">
        <f>IF(H1940="CHK",VLOOKUP(I1940,QCCHK,3,),IF(H1940="GUP",VLOOKUP(E1940,QCGUP,2,),IF(AND(H1940="ATP",OR(I1940="TN",I1940="TDN",I1940="TNO2-3",I1940="NO2-3")),VLOOKUP(E1940,QCREC_N,2,),IF(AND(H1940="NIC",OR(I1940="TN",I1940="TDN",I1940="TNO2-3",I1940="NO2-3")),VLOOKUP(E1940,QCNIC_N,2,),IF(AND(H1940="UREA",OR(I1940="TN",I1940="TDN",I1940="TNO2-3",I1940="NO2-3")),VLOOKUP(E1940,QCUREA_N,2,),IF(H1940="PER",VLOOKUP(I1940,QCPER,MATCH(E1940,QCACTUAL!$J$25:$AA$25,0),),IF(H1940="SPK",VLOOKUP(I1940,QCSPK,3,),IF(AND(H1940="ATP",OR(I1940="TP",I1940="TDP")),VLOOKUP(E1940,QCATP_P,2,),""))))))))</f>
        <v/>
      </c>
      <c r="W1940" s="31" t="str">
        <f t="shared" si="223"/>
        <v>TRUE</v>
      </c>
      <c r="X1940" s="31" t="str">
        <f t="shared" si="220"/>
        <v>((ABS(rep1-rep2))/((rep1+rep2)/2)*100</v>
      </c>
      <c r="Y1940" s="10" t="s">
        <v>1126</v>
      </c>
      <c r="AF1940" s="12">
        <v>44958</v>
      </c>
      <c r="AG1940" s="10">
        <f>-20.9*2.56^2+141.62*2.56-73.036</f>
        <v>152.54096000000004</v>
      </c>
      <c r="AH1940" s="10">
        <f>-1.3807*2.56^2+80.818*2.56-42.013</f>
        <v>155.83252447999999</v>
      </c>
      <c r="AI1940" s="10">
        <f>0.6312*2.56^2+63.45*2.56-30.993</f>
        <v>135.57563232000001</v>
      </c>
      <c r="AK1940" s="10">
        <f>0.0239*2.56^2+66.574*2.56-31.913</f>
        <v>138.67307104</v>
      </c>
      <c r="AL1940" s="10" t="str">
        <f t="shared" si="218"/>
        <v>FALSE</v>
      </c>
      <c r="AM1940" s="10" t="str">
        <f t="shared" si="218"/>
        <v>y=-1.3807*2.56^2+80.818*2.56-42.013</v>
      </c>
      <c r="AN1940" s="10" t="str">
        <f t="shared" si="218"/>
        <v>y=0.6312*2.56^2+63.45*2.56-30.993</v>
      </c>
      <c r="AO1940" s="10" t="str">
        <f t="shared" si="219"/>
        <v>FALSE</v>
      </c>
      <c r="AP1940" s="10" t="str">
        <f t="shared" si="219"/>
        <v>y=0.0239*2.56^2+66.574*2.56-31.913</v>
      </c>
      <c r="AQ1940" s="10" t="b">
        <f>IF(AND(I1940="TP",S1940&lt;=150),VLOOKUP(AF1940,TPCalibEq150!$AZ$2:$BB$55,3,),IF(AND(I1940="TDP",S1940&lt;=150),VLOOKUP(AF1940,TPCalibEq150!$AZ$2:$BB$55,3,)))</f>
        <v>0</v>
      </c>
      <c r="AR1940" s="10" t="str">
        <f>IF(AND(I1940="TP",S1940&lt;=300),VLOOKUP(AF1940,TPCalibEq300!$AZ$2:$BB$55,3,),IF(AND(I1940="TDP",S1940&lt;=300),VLOOKUP(AF1940,TPCalibEq300!$AZ$2:$BB$55,3,)))</f>
        <v>y=-1.3807x2+80.818x-42.013</v>
      </c>
      <c r="AS1940" s="10" t="str">
        <f>IF(AND(I1940="TP",S1940&lt;=500),VLOOKUP(AF1940,TPCalibEq500!$AZ$2:$BB$56,3,),IF(AND(I1940="TDP",S1940&lt;=500),VLOOKUP(AF1940,TPCalibEq500!$AZ$2:$BB$56,3,)))</f>
        <v>y=0.6312x2+63.45x-30.993</v>
      </c>
      <c r="AT1940" s="10" t="b">
        <f>IF(AND(I1940="TN",S1940&lt;=2800),VLOOKUP(AF1940,TNCalibEq2500!$AZ$2:$BB$56,3,),IF(AND(I1940="TDN",S1940&lt;=2800),VLOOKUP(AF1940,TNCalibEq2500!$AZ$2:$BB$56,3,)))</f>
        <v>0</v>
      </c>
      <c r="AU1940" s="10" t="str">
        <f>IF(I1940="TP",VLOOKUP(AF1940,TPCalibEqFull!$AZ$2:$BB$56,3),IF(I1940="TDP",VLOOKUP(AF1940,TPCalibEqFull!$AZ$2:$BB$56,3),IF(I1940="TDN",VLOOKUP(AF1940,TNCalibEqFull!$AZ$1:$BB$56,3),IF(I1940="TN",VLOOKUP(AF1940,TNCalibEqFull!$AZ$1:$BB$56,3),FALSE))))</f>
        <v>y=0.0239x2+66.574x-31.913</v>
      </c>
      <c r="AV1940" s="10" t="str">
        <f t="shared" si="224"/>
        <v>0131 09:59:00-HST-0-FIL-1-SW-DUP</v>
      </c>
    </row>
    <row r="1941" spans="1:48" s="10" customFormat="1" x14ac:dyDescent="0.55000000000000004">
      <c r="A1941" s="32">
        <v>44957</v>
      </c>
      <c r="B1941" s="33">
        <v>0.41597222222222219</v>
      </c>
      <c r="C1941" s="10" t="s">
        <v>912</v>
      </c>
      <c r="D1941" s="10">
        <v>0</v>
      </c>
      <c r="E1941" s="10" t="s">
        <v>911</v>
      </c>
      <c r="F1941" s="10">
        <v>1</v>
      </c>
      <c r="G1941" s="10" t="s">
        <v>231</v>
      </c>
      <c r="H1941" s="10" t="s">
        <v>314</v>
      </c>
      <c r="I1941" s="10" t="s">
        <v>266</v>
      </c>
      <c r="J1941" s="10">
        <v>87</v>
      </c>
      <c r="K1941" s="12">
        <v>44958</v>
      </c>
      <c r="L1941" s="33">
        <v>0.64636574074074071</v>
      </c>
      <c r="M1941" s="10">
        <v>1</v>
      </c>
      <c r="N1941" s="10" t="s">
        <v>84</v>
      </c>
      <c r="O1941" s="10">
        <v>17.899999999999999</v>
      </c>
      <c r="P1941" s="10">
        <v>1.23</v>
      </c>
      <c r="Q1941" s="10">
        <v>1170</v>
      </c>
      <c r="R1941" s="10" t="s">
        <v>85</v>
      </c>
      <c r="S1941" s="34">
        <f t="shared" si="221"/>
        <v>1170</v>
      </c>
      <c r="T1941" s="10" t="s">
        <v>1139</v>
      </c>
      <c r="U1941" s="34">
        <f t="shared" si="222"/>
        <v>101.416747552</v>
      </c>
      <c r="V1941" s="31">
        <f>IF(H1941="CHK",VLOOKUP(I1941,QCCHK,3,),IF(H1941="GUP",VLOOKUP(E1941,QCGUP,2,),IF(AND(H1941="ATP",OR(I1941="TN",I1941="TDN",I1941="TNO2-3",I1941="NO2-3")),VLOOKUP(E1941,QCREC_N,2,),IF(AND(H1941="NIC",OR(I1941="TN",I1941="TDN",I1941="TNO2-3",I1941="NO2-3")),VLOOKUP(E1941,QCNIC_N,2,),IF(AND(H1941="UREA",OR(I1941="TN",I1941="TDN",I1941="TNO2-3",I1941="NO2-3")),VLOOKUP(E1941,QCUREA_N,2,),IF(H1941="PER",VLOOKUP(I1941,QCPER,MATCH(E1941,QCACTUAL!$J$25:$AA$25,0),),IF(H1941="SPK",VLOOKUP(I1941,QCSPK,3,),IF(AND(H1941="ATP",OR(I1941="TP",I1941="TDP")),VLOOKUP(E1941,QCATP_P,2,),""))))))))</f>
        <v>1000</v>
      </c>
      <c r="W1941" s="31" t="str">
        <f t="shared" si="223"/>
        <v>TRUE</v>
      </c>
      <c r="X1941" s="31" t="str">
        <f t="shared" si="220"/>
        <v>([spikedunkn]-[unkn])/[spike]*100</v>
      </c>
      <c r="Y1941" s="10" t="s">
        <v>1126</v>
      </c>
      <c r="AF1941" s="12">
        <v>44958</v>
      </c>
      <c r="AK1941" s="10">
        <f>0.0239*17.9^2+66.574*17.9-31.913</f>
        <v>1167.4193989999999</v>
      </c>
      <c r="AL1941" s="10" t="str">
        <f t="shared" si="218"/>
        <v>FALSE</v>
      </c>
      <c r="AM1941" s="10" t="str">
        <f t="shared" si="218"/>
        <v>FALSE</v>
      </c>
      <c r="AN1941" s="10" t="str">
        <f t="shared" si="218"/>
        <v>FALSE</v>
      </c>
      <c r="AO1941" s="10" t="str">
        <f t="shared" si="219"/>
        <v>FALSE</v>
      </c>
      <c r="AP1941" s="10" t="str">
        <f t="shared" si="219"/>
        <v>y=0.0239*17.9^2+66.574*17.9-31.913</v>
      </c>
      <c r="AQ1941" s="10" t="b">
        <f>IF(AND(I1941="TP",S1941&lt;=150),VLOOKUP(AF1941,TPCalibEq150!$AZ$2:$BB$55,3,),IF(AND(I1941="TDP",S1941&lt;=150),VLOOKUP(AF1941,TPCalibEq150!$AZ$2:$BB$55,3,)))</f>
        <v>0</v>
      </c>
      <c r="AR1941" s="10" t="b">
        <f>IF(AND(I1941="TP",S1941&lt;=300),VLOOKUP(AF1941,TPCalibEq300!$AZ$2:$BB$55,3,),IF(AND(I1941="TDP",S1941&lt;=300),VLOOKUP(AF1941,TPCalibEq300!$AZ$2:$BB$55,3,)))</f>
        <v>0</v>
      </c>
      <c r="AS1941" s="10" t="b">
        <f>IF(AND(I1941="TP",S1941&lt;=500),VLOOKUP(AF1941,TPCalibEq500!$AZ$2:$BB$56,3,),IF(AND(I1941="TDP",S1941&lt;=500),VLOOKUP(AF1941,TPCalibEq500!$AZ$2:$BB$56,3,)))</f>
        <v>0</v>
      </c>
      <c r="AT1941" s="10" t="b">
        <f>IF(AND(I1941="TN",S1941&lt;=2800),VLOOKUP(AF1941,TNCalibEq2500!$AZ$2:$BB$56,3,),IF(AND(I1941="TDN",S1941&lt;=2800),VLOOKUP(AF1941,TNCalibEq2500!$AZ$2:$BB$56,3,)))</f>
        <v>0</v>
      </c>
      <c r="AU1941" s="10" t="str">
        <f>IF(I1941="TP",VLOOKUP(AF1941,TPCalibEqFull!$AZ$2:$BB$56,3),IF(I1941="TDP",VLOOKUP(AF1941,TPCalibEqFull!$AZ$2:$BB$56,3),IF(I1941="TDN",VLOOKUP(AF1941,TNCalibEqFull!$AZ$1:$BB$56,3),IF(I1941="TN",VLOOKUP(AF1941,TNCalibEqFull!$AZ$1:$BB$56,3),FALSE))))</f>
        <v>y=0.0239x2+66.574x-31.913</v>
      </c>
      <c r="AV1941" s="10" t="str">
        <f t="shared" si="224"/>
        <v>0131 09:59:00-HST -0-FIL-1-SW-SPK</v>
      </c>
    </row>
    <row r="1942" spans="1:48" s="10" customFormat="1" x14ac:dyDescent="0.55000000000000004">
      <c r="A1942" s="32">
        <v>44958</v>
      </c>
      <c r="B1942" s="33">
        <v>0.375</v>
      </c>
      <c r="C1942" s="10" t="s">
        <v>70</v>
      </c>
      <c r="D1942" s="10" t="s">
        <v>71</v>
      </c>
      <c r="E1942" s="10" t="s">
        <v>901</v>
      </c>
      <c r="F1942" s="10">
        <v>1</v>
      </c>
      <c r="G1942" s="10" t="s">
        <v>73</v>
      </c>
      <c r="H1942" s="10" t="s">
        <v>207</v>
      </c>
      <c r="I1942" s="10" t="s">
        <v>83</v>
      </c>
      <c r="J1942" s="10">
        <v>202</v>
      </c>
      <c r="K1942" s="12">
        <v>44958</v>
      </c>
      <c r="L1942" s="33">
        <v>0.64706018518518515</v>
      </c>
      <c r="M1942" s="10">
        <v>1</v>
      </c>
      <c r="N1942" s="10" t="s">
        <v>84</v>
      </c>
      <c r="O1942" s="10">
        <v>8.2100000000000009</v>
      </c>
      <c r="P1942" s="10">
        <v>0.57699999999999996</v>
      </c>
      <c r="Q1942" s="10">
        <v>524</v>
      </c>
      <c r="R1942" s="10" t="s">
        <v>85</v>
      </c>
      <c r="S1942" s="34">
        <f t="shared" si="221"/>
        <v>524</v>
      </c>
      <c r="T1942" s="10" t="s">
        <v>1139</v>
      </c>
      <c r="U1942" s="34">
        <f t="shared" si="222"/>
        <v>104.80000000000001</v>
      </c>
      <c r="V1942" s="31">
        <f>IF(H1942="CHK",VLOOKUP(I1942,QCCHK,3,),IF(H1942="GUP",VLOOKUP(E1942,QCGUP,2,),IF(AND(H1942="ATP",OR(I1942="TN",I1942="TDN",I1942="TNO2-3",I1942="NO2-3")),VLOOKUP(E1942,QCREC_N,2,),IF(AND(H1942="NIC",OR(I1942="TN",I1942="TDN",I1942="TNO2-3",I1942="NO2-3")),VLOOKUP(E1942,QCNIC_N,2,),IF(AND(H1942="UREA",OR(I1942="TN",I1942="TDN",I1942="TNO2-3",I1942="NO2-3")),VLOOKUP(E1942,QCUREA_N,2,),IF(H1942="PER",VLOOKUP(I1942,QCPER,MATCH(E1942,QCACTUAL!$J$25:$AA$25,0),),IF(H1942="SPK",VLOOKUP(I1942,QCSPK,3,),IF(AND(H1942="ATP",OR(I1942="TP",I1942="TDP")),VLOOKUP(E1942,QCATP_P,2,),""))))))))</f>
        <v>500</v>
      </c>
      <c r="W1942" s="31" t="str">
        <f t="shared" si="223"/>
        <v>TRUE</v>
      </c>
      <c r="X1942" s="31" t="str">
        <f t="shared" si="220"/>
        <v>[chk]/[actual]*100</v>
      </c>
      <c r="Y1942" s="10" t="s">
        <v>1126</v>
      </c>
      <c r="AF1942" s="12">
        <v>44958</v>
      </c>
      <c r="AK1942" s="10">
        <f>0.0239*8.21^2+66.574*8.21-31.913</f>
        <v>516.27049798999997</v>
      </c>
      <c r="AL1942" s="10" t="str">
        <f t="shared" si="218"/>
        <v>FALSE</v>
      </c>
      <c r="AM1942" s="10" t="str">
        <f t="shared" si="218"/>
        <v>FALSE</v>
      </c>
      <c r="AN1942" s="10" t="str">
        <f t="shared" si="218"/>
        <v>FALSE</v>
      </c>
      <c r="AO1942" s="10" t="str">
        <f t="shared" si="219"/>
        <v>FALSE</v>
      </c>
      <c r="AP1942" s="10" t="str">
        <f t="shared" si="219"/>
        <v>y=0.0239*8.21^2+66.574*8.21-31.913</v>
      </c>
      <c r="AQ1942" s="10" t="b">
        <f>IF(AND(I1942="TP",S1942&lt;=150),VLOOKUP(AF1942,TPCalibEq150!$AZ$2:$BB$55,3,),IF(AND(I1942="TDP",S1942&lt;=150),VLOOKUP(AF1942,TPCalibEq150!$AZ$2:$BB$55,3,)))</f>
        <v>0</v>
      </c>
      <c r="AR1942" s="10" t="b">
        <f>IF(AND(I1942="TP",S1942&lt;=300),VLOOKUP(AF1942,TPCalibEq300!$AZ$2:$BB$55,3,),IF(AND(I1942="TDP",S1942&lt;=300),VLOOKUP(AF1942,TPCalibEq300!$AZ$2:$BB$55,3,)))</f>
        <v>0</v>
      </c>
      <c r="AS1942" s="10" t="b">
        <f>IF(AND(I1942="TP",S1942&lt;=500),VLOOKUP(AF1942,TPCalibEq500!$AZ$2:$BB$56,3,),IF(AND(I1942="TDP",S1942&lt;=500),VLOOKUP(AF1942,TPCalibEq500!$AZ$2:$BB$56,3,)))</f>
        <v>0</v>
      </c>
      <c r="AT1942" s="10" t="b">
        <f>IF(AND(I1942="TN",S1942&lt;=2800),VLOOKUP(AF1942,TNCalibEq2500!$AZ$2:$BB$56,3,),IF(AND(I1942="TDN",S1942&lt;=2800),VLOOKUP(AF1942,TNCalibEq2500!$AZ$2:$BB$56,3,)))</f>
        <v>0</v>
      </c>
      <c r="AU1942" s="10" t="str">
        <f>IF(I1942="TP",VLOOKUP(AF1942,TPCalibEqFull!$AZ$2:$BB$56,3),IF(I1942="TDP",VLOOKUP(AF1942,TPCalibEqFull!$AZ$2:$BB$56,3),IF(I1942="TDN",VLOOKUP(AF1942,TNCalibEqFull!$AZ$1:$BB$56,3),IF(I1942="TN",VLOOKUP(AF1942,TNCalibEqFull!$AZ$1:$BB$56,3),FALSE))))</f>
        <v>y=0.0239x2+66.574x-31.913</v>
      </c>
      <c r="AV1942" s="10" t="str">
        <f t="shared" si="224"/>
        <v>0201 09:00:00-QAC-STD-D-1-DI-CHK</v>
      </c>
    </row>
    <row r="1943" spans="1:48" s="10" customFormat="1" x14ac:dyDescent="0.55000000000000004">
      <c r="A1943" s="32">
        <v>44949</v>
      </c>
      <c r="B1943" s="33">
        <v>0.34375</v>
      </c>
      <c r="C1943" s="10" t="s">
        <v>998</v>
      </c>
      <c r="D1943" s="10">
        <v>0</v>
      </c>
      <c r="E1943" s="10" t="s">
        <v>911</v>
      </c>
      <c r="F1943" s="10">
        <v>1</v>
      </c>
      <c r="G1943" s="10" t="s">
        <v>231</v>
      </c>
      <c r="H1943" s="10" t="s">
        <v>322</v>
      </c>
      <c r="I1943" s="10" t="s">
        <v>266</v>
      </c>
      <c r="J1943" s="10">
        <v>55</v>
      </c>
      <c r="K1943" s="12">
        <v>44958</v>
      </c>
      <c r="L1943" s="33">
        <v>0.64774305555555556</v>
      </c>
      <c r="M1943" s="10">
        <v>1</v>
      </c>
      <c r="N1943" s="10" t="s">
        <v>84</v>
      </c>
      <c r="O1943" s="10">
        <v>3.91</v>
      </c>
      <c r="P1943" s="10">
        <v>0.27400000000000002</v>
      </c>
      <c r="Q1943" s="10">
        <v>236</v>
      </c>
      <c r="R1943" s="10" t="s">
        <v>85</v>
      </c>
      <c r="S1943" s="34">
        <f t="shared" si="221"/>
        <v>252.87710032999999</v>
      </c>
      <c r="T1943" s="10" t="s">
        <v>1139</v>
      </c>
      <c r="U1943" s="34" t="str">
        <f t="shared" si="222"/>
        <v/>
      </c>
      <c r="V1943" s="31" t="str">
        <f>IF(H1943="CHK",VLOOKUP(I1943,QCCHK,3,),IF(H1943="GUP",VLOOKUP(E1943,QCGUP,2,),IF(AND(H1943="ATP",OR(I1943="TN",I1943="TDN",I1943="TNO2-3",I1943="NO2-3")),VLOOKUP(E1943,QCREC_N,2,),IF(AND(H1943="NIC",OR(I1943="TN",I1943="TDN",I1943="TNO2-3",I1943="NO2-3")),VLOOKUP(E1943,QCNIC_N,2,),IF(AND(H1943="UREA",OR(I1943="TN",I1943="TDN",I1943="TNO2-3",I1943="NO2-3")),VLOOKUP(E1943,QCUREA_N,2,),IF(H1943="PER",VLOOKUP(I1943,QCPER,MATCH(E1943,QCACTUAL!$J$25:$AA$25,0),),IF(H1943="SPK",VLOOKUP(I1943,QCSPK,3,),IF(AND(H1943="ATP",OR(I1943="TP",I1943="TDP")),VLOOKUP(E1943,QCATP_P,2,),""))))))))</f>
        <v/>
      </c>
      <c r="W1943" s="31" t="str">
        <f t="shared" si="223"/>
        <v>TRUE</v>
      </c>
      <c r="X1943" s="31" t="str">
        <f t="shared" si="220"/>
        <v/>
      </c>
      <c r="Y1943" s="10" t="s">
        <v>1126</v>
      </c>
      <c r="Z1943" s="10" t="s">
        <v>910</v>
      </c>
      <c r="AF1943" s="12">
        <v>44958</v>
      </c>
      <c r="AH1943" s="10">
        <f>-1.3807*3.91^2+80.818*3.91-42.013</f>
        <v>252.87710032999999</v>
      </c>
      <c r="AI1943" s="10">
        <f>0.6312*3.91^2+63.45*3.91-30.993</f>
        <v>226.74634872000001</v>
      </c>
      <c r="AK1943" s="10">
        <f>0.0239*3.91^2+66.574*3.91-31.913</f>
        <v>228.75672559000003</v>
      </c>
      <c r="AL1943" s="10" t="str">
        <f t="shared" si="218"/>
        <v>FALSE</v>
      </c>
      <c r="AM1943" s="10" t="str">
        <f t="shared" si="218"/>
        <v>y=-1.3807*3.91^2+80.818*3.91-42.013</v>
      </c>
      <c r="AN1943" s="10" t="str">
        <f t="shared" si="218"/>
        <v>y=0.6312*3.91^2+63.45*3.91-30.993</v>
      </c>
      <c r="AO1943" s="10" t="str">
        <f t="shared" si="219"/>
        <v>FALSE</v>
      </c>
      <c r="AP1943" s="10" t="str">
        <f t="shared" si="219"/>
        <v>y=0.0239*3.91^2+66.574*3.91-31.913</v>
      </c>
      <c r="AQ1943" s="10" t="b">
        <f>IF(AND(I1943="TP",S1943&lt;=150),VLOOKUP(AF1943,TPCalibEq150!$AZ$2:$BB$55,3,),IF(AND(I1943="TDP",S1943&lt;=150),VLOOKUP(AF1943,TPCalibEq150!$AZ$2:$BB$55,3,)))</f>
        <v>0</v>
      </c>
      <c r="AR1943" s="10" t="str">
        <f>IF(AND(I1943="TP",S1943&lt;=300),VLOOKUP(AF1943,TPCalibEq300!$AZ$2:$BB$55,3,),IF(AND(I1943="TDP",S1943&lt;=300),VLOOKUP(AF1943,TPCalibEq300!$AZ$2:$BB$55,3,)))</f>
        <v>y=-1.3807x2+80.818x-42.013</v>
      </c>
      <c r="AS1943" s="10" t="str">
        <f>IF(AND(I1943="TP",S1943&lt;=500),VLOOKUP(AF1943,TPCalibEq500!$AZ$2:$BB$56,3,),IF(AND(I1943="TDP",S1943&lt;=500),VLOOKUP(AF1943,TPCalibEq500!$AZ$2:$BB$56,3,)))</f>
        <v>y=0.6312x2+63.45x-30.993</v>
      </c>
      <c r="AT1943" s="10" t="b">
        <f>IF(AND(I1943="TN",S1943&lt;=2800),VLOOKUP(AF1943,TNCalibEq2500!$AZ$2:$BB$56,3,),IF(AND(I1943="TDN",S1943&lt;=2800),VLOOKUP(AF1943,TNCalibEq2500!$AZ$2:$BB$56,3,)))</f>
        <v>0</v>
      </c>
      <c r="AU1943" s="10" t="str">
        <f>IF(I1943="TP",VLOOKUP(AF1943,TPCalibEqFull!$AZ$2:$BB$56,3),IF(I1943="TDP",VLOOKUP(AF1943,TPCalibEqFull!$AZ$2:$BB$56,3),IF(I1943="TDN",VLOOKUP(AF1943,TNCalibEqFull!$AZ$1:$BB$56,3),IF(I1943="TN",VLOOKUP(AF1943,TNCalibEqFull!$AZ$1:$BB$56,3),FALSE))))</f>
        <v>y=0.0239x2+66.574x-31.913</v>
      </c>
      <c r="AV1943" s="10" t="str">
        <f t="shared" si="224"/>
        <v>0123 08:15:00-ELW-0-FIL-1-SW-UKN</v>
      </c>
    </row>
    <row r="1944" spans="1:48" s="10" customFormat="1" x14ac:dyDescent="0.55000000000000004">
      <c r="A1944" s="32">
        <v>44949</v>
      </c>
      <c r="B1944" s="33">
        <v>0.37777777777777777</v>
      </c>
      <c r="C1944" s="10" t="s">
        <v>270</v>
      </c>
      <c r="D1944" s="10">
        <v>0</v>
      </c>
      <c r="E1944" s="10" t="s">
        <v>911</v>
      </c>
      <c r="F1944" s="10">
        <v>1</v>
      </c>
      <c r="G1944" s="10" t="s">
        <v>231</v>
      </c>
      <c r="H1944" s="10" t="s">
        <v>322</v>
      </c>
      <c r="I1944" s="10" t="s">
        <v>266</v>
      </c>
      <c r="J1944" s="10">
        <v>56</v>
      </c>
      <c r="K1944" s="12">
        <v>44958</v>
      </c>
      <c r="L1944" s="33">
        <v>0.64842592592592596</v>
      </c>
      <c r="M1944" s="10">
        <v>1</v>
      </c>
      <c r="N1944" s="10" t="s">
        <v>84</v>
      </c>
      <c r="O1944" s="10">
        <v>2.92</v>
      </c>
      <c r="P1944" s="10">
        <v>0.20300000000000001</v>
      </c>
      <c r="Q1944" s="10">
        <v>169</v>
      </c>
      <c r="R1944" s="10" t="s">
        <v>85</v>
      </c>
      <c r="S1944" s="34">
        <f t="shared" si="221"/>
        <v>182.20315951999999</v>
      </c>
      <c r="T1944" s="10" t="s">
        <v>1139</v>
      </c>
      <c r="U1944" s="34" t="str">
        <f t="shared" si="222"/>
        <v/>
      </c>
      <c r="V1944" s="31" t="str">
        <f>IF(H1944="CHK",VLOOKUP(I1944,QCCHK,3,),IF(H1944="GUP",VLOOKUP(E1944,QCGUP,2,),IF(AND(H1944="ATP",OR(I1944="TN",I1944="TDN",I1944="TNO2-3",I1944="NO2-3")),VLOOKUP(E1944,QCREC_N,2,),IF(AND(H1944="NIC",OR(I1944="TN",I1944="TDN",I1944="TNO2-3",I1944="NO2-3")),VLOOKUP(E1944,QCNIC_N,2,),IF(AND(H1944="UREA",OR(I1944="TN",I1944="TDN",I1944="TNO2-3",I1944="NO2-3")),VLOOKUP(E1944,QCUREA_N,2,),IF(H1944="PER",VLOOKUP(I1944,QCPER,MATCH(E1944,QCACTUAL!$J$25:$AA$25,0),),IF(H1944="SPK",VLOOKUP(I1944,QCSPK,3,),IF(AND(H1944="ATP",OR(I1944="TP",I1944="TDP")),VLOOKUP(E1944,QCATP_P,2,),""))))))))</f>
        <v/>
      </c>
      <c r="W1944" s="31" t="str">
        <f t="shared" si="223"/>
        <v>TRUE</v>
      </c>
      <c r="X1944" s="31" t="str">
        <f t="shared" si="220"/>
        <v/>
      </c>
      <c r="Y1944" s="10" t="s">
        <v>1126</v>
      </c>
      <c r="Z1944" s="10" t="s">
        <v>910</v>
      </c>
      <c r="AF1944" s="12">
        <v>44958</v>
      </c>
      <c r="AH1944" s="10">
        <f>-1.3807*2.92^2+80.818*2.92-42.013</f>
        <v>182.20315951999999</v>
      </c>
      <c r="AI1944" s="10">
        <f>0.6312*2.92^2+63.45*2.92-30.993</f>
        <v>159.66286368000002</v>
      </c>
      <c r="AK1944" s="10">
        <f>0.0239*2.92^2+66.574*2.92-31.913</f>
        <v>162.68686095999996</v>
      </c>
      <c r="AL1944" s="10" t="str">
        <f t="shared" si="218"/>
        <v>FALSE</v>
      </c>
      <c r="AM1944" s="10" t="str">
        <f t="shared" si="218"/>
        <v>y=-1.3807*2.92^2+80.818*2.92-42.013</v>
      </c>
      <c r="AN1944" s="10" t="str">
        <f t="shared" si="218"/>
        <v>y=0.6312*2.92^2+63.45*2.92-30.993</v>
      </c>
      <c r="AO1944" s="10" t="str">
        <f t="shared" si="219"/>
        <v>FALSE</v>
      </c>
      <c r="AP1944" s="10" t="str">
        <f t="shared" si="219"/>
        <v>y=0.0239*2.92^2+66.574*2.92-31.913</v>
      </c>
      <c r="AQ1944" s="10" t="b">
        <f>IF(AND(I1944="TP",S1944&lt;=150),VLOOKUP(AF1944,TPCalibEq150!$AZ$2:$BB$55,3,),IF(AND(I1944="TDP",S1944&lt;=150),VLOOKUP(AF1944,TPCalibEq150!$AZ$2:$BB$55,3,)))</f>
        <v>0</v>
      </c>
      <c r="AR1944" s="10" t="str">
        <f>IF(AND(I1944="TP",S1944&lt;=300),VLOOKUP(AF1944,TPCalibEq300!$AZ$2:$BB$55,3,),IF(AND(I1944="TDP",S1944&lt;=300),VLOOKUP(AF1944,TPCalibEq300!$AZ$2:$BB$55,3,)))</f>
        <v>y=-1.3807x2+80.818x-42.013</v>
      </c>
      <c r="AS1944" s="10" t="str">
        <f>IF(AND(I1944="TP",S1944&lt;=500),VLOOKUP(AF1944,TPCalibEq500!$AZ$2:$BB$56,3,),IF(AND(I1944="TDP",S1944&lt;=500),VLOOKUP(AF1944,TPCalibEq500!$AZ$2:$BB$56,3,)))</f>
        <v>y=0.6312x2+63.45x-30.993</v>
      </c>
      <c r="AT1944" s="10" t="b">
        <f>IF(AND(I1944="TN",S1944&lt;=2800),VLOOKUP(AF1944,TNCalibEq2500!$AZ$2:$BB$56,3,),IF(AND(I1944="TDN",S1944&lt;=2800),VLOOKUP(AF1944,TNCalibEq2500!$AZ$2:$BB$56,3,)))</f>
        <v>0</v>
      </c>
      <c r="AU1944" s="10" t="str">
        <f>IF(I1944="TP",VLOOKUP(AF1944,TPCalibEqFull!$AZ$2:$BB$56,3),IF(I1944="TDP",VLOOKUP(AF1944,TPCalibEqFull!$AZ$2:$BB$56,3),IF(I1944="TDN",VLOOKUP(AF1944,TNCalibEqFull!$AZ$1:$BB$56,3),IF(I1944="TN",VLOOKUP(AF1944,TNCalibEqFull!$AZ$1:$BB$56,3),FALSE))))</f>
        <v>y=0.0239x2+66.574x-31.913</v>
      </c>
      <c r="AV1944" s="10" t="str">
        <f t="shared" si="224"/>
        <v>0123 09:04:00-EFG-0-FIL-1-SW-UKN</v>
      </c>
    </row>
    <row r="1945" spans="1:48" s="10" customFormat="1" x14ac:dyDescent="0.55000000000000004">
      <c r="A1945" s="32">
        <v>44949</v>
      </c>
      <c r="B1945" s="33">
        <v>0.39027777777777778</v>
      </c>
      <c r="C1945" s="10" t="s">
        <v>540</v>
      </c>
      <c r="D1945" s="10">
        <v>0</v>
      </c>
      <c r="E1945" s="10" t="s">
        <v>911</v>
      </c>
      <c r="F1945" s="10">
        <v>1</v>
      </c>
      <c r="G1945" s="10" t="s">
        <v>231</v>
      </c>
      <c r="H1945" s="10" t="s">
        <v>322</v>
      </c>
      <c r="I1945" s="10" t="s">
        <v>266</v>
      </c>
      <c r="J1945" s="10">
        <v>57</v>
      </c>
      <c r="K1945" s="12">
        <v>44958</v>
      </c>
      <c r="L1945" s="33">
        <v>0.6491203703703704</v>
      </c>
      <c r="M1945" s="10">
        <v>1</v>
      </c>
      <c r="N1945" s="10" t="s">
        <v>84</v>
      </c>
      <c r="O1945" s="10">
        <v>3.23</v>
      </c>
      <c r="P1945" s="10">
        <v>0.223</v>
      </c>
      <c r="Q1945" s="10">
        <v>190</v>
      </c>
      <c r="R1945" s="10" t="s">
        <v>85</v>
      </c>
      <c r="S1945" s="34">
        <f t="shared" si="221"/>
        <v>204.62443497000001</v>
      </c>
      <c r="T1945" s="10" t="s">
        <v>1139</v>
      </c>
      <c r="U1945" s="34" t="str">
        <f t="shared" si="222"/>
        <v/>
      </c>
      <c r="V1945" s="31" t="str">
        <f>IF(H1945="CHK",VLOOKUP(I1945,QCCHK,3,),IF(H1945="GUP",VLOOKUP(E1945,QCGUP,2,),IF(AND(H1945="ATP",OR(I1945="TN",I1945="TDN",I1945="TNO2-3",I1945="NO2-3")),VLOOKUP(E1945,QCREC_N,2,),IF(AND(H1945="NIC",OR(I1945="TN",I1945="TDN",I1945="TNO2-3",I1945="NO2-3")),VLOOKUP(E1945,QCNIC_N,2,),IF(AND(H1945="UREA",OR(I1945="TN",I1945="TDN",I1945="TNO2-3",I1945="NO2-3")),VLOOKUP(E1945,QCUREA_N,2,),IF(H1945="PER",VLOOKUP(I1945,QCPER,MATCH(E1945,QCACTUAL!$J$25:$AA$25,0),),IF(H1945="SPK",VLOOKUP(I1945,QCSPK,3,),IF(AND(H1945="ATP",OR(I1945="TP",I1945="TDP")),VLOOKUP(E1945,QCATP_P,2,),""))))))))</f>
        <v/>
      </c>
      <c r="W1945" s="31" t="str">
        <f t="shared" si="223"/>
        <v>TRUE</v>
      </c>
      <c r="X1945" s="31" t="str">
        <f t="shared" si="220"/>
        <v/>
      </c>
      <c r="Y1945" s="10" t="s">
        <v>1126</v>
      </c>
      <c r="Z1945" s="10" t="s">
        <v>910</v>
      </c>
      <c r="AF1945" s="12">
        <v>44958</v>
      </c>
      <c r="AH1945" s="10">
        <f>-1.3807*3.23^2+80.818*3.23-42.013</f>
        <v>204.62443497000001</v>
      </c>
      <c r="AI1945" s="10">
        <f>0.6312*3.23^2+63.45*3.23-30.993</f>
        <v>180.53574648</v>
      </c>
      <c r="AK1945" s="10">
        <f>0.0239*3.23^2+66.574*3.23-31.913</f>
        <v>183.37036630999998</v>
      </c>
      <c r="AL1945" s="10" t="str">
        <f t="shared" si="218"/>
        <v>FALSE</v>
      </c>
      <c r="AM1945" s="10" t="str">
        <f t="shared" si="218"/>
        <v>y=-1.3807*3.23^2+80.818*3.23-42.013</v>
      </c>
      <c r="AN1945" s="10" t="str">
        <f t="shared" si="218"/>
        <v>y=0.6312*3.23^2+63.45*3.23-30.993</v>
      </c>
      <c r="AO1945" s="10" t="str">
        <f t="shared" si="219"/>
        <v>FALSE</v>
      </c>
      <c r="AP1945" s="10" t="str">
        <f t="shared" si="219"/>
        <v>y=0.0239*3.23^2+66.574*3.23-31.913</v>
      </c>
      <c r="AQ1945" s="10" t="b">
        <f>IF(AND(I1945="TP",S1945&lt;=150),VLOOKUP(AF1945,TPCalibEq150!$AZ$2:$BB$55,3,),IF(AND(I1945="TDP",S1945&lt;=150),VLOOKUP(AF1945,TPCalibEq150!$AZ$2:$BB$55,3,)))</f>
        <v>0</v>
      </c>
      <c r="AR1945" s="10" t="str">
        <f>IF(AND(I1945="TP",S1945&lt;=300),VLOOKUP(AF1945,TPCalibEq300!$AZ$2:$BB$55,3,),IF(AND(I1945="TDP",S1945&lt;=300),VLOOKUP(AF1945,TPCalibEq300!$AZ$2:$BB$55,3,)))</f>
        <v>y=-1.3807x2+80.818x-42.013</v>
      </c>
      <c r="AS1945" s="10" t="str">
        <f>IF(AND(I1945="TP",S1945&lt;=500),VLOOKUP(AF1945,TPCalibEq500!$AZ$2:$BB$56,3,),IF(AND(I1945="TDP",S1945&lt;=500),VLOOKUP(AF1945,TPCalibEq500!$AZ$2:$BB$56,3,)))</f>
        <v>y=0.6312x2+63.45x-30.993</v>
      </c>
      <c r="AT1945" s="10" t="b">
        <f>IF(AND(I1945="TN",S1945&lt;=2800),VLOOKUP(AF1945,TNCalibEq2500!$AZ$2:$BB$56,3,),IF(AND(I1945="TDN",S1945&lt;=2800),VLOOKUP(AF1945,TNCalibEq2500!$AZ$2:$BB$56,3,)))</f>
        <v>0</v>
      </c>
      <c r="AU1945" s="10" t="str">
        <f>IF(I1945="TP",VLOOKUP(AF1945,TPCalibEqFull!$AZ$2:$BB$56,3),IF(I1945="TDP",VLOOKUP(AF1945,TPCalibEqFull!$AZ$2:$BB$56,3),IF(I1945="TDN",VLOOKUP(AF1945,TNCalibEqFull!$AZ$1:$BB$56,3),IF(I1945="TN",VLOOKUP(AF1945,TNCalibEqFull!$AZ$1:$BB$56,3),FALSE))))</f>
        <v>y=0.0239x2+66.574x-31.913</v>
      </c>
      <c r="AV1945" s="10" t="str">
        <f t="shared" si="224"/>
        <v>0123 09:22:00-S50-0-FIL-1-SW-UKN</v>
      </c>
    </row>
    <row r="1946" spans="1:48" s="10" customFormat="1" x14ac:dyDescent="0.55000000000000004">
      <c r="A1946" s="32">
        <v>44949</v>
      </c>
      <c r="B1946" s="33">
        <v>0.41250000000000003</v>
      </c>
      <c r="C1946" s="10" t="s">
        <v>528</v>
      </c>
      <c r="D1946" s="10">
        <v>0</v>
      </c>
      <c r="E1946" s="10" t="s">
        <v>911</v>
      </c>
      <c r="F1946" s="10">
        <v>1</v>
      </c>
      <c r="G1946" s="10" t="s">
        <v>231</v>
      </c>
      <c r="H1946" s="10" t="s">
        <v>322</v>
      </c>
      <c r="I1946" s="10" t="s">
        <v>266</v>
      </c>
      <c r="J1946" s="10">
        <v>58</v>
      </c>
      <c r="K1946" s="12">
        <v>44958</v>
      </c>
      <c r="L1946" s="33">
        <v>0.6498032407407407</v>
      </c>
      <c r="M1946" s="10">
        <v>1</v>
      </c>
      <c r="N1946" s="10" t="s">
        <v>84</v>
      </c>
      <c r="O1946" s="10">
        <v>1.34</v>
      </c>
      <c r="P1946" s="10">
        <v>8.9700000000000002E-2</v>
      </c>
      <c r="Q1946" s="10">
        <v>63.3</v>
      </c>
      <c r="R1946" s="10" t="s">
        <v>85</v>
      </c>
      <c r="S1946" s="34">
        <f t="shared" si="221"/>
        <v>79.206760000000003</v>
      </c>
      <c r="T1946" s="10" t="s">
        <v>1139</v>
      </c>
      <c r="U1946" s="34" t="str">
        <f t="shared" si="222"/>
        <v/>
      </c>
      <c r="V1946" s="31" t="str">
        <f>IF(H1946="CHK",VLOOKUP(I1946,QCCHK,3,),IF(H1946="GUP",VLOOKUP(E1946,QCGUP,2,),IF(AND(H1946="ATP",OR(I1946="TN",I1946="TDN",I1946="TNO2-3",I1946="NO2-3")),VLOOKUP(E1946,QCREC_N,2,),IF(AND(H1946="NIC",OR(I1946="TN",I1946="TDN",I1946="TNO2-3",I1946="NO2-3")),VLOOKUP(E1946,QCNIC_N,2,),IF(AND(H1946="UREA",OR(I1946="TN",I1946="TDN",I1946="TNO2-3",I1946="NO2-3")),VLOOKUP(E1946,QCUREA_N,2,),IF(H1946="PER",VLOOKUP(I1946,QCPER,MATCH(E1946,QCACTUAL!$J$25:$AA$25,0),),IF(H1946="SPK",VLOOKUP(I1946,QCSPK,3,),IF(AND(H1946="ATP",OR(I1946="TP",I1946="TDP")),VLOOKUP(E1946,QCATP_P,2,),""))))))))</f>
        <v/>
      </c>
      <c r="W1946" s="31" t="str">
        <f t="shared" si="223"/>
        <v>TRUE</v>
      </c>
      <c r="X1946" s="31" t="str">
        <f t="shared" si="220"/>
        <v/>
      </c>
      <c r="Y1946" s="10" t="s">
        <v>1126</v>
      </c>
      <c r="Z1946" s="10" t="s">
        <v>910</v>
      </c>
      <c r="AF1946" s="12">
        <v>44958</v>
      </c>
      <c r="AG1946" s="10">
        <f>-20.9*1.34^2+141.62*1.34-73.036</f>
        <v>79.206760000000003</v>
      </c>
      <c r="AH1946" s="10">
        <f>-1.3807*1.34^2+80.818*1.34-42.013</f>
        <v>63.803935080000009</v>
      </c>
      <c r="AI1946" s="10">
        <f>0.6312*1.34^2+63.45*1.34-30.993</f>
        <v>55.163382720000016</v>
      </c>
      <c r="AK1946" s="10">
        <f>0.0239*1.34^2+66.574*1.34-31.913</f>
        <v>57.339074839999995</v>
      </c>
      <c r="AL1946" s="10" t="str">
        <f t="shared" si="218"/>
        <v>y=-20.90*1.34^2+141.62*1.34-73.036</v>
      </c>
      <c r="AM1946" s="10" t="str">
        <f t="shared" si="218"/>
        <v>y=-1.3807*1.34^2+80.818*1.34-42.013</v>
      </c>
      <c r="AN1946" s="10" t="str">
        <f t="shared" si="218"/>
        <v>y=0.6312*1.34^2+63.45*1.34-30.993</v>
      </c>
      <c r="AO1946" s="10" t="str">
        <f t="shared" si="219"/>
        <v>FALSE</v>
      </c>
      <c r="AP1946" s="10" t="str">
        <f t="shared" si="219"/>
        <v>y=0.0239*1.34^2+66.574*1.34-31.913</v>
      </c>
      <c r="AQ1946" s="10" t="str">
        <f>IF(AND(I1946="TP",S1946&lt;=150),VLOOKUP(AF1946,TPCalibEq150!$AZ$2:$BB$55,3,),IF(AND(I1946="TDP",S1946&lt;=150),VLOOKUP(AF1946,TPCalibEq150!$AZ$2:$BB$55,3,)))</f>
        <v>y=-20.90x2+141.62x-73.036</v>
      </c>
      <c r="AR1946" s="10" t="str">
        <f>IF(AND(I1946="TP",S1946&lt;=300),VLOOKUP(AF1946,TPCalibEq300!$AZ$2:$BB$55,3,),IF(AND(I1946="TDP",S1946&lt;=300),VLOOKUP(AF1946,TPCalibEq300!$AZ$2:$BB$55,3,)))</f>
        <v>y=-1.3807x2+80.818x-42.013</v>
      </c>
      <c r="AS1946" s="10" t="str">
        <f>IF(AND(I1946="TP",S1946&lt;=500),VLOOKUP(AF1946,TPCalibEq500!$AZ$2:$BB$56,3,),IF(AND(I1946="TDP",S1946&lt;=500),VLOOKUP(AF1946,TPCalibEq500!$AZ$2:$BB$56,3,)))</f>
        <v>y=0.6312x2+63.45x-30.993</v>
      </c>
      <c r="AT1946" s="10" t="b">
        <f>IF(AND(I1946="TN",S1946&lt;=2800),VLOOKUP(AF1946,TNCalibEq2500!$AZ$2:$BB$56,3,),IF(AND(I1946="TDN",S1946&lt;=2800),VLOOKUP(AF1946,TNCalibEq2500!$AZ$2:$BB$56,3,)))</f>
        <v>0</v>
      </c>
      <c r="AU1946" s="10" t="str">
        <f>IF(I1946="TP",VLOOKUP(AF1946,TPCalibEqFull!$AZ$2:$BB$56,3),IF(I1946="TDP",VLOOKUP(AF1946,TPCalibEqFull!$AZ$2:$BB$56,3),IF(I1946="TDN",VLOOKUP(AF1946,TNCalibEqFull!$AZ$1:$BB$56,3),IF(I1946="TN",VLOOKUP(AF1946,TNCalibEqFull!$AZ$1:$BB$56,3),FALSE))))</f>
        <v>y=0.0239x2+66.574x-31.913</v>
      </c>
      <c r="AV1946" s="10" t="str">
        <f t="shared" si="224"/>
        <v>0123 09:54:00-P04-0-FIL-1-SW-UKN</v>
      </c>
    </row>
    <row r="1947" spans="1:48" s="10" customFormat="1" x14ac:dyDescent="0.55000000000000004">
      <c r="A1947" s="32">
        <v>44949</v>
      </c>
      <c r="B1947" s="33">
        <v>0.42569444444444443</v>
      </c>
      <c r="C1947" s="10">
        <v>506</v>
      </c>
      <c r="D1947" s="10">
        <v>0</v>
      </c>
      <c r="E1947" s="10" t="s">
        <v>911</v>
      </c>
      <c r="F1947" s="10">
        <v>1</v>
      </c>
      <c r="G1947" s="10" t="s">
        <v>231</v>
      </c>
      <c r="H1947" s="10" t="s">
        <v>322</v>
      </c>
      <c r="I1947" s="10" t="s">
        <v>266</v>
      </c>
      <c r="J1947" s="10">
        <v>59</v>
      </c>
      <c r="K1947" s="12">
        <v>44958</v>
      </c>
      <c r="L1947" s="33">
        <v>0.6504861111111111</v>
      </c>
      <c r="M1947" s="10">
        <v>1</v>
      </c>
      <c r="N1947" s="10" t="s">
        <v>84</v>
      </c>
      <c r="O1947" s="10">
        <v>2.19</v>
      </c>
      <c r="P1947" s="10">
        <v>0.15</v>
      </c>
      <c r="Q1947" s="10">
        <v>121</v>
      </c>
      <c r="R1947" s="10" t="s">
        <v>85</v>
      </c>
      <c r="S1947" s="34">
        <f t="shared" si="221"/>
        <v>136.87331</v>
      </c>
      <c r="T1947" s="10" t="s">
        <v>1139</v>
      </c>
      <c r="U1947" s="34" t="str">
        <f t="shared" si="222"/>
        <v/>
      </c>
      <c r="V1947" s="31" t="str">
        <f>IF(H1947="CHK",VLOOKUP(I1947,QCCHK,3,),IF(H1947="GUP",VLOOKUP(E1947,QCGUP,2,),IF(AND(H1947="ATP",OR(I1947="TN",I1947="TDN",I1947="TNO2-3",I1947="NO2-3")),VLOOKUP(E1947,QCREC_N,2,),IF(AND(H1947="NIC",OR(I1947="TN",I1947="TDN",I1947="TNO2-3",I1947="NO2-3")),VLOOKUP(E1947,QCNIC_N,2,),IF(AND(H1947="UREA",OR(I1947="TN",I1947="TDN",I1947="TNO2-3",I1947="NO2-3")),VLOOKUP(E1947,QCUREA_N,2,),IF(H1947="PER",VLOOKUP(I1947,QCPER,MATCH(E1947,QCACTUAL!$J$25:$AA$25,0),),IF(H1947="SPK",VLOOKUP(I1947,QCSPK,3,),IF(AND(H1947="ATP",OR(I1947="TP",I1947="TDP")),VLOOKUP(E1947,QCATP_P,2,),""))))))))</f>
        <v/>
      </c>
      <c r="W1947" s="31" t="str">
        <f t="shared" si="223"/>
        <v>TRUE</v>
      </c>
      <c r="X1947" s="31" t="str">
        <f t="shared" si="220"/>
        <v/>
      </c>
      <c r="Y1947" s="10" t="s">
        <v>1126</v>
      </c>
      <c r="Z1947" s="10" t="s">
        <v>910</v>
      </c>
      <c r="AF1947" s="12">
        <v>44958</v>
      </c>
      <c r="AG1947" s="10">
        <f>-20.9*2.19^2+141.62*2.19-73.036</f>
        <v>136.87331</v>
      </c>
      <c r="AH1947" s="10">
        <f>-1.3807*2.19^2+80.818*2.19-42.013</f>
        <v>128.35644472999999</v>
      </c>
      <c r="AI1947" s="10">
        <f>0.6312*2.19^2+63.45*2.19-30.993</f>
        <v>110.98979832000001</v>
      </c>
      <c r="AK1947" s="10">
        <f>0.0239*2.19^2+66.574*2.19-31.913</f>
        <v>113.99868678999998</v>
      </c>
      <c r="AL1947" s="10" t="str">
        <f t="shared" si="218"/>
        <v>y=-20.90*2.19^2+141.62*2.19-73.036</v>
      </c>
      <c r="AM1947" s="10" t="str">
        <f t="shared" si="218"/>
        <v>y=-1.3807*2.19^2+80.818*2.19-42.013</v>
      </c>
      <c r="AN1947" s="10" t="str">
        <f t="shared" si="218"/>
        <v>y=0.6312*2.19^2+63.45*2.19-30.993</v>
      </c>
      <c r="AO1947" s="10" t="str">
        <f t="shared" si="219"/>
        <v>FALSE</v>
      </c>
      <c r="AP1947" s="10" t="str">
        <f t="shared" si="219"/>
        <v>y=0.0239*2.19^2+66.574*2.19-31.913</v>
      </c>
      <c r="AQ1947" s="10" t="str">
        <f>IF(AND(I1947="TP",S1947&lt;=150),VLOOKUP(AF1947,TPCalibEq150!$AZ$2:$BB$55,3,),IF(AND(I1947="TDP",S1947&lt;=150),VLOOKUP(AF1947,TPCalibEq150!$AZ$2:$BB$55,3,)))</f>
        <v>y=-20.90x2+141.62x-73.036</v>
      </c>
      <c r="AR1947" s="10" t="str">
        <f>IF(AND(I1947="TP",S1947&lt;=300),VLOOKUP(AF1947,TPCalibEq300!$AZ$2:$BB$55,3,),IF(AND(I1947="TDP",S1947&lt;=300),VLOOKUP(AF1947,TPCalibEq300!$AZ$2:$BB$55,3,)))</f>
        <v>y=-1.3807x2+80.818x-42.013</v>
      </c>
      <c r="AS1947" s="10" t="str">
        <f>IF(AND(I1947="TP",S1947&lt;=500),VLOOKUP(AF1947,TPCalibEq500!$AZ$2:$BB$56,3,),IF(AND(I1947="TDP",S1947&lt;=500),VLOOKUP(AF1947,TPCalibEq500!$AZ$2:$BB$56,3,)))</f>
        <v>y=0.6312x2+63.45x-30.993</v>
      </c>
      <c r="AT1947" s="10" t="b">
        <f>IF(AND(I1947="TN",S1947&lt;=2800),VLOOKUP(AF1947,TNCalibEq2500!$AZ$2:$BB$56,3,),IF(AND(I1947="TDN",S1947&lt;=2800),VLOOKUP(AF1947,TNCalibEq2500!$AZ$2:$BB$56,3,)))</f>
        <v>0</v>
      </c>
      <c r="AU1947" s="10" t="str">
        <f>IF(I1947="TP",VLOOKUP(AF1947,TPCalibEqFull!$AZ$2:$BB$56,3),IF(I1947="TDP",VLOOKUP(AF1947,TPCalibEqFull!$AZ$2:$BB$56,3),IF(I1947="TDN",VLOOKUP(AF1947,TNCalibEqFull!$AZ$1:$BB$56,3),IF(I1947="TN",VLOOKUP(AF1947,TNCalibEqFull!$AZ$1:$BB$56,3),FALSE))))</f>
        <v>y=0.0239x2+66.574x-31.913</v>
      </c>
      <c r="AV1947" s="10" t="str">
        <f t="shared" si="224"/>
        <v>0123 10:13:00-506-0-FIL-1-SW-UKN</v>
      </c>
    </row>
    <row r="1948" spans="1:48" s="10" customFormat="1" x14ac:dyDescent="0.55000000000000004">
      <c r="A1948" s="32">
        <v>44949</v>
      </c>
      <c r="B1948" s="33">
        <v>0.43333333333333335</v>
      </c>
      <c r="C1948" s="10" t="s">
        <v>1104</v>
      </c>
      <c r="D1948" s="10">
        <v>0</v>
      </c>
      <c r="E1948" s="10" t="s">
        <v>911</v>
      </c>
      <c r="F1948" s="10">
        <v>1</v>
      </c>
      <c r="G1948" s="10" t="s">
        <v>231</v>
      </c>
      <c r="H1948" s="10" t="s">
        <v>322</v>
      </c>
      <c r="I1948" s="10" t="s">
        <v>266</v>
      </c>
      <c r="J1948" s="10">
        <v>60</v>
      </c>
      <c r="K1948" s="12">
        <v>44958</v>
      </c>
      <c r="L1948" s="33">
        <v>0.65118055555555554</v>
      </c>
      <c r="M1948" s="10">
        <v>1</v>
      </c>
      <c r="N1948" s="10" t="s">
        <v>84</v>
      </c>
      <c r="O1948" s="10">
        <v>2.63</v>
      </c>
      <c r="P1948" s="10">
        <v>0.18099999999999999</v>
      </c>
      <c r="Q1948" s="10">
        <v>150</v>
      </c>
      <c r="R1948" s="10" t="s">
        <v>85</v>
      </c>
      <c r="S1948" s="34">
        <f t="shared" si="221"/>
        <v>160.98817616999997</v>
      </c>
      <c r="T1948" s="10" t="s">
        <v>1139</v>
      </c>
      <c r="U1948" s="34" t="str">
        <f t="shared" si="222"/>
        <v/>
      </c>
      <c r="V1948" s="31" t="str">
        <f>IF(H1948="CHK",VLOOKUP(I1948,QCCHK,3,),IF(H1948="GUP",VLOOKUP(E1948,QCGUP,2,),IF(AND(H1948="ATP",OR(I1948="TN",I1948="TDN",I1948="TNO2-3",I1948="NO2-3")),VLOOKUP(E1948,QCREC_N,2,),IF(AND(H1948="NIC",OR(I1948="TN",I1948="TDN",I1948="TNO2-3",I1948="NO2-3")),VLOOKUP(E1948,QCNIC_N,2,),IF(AND(H1948="UREA",OR(I1948="TN",I1948="TDN",I1948="TNO2-3",I1948="NO2-3")),VLOOKUP(E1948,QCUREA_N,2,),IF(H1948="PER",VLOOKUP(I1948,QCPER,MATCH(E1948,QCACTUAL!$J$25:$AA$25,0),),IF(H1948="SPK",VLOOKUP(I1948,QCSPK,3,),IF(AND(H1948="ATP",OR(I1948="TP",I1948="TDP")),VLOOKUP(E1948,QCATP_P,2,),""))))))))</f>
        <v/>
      </c>
      <c r="W1948" s="31" t="str">
        <f t="shared" si="223"/>
        <v>TRUE</v>
      </c>
      <c r="X1948" s="31" t="str">
        <f t="shared" si="220"/>
        <v/>
      </c>
      <c r="Y1948" s="10" t="s">
        <v>1126</v>
      </c>
      <c r="Z1948" s="10" t="s">
        <v>910</v>
      </c>
      <c r="AF1948" s="12">
        <v>44958</v>
      </c>
      <c r="AG1948" s="10">
        <f>-20.9*2.63^2+141.62*2.63-73.036</f>
        <v>154.86139000000003</v>
      </c>
      <c r="AH1948" s="10">
        <f>-1.3807*2.63^2+80.818*2.63-42.013</f>
        <v>160.98817616999997</v>
      </c>
      <c r="AI1948" s="10">
        <f>0.6312*2.63^2+63.45*2.63-30.993</f>
        <v>140.24644728000001</v>
      </c>
      <c r="AK1948" s="10">
        <f>0.0239*2.63^2+66.574*2.63-31.913</f>
        <v>143.34193390999999</v>
      </c>
      <c r="AL1948" s="10" t="str">
        <f t="shared" si="218"/>
        <v>FALSE</v>
      </c>
      <c r="AM1948" s="10" t="str">
        <f t="shared" si="218"/>
        <v>y=-1.3807*2.63^2+80.818*2.63-42.013</v>
      </c>
      <c r="AN1948" s="10" t="str">
        <f t="shared" si="218"/>
        <v>y=0.6312*2.63^2+63.45*2.63-30.993</v>
      </c>
      <c r="AO1948" s="10" t="str">
        <f t="shared" si="219"/>
        <v>FALSE</v>
      </c>
      <c r="AP1948" s="10" t="str">
        <f t="shared" si="219"/>
        <v>y=0.0239*2.63^2+66.574*2.63-31.913</v>
      </c>
      <c r="AQ1948" s="10" t="b">
        <f>IF(AND(I1948="TP",S1948&lt;=150),VLOOKUP(AF1948,TPCalibEq150!$AZ$2:$BB$55,3,),IF(AND(I1948="TDP",S1948&lt;=150),VLOOKUP(AF1948,TPCalibEq150!$AZ$2:$BB$55,3,)))</f>
        <v>0</v>
      </c>
      <c r="AR1948" s="10" t="str">
        <f>IF(AND(I1948="TP",S1948&lt;=300),VLOOKUP(AF1948,TPCalibEq300!$AZ$2:$BB$55,3,),IF(AND(I1948="TDP",S1948&lt;=300),VLOOKUP(AF1948,TPCalibEq300!$AZ$2:$BB$55,3,)))</f>
        <v>y=-1.3807x2+80.818x-42.013</v>
      </c>
      <c r="AS1948" s="10" t="str">
        <f>IF(AND(I1948="TP",S1948&lt;=500),VLOOKUP(AF1948,TPCalibEq500!$AZ$2:$BB$56,3,),IF(AND(I1948="TDP",S1948&lt;=500),VLOOKUP(AF1948,TPCalibEq500!$AZ$2:$BB$56,3,)))</f>
        <v>y=0.6312x2+63.45x-30.993</v>
      </c>
      <c r="AT1948" s="10" t="b">
        <f>IF(AND(I1948="TN",S1948&lt;=2800),VLOOKUP(AF1948,TNCalibEq2500!$AZ$2:$BB$56,3,),IF(AND(I1948="TDN",S1948&lt;=2800),VLOOKUP(AF1948,TNCalibEq2500!$AZ$2:$BB$56,3,)))</f>
        <v>0</v>
      </c>
      <c r="AU1948" s="10" t="str">
        <f>IF(I1948="TP",VLOOKUP(AF1948,TPCalibEqFull!$AZ$2:$BB$56,3),IF(I1948="TDP",VLOOKUP(AF1948,TPCalibEqFull!$AZ$2:$BB$56,3),IF(I1948="TDN",VLOOKUP(AF1948,TNCalibEqFull!$AZ$1:$BB$56,3),IF(I1948="TN",VLOOKUP(AF1948,TNCalibEqFull!$AZ$1:$BB$56,3),FALSE))))</f>
        <v>y=0.0239x2+66.574x-31.913</v>
      </c>
      <c r="AV1948" s="10" t="str">
        <f t="shared" si="224"/>
        <v>0123 10:24:00-LBW-0-FIL-1-SW-UKN</v>
      </c>
    </row>
    <row r="1949" spans="1:48" s="10" customFormat="1" x14ac:dyDescent="0.55000000000000004">
      <c r="A1949" s="32">
        <v>44949</v>
      </c>
      <c r="B1949" s="33">
        <v>0.45</v>
      </c>
      <c r="C1949" s="10" t="s">
        <v>537</v>
      </c>
      <c r="D1949" s="10">
        <v>0</v>
      </c>
      <c r="E1949" s="10" t="s">
        <v>911</v>
      </c>
      <c r="F1949" s="10">
        <v>1</v>
      </c>
      <c r="G1949" s="10" t="s">
        <v>231</v>
      </c>
      <c r="H1949" s="10" t="s">
        <v>322</v>
      </c>
      <c r="I1949" s="10" t="s">
        <v>266</v>
      </c>
      <c r="J1949" s="10">
        <v>61</v>
      </c>
      <c r="K1949" s="12">
        <v>44958</v>
      </c>
      <c r="L1949" s="33">
        <v>0.65189814814814817</v>
      </c>
      <c r="M1949" s="10">
        <v>1</v>
      </c>
      <c r="N1949" s="10" t="s">
        <v>84</v>
      </c>
      <c r="O1949" s="10">
        <v>1.96</v>
      </c>
      <c r="P1949" s="10">
        <v>0.13300000000000001</v>
      </c>
      <c r="Q1949" s="10">
        <v>105</v>
      </c>
      <c r="R1949" s="10" t="s">
        <v>85</v>
      </c>
      <c r="S1949" s="34">
        <f t="shared" si="221"/>
        <v>124.24976000000001</v>
      </c>
      <c r="T1949" s="10" t="s">
        <v>1139</v>
      </c>
      <c r="U1949" s="34" t="str">
        <f t="shared" si="222"/>
        <v/>
      </c>
      <c r="V1949" s="31" t="str">
        <f>IF(H1949="CHK",VLOOKUP(I1949,QCCHK,3,),IF(H1949="GUP",VLOOKUP(E1949,QCGUP,2,),IF(AND(H1949="ATP",OR(I1949="TN",I1949="TDN",I1949="TNO2-3",I1949="NO2-3")),VLOOKUP(E1949,QCREC_N,2,),IF(AND(H1949="NIC",OR(I1949="TN",I1949="TDN",I1949="TNO2-3",I1949="NO2-3")),VLOOKUP(E1949,QCNIC_N,2,),IF(AND(H1949="UREA",OR(I1949="TN",I1949="TDN",I1949="TNO2-3",I1949="NO2-3")),VLOOKUP(E1949,QCUREA_N,2,),IF(H1949="PER",VLOOKUP(I1949,QCPER,MATCH(E1949,QCACTUAL!$J$25:$AA$25,0),),IF(H1949="SPK",VLOOKUP(I1949,QCSPK,3,),IF(AND(H1949="ATP",OR(I1949="TP",I1949="TDP")),VLOOKUP(E1949,QCATP_P,2,),""))))))))</f>
        <v/>
      </c>
      <c r="W1949" s="31" t="str">
        <f t="shared" si="223"/>
        <v>TRUE</v>
      </c>
      <c r="X1949" s="31" t="str">
        <f t="shared" si="220"/>
        <v/>
      </c>
      <c r="Y1949" s="10" t="s">
        <v>1126</v>
      </c>
      <c r="Z1949" s="10" t="s">
        <v>910</v>
      </c>
      <c r="AF1949" s="12">
        <v>44958</v>
      </c>
      <c r="AG1949" s="10">
        <f>-20.9*1.96^2+141.62*1.96-73.036</f>
        <v>124.24976000000001</v>
      </c>
      <c r="AH1949" s="10">
        <f>-1.3807*1.96^2+80.818*1.96-42.013</f>
        <v>111.08618288</v>
      </c>
      <c r="AI1949" s="10">
        <f>0.6312*1.96^2+63.45*1.96-30.993</f>
        <v>95.793817920000009</v>
      </c>
      <c r="AK1949" s="10">
        <f>0.0239*1.96^2+66.574*1.96-31.913</f>
        <v>98.663854239999992</v>
      </c>
      <c r="AL1949" s="10" t="str">
        <f t="shared" si="218"/>
        <v>y=-20.90*1.96^2+141.62*1.96-73.036</v>
      </c>
      <c r="AM1949" s="10" t="str">
        <f t="shared" si="218"/>
        <v>y=-1.3807*1.96^2+80.818*1.96-42.013</v>
      </c>
      <c r="AN1949" s="10" t="str">
        <f t="shared" si="218"/>
        <v>y=0.6312*1.96^2+63.45*1.96-30.993</v>
      </c>
      <c r="AO1949" s="10" t="str">
        <f t="shared" si="219"/>
        <v>FALSE</v>
      </c>
      <c r="AP1949" s="10" t="str">
        <f t="shared" si="219"/>
        <v>y=0.0239*1.96^2+66.574*1.96-31.913</v>
      </c>
      <c r="AQ1949" s="10" t="str">
        <f>IF(AND(I1949="TP",S1949&lt;=150),VLOOKUP(AF1949,TPCalibEq150!$AZ$2:$BB$55,3,),IF(AND(I1949="TDP",S1949&lt;=150),VLOOKUP(AF1949,TPCalibEq150!$AZ$2:$BB$55,3,)))</f>
        <v>y=-20.90x2+141.62x-73.036</v>
      </c>
      <c r="AR1949" s="10" t="str">
        <f>IF(AND(I1949="TP",S1949&lt;=300),VLOOKUP(AF1949,TPCalibEq300!$AZ$2:$BB$55,3,),IF(AND(I1949="TDP",S1949&lt;=300),VLOOKUP(AF1949,TPCalibEq300!$AZ$2:$BB$55,3,)))</f>
        <v>y=-1.3807x2+80.818x-42.013</v>
      </c>
      <c r="AS1949" s="10" t="str">
        <f>IF(AND(I1949="TP",S1949&lt;=500),VLOOKUP(AF1949,TPCalibEq500!$AZ$2:$BB$56,3,),IF(AND(I1949="TDP",S1949&lt;=500),VLOOKUP(AF1949,TPCalibEq500!$AZ$2:$BB$56,3,)))</f>
        <v>y=0.6312x2+63.45x-30.993</v>
      </c>
      <c r="AT1949" s="10" t="b">
        <f>IF(AND(I1949="TN",S1949&lt;=2800),VLOOKUP(AF1949,TNCalibEq2500!$AZ$2:$BB$56,3,),IF(AND(I1949="TDN",S1949&lt;=2800),VLOOKUP(AF1949,TNCalibEq2500!$AZ$2:$BB$56,3,)))</f>
        <v>0</v>
      </c>
      <c r="AU1949" s="10" t="str">
        <f>IF(I1949="TP",VLOOKUP(AF1949,TPCalibEqFull!$AZ$2:$BB$56,3),IF(I1949="TDP",VLOOKUP(AF1949,TPCalibEqFull!$AZ$2:$BB$56,3),IF(I1949="TDN",VLOOKUP(AF1949,TNCalibEqFull!$AZ$1:$BB$56,3),IF(I1949="TN",VLOOKUP(AF1949,TNCalibEqFull!$AZ$1:$BB$56,3),FALSE))))</f>
        <v>y=0.0239x2+66.574x-31.913</v>
      </c>
      <c r="AV1949" s="10" t="str">
        <f t="shared" si="224"/>
        <v>0123 10:48:00-S51-0-FIL-1-SW-UKN</v>
      </c>
    </row>
    <row r="1950" spans="1:48" s="10" customFormat="1" x14ac:dyDescent="0.55000000000000004">
      <c r="A1950" s="32">
        <v>44949</v>
      </c>
      <c r="B1950" s="33">
        <v>0.46736111111111112</v>
      </c>
      <c r="C1950" s="10">
        <v>890</v>
      </c>
      <c r="D1950" s="10">
        <v>0</v>
      </c>
      <c r="E1950" s="10" t="s">
        <v>911</v>
      </c>
      <c r="F1950" s="10">
        <v>1</v>
      </c>
      <c r="G1950" s="10" t="s">
        <v>231</v>
      </c>
      <c r="H1950" s="10" t="s">
        <v>322</v>
      </c>
      <c r="I1950" s="10" t="s">
        <v>266</v>
      </c>
      <c r="J1950" s="10">
        <v>62</v>
      </c>
      <c r="K1950" s="12">
        <v>44958</v>
      </c>
      <c r="L1950" s="33">
        <v>0.65259259259259261</v>
      </c>
      <c r="M1950" s="10">
        <v>1</v>
      </c>
      <c r="N1950" s="10" t="s">
        <v>84</v>
      </c>
      <c r="O1950" s="10">
        <v>1.64</v>
      </c>
      <c r="P1950" s="10">
        <v>0.11</v>
      </c>
      <c r="Q1950" s="10">
        <v>83.8</v>
      </c>
      <c r="R1950" s="10" t="s">
        <v>85</v>
      </c>
      <c r="S1950" s="34">
        <f t="shared" si="221"/>
        <v>103.00816</v>
      </c>
      <c r="T1950" s="10" t="s">
        <v>1139</v>
      </c>
      <c r="U1950" s="34" t="str">
        <f t="shared" si="222"/>
        <v/>
      </c>
      <c r="V1950" s="31" t="str">
        <f>IF(H1950="CHK",VLOOKUP(I1950,QCCHK,3,),IF(H1950="GUP",VLOOKUP(E1950,QCGUP,2,),IF(AND(H1950="ATP",OR(I1950="TN",I1950="TDN",I1950="TNO2-3",I1950="NO2-3")),VLOOKUP(E1950,QCREC_N,2,),IF(AND(H1950="NIC",OR(I1950="TN",I1950="TDN",I1950="TNO2-3",I1950="NO2-3")),VLOOKUP(E1950,QCNIC_N,2,),IF(AND(H1950="UREA",OR(I1950="TN",I1950="TDN",I1950="TNO2-3",I1950="NO2-3")),VLOOKUP(E1950,QCUREA_N,2,),IF(H1950="PER",VLOOKUP(I1950,QCPER,MATCH(E1950,QCACTUAL!$J$25:$AA$25,0),),IF(H1950="SPK",VLOOKUP(I1950,QCSPK,3,),IF(AND(H1950="ATP",OR(I1950="TP",I1950="TDP")),VLOOKUP(E1950,QCATP_P,2,),""))))))))</f>
        <v/>
      </c>
      <c r="W1950" s="31" t="str">
        <f t="shared" si="223"/>
        <v>TRUE</v>
      </c>
      <c r="X1950" s="31" t="str">
        <f t="shared" si="220"/>
        <v/>
      </c>
      <c r="Y1950" s="10" t="s">
        <v>1126</v>
      </c>
      <c r="Z1950" s="10" t="s">
        <v>910</v>
      </c>
      <c r="AF1950" s="12">
        <v>44958</v>
      </c>
      <c r="AG1950" s="10">
        <f>-20.9*1.64^2+141.62*1.64-73.036</f>
        <v>103.00816</v>
      </c>
      <c r="AH1950" s="10">
        <f>-1.3807*1.64^2+80.818*1.64-42.013</f>
        <v>86.814989279999992</v>
      </c>
      <c r="AI1950" s="10">
        <f>0.6312*1.64^2+63.45*1.64-30.993</f>
        <v>74.762675520000002</v>
      </c>
      <c r="AK1950" s="10">
        <f>0.0239*1.64^2+66.574*1.64-31.913</f>
        <v>77.332641439999989</v>
      </c>
      <c r="AL1950" s="10" t="str">
        <f t="shared" si="218"/>
        <v>y=-20.90*1.64^2+141.62*1.64-73.036</v>
      </c>
      <c r="AM1950" s="10" t="str">
        <f t="shared" si="218"/>
        <v>y=-1.3807*1.64^2+80.818*1.64-42.013</v>
      </c>
      <c r="AN1950" s="10" t="str">
        <f t="shared" si="218"/>
        <v>y=0.6312*1.64^2+63.45*1.64-30.993</v>
      </c>
      <c r="AO1950" s="10" t="str">
        <f t="shared" si="219"/>
        <v>FALSE</v>
      </c>
      <c r="AP1950" s="10" t="str">
        <f t="shared" si="219"/>
        <v>y=0.0239*1.64^2+66.574*1.64-31.913</v>
      </c>
      <c r="AQ1950" s="10" t="str">
        <f>IF(AND(I1950="TP",S1950&lt;=150),VLOOKUP(AF1950,TPCalibEq150!$AZ$2:$BB$55,3,),IF(AND(I1950="TDP",S1950&lt;=150),VLOOKUP(AF1950,TPCalibEq150!$AZ$2:$BB$55,3,)))</f>
        <v>y=-20.90x2+141.62x-73.036</v>
      </c>
      <c r="AR1950" s="10" t="str">
        <f>IF(AND(I1950="TP",S1950&lt;=300),VLOOKUP(AF1950,TPCalibEq300!$AZ$2:$BB$55,3,),IF(AND(I1950="TDP",S1950&lt;=300),VLOOKUP(AF1950,TPCalibEq300!$AZ$2:$BB$55,3,)))</f>
        <v>y=-1.3807x2+80.818x-42.013</v>
      </c>
      <c r="AS1950" s="10" t="str">
        <f>IF(AND(I1950="TP",S1950&lt;=500),VLOOKUP(AF1950,TPCalibEq500!$AZ$2:$BB$56,3,),IF(AND(I1950="TDP",S1950&lt;=500),VLOOKUP(AF1950,TPCalibEq500!$AZ$2:$BB$56,3,)))</f>
        <v>y=0.6312x2+63.45x-30.993</v>
      </c>
      <c r="AT1950" s="10" t="b">
        <f>IF(AND(I1950="TN",S1950&lt;=2800),VLOOKUP(AF1950,TNCalibEq2500!$AZ$2:$BB$56,3,),IF(AND(I1950="TDN",S1950&lt;=2800),VLOOKUP(AF1950,TNCalibEq2500!$AZ$2:$BB$56,3,)))</f>
        <v>0</v>
      </c>
      <c r="AU1950" s="10" t="str">
        <f>IF(I1950="TP",VLOOKUP(AF1950,TPCalibEqFull!$AZ$2:$BB$56,3),IF(I1950="TDP",VLOOKUP(AF1950,TPCalibEqFull!$AZ$2:$BB$56,3),IF(I1950="TDN",VLOOKUP(AF1950,TNCalibEqFull!$AZ$1:$BB$56,3),IF(I1950="TN",VLOOKUP(AF1950,TNCalibEqFull!$AZ$1:$BB$56,3),FALSE))))</f>
        <v>y=0.0239x2+66.574x-31.913</v>
      </c>
      <c r="AV1950" s="10" t="str">
        <f t="shared" si="224"/>
        <v>0123 11:13:00-890-0-FIL-1-SW-UKN</v>
      </c>
    </row>
    <row r="1951" spans="1:48" s="10" customFormat="1" x14ac:dyDescent="0.55000000000000004">
      <c r="A1951" s="32">
        <v>44949</v>
      </c>
      <c r="B1951" s="33">
        <v>0.4861111111111111</v>
      </c>
      <c r="C1951" s="10" t="s">
        <v>437</v>
      </c>
      <c r="D1951" s="10">
        <v>0</v>
      </c>
      <c r="E1951" s="10" t="s">
        <v>911</v>
      </c>
      <c r="F1951" s="10">
        <v>1</v>
      </c>
      <c r="G1951" s="10" t="s">
        <v>231</v>
      </c>
      <c r="H1951" s="10" t="s">
        <v>322</v>
      </c>
      <c r="I1951" s="10" t="s">
        <v>266</v>
      </c>
      <c r="J1951" s="10">
        <v>63</v>
      </c>
      <c r="K1951" s="12">
        <v>44958</v>
      </c>
      <c r="L1951" s="33">
        <v>0.65329861111111109</v>
      </c>
      <c r="M1951" s="10">
        <v>1</v>
      </c>
      <c r="N1951" s="10" t="s">
        <v>84</v>
      </c>
      <c r="O1951" s="10">
        <v>4.29</v>
      </c>
      <c r="P1951" s="10">
        <v>0.29799999999999999</v>
      </c>
      <c r="Q1951" s="10">
        <v>261</v>
      </c>
      <c r="R1951" s="10" t="s">
        <v>85</v>
      </c>
      <c r="S1951" s="34">
        <f t="shared" si="221"/>
        <v>279.28567913000006</v>
      </c>
      <c r="T1951" s="10" t="s">
        <v>1139</v>
      </c>
      <c r="U1951" s="34" t="str">
        <f t="shared" si="222"/>
        <v/>
      </c>
      <c r="V1951" s="31" t="str">
        <f>IF(H1951="CHK",VLOOKUP(I1951,QCCHK,3,),IF(H1951="GUP",VLOOKUP(E1951,QCGUP,2,),IF(AND(H1951="ATP",OR(I1951="TN",I1951="TDN",I1951="TNO2-3",I1951="NO2-3")),VLOOKUP(E1951,QCREC_N,2,),IF(AND(H1951="NIC",OR(I1951="TN",I1951="TDN",I1951="TNO2-3",I1951="NO2-3")),VLOOKUP(E1951,QCNIC_N,2,),IF(AND(H1951="UREA",OR(I1951="TN",I1951="TDN",I1951="TNO2-3",I1951="NO2-3")),VLOOKUP(E1951,QCUREA_N,2,),IF(H1951="PER",VLOOKUP(I1951,QCPER,MATCH(E1951,QCACTUAL!$J$25:$AA$25,0),),IF(H1951="SPK",VLOOKUP(I1951,QCSPK,3,),IF(AND(H1951="ATP",OR(I1951="TP",I1951="TDP")),VLOOKUP(E1951,QCATP_P,2,),""))))))))</f>
        <v/>
      </c>
      <c r="W1951" s="31" t="str">
        <f t="shared" si="223"/>
        <v>TRUE</v>
      </c>
      <c r="X1951" s="31" t="str">
        <f t="shared" si="220"/>
        <v/>
      </c>
      <c r="Y1951" s="10" t="s">
        <v>1126</v>
      </c>
      <c r="Z1951" s="10" t="s">
        <v>910</v>
      </c>
      <c r="AF1951" s="12">
        <v>44958</v>
      </c>
      <c r="AH1951" s="10">
        <f>-1.3807*4.29^2+80.818*4.29-42.013</f>
        <v>279.28567913000006</v>
      </c>
      <c r="AI1951" s="10">
        <f>0.6312*4.29^2+63.45*4.29-30.993</f>
        <v>252.82416792000004</v>
      </c>
      <c r="AK1951" s="10">
        <f>0.0239*4.29^2+66.574*4.29-31.913</f>
        <v>254.12931799</v>
      </c>
      <c r="AL1951" s="10" t="str">
        <f t="shared" si="218"/>
        <v>FALSE</v>
      </c>
      <c r="AM1951" s="10" t="str">
        <f t="shared" si="218"/>
        <v>y=-1.3807*4.29^2+80.818*4.29-42.013</v>
      </c>
      <c r="AN1951" s="10" t="str">
        <f t="shared" si="218"/>
        <v>y=0.6312*4.29^2+63.45*4.29-30.993</v>
      </c>
      <c r="AO1951" s="10" t="str">
        <f t="shared" si="219"/>
        <v>FALSE</v>
      </c>
      <c r="AP1951" s="10" t="str">
        <f t="shared" si="219"/>
        <v>y=0.0239*4.29^2+66.574*4.29-31.913</v>
      </c>
      <c r="AQ1951" s="10" t="b">
        <f>IF(AND(I1951="TP",S1951&lt;=150),VLOOKUP(AF1951,TPCalibEq150!$AZ$2:$BB$55,3,),IF(AND(I1951="TDP",S1951&lt;=150),VLOOKUP(AF1951,TPCalibEq150!$AZ$2:$BB$55,3,)))</f>
        <v>0</v>
      </c>
      <c r="AR1951" s="10" t="str">
        <f>IF(AND(I1951="TP",S1951&lt;=300),VLOOKUP(AF1951,TPCalibEq300!$AZ$2:$BB$55,3,),IF(AND(I1951="TDP",S1951&lt;=300),VLOOKUP(AF1951,TPCalibEq300!$AZ$2:$BB$55,3,)))</f>
        <v>y=-1.3807x2+80.818x-42.013</v>
      </c>
      <c r="AS1951" s="10" t="str">
        <f>IF(AND(I1951="TP",S1951&lt;=500),VLOOKUP(AF1951,TPCalibEq500!$AZ$2:$BB$56,3,),IF(AND(I1951="TDP",S1951&lt;=500),VLOOKUP(AF1951,TPCalibEq500!$AZ$2:$BB$56,3,)))</f>
        <v>y=0.6312x2+63.45x-30.993</v>
      </c>
      <c r="AT1951" s="10" t="b">
        <f>IF(AND(I1951="TN",S1951&lt;=2800),VLOOKUP(AF1951,TNCalibEq2500!$AZ$2:$BB$56,3,),IF(AND(I1951="TDN",S1951&lt;=2800),VLOOKUP(AF1951,TNCalibEq2500!$AZ$2:$BB$56,3,)))</f>
        <v>0</v>
      </c>
      <c r="AU1951" s="10" t="str">
        <f>IF(I1951="TP",VLOOKUP(AF1951,TPCalibEqFull!$AZ$2:$BB$56,3),IF(I1951="TDP",VLOOKUP(AF1951,TPCalibEqFull!$AZ$2:$BB$56,3),IF(I1951="TDN",VLOOKUP(AF1951,TNCalibEqFull!$AZ$1:$BB$56,3),IF(I1951="TN",VLOOKUP(AF1951,TNCalibEqFull!$AZ$1:$BB$56,3),FALSE))))</f>
        <v>y=0.0239x2+66.574x-31.913</v>
      </c>
      <c r="AV1951" s="10" t="str">
        <f t="shared" si="224"/>
        <v>0123 11:40:00-FVM-0-FIL-1-SW-UKN</v>
      </c>
    </row>
    <row r="1952" spans="1:48" s="10" customFormat="1" x14ac:dyDescent="0.55000000000000004">
      <c r="A1952" s="32">
        <v>44949</v>
      </c>
      <c r="B1952" s="33">
        <v>0.4861111111111111</v>
      </c>
      <c r="C1952" s="10" t="s">
        <v>437</v>
      </c>
      <c r="D1952" s="10">
        <v>0</v>
      </c>
      <c r="E1952" s="10" t="s">
        <v>911</v>
      </c>
      <c r="F1952" s="10">
        <v>2</v>
      </c>
      <c r="G1952" s="10" t="s">
        <v>231</v>
      </c>
      <c r="H1952" s="10" t="s">
        <v>322</v>
      </c>
      <c r="I1952" s="10" t="s">
        <v>266</v>
      </c>
      <c r="J1952" s="10">
        <v>64</v>
      </c>
      <c r="K1952" s="12">
        <v>44958</v>
      </c>
      <c r="L1952" s="33">
        <v>0.65399305555555554</v>
      </c>
      <c r="M1952" s="10">
        <v>1</v>
      </c>
      <c r="N1952" s="10" t="s">
        <v>84</v>
      </c>
      <c r="O1952" s="10">
        <v>3.96</v>
      </c>
      <c r="P1952" s="10">
        <v>0.27700000000000002</v>
      </c>
      <c r="Q1952" s="10">
        <v>239</v>
      </c>
      <c r="R1952" s="10" t="s">
        <v>85</v>
      </c>
      <c r="S1952" s="34">
        <f t="shared" si="221"/>
        <v>256.37469487999999</v>
      </c>
      <c r="T1952" s="10" t="s">
        <v>1139</v>
      </c>
      <c r="U1952" s="34" t="str">
        <f t="shared" si="222"/>
        <v/>
      </c>
      <c r="V1952" s="31" t="str">
        <f>IF(H1952="CHK",VLOOKUP(I1952,QCCHK,3,),IF(H1952="GUP",VLOOKUP(E1952,QCGUP,2,),IF(AND(H1952="ATP",OR(I1952="TN",I1952="TDN",I1952="TNO2-3",I1952="NO2-3")),VLOOKUP(E1952,QCREC_N,2,),IF(AND(H1952="NIC",OR(I1952="TN",I1952="TDN",I1952="TNO2-3",I1952="NO2-3")),VLOOKUP(E1952,QCNIC_N,2,),IF(AND(H1952="UREA",OR(I1952="TN",I1952="TDN",I1952="TNO2-3",I1952="NO2-3")),VLOOKUP(E1952,QCUREA_N,2,),IF(H1952="PER",VLOOKUP(I1952,QCPER,MATCH(E1952,QCACTUAL!$J$25:$AA$25,0),),IF(H1952="SPK",VLOOKUP(I1952,QCSPK,3,),IF(AND(H1952="ATP",OR(I1952="TP",I1952="TDP")),VLOOKUP(E1952,QCATP_P,2,),""))))))))</f>
        <v/>
      </c>
      <c r="W1952" s="31" t="str">
        <f t="shared" si="223"/>
        <v>TRUE</v>
      </c>
      <c r="X1952" s="31" t="str">
        <f t="shared" si="220"/>
        <v/>
      </c>
      <c r="Y1952" s="10" t="s">
        <v>1126</v>
      </c>
      <c r="Z1952" s="10" t="s">
        <v>910</v>
      </c>
      <c r="AF1952" s="12">
        <v>44958</v>
      </c>
      <c r="AH1952" s="10">
        <f>-1.3807*3.96^2+80.818*3.96-42.013</f>
        <v>256.37469487999999</v>
      </c>
      <c r="AI1952" s="10">
        <f>0.6312*3.96^2+63.45*3.96-30.993</f>
        <v>230.16722592000002</v>
      </c>
      <c r="AK1952" s="10">
        <f>0.0239*3.96^2+66.574*3.96-31.913</f>
        <v>232.09483023999996</v>
      </c>
      <c r="AL1952" s="10" t="str">
        <f t="shared" si="218"/>
        <v>FALSE</v>
      </c>
      <c r="AM1952" s="10" t="str">
        <f t="shared" si="218"/>
        <v>y=-1.3807*3.96^2+80.818*3.96-42.013</v>
      </c>
      <c r="AN1952" s="10" t="str">
        <f t="shared" si="218"/>
        <v>y=0.6312*3.96^2+63.45*3.96-30.993</v>
      </c>
      <c r="AO1952" s="10" t="str">
        <f t="shared" si="219"/>
        <v>FALSE</v>
      </c>
      <c r="AP1952" s="10" t="str">
        <f t="shared" si="219"/>
        <v>y=0.0239*3.96^2+66.574*3.96-31.913</v>
      </c>
      <c r="AQ1952" s="10" t="b">
        <f>IF(AND(I1952="TP",S1952&lt;=150),VLOOKUP(AF1952,TPCalibEq150!$AZ$2:$BB$55,3,),IF(AND(I1952="TDP",S1952&lt;=150),VLOOKUP(AF1952,TPCalibEq150!$AZ$2:$BB$55,3,)))</f>
        <v>0</v>
      </c>
      <c r="AR1952" s="10" t="str">
        <f>IF(AND(I1952="TP",S1952&lt;=300),VLOOKUP(AF1952,TPCalibEq300!$AZ$2:$BB$55,3,),IF(AND(I1952="TDP",S1952&lt;=300),VLOOKUP(AF1952,TPCalibEq300!$AZ$2:$BB$55,3,)))</f>
        <v>y=-1.3807x2+80.818x-42.013</v>
      </c>
      <c r="AS1952" s="10" t="str">
        <f>IF(AND(I1952="TP",S1952&lt;=500),VLOOKUP(AF1952,TPCalibEq500!$AZ$2:$BB$56,3,),IF(AND(I1952="TDP",S1952&lt;=500),VLOOKUP(AF1952,TPCalibEq500!$AZ$2:$BB$56,3,)))</f>
        <v>y=0.6312x2+63.45x-30.993</v>
      </c>
      <c r="AT1952" s="10" t="b">
        <f>IF(AND(I1952="TN",S1952&lt;=2800),VLOOKUP(AF1952,TNCalibEq2500!$AZ$2:$BB$56,3,),IF(AND(I1952="TDN",S1952&lt;=2800),VLOOKUP(AF1952,TNCalibEq2500!$AZ$2:$BB$56,3,)))</f>
        <v>0</v>
      </c>
      <c r="AU1952" s="10" t="str">
        <f>IF(I1952="TP",VLOOKUP(AF1952,TPCalibEqFull!$AZ$2:$BB$56,3),IF(I1952="TDP",VLOOKUP(AF1952,TPCalibEqFull!$AZ$2:$BB$56,3),IF(I1952="TDN",VLOOKUP(AF1952,TNCalibEqFull!$AZ$1:$BB$56,3),IF(I1952="TN",VLOOKUP(AF1952,TNCalibEqFull!$AZ$1:$BB$56,3),FALSE))))</f>
        <v>y=0.0239x2+66.574x-31.913</v>
      </c>
      <c r="AV1952" s="10" t="str">
        <f t="shared" si="224"/>
        <v>0123 11:40:00-FVM-0-FIL-2-SW-UKN</v>
      </c>
    </row>
    <row r="1953" spans="1:48" s="10" customFormat="1" x14ac:dyDescent="0.55000000000000004">
      <c r="A1953" s="32">
        <v>44949</v>
      </c>
      <c r="B1953" s="33">
        <v>0.4861111111111111</v>
      </c>
      <c r="C1953" s="10" t="s">
        <v>437</v>
      </c>
      <c r="D1953" s="10">
        <v>0</v>
      </c>
      <c r="E1953" s="10" t="s">
        <v>911</v>
      </c>
      <c r="F1953" s="10">
        <v>2</v>
      </c>
      <c r="G1953" s="10" t="s">
        <v>231</v>
      </c>
      <c r="H1953" s="10" t="s">
        <v>233</v>
      </c>
      <c r="I1953" s="10" t="s">
        <v>266</v>
      </c>
      <c r="J1953" s="10">
        <v>64</v>
      </c>
      <c r="K1953" s="12">
        <v>44958</v>
      </c>
      <c r="L1953" s="33">
        <v>0.65469907407407402</v>
      </c>
      <c r="M1953" s="10">
        <v>1</v>
      </c>
      <c r="N1953" s="10" t="s">
        <v>84</v>
      </c>
      <c r="O1953" s="10">
        <v>3.95</v>
      </c>
      <c r="P1953" s="10">
        <v>0.27700000000000002</v>
      </c>
      <c r="Q1953" s="10">
        <v>238</v>
      </c>
      <c r="R1953" s="10" t="s">
        <v>85</v>
      </c>
      <c r="S1953" s="34">
        <f t="shared" si="221"/>
        <v>255.67572825000005</v>
      </c>
      <c r="T1953" s="10" t="s">
        <v>1139</v>
      </c>
      <c r="U1953" s="34">
        <f t="shared" si="222"/>
        <v>0.2730069533884516</v>
      </c>
      <c r="V1953" s="31" t="str">
        <f>IF(H1953="CHK",VLOOKUP(I1953,QCCHK,3,),IF(H1953="GUP",VLOOKUP(E1953,QCGUP,2,),IF(AND(H1953="ATP",OR(I1953="TN",I1953="TDN",I1953="TNO2-3",I1953="NO2-3")),VLOOKUP(E1953,QCREC_N,2,),IF(AND(H1953="NIC",OR(I1953="TN",I1953="TDN",I1953="TNO2-3",I1953="NO2-3")),VLOOKUP(E1953,QCNIC_N,2,),IF(AND(H1953="UREA",OR(I1953="TN",I1953="TDN",I1953="TNO2-3",I1953="NO2-3")),VLOOKUP(E1953,QCUREA_N,2,),IF(H1953="PER",VLOOKUP(I1953,QCPER,MATCH(E1953,QCACTUAL!$J$25:$AA$25,0),),IF(H1953="SPK",VLOOKUP(I1953,QCSPK,3,),IF(AND(H1953="ATP",OR(I1953="TP",I1953="TDP")),VLOOKUP(E1953,QCATP_P,2,),""))))))))</f>
        <v/>
      </c>
      <c r="W1953" s="31" t="str">
        <f t="shared" si="223"/>
        <v>TRUE</v>
      </c>
      <c r="X1953" s="31" t="str">
        <f t="shared" si="220"/>
        <v>((ABS(rep1-rep2))/((rep1+rep2)/2)*100</v>
      </c>
      <c r="Y1953" s="10" t="s">
        <v>1126</v>
      </c>
      <c r="Z1953" s="10" t="s">
        <v>910</v>
      </c>
      <c r="AF1953" s="12">
        <v>44958</v>
      </c>
      <c r="AH1953" s="10">
        <f>-1.3807*3.95^2+80.818*3.95-42.013</f>
        <v>255.67572825000005</v>
      </c>
      <c r="AI1953" s="10">
        <f>0.6312*3.95^2+63.45*3.95-30.993</f>
        <v>229.48279800000006</v>
      </c>
      <c r="AK1953" s="10">
        <f>0.0239*3.95^2+66.574*3.95-31.913</f>
        <v>231.42719975</v>
      </c>
      <c r="AL1953" s="10" t="str">
        <f t="shared" si="218"/>
        <v>FALSE</v>
      </c>
      <c r="AM1953" s="10" t="str">
        <f t="shared" si="218"/>
        <v>y=-1.3807*3.95^2+80.818*3.95-42.013</v>
      </c>
      <c r="AN1953" s="10" t="str">
        <f t="shared" si="218"/>
        <v>y=0.6312*3.95^2+63.45*3.95-30.993</v>
      </c>
      <c r="AO1953" s="10" t="str">
        <f t="shared" si="219"/>
        <v>FALSE</v>
      </c>
      <c r="AP1953" s="10" t="str">
        <f t="shared" si="219"/>
        <v>y=0.0239*3.95^2+66.574*3.95-31.913</v>
      </c>
      <c r="AQ1953" s="10" t="b">
        <f>IF(AND(I1953="TP",S1953&lt;=150),VLOOKUP(AF1953,TPCalibEq150!$AZ$2:$BB$55,3,),IF(AND(I1953="TDP",S1953&lt;=150),VLOOKUP(AF1953,TPCalibEq150!$AZ$2:$BB$55,3,)))</f>
        <v>0</v>
      </c>
      <c r="AR1953" s="10" t="str">
        <f>IF(AND(I1953="TP",S1953&lt;=300),VLOOKUP(AF1953,TPCalibEq300!$AZ$2:$BB$55,3,),IF(AND(I1953="TDP",S1953&lt;=300),VLOOKUP(AF1953,TPCalibEq300!$AZ$2:$BB$55,3,)))</f>
        <v>y=-1.3807x2+80.818x-42.013</v>
      </c>
      <c r="AS1953" s="10" t="str">
        <f>IF(AND(I1953="TP",S1953&lt;=500),VLOOKUP(AF1953,TPCalibEq500!$AZ$2:$BB$56,3,),IF(AND(I1953="TDP",S1953&lt;=500),VLOOKUP(AF1953,TPCalibEq500!$AZ$2:$BB$56,3,)))</f>
        <v>y=0.6312x2+63.45x-30.993</v>
      </c>
      <c r="AT1953" s="10" t="b">
        <f>IF(AND(I1953="TN",S1953&lt;=2800),VLOOKUP(AF1953,TNCalibEq2500!$AZ$2:$BB$56,3,),IF(AND(I1953="TDN",S1953&lt;=2800),VLOOKUP(AF1953,TNCalibEq2500!$AZ$2:$BB$56,3,)))</f>
        <v>0</v>
      </c>
      <c r="AU1953" s="10" t="str">
        <f>IF(I1953="TP",VLOOKUP(AF1953,TPCalibEqFull!$AZ$2:$BB$56,3),IF(I1953="TDP",VLOOKUP(AF1953,TPCalibEqFull!$AZ$2:$BB$56,3),IF(I1953="TDN",VLOOKUP(AF1953,TNCalibEqFull!$AZ$1:$BB$56,3),IF(I1953="TN",VLOOKUP(AF1953,TNCalibEqFull!$AZ$1:$BB$56,3),FALSE))))</f>
        <v>y=0.0239x2+66.574x-31.913</v>
      </c>
      <c r="AV1953" s="10" t="str">
        <f t="shared" si="224"/>
        <v>0123 11:40:00-FVM-0-FIL-2-SW-DUP</v>
      </c>
    </row>
    <row r="1954" spans="1:48" s="10" customFormat="1" x14ac:dyDescent="0.55000000000000004">
      <c r="A1954" s="32">
        <v>44949</v>
      </c>
      <c r="B1954" s="33">
        <v>0.4861111111111111</v>
      </c>
      <c r="C1954" s="10" t="s">
        <v>437</v>
      </c>
      <c r="D1954" s="10">
        <v>0</v>
      </c>
      <c r="E1954" s="10" t="s">
        <v>911</v>
      </c>
      <c r="F1954" s="10">
        <v>2</v>
      </c>
      <c r="G1954" s="10" t="s">
        <v>231</v>
      </c>
      <c r="H1954" s="10" t="s">
        <v>314</v>
      </c>
      <c r="I1954" s="10" t="s">
        <v>266</v>
      </c>
      <c r="J1954" s="10">
        <v>88</v>
      </c>
      <c r="K1954" s="12">
        <v>44958</v>
      </c>
      <c r="L1954" s="33">
        <v>0.65538194444444442</v>
      </c>
      <c r="M1954" s="10">
        <v>1</v>
      </c>
      <c r="N1954" s="10" t="s">
        <v>84</v>
      </c>
      <c r="O1954" s="10">
        <v>18.899999999999999</v>
      </c>
      <c r="P1954" s="10">
        <v>1.31</v>
      </c>
      <c r="Q1954" s="10">
        <v>1240</v>
      </c>
      <c r="R1954" s="10" t="s">
        <v>85</v>
      </c>
      <c r="S1954" s="34">
        <f t="shared" si="221"/>
        <v>1240</v>
      </c>
      <c r="T1954" s="10" t="s">
        <v>1139</v>
      </c>
      <c r="U1954" s="34">
        <f t="shared" si="222"/>
        <v>98.432427175000001</v>
      </c>
      <c r="V1954" s="31">
        <f>IF(H1954="CHK",VLOOKUP(I1954,QCCHK,3,),IF(H1954="GUP",VLOOKUP(E1954,QCGUP,2,),IF(AND(H1954="ATP",OR(I1954="TN",I1954="TDN",I1954="TNO2-3",I1954="NO2-3")),VLOOKUP(E1954,QCREC_N,2,),IF(AND(H1954="NIC",OR(I1954="TN",I1954="TDN",I1954="TNO2-3",I1954="NO2-3")),VLOOKUP(E1954,QCNIC_N,2,),IF(AND(H1954="UREA",OR(I1954="TN",I1954="TDN",I1954="TNO2-3",I1954="NO2-3")),VLOOKUP(E1954,QCUREA_N,2,),IF(H1954="PER",VLOOKUP(I1954,QCPER,MATCH(E1954,QCACTUAL!$J$25:$AA$25,0),),IF(H1954="SPK",VLOOKUP(I1954,QCSPK,3,),IF(AND(H1954="ATP",OR(I1954="TP",I1954="TDP")),VLOOKUP(E1954,QCATP_P,2,),""))))))))</f>
        <v>1000</v>
      </c>
      <c r="W1954" s="31" t="str">
        <f t="shared" si="223"/>
        <v>TRUE</v>
      </c>
      <c r="X1954" s="31" t="str">
        <f t="shared" si="220"/>
        <v>([spikedunkn]-[unkn])/[spike]*100</v>
      </c>
      <c r="Y1954" s="10" t="s">
        <v>1126</v>
      </c>
      <c r="Z1954" s="10" t="s">
        <v>910</v>
      </c>
      <c r="AF1954" s="12">
        <v>44958</v>
      </c>
      <c r="AK1954" s="10">
        <f>0.0239*18.9^2+66.574*18.9-31.913</f>
        <v>1234.8729189999999</v>
      </c>
      <c r="AL1954" s="10" t="str">
        <f t="shared" si="218"/>
        <v>FALSE</v>
      </c>
      <c r="AM1954" s="10" t="str">
        <f t="shared" si="218"/>
        <v>FALSE</v>
      </c>
      <c r="AN1954" s="10" t="str">
        <f t="shared" si="218"/>
        <v>FALSE</v>
      </c>
      <c r="AO1954" s="10" t="str">
        <f t="shared" si="219"/>
        <v>FALSE</v>
      </c>
      <c r="AP1954" s="10" t="str">
        <f t="shared" si="219"/>
        <v>y=0.0239*18.9^2+66.574*18.9-31.913</v>
      </c>
      <c r="AQ1954" s="10" t="b">
        <f>IF(AND(I1954="TP",S1954&lt;=150),VLOOKUP(AF1954,TPCalibEq150!$AZ$2:$BB$55,3,),IF(AND(I1954="TDP",S1954&lt;=150),VLOOKUP(AF1954,TPCalibEq150!$AZ$2:$BB$55,3,)))</f>
        <v>0</v>
      </c>
      <c r="AR1954" s="10" t="b">
        <f>IF(AND(I1954="TP",S1954&lt;=300),VLOOKUP(AF1954,TPCalibEq300!$AZ$2:$BB$55,3,),IF(AND(I1954="TDP",S1954&lt;=300),VLOOKUP(AF1954,TPCalibEq300!$AZ$2:$BB$55,3,)))</f>
        <v>0</v>
      </c>
      <c r="AS1954" s="10" t="b">
        <f>IF(AND(I1954="TP",S1954&lt;=500),VLOOKUP(AF1954,TPCalibEq500!$AZ$2:$BB$56,3,),IF(AND(I1954="TDP",S1954&lt;=500),VLOOKUP(AF1954,TPCalibEq500!$AZ$2:$BB$56,3,)))</f>
        <v>0</v>
      </c>
      <c r="AT1954" s="10" t="b">
        <f>IF(AND(I1954="TN",S1954&lt;=2800),VLOOKUP(AF1954,TNCalibEq2500!$AZ$2:$BB$56,3,),IF(AND(I1954="TDN",S1954&lt;=2800),VLOOKUP(AF1954,TNCalibEq2500!$AZ$2:$BB$56,3,)))</f>
        <v>0</v>
      </c>
      <c r="AU1954" s="10" t="str">
        <f>IF(I1954="TP",VLOOKUP(AF1954,TPCalibEqFull!$AZ$2:$BB$56,3),IF(I1954="TDP",VLOOKUP(AF1954,TPCalibEqFull!$AZ$2:$BB$56,3),IF(I1954="TDN",VLOOKUP(AF1954,TNCalibEqFull!$AZ$1:$BB$56,3),IF(I1954="TN",VLOOKUP(AF1954,TNCalibEqFull!$AZ$1:$BB$56,3),FALSE))))</f>
        <v>y=0.0239x2+66.574x-31.913</v>
      </c>
      <c r="AV1954" s="10" t="str">
        <f t="shared" si="224"/>
        <v>0123 11:40:00-FVM-0-FIL-2-SW-SPK</v>
      </c>
    </row>
    <row r="1955" spans="1:48" s="10" customFormat="1" x14ac:dyDescent="0.55000000000000004">
      <c r="A1955" s="32">
        <v>44958</v>
      </c>
      <c r="B1955" s="33">
        <v>0.375</v>
      </c>
      <c r="C1955" s="10" t="s">
        <v>70</v>
      </c>
      <c r="D1955" s="10" t="s">
        <v>71</v>
      </c>
      <c r="E1955" s="10" t="s">
        <v>901</v>
      </c>
      <c r="F1955" s="10">
        <v>1</v>
      </c>
      <c r="G1955" s="10" t="s">
        <v>73</v>
      </c>
      <c r="H1955" s="10" t="s">
        <v>207</v>
      </c>
      <c r="I1955" s="10" t="s">
        <v>83</v>
      </c>
      <c r="J1955" s="10">
        <v>203</v>
      </c>
      <c r="K1955" s="12">
        <v>44958</v>
      </c>
      <c r="L1955" s="33">
        <v>0.6560879629629629</v>
      </c>
      <c r="M1955" s="10">
        <v>1</v>
      </c>
      <c r="N1955" s="10" t="s">
        <v>84</v>
      </c>
      <c r="O1955" s="10">
        <v>8.25</v>
      </c>
      <c r="P1955" s="10">
        <v>0.57799999999999996</v>
      </c>
      <c r="Q1955" s="10">
        <v>526</v>
      </c>
      <c r="R1955" s="10" t="s">
        <v>85</v>
      </c>
      <c r="S1955" s="34">
        <f t="shared" si="221"/>
        <v>526</v>
      </c>
      <c r="T1955" s="10" t="s">
        <v>1139</v>
      </c>
      <c r="U1955" s="34">
        <f t="shared" si="222"/>
        <v>105.2</v>
      </c>
      <c r="V1955" s="31">
        <f>IF(H1955="CHK",VLOOKUP(I1955,QCCHK,3,),IF(H1955="GUP",VLOOKUP(E1955,QCGUP,2,),IF(AND(H1955="ATP",OR(I1955="TN",I1955="TDN",I1955="TNO2-3",I1955="NO2-3")),VLOOKUP(E1955,QCREC_N,2,),IF(AND(H1955="NIC",OR(I1955="TN",I1955="TDN",I1955="TNO2-3",I1955="NO2-3")),VLOOKUP(E1955,QCNIC_N,2,),IF(AND(H1955="UREA",OR(I1955="TN",I1955="TDN",I1955="TNO2-3",I1955="NO2-3")),VLOOKUP(E1955,QCUREA_N,2,),IF(H1955="PER",VLOOKUP(I1955,QCPER,MATCH(E1955,QCACTUAL!$J$25:$AA$25,0),),IF(H1955="SPK",VLOOKUP(I1955,QCSPK,3,),IF(AND(H1955="ATP",OR(I1955="TP",I1955="TDP")),VLOOKUP(E1955,QCATP_P,2,),""))))))))</f>
        <v>500</v>
      </c>
      <c r="W1955" s="31" t="str">
        <f t="shared" si="223"/>
        <v>TRUE</v>
      </c>
      <c r="X1955" s="31" t="str">
        <f t="shared" si="220"/>
        <v>[chk]/[actual]*100</v>
      </c>
      <c r="Y1955" s="10" t="s">
        <v>1126</v>
      </c>
      <c r="AF1955" s="12">
        <v>44958</v>
      </c>
      <c r="AK1955" s="10">
        <f>0.0239*8.25^2+66.574*8.25-31.913</f>
        <v>518.94919374999995</v>
      </c>
      <c r="AL1955" s="10" t="str">
        <f t="shared" si="218"/>
        <v>FALSE</v>
      </c>
      <c r="AM1955" s="10" t="str">
        <f t="shared" si="218"/>
        <v>FALSE</v>
      </c>
      <c r="AN1955" s="10" t="str">
        <f t="shared" si="218"/>
        <v>FALSE</v>
      </c>
      <c r="AO1955" s="10" t="str">
        <f t="shared" si="219"/>
        <v>FALSE</v>
      </c>
      <c r="AP1955" s="10" t="str">
        <f t="shared" si="219"/>
        <v>y=0.0239*8.25^2+66.574*8.25-31.913</v>
      </c>
      <c r="AQ1955" s="10" t="b">
        <f>IF(AND(I1955="TP",S1955&lt;=150),VLOOKUP(AF1955,TPCalibEq150!$AZ$2:$BB$55,3,),IF(AND(I1955="TDP",S1955&lt;=150),VLOOKUP(AF1955,TPCalibEq150!$AZ$2:$BB$55,3,)))</f>
        <v>0</v>
      </c>
      <c r="AR1955" s="10" t="b">
        <f>IF(AND(I1955="TP",S1955&lt;=300),VLOOKUP(AF1955,TPCalibEq300!$AZ$2:$BB$55,3,),IF(AND(I1955="TDP",S1955&lt;=300),VLOOKUP(AF1955,TPCalibEq300!$AZ$2:$BB$55,3,)))</f>
        <v>0</v>
      </c>
      <c r="AS1955" s="10" t="b">
        <f>IF(AND(I1955="TP",S1955&lt;=500),VLOOKUP(AF1955,TPCalibEq500!$AZ$2:$BB$56,3,),IF(AND(I1955="TDP",S1955&lt;=500),VLOOKUP(AF1955,TPCalibEq500!$AZ$2:$BB$56,3,)))</f>
        <v>0</v>
      </c>
      <c r="AT1955" s="10" t="b">
        <f>IF(AND(I1955="TN",S1955&lt;=2800),VLOOKUP(AF1955,TNCalibEq2500!$AZ$2:$BB$56,3,),IF(AND(I1955="TDN",S1955&lt;=2800),VLOOKUP(AF1955,TNCalibEq2500!$AZ$2:$BB$56,3,)))</f>
        <v>0</v>
      </c>
      <c r="AU1955" s="10" t="str">
        <f>IF(I1955="TP",VLOOKUP(AF1955,TPCalibEqFull!$AZ$2:$BB$56,3),IF(I1955="TDP",VLOOKUP(AF1955,TPCalibEqFull!$AZ$2:$BB$56,3),IF(I1955="TDN",VLOOKUP(AF1955,TNCalibEqFull!$AZ$1:$BB$56,3),IF(I1955="TN",VLOOKUP(AF1955,TNCalibEqFull!$AZ$1:$BB$56,3),FALSE))))</f>
        <v>y=0.0239x2+66.574x-31.913</v>
      </c>
      <c r="AV1955" s="10" t="str">
        <f t="shared" si="224"/>
        <v>0201 09:00:00-QAC-STD-D-1-DI-CHK</v>
      </c>
    </row>
    <row r="1956" spans="1:48" s="10" customFormat="1" x14ac:dyDescent="0.55000000000000004">
      <c r="A1956" s="32">
        <v>44949</v>
      </c>
      <c r="B1956" s="33">
        <v>0.49861111111111112</v>
      </c>
      <c r="C1956" s="10" t="s">
        <v>336</v>
      </c>
      <c r="D1956" s="10">
        <v>0</v>
      </c>
      <c r="E1956" s="10" t="s">
        <v>911</v>
      </c>
      <c r="F1956" s="10">
        <v>1</v>
      </c>
      <c r="G1956" s="10" t="s">
        <v>231</v>
      </c>
      <c r="H1956" s="10" t="s">
        <v>322</v>
      </c>
      <c r="I1956" s="10" t="s">
        <v>266</v>
      </c>
      <c r="J1956" s="10">
        <v>65</v>
      </c>
      <c r="K1956" s="12">
        <v>44958</v>
      </c>
      <c r="L1956" s="33">
        <v>0.6567708333333333</v>
      </c>
      <c r="M1956" s="10">
        <v>1</v>
      </c>
      <c r="N1956" s="10" t="s">
        <v>84</v>
      </c>
      <c r="O1956" s="10">
        <v>2.98</v>
      </c>
      <c r="P1956" s="10">
        <v>0.20599999999999999</v>
      </c>
      <c r="Q1956" s="10">
        <v>174</v>
      </c>
      <c r="R1956" s="10" t="s">
        <v>85</v>
      </c>
      <c r="S1956" s="34">
        <f t="shared" si="221"/>
        <v>186.56347172</v>
      </c>
      <c r="T1956" s="10" t="s">
        <v>1139</v>
      </c>
      <c r="U1956" s="34" t="str">
        <f t="shared" si="222"/>
        <v/>
      </c>
      <c r="V1956" s="31" t="str">
        <f>IF(H1956="CHK",VLOOKUP(I1956,QCCHK,3,),IF(H1956="GUP",VLOOKUP(E1956,QCGUP,2,),IF(AND(H1956="ATP",OR(I1956="TN",I1956="TDN",I1956="TNO2-3",I1956="NO2-3")),VLOOKUP(E1956,QCREC_N,2,),IF(AND(H1956="NIC",OR(I1956="TN",I1956="TDN",I1956="TNO2-3",I1956="NO2-3")),VLOOKUP(E1956,QCNIC_N,2,),IF(AND(H1956="UREA",OR(I1956="TN",I1956="TDN",I1956="TNO2-3",I1956="NO2-3")),VLOOKUP(E1956,QCUREA_N,2,),IF(H1956="PER",VLOOKUP(I1956,QCPER,MATCH(E1956,QCACTUAL!$J$25:$AA$25,0),),IF(H1956="SPK",VLOOKUP(I1956,QCSPK,3,),IF(AND(H1956="ATP",OR(I1956="TP",I1956="TDP")),VLOOKUP(E1956,QCATP_P,2,),""))))))))</f>
        <v/>
      </c>
      <c r="W1956" s="31" t="str">
        <f t="shared" si="223"/>
        <v>TRUE</v>
      </c>
      <c r="X1956" s="31" t="str">
        <f t="shared" si="220"/>
        <v/>
      </c>
      <c r="Y1956" s="10" t="s">
        <v>1126</v>
      </c>
      <c r="Z1956" s="10" t="s">
        <v>910</v>
      </c>
      <c r="AF1956" s="12">
        <v>44958</v>
      </c>
      <c r="AH1956" s="10">
        <f>-1.3807*2.98^2+80.818*2.98-42.013</f>
        <v>186.56347172</v>
      </c>
      <c r="AI1956" s="10">
        <f>0.6312*2.98^2+63.45*2.98-30.993</f>
        <v>163.69330848000001</v>
      </c>
      <c r="AK1956" s="10">
        <f>0.0239*2.98^2+66.574*2.98-31.913</f>
        <v>166.68976155999997</v>
      </c>
      <c r="AL1956" s="10" t="str">
        <f t="shared" si="218"/>
        <v>FALSE</v>
      </c>
      <c r="AM1956" s="10" t="str">
        <f t="shared" si="218"/>
        <v>y=-1.3807*2.98^2+80.818*2.98-42.013</v>
      </c>
      <c r="AN1956" s="10" t="str">
        <f t="shared" si="218"/>
        <v>y=0.6312*2.98^2+63.45*2.98-30.993</v>
      </c>
      <c r="AO1956" s="10" t="str">
        <f t="shared" si="219"/>
        <v>FALSE</v>
      </c>
      <c r="AP1956" s="10" t="str">
        <f t="shared" si="219"/>
        <v>y=0.0239*2.98^2+66.574*2.98-31.913</v>
      </c>
      <c r="AQ1956" s="10" t="b">
        <f>IF(AND(I1956="TP",S1956&lt;=150),VLOOKUP(AF1956,TPCalibEq150!$AZ$2:$BB$55,3,),IF(AND(I1956="TDP",S1956&lt;=150),VLOOKUP(AF1956,TPCalibEq150!$AZ$2:$BB$55,3,)))</f>
        <v>0</v>
      </c>
      <c r="AR1956" s="10" t="str">
        <f>IF(AND(I1956="TP",S1956&lt;=300),VLOOKUP(AF1956,TPCalibEq300!$AZ$2:$BB$55,3,),IF(AND(I1956="TDP",S1956&lt;=300),VLOOKUP(AF1956,TPCalibEq300!$AZ$2:$BB$55,3,)))</f>
        <v>y=-1.3807x2+80.818x-42.013</v>
      </c>
      <c r="AS1956" s="10" t="str">
        <f>IF(AND(I1956="TP",S1956&lt;=500),VLOOKUP(AF1956,TPCalibEq500!$AZ$2:$BB$56,3,),IF(AND(I1956="TDP",S1956&lt;=500),VLOOKUP(AF1956,TPCalibEq500!$AZ$2:$BB$56,3,)))</f>
        <v>y=0.6312x2+63.45x-30.993</v>
      </c>
      <c r="AT1956" s="10" t="b">
        <f>IF(AND(I1956="TN",S1956&lt;=2800),VLOOKUP(AF1956,TNCalibEq2500!$AZ$2:$BB$56,3,),IF(AND(I1956="TDN",S1956&lt;=2800),VLOOKUP(AF1956,TNCalibEq2500!$AZ$2:$BB$56,3,)))</f>
        <v>0</v>
      </c>
      <c r="AU1956" s="10" t="str">
        <f>IF(I1956="TP",VLOOKUP(AF1956,TPCalibEqFull!$AZ$2:$BB$56,3),IF(I1956="TDP",VLOOKUP(AF1956,TPCalibEqFull!$AZ$2:$BB$56,3),IF(I1956="TDN",VLOOKUP(AF1956,TNCalibEqFull!$AZ$1:$BB$56,3),IF(I1956="TN",VLOOKUP(AF1956,TNCalibEqFull!$AZ$1:$BB$56,3),FALSE))))</f>
        <v>y=0.0239x2+66.574x-31.913</v>
      </c>
      <c r="AV1956" s="10" t="str">
        <f t="shared" si="224"/>
        <v>0123 11:58:00-HWR-0-FIL-1-SW-UKN</v>
      </c>
    </row>
    <row r="1957" spans="1:48" s="10" customFormat="1" x14ac:dyDescent="0.55000000000000004">
      <c r="A1957" s="32">
        <v>44949</v>
      </c>
      <c r="B1957" s="33">
        <v>0.50555555555555554</v>
      </c>
      <c r="C1957" s="10" t="s">
        <v>295</v>
      </c>
      <c r="D1957" s="10">
        <v>0</v>
      </c>
      <c r="E1957" s="10" t="s">
        <v>911</v>
      </c>
      <c r="F1957" s="10">
        <v>1</v>
      </c>
      <c r="G1957" s="10" t="s">
        <v>231</v>
      </c>
      <c r="H1957" s="10" t="s">
        <v>322</v>
      </c>
      <c r="I1957" s="10" t="s">
        <v>266</v>
      </c>
      <c r="J1957" s="10">
        <v>66</v>
      </c>
      <c r="K1957" s="12">
        <v>44958</v>
      </c>
      <c r="L1957" s="33">
        <v>0.65747685185185178</v>
      </c>
      <c r="M1957" s="10">
        <v>1</v>
      </c>
      <c r="N1957" s="10" t="s">
        <v>84</v>
      </c>
      <c r="O1957" s="10">
        <v>3.06</v>
      </c>
      <c r="P1957" s="10">
        <v>0.214</v>
      </c>
      <c r="Q1957" s="10">
        <v>179</v>
      </c>
      <c r="R1957" s="10" t="s">
        <v>85</v>
      </c>
      <c r="S1957" s="34">
        <f t="shared" si="221"/>
        <v>192.36175747999999</v>
      </c>
      <c r="T1957" s="10" t="s">
        <v>1139</v>
      </c>
      <c r="U1957" s="34" t="str">
        <f t="shared" si="222"/>
        <v/>
      </c>
      <c r="V1957" s="31" t="str">
        <f>IF(H1957="CHK",VLOOKUP(I1957,QCCHK,3,),IF(H1957="GUP",VLOOKUP(E1957,QCGUP,2,),IF(AND(H1957="ATP",OR(I1957="TN",I1957="TDN",I1957="TNO2-3",I1957="NO2-3")),VLOOKUP(E1957,QCREC_N,2,),IF(AND(H1957="NIC",OR(I1957="TN",I1957="TDN",I1957="TNO2-3",I1957="NO2-3")),VLOOKUP(E1957,QCNIC_N,2,),IF(AND(H1957="UREA",OR(I1957="TN",I1957="TDN",I1957="TNO2-3",I1957="NO2-3")),VLOOKUP(E1957,QCUREA_N,2,),IF(H1957="PER",VLOOKUP(I1957,QCPER,MATCH(E1957,QCACTUAL!$J$25:$AA$25,0),),IF(H1957="SPK",VLOOKUP(I1957,QCSPK,3,),IF(AND(H1957="ATP",OR(I1957="TP",I1957="TDP")),VLOOKUP(E1957,QCATP_P,2,),""))))))))</f>
        <v/>
      </c>
      <c r="W1957" s="31" t="str">
        <f t="shared" si="223"/>
        <v>TRUE</v>
      </c>
      <c r="X1957" s="31" t="str">
        <f t="shared" si="220"/>
        <v/>
      </c>
      <c r="Y1957" s="10" t="s">
        <v>1126</v>
      </c>
      <c r="Z1957" s="10" t="s">
        <v>910</v>
      </c>
      <c r="AF1957" s="12">
        <v>44958</v>
      </c>
      <c r="AH1957" s="10">
        <f>-1.3807*3.06^2+80.818*3.06-42.013</f>
        <v>192.36175747999999</v>
      </c>
      <c r="AI1957" s="10">
        <f>0.6312*3.06^2+63.45*3.06-30.993</f>
        <v>169.07430432000001</v>
      </c>
      <c r="AK1957" s="10">
        <f>0.0239*3.06^2+66.574*3.06-31.913</f>
        <v>172.02723004000001</v>
      </c>
      <c r="AL1957" s="10" t="str">
        <f t="shared" si="218"/>
        <v>FALSE</v>
      </c>
      <c r="AM1957" s="10" t="str">
        <f t="shared" si="218"/>
        <v>y=-1.3807*3.06^2+80.818*3.06-42.013</v>
      </c>
      <c r="AN1957" s="10" t="str">
        <f t="shared" si="218"/>
        <v>y=0.6312*3.06^2+63.45*3.06-30.993</v>
      </c>
      <c r="AO1957" s="10" t="str">
        <f t="shared" si="219"/>
        <v>FALSE</v>
      </c>
      <c r="AP1957" s="10" t="str">
        <f t="shared" si="219"/>
        <v>y=0.0239*3.06^2+66.574*3.06-31.913</v>
      </c>
      <c r="AQ1957" s="10" t="b">
        <f>IF(AND(I1957="TP",S1957&lt;=150),VLOOKUP(AF1957,TPCalibEq150!$AZ$2:$BB$55,3,),IF(AND(I1957="TDP",S1957&lt;=150),VLOOKUP(AF1957,TPCalibEq150!$AZ$2:$BB$55,3,)))</f>
        <v>0</v>
      </c>
      <c r="AR1957" s="10" t="str">
        <f>IF(AND(I1957="TP",S1957&lt;=300),VLOOKUP(AF1957,TPCalibEq300!$AZ$2:$BB$55,3,),IF(AND(I1957="TDP",S1957&lt;=300),VLOOKUP(AF1957,TPCalibEq300!$AZ$2:$BB$55,3,)))</f>
        <v>y=-1.3807x2+80.818x-42.013</v>
      </c>
      <c r="AS1957" s="10" t="str">
        <f>IF(AND(I1957="TP",S1957&lt;=500),VLOOKUP(AF1957,TPCalibEq500!$AZ$2:$BB$56,3,),IF(AND(I1957="TDP",S1957&lt;=500),VLOOKUP(AF1957,TPCalibEq500!$AZ$2:$BB$56,3,)))</f>
        <v>y=0.6312x2+63.45x-30.993</v>
      </c>
      <c r="AT1957" s="10" t="b">
        <f>IF(AND(I1957="TN",S1957&lt;=2800),VLOOKUP(AF1957,TNCalibEq2500!$AZ$2:$BB$56,3,),IF(AND(I1957="TDN",S1957&lt;=2800),VLOOKUP(AF1957,TNCalibEq2500!$AZ$2:$BB$56,3,)))</f>
        <v>0</v>
      </c>
      <c r="AU1957" s="10" t="str">
        <f>IF(I1957="TP",VLOOKUP(AF1957,TPCalibEqFull!$AZ$2:$BB$56,3),IF(I1957="TDP",VLOOKUP(AF1957,TPCalibEqFull!$AZ$2:$BB$56,3),IF(I1957="TDN",VLOOKUP(AF1957,TNCalibEqFull!$AZ$1:$BB$56,3),IF(I1957="TN",VLOOKUP(AF1957,TNCalibEqFull!$AZ$1:$BB$56,3),FALSE))))</f>
        <v>y=0.0239x2+66.574x-31.913</v>
      </c>
      <c r="AV1957" s="10" t="str">
        <f t="shared" si="224"/>
        <v>0123 12:08:00-EFM-0-FIL-1-SW-UKN</v>
      </c>
    </row>
    <row r="1958" spans="1:48" s="10" customFormat="1" x14ac:dyDescent="0.55000000000000004">
      <c r="A1958" s="32">
        <v>44949</v>
      </c>
      <c r="B1958" s="33">
        <v>0.52500000000000002</v>
      </c>
      <c r="C1958" s="10" t="s">
        <v>999</v>
      </c>
      <c r="D1958" s="10">
        <v>0</v>
      </c>
      <c r="E1958" s="10" t="s">
        <v>911</v>
      </c>
      <c r="F1958" s="10">
        <v>1</v>
      </c>
      <c r="G1958" s="10" t="s">
        <v>231</v>
      </c>
      <c r="H1958" s="10" t="s">
        <v>322</v>
      </c>
      <c r="I1958" s="10" t="s">
        <v>266</v>
      </c>
      <c r="J1958" s="10">
        <v>67</v>
      </c>
      <c r="K1958" s="12">
        <v>44958</v>
      </c>
      <c r="L1958" s="33">
        <v>0.65815972222222219</v>
      </c>
      <c r="M1958" s="10">
        <v>1</v>
      </c>
      <c r="N1958" s="10" t="s">
        <v>84</v>
      </c>
      <c r="O1958" s="10">
        <v>2.94</v>
      </c>
      <c r="P1958" s="10">
        <v>0.20399999999999999</v>
      </c>
      <c r="Q1958" s="10">
        <v>171</v>
      </c>
      <c r="R1958" s="10" t="s">
        <v>85</v>
      </c>
      <c r="S1958" s="34">
        <f t="shared" si="221"/>
        <v>183.65770147999999</v>
      </c>
      <c r="T1958" s="10" t="s">
        <v>1139</v>
      </c>
      <c r="U1958" s="34" t="str">
        <f t="shared" si="222"/>
        <v/>
      </c>
      <c r="V1958" s="31" t="str">
        <f>IF(H1958="CHK",VLOOKUP(I1958,QCCHK,3,),IF(H1958="GUP",VLOOKUP(E1958,QCGUP,2,),IF(AND(H1958="ATP",OR(I1958="TN",I1958="TDN",I1958="TNO2-3",I1958="NO2-3")),VLOOKUP(E1958,QCREC_N,2,),IF(AND(H1958="NIC",OR(I1958="TN",I1958="TDN",I1958="TNO2-3",I1958="NO2-3")),VLOOKUP(E1958,QCNIC_N,2,),IF(AND(H1958="UREA",OR(I1958="TN",I1958="TDN",I1958="TNO2-3",I1958="NO2-3")),VLOOKUP(E1958,QCUREA_N,2,),IF(H1958="PER",VLOOKUP(I1958,QCPER,MATCH(E1958,QCACTUAL!$J$25:$AA$25,0),),IF(H1958="SPK",VLOOKUP(I1958,QCSPK,3,),IF(AND(H1958="ATP",OR(I1958="TP",I1958="TDP")),VLOOKUP(E1958,QCATP_P,2,),""))))))))</f>
        <v/>
      </c>
      <c r="W1958" s="31" t="str">
        <f t="shared" si="223"/>
        <v>TRUE</v>
      </c>
      <c r="X1958" s="31" t="str">
        <f t="shared" si="220"/>
        <v/>
      </c>
      <c r="Y1958" s="10" t="s">
        <v>1126</v>
      </c>
      <c r="Z1958" s="10" t="s">
        <v>910</v>
      </c>
      <c r="AF1958" s="12">
        <v>44958</v>
      </c>
      <c r="AH1958" s="10">
        <f>-1.3807*2.94^2+80.818*2.94-42.013</f>
        <v>183.65770147999999</v>
      </c>
      <c r="AI1958" s="10">
        <f>0.6312*2.94^2+63.45*2.94-30.993</f>
        <v>161.00584032</v>
      </c>
      <c r="AK1958" s="10">
        <f>0.0239*2.94^2+66.574*2.94-31.913</f>
        <v>164.02114203999997</v>
      </c>
      <c r="AL1958" s="10" t="str">
        <f t="shared" si="218"/>
        <v>FALSE</v>
      </c>
      <c r="AM1958" s="10" t="str">
        <f t="shared" si="218"/>
        <v>y=-1.3807*2.94^2+80.818*2.94-42.013</v>
      </c>
      <c r="AN1958" s="10" t="str">
        <f t="shared" si="218"/>
        <v>y=0.6312*2.94^2+63.45*2.94-30.993</v>
      </c>
      <c r="AO1958" s="10" t="str">
        <f t="shared" si="219"/>
        <v>FALSE</v>
      </c>
      <c r="AP1958" s="10" t="str">
        <f t="shared" si="219"/>
        <v>y=0.0239*2.94^2+66.574*2.94-31.913</v>
      </c>
      <c r="AQ1958" s="10" t="b">
        <f>IF(AND(I1958="TP",S1958&lt;=150),VLOOKUP(AF1958,TPCalibEq150!$AZ$2:$BB$55,3,),IF(AND(I1958="TDP",S1958&lt;=150),VLOOKUP(AF1958,TPCalibEq150!$AZ$2:$BB$55,3,)))</f>
        <v>0</v>
      </c>
      <c r="AR1958" s="10" t="str">
        <f>IF(AND(I1958="TP",S1958&lt;=300),VLOOKUP(AF1958,TPCalibEq300!$AZ$2:$BB$55,3,),IF(AND(I1958="TDP",S1958&lt;=300),VLOOKUP(AF1958,TPCalibEq300!$AZ$2:$BB$55,3,)))</f>
        <v>y=-1.3807x2+80.818x-42.013</v>
      </c>
      <c r="AS1958" s="10" t="str">
        <f>IF(AND(I1958="TP",S1958&lt;=500),VLOOKUP(AF1958,TPCalibEq500!$AZ$2:$BB$56,3,),IF(AND(I1958="TDP",S1958&lt;=500),VLOOKUP(AF1958,TPCalibEq500!$AZ$2:$BB$56,3,)))</f>
        <v>y=0.6312x2+63.45x-30.993</v>
      </c>
      <c r="AT1958" s="10" t="b">
        <f>IF(AND(I1958="TN",S1958&lt;=2800),VLOOKUP(AF1958,TNCalibEq2500!$AZ$2:$BB$56,3,),IF(AND(I1958="TDN",S1958&lt;=2800),VLOOKUP(AF1958,TNCalibEq2500!$AZ$2:$BB$56,3,)))</f>
        <v>0</v>
      </c>
      <c r="AU1958" s="10" t="str">
        <f>IF(I1958="TP",VLOOKUP(AF1958,TPCalibEqFull!$AZ$2:$BB$56,3),IF(I1958="TDP",VLOOKUP(AF1958,TPCalibEqFull!$AZ$2:$BB$56,3),IF(I1958="TDN",VLOOKUP(AF1958,TNCalibEqFull!$AZ$1:$BB$56,3),IF(I1958="TN",VLOOKUP(AF1958,TNCalibEqFull!$AZ$1:$BB$56,3),FALSE))))</f>
        <v>y=0.0239x2+66.574x-31.913</v>
      </c>
      <c r="AV1958" s="10" t="str">
        <f t="shared" si="224"/>
        <v>0123 12:36:00-EAW-0-FIL-1-SW-UKN</v>
      </c>
    </row>
    <row r="1959" spans="1:48" s="10" customFormat="1" x14ac:dyDescent="0.55000000000000004">
      <c r="A1959" s="32">
        <v>44949</v>
      </c>
      <c r="B1959" s="33">
        <v>0.52916666666666667</v>
      </c>
      <c r="C1959" s="10" t="s">
        <v>310</v>
      </c>
      <c r="D1959" s="10">
        <v>0</v>
      </c>
      <c r="E1959" s="10" t="s">
        <v>911</v>
      </c>
      <c r="F1959" s="10">
        <v>1</v>
      </c>
      <c r="G1959" s="10" t="s">
        <v>231</v>
      </c>
      <c r="H1959" s="10" t="s">
        <v>322</v>
      </c>
      <c r="I1959" s="10" t="s">
        <v>266</v>
      </c>
      <c r="J1959" s="10">
        <v>68</v>
      </c>
      <c r="K1959" s="12">
        <v>44958</v>
      </c>
      <c r="L1959" s="33">
        <v>0.65885416666666663</v>
      </c>
      <c r="M1959" s="10">
        <v>1</v>
      </c>
      <c r="N1959" s="10" t="s">
        <v>84</v>
      </c>
      <c r="O1959" s="10">
        <v>2.96</v>
      </c>
      <c r="P1959" s="10">
        <v>0.20499999999999999</v>
      </c>
      <c r="Q1959" s="10">
        <v>172</v>
      </c>
      <c r="R1959" s="10" t="s">
        <v>85</v>
      </c>
      <c r="S1959" s="34">
        <f t="shared" si="221"/>
        <v>185.11113887999997</v>
      </c>
      <c r="T1959" s="10" t="s">
        <v>1139</v>
      </c>
      <c r="U1959" s="34" t="str">
        <f t="shared" si="222"/>
        <v/>
      </c>
      <c r="V1959" s="31" t="str">
        <f>IF(H1959="CHK",VLOOKUP(I1959,QCCHK,3,),IF(H1959="GUP",VLOOKUP(E1959,QCGUP,2,),IF(AND(H1959="ATP",OR(I1959="TN",I1959="TDN",I1959="TNO2-3",I1959="NO2-3")),VLOOKUP(E1959,QCREC_N,2,),IF(AND(H1959="NIC",OR(I1959="TN",I1959="TDN",I1959="TNO2-3",I1959="NO2-3")),VLOOKUP(E1959,QCNIC_N,2,),IF(AND(H1959="UREA",OR(I1959="TN",I1959="TDN",I1959="TNO2-3",I1959="NO2-3")),VLOOKUP(E1959,QCUREA_N,2,),IF(H1959="PER",VLOOKUP(I1959,QCPER,MATCH(E1959,QCACTUAL!$J$25:$AA$25,0),),IF(H1959="SPK",VLOOKUP(I1959,QCSPK,3,),IF(AND(H1959="ATP",OR(I1959="TP",I1959="TDP")),VLOOKUP(E1959,QCATP_P,2,),""))))))))</f>
        <v/>
      </c>
      <c r="W1959" s="31" t="str">
        <f t="shared" si="223"/>
        <v>TRUE</v>
      </c>
      <c r="X1959" s="31" t="str">
        <f t="shared" si="220"/>
        <v/>
      </c>
      <c r="Y1959" s="10" t="s">
        <v>1126</v>
      </c>
      <c r="Z1959" s="10" t="s">
        <v>910</v>
      </c>
      <c r="AF1959" s="12">
        <v>44958</v>
      </c>
      <c r="AH1959" s="10">
        <f>-1.3807*2.96^2+80.818*2.96-42.013</f>
        <v>185.11113887999997</v>
      </c>
      <c r="AI1959" s="10">
        <f>0.6312*2.96^2+63.45*2.96-30.993</f>
        <v>162.34932192000002</v>
      </c>
      <c r="AK1959" s="10">
        <f>0.0239*2.96^2+66.574*2.96-31.913</f>
        <v>165.35544223999997</v>
      </c>
      <c r="AL1959" s="10" t="str">
        <f t="shared" si="218"/>
        <v>FALSE</v>
      </c>
      <c r="AM1959" s="10" t="str">
        <f t="shared" si="218"/>
        <v>y=-1.3807*2.96^2+80.818*2.96-42.013</v>
      </c>
      <c r="AN1959" s="10" t="str">
        <f t="shared" si="218"/>
        <v>y=0.6312*2.96^2+63.45*2.96-30.993</v>
      </c>
      <c r="AO1959" s="10" t="str">
        <f t="shared" si="219"/>
        <v>FALSE</v>
      </c>
      <c r="AP1959" s="10" t="str">
        <f t="shared" si="219"/>
        <v>y=0.0239*2.96^2+66.574*2.96-31.913</v>
      </c>
      <c r="AQ1959" s="10" t="b">
        <f>IF(AND(I1959="TP",S1959&lt;=150),VLOOKUP(AF1959,TPCalibEq150!$AZ$2:$BB$55,3,),IF(AND(I1959="TDP",S1959&lt;=150),VLOOKUP(AF1959,TPCalibEq150!$AZ$2:$BB$55,3,)))</f>
        <v>0</v>
      </c>
      <c r="AR1959" s="10" t="str">
        <f>IF(AND(I1959="TP",S1959&lt;=300),VLOOKUP(AF1959,TPCalibEq300!$AZ$2:$BB$55,3,),IF(AND(I1959="TDP",S1959&lt;=300),VLOOKUP(AF1959,TPCalibEq300!$AZ$2:$BB$55,3,)))</f>
        <v>y=-1.3807x2+80.818x-42.013</v>
      </c>
      <c r="AS1959" s="10" t="str">
        <f>IF(AND(I1959="TP",S1959&lt;=500),VLOOKUP(AF1959,TPCalibEq500!$AZ$2:$BB$56,3,),IF(AND(I1959="TDP",S1959&lt;=500),VLOOKUP(AF1959,TPCalibEq500!$AZ$2:$BB$56,3,)))</f>
        <v>y=0.6312x2+63.45x-30.993</v>
      </c>
      <c r="AT1959" s="10" t="b">
        <f>IF(AND(I1959="TN",S1959&lt;=2800),VLOOKUP(AF1959,TNCalibEq2500!$AZ$2:$BB$56,3,),IF(AND(I1959="TDN",S1959&lt;=2800),VLOOKUP(AF1959,TNCalibEq2500!$AZ$2:$BB$56,3,)))</f>
        <v>0</v>
      </c>
      <c r="AU1959" s="10" t="str">
        <f>IF(I1959="TP",VLOOKUP(AF1959,TPCalibEqFull!$AZ$2:$BB$56,3),IF(I1959="TDP",VLOOKUP(AF1959,TPCalibEqFull!$AZ$2:$BB$56,3),IF(I1959="TDN",VLOOKUP(AF1959,TNCalibEqFull!$AZ$1:$BB$56,3),IF(I1959="TN",VLOOKUP(AF1959,TNCalibEqFull!$AZ$1:$BB$56,3),FALSE))))</f>
        <v>y=0.0239x2+66.574x-31.913</v>
      </c>
      <c r="AV1959" s="10" t="str">
        <f t="shared" si="224"/>
        <v>0123 12:42:00-ELI-0-FIL-1-SW-UKN</v>
      </c>
    </row>
    <row r="1960" spans="1:48" s="10" customFormat="1" x14ac:dyDescent="0.55000000000000004">
      <c r="A1960" s="32">
        <v>44949</v>
      </c>
      <c r="B1960" s="33">
        <v>0.52916666666666667</v>
      </c>
      <c r="C1960" s="10" t="s">
        <v>310</v>
      </c>
      <c r="D1960" s="10">
        <v>0</v>
      </c>
      <c r="E1960" s="10" t="s">
        <v>911</v>
      </c>
      <c r="F1960" s="10">
        <v>1</v>
      </c>
      <c r="G1960" s="10" t="s">
        <v>231</v>
      </c>
      <c r="H1960" s="10" t="s">
        <v>233</v>
      </c>
      <c r="I1960" s="10" t="s">
        <v>266</v>
      </c>
      <c r="J1960" s="10">
        <v>68</v>
      </c>
      <c r="K1960" s="12">
        <v>44958</v>
      </c>
      <c r="L1960" s="33">
        <v>0.65954861111111118</v>
      </c>
      <c r="M1960" s="10">
        <v>1</v>
      </c>
      <c r="N1960" s="10" t="s">
        <v>84</v>
      </c>
      <c r="O1960" s="10">
        <v>2.96</v>
      </c>
      <c r="P1960" s="10">
        <v>0.20599999999999999</v>
      </c>
      <c r="Q1960" s="10">
        <v>172</v>
      </c>
      <c r="R1960" s="10" t="s">
        <v>85</v>
      </c>
      <c r="S1960" s="34">
        <f t="shared" si="221"/>
        <v>185.11113887999997</v>
      </c>
      <c r="T1960" s="10" t="s">
        <v>1139</v>
      </c>
      <c r="U1960" s="34">
        <f t="shared" si="222"/>
        <v>0</v>
      </c>
      <c r="V1960" s="31" t="str">
        <f>IF(H1960="CHK",VLOOKUP(I1960,QCCHK,3,),IF(H1960="GUP",VLOOKUP(E1960,QCGUP,2,),IF(AND(H1960="ATP",OR(I1960="TN",I1960="TDN",I1960="TNO2-3",I1960="NO2-3")),VLOOKUP(E1960,QCREC_N,2,),IF(AND(H1960="NIC",OR(I1960="TN",I1960="TDN",I1960="TNO2-3",I1960="NO2-3")),VLOOKUP(E1960,QCNIC_N,2,),IF(AND(H1960="UREA",OR(I1960="TN",I1960="TDN",I1960="TNO2-3",I1960="NO2-3")),VLOOKUP(E1960,QCUREA_N,2,),IF(H1960="PER",VLOOKUP(I1960,QCPER,MATCH(E1960,QCACTUAL!$J$25:$AA$25,0),),IF(H1960="SPK",VLOOKUP(I1960,QCSPK,3,),IF(AND(H1960="ATP",OR(I1960="TP",I1960="TDP")),VLOOKUP(E1960,QCATP_P,2,),""))))))))</f>
        <v/>
      </c>
      <c r="W1960" s="31" t="str">
        <f t="shared" si="223"/>
        <v>TRUE</v>
      </c>
      <c r="X1960" s="31" t="str">
        <f t="shared" si="220"/>
        <v>((ABS(rep1-rep2))/((rep1+rep2)/2)*100</v>
      </c>
      <c r="Y1960" s="10" t="s">
        <v>1126</v>
      </c>
      <c r="Z1960" s="10" t="s">
        <v>910</v>
      </c>
      <c r="AF1960" s="12">
        <v>44958</v>
      </c>
      <c r="AH1960" s="10">
        <f>-1.3807*2.96^2+80.818*2.96-42.013</f>
        <v>185.11113887999997</v>
      </c>
      <c r="AI1960" s="10">
        <f>0.6312*2.96^2+63.45*2.96-30.993</f>
        <v>162.34932192000002</v>
      </c>
      <c r="AK1960" s="10">
        <f>0.0239*2.96^2+66.574*2.96-31.913</f>
        <v>165.35544223999997</v>
      </c>
      <c r="AL1960" s="10" t="str">
        <f t="shared" si="218"/>
        <v>FALSE</v>
      </c>
      <c r="AM1960" s="10" t="str">
        <f t="shared" si="218"/>
        <v>y=-1.3807*2.96^2+80.818*2.96-42.013</v>
      </c>
      <c r="AN1960" s="10" t="str">
        <f t="shared" si="218"/>
        <v>y=0.6312*2.96^2+63.45*2.96-30.993</v>
      </c>
      <c r="AO1960" s="10" t="str">
        <f t="shared" si="219"/>
        <v>FALSE</v>
      </c>
      <c r="AP1960" s="10" t="str">
        <f t="shared" si="219"/>
        <v>y=0.0239*2.96^2+66.574*2.96-31.913</v>
      </c>
      <c r="AQ1960" s="10" t="b">
        <f>IF(AND(I1960="TP",S1960&lt;=150),VLOOKUP(AF1960,TPCalibEq150!$AZ$2:$BB$55,3,),IF(AND(I1960="TDP",S1960&lt;=150),VLOOKUP(AF1960,TPCalibEq150!$AZ$2:$BB$55,3,)))</f>
        <v>0</v>
      </c>
      <c r="AR1960" s="10" t="str">
        <f>IF(AND(I1960="TP",S1960&lt;=300),VLOOKUP(AF1960,TPCalibEq300!$AZ$2:$BB$55,3,),IF(AND(I1960="TDP",S1960&lt;=300),VLOOKUP(AF1960,TPCalibEq300!$AZ$2:$BB$55,3,)))</f>
        <v>y=-1.3807x2+80.818x-42.013</v>
      </c>
      <c r="AS1960" s="10" t="str">
        <f>IF(AND(I1960="TP",S1960&lt;=500),VLOOKUP(AF1960,TPCalibEq500!$AZ$2:$BB$56,3,),IF(AND(I1960="TDP",S1960&lt;=500),VLOOKUP(AF1960,TPCalibEq500!$AZ$2:$BB$56,3,)))</f>
        <v>y=0.6312x2+63.45x-30.993</v>
      </c>
      <c r="AT1960" s="10" t="b">
        <f>IF(AND(I1960="TN",S1960&lt;=2800),VLOOKUP(AF1960,TNCalibEq2500!$AZ$2:$BB$56,3,),IF(AND(I1960="TDN",S1960&lt;=2800),VLOOKUP(AF1960,TNCalibEq2500!$AZ$2:$BB$56,3,)))</f>
        <v>0</v>
      </c>
      <c r="AU1960" s="10" t="str">
        <f>IF(I1960="TP",VLOOKUP(AF1960,TPCalibEqFull!$AZ$2:$BB$56,3),IF(I1960="TDP",VLOOKUP(AF1960,TPCalibEqFull!$AZ$2:$BB$56,3),IF(I1960="TDN",VLOOKUP(AF1960,TNCalibEqFull!$AZ$1:$BB$56,3),IF(I1960="TN",VLOOKUP(AF1960,TNCalibEqFull!$AZ$1:$BB$56,3),FALSE))))</f>
        <v>y=0.0239x2+66.574x-31.913</v>
      </c>
      <c r="AV1960" s="10" t="str">
        <f t="shared" si="224"/>
        <v>0123 12:42:00-ELI-0-FIL-1-SW-DUP</v>
      </c>
    </row>
    <row r="1961" spans="1:48" s="10" customFormat="1" x14ac:dyDescent="0.55000000000000004">
      <c r="A1961" s="32">
        <v>44949</v>
      </c>
      <c r="B1961" s="33">
        <v>0.52916666666666667</v>
      </c>
      <c r="C1961" s="10" t="s">
        <v>310</v>
      </c>
      <c r="D1961" s="10">
        <v>0</v>
      </c>
      <c r="E1961" s="10" t="s">
        <v>911</v>
      </c>
      <c r="F1961" s="10">
        <v>1</v>
      </c>
      <c r="G1961" s="10" t="s">
        <v>231</v>
      </c>
      <c r="H1961" s="10" t="s">
        <v>314</v>
      </c>
      <c r="I1961" s="10" t="s">
        <v>266</v>
      </c>
      <c r="J1961" s="10">
        <v>89</v>
      </c>
      <c r="K1961" s="12">
        <v>44958</v>
      </c>
      <c r="L1961" s="33">
        <v>0.66023148148148147</v>
      </c>
      <c r="M1961" s="10">
        <v>1</v>
      </c>
      <c r="N1961" s="10" t="s">
        <v>84</v>
      </c>
      <c r="O1961" s="10">
        <v>17.2</v>
      </c>
      <c r="P1961" s="10">
        <v>1.19</v>
      </c>
      <c r="Q1961" s="10">
        <v>1130</v>
      </c>
      <c r="R1961" s="10" t="s">
        <v>85</v>
      </c>
      <c r="S1961" s="34">
        <f t="shared" si="221"/>
        <v>1130</v>
      </c>
      <c r="T1961" s="10" t="s">
        <v>1139</v>
      </c>
      <c r="U1961" s="34">
        <f t="shared" si="222"/>
        <v>94.488886112000003</v>
      </c>
      <c r="V1961" s="31">
        <f>IF(H1961="CHK",VLOOKUP(I1961,QCCHK,3,),IF(H1961="GUP",VLOOKUP(E1961,QCGUP,2,),IF(AND(H1961="ATP",OR(I1961="TN",I1961="TDN",I1961="TNO2-3",I1961="NO2-3")),VLOOKUP(E1961,QCREC_N,2,),IF(AND(H1961="NIC",OR(I1961="TN",I1961="TDN",I1961="TNO2-3",I1961="NO2-3")),VLOOKUP(E1961,QCNIC_N,2,),IF(AND(H1961="UREA",OR(I1961="TN",I1961="TDN",I1961="TNO2-3",I1961="NO2-3")),VLOOKUP(E1961,QCUREA_N,2,),IF(H1961="PER",VLOOKUP(I1961,QCPER,MATCH(E1961,QCACTUAL!$J$25:$AA$25,0),),IF(H1961="SPK",VLOOKUP(I1961,QCSPK,3,),IF(AND(H1961="ATP",OR(I1961="TP",I1961="TDP")),VLOOKUP(E1961,QCATP_P,2,),""))))))))</f>
        <v>1000</v>
      </c>
      <c r="W1961" s="31" t="str">
        <f t="shared" si="223"/>
        <v>TRUE</v>
      </c>
      <c r="X1961" s="31" t="str">
        <f t="shared" si="220"/>
        <v>([spikedunkn]-[unkn])/[spike]*100</v>
      </c>
      <c r="Y1961" s="10" t="s">
        <v>1126</v>
      </c>
      <c r="Z1961" s="10" t="s">
        <v>910</v>
      </c>
      <c r="AF1961" s="12">
        <v>44958</v>
      </c>
      <c r="AK1961" s="10">
        <f>0.0239*17.2^2+66.574*17.2-31.913</f>
        <v>1120.230376</v>
      </c>
      <c r="AL1961" s="10" t="str">
        <f t="shared" si="218"/>
        <v>FALSE</v>
      </c>
      <c r="AM1961" s="10" t="str">
        <f t="shared" si="218"/>
        <v>FALSE</v>
      </c>
      <c r="AN1961" s="10" t="str">
        <f t="shared" si="218"/>
        <v>FALSE</v>
      </c>
      <c r="AO1961" s="10" t="str">
        <f t="shared" si="219"/>
        <v>FALSE</v>
      </c>
      <c r="AP1961" s="10" t="str">
        <f t="shared" si="219"/>
        <v>y=0.0239*17.2^2+66.574*17.2-31.913</v>
      </c>
      <c r="AQ1961" s="10" t="b">
        <f>IF(AND(I1961="TP",S1961&lt;=150),VLOOKUP(AF1961,TPCalibEq150!$AZ$2:$BB$55,3,),IF(AND(I1961="TDP",S1961&lt;=150),VLOOKUP(AF1961,TPCalibEq150!$AZ$2:$BB$55,3,)))</f>
        <v>0</v>
      </c>
      <c r="AR1961" s="10" t="b">
        <f>IF(AND(I1961="TP",S1961&lt;=300),VLOOKUP(AF1961,TPCalibEq300!$AZ$2:$BB$55,3,),IF(AND(I1961="TDP",S1961&lt;=300),VLOOKUP(AF1961,TPCalibEq300!$AZ$2:$BB$55,3,)))</f>
        <v>0</v>
      </c>
      <c r="AS1961" s="10" t="b">
        <f>IF(AND(I1961="TP",S1961&lt;=500),VLOOKUP(AF1961,TPCalibEq500!$AZ$2:$BB$56,3,),IF(AND(I1961="TDP",S1961&lt;=500),VLOOKUP(AF1961,TPCalibEq500!$AZ$2:$BB$56,3,)))</f>
        <v>0</v>
      </c>
      <c r="AT1961" s="10" t="b">
        <f>IF(AND(I1961="TN",S1961&lt;=2800),VLOOKUP(AF1961,TNCalibEq2500!$AZ$2:$BB$56,3,),IF(AND(I1961="TDN",S1961&lt;=2800),VLOOKUP(AF1961,TNCalibEq2500!$AZ$2:$BB$56,3,)))</f>
        <v>0</v>
      </c>
      <c r="AU1961" s="10" t="str">
        <f>IF(I1961="TP",VLOOKUP(AF1961,TPCalibEqFull!$AZ$2:$BB$56,3),IF(I1961="TDP",VLOOKUP(AF1961,TPCalibEqFull!$AZ$2:$BB$56,3),IF(I1961="TDN",VLOOKUP(AF1961,TNCalibEqFull!$AZ$1:$BB$56,3),IF(I1961="TN",VLOOKUP(AF1961,TNCalibEqFull!$AZ$1:$BB$56,3),FALSE))))</f>
        <v>y=0.0239x2+66.574x-31.913</v>
      </c>
      <c r="AV1961" s="10" t="str">
        <f t="shared" si="224"/>
        <v>0123 12:42:00-ELI-0-FIL-1-SW-SPK</v>
      </c>
    </row>
    <row r="1962" spans="1:48" s="10" customFormat="1" x14ac:dyDescent="0.55000000000000004">
      <c r="A1962" s="32">
        <v>44958</v>
      </c>
      <c r="B1962" s="33">
        <v>0.375</v>
      </c>
      <c r="C1962" s="10" t="s">
        <v>70</v>
      </c>
      <c r="D1962" s="10" t="s">
        <v>71</v>
      </c>
      <c r="E1962" s="10" t="s">
        <v>901</v>
      </c>
      <c r="F1962" s="10">
        <v>1</v>
      </c>
      <c r="G1962" s="10" t="s">
        <v>73</v>
      </c>
      <c r="H1962" s="10" t="s">
        <v>207</v>
      </c>
      <c r="I1962" s="10" t="s">
        <v>83</v>
      </c>
      <c r="J1962" s="10">
        <v>203</v>
      </c>
      <c r="K1962" s="12">
        <v>44958</v>
      </c>
      <c r="L1962" s="33">
        <v>0.66092592592592592</v>
      </c>
      <c r="M1962" s="10">
        <v>1</v>
      </c>
      <c r="N1962" s="10" t="s">
        <v>84</v>
      </c>
      <c r="O1962" s="10">
        <v>8.25</v>
      </c>
      <c r="P1962" s="10">
        <v>0.57799999999999996</v>
      </c>
      <c r="Q1962" s="10">
        <v>526</v>
      </c>
      <c r="R1962" s="10" t="s">
        <v>85</v>
      </c>
      <c r="S1962" s="34">
        <f t="shared" si="221"/>
        <v>526</v>
      </c>
      <c r="T1962" s="10" t="s">
        <v>1139</v>
      </c>
      <c r="U1962" s="34">
        <f t="shared" si="222"/>
        <v>105.2</v>
      </c>
      <c r="V1962" s="31">
        <f>IF(H1962="CHK",VLOOKUP(I1962,QCCHK,3,),IF(H1962="GUP",VLOOKUP(E1962,QCGUP,2,),IF(AND(H1962="ATP",OR(I1962="TN",I1962="TDN",I1962="TNO2-3",I1962="NO2-3")),VLOOKUP(E1962,QCREC_N,2,),IF(AND(H1962="NIC",OR(I1962="TN",I1962="TDN",I1962="TNO2-3",I1962="NO2-3")),VLOOKUP(E1962,QCNIC_N,2,),IF(AND(H1962="UREA",OR(I1962="TN",I1962="TDN",I1962="TNO2-3",I1962="NO2-3")),VLOOKUP(E1962,QCUREA_N,2,),IF(H1962="PER",VLOOKUP(I1962,QCPER,MATCH(E1962,QCACTUAL!$J$25:$AA$25,0),),IF(H1962="SPK",VLOOKUP(I1962,QCSPK,3,),IF(AND(H1962="ATP",OR(I1962="TP",I1962="TDP")),VLOOKUP(E1962,QCATP_P,2,),""))))))))</f>
        <v>500</v>
      </c>
      <c r="W1962" s="31" t="str">
        <f t="shared" si="223"/>
        <v>TRUE</v>
      </c>
      <c r="X1962" s="31" t="str">
        <f t="shared" si="220"/>
        <v>[chk]/[actual]*100</v>
      </c>
      <c r="Y1962" s="10" t="s">
        <v>1126</v>
      </c>
      <c r="AF1962" s="12">
        <v>44958</v>
      </c>
      <c r="AK1962" s="10">
        <f>0.0239*8.25^2+66.574*8.25-31.913</f>
        <v>518.94919374999995</v>
      </c>
      <c r="AL1962" s="10" t="str">
        <f t="shared" si="218"/>
        <v>FALSE</v>
      </c>
      <c r="AM1962" s="10" t="str">
        <f t="shared" si="218"/>
        <v>FALSE</v>
      </c>
      <c r="AN1962" s="10" t="str">
        <f t="shared" si="218"/>
        <v>FALSE</v>
      </c>
      <c r="AO1962" s="10" t="str">
        <f t="shared" si="219"/>
        <v>FALSE</v>
      </c>
      <c r="AP1962" s="10" t="str">
        <f t="shared" si="219"/>
        <v>y=0.0239*8.25^2+66.574*8.25-31.913</v>
      </c>
      <c r="AQ1962" s="10" t="b">
        <f>IF(AND(I1962="TP",S1962&lt;=150),VLOOKUP(AF1962,TPCalibEq150!$AZ$2:$BB$55,3,),IF(AND(I1962="TDP",S1962&lt;=150),VLOOKUP(AF1962,TPCalibEq150!$AZ$2:$BB$55,3,)))</f>
        <v>0</v>
      </c>
      <c r="AR1962" s="10" t="b">
        <f>IF(AND(I1962="TP",S1962&lt;=300),VLOOKUP(AF1962,TPCalibEq300!$AZ$2:$BB$55,3,),IF(AND(I1962="TDP",S1962&lt;=300),VLOOKUP(AF1962,TPCalibEq300!$AZ$2:$BB$55,3,)))</f>
        <v>0</v>
      </c>
      <c r="AS1962" s="10" t="b">
        <f>IF(AND(I1962="TP",S1962&lt;=500),VLOOKUP(AF1962,TPCalibEq500!$AZ$2:$BB$56,3,),IF(AND(I1962="TDP",S1962&lt;=500),VLOOKUP(AF1962,TPCalibEq500!$AZ$2:$BB$56,3,)))</f>
        <v>0</v>
      </c>
      <c r="AT1962" s="10" t="b">
        <f>IF(AND(I1962="TN",S1962&lt;=2800),VLOOKUP(AF1962,TNCalibEq2500!$AZ$2:$BB$56,3,),IF(AND(I1962="TDN",S1962&lt;=2800),VLOOKUP(AF1962,TNCalibEq2500!$AZ$2:$BB$56,3,)))</f>
        <v>0</v>
      </c>
      <c r="AU1962" s="10" t="str">
        <f>IF(I1962="TP",VLOOKUP(AF1962,TPCalibEqFull!$AZ$2:$BB$56,3),IF(I1962="TDP",VLOOKUP(AF1962,TPCalibEqFull!$AZ$2:$BB$56,3),IF(I1962="TDN",VLOOKUP(AF1962,TNCalibEqFull!$AZ$1:$BB$56,3),IF(I1962="TN",VLOOKUP(AF1962,TNCalibEqFull!$AZ$1:$BB$56,3),FALSE))))</f>
        <v>y=0.0239x2+66.574x-31.913</v>
      </c>
      <c r="AV1962" s="10" t="str">
        <f t="shared" si="224"/>
        <v>0201 09:00:00-QAC-STD-D-1-DI-CHK</v>
      </c>
    </row>
    <row r="1963" spans="1:48" s="10" customFormat="1" x14ac:dyDescent="0.55000000000000004">
      <c r="A1963" s="32">
        <v>44956</v>
      </c>
      <c r="B1963" s="33">
        <v>0.35972222222222222</v>
      </c>
      <c r="C1963" s="10" t="s">
        <v>998</v>
      </c>
      <c r="D1963" s="10">
        <v>0</v>
      </c>
      <c r="E1963" s="10" t="s">
        <v>911</v>
      </c>
      <c r="F1963" s="10">
        <v>1</v>
      </c>
      <c r="G1963" s="10" t="s">
        <v>231</v>
      </c>
      <c r="H1963" s="10" t="s">
        <v>322</v>
      </c>
      <c r="I1963" s="10" t="s">
        <v>266</v>
      </c>
      <c r="J1963" s="10">
        <v>69</v>
      </c>
      <c r="K1963" s="12">
        <v>44958</v>
      </c>
      <c r="L1963" s="33">
        <v>0.66160879629629632</v>
      </c>
      <c r="M1963" s="10">
        <v>1</v>
      </c>
      <c r="N1963" s="10" t="s">
        <v>84</v>
      </c>
      <c r="O1963" s="10">
        <v>2.96</v>
      </c>
      <c r="P1963" s="10">
        <v>0.20499999999999999</v>
      </c>
      <c r="Q1963" s="10">
        <v>172</v>
      </c>
      <c r="R1963" s="10" t="s">
        <v>85</v>
      </c>
      <c r="S1963" s="34">
        <f t="shared" si="221"/>
        <v>185.11113887999997</v>
      </c>
      <c r="T1963" s="10" t="s">
        <v>1139</v>
      </c>
      <c r="U1963" s="34" t="str">
        <f t="shared" si="222"/>
        <v/>
      </c>
      <c r="V1963" s="31" t="str">
        <f>IF(H1963="CHK",VLOOKUP(I1963,QCCHK,3,),IF(H1963="GUP",VLOOKUP(E1963,QCGUP,2,),IF(AND(H1963="ATP",OR(I1963="TN",I1963="TDN",I1963="TNO2-3",I1963="NO2-3")),VLOOKUP(E1963,QCREC_N,2,),IF(AND(H1963="NIC",OR(I1963="TN",I1963="TDN",I1963="TNO2-3",I1963="NO2-3")),VLOOKUP(E1963,QCNIC_N,2,),IF(AND(H1963="UREA",OR(I1963="TN",I1963="TDN",I1963="TNO2-3",I1963="NO2-3")),VLOOKUP(E1963,QCUREA_N,2,),IF(H1963="PER",VLOOKUP(I1963,QCPER,MATCH(E1963,QCACTUAL!$J$25:$AA$25,0),),IF(H1963="SPK",VLOOKUP(I1963,QCSPK,3,),IF(AND(H1963="ATP",OR(I1963="TP",I1963="TDP")),VLOOKUP(E1963,QCATP_P,2,),""))))))))</f>
        <v/>
      </c>
      <c r="W1963" s="31" t="str">
        <f t="shared" si="223"/>
        <v>TRUE</v>
      </c>
      <c r="X1963" s="31" t="str">
        <f t="shared" si="220"/>
        <v/>
      </c>
      <c r="Y1963" s="10" t="s">
        <v>1126</v>
      </c>
      <c r="Z1963" s="10" t="s">
        <v>910</v>
      </c>
      <c r="AF1963" s="12">
        <v>44958</v>
      </c>
      <c r="AH1963" s="10">
        <f>-1.3807*2.96^2+80.818*2.96-42.013</f>
        <v>185.11113887999997</v>
      </c>
      <c r="AI1963" s="10">
        <f>0.6312*2.96^2+63.45*2.96-30.993</f>
        <v>162.34932192000002</v>
      </c>
      <c r="AK1963" s="10">
        <f>0.0239*2.96^2+66.574*2.96-31.913</f>
        <v>165.35544223999997</v>
      </c>
      <c r="AL1963" s="10" t="str">
        <f t="shared" si="218"/>
        <v>FALSE</v>
      </c>
      <c r="AM1963" s="10" t="str">
        <f t="shared" si="218"/>
        <v>y=-1.3807*2.96^2+80.818*2.96-42.013</v>
      </c>
      <c r="AN1963" s="10" t="str">
        <f t="shared" si="218"/>
        <v>y=0.6312*2.96^2+63.45*2.96-30.993</v>
      </c>
      <c r="AO1963" s="10" t="str">
        <f t="shared" si="219"/>
        <v>FALSE</v>
      </c>
      <c r="AP1963" s="10" t="str">
        <f t="shared" si="219"/>
        <v>y=0.0239*2.96^2+66.574*2.96-31.913</v>
      </c>
      <c r="AQ1963" s="10" t="b">
        <f>IF(AND(I1963="TP",S1963&lt;=150),VLOOKUP(AF1963,TPCalibEq150!$AZ$2:$BB$55,3,),IF(AND(I1963="TDP",S1963&lt;=150),VLOOKUP(AF1963,TPCalibEq150!$AZ$2:$BB$55,3,)))</f>
        <v>0</v>
      </c>
      <c r="AR1963" s="10" t="str">
        <f>IF(AND(I1963="TP",S1963&lt;=300),VLOOKUP(AF1963,TPCalibEq300!$AZ$2:$BB$55,3,),IF(AND(I1963="TDP",S1963&lt;=300),VLOOKUP(AF1963,TPCalibEq300!$AZ$2:$BB$55,3,)))</f>
        <v>y=-1.3807x2+80.818x-42.013</v>
      </c>
      <c r="AS1963" s="10" t="str">
        <f>IF(AND(I1963="TP",S1963&lt;=500),VLOOKUP(AF1963,TPCalibEq500!$AZ$2:$BB$56,3,),IF(AND(I1963="TDP",S1963&lt;=500),VLOOKUP(AF1963,TPCalibEq500!$AZ$2:$BB$56,3,)))</f>
        <v>y=0.6312x2+63.45x-30.993</v>
      </c>
      <c r="AT1963" s="10" t="b">
        <f>IF(AND(I1963="TN",S1963&lt;=2800),VLOOKUP(AF1963,TNCalibEq2500!$AZ$2:$BB$56,3,),IF(AND(I1963="TDN",S1963&lt;=2800),VLOOKUP(AF1963,TNCalibEq2500!$AZ$2:$BB$56,3,)))</f>
        <v>0</v>
      </c>
      <c r="AU1963" s="10" t="str">
        <f>IF(I1963="TP",VLOOKUP(AF1963,TPCalibEqFull!$AZ$2:$BB$56,3),IF(I1963="TDP",VLOOKUP(AF1963,TPCalibEqFull!$AZ$2:$BB$56,3),IF(I1963="TDN",VLOOKUP(AF1963,TNCalibEqFull!$AZ$1:$BB$56,3),IF(I1963="TN",VLOOKUP(AF1963,TNCalibEqFull!$AZ$1:$BB$56,3),FALSE))))</f>
        <v>y=0.0239x2+66.574x-31.913</v>
      </c>
      <c r="AV1963" s="10" t="str">
        <f t="shared" si="224"/>
        <v>0130 08:38:00-ELW-0-FIL-1-SW-UKN</v>
      </c>
    </row>
    <row r="1964" spans="1:48" s="10" customFormat="1" x14ac:dyDescent="0.55000000000000004">
      <c r="A1964" s="32">
        <v>44956</v>
      </c>
      <c r="B1964" s="33">
        <v>0.38055555555555554</v>
      </c>
      <c r="C1964" s="10" t="s">
        <v>357</v>
      </c>
      <c r="D1964" s="10">
        <v>0</v>
      </c>
      <c r="E1964" s="10" t="s">
        <v>911</v>
      </c>
      <c r="F1964" s="10">
        <v>1</v>
      </c>
      <c r="G1964" s="10" t="s">
        <v>231</v>
      </c>
      <c r="H1964" s="10" t="s">
        <v>322</v>
      </c>
      <c r="I1964" s="10" t="s">
        <v>266</v>
      </c>
      <c r="J1964" s="10">
        <v>70</v>
      </c>
      <c r="K1964" s="12">
        <v>44958</v>
      </c>
      <c r="L1964" s="33">
        <v>0.66230324074074076</v>
      </c>
      <c r="M1964" s="10">
        <v>1</v>
      </c>
      <c r="N1964" s="10" t="s">
        <v>84</v>
      </c>
      <c r="O1964" s="10">
        <v>2.65</v>
      </c>
      <c r="P1964" s="10">
        <v>0.183</v>
      </c>
      <c r="Q1964" s="10">
        <v>151</v>
      </c>
      <c r="R1964" s="10" t="s">
        <v>85</v>
      </c>
      <c r="S1964" s="34">
        <f t="shared" si="221"/>
        <v>162.45873424999999</v>
      </c>
      <c r="T1964" s="10" t="s">
        <v>1139</v>
      </c>
      <c r="U1964" s="34" t="str">
        <f t="shared" si="222"/>
        <v/>
      </c>
      <c r="V1964" s="31" t="str">
        <f>IF(H1964="CHK",VLOOKUP(I1964,QCCHK,3,),IF(H1964="GUP",VLOOKUP(E1964,QCGUP,2,),IF(AND(H1964="ATP",OR(I1964="TN",I1964="TDN",I1964="TNO2-3",I1964="NO2-3")),VLOOKUP(E1964,QCREC_N,2,),IF(AND(H1964="NIC",OR(I1964="TN",I1964="TDN",I1964="TNO2-3",I1964="NO2-3")),VLOOKUP(E1964,QCNIC_N,2,),IF(AND(H1964="UREA",OR(I1964="TN",I1964="TDN",I1964="TNO2-3",I1964="NO2-3")),VLOOKUP(E1964,QCUREA_N,2,),IF(H1964="PER",VLOOKUP(I1964,QCPER,MATCH(E1964,QCACTUAL!$J$25:$AA$25,0),),IF(H1964="SPK",VLOOKUP(I1964,QCSPK,3,),IF(AND(H1964="ATP",OR(I1964="TP",I1964="TDP")),VLOOKUP(E1964,QCATP_P,2,),""))))))))</f>
        <v/>
      </c>
      <c r="W1964" s="31" t="str">
        <f t="shared" si="223"/>
        <v>TRUE</v>
      </c>
      <c r="X1964" s="31" t="str">
        <f t="shared" si="220"/>
        <v/>
      </c>
      <c r="Y1964" s="10" t="s">
        <v>1126</v>
      </c>
      <c r="Z1964" s="10" t="s">
        <v>910</v>
      </c>
      <c r="AF1964" s="12">
        <v>44958</v>
      </c>
      <c r="AH1964" s="10">
        <f>-1.3807*2.65^2+80.818*2.65-42.013</f>
        <v>162.45873424999999</v>
      </c>
      <c r="AI1964" s="10">
        <f>0.6312*2.65^2+63.45*2.65-30.993</f>
        <v>141.58210200000002</v>
      </c>
      <c r="AK1964" s="10">
        <f>0.0239*2.65^2+66.574*2.65-31.913</f>
        <v>144.67593774999997</v>
      </c>
      <c r="AL1964" s="10" t="str">
        <f t="shared" si="218"/>
        <v>FALSE</v>
      </c>
      <c r="AM1964" s="10" t="str">
        <f t="shared" si="218"/>
        <v>y=-1.3807*2.65^2+80.818*2.65-42.013</v>
      </c>
      <c r="AN1964" s="10" t="str">
        <f t="shared" si="218"/>
        <v>y=0.6312*2.65^2+63.45*2.65-30.993</v>
      </c>
      <c r="AO1964" s="10" t="str">
        <f t="shared" si="219"/>
        <v>FALSE</v>
      </c>
      <c r="AP1964" s="10" t="str">
        <f t="shared" si="219"/>
        <v>y=0.0239*2.65^2+66.574*2.65-31.913</v>
      </c>
      <c r="AQ1964" s="10" t="b">
        <f>IF(AND(I1964="TP",S1964&lt;=150),VLOOKUP(AF1964,TPCalibEq150!$AZ$2:$BB$55,3,),IF(AND(I1964="TDP",S1964&lt;=150),VLOOKUP(AF1964,TPCalibEq150!$AZ$2:$BB$55,3,)))</f>
        <v>0</v>
      </c>
      <c r="AR1964" s="10" t="str">
        <f>IF(AND(I1964="TP",S1964&lt;=300),VLOOKUP(AF1964,TPCalibEq300!$AZ$2:$BB$55,3,),IF(AND(I1964="TDP",S1964&lt;=300),VLOOKUP(AF1964,TPCalibEq300!$AZ$2:$BB$55,3,)))</f>
        <v>y=-1.3807x2+80.818x-42.013</v>
      </c>
      <c r="AS1964" s="10" t="str">
        <f>IF(AND(I1964="TP",S1964&lt;=500),VLOOKUP(AF1964,TPCalibEq500!$AZ$2:$BB$56,3,),IF(AND(I1964="TDP",S1964&lt;=500),VLOOKUP(AF1964,TPCalibEq500!$AZ$2:$BB$56,3,)))</f>
        <v>y=0.6312x2+63.45x-30.993</v>
      </c>
      <c r="AT1964" s="10" t="b">
        <f>IF(AND(I1964="TN",S1964&lt;=2800),VLOOKUP(AF1964,TNCalibEq2500!$AZ$2:$BB$56,3,),IF(AND(I1964="TDN",S1964&lt;=2800),VLOOKUP(AF1964,TNCalibEq2500!$AZ$2:$BB$56,3,)))</f>
        <v>0</v>
      </c>
      <c r="AU1964" s="10" t="str">
        <f>IF(I1964="TP",VLOOKUP(AF1964,TPCalibEqFull!$AZ$2:$BB$56,3),IF(I1964="TDP",VLOOKUP(AF1964,TPCalibEqFull!$AZ$2:$BB$56,3),IF(I1964="TDN",VLOOKUP(AF1964,TNCalibEqFull!$AZ$1:$BB$56,3),IF(I1964="TN",VLOOKUP(AF1964,TNCalibEqFull!$AZ$1:$BB$56,3),FALSE))))</f>
        <v>y=0.0239x2+66.574x-31.913</v>
      </c>
      <c r="AV1964" s="10" t="str">
        <f t="shared" si="224"/>
        <v>0130 09:08:00-STC-0-FIL-1-SW-UKN</v>
      </c>
    </row>
    <row r="1965" spans="1:48" s="10" customFormat="1" x14ac:dyDescent="0.55000000000000004">
      <c r="A1965" s="32">
        <v>44956</v>
      </c>
      <c r="B1965" s="33">
        <v>0.3972222222222222</v>
      </c>
      <c r="C1965" s="10" t="s">
        <v>999</v>
      </c>
      <c r="D1965" s="10">
        <v>0</v>
      </c>
      <c r="E1965" s="10" t="s">
        <v>911</v>
      </c>
      <c r="F1965" s="10">
        <v>1</v>
      </c>
      <c r="G1965" s="10" t="s">
        <v>231</v>
      </c>
      <c r="H1965" s="10" t="s">
        <v>322</v>
      </c>
      <c r="I1965" s="10" t="s">
        <v>266</v>
      </c>
      <c r="J1965" s="10">
        <v>71</v>
      </c>
      <c r="K1965" s="12">
        <v>44958</v>
      </c>
      <c r="L1965" s="33">
        <v>0.6629976851851852</v>
      </c>
      <c r="M1965" s="10">
        <v>1</v>
      </c>
      <c r="N1965" s="10" t="s">
        <v>84</v>
      </c>
      <c r="O1965" s="10">
        <v>3.18</v>
      </c>
      <c r="P1965" s="10">
        <v>0.22</v>
      </c>
      <c r="Q1965" s="10">
        <v>186</v>
      </c>
      <c r="R1965" s="10" t="s">
        <v>85</v>
      </c>
      <c r="S1965" s="34">
        <f t="shared" si="221"/>
        <v>201.02604932</v>
      </c>
      <c r="T1965" s="10" t="s">
        <v>1139</v>
      </c>
      <c r="U1965" s="34" t="str">
        <f t="shared" si="222"/>
        <v/>
      </c>
      <c r="V1965" s="31" t="str">
        <f>IF(H1965="CHK",VLOOKUP(I1965,QCCHK,3,),IF(H1965="GUP",VLOOKUP(E1965,QCGUP,2,),IF(AND(H1965="ATP",OR(I1965="TN",I1965="TDN",I1965="TNO2-3",I1965="NO2-3")),VLOOKUP(E1965,QCREC_N,2,),IF(AND(H1965="NIC",OR(I1965="TN",I1965="TDN",I1965="TNO2-3",I1965="NO2-3")),VLOOKUP(E1965,QCNIC_N,2,),IF(AND(H1965="UREA",OR(I1965="TN",I1965="TDN",I1965="TNO2-3",I1965="NO2-3")),VLOOKUP(E1965,QCUREA_N,2,),IF(H1965="PER",VLOOKUP(I1965,QCPER,MATCH(E1965,QCACTUAL!$J$25:$AA$25,0),),IF(H1965="SPK",VLOOKUP(I1965,QCSPK,3,),IF(AND(H1965="ATP",OR(I1965="TP",I1965="TDP")),VLOOKUP(E1965,QCATP_P,2,),""))))))))</f>
        <v/>
      </c>
      <c r="W1965" s="31" t="str">
        <f t="shared" si="223"/>
        <v>TRUE</v>
      </c>
      <c r="X1965" s="31" t="str">
        <f t="shared" si="220"/>
        <v/>
      </c>
      <c r="Y1965" s="10" t="s">
        <v>1126</v>
      </c>
      <c r="Z1965" s="10" t="s">
        <v>910</v>
      </c>
      <c r="AF1965" s="12">
        <v>44958</v>
      </c>
      <c r="AH1965" s="10">
        <f>-1.3807*3.18^2+80.818*3.18-42.013</f>
        <v>201.02604932</v>
      </c>
      <c r="AI1965" s="10">
        <f>0.6312*3.18^2+63.45*3.18-30.993</f>
        <v>177.16094688000001</v>
      </c>
      <c r="AK1965" s="10">
        <f>0.0239*3.18^2+66.574*3.18-31.913</f>
        <v>180.03400635999998</v>
      </c>
      <c r="AL1965" s="10" t="str">
        <f t="shared" si="218"/>
        <v>FALSE</v>
      </c>
      <c r="AM1965" s="10" t="str">
        <f t="shared" si="218"/>
        <v>y=-1.3807*3.18^2+80.818*3.18-42.013</v>
      </c>
      <c r="AN1965" s="10" t="str">
        <f t="shared" si="218"/>
        <v>y=0.6312*3.18^2+63.45*3.18-30.993</v>
      </c>
      <c r="AO1965" s="10" t="str">
        <f t="shared" si="219"/>
        <v>FALSE</v>
      </c>
      <c r="AP1965" s="10" t="str">
        <f t="shared" si="219"/>
        <v>y=0.0239*3.18^2+66.574*3.18-31.913</v>
      </c>
      <c r="AQ1965" s="10" t="b">
        <f>IF(AND(I1965="TP",S1965&lt;=150),VLOOKUP(AF1965,TPCalibEq150!$AZ$2:$BB$55,3,),IF(AND(I1965="TDP",S1965&lt;=150),VLOOKUP(AF1965,TPCalibEq150!$AZ$2:$BB$55,3,)))</f>
        <v>0</v>
      </c>
      <c r="AR1965" s="10" t="str">
        <f>IF(AND(I1965="TP",S1965&lt;=300),VLOOKUP(AF1965,TPCalibEq300!$AZ$2:$BB$55,3,),IF(AND(I1965="TDP",S1965&lt;=300),VLOOKUP(AF1965,TPCalibEq300!$AZ$2:$BB$55,3,)))</f>
        <v>y=-1.3807x2+80.818x-42.013</v>
      </c>
      <c r="AS1965" s="10" t="str">
        <f>IF(AND(I1965="TP",S1965&lt;=500),VLOOKUP(AF1965,TPCalibEq500!$AZ$2:$BB$56,3,),IF(AND(I1965="TDP",S1965&lt;=500),VLOOKUP(AF1965,TPCalibEq500!$AZ$2:$BB$56,3,)))</f>
        <v>y=0.6312x2+63.45x-30.993</v>
      </c>
      <c r="AT1965" s="10" t="b">
        <f>IF(AND(I1965="TN",S1965&lt;=2800),VLOOKUP(AF1965,TNCalibEq2500!$AZ$2:$BB$56,3,),IF(AND(I1965="TDN",S1965&lt;=2800),VLOOKUP(AF1965,TNCalibEq2500!$AZ$2:$BB$56,3,)))</f>
        <v>0</v>
      </c>
      <c r="AU1965" s="10" t="str">
        <f>IF(I1965="TP",VLOOKUP(AF1965,TPCalibEqFull!$AZ$2:$BB$56,3),IF(I1965="TDP",VLOOKUP(AF1965,TPCalibEqFull!$AZ$2:$BB$56,3),IF(I1965="TDN",VLOOKUP(AF1965,TNCalibEqFull!$AZ$1:$BB$56,3),IF(I1965="TN",VLOOKUP(AF1965,TNCalibEqFull!$AZ$1:$BB$56,3),FALSE))))</f>
        <v>y=0.0239x2+66.574x-31.913</v>
      </c>
      <c r="AV1965" s="10" t="str">
        <f t="shared" si="224"/>
        <v>0130 09:32:00-EAW-0-FIL-1-SW-UKN</v>
      </c>
    </row>
    <row r="1966" spans="1:48" s="10" customFormat="1" x14ac:dyDescent="0.55000000000000004">
      <c r="A1966" s="32">
        <v>44956</v>
      </c>
      <c r="B1966" s="33">
        <v>0.40486111111111112</v>
      </c>
      <c r="C1966" s="10" t="s">
        <v>310</v>
      </c>
      <c r="D1966" s="10">
        <v>0</v>
      </c>
      <c r="E1966" s="10" t="s">
        <v>911</v>
      </c>
      <c r="F1966" s="10">
        <v>1</v>
      </c>
      <c r="G1966" s="10" t="s">
        <v>231</v>
      </c>
      <c r="H1966" s="10" t="s">
        <v>322</v>
      </c>
      <c r="I1966" s="10" t="s">
        <v>266</v>
      </c>
      <c r="J1966" s="10">
        <v>72</v>
      </c>
      <c r="K1966" s="12">
        <v>44958</v>
      </c>
      <c r="L1966" s="33">
        <v>0.6636805555555555</v>
      </c>
      <c r="M1966" s="10">
        <v>1</v>
      </c>
      <c r="N1966" s="10" t="s">
        <v>84</v>
      </c>
      <c r="O1966" s="10">
        <v>3.24</v>
      </c>
      <c r="P1966" s="10">
        <v>0.224</v>
      </c>
      <c r="Q1966" s="10">
        <v>191</v>
      </c>
      <c r="R1966" s="10" t="s">
        <v>85</v>
      </c>
      <c r="S1966" s="34">
        <f t="shared" si="221"/>
        <v>205.34328368000001</v>
      </c>
      <c r="T1966" s="10" t="s">
        <v>1139</v>
      </c>
      <c r="U1966" s="34" t="str">
        <f t="shared" si="222"/>
        <v/>
      </c>
      <c r="V1966" s="31" t="str">
        <f>IF(H1966="CHK",VLOOKUP(I1966,QCCHK,3,),IF(H1966="GUP",VLOOKUP(E1966,QCGUP,2,),IF(AND(H1966="ATP",OR(I1966="TN",I1966="TDN",I1966="TNO2-3",I1966="NO2-3")),VLOOKUP(E1966,QCREC_N,2,),IF(AND(H1966="NIC",OR(I1966="TN",I1966="TDN",I1966="TNO2-3",I1966="NO2-3")),VLOOKUP(E1966,QCNIC_N,2,),IF(AND(H1966="UREA",OR(I1966="TN",I1966="TDN",I1966="TNO2-3",I1966="NO2-3")),VLOOKUP(E1966,QCUREA_N,2,),IF(H1966="PER",VLOOKUP(I1966,QCPER,MATCH(E1966,QCACTUAL!$J$25:$AA$25,0),),IF(H1966="SPK",VLOOKUP(I1966,QCSPK,3,),IF(AND(H1966="ATP",OR(I1966="TP",I1966="TDP")),VLOOKUP(E1966,QCATP_P,2,),""))))))))</f>
        <v/>
      </c>
      <c r="W1966" s="31" t="str">
        <f t="shared" si="223"/>
        <v>TRUE</v>
      </c>
      <c r="X1966" s="31" t="str">
        <f t="shared" si="220"/>
        <v/>
      </c>
      <c r="Y1966" s="10" t="s">
        <v>1126</v>
      </c>
      <c r="Z1966" s="10" t="s">
        <v>910</v>
      </c>
      <c r="AF1966" s="12">
        <v>44958</v>
      </c>
      <c r="AH1966" s="10">
        <f>-1.3807*3.24^2+80.818*3.24-42.013</f>
        <v>205.34328368000001</v>
      </c>
      <c r="AI1966" s="10">
        <f>0.6312*3.24^2+63.45*3.24-30.993</f>
        <v>181.21108512000004</v>
      </c>
      <c r="AK1966" s="10">
        <f>0.0239*3.24^2+66.574*3.24-31.913</f>
        <v>184.03765263999998</v>
      </c>
      <c r="AL1966" s="10" t="str">
        <f t="shared" si="218"/>
        <v>FALSE</v>
      </c>
      <c r="AM1966" s="10" t="str">
        <f t="shared" si="218"/>
        <v>y=-1.3807*3.24^2+80.818*3.24-42.013</v>
      </c>
      <c r="AN1966" s="10" t="str">
        <f t="shared" si="218"/>
        <v>y=0.6312*3.24^2+63.45*3.24-30.993</v>
      </c>
      <c r="AO1966" s="10" t="str">
        <f t="shared" si="219"/>
        <v>FALSE</v>
      </c>
      <c r="AP1966" s="10" t="str">
        <f t="shared" si="219"/>
        <v>y=0.0239*3.24^2+66.574*3.24-31.913</v>
      </c>
      <c r="AQ1966" s="10" t="b">
        <f>IF(AND(I1966="TP",S1966&lt;=150),VLOOKUP(AF1966,TPCalibEq150!$AZ$2:$BB$55,3,),IF(AND(I1966="TDP",S1966&lt;=150),VLOOKUP(AF1966,TPCalibEq150!$AZ$2:$BB$55,3,)))</f>
        <v>0</v>
      </c>
      <c r="AR1966" s="10" t="str">
        <f>IF(AND(I1966="TP",S1966&lt;=300),VLOOKUP(AF1966,TPCalibEq300!$AZ$2:$BB$55,3,),IF(AND(I1966="TDP",S1966&lt;=300),VLOOKUP(AF1966,TPCalibEq300!$AZ$2:$BB$55,3,)))</f>
        <v>y=-1.3807x2+80.818x-42.013</v>
      </c>
      <c r="AS1966" s="10" t="str">
        <f>IF(AND(I1966="TP",S1966&lt;=500),VLOOKUP(AF1966,TPCalibEq500!$AZ$2:$BB$56,3,),IF(AND(I1966="TDP",S1966&lt;=500),VLOOKUP(AF1966,TPCalibEq500!$AZ$2:$BB$56,3,)))</f>
        <v>y=0.6312x2+63.45x-30.993</v>
      </c>
      <c r="AT1966" s="10" t="b">
        <f>IF(AND(I1966="TN",S1966&lt;=2800),VLOOKUP(AF1966,TNCalibEq2500!$AZ$2:$BB$56,3,),IF(AND(I1966="TDN",S1966&lt;=2800),VLOOKUP(AF1966,TNCalibEq2500!$AZ$2:$BB$56,3,)))</f>
        <v>0</v>
      </c>
      <c r="AU1966" s="10" t="str">
        <f>IF(I1966="TP",VLOOKUP(AF1966,TPCalibEqFull!$AZ$2:$BB$56,3),IF(I1966="TDP",VLOOKUP(AF1966,TPCalibEqFull!$AZ$2:$BB$56,3),IF(I1966="TDN",VLOOKUP(AF1966,TNCalibEqFull!$AZ$1:$BB$56,3),IF(I1966="TN",VLOOKUP(AF1966,TNCalibEqFull!$AZ$1:$BB$56,3),FALSE))))</f>
        <v>y=0.0239x2+66.574x-31.913</v>
      </c>
      <c r="AV1966" s="10" t="str">
        <f t="shared" si="224"/>
        <v>0130 09:43:00-ELI-0-FIL-1-SW-UKN</v>
      </c>
    </row>
    <row r="1967" spans="1:48" s="10" customFormat="1" x14ac:dyDescent="0.55000000000000004">
      <c r="A1967" s="32">
        <v>44956</v>
      </c>
      <c r="B1967" s="33">
        <v>0.41597222222222219</v>
      </c>
      <c r="C1967" s="10" t="s">
        <v>408</v>
      </c>
      <c r="D1967" s="10">
        <v>0</v>
      </c>
      <c r="E1967" s="10" t="s">
        <v>911</v>
      </c>
      <c r="F1967" s="10">
        <v>1</v>
      </c>
      <c r="G1967" s="10" t="s">
        <v>231</v>
      </c>
      <c r="H1967" s="10" t="s">
        <v>322</v>
      </c>
      <c r="I1967" s="10" t="s">
        <v>266</v>
      </c>
      <c r="J1967" s="10">
        <v>73</v>
      </c>
      <c r="K1967" s="12">
        <v>44958</v>
      </c>
      <c r="L1967" s="33">
        <v>0.66437500000000005</v>
      </c>
      <c r="M1967" s="10">
        <v>1</v>
      </c>
      <c r="N1967" s="10" t="s">
        <v>84</v>
      </c>
      <c r="O1967" s="10">
        <v>2.8</v>
      </c>
      <c r="P1967" s="10">
        <v>0.193</v>
      </c>
      <c r="Q1967" s="10">
        <v>161</v>
      </c>
      <c r="R1967" s="10" t="s">
        <v>85</v>
      </c>
      <c r="S1967" s="34">
        <f t="shared" si="221"/>
        <v>173.45271199999996</v>
      </c>
      <c r="T1967" s="10" t="s">
        <v>1139</v>
      </c>
      <c r="U1967" s="34" t="str">
        <f t="shared" si="222"/>
        <v/>
      </c>
      <c r="V1967" s="31" t="str">
        <f>IF(H1967="CHK",VLOOKUP(I1967,QCCHK,3,),IF(H1967="GUP",VLOOKUP(E1967,QCGUP,2,),IF(AND(H1967="ATP",OR(I1967="TN",I1967="TDN",I1967="TNO2-3",I1967="NO2-3")),VLOOKUP(E1967,QCREC_N,2,),IF(AND(H1967="NIC",OR(I1967="TN",I1967="TDN",I1967="TNO2-3",I1967="NO2-3")),VLOOKUP(E1967,QCNIC_N,2,),IF(AND(H1967="UREA",OR(I1967="TN",I1967="TDN",I1967="TNO2-3",I1967="NO2-3")),VLOOKUP(E1967,QCUREA_N,2,),IF(H1967="PER",VLOOKUP(I1967,QCPER,MATCH(E1967,QCACTUAL!$J$25:$AA$25,0),),IF(H1967="SPK",VLOOKUP(I1967,QCSPK,3,),IF(AND(H1967="ATP",OR(I1967="TP",I1967="TDP")),VLOOKUP(E1967,QCATP_P,2,),""))))))))</f>
        <v/>
      </c>
      <c r="W1967" s="31" t="str">
        <f t="shared" si="223"/>
        <v>TRUE</v>
      </c>
      <c r="X1967" s="31" t="str">
        <f t="shared" si="220"/>
        <v/>
      </c>
      <c r="Y1967" s="10" t="s">
        <v>1126</v>
      </c>
      <c r="Z1967" s="10" t="s">
        <v>910</v>
      </c>
      <c r="AF1967" s="12">
        <v>44958</v>
      </c>
      <c r="AH1967" s="10">
        <f>-1.3807*2.8^2+80.818*2.8-42.013</f>
        <v>173.45271199999996</v>
      </c>
      <c r="AI1967" s="10">
        <f>0.6312*2.8^2+63.45*2.8-30.993</f>
        <v>151.61560800000001</v>
      </c>
      <c r="AK1967" s="10">
        <f>0.0239*2.8^2+66.574*2.8-31.913</f>
        <v>154.68157599999998</v>
      </c>
      <c r="AL1967" s="10" t="str">
        <f t="shared" si="218"/>
        <v>FALSE</v>
      </c>
      <c r="AM1967" s="10" t="str">
        <f t="shared" si="218"/>
        <v>y=-1.3807*2.8^2+80.818*2.8-42.013</v>
      </c>
      <c r="AN1967" s="10" t="str">
        <f t="shared" si="218"/>
        <v>y=0.6312*2.8^2+63.45*2.8-30.993</v>
      </c>
      <c r="AO1967" s="10" t="str">
        <f t="shared" si="219"/>
        <v>FALSE</v>
      </c>
      <c r="AP1967" s="10" t="str">
        <f t="shared" si="219"/>
        <v>y=0.0239*2.8^2+66.574*2.8-31.913</v>
      </c>
      <c r="AQ1967" s="10" t="b">
        <f>IF(AND(I1967="TP",S1967&lt;=150),VLOOKUP(AF1967,TPCalibEq150!$AZ$2:$BB$55,3,),IF(AND(I1967="TDP",S1967&lt;=150),VLOOKUP(AF1967,TPCalibEq150!$AZ$2:$BB$55,3,)))</f>
        <v>0</v>
      </c>
      <c r="AR1967" s="10" t="str">
        <f>IF(AND(I1967="TP",S1967&lt;=300),VLOOKUP(AF1967,TPCalibEq300!$AZ$2:$BB$55,3,),IF(AND(I1967="TDP",S1967&lt;=300),VLOOKUP(AF1967,TPCalibEq300!$AZ$2:$BB$55,3,)))</f>
        <v>y=-1.3807x2+80.818x-42.013</v>
      </c>
      <c r="AS1967" s="10" t="str">
        <f>IF(AND(I1967="TP",S1967&lt;=500),VLOOKUP(AF1967,TPCalibEq500!$AZ$2:$BB$56,3,),IF(AND(I1967="TDP",S1967&lt;=500),VLOOKUP(AF1967,TPCalibEq500!$AZ$2:$BB$56,3,)))</f>
        <v>y=0.6312x2+63.45x-30.993</v>
      </c>
      <c r="AT1967" s="10" t="b">
        <f>IF(AND(I1967="TN",S1967&lt;=2800),VLOOKUP(AF1967,TNCalibEq2500!$AZ$2:$BB$56,3,),IF(AND(I1967="TDN",S1967&lt;=2800),VLOOKUP(AF1967,TNCalibEq2500!$AZ$2:$BB$56,3,)))</f>
        <v>0</v>
      </c>
      <c r="AU1967" s="10" t="str">
        <f>IF(I1967="TP",VLOOKUP(AF1967,TPCalibEqFull!$AZ$2:$BB$56,3),IF(I1967="TDP",VLOOKUP(AF1967,TPCalibEqFull!$AZ$2:$BB$56,3),IF(I1967="TDN",VLOOKUP(AF1967,TNCalibEqFull!$AZ$1:$BB$56,3),IF(I1967="TN",VLOOKUP(AF1967,TNCalibEqFull!$AZ$1:$BB$56,3),FALSE))))</f>
        <v>y=0.0239x2+66.574x-31.913</v>
      </c>
      <c r="AV1967" s="10" t="str">
        <f t="shared" si="224"/>
        <v>0130 09:59:00-CLC-0-FIL-1-SW-UKN</v>
      </c>
    </row>
    <row r="1968" spans="1:48" s="10" customFormat="1" x14ac:dyDescent="0.55000000000000004">
      <c r="A1968" s="32">
        <v>44956</v>
      </c>
      <c r="B1968" s="33">
        <v>0.43055555555555558</v>
      </c>
      <c r="C1968" s="10" t="s">
        <v>349</v>
      </c>
      <c r="D1968" s="10">
        <v>0</v>
      </c>
      <c r="E1968" s="10" t="s">
        <v>911</v>
      </c>
      <c r="F1968" s="10">
        <v>1</v>
      </c>
      <c r="G1968" s="10" t="s">
        <v>231</v>
      </c>
      <c r="H1968" s="10" t="s">
        <v>322</v>
      </c>
      <c r="I1968" s="10" t="s">
        <v>266</v>
      </c>
      <c r="J1968" s="10">
        <v>74</v>
      </c>
      <c r="K1968" s="12">
        <v>44958</v>
      </c>
      <c r="L1968" s="33">
        <v>0.66506944444444438</v>
      </c>
      <c r="M1968" s="10">
        <v>1</v>
      </c>
      <c r="N1968" s="10" t="s">
        <v>84</v>
      </c>
      <c r="O1968" s="10">
        <v>1.25</v>
      </c>
      <c r="P1968" s="10">
        <v>8.3699999999999997E-2</v>
      </c>
      <c r="Q1968" s="10">
        <v>57.5</v>
      </c>
      <c r="R1968" s="10" t="s">
        <v>85</v>
      </c>
      <c r="S1968" s="34">
        <f t="shared" si="221"/>
        <v>71.332750000000004</v>
      </c>
      <c r="T1968" s="10" t="s">
        <v>1139</v>
      </c>
      <c r="U1968" s="34" t="str">
        <f t="shared" si="222"/>
        <v/>
      </c>
      <c r="V1968" s="31" t="str">
        <f>IF(H1968="CHK",VLOOKUP(I1968,QCCHK,3,),IF(H1968="GUP",VLOOKUP(E1968,QCGUP,2,),IF(AND(H1968="ATP",OR(I1968="TN",I1968="TDN",I1968="TNO2-3",I1968="NO2-3")),VLOOKUP(E1968,QCREC_N,2,),IF(AND(H1968="NIC",OR(I1968="TN",I1968="TDN",I1968="TNO2-3",I1968="NO2-3")),VLOOKUP(E1968,QCNIC_N,2,),IF(AND(H1968="UREA",OR(I1968="TN",I1968="TDN",I1968="TNO2-3",I1968="NO2-3")),VLOOKUP(E1968,QCUREA_N,2,),IF(H1968="PER",VLOOKUP(I1968,QCPER,MATCH(E1968,QCACTUAL!$J$25:$AA$25,0),),IF(H1968="SPK",VLOOKUP(I1968,QCSPK,3,),IF(AND(H1968="ATP",OR(I1968="TP",I1968="TDP")),VLOOKUP(E1968,QCATP_P,2,),""))))))))</f>
        <v/>
      </c>
      <c r="W1968" s="31" t="str">
        <f t="shared" si="223"/>
        <v>TRUE</v>
      </c>
      <c r="X1968" s="31" t="str">
        <f t="shared" si="220"/>
        <v/>
      </c>
      <c r="Y1968" s="10" t="s">
        <v>1126</v>
      </c>
      <c r="Z1968" s="10" t="s">
        <v>910</v>
      </c>
      <c r="AF1968" s="12">
        <v>44958</v>
      </c>
      <c r="AG1968" s="10">
        <f>-20.9*1.25^2+141.62*1.25-73.036</f>
        <v>71.332750000000004</v>
      </c>
      <c r="AH1968" s="10">
        <f>-1.3807*1.25^2+80.818*1.25-42.013</f>
        <v>56.85215625</v>
      </c>
      <c r="AI1968" s="10">
        <f>0.6312*1.25^2+63.45*1.25-30.993</f>
        <v>49.305750000000003</v>
      </c>
      <c r="AK1968" s="10">
        <f>0.0239*1.25^2+66.574*1.25-31.913</f>
        <v>51.34184375000001</v>
      </c>
      <c r="AL1968" s="10" t="str">
        <f t="shared" si="218"/>
        <v>y=-20.90*1.25^2+141.62*1.25-73.036</v>
      </c>
      <c r="AM1968" s="10" t="str">
        <f t="shared" si="218"/>
        <v>y=-1.3807*1.25^2+80.818*1.25-42.013</v>
      </c>
      <c r="AN1968" s="10" t="str">
        <f t="shared" si="218"/>
        <v>y=0.6312*1.25^2+63.45*1.25-30.993</v>
      </c>
      <c r="AO1968" s="10" t="str">
        <f t="shared" si="219"/>
        <v>FALSE</v>
      </c>
      <c r="AP1968" s="10" t="str">
        <f t="shared" si="219"/>
        <v>y=0.0239*1.25^2+66.574*1.25-31.913</v>
      </c>
      <c r="AQ1968" s="10" t="str">
        <f>IF(AND(I1968="TP",S1968&lt;=150),VLOOKUP(AF1968,TPCalibEq150!$AZ$2:$BB$55,3,),IF(AND(I1968="TDP",S1968&lt;=150),VLOOKUP(AF1968,TPCalibEq150!$AZ$2:$BB$55,3,)))</f>
        <v>y=-20.90x2+141.62x-73.036</v>
      </c>
      <c r="AR1968" s="10" t="str">
        <f>IF(AND(I1968="TP",S1968&lt;=300),VLOOKUP(AF1968,TPCalibEq300!$AZ$2:$BB$55,3,),IF(AND(I1968="TDP",S1968&lt;=300),VLOOKUP(AF1968,TPCalibEq300!$AZ$2:$BB$55,3,)))</f>
        <v>y=-1.3807x2+80.818x-42.013</v>
      </c>
      <c r="AS1968" s="10" t="str">
        <f>IF(AND(I1968="TP",S1968&lt;=500),VLOOKUP(AF1968,TPCalibEq500!$AZ$2:$BB$56,3,),IF(AND(I1968="TDP",S1968&lt;=500),VLOOKUP(AF1968,TPCalibEq500!$AZ$2:$BB$56,3,)))</f>
        <v>y=0.6312x2+63.45x-30.993</v>
      </c>
      <c r="AT1968" s="10" t="b">
        <f>IF(AND(I1968="TN",S1968&lt;=2800),VLOOKUP(AF1968,TNCalibEq2500!$AZ$2:$BB$56,3,),IF(AND(I1968="TDN",S1968&lt;=2800),VLOOKUP(AF1968,TNCalibEq2500!$AZ$2:$BB$56,3,)))</f>
        <v>0</v>
      </c>
      <c r="AU1968" s="10" t="str">
        <f>IF(I1968="TP",VLOOKUP(AF1968,TPCalibEqFull!$AZ$2:$BB$56,3),IF(I1968="TDP",VLOOKUP(AF1968,TPCalibEqFull!$AZ$2:$BB$56,3),IF(I1968="TDN",VLOOKUP(AF1968,TNCalibEqFull!$AZ$1:$BB$56,3),IF(I1968="TN",VLOOKUP(AF1968,TNCalibEqFull!$AZ$1:$BB$56,3),FALSE))))</f>
        <v>y=0.0239x2+66.574x-31.913</v>
      </c>
      <c r="AV1968" s="10" t="str">
        <f t="shared" si="224"/>
        <v>0130 10:20:00-SHA-0-FIL-1-SW-UKN</v>
      </c>
    </row>
    <row r="1969" spans="1:48" s="10" customFormat="1" x14ac:dyDescent="0.55000000000000004">
      <c r="A1969" s="32">
        <v>44956</v>
      </c>
      <c r="B1969" s="33">
        <v>0.44166666666666665</v>
      </c>
      <c r="C1969" s="10" t="s">
        <v>646</v>
      </c>
      <c r="D1969" s="10">
        <v>0</v>
      </c>
      <c r="E1969" s="10" t="s">
        <v>911</v>
      </c>
      <c r="F1969" s="10">
        <v>1</v>
      </c>
      <c r="G1969" s="10" t="s">
        <v>231</v>
      </c>
      <c r="H1969" s="10" t="s">
        <v>322</v>
      </c>
      <c r="I1969" s="10" t="s">
        <v>266</v>
      </c>
      <c r="J1969" s="10">
        <v>75</v>
      </c>
      <c r="K1969" s="12">
        <v>44958</v>
      </c>
      <c r="L1969" s="33">
        <v>0.66576388888888893</v>
      </c>
      <c r="M1969" s="10">
        <v>1</v>
      </c>
      <c r="N1969" s="10" t="s">
        <v>84</v>
      </c>
      <c r="O1969" s="10">
        <v>1.9</v>
      </c>
      <c r="P1969" s="10">
        <v>0.129</v>
      </c>
      <c r="Q1969" s="10">
        <v>101</v>
      </c>
      <c r="R1969" s="10" t="s">
        <v>85</v>
      </c>
      <c r="S1969" s="34">
        <f t="shared" si="221"/>
        <v>120.59299999999996</v>
      </c>
      <c r="T1969" s="10" t="s">
        <v>1139</v>
      </c>
      <c r="U1969" s="34" t="str">
        <f t="shared" si="222"/>
        <v/>
      </c>
      <c r="V1969" s="31" t="str">
        <f>IF(H1969="CHK",VLOOKUP(I1969,QCCHK,3,),IF(H1969="GUP",VLOOKUP(E1969,QCGUP,2,),IF(AND(H1969="ATP",OR(I1969="TN",I1969="TDN",I1969="TNO2-3",I1969="NO2-3")),VLOOKUP(E1969,QCREC_N,2,),IF(AND(H1969="NIC",OR(I1969="TN",I1969="TDN",I1969="TNO2-3",I1969="NO2-3")),VLOOKUP(E1969,QCNIC_N,2,),IF(AND(H1969="UREA",OR(I1969="TN",I1969="TDN",I1969="TNO2-3",I1969="NO2-3")),VLOOKUP(E1969,QCUREA_N,2,),IF(H1969="PER",VLOOKUP(I1969,QCPER,MATCH(E1969,QCACTUAL!$J$25:$AA$25,0),),IF(H1969="SPK",VLOOKUP(I1969,QCSPK,3,),IF(AND(H1969="ATP",OR(I1969="TP",I1969="TDP")),VLOOKUP(E1969,QCATP_P,2,),""))))))))</f>
        <v/>
      </c>
      <c r="W1969" s="31" t="str">
        <f t="shared" si="223"/>
        <v>TRUE</v>
      </c>
      <c r="X1969" s="31" t="str">
        <f t="shared" si="220"/>
        <v/>
      </c>
      <c r="Y1969" s="10" t="s">
        <v>1126</v>
      </c>
      <c r="Z1969" s="10" t="s">
        <v>910</v>
      </c>
      <c r="AF1969" s="12">
        <v>44958</v>
      </c>
      <c r="AG1969" s="10">
        <f>-20.9*1.9^2+141.62*1.9-73.036</f>
        <v>120.59299999999996</v>
      </c>
      <c r="AH1969" s="10">
        <f>-1.3807*1.9^2+80.818*1.9-42.013</f>
        <v>106.55687299999997</v>
      </c>
      <c r="AI1969" s="10">
        <f>0.6312*1.9^2+63.45*1.9-30.993</f>
        <v>91.840632000000014</v>
      </c>
      <c r="AK1969" s="10">
        <f>0.0239*1.9^2+66.574*1.9-31.913</f>
        <v>94.663878999999994</v>
      </c>
      <c r="AL1969" s="10" t="str">
        <f t="shared" ref="AL1969:AN1984" si="225">IF($O1969="", "", IF(AQ1969&lt;&gt;"", SUBSTITUTE(SUBSTITUTE(AQ1969, "x", "*"&amp;$O1969&amp;"^", 1), "x", "*"&amp;$O1969, 1), ""))</f>
        <v>y=-20.90*1.9^2+141.62*1.9-73.036</v>
      </c>
      <c r="AM1969" s="10" t="str">
        <f t="shared" si="225"/>
        <v>y=-1.3807*1.9^2+80.818*1.9-42.013</v>
      </c>
      <c r="AN1969" s="10" t="str">
        <f t="shared" si="225"/>
        <v>y=0.6312*1.9^2+63.45*1.9-30.993</v>
      </c>
      <c r="AO1969" s="10" t="str">
        <f t="shared" ref="AO1969:AP1984" si="226">IF($O1969="", "FALSE", IF(AT1969&lt;&gt;"FALSE", SUBSTITUTE(SUBSTITUTE(AT1969, "x", "*"&amp;$O1969&amp;"^", 1), "x", "*"&amp;$O1969, 1), ""))</f>
        <v>FALSE</v>
      </c>
      <c r="AP1969" s="10" t="str">
        <f t="shared" si="226"/>
        <v>y=0.0239*1.9^2+66.574*1.9-31.913</v>
      </c>
      <c r="AQ1969" s="10" t="str">
        <f>IF(AND(I1969="TP",S1969&lt;=150),VLOOKUP(AF1969,TPCalibEq150!$AZ$2:$BB$55,3,),IF(AND(I1969="TDP",S1969&lt;=150),VLOOKUP(AF1969,TPCalibEq150!$AZ$2:$BB$55,3,)))</f>
        <v>y=-20.90x2+141.62x-73.036</v>
      </c>
      <c r="AR1969" s="10" t="str">
        <f>IF(AND(I1969="TP",S1969&lt;=300),VLOOKUP(AF1969,TPCalibEq300!$AZ$2:$BB$55,3,),IF(AND(I1969="TDP",S1969&lt;=300),VLOOKUP(AF1969,TPCalibEq300!$AZ$2:$BB$55,3,)))</f>
        <v>y=-1.3807x2+80.818x-42.013</v>
      </c>
      <c r="AS1969" s="10" t="str">
        <f>IF(AND(I1969="TP",S1969&lt;=500),VLOOKUP(AF1969,TPCalibEq500!$AZ$2:$BB$56,3,),IF(AND(I1969="TDP",S1969&lt;=500),VLOOKUP(AF1969,TPCalibEq500!$AZ$2:$BB$56,3,)))</f>
        <v>y=0.6312x2+63.45x-30.993</v>
      </c>
      <c r="AT1969" s="10" t="b">
        <f>IF(AND(I1969="TN",S1969&lt;=2800),VLOOKUP(AF1969,TNCalibEq2500!$AZ$2:$BB$56,3,),IF(AND(I1969="TDN",S1969&lt;=2800),VLOOKUP(AF1969,TNCalibEq2500!$AZ$2:$BB$56,3,)))</f>
        <v>0</v>
      </c>
      <c r="AU1969" s="10" t="str">
        <f>IF(I1969="TP",VLOOKUP(AF1969,TPCalibEqFull!$AZ$2:$BB$56,3),IF(I1969="TDP",VLOOKUP(AF1969,TPCalibEqFull!$AZ$2:$BB$56,3),IF(I1969="TDN",VLOOKUP(AF1969,TNCalibEqFull!$AZ$1:$BB$56,3),IF(I1969="TN",VLOOKUP(AF1969,TNCalibEqFull!$AZ$1:$BB$56,3),FALSE))))</f>
        <v>y=0.0239x2+66.574x-31.913</v>
      </c>
      <c r="AV1969" s="10" t="str">
        <f t="shared" si="224"/>
        <v>0130 10:36:00-EMB-0-FIL-1-SW-UKN</v>
      </c>
    </row>
    <row r="1970" spans="1:48" s="10" customFormat="1" x14ac:dyDescent="0.55000000000000004">
      <c r="A1970" s="32">
        <v>44956</v>
      </c>
      <c r="B1970" s="33">
        <v>0.45208333333333334</v>
      </c>
      <c r="C1970" s="10" t="s">
        <v>214</v>
      </c>
      <c r="D1970" s="10">
        <v>0</v>
      </c>
      <c r="E1970" s="10" t="s">
        <v>911</v>
      </c>
      <c r="F1970" s="10">
        <v>1</v>
      </c>
      <c r="G1970" s="10" t="s">
        <v>231</v>
      </c>
      <c r="H1970" s="10" t="s">
        <v>322</v>
      </c>
      <c r="I1970" s="10" t="s">
        <v>266</v>
      </c>
      <c r="J1970" s="10">
        <v>76</v>
      </c>
      <c r="K1970" s="12">
        <v>44958</v>
      </c>
      <c r="L1970" s="33">
        <v>0.66646990740740741</v>
      </c>
      <c r="M1970" s="10">
        <v>1</v>
      </c>
      <c r="N1970" s="10" t="s">
        <v>84</v>
      </c>
      <c r="O1970" s="10">
        <v>2.4300000000000002</v>
      </c>
      <c r="P1970" s="10">
        <v>0.16600000000000001</v>
      </c>
      <c r="Q1970" s="10">
        <v>136</v>
      </c>
      <c r="R1970" s="10" t="s">
        <v>85</v>
      </c>
      <c r="S1970" s="34">
        <f t="shared" si="221"/>
        <v>147.68819000000002</v>
      </c>
      <c r="T1970" s="10" t="s">
        <v>1139</v>
      </c>
      <c r="U1970" s="34" t="str">
        <f t="shared" si="222"/>
        <v/>
      </c>
      <c r="V1970" s="31" t="str">
        <f>IF(H1970="CHK",VLOOKUP(I1970,QCCHK,3,),IF(H1970="GUP",VLOOKUP(E1970,QCGUP,2,),IF(AND(H1970="ATP",OR(I1970="TN",I1970="TDN",I1970="TNO2-3",I1970="NO2-3")),VLOOKUP(E1970,QCREC_N,2,),IF(AND(H1970="NIC",OR(I1970="TN",I1970="TDN",I1970="TNO2-3",I1970="NO2-3")),VLOOKUP(E1970,QCNIC_N,2,),IF(AND(H1970="UREA",OR(I1970="TN",I1970="TDN",I1970="TNO2-3",I1970="NO2-3")),VLOOKUP(E1970,QCUREA_N,2,),IF(H1970="PER",VLOOKUP(I1970,QCPER,MATCH(E1970,QCACTUAL!$J$25:$AA$25,0),),IF(H1970="SPK",VLOOKUP(I1970,QCSPK,3,),IF(AND(H1970="ATP",OR(I1970="TP",I1970="TDP")),VLOOKUP(E1970,QCATP_P,2,),""))))))))</f>
        <v/>
      </c>
      <c r="W1970" s="31" t="str">
        <f t="shared" si="223"/>
        <v>TRUE</v>
      </c>
      <c r="X1970" s="31" t="str">
        <f t="shared" si="220"/>
        <v/>
      </c>
      <c r="Y1970" s="10" t="s">
        <v>1126</v>
      </c>
      <c r="Z1970" s="10" t="s">
        <v>910</v>
      </c>
      <c r="AF1970" s="12">
        <v>44958</v>
      </c>
      <c r="AG1970" s="10">
        <f>-20.9*2.43^2+141.62*2.43-73.036</f>
        <v>147.68819000000002</v>
      </c>
      <c r="AH1970" s="10">
        <f>-1.3807*2.43^2+80.818*2.43-42.013</f>
        <v>146.22184457</v>
      </c>
      <c r="AI1970" s="10">
        <f>0.6312*2.43^2+63.45*2.43-30.993</f>
        <v>126.91767288000003</v>
      </c>
      <c r="AK1970" s="10">
        <f>0.0239*2.43^2+66.574*2.43-31.913</f>
        <v>130.00294711000001</v>
      </c>
      <c r="AL1970" s="10" t="str">
        <f t="shared" si="225"/>
        <v>y=-20.90*2.43^2+141.62*2.43-73.036</v>
      </c>
      <c r="AM1970" s="10" t="str">
        <f t="shared" si="225"/>
        <v>y=-1.3807*2.43^2+80.818*2.43-42.013</v>
      </c>
      <c r="AN1970" s="10" t="str">
        <f t="shared" si="225"/>
        <v>y=0.6312*2.43^2+63.45*2.43-30.993</v>
      </c>
      <c r="AO1970" s="10" t="str">
        <f t="shared" si="226"/>
        <v>FALSE</v>
      </c>
      <c r="AP1970" s="10" t="str">
        <f t="shared" si="226"/>
        <v>y=0.0239*2.43^2+66.574*2.43-31.913</v>
      </c>
      <c r="AQ1970" s="10" t="str">
        <f>IF(AND(I1970="TP",S1970&lt;=150),VLOOKUP(AF1970,TPCalibEq150!$AZ$2:$BB$55,3,),IF(AND(I1970="TDP",S1970&lt;=150),VLOOKUP(AF1970,TPCalibEq150!$AZ$2:$BB$55,3,)))</f>
        <v>y=-20.90x2+141.62x-73.036</v>
      </c>
      <c r="AR1970" s="10" t="str">
        <f>IF(AND(I1970="TP",S1970&lt;=300),VLOOKUP(AF1970,TPCalibEq300!$AZ$2:$BB$55,3,),IF(AND(I1970="TDP",S1970&lt;=300),VLOOKUP(AF1970,TPCalibEq300!$AZ$2:$BB$55,3,)))</f>
        <v>y=-1.3807x2+80.818x-42.013</v>
      </c>
      <c r="AS1970" s="10" t="str">
        <f>IF(AND(I1970="TP",S1970&lt;=500),VLOOKUP(AF1970,TPCalibEq500!$AZ$2:$BB$56,3,),IF(AND(I1970="TDP",S1970&lt;=500),VLOOKUP(AF1970,TPCalibEq500!$AZ$2:$BB$56,3,)))</f>
        <v>y=0.6312x2+63.45x-30.993</v>
      </c>
      <c r="AT1970" s="10" t="b">
        <f>IF(AND(I1970="TN",S1970&lt;=2800),VLOOKUP(AF1970,TNCalibEq2500!$AZ$2:$BB$56,3,),IF(AND(I1970="TDN",S1970&lt;=2800),VLOOKUP(AF1970,TNCalibEq2500!$AZ$2:$BB$56,3,)))</f>
        <v>0</v>
      </c>
      <c r="AU1970" s="10" t="str">
        <f>IF(I1970="TP",VLOOKUP(AF1970,TPCalibEqFull!$AZ$2:$BB$56,3),IF(I1970="TDP",VLOOKUP(AF1970,TPCalibEqFull!$AZ$2:$BB$56,3),IF(I1970="TDN",VLOOKUP(AF1970,TNCalibEqFull!$AZ$1:$BB$56,3),IF(I1970="TN",VLOOKUP(AF1970,TNCalibEqFull!$AZ$1:$BB$56,3),FALSE))))</f>
        <v>y=0.0239x2+66.574x-31.913</v>
      </c>
      <c r="AV1970" s="10" t="str">
        <f t="shared" si="224"/>
        <v>0130 10:51:00-DAM-0-FIL-1-SW-UKN</v>
      </c>
    </row>
    <row r="1971" spans="1:48" s="10" customFormat="1" x14ac:dyDescent="0.55000000000000004">
      <c r="A1971" s="32">
        <v>44956</v>
      </c>
      <c r="B1971" s="33">
        <v>0.45208333333333334</v>
      </c>
      <c r="C1971" s="10" t="s">
        <v>214</v>
      </c>
      <c r="D1971" s="10">
        <v>0</v>
      </c>
      <c r="E1971" s="10" t="s">
        <v>911</v>
      </c>
      <c r="F1971" s="10">
        <v>2</v>
      </c>
      <c r="G1971" s="10" t="s">
        <v>231</v>
      </c>
      <c r="H1971" s="10" t="s">
        <v>322</v>
      </c>
      <c r="I1971" s="10" t="s">
        <v>266</v>
      </c>
      <c r="J1971" s="10">
        <v>77</v>
      </c>
      <c r="K1971" s="12">
        <v>44958</v>
      </c>
      <c r="L1971" s="33">
        <v>0.66718749999999993</v>
      </c>
      <c r="M1971" s="10">
        <v>1</v>
      </c>
      <c r="N1971" s="10" t="s">
        <v>84</v>
      </c>
      <c r="O1971" s="10">
        <v>3.36</v>
      </c>
      <c r="P1971" s="10">
        <v>0.23300000000000001</v>
      </c>
      <c r="Q1971" s="10">
        <v>199</v>
      </c>
      <c r="R1971" s="10" t="s">
        <v>85</v>
      </c>
      <c r="S1971" s="34">
        <f t="shared" si="221"/>
        <v>213.94792927999998</v>
      </c>
      <c r="T1971" s="10" t="s">
        <v>1139</v>
      </c>
      <c r="U1971" s="34" t="str">
        <f t="shared" si="222"/>
        <v/>
      </c>
      <c r="V1971" s="31" t="str">
        <f>IF(H1971="CHK",VLOOKUP(I1971,QCCHK,3,),IF(H1971="GUP",VLOOKUP(E1971,QCGUP,2,),IF(AND(H1971="ATP",OR(I1971="TN",I1971="TDN",I1971="TNO2-3",I1971="NO2-3")),VLOOKUP(E1971,QCREC_N,2,),IF(AND(H1971="NIC",OR(I1971="TN",I1971="TDN",I1971="TNO2-3",I1971="NO2-3")),VLOOKUP(E1971,QCNIC_N,2,),IF(AND(H1971="UREA",OR(I1971="TN",I1971="TDN",I1971="TNO2-3",I1971="NO2-3")),VLOOKUP(E1971,QCUREA_N,2,),IF(H1971="PER",VLOOKUP(I1971,QCPER,MATCH(E1971,QCACTUAL!$J$25:$AA$25,0),),IF(H1971="SPK",VLOOKUP(I1971,QCSPK,3,),IF(AND(H1971="ATP",OR(I1971="TP",I1971="TDP")),VLOOKUP(E1971,QCATP_P,2,),""))))))))</f>
        <v/>
      </c>
      <c r="W1971" s="31" t="str">
        <f t="shared" si="223"/>
        <v>TRUE</v>
      </c>
      <c r="X1971" s="31" t="str">
        <f t="shared" si="220"/>
        <v/>
      </c>
      <c r="Y1971" s="10" t="s">
        <v>1126</v>
      </c>
      <c r="Z1971" s="10" t="s">
        <v>910</v>
      </c>
      <c r="AF1971" s="12">
        <v>44958</v>
      </c>
      <c r="AH1971" s="10">
        <f>-1.3807*3.36^2+80.818*3.36-42.013</f>
        <v>213.94792927999998</v>
      </c>
      <c r="AI1971" s="10">
        <f>0.6312*3.36^2+63.45*3.36-30.993</f>
        <v>189.32499552000002</v>
      </c>
      <c r="AK1971" s="10">
        <f>0.0239*3.36^2+66.574*3.36-31.913</f>
        <v>192.04546143999997</v>
      </c>
      <c r="AL1971" s="10" t="str">
        <f t="shared" si="225"/>
        <v>FALSE</v>
      </c>
      <c r="AM1971" s="10" t="str">
        <f t="shared" si="225"/>
        <v>y=-1.3807*3.36^2+80.818*3.36-42.013</v>
      </c>
      <c r="AN1971" s="10" t="str">
        <f t="shared" si="225"/>
        <v>y=0.6312*3.36^2+63.45*3.36-30.993</v>
      </c>
      <c r="AO1971" s="10" t="str">
        <f t="shared" si="226"/>
        <v>FALSE</v>
      </c>
      <c r="AP1971" s="10" t="str">
        <f t="shared" si="226"/>
        <v>y=0.0239*3.36^2+66.574*3.36-31.913</v>
      </c>
      <c r="AQ1971" s="10" t="b">
        <f>IF(AND(I1971="TP",S1971&lt;=150),VLOOKUP(AF1971,TPCalibEq150!$AZ$2:$BB$55,3,),IF(AND(I1971="TDP",S1971&lt;=150),VLOOKUP(AF1971,TPCalibEq150!$AZ$2:$BB$55,3,)))</f>
        <v>0</v>
      </c>
      <c r="AR1971" s="10" t="str">
        <f>IF(AND(I1971="TP",S1971&lt;=300),VLOOKUP(AF1971,TPCalibEq300!$AZ$2:$BB$55,3,),IF(AND(I1971="TDP",S1971&lt;=300),VLOOKUP(AF1971,TPCalibEq300!$AZ$2:$BB$55,3,)))</f>
        <v>y=-1.3807x2+80.818x-42.013</v>
      </c>
      <c r="AS1971" s="10" t="str">
        <f>IF(AND(I1971="TP",S1971&lt;=500),VLOOKUP(AF1971,TPCalibEq500!$AZ$2:$BB$56,3,),IF(AND(I1971="TDP",S1971&lt;=500),VLOOKUP(AF1971,TPCalibEq500!$AZ$2:$BB$56,3,)))</f>
        <v>y=0.6312x2+63.45x-30.993</v>
      </c>
      <c r="AT1971" s="10" t="b">
        <f>IF(AND(I1971="TN",S1971&lt;=2800),VLOOKUP(AF1971,TNCalibEq2500!$AZ$2:$BB$56,3,),IF(AND(I1971="TDN",S1971&lt;=2800),VLOOKUP(AF1971,TNCalibEq2500!$AZ$2:$BB$56,3,)))</f>
        <v>0</v>
      </c>
      <c r="AU1971" s="10" t="str">
        <f>IF(I1971="TP",VLOOKUP(AF1971,TPCalibEqFull!$AZ$2:$BB$56,3),IF(I1971="TDP",VLOOKUP(AF1971,TPCalibEqFull!$AZ$2:$BB$56,3),IF(I1971="TDN",VLOOKUP(AF1971,TNCalibEqFull!$AZ$1:$BB$56,3),IF(I1971="TN",VLOOKUP(AF1971,TNCalibEqFull!$AZ$1:$BB$56,3),FALSE))))</f>
        <v>y=0.0239x2+66.574x-31.913</v>
      </c>
      <c r="AV1971" s="10" t="str">
        <f t="shared" si="224"/>
        <v>0130 10:51:00-DAM-0-FIL-2-SW-UKN</v>
      </c>
    </row>
    <row r="1972" spans="1:48" s="10" customFormat="1" x14ac:dyDescent="0.55000000000000004">
      <c r="A1972" s="32">
        <v>44956</v>
      </c>
      <c r="B1972" s="33">
        <v>0.45208333333333334</v>
      </c>
      <c r="C1972" s="10" t="s">
        <v>214</v>
      </c>
      <c r="D1972" s="10">
        <v>0</v>
      </c>
      <c r="E1972" s="10" t="s">
        <v>911</v>
      </c>
      <c r="F1972" s="10">
        <v>2</v>
      </c>
      <c r="G1972" s="10" t="s">
        <v>231</v>
      </c>
      <c r="H1972" s="10" t="s">
        <v>233</v>
      </c>
      <c r="I1972" s="10" t="s">
        <v>266</v>
      </c>
      <c r="J1972" s="10">
        <v>77</v>
      </c>
      <c r="K1972" s="12">
        <v>44958</v>
      </c>
      <c r="L1972" s="33">
        <v>0.66789351851851853</v>
      </c>
      <c r="M1972" s="10">
        <v>1</v>
      </c>
      <c r="N1972" s="10" t="s">
        <v>84</v>
      </c>
      <c r="O1972" s="10">
        <v>3.36</v>
      </c>
      <c r="P1972" s="10">
        <v>0.23300000000000001</v>
      </c>
      <c r="Q1972" s="10">
        <v>199</v>
      </c>
      <c r="R1972" s="10" t="s">
        <v>85</v>
      </c>
      <c r="S1972" s="34">
        <f t="shared" si="221"/>
        <v>213.94792927999998</v>
      </c>
      <c r="T1972" s="10" t="s">
        <v>1139</v>
      </c>
      <c r="U1972" s="34">
        <f t="shared" si="222"/>
        <v>0</v>
      </c>
      <c r="V1972" s="31" t="str">
        <f>IF(H1972="CHK",VLOOKUP(I1972,QCCHK,3,),IF(H1972="GUP",VLOOKUP(E1972,QCGUP,2,),IF(AND(H1972="ATP",OR(I1972="TN",I1972="TDN",I1972="TNO2-3",I1972="NO2-3")),VLOOKUP(E1972,QCREC_N,2,),IF(AND(H1972="NIC",OR(I1972="TN",I1972="TDN",I1972="TNO2-3",I1972="NO2-3")),VLOOKUP(E1972,QCNIC_N,2,),IF(AND(H1972="UREA",OR(I1972="TN",I1972="TDN",I1972="TNO2-3",I1972="NO2-3")),VLOOKUP(E1972,QCUREA_N,2,),IF(H1972="PER",VLOOKUP(I1972,QCPER,MATCH(E1972,QCACTUAL!$J$25:$AA$25,0),),IF(H1972="SPK",VLOOKUP(I1972,QCSPK,3,),IF(AND(H1972="ATP",OR(I1972="TP",I1972="TDP")),VLOOKUP(E1972,QCATP_P,2,),""))))))))</f>
        <v/>
      </c>
      <c r="W1972" s="31" t="str">
        <f t="shared" si="223"/>
        <v>TRUE</v>
      </c>
      <c r="X1972" s="31" t="str">
        <f t="shared" si="220"/>
        <v>((ABS(rep1-rep2))/((rep1+rep2)/2)*100</v>
      </c>
      <c r="Y1972" s="10" t="s">
        <v>1126</v>
      </c>
      <c r="Z1972" s="10" t="s">
        <v>910</v>
      </c>
      <c r="AF1972" s="12">
        <v>44958</v>
      </c>
      <c r="AH1972" s="10">
        <f>-1.3807*3.36^2+80.818*3.36-42.013</f>
        <v>213.94792927999998</v>
      </c>
      <c r="AI1972" s="10">
        <f>0.6312*3.36^2+63.45*3.36-30.993</f>
        <v>189.32499552000002</v>
      </c>
      <c r="AK1972" s="10">
        <f>0.0239*3.36^2+66.574*3.36-31.913</f>
        <v>192.04546143999997</v>
      </c>
      <c r="AL1972" s="10" t="str">
        <f t="shared" si="225"/>
        <v>FALSE</v>
      </c>
      <c r="AM1972" s="10" t="str">
        <f t="shared" si="225"/>
        <v>y=-1.3807*3.36^2+80.818*3.36-42.013</v>
      </c>
      <c r="AN1972" s="10" t="str">
        <f t="shared" si="225"/>
        <v>y=0.6312*3.36^2+63.45*3.36-30.993</v>
      </c>
      <c r="AO1972" s="10" t="str">
        <f t="shared" si="226"/>
        <v>FALSE</v>
      </c>
      <c r="AP1972" s="10" t="str">
        <f t="shared" si="226"/>
        <v>y=0.0239*3.36^2+66.574*3.36-31.913</v>
      </c>
      <c r="AQ1972" s="10" t="b">
        <f>IF(AND(I1972="TP",S1972&lt;=150),VLOOKUP(AF1972,TPCalibEq150!$AZ$2:$BB$55,3,),IF(AND(I1972="TDP",S1972&lt;=150),VLOOKUP(AF1972,TPCalibEq150!$AZ$2:$BB$55,3,)))</f>
        <v>0</v>
      </c>
      <c r="AR1972" s="10" t="str">
        <f>IF(AND(I1972="TP",S1972&lt;=300),VLOOKUP(AF1972,TPCalibEq300!$AZ$2:$BB$55,3,),IF(AND(I1972="TDP",S1972&lt;=300),VLOOKUP(AF1972,TPCalibEq300!$AZ$2:$BB$55,3,)))</f>
        <v>y=-1.3807x2+80.818x-42.013</v>
      </c>
      <c r="AS1972" s="10" t="str">
        <f>IF(AND(I1972="TP",S1972&lt;=500),VLOOKUP(AF1972,TPCalibEq500!$AZ$2:$BB$56,3,),IF(AND(I1972="TDP",S1972&lt;=500),VLOOKUP(AF1972,TPCalibEq500!$AZ$2:$BB$56,3,)))</f>
        <v>y=0.6312x2+63.45x-30.993</v>
      </c>
      <c r="AT1972" s="10" t="b">
        <f>IF(AND(I1972="TN",S1972&lt;=2800),VLOOKUP(AF1972,TNCalibEq2500!$AZ$2:$BB$56,3,),IF(AND(I1972="TDN",S1972&lt;=2800),VLOOKUP(AF1972,TNCalibEq2500!$AZ$2:$BB$56,3,)))</f>
        <v>0</v>
      </c>
      <c r="AU1972" s="10" t="str">
        <f>IF(I1972="TP",VLOOKUP(AF1972,TPCalibEqFull!$AZ$2:$BB$56,3),IF(I1972="TDP",VLOOKUP(AF1972,TPCalibEqFull!$AZ$2:$BB$56,3),IF(I1972="TDN",VLOOKUP(AF1972,TNCalibEqFull!$AZ$1:$BB$56,3),IF(I1972="TN",VLOOKUP(AF1972,TNCalibEqFull!$AZ$1:$BB$56,3),FALSE))))</f>
        <v>y=0.0239x2+66.574x-31.913</v>
      </c>
      <c r="AV1972" s="10" t="str">
        <f t="shared" si="224"/>
        <v>0130 10:51:00-DAM-0-FIL-2-SW-DUP</v>
      </c>
    </row>
    <row r="1973" spans="1:48" s="10" customFormat="1" x14ac:dyDescent="0.55000000000000004">
      <c r="A1973" s="32">
        <v>44956</v>
      </c>
      <c r="B1973" s="33">
        <v>0.45208333333333334</v>
      </c>
      <c r="C1973" s="10" t="s">
        <v>214</v>
      </c>
      <c r="D1973" s="10">
        <v>0</v>
      </c>
      <c r="E1973" s="10" t="s">
        <v>911</v>
      </c>
      <c r="F1973" s="10">
        <v>2</v>
      </c>
      <c r="G1973" s="10" t="s">
        <v>231</v>
      </c>
      <c r="H1973" s="10" t="s">
        <v>314</v>
      </c>
      <c r="I1973" s="10" t="s">
        <v>266</v>
      </c>
      <c r="J1973" s="10">
        <v>90</v>
      </c>
      <c r="K1973" s="12">
        <v>44958</v>
      </c>
      <c r="L1973" s="33">
        <v>0.66857638888888893</v>
      </c>
      <c r="M1973" s="10">
        <v>1</v>
      </c>
      <c r="N1973" s="10" t="s">
        <v>84</v>
      </c>
      <c r="O1973" s="10">
        <v>17.399999999999999</v>
      </c>
      <c r="P1973" s="10">
        <v>1.2</v>
      </c>
      <c r="Q1973" s="10">
        <v>1140</v>
      </c>
      <c r="R1973" s="10" t="s">
        <v>85</v>
      </c>
      <c r="S1973" s="34">
        <f t="shared" si="221"/>
        <v>1140</v>
      </c>
      <c r="T1973" s="10" t="s">
        <v>1139</v>
      </c>
      <c r="U1973" s="34">
        <f t="shared" si="222"/>
        <v>92.605207072000013</v>
      </c>
      <c r="V1973" s="31">
        <f>IF(H1973="CHK",VLOOKUP(I1973,QCCHK,3,),IF(H1973="GUP",VLOOKUP(E1973,QCGUP,2,),IF(AND(H1973="ATP",OR(I1973="TN",I1973="TDN",I1973="TNO2-3",I1973="NO2-3")),VLOOKUP(E1973,QCREC_N,2,),IF(AND(H1973="NIC",OR(I1973="TN",I1973="TDN",I1973="TNO2-3",I1973="NO2-3")),VLOOKUP(E1973,QCNIC_N,2,),IF(AND(H1973="UREA",OR(I1973="TN",I1973="TDN",I1973="TNO2-3",I1973="NO2-3")),VLOOKUP(E1973,QCUREA_N,2,),IF(H1973="PER",VLOOKUP(I1973,QCPER,MATCH(E1973,QCACTUAL!$J$25:$AA$25,0),),IF(H1973="SPK",VLOOKUP(I1973,QCSPK,3,),IF(AND(H1973="ATP",OR(I1973="TP",I1973="TDP")),VLOOKUP(E1973,QCATP_P,2,),""))))))))</f>
        <v>1000</v>
      </c>
      <c r="W1973" s="31" t="str">
        <f t="shared" si="223"/>
        <v>TRUE</v>
      </c>
      <c r="X1973" s="31" t="str">
        <f t="shared" si="220"/>
        <v>([spikedunkn]-[unkn])/[spike]*100</v>
      </c>
      <c r="Y1973" s="10" t="s">
        <v>1126</v>
      </c>
      <c r="Z1973" s="10" t="s">
        <v>910</v>
      </c>
      <c r="AF1973" s="12">
        <v>44958</v>
      </c>
      <c r="AK1973" s="10">
        <f>0.0239*17.4^2+66.574*17.4-31.913</f>
        <v>1133.7105639999997</v>
      </c>
      <c r="AL1973" s="10" t="str">
        <f t="shared" si="225"/>
        <v>FALSE</v>
      </c>
      <c r="AM1973" s="10" t="str">
        <f t="shared" si="225"/>
        <v>FALSE</v>
      </c>
      <c r="AN1973" s="10" t="str">
        <f t="shared" si="225"/>
        <v>FALSE</v>
      </c>
      <c r="AO1973" s="10" t="str">
        <f t="shared" si="226"/>
        <v>FALSE</v>
      </c>
      <c r="AP1973" s="10" t="str">
        <f t="shared" si="226"/>
        <v>y=0.0239*17.4^2+66.574*17.4-31.913</v>
      </c>
      <c r="AQ1973" s="10" t="b">
        <f>IF(AND(I1973="TP",S1973&lt;=150),VLOOKUP(AF1973,TPCalibEq150!$AZ$2:$BB$55,3,),IF(AND(I1973="TDP",S1973&lt;=150),VLOOKUP(AF1973,TPCalibEq150!$AZ$2:$BB$55,3,)))</f>
        <v>0</v>
      </c>
      <c r="AR1973" s="10" t="b">
        <f>IF(AND(I1973="TP",S1973&lt;=300),VLOOKUP(AF1973,TPCalibEq300!$AZ$2:$BB$55,3,),IF(AND(I1973="TDP",S1973&lt;=300),VLOOKUP(AF1973,TPCalibEq300!$AZ$2:$BB$55,3,)))</f>
        <v>0</v>
      </c>
      <c r="AS1973" s="10" t="b">
        <f>IF(AND(I1973="TP",S1973&lt;=500),VLOOKUP(AF1973,TPCalibEq500!$AZ$2:$BB$56,3,),IF(AND(I1973="TDP",S1973&lt;=500),VLOOKUP(AF1973,TPCalibEq500!$AZ$2:$BB$56,3,)))</f>
        <v>0</v>
      </c>
      <c r="AT1973" s="10" t="b">
        <f>IF(AND(I1973="TN",S1973&lt;=2800),VLOOKUP(AF1973,TNCalibEq2500!$AZ$2:$BB$56,3,),IF(AND(I1973="TDN",S1973&lt;=2800),VLOOKUP(AF1973,TNCalibEq2500!$AZ$2:$BB$56,3,)))</f>
        <v>0</v>
      </c>
      <c r="AU1973" s="10" t="str">
        <f>IF(I1973="TP",VLOOKUP(AF1973,TPCalibEqFull!$AZ$2:$BB$56,3),IF(I1973="TDP",VLOOKUP(AF1973,TPCalibEqFull!$AZ$2:$BB$56,3),IF(I1973="TDN",VLOOKUP(AF1973,TNCalibEqFull!$AZ$1:$BB$56,3),IF(I1973="TN",VLOOKUP(AF1973,TNCalibEqFull!$AZ$1:$BB$56,3),FALSE))))</f>
        <v>y=0.0239x2+66.574x-31.913</v>
      </c>
      <c r="AV1973" s="10" t="str">
        <f t="shared" si="224"/>
        <v>0130 10:51:00-DAM-0-FIL-2-SW-SPK</v>
      </c>
    </row>
    <row r="1974" spans="1:48" s="10" customFormat="1" x14ac:dyDescent="0.55000000000000004">
      <c r="A1974" s="32">
        <v>44958</v>
      </c>
      <c r="B1974" s="33">
        <v>0.375</v>
      </c>
      <c r="C1974" s="10" t="s">
        <v>70</v>
      </c>
      <c r="D1974" s="10" t="s">
        <v>71</v>
      </c>
      <c r="E1974" s="10" t="s">
        <v>901</v>
      </c>
      <c r="F1974" s="10">
        <v>1</v>
      </c>
      <c r="G1974" s="10" t="s">
        <v>73</v>
      </c>
      <c r="H1974" s="10" t="s">
        <v>207</v>
      </c>
      <c r="I1974" s="10" t="s">
        <v>83</v>
      </c>
      <c r="J1974" s="10">
        <v>199</v>
      </c>
      <c r="K1974" s="12">
        <v>44958</v>
      </c>
      <c r="L1974" s="33">
        <v>0.66928240740740741</v>
      </c>
      <c r="M1974" s="10">
        <v>1</v>
      </c>
      <c r="N1974" s="10" t="s">
        <v>84</v>
      </c>
      <c r="O1974" s="10">
        <v>8.18</v>
      </c>
      <c r="P1974" s="10">
        <v>0.57099999999999995</v>
      </c>
      <c r="Q1974" s="10">
        <v>521</v>
      </c>
      <c r="R1974" s="10" t="s">
        <v>85</v>
      </c>
      <c r="S1974" s="34">
        <f t="shared" si="221"/>
        <v>521</v>
      </c>
      <c r="T1974" s="10" t="s">
        <v>1139</v>
      </c>
      <c r="U1974" s="34">
        <f t="shared" si="222"/>
        <v>104.2</v>
      </c>
      <c r="V1974" s="31">
        <f>IF(H1974="CHK",VLOOKUP(I1974,QCCHK,3,),IF(H1974="GUP",VLOOKUP(E1974,QCGUP,2,),IF(AND(H1974="ATP",OR(I1974="TN",I1974="TDN",I1974="TNO2-3",I1974="NO2-3")),VLOOKUP(E1974,QCREC_N,2,),IF(AND(H1974="NIC",OR(I1974="TN",I1974="TDN",I1974="TNO2-3",I1974="NO2-3")),VLOOKUP(E1974,QCNIC_N,2,),IF(AND(H1974="UREA",OR(I1974="TN",I1974="TDN",I1974="TNO2-3",I1974="NO2-3")),VLOOKUP(E1974,QCUREA_N,2,),IF(H1974="PER",VLOOKUP(I1974,QCPER,MATCH(E1974,QCACTUAL!$J$25:$AA$25,0),),IF(H1974="SPK",VLOOKUP(I1974,QCSPK,3,),IF(AND(H1974="ATP",OR(I1974="TP",I1974="TDP")),VLOOKUP(E1974,QCATP_P,2,),""))))))))</f>
        <v>500</v>
      </c>
      <c r="W1974" s="31" t="str">
        <f t="shared" si="223"/>
        <v>TRUE</v>
      </c>
      <c r="X1974" s="31" t="str">
        <f t="shared" si="220"/>
        <v>[chk]/[actual]*100</v>
      </c>
      <c r="Y1974" s="10" t="s">
        <v>1126</v>
      </c>
      <c r="AF1974" s="12">
        <v>44958</v>
      </c>
      <c r="AK1974" s="10">
        <f>0.0239*8.18^2+66.574*8.18-31.913</f>
        <v>514.26152635999995</v>
      </c>
      <c r="AL1974" s="10" t="str">
        <f t="shared" si="225"/>
        <v>FALSE</v>
      </c>
      <c r="AM1974" s="10" t="str">
        <f t="shared" si="225"/>
        <v>FALSE</v>
      </c>
      <c r="AN1974" s="10" t="str">
        <f t="shared" si="225"/>
        <v>FALSE</v>
      </c>
      <c r="AO1974" s="10" t="str">
        <f t="shared" si="226"/>
        <v>FALSE</v>
      </c>
      <c r="AP1974" s="10" t="str">
        <f t="shared" si="226"/>
        <v>y=0.0239*8.18^2+66.574*8.18-31.913</v>
      </c>
      <c r="AQ1974" s="10" t="b">
        <f>IF(AND(I1974="TP",S1974&lt;=150),VLOOKUP(AF1974,TPCalibEq150!$AZ$2:$BB$55,3,),IF(AND(I1974="TDP",S1974&lt;=150),VLOOKUP(AF1974,TPCalibEq150!$AZ$2:$BB$55,3,)))</f>
        <v>0</v>
      </c>
      <c r="AR1974" s="10" t="b">
        <f>IF(AND(I1974="TP",S1974&lt;=300),VLOOKUP(AF1974,TPCalibEq300!$AZ$2:$BB$55,3,),IF(AND(I1974="TDP",S1974&lt;=300),VLOOKUP(AF1974,TPCalibEq300!$AZ$2:$BB$55,3,)))</f>
        <v>0</v>
      </c>
      <c r="AS1974" s="10" t="b">
        <f>IF(AND(I1974="TP",S1974&lt;=500),VLOOKUP(AF1974,TPCalibEq500!$AZ$2:$BB$56,3,),IF(AND(I1974="TDP",S1974&lt;=500),VLOOKUP(AF1974,TPCalibEq500!$AZ$2:$BB$56,3,)))</f>
        <v>0</v>
      </c>
      <c r="AT1974" s="10" t="b">
        <f>IF(AND(I1974="TN",S1974&lt;=2800),VLOOKUP(AF1974,TNCalibEq2500!$AZ$2:$BB$56,3,),IF(AND(I1974="TDN",S1974&lt;=2800),VLOOKUP(AF1974,TNCalibEq2500!$AZ$2:$BB$56,3,)))</f>
        <v>0</v>
      </c>
      <c r="AU1974" s="10" t="str">
        <f>IF(I1974="TP",VLOOKUP(AF1974,TPCalibEqFull!$AZ$2:$BB$56,3),IF(I1974="TDP",VLOOKUP(AF1974,TPCalibEqFull!$AZ$2:$BB$56,3),IF(I1974="TDN",VLOOKUP(AF1974,TNCalibEqFull!$AZ$1:$BB$56,3),IF(I1974="TN",VLOOKUP(AF1974,TNCalibEqFull!$AZ$1:$BB$56,3),FALSE))))</f>
        <v>y=0.0239x2+66.574x-31.913</v>
      </c>
      <c r="AV1974" s="10" t="str">
        <f t="shared" si="224"/>
        <v>0201 09:00:00-QAC-STD-D-1-DI-CHK</v>
      </c>
    </row>
    <row r="1975" spans="1:48" s="10" customFormat="1" x14ac:dyDescent="0.55000000000000004">
      <c r="A1975" s="32">
        <v>44956</v>
      </c>
      <c r="B1975" s="33">
        <v>0.46527777777777773</v>
      </c>
      <c r="C1975" s="10" t="s">
        <v>341</v>
      </c>
      <c r="D1975" s="10">
        <v>0</v>
      </c>
      <c r="E1975" s="10" t="s">
        <v>911</v>
      </c>
      <c r="F1975" s="10">
        <v>1</v>
      </c>
      <c r="G1975" s="10" t="s">
        <v>231</v>
      </c>
      <c r="H1975" s="10" t="s">
        <v>322</v>
      </c>
      <c r="I1975" s="10" t="s">
        <v>266</v>
      </c>
      <c r="J1975" s="10">
        <v>78</v>
      </c>
      <c r="K1975" s="12">
        <v>44958</v>
      </c>
      <c r="L1975" s="33">
        <v>0.66999999999999993</v>
      </c>
      <c r="M1975" s="10">
        <v>1</v>
      </c>
      <c r="N1975" s="10" t="s">
        <v>84</v>
      </c>
      <c r="O1975" s="10">
        <v>0.86099999999999999</v>
      </c>
      <c r="P1975" s="10">
        <v>5.6399999999999999E-2</v>
      </c>
      <c r="Q1975" s="10">
        <v>31.6</v>
      </c>
      <c r="R1975" s="10" t="s">
        <v>85</v>
      </c>
      <c r="S1975" s="34">
        <f t="shared" si="221"/>
        <v>33.405211100000002</v>
      </c>
      <c r="T1975" s="10" t="s">
        <v>1139</v>
      </c>
      <c r="U1975" s="34" t="str">
        <f t="shared" si="222"/>
        <v/>
      </c>
      <c r="V1975" s="31" t="str">
        <f>IF(H1975="CHK",VLOOKUP(I1975,QCCHK,3,),IF(H1975="GUP",VLOOKUP(E1975,QCGUP,2,),IF(AND(H1975="ATP",OR(I1975="TN",I1975="TDN",I1975="TNO2-3",I1975="NO2-3")),VLOOKUP(E1975,QCREC_N,2,),IF(AND(H1975="NIC",OR(I1975="TN",I1975="TDN",I1975="TNO2-3",I1975="NO2-3")),VLOOKUP(E1975,QCNIC_N,2,),IF(AND(H1975="UREA",OR(I1975="TN",I1975="TDN",I1975="TNO2-3",I1975="NO2-3")),VLOOKUP(E1975,QCUREA_N,2,),IF(H1975="PER",VLOOKUP(I1975,QCPER,MATCH(E1975,QCACTUAL!$J$25:$AA$25,0),),IF(H1975="SPK",VLOOKUP(I1975,QCSPK,3,),IF(AND(H1975="ATP",OR(I1975="TP",I1975="TDP")),VLOOKUP(E1975,QCATP_P,2,),""))))))))</f>
        <v/>
      </c>
      <c r="W1975" s="31" t="str">
        <f t="shared" si="223"/>
        <v>TRUE</v>
      </c>
      <c r="X1975" s="31" t="str">
        <f t="shared" si="220"/>
        <v/>
      </c>
      <c r="Y1975" s="10" t="s">
        <v>1126</v>
      </c>
      <c r="Z1975" s="10" t="s">
        <v>910</v>
      </c>
      <c r="AF1975" s="12">
        <v>44958</v>
      </c>
      <c r="AG1975" s="10">
        <f>-20.9*0.861^2+141.62*0.861-73.036</f>
        <v>33.405211100000002</v>
      </c>
      <c r="AH1975" s="10">
        <f>-1.3807*0.861^2+80.818*0.861-42.013</f>
        <v>26.547756095300009</v>
      </c>
      <c r="AI1975" s="10">
        <f>0.6312*0.861^2+63.45*0.861-30.993</f>
        <v>24.105371815200005</v>
      </c>
      <c r="AK1975" s="10">
        <f>0.0239*0.861^2+66.574*0.861-31.913</f>
        <v>25.4249315719</v>
      </c>
      <c r="AL1975" s="10" t="str">
        <f t="shared" si="225"/>
        <v>y=-20.90*0.861^2+141.62*0.861-73.036</v>
      </c>
      <c r="AM1975" s="10" t="str">
        <f t="shared" si="225"/>
        <v>y=-1.3807*0.861^2+80.818*0.861-42.013</v>
      </c>
      <c r="AN1975" s="10" t="str">
        <f t="shared" si="225"/>
        <v>y=0.6312*0.861^2+63.45*0.861-30.993</v>
      </c>
      <c r="AO1975" s="10" t="str">
        <f t="shared" si="226"/>
        <v>FALSE</v>
      </c>
      <c r="AP1975" s="10" t="str">
        <f t="shared" si="226"/>
        <v>y=0.0239*0.861^2+66.574*0.861-31.913</v>
      </c>
      <c r="AQ1975" s="10" t="str">
        <f>IF(AND(I1975="TP",S1975&lt;=150),VLOOKUP(AF1975,TPCalibEq150!$AZ$2:$BB$55,3,),IF(AND(I1975="TDP",S1975&lt;=150),VLOOKUP(AF1975,TPCalibEq150!$AZ$2:$BB$55,3,)))</f>
        <v>y=-20.90x2+141.62x-73.036</v>
      </c>
      <c r="AR1975" s="10" t="str">
        <f>IF(AND(I1975="TP",S1975&lt;=300),VLOOKUP(AF1975,TPCalibEq300!$AZ$2:$BB$55,3,),IF(AND(I1975="TDP",S1975&lt;=300),VLOOKUP(AF1975,TPCalibEq300!$AZ$2:$BB$55,3,)))</f>
        <v>y=-1.3807x2+80.818x-42.013</v>
      </c>
      <c r="AS1975" s="10" t="str">
        <f>IF(AND(I1975="TP",S1975&lt;=500),VLOOKUP(AF1975,TPCalibEq500!$AZ$2:$BB$56,3,),IF(AND(I1975="TDP",S1975&lt;=500),VLOOKUP(AF1975,TPCalibEq500!$AZ$2:$BB$56,3,)))</f>
        <v>y=0.6312x2+63.45x-30.993</v>
      </c>
      <c r="AT1975" s="10" t="b">
        <f>IF(AND(I1975="TN",S1975&lt;=2800),VLOOKUP(AF1975,TNCalibEq2500!$AZ$2:$BB$56,3,),IF(AND(I1975="TDN",S1975&lt;=2800),VLOOKUP(AF1975,TNCalibEq2500!$AZ$2:$BB$56,3,)))</f>
        <v>0</v>
      </c>
      <c r="AU1975" s="10" t="str">
        <f>IF(I1975="TP",VLOOKUP(AF1975,TPCalibEqFull!$AZ$2:$BB$56,3),IF(I1975="TDP",VLOOKUP(AF1975,TPCalibEqFull!$AZ$2:$BB$56,3),IF(I1975="TDN",VLOOKUP(AF1975,TNCalibEqFull!$AZ$1:$BB$56,3),IF(I1975="TN",VLOOKUP(AF1975,TNCalibEqFull!$AZ$1:$BB$56,3),FALSE))))</f>
        <v>y=0.0239x2+66.574x-31.913</v>
      </c>
      <c r="AV1975" s="10" t="str">
        <f t="shared" si="224"/>
        <v>0130 11:10:00-LRC-0-FIL-1-SW-UKN</v>
      </c>
    </row>
    <row r="1976" spans="1:48" s="10" customFormat="1" x14ac:dyDescent="0.55000000000000004">
      <c r="A1976" s="32">
        <v>44956</v>
      </c>
      <c r="B1976" s="33">
        <v>0.4777777777777778</v>
      </c>
      <c r="C1976" s="10" t="s">
        <v>228</v>
      </c>
      <c r="D1976" s="10">
        <v>0</v>
      </c>
      <c r="E1976" s="10" t="s">
        <v>911</v>
      </c>
      <c r="F1976" s="10">
        <v>1</v>
      </c>
      <c r="G1976" s="10" t="s">
        <v>231</v>
      </c>
      <c r="H1976" s="10" t="s">
        <v>322</v>
      </c>
      <c r="I1976" s="10" t="s">
        <v>266</v>
      </c>
      <c r="J1976" s="10">
        <v>79</v>
      </c>
      <c r="K1976" s="12">
        <v>44958</v>
      </c>
      <c r="L1976" s="33">
        <v>0.67069444444444448</v>
      </c>
      <c r="M1976" s="10">
        <v>1</v>
      </c>
      <c r="N1976" s="10" t="s">
        <v>84</v>
      </c>
      <c r="O1976" s="10">
        <v>1.97</v>
      </c>
      <c r="P1976" s="10">
        <v>0.13500000000000001</v>
      </c>
      <c r="Q1976" s="10">
        <v>106</v>
      </c>
      <c r="R1976" s="10" t="s">
        <v>85</v>
      </c>
      <c r="S1976" s="34">
        <f t="shared" si="221"/>
        <v>124.84458999999998</v>
      </c>
      <c r="T1976" s="10" t="s">
        <v>1139</v>
      </c>
      <c r="U1976" s="34" t="str">
        <f t="shared" si="222"/>
        <v/>
      </c>
      <c r="V1976" s="31" t="str">
        <f>IF(H1976="CHK",VLOOKUP(I1976,QCCHK,3,),IF(H1976="GUP",VLOOKUP(E1976,QCGUP,2,),IF(AND(H1976="ATP",OR(I1976="TN",I1976="TDN",I1976="TNO2-3",I1976="NO2-3")),VLOOKUP(E1976,QCREC_N,2,),IF(AND(H1976="NIC",OR(I1976="TN",I1976="TDN",I1976="TNO2-3",I1976="NO2-3")),VLOOKUP(E1976,QCNIC_N,2,),IF(AND(H1976="UREA",OR(I1976="TN",I1976="TDN",I1976="TNO2-3",I1976="NO2-3")),VLOOKUP(E1976,QCUREA_N,2,),IF(H1976="PER",VLOOKUP(I1976,QCPER,MATCH(E1976,QCACTUAL!$J$25:$AA$25,0),),IF(H1976="SPK",VLOOKUP(I1976,QCSPK,3,),IF(AND(H1976="ATP",OR(I1976="TP",I1976="TDP")),VLOOKUP(E1976,QCATP_P,2,),""))))))))</f>
        <v/>
      </c>
      <c r="W1976" s="31" t="str">
        <f t="shared" si="223"/>
        <v>TRUE</v>
      </c>
      <c r="X1976" s="31" t="str">
        <f t="shared" si="220"/>
        <v/>
      </c>
      <c r="Y1976" s="10" t="s">
        <v>1126</v>
      </c>
      <c r="Z1976" s="10" t="s">
        <v>910</v>
      </c>
      <c r="AF1976" s="12">
        <v>44958</v>
      </c>
      <c r="AG1976" s="10">
        <f>-20.9*1.97^2+141.62*1.97-73.036</f>
        <v>124.84458999999998</v>
      </c>
      <c r="AH1976" s="10">
        <f>-1.3807*1.97^2+80.818*1.97-42.013</f>
        <v>111.84010136999999</v>
      </c>
      <c r="AI1976" s="10">
        <f>0.6312*1.97^2+63.45*1.97-30.993</f>
        <v>96.453124080000009</v>
      </c>
      <c r="AK1976" s="10">
        <f>0.0239*1.97^2+66.574*1.97-31.913</f>
        <v>99.330533509999995</v>
      </c>
      <c r="AL1976" s="10" t="str">
        <f t="shared" si="225"/>
        <v>y=-20.90*1.97^2+141.62*1.97-73.036</v>
      </c>
      <c r="AM1976" s="10" t="str">
        <f t="shared" si="225"/>
        <v>y=-1.3807*1.97^2+80.818*1.97-42.013</v>
      </c>
      <c r="AN1976" s="10" t="str">
        <f t="shared" si="225"/>
        <v>y=0.6312*1.97^2+63.45*1.97-30.993</v>
      </c>
      <c r="AO1976" s="10" t="str">
        <f t="shared" si="226"/>
        <v>FALSE</v>
      </c>
      <c r="AP1976" s="10" t="str">
        <f t="shared" si="226"/>
        <v>y=0.0239*1.97^2+66.574*1.97-31.913</v>
      </c>
      <c r="AQ1976" s="10" t="str">
        <f>IF(AND(I1976="TP",S1976&lt;=150),VLOOKUP(AF1976,TPCalibEq150!$AZ$2:$BB$55,3,),IF(AND(I1976="TDP",S1976&lt;=150),VLOOKUP(AF1976,TPCalibEq150!$AZ$2:$BB$55,3,)))</f>
        <v>y=-20.90x2+141.62x-73.036</v>
      </c>
      <c r="AR1976" s="10" t="str">
        <f>IF(AND(I1976="TP",S1976&lt;=300),VLOOKUP(AF1976,TPCalibEq300!$AZ$2:$BB$55,3,),IF(AND(I1976="TDP",S1976&lt;=300),VLOOKUP(AF1976,TPCalibEq300!$AZ$2:$BB$55,3,)))</f>
        <v>y=-1.3807x2+80.818x-42.013</v>
      </c>
      <c r="AS1976" s="10" t="str">
        <f>IF(AND(I1976="TP",S1976&lt;=500),VLOOKUP(AF1976,TPCalibEq500!$AZ$2:$BB$56,3,),IF(AND(I1976="TDP",S1976&lt;=500),VLOOKUP(AF1976,TPCalibEq500!$AZ$2:$BB$56,3,)))</f>
        <v>y=0.6312x2+63.45x-30.993</v>
      </c>
      <c r="AT1976" s="10" t="b">
        <f>IF(AND(I1976="TN",S1976&lt;=2800),VLOOKUP(AF1976,TNCalibEq2500!$AZ$2:$BB$56,3,),IF(AND(I1976="TDN",S1976&lt;=2800),VLOOKUP(AF1976,TNCalibEq2500!$AZ$2:$BB$56,3,)))</f>
        <v>0</v>
      </c>
      <c r="AU1976" s="10" t="str">
        <f>IF(I1976="TP",VLOOKUP(AF1976,TPCalibEqFull!$AZ$2:$BB$56,3),IF(I1976="TDP",VLOOKUP(AF1976,TPCalibEqFull!$AZ$2:$BB$56,3),IF(I1976="TDN",VLOOKUP(AF1976,TNCalibEqFull!$AZ$1:$BB$56,3),IF(I1976="TN",VLOOKUP(AF1976,TNCalibEqFull!$AZ$1:$BB$56,3),FALSE))))</f>
        <v>y=0.0239x2+66.574x-31.913</v>
      </c>
      <c r="AV1976" s="10" t="str">
        <f t="shared" si="224"/>
        <v>0130 11:28:00-DWT-0-FIL-1-SW-UKN</v>
      </c>
    </row>
    <row r="1977" spans="1:48" s="10" customFormat="1" x14ac:dyDescent="0.55000000000000004">
      <c r="A1977" s="32">
        <v>44956</v>
      </c>
      <c r="B1977" s="33">
        <v>0.49374999999999997</v>
      </c>
      <c r="C1977" s="10" t="s">
        <v>625</v>
      </c>
      <c r="D1977" s="10">
        <v>0</v>
      </c>
      <c r="E1977" s="10" t="s">
        <v>911</v>
      </c>
      <c r="F1977" s="10">
        <v>1</v>
      </c>
      <c r="G1977" s="10" t="s">
        <v>231</v>
      </c>
      <c r="H1977" s="10" t="s">
        <v>322</v>
      </c>
      <c r="I1977" s="10" t="s">
        <v>266</v>
      </c>
      <c r="J1977" s="10">
        <v>80</v>
      </c>
      <c r="K1977" s="12">
        <v>44958</v>
      </c>
      <c r="L1977" s="33">
        <v>0.67140046296296296</v>
      </c>
      <c r="M1977" s="10">
        <v>1</v>
      </c>
      <c r="N1977" s="10" t="s">
        <v>84</v>
      </c>
      <c r="O1977" s="10">
        <v>1.75</v>
      </c>
      <c r="P1977" s="10">
        <v>0.11799999999999999</v>
      </c>
      <c r="Q1977" s="10">
        <v>91.4</v>
      </c>
      <c r="R1977" s="10" t="s">
        <v>85</v>
      </c>
      <c r="S1977" s="34">
        <f t="shared" si="221"/>
        <v>110.79275000000001</v>
      </c>
      <c r="T1977" s="10" t="s">
        <v>1139</v>
      </c>
      <c r="U1977" s="34" t="str">
        <f t="shared" si="222"/>
        <v/>
      </c>
      <c r="V1977" s="31" t="str">
        <f>IF(H1977="CHK",VLOOKUP(I1977,QCCHK,3,),IF(H1977="GUP",VLOOKUP(E1977,QCGUP,2,),IF(AND(H1977="ATP",OR(I1977="TN",I1977="TDN",I1977="TNO2-3",I1977="NO2-3")),VLOOKUP(E1977,QCREC_N,2,),IF(AND(H1977="NIC",OR(I1977="TN",I1977="TDN",I1977="TNO2-3",I1977="NO2-3")),VLOOKUP(E1977,QCNIC_N,2,),IF(AND(H1977="UREA",OR(I1977="TN",I1977="TDN",I1977="TNO2-3",I1977="NO2-3")),VLOOKUP(E1977,QCUREA_N,2,),IF(H1977="PER",VLOOKUP(I1977,QCPER,MATCH(E1977,QCACTUAL!$J$25:$AA$25,0),),IF(H1977="SPK",VLOOKUP(I1977,QCSPK,3,),IF(AND(H1977="ATP",OR(I1977="TP",I1977="TDP")),VLOOKUP(E1977,QCATP_P,2,),""))))))))</f>
        <v/>
      </c>
      <c r="W1977" s="31" t="str">
        <f t="shared" si="223"/>
        <v>TRUE</v>
      </c>
      <c r="X1977" s="31" t="str">
        <f t="shared" si="220"/>
        <v/>
      </c>
      <c r="Y1977" s="10" t="s">
        <v>1126</v>
      </c>
      <c r="Z1977" s="10" t="s">
        <v>910</v>
      </c>
      <c r="AF1977" s="12">
        <v>44958</v>
      </c>
      <c r="AG1977" s="10">
        <f>-20.9*1.75^2+141.62*1.75-73.036</f>
        <v>110.79275000000001</v>
      </c>
      <c r="AH1977" s="10">
        <f>-1.3807*1.75^2+80.818*1.75-42.013</f>
        <v>95.190106249999985</v>
      </c>
      <c r="AI1977" s="10">
        <f>0.6312*1.75^2+63.45*1.75-30.993</f>
        <v>81.977550000000008</v>
      </c>
      <c r="AK1977" s="10">
        <f>0.0239*1.75^2+66.574*1.75-31.913</f>
        <v>84.664693749999998</v>
      </c>
      <c r="AL1977" s="10" t="str">
        <f t="shared" si="225"/>
        <v>y=-20.90*1.75^2+141.62*1.75-73.036</v>
      </c>
      <c r="AM1977" s="10" t="str">
        <f t="shared" si="225"/>
        <v>y=-1.3807*1.75^2+80.818*1.75-42.013</v>
      </c>
      <c r="AN1977" s="10" t="str">
        <f t="shared" si="225"/>
        <v>y=0.6312*1.75^2+63.45*1.75-30.993</v>
      </c>
      <c r="AO1977" s="10" t="str">
        <f t="shared" si="226"/>
        <v>FALSE</v>
      </c>
      <c r="AP1977" s="10" t="str">
        <f t="shared" si="226"/>
        <v>y=0.0239*1.75^2+66.574*1.75-31.913</v>
      </c>
      <c r="AQ1977" s="10" t="str">
        <f>IF(AND(I1977="TP",S1977&lt;=150),VLOOKUP(AF1977,TPCalibEq150!$AZ$2:$BB$55,3,),IF(AND(I1977="TDP",S1977&lt;=150),VLOOKUP(AF1977,TPCalibEq150!$AZ$2:$BB$55,3,)))</f>
        <v>y=-20.90x2+141.62x-73.036</v>
      </c>
      <c r="AR1977" s="10" t="str">
        <f>IF(AND(I1977="TP",S1977&lt;=300),VLOOKUP(AF1977,TPCalibEq300!$AZ$2:$BB$55,3,),IF(AND(I1977="TDP",S1977&lt;=300),VLOOKUP(AF1977,TPCalibEq300!$AZ$2:$BB$55,3,)))</f>
        <v>y=-1.3807x2+80.818x-42.013</v>
      </c>
      <c r="AS1977" s="10" t="str">
        <f>IF(AND(I1977="TP",S1977&lt;=500),VLOOKUP(AF1977,TPCalibEq500!$AZ$2:$BB$56,3,),IF(AND(I1977="TDP",S1977&lt;=500),VLOOKUP(AF1977,TPCalibEq500!$AZ$2:$BB$56,3,)))</f>
        <v>y=0.6312x2+63.45x-30.993</v>
      </c>
      <c r="AT1977" s="10" t="b">
        <f>IF(AND(I1977="TN",S1977&lt;=2800),VLOOKUP(AF1977,TNCalibEq2500!$AZ$2:$BB$56,3,),IF(AND(I1977="TDN",S1977&lt;=2800),VLOOKUP(AF1977,TNCalibEq2500!$AZ$2:$BB$56,3,)))</f>
        <v>0</v>
      </c>
      <c r="AU1977" s="10" t="str">
        <f>IF(I1977="TP",VLOOKUP(AF1977,TPCalibEqFull!$AZ$2:$BB$56,3),IF(I1977="TDP",VLOOKUP(AF1977,TPCalibEqFull!$AZ$2:$BB$56,3),IF(I1977="TDN",VLOOKUP(AF1977,TNCalibEqFull!$AZ$1:$BB$56,3),IF(I1977="TN",VLOOKUP(AF1977,TNCalibEqFull!$AZ$1:$BB$56,3),FALSE))))</f>
        <v>y=0.0239x2+66.574x-31.913</v>
      </c>
      <c r="AV1977" s="10" t="str">
        <f t="shared" si="224"/>
        <v>0130 11:51:00-TBS-0-FIL-1-SW-UKN</v>
      </c>
    </row>
    <row r="1978" spans="1:48" s="10" customFormat="1" x14ac:dyDescent="0.55000000000000004">
      <c r="A1978" s="32">
        <v>44956</v>
      </c>
      <c r="B1978" s="33">
        <v>0.49374999999999997</v>
      </c>
      <c r="C1978" s="10" t="s">
        <v>625</v>
      </c>
      <c r="D1978" s="10">
        <v>0</v>
      </c>
      <c r="E1978" s="10" t="s">
        <v>911</v>
      </c>
      <c r="F1978" s="10">
        <v>1</v>
      </c>
      <c r="G1978" s="10" t="s">
        <v>231</v>
      </c>
      <c r="H1978" s="10" t="s">
        <v>233</v>
      </c>
      <c r="I1978" s="10" t="s">
        <v>266</v>
      </c>
      <c r="J1978" s="10">
        <v>80</v>
      </c>
      <c r="K1978" s="12">
        <v>44958</v>
      </c>
      <c r="L1978" s="33">
        <v>0.6720949074074074</v>
      </c>
      <c r="M1978" s="10">
        <v>1</v>
      </c>
      <c r="N1978" s="10" t="s">
        <v>84</v>
      </c>
      <c r="O1978" s="10">
        <v>1.78</v>
      </c>
      <c r="P1978" s="10">
        <v>0.11799999999999999</v>
      </c>
      <c r="Q1978" s="10">
        <v>92.8</v>
      </c>
      <c r="R1978" s="10" t="s">
        <v>85</v>
      </c>
      <c r="S1978" s="34">
        <f t="shared" si="221"/>
        <v>112.82804000000002</v>
      </c>
      <c r="T1978" s="10" t="s">
        <v>1139</v>
      </c>
      <c r="U1978" s="34">
        <f t="shared" si="222"/>
        <v>1.8203048115517373</v>
      </c>
      <c r="V1978" s="31" t="str">
        <f>IF(H1978="CHK",VLOOKUP(I1978,QCCHK,3,),IF(H1978="GUP",VLOOKUP(E1978,QCGUP,2,),IF(AND(H1978="ATP",OR(I1978="TN",I1978="TDN",I1978="TNO2-3",I1978="NO2-3")),VLOOKUP(E1978,QCREC_N,2,),IF(AND(H1978="NIC",OR(I1978="TN",I1978="TDN",I1978="TNO2-3",I1978="NO2-3")),VLOOKUP(E1978,QCNIC_N,2,),IF(AND(H1978="UREA",OR(I1978="TN",I1978="TDN",I1978="TNO2-3",I1978="NO2-3")),VLOOKUP(E1978,QCUREA_N,2,),IF(H1978="PER",VLOOKUP(I1978,QCPER,MATCH(E1978,QCACTUAL!$J$25:$AA$25,0),),IF(H1978="SPK",VLOOKUP(I1978,QCSPK,3,),IF(AND(H1978="ATP",OR(I1978="TP",I1978="TDP")),VLOOKUP(E1978,QCATP_P,2,),""))))))))</f>
        <v/>
      </c>
      <c r="W1978" s="31" t="str">
        <f t="shared" si="223"/>
        <v>TRUE</v>
      </c>
      <c r="X1978" s="31" t="str">
        <f t="shared" si="220"/>
        <v>((ABS(rep1-rep2))/((rep1+rep2)/2)*100</v>
      </c>
      <c r="Y1978" s="10" t="s">
        <v>1126</v>
      </c>
      <c r="Z1978" s="10" t="s">
        <v>910</v>
      </c>
      <c r="AF1978" s="12">
        <v>44958</v>
      </c>
      <c r="AG1978" s="10">
        <f>-20.9*1.78^2+141.62*1.78-73.036</f>
        <v>112.82804000000002</v>
      </c>
      <c r="AH1978" s="10">
        <f>-1.3807*1.78^2+80.818*1.78-42.013</f>
        <v>97.468430119999994</v>
      </c>
      <c r="AI1978" s="10">
        <f>0.6312*1.78^2+63.45*1.78-30.993</f>
        <v>83.947894080000012</v>
      </c>
      <c r="AK1978" s="10">
        <f>0.0239*1.78^2+66.574*1.78-31.913</f>
        <v>86.664444759999995</v>
      </c>
      <c r="AL1978" s="10" t="str">
        <f t="shared" si="225"/>
        <v>y=-20.90*1.78^2+141.62*1.78-73.036</v>
      </c>
      <c r="AM1978" s="10" t="str">
        <f t="shared" si="225"/>
        <v>y=-1.3807*1.78^2+80.818*1.78-42.013</v>
      </c>
      <c r="AN1978" s="10" t="str">
        <f t="shared" si="225"/>
        <v>y=0.6312*1.78^2+63.45*1.78-30.993</v>
      </c>
      <c r="AO1978" s="10" t="str">
        <f t="shared" si="226"/>
        <v>FALSE</v>
      </c>
      <c r="AP1978" s="10" t="str">
        <f t="shared" si="226"/>
        <v>y=0.0239*1.78^2+66.574*1.78-31.913</v>
      </c>
      <c r="AQ1978" s="10" t="str">
        <f>IF(AND(I1978="TP",S1978&lt;=150),VLOOKUP(AF1978,TPCalibEq150!$AZ$2:$BB$55,3,),IF(AND(I1978="TDP",S1978&lt;=150),VLOOKUP(AF1978,TPCalibEq150!$AZ$2:$BB$55,3,)))</f>
        <v>y=-20.90x2+141.62x-73.036</v>
      </c>
      <c r="AR1978" s="10" t="str">
        <f>IF(AND(I1978="TP",S1978&lt;=300),VLOOKUP(AF1978,TPCalibEq300!$AZ$2:$BB$55,3,),IF(AND(I1978="TDP",S1978&lt;=300),VLOOKUP(AF1978,TPCalibEq300!$AZ$2:$BB$55,3,)))</f>
        <v>y=-1.3807x2+80.818x-42.013</v>
      </c>
      <c r="AS1978" s="10" t="str">
        <f>IF(AND(I1978="TP",S1978&lt;=500),VLOOKUP(AF1978,TPCalibEq500!$AZ$2:$BB$56,3,),IF(AND(I1978="TDP",S1978&lt;=500),VLOOKUP(AF1978,TPCalibEq500!$AZ$2:$BB$56,3,)))</f>
        <v>y=0.6312x2+63.45x-30.993</v>
      </c>
      <c r="AT1978" s="10" t="b">
        <f>IF(AND(I1978="TN",S1978&lt;=2800),VLOOKUP(AF1978,TNCalibEq2500!$AZ$2:$BB$56,3,),IF(AND(I1978="TDN",S1978&lt;=2800),VLOOKUP(AF1978,TNCalibEq2500!$AZ$2:$BB$56,3,)))</f>
        <v>0</v>
      </c>
      <c r="AU1978" s="10" t="str">
        <f>IF(I1978="TP",VLOOKUP(AF1978,TPCalibEqFull!$AZ$2:$BB$56,3),IF(I1978="TDP",VLOOKUP(AF1978,TPCalibEqFull!$AZ$2:$BB$56,3),IF(I1978="TDN",VLOOKUP(AF1978,TNCalibEqFull!$AZ$1:$BB$56,3),IF(I1978="TN",VLOOKUP(AF1978,TNCalibEqFull!$AZ$1:$BB$56,3),FALSE))))</f>
        <v>y=0.0239x2+66.574x-31.913</v>
      </c>
      <c r="AV1978" s="10" t="str">
        <f t="shared" si="224"/>
        <v>0130 11:51:00-TBS-0-FIL-1-SW-DUP</v>
      </c>
    </row>
    <row r="1979" spans="1:48" s="10" customFormat="1" x14ac:dyDescent="0.55000000000000004">
      <c r="A1979" s="32">
        <v>44958</v>
      </c>
      <c r="B1979" s="33">
        <v>0.375</v>
      </c>
      <c r="C1979" s="10" t="s">
        <v>70</v>
      </c>
      <c r="D1979" s="10" t="s">
        <v>71</v>
      </c>
      <c r="E1979" s="10" t="s">
        <v>901</v>
      </c>
      <c r="F1979" s="10">
        <v>1</v>
      </c>
      <c r="G1979" s="10" t="s">
        <v>73</v>
      </c>
      <c r="H1979" s="10" t="s">
        <v>207</v>
      </c>
      <c r="I1979" s="10" t="s">
        <v>83</v>
      </c>
      <c r="J1979" s="10">
        <v>199</v>
      </c>
      <c r="K1979" s="12">
        <v>44958</v>
      </c>
      <c r="L1979" s="33">
        <v>0.67281250000000004</v>
      </c>
      <c r="M1979" s="10">
        <v>1</v>
      </c>
      <c r="N1979" s="10" t="s">
        <v>84</v>
      </c>
      <c r="O1979" s="10">
        <v>28.9</v>
      </c>
      <c r="P1979" s="10">
        <v>7.63</v>
      </c>
      <c r="Q1979" s="10">
        <v>1910</v>
      </c>
      <c r="R1979" s="10" t="s">
        <v>85</v>
      </c>
      <c r="S1979" s="34">
        <f t="shared" si="221"/>
        <v>1912.0371189999998</v>
      </c>
      <c r="T1979" s="10" t="s">
        <v>1139</v>
      </c>
      <c r="U1979" s="34">
        <f t="shared" si="222"/>
        <v>382.40742379999995</v>
      </c>
      <c r="V1979" s="31">
        <f>IF(H1979="CHK",VLOOKUP(I1979,QCCHK,3,),IF(H1979="GUP",VLOOKUP(E1979,QCGUP,2,),IF(AND(H1979="ATP",OR(I1979="TN",I1979="TDN",I1979="TNO2-3",I1979="NO2-3")),VLOOKUP(E1979,QCREC_N,2,),IF(AND(H1979="NIC",OR(I1979="TN",I1979="TDN",I1979="TNO2-3",I1979="NO2-3")),VLOOKUP(E1979,QCNIC_N,2,),IF(AND(H1979="UREA",OR(I1979="TN",I1979="TDN",I1979="TNO2-3",I1979="NO2-3")),VLOOKUP(E1979,QCUREA_N,2,),IF(H1979="PER",VLOOKUP(I1979,QCPER,MATCH(E1979,QCACTUAL!$J$25:$AA$25,0),),IF(H1979="SPK",VLOOKUP(I1979,QCSPK,3,),IF(AND(H1979="ATP",OR(I1979="TP",I1979="TDP")),VLOOKUP(E1979,QCATP_P,2,),""))))))))</f>
        <v>500</v>
      </c>
      <c r="W1979" s="31" t="str">
        <f t="shared" si="223"/>
        <v>FALSE</v>
      </c>
      <c r="X1979" s="31" t="str">
        <f t="shared" si="220"/>
        <v>[chk]/[actual]*100</v>
      </c>
      <c r="Y1979" s="10" t="s">
        <v>1126</v>
      </c>
      <c r="AF1979" s="12">
        <v>44958</v>
      </c>
      <c r="AK1979" s="10">
        <f>0.0239*28.9^2+66.574*28.9-31.913</f>
        <v>1912.0371189999998</v>
      </c>
      <c r="AL1979" s="10" t="str">
        <f t="shared" si="225"/>
        <v>FALSE</v>
      </c>
      <c r="AM1979" s="10" t="str">
        <f t="shared" si="225"/>
        <v>FALSE</v>
      </c>
      <c r="AN1979" s="10" t="str">
        <f t="shared" si="225"/>
        <v>FALSE</v>
      </c>
      <c r="AO1979" s="10" t="str">
        <f t="shared" si="226"/>
        <v>FALSE</v>
      </c>
      <c r="AP1979" s="10" t="str">
        <f t="shared" si="226"/>
        <v>y=0.0239*28.9^2+66.574*28.9-31.913</v>
      </c>
      <c r="AQ1979" s="10" t="b">
        <f>IF(AND(I1979="TP",S1979&lt;=150),VLOOKUP(AF1979,TPCalibEq150!$AZ$2:$BB$55,3,),IF(AND(I1979="TDP",S1979&lt;=150),VLOOKUP(AF1979,TPCalibEq150!$AZ$2:$BB$55,3,)))</f>
        <v>0</v>
      </c>
      <c r="AR1979" s="10" t="b">
        <f>IF(AND(I1979="TP",S1979&lt;=300),VLOOKUP(AF1979,TPCalibEq300!$AZ$2:$BB$55,3,),IF(AND(I1979="TDP",S1979&lt;=300),VLOOKUP(AF1979,TPCalibEq300!$AZ$2:$BB$55,3,)))</f>
        <v>0</v>
      </c>
      <c r="AS1979" s="10" t="b">
        <f>IF(AND(I1979="TP",S1979&lt;=500),VLOOKUP(AF1979,TPCalibEq500!$AZ$2:$BB$56,3,),IF(AND(I1979="TDP",S1979&lt;=500),VLOOKUP(AF1979,TPCalibEq500!$AZ$2:$BB$56,3,)))</f>
        <v>0</v>
      </c>
      <c r="AT1979" s="10" t="b">
        <f>IF(AND(I1979="TN",S1979&lt;=2800),VLOOKUP(AF1979,TNCalibEq2500!$AZ$2:$BB$56,3,),IF(AND(I1979="TDN",S1979&lt;=2800),VLOOKUP(AF1979,TNCalibEq2500!$AZ$2:$BB$56,3,)))</f>
        <v>0</v>
      </c>
      <c r="AU1979" s="10" t="str">
        <f>IF(I1979="TP",VLOOKUP(AF1979,TPCalibEqFull!$AZ$2:$BB$56,3),IF(I1979="TDP",VLOOKUP(AF1979,TPCalibEqFull!$AZ$2:$BB$56,3),IF(I1979="TDN",VLOOKUP(AF1979,TNCalibEqFull!$AZ$1:$BB$56,3),IF(I1979="TN",VLOOKUP(AF1979,TNCalibEqFull!$AZ$1:$BB$56,3),FALSE))))</f>
        <v>y=0.0239x2+66.574x-31.913</v>
      </c>
      <c r="AV1979" s="10" t="str">
        <f t="shared" si="224"/>
        <v>0201 09:00:00-QAC-STD-D-1-DI-CHK</v>
      </c>
    </row>
    <row r="1980" spans="1:48" s="10" customFormat="1" x14ac:dyDescent="0.55000000000000004">
      <c r="A1980" s="32">
        <v>44958</v>
      </c>
      <c r="B1980" s="33">
        <v>0.375</v>
      </c>
      <c r="C1980" s="10" t="s">
        <v>70</v>
      </c>
      <c r="D1980" s="10" t="s">
        <v>71</v>
      </c>
      <c r="E1980" s="10" t="s">
        <v>901</v>
      </c>
      <c r="F1980" s="10">
        <v>1</v>
      </c>
      <c r="G1980" s="10" t="s">
        <v>73</v>
      </c>
      <c r="H1980" s="10" t="s">
        <v>207</v>
      </c>
      <c r="I1980" s="10" t="s">
        <v>83</v>
      </c>
      <c r="J1980" s="10">
        <v>199</v>
      </c>
      <c r="K1980" s="12">
        <v>44958</v>
      </c>
      <c r="L1980" s="33">
        <v>0.67583333333333329</v>
      </c>
      <c r="M1980" s="10">
        <v>1</v>
      </c>
      <c r="N1980" s="10" t="s">
        <v>84</v>
      </c>
      <c r="O1980" s="10">
        <v>8.25</v>
      </c>
      <c r="P1980" s="10">
        <v>0.57499999999999996</v>
      </c>
      <c r="Q1980" s="10">
        <v>526</v>
      </c>
      <c r="R1980" s="10" t="s">
        <v>85</v>
      </c>
      <c r="S1980" s="34">
        <f t="shared" si="221"/>
        <v>526</v>
      </c>
      <c r="T1980" s="10" t="s">
        <v>1139</v>
      </c>
      <c r="U1980" s="34">
        <f t="shared" si="222"/>
        <v>105.2</v>
      </c>
      <c r="V1980" s="31">
        <f>IF(H1980="CHK",VLOOKUP(I1980,QCCHK,3,),IF(H1980="GUP",VLOOKUP(E1980,QCGUP,2,),IF(AND(H1980="ATP",OR(I1980="TN",I1980="TDN",I1980="TNO2-3",I1980="NO2-3")),VLOOKUP(E1980,QCREC_N,2,),IF(AND(H1980="NIC",OR(I1980="TN",I1980="TDN",I1980="TNO2-3",I1980="NO2-3")),VLOOKUP(E1980,QCNIC_N,2,),IF(AND(H1980="UREA",OR(I1980="TN",I1980="TDN",I1980="TNO2-3",I1980="NO2-3")),VLOOKUP(E1980,QCUREA_N,2,),IF(H1980="PER",VLOOKUP(I1980,QCPER,MATCH(E1980,QCACTUAL!$J$25:$AA$25,0),),IF(H1980="SPK",VLOOKUP(I1980,QCSPK,3,),IF(AND(H1980="ATP",OR(I1980="TP",I1980="TDP")),VLOOKUP(E1980,QCATP_P,2,),""))))))))</f>
        <v>500</v>
      </c>
      <c r="W1980" s="31" t="str">
        <f t="shared" si="223"/>
        <v>TRUE</v>
      </c>
      <c r="X1980" s="31" t="str">
        <f t="shared" si="220"/>
        <v>[chk]/[actual]*100</v>
      </c>
      <c r="Y1980" s="10" t="s">
        <v>1126</v>
      </c>
      <c r="AF1980" s="12">
        <v>44958</v>
      </c>
      <c r="AK1980" s="10">
        <f>0.0239*8.25^2+66.574*8.25-31.913</f>
        <v>518.94919374999995</v>
      </c>
      <c r="AL1980" s="10" t="str">
        <f t="shared" si="225"/>
        <v>FALSE</v>
      </c>
      <c r="AM1980" s="10" t="str">
        <f t="shared" si="225"/>
        <v>FALSE</v>
      </c>
      <c r="AN1980" s="10" t="str">
        <f t="shared" si="225"/>
        <v>FALSE</v>
      </c>
      <c r="AO1980" s="10" t="str">
        <f t="shared" si="226"/>
        <v>FALSE</v>
      </c>
      <c r="AP1980" s="10" t="str">
        <f t="shared" si="226"/>
        <v>y=0.0239*8.25^2+66.574*8.25-31.913</v>
      </c>
      <c r="AQ1980" s="10" t="b">
        <f>IF(AND(I1980="TP",S1980&lt;=150),VLOOKUP(AF1980,TPCalibEq150!$AZ$2:$BB$55,3,),IF(AND(I1980="TDP",S1980&lt;=150),VLOOKUP(AF1980,TPCalibEq150!$AZ$2:$BB$55,3,)))</f>
        <v>0</v>
      </c>
      <c r="AR1980" s="10" t="b">
        <f>IF(AND(I1980="TP",S1980&lt;=300),VLOOKUP(AF1980,TPCalibEq300!$AZ$2:$BB$55,3,),IF(AND(I1980="TDP",S1980&lt;=300),VLOOKUP(AF1980,TPCalibEq300!$AZ$2:$BB$55,3,)))</f>
        <v>0</v>
      </c>
      <c r="AS1980" s="10" t="b">
        <f>IF(AND(I1980="TP",S1980&lt;=500),VLOOKUP(AF1980,TPCalibEq500!$AZ$2:$BB$56,3,),IF(AND(I1980="TDP",S1980&lt;=500),VLOOKUP(AF1980,TPCalibEq500!$AZ$2:$BB$56,3,)))</f>
        <v>0</v>
      </c>
      <c r="AT1980" s="10" t="b">
        <f>IF(AND(I1980="TN",S1980&lt;=2800),VLOOKUP(AF1980,TNCalibEq2500!$AZ$2:$BB$56,3,),IF(AND(I1980="TDN",S1980&lt;=2800),VLOOKUP(AF1980,TNCalibEq2500!$AZ$2:$BB$56,3,)))</f>
        <v>0</v>
      </c>
      <c r="AU1980" s="10" t="str">
        <f>IF(I1980="TP",VLOOKUP(AF1980,TPCalibEqFull!$AZ$2:$BB$56,3),IF(I1980="TDP",VLOOKUP(AF1980,TPCalibEqFull!$AZ$2:$BB$56,3),IF(I1980="TDN",VLOOKUP(AF1980,TNCalibEqFull!$AZ$1:$BB$56,3),IF(I1980="TN",VLOOKUP(AF1980,TNCalibEqFull!$AZ$1:$BB$56,3),FALSE))))</f>
        <v>y=0.0239x2+66.574x-31.913</v>
      </c>
      <c r="AV1980" s="10" t="str">
        <f t="shared" si="224"/>
        <v>0201 09:00:00-QAC-STD-D-1-DI-CHK</v>
      </c>
    </row>
    <row r="1981" spans="1:48" s="10" customFormat="1" x14ac:dyDescent="0.55000000000000004">
      <c r="A1981" s="32">
        <v>44966</v>
      </c>
      <c r="B1981" s="33">
        <v>0.375</v>
      </c>
      <c r="C1981" s="10" t="s">
        <v>70</v>
      </c>
      <c r="D1981" s="10" t="s">
        <v>71</v>
      </c>
      <c r="E1981" s="10" t="s">
        <v>72</v>
      </c>
      <c r="F1981" s="10">
        <v>1</v>
      </c>
      <c r="G1981" s="10" t="s">
        <v>73</v>
      </c>
      <c r="H1981" s="10" t="s">
        <v>74</v>
      </c>
      <c r="I1981" s="10" t="s">
        <v>75</v>
      </c>
      <c r="J1981" s="10">
        <v>181</v>
      </c>
      <c r="K1981" s="12">
        <v>44966</v>
      </c>
      <c r="L1981" s="33">
        <v>0.44186342592592592</v>
      </c>
      <c r="M1981" s="10">
        <v>1</v>
      </c>
      <c r="N1981" s="10" t="s">
        <v>76</v>
      </c>
      <c r="O1981" s="10">
        <v>4.1700000000000001E-2</v>
      </c>
      <c r="P1981" s="10">
        <v>3.5100000000000001E-3</v>
      </c>
      <c r="Q1981" s="10">
        <v>0</v>
      </c>
      <c r="R1981" s="10" t="s">
        <v>77</v>
      </c>
      <c r="S1981" s="34">
        <f t="shared" si="221"/>
        <v>0</v>
      </c>
      <c r="T1981" s="10" t="s">
        <v>78</v>
      </c>
      <c r="U1981" s="34" t="str">
        <f t="shared" si="222"/>
        <v/>
      </c>
      <c r="V1981" s="31" t="str">
        <f>IF(H1981="CHK",VLOOKUP(I1981,QCCHK,3,),IF(H1981="GUP",VLOOKUP(E1981,QCGUP,2,),IF(AND(H1981="ATP",OR(I1981="TN",I1981="TDN",I1981="TNO2-3",I1981="NO2-3")),VLOOKUP(E1981,QCREC_N,2,),IF(AND(H1981="NIC",OR(I1981="TN",I1981="TDN",I1981="TNO2-3",I1981="NO2-3")),VLOOKUP(E1981,QCNIC_N,2,),IF(AND(H1981="UREA",OR(I1981="TN",I1981="TDN",I1981="TNO2-3",I1981="NO2-3")),VLOOKUP(E1981,QCUREA_N,2,),IF(H1981="PER",VLOOKUP(I1981,QCPER,MATCH(E1981,QCACTUAL!$J$25:$AA$25,0),),IF(H1981="SPK",VLOOKUP(I1981,QCSPK,3,),IF(AND(H1981="ATP",OR(I1981="TP",I1981="TDP")),VLOOKUP(E1981,QCATP_P,2,),""))))))))</f>
        <v/>
      </c>
      <c r="W1981" s="31" t="str">
        <f t="shared" si="223"/>
        <v>TRUE</v>
      </c>
      <c r="X1981" s="31" t="str">
        <f t="shared" si="220"/>
        <v/>
      </c>
      <c r="Y1981" s="10" t="s">
        <v>1144</v>
      </c>
      <c r="AL1981" s="10" t="str">
        <f t="shared" si="225"/>
        <v>FALSE</v>
      </c>
      <c r="AM1981" s="10" t="str">
        <f t="shared" si="225"/>
        <v>FALSE</v>
      </c>
      <c r="AN1981" s="10" t="str">
        <f t="shared" si="225"/>
        <v>FALSE</v>
      </c>
      <c r="AO1981" s="10" t="str">
        <f t="shared" si="226"/>
        <v>FALSE</v>
      </c>
      <c r="AP1981" s="10" t="str">
        <f t="shared" si="226"/>
        <v>FALSE</v>
      </c>
      <c r="AQ1981" s="10" t="b">
        <f>IF(AND(I1981="TP",S1981&lt;=150),VLOOKUP(AF1981,TPCalibEq150!$AZ$2:$BB$55,3,),IF(AND(I1981="TDP",S1981&lt;=150),VLOOKUP(AF1981,TPCalibEq150!$AZ$2:$BB$55,3,)))</f>
        <v>0</v>
      </c>
      <c r="AR1981" s="10" t="b">
        <f>IF(AND(I1981="TP",S1981&lt;=300),VLOOKUP(AF1981,TPCalibEq300!$AZ$2:$BB$55,3,),IF(AND(I1981="TDP",S1981&lt;=300),VLOOKUP(AF1981,TPCalibEq300!$AZ$2:$BB$55,3,)))</f>
        <v>0</v>
      </c>
      <c r="AS1981" s="10" t="b">
        <f>IF(AND(I1981="TP",S1981&lt;=500),VLOOKUP(AF1981,TPCalibEq500!$AZ$2:$BB$56,3,),IF(AND(I1981="TDP",S1981&lt;=500),VLOOKUP(AF1981,TPCalibEq500!$AZ$2:$BB$56,3,)))</f>
        <v>0</v>
      </c>
      <c r="AT1981" s="10" t="b">
        <f>IF(AND(I1981="TN",S1981&lt;=2800),VLOOKUP(AF1981,TNCalibEq2500!$AZ$2:$BB$56,3,),IF(AND(I1981="TDN",S1981&lt;=2800),VLOOKUP(AF1981,TNCalibEq2500!$AZ$2:$BB$56,3,)))</f>
        <v>0</v>
      </c>
      <c r="AU1981" s="10" t="b">
        <f>IF(I1981="TP",VLOOKUP(AF1981,TPCalibEqFull!$AZ$2:$BB$56,3),IF(I1981="TDP",VLOOKUP(AF1981,TPCalibEqFull!$AZ$2:$BB$56,3),IF(I1981="TDN",VLOOKUP(AF1981,TNCalibEqFull!$AZ$1:$BB$56,3),IF(I1981="TN",VLOOKUP(AF1981,TNCalibEqFull!$AZ$1:$BB$56,3),FALSE))))</f>
        <v>0</v>
      </c>
      <c r="AV1981" s="10" t="str">
        <f t="shared" si="224"/>
        <v>0209 09:00:00-QAC-STD-H-1-DI-CAL</v>
      </c>
    </row>
    <row r="1982" spans="1:48" s="10" customFormat="1" x14ac:dyDescent="0.55000000000000004">
      <c r="A1982" s="32">
        <v>44966</v>
      </c>
      <c r="B1982" s="33">
        <v>0.375</v>
      </c>
      <c r="C1982" s="10" t="s">
        <v>70</v>
      </c>
      <c r="D1982" s="10" t="s">
        <v>71</v>
      </c>
      <c r="E1982" s="10" t="s">
        <v>908</v>
      </c>
      <c r="F1982" s="10">
        <v>1</v>
      </c>
      <c r="G1982" s="10" t="s">
        <v>73</v>
      </c>
      <c r="H1982" s="10" t="s">
        <v>74</v>
      </c>
      <c r="I1982" s="10" t="s">
        <v>75</v>
      </c>
      <c r="J1982" s="10">
        <v>182</v>
      </c>
      <c r="K1982" s="12">
        <v>44966</v>
      </c>
      <c r="L1982" s="33">
        <v>0.44271990740740735</v>
      </c>
      <c r="M1982" s="10">
        <v>1</v>
      </c>
      <c r="N1982" s="10" t="s">
        <v>76</v>
      </c>
      <c r="O1982" s="10">
        <v>0.24299999999999999</v>
      </c>
      <c r="P1982" s="10">
        <v>1.77E-2</v>
      </c>
      <c r="Q1982" s="10">
        <v>20</v>
      </c>
      <c r="R1982" s="10" t="s">
        <v>77</v>
      </c>
      <c r="S1982" s="34">
        <f t="shared" si="221"/>
        <v>20</v>
      </c>
      <c r="T1982" s="10" t="s">
        <v>1145</v>
      </c>
      <c r="U1982" s="34" t="str">
        <f t="shared" si="222"/>
        <v/>
      </c>
      <c r="V1982" s="31" t="str">
        <f>IF(H1982="CHK",VLOOKUP(I1982,QCCHK,3,),IF(H1982="GUP",VLOOKUP(E1982,QCGUP,2,),IF(AND(H1982="ATP",OR(I1982="TN",I1982="TDN",I1982="TNO2-3",I1982="NO2-3")),VLOOKUP(E1982,QCREC_N,2,),IF(AND(H1982="NIC",OR(I1982="TN",I1982="TDN",I1982="TNO2-3",I1982="NO2-3")),VLOOKUP(E1982,QCNIC_N,2,),IF(AND(H1982="UREA",OR(I1982="TN",I1982="TDN",I1982="TNO2-3",I1982="NO2-3")),VLOOKUP(E1982,QCUREA_N,2,),IF(H1982="PER",VLOOKUP(I1982,QCPER,MATCH(E1982,QCACTUAL!$J$25:$AA$25,0),),IF(H1982="SPK",VLOOKUP(I1982,QCSPK,3,),IF(AND(H1982="ATP",OR(I1982="TP",I1982="TDP")),VLOOKUP(E1982,QCATP_P,2,),""))))))))</f>
        <v/>
      </c>
      <c r="W1982" s="31" t="str">
        <f t="shared" si="223"/>
        <v>TRUE</v>
      </c>
      <c r="X1982" s="31" t="str">
        <f t="shared" si="220"/>
        <v/>
      </c>
      <c r="Y1982" s="10" t="s">
        <v>1144</v>
      </c>
      <c r="AL1982" s="10" t="str">
        <f t="shared" si="225"/>
        <v>FALSE</v>
      </c>
      <c r="AM1982" s="10" t="str">
        <f t="shared" si="225"/>
        <v>FALSE</v>
      </c>
      <c r="AN1982" s="10" t="str">
        <f t="shared" si="225"/>
        <v>FALSE</v>
      </c>
      <c r="AO1982" s="10" t="str">
        <f t="shared" si="226"/>
        <v>FALSE</v>
      </c>
      <c r="AP1982" s="10" t="str">
        <f t="shared" si="226"/>
        <v>FALSE</v>
      </c>
      <c r="AQ1982" s="10" t="b">
        <f>IF(AND(I1982="TP",S1982&lt;=150),VLOOKUP(AF1982,TPCalibEq150!$AZ$2:$BB$55,3,),IF(AND(I1982="TDP",S1982&lt;=150),VLOOKUP(AF1982,TPCalibEq150!$AZ$2:$BB$55,3,)))</f>
        <v>0</v>
      </c>
      <c r="AR1982" s="10" t="b">
        <f>IF(AND(I1982="TP",S1982&lt;=300),VLOOKUP(AF1982,TPCalibEq300!$AZ$2:$BB$55,3,),IF(AND(I1982="TDP",S1982&lt;=300),VLOOKUP(AF1982,TPCalibEq300!$AZ$2:$BB$55,3,)))</f>
        <v>0</v>
      </c>
      <c r="AS1982" s="10" t="b">
        <f>IF(AND(I1982="TP",S1982&lt;=500),VLOOKUP(AF1982,TPCalibEq500!$AZ$2:$BB$56,3,),IF(AND(I1982="TDP",S1982&lt;=500),VLOOKUP(AF1982,TPCalibEq500!$AZ$2:$BB$56,3,)))</f>
        <v>0</v>
      </c>
      <c r="AT1982" s="10" t="b">
        <f>IF(AND(I1982="TN",S1982&lt;=2800),VLOOKUP(AF1982,TNCalibEq2500!$AZ$2:$BB$56,3,),IF(AND(I1982="TDN",S1982&lt;=2800),VLOOKUP(AF1982,TNCalibEq2500!$AZ$2:$BB$56,3,)))</f>
        <v>0</v>
      </c>
      <c r="AU1982" s="10" t="b">
        <f>IF(I1982="TP",VLOOKUP(AF1982,TPCalibEqFull!$AZ$2:$BB$56,3),IF(I1982="TDP",VLOOKUP(AF1982,TPCalibEqFull!$AZ$2:$BB$56,3),IF(I1982="TDN",VLOOKUP(AF1982,TNCalibEqFull!$AZ$1:$BB$56,3),IF(I1982="TN",VLOOKUP(AF1982,TNCalibEqFull!$AZ$1:$BB$56,3),FALSE))))</f>
        <v>0</v>
      </c>
      <c r="AV1982" s="10" t="str">
        <f t="shared" si="224"/>
        <v>0209 09:00:00-QAC-STD-G-1-DI-CAL</v>
      </c>
    </row>
    <row r="1983" spans="1:48" s="10" customFormat="1" x14ac:dyDescent="0.55000000000000004">
      <c r="A1983" s="32">
        <v>44966</v>
      </c>
      <c r="B1983" s="33">
        <v>0.375</v>
      </c>
      <c r="C1983" s="10" t="s">
        <v>70</v>
      </c>
      <c r="D1983" s="10" t="s">
        <v>71</v>
      </c>
      <c r="E1983" s="10" t="s">
        <v>550</v>
      </c>
      <c r="F1983" s="10">
        <v>1</v>
      </c>
      <c r="G1983" s="10" t="s">
        <v>73</v>
      </c>
      <c r="H1983" s="10" t="s">
        <v>74</v>
      </c>
      <c r="I1983" s="10" t="s">
        <v>75</v>
      </c>
      <c r="J1983" s="10">
        <v>183</v>
      </c>
      <c r="K1983" s="12">
        <v>44966</v>
      </c>
      <c r="L1983" s="33">
        <v>0.4435648148148148</v>
      </c>
      <c r="M1983" s="10">
        <v>1</v>
      </c>
      <c r="N1983" s="10" t="s">
        <v>76</v>
      </c>
      <c r="O1983" s="10">
        <v>0.91500000000000004</v>
      </c>
      <c r="P1983" s="10">
        <v>6.93E-2</v>
      </c>
      <c r="Q1983" s="10">
        <v>60</v>
      </c>
      <c r="R1983" s="10" t="s">
        <v>77</v>
      </c>
      <c r="S1983" s="34">
        <f t="shared" si="221"/>
        <v>60</v>
      </c>
      <c r="T1983" s="10" t="s">
        <v>1146</v>
      </c>
      <c r="U1983" s="34" t="str">
        <f t="shared" si="222"/>
        <v/>
      </c>
      <c r="V1983" s="31" t="str">
        <f>IF(H1983="CHK",VLOOKUP(I1983,QCCHK,3,),IF(H1983="GUP",VLOOKUP(E1983,QCGUP,2,),IF(AND(H1983="ATP",OR(I1983="TN",I1983="TDN",I1983="TNO2-3",I1983="NO2-3")),VLOOKUP(E1983,QCREC_N,2,),IF(AND(H1983="NIC",OR(I1983="TN",I1983="TDN",I1983="TNO2-3",I1983="NO2-3")),VLOOKUP(E1983,QCNIC_N,2,),IF(AND(H1983="UREA",OR(I1983="TN",I1983="TDN",I1983="TNO2-3",I1983="NO2-3")),VLOOKUP(E1983,QCUREA_N,2,),IF(H1983="PER",VLOOKUP(I1983,QCPER,MATCH(E1983,QCACTUAL!$J$25:$AA$25,0),),IF(H1983="SPK",VLOOKUP(I1983,QCSPK,3,),IF(AND(H1983="ATP",OR(I1983="TP",I1983="TDP")),VLOOKUP(E1983,QCATP_P,2,),""))))))))</f>
        <v/>
      </c>
      <c r="W1983" s="31" t="str">
        <f t="shared" si="223"/>
        <v>TRUE</v>
      </c>
      <c r="X1983" s="31" t="str">
        <f t="shared" ref="X1983:X2046" si="227">IF(ISNA(VLOOKUP(H1983,QCEQUATIONS,2,)),"",(VLOOKUP(H1983,QCEQUATIONS,2,)))</f>
        <v/>
      </c>
      <c r="Y1983" s="10" t="s">
        <v>1144</v>
      </c>
      <c r="AL1983" s="10" t="str">
        <f t="shared" si="225"/>
        <v>FALSE</v>
      </c>
      <c r="AM1983" s="10" t="str">
        <f t="shared" si="225"/>
        <v>FALSE</v>
      </c>
      <c r="AN1983" s="10" t="str">
        <f t="shared" si="225"/>
        <v>FALSE</v>
      </c>
      <c r="AO1983" s="10" t="str">
        <f t="shared" si="226"/>
        <v>FALSE</v>
      </c>
      <c r="AP1983" s="10" t="str">
        <f t="shared" si="226"/>
        <v>FALSE</v>
      </c>
      <c r="AQ1983" s="10" t="b">
        <f>IF(AND(I1983="TP",S1983&lt;=150),VLOOKUP(AF1983,TPCalibEq150!$AZ$2:$BB$55,3,),IF(AND(I1983="TDP",S1983&lt;=150),VLOOKUP(AF1983,TPCalibEq150!$AZ$2:$BB$55,3,)))</f>
        <v>0</v>
      </c>
      <c r="AR1983" s="10" t="b">
        <f>IF(AND(I1983="TP",S1983&lt;=300),VLOOKUP(AF1983,TPCalibEq300!$AZ$2:$BB$55,3,),IF(AND(I1983="TDP",S1983&lt;=300),VLOOKUP(AF1983,TPCalibEq300!$AZ$2:$BB$55,3,)))</f>
        <v>0</v>
      </c>
      <c r="AS1983" s="10" t="b">
        <f>IF(AND(I1983="TP",S1983&lt;=500),VLOOKUP(AF1983,TPCalibEq500!$AZ$2:$BB$56,3,),IF(AND(I1983="TDP",S1983&lt;=500),VLOOKUP(AF1983,TPCalibEq500!$AZ$2:$BB$56,3,)))</f>
        <v>0</v>
      </c>
      <c r="AT1983" s="10" t="b">
        <f>IF(AND(I1983="TN",S1983&lt;=2800),VLOOKUP(AF1983,TNCalibEq2500!$AZ$2:$BB$56,3,),IF(AND(I1983="TDN",S1983&lt;=2800),VLOOKUP(AF1983,TNCalibEq2500!$AZ$2:$BB$56,3,)))</f>
        <v>0</v>
      </c>
      <c r="AU1983" s="10" t="b">
        <f>IF(I1983="TP",VLOOKUP(AF1983,TPCalibEqFull!$AZ$2:$BB$56,3),IF(I1983="TDP",VLOOKUP(AF1983,TPCalibEqFull!$AZ$2:$BB$56,3),IF(I1983="TDN",VLOOKUP(AF1983,TNCalibEqFull!$AZ$1:$BB$56,3),IF(I1983="TN",VLOOKUP(AF1983,TNCalibEqFull!$AZ$1:$BB$56,3),FALSE))))</f>
        <v>0</v>
      </c>
      <c r="AV1983" s="10" t="str">
        <f t="shared" si="224"/>
        <v>0209 09:00:00-QAC-STD-F-1-DI-CAL</v>
      </c>
    </row>
    <row r="1984" spans="1:48" s="10" customFormat="1" x14ac:dyDescent="0.55000000000000004">
      <c r="A1984" s="32">
        <v>44966</v>
      </c>
      <c r="B1984" s="33">
        <v>0.375</v>
      </c>
      <c r="C1984" s="10" t="s">
        <v>70</v>
      </c>
      <c r="D1984" s="10" t="s">
        <v>71</v>
      </c>
      <c r="E1984" s="10" t="s">
        <v>909</v>
      </c>
      <c r="F1984" s="10">
        <v>1</v>
      </c>
      <c r="G1984" s="10" t="s">
        <v>73</v>
      </c>
      <c r="H1984" s="10" t="s">
        <v>74</v>
      </c>
      <c r="I1984" s="10" t="s">
        <v>75</v>
      </c>
      <c r="J1984" s="10">
        <v>184</v>
      </c>
      <c r="K1984" s="12">
        <v>44966</v>
      </c>
      <c r="L1984" s="33">
        <v>0.44437499999999996</v>
      </c>
      <c r="M1984" s="10">
        <v>1</v>
      </c>
      <c r="N1984" s="10" t="s">
        <v>76</v>
      </c>
      <c r="O1984" s="10">
        <v>1.23</v>
      </c>
      <c r="P1984" s="10">
        <v>9.0800000000000006E-2</v>
      </c>
      <c r="Q1984" s="10">
        <v>80</v>
      </c>
      <c r="R1984" s="10" t="s">
        <v>77</v>
      </c>
      <c r="S1984" s="34">
        <f t="shared" ref="S1984:S2047" si="228">IF(OR(AND(I1984&lt;&gt;"TP", I1984&lt;&gt;"TDP",I1984&lt;&gt;"TN", I1984&lt;&gt;"TDN"),H1984="CAL"), Q1984*M1984, IF(OR(AND(I1984="TN", Q1984&gt;2500), AND(I1984="TDN", Q1984&gt;2500)),MAX(Q1984, AK1984)*M1984, IF(OR(AND(I1984="TN", Q1984&lt;=2500), AND(I1984="TDN", Q1984&lt;=2500)),MAX(Q1984, AJ1984,AK1984)*M1984, IF(OR(AND(I1984="TP",Q1984&gt;500), AND(I1984="TDP", Q1984&gt;500)),MAX(Q1984,AK1984)*M1984,IF(OR(AND(I1984="TP",Q1984&lt;=150), AND(I1984="TDP", Q1984&lt;=150)),MAX(Q1984,AG1984:AI1984,AK1984)*M1984,IF(OR(AND(I1984="TP",Q1984&lt;=300), AND(I1984="TDP", Q1984&lt;=300)),MAX(Q1984,AH1984,AI1984,AK1984)*M1984,IF(OR(AND(I1984="TP",Q1984&lt;=500), AND(I1984="TDP", Q1984&lt;=500)),MAX(Q1984,AI1984,AK1984)*M1984,"")))))))</f>
        <v>80</v>
      </c>
      <c r="T1984" s="10" t="s">
        <v>1147</v>
      </c>
      <c r="U1984" s="34" t="str">
        <f t="shared" si="222"/>
        <v/>
      </c>
      <c r="V1984" s="31" t="str">
        <f>IF(H1984="CHK",VLOOKUP(I1984,QCCHK,3,),IF(H1984="GUP",VLOOKUP(E1984,QCGUP,2,),IF(AND(H1984="ATP",OR(I1984="TN",I1984="TDN",I1984="TNO2-3",I1984="NO2-3")),VLOOKUP(E1984,QCREC_N,2,),IF(AND(H1984="NIC",OR(I1984="TN",I1984="TDN",I1984="TNO2-3",I1984="NO2-3")),VLOOKUP(E1984,QCNIC_N,2,),IF(AND(H1984="UREA",OR(I1984="TN",I1984="TDN",I1984="TNO2-3",I1984="NO2-3")),VLOOKUP(E1984,QCUREA_N,2,),IF(H1984="PER",VLOOKUP(I1984,QCPER,MATCH(E1984,QCACTUAL!$J$25:$AA$25,0),),IF(H1984="SPK",VLOOKUP(I1984,QCSPK,3,),IF(AND(H1984="ATP",OR(I1984="TP",I1984="TDP")),VLOOKUP(E1984,QCATP_P,2,),""))))))))</f>
        <v/>
      </c>
      <c r="W1984" s="31" t="str">
        <f t="shared" si="223"/>
        <v>TRUE</v>
      </c>
      <c r="X1984" s="31" t="str">
        <f t="shared" si="227"/>
        <v/>
      </c>
      <c r="Y1984" s="10" t="s">
        <v>1144</v>
      </c>
      <c r="AL1984" s="10" t="str">
        <f t="shared" si="225"/>
        <v>FALSE</v>
      </c>
      <c r="AM1984" s="10" t="str">
        <f t="shared" si="225"/>
        <v>FALSE</v>
      </c>
      <c r="AN1984" s="10" t="str">
        <f t="shared" si="225"/>
        <v>FALSE</v>
      </c>
      <c r="AO1984" s="10" t="str">
        <f t="shared" si="226"/>
        <v>FALSE</v>
      </c>
      <c r="AP1984" s="10" t="str">
        <f t="shared" si="226"/>
        <v>FALSE</v>
      </c>
      <c r="AQ1984" s="10" t="b">
        <f>IF(AND(I1984="TP",S1984&lt;=150),VLOOKUP(AF1984,TPCalibEq150!$AZ$2:$BB$55,3,),IF(AND(I1984="TDP",S1984&lt;=150),VLOOKUP(AF1984,TPCalibEq150!$AZ$2:$BB$55,3,)))</f>
        <v>0</v>
      </c>
      <c r="AR1984" s="10" t="b">
        <f>IF(AND(I1984="TP",S1984&lt;=300),VLOOKUP(AF1984,TPCalibEq300!$AZ$2:$BB$55,3,),IF(AND(I1984="TDP",S1984&lt;=300),VLOOKUP(AF1984,TPCalibEq300!$AZ$2:$BB$55,3,)))</f>
        <v>0</v>
      </c>
      <c r="AS1984" s="10" t="b">
        <f>IF(AND(I1984="TP",S1984&lt;=500),VLOOKUP(AF1984,TPCalibEq500!$AZ$2:$BB$56,3,),IF(AND(I1984="TDP",S1984&lt;=500),VLOOKUP(AF1984,TPCalibEq500!$AZ$2:$BB$56,3,)))</f>
        <v>0</v>
      </c>
      <c r="AT1984" s="10" t="b">
        <f>IF(AND(I1984="TN",S1984&lt;=2800),VLOOKUP(AF1984,TNCalibEq2500!$AZ$2:$BB$56,3,),IF(AND(I1984="TDN",S1984&lt;=2800),VLOOKUP(AF1984,TNCalibEq2500!$AZ$2:$BB$56,3,)))</f>
        <v>0</v>
      </c>
      <c r="AU1984" s="10" t="b">
        <f>IF(I1984="TP",VLOOKUP(AF1984,TPCalibEqFull!$AZ$2:$BB$56,3),IF(I1984="TDP",VLOOKUP(AF1984,TPCalibEqFull!$AZ$2:$BB$56,3),IF(I1984="TDN",VLOOKUP(AF1984,TNCalibEqFull!$AZ$1:$BB$56,3),IF(I1984="TN",VLOOKUP(AF1984,TNCalibEqFull!$AZ$1:$BB$56,3),FALSE))))</f>
        <v>0</v>
      </c>
      <c r="AV1984" s="10" t="str">
        <f t="shared" si="224"/>
        <v>0209 09:00:00-QAC-STD-E-1-DI-CAL</v>
      </c>
    </row>
    <row r="1985" spans="1:48" s="10" customFormat="1" x14ac:dyDescent="0.55000000000000004">
      <c r="A1985" s="32">
        <v>44966</v>
      </c>
      <c r="B1985" s="33">
        <v>0.375</v>
      </c>
      <c r="C1985" s="10" t="s">
        <v>70</v>
      </c>
      <c r="D1985" s="10" t="s">
        <v>71</v>
      </c>
      <c r="E1985" s="10" t="s">
        <v>901</v>
      </c>
      <c r="F1985" s="10">
        <v>1</v>
      </c>
      <c r="G1985" s="10" t="s">
        <v>73</v>
      </c>
      <c r="H1985" s="10" t="s">
        <v>74</v>
      </c>
      <c r="I1985" s="10" t="s">
        <v>75</v>
      </c>
      <c r="J1985" s="10">
        <v>185</v>
      </c>
      <c r="K1985" s="12">
        <v>44966</v>
      </c>
      <c r="L1985" s="33">
        <v>0.44520833333333337</v>
      </c>
      <c r="M1985" s="10">
        <v>1</v>
      </c>
      <c r="N1985" s="10" t="s">
        <v>76</v>
      </c>
      <c r="O1985" s="10">
        <v>8.3000000000000004E-2</v>
      </c>
      <c r="P1985" s="10">
        <v>4.0499999999999998E-3</v>
      </c>
      <c r="Q1985" s="10">
        <v>300</v>
      </c>
      <c r="R1985" s="10" t="s">
        <v>77</v>
      </c>
      <c r="S1985" s="34">
        <f t="shared" si="228"/>
        <v>300</v>
      </c>
      <c r="T1985" s="10" t="s">
        <v>1148</v>
      </c>
      <c r="U1985" s="34" t="str">
        <f t="shared" si="222"/>
        <v/>
      </c>
      <c r="V1985" s="31" t="str">
        <f>IF(H1985="CHK",VLOOKUP(I1985,QCCHK,3,),IF(H1985="GUP",VLOOKUP(E1985,QCGUP,2,),IF(AND(H1985="ATP",OR(I1985="TN",I1985="TDN",I1985="TNO2-3",I1985="NO2-3")),VLOOKUP(E1985,QCREC_N,2,),IF(AND(H1985="NIC",OR(I1985="TN",I1985="TDN",I1985="TNO2-3",I1985="NO2-3")),VLOOKUP(E1985,QCNIC_N,2,),IF(AND(H1985="UREA",OR(I1985="TN",I1985="TDN",I1985="TNO2-3",I1985="NO2-3")),VLOOKUP(E1985,QCUREA_N,2,),IF(H1985="PER",VLOOKUP(I1985,QCPER,MATCH(E1985,QCACTUAL!$J$25:$AA$25,0),),IF(H1985="SPK",VLOOKUP(I1985,QCSPK,3,),IF(AND(H1985="ATP",OR(I1985="TP",I1985="TDP")),VLOOKUP(E1985,QCATP_P,2,),""))))))))</f>
        <v/>
      </c>
      <c r="W1985" s="31" t="str">
        <f t="shared" si="223"/>
        <v>TRUE</v>
      </c>
      <c r="X1985" s="31" t="str">
        <f t="shared" si="227"/>
        <v/>
      </c>
      <c r="Y1985" s="10" t="s">
        <v>1144</v>
      </c>
      <c r="AL1985" s="10" t="str">
        <f t="shared" ref="AL1985:AN2048" si="229">IF($O1985="", "", IF(AQ1985&lt;&gt;"", SUBSTITUTE(SUBSTITUTE(AQ1985, "x", "*"&amp;$O1985&amp;"^", 1), "x", "*"&amp;$O1985, 1), ""))</f>
        <v>FALSE</v>
      </c>
      <c r="AM1985" s="10" t="str">
        <f t="shared" si="229"/>
        <v>FALSE</v>
      </c>
      <c r="AN1985" s="10" t="str">
        <f t="shared" si="229"/>
        <v>FALSE</v>
      </c>
      <c r="AO1985" s="10" t="str">
        <f t="shared" ref="AO1985:AP2048" si="230">IF($O1985="", "FALSE", IF(AT1985&lt;&gt;"FALSE", SUBSTITUTE(SUBSTITUTE(AT1985, "x", "*"&amp;$O1985&amp;"^", 1), "x", "*"&amp;$O1985, 1), ""))</f>
        <v>FALSE</v>
      </c>
      <c r="AP1985" s="10" t="str">
        <f t="shared" si="230"/>
        <v>FALSE</v>
      </c>
      <c r="AQ1985" s="10" t="b">
        <f>IF(AND(I1985="TP",S1985&lt;=150),VLOOKUP(AF1985,TPCalibEq150!$AZ$2:$BB$55,3,),IF(AND(I1985="TDP",S1985&lt;=150),VLOOKUP(AF1985,TPCalibEq150!$AZ$2:$BB$55,3,)))</f>
        <v>0</v>
      </c>
      <c r="AR1985" s="10" t="b">
        <f>IF(AND(I1985="TP",S1985&lt;=300),VLOOKUP(AF1985,TPCalibEq300!$AZ$2:$BB$55,3,),IF(AND(I1985="TDP",S1985&lt;=300),VLOOKUP(AF1985,TPCalibEq300!$AZ$2:$BB$55,3,)))</f>
        <v>0</v>
      </c>
      <c r="AS1985" s="10" t="b">
        <f>IF(AND(I1985="TP",S1985&lt;=500),VLOOKUP(AF1985,TPCalibEq500!$AZ$2:$BB$56,3,),IF(AND(I1985="TDP",S1985&lt;=500),VLOOKUP(AF1985,TPCalibEq500!$AZ$2:$BB$56,3,)))</f>
        <v>0</v>
      </c>
      <c r="AT1985" s="10" t="b">
        <f>IF(AND(I1985="TN",S1985&lt;=2800),VLOOKUP(AF1985,TNCalibEq2500!$AZ$2:$BB$56,3,),IF(AND(I1985="TDN",S1985&lt;=2800),VLOOKUP(AF1985,TNCalibEq2500!$AZ$2:$BB$56,3,)))</f>
        <v>0</v>
      </c>
      <c r="AU1985" s="10" t="b">
        <f>IF(I1985="TP",VLOOKUP(AF1985,TPCalibEqFull!$AZ$2:$BB$56,3),IF(I1985="TDP",VLOOKUP(AF1985,TPCalibEqFull!$AZ$2:$BB$56,3),IF(I1985="TDN",VLOOKUP(AF1985,TNCalibEqFull!$AZ$1:$BB$56,3),IF(I1985="TN",VLOOKUP(AF1985,TNCalibEqFull!$AZ$1:$BB$56,3),FALSE))))</f>
        <v>0</v>
      </c>
      <c r="AV1985" s="10" t="str">
        <f t="shared" si="224"/>
        <v>0209 09:00:00-QAC-STD-D-1-DI-CAL</v>
      </c>
    </row>
    <row r="1986" spans="1:48" s="10" customFormat="1" x14ac:dyDescent="0.55000000000000004">
      <c r="A1986" s="32">
        <v>44966</v>
      </c>
      <c r="B1986" s="33">
        <v>0.375</v>
      </c>
      <c r="C1986" s="10" t="s">
        <v>70</v>
      </c>
      <c r="D1986" s="10" t="s">
        <v>71</v>
      </c>
      <c r="E1986" s="10" t="s">
        <v>190</v>
      </c>
      <c r="F1986" s="10">
        <v>1</v>
      </c>
      <c r="G1986" s="10" t="s">
        <v>73</v>
      </c>
      <c r="H1986" s="10" t="s">
        <v>74</v>
      </c>
      <c r="I1986" s="10" t="s">
        <v>75</v>
      </c>
      <c r="J1986" s="10">
        <v>186</v>
      </c>
      <c r="K1986" s="12">
        <v>44966</v>
      </c>
      <c r="L1986" s="33">
        <v>0.44603009259259258</v>
      </c>
      <c r="M1986" s="10">
        <v>1</v>
      </c>
      <c r="N1986" s="10" t="s">
        <v>76</v>
      </c>
      <c r="O1986" s="10">
        <v>10.4</v>
      </c>
      <c r="P1986" s="10">
        <v>0.82799999999999996</v>
      </c>
      <c r="Q1986" s="10">
        <v>600</v>
      </c>
      <c r="R1986" s="10" t="s">
        <v>77</v>
      </c>
      <c r="S1986" s="34">
        <f t="shared" si="228"/>
        <v>600</v>
      </c>
      <c r="T1986" s="10" t="s">
        <v>1149</v>
      </c>
      <c r="U1986" s="34" t="str">
        <f t="shared" ref="U1986:U2049" si="231">IF(OR(H1986="CHK",H1986="ATP",H1986="GUP",H1986="PER", H1986="NIC", H1986="UREA"),(S1986/V1986*100),IF(H1986="DUP",((ABS(S1986-S1985))/((S1985+S1986)/2))*100,IF(H1986="SPK",((S1986-S1985)/V1986*100),IF(OR(H1986="LAB",H1986="FLD",H1986="ESF"),S1986,""))))</f>
        <v/>
      </c>
      <c r="V1986" s="31" t="str">
        <f>IF(H1986="CHK",VLOOKUP(I1986,QCCHK,3,),IF(H1986="GUP",VLOOKUP(E1986,QCGUP,2,),IF(AND(H1986="ATP",OR(I1986="TN",I1986="TDN",I1986="TNO2-3",I1986="NO2-3")),VLOOKUP(E1986,QCREC_N,2,),IF(AND(H1986="NIC",OR(I1986="TN",I1986="TDN",I1986="TNO2-3",I1986="NO2-3")),VLOOKUP(E1986,QCNIC_N,2,),IF(AND(H1986="UREA",OR(I1986="TN",I1986="TDN",I1986="TNO2-3",I1986="NO2-3")),VLOOKUP(E1986,QCUREA_N,2,),IF(H1986="PER",VLOOKUP(I1986,QCPER,MATCH(E1986,QCACTUAL!$J$25:$AA$25,0),),IF(H1986="SPK",VLOOKUP(I1986,QCSPK,3,),IF(AND(H1986="ATP",OR(I1986="TP",I1986="TDP")),VLOOKUP(E1986,QCATP_P,2,),""))))))))</f>
        <v/>
      </c>
      <c r="W1986" s="31" t="str">
        <f t="shared" ref="W1986:W2049" si="232">IF(AND(OR(H1986="PER",H1986="ATP",H1986="GUP",H1986="CHK",H1986="SPK", H1986="NIC"),OR(U1986&gt;125,U1986&lt;75)),"FALSE",IF(AND(H1986="DUP",OR(U1986&gt;25, U1986&lt;-25)),"FALSE",IF(AND(OR(H1986="LAB",H1986="FLD",H1986="ESF"),U1986&gt;15),"FALSE","TRUE")))</f>
        <v>TRUE</v>
      </c>
      <c r="X1986" s="31" t="str">
        <f t="shared" si="227"/>
        <v/>
      </c>
      <c r="Y1986" s="10" t="s">
        <v>1144</v>
      </c>
      <c r="AL1986" s="10" t="str">
        <f t="shared" si="229"/>
        <v>FALSE</v>
      </c>
      <c r="AM1986" s="10" t="str">
        <f t="shared" si="229"/>
        <v>FALSE</v>
      </c>
      <c r="AN1986" s="10" t="str">
        <f t="shared" si="229"/>
        <v>FALSE</v>
      </c>
      <c r="AO1986" s="10" t="str">
        <f t="shared" si="230"/>
        <v>FALSE</v>
      </c>
      <c r="AP1986" s="10" t="str">
        <f t="shared" si="230"/>
        <v>FALSE</v>
      </c>
      <c r="AQ1986" s="10" t="b">
        <f>IF(AND(I1986="TP",S1986&lt;=150),VLOOKUP(AF1986,TPCalibEq150!$AZ$2:$BB$55,3,),IF(AND(I1986="TDP",S1986&lt;=150),VLOOKUP(AF1986,TPCalibEq150!$AZ$2:$BB$55,3,)))</f>
        <v>0</v>
      </c>
      <c r="AR1986" s="10" t="b">
        <f>IF(AND(I1986="TP",S1986&lt;=300),VLOOKUP(AF1986,TPCalibEq300!$AZ$2:$BB$55,3,),IF(AND(I1986="TDP",S1986&lt;=300),VLOOKUP(AF1986,TPCalibEq300!$AZ$2:$BB$55,3,)))</f>
        <v>0</v>
      </c>
      <c r="AS1986" s="10" t="b">
        <f>IF(AND(I1986="TP",S1986&lt;=500),VLOOKUP(AF1986,TPCalibEq500!$AZ$2:$BB$56,3,),IF(AND(I1986="TDP",S1986&lt;=500),VLOOKUP(AF1986,TPCalibEq500!$AZ$2:$BB$56,3,)))</f>
        <v>0</v>
      </c>
      <c r="AT1986" s="10" t="b">
        <f>IF(AND(I1986="TN",S1986&lt;=2800),VLOOKUP(AF1986,TNCalibEq2500!$AZ$2:$BB$56,3,),IF(AND(I1986="TDN",S1986&lt;=2800),VLOOKUP(AF1986,TNCalibEq2500!$AZ$2:$BB$56,3,)))</f>
        <v>0</v>
      </c>
      <c r="AU1986" s="10" t="b">
        <f>IF(I1986="TP",VLOOKUP(AF1986,TPCalibEqFull!$AZ$2:$BB$56,3),IF(I1986="TDP",VLOOKUP(AF1986,TPCalibEqFull!$AZ$2:$BB$56,3),IF(I1986="TDN",VLOOKUP(AF1986,TNCalibEqFull!$AZ$1:$BB$56,3),IF(I1986="TN",VLOOKUP(AF1986,TNCalibEqFull!$AZ$1:$BB$56,3),FALSE))))</f>
        <v>0</v>
      </c>
      <c r="AV1986" s="10" t="str">
        <f t="shared" ref="AV1986:AV2049" si="233">TEXT(A1986, "MMDD")&amp;" "&amp;TEXT(B1986, "HH:MM:SS")&amp;"-"&amp;C1986&amp;"-"&amp;D1986&amp;"-"&amp;E1986&amp;"-"&amp;F1986&amp;"-"&amp;G1986&amp;"-"&amp;H1986</f>
        <v>0209 09:00:00-QAC-STD-C-1-DI-CAL</v>
      </c>
    </row>
    <row r="1987" spans="1:48" s="10" customFormat="1" x14ac:dyDescent="0.55000000000000004">
      <c r="A1987" s="32">
        <v>44966</v>
      </c>
      <c r="B1987" s="33">
        <v>0.375</v>
      </c>
      <c r="C1987" s="10" t="s">
        <v>70</v>
      </c>
      <c r="D1987" s="10" t="s">
        <v>71</v>
      </c>
      <c r="E1987" s="10" t="s">
        <v>583</v>
      </c>
      <c r="F1987" s="10">
        <v>1</v>
      </c>
      <c r="G1987" s="10" t="s">
        <v>73</v>
      </c>
      <c r="H1987" s="10" t="s">
        <v>74</v>
      </c>
      <c r="I1987" s="10" t="s">
        <v>75</v>
      </c>
      <c r="J1987" s="10">
        <v>187</v>
      </c>
      <c r="K1987" s="12">
        <v>44966</v>
      </c>
      <c r="L1987" s="33">
        <v>0.44686342592592593</v>
      </c>
      <c r="M1987" s="10">
        <v>1</v>
      </c>
      <c r="N1987" s="10" t="s">
        <v>76</v>
      </c>
      <c r="O1987" s="10">
        <v>21.2</v>
      </c>
      <c r="P1987" s="10">
        <v>1.69</v>
      </c>
      <c r="Q1987" s="10">
        <v>1200</v>
      </c>
      <c r="R1987" s="10" t="s">
        <v>77</v>
      </c>
      <c r="S1987" s="34">
        <f t="shared" si="228"/>
        <v>1200</v>
      </c>
      <c r="T1987" s="10" t="s">
        <v>1150</v>
      </c>
      <c r="U1987" s="34" t="str">
        <f t="shared" si="231"/>
        <v/>
      </c>
      <c r="V1987" s="31" t="str">
        <f>IF(H1987="CHK",VLOOKUP(I1987,QCCHK,3,),IF(H1987="GUP",VLOOKUP(E1987,QCGUP,2,),IF(AND(H1987="ATP",OR(I1987="TN",I1987="TDN",I1987="TNO2-3",I1987="NO2-3")),VLOOKUP(E1987,QCREC_N,2,),IF(AND(H1987="NIC",OR(I1987="TN",I1987="TDN",I1987="TNO2-3",I1987="NO2-3")),VLOOKUP(E1987,QCNIC_N,2,),IF(AND(H1987="UREA",OR(I1987="TN",I1987="TDN",I1987="TNO2-3",I1987="NO2-3")),VLOOKUP(E1987,QCUREA_N,2,),IF(H1987="PER",VLOOKUP(I1987,QCPER,MATCH(E1987,QCACTUAL!$J$25:$AA$25,0),),IF(H1987="SPK",VLOOKUP(I1987,QCSPK,3,),IF(AND(H1987="ATP",OR(I1987="TP",I1987="TDP")),VLOOKUP(E1987,QCATP_P,2,),""))))))))</f>
        <v/>
      </c>
      <c r="W1987" s="31" t="str">
        <f t="shared" si="232"/>
        <v>TRUE</v>
      </c>
      <c r="X1987" s="31" t="str">
        <f t="shared" si="227"/>
        <v/>
      </c>
      <c r="Y1987" s="10" t="s">
        <v>1144</v>
      </c>
      <c r="AL1987" s="10" t="str">
        <f t="shared" si="229"/>
        <v>FALSE</v>
      </c>
      <c r="AM1987" s="10" t="str">
        <f t="shared" si="229"/>
        <v>FALSE</v>
      </c>
      <c r="AN1987" s="10" t="str">
        <f t="shared" si="229"/>
        <v>FALSE</v>
      </c>
      <c r="AO1987" s="10" t="str">
        <f t="shared" si="230"/>
        <v>FALSE</v>
      </c>
      <c r="AP1987" s="10" t="str">
        <f t="shared" si="230"/>
        <v>FALSE</v>
      </c>
      <c r="AQ1987" s="10" t="b">
        <f>IF(AND(I1987="TP",S1987&lt;=150),VLOOKUP(AF1987,TPCalibEq150!$AZ$2:$BB$55,3,),IF(AND(I1987="TDP",S1987&lt;=150),VLOOKUP(AF1987,TPCalibEq150!$AZ$2:$BB$55,3,)))</f>
        <v>0</v>
      </c>
      <c r="AR1987" s="10" t="b">
        <f>IF(AND(I1987="TP",S1987&lt;=300),VLOOKUP(AF1987,TPCalibEq300!$AZ$2:$BB$55,3,),IF(AND(I1987="TDP",S1987&lt;=300),VLOOKUP(AF1987,TPCalibEq300!$AZ$2:$BB$55,3,)))</f>
        <v>0</v>
      </c>
      <c r="AS1987" s="10" t="b">
        <f>IF(AND(I1987="TP",S1987&lt;=500),VLOOKUP(AF1987,TPCalibEq500!$AZ$2:$BB$56,3,),IF(AND(I1987="TDP",S1987&lt;=500),VLOOKUP(AF1987,TPCalibEq500!$AZ$2:$BB$56,3,)))</f>
        <v>0</v>
      </c>
      <c r="AT1987" s="10" t="b">
        <f>IF(AND(I1987="TN",S1987&lt;=2800),VLOOKUP(AF1987,TNCalibEq2500!$AZ$2:$BB$56,3,),IF(AND(I1987="TDN",S1987&lt;=2800),VLOOKUP(AF1987,TNCalibEq2500!$AZ$2:$BB$56,3,)))</f>
        <v>0</v>
      </c>
      <c r="AU1987" s="10" t="b">
        <f>IF(I1987="TP",VLOOKUP(AF1987,TPCalibEqFull!$AZ$2:$BB$56,3),IF(I1987="TDP",VLOOKUP(AF1987,TPCalibEqFull!$AZ$2:$BB$56,3),IF(I1987="TDN",VLOOKUP(AF1987,TNCalibEqFull!$AZ$1:$BB$56,3),IF(I1987="TN",VLOOKUP(AF1987,TNCalibEqFull!$AZ$1:$BB$56,3),FALSE))))</f>
        <v>0</v>
      </c>
      <c r="AV1987" s="10" t="str">
        <f t="shared" si="233"/>
        <v>0209 09:00:00-QAC-STD-B-1-DI-CAL</v>
      </c>
    </row>
    <row r="1988" spans="1:48" s="10" customFormat="1" x14ac:dyDescent="0.55000000000000004">
      <c r="A1988" s="32">
        <v>44966</v>
      </c>
      <c r="B1988" s="33">
        <v>0.375</v>
      </c>
      <c r="C1988" s="10" t="s">
        <v>70</v>
      </c>
      <c r="D1988" s="10" t="s">
        <v>71</v>
      </c>
      <c r="E1988" s="10" t="s">
        <v>866</v>
      </c>
      <c r="F1988" s="10">
        <v>1</v>
      </c>
      <c r="G1988" s="10" t="s">
        <v>73</v>
      </c>
      <c r="H1988" s="10" t="s">
        <v>74</v>
      </c>
      <c r="I1988" s="10" t="s">
        <v>75</v>
      </c>
      <c r="J1988" s="10">
        <v>188</v>
      </c>
      <c r="K1988" s="12">
        <v>44966</v>
      </c>
      <c r="L1988" s="33">
        <v>0.44768518518518513</v>
      </c>
      <c r="M1988" s="10">
        <v>1</v>
      </c>
      <c r="N1988" s="10" t="s">
        <v>76</v>
      </c>
      <c r="O1988" s="10">
        <v>35</v>
      </c>
      <c r="P1988" s="10">
        <v>2.76</v>
      </c>
      <c r="Q1988" s="10">
        <v>2000</v>
      </c>
      <c r="R1988" s="10" t="s">
        <v>77</v>
      </c>
      <c r="S1988" s="34">
        <f t="shared" si="228"/>
        <v>2000</v>
      </c>
      <c r="T1988" s="10" t="s">
        <v>1151</v>
      </c>
      <c r="U1988" s="34" t="str">
        <f t="shared" si="231"/>
        <v/>
      </c>
      <c r="V1988" s="31" t="str">
        <f>IF(H1988="CHK",VLOOKUP(I1988,QCCHK,3,),IF(H1988="GUP",VLOOKUP(E1988,QCGUP,2,),IF(AND(H1988="ATP",OR(I1988="TN",I1988="TDN",I1988="TNO2-3",I1988="NO2-3")),VLOOKUP(E1988,QCREC_N,2,),IF(AND(H1988="NIC",OR(I1988="TN",I1988="TDN",I1988="TNO2-3",I1988="NO2-3")),VLOOKUP(E1988,QCNIC_N,2,),IF(AND(H1988="UREA",OR(I1988="TN",I1988="TDN",I1988="TNO2-3",I1988="NO2-3")),VLOOKUP(E1988,QCUREA_N,2,),IF(H1988="PER",VLOOKUP(I1988,QCPER,MATCH(E1988,QCACTUAL!$J$25:$AA$25,0),),IF(H1988="SPK",VLOOKUP(I1988,QCSPK,3,),IF(AND(H1988="ATP",OR(I1988="TP",I1988="TDP")),VLOOKUP(E1988,QCATP_P,2,),""))))))))</f>
        <v/>
      </c>
      <c r="W1988" s="31" t="str">
        <f t="shared" si="232"/>
        <v>TRUE</v>
      </c>
      <c r="X1988" s="31" t="str">
        <f t="shared" si="227"/>
        <v/>
      </c>
      <c r="Y1988" s="10" t="s">
        <v>1144</v>
      </c>
      <c r="AL1988" s="10" t="str">
        <f t="shared" si="229"/>
        <v>FALSE</v>
      </c>
      <c r="AM1988" s="10" t="str">
        <f t="shared" si="229"/>
        <v>FALSE</v>
      </c>
      <c r="AN1988" s="10" t="str">
        <f t="shared" si="229"/>
        <v>FALSE</v>
      </c>
      <c r="AO1988" s="10" t="str">
        <f t="shared" si="230"/>
        <v>FALSE</v>
      </c>
      <c r="AP1988" s="10" t="str">
        <f t="shared" si="230"/>
        <v>FALSE</v>
      </c>
      <c r="AQ1988" s="10" t="b">
        <f>IF(AND(I1988="TP",S1988&lt;=150),VLOOKUP(AF1988,TPCalibEq150!$AZ$2:$BB$55,3,),IF(AND(I1988="TDP",S1988&lt;=150),VLOOKUP(AF1988,TPCalibEq150!$AZ$2:$BB$55,3,)))</f>
        <v>0</v>
      </c>
      <c r="AR1988" s="10" t="b">
        <f>IF(AND(I1988="TP",S1988&lt;=300),VLOOKUP(AF1988,TPCalibEq300!$AZ$2:$BB$55,3,),IF(AND(I1988="TDP",S1988&lt;=300),VLOOKUP(AF1988,TPCalibEq300!$AZ$2:$BB$55,3,)))</f>
        <v>0</v>
      </c>
      <c r="AS1988" s="10" t="b">
        <f>IF(AND(I1988="TP",S1988&lt;=500),VLOOKUP(AF1988,TPCalibEq500!$AZ$2:$BB$56,3,),IF(AND(I1988="TDP",S1988&lt;=500),VLOOKUP(AF1988,TPCalibEq500!$AZ$2:$BB$56,3,)))</f>
        <v>0</v>
      </c>
      <c r="AT1988" s="10" t="b">
        <f>IF(AND(I1988="TN",S1988&lt;=2800),VLOOKUP(AF1988,TNCalibEq2500!$AZ$2:$BB$56,3,),IF(AND(I1988="TDN",S1988&lt;=2800),VLOOKUP(AF1988,TNCalibEq2500!$AZ$2:$BB$56,3,)))</f>
        <v>0</v>
      </c>
      <c r="AU1988" s="10" t="b">
        <f>IF(I1988="TP",VLOOKUP(AF1988,TPCalibEqFull!$AZ$2:$BB$56,3),IF(I1988="TDP",VLOOKUP(AF1988,TPCalibEqFull!$AZ$2:$BB$56,3),IF(I1988="TDN",VLOOKUP(AF1988,TNCalibEqFull!$AZ$1:$BB$56,3),IF(I1988="TN",VLOOKUP(AF1988,TNCalibEqFull!$AZ$1:$BB$56,3),FALSE))))</f>
        <v>0</v>
      </c>
      <c r="AV1988" s="10" t="str">
        <f t="shared" si="233"/>
        <v>0209 09:00:00-QAC-STD-A-1-DI-CAL</v>
      </c>
    </row>
    <row r="1989" spans="1:48" s="10" customFormat="1" x14ac:dyDescent="0.55000000000000004">
      <c r="A1989" s="32">
        <v>44966</v>
      </c>
      <c r="B1989" s="33">
        <v>0.375</v>
      </c>
      <c r="C1989" s="10" t="s">
        <v>70</v>
      </c>
      <c r="D1989" s="10" t="s">
        <v>71</v>
      </c>
      <c r="E1989" s="10" t="s">
        <v>72</v>
      </c>
      <c r="F1989" s="10">
        <v>1</v>
      </c>
      <c r="G1989" s="10" t="s">
        <v>73</v>
      </c>
      <c r="H1989" s="10" t="s">
        <v>74</v>
      </c>
      <c r="I1989" s="10" t="s">
        <v>75</v>
      </c>
      <c r="J1989" s="10">
        <v>181</v>
      </c>
      <c r="K1989" s="12">
        <v>44966</v>
      </c>
      <c r="L1989" s="33">
        <v>0.44931712962962966</v>
      </c>
      <c r="M1989" s="10">
        <v>1</v>
      </c>
      <c r="N1989" s="10" t="s">
        <v>76</v>
      </c>
      <c r="O1989" s="10">
        <v>7.6999999999999999E-2</v>
      </c>
      <c r="P1989" s="10">
        <v>6.3499999999999997E-3</v>
      </c>
      <c r="Q1989" s="10">
        <v>0</v>
      </c>
      <c r="R1989" s="10" t="s">
        <v>77</v>
      </c>
      <c r="S1989" s="34">
        <f t="shared" si="228"/>
        <v>0</v>
      </c>
      <c r="T1989" s="10" t="s">
        <v>1152</v>
      </c>
      <c r="U1989" s="34" t="str">
        <f t="shared" si="231"/>
        <v/>
      </c>
      <c r="V1989" s="31" t="str">
        <f>IF(H1989="CHK",VLOOKUP(I1989,QCCHK,3,),IF(H1989="GUP",VLOOKUP(E1989,QCGUP,2,),IF(AND(H1989="ATP",OR(I1989="TN",I1989="TDN",I1989="TNO2-3",I1989="NO2-3")),VLOOKUP(E1989,QCREC_N,2,),IF(AND(H1989="NIC",OR(I1989="TN",I1989="TDN",I1989="TNO2-3",I1989="NO2-3")),VLOOKUP(E1989,QCNIC_N,2,),IF(AND(H1989="UREA",OR(I1989="TN",I1989="TDN",I1989="TNO2-3",I1989="NO2-3")),VLOOKUP(E1989,QCUREA_N,2,),IF(H1989="PER",VLOOKUP(I1989,QCPER,MATCH(E1989,QCACTUAL!$J$25:$AA$25,0),),IF(H1989="SPK",VLOOKUP(I1989,QCSPK,3,),IF(AND(H1989="ATP",OR(I1989="TP",I1989="TDP")),VLOOKUP(E1989,QCATP_P,2,),""))))))))</f>
        <v/>
      </c>
      <c r="W1989" s="31" t="str">
        <f t="shared" si="232"/>
        <v>TRUE</v>
      </c>
      <c r="X1989" s="31" t="str">
        <f t="shared" si="227"/>
        <v/>
      </c>
      <c r="Y1989" s="10" t="s">
        <v>1144</v>
      </c>
      <c r="AL1989" s="10" t="str">
        <f t="shared" si="229"/>
        <v>FALSE</v>
      </c>
      <c r="AM1989" s="10" t="str">
        <f t="shared" si="229"/>
        <v>FALSE</v>
      </c>
      <c r="AN1989" s="10" t="str">
        <f t="shared" si="229"/>
        <v>FALSE</v>
      </c>
      <c r="AO1989" s="10" t="str">
        <f t="shared" si="230"/>
        <v>FALSE</v>
      </c>
      <c r="AP1989" s="10" t="str">
        <f t="shared" si="230"/>
        <v>FALSE</v>
      </c>
      <c r="AQ1989" s="10" t="b">
        <f>IF(AND(I1989="TP",S1989&lt;=150),VLOOKUP(AF1989,TPCalibEq150!$AZ$2:$BB$55,3,),IF(AND(I1989="TDP",S1989&lt;=150),VLOOKUP(AF1989,TPCalibEq150!$AZ$2:$BB$55,3,)))</f>
        <v>0</v>
      </c>
      <c r="AR1989" s="10" t="b">
        <f>IF(AND(I1989="TP",S1989&lt;=300),VLOOKUP(AF1989,TPCalibEq300!$AZ$2:$BB$55,3,),IF(AND(I1989="TDP",S1989&lt;=300),VLOOKUP(AF1989,TPCalibEq300!$AZ$2:$BB$55,3,)))</f>
        <v>0</v>
      </c>
      <c r="AS1989" s="10" t="b">
        <f>IF(AND(I1989="TP",S1989&lt;=500),VLOOKUP(AF1989,TPCalibEq500!$AZ$2:$BB$56,3,),IF(AND(I1989="TDP",S1989&lt;=500),VLOOKUP(AF1989,TPCalibEq500!$AZ$2:$BB$56,3,)))</f>
        <v>0</v>
      </c>
      <c r="AT1989" s="10" t="b">
        <f>IF(AND(I1989="TN",S1989&lt;=2800),VLOOKUP(AF1989,TNCalibEq2500!$AZ$2:$BB$56,3,),IF(AND(I1989="TDN",S1989&lt;=2800),VLOOKUP(AF1989,TNCalibEq2500!$AZ$2:$BB$56,3,)))</f>
        <v>0</v>
      </c>
      <c r="AU1989" s="10" t="b">
        <f>IF(I1989="TP",VLOOKUP(AF1989,TPCalibEqFull!$AZ$2:$BB$56,3),IF(I1989="TDP",VLOOKUP(AF1989,TPCalibEqFull!$AZ$2:$BB$56,3),IF(I1989="TDN",VLOOKUP(AF1989,TNCalibEqFull!$AZ$1:$BB$56,3),IF(I1989="TN",VLOOKUP(AF1989,TNCalibEqFull!$AZ$1:$BB$56,3),FALSE))))</f>
        <v>0</v>
      </c>
      <c r="AV1989" s="10" t="str">
        <f t="shared" si="233"/>
        <v>0209 09:00:00-QAC-STD-H-1-DI-CAL</v>
      </c>
    </row>
    <row r="1990" spans="1:48" s="10" customFormat="1" x14ac:dyDescent="0.55000000000000004">
      <c r="A1990" s="32">
        <v>44966</v>
      </c>
      <c r="B1990" s="33">
        <v>0.375</v>
      </c>
      <c r="C1990" s="10" t="s">
        <v>70</v>
      </c>
      <c r="D1990" s="10" t="s">
        <v>71</v>
      </c>
      <c r="E1990" s="10" t="s">
        <v>901</v>
      </c>
      <c r="F1990" s="10">
        <v>1</v>
      </c>
      <c r="G1990" s="10" t="s">
        <v>73</v>
      </c>
      <c r="H1990" s="10" t="s">
        <v>74</v>
      </c>
      <c r="I1990" s="10" t="s">
        <v>75</v>
      </c>
      <c r="J1990" s="10">
        <v>185</v>
      </c>
      <c r="K1990" s="12">
        <v>44966</v>
      </c>
      <c r="L1990" s="33">
        <v>0.45013888888888887</v>
      </c>
      <c r="M1990" s="10">
        <v>1</v>
      </c>
      <c r="N1990" s="10" t="s">
        <v>76</v>
      </c>
      <c r="O1990" s="10">
        <v>2.1000000000000001E-2</v>
      </c>
      <c r="P1990" s="10">
        <v>2.2799999999999999E-3</v>
      </c>
      <c r="Q1990" s="10">
        <v>300</v>
      </c>
      <c r="R1990" s="10" t="s">
        <v>77</v>
      </c>
      <c r="S1990" s="34">
        <f t="shared" si="228"/>
        <v>300</v>
      </c>
      <c r="T1990" s="10" t="s">
        <v>1153</v>
      </c>
      <c r="U1990" s="34" t="str">
        <f t="shared" si="231"/>
        <v/>
      </c>
      <c r="V1990" s="31" t="str">
        <f>IF(H1990="CHK",VLOOKUP(I1990,QCCHK,3,),IF(H1990="GUP",VLOOKUP(E1990,QCGUP,2,),IF(AND(H1990="ATP",OR(I1990="TN",I1990="TDN",I1990="TNO2-3",I1990="NO2-3")),VLOOKUP(E1990,QCREC_N,2,),IF(AND(H1990="NIC",OR(I1990="TN",I1990="TDN",I1990="TNO2-3",I1990="NO2-3")),VLOOKUP(E1990,QCNIC_N,2,),IF(AND(H1990="UREA",OR(I1990="TN",I1990="TDN",I1990="TNO2-3",I1990="NO2-3")),VLOOKUP(E1990,QCUREA_N,2,),IF(H1990="PER",VLOOKUP(I1990,QCPER,MATCH(E1990,QCACTUAL!$J$25:$AA$25,0),),IF(H1990="SPK",VLOOKUP(I1990,QCSPK,3,),IF(AND(H1990="ATP",OR(I1990="TP",I1990="TDP")),VLOOKUP(E1990,QCATP_P,2,),""))))))))</f>
        <v/>
      </c>
      <c r="W1990" s="31" t="str">
        <f t="shared" si="232"/>
        <v>TRUE</v>
      </c>
      <c r="X1990" s="31" t="str">
        <f t="shared" si="227"/>
        <v/>
      </c>
      <c r="Y1990" s="10" t="s">
        <v>1144</v>
      </c>
      <c r="AL1990" s="10" t="str">
        <f t="shared" si="229"/>
        <v>FALSE</v>
      </c>
      <c r="AM1990" s="10" t="str">
        <f t="shared" si="229"/>
        <v>FALSE</v>
      </c>
      <c r="AN1990" s="10" t="str">
        <f t="shared" si="229"/>
        <v>FALSE</v>
      </c>
      <c r="AO1990" s="10" t="str">
        <f t="shared" si="230"/>
        <v>FALSE</v>
      </c>
      <c r="AP1990" s="10" t="str">
        <f t="shared" si="230"/>
        <v>FALSE</v>
      </c>
      <c r="AQ1990" s="10" t="b">
        <f>IF(AND(I1990="TP",S1990&lt;=150),VLOOKUP(AF1990,TPCalibEq150!$AZ$2:$BB$55,3,),IF(AND(I1990="TDP",S1990&lt;=150),VLOOKUP(AF1990,TPCalibEq150!$AZ$2:$BB$55,3,)))</f>
        <v>0</v>
      </c>
      <c r="AR1990" s="10" t="b">
        <f>IF(AND(I1990="TP",S1990&lt;=300),VLOOKUP(AF1990,TPCalibEq300!$AZ$2:$BB$55,3,),IF(AND(I1990="TDP",S1990&lt;=300),VLOOKUP(AF1990,TPCalibEq300!$AZ$2:$BB$55,3,)))</f>
        <v>0</v>
      </c>
      <c r="AS1990" s="10" t="b">
        <f>IF(AND(I1990="TP",S1990&lt;=500),VLOOKUP(AF1990,TPCalibEq500!$AZ$2:$BB$56,3,),IF(AND(I1990="TDP",S1990&lt;=500),VLOOKUP(AF1990,TPCalibEq500!$AZ$2:$BB$56,3,)))</f>
        <v>0</v>
      </c>
      <c r="AT1990" s="10" t="b">
        <f>IF(AND(I1990="TN",S1990&lt;=2800),VLOOKUP(AF1990,TNCalibEq2500!$AZ$2:$BB$56,3,),IF(AND(I1990="TDN",S1990&lt;=2800),VLOOKUP(AF1990,TNCalibEq2500!$AZ$2:$BB$56,3,)))</f>
        <v>0</v>
      </c>
      <c r="AU1990" s="10" t="b">
        <f>IF(I1990="TP",VLOOKUP(AF1990,TPCalibEqFull!$AZ$2:$BB$56,3),IF(I1990="TDP",VLOOKUP(AF1990,TPCalibEqFull!$AZ$2:$BB$56,3),IF(I1990="TDN",VLOOKUP(AF1990,TNCalibEqFull!$AZ$1:$BB$56,3),IF(I1990="TN",VLOOKUP(AF1990,TNCalibEqFull!$AZ$1:$BB$56,3),FALSE))))</f>
        <v>0</v>
      </c>
      <c r="AV1990" s="10" t="str">
        <f t="shared" si="233"/>
        <v>0209 09:00:00-QAC-STD-D-1-DI-CAL</v>
      </c>
    </row>
    <row r="1991" spans="1:48" s="10" customFormat="1" x14ac:dyDescent="0.55000000000000004">
      <c r="A1991" s="32">
        <v>44966</v>
      </c>
      <c r="B1991" s="33">
        <v>0.375</v>
      </c>
      <c r="C1991" s="10" t="s">
        <v>70</v>
      </c>
      <c r="D1991" s="10" t="s">
        <v>71</v>
      </c>
      <c r="E1991" s="10" t="s">
        <v>901</v>
      </c>
      <c r="F1991" s="10">
        <v>1</v>
      </c>
      <c r="G1991" s="10" t="s">
        <v>73</v>
      </c>
      <c r="H1991" s="10" t="s">
        <v>74</v>
      </c>
      <c r="I1991" s="10" t="s">
        <v>75</v>
      </c>
      <c r="J1991" s="10">
        <v>185</v>
      </c>
      <c r="K1991" s="12">
        <v>44966</v>
      </c>
      <c r="L1991" s="33">
        <v>0.45341435185185186</v>
      </c>
      <c r="M1991" s="10">
        <v>1</v>
      </c>
      <c r="N1991" s="10" t="s">
        <v>76</v>
      </c>
      <c r="O1991" s="10">
        <v>2.9100000000000001E-2</v>
      </c>
      <c r="P1991" s="10">
        <v>3.2799999999999999E-3</v>
      </c>
      <c r="Q1991" s="10">
        <v>300</v>
      </c>
      <c r="R1991" s="10" t="s">
        <v>77</v>
      </c>
      <c r="S1991" s="34">
        <f t="shared" si="228"/>
        <v>300</v>
      </c>
      <c r="T1991" s="10" t="s">
        <v>1154</v>
      </c>
      <c r="U1991" s="34" t="str">
        <f t="shared" si="231"/>
        <v/>
      </c>
      <c r="V1991" s="31" t="str">
        <f>IF(H1991="CHK",VLOOKUP(I1991,QCCHK,3,),IF(H1991="GUP",VLOOKUP(E1991,QCGUP,2,),IF(AND(H1991="ATP",OR(I1991="TN",I1991="TDN",I1991="TNO2-3",I1991="NO2-3")),VLOOKUP(E1991,QCREC_N,2,),IF(AND(H1991="NIC",OR(I1991="TN",I1991="TDN",I1991="TNO2-3",I1991="NO2-3")),VLOOKUP(E1991,QCNIC_N,2,),IF(AND(H1991="UREA",OR(I1991="TN",I1991="TDN",I1991="TNO2-3",I1991="NO2-3")),VLOOKUP(E1991,QCUREA_N,2,),IF(H1991="PER",VLOOKUP(I1991,QCPER,MATCH(E1991,QCACTUAL!$J$25:$AA$25,0),),IF(H1991="SPK",VLOOKUP(I1991,QCSPK,3,),IF(AND(H1991="ATP",OR(I1991="TP",I1991="TDP")),VLOOKUP(E1991,QCATP_P,2,),""))))))))</f>
        <v/>
      </c>
      <c r="W1991" s="31" t="str">
        <f t="shared" si="232"/>
        <v>TRUE</v>
      </c>
      <c r="X1991" s="31" t="str">
        <f t="shared" si="227"/>
        <v/>
      </c>
      <c r="Y1991" s="10" t="s">
        <v>1144</v>
      </c>
      <c r="AL1991" s="10" t="str">
        <f t="shared" si="229"/>
        <v>FALSE</v>
      </c>
      <c r="AM1991" s="10" t="str">
        <f t="shared" si="229"/>
        <v>FALSE</v>
      </c>
      <c r="AN1991" s="10" t="str">
        <f t="shared" si="229"/>
        <v>FALSE</v>
      </c>
      <c r="AO1991" s="10" t="str">
        <f t="shared" si="230"/>
        <v>FALSE</v>
      </c>
      <c r="AP1991" s="10" t="str">
        <f t="shared" si="230"/>
        <v>FALSE</v>
      </c>
      <c r="AQ1991" s="10" t="b">
        <f>IF(AND(I1991="TP",S1991&lt;=150),VLOOKUP(AF1991,TPCalibEq150!$AZ$2:$BB$55,3,),IF(AND(I1991="TDP",S1991&lt;=150),VLOOKUP(AF1991,TPCalibEq150!$AZ$2:$BB$55,3,)))</f>
        <v>0</v>
      </c>
      <c r="AR1991" s="10" t="b">
        <f>IF(AND(I1991="TP",S1991&lt;=300),VLOOKUP(AF1991,TPCalibEq300!$AZ$2:$BB$55,3,),IF(AND(I1991="TDP",S1991&lt;=300),VLOOKUP(AF1991,TPCalibEq300!$AZ$2:$BB$55,3,)))</f>
        <v>0</v>
      </c>
      <c r="AS1991" s="10" t="b">
        <f>IF(AND(I1991="TP",S1991&lt;=500),VLOOKUP(AF1991,TPCalibEq500!$AZ$2:$BB$56,3,),IF(AND(I1991="TDP",S1991&lt;=500),VLOOKUP(AF1991,TPCalibEq500!$AZ$2:$BB$56,3,)))</f>
        <v>0</v>
      </c>
      <c r="AT1991" s="10" t="b">
        <f>IF(AND(I1991="TN",S1991&lt;=2800),VLOOKUP(AF1991,TNCalibEq2500!$AZ$2:$BB$56,3,),IF(AND(I1991="TDN",S1991&lt;=2800),VLOOKUP(AF1991,TNCalibEq2500!$AZ$2:$BB$56,3,)))</f>
        <v>0</v>
      </c>
      <c r="AU1991" s="10" t="b">
        <f>IF(I1991="TP",VLOOKUP(AF1991,TPCalibEqFull!$AZ$2:$BB$56,3),IF(I1991="TDP",VLOOKUP(AF1991,TPCalibEqFull!$AZ$2:$BB$56,3),IF(I1991="TDN",VLOOKUP(AF1991,TNCalibEqFull!$AZ$1:$BB$56,3),IF(I1991="TN",VLOOKUP(AF1991,TNCalibEqFull!$AZ$1:$BB$56,3),FALSE))))</f>
        <v>0</v>
      </c>
      <c r="AV1991" s="10" t="str">
        <f t="shared" si="233"/>
        <v>0209 09:00:00-QAC-STD-D-1-DI-CAL</v>
      </c>
    </row>
    <row r="1992" spans="1:48" s="10" customFormat="1" x14ac:dyDescent="0.55000000000000004">
      <c r="A1992" s="32">
        <v>44966</v>
      </c>
      <c r="B1992" s="33">
        <v>0.375</v>
      </c>
      <c r="C1992" s="10" t="s">
        <v>70</v>
      </c>
      <c r="D1992" s="10" t="s">
        <v>71</v>
      </c>
      <c r="E1992" s="10" t="s">
        <v>901</v>
      </c>
      <c r="F1992" s="10">
        <v>1</v>
      </c>
      <c r="G1992" s="10" t="s">
        <v>73</v>
      </c>
      <c r="H1992" s="10" t="s">
        <v>74</v>
      </c>
      <c r="I1992" s="10" t="s">
        <v>75</v>
      </c>
      <c r="J1992" s="10">
        <v>195</v>
      </c>
      <c r="K1992" s="12">
        <v>44966</v>
      </c>
      <c r="L1992" s="33">
        <v>0.45505787037037032</v>
      </c>
      <c r="M1992" s="10">
        <v>1</v>
      </c>
      <c r="N1992" s="10" t="s">
        <v>76</v>
      </c>
      <c r="O1992" s="10">
        <v>4.7699999999999996</v>
      </c>
      <c r="P1992" s="10">
        <v>0.377</v>
      </c>
      <c r="Q1992" s="10">
        <v>271</v>
      </c>
      <c r="R1992" s="10" t="s">
        <v>77</v>
      </c>
      <c r="S1992" s="34">
        <f t="shared" si="228"/>
        <v>271</v>
      </c>
      <c r="T1992" s="10" t="s">
        <v>1154</v>
      </c>
      <c r="U1992" s="34" t="str">
        <f t="shared" si="231"/>
        <v/>
      </c>
      <c r="V1992" s="31" t="str">
        <f>IF(H1992="CHK",VLOOKUP(I1992,QCCHK,3,),IF(H1992="GUP",VLOOKUP(E1992,QCGUP,2,),IF(AND(H1992="ATP",OR(I1992="TN",I1992="TDN",I1992="TNO2-3",I1992="NO2-3")),VLOOKUP(E1992,QCREC_N,2,),IF(AND(H1992="NIC",OR(I1992="TN",I1992="TDN",I1992="TNO2-3",I1992="NO2-3")),VLOOKUP(E1992,QCNIC_N,2,),IF(AND(H1992="UREA",OR(I1992="TN",I1992="TDN",I1992="TNO2-3",I1992="NO2-3")),VLOOKUP(E1992,QCUREA_N,2,),IF(H1992="PER",VLOOKUP(I1992,QCPER,MATCH(E1992,QCACTUAL!$J$25:$AA$25,0),),IF(H1992="SPK",VLOOKUP(I1992,QCSPK,3,),IF(AND(H1992="ATP",OR(I1992="TP",I1992="TDP")),VLOOKUP(E1992,QCATP_P,2,),""))))))))</f>
        <v/>
      </c>
      <c r="W1992" s="31" t="str">
        <f t="shared" si="232"/>
        <v>TRUE</v>
      </c>
      <c r="X1992" s="31" t="str">
        <f t="shared" si="227"/>
        <v/>
      </c>
      <c r="Y1992" s="10" t="s">
        <v>1144</v>
      </c>
      <c r="AL1992" s="10" t="str">
        <f t="shared" si="229"/>
        <v>FALSE</v>
      </c>
      <c r="AM1992" s="10" t="str">
        <f t="shared" si="229"/>
        <v>FALSE</v>
      </c>
      <c r="AN1992" s="10" t="str">
        <f t="shared" si="229"/>
        <v>FALSE</v>
      </c>
      <c r="AO1992" s="10" t="str">
        <f t="shared" si="230"/>
        <v>FALSE</v>
      </c>
      <c r="AP1992" s="10" t="str">
        <f t="shared" si="230"/>
        <v>FALSE</v>
      </c>
      <c r="AQ1992" s="10" t="b">
        <f>IF(AND(I1992="TP",S1992&lt;=150),VLOOKUP(AF1992,TPCalibEq150!$AZ$2:$BB$55,3,),IF(AND(I1992="TDP",S1992&lt;=150),VLOOKUP(AF1992,TPCalibEq150!$AZ$2:$BB$55,3,)))</f>
        <v>0</v>
      </c>
      <c r="AR1992" s="10" t="b">
        <f>IF(AND(I1992="TP",S1992&lt;=300),VLOOKUP(AF1992,TPCalibEq300!$AZ$2:$BB$55,3,),IF(AND(I1992="TDP",S1992&lt;=300),VLOOKUP(AF1992,TPCalibEq300!$AZ$2:$BB$55,3,)))</f>
        <v>0</v>
      </c>
      <c r="AS1992" s="10" t="b">
        <f>IF(AND(I1992="TP",S1992&lt;=500),VLOOKUP(AF1992,TPCalibEq500!$AZ$2:$BB$56,3,),IF(AND(I1992="TDP",S1992&lt;=500),VLOOKUP(AF1992,TPCalibEq500!$AZ$2:$BB$56,3,)))</f>
        <v>0</v>
      </c>
      <c r="AT1992" s="10" t="b">
        <f>IF(AND(I1992="TN",S1992&lt;=2800),VLOOKUP(AF1992,TNCalibEq2500!$AZ$2:$BB$56,3,),IF(AND(I1992="TDN",S1992&lt;=2800),VLOOKUP(AF1992,TNCalibEq2500!$AZ$2:$BB$56,3,)))</f>
        <v>0</v>
      </c>
      <c r="AU1992" s="10" t="b">
        <f>IF(I1992="TP",VLOOKUP(AF1992,TPCalibEqFull!$AZ$2:$BB$56,3),IF(I1992="TDP",VLOOKUP(AF1992,TPCalibEqFull!$AZ$2:$BB$56,3),IF(I1992="TDN",VLOOKUP(AF1992,TNCalibEqFull!$AZ$1:$BB$56,3),IF(I1992="TN",VLOOKUP(AF1992,TNCalibEqFull!$AZ$1:$BB$56,3),FALSE))))</f>
        <v>0</v>
      </c>
      <c r="AV1992" s="10" t="str">
        <f t="shared" si="233"/>
        <v>0209 09:00:00-QAC-STD-D-1-DI-CAL</v>
      </c>
    </row>
    <row r="1993" spans="1:48" s="10" customFormat="1" ht="17.399999999999999" customHeight="1" x14ac:dyDescent="0.55000000000000004">
      <c r="A1993" s="32">
        <v>44966</v>
      </c>
      <c r="B1993" s="33">
        <v>0.375</v>
      </c>
      <c r="C1993" s="10" t="s">
        <v>70</v>
      </c>
      <c r="D1993" s="10" t="s">
        <v>71</v>
      </c>
      <c r="E1993" s="10" t="s">
        <v>901</v>
      </c>
      <c r="F1993" s="10">
        <v>1</v>
      </c>
      <c r="G1993" s="10" t="s">
        <v>73</v>
      </c>
      <c r="H1993" s="10" t="s">
        <v>74</v>
      </c>
      <c r="I1993" s="10" t="s">
        <v>75</v>
      </c>
      <c r="J1993" s="10">
        <v>195</v>
      </c>
      <c r="K1993" s="12">
        <v>44966</v>
      </c>
      <c r="L1993" s="33">
        <v>0.45847222222222223</v>
      </c>
      <c r="M1993" s="10">
        <v>1</v>
      </c>
      <c r="N1993" s="10" t="s">
        <v>76</v>
      </c>
      <c r="O1993" s="10">
        <v>4.8099999999999996</v>
      </c>
      <c r="P1993" s="10">
        <v>0.378</v>
      </c>
      <c r="Q1993" s="10">
        <v>300</v>
      </c>
      <c r="R1993" s="10" t="s">
        <v>77</v>
      </c>
      <c r="S1993" s="34">
        <f t="shared" si="228"/>
        <v>300</v>
      </c>
      <c r="T1993" s="10" t="s">
        <v>1155</v>
      </c>
      <c r="U1993" s="34" t="str">
        <f t="shared" si="231"/>
        <v/>
      </c>
      <c r="V1993" s="31" t="str">
        <f>IF(H1993="CHK",VLOOKUP(I1993,QCCHK,3,),IF(H1993="GUP",VLOOKUP(E1993,QCGUP,2,),IF(AND(H1993="ATP",OR(I1993="TN",I1993="TDN",I1993="TNO2-3",I1993="NO2-3")),VLOOKUP(E1993,QCREC_N,2,),IF(AND(H1993="NIC",OR(I1993="TN",I1993="TDN",I1993="TNO2-3",I1993="NO2-3")),VLOOKUP(E1993,QCNIC_N,2,),IF(AND(H1993="UREA",OR(I1993="TN",I1993="TDN",I1993="TNO2-3",I1993="NO2-3")),VLOOKUP(E1993,QCUREA_N,2,),IF(H1993="PER",VLOOKUP(I1993,QCPER,MATCH(E1993,QCACTUAL!$J$25:$AA$25,0),),IF(H1993="SPK",VLOOKUP(I1993,QCSPK,3,),IF(AND(H1993="ATP",OR(I1993="TP",I1993="TDP")),VLOOKUP(E1993,QCATP_P,2,),""))))))))</f>
        <v/>
      </c>
      <c r="W1993" s="31" t="str">
        <f t="shared" si="232"/>
        <v>TRUE</v>
      </c>
      <c r="X1993" s="31" t="str">
        <f t="shared" si="227"/>
        <v/>
      </c>
      <c r="Y1993" s="10" t="s">
        <v>1144</v>
      </c>
      <c r="AL1993" s="10" t="str">
        <f t="shared" si="229"/>
        <v>FALSE</v>
      </c>
      <c r="AM1993" s="10" t="str">
        <f t="shared" si="229"/>
        <v>FALSE</v>
      </c>
      <c r="AN1993" s="10" t="str">
        <f t="shared" si="229"/>
        <v>FALSE</v>
      </c>
      <c r="AO1993" s="10" t="str">
        <f t="shared" si="230"/>
        <v>FALSE</v>
      </c>
      <c r="AP1993" s="10" t="str">
        <f t="shared" si="230"/>
        <v>FALSE</v>
      </c>
      <c r="AQ1993" s="10" t="b">
        <f>IF(AND(I1993="TP",S1993&lt;=150),VLOOKUP(AF1993,TPCalibEq150!$AZ$2:$BB$55,3,),IF(AND(I1993="TDP",S1993&lt;=150),VLOOKUP(AF1993,TPCalibEq150!$AZ$2:$BB$55,3,)))</f>
        <v>0</v>
      </c>
      <c r="AR1993" s="10" t="b">
        <f>IF(AND(I1993="TP",S1993&lt;=300),VLOOKUP(AF1993,TPCalibEq300!$AZ$2:$BB$55,3,),IF(AND(I1993="TDP",S1993&lt;=300),VLOOKUP(AF1993,TPCalibEq300!$AZ$2:$BB$55,3,)))</f>
        <v>0</v>
      </c>
      <c r="AS1993" s="10" t="b">
        <f>IF(AND(I1993="TP",S1993&lt;=500),VLOOKUP(AF1993,TPCalibEq500!$AZ$2:$BB$56,3,),IF(AND(I1993="TDP",S1993&lt;=500),VLOOKUP(AF1993,TPCalibEq500!$AZ$2:$BB$56,3,)))</f>
        <v>0</v>
      </c>
      <c r="AT1993" s="10" t="b">
        <f>IF(AND(I1993="TN",S1993&lt;=2800),VLOOKUP(AF1993,TNCalibEq2500!$AZ$2:$BB$56,3,),IF(AND(I1993="TDN",S1993&lt;=2800),VLOOKUP(AF1993,TNCalibEq2500!$AZ$2:$BB$56,3,)))</f>
        <v>0</v>
      </c>
      <c r="AU1993" s="10" t="b">
        <f>IF(I1993="TP",VLOOKUP(AF1993,TPCalibEqFull!$AZ$2:$BB$56,3),IF(I1993="TDP",VLOOKUP(AF1993,TPCalibEqFull!$AZ$2:$BB$56,3),IF(I1993="TDN",VLOOKUP(AF1993,TNCalibEqFull!$AZ$1:$BB$56,3),IF(I1993="TN",VLOOKUP(AF1993,TNCalibEqFull!$AZ$1:$BB$56,3),FALSE))))</f>
        <v>0</v>
      </c>
      <c r="AV1993" s="10" t="str">
        <f t="shared" si="233"/>
        <v>0209 09:00:00-QAC-STD-D-1-DI-CAL</v>
      </c>
    </row>
    <row r="1994" spans="1:48" s="10" customFormat="1" x14ac:dyDescent="0.55000000000000004">
      <c r="A1994" s="32">
        <v>44966</v>
      </c>
      <c r="B1994" s="33">
        <v>0.375</v>
      </c>
      <c r="C1994" s="10" t="s">
        <v>70</v>
      </c>
      <c r="D1994" s="10" t="s">
        <v>241</v>
      </c>
      <c r="E1994" s="10" t="s">
        <v>866</v>
      </c>
      <c r="F1994" s="10">
        <v>1</v>
      </c>
      <c r="G1994" s="10" t="s">
        <v>73</v>
      </c>
      <c r="H1994" s="10" t="s">
        <v>283</v>
      </c>
      <c r="I1994" s="10" t="s">
        <v>75</v>
      </c>
      <c r="J1994" s="10">
        <v>198</v>
      </c>
      <c r="K1994" s="12">
        <v>44966</v>
      </c>
      <c r="L1994" s="33">
        <v>0.46219907407407407</v>
      </c>
      <c r="M1994" s="10">
        <v>1</v>
      </c>
      <c r="N1994" s="10" t="s">
        <v>76</v>
      </c>
      <c r="O1994" s="10">
        <v>1.61E-2</v>
      </c>
      <c r="P1994" s="10">
        <v>2.2499999999999998E-3</v>
      </c>
      <c r="Q1994" s="10">
        <v>0.92400000000000004</v>
      </c>
      <c r="R1994" s="10" t="s">
        <v>77</v>
      </c>
      <c r="S1994" s="34">
        <f t="shared" si="228"/>
        <v>0.92400000000000004</v>
      </c>
      <c r="T1994" s="10" t="s">
        <v>1155</v>
      </c>
      <c r="U1994" s="34">
        <f t="shared" si="231"/>
        <v>0.92400000000000004</v>
      </c>
      <c r="V1994" s="31" t="str">
        <f>IF(H1994="CHK",VLOOKUP(I1994,QCCHK,3,),IF(H1994="GUP",VLOOKUP(E1994,QCGUP,2,),IF(AND(H1994="ATP",OR(I1994="TN",I1994="TDN",I1994="TNO2-3",I1994="NO2-3")),VLOOKUP(E1994,QCREC_N,2,),IF(AND(H1994="NIC",OR(I1994="TN",I1994="TDN",I1994="TNO2-3",I1994="NO2-3")),VLOOKUP(E1994,QCNIC_N,2,),IF(AND(H1994="UREA",OR(I1994="TN",I1994="TDN",I1994="TNO2-3",I1994="NO2-3")),VLOOKUP(E1994,QCUREA_N,2,),IF(H1994="PER",VLOOKUP(I1994,QCPER,MATCH(E1994,QCACTUAL!$J$25:$AA$25,0),),IF(H1994="SPK",VLOOKUP(I1994,QCSPK,3,),IF(AND(H1994="ATP",OR(I1994="TP",I1994="TDP")),VLOOKUP(E1994,QCATP_P,2,),""))))))))</f>
        <v/>
      </c>
      <c r="W1994" s="31" t="str">
        <f t="shared" si="232"/>
        <v>TRUE</v>
      </c>
      <c r="X1994" s="31" t="str">
        <f t="shared" si="227"/>
        <v>nominal concentration</v>
      </c>
      <c r="Y1994" s="10" t="s">
        <v>1144</v>
      </c>
      <c r="AL1994" s="10" t="str">
        <f t="shared" si="229"/>
        <v>FALSE</v>
      </c>
      <c r="AM1994" s="10" t="str">
        <f t="shared" si="229"/>
        <v>FALSE</v>
      </c>
      <c r="AN1994" s="10" t="str">
        <f t="shared" si="229"/>
        <v>FALSE</v>
      </c>
      <c r="AO1994" s="10" t="str">
        <f t="shared" si="230"/>
        <v>FALSE</v>
      </c>
      <c r="AP1994" s="10" t="str">
        <f t="shared" si="230"/>
        <v>FALSE</v>
      </c>
      <c r="AQ1994" s="10" t="b">
        <f>IF(AND(I1994="TP",S1994&lt;=150),VLOOKUP(AF1994,TPCalibEq150!$AZ$2:$BB$55,3,),IF(AND(I1994="TDP",S1994&lt;=150),VLOOKUP(AF1994,TPCalibEq150!$AZ$2:$BB$55,3,)))</f>
        <v>0</v>
      </c>
      <c r="AR1994" s="10" t="b">
        <f>IF(AND(I1994="TP",S1994&lt;=300),VLOOKUP(AF1994,TPCalibEq300!$AZ$2:$BB$55,3,),IF(AND(I1994="TDP",S1994&lt;=300),VLOOKUP(AF1994,TPCalibEq300!$AZ$2:$BB$55,3,)))</f>
        <v>0</v>
      </c>
      <c r="AS1994" s="10" t="b">
        <f>IF(AND(I1994="TP",S1994&lt;=500),VLOOKUP(AF1994,TPCalibEq500!$AZ$2:$BB$56,3,),IF(AND(I1994="TDP",S1994&lt;=500),VLOOKUP(AF1994,TPCalibEq500!$AZ$2:$BB$56,3,)))</f>
        <v>0</v>
      </c>
      <c r="AT1994" s="10" t="b">
        <f>IF(AND(I1994="TN",S1994&lt;=2800),VLOOKUP(AF1994,TNCalibEq2500!$AZ$2:$BB$56,3,),IF(AND(I1994="TDN",S1994&lt;=2800),VLOOKUP(AF1994,TNCalibEq2500!$AZ$2:$BB$56,3,)))</f>
        <v>0</v>
      </c>
      <c r="AU1994" s="10" t="b">
        <f>IF(I1994="TP",VLOOKUP(AF1994,TPCalibEqFull!$AZ$2:$BB$56,3),IF(I1994="TDP",VLOOKUP(AF1994,TPCalibEqFull!$AZ$2:$BB$56,3),IF(I1994="TDN",VLOOKUP(AF1994,TNCalibEqFull!$AZ$1:$BB$56,3),IF(I1994="TN",VLOOKUP(AF1994,TNCalibEqFull!$AZ$1:$BB$56,3),FALSE))))</f>
        <v>0</v>
      </c>
      <c r="AV1994" s="10" t="str">
        <f t="shared" si="233"/>
        <v>0209 09:00:00-QAC-BLK-A-1-DI-LAB</v>
      </c>
    </row>
    <row r="1995" spans="1:48" s="10" customFormat="1" x14ac:dyDescent="0.55000000000000004">
      <c r="A1995" s="32">
        <v>44966</v>
      </c>
      <c r="B1995" s="33">
        <v>0.375</v>
      </c>
      <c r="C1995" s="10" t="s">
        <v>70</v>
      </c>
      <c r="D1995" s="10" t="s">
        <v>241</v>
      </c>
      <c r="E1995" s="10" t="s">
        <v>866</v>
      </c>
      <c r="F1995" s="10">
        <v>1</v>
      </c>
      <c r="G1995" s="10" t="s">
        <v>73</v>
      </c>
      <c r="H1995" s="10" t="s">
        <v>314</v>
      </c>
      <c r="I1995" s="10" t="s">
        <v>75</v>
      </c>
      <c r="J1995" s="10">
        <v>225</v>
      </c>
      <c r="K1995" s="12">
        <v>44966</v>
      </c>
      <c r="L1995" s="33">
        <v>0.46304398148148151</v>
      </c>
      <c r="M1995" s="10">
        <v>1</v>
      </c>
      <c r="N1995" s="10" t="s">
        <v>76</v>
      </c>
      <c r="O1995" s="10">
        <v>10.6</v>
      </c>
      <c r="P1995" s="10">
        <v>0.83</v>
      </c>
      <c r="Q1995" s="10">
        <v>610</v>
      </c>
      <c r="R1995" s="10" t="s">
        <v>77</v>
      </c>
      <c r="S1995" s="34">
        <f t="shared" si="228"/>
        <v>610</v>
      </c>
      <c r="T1995" s="10" t="s">
        <v>1155</v>
      </c>
      <c r="U1995" s="34">
        <f t="shared" si="231"/>
        <v>97.452159999999992</v>
      </c>
      <c r="V1995" s="31">
        <f>IF(H1995="CHK",VLOOKUP(I1995,QCCHK,3,),IF(H1995="GUP",VLOOKUP(E1995,QCGUP,2,),IF(AND(H1995="ATP",OR(I1995="TN",I1995="TDN",I1995="TNO2-3",I1995="NO2-3")),VLOOKUP(E1995,QCREC_N,2,),IF(AND(H1995="NIC",OR(I1995="TN",I1995="TDN",I1995="TNO2-3",I1995="NO2-3")),VLOOKUP(E1995,QCNIC_N,2,),IF(AND(H1995="UREA",OR(I1995="TN",I1995="TDN",I1995="TNO2-3",I1995="NO2-3")),VLOOKUP(E1995,QCUREA_N,2,),IF(H1995="PER",VLOOKUP(I1995,QCPER,MATCH(E1995,QCACTUAL!$J$25:$AA$25,0),),IF(H1995="SPK",VLOOKUP(I1995,QCSPK,3,),IF(AND(H1995="ATP",OR(I1995="TP",I1995="TDP")),VLOOKUP(E1995,QCATP_P,2,),""))))))))</f>
        <v>625</v>
      </c>
      <c r="W1995" s="31" t="str">
        <f t="shared" si="232"/>
        <v>TRUE</v>
      </c>
      <c r="X1995" s="31" t="str">
        <f t="shared" si="227"/>
        <v>([spikedunkn]-[unkn])/[spike]*100</v>
      </c>
      <c r="Y1995" s="10" t="s">
        <v>1144</v>
      </c>
      <c r="AL1995" s="10" t="str">
        <f t="shared" si="229"/>
        <v>FALSE</v>
      </c>
      <c r="AM1995" s="10" t="str">
        <f t="shared" si="229"/>
        <v>FALSE</v>
      </c>
      <c r="AN1995" s="10" t="str">
        <f t="shared" si="229"/>
        <v>FALSE</v>
      </c>
      <c r="AO1995" s="10" t="str">
        <f t="shared" si="230"/>
        <v>FALSE</v>
      </c>
      <c r="AP1995" s="10" t="str">
        <f t="shared" si="230"/>
        <v>FALSE</v>
      </c>
      <c r="AQ1995" s="10" t="b">
        <f>IF(AND(I1995="TP",S1995&lt;=150),VLOOKUP(AF1995,TPCalibEq150!$AZ$2:$BB$55,3,),IF(AND(I1995="TDP",S1995&lt;=150),VLOOKUP(AF1995,TPCalibEq150!$AZ$2:$BB$55,3,)))</f>
        <v>0</v>
      </c>
      <c r="AR1995" s="10" t="b">
        <f>IF(AND(I1995="TP",S1995&lt;=300),VLOOKUP(AF1995,TPCalibEq300!$AZ$2:$BB$55,3,),IF(AND(I1995="TDP",S1995&lt;=300),VLOOKUP(AF1995,TPCalibEq300!$AZ$2:$BB$55,3,)))</f>
        <v>0</v>
      </c>
      <c r="AS1995" s="10" t="b">
        <f>IF(AND(I1995="TP",S1995&lt;=500),VLOOKUP(AF1995,TPCalibEq500!$AZ$2:$BB$56,3,),IF(AND(I1995="TDP",S1995&lt;=500),VLOOKUP(AF1995,TPCalibEq500!$AZ$2:$BB$56,3,)))</f>
        <v>0</v>
      </c>
      <c r="AT1995" s="10" t="b">
        <f>IF(AND(I1995="TN",S1995&lt;=2800),VLOOKUP(AF1995,TNCalibEq2500!$AZ$2:$BB$56,3,),IF(AND(I1995="TDN",S1995&lt;=2800),VLOOKUP(AF1995,TNCalibEq2500!$AZ$2:$BB$56,3,)))</f>
        <v>0</v>
      </c>
      <c r="AU1995" s="10" t="b">
        <f>IF(I1995="TP",VLOOKUP(AF1995,TPCalibEqFull!$AZ$2:$BB$56,3),IF(I1995="TDP",VLOOKUP(AF1995,TPCalibEqFull!$AZ$2:$BB$56,3),IF(I1995="TDN",VLOOKUP(AF1995,TNCalibEqFull!$AZ$1:$BB$56,3),IF(I1995="TN",VLOOKUP(AF1995,TNCalibEqFull!$AZ$1:$BB$56,3),FALSE))))</f>
        <v>0</v>
      </c>
      <c r="AV1995" s="10" t="str">
        <f t="shared" si="233"/>
        <v>0209 09:00:00-QAC-BLK-A-1-DI-SPK</v>
      </c>
    </row>
    <row r="1996" spans="1:48" s="10" customFormat="1" x14ac:dyDescent="0.55000000000000004">
      <c r="A1996" s="32">
        <v>44966</v>
      </c>
      <c r="B1996" s="33">
        <v>0.375</v>
      </c>
      <c r="C1996" s="10" t="s">
        <v>70</v>
      </c>
      <c r="D1996" s="10" t="s">
        <v>71</v>
      </c>
      <c r="E1996" s="10" t="s">
        <v>948</v>
      </c>
      <c r="F1996" s="10">
        <v>1</v>
      </c>
      <c r="G1996" s="10" t="s">
        <v>73</v>
      </c>
      <c r="H1996" s="10" t="s">
        <v>299</v>
      </c>
      <c r="I1996" s="10" t="s">
        <v>75</v>
      </c>
      <c r="J1996" s="10">
        <v>197</v>
      </c>
      <c r="K1996" s="12">
        <v>44966</v>
      </c>
      <c r="L1996" s="33">
        <v>0.46387731481481481</v>
      </c>
      <c r="M1996" s="10">
        <v>1</v>
      </c>
      <c r="N1996" s="10" t="s">
        <v>76</v>
      </c>
      <c r="O1996" s="10">
        <v>17.899999999999999</v>
      </c>
      <c r="P1996" s="10">
        <v>1.4</v>
      </c>
      <c r="Q1996" s="10">
        <v>1020</v>
      </c>
      <c r="R1996" s="10" t="s">
        <v>77</v>
      </c>
      <c r="S1996" s="34">
        <f t="shared" si="228"/>
        <v>1020</v>
      </c>
      <c r="T1996" s="10" t="s">
        <v>1155</v>
      </c>
      <c r="U1996" s="34">
        <f t="shared" si="231"/>
        <v>97.142857142857139</v>
      </c>
      <c r="V1996" s="31">
        <f>IF(H1996="CHK",VLOOKUP(I1996,QCCHK,3,),IF(H1996="GUP",VLOOKUP(E1996,QCGUP,2,),IF(AND(H1996="ATP",OR(I1996="TN",I1996="TDN",I1996="TNO2-3",I1996="NO2-3")),VLOOKUP(E1996,QCREC_N,2,),IF(AND(H1996="NIC",OR(I1996="TN",I1996="TDN",I1996="TNO2-3",I1996="NO2-3")),VLOOKUP(E1996,QCNIC_N,2,),IF(AND(H1996="UREA",OR(I1996="TN",I1996="TDN",I1996="TNO2-3",I1996="NO2-3")),VLOOKUP(E1996,QCUREA_N,2,),IF(H1996="PER",VLOOKUP(I1996,QCPER,MATCH(E1996,QCACTUAL!$J$25:$AA$25,0),),IF(H1996="SPK",VLOOKUP(I1996,QCSPK,3,),IF(AND(H1996="ATP",OR(I1996="TP",I1996="TDP")),VLOOKUP(E1996,QCATP_P,2,),""))))))))</f>
        <v>1050</v>
      </c>
      <c r="W1996" s="31" t="str">
        <f t="shared" si="232"/>
        <v>TRUE</v>
      </c>
      <c r="X1996" s="31" t="str">
        <f t="shared" si="227"/>
        <v>[per]/[actual]*100</v>
      </c>
      <c r="Y1996" s="10" t="s">
        <v>1144</v>
      </c>
      <c r="AL1996" s="10" t="str">
        <f t="shared" si="229"/>
        <v>FALSE</v>
      </c>
      <c r="AM1996" s="10" t="str">
        <f t="shared" si="229"/>
        <v>FALSE</v>
      </c>
      <c r="AN1996" s="10" t="str">
        <f t="shared" si="229"/>
        <v>FALSE</v>
      </c>
      <c r="AO1996" s="10" t="str">
        <f t="shared" si="230"/>
        <v>FALSE</v>
      </c>
      <c r="AP1996" s="10" t="str">
        <f t="shared" si="230"/>
        <v>FALSE</v>
      </c>
      <c r="AQ1996" s="10" t="b">
        <f>IF(AND(I1996="TP",S1996&lt;=150),VLOOKUP(AF1996,TPCalibEq150!$AZ$2:$BB$55,3,),IF(AND(I1996="TDP",S1996&lt;=150),VLOOKUP(AF1996,TPCalibEq150!$AZ$2:$BB$55,3,)))</f>
        <v>0</v>
      </c>
      <c r="AR1996" s="10" t="b">
        <f>IF(AND(I1996="TP",S1996&lt;=300),VLOOKUP(AF1996,TPCalibEq300!$AZ$2:$BB$55,3,),IF(AND(I1996="TDP",S1996&lt;=300),VLOOKUP(AF1996,TPCalibEq300!$AZ$2:$BB$55,3,)))</f>
        <v>0</v>
      </c>
      <c r="AS1996" s="10" t="b">
        <f>IF(AND(I1996="TP",S1996&lt;=500),VLOOKUP(AF1996,TPCalibEq500!$AZ$2:$BB$56,3,),IF(AND(I1996="TDP",S1996&lt;=500),VLOOKUP(AF1996,TPCalibEq500!$AZ$2:$BB$56,3,)))</f>
        <v>0</v>
      </c>
      <c r="AT1996" s="10" t="b">
        <f>IF(AND(I1996="TN",S1996&lt;=2800),VLOOKUP(AF1996,TNCalibEq2500!$AZ$2:$BB$56,3,),IF(AND(I1996="TDN",S1996&lt;=2800),VLOOKUP(AF1996,TNCalibEq2500!$AZ$2:$BB$56,3,)))</f>
        <v>0</v>
      </c>
      <c r="AU1996" s="10" t="b">
        <f>IF(I1996="TP",VLOOKUP(AF1996,TPCalibEqFull!$AZ$2:$BB$56,3),IF(I1996="TDP",VLOOKUP(AF1996,TPCalibEqFull!$AZ$2:$BB$56,3),IF(I1996="TDN",VLOOKUP(AF1996,TNCalibEqFull!$AZ$1:$BB$56,3),IF(I1996="TN",VLOOKUP(AF1996,TNCalibEqFull!$AZ$1:$BB$56,3),FALSE))))</f>
        <v>0</v>
      </c>
      <c r="AV1996" s="10" t="str">
        <f t="shared" si="233"/>
        <v>0209 09:00:00-QAC-STD-22A-1-DI-PER</v>
      </c>
    </row>
    <row r="1997" spans="1:48" s="10" customFormat="1" x14ac:dyDescent="0.55000000000000004">
      <c r="A1997" s="32">
        <v>44963</v>
      </c>
      <c r="B1997" s="33">
        <v>0.25</v>
      </c>
      <c r="C1997" s="10" t="s">
        <v>70</v>
      </c>
      <c r="D1997" s="10" t="s">
        <v>241</v>
      </c>
      <c r="E1997" s="10" t="s">
        <v>866</v>
      </c>
      <c r="F1997" s="10">
        <v>1</v>
      </c>
      <c r="G1997" s="10" t="s">
        <v>73</v>
      </c>
      <c r="H1997" s="10" t="s">
        <v>264</v>
      </c>
      <c r="I1997" s="10" t="s">
        <v>75</v>
      </c>
      <c r="J1997" s="10">
        <v>133</v>
      </c>
      <c r="K1997" s="12">
        <v>44966</v>
      </c>
      <c r="L1997" s="33">
        <v>0.46714120370370371</v>
      </c>
      <c r="M1997" s="10">
        <v>1</v>
      </c>
      <c r="N1997" s="10" t="s">
        <v>76</v>
      </c>
      <c r="O1997" s="10">
        <v>1.66E-2</v>
      </c>
      <c r="P1997" s="10">
        <v>1.6000000000000001E-3</v>
      </c>
      <c r="Q1997" s="10">
        <v>0.95399999999999996</v>
      </c>
      <c r="R1997" s="10" t="s">
        <v>77</v>
      </c>
      <c r="S1997" s="34">
        <f t="shared" si="228"/>
        <v>0.95399999999999996</v>
      </c>
      <c r="T1997" s="10" t="s">
        <v>1155</v>
      </c>
      <c r="U1997" s="34">
        <f t="shared" si="231"/>
        <v>0.95399999999999996</v>
      </c>
      <c r="V1997" s="31" t="str">
        <f>IF(H1997="CHK",VLOOKUP(I1997,QCCHK,3,),IF(H1997="GUP",VLOOKUP(E1997,QCGUP,2,),IF(AND(H1997="ATP",OR(I1997="TN",I1997="TDN",I1997="TNO2-3",I1997="NO2-3")),VLOOKUP(E1997,QCREC_N,2,),IF(AND(H1997="NIC",OR(I1997="TN",I1997="TDN",I1997="TNO2-3",I1997="NO2-3")),VLOOKUP(E1997,QCNIC_N,2,),IF(AND(H1997="UREA",OR(I1997="TN",I1997="TDN",I1997="TNO2-3",I1997="NO2-3")),VLOOKUP(E1997,QCUREA_N,2,),IF(H1997="PER",VLOOKUP(I1997,QCPER,MATCH(E1997,QCACTUAL!$J$25:$AA$25,0),),IF(H1997="SPK",VLOOKUP(I1997,QCSPK,3,),IF(AND(H1997="ATP",OR(I1997="TP",I1997="TDP")),VLOOKUP(E1997,QCATP_P,2,),""))))))))</f>
        <v/>
      </c>
      <c r="W1997" s="31" t="str">
        <f t="shared" si="232"/>
        <v>TRUE</v>
      </c>
      <c r="X1997" s="31" t="str">
        <f t="shared" si="227"/>
        <v>nominal concentration</v>
      </c>
      <c r="Y1997" s="10" t="s">
        <v>1144</v>
      </c>
      <c r="Z1997" s="10" t="s">
        <v>910</v>
      </c>
      <c r="AL1997" s="10" t="str">
        <f t="shared" si="229"/>
        <v>FALSE</v>
      </c>
      <c r="AM1997" s="10" t="str">
        <f t="shared" si="229"/>
        <v>FALSE</v>
      </c>
      <c r="AN1997" s="10" t="str">
        <f t="shared" si="229"/>
        <v>FALSE</v>
      </c>
      <c r="AO1997" s="10" t="str">
        <f t="shared" si="230"/>
        <v>FALSE</v>
      </c>
      <c r="AP1997" s="10" t="str">
        <f t="shared" si="230"/>
        <v>FALSE</v>
      </c>
      <c r="AQ1997" s="10" t="b">
        <f>IF(AND(I1997="TP",S1997&lt;=150),VLOOKUP(AF1997,TPCalibEq150!$AZ$2:$BB$55,3,),IF(AND(I1997="TDP",S1997&lt;=150),VLOOKUP(AF1997,TPCalibEq150!$AZ$2:$BB$55,3,)))</f>
        <v>0</v>
      </c>
      <c r="AR1997" s="10" t="b">
        <f>IF(AND(I1997="TP",S1997&lt;=300),VLOOKUP(AF1997,TPCalibEq300!$AZ$2:$BB$55,3,),IF(AND(I1997="TDP",S1997&lt;=300),VLOOKUP(AF1997,TPCalibEq300!$AZ$2:$BB$55,3,)))</f>
        <v>0</v>
      </c>
      <c r="AS1997" s="10" t="b">
        <f>IF(AND(I1997="TP",S1997&lt;=500),VLOOKUP(AF1997,TPCalibEq500!$AZ$2:$BB$56,3,),IF(AND(I1997="TDP",S1997&lt;=500),VLOOKUP(AF1997,TPCalibEq500!$AZ$2:$BB$56,3,)))</f>
        <v>0</v>
      </c>
      <c r="AT1997" s="10" t="b">
        <f>IF(AND(I1997="TN",S1997&lt;=2800),VLOOKUP(AF1997,TNCalibEq2500!$AZ$2:$BB$56,3,),IF(AND(I1997="TDN",S1997&lt;=2800),VLOOKUP(AF1997,TNCalibEq2500!$AZ$2:$BB$56,3,)))</f>
        <v>0</v>
      </c>
      <c r="AU1997" s="10" t="b">
        <f>IF(I1997="TP",VLOOKUP(AF1997,TPCalibEqFull!$AZ$2:$BB$56,3),IF(I1997="TDP",VLOOKUP(AF1997,TPCalibEqFull!$AZ$2:$BB$56,3),IF(I1997="TDN",VLOOKUP(AF1997,TNCalibEqFull!$AZ$1:$BB$56,3),IF(I1997="TN",VLOOKUP(AF1997,TNCalibEqFull!$AZ$1:$BB$56,3),FALSE))))</f>
        <v>0</v>
      </c>
      <c r="AV1997" s="10" t="str">
        <f t="shared" si="233"/>
        <v>0206 06:00:00-QAC-BLK-A-1-DI-FLD</v>
      </c>
    </row>
    <row r="1998" spans="1:48" s="10" customFormat="1" x14ac:dyDescent="0.55000000000000004">
      <c r="A1998" s="32">
        <v>44965</v>
      </c>
      <c r="B1998" s="33">
        <v>0.25</v>
      </c>
      <c r="C1998" s="10" t="s">
        <v>70</v>
      </c>
      <c r="D1998" s="10" t="s">
        <v>241</v>
      </c>
      <c r="E1998" s="10">
        <v>800</v>
      </c>
      <c r="F1998" s="10">
        <v>1</v>
      </c>
      <c r="G1998" s="10" t="s">
        <v>73</v>
      </c>
      <c r="H1998" s="10" t="s">
        <v>264</v>
      </c>
      <c r="I1998" s="10" t="s">
        <v>75</v>
      </c>
      <c r="J1998" s="10">
        <v>134</v>
      </c>
      <c r="K1998" s="12">
        <v>44966</v>
      </c>
      <c r="L1998" s="33">
        <v>0.46796296296296297</v>
      </c>
      <c r="M1998" s="10">
        <v>1</v>
      </c>
      <c r="N1998" s="10" t="s">
        <v>76</v>
      </c>
      <c r="O1998" s="10">
        <v>2.3199999999999998E-2</v>
      </c>
      <c r="P1998" s="10">
        <v>2.8999999999999998E-3</v>
      </c>
      <c r="Q1998" s="10">
        <v>1.33</v>
      </c>
      <c r="R1998" s="10" t="s">
        <v>77</v>
      </c>
      <c r="S1998" s="34">
        <f t="shared" si="228"/>
        <v>1.33</v>
      </c>
      <c r="T1998" s="10" t="s">
        <v>1155</v>
      </c>
      <c r="U1998" s="34">
        <f t="shared" si="231"/>
        <v>1.33</v>
      </c>
      <c r="V1998" s="31" t="str">
        <f>IF(H1998="CHK",VLOOKUP(I1998,QCCHK,3,),IF(H1998="GUP",VLOOKUP(E1998,QCGUP,2,),IF(AND(H1998="ATP",OR(I1998="TN",I1998="TDN",I1998="TNO2-3",I1998="NO2-3")),VLOOKUP(E1998,QCREC_N,2,),IF(AND(H1998="NIC",OR(I1998="TN",I1998="TDN",I1998="TNO2-3",I1998="NO2-3")),VLOOKUP(E1998,QCNIC_N,2,),IF(AND(H1998="UREA",OR(I1998="TN",I1998="TDN",I1998="TNO2-3",I1998="NO2-3")),VLOOKUP(E1998,QCUREA_N,2,),IF(H1998="PER",VLOOKUP(I1998,QCPER,MATCH(E1998,QCACTUAL!$J$25:$AA$25,0),),IF(H1998="SPK",VLOOKUP(I1998,QCSPK,3,),IF(AND(H1998="ATP",OR(I1998="TP",I1998="TDP")),VLOOKUP(E1998,QCATP_P,2,),""))))))))</f>
        <v/>
      </c>
      <c r="W1998" s="31" t="str">
        <f t="shared" si="232"/>
        <v>TRUE</v>
      </c>
      <c r="X1998" s="31" t="str">
        <f t="shared" si="227"/>
        <v>nominal concentration</v>
      </c>
      <c r="Y1998" s="10" t="s">
        <v>1144</v>
      </c>
      <c r="AL1998" s="10" t="str">
        <f t="shared" si="229"/>
        <v>FALSE</v>
      </c>
      <c r="AM1998" s="10" t="str">
        <f t="shared" si="229"/>
        <v>FALSE</v>
      </c>
      <c r="AN1998" s="10" t="str">
        <f t="shared" si="229"/>
        <v>FALSE</v>
      </c>
      <c r="AO1998" s="10" t="str">
        <f t="shared" si="230"/>
        <v>FALSE</v>
      </c>
      <c r="AP1998" s="10" t="str">
        <f t="shared" si="230"/>
        <v>FALSE</v>
      </c>
      <c r="AQ1998" s="10" t="b">
        <f>IF(AND(I1998="TP",S1998&lt;=150),VLOOKUP(AF1998,TPCalibEq150!$AZ$2:$BB$55,3,),IF(AND(I1998="TDP",S1998&lt;=150),VLOOKUP(AF1998,TPCalibEq150!$AZ$2:$BB$55,3,)))</f>
        <v>0</v>
      </c>
      <c r="AR1998" s="10" t="b">
        <f>IF(AND(I1998="TP",S1998&lt;=300),VLOOKUP(AF1998,TPCalibEq300!$AZ$2:$BB$55,3,),IF(AND(I1998="TDP",S1998&lt;=300),VLOOKUP(AF1998,TPCalibEq300!$AZ$2:$BB$55,3,)))</f>
        <v>0</v>
      </c>
      <c r="AS1998" s="10" t="b">
        <f>IF(AND(I1998="TP",S1998&lt;=500),VLOOKUP(AF1998,TPCalibEq500!$AZ$2:$BB$56,3,),IF(AND(I1998="TDP",S1998&lt;=500),VLOOKUP(AF1998,TPCalibEq500!$AZ$2:$BB$56,3,)))</f>
        <v>0</v>
      </c>
      <c r="AT1998" s="10" t="b">
        <f>IF(AND(I1998="TN",S1998&lt;=2800),VLOOKUP(AF1998,TNCalibEq2500!$AZ$2:$BB$56,3,),IF(AND(I1998="TDN",S1998&lt;=2800),VLOOKUP(AF1998,TNCalibEq2500!$AZ$2:$BB$56,3,)))</f>
        <v>0</v>
      </c>
      <c r="AU1998" s="10" t="b">
        <f>IF(I1998="TP",VLOOKUP(AF1998,TPCalibEqFull!$AZ$2:$BB$56,3),IF(I1998="TDP",VLOOKUP(AF1998,TPCalibEqFull!$AZ$2:$BB$56,3),IF(I1998="TDN",VLOOKUP(AF1998,TNCalibEqFull!$AZ$1:$BB$56,3),IF(I1998="TN",VLOOKUP(AF1998,TNCalibEqFull!$AZ$1:$BB$56,3),FALSE))))</f>
        <v>0</v>
      </c>
      <c r="AV1998" s="10" t="str">
        <f t="shared" si="233"/>
        <v>0208 06:00:00-QAC-BLK-800-1-DI-FLD</v>
      </c>
    </row>
    <row r="1999" spans="1:48" s="10" customFormat="1" x14ac:dyDescent="0.55000000000000004">
      <c r="A1999" s="32">
        <v>44964</v>
      </c>
      <c r="B1999" s="33">
        <v>0.30208333333333331</v>
      </c>
      <c r="C1999" s="10" t="s">
        <v>70</v>
      </c>
      <c r="D1999" s="10" t="s">
        <v>241</v>
      </c>
      <c r="E1999" s="10" t="s">
        <v>866</v>
      </c>
      <c r="F1999" s="10">
        <v>1</v>
      </c>
      <c r="G1999" s="10" t="s">
        <v>73</v>
      </c>
      <c r="H1999" s="10" t="s">
        <v>245</v>
      </c>
      <c r="I1999" s="10" t="s">
        <v>75</v>
      </c>
      <c r="J1999" s="10">
        <v>135</v>
      </c>
      <c r="K1999" s="12">
        <v>44966</v>
      </c>
      <c r="L1999" s="33">
        <v>0.46878472222222217</v>
      </c>
      <c r="M1999" s="10">
        <v>1</v>
      </c>
      <c r="N1999" s="10" t="s">
        <v>76</v>
      </c>
      <c r="O1999" s="10">
        <v>1.5699999999999999E-2</v>
      </c>
      <c r="P1999" s="10">
        <v>2.1700000000000001E-3</v>
      </c>
      <c r="Q1999" s="10">
        <v>0.90300000000000002</v>
      </c>
      <c r="R1999" s="10" t="s">
        <v>77</v>
      </c>
      <c r="S1999" s="34">
        <f t="shared" si="228"/>
        <v>0.90300000000000002</v>
      </c>
      <c r="T1999" s="10" t="s">
        <v>1155</v>
      </c>
      <c r="U1999" s="34">
        <f t="shared" si="231"/>
        <v>0.90300000000000002</v>
      </c>
      <c r="V1999" s="31" t="str">
        <f>IF(H1999="CHK",VLOOKUP(I1999,QCCHK,3,),IF(H1999="GUP",VLOOKUP(E1999,QCGUP,2,),IF(AND(H1999="ATP",OR(I1999="TN",I1999="TDN",I1999="TNO2-3",I1999="NO2-3")),VLOOKUP(E1999,QCREC_N,2,),IF(AND(H1999="NIC",OR(I1999="TN",I1999="TDN",I1999="TNO2-3",I1999="NO2-3")),VLOOKUP(E1999,QCNIC_N,2,),IF(AND(H1999="UREA",OR(I1999="TN",I1999="TDN",I1999="TNO2-3",I1999="NO2-3")),VLOOKUP(E1999,QCUREA_N,2,),IF(H1999="PER",VLOOKUP(I1999,QCPER,MATCH(E1999,QCACTUAL!$J$25:$AA$25,0),),IF(H1999="SPK",VLOOKUP(I1999,QCSPK,3,),IF(AND(H1999="ATP",OR(I1999="TP",I1999="TDP")),VLOOKUP(E1999,QCATP_P,2,),""))))))))</f>
        <v/>
      </c>
      <c r="W1999" s="31" t="str">
        <f t="shared" si="232"/>
        <v>TRUE</v>
      </c>
      <c r="X1999" s="31" t="str">
        <f t="shared" si="227"/>
        <v>nominal concentration</v>
      </c>
      <c r="Y1999" s="10" t="s">
        <v>1144</v>
      </c>
      <c r="Z1999" s="10" t="s">
        <v>910</v>
      </c>
      <c r="AL1999" s="10" t="str">
        <f t="shared" si="229"/>
        <v>FALSE</v>
      </c>
      <c r="AM1999" s="10" t="str">
        <f t="shared" si="229"/>
        <v>FALSE</v>
      </c>
      <c r="AN1999" s="10" t="str">
        <f t="shared" si="229"/>
        <v>FALSE</v>
      </c>
      <c r="AO1999" s="10" t="str">
        <f t="shared" si="230"/>
        <v>FALSE</v>
      </c>
      <c r="AP1999" s="10" t="str">
        <f t="shared" si="230"/>
        <v>FALSE</v>
      </c>
      <c r="AQ1999" s="10" t="b">
        <f>IF(AND(I1999="TP",S1999&lt;=150),VLOOKUP(AF1999,TPCalibEq150!$AZ$2:$BB$55,3,),IF(AND(I1999="TDP",S1999&lt;=150),VLOOKUP(AF1999,TPCalibEq150!$AZ$2:$BB$55,3,)))</f>
        <v>0</v>
      </c>
      <c r="AR1999" s="10" t="b">
        <f>IF(AND(I1999="TP",S1999&lt;=300),VLOOKUP(AF1999,TPCalibEq300!$AZ$2:$BB$55,3,),IF(AND(I1999="TDP",S1999&lt;=300),VLOOKUP(AF1999,TPCalibEq300!$AZ$2:$BB$55,3,)))</f>
        <v>0</v>
      </c>
      <c r="AS1999" s="10" t="b">
        <f>IF(AND(I1999="TP",S1999&lt;=500),VLOOKUP(AF1999,TPCalibEq500!$AZ$2:$BB$56,3,),IF(AND(I1999="TDP",S1999&lt;=500),VLOOKUP(AF1999,TPCalibEq500!$AZ$2:$BB$56,3,)))</f>
        <v>0</v>
      </c>
      <c r="AT1999" s="10" t="b">
        <f>IF(AND(I1999="TN",S1999&lt;=2800),VLOOKUP(AF1999,TNCalibEq2500!$AZ$2:$BB$56,3,),IF(AND(I1999="TDN",S1999&lt;=2800),VLOOKUP(AF1999,TNCalibEq2500!$AZ$2:$BB$56,3,)))</f>
        <v>0</v>
      </c>
      <c r="AU1999" s="10" t="b">
        <f>IF(I1999="TP",VLOOKUP(AF1999,TPCalibEqFull!$AZ$2:$BB$56,3),IF(I1999="TDP",VLOOKUP(AF1999,TPCalibEqFull!$AZ$2:$BB$56,3),IF(I1999="TDN",VLOOKUP(AF1999,TNCalibEqFull!$AZ$1:$BB$56,3),IF(I1999="TN",VLOOKUP(AF1999,TNCalibEqFull!$AZ$1:$BB$56,3),FALSE))))</f>
        <v>0</v>
      </c>
      <c r="AV1999" s="10" t="str">
        <f t="shared" si="233"/>
        <v>0207 07:15:00-QAC-BLK-A-1-DI-ESF</v>
      </c>
    </row>
    <row r="2000" spans="1:48" s="10" customFormat="1" x14ac:dyDescent="0.55000000000000004">
      <c r="A2000" s="32">
        <v>44963</v>
      </c>
      <c r="B2000" s="33">
        <v>0</v>
      </c>
      <c r="C2000" s="10" t="s">
        <v>70</v>
      </c>
      <c r="D2000" s="10" t="s">
        <v>241</v>
      </c>
      <c r="E2000" s="10" t="s">
        <v>911</v>
      </c>
      <c r="F2000" s="10">
        <v>1</v>
      </c>
      <c r="G2000" s="10" t="s">
        <v>73</v>
      </c>
      <c r="H2000" s="10" t="s">
        <v>264</v>
      </c>
      <c r="I2000" s="10" t="s">
        <v>183</v>
      </c>
      <c r="J2000" s="10">
        <v>136</v>
      </c>
      <c r="K2000" s="12">
        <v>44966</v>
      </c>
      <c r="L2000" s="33">
        <v>0.46960648148148149</v>
      </c>
      <c r="M2000" s="10">
        <v>1</v>
      </c>
      <c r="N2000" s="10" t="s">
        <v>76</v>
      </c>
      <c r="O2000" s="10">
        <v>1.78E-2</v>
      </c>
      <c r="P2000" s="10">
        <v>2.6199999999999999E-3</v>
      </c>
      <c r="Q2000" s="10">
        <v>1.02</v>
      </c>
      <c r="R2000" s="10" t="s">
        <v>77</v>
      </c>
      <c r="S2000" s="34">
        <f t="shared" si="228"/>
        <v>1.02</v>
      </c>
      <c r="T2000" s="10" t="s">
        <v>1155</v>
      </c>
      <c r="U2000" s="34">
        <f t="shared" si="231"/>
        <v>1.02</v>
      </c>
      <c r="V2000" s="31" t="str">
        <f>IF(H2000="CHK",VLOOKUP(I2000,QCCHK,3,),IF(H2000="GUP",VLOOKUP(E2000,QCGUP,2,),IF(AND(H2000="ATP",OR(I2000="TN",I2000="TDN",I2000="TNO2-3",I2000="NO2-3")),VLOOKUP(E2000,QCREC_N,2,),IF(AND(H2000="NIC",OR(I2000="TN",I2000="TDN",I2000="TNO2-3",I2000="NO2-3")),VLOOKUP(E2000,QCNIC_N,2,),IF(AND(H2000="UREA",OR(I2000="TN",I2000="TDN",I2000="TNO2-3",I2000="NO2-3")),VLOOKUP(E2000,QCUREA_N,2,),IF(H2000="PER",VLOOKUP(I2000,QCPER,MATCH(E2000,QCACTUAL!$J$25:$AA$25,0),),IF(H2000="SPK",VLOOKUP(I2000,QCSPK,3,),IF(AND(H2000="ATP",OR(I2000="TP",I2000="TDP")),VLOOKUP(E2000,QCATP_P,2,),""))))))))</f>
        <v/>
      </c>
      <c r="W2000" s="31" t="str">
        <f t="shared" si="232"/>
        <v>TRUE</v>
      </c>
      <c r="X2000" s="31" t="str">
        <f t="shared" si="227"/>
        <v>nominal concentration</v>
      </c>
      <c r="Y2000" s="10" t="s">
        <v>1144</v>
      </c>
      <c r="Z2000" s="10" t="s">
        <v>910</v>
      </c>
      <c r="AL2000" s="10" t="str">
        <f t="shared" si="229"/>
        <v>FALSE</v>
      </c>
      <c r="AM2000" s="10" t="str">
        <f t="shared" si="229"/>
        <v>FALSE</v>
      </c>
      <c r="AN2000" s="10" t="str">
        <f t="shared" si="229"/>
        <v>FALSE</v>
      </c>
      <c r="AO2000" s="10" t="str">
        <f t="shared" si="230"/>
        <v>FALSE</v>
      </c>
      <c r="AP2000" s="10" t="str">
        <f t="shared" si="230"/>
        <v>FALSE</v>
      </c>
      <c r="AQ2000" s="10" t="b">
        <f>IF(AND(I2000="TP",S2000&lt;=150),VLOOKUP(AF2000,TPCalibEq150!$AZ$2:$BB$55,3,),IF(AND(I2000="TDP",S2000&lt;=150),VLOOKUP(AF2000,TPCalibEq150!$AZ$2:$BB$55,3,)))</f>
        <v>0</v>
      </c>
      <c r="AR2000" s="10" t="b">
        <f>IF(AND(I2000="TP",S2000&lt;=300),VLOOKUP(AF2000,TPCalibEq300!$AZ$2:$BB$55,3,),IF(AND(I2000="TDP",S2000&lt;=300),VLOOKUP(AF2000,TPCalibEq300!$AZ$2:$BB$55,3,)))</f>
        <v>0</v>
      </c>
      <c r="AS2000" s="10" t="b">
        <f>IF(AND(I2000="TP",S2000&lt;=500),VLOOKUP(AF2000,TPCalibEq500!$AZ$2:$BB$56,3,),IF(AND(I2000="TDP",S2000&lt;=500),VLOOKUP(AF2000,TPCalibEq500!$AZ$2:$BB$56,3,)))</f>
        <v>0</v>
      </c>
      <c r="AT2000" s="10" t="b">
        <f>IF(AND(I2000="TN",S2000&lt;=2800),VLOOKUP(AF2000,TNCalibEq2500!$AZ$2:$BB$56,3,),IF(AND(I2000="TDN",S2000&lt;=2800),VLOOKUP(AF2000,TNCalibEq2500!$AZ$2:$BB$56,3,)))</f>
        <v>0</v>
      </c>
      <c r="AU2000" s="10" t="b">
        <f>IF(I2000="TP",VLOOKUP(AF2000,TPCalibEqFull!$AZ$2:$BB$56,3),IF(I2000="TDP",VLOOKUP(AF2000,TPCalibEqFull!$AZ$2:$BB$56,3),IF(I2000="TDN",VLOOKUP(AF2000,TNCalibEqFull!$AZ$1:$BB$56,3),IF(I2000="TN",VLOOKUP(AF2000,TNCalibEqFull!$AZ$1:$BB$56,3),FALSE))))</f>
        <v>0</v>
      </c>
      <c r="AV2000" s="10" t="str">
        <f t="shared" si="233"/>
        <v>0206 00:00:00-QAC-BLK-FIL-1-DI-FLD</v>
      </c>
    </row>
    <row r="2001" spans="1:48" s="10" customFormat="1" x14ac:dyDescent="0.55000000000000004">
      <c r="A2001" s="32">
        <v>44965</v>
      </c>
      <c r="B2001" s="33">
        <v>0.25</v>
      </c>
      <c r="C2001" s="10" t="s">
        <v>70</v>
      </c>
      <c r="D2001" s="10" t="s">
        <v>241</v>
      </c>
      <c r="E2001" s="10" t="s">
        <v>911</v>
      </c>
      <c r="F2001" s="10">
        <v>1</v>
      </c>
      <c r="G2001" s="10" t="s">
        <v>73</v>
      </c>
      <c r="H2001" s="10" t="s">
        <v>264</v>
      </c>
      <c r="I2001" s="10" t="s">
        <v>183</v>
      </c>
      <c r="J2001" s="10">
        <v>137</v>
      </c>
      <c r="K2001" s="12">
        <v>44966</v>
      </c>
      <c r="L2001" s="33">
        <v>0.47042824074074074</v>
      </c>
      <c r="M2001" s="10">
        <v>1</v>
      </c>
      <c r="N2001" s="10" t="s">
        <v>76</v>
      </c>
      <c r="O2001" s="10">
        <v>1.6299999999999999E-2</v>
      </c>
      <c r="P2001" s="10">
        <v>2.0600000000000002E-3</v>
      </c>
      <c r="Q2001" s="10">
        <v>0.93799999999999994</v>
      </c>
      <c r="R2001" s="10" t="s">
        <v>77</v>
      </c>
      <c r="S2001" s="34">
        <f t="shared" si="228"/>
        <v>0.93799999999999994</v>
      </c>
      <c r="T2001" s="10" t="s">
        <v>1155</v>
      </c>
      <c r="U2001" s="34">
        <f t="shared" si="231"/>
        <v>0.93799999999999994</v>
      </c>
      <c r="V2001" s="31" t="str">
        <f>IF(H2001="CHK",VLOOKUP(I2001,QCCHK,3,),IF(H2001="GUP",VLOOKUP(E2001,QCGUP,2,),IF(AND(H2001="ATP",OR(I2001="TN",I2001="TDN",I2001="TNO2-3",I2001="NO2-3")),VLOOKUP(E2001,QCREC_N,2,),IF(AND(H2001="NIC",OR(I2001="TN",I2001="TDN",I2001="TNO2-3",I2001="NO2-3")),VLOOKUP(E2001,QCNIC_N,2,),IF(AND(H2001="UREA",OR(I2001="TN",I2001="TDN",I2001="TNO2-3",I2001="NO2-3")),VLOOKUP(E2001,QCUREA_N,2,),IF(H2001="PER",VLOOKUP(I2001,QCPER,MATCH(E2001,QCACTUAL!$J$25:$AA$25,0),),IF(H2001="SPK",VLOOKUP(I2001,QCSPK,3,),IF(AND(H2001="ATP",OR(I2001="TP",I2001="TDP")),VLOOKUP(E2001,QCATP_P,2,),""))))))))</f>
        <v/>
      </c>
      <c r="W2001" s="31" t="str">
        <f t="shared" si="232"/>
        <v>TRUE</v>
      </c>
      <c r="X2001" s="31" t="str">
        <f t="shared" si="227"/>
        <v>nominal concentration</v>
      </c>
      <c r="Y2001" s="10" t="s">
        <v>1144</v>
      </c>
      <c r="AL2001" s="10" t="str">
        <f t="shared" si="229"/>
        <v>FALSE</v>
      </c>
      <c r="AM2001" s="10" t="str">
        <f t="shared" si="229"/>
        <v>FALSE</v>
      </c>
      <c r="AN2001" s="10" t="str">
        <f t="shared" si="229"/>
        <v>FALSE</v>
      </c>
      <c r="AO2001" s="10" t="str">
        <f t="shared" si="230"/>
        <v>FALSE</v>
      </c>
      <c r="AP2001" s="10" t="str">
        <f t="shared" si="230"/>
        <v>FALSE</v>
      </c>
      <c r="AQ2001" s="10" t="b">
        <f>IF(AND(I2001="TP",S2001&lt;=150),VLOOKUP(AF2001,TPCalibEq150!$AZ$2:$BB$55,3,),IF(AND(I2001="TDP",S2001&lt;=150),VLOOKUP(AF2001,TPCalibEq150!$AZ$2:$BB$55,3,)))</f>
        <v>0</v>
      </c>
      <c r="AR2001" s="10" t="b">
        <f>IF(AND(I2001="TP",S2001&lt;=300),VLOOKUP(AF2001,TPCalibEq300!$AZ$2:$BB$55,3,),IF(AND(I2001="TDP",S2001&lt;=300),VLOOKUP(AF2001,TPCalibEq300!$AZ$2:$BB$55,3,)))</f>
        <v>0</v>
      </c>
      <c r="AS2001" s="10" t="b">
        <f>IF(AND(I2001="TP",S2001&lt;=500),VLOOKUP(AF2001,TPCalibEq500!$AZ$2:$BB$56,3,),IF(AND(I2001="TDP",S2001&lt;=500),VLOOKUP(AF2001,TPCalibEq500!$AZ$2:$BB$56,3,)))</f>
        <v>0</v>
      </c>
      <c r="AT2001" s="10" t="b">
        <f>IF(AND(I2001="TN",S2001&lt;=2800),VLOOKUP(AF2001,TNCalibEq2500!$AZ$2:$BB$56,3,),IF(AND(I2001="TDN",S2001&lt;=2800),VLOOKUP(AF2001,TNCalibEq2500!$AZ$2:$BB$56,3,)))</f>
        <v>0</v>
      </c>
      <c r="AU2001" s="10" t="b">
        <f>IF(I2001="TP",VLOOKUP(AF2001,TPCalibEqFull!$AZ$2:$BB$56,3),IF(I2001="TDP",VLOOKUP(AF2001,TPCalibEqFull!$AZ$2:$BB$56,3),IF(I2001="TDN",VLOOKUP(AF2001,TNCalibEqFull!$AZ$1:$BB$56,3),IF(I2001="TN",VLOOKUP(AF2001,TNCalibEqFull!$AZ$1:$BB$56,3),FALSE))))</f>
        <v>0</v>
      </c>
      <c r="AV2001" s="10" t="str">
        <f t="shared" si="233"/>
        <v>0208 06:00:00-QAC-BLK-FIL-1-DI-FLD</v>
      </c>
    </row>
    <row r="2002" spans="1:48" s="10" customFormat="1" x14ac:dyDescent="0.55000000000000004">
      <c r="A2002" s="32">
        <v>44964</v>
      </c>
      <c r="B2002" s="33">
        <v>0.30208333333333331</v>
      </c>
      <c r="C2002" s="10" t="s">
        <v>70</v>
      </c>
      <c r="D2002" s="10" t="s">
        <v>241</v>
      </c>
      <c r="E2002" s="10" t="s">
        <v>911</v>
      </c>
      <c r="F2002" s="10">
        <v>1</v>
      </c>
      <c r="G2002" s="10" t="s">
        <v>73</v>
      </c>
      <c r="H2002" s="10" t="s">
        <v>245</v>
      </c>
      <c r="I2002" s="10" t="s">
        <v>183</v>
      </c>
      <c r="J2002" s="10">
        <v>138</v>
      </c>
      <c r="K2002" s="12">
        <v>44966</v>
      </c>
      <c r="L2002" s="33">
        <v>0.47126157407407404</v>
      </c>
      <c r="M2002" s="10">
        <v>1</v>
      </c>
      <c r="N2002" s="10" t="s">
        <v>76</v>
      </c>
      <c r="O2002" s="10">
        <v>4.87E-2</v>
      </c>
      <c r="P2002" s="10">
        <v>4.8300000000000001E-3</v>
      </c>
      <c r="Q2002" s="10">
        <v>2.8</v>
      </c>
      <c r="R2002" s="10" t="s">
        <v>77</v>
      </c>
      <c r="S2002" s="34">
        <f t="shared" si="228"/>
        <v>2.8</v>
      </c>
      <c r="T2002" s="10" t="s">
        <v>1155</v>
      </c>
      <c r="U2002" s="34">
        <f t="shared" si="231"/>
        <v>2.8</v>
      </c>
      <c r="V2002" s="31" t="str">
        <f>IF(H2002="CHK",VLOOKUP(I2002,QCCHK,3,),IF(H2002="GUP",VLOOKUP(E2002,QCGUP,2,),IF(AND(H2002="ATP",OR(I2002="TN",I2002="TDN",I2002="TNO2-3",I2002="NO2-3")),VLOOKUP(E2002,QCREC_N,2,),IF(AND(H2002="NIC",OR(I2002="TN",I2002="TDN",I2002="TNO2-3",I2002="NO2-3")),VLOOKUP(E2002,QCNIC_N,2,),IF(AND(H2002="UREA",OR(I2002="TN",I2002="TDN",I2002="TNO2-3",I2002="NO2-3")),VLOOKUP(E2002,QCUREA_N,2,),IF(H2002="PER",VLOOKUP(I2002,QCPER,MATCH(E2002,QCACTUAL!$J$25:$AA$25,0),),IF(H2002="SPK",VLOOKUP(I2002,QCSPK,3,),IF(AND(H2002="ATP",OR(I2002="TP",I2002="TDP")),VLOOKUP(E2002,QCATP_P,2,),""))))))))</f>
        <v/>
      </c>
      <c r="W2002" s="31" t="str">
        <f t="shared" si="232"/>
        <v>TRUE</v>
      </c>
      <c r="X2002" s="31" t="str">
        <f t="shared" si="227"/>
        <v>nominal concentration</v>
      </c>
      <c r="Y2002" s="10" t="s">
        <v>1144</v>
      </c>
      <c r="Z2002" s="10" t="s">
        <v>910</v>
      </c>
      <c r="AL2002" s="10" t="str">
        <f t="shared" si="229"/>
        <v>FALSE</v>
      </c>
      <c r="AM2002" s="10" t="str">
        <f t="shared" si="229"/>
        <v>FALSE</v>
      </c>
      <c r="AN2002" s="10" t="str">
        <f t="shared" si="229"/>
        <v>FALSE</v>
      </c>
      <c r="AO2002" s="10" t="str">
        <f t="shared" si="230"/>
        <v>FALSE</v>
      </c>
      <c r="AP2002" s="10" t="str">
        <f t="shared" si="230"/>
        <v>FALSE</v>
      </c>
      <c r="AQ2002" s="10" t="b">
        <f>IF(AND(I2002="TP",S2002&lt;=150),VLOOKUP(AF2002,TPCalibEq150!$AZ$2:$BB$55,3,),IF(AND(I2002="TDP",S2002&lt;=150),VLOOKUP(AF2002,TPCalibEq150!$AZ$2:$BB$55,3,)))</f>
        <v>0</v>
      </c>
      <c r="AR2002" s="10" t="b">
        <f>IF(AND(I2002="TP",S2002&lt;=300),VLOOKUP(AF2002,TPCalibEq300!$AZ$2:$BB$55,3,),IF(AND(I2002="TDP",S2002&lt;=300),VLOOKUP(AF2002,TPCalibEq300!$AZ$2:$BB$55,3,)))</f>
        <v>0</v>
      </c>
      <c r="AS2002" s="10" t="b">
        <f>IF(AND(I2002="TP",S2002&lt;=500),VLOOKUP(AF2002,TPCalibEq500!$AZ$2:$BB$56,3,),IF(AND(I2002="TDP",S2002&lt;=500),VLOOKUP(AF2002,TPCalibEq500!$AZ$2:$BB$56,3,)))</f>
        <v>0</v>
      </c>
      <c r="AT2002" s="10" t="b">
        <f>IF(AND(I2002="TN",S2002&lt;=2800),VLOOKUP(AF2002,TNCalibEq2500!$AZ$2:$BB$56,3,),IF(AND(I2002="TDN",S2002&lt;=2800),VLOOKUP(AF2002,TNCalibEq2500!$AZ$2:$BB$56,3,)))</f>
        <v>0</v>
      </c>
      <c r="AU2002" s="10" t="b">
        <f>IF(I2002="TP",VLOOKUP(AF2002,TPCalibEqFull!$AZ$2:$BB$56,3),IF(I2002="TDP",VLOOKUP(AF2002,TPCalibEqFull!$AZ$2:$BB$56,3),IF(I2002="TDN",VLOOKUP(AF2002,TNCalibEqFull!$AZ$1:$BB$56,3),IF(I2002="TN",VLOOKUP(AF2002,TNCalibEqFull!$AZ$1:$BB$56,3),FALSE))))</f>
        <v>0</v>
      </c>
      <c r="AV2002" s="10" t="str">
        <f t="shared" si="233"/>
        <v>0207 07:15:00-QAC-BLK-FIL-1-DI-ESF</v>
      </c>
    </row>
    <row r="2003" spans="1:48" s="10" customFormat="1" x14ac:dyDescent="0.55000000000000004">
      <c r="A2003" s="32">
        <v>44966</v>
      </c>
      <c r="B2003" s="33">
        <v>0.375</v>
      </c>
      <c r="C2003" s="10" t="s">
        <v>70</v>
      </c>
      <c r="D2003" s="10" t="s">
        <v>71</v>
      </c>
      <c r="E2003" s="10" t="s">
        <v>901</v>
      </c>
      <c r="F2003" s="10">
        <v>1</v>
      </c>
      <c r="G2003" s="10" t="s">
        <v>73</v>
      </c>
      <c r="H2003" s="10" t="s">
        <v>207</v>
      </c>
      <c r="I2003" s="10" t="s">
        <v>75</v>
      </c>
      <c r="J2003" s="10">
        <v>199</v>
      </c>
      <c r="K2003" s="12">
        <v>44966</v>
      </c>
      <c r="L2003" s="33">
        <v>0.47208333333333335</v>
      </c>
      <c r="M2003" s="10">
        <v>1</v>
      </c>
      <c r="N2003" s="10" t="s">
        <v>76</v>
      </c>
      <c r="O2003" s="10">
        <v>4.6399999999999997</v>
      </c>
      <c r="P2003" s="10">
        <v>0.36299999999999999</v>
      </c>
      <c r="Q2003" s="10">
        <v>267</v>
      </c>
      <c r="R2003" s="10" t="s">
        <v>77</v>
      </c>
      <c r="S2003" s="34">
        <f t="shared" si="228"/>
        <v>267</v>
      </c>
      <c r="T2003" s="10" t="s">
        <v>1155</v>
      </c>
      <c r="U2003" s="34">
        <f t="shared" si="231"/>
        <v>89</v>
      </c>
      <c r="V2003" s="31">
        <f>IF(H2003="CHK",VLOOKUP(I2003,QCCHK,3,),IF(H2003="GUP",VLOOKUP(E2003,QCGUP,2,),IF(AND(H2003="ATP",OR(I2003="TN",I2003="TDN",I2003="TNO2-3",I2003="NO2-3")),VLOOKUP(E2003,QCREC_N,2,),IF(AND(H2003="NIC",OR(I2003="TN",I2003="TDN",I2003="TNO2-3",I2003="NO2-3")),VLOOKUP(E2003,QCNIC_N,2,),IF(AND(H2003="UREA",OR(I2003="TN",I2003="TDN",I2003="TNO2-3",I2003="NO2-3")),VLOOKUP(E2003,QCUREA_N,2,),IF(H2003="PER",VLOOKUP(I2003,QCPER,MATCH(E2003,QCACTUAL!$J$25:$AA$25,0),),IF(H2003="SPK",VLOOKUP(I2003,QCSPK,3,),IF(AND(H2003="ATP",OR(I2003="TP",I2003="TDP")),VLOOKUP(E2003,QCATP_P,2,),""))))))))</f>
        <v>300</v>
      </c>
      <c r="W2003" s="31" t="str">
        <f t="shared" si="232"/>
        <v>TRUE</v>
      </c>
      <c r="X2003" s="31" t="str">
        <f t="shared" si="227"/>
        <v>[chk]/[actual]*100</v>
      </c>
      <c r="Y2003" s="10" t="s">
        <v>1144</v>
      </c>
      <c r="AL2003" s="10" t="str">
        <f t="shared" si="229"/>
        <v>FALSE</v>
      </c>
      <c r="AM2003" s="10" t="str">
        <f t="shared" si="229"/>
        <v>FALSE</v>
      </c>
      <c r="AN2003" s="10" t="str">
        <f t="shared" si="229"/>
        <v>FALSE</v>
      </c>
      <c r="AO2003" s="10" t="str">
        <f t="shared" si="230"/>
        <v>FALSE</v>
      </c>
      <c r="AP2003" s="10" t="str">
        <f t="shared" si="230"/>
        <v>FALSE</v>
      </c>
      <c r="AQ2003" s="10" t="b">
        <f>IF(AND(I2003="TP",S2003&lt;=150),VLOOKUP(AF2003,TPCalibEq150!$AZ$2:$BB$55,3,),IF(AND(I2003="TDP",S2003&lt;=150),VLOOKUP(AF2003,TPCalibEq150!$AZ$2:$BB$55,3,)))</f>
        <v>0</v>
      </c>
      <c r="AR2003" s="10" t="b">
        <f>IF(AND(I2003="TP",S2003&lt;=300),VLOOKUP(AF2003,TPCalibEq300!$AZ$2:$BB$55,3,),IF(AND(I2003="TDP",S2003&lt;=300),VLOOKUP(AF2003,TPCalibEq300!$AZ$2:$BB$55,3,)))</f>
        <v>0</v>
      </c>
      <c r="AS2003" s="10" t="b">
        <f>IF(AND(I2003="TP",S2003&lt;=500),VLOOKUP(AF2003,TPCalibEq500!$AZ$2:$BB$56,3,),IF(AND(I2003="TDP",S2003&lt;=500),VLOOKUP(AF2003,TPCalibEq500!$AZ$2:$BB$56,3,)))</f>
        <v>0</v>
      </c>
      <c r="AT2003" s="10" t="b">
        <f>IF(AND(I2003="TN",S2003&lt;=2800),VLOOKUP(AF2003,TNCalibEq2500!$AZ$2:$BB$56,3,),IF(AND(I2003="TDN",S2003&lt;=2800),VLOOKUP(AF2003,TNCalibEq2500!$AZ$2:$BB$56,3,)))</f>
        <v>0</v>
      </c>
      <c r="AU2003" s="10" t="b">
        <f>IF(I2003="TP",VLOOKUP(AF2003,TPCalibEqFull!$AZ$2:$BB$56,3),IF(I2003="TDP",VLOOKUP(AF2003,TPCalibEqFull!$AZ$2:$BB$56,3),IF(I2003="TDN",VLOOKUP(AF2003,TNCalibEqFull!$AZ$1:$BB$56,3),IF(I2003="TN",VLOOKUP(AF2003,TNCalibEqFull!$AZ$1:$BB$56,3),FALSE))))</f>
        <v>0</v>
      </c>
      <c r="AV2003" s="10" t="str">
        <f t="shared" si="233"/>
        <v>0209 09:00:00-QAC-STD-D-1-DI-CHK</v>
      </c>
    </row>
    <row r="2004" spans="1:48" s="10" customFormat="1" x14ac:dyDescent="0.55000000000000004">
      <c r="A2004" s="32">
        <v>44958</v>
      </c>
      <c r="B2004" s="33">
        <v>0.50138888888888888</v>
      </c>
      <c r="C2004" s="10" t="s">
        <v>279</v>
      </c>
      <c r="D2004" s="10">
        <v>0</v>
      </c>
      <c r="E2004" s="10" t="s">
        <v>190</v>
      </c>
      <c r="F2004" s="10">
        <v>1</v>
      </c>
      <c r="G2004" s="10" t="s">
        <v>231</v>
      </c>
      <c r="H2004" s="10" t="s">
        <v>322</v>
      </c>
      <c r="I2004" s="10" t="s">
        <v>75</v>
      </c>
      <c r="J2004" s="10">
        <v>1</v>
      </c>
      <c r="K2004" s="12">
        <v>44966</v>
      </c>
      <c r="L2004" s="33">
        <v>0.47290509259259261</v>
      </c>
      <c r="M2004" s="10">
        <v>1</v>
      </c>
      <c r="N2004" s="10" t="s">
        <v>76</v>
      </c>
      <c r="O2004" s="10">
        <v>0.28899999999999998</v>
      </c>
      <c r="P2004" s="10">
        <v>2.35E-2</v>
      </c>
      <c r="Q2004" s="10">
        <v>16.600000000000001</v>
      </c>
      <c r="R2004" s="10" t="s">
        <v>77</v>
      </c>
      <c r="S2004" s="34">
        <f t="shared" si="228"/>
        <v>16.600000000000001</v>
      </c>
      <c r="T2004" s="10" t="s">
        <v>1155</v>
      </c>
      <c r="U2004" s="34" t="str">
        <f t="shared" si="231"/>
        <v/>
      </c>
      <c r="V2004" s="31" t="str">
        <f>IF(H2004="CHK",VLOOKUP(I2004,QCCHK,3,),IF(H2004="GUP",VLOOKUP(E2004,QCGUP,2,),IF(AND(H2004="ATP",OR(I2004="TN",I2004="TDN",I2004="TNO2-3",I2004="NO2-3")),VLOOKUP(E2004,QCREC_N,2,),IF(AND(H2004="NIC",OR(I2004="TN",I2004="TDN",I2004="TNO2-3",I2004="NO2-3")),VLOOKUP(E2004,QCNIC_N,2,),IF(AND(H2004="UREA",OR(I2004="TN",I2004="TDN",I2004="TNO2-3",I2004="NO2-3")),VLOOKUP(E2004,QCUREA_N,2,),IF(H2004="PER",VLOOKUP(I2004,QCPER,MATCH(E2004,QCACTUAL!$J$25:$AA$25,0),),IF(H2004="SPK",VLOOKUP(I2004,QCSPK,3,),IF(AND(H2004="ATP",OR(I2004="TP",I2004="TDP")),VLOOKUP(E2004,QCATP_P,2,),""))))))))</f>
        <v/>
      </c>
      <c r="W2004" s="31" t="str">
        <f t="shared" si="232"/>
        <v>TRUE</v>
      </c>
      <c r="X2004" s="31" t="str">
        <f t="shared" si="227"/>
        <v/>
      </c>
      <c r="Y2004" s="10" t="s">
        <v>1144</v>
      </c>
      <c r="Z2004" s="10" t="s">
        <v>910</v>
      </c>
      <c r="AL2004" s="10" t="str">
        <f t="shared" si="229"/>
        <v>FALSE</v>
      </c>
      <c r="AM2004" s="10" t="str">
        <f t="shared" si="229"/>
        <v>FALSE</v>
      </c>
      <c r="AN2004" s="10" t="str">
        <f t="shared" si="229"/>
        <v>FALSE</v>
      </c>
      <c r="AO2004" s="10" t="str">
        <f t="shared" si="230"/>
        <v>FALSE</v>
      </c>
      <c r="AP2004" s="10" t="str">
        <f t="shared" si="230"/>
        <v>FALSE</v>
      </c>
      <c r="AQ2004" s="10" t="b">
        <f>IF(AND(I2004="TP",S2004&lt;=150),VLOOKUP(AF2004,TPCalibEq150!$AZ$2:$BB$55,3,),IF(AND(I2004="TDP",S2004&lt;=150),VLOOKUP(AF2004,TPCalibEq150!$AZ$2:$BB$55,3,)))</f>
        <v>0</v>
      </c>
      <c r="AR2004" s="10" t="b">
        <f>IF(AND(I2004="TP",S2004&lt;=300),VLOOKUP(AF2004,TPCalibEq300!$AZ$2:$BB$55,3,),IF(AND(I2004="TDP",S2004&lt;=300),VLOOKUP(AF2004,TPCalibEq300!$AZ$2:$BB$55,3,)))</f>
        <v>0</v>
      </c>
      <c r="AS2004" s="10" t="b">
        <f>IF(AND(I2004="TP",S2004&lt;=500),VLOOKUP(AF2004,TPCalibEq500!$AZ$2:$BB$56,3,),IF(AND(I2004="TDP",S2004&lt;=500),VLOOKUP(AF2004,TPCalibEq500!$AZ$2:$BB$56,3,)))</f>
        <v>0</v>
      </c>
      <c r="AT2004" s="10" t="b">
        <f>IF(AND(I2004="TN",S2004&lt;=2800),VLOOKUP(AF2004,TNCalibEq2500!$AZ$2:$BB$56,3,),IF(AND(I2004="TDN",S2004&lt;=2800),VLOOKUP(AF2004,TNCalibEq2500!$AZ$2:$BB$56,3,)))</f>
        <v>0</v>
      </c>
      <c r="AU2004" s="10" t="b">
        <f>IF(I2004="TP",VLOOKUP(AF2004,TPCalibEqFull!$AZ$2:$BB$56,3),IF(I2004="TDP",VLOOKUP(AF2004,TPCalibEqFull!$AZ$2:$BB$56,3),IF(I2004="TDN",VLOOKUP(AF2004,TNCalibEqFull!$AZ$1:$BB$56,3),IF(I2004="TN",VLOOKUP(AF2004,TNCalibEqFull!$AZ$1:$BB$56,3),FALSE))))</f>
        <v>0</v>
      </c>
      <c r="AV2004" s="10" t="str">
        <f t="shared" si="233"/>
        <v>0201 12:02:00-EFK-0-C-1-SW-UKN</v>
      </c>
    </row>
    <row r="2005" spans="1:48" s="10" customFormat="1" x14ac:dyDescent="0.55000000000000004">
      <c r="A2005" s="32">
        <v>44958</v>
      </c>
      <c r="B2005" s="33">
        <v>0.50347222222222221</v>
      </c>
      <c r="C2005" s="10" t="s">
        <v>333</v>
      </c>
      <c r="D2005" s="10">
        <v>0</v>
      </c>
      <c r="E2005" s="10" t="s">
        <v>190</v>
      </c>
      <c r="F2005" s="10">
        <v>1</v>
      </c>
      <c r="G2005" s="10" t="s">
        <v>231</v>
      </c>
      <c r="H2005" s="10" t="s">
        <v>322</v>
      </c>
      <c r="I2005" s="10" t="s">
        <v>75</v>
      </c>
      <c r="J2005" s="10">
        <v>2</v>
      </c>
      <c r="K2005" s="12">
        <v>44966</v>
      </c>
      <c r="L2005" s="33">
        <v>0.47372685185185182</v>
      </c>
      <c r="M2005" s="10">
        <v>1</v>
      </c>
      <c r="N2005" s="10" t="s">
        <v>76</v>
      </c>
      <c r="O2005" s="10">
        <v>5.9799999999999999E-2</v>
      </c>
      <c r="P2005" s="10">
        <v>4.3200000000000001E-3</v>
      </c>
      <c r="Q2005" s="10">
        <v>3.44</v>
      </c>
      <c r="R2005" s="10" t="s">
        <v>77</v>
      </c>
      <c r="S2005" s="34">
        <f t="shared" si="228"/>
        <v>3.44</v>
      </c>
      <c r="T2005" s="10" t="s">
        <v>1155</v>
      </c>
      <c r="U2005" s="34" t="str">
        <f t="shared" si="231"/>
        <v/>
      </c>
      <c r="V2005" s="31" t="str">
        <f>IF(H2005="CHK",VLOOKUP(I2005,QCCHK,3,),IF(H2005="GUP",VLOOKUP(E2005,QCGUP,2,),IF(AND(H2005="ATP",OR(I2005="TN",I2005="TDN",I2005="TNO2-3",I2005="NO2-3")),VLOOKUP(E2005,QCREC_N,2,),IF(AND(H2005="NIC",OR(I2005="TN",I2005="TDN",I2005="TNO2-3",I2005="NO2-3")),VLOOKUP(E2005,QCNIC_N,2,),IF(AND(H2005="UREA",OR(I2005="TN",I2005="TDN",I2005="TNO2-3",I2005="NO2-3")),VLOOKUP(E2005,QCUREA_N,2,),IF(H2005="PER",VLOOKUP(I2005,QCPER,MATCH(E2005,QCACTUAL!$J$25:$AA$25,0),),IF(H2005="SPK",VLOOKUP(I2005,QCSPK,3,),IF(AND(H2005="ATP",OR(I2005="TP",I2005="TDP")),VLOOKUP(E2005,QCATP_P,2,),""))))))))</f>
        <v/>
      </c>
      <c r="W2005" s="31" t="str">
        <f t="shared" si="232"/>
        <v>TRUE</v>
      </c>
      <c r="X2005" s="31" t="str">
        <f t="shared" si="227"/>
        <v/>
      </c>
      <c r="Y2005" s="10" t="s">
        <v>1144</v>
      </c>
      <c r="Z2005" s="10" t="s">
        <v>910</v>
      </c>
      <c r="AL2005" s="10" t="str">
        <f t="shared" si="229"/>
        <v>FALSE</v>
      </c>
      <c r="AM2005" s="10" t="str">
        <f t="shared" si="229"/>
        <v>FALSE</v>
      </c>
      <c r="AN2005" s="10" t="str">
        <f t="shared" si="229"/>
        <v>FALSE</v>
      </c>
      <c r="AO2005" s="10" t="str">
        <f t="shared" si="230"/>
        <v>FALSE</v>
      </c>
      <c r="AP2005" s="10" t="str">
        <f t="shared" si="230"/>
        <v>FALSE</v>
      </c>
      <c r="AQ2005" s="10" t="b">
        <f>IF(AND(I2005="TP",S2005&lt;=150),VLOOKUP(AF2005,TPCalibEq150!$AZ$2:$BB$55,3,),IF(AND(I2005="TDP",S2005&lt;=150),VLOOKUP(AF2005,TPCalibEq150!$AZ$2:$BB$55,3,)))</f>
        <v>0</v>
      </c>
      <c r="AR2005" s="10" t="b">
        <f>IF(AND(I2005="TP",S2005&lt;=300),VLOOKUP(AF2005,TPCalibEq300!$AZ$2:$BB$55,3,),IF(AND(I2005="TDP",S2005&lt;=300),VLOOKUP(AF2005,TPCalibEq300!$AZ$2:$BB$55,3,)))</f>
        <v>0</v>
      </c>
      <c r="AS2005" s="10" t="b">
        <f>IF(AND(I2005="TP",S2005&lt;=500),VLOOKUP(AF2005,TPCalibEq500!$AZ$2:$BB$56,3,),IF(AND(I2005="TDP",S2005&lt;=500),VLOOKUP(AF2005,TPCalibEq500!$AZ$2:$BB$56,3,)))</f>
        <v>0</v>
      </c>
      <c r="AT2005" s="10" t="b">
        <f>IF(AND(I2005="TN",S2005&lt;=2800),VLOOKUP(AF2005,TNCalibEq2500!$AZ$2:$BB$56,3,),IF(AND(I2005="TDN",S2005&lt;=2800),VLOOKUP(AF2005,TNCalibEq2500!$AZ$2:$BB$56,3,)))</f>
        <v>0</v>
      </c>
      <c r="AU2005" s="10" t="b">
        <f>IF(I2005="TP",VLOOKUP(AF2005,TPCalibEqFull!$AZ$2:$BB$56,3),IF(I2005="TDP",VLOOKUP(AF2005,TPCalibEqFull!$AZ$2:$BB$56,3),IF(I2005="TDN",VLOOKUP(AF2005,TNCalibEqFull!$AZ$1:$BB$56,3),IF(I2005="TN",VLOOKUP(AF2005,TNCalibEqFull!$AZ$1:$BB$56,3),FALSE))))</f>
        <v>0</v>
      </c>
      <c r="AV2005" s="10" t="str">
        <f t="shared" si="233"/>
        <v>0201 12:05:00-HST-0-C-1-SW-UKN</v>
      </c>
    </row>
    <row r="2006" spans="1:48" s="10" customFormat="1" x14ac:dyDescent="0.55000000000000004">
      <c r="A2006" s="32">
        <v>44959</v>
      </c>
      <c r="B2006" s="33">
        <v>0.58194444444444449</v>
      </c>
      <c r="C2006" s="10" t="s">
        <v>279</v>
      </c>
      <c r="D2006" s="10">
        <v>0</v>
      </c>
      <c r="E2006" s="10" t="s">
        <v>190</v>
      </c>
      <c r="F2006" s="10">
        <v>1</v>
      </c>
      <c r="G2006" s="10" t="s">
        <v>231</v>
      </c>
      <c r="H2006" s="10" t="s">
        <v>322</v>
      </c>
      <c r="I2006" s="10" t="s">
        <v>75</v>
      </c>
      <c r="J2006" s="10">
        <v>3</v>
      </c>
      <c r="K2006" s="12">
        <v>44966</v>
      </c>
      <c r="L2006" s="33">
        <v>0.47456018518518522</v>
      </c>
      <c r="M2006" s="10">
        <v>1</v>
      </c>
      <c r="N2006" s="10" t="s">
        <v>76</v>
      </c>
      <c r="O2006" s="10">
        <v>0.22800000000000001</v>
      </c>
      <c r="P2006" s="10">
        <v>1.77E-2</v>
      </c>
      <c r="Q2006" s="10">
        <v>13.1</v>
      </c>
      <c r="R2006" s="10" t="s">
        <v>77</v>
      </c>
      <c r="S2006" s="34">
        <f t="shared" si="228"/>
        <v>13.1</v>
      </c>
      <c r="T2006" s="10" t="s">
        <v>1155</v>
      </c>
      <c r="U2006" s="34" t="str">
        <f t="shared" si="231"/>
        <v/>
      </c>
      <c r="V2006" s="31" t="str">
        <f>IF(H2006="CHK",VLOOKUP(I2006,QCCHK,3,),IF(H2006="GUP",VLOOKUP(E2006,QCGUP,2,),IF(AND(H2006="ATP",OR(I2006="TN",I2006="TDN",I2006="TNO2-3",I2006="NO2-3")),VLOOKUP(E2006,QCREC_N,2,),IF(AND(H2006="NIC",OR(I2006="TN",I2006="TDN",I2006="TNO2-3",I2006="NO2-3")),VLOOKUP(E2006,QCNIC_N,2,),IF(AND(H2006="UREA",OR(I2006="TN",I2006="TDN",I2006="TNO2-3",I2006="NO2-3")),VLOOKUP(E2006,QCUREA_N,2,),IF(H2006="PER",VLOOKUP(I2006,QCPER,MATCH(E2006,QCACTUAL!$J$25:$AA$25,0),),IF(H2006="SPK",VLOOKUP(I2006,QCSPK,3,),IF(AND(H2006="ATP",OR(I2006="TP",I2006="TDP")),VLOOKUP(E2006,QCATP_P,2,),""))))))))</f>
        <v/>
      </c>
      <c r="W2006" s="31" t="str">
        <f t="shared" si="232"/>
        <v>TRUE</v>
      </c>
      <c r="X2006" s="31" t="str">
        <f t="shared" si="227"/>
        <v/>
      </c>
      <c r="Y2006" s="10" t="s">
        <v>1144</v>
      </c>
      <c r="Z2006" s="10" t="s">
        <v>910</v>
      </c>
      <c r="AL2006" s="10" t="str">
        <f t="shared" si="229"/>
        <v>FALSE</v>
      </c>
      <c r="AM2006" s="10" t="str">
        <f t="shared" si="229"/>
        <v>FALSE</v>
      </c>
      <c r="AN2006" s="10" t="str">
        <f t="shared" si="229"/>
        <v>FALSE</v>
      </c>
      <c r="AO2006" s="10" t="str">
        <f t="shared" si="230"/>
        <v>FALSE</v>
      </c>
      <c r="AP2006" s="10" t="str">
        <f t="shared" si="230"/>
        <v>FALSE</v>
      </c>
      <c r="AQ2006" s="10" t="b">
        <f>IF(AND(I2006="TP",S2006&lt;=150),VLOOKUP(AF2006,TPCalibEq150!$AZ$2:$BB$55,3,),IF(AND(I2006="TDP",S2006&lt;=150),VLOOKUP(AF2006,TPCalibEq150!$AZ$2:$BB$55,3,)))</f>
        <v>0</v>
      </c>
      <c r="AR2006" s="10" t="b">
        <f>IF(AND(I2006="TP",S2006&lt;=300),VLOOKUP(AF2006,TPCalibEq300!$AZ$2:$BB$55,3,),IF(AND(I2006="TDP",S2006&lt;=300),VLOOKUP(AF2006,TPCalibEq300!$AZ$2:$BB$55,3,)))</f>
        <v>0</v>
      </c>
      <c r="AS2006" s="10" t="b">
        <f>IF(AND(I2006="TP",S2006&lt;=500),VLOOKUP(AF2006,TPCalibEq500!$AZ$2:$BB$56,3,),IF(AND(I2006="TDP",S2006&lt;=500),VLOOKUP(AF2006,TPCalibEq500!$AZ$2:$BB$56,3,)))</f>
        <v>0</v>
      </c>
      <c r="AT2006" s="10" t="b">
        <f>IF(AND(I2006="TN",S2006&lt;=2800),VLOOKUP(AF2006,TNCalibEq2500!$AZ$2:$BB$56,3,),IF(AND(I2006="TDN",S2006&lt;=2800),VLOOKUP(AF2006,TNCalibEq2500!$AZ$2:$BB$56,3,)))</f>
        <v>0</v>
      </c>
      <c r="AU2006" s="10" t="b">
        <f>IF(I2006="TP",VLOOKUP(AF2006,TPCalibEqFull!$AZ$2:$BB$56,3),IF(I2006="TDP",VLOOKUP(AF2006,TPCalibEqFull!$AZ$2:$BB$56,3),IF(I2006="TDN",VLOOKUP(AF2006,TNCalibEqFull!$AZ$1:$BB$56,3),IF(I2006="TN",VLOOKUP(AF2006,TNCalibEqFull!$AZ$1:$BB$56,3),FALSE))))</f>
        <v>0</v>
      </c>
      <c r="AV2006" s="10" t="str">
        <f t="shared" si="233"/>
        <v>0202 13:58:00-EFK-0-C-1-SW-UKN</v>
      </c>
    </row>
    <row r="2007" spans="1:48" s="10" customFormat="1" x14ac:dyDescent="0.55000000000000004">
      <c r="A2007" s="32">
        <v>44959</v>
      </c>
      <c r="B2007" s="33">
        <v>0.56944444444444442</v>
      </c>
      <c r="C2007" s="10" t="s">
        <v>333</v>
      </c>
      <c r="D2007" s="10">
        <v>0</v>
      </c>
      <c r="E2007" s="10" t="s">
        <v>190</v>
      </c>
      <c r="F2007" s="10">
        <v>1</v>
      </c>
      <c r="G2007" s="10" t="s">
        <v>231</v>
      </c>
      <c r="H2007" s="10" t="s">
        <v>322</v>
      </c>
      <c r="I2007" s="10" t="s">
        <v>75</v>
      </c>
      <c r="J2007" s="10">
        <v>4</v>
      </c>
      <c r="K2007" s="12">
        <v>44966</v>
      </c>
      <c r="L2007" s="33">
        <v>0.47538194444444448</v>
      </c>
      <c r="M2007" s="10">
        <v>1</v>
      </c>
      <c r="N2007" s="10" t="s">
        <v>76</v>
      </c>
      <c r="O2007" s="10">
        <v>0.255</v>
      </c>
      <c r="P2007" s="10">
        <v>2.1399999999999999E-2</v>
      </c>
      <c r="Q2007" s="10">
        <v>14.7</v>
      </c>
      <c r="R2007" s="10" t="s">
        <v>77</v>
      </c>
      <c r="S2007" s="34">
        <f t="shared" si="228"/>
        <v>14.7</v>
      </c>
      <c r="T2007" s="10" t="s">
        <v>1155</v>
      </c>
      <c r="U2007" s="34" t="str">
        <f t="shared" si="231"/>
        <v/>
      </c>
      <c r="V2007" s="31" t="str">
        <f>IF(H2007="CHK",VLOOKUP(I2007,QCCHK,3,),IF(H2007="GUP",VLOOKUP(E2007,QCGUP,2,),IF(AND(H2007="ATP",OR(I2007="TN",I2007="TDN",I2007="TNO2-3",I2007="NO2-3")),VLOOKUP(E2007,QCREC_N,2,),IF(AND(H2007="NIC",OR(I2007="TN",I2007="TDN",I2007="TNO2-3",I2007="NO2-3")),VLOOKUP(E2007,QCNIC_N,2,),IF(AND(H2007="UREA",OR(I2007="TN",I2007="TDN",I2007="TNO2-3",I2007="NO2-3")),VLOOKUP(E2007,QCUREA_N,2,),IF(H2007="PER",VLOOKUP(I2007,QCPER,MATCH(E2007,QCACTUAL!$J$25:$AA$25,0),),IF(H2007="SPK",VLOOKUP(I2007,QCSPK,3,),IF(AND(H2007="ATP",OR(I2007="TP",I2007="TDP")),VLOOKUP(E2007,QCATP_P,2,),""))))))))</f>
        <v/>
      </c>
      <c r="W2007" s="31" t="str">
        <f t="shared" si="232"/>
        <v>TRUE</v>
      </c>
      <c r="X2007" s="31" t="str">
        <f t="shared" si="227"/>
        <v/>
      </c>
      <c r="Y2007" s="10" t="s">
        <v>1144</v>
      </c>
      <c r="Z2007" s="10" t="s">
        <v>910</v>
      </c>
      <c r="AL2007" s="10" t="str">
        <f t="shared" si="229"/>
        <v>FALSE</v>
      </c>
      <c r="AM2007" s="10" t="str">
        <f t="shared" si="229"/>
        <v>FALSE</v>
      </c>
      <c r="AN2007" s="10" t="str">
        <f t="shared" si="229"/>
        <v>FALSE</v>
      </c>
      <c r="AO2007" s="10" t="str">
        <f t="shared" si="230"/>
        <v>FALSE</v>
      </c>
      <c r="AP2007" s="10" t="str">
        <f t="shared" si="230"/>
        <v>FALSE</v>
      </c>
      <c r="AQ2007" s="10" t="b">
        <f>IF(AND(I2007="TP",S2007&lt;=150),VLOOKUP(AF2007,TPCalibEq150!$AZ$2:$BB$55,3,),IF(AND(I2007="TDP",S2007&lt;=150),VLOOKUP(AF2007,TPCalibEq150!$AZ$2:$BB$55,3,)))</f>
        <v>0</v>
      </c>
      <c r="AR2007" s="10" t="b">
        <f>IF(AND(I2007="TP",S2007&lt;=300),VLOOKUP(AF2007,TPCalibEq300!$AZ$2:$BB$55,3,),IF(AND(I2007="TDP",S2007&lt;=300),VLOOKUP(AF2007,TPCalibEq300!$AZ$2:$BB$55,3,)))</f>
        <v>0</v>
      </c>
      <c r="AS2007" s="10" t="b">
        <f>IF(AND(I2007="TP",S2007&lt;=500),VLOOKUP(AF2007,TPCalibEq500!$AZ$2:$BB$56,3,),IF(AND(I2007="TDP",S2007&lt;=500),VLOOKUP(AF2007,TPCalibEq500!$AZ$2:$BB$56,3,)))</f>
        <v>0</v>
      </c>
      <c r="AT2007" s="10" t="b">
        <f>IF(AND(I2007="TN",S2007&lt;=2800),VLOOKUP(AF2007,TNCalibEq2500!$AZ$2:$BB$56,3,),IF(AND(I2007="TDN",S2007&lt;=2800),VLOOKUP(AF2007,TNCalibEq2500!$AZ$2:$BB$56,3,)))</f>
        <v>0</v>
      </c>
      <c r="AU2007" s="10" t="b">
        <f>IF(I2007="TP",VLOOKUP(AF2007,TPCalibEqFull!$AZ$2:$BB$56,3),IF(I2007="TDP",VLOOKUP(AF2007,TPCalibEqFull!$AZ$2:$BB$56,3),IF(I2007="TDN",VLOOKUP(AF2007,TNCalibEqFull!$AZ$1:$BB$56,3),IF(I2007="TN",VLOOKUP(AF2007,TNCalibEqFull!$AZ$1:$BB$56,3),FALSE))))</f>
        <v>0</v>
      </c>
      <c r="AV2007" s="10" t="str">
        <f t="shared" si="233"/>
        <v>0202 13:40:00-HST-0-C-1-SW-UKN</v>
      </c>
    </row>
    <row r="2008" spans="1:48" s="10" customFormat="1" x14ac:dyDescent="0.55000000000000004">
      <c r="A2008" s="32">
        <v>44960</v>
      </c>
      <c r="B2008" s="33">
        <v>0.45208333333333334</v>
      </c>
      <c r="C2008" s="10" t="s">
        <v>279</v>
      </c>
      <c r="D2008" s="10">
        <v>0</v>
      </c>
      <c r="E2008" s="10" t="s">
        <v>190</v>
      </c>
      <c r="F2008" s="10">
        <v>1</v>
      </c>
      <c r="G2008" s="10" t="s">
        <v>231</v>
      </c>
      <c r="H2008" s="10" t="s">
        <v>322</v>
      </c>
      <c r="I2008" s="10" t="s">
        <v>75</v>
      </c>
      <c r="J2008" s="10">
        <v>5</v>
      </c>
      <c r="K2008" s="12">
        <v>44966</v>
      </c>
      <c r="L2008" s="33">
        <v>0.47619212962962965</v>
      </c>
      <c r="M2008" s="10">
        <v>1</v>
      </c>
      <c r="N2008" s="10" t="s">
        <v>76</v>
      </c>
      <c r="O2008" s="10">
        <v>0.441</v>
      </c>
      <c r="P2008" s="10">
        <v>3.5099999999999999E-2</v>
      </c>
      <c r="Q2008" s="10">
        <v>25.4</v>
      </c>
      <c r="R2008" s="10" t="s">
        <v>77</v>
      </c>
      <c r="S2008" s="34">
        <f t="shared" si="228"/>
        <v>25.4</v>
      </c>
      <c r="T2008" s="10" t="s">
        <v>1155</v>
      </c>
      <c r="U2008" s="34" t="str">
        <f t="shared" si="231"/>
        <v/>
      </c>
      <c r="V2008" s="31" t="str">
        <f>IF(H2008="CHK",VLOOKUP(I2008,QCCHK,3,),IF(H2008="GUP",VLOOKUP(E2008,QCGUP,2,),IF(AND(H2008="ATP",OR(I2008="TN",I2008="TDN",I2008="TNO2-3",I2008="NO2-3")),VLOOKUP(E2008,QCREC_N,2,),IF(AND(H2008="NIC",OR(I2008="TN",I2008="TDN",I2008="TNO2-3",I2008="NO2-3")),VLOOKUP(E2008,QCNIC_N,2,),IF(AND(H2008="UREA",OR(I2008="TN",I2008="TDN",I2008="TNO2-3",I2008="NO2-3")),VLOOKUP(E2008,QCUREA_N,2,),IF(H2008="PER",VLOOKUP(I2008,QCPER,MATCH(E2008,QCACTUAL!$J$25:$AA$25,0),),IF(H2008="SPK",VLOOKUP(I2008,QCSPK,3,),IF(AND(H2008="ATP",OR(I2008="TP",I2008="TDP")),VLOOKUP(E2008,QCATP_P,2,),""))))))))</f>
        <v/>
      </c>
      <c r="W2008" s="31" t="str">
        <f t="shared" si="232"/>
        <v>TRUE</v>
      </c>
      <c r="X2008" s="31" t="str">
        <f t="shared" si="227"/>
        <v/>
      </c>
      <c r="Y2008" s="10" t="s">
        <v>1144</v>
      </c>
      <c r="Z2008" s="10" t="s">
        <v>910</v>
      </c>
      <c r="AL2008" s="10" t="str">
        <f t="shared" si="229"/>
        <v>FALSE</v>
      </c>
      <c r="AM2008" s="10" t="str">
        <f t="shared" si="229"/>
        <v>FALSE</v>
      </c>
      <c r="AN2008" s="10" t="str">
        <f t="shared" si="229"/>
        <v>FALSE</v>
      </c>
      <c r="AO2008" s="10" t="str">
        <f t="shared" si="230"/>
        <v>FALSE</v>
      </c>
      <c r="AP2008" s="10" t="str">
        <f t="shared" si="230"/>
        <v>FALSE</v>
      </c>
      <c r="AQ2008" s="10" t="b">
        <f>IF(AND(I2008="TP",S2008&lt;=150),VLOOKUP(AF2008,TPCalibEq150!$AZ$2:$BB$55,3,),IF(AND(I2008="TDP",S2008&lt;=150),VLOOKUP(AF2008,TPCalibEq150!$AZ$2:$BB$55,3,)))</f>
        <v>0</v>
      </c>
      <c r="AR2008" s="10" t="b">
        <f>IF(AND(I2008="TP",S2008&lt;=300),VLOOKUP(AF2008,TPCalibEq300!$AZ$2:$BB$55,3,),IF(AND(I2008="TDP",S2008&lt;=300),VLOOKUP(AF2008,TPCalibEq300!$AZ$2:$BB$55,3,)))</f>
        <v>0</v>
      </c>
      <c r="AS2008" s="10" t="b">
        <f>IF(AND(I2008="TP",S2008&lt;=500),VLOOKUP(AF2008,TPCalibEq500!$AZ$2:$BB$56,3,),IF(AND(I2008="TDP",S2008&lt;=500),VLOOKUP(AF2008,TPCalibEq500!$AZ$2:$BB$56,3,)))</f>
        <v>0</v>
      </c>
      <c r="AT2008" s="10" t="b">
        <f>IF(AND(I2008="TN",S2008&lt;=2800),VLOOKUP(AF2008,TNCalibEq2500!$AZ$2:$BB$56,3,),IF(AND(I2008="TDN",S2008&lt;=2800),VLOOKUP(AF2008,TNCalibEq2500!$AZ$2:$BB$56,3,)))</f>
        <v>0</v>
      </c>
      <c r="AU2008" s="10" t="b">
        <f>IF(I2008="TP",VLOOKUP(AF2008,TPCalibEqFull!$AZ$2:$BB$56,3),IF(I2008="TDP",VLOOKUP(AF2008,TPCalibEqFull!$AZ$2:$BB$56,3),IF(I2008="TDN",VLOOKUP(AF2008,TNCalibEqFull!$AZ$1:$BB$56,3),IF(I2008="TN",VLOOKUP(AF2008,TNCalibEqFull!$AZ$1:$BB$56,3),FALSE))))</f>
        <v>0</v>
      </c>
      <c r="AV2008" s="10" t="str">
        <f t="shared" si="233"/>
        <v>0203 10:51:00-EFK-0-C-1-SW-UKN</v>
      </c>
    </row>
    <row r="2009" spans="1:48" s="10" customFormat="1" x14ac:dyDescent="0.55000000000000004">
      <c r="A2009" s="32">
        <v>44960</v>
      </c>
      <c r="B2009" s="33">
        <v>0.45416666666666666</v>
      </c>
      <c r="C2009" s="10" t="s">
        <v>333</v>
      </c>
      <c r="D2009" s="10">
        <v>0</v>
      </c>
      <c r="E2009" s="10" t="s">
        <v>190</v>
      </c>
      <c r="F2009" s="10">
        <v>1</v>
      </c>
      <c r="G2009" s="10" t="s">
        <v>231</v>
      </c>
      <c r="H2009" s="10" t="s">
        <v>322</v>
      </c>
      <c r="I2009" s="10" t="s">
        <v>75</v>
      </c>
      <c r="J2009" s="10">
        <v>6</v>
      </c>
      <c r="K2009" s="12">
        <v>44966</v>
      </c>
      <c r="L2009" s="33">
        <v>0.4770138888888889</v>
      </c>
      <c r="M2009" s="10">
        <v>1</v>
      </c>
      <c r="N2009" s="10" t="s">
        <v>76</v>
      </c>
      <c r="O2009" s="10">
        <v>3.4099999999999998E-2</v>
      </c>
      <c r="P2009" s="10">
        <v>3.4199999999999999E-3</v>
      </c>
      <c r="Q2009" s="10">
        <v>1.96</v>
      </c>
      <c r="R2009" s="10" t="s">
        <v>77</v>
      </c>
      <c r="S2009" s="34">
        <f t="shared" si="228"/>
        <v>1.96</v>
      </c>
      <c r="T2009" s="10" t="s">
        <v>1155</v>
      </c>
      <c r="U2009" s="34" t="str">
        <f t="shared" si="231"/>
        <v/>
      </c>
      <c r="V2009" s="31" t="str">
        <f>IF(H2009="CHK",VLOOKUP(I2009,QCCHK,3,),IF(H2009="GUP",VLOOKUP(E2009,QCGUP,2,),IF(AND(H2009="ATP",OR(I2009="TN",I2009="TDN",I2009="TNO2-3",I2009="NO2-3")),VLOOKUP(E2009,QCREC_N,2,),IF(AND(H2009="NIC",OR(I2009="TN",I2009="TDN",I2009="TNO2-3",I2009="NO2-3")),VLOOKUP(E2009,QCNIC_N,2,),IF(AND(H2009="UREA",OR(I2009="TN",I2009="TDN",I2009="TNO2-3",I2009="NO2-3")),VLOOKUP(E2009,QCUREA_N,2,),IF(H2009="PER",VLOOKUP(I2009,QCPER,MATCH(E2009,QCACTUAL!$J$25:$AA$25,0),),IF(H2009="SPK",VLOOKUP(I2009,QCSPK,3,),IF(AND(H2009="ATP",OR(I2009="TP",I2009="TDP")),VLOOKUP(E2009,QCATP_P,2,),""))))))))</f>
        <v/>
      </c>
      <c r="W2009" s="31" t="str">
        <f t="shared" si="232"/>
        <v>TRUE</v>
      </c>
      <c r="X2009" s="31" t="str">
        <f t="shared" si="227"/>
        <v/>
      </c>
      <c r="Y2009" s="10" t="s">
        <v>1144</v>
      </c>
      <c r="Z2009" s="10" t="s">
        <v>910</v>
      </c>
      <c r="AL2009" s="10" t="str">
        <f t="shared" si="229"/>
        <v>FALSE</v>
      </c>
      <c r="AM2009" s="10" t="str">
        <f t="shared" si="229"/>
        <v>FALSE</v>
      </c>
      <c r="AN2009" s="10" t="str">
        <f t="shared" si="229"/>
        <v>FALSE</v>
      </c>
      <c r="AO2009" s="10" t="str">
        <f t="shared" si="230"/>
        <v>FALSE</v>
      </c>
      <c r="AP2009" s="10" t="str">
        <f t="shared" si="230"/>
        <v>FALSE</v>
      </c>
      <c r="AQ2009" s="10" t="b">
        <f>IF(AND(I2009="TP",S2009&lt;=150),VLOOKUP(AF2009,TPCalibEq150!$AZ$2:$BB$55,3,),IF(AND(I2009="TDP",S2009&lt;=150),VLOOKUP(AF2009,TPCalibEq150!$AZ$2:$BB$55,3,)))</f>
        <v>0</v>
      </c>
      <c r="AR2009" s="10" t="b">
        <f>IF(AND(I2009="TP",S2009&lt;=300),VLOOKUP(AF2009,TPCalibEq300!$AZ$2:$BB$55,3,),IF(AND(I2009="TDP",S2009&lt;=300),VLOOKUP(AF2009,TPCalibEq300!$AZ$2:$BB$55,3,)))</f>
        <v>0</v>
      </c>
      <c r="AS2009" s="10" t="b">
        <f>IF(AND(I2009="TP",S2009&lt;=500),VLOOKUP(AF2009,TPCalibEq500!$AZ$2:$BB$56,3,),IF(AND(I2009="TDP",S2009&lt;=500),VLOOKUP(AF2009,TPCalibEq500!$AZ$2:$BB$56,3,)))</f>
        <v>0</v>
      </c>
      <c r="AT2009" s="10" t="b">
        <f>IF(AND(I2009="TN",S2009&lt;=2800),VLOOKUP(AF2009,TNCalibEq2500!$AZ$2:$BB$56,3,),IF(AND(I2009="TDN",S2009&lt;=2800),VLOOKUP(AF2009,TNCalibEq2500!$AZ$2:$BB$56,3,)))</f>
        <v>0</v>
      </c>
      <c r="AU2009" s="10" t="b">
        <f>IF(I2009="TP",VLOOKUP(AF2009,TPCalibEqFull!$AZ$2:$BB$56,3),IF(I2009="TDP",VLOOKUP(AF2009,TPCalibEqFull!$AZ$2:$BB$56,3),IF(I2009="TDN",VLOOKUP(AF2009,TNCalibEqFull!$AZ$1:$BB$56,3),IF(I2009="TN",VLOOKUP(AF2009,TNCalibEqFull!$AZ$1:$BB$56,3),FALSE))))</f>
        <v>0</v>
      </c>
      <c r="AV2009" s="10" t="str">
        <f t="shared" si="233"/>
        <v>0203 10:54:00-HST-0-C-1-SW-UKN</v>
      </c>
    </row>
    <row r="2010" spans="1:48" s="10" customFormat="1" x14ac:dyDescent="0.55000000000000004">
      <c r="A2010" s="32">
        <v>44963</v>
      </c>
      <c r="B2010" s="33">
        <v>0.31666666666666665</v>
      </c>
      <c r="C2010" s="10" t="s">
        <v>279</v>
      </c>
      <c r="D2010" s="10">
        <v>0</v>
      </c>
      <c r="E2010" s="10" t="s">
        <v>190</v>
      </c>
      <c r="F2010" s="10">
        <v>1</v>
      </c>
      <c r="G2010" s="10" t="s">
        <v>231</v>
      </c>
      <c r="H2010" s="10" t="s">
        <v>322</v>
      </c>
      <c r="I2010" s="10" t="s">
        <v>75</v>
      </c>
      <c r="J2010" s="10">
        <v>7</v>
      </c>
      <c r="K2010" s="12">
        <v>44966</v>
      </c>
      <c r="L2010" s="33">
        <v>0.47783564814814811</v>
      </c>
      <c r="M2010" s="10">
        <v>1</v>
      </c>
      <c r="N2010" s="10" t="s">
        <v>76</v>
      </c>
      <c r="O2010" s="10">
        <v>1.28</v>
      </c>
      <c r="P2010" s="10">
        <v>0.104</v>
      </c>
      <c r="Q2010" s="10">
        <v>73.5</v>
      </c>
      <c r="R2010" s="10" t="s">
        <v>77</v>
      </c>
      <c r="S2010" s="34">
        <f t="shared" si="228"/>
        <v>73.5</v>
      </c>
      <c r="T2010" s="10" t="s">
        <v>1155</v>
      </c>
      <c r="U2010" s="34" t="str">
        <f t="shared" si="231"/>
        <v/>
      </c>
      <c r="V2010" s="31" t="str">
        <f>IF(H2010="CHK",VLOOKUP(I2010,QCCHK,3,),IF(H2010="GUP",VLOOKUP(E2010,QCGUP,2,),IF(AND(H2010="ATP",OR(I2010="TN",I2010="TDN",I2010="TNO2-3",I2010="NO2-3")),VLOOKUP(E2010,QCREC_N,2,),IF(AND(H2010="NIC",OR(I2010="TN",I2010="TDN",I2010="TNO2-3",I2010="NO2-3")),VLOOKUP(E2010,QCNIC_N,2,),IF(AND(H2010="UREA",OR(I2010="TN",I2010="TDN",I2010="TNO2-3",I2010="NO2-3")),VLOOKUP(E2010,QCUREA_N,2,),IF(H2010="PER",VLOOKUP(I2010,QCPER,MATCH(E2010,QCACTUAL!$J$25:$AA$25,0),),IF(H2010="SPK",VLOOKUP(I2010,QCSPK,3,),IF(AND(H2010="ATP",OR(I2010="TP",I2010="TDP")),VLOOKUP(E2010,QCATP_P,2,),""))))))))</f>
        <v/>
      </c>
      <c r="W2010" s="31" t="str">
        <f t="shared" si="232"/>
        <v>TRUE</v>
      </c>
      <c r="X2010" s="31" t="str">
        <f t="shared" si="227"/>
        <v/>
      </c>
      <c r="Y2010" s="10" t="s">
        <v>1144</v>
      </c>
      <c r="Z2010" s="10" t="s">
        <v>910</v>
      </c>
      <c r="AL2010" s="10" t="str">
        <f t="shared" si="229"/>
        <v>FALSE</v>
      </c>
      <c r="AM2010" s="10" t="str">
        <f t="shared" si="229"/>
        <v>FALSE</v>
      </c>
      <c r="AN2010" s="10" t="str">
        <f t="shared" si="229"/>
        <v>FALSE</v>
      </c>
      <c r="AO2010" s="10" t="str">
        <f t="shared" si="230"/>
        <v>FALSE</v>
      </c>
      <c r="AP2010" s="10" t="str">
        <f t="shared" si="230"/>
        <v>FALSE</v>
      </c>
      <c r="AQ2010" s="10" t="b">
        <f>IF(AND(I2010="TP",S2010&lt;=150),VLOOKUP(AF2010,TPCalibEq150!$AZ$2:$BB$55,3,),IF(AND(I2010="TDP",S2010&lt;=150),VLOOKUP(AF2010,TPCalibEq150!$AZ$2:$BB$55,3,)))</f>
        <v>0</v>
      </c>
      <c r="AR2010" s="10" t="b">
        <f>IF(AND(I2010="TP",S2010&lt;=300),VLOOKUP(AF2010,TPCalibEq300!$AZ$2:$BB$55,3,),IF(AND(I2010="TDP",S2010&lt;=300),VLOOKUP(AF2010,TPCalibEq300!$AZ$2:$BB$55,3,)))</f>
        <v>0</v>
      </c>
      <c r="AS2010" s="10" t="b">
        <f>IF(AND(I2010="TP",S2010&lt;=500),VLOOKUP(AF2010,TPCalibEq500!$AZ$2:$BB$56,3,),IF(AND(I2010="TDP",S2010&lt;=500),VLOOKUP(AF2010,TPCalibEq500!$AZ$2:$BB$56,3,)))</f>
        <v>0</v>
      </c>
      <c r="AT2010" s="10" t="b">
        <f>IF(AND(I2010="TN",S2010&lt;=2800),VLOOKUP(AF2010,TNCalibEq2500!$AZ$2:$BB$56,3,),IF(AND(I2010="TDN",S2010&lt;=2800),VLOOKUP(AF2010,TNCalibEq2500!$AZ$2:$BB$56,3,)))</f>
        <v>0</v>
      </c>
      <c r="AU2010" s="10" t="b">
        <f>IF(I2010="TP",VLOOKUP(AF2010,TPCalibEqFull!$AZ$2:$BB$56,3),IF(I2010="TDP",VLOOKUP(AF2010,TPCalibEqFull!$AZ$2:$BB$56,3),IF(I2010="TDN",VLOOKUP(AF2010,TNCalibEqFull!$AZ$1:$BB$56,3),IF(I2010="TN",VLOOKUP(AF2010,TNCalibEqFull!$AZ$1:$BB$56,3),FALSE))))</f>
        <v>0</v>
      </c>
      <c r="AV2010" s="10" t="str">
        <f t="shared" si="233"/>
        <v>0206 07:36:00-EFK-0-C-1-SW-UKN</v>
      </c>
    </row>
    <row r="2011" spans="1:48" s="10" customFormat="1" x14ac:dyDescent="0.55000000000000004">
      <c r="A2011" s="32">
        <v>44963</v>
      </c>
      <c r="B2011" s="33">
        <v>0.27986111111111112</v>
      </c>
      <c r="C2011" s="10" t="s">
        <v>333</v>
      </c>
      <c r="D2011" s="10">
        <v>0</v>
      </c>
      <c r="E2011" s="10" t="s">
        <v>190</v>
      </c>
      <c r="F2011" s="10">
        <v>1</v>
      </c>
      <c r="G2011" s="10" t="s">
        <v>231</v>
      </c>
      <c r="H2011" s="10" t="s">
        <v>322</v>
      </c>
      <c r="I2011" s="10" t="s">
        <v>75</v>
      </c>
      <c r="J2011" s="10">
        <v>8</v>
      </c>
      <c r="K2011" s="12">
        <v>44966</v>
      </c>
      <c r="L2011" s="33">
        <v>0.47864583333333338</v>
      </c>
      <c r="M2011" s="10">
        <v>1</v>
      </c>
      <c r="N2011" s="10" t="s">
        <v>76</v>
      </c>
      <c r="O2011" s="10">
        <v>6.08E-2</v>
      </c>
      <c r="P2011" s="10">
        <v>4.3499999999999997E-3</v>
      </c>
      <c r="Q2011" s="10">
        <v>3.5</v>
      </c>
      <c r="R2011" s="10" t="s">
        <v>77</v>
      </c>
      <c r="S2011" s="34">
        <f t="shared" si="228"/>
        <v>3.5</v>
      </c>
      <c r="T2011" s="10" t="s">
        <v>1155</v>
      </c>
      <c r="U2011" s="34" t="str">
        <f t="shared" si="231"/>
        <v/>
      </c>
      <c r="V2011" s="31" t="str">
        <f>IF(H2011="CHK",VLOOKUP(I2011,QCCHK,3,),IF(H2011="GUP",VLOOKUP(E2011,QCGUP,2,),IF(AND(H2011="ATP",OR(I2011="TN",I2011="TDN",I2011="TNO2-3",I2011="NO2-3")),VLOOKUP(E2011,QCREC_N,2,),IF(AND(H2011="NIC",OR(I2011="TN",I2011="TDN",I2011="TNO2-3",I2011="NO2-3")),VLOOKUP(E2011,QCNIC_N,2,),IF(AND(H2011="UREA",OR(I2011="TN",I2011="TDN",I2011="TNO2-3",I2011="NO2-3")),VLOOKUP(E2011,QCUREA_N,2,),IF(H2011="PER",VLOOKUP(I2011,QCPER,MATCH(E2011,QCACTUAL!$J$25:$AA$25,0),),IF(H2011="SPK",VLOOKUP(I2011,QCSPK,3,),IF(AND(H2011="ATP",OR(I2011="TP",I2011="TDP")),VLOOKUP(E2011,QCATP_P,2,),""))))))))</f>
        <v/>
      </c>
      <c r="W2011" s="31" t="str">
        <f t="shared" si="232"/>
        <v>TRUE</v>
      </c>
      <c r="X2011" s="31" t="str">
        <f t="shared" si="227"/>
        <v/>
      </c>
      <c r="Y2011" s="10" t="s">
        <v>1144</v>
      </c>
      <c r="Z2011" s="10" t="s">
        <v>910</v>
      </c>
      <c r="AL2011" s="10" t="str">
        <f t="shared" si="229"/>
        <v>FALSE</v>
      </c>
      <c r="AM2011" s="10" t="str">
        <f t="shared" si="229"/>
        <v>FALSE</v>
      </c>
      <c r="AN2011" s="10" t="str">
        <f t="shared" si="229"/>
        <v>FALSE</v>
      </c>
      <c r="AO2011" s="10" t="str">
        <f t="shared" si="230"/>
        <v>FALSE</v>
      </c>
      <c r="AP2011" s="10" t="str">
        <f t="shared" si="230"/>
        <v>FALSE</v>
      </c>
      <c r="AQ2011" s="10" t="b">
        <f>IF(AND(I2011="TP",S2011&lt;=150),VLOOKUP(AF2011,TPCalibEq150!$AZ$2:$BB$55,3,),IF(AND(I2011="TDP",S2011&lt;=150),VLOOKUP(AF2011,TPCalibEq150!$AZ$2:$BB$55,3,)))</f>
        <v>0</v>
      </c>
      <c r="AR2011" s="10" t="b">
        <f>IF(AND(I2011="TP",S2011&lt;=300),VLOOKUP(AF2011,TPCalibEq300!$AZ$2:$BB$55,3,),IF(AND(I2011="TDP",S2011&lt;=300),VLOOKUP(AF2011,TPCalibEq300!$AZ$2:$BB$55,3,)))</f>
        <v>0</v>
      </c>
      <c r="AS2011" s="10" t="b">
        <f>IF(AND(I2011="TP",S2011&lt;=500),VLOOKUP(AF2011,TPCalibEq500!$AZ$2:$BB$56,3,),IF(AND(I2011="TDP",S2011&lt;=500),VLOOKUP(AF2011,TPCalibEq500!$AZ$2:$BB$56,3,)))</f>
        <v>0</v>
      </c>
      <c r="AT2011" s="10" t="b">
        <f>IF(AND(I2011="TN",S2011&lt;=2800),VLOOKUP(AF2011,TNCalibEq2500!$AZ$2:$BB$56,3,),IF(AND(I2011="TDN",S2011&lt;=2800),VLOOKUP(AF2011,TNCalibEq2500!$AZ$2:$BB$56,3,)))</f>
        <v>0</v>
      </c>
      <c r="AU2011" s="10" t="b">
        <f>IF(I2011="TP",VLOOKUP(AF2011,TPCalibEqFull!$AZ$2:$BB$56,3),IF(I2011="TDP",VLOOKUP(AF2011,TPCalibEqFull!$AZ$2:$BB$56,3),IF(I2011="TDN",VLOOKUP(AF2011,TNCalibEqFull!$AZ$1:$BB$56,3),IF(I2011="TN",VLOOKUP(AF2011,TNCalibEqFull!$AZ$1:$BB$56,3),FALSE))))</f>
        <v>0</v>
      </c>
      <c r="AV2011" s="10" t="str">
        <f t="shared" si="233"/>
        <v>0206 06:43:00-HST-0-C-1-SW-UKN</v>
      </c>
    </row>
    <row r="2012" spans="1:48" s="10" customFormat="1" x14ac:dyDescent="0.55000000000000004">
      <c r="A2012" s="32">
        <v>44964</v>
      </c>
      <c r="B2012" s="33">
        <v>0.22291666666666665</v>
      </c>
      <c r="C2012" s="10" t="s">
        <v>279</v>
      </c>
      <c r="D2012" s="10">
        <v>0</v>
      </c>
      <c r="E2012" s="10" t="s">
        <v>190</v>
      </c>
      <c r="F2012" s="10">
        <v>1</v>
      </c>
      <c r="G2012" s="10" t="s">
        <v>231</v>
      </c>
      <c r="H2012" s="10" t="s">
        <v>322</v>
      </c>
      <c r="I2012" s="10" t="s">
        <v>75</v>
      </c>
      <c r="J2012" s="10">
        <v>9</v>
      </c>
      <c r="K2012" s="12">
        <v>44966</v>
      </c>
      <c r="L2012" s="33">
        <v>0.47945601851851855</v>
      </c>
      <c r="M2012" s="10">
        <v>1</v>
      </c>
      <c r="N2012" s="10" t="s">
        <v>76</v>
      </c>
      <c r="O2012" s="10">
        <v>0.35199999999999998</v>
      </c>
      <c r="P2012" s="10">
        <v>2.76E-2</v>
      </c>
      <c r="Q2012" s="10">
        <v>20.3</v>
      </c>
      <c r="R2012" s="10" t="s">
        <v>77</v>
      </c>
      <c r="S2012" s="34">
        <f t="shared" si="228"/>
        <v>20.3</v>
      </c>
      <c r="T2012" s="10" t="s">
        <v>1155</v>
      </c>
      <c r="U2012" s="34" t="str">
        <f t="shared" si="231"/>
        <v/>
      </c>
      <c r="V2012" s="31" t="str">
        <f>IF(H2012="CHK",VLOOKUP(I2012,QCCHK,3,),IF(H2012="GUP",VLOOKUP(E2012,QCGUP,2,),IF(AND(H2012="ATP",OR(I2012="TN",I2012="TDN",I2012="TNO2-3",I2012="NO2-3")),VLOOKUP(E2012,QCREC_N,2,),IF(AND(H2012="NIC",OR(I2012="TN",I2012="TDN",I2012="TNO2-3",I2012="NO2-3")),VLOOKUP(E2012,QCNIC_N,2,),IF(AND(H2012="UREA",OR(I2012="TN",I2012="TDN",I2012="TNO2-3",I2012="NO2-3")),VLOOKUP(E2012,QCUREA_N,2,),IF(H2012="PER",VLOOKUP(I2012,QCPER,MATCH(E2012,QCACTUAL!$J$25:$AA$25,0),),IF(H2012="SPK",VLOOKUP(I2012,QCSPK,3,),IF(AND(H2012="ATP",OR(I2012="TP",I2012="TDP")),VLOOKUP(E2012,QCATP_P,2,),""))))))))</f>
        <v/>
      </c>
      <c r="W2012" s="31" t="str">
        <f t="shared" si="232"/>
        <v>TRUE</v>
      </c>
      <c r="X2012" s="31" t="str">
        <f t="shared" si="227"/>
        <v/>
      </c>
      <c r="Y2012" s="10" t="s">
        <v>1144</v>
      </c>
      <c r="Z2012" s="10" t="s">
        <v>910</v>
      </c>
      <c r="AL2012" s="10" t="str">
        <f t="shared" si="229"/>
        <v>FALSE</v>
      </c>
      <c r="AM2012" s="10" t="str">
        <f t="shared" si="229"/>
        <v>FALSE</v>
      </c>
      <c r="AN2012" s="10" t="str">
        <f t="shared" si="229"/>
        <v>FALSE</v>
      </c>
      <c r="AO2012" s="10" t="str">
        <f t="shared" si="230"/>
        <v>FALSE</v>
      </c>
      <c r="AP2012" s="10" t="str">
        <f t="shared" si="230"/>
        <v>FALSE</v>
      </c>
      <c r="AQ2012" s="10" t="b">
        <f>IF(AND(I2012="TP",S2012&lt;=150),VLOOKUP(AF2012,TPCalibEq150!$AZ$2:$BB$55,3,),IF(AND(I2012="TDP",S2012&lt;=150),VLOOKUP(AF2012,TPCalibEq150!$AZ$2:$BB$55,3,)))</f>
        <v>0</v>
      </c>
      <c r="AR2012" s="10" t="b">
        <f>IF(AND(I2012="TP",S2012&lt;=300),VLOOKUP(AF2012,TPCalibEq300!$AZ$2:$BB$55,3,),IF(AND(I2012="TDP",S2012&lt;=300),VLOOKUP(AF2012,TPCalibEq300!$AZ$2:$BB$55,3,)))</f>
        <v>0</v>
      </c>
      <c r="AS2012" s="10" t="b">
        <f>IF(AND(I2012="TP",S2012&lt;=500),VLOOKUP(AF2012,TPCalibEq500!$AZ$2:$BB$56,3,),IF(AND(I2012="TDP",S2012&lt;=500),VLOOKUP(AF2012,TPCalibEq500!$AZ$2:$BB$56,3,)))</f>
        <v>0</v>
      </c>
      <c r="AT2012" s="10" t="b">
        <f>IF(AND(I2012="TN",S2012&lt;=2800),VLOOKUP(AF2012,TNCalibEq2500!$AZ$2:$BB$56,3,),IF(AND(I2012="TDN",S2012&lt;=2800),VLOOKUP(AF2012,TNCalibEq2500!$AZ$2:$BB$56,3,)))</f>
        <v>0</v>
      </c>
      <c r="AU2012" s="10" t="b">
        <f>IF(I2012="TP",VLOOKUP(AF2012,TPCalibEqFull!$AZ$2:$BB$56,3),IF(I2012="TDP",VLOOKUP(AF2012,TPCalibEqFull!$AZ$2:$BB$56,3),IF(I2012="TDN",VLOOKUP(AF2012,TNCalibEqFull!$AZ$1:$BB$56,3),IF(I2012="TN",VLOOKUP(AF2012,TNCalibEqFull!$AZ$1:$BB$56,3),FALSE))))</f>
        <v>0</v>
      </c>
      <c r="AV2012" s="10" t="str">
        <f t="shared" si="233"/>
        <v>0207 05:21:00-EFK-0-C-1-SW-UKN</v>
      </c>
    </row>
    <row r="2013" spans="1:48" s="10" customFormat="1" x14ac:dyDescent="0.55000000000000004">
      <c r="A2013" s="32">
        <v>44964</v>
      </c>
      <c r="B2013" s="33">
        <v>0.22777777777777777</v>
      </c>
      <c r="C2013" s="10" t="s">
        <v>333</v>
      </c>
      <c r="D2013" s="10">
        <v>0</v>
      </c>
      <c r="E2013" s="10" t="s">
        <v>190</v>
      </c>
      <c r="F2013" s="10">
        <v>1</v>
      </c>
      <c r="G2013" s="10" t="s">
        <v>231</v>
      </c>
      <c r="H2013" s="10" t="s">
        <v>322</v>
      </c>
      <c r="I2013" s="10" t="s">
        <v>75</v>
      </c>
      <c r="J2013" s="10">
        <v>10</v>
      </c>
      <c r="K2013" s="12">
        <v>44966</v>
      </c>
      <c r="L2013" s="33">
        <v>0.4802777777777778</v>
      </c>
      <c r="M2013" s="10">
        <v>1</v>
      </c>
      <c r="N2013" s="10" t="s">
        <v>76</v>
      </c>
      <c r="O2013" s="10">
        <v>4.2599999999999999E-2</v>
      </c>
      <c r="P2013" s="10">
        <v>2.7799999999999999E-3</v>
      </c>
      <c r="Q2013" s="10">
        <v>2.4500000000000002</v>
      </c>
      <c r="R2013" s="10" t="s">
        <v>77</v>
      </c>
      <c r="S2013" s="34">
        <f t="shared" si="228"/>
        <v>2.4500000000000002</v>
      </c>
      <c r="T2013" s="10" t="s">
        <v>1155</v>
      </c>
      <c r="U2013" s="34" t="str">
        <f t="shared" si="231"/>
        <v/>
      </c>
      <c r="V2013" s="31" t="str">
        <f>IF(H2013="CHK",VLOOKUP(I2013,QCCHK,3,),IF(H2013="GUP",VLOOKUP(E2013,QCGUP,2,),IF(AND(H2013="ATP",OR(I2013="TN",I2013="TDN",I2013="TNO2-3",I2013="NO2-3")),VLOOKUP(E2013,QCREC_N,2,),IF(AND(H2013="NIC",OR(I2013="TN",I2013="TDN",I2013="TNO2-3",I2013="NO2-3")),VLOOKUP(E2013,QCNIC_N,2,),IF(AND(H2013="UREA",OR(I2013="TN",I2013="TDN",I2013="TNO2-3",I2013="NO2-3")),VLOOKUP(E2013,QCUREA_N,2,),IF(H2013="PER",VLOOKUP(I2013,QCPER,MATCH(E2013,QCACTUAL!$J$25:$AA$25,0),),IF(H2013="SPK",VLOOKUP(I2013,QCSPK,3,),IF(AND(H2013="ATP",OR(I2013="TP",I2013="TDP")),VLOOKUP(E2013,QCATP_P,2,),""))))))))</f>
        <v/>
      </c>
      <c r="W2013" s="31" t="str">
        <f t="shared" si="232"/>
        <v>TRUE</v>
      </c>
      <c r="X2013" s="31" t="str">
        <f t="shared" si="227"/>
        <v/>
      </c>
      <c r="Y2013" s="10" t="s">
        <v>1144</v>
      </c>
      <c r="Z2013" s="10" t="s">
        <v>910</v>
      </c>
      <c r="AL2013" s="10" t="str">
        <f t="shared" si="229"/>
        <v>FALSE</v>
      </c>
      <c r="AM2013" s="10" t="str">
        <f t="shared" si="229"/>
        <v>FALSE</v>
      </c>
      <c r="AN2013" s="10" t="str">
        <f t="shared" si="229"/>
        <v>FALSE</v>
      </c>
      <c r="AO2013" s="10" t="str">
        <f t="shared" si="230"/>
        <v>FALSE</v>
      </c>
      <c r="AP2013" s="10" t="str">
        <f t="shared" si="230"/>
        <v>FALSE</v>
      </c>
      <c r="AQ2013" s="10" t="b">
        <f>IF(AND(I2013="TP",S2013&lt;=150),VLOOKUP(AF2013,TPCalibEq150!$AZ$2:$BB$55,3,),IF(AND(I2013="TDP",S2013&lt;=150),VLOOKUP(AF2013,TPCalibEq150!$AZ$2:$BB$55,3,)))</f>
        <v>0</v>
      </c>
      <c r="AR2013" s="10" t="b">
        <f>IF(AND(I2013="TP",S2013&lt;=300),VLOOKUP(AF2013,TPCalibEq300!$AZ$2:$BB$55,3,),IF(AND(I2013="TDP",S2013&lt;=300),VLOOKUP(AF2013,TPCalibEq300!$AZ$2:$BB$55,3,)))</f>
        <v>0</v>
      </c>
      <c r="AS2013" s="10" t="b">
        <f>IF(AND(I2013="TP",S2013&lt;=500),VLOOKUP(AF2013,TPCalibEq500!$AZ$2:$BB$56,3,),IF(AND(I2013="TDP",S2013&lt;=500),VLOOKUP(AF2013,TPCalibEq500!$AZ$2:$BB$56,3,)))</f>
        <v>0</v>
      </c>
      <c r="AT2013" s="10" t="b">
        <f>IF(AND(I2013="TN",S2013&lt;=2800),VLOOKUP(AF2013,TNCalibEq2500!$AZ$2:$BB$56,3,),IF(AND(I2013="TDN",S2013&lt;=2800),VLOOKUP(AF2013,TNCalibEq2500!$AZ$2:$BB$56,3,)))</f>
        <v>0</v>
      </c>
      <c r="AU2013" s="10" t="b">
        <f>IF(I2013="TP",VLOOKUP(AF2013,TPCalibEqFull!$AZ$2:$BB$56,3),IF(I2013="TDP",VLOOKUP(AF2013,TPCalibEqFull!$AZ$2:$BB$56,3),IF(I2013="TDN",VLOOKUP(AF2013,TNCalibEqFull!$AZ$1:$BB$56,3),IF(I2013="TN",VLOOKUP(AF2013,TNCalibEqFull!$AZ$1:$BB$56,3),FALSE))))</f>
        <v>0</v>
      </c>
      <c r="AV2013" s="10" t="str">
        <f t="shared" si="233"/>
        <v>0207 05:28:00-HST-0-C-1-SW-UKN</v>
      </c>
    </row>
    <row r="2014" spans="1:48" s="10" customFormat="1" x14ac:dyDescent="0.55000000000000004">
      <c r="A2014" s="32">
        <v>44964</v>
      </c>
      <c r="B2014" s="33">
        <v>0.22777777777777777</v>
      </c>
      <c r="C2014" s="10" t="s">
        <v>333</v>
      </c>
      <c r="D2014" s="10">
        <v>0</v>
      </c>
      <c r="E2014" s="10" t="s">
        <v>190</v>
      </c>
      <c r="F2014" s="10">
        <v>1</v>
      </c>
      <c r="G2014" s="10" t="s">
        <v>231</v>
      </c>
      <c r="H2014" s="10" t="s">
        <v>233</v>
      </c>
      <c r="I2014" s="10" t="s">
        <v>75</v>
      </c>
      <c r="J2014" s="10">
        <v>10</v>
      </c>
      <c r="K2014" s="12">
        <v>44966</v>
      </c>
      <c r="L2014" s="33">
        <v>0.48108796296296297</v>
      </c>
      <c r="M2014" s="10">
        <v>1</v>
      </c>
      <c r="N2014" s="10" t="s">
        <v>76</v>
      </c>
      <c r="O2014" s="10">
        <v>4.9099999999999998E-2</v>
      </c>
      <c r="P2014" s="10">
        <v>3.0599999999999998E-3</v>
      </c>
      <c r="Q2014" s="10">
        <v>2.82</v>
      </c>
      <c r="R2014" s="10" t="s">
        <v>77</v>
      </c>
      <c r="S2014" s="34">
        <f t="shared" si="228"/>
        <v>2.82</v>
      </c>
      <c r="T2014" s="10" t="s">
        <v>1155</v>
      </c>
      <c r="U2014" s="34">
        <f t="shared" si="231"/>
        <v>14.041745730550273</v>
      </c>
      <c r="V2014" s="31" t="str">
        <f>IF(H2014="CHK",VLOOKUP(I2014,QCCHK,3,),IF(H2014="GUP",VLOOKUP(E2014,QCGUP,2,),IF(AND(H2014="ATP",OR(I2014="TN",I2014="TDN",I2014="TNO2-3",I2014="NO2-3")),VLOOKUP(E2014,QCREC_N,2,),IF(AND(H2014="NIC",OR(I2014="TN",I2014="TDN",I2014="TNO2-3",I2014="NO2-3")),VLOOKUP(E2014,QCNIC_N,2,),IF(AND(H2014="UREA",OR(I2014="TN",I2014="TDN",I2014="TNO2-3",I2014="NO2-3")),VLOOKUP(E2014,QCUREA_N,2,),IF(H2014="PER",VLOOKUP(I2014,QCPER,MATCH(E2014,QCACTUAL!$J$25:$AA$25,0),),IF(H2014="SPK",VLOOKUP(I2014,QCSPK,3,),IF(AND(H2014="ATP",OR(I2014="TP",I2014="TDP")),VLOOKUP(E2014,QCATP_P,2,),""))))))))</f>
        <v/>
      </c>
      <c r="W2014" s="31" t="str">
        <f t="shared" si="232"/>
        <v>TRUE</v>
      </c>
      <c r="X2014" s="31" t="str">
        <f t="shared" si="227"/>
        <v>((ABS(rep1-rep2))/((rep1+rep2)/2)*100</v>
      </c>
      <c r="Y2014" s="10" t="s">
        <v>1144</v>
      </c>
      <c r="Z2014" s="10" t="s">
        <v>910</v>
      </c>
      <c r="AL2014" s="10" t="str">
        <f t="shared" si="229"/>
        <v>FALSE</v>
      </c>
      <c r="AM2014" s="10" t="str">
        <f t="shared" si="229"/>
        <v>FALSE</v>
      </c>
      <c r="AN2014" s="10" t="str">
        <f t="shared" si="229"/>
        <v>FALSE</v>
      </c>
      <c r="AO2014" s="10" t="str">
        <f t="shared" si="230"/>
        <v>FALSE</v>
      </c>
      <c r="AP2014" s="10" t="str">
        <f t="shared" si="230"/>
        <v>FALSE</v>
      </c>
      <c r="AQ2014" s="10" t="b">
        <f>IF(AND(I2014="TP",S2014&lt;=150),VLOOKUP(AF2014,TPCalibEq150!$AZ$2:$BB$55,3,),IF(AND(I2014="TDP",S2014&lt;=150),VLOOKUP(AF2014,TPCalibEq150!$AZ$2:$BB$55,3,)))</f>
        <v>0</v>
      </c>
      <c r="AR2014" s="10" t="b">
        <f>IF(AND(I2014="TP",S2014&lt;=300),VLOOKUP(AF2014,TPCalibEq300!$AZ$2:$BB$55,3,),IF(AND(I2014="TDP",S2014&lt;=300),VLOOKUP(AF2014,TPCalibEq300!$AZ$2:$BB$55,3,)))</f>
        <v>0</v>
      </c>
      <c r="AS2014" s="10" t="b">
        <f>IF(AND(I2014="TP",S2014&lt;=500),VLOOKUP(AF2014,TPCalibEq500!$AZ$2:$BB$56,3,),IF(AND(I2014="TDP",S2014&lt;=500),VLOOKUP(AF2014,TPCalibEq500!$AZ$2:$BB$56,3,)))</f>
        <v>0</v>
      </c>
      <c r="AT2014" s="10" t="b">
        <f>IF(AND(I2014="TN",S2014&lt;=2800),VLOOKUP(AF2014,TNCalibEq2500!$AZ$2:$BB$56,3,),IF(AND(I2014="TDN",S2014&lt;=2800),VLOOKUP(AF2014,TNCalibEq2500!$AZ$2:$BB$56,3,)))</f>
        <v>0</v>
      </c>
      <c r="AU2014" s="10" t="b">
        <f>IF(I2014="TP",VLOOKUP(AF2014,TPCalibEqFull!$AZ$2:$BB$56,3),IF(I2014="TDP",VLOOKUP(AF2014,TPCalibEqFull!$AZ$2:$BB$56,3),IF(I2014="TDN",VLOOKUP(AF2014,TNCalibEqFull!$AZ$1:$BB$56,3),IF(I2014="TN",VLOOKUP(AF2014,TNCalibEqFull!$AZ$1:$BB$56,3),FALSE))))</f>
        <v>0</v>
      </c>
      <c r="AV2014" s="10" t="str">
        <f t="shared" si="233"/>
        <v>0207 05:28:00-HST-0-C-1-SW-DUP</v>
      </c>
    </row>
    <row r="2015" spans="1:48" s="10" customFormat="1" x14ac:dyDescent="0.55000000000000004">
      <c r="A2015" s="32">
        <v>44964</v>
      </c>
      <c r="B2015" s="33">
        <v>0.22777777777777777</v>
      </c>
      <c r="C2015" s="10" t="s">
        <v>912</v>
      </c>
      <c r="D2015" s="10">
        <v>0</v>
      </c>
      <c r="E2015" s="10" t="s">
        <v>190</v>
      </c>
      <c r="F2015" s="10">
        <v>1</v>
      </c>
      <c r="G2015" s="10" t="s">
        <v>231</v>
      </c>
      <c r="H2015" s="10" t="s">
        <v>314</v>
      </c>
      <c r="I2015" s="10" t="s">
        <v>75</v>
      </c>
      <c r="J2015" s="10">
        <v>119</v>
      </c>
      <c r="K2015" s="12">
        <v>44966</v>
      </c>
      <c r="L2015" s="33">
        <v>0.48189814814814813</v>
      </c>
      <c r="M2015" s="10">
        <v>1</v>
      </c>
      <c r="N2015" s="10" t="s">
        <v>76</v>
      </c>
      <c r="O2015" s="10">
        <v>9.14</v>
      </c>
      <c r="P2015" s="10">
        <v>0.73499999999999999</v>
      </c>
      <c r="Q2015" s="10">
        <v>525</v>
      </c>
      <c r="R2015" s="10" t="s">
        <v>77</v>
      </c>
      <c r="S2015" s="34">
        <f t="shared" si="228"/>
        <v>525</v>
      </c>
      <c r="T2015" s="10" t="s">
        <v>1155</v>
      </c>
      <c r="U2015" s="34">
        <f t="shared" si="231"/>
        <v>83.548799999999986</v>
      </c>
      <c r="V2015" s="31">
        <f>IF(H2015="CHK",VLOOKUP(I2015,QCCHK,3,),IF(H2015="GUP",VLOOKUP(E2015,QCGUP,2,),IF(AND(H2015="ATP",OR(I2015="TN",I2015="TDN",I2015="TNO2-3",I2015="NO2-3")),VLOOKUP(E2015,QCREC_N,2,),IF(AND(H2015="NIC",OR(I2015="TN",I2015="TDN",I2015="TNO2-3",I2015="NO2-3")),VLOOKUP(E2015,QCNIC_N,2,),IF(AND(H2015="UREA",OR(I2015="TN",I2015="TDN",I2015="TNO2-3",I2015="NO2-3")),VLOOKUP(E2015,QCUREA_N,2,),IF(H2015="PER",VLOOKUP(I2015,QCPER,MATCH(E2015,QCACTUAL!$J$25:$AA$25,0),),IF(H2015="SPK",VLOOKUP(I2015,QCSPK,3,),IF(AND(H2015="ATP",OR(I2015="TP",I2015="TDP")),VLOOKUP(E2015,QCATP_P,2,),""))))))))</f>
        <v>625</v>
      </c>
      <c r="W2015" s="31" t="str">
        <f t="shared" si="232"/>
        <v>TRUE</v>
      </c>
      <c r="X2015" s="31" t="str">
        <f t="shared" si="227"/>
        <v>([spikedunkn]-[unkn])/[spike]*100</v>
      </c>
      <c r="Y2015" s="10" t="s">
        <v>1144</v>
      </c>
      <c r="Z2015" s="10" t="s">
        <v>910</v>
      </c>
      <c r="AL2015" s="10" t="str">
        <f t="shared" si="229"/>
        <v>FALSE</v>
      </c>
      <c r="AM2015" s="10" t="str">
        <f t="shared" si="229"/>
        <v>FALSE</v>
      </c>
      <c r="AN2015" s="10" t="str">
        <f t="shared" si="229"/>
        <v>FALSE</v>
      </c>
      <c r="AO2015" s="10" t="str">
        <f t="shared" si="230"/>
        <v>FALSE</v>
      </c>
      <c r="AP2015" s="10" t="str">
        <f t="shared" si="230"/>
        <v>FALSE</v>
      </c>
      <c r="AQ2015" s="10" t="b">
        <f>IF(AND(I2015="TP",S2015&lt;=150),VLOOKUP(AF2015,TPCalibEq150!$AZ$2:$BB$55,3,),IF(AND(I2015="TDP",S2015&lt;=150),VLOOKUP(AF2015,TPCalibEq150!$AZ$2:$BB$55,3,)))</f>
        <v>0</v>
      </c>
      <c r="AR2015" s="10" t="b">
        <f>IF(AND(I2015="TP",S2015&lt;=300),VLOOKUP(AF2015,TPCalibEq300!$AZ$2:$BB$55,3,),IF(AND(I2015="TDP",S2015&lt;=300),VLOOKUP(AF2015,TPCalibEq300!$AZ$2:$BB$55,3,)))</f>
        <v>0</v>
      </c>
      <c r="AS2015" s="10" t="b">
        <f>IF(AND(I2015="TP",S2015&lt;=500),VLOOKUP(AF2015,TPCalibEq500!$AZ$2:$BB$56,3,),IF(AND(I2015="TDP",S2015&lt;=500),VLOOKUP(AF2015,TPCalibEq500!$AZ$2:$BB$56,3,)))</f>
        <v>0</v>
      </c>
      <c r="AT2015" s="10" t="b">
        <f>IF(AND(I2015="TN",S2015&lt;=2800),VLOOKUP(AF2015,TNCalibEq2500!$AZ$2:$BB$56,3,),IF(AND(I2015="TDN",S2015&lt;=2800),VLOOKUP(AF2015,TNCalibEq2500!$AZ$2:$BB$56,3,)))</f>
        <v>0</v>
      </c>
      <c r="AU2015" s="10" t="b">
        <f>IF(I2015="TP",VLOOKUP(AF2015,TPCalibEqFull!$AZ$2:$BB$56,3),IF(I2015="TDP",VLOOKUP(AF2015,TPCalibEqFull!$AZ$2:$BB$56,3),IF(I2015="TDN",VLOOKUP(AF2015,TNCalibEqFull!$AZ$1:$BB$56,3),IF(I2015="TN",VLOOKUP(AF2015,TNCalibEqFull!$AZ$1:$BB$56,3),FALSE))))</f>
        <v>0</v>
      </c>
      <c r="AV2015" s="10" t="str">
        <f t="shared" si="233"/>
        <v>0207 05:28:00-HST -0-C-1-SW-SPK</v>
      </c>
    </row>
    <row r="2016" spans="1:48" s="10" customFormat="1" x14ac:dyDescent="0.55000000000000004">
      <c r="A2016" s="32">
        <v>44966</v>
      </c>
      <c r="B2016" s="33">
        <v>0.375</v>
      </c>
      <c r="C2016" s="10" t="s">
        <v>70</v>
      </c>
      <c r="D2016" s="10" t="s">
        <v>71</v>
      </c>
      <c r="E2016" s="10" t="s">
        <v>901</v>
      </c>
      <c r="F2016" s="10">
        <v>1</v>
      </c>
      <c r="G2016" s="10" t="s">
        <v>73</v>
      </c>
      <c r="H2016" s="10" t="s">
        <v>207</v>
      </c>
      <c r="I2016" s="10" t="s">
        <v>75</v>
      </c>
      <c r="J2016" s="10">
        <v>199</v>
      </c>
      <c r="K2016" s="12">
        <v>44966</v>
      </c>
      <c r="L2016" s="33">
        <v>0.48271990740740739</v>
      </c>
      <c r="M2016" s="10">
        <v>1</v>
      </c>
      <c r="N2016" s="10" t="s">
        <v>76</v>
      </c>
      <c r="O2016" s="10">
        <v>4.76</v>
      </c>
      <c r="P2016" s="10">
        <v>0.38</v>
      </c>
      <c r="Q2016" s="10">
        <v>274</v>
      </c>
      <c r="R2016" s="10" t="s">
        <v>77</v>
      </c>
      <c r="S2016" s="34">
        <f t="shared" si="228"/>
        <v>274</v>
      </c>
      <c r="T2016" s="10" t="s">
        <v>1155</v>
      </c>
      <c r="U2016" s="34">
        <f t="shared" si="231"/>
        <v>91.333333333333329</v>
      </c>
      <c r="V2016" s="31">
        <f>IF(H2016="CHK",VLOOKUP(I2016,QCCHK,3,),IF(H2016="GUP",VLOOKUP(E2016,QCGUP,2,),IF(AND(H2016="ATP",OR(I2016="TN",I2016="TDN",I2016="TNO2-3",I2016="NO2-3")),VLOOKUP(E2016,QCREC_N,2,),IF(AND(H2016="NIC",OR(I2016="TN",I2016="TDN",I2016="TNO2-3",I2016="NO2-3")),VLOOKUP(E2016,QCNIC_N,2,),IF(AND(H2016="UREA",OR(I2016="TN",I2016="TDN",I2016="TNO2-3",I2016="NO2-3")),VLOOKUP(E2016,QCUREA_N,2,),IF(H2016="PER",VLOOKUP(I2016,QCPER,MATCH(E2016,QCACTUAL!$J$25:$AA$25,0),),IF(H2016="SPK",VLOOKUP(I2016,QCSPK,3,),IF(AND(H2016="ATP",OR(I2016="TP",I2016="TDP")),VLOOKUP(E2016,QCATP_P,2,),""))))))))</f>
        <v>300</v>
      </c>
      <c r="W2016" s="31" t="str">
        <f t="shared" si="232"/>
        <v>TRUE</v>
      </c>
      <c r="X2016" s="31" t="str">
        <f t="shared" si="227"/>
        <v>[chk]/[actual]*100</v>
      </c>
      <c r="Y2016" s="10" t="s">
        <v>1144</v>
      </c>
      <c r="AL2016" s="10" t="str">
        <f t="shared" si="229"/>
        <v>FALSE</v>
      </c>
      <c r="AM2016" s="10" t="str">
        <f t="shared" si="229"/>
        <v>FALSE</v>
      </c>
      <c r="AN2016" s="10" t="str">
        <f t="shared" si="229"/>
        <v>FALSE</v>
      </c>
      <c r="AO2016" s="10" t="str">
        <f t="shared" si="230"/>
        <v>FALSE</v>
      </c>
      <c r="AP2016" s="10" t="str">
        <f t="shared" si="230"/>
        <v>FALSE</v>
      </c>
      <c r="AQ2016" s="10" t="b">
        <f>IF(AND(I2016="TP",S2016&lt;=150),VLOOKUP(AF2016,TPCalibEq150!$AZ$2:$BB$55,3,),IF(AND(I2016="TDP",S2016&lt;=150),VLOOKUP(AF2016,TPCalibEq150!$AZ$2:$BB$55,3,)))</f>
        <v>0</v>
      </c>
      <c r="AR2016" s="10" t="b">
        <f>IF(AND(I2016="TP",S2016&lt;=300),VLOOKUP(AF2016,TPCalibEq300!$AZ$2:$BB$55,3,),IF(AND(I2016="TDP",S2016&lt;=300),VLOOKUP(AF2016,TPCalibEq300!$AZ$2:$BB$55,3,)))</f>
        <v>0</v>
      </c>
      <c r="AS2016" s="10" t="b">
        <f>IF(AND(I2016="TP",S2016&lt;=500),VLOOKUP(AF2016,TPCalibEq500!$AZ$2:$BB$56,3,),IF(AND(I2016="TDP",S2016&lt;=500),VLOOKUP(AF2016,TPCalibEq500!$AZ$2:$BB$56,3,)))</f>
        <v>0</v>
      </c>
      <c r="AT2016" s="10" t="b">
        <f>IF(AND(I2016="TN",S2016&lt;=2800),VLOOKUP(AF2016,TNCalibEq2500!$AZ$2:$BB$56,3,),IF(AND(I2016="TDN",S2016&lt;=2800),VLOOKUP(AF2016,TNCalibEq2500!$AZ$2:$BB$56,3,)))</f>
        <v>0</v>
      </c>
      <c r="AU2016" s="10" t="b">
        <f>IF(I2016="TP",VLOOKUP(AF2016,TPCalibEqFull!$AZ$2:$BB$56,3),IF(I2016="TDP",VLOOKUP(AF2016,TPCalibEqFull!$AZ$2:$BB$56,3),IF(I2016="TDN",VLOOKUP(AF2016,TNCalibEqFull!$AZ$1:$BB$56,3),IF(I2016="TN",VLOOKUP(AF2016,TNCalibEqFull!$AZ$1:$BB$56,3),FALSE))))</f>
        <v>0</v>
      </c>
      <c r="AV2016" s="10" t="str">
        <f t="shared" si="233"/>
        <v>0209 09:00:00-QAC-STD-D-1-DI-CHK</v>
      </c>
    </row>
    <row r="2017" spans="1:48" s="10" customFormat="1" x14ac:dyDescent="0.55000000000000004">
      <c r="A2017" s="32">
        <v>44963</v>
      </c>
      <c r="B2017" s="33">
        <v>0.33749999999999997</v>
      </c>
      <c r="C2017" s="10" t="s">
        <v>998</v>
      </c>
      <c r="D2017" s="10">
        <v>0</v>
      </c>
      <c r="E2017" s="10" t="s">
        <v>190</v>
      </c>
      <c r="F2017" s="10">
        <v>1</v>
      </c>
      <c r="G2017" s="10" t="s">
        <v>231</v>
      </c>
      <c r="H2017" s="10" t="s">
        <v>322</v>
      </c>
      <c r="I2017" s="10" t="s">
        <v>75</v>
      </c>
      <c r="J2017" s="10">
        <v>11</v>
      </c>
      <c r="K2017" s="12">
        <v>44966</v>
      </c>
      <c r="L2017" s="33">
        <v>0.48353009259259255</v>
      </c>
      <c r="M2017" s="10">
        <v>1</v>
      </c>
      <c r="N2017" s="10" t="s">
        <v>76</v>
      </c>
      <c r="O2017" s="10">
        <v>1.29</v>
      </c>
      <c r="P2017" s="10">
        <v>0.105</v>
      </c>
      <c r="Q2017" s="10">
        <v>74.3</v>
      </c>
      <c r="R2017" s="10" t="s">
        <v>77</v>
      </c>
      <c r="S2017" s="34">
        <f t="shared" si="228"/>
        <v>74.3</v>
      </c>
      <c r="T2017" s="10" t="s">
        <v>1155</v>
      </c>
      <c r="U2017" s="34" t="str">
        <f t="shared" si="231"/>
        <v/>
      </c>
      <c r="V2017" s="31" t="str">
        <f>IF(H2017="CHK",VLOOKUP(I2017,QCCHK,3,),IF(H2017="GUP",VLOOKUP(E2017,QCGUP,2,),IF(AND(H2017="ATP",OR(I2017="TN",I2017="TDN",I2017="TNO2-3",I2017="NO2-3")),VLOOKUP(E2017,QCREC_N,2,),IF(AND(H2017="NIC",OR(I2017="TN",I2017="TDN",I2017="TNO2-3",I2017="NO2-3")),VLOOKUP(E2017,QCNIC_N,2,),IF(AND(H2017="UREA",OR(I2017="TN",I2017="TDN",I2017="TNO2-3",I2017="NO2-3")),VLOOKUP(E2017,QCUREA_N,2,),IF(H2017="PER",VLOOKUP(I2017,QCPER,MATCH(E2017,QCACTUAL!$J$25:$AA$25,0),),IF(H2017="SPK",VLOOKUP(I2017,QCSPK,3,),IF(AND(H2017="ATP",OR(I2017="TP",I2017="TDP")),VLOOKUP(E2017,QCATP_P,2,),""))))))))</f>
        <v/>
      </c>
      <c r="W2017" s="31" t="str">
        <f t="shared" si="232"/>
        <v>TRUE</v>
      </c>
      <c r="X2017" s="31" t="str">
        <f t="shared" si="227"/>
        <v/>
      </c>
      <c r="Y2017" s="10" t="s">
        <v>1144</v>
      </c>
      <c r="Z2017" s="10" t="s">
        <v>910</v>
      </c>
      <c r="AL2017" s="10" t="str">
        <f t="shared" si="229"/>
        <v>FALSE</v>
      </c>
      <c r="AM2017" s="10" t="str">
        <f t="shared" si="229"/>
        <v>FALSE</v>
      </c>
      <c r="AN2017" s="10" t="str">
        <f t="shared" si="229"/>
        <v>FALSE</v>
      </c>
      <c r="AO2017" s="10" t="str">
        <f t="shared" si="230"/>
        <v>FALSE</v>
      </c>
      <c r="AP2017" s="10" t="str">
        <f t="shared" si="230"/>
        <v>FALSE</v>
      </c>
      <c r="AQ2017" s="10" t="b">
        <f>IF(AND(I2017="TP",S2017&lt;=150),VLOOKUP(AF2017,TPCalibEq150!$AZ$2:$BB$55,3,),IF(AND(I2017="TDP",S2017&lt;=150),VLOOKUP(AF2017,TPCalibEq150!$AZ$2:$BB$55,3,)))</f>
        <v>0</v>
      </c>
      <c r="AR2017" s="10" t="b">
        <f>IF(AND(I2017="TP",S2017&lt;=300),VLOOKUP(AF2017,TPCalibEq300!$AZ$2:$BB$55,3,),IF(AND(I2017="TDP",S2017&lt;=300),VLOOKUP(AF2017,TPCalibEq300!$AZ$2:$BB$55,3,)))</f>
        <v>0</v>
      </c>
      <c r="AS2017" s="10" t="b">
        <f>IF(AND(I2017="TP",S2017&lt;=500),VLOOKUP(AF2017,TPCalibEq500!$AZ$2:$BB$56,3,),IF(AND(I2017="TDP",S2017&lt;=500),VLOOKUP(AF2017,TPCalibEq500!$AZ$2:$BB$56,3,)))</f>
        <v>0</v>
      </c>
      <c r="AT2017" s="10" t="b">
        <f>IF(AND(I2017="TN",S2017&lt;=2800),VLOOKUP(AF2017,TNCalibEq2500!$AZ$2:$BB$56,3,),IF(AND(I2017="TDN",S2017&lt;=2800),VLOOKUP(AF2017,TNCalibEq2500!$AZ$2:$BB$56,3,)))</f>
        <v>0</v>
      </c>
      <c r="AU2017" s="10" t="b">
        <f>IF(I2017="TP",VLOOKUP(AF2017,TPCalibEqFull!$AZ$2:$BB$56,3),IF(I2017="TDP",VLOOKUP(AF2017,TPCalibEqFull!$AZ$2:$BB$56,3),IF(I2017="TDN",VLOOKUP(AF2017,TNCalibEqFull!$AZ$1:$BB$56,3),IF(I2017="TN",VLOOKUP(AF2017,TNCalibEqFull!$AZ$1:$BB$56,3),FALSE))))</f>
        <v>0</v>
      </c>
      <c r="AV2017" s="10" t="str">
        <f t="shared" si="233"/>
        <v>0206 08:06:00-ELW-0-C-1-SW-UKN</v>
      </c>
    </row>
    <row r="2018" spans="1:48" s="10" customFormat="1" x14ac:dyDescent="0.55000000000000004">
      <c r="A2018" s="32">
        <v>44963</v>
      </c>
      <c r="B2018" s="33">
        <v>0.34930555555555554</v>
      </c>
      <c r="C2018" s="10" t="s">
        <v>260</v>
      </c>
      <c r="D2018" s="10">
        <v>0</v>
      </c>
      <c r="E2018" s="10" t="s">
        <v>190</v>
      </c>
      <c r="F2018" s="10">
        <v>1</v>
      </c>
      <c r="G2018" s="10" t="s">
        <v>231</v>
      </c>
      <c r="H2018" s="10" t="s">
        <v>322</v>
      </c>
      <c r="I2018" s="10" t="s">
        <v>75</v>
      </c>
      <c r="J2018" s="10">
        <v>12</v>
      </c>
      <c r="K2018" s="12">
        <v>44966</v>
      </c>
      <c r="L2018" s="33">
        <v>0.48434027777777783</v>
      </c>
      <c r="M2018" s="10">
        <v>1</v>
      </c>
      <c r="N2018" s="10" t="s">
        <v>76</v>
      </c>
      <c r="O2018" s="10">
        <v>0.76</v>
      </c>
      <c r="P2018" s="10">
        <v>6.1400000000000003E-2</v>
      </c>
      <c r="Q2018" s="10">
        <v>43.7</v>
      </c>
      <c r="R2018" s="10" t="s">
        <v>77</v>
      </c>
      <c r="S2018" s="34">
        <f t="shared" si="228"/>
        <v>43.7</v>
      </c>
      <c r="T2018" s="10" t="s">
        <v>1155</v>
      </c>
      <c r="U2018" s="34" t="str">
        <f t="shared" si="231"/>
        <v/>
      </c>
      <c r="V2018" s="31" t="str">
        <f>IF(H2018="CHK",VLOOKUP(I2018,QCCHK,3,),IF(H2018="GUP",VLOOKUP(E2018,QCGUP,2,),IF(AND(H2018="ATP",OR(I2018="TN",I2018="TDN",I2018="TNO2-3",I2018="NO2-3")),VLOOKUP(E2018,QCREC_N,2,),IF(AND(H2018="NIC",OR(I2018="TN",I2018="TDN",I2018="TNO2-3",I2018="NO2-3")),VLOOKUP(E2018,QCNIC_N,2,),IF(AND(H2018="UREA",OR(I2018="TN",I2018="TDN",I2018="TNO2-3",I2018="NO2-3")),VLOOKUP(E2018,QCUREA_N,2,),IF(H2018="PER",VLOOKUP(I2018,QCPER,MATCH(E2018,QCACTUAL!$J$25:$AA$25,0),),IF(H2018="SPK",VLOOKUP(I2018,QCSPK,3,),IF(AND(H2018="ATP",OR(I2018="TP",I2018="TDP")),VLOOKUP(E2018,QCATP_P,2,),""))))))))</f>
        <v/>
      </c>
      <c r="W2018" s="31" t="str">
        <f t="shared" si="232"/>
        <v>TRUE</v>
      </c>
      <c r="X2018" s="31" t="str">
        <f t="shared" si="227"/>
        <v/>
      </c>
      <c r="Y2018" s="10" t="s">
        <v>1144</v>
      </c>
      <c r="Z2018" s="10" t="s">
        <v>910</v>
      </c>
      <c r="AL2018" s="10" t="str">
        <f t="shared" si="229"/>
        <v>FALSE</v>
      </c>
      <c r="AM2018" s="10" t="str">
        <f t="shared" si="229"/>
        <v>FALSE</v>
      </c>
      <c r="AN2018" s="10" t="str">
        <f t="shared" si="229"/>
        <v>FALSE</v>
      </c>
      <c r="AO2018" s="10" t="str">
        <f t="shared" si="230"/>
        <v>FALSE</v>
      </c>
      <c r="AP2018" s="10" t="str">
        <f t="shared" si="230"/>
        <v>FALSE</v>
      </c>
      <c r="AQ2018" s="10" t="b">
        <f>IF(AND(I2018="TP",S2018&lt;=150),VLOOKUP(AF2018,TPCalibEq150!$AZ$2:$BB$55,3,),IF(AND(I2018="TDP",S2018&lt;=150),VLOOKUP(AF2018,TPCalibEq150!$AZ$2:$BB$55,3,)))</f>
        <v>0</v>
      </c>
      <c r="AR2018" s="10" t="b">
        <f>IF(AND(I2018="TP",S2018&lt;=300),VLOOKUP(AF2018,TPCalibEq300!$AZ$2:$BB$55,3,),IF(AND(I2018="TDP",S2018&lt;=300),VLOOKUP(AF2018,TPCalibEq300!$AZ$2:$BB$55,3,)))</f>
        <v>0</v>
      </c>
      <c r="AS2018" s="10" t="b">
        <f>IF(AND(I2018="TP",S2018&lt;=500),VLOOKUP(AF2018,TPCalibEq500!$AZ$2:$BB$56,3,),IF(AND(I2018="TDP",S2018&lt;=500),VLOOKUP(AF2018,TPCalibEq500!$AZ$2:$BB$56,3,)))</f>
        <v>0</v>
      </c>
      <c r="AT2018" s="10" t="b">
        <f>IF(AND(I2018="TN",S2018&lt;=2800),VLOOKUP(AF2018,TNCalibEq2500!$AZ$2:$BB$56,3,),IF(AND(I2018="TDN",S2018&lt;=2800),VLOOKUP(AF2018,TNCalibEq2500!$AZ$2:$BB$56,3,)))</f>
        <v>0</v>
      </c>
      <c r="AU2018" s="10" t="b">
        <f>IF(I2018="TP",VLOOKUP(AF2018,TPCalibEqFull!$AZ$2:$BB$56,3),IF(I2018="TDP",VLOOKUP(AF2018,TPCalibEqFull!$AZ$2:$BB$56,3),IF(I2018="TDN",VLOOKUP(AF2018,TNCalibEqFull!$AZ$1:$BB$56,3),IF(I2018="TN",VLOOKUP(AF2018,TNCalibEqFull!$AZ$1:$BB$56,3),FALSE))))</f>
        <v>0</v>
      </c>
      <c r="AV2018" s="10" t="str">
        <f t="shared" si="233"/>
        <v>0206 08:23:00-EFC-0-C-1-SW-UKN</v>
      </c>
    </row>
    <row r="2019" spans="1:48" s="10" customFormat="1" x14ac:dyDescent="0.55000000000000004">
      <c r="A2019" s="32">
        <v>44963</v>
      </c>
      <c r="B2019" s="33">
        <v>0.3611111111111111</v>
      </c>
      <c r="C2019" s="10" t="s">
        <v>543</v>
      </c>
      <c r="D2019" s="10">
        <v>0</v>
      </c>
      <c r="E2019" s="10" t="s">
        <v>190</v>
      </c>
      <c r="F2019" s="10">
        <v>1</v>
      </c>
      <c r="G2019" s="10" t="s">
        <v>231</v>
      </c>
      <c r="H2019" s="10" t="s">
        <v>322</v>
      </c>
      <c r="I2019" s="10" t="s">
        <v>75</v>
      </c>
      <c r="J2019" s="10">
        <v>13</v>
      </c>
      <c r="K2019" s="12">
        <v>44966</v>
      </c>
      <c r="L2019" s="33">
        <v>0.48516203703703703</v>
      </c>
      <c r="M2019" s="10">
        <v>1</v>
      </c>
      <c r="N2019" s="10" t="s">
        <v>76</v>
      </c>
      <c r="O2019" s="10">
        <v>2.0400000000000001E-2</v>
      </c>
      <c r="P2019" s="10">
        <v>2.2699999999999999E-3</v>
      </c>
      <c r="Q2019" s="10">
        <v>1.17</v>
      </c>
      <c r="R2019" s="10" t="s">
        <v>77</v>
      </c>
      <c r="S2019" s="34">
        <f t="shared" si="228"/>
        <v>1.17</v>
      </c>
      <c r="T2019" s="10" t="s">
        <v>1155</v>
      </c>
      <c r="U2019" s="34" t="str">
        <f t="shared" si="231"/>
        <v/>
      </c>
      <c r="V2019" s="31" t="str">
        <f>IF(H2019="CHK",VLOOKUP(I2019,QCCHK,3,),IF(H2019="GUP",VLOOKUP(E2019,QCGUP,2,),IF(AND(H2019="ATP",OR(I2019="TN",I2019="TDN",I2019="TNO2-3",I2019="NO2-3")),VLOOKUP(E2019,QCREC_N,2,),IF(AND(H2019="NIC",OR(I2019="TN",I2019="TDN",I2019="TNO2-3",I2019="NO2-3")),VLOOKUP(E2019,QCNIC_N,2,),IF(AND(H2019="UREA",OR(I2019="TN",I2019="TDN",I2019="TNO2-3",I2019="NO2-3")),VLOOKUP(E2019,QCUREA_N,2,),IF(H2019="PER",VLOOKUP(I2019,QCPER,MATCH(E2019,QCACTUAL!$J$25:$AA$25,0),),IF(H2019="SPK",VLOOKUP(I2019,QCSPK,3,),IF(AND(H2019="ATP",OR(I2019="TP",I2019="TDP")),VLOOKUP(E2019,QCATP_P,2,),""))))))))</f>
        <v/>
      </c>
      <c r="W2019" s="31" t="str">
        <f t="shared" si="232"/>
        <v>TRUE</v>
      </c>
      <c r="X2019" s="31" t="str">
        <f t="shared" si="227"/>
        <v/>
      </c>
      <c r="Y2019" s="10" t="s">
        <v>1144</v>
      </c>
      <c r="Z2019" s="10" t="s">
        <v>910</v>
      </c>
      <c r="AL2019" s="10" t="str">
        <f t="shared" si="229"/>
        <v>FALSE</v>
      </c>
      <c r="AM2019" s="10" t="str">
        <f t="shared" si="229"/>
        <v>FALSE</v>
      </c>
      <c r="AN2019" s="10" t="str">
        <f t="shared" si="229"/>
        <v>FALSE</v>
      </c>
      <c r="AO2019" s="10" t="str">
        <f t="shared" si="230"/>
        <v>FALSE</v>
      </c>
      <c r="AP2019" s="10" t="str">
        <f t="shared" si="230"/>
        <v>FALSE</v>
      </c>
      <c r="AQ2019" s="10" t="b">
        <f>IF(AND(I2019="TP",S2019&lt;=150),VLOOKUP(AF2019,TPCalibEq150!$AZ$2:$BB$55,3,),IF(AND(I2019="TDP",S2019&lt;=150),VLOOKUP(AF2019,TPCalibEq150!$AZ$2:$BB$55,3,)))</f>
        <v>0</v>
      </c>
      <c r="AR2019" s="10" t="b">
        <f>IF(AND(I2019="TP",S2019&lt;=300),VLOOKUP(AF2019,TPCalibEq300!$AZ$2:$BB$55,3,),IF(AND(I2019="TDP",S2019&lt;=300),VLOOKUP(AF2019,TPCalibEq300!$AZ$2:$BB$55,3,)))</f>
        <v>0</v>
      </c>
      <c r="AS2019" s="10" t="b">
        <f>IF(AND(I2019="TP",S2019&lt;=500),VLOOKUP(AF2019,TPCalibEq500!$AZ$2:$BB$56,3,),IF(AND(I2019="TDP",S2019&lt;=500),VLOOKUP(AF2019,TPCalibEq500!$AZ$2:$BB$56,3,)))</f>
        <v>0</v>
      </c>
      <c r="AT2019" s="10" t="b">
        <f>IF(AND(I2019="TN",S2019&lt;=2800),VLOOKUP(AF2019,TNCalibEq2500!$AZ$2:$BB$56,3,),IF(AND(I2019="TDN",S2019&lt;=2800),VLOOKUP(AF2019,TNCalibEq2500!$AZ$2:$BB$56,3,)))</f>
        <v>0</v>
      </c>
      <c r="AU2019" s="10" t="b">
        <f>IF(I2019="TP",VLOOKUP(AF2019,TPCalibEqFull!$AZ$2:$BB$56,3),IF(I2019="TDP",VLOOKUP(AF2019,TPCalibEqFull!$AZ$2:$BB$56,3),IF(I2019="TDN",VLOOKUP(AF2019,TNCalibEqFull!$AZ$1:$BB$56,3),IF(I2019="TN",VLOOKUP(AF2019,TNCalibEqFull!$AZ$1:$BB$56,3),FALSE))))</f>
        <v>0</v>
      </c>
      <c r="AV2019" s="10" t="str">
        <f t="shared" si="233"/>
        <v>0206 08:40:00-SAR-0-C-1-SW-UKN</v>
      </c>
    </row>
    <row r="2020" spans="1:48" s="10" customFormat="1" x14ac:dyDescent="0.55000000000000004">
      <c r="A2020" s="32">
        <v>44963</v>
      </c>
      <c r="B2020" s="33">
        <v>0.37916666666666665</v>
      </c>
      <c r="C2020" s="10" t="s">
        <v>361</v>
      </c>
      <c r="D2020" s="10">
        <v>0</v>
      </c>
      <c r="E2020" s="10" t="s">
        <v>190</v>
      </c>
      <c r="F2020" s="10">
        <v>1</v>
      </c>
      <c r="G2020" s="10" t="s">
        <v>231</v>
      </c>
      <c r="H2020" s="10" t="s">
        <v>322</v>
      </c>
      <c r="I2020" s="10" t="s">
        <v>75</v>
      </c>
      <c r="J2020" s="10">
        <v>14</v>
      </c>
      <c r="K2020" s="12">
        <v>44966</v>
      </c>
      <c r="L2020" s="33">
        <v>0.48596064814814816</v>
      </c>
      <c r="M2020" s="10">
        <v>1</v>
      </c>
      <c r="N2020" s="10" t="s">
        <v>76</v>
      </c>
      <c r="O2020" s="10">
        <v>2.7199999999999998E-2</v>
      </c>
      <c r="P2020" s="10">
        <v>3.5699999999999998E-3</v>
      </c>
      <c r="Q2020" s="10">
        <v>1.56</v>
      </c>
      <c r="R2020" s="10" t="s">
        <v>77</v>
      </c>
      <c r="S2020" s="34">
        <f t="shared" si="228"/>
        <v>1.56</v>
      </c>
      <c r="T2020" s="10" t="s">
        <v>1155</v>
      </c>
      <c r="U2020" s="34" t="str">
        <f t="shared" si="231"/>
        <v/>
      </c>
      <c r="V2020" s="31" t="str">
        <f>IF(H2020="CHK",VLOOKUP(I2020,QCCHK,3,),IF(H2020="GUP",VLOOKUP(E2020,QCGUP,2,),IF(AND(H2020="ATP",OR(I2020="TN",I2020="TDN",I2020="TNO2-3",I2020="NO2-3")),VLOOKUP(E2020,QCREC_N,2,),IF(AND(H2020="NIC",OR(I2020="TN",I2020="TDN",I2020="TNO2-3",I2020="NO2-3")),VLOOKUP(E2020,QCNIC_N,2,),IF(AND(H2020="UREA",OR(I2020="TN",I2020="TDN",I2020="TNO2-3",I2020="NO2-3")),VLOOKUP(E2020,QCUREA_N,2,),IF(H2020="PER",VLOOKUP(I2020,QCPER,MATCH(E2020,QCACTUAL!$J$25:$AA$25,0),),IF(H2020="SPK",VLOOKUP(I2020,QCSPK,3,),IF(AND(H2020="ATP",OR(I2020="TP",I2020="TDP")),VLOOKUP(E2020,QCATP_P,2,),""))))))))</f>
        <v/>
      </c>
      <c r="W2020" s="31" t="str">
        <f t="shared" si="232"/>
        <v>TRUE</v>
      </c>
      <c r="X2020" s="31" t="str">
        <f t="shared" si="227"/>
        <v/>
      </c>
      <c r="Y2020" s="10" t="s">
        <v>1144</v>
      </c>
      <c r="Z2020" s="10" t="s">
        <v>910</v>
      </c>
      <c r="AL2020" s="10" t="str">
        <f t="shared" si="229"/>
        <v>FALSE</v>
      </c>
      <c r="AM2020" s="10" t="str">
        <f t="shared" si="229"/>
        <v>FALSE</v>
      </c>
      <c r="AN2020" s="10" t="str">
        <f t="shared" si="229"/>
        <v>FALSE</v>
      </c>
      <c r="AO2020" s="10" t="str">
        <f t="shared" si="230"/>
        <v>FALSE</v>
      </c>
      <c r="AP2020" s="10" t="str">
        <f t="shared" si="230"/>
        <v>FALSE</v>
      </c>
      <c r="AQ2020" s="10" t="b">
        <f>IF(AND(I2020="TP",S2020&lt;=150),VLOOKUP(AF2020,TPCalibEq150!$AZ$2:$BB$55,3,),IF(AND(I2020="TDP",S2020&lt;=150),VLOOKUP(AF2020,TPCalibEq150!$AZ$2:$BB$55,3,)))</f>
        <v>0</v>
      </c>
      <c r="AR2020" s="10" t="b">
        <f>IF(AND(I2020="TP",S2020&lt;=300),VLOOKUP(AF2020,TPCalibEq300!$AZ$2:$BB$55,3,),IF(AND(I2020="TDP",S2020&lt;=300),VLOOKUP(AF2020,TPCalibEq300!$AZ$2:$BB$55,3,)))</f>
        <v>0</v>
      </c>
      <c r="AS2020" s="10" t="b">
        <f>IF(AND(I2020="TP",S2020&lt;=500),VLOOKUP(AF2020,TPCalibEq500!$AZ$2:$BB$56,3,),IF(AND(I2020="TDP",S2020&lt;=500),VLOOKUP(AF2020,TPCalibEq500!$AZ$2:$BB$56,3,)))</f>
        <v>0</v>
      </c>
      <c r="AT2020" s="10" t="b">
        <f>IF(AND(I2020="TN",S2020&lt;=2800),VLOOKUP(AF2020,TNCalibEq2500!$AZ$2:$BB$56,3,),IF(AND(I2020="TDN",S2020&lt;=2800),VLOOKUP(AF2020,TNCalibEq2500!$AZ$2:$BB$56,3,)))</f>
        <v>0</v>
      </c>
      <c r="AU2020" s="10" t="b">
        <f>IF(I2020="TP",VLOOKUP(AF2020,TPCalibEqFull!$AZ$2:$BB$56,3),IF(I2020="TDP",VLOOKUP(AF2020,TPCalibEqFull!$AZ$2:$BB$56,3),IF(I2020="TDN",VLOOKUP(AF2020,TNCalibEqFull!$AZ$1:$BB$56,3),IF(I2020="TN",VLOOKUP(AF2020,TNCalibEqFull!$AZ$1:$BB$56,3),FALSE))))</f>
        <v>0</v>
      </c>
      <c r="AV2020" s="10" t="str">
        <f t="shared" si="233"/>
        <v>0206 09:06:00-USR-0-C-1-SW-UKN</v>
      </c>
    </row>
    <row r="2021" spans="1:48" s="10" customFormat="1" x14ac:dyDescent="0.55000000000000004">
      <c r="A2021" s="32">
        <v>44963</v>
      </c>
      <c r="B2021" s="33">
        <v>0.39305555555555555</v>
      </c>
      <c r="C2021" s="10" t="s">
        <v>351</v>
      </c>
      <c r="D2021" s="10">
        <v>0</v>
      </c>
      <c r="E2021" s="10" t="s">
        <v>190</v>
      </c>
      <c r="F2021" s="10">
        <v>1</v>
      </c>
      <c r="G2021" s="10" t="s">
        <v>231</v>
      </c>
      <c r="H2021" s="10" t="s">
        <v>322</v>
      </c>
      <c r="I2021" s="10" t="s">
        <v>75</v>
      </c>
      <c r="J2021" s="10">
        <v>15</v>
      </c>
      <c r="K2021" s="12">
        <v>44966</v>
      </c>
      <c r="L2021" s="33">
        <v>0.48677083333333332</v>
      </c>
      <c r="M2021" s="10">
        <v>1</v>
      </c>
      <c r="N2021" s="10" t="s">
        <v>76</v>
      </c>
      <c r="O2021" s="10">
        <v>7.9699999999999997E-3</v>
      </c>
      <c r="P2021" s="10">
        <v>9.9400000000000009E-4</v>
      </c>
      <c r="Q2021" s="10">
        <v>0.45900000000000002</v>
      </c>
      <c r="R2021" s="10" t="s">
        <v>77</v>
      </c>
      <c r="S2021" s="34">
        <f t="shared" si="228"/>
        <v>0.45900000000000002</v>
      </c>
      <c r="T2021" s="10" t="s">
        <v>1155</v>
      </c>
      <c r="U2021" s="34" t="str">
        <f t="shared" si="231"/>
        <v/>
      </c>
      <c r="V2021" s="31" t="str">
        <f>IF(H2021="CHK",VLOOKUP(I2021,QCCHK,3,),IF(H2021="GUP",VLOOKUP(E2021,QCGUP,2,),IF(AND(H2021="ATP",OR(I2021="TN",I2021="TDN",I2021="TNO2-3",I2021="NO2-3")),VLOOKUP(E2021,QCREC_N,2,),IF(AND(H2021="NIC",OR(I2021="TN",I2021="TDN",I2021="TNO2-3",I2021="NO2-3")),VLOOKUP(E2021,QCNIC_N,2,),IF(AND(H2021="UREA",OR(I2021="TN",I2021="TDN",I2021="TNO2-3",I2021="NO2-3")),VLOOKUP(E2021,QCUREA_N,2,),IF(H2021="PER",VLOOKUP(I2021,QCPER,MATCH(E2021,QCACTUAL!$J$25:$AA$25,0),),IF(H2021="SPK",VLOOKUP(I2021,QCSPK,3,),IF(AND(H2021="ATP",OR(I2021="TP",I2021="TDP")),VLOOKUP(E2021,QCATP_P,2,),""))))))))</f>
        <v/>
      </c>
      <c r="W2021" s="31" t="str">
        <f t="shared" si="232"/>
        <v>TRUE</v>
      </c>
      <c r="X2021" s="31" t="str">
        <f t="shared" si="227"/>
        <v/>
      </c>
      <c r="Y2021" s="10" t="s">
        <v>1144</v>
      </c>
      <c r="Z2021" s="10" t="s">
        <v>910</v>
      </c>
      <c r="AL2021" s="10" t="str">
        <f t="shared" si="229"/>
        <v>FALSE</v>
      </c>
      <c r="AM2021" s="10" t="str">
        <f t="shared" si="229"/>
        <v>FALSE</v>
      </c>
      <c r="AN2021" s="10" t="str">
        <f t="shared" si="229"/>
        <v>FALSE</v>
      </c>
      <c r="AO2021" s="10" t="str">
        <f t="shared" si="230"/>
        <v>FALSE</v>
      </c>
      <c r="AP2021" s="10" t="str">
        <f t="shared" si="230"/>
        <v>FALSE</v>
      </c>
      <c r="AQ2021" s="10" t="b">
        <f>IF(AND(I2021="TP",S2021&lt;=150),VLOOKUP(AF2021,TPCalibEq150!$AZ$2:$BB$55,3,),IF(AND(I2021="TDP",S2021&lt;=150),VLOOKUP(AF2021,TPCalibEq150!$AZ$2:$BB$55,3,)))</f>
        <v>0</v>
      </c>
      <c r="AR2021" s="10" t="b">
        <f>IF(AND(I2021="TP",S2021&lt;=300),VLOOKUP(AF2021,TPCalibEq300!$AZ$2:$BB$55,3,),IF(AND(I2021="TDP",S2021&lt;=300),VLOOKUP(AF2021,TPCalibEq300!$AZ$2:$BB$55,3,)))</f>
        <v>0</v>
      </c>
      <c r="AS2021" s="10" t="b">
        <f>IF(AND(I2021="TP",S2021&lt;=500),VLOOKUP(AF2021,TPCalibEq500!$AZ$2:$BB$56,3,),IF(AND(I2021="TDP",S2021&lt;=500),VLOOKUP(AF2021,TPCalibEq500!$AZ$2:$BB$56,3,)))</f>
        <v>0</v>
      </c>
      <c r="AT2021" s="10" t="b">
        <f>IF(AND(I2021="TN",S2021&lt;=2800),VLOOKUP(AF2021,TNCalibEq2500!$AZ$2:$BB$56,3,),IF(AND(I2021="TDN",S2021&lt;=2800),VLOOKUP(AF2021,TNCalibEq2500!$AZ$2:$BB$56,3,)))</f>
        <v>0</v>
      </c>
      <c r="AU2021" s="10" t="b">
        <f>IF(I2021="TP",VLOOKUP(AF2021,TPCalibEqFull!$AZ$2:$BB$56,3),IF(I2021="TDP",VLOOKUP(AF2021,TPCalibEqFull!$AZ$2:$BB$56,3),IF(I2021="TDN",VLOOKUP(AF2021,TNCalibEqFull!$AZ$1:$BB$56,3),IF(I2021="TN",VLOOKUP(AF2021,TNCalibEqFull!$AZ$1:$BB$56,3),FALSE))))</f>
        <v>0</v>
      </c>
      <c r="AV2021" s="10" t="str">
        <f t="shared" si="233"/>
        <v>0206 09:26:00-SHC-0-C-1-SW-UKN</v>
      </c>
    </row>
    <row r="2022" spans="1:48" s="10" customFormat="1" x14ac:dyDescent="0.55000000000000004">
      <c r="A2022" s="32">
        <v>44963</v>
      </c>
      <c r="B2022" s="33">
        <v>0.4055555555555555</v>
      </c>
      <c r="C2022" s="10" t="s">
        <v>355</v>
      </c>
      <c r="D2022" s="10">
        <v>0</v>
      </c>
      <c r="E2022" s="10" t="s">
        <v>190</v>
      </c>
      <c r="F2022" s="10">
        <v>1</v>
      </c>
      <c r="G2022" s="10" t="s">
        <v>231</v>
      </c>
      <c r="H2022" s="10" t="s">
        <v>322</v>
      </c>
      <c r="I2022" s="10" t="s">
        <v>75</v>
      </c>
      <c r="J2022" s="10">
        <v>16</v>
      </c>
      <c r="K2022" s="12">
        <v>44966</v>
      </c>
      <c r="L2022" s="33">
        <v>0.48759259259259258</v>
      </c>
      <c r="M2022" s="10">
        <v>1</v>
      </c>
      <c r="N2022" s="10" t="s">
        <v>76</v>
      </c>
      <c r="O2022" s="10">
        <v>0.22800000000000001</v>
      </c>
      <c r="P2022" s="10">
        <v>1.7399999999999999E-2</v>
      </c>
      <c r="Q2022" s="10">
        <v>13.1</v>
      </c>
      <c r="R2022" s="10" t="s">
        <v>77</v>
      </c>
      <c r="S2022" s="34">
        <f t="shared" si="228"/>
        <v>13.1</v>
      </c>
      <c r="T2022" s="10" t="s">
        <v>1155</v>
      </c>
      <c r="U2022" s="34" t="str">
        <f t="shared" si="231"/>
        <v/>
      </c>
      <c r="V2022" s="31" t="str">
        <f>IF(H2022="CHK",VLOOKUP(I2022,QCCHK,3,),IF(H2022="GUP",VLOOKUP(E2022,QCGUP,2,),IF(AND(H2022="ATP",OR(I2022="TN",I2022="TDN",I2022="TNO2-3",I2022="NO2-3")),VLOOKUP(E2022,QCREC_N,2,),IF(AND(H2022="NIC",OR(I2022="TN",I2022="TDN",I2022="TNO2-3",I2022="NO2-3")),VLOOKUP(E2022,QCNIC_N,2,),IF(AND(H2022="UREA",OR(I2022="TN",I2022="TDN",I2022="TNO2-3",I2022="NO2-3")),VLOOKUP(E2022,QCUREA_N,2,),IF(H2022="PER",VLOOKUP(I2022,QCPER,MATCH(E2022,QCACTUAL!$J$25:$AA$25,0),),IF(H2022="SPK",VLOOKUP(I2022,QCSPK,3,),IF(AND(H2022="ATP",OR(I2022="TP",I2022="TDP")),VLOOKUP(E2022,QCATP_P,2,),""))))))))</f>
        <v/>
      </c>
      <c r="W2022" s="31" t="str">
        <f t="shared" si="232"/>
        <v>TRUE</v>
      </c>
      <c r="X2022" s="31" t="str">
        <f t="shared" si="227"/>
        <v/>
      </c>
      <c r="Y2022" s="10" t="s">
        <v>1144</v>
      </c>
      <c r="Z2022" s="10" t="s">
        <v>910</v>
      </c>
      <c r="AL2022" s="10" t="str">
        <f t="shared" si="229"/>
        <v>FALSE</v>
      </c>
      <c r="AM2022" s="10" t="str">
        <f t="shared" si="229"/>
        <v>FALSE</v>
      </c>
      <c r="AN2022" s="10" t="str">
        <f t="shared" si="229"/>
        <v>FALSE</v>
      </c>
      <c r="AO2022" s="10" t="str">
        <f t="shared" si="230"/>
        <v>FALSE</v>
      </c>
      <c r="AP2022" s="10" t="str">
        <f t="shared" si="230"/>
        <v>FALSE</v>
      </c>
      <c r="AQ2022" s="10" t="b">
        <f>IF(AND(I2022="TP",S2022&lt;=150),VLOOKUP(AF2022,TPCalibEq150!$AZ$2:$BB$55,3,),IF(AND(I2022="TDP",S2022&lt;=150),VLOOKUP(AF2022,TPCalibEq150!$AZ$2:$BB$55,3,)))</f>
        <v>0</v>
      </c>
      <c r="AR2022" s="10" t="b">
        <f>IF(AND(I2022="TP",S2022&lt;=300),VLOOKUP(AF2022,TPCalibEq300!$AZ$2:$BB$55,3,),IF(AND(I2022="TDP",S2022&lt;=300),VLOOKUP(AF2022,TPCalibEq300!$AZ$2:$BB$55,3,)))</f>
        <v>0</v>
      </c>
      <c r="AS2022" s="10" t="b">
        <f>IF(AND(I2022="TP",S2022&lt;=500),VLOOKUP(AF2022,TPCalibEq500!$AZ$2:$BB$56,3,),IF(AND(I2022="TDP",S2022&lt;=500),VLOOKUP(AF2022,TPCalibEq500!$AZ$2:$BB$56,3,)))</f>
        <v>0</v>
      </c>
      <c r="AT2022" s="10" t="b">
        <f>IF(AND(I2022="TN",S2022&lt;=2800),VLOOKUP(AF2022,TNCalibEq2500!$AZ$2:$BB$56,3,),IF(AND(I2022="TDN",S2022&lt;=2800),VLOOKUP(AF2022,TNCalibEq2500!$AZ$2:$BB$56,3,)))</f>
        <v>0</v>
      </c>
      <c r="AU2022" s="10" t="b">
        <f>IF(I2022="TP",VLOOKUP(AF2022,TPCalibEqFull!$AZ$2:$BB$56,3),IF(I2022="TDP",VLOOKUP(AF2022,TPCalibEqFull!$AZ$2:$BB$56,3),IF(I2022="TDN",VLOOKUP(AF2022,TNCalibEqFull!$AZ$1:$BB$56,3),IF(I2022="TN",VLOOKUP(AF2022,TNCalibEqFull!$AZ$1:$BB$56,3),FALSE))))</f>
        <v>0</v>
      </c>
      <c r="AV2022" s="10" t="str">
        <f t="shared" si="233"/>
        <v>0206 09:44:00-SLT-0-C-1-SW-UKN</v>
      </c>
    </row>
    <row r="2023" spans="1:48" s="10" customFormat="1" x14ac:dyDescent="0.55000000000000004">
      <c r="A2023" s="32">
        <v>44963</v>
      </c>
      <c r="B2023" s="33">
        <v>0.4236111111111111</v>
      </c>
      <c r="C2023" s="10" t="s">
        <v>310</v>
      </c>
      <c r="D2023" s="10">
        <v>0</v>
      </c>
      <c r="E2023" s="10">
        <v>580</v>
      </c>
      <c r="F2023" s="10">
        <v>1</v>
      </c>
      <c r="G2023" s="10" t="s">
        <v>231</v>
      </c>
      <c r="H2023" s="10" t="s">
        <v>322</v>
      </c>
      <c r="I2023" s="10" t="s">
        <v>75</v>
      </c>
      <c r="J2023" s="10">
        <v>17</v>
      </c>
      <c r="K2023" s="12">
        <v>44966</v>
      </c>
      <c r="L2023" s="33">
        <v>0.48841435185185184</v>
      </c>
      <c r="M2023" s="10">
        <v>1</v>
      </c>
      <c r="N2023" s="10" t="s">
        <v>76</v>
      </c>
      <c r="O2023" s="10">
        <v>2.29E-2</v>
      </c>
      <c r="P2023" s="10">
        <v>2.7000000000000001E-3</v>
      </c>
      <c r="Q2023" s="10">
        <v>1.32</v>
      </c>
      <c r="R2023" s="10" t="s">
        <v>77</v>
      </c>
      <c r="S2023" s="34">
        <f t="shared" si="228"/>
        <v>1.32</v>
      </c>
      <c r="T2023" s="10" t="s">
        <v>1155</v>
      </c>
      <c r="U2023" s="34" t="str">
        <f t="shared" si="231"/>
        <v/>
      </c>
      <c r="V2023" s="31" t="str">
        <f>IF(H2023="CHK",VLOOKUP(I2023,QCCHK,3,),IF(H2023="GUP",VLOOKUP(E2023,QCGUP,2,),IF(AND(H2023="ATP",OR(I2023="TN",I2023="TDN",I2023="TNO2-3",I2023="NO2-3")),VLOOKUP(E2023,QCREC_N,2,),IF(AND(H2023="NIC",OR(I2023="TN",I2023="TDN",I2023="TNO2-3",I2023="NO2-3")),VLOOKUP(E2023,QCNIC_N,2,),IF(AND(H2023="UREA",OR(I2023="TN",I2023="TDN",I2023="TNO2-3",I2023="NO2-3")),VLOOKUP(E2023,QCUREA_N,2,),IF(H2023="PER",VLOOKUP(I2023,QCPER,MATCH(E2023,QCACTUAL!$J$25:$AA$25,0),),IF(H2023="SPK",VLOOKUP(I2023,QCSPK,3,),IF(AND(H2023="ATP",OR(I2023="TP",I2023="TDP")),VLOOKUP(E2023,QCATP_P,2,),""))))))))</f>
        <v/>
      </c>
      <c r="W2023" s="31" t="str">
        <f t="shared" si="232"/>
        <v>TRUE</v>
      </c>
      <c r="X2023" s="31" t="str">
        <f t="shared" si="227"/>
        <v/>
      </c>
      <c r="Y2023" s="10" t="s">
        <v>1144</v>
      </c>
      <c r="Z2023" s="10" t="s">
        <v>910</v>
      </c>
      <c r="AL2023" s="10" t="str">
        <f t="shared" si="229"/>
        <v>FALSE</v>
      </c>
      <c r="AM2023" s="10" t="str">
        <f t="shared" si="229"/>
        <v>FALSE</v>
      </c>
      <c r="AN2023" s="10" t="str">
        <f t="shared" si="229"/>
        <v>FALSE</v>
      </c>
      <c r="AO2023" s="10" t="str">
        <f t="shared" si="230"/>
        <v>FALSE</v>
      </c>
      <c r="AP2023" s="10" t="str">
        <f t="shared" si="230"/>
        <v>FALSE</v>
      </c>
      <c r="AQ2023" s="10" t="b">
        <f>IF(AND(I2023="TP",S2023&lt;=150),VLOOKUP(AF2023,TPCalibEq150!$AZ$2:$BB$55,3,),IF(AND(I2023="TDP",S2023&lt;=150),VLOOKUP(AF2023,TPCalibEq150!$AZ$2:$BB$55,3,)))</f>
        <v>0</v>
      </c>
      <c r="AR2023" s="10" t="b">
        <f>IF(AND(I2023="TP",S2023&lt;=300),VLOOKUP(AF2023,TPCalibEq300!$AZ$2:$BB$55,3,),IF(AND(I2023="TDP",S2023&lt;=300),VLOOKUP(AF2023,TPCalibEq300!$AZ$2:$BB$55,3,)))</f>
        <v>0</v>
      </c>
      <c r="AS2023" s="10" t="b">
        <f>IF(AND(I2023="TP",S2023&lt;=500),VLOOKUP(AF2023,TPCalibEq500!$AZ$2:$BB$56,3,),IF(AND(I2023="TDP",S2023&lt;=500),VLOOKUP(AF2023,TPCalibEq500!$AZ$2:$BB$56,3,)))</f>
        <v>0</v>
      </c>
      <c r="AT2023" s="10" t="b">
        <f>IF(AND(I2023="TN",S2023&lt;=2800),VLOOKUP(AF2023,TNCalibEq2500!$AZ$2:$BB$56,3,),IF(AND(I2023="TDN",S2023&lt;=2800),VLOOKUP(AF2023,TNCalibEq2500!$AZ$2:$BB$56,3,)))</f>
        <v>0</v>
      </c>
      <c r="AU2023" s="10" t="b">
        <f>IF(I2023="TP",VLOOKUP(AF2023,TPCalibEqFull!$AZ$2:$BB$56,3),IF(I2023="TDP",VLOOKUP(AF2023,TPCalibEqFull!$AZ$2:$BB$56,3),IF(I2023="TDN",VLOOKUP(AF2023,TNCalibEqFull!$AZ$1:$BB$56,3),IF(I2023="TN",VLOOKUP(AF2023,TNCalibEqFull!$AZ$1:$BB$56,3),FALSE))))</f>
        <v>0</v>
      </c>
      <c r="AV2023" s="10" t="str">
        <f t="shared" si="233"/>
        <v>0206 10:10:00-ELI-0-580-1-SW-UKN</v>
      </c>
    </row>
    <row r="2024" spans="1:48" s="10" customFormat="1" x14ac:dyDescent="0.55000000000000004">
      <c r="A2024" s="32">
        <v>44963</v>
      </c>
      <c r="B2024" s="33">
        <v>0.44930555555555557</v>
      </c>
      <c r="C2024" s="10" t="s">
        <v>999</v>
      </c>
      <c r="D2024" s="10">
        <v>0</v>
      </c>
      <c r="E2024" s="10" t="s">
        <v>190</v>
      </c>
      <c r="F2024" s="10">
        <v>1</v>
      </c>
      <c r="G2024" s="10" t="s">
        <v>231</v>
      </c>
      <c r="H2024" s="10" t="s">
        <v>322</v>
      </c>
      <c r="I2024" s="10" t="s">
        <v>75</v>
      </c>
      <c r="J2024" s="10">
        <v>18</v>
      </c>
      <c r="K2024" s="12">
        <v>44966</v>
      </c>
      <c r="L2024" s="33">
        <v>0.48923611111111115</v>
      </c>
      <c r="M2024" s="10">
        <v>1</v>
      </c>
      <c r="N2024" s="10" t="s">
        <v>76</v>
      </c>
      <c r="O2024" s="10">
        <v>2.4899999999999999E-2</v>
      </c>
      <c r="P2024" s="10">
        <v>3.0799999999999998E-3</v>
      </c>
      <c r="Q2024" s="10">
        <v>1.43</v>
      </c>
      <c r="R2024" s="10" t="s">
        <v>77</v>
      </c>
      <c r="S2024" s="34">
        <f t="shared" si="228"/>
        <v>1.43</v>
      </c>
      <c r="T2024" s="10" t="s">
        <v>1155</v>
      </c>
      <c r="U2024" s="34" t="str">
        <f t="shared" si="231"/>
        <v/>
      </c>
      <c r="V2024" s="31" t="str">
        <f>IF(H2024="CHK",VLOOKUP(I2024,QCCHK,3,),IF(H2024="GUP",VLOOKUP(E2024,QCGUP,2,),IF(AND(H2024="ATP",OR(I2024="TN",I2024="TDN",I2024="TNO2-3",I2024="NO2-3")),VLOOKUP(E2024,QCREC_N,2,),IF(AND(H2024="NIC",OR(I2024="TN",I2024="TDN",I2024="TNO2-3",I2024="NO2-3")),VLOOKUP(E2024,QCNIC_N,2,),IF(AND(H2024="UREA",OR(I2024="TN",I2024="TDN",I2024="TNO2-3",I2024="NO2-3")),VLOOKUP(E2024,QCUREA_N,2,),IF(H2024="PER",VLOOKUP(I2024,QCPER,MATCH(E2024,QCACTUAL!$J$25:$AA$25,0),),IF(H2024="SPK",VLOOKUP(I2024,QCSPK,3,),IF(AND(H2024="ATP",OR(I2024="TP",I2024="TDP")),VLOOKUP(E2024,QCATP_P,2,),""))))))))</f>
        <v/>
      </c>
      <c r="W2024" s="31" t="str">
        <f t="shared" si="232"/>
        <v>TRUE</v>
      </c>
      <c r="X2024" s="31" t="str">
        <f t="shared" si="227"/>
        <v/>
      </c>
      <c r="Y2024" s="10" t="s">
        <v>1144</v>
      </c>
      <c r="Z2024" s="10" t="s">
        <v>910</v>
      </c>
      <c r="AL2024" s="10" t="str">
        <f t="shared" si="229"/>
        <v>FALSE</v>
      </c>
      <c r="AM2024" s="10" t="str">
        <f t="shared" si="229"/>
        <v>FALSE</v>
      </c>
      <c r="AN2024" s="10" t="str">
        <f t="shared" si="229"/>
        <v>FALSE</v>
      </c>
      <c r="AO2024" s="10" t="str">
        <f t="shared" si="230"/>
        <v>FALSE</v>
      </c>
      <c r="AP2024" s="10" t="str">
        <f t="shared" si="230"/>
        <v>FALSE</v>
      </c>
      <c r="AQ2024" s="10" t="b">
        <f>IF(AND(I2024="TP",S2024&lt;=150),VLOOKUP(AF2024,TPCalibEq150!$AZ$2:$BB$55,3,),IF(AND(I2024="TDP",S2024&lt;=150),VLOOKUP(AF2024,TPCalibEq150!$AZ$2:$BB$55,3,)))</f>
        <v>0</v>
      </c>
      <c r="AR2024" s="10" t="b">
        <f>IF(AND(I2024="TP",S2024&lt;=300),VLOOKUP(AF2024,TPCalibEq300!$AZ$2:$BB$55,3,),IF(AND(I2024="TDP",S2024&lt;=300),VLOOKUP(AF2024,TPCalibEq300!$AZ$2:$BB$55,3,)))</f>
        <v>0</v>
      </c>
      <c r="AS2024" s="10" t="b">
        <f>IF(AND(I2024="TP",S2024&lt;=500),VLOOKUP(AF2024,TPCalibEq500!$AZ$2:$BB$56,3,),IF(AND(I2024="TDP",S2024&lt;=500),VLOOKUP(AF2024,TPCalibEq500!$AZ$2:$BB$56,3,)))</f>
        <v>0</v>
      </c>
      <c r="AT2024" s="10" t="b">
        <f>IF(AND(I2024="TN",S2024&lt;=2800),VLOOKUP(AF2024,TNCalibEq2500!$AZ$2:$BB$56,3,),IF(AND(I2024="TDN",S2024&lt;=2800),VLOOKUP(AF2024,TNCalibEq2500!$AZ$2:$BB$56,3,)))</f>
        <v>0</v>
      </c>
      <c r="AU2024" s="10" t="b">
        <f>IF(I2024="TP",VLOOKUP(AF2024,TPCalibEqFull!$AZ$2:$BB$56,3),IF(I2024="TDP",VLOOKUP(AF2024,TPCalibEqFull!$AZ$2:$BB$56,3),IF(I2024="TDN",VLOOKUP(AF2024,TNCalibEqFull!$AZ$1:$BB$56,3),IF(I2024="TN",VLOOKUP(AF2024,TNCalibEqFull!$AZ$1:$BB$56,3),FALSE))))</f>
        <v>0</v>
      </c>
      <c r="AV2024" s="10" t="str">
        <f t="shared" si="233"/>
        <v>0206 10:47:00-EAW-0-C-1-SW-UKN</v>
      </c>
    </row>
    <row r="2025" spans="1:48" s="10" customFormat="1" x14ac:dyDescent="0.55000000000000004">
      <c r="A2025" s="32">
        <v>44963</v>
      </c>
      <c r="B2025" s="33">
        <v>0.4604166666666667</v>
      </c>
      <c r="C2025" s="10" t="s">
        <v>613</v>
      </c>
      <c r="D2025" s="10">
        <v>0</v>
      </c>
      <c r="E2025" s="10" t="s">
        <v>190</v>
      </c>
      <c r="F2025" s="10">
        <v>1</v>
      </c>
      <c r="G2025" s="10" t="s">
        <v>231</v>
      </c>
      <c r="H2025" s="10" t="s">
        <v>322</v>
      </c>
      <c r="I2025" s="10" t="s">
        <v>75</v>
      </c>
      <c r="J2025" s="10">
        <v>19</v>
      </c>
      <c r="K2025" s="12">
        <v>44966</v>
      </c>
      <c r="L2025" s="33">
        <v>0.49005787037037035</v>
      </c>
      <c r="M2025" s="10">
        <v>1</v>
      </c>
      <c r="N2025" s="10" t="s">
        <v>76</v>
      </c>
      <c r="O2025" s="10">
        <v>3.7900000000000003E-2</v>
      </c>
      <c r="P2025" s="10">
        <v>2.4399999999999999E-3</v>
      </c>
      <c r="Q2025" s="10">
        <v>2.1800000000000002</v>
      </c>
      <c r="R2025" s="10" t="s">
        <v>77</v>
      </c>
      <c r="S2025" s="34">
        <f t="shared" si="228"/>
        <v>2.1800000000000002</v>
      </c>
      <c r="T2025" s="10" t="s">
        <v>1155</v>
      </c>
      <c r="U2025" s="34" t="str">
        <f t="shared" si="231"/>
        <v/>
      </c>
      <c r="V2025" s="31" t="str">
        <f>IF(H2025="CHK",VLOOKUP(I2025,QCCHK,3,),IF(H2025="GUP",VLOOKUP(E2025,QCGUP,2,),IF(AND(H2025="ATP",OR(I2025="TN",I2025="TDN",I2025="TNO2-3",I2025="NO2-3")),VLOOKUP(E2025,QCREC_N,2,),IF(AND(H2025="NIC",OR(I2025="TN",I2025="TDN",I2025="TNO2-3",I2025="NO2-3")),VLOOKUP(E2025,QCNIC_N,2,),IF(AND(H2025="UREA",OR(I2025="TN",I2025="TDN",I2025="TNO2-3",I2025="NO2-3")),VLOOKUP(E2025,QCUREA_N,2,),IF(H2025="PER",VLOOKUP(I2025,QCPER,MATCH(E2025,QCACTUAL!$J$25:$AA$25,0),),IF(H2025="SPK",VLOOKUP(I2025,QCSPK,3,),IF(AND(H2025="ATP",OR(I2025="TP",I2025="TDP")),VLOOKUP(E2025,QCATP_P,2,),""))))))))</f>
        <v/>
      </c>
      <c r="W2025" s="31" t="str">
        <f t="shared" si="232"/>
        <v>TRUE</v>
      </c>
      <c r="X2025" s="31" t="str">
        <f t="shared" si="227"/>
        <v/>
      </c>
      <c r="Y2025" s="10" t="s">
        <v>1144</v>
      </c>
      <c r="Z2025" s="10" t="s">
        <v>910</v>
      </c>
      <c r="AL2025" s="10" t="str">
        <f t="shared" si="229"/>
        <v>FALSE</v>
      </c>
      <c r="AM2025" s="10" t="str">
        <f t="shared" si="229"/>
        <v>FALSE</v>
      </c>
      <c r="AN2025" s="10" t="str">
        <f t="shared" si="229"/>
        <v>FALSE</v>
      </c>
      <c r="AO2025" s="10" t="str">
        <f t="shared" si="230"/>
        <v>FALSE</v>
      </c>
      <c r="AP2025" s="10" t="str">
        <f t="shared" si="230"/>
        <v>FALSE</v>
      </c>
      <c r="AQ2025" s="10" t="b">
        <f>IF(AND(I2025="TP",S2025&lt;=150),VLOOKUP(AF2025,TPCalibEq150!$AZ$2:$BB$55,3,),IF(AND(I2025="TDP",S2025&lt;=150),VLOOKUP(AF2025,TPCalibEq150!$AZ$2:$BB$55,3,)))</f>
        <v>0</v>
      </c>
      <c r="AR2025" s="10" t="b">
        <f>IF(AND(I2025="TP",S2025&lt;=300),VLOOKUP(AF2025,TPCalibEq300!$AZ$2:$BB$55,3,),IF(AND(I2025="TDP",S2025&lt;=300),VLOOKUP(AF2025,TPCalibEq300!$AZ$2:$BB$55,3,)))</f>
        <v>0</v>
      </c>
      <c r="AS2025" s="10" t="b">
        <f>IF(AND(I2025="TP",S2025&lt;=500),VLOOKUP(AF2025,TPCalibEq500!$AZ$2:$BB$56,3,),IF(AND(I2025="TDP",S2025&lt;=500),VLOOKUP(AF2025,TPCalibEq500!$AZ$2:$BB$56,3,)))</f>
        <v>0</v>
      </c>
      <c r="AT2025" s="10" t="b">
        <f>IF(AND(I2025="TN",S2025&lt;=2800),VLOOKUP(AF2025,TNCalibEq2500!$AZ$2:$BB$56,3,),IF(AND(I2025="TDN",S2025&lt;=2800),VLOOKUP(AF2025,TNCalibEq2500!$AZ$2:$BB$56,3,)))</f>
        <v>0</v>
      </c>
      <c r="AU2025" s="10" t="b">
        <f>IF(I2025="TP",VLOOKUP(AF2025,TPCalibEqFull!$AZ$2:$BB$56,3),IF(I2025="TDP",VLOOKUP(AF2025,TPCalibEqFull!$AZ$2:$BB$56,3),IF(I2025="TDN",VLOOKUP(AF2025,TNCalibEqFull!$AZ$1:$BB$56,3),IF(I2025="TN",VLOOKUP(AF2025,TNCalibEqFull!$AZ$1:$BB$56,3),FALSE))))</f>
        <v>0</v>
      </c>
      <c r="AV2025" s="10" t="str">
        <f t="shared" si="233"/>
        <v>0206 11:03:00-FVC-0-C-1-SW-UKN</v>
      </c>
    </row>
    <row r="2026" spans="1:48" s="10" customFormat="1" x14ac:dyDescent="0.55000000000000004">
      <c r="A2026" s="32">
        <v>44963</v>
      </c>
      <c r="B2026" s="33">
        <v>0.4604166666666667</v>
      </c>
      <c r="C2026" s="10" t="s">
        <v>613</v>
      </c>
      <c r="D2026" s="10">
        <v>0</v>
      </c>
      <c r="E2026" s="10" t="s">
        <v>190</v>
      </c>
      <c r="F2026" s="10">
        <v>2</v>
      </c>
      <c r="G2026" s="10" t="s">
        <v>231</v>
      </c>
      <c r="H2026" s="10" t="s">
        <v>322</v>
      </c>
      <c r="I2026" s="10" t="s">
        <v>75</v>
      </c>
      <c r="J2026" s="10">
        <v>20</v>
      </c>
      <c r="K2026" s="12">
        <v>44966</v>
      </c>
      <c r="L2026" s="33">
        <v>0.49087962962962961</v>
      </c>
      <c r="M2026" s="10">
        <v>1</v>
      </c>
      <c r="N2026" s="10" t="s">
        <v>76</v>
      </c>
      <c r="O2026" s="10">
        <v>3.7199999999999997E-2</v>
      </c>
      <c r="P2026" s="10">
        <v>3.0599999999999998E-3</v>
      </c>
      <c r="Q2026" s="10">
        <v>2.14</v>
      </c>
      <c r="R2026" s="10" t="s">
        <v>77</v>
      </c>
      <c r="S2026" s="34">
        <f t="shared" si="228"/>
        <v>2.14</v>
      </c>
      <c r="T2026" s="10" t="s">
        <v>1155</v>
      </c>
      <c r="U2026" s="34" t="str">
        <f t="shared" si="231"/>
        <v/>
      </c>
      <c r="V2026" s="31" t="str">
        <f>IF(H2026="CHK",VLOOKUP(I2026,QCCHK,3,),IF(H2026="GUP",VLOOKUP(E2026,QCGUP,2,),IF(AND(H2026="ATP",OR(I2026="TN",I2026="TDN",I2026="TNO2-3",I2026="NO2-3")),VLOOKUP(E2026,QCREC_N,2,),IF(AND(H2026="NIC",OR(I2026="TN",I2026="TDN",I2026="TNO2-3",I2026="NO2-3")),VLOOKUP(E2026,QCNIC_N,2,),IF(AND(H2026="UREA",OR(I2026="TN",I2026="TDN",I2026="TNO2-3",I2026="NO2-3")),VLOOKUP(E2026,QCUREA_N,2,),IF(H2026="PER",VLOOKUP(I2026,QCPER,MATCH(E2026,QCACTUAL!$J$25:$AA$25,0),),IF(H2026="SPK",VLOOKUP(I2026,QCSPK,3,),IF(AND(H2026="ATP",OR(I2026="TP",I2026="TDP")),VLOOKUP(E2026,QCATP_P,2,),""))))))))</f>
        <v/>
      </c>
      <c r="W2026" s="31" t="str">
        <f t="shared" si="232"/>
        <v>TRUE</v>
      </c>
      <c r="X2026" s="31" t="str">
        <f t="shared" si="227"/>
        <v/>
      </c>
      <c r="Y2026" s="10" t="s">
        <v>1144</v>
      </c>
      <c r="Z2026" s="10" t="s">
        <v>910</v>
      </c>
      <c r="AL2026" s="10" t="str">
        <f t="shared" si="229"/>
        <v>FALSE</v>
      </c>
      <c r="AM2026" s="10" t="str">
        <f t="shared" si="229"/>
        <v>FALSE</v>
      </c>
      <c r="AN2026" s="10" t="str">
        <f t="shared" si="229"/>
        <v>FALSE</v>
      </c>
      <c r="AO2026" s="10" t="str">
        <f t="shared" si="230"/>
        <v>FALSE</v>
      </c>
      <c r="AP2026" s="10" t="str">
        <f t="shared" si="230"/>
        <v>FALSE</v>
      </c>
      <c r="AQ2026" s="10" t="b">
        <f>IF(AND(I2026="TP",S2026&lt;=150),VLOOKUP(AF2026,TPCalibEq150!$AZ$2:$BB$55,3,),IF(AND(I2026="TDP",S2026&lt;=150),VLOOKUP(AF2026,TPCalibEq150!$AZ$2:$BB$55,3,)))</f>
        <v>0</v>
      </c>
      <c r="AR2026" s="10" t="b">
        <f>IF(AND(I2026="TP",S2026&lt;=300),VLOOKUP(AF2026,TPCalibEq300!$AZ$2:$BB$55,3,),IF(AND(I2026="TDP",S2026&lt;=300),VLOOKUP(AF2026,TPCalibEq300!$AZ$2:$BB$55,3,)))</f>
        <v>0</v>
      </c>
      <c r="AS2026" s="10" t="b">
        <f>IF(AND(I2026="TP",S2026&lt;=500),VLOOKUP(AF2026,TPCalibEq500!$AZ$2:$BB$56,3,),IF(AND(I2026="TDP",S2026&lt;=500),VLOOKUP(AF2026,TPCalibEq500!$AZ$2:$BB$56,3,)))</f>
        <v>0</v>
      </c>
      <c r="AT2026" s="10" t="b">
        <f>IF(AND(I2026="TN",S2026&lt;=2800),VLOOKUP(AF2026,TNCalibEq2500!$AZ$2:$BB$56,3,),IF(AND(I2026="TDN",S2026&lt;=2800),VLOOKUP(AF2026,TNCalibEq2500!$AZ$2:$BB$56,3,)))</f>
        <v>0</v>
      </c>
      <c r="AU2026" s="10" t="b">
        <f>IF(I2026="TP",VLOOKUP(AF2026,TPCalibEqFull!$AZ$2:$BB$56,3),IF(I2026="TDP",VLOOKUP(AF2026,TPCalibEqFull!$AZ$2:$BB$56,3),IF(I2026="TDN",VLOOKUP(AF2026,TNCalibEqFull!$AZ$1:$BB$56,3),IF(I2026="TN",VLOOKUP(AF2026,TNCalibEqFull!$AZ$1:$BB$56,3),FALSE))))</f>
        <v>0</v>
      </c>
      <c r="AV2026" s="10" t="str">
        <f t="shared" si="233"/>
        <v>0206 11:03:00-FVC-0-C-2-SW-UKN</v>
      </c>
    </row>
    <row r="2027" spans="1:48" s="10" customFormat="1" x14ac:dyDescent="0.55000000000000004">
      <c r="A2027" s="32">
        <v>44963</v>
      </c>
      <c r="B2027" s="33">
        <v>0.4604166666666667</v>
      </c>
      <c r="C2027" s="10" t="s">
        <v>613</v>
      </c>
      <c r="D2027" s="10">
        <v>0</v>
      </c>
      <c r="E2027" s="10" t="s">
        <v>190</v>
      </c>
      <c r="F2027" s="10">
        <v>2</v>
      </c>
      <c r="G2027" s="10" t="s">
        <v>231</v>
      </c>
      <c r="H2027" s="10" t="s">
        <v>233</v>
      </c>
      <c r="I2027" s="10" t="s">
        <v>75</v>
      </c>
      <c r="J2027" s="10">
        <v>20</v>
      </c>
      <c r="K2027" s="12">
        <v>44966</v>
      </c>
      <c r="L2027" s="33">
        <v>0.49168981481481483</v>
      </c>
      <c r="M2027" s="10">
        <v>1</v>
      </c>
      <c r="N2027" s="10" t="s">
        <v>76</v>
      </c>
      <c r="O2027" s="10">
        <v>3.78E-2</v>
      </c>
      <c r="P2027" s="10">
        <v>4.1399999999999996E-3</v>
      </c>
      <c r="Q2027" s="10">
        <v>2.1800000000000002</v>
      </c>
      <c r="R2027" s="10" t="s">
        <v>77</v>
      </c>
      <c r="S2027" s="34">
        <f t="shared" si="228"/>
        <v>2.1800000000000002</v>
      </c>
      <c r="T2027" s="10" t="s">
        <v>1155</v>
      </c>
      <c r="U2027" s="34">
        <f t="shared" si="231"/>
        <v>1.8518518518518534</v>
      </c>
      <c r="V2027" s="31" t="str">
        <f>IF(H2027="CHK",VLOOKUP(I2027,QCCHK,3,),IF(H2027="GUP",VLOOKUP(E2027,QCGUP,2,),IF(AND(H2027="ATP",OR(I2027="TN",I2027="TDN",I2027="TNO2-3",I2027="NO2-3")),VLOOKUP(E2027,QCREC_N,2,),IF(AND(H2027="NIC",OR(I2027="TN",I2027="TDN",I2027="TNO2-3",I2027="NO2-3")),VLOOKUP(E2027,QCNIC_N,2,),IF(AND(H2027="UREA",OR(I2027="TN",I2027="TDN",I2027="TNO2-3",I2027="NO2-3")),VLOOKUP(E2027,QCUREA_N,2,),IF(H2027="PER",VLOOKUP(I2027,QCPER,MATCH(E2027,QCACTUAL!$J$25:$AA$25,0),),IF(H2027="SPK",VLOOKUP(I2027,QCSPK,3,),IF(AND(H2027="ATP",OR(I2027="TP",I2027="TDP")),VLOOKUP(E2027,QCATP_P,2,),""))))))))</f>
        <v/>
      </c>
      <c r="W2027" s="31" t="str">
        <f t="shared" si="232"/>
        <v>TRUE</v>
      </c>
      <c r="X2027" s="31" t="str">
        <f t="shared" si="227"/>
        <v>((ABS(rep1-rep2))/((rep1+rep2)/2)*100</v>
      </c>
      <c r="Y2027" s="10" t="s">
        <v>1144</v>
      </c>
      <c r="Z2027" s="10" t="s">
        <v>910</v>
      </c>
      <c r="AL2027" s="10" t="str">
        <f t="shared" si="229"/>
        <v>FALSE</v>
      </c>
      <c r="AM2027" s="10" t="str">
        <f t="shared" si="229"/>
        <v>FALSE</v>
      </c>
      <c r="AN2027" s="10" t="str">
        <f t="shared" si="229"/>
        <v>FALSE</v>
      </c>
      <c r="AO2027" s="10" t="str">
        <f t="shared" si="230"/>
        <v>FALSE</v>
      </c>
      <c r="AP2027" s="10" t="str">
        <f t="shared" si="230"/>
        <v>FALSE</v>
      </c>
      <c r="AQ2027" s="10" t="b">
        <f>IF(AND(I2027="TP",S2027&lt;=150),VLOOKUP(AF2027,TPCalibEq150!$AZ$2:$BB$55,3,),IF(AND(I2027="TDP",S2027&lt;=150),VLOOKUP(AF2027,TPCalibEq150!$AZ$2:$BB$55,3,)))</f>
        <v>0</v>
      </c>
      <c r="AR2027" s="10" t="b">
        <f>IF(AND(I2027="TP",S2027&lt;=300),VLOOKUP(AF2027,TPCalibEq300!$AZ$2:$BB$55,3,),IF(AND(I2027="TDP",S2027&lt;=300),VLOOKUP(AF2027,TPCalibEq300!$AZ$2:$BB$55,3,)))</f>
        <v>0</v>
      </c>
      <c r="AS2027" s="10" t="b">
        <f>IF(AND(I2027="TP",S2027&lt;=500),VLOOKUP(AF2027,TPCalibEq500!$AZ$2:$BB$56,3,),IF(AND(I2027="TDP",S2027&lt;=500),VLOOKUP(AF2027,TPCalibEq500!$AZ$2:$BB$56,3,)))</f>
        <v>0</v>
      </c>
      <c r="AT2027" s="10" t="b">
        <f>IF(AND(I2027="TN",S2027&lt;=2800),VLOOKUP(AF2027,TNCalibEq2500!$AZ$2:$BB$56,3,),IF(AND(I2027="TDN",S2027&lt;=2800),VLOOKUP(AF2027,TNCalibEq2500!$AZ$2:$BB$56,3,)))</f>
        <v>0</v>
      </c>
      <c r="AU2027" s="10" t="b">
        <f>IF(I2027="TP",VLOOKUP(AF2027,TPCalibEqFull!$AZ$2:$BB$56,3),IF(I2027="TDP",VLOOKUP(AF2027,TPCalibEqFull!$AZ$2:$BB$56,3),IF(I2027="TDN",VLOOKUP(AF2027,TNCalibEqFull!$AZ$1:$BB$56,3),IF(I2027="TN",VLOOKUP(AF2027,TNCalibEqFull!$AZ$1:$BB$56,3),FALSE))))</f>
        <v>0</v>
      </c>
      <c r="AV2027" s="10" t="str">
        <f t="shared" si="233"/>
        <v>0206 11:03:00-FVC-0-C-2-SW-DUP</v>
      </c>
    </row>
    <row r="2028" spans="1:48" s="10" customFormat="1" x14ac:dyDescent="0.55000000000000004">
      <c r="A2028" s="32">
        <v>44963</v>
      </c>
      <c r="B2028" s="33">
        <v>0.4604166666666667</v>
      </c>
      <c r="C2028" s="10" t="s">
        <v>613</v>
      </c>
      <c r="D2028" s="10">
        <v>0</v>
      </c>
      <c r="E2028" s="10" t="s">
        <v>190</v>
      </c>
      <c r="F2028" s="10">
        <v>2</v>
      </c>
      <c r="G2028" s="10" t="s">
        <v>231</v>
      </c>
      <c r="H2028" s="10" t="s">
        <v>314</v>
      </c>
      <c r="I2028" s="10" t="s">
        <v>75</v>
      </c>
      <c r="J2028" s="10">
        <v>120</v>
      </c>
      <c r="K2028" s="12">
        <v>44966</v>
      </c>
      <c r="L2028" s="33">
        <v>0.49251157407407403</v>
      </c>
      <c r="M2028" s="10">
        <v>1</v>
      </c>
      <c r="N2028" s="10" t="s">
        <v>76</v>
      </c>
      <c r="O2028" s="10">
        <v>9.48</v>
      </c>
      <c r="P2028" s="10">
        <v>0.75600000000000001</v>
      </c>
      <c r="Q2028" s="10">
        <v>544</v>
      </c>
      <c r="R2028" s="10" t="s">
        <v>77</v>
      </c>
      <c r="S2028" s="34">
        <f t="shared" si="228"/>
        <v>544</v>
      </c>
      <c r="T2028" s="10" t="s">
        <v>1155</v>
      </c>
      <c r="U2028" s="34">
        <f t="shared" si="231"/>
        <v>86.691200000000009</v>
      </c>
      <c r="V2028" s="31">
        <f>IF(H2028="CHK",VLOOKUP(I2028,QCCHK,3,),IF(H2028="GUP",VLOOKUP(E2028,QCGUP,2,),IF(AND(H2028="ATP",OR(I2028="TN",I2028="TDN",I2028="TNO2-3",I2028="NO2-3")),VLOOKUP(E2028,QCREC_N,2,),IF(AND(H2028="NIC",OR(I2028="TN",I2028="TDN",I2028="TNO2-3",I2028="NO2-3")),VLOOKUP(E2028,QCNIC_N,2,),IF(AND(H2028="UREA",OR(I2028="TN",I2028="TDN",I2028="TNO2-3",I2028="NO2-3")),VLOOKUP(E2028,QCUREA_N,2,),IF(H2028="PER",VLOOKUP(I2028,QCPER,MATCH(E2028,QCACTUAL!$J$25:$AA$25,0),),IF(H2028="SPK",VLOOKUP(I2028,QCSPK,3,),IF(AND(H2028="ATP",OR(I2028="TP",I2028="TDP")),VLOOKUP(E2028,QCATP_P,2,),""))))))))</f>
        <v>625</v>
      </c>
      <c r="W2028" s="31" t="str">
        <f t="shared" si="232"/>
        <v>TRUE</v>
      </c>
      <c r="X2028" s="31" t="str">
        <f t="shared" si="227"/>
        <v>([spikedunkn]-[unkn])/[spike]*100</v>
      </c>
      <c r="Y2028" s="10" t="s">
        <v>1144</v>
      </c>
      <c r="Z2028" s="10" t="s">
        <v>910</v>
      </c>
      <c r="AL2028" s="10" t="str">
        <f t="shared" si="229"/>
        <v>FALSE</v>
      </c>
      <c r="AM2028" s="10" t="str">
        <f t="shared" si="229"/>
        <v>FALSE</v>
      </c>
      <c r="AN2028" s="10" t="str">
        <f t="shared" si="229"/>
        <v>FALSE</v>
      </c>
      <c r="AO2028" s="10" t="str">
        <f t="shared" si="230"/>
        <v>FALSE</v>
      </c>
      <c r="AP2028" s="10" t="str">
        <f t="shared" si="230"/>
        <v>FALSE</v>
      </c>
      <c r="AQ2028" s="10" t="b">
        <f>IF(AND(I2028="TP",S2028&lt;=150),VLOOKUP(AF2028,TPCalibEq150!$AZ$2:$BB$55,3,),IF(AND(I2028="TDP",S2028&lt;=150),VLOOKUP(AF2028,TPCalibEq150!$AZ$2:$BB$55,3,)))</f>
        <v>0</v>
      </c>
      <c r="AR2028" s="10" t="b">
        <f>IF(AND(I2028="TP",S2028&lt;=300),VLOOKUP(AF2028,TPCalibEq300!$AZ$2:$BB$55,3,),IF(AND(I2028="TDP",S2028&lt;=300),VLOOKUP(AF2028,TPCalibEq300!$AZ$2:$BB$55,3,)))</f>
        <v>0</v>
      </c>
      <c r="AS2028" s="10" t="b">
        <f>IF(AND(I2028="TP",S2028&lt;=500),VLOOKUP(AF2028,TPCalibEq500!$AZ$2:$BB$56,3,),IF(AND(I2028="TDP",S2028&lt;=500),VLOOKUP(AF2028,TPCalibEq500!$AZ$2:$BB$56,3,)))</f>
        <v>0</v>
      </c>
      <c r="AT2028" s="10" t="b">
        <f>IF(AND(I2028="TN",S2028&lt;=2800),VLOOKUP(AF2028,TNCalibEq2500!$AZ$2:$BB$56,3,),IF(AND(I2028="TDN",S2028&lt;=2800),VLOOKUP(AF2028,TNCalibEq2500!$AZ$2:$BB$56,3,)))</f>
        <v>0</v>
      </c>
      <c r="AU2028" s="10" t="b">
        <f>IF(I2028="TP",VLOOKUP(AF2028,TPCalibEqFull!$AZ$2:$BB$56,3),IF(I2028="TDP",VLOOKUP(AF2028,TPCalibEqFull!$AZ$2:$BB$56,3),IF(I2028="TDN",VLOOKUP(AF2028,TNCalibEqFull!$AZ$1:$BB$56,3),IF(I2028="TN",VLOOKUP(AF2028,TNCalibEqFull!$AZ$1:$BB$56,3),FALSE))))</f>
        <v>0</v>
      </c>
      <c r="AV2028" s="10" t="str">
        <f t="shared" si="233"/>
        <v>0206 11:03:00-FVC-0-C-2-SW-SPK</v>
      </c>
    </row>
    <row r="2029" spans="1:48" s="10" customFormat="1" x14ac:dyDescent="0.55000000000000004">
      <c r="A2029" s="32">
        <v>44966</v>
      </c>
      <c r="B2029" s="33">
        <v>0.375</v>
      </c>
      <c r="C2029" s="10" t="s">
        <v>70</v>
      </c>
      <c r="D2029" s="10" t="s">
        <v>71</v>
      </c>
      <c r="E2029" s="10" t="s">
        <v>901</v>
      </c>
      <c r="F2029" s="10">
        <v>1</v>
      </c>
      <c r="G2029" s="10" t="s">
        <v>73</v>
      </c>
      <c r="H2029" s="10" t="s">
        <v>207</v>
      </c>
      <c r="I2029" s="10" t="s">
        <v>75</v>
      </c>
      <c r="J2029" s="10">
        <v>200</v>
      </c>
      <c r="K2029" s="12">
        <v>44966</v>
      </c>
      <c r="L2029" s="33">
        <v>0.49333333333333335</v>
      </c>
      <c r="M2029" s="10">
        <v>1</v>
      </c>
      <c r="N2029" s="10" t="s">
        <v>76</v>
      </c>
      <c r="O2029" s="10">
        <v>4.75</v>
      </c>
      <c r="P2029" s="10">
        <v>0.379</v>
      </c>
      <c r="Q2029" s="10">
        <v>273</v>
      </c>
      <c r="R2029" s="10" t="s">
        <v>77</v>
      </c>
      <c r="S2029" s="34">
        <f t="shared" si="228"/>
        <v>273</v>
      </c>
      <c r="T2029" s="10" t="s">
        <v>1155</v>
      </c>
      <c r="U2029" s="34">
        <f t="shared" si="231"/>
        <v>91</v>
      </c>
      <c r="V2029" s="31">
        <f>IF(H2029="CHK",VLOOKUP(I2029,QCCHK,3,),IF(H2029="GUP",VLOOKUP(E2029,QCGUP,2,),IF(AND(H2029="ATP",OR(I2029="TN",I2029="TDN",I2029="TNO2-3",I2029="NO2-3")),VLOOKUP(E2029,QCREC_N,2,),IF(AND(H2029="NIC",OR(I2029="TN",I2029="TDN",I2029="TNO2-3",I2029="NO2-3")),VLOOKUP(E2029,QCNIC_N,2,),IF(AND(H2029="UREA",OR(I2029="TN",I2029="TDN",I2029="TNO2-3",I2029="NO2-3")),VLOOKUP(E2029,QCUREA_N,2,),IF(H2029="PER",VLOOKUP(I2029,QCPER,MATCH(E2029,QCACTUAL!$J$25:$AA$25,0),),IF(H2029="SPK",VLOOKUP(I2029,QCSPK,3,),IF(AND(H2029="ATP",OR(I2029="TP",I2029="TDP")),VLOOKUP(E2029,QCATP_P,2,),""))))))))</f>
        <v>300</v>
      </c>
      <c r="W2029" s="31" t="str">
        <f t="shared" si="232"/>
        <v>TRUE</v>
      </c>
      <c r="X2029" s="31" t="str">
        <f t="shared" si="227"/>
        <v>[chk]/[actual]*100</v>
      </c>
      <c r="Y2029" s="10" t="s">
        <v>1144</v>
      </c>
      <c r="AL2029" s="10" t="str">
        <f t="shared" si="229"/>
        <v>FALSE</v>
      </c>
      <c r="AM2029" s="10" t="str">
        <f t="shared" si="229"/>
        <v>FALSE</v>
      </c>
      <c r="AN2029" s="10" t="str">
        <f t="shared" si="229"/>
        <v>FALSE</v>
      </c>
      <c r="AO2029" s="10" t="str">
        <f t="shared" si="230"/>
        <v>FALSE</v>
      </c>
      <c r="AP2029" s="10" t="str">
        <f t="shared" si="230"/>
        <v>FALSE</v>
      </c>
      <c r="AQ2029" s="10" t="b">
        <f>IF(AND(I2029="TP",S2029&lt;=150),VLOOKUP(AF2029,TPCalibEq150!$AZ$2:$BB$55,3,),IF(AND(I2029="TDP",S2029&lt;=150),VLOOKUP(AF2029,TPCalibEq150!$AZ$2:$BB$55,3,)))</f>
        <v>0</v>
      </c>
      <c r="AR2029" s="10" t="b">
        <f>IF(AND(I2029="TP",S2029&lt;=300),VLOOKUP(AF2029,TPCalibEq300!$AZ$2:$BB$55,3,),IF(AND(I2029="TDP",S2029&lt;=300),VLOOKUP(AF2029,TPCalibEq300!$AZ$2:$BB$55,3,)))</f>
        <v>0</v>
      </c>
      <c r="AS2029" s="10" t="b">
        <f>IF(AND(I2029="TP",S2029&lt;=500),VLOOKUP(AF2029,TPCalibEq500!$AZ$2:$BB$56,3,),IF(AND(I2029="TDP",S2029&lt;=500),VLOOKUP(AF2029,TPCalibEq500!$AZ$2:$BB$56,3,)))</f>
        <v>0</v>
      </c>
      <c r="AT2029" s="10" t="b">
        <f>IF(AND(I2029="TN",S2029&lt;=2800),VLOOKUP(AF2029,TNCalibEq2500!$AZ$2:$BB$56,3,),IF(AND(I2029="TDN",S2029&lt;=2800),VLOOKUP(AF2029,TNCalibEq2500!$AZ$2:$BB$56,3,)))</f>
        <v>0</v>
      </c>
      <c r="AU2029" s="10" t="b">
        <f>IF(I2029="TP",VLOOKUP(AF2029,TPCalibEqFull!$AZ$2:$BB$56,3),IF(I2029="TDP",VLOOKUP(AF2029,TPCalibEqFull!$AZ$2:$BB$56,3),IF(I2029="TDN",VLOOKUP(AF2029,TNCalibEqFull!$AZ$1:$BB$56,3),IF(I2029="TN",VLOOKUP(AF2029,TNCalibEqFull!$AZ$1:$BB$56,3),FALSE))))</f>
        <v>0</v>
      </c>
      <c r="AV2029" s="10" t="str">
        <f t="shared" si="233"/>
        <v>0209 09:00:00-QAC-STD-D-1-DI-CHK</v>
      </c>
    </row>
    <row r="2030" spans="1:48" s="10" customFormat="1" x14ac:dyDescent="0.55000000000000004">
      <c r="A2030" s="32">
        <v>44963</v>
      </c>
      <c r="B2030" s="33">
        <v>0.46875</v>
      </c>
      <c r="C2030" s="10" t="s">
        <v>250</v>
      </c>
      <c r="D2030" s="10">
        <v>0</v>
      </c>
      <c r="E2030" s="10" t="s">
        <v>190</v>
      </c>
      <c r="F2030" s="10">
        <v>1</v>
      </c>
      <c r="G2030" s="10" t="s">
        <v>231</v>
      </c>
      <c r="H2030" s="10" t="s">
        <v>322</v>
      </c>
      <c r="I2030" s="10" t="s">
        <v>75</v>
      </c>
      <c r="J2030" s="10">
        <v>21</v>
      </c>
      <c r="K2030" s="12">
        <v>44966</v>
      </c>
      <c r="L2030" s="33">
        <v>0.4941550925925926</v>
      </c>
      <c r="M2030" s="10">
        <v>1</v>
      </c>
      <c r="N2030" s="10" t="s">
        <v>76</v>
      </c>
      <c r="O2030" s="10">
        <v>0.03</v>
      </c>
      <c r="P2030" s="10">
        <v>2.2699999999999999E-3</v>
      </c>
      <c r="Q2030" s="10">
        <v>1.72</v>
      </c>
      <c r="R2030" s="10" t="s">
        <v>77</v>
      </c>
      <c r="S2030" s="34">
        <f t="shared" si="228"/>
        <v>1.72</v>
      </c>
      <c r="T2030" s="10" t="s">
        <v>1155</v>
      </c>
      <c r="U2030" s="34" t="str">
        <f t="shared" si="231"/>
        <v/>
      </c>
      <c r="V2030" s="31" t="str">
        <f>IF(H2030="CHK",VLOOKUP(I2030,QCCHK,3,),IF(H2030="GUP",VLOOKUP(E2030,QCGUP,2,),IF(AND(H2030="ATP",OR(I2030="TN",I2030="TDN",I2030="TNO2-3",I2030="NO2-3")),VLOOKUP(E2030,QCREC_N,2,),IF(AND(H2030="NIC",OR(I2030="TN",I2030="TDN",I2030="TNO2-3",I2030="NO2-3")),VLOOKUP(E2030,QCNIC_N,2,),IF(AND(H2030="UREA",OR(I2030="TN",I2030="TDN",I2030="TNO2-3",I2030="NO2-3")),VLOOKUP(E2030,QCUREA_N,2,),IF(H2030="PER",VLOOKUP(I2030,QCPER,MATCH(E2030,QCACTUAL!$J$25:$AA$25,0),),IF(H2030="SPK",VLOOKUP(I2030,QCSPK,3,),IF(AND(H2030="ATP",OR(I2030="TP",I2030="TDP")),VLOOKUP(E2030,QCATP_P,2,),""))))))))</f>
        <v/>
      </c>
      <c r="W2030" s="31" t="str">
        <f t="shared" si="232"/>
        <v>TRUE</v>
      </c>
      <c r="X2030" s="31" t="str">
        <f t="shared" si="227"/>
        <v/>
      </c>
      <c r="Y2030" s="10" t="s">
        <v>1144</v>
      </c>
      <c r="Z2030" s="10" t="s">
        <v>910</v>
      </c>
      <c r="AL2030" s="10" t="str">
        <f t="shared" si="229"/>
        <v>FALSE</v>
      </c>
      <c r="AM2030" s="10" t="str">
        <f t="shared" si="229"/>
        <v>FALSE</v>
      </c>
      <c r="AN2030" s="10" t="str">
        <f t="shared" si="229"/>
        <v>FALSE</v>
      </c>
      <c r="AO2030" s="10" t="str">
        <f t="shared" si="230"/>
        <v>FALSE</v>
      </c>
      <c r="AP2030" s="10" t="str">
        <f t="shared" si="230"/>
        <v>FALSE</v>
      </c>
      <c r="AQ2030" s="10" t="b">
        <f>IF(AND(I2030="TP",S2030&lt;=150),VLOOKUP(AF2030,TPCalibEq150!$AZ$2:$BB$55,3,),IF(AND(I2030="TDP",S2030&lt;=150),VLOOKUP(AF2030,TPCalibEq150!$AZ$2:$BB$55,3,)))</f>
        <v>0</v>
      </c>
      <c r="AR2030" s="10" t="b">
        <f>IF(AND(I2030="TP",S2030&lt;=300),VLOOKUP(AF2030,TPCalibEq300!$AZ$2:$BB$55,3,),IF(AND(I2030="TDP",S2030&lt;=300),VLOOKUP(AF2030,TPCalibEq300!$AZ$2:$BB$55,3,)))</f>
        <v>0</v>
      </c>
      <c r="AS2030" s="10" t="b">
        <f>IF(AND(I2030="TP",S2030&lt;=500),VLOOKUP(AF2030,TPCalibEq500!$AZ$2:$BB$56,3,),IF(AND(I2030="TDP",S2030&lt;=500),VLOOKUP(AF2030,TPCalibEq500!$AZ$2:$BB$56,3,)))</f>
        <v>0</v>
      </c>
      <c r="AT2030" s="10" t="b">
        <f>IF(AND(I2030="TN",S2030&lt;=2800),VLOOKUP(AF2030,TNCalibEq2500!$AZ$2:$BB$56,3,),IF(AND(I2030="TDN",S2030&lt;=2800),VLOOKUP(AF2030,TNCalibEq2500!$AZ$2:$BB$56,3,)))</f>
        <v>0</v>
      </c>
      <c r="AU2030" s="10" t="b">
        <f>IF(I2030="TP",VLOOKUP(AF2030,TPCalibEqFull!$AZ$2:$BB$56,3),IF(I2030="TDP",VLOOKUP(AF2030,TPCalibEqFull!$AZ$2:$BB$56,3),IF(I2030="TDN",VLOOKUP(AF2030,TNCalibEqFull!$AZ$1:$BB$56,3),IF(I2030="TN",VLOOKUP(AF2030,TNCalibEqFull!$AZ$1:$BB$56,3),FALSE))))</f>
        <v>0</v>
      </c>
      <c r="AV2030" s="10" t="str">
        <f t="shared" si="233"/>
        <v>0206 11:15:00-EFB-0-C-1-SW-UKN</v>
      </c>
    </row>
    <row r="2031" spans="1:48" s="10" customFormat="1" x14ac:dyDescent="0.55000000000000004">
      <c r="A2031" s="32">
        <v>44963</v>
      </c>
      <c r="B2031" s="33">
        <v>0.47916666666666669</v>
      </c>
      <c r="C2031" s="10" t="s">
        <v>326</v>
      </c>
      <c r="D2031" s="10">
        <v>0</v>
      </c>
      <c r="E2031" s="10" t="s">
        <v>190</v>
      </c>
      <c r="F2031" s="10">
        <v>1</v>
      </c>
      <c r="G2031" s="10" t="s">
        <v>231</v>
      </c>
      <c r="H2031" s="10" t="s">
        <v>322</v>
      </c>
      <c r="I2031" s="10" t="s">
        <v>75</v>
      </c>
      <c r="J2031" s="10">
        <v>22</v>
      </c>
      <c r="K2031" s="12">
        <v>44966</v>
      </c>
      <c r="L2031" s="33">
        <v>0.49496527777777777</v>
      </c>
      <c r="M2031" s="10">
        <v>1</v>
      </c>
      <c r="N2031" s="10" t="s">
        <v>76</v>
      </c>
      <c r="O2031" s="10">
        <v>0.156</v>
      </c>
      <c r="P2031" s="10">
        <v>1.29E-2</v>
      </c>
      <c r="Q2031" s="10">
        <v>8.99</v>
      </c>
      <c r="R2031" s="10" t="s">
        <v>77</v>
      </c>
      <c r="S2031" s="34">
        <f t="shared" si="228"/>
        <v>8.99</v>
      </c>
      <c r="T2031" s="10" t="s">
        <v>1155</v>
      </c>
      <c r="U2031" s="34" t="str">
        <f t="shared" si="231"/>
        <v/>
      </c>
      <c r="V2031" s="31" t="str">
        <f>IF(H2031="CHK",VLOOKUP(I2031,QCCHK,3,),IF(H2031="GUP",VLOOKUP(E2031,QCGUP,2,),IF(AND(H2031="ATP",OR(I2031="TN",I2031="TDN",I2031="TNO2-3",I2031="NO2-3")),VLOOKUP(E2031,QCREC_N,2,),IF(AND(H2031="NIC",OR(I2031="TN",I2031="TDN",I2031="TNO2-3",I2031="NO2-3")),VLOOKUP(E2031,QCNIC_N,2,),IF(AND(H2031="UREA",OR(I2031="TN",I2031="TDN",I2031="TNO2-3",I2031="NO2-3")),VLOOKUP(E2031,QCUREA_N,2,),IF(H2031="PER",VLOOKUP(I2031,QCPER,MATCH(E2031,QCACTUAL!$J$25:$AA$25,0),),IF(H2031="SPK",VLOOKUP(I2031,QCSPK,3,),IF(AND(H2031="ATP",OR(I2031="TP",I2031="TDP")),VLOOKUP(E2031,QCATP_P,2,),""))))))))</f>
        <v/>
      </c>
      <c r="W2031" s="31" t="str">
        <f t="shared" si="232"/>
        <v>TRUE</v>
      </c>
      <c r="X2031" s="31" t="str">
        <f t="shared" si="227"/>
        <v/>
      </c>
      <c r="Y2031" s="10" t="s">
        <v>1144</v>
      </c>
      <c r="Z2031" s="10" t="s">
        <v>910</v>
      </c>
      <c r="AL2031" s="10" t="str">
        <f t="shared" si="229"/>
        <v>FALSE</v>
      </c>
      <c r="AM2031" s="10" t="str">
        <f t="shared" si="229"/>
        <v>FALSE</v>
      </c>
      <c r="AN2031" s="10" t="str">
        <f t="shared" si="229"/>
        <v>FALSE</v>
      </c>
      <c r="AO2031" s="10" t="str">
        <f t="shared" si="230"/>
        <v>FALSE</v>
      </c>
      <c r="AP2031" s="10" t="str">
        <f t="shared" si="230"/>
        <v>FALSE</v>
      </c>
      <c r="AQ2031" s="10" t="b">
        <f>IF(AND(I2031="TP",S2031&lt;=150),VLOOKUP(AF2031,TPCalibEq150!$AZ$2:$BB$55,3,),IF(AND(I2031="TDP",S2031&lt;=150),VLOOKUP(AF2031,TPCalibEq150!$AZ$2:$BB$55,3,)))</f>
        <v>0</v>
      </c>
      <c r="AR2031" s="10" t="b">
        <f>IF(AND(I2031="TP",S2031&lt;=300),VLOOKUP(AF2031,TPCalibEq300!$AZ$2:$BB$55,3,),IF(AND(I2031="TDP",S2031&lt;=300),VLOOKUP(AF2031,TPCalibEq300!$AZ$2:$BB$55,3,)))</f>
        <v>0</v>
      </c>
      <c r="AS2031" s="10" t="b">
        <f>IF(AND(I2031="TP",S2031&lt;=500),VLOOKUP(AF2031,TPCalibEq500!$AZ$2:$BB$56,3,),IF(AND(I2031="TDP",S2031&lt;=500),VLOOKUP(AF2031,TPCalibEq500!$AZ$2:$BB$56,3,)))</f>
        <v>0</v>
      </c>
      <c r="AT2031" s="10" t="b">
        <f>IF(AND(I2031="TN",S2031&lt;=2800),VLOOKUP(AF2031,TNCalibEq2500!$AZ$2:$BB$56,3,),IF(AND(I2031="TDN",S2031&lt;=2800),VLOOKUP(AF2031,TNCalibEq2500!$AZ$2:$BB$56,3,)))</f>
        <v>0</v>
      </c>
      <c r="AU2031" s="10" t="b">
        <f>IF(I2031="TP",VLOOKUP(AF2031,TPCalibEqFull!$AZ$2:$BB$56,3),IF(I2031="TDP",VLOOKUP(AF2031,TPCalibEqFull!$AZ$2:$BB$56,3),IF(I2031="TDN",VLOOKUP(AF2031,TNCalibEqFull!$AZ$1:$BB$56,3),IF(I2031="TN",VLOOKUP(AF2031,TNCalibEqFull!$AZ$1:$BB$56,3),FALSE))))</f>
        <v>0</v>
      </c>
      <c r="AV2031" s="10" t="str">
        <f t="shared" si="233"/>
        <v>0206 11:30:00-GRR-0-C-1-SW-UKN</v>
      </c>
    </row>
    <row r="2032" spans="1:48" s="10" customFormat="1" x14ac:dyDescent="0.55000000000000004">
      <c r="A2032" s="32">
        <v>44963</v>
      </c>
      <c r="B2032" s="33">
        <v>0.4909722222222222</v>
      </c>
      <c r="C2032" s="10" t="s">
        <v>416</v>
      </c>
      <c r="D2032" s="10">
        <v>0</v>
      </c>
      <c r="E2032" s="10" t="s">
        <v>190</v>
      </c>
      <c r="F2032" s="10">
        <v>1</v>
      </c>
      <c r="G2032" s="10" t="s">
        <v>231</v>
      </c>
      <c r="H2032" s="10" t="s">
        <v>322</v>
      </c>
      <c r="I2032" s="10" t="s">
        <v>75</v>
      </c>
      <c r="J2032" s="10">
        <v>23</v>
      </c>
      <c r="K2032" s="12">
        <v>44966</v>
      </c>
      <c r="L2032" s="33">
        <v>0.49578703703703703</v>
      </c>
      <c r="M2032" s="10">
        <v>1</v>
      </c>
      <c r="N2032" s="10" t="s">
        <v>76</v>
      </c>
      <c r="O2032" s="10">
        <v>1.43</v>
      </c>
      <c r="P2032" s="10">
        <v>0.115</v>
      </c>
      <c r="Q2032" s="10">
        <v>82.3</v>
      </c>
      <c r="R2032" s="10" t="s">
        <v>77</v>
      </c>
      <c r="S2032" s="34">
        <f t="shared" si="228"/>
        <v>82.3</v>
      </c>
      <c r="T2032" s="10" t="s">
        <v>1155</v>
      </c>
      <c r="U2032" s="34" t="str">
        <f t="shared" si="231"/>
        <v/>
      </c>
      <c r="V2032" s="31" t="str">
        <f>IF(H2032="CHK",VLOOKUP(I2032,QCCHK,3,),IF(H2032="GUP",VLOOKUP(E2032,QCGUP,2,),IF(AND(H2032="ATP",OR(I2032="TN",I2032="TDN",I2032="TNO2-3",I2032="NO2-3")),VLOOKUP(E2032,QCREC_N,2,),IF(AND(H2032="NIC",OR(I2032="TN",I2032="TDN",I2032="TNO2-3",I2032="NO2-3")),VLOOKUP(E2032,QCNIC_N,2,),IF(AND(H2032="UREA",OR(I2032="TN",I2032="TDN",I2032="TNO2-3",I2032="NO2-3")),VLOOKUP(E2032,QCUREA_N,2,),IF(H2032="PER",VLOOKUP(I2032,QCPER,MATCH(E2032,QCACTUAL!$J$25:$AA$25,0),),IF(H2032="SPK",VLOOKUP(I2032,QCSPK,3,),IF(AND(H2032="ATP",OR(I2032="TP",I2032="TDP")),VLOOKUP(E2032,QCATP_P,2,),""))))))))</f>
        <v/>
      </c>
      <c r="W2032" s="31" t="str">
        <f t="shared" si="232"/>
        <v>TRUE</v>
      </c>
      <c r="X2032" s="31" t="str">
        <f t="shared" si="227"/>
        <v/>
      </c>
      <c r="Y2032" s="10" t="s">
        <v>1144</v>
      </c>
      <c r="Z2032" s="10" t="s">
        <v>910</v>
      </c>
      <c r="AL2032" s="10" t="str">
        <f t="shared" si="229"/>
        <v>FALSE</v>
      </c>
      <c r="AM2032" s="10" t="str">
        <f t="shared" si="229"/>
        <v>FALSE</v>
      </c>
      <c r="AN2032" s="10" t="str">
        <f t="shared" si="229"/>
        <v>FALSE</v>
      </c>
      <c r="AO2032" s="10" t="str">
        <f t="shared" si="230"/>
        <v>FALSE</v>
      </c>
      <c r="AP2032" s="10" t="str">
        <f t="shared" si="230"/>
        <v>FALSE</v>
      </c>
      <c r="AQ2032" s="10" t="b">
        <f>IF(AND(I2032="TP",S2032&lt;=150),VLOOKUP(AF2032,TPCalibEq150!$AZ$2:$BB$55,3,),IF(AND(I2032="TDP",S2032&lt;=150),VLOOKUP(AF2032,TPCalibEq150!$AZ$2:$BB$55,3,)))</f>
        <v>0</v>
      </c>
      <c r="AR2032" s="10" t="b">
        <f>IF(AND(I2032="TP",S2032&lt;=300),VLOOKUP(AF2032,TPCalibEq300!$AZ$2:$BB$55,3,),IF(AND(I2032="TDP",S2032&lt;=300),VLOOKUP(AF2032,TPCalibEq300!$AZ$2:$BB$55,3,)))</f>
        <v>0</v>
      </c>
      <c r="AS2032" s="10" t="b">
        <f>IF(AND(I2032="TP",S2032&lt;=500),VLOOKUP(AF2032,TPCalibEq500!$AZ$2:$BB$56,3,),IF(AND(I2032="TDP",S2032&lt;=500),VLOOKUP(AF2032,TPCalibEq500!$AZ$2:$BB$56,3,)))</f>
        <v>0</v>
      </c>
      <c r="AT2032" s="10" t="b">
        <f>IF(AND(I2032="TN",S2032&lt;=2800),VLOOKUP(AF2032,TNCalibEq2500!$AZ$2:$BB$56,3,),IF(AND(I2032="TDN",S2032&lt;=2800),VLOOKUP(AF2032,TNCalibEq2500!$AZ$2:$BB$56,3,)))</f>
        <v>0</v>
      </c>
      <c r="AU2032" s="10" t="b">
        <f>IF(I2032="TP",VLOOKUP(AF2032,TPCalibEqFull!$AZ$2:$BB$56,3),IF(I2032="TDP",VLOOKUP(AF2032,TPCalibEqFull!$AZ$2:$BB$56,3),IF(I2032="TDN",VLOOKUP(AF2032,TNCalibEqFull!$AZ$1:$BB$56,3),IF(I2032="TN",VLOOKUP(AF2032,TNCalibEqFull!$AZ$1:$BB$56,3),FALSE))))</f>
        <v>0</v>
      </c>
      <c r="AV2032" s="10" t="str">
        <f t="shared" si="233"/>
        <v>0206 11:47:00-CWL-0-C-1-SW-UKN</v>
      </c>
    </row>
    <row r="2033" spans="1:48" s="10" customFormat="1" x14ac:dyDescent="0.55000000000000004">
      <c r="A2033" s="32">
        <v>44963</v>
      </c>
      <c r="B2033" s="33">
        <v>0.61875000000000002</v>
      </c>
      <c r="C2033" s="10" t="s">
        <v>408</v>
      </c>
      <c r="D2033" s="10">
        <v>0</v>
      </c>
      <c r="E2033" s="10">
        <v>560</v>
      </c>
      <c r="F2033" s="10">
        <v>1</v>
      </c>
      <c r="G2033" s="10" t="s">
        <v>231</v>
      </c>
      <c r="H2033" s="10" t="s">
        <v>322</v>
      </c>
      <c r="I2033" s="10" t="s">
        <v>75</v>
      </c>
      <c r="J2033" s="10">
        <v>24</v>
      </c>
      <c r="K2033" s="12">
        <v>44966</v>
      </c>
      <c r="L2033" s="33">
        <v>0.49659722222222219</v>
      </c>
      <c r="M2033" s="10">
        <v>1</v>
      </c>
      <c r="N2033" s="10" t="s">
        <v>76</v>
      </c>
      <c r="O2033" s="10">
        <v>2.6499999999999999E-2</v>
      </c>
      <c r="P2033" s="10">
        <v>2.7000000000000001E-3</v>
      </c>
      <c r="Q2033" s="10">
        <v>1.52</v>
      </c>
      <c r="R2033" s="10" t="s">
        <v>77</v>
      </c>
      <c r="S2033" s="34">
        <f t="shared" si="228"/>
        <v>1.52</v>
      </c>
      <c r="T2033" s="10" t="s">
        <v>1155</v>
      </c>
      <c r="U2033" s="34" t="str">
        <f t="shared" si="231"/>
        <v/>
      </c>
      <c r="V2033" s="31" t="str">
        <f>IF(H2033="CHK",VLOOKUP(I2033,QCCHK,3,),IF(H2033="GUP",VLOOKUP(E2033,QCGUP,2,),IF(AND(H2033="ATP",OR(I2033="TN",I2033="TDN",I2033="TNO2-3",I2033="NO2-3")),VLOOKUP(E2033,QCREC_N,2,),IF(AND(H2033="NIC",OR(I2033="TN",I2033="TDN",I2033="TNO2-3",I2033="NO2-3")),VLOOKUP(E2033,QCNIC_N,2,),IF(AND(H2033="UREA",OR(I2033="TN",I2033="TDN",I2033="TNO2-3",I2033="NO2-3")),VLOOKUP(E2033,QCUREA_N,2,),IF(H2033="PER",VLOOKUP(I2033,QCPER,MATCH(E2033,QCACTUAL!$J$25:$AA$25,0),),IF(H2033="SPK",VLOOKUP(I2033,QCSPK,3,),IF(AND(H2033="ATP",OR(I2033="TP",I2033="TDP")),VLOOKUP(E2033,QCATP_P,2,),""))))))))</f>
        <v/>
      </c>
      <c r="W2033" s="31" t="str">
        <f t="shared" si="232"/>
        <v>TRUE</v>
      </c>
      <c r="X2033" s="31" t="str">
        <f t="shared" si="227"/>
        <v/>
      </c>
      <c r="Y2033" s="10" t="s">
        <v>1144</v>
      </c>
      <c r="Z2033" s="10" t="s">
        <v>910</v>
      </c>
      <c r="AL2033" s="10" t="str">
        <f t="shared" si="229"/>
        <v>FALSE</v>
      </c>
      <c r="AM2033" s="10" t="str">
        <f t="shared" si="229"/>
        <v>FALSE</v>
      </c>
      <c r="AN2033" s="10" t="str">
        <f t="shared" si="229"/>
        <v>FALSE</v>
      </c>
      <c r="AO2033" s="10" t="str">
        <f t="shared" si="230"/>
        <v>FALSE</v>
      </c>
      <c r="AP2033" s="10" t="str">
        <f t="shared" si="230"/>
        <v>FALSE</v>
      </c>
      <c r="AQ2033" s="10" t="b">
        <f>IF(AND(I2033="TP",S2033&lt;=150),VLOOKUP(AF2033,TPCalibEq150!$AZ$2:$BB$55,3,),IF(AND(I2033="TDP",S2033&lt;=150),VLOOKUP(AF2033,TPCalibEq150!$AZ$2:$BB$55,3,)))</f>
        <v>0</v>
      </c>
      <c r="AR2033" s="10" t="b">
        <f>IF(AND(I2033="TP",S2033&lt;=300),VLOOKUP(AF2033,TPCalibEq300!$AZ$2:$BB$55,3,),IF(AND(I2033="TDP",S2033&lt;=300),VLOOKUP(AF2033,TPCalibEq300!$AZ$2:$BB$55,3,)))</f>
        <v>0</v>
      </c>
      <c r="AS2033" s="10" t="b">
        <f>IF(AND(I2033="TP",S2033&lt;=500),VLOOKUP(AF2033,TPCalibEq500!$AZ$2:$BB$56,3,),IF(AND(I2033="TDP",S2033&lt;=500),VLOOKUP(AF2033,TPCalibEq500!$AZ$2:$BB$56,3,)))</f>
        <v>0</v>
      </c>
      <c r="AT2033" s="10" t="b">
        <f>IF(AND(I2033="TN",S2033&lt;=2800),VLOOKUP(AF2033,TNCalibEq2500!$AZ$2:$BB$56,3,),IF(AND(I2033="TDN",S2033&lt;=2800),VLOOKUP(AF2033,TNCalibEq2500!$AZ$2:$BB$56,3,)))</f>
        <v>0</v>
      </c>
      <c r="AU2033" s="10" t="b">
        <f>IF(I2033="TP",VLOOKUP(AF2033,TPCalibEqFull!$AZ$2:$BB$56,3),IF(I2033="TDP",VLOOKUP(AF2033,TPCalibEqFull!$AZ$2:$BB$56,3),IF(I2033="TDN",VLOOKUP(AF2033,TNCalibEqFull!$AZ$1:$BB$56,3),IF(I2033="TN",VLOOKUP(AF2033,TNCalibEqFull!$AZ$1:$BB$56,3),FALSE))))</f>
        <v>0</v>
      </c>
      <c r="AV2033" s="10" t="str">
        <f t="shared" si="233"/>
        <v>0206 14:51:00-CLC-0-560-1-SW-UKN</v>
      </c>
    </row>
    <row r="2034" spans="1:48" s="10" customFormat="1" x14ac:dyDescent="0.55000000000000004">
      <c r="A2034" s="32">
        <v>44963</v>
      </c>
      <c r="B2034" s="33">
        <v>0.59722222222222221</v>
      </c>
      <c r="C2034" s="10" t="s">
        <v>214</v>
      </c>
      <c r="D2034" s="10">
        <v>0</v>
      </c>
      <c r="E2034" s="10">
        <v>610</v>
      </c>
      <c r="F2034" s="10">
        <v>1</v>
      </c>
      <c r="G2034" s="10" t="s">
        <v>231</v>
      </c>
      <c r="H2034" s="10" t="s">
        <v>322</v>
      </c>
      <c r="I2034" s="10" t="s">
        <v>75</v>
      </c>
      <c r="J2034" s="10">
        <v>25</v>
      </c>
      <c r="K2034" s="12">
        <v>44966</v>
      </c>
      <c r="L2034" s="33">
        <v>0.49740740740740735</v>
      </c>
      <c r="M2034" s="10">
        <v>1</v>
      </c>
      <c r="N2034" s="10" t="s">
        <v>76</v>
      </c>
      <c r="O2034" s="10">
        <v>1.9</v>
      </c>
      <c r="P2034" s="10">
        <v>0.15</v>
      </c>
      <c r="Q2034" s="10">
        <v>109</v>
      </c>
      <c r="R2034" s="10" t="s">
        <v>77</v>
      </c>
      <c r="S2034" s="34">
        <f t="shared" si="228"/>
        <v>109</v>
      </c>
      <c r="T2034" s="10" t="s">
        <v>1155</v>
      </c>
      <c r="U2034" s="34" t="str">
        <f t="shared" si="231"/>
        <v/>
      </c>
      <c r="V2034" s="31" t="str">
        <f>IF(H2034="CHK",VLOOKUP(I2034,QCCHK,3,),IF(H2034="GUP",VLOOKUP(E2034,QCGUP,2,),IF(AND(H2034="ATP",OR(I2034="TN",I2034="TDN",I2034="TNO2-3",I2034="NO2-3")),VLOOKUP(E2034,QCREC_N,2,),IF(AND(H2034="NIC",OR(I2034="TN",I2034="TDN",I2034="TNO2-3",I2034="NO2-3")),VLOOKUP(E2034,QCNIC_N,2,),IF(AND(H2034="UREA",OR(I2034="TN",I2034="TDN",I2034="TNO2-3",I2034="NO2-3")),VLOOKUP(E2034,QCUREA_N,2,),IF(H2034="PER",VLOOKUP(I2034,QCPER,MATCH(E2034,QCACTUAL!$J$25:$AA$25,0),),IF(H2034="SPK",VLOOKUP(I2034,QCSPK,3,),IF(AND(H2034="ATP",OR(I2034="TP",I2034="TDP")),VLOOKUP(E2034,QCATP_P,2,),""))))))))</f>
        <v/>
      </c>
      <c r="W2034" s="31" t="str">
        <f t="shared" si="232"/>
        <v>TRUE</v>
      </c>
      <c r="X2034" s="31" t="str">
        <f t="shared" si="227"/>
        <v/>
      </c>
      <c r="Y2034" s="10" t="s">
        <v>1144</v>
      </c>
      <c r="Z2034" s="10" t="s">
        <v>910</v>
      </c>
      <c r="AL2034" s="10" t="str">
        <f t="shared" si="229"/>
        <v>FALSE</v>
      </c>
      <c r="AM2034" s="10" t="str">
        <f t="shared" si="229"/>
        <v>FALSE</v>
      </c>
      <c r="AN2034" s="10" t="str">
        <f t="shared" si="229"/>
        <v>FALSE</v>
      </c>
      <c r="AO2034" s="10" t="str">
        <f t="shared" si="230"/>
        <v>FALSE</v>
      </c>
      <c r="AP2034" s="10" t="str">
        <f t="shared" si="230"/>
        <v>FALSE</v>
      </c>
      <c r="AQ2034" s="10" t="b">
        <f>IF(AND(I2034="TP",S2034&lt;=150),VLOOKUP(AF2034,TPCalibEq150!$AZ$2:$BB$55,3,),IF(AND(I2034="TDP",S2034&lt;=150),VLOOKUP(AF2034,TPCalibEq150!$AZ$2:$BB$55,3,)))</f>
        <v>0</v>
      </c>
      <c r="AR2034" s="10" t="b">
        <f>IF(AND(I2034="TP",S2034&lt;=300),VLOOKUP(AF2034,TPCalibEq300!$AZ$2:$BB$55,3,),IF(AND(I2034="TDP",S2034&lt;=300),VLOOKUP(AF2034,TPCalibEq300!$AZ$2:$BB$55,3,)))</f>
        <v>0</v>
      </c>
      <c r="AS2034" s="10" t="b">
        <f>IF(AND(I2034="TP",S2034&lt;=500),VLOOKUP(AF2034,TPCalibEq500!$AZ$2:$BB$56,3,),IF(AND(I2034="TDP",S2034&lt;=500),VLOOKUP(AF2034,TPCalibEq500!$AZ$2:$BB$56,3,)))</f>
        <v>0</v>
      </c>
      <c r="AT2034" s="10" t="b">
        <f>IF(AND(I2034="TN",S2034&lt;=2800),VLOOKUP(AF2034,TNCalibEq2500!$AZ$2:$BB$56,3,),IF(AND(I2034="TDN",S2034&lt;=2800),VLOOKUP(AF2034,TNCalibEq2500!$AZ$2:$BB$56,3,)))</f>
        <v>0</v>
      </c>
      <c r="AU2034" s="10" t="b">
        <f>IF(I2034="TP",VLOOKUP(AF2034,TPCalibEqFull!$AZ$2:$BB$56,3),IF(I2034="TDP",VLOOKUP(AF2034,TPCalibEqFull!$AZ$2:$BB$56,3),IF(I2034="TDN",VLOOKUP(AF2034,TNCalibEqFull!$AZ$1:$BB$56,3),IF(I2034="TN",VLOOKUP(AF2034,TNCalibEqFull!$AZ$1:$BB$56,3),FALSE))))</f>
        <v>0</v>
      </c>
      <c r="AV2034" s="10" t="str">
        <f t="shared" si="233"/>
        <v>0206 14:20:00-DAM-0-610-1-SW-UKN</v>
      </c>
    </row>
    <row r="2035" spans="1:48" s="10" customFormat="1" x14ac:dyDescent="0.55000000000000004">
      <c r="A2035" s="32">
        <v>44963</v>
      </c>
      <c r="B2035" s="33">
        <v>0.59722222222222221</v>
      </c>
      <c r="C2035" s="10" t="s">
        <v>214</v>
      </c>
      <c r="D2035" s="10">
        <v>0</v>
      </c>
      <c r="E2035" s="10" t="s">
        <v>190</v>
      </c>
      <c r="F2035" s="10">
        <v>1</v>
      </c>
      <c r="G2035" s="10" t="s">
        <v>231</v>
      </c>
      <c r="H2035" s="10" t="s">
        <v>233</v>
      </c>
      <c r="I2035" s="10" t="s">
        <v>75</v>
      </c>
      <c r="J2035" s="10">
        <v>25</v>
      </c>
      <c r="K2035" s="12">
        <v>44966</v>
      </c>
      <c r="L2035" s="33">
        <v>0.49822916666666667</v>
      </c>
      <c r="M2035" s="10">
        <v>1</v>
      </c>
      <c r="N2035" s="10" t="s">
        <v>76</v>
      </c>
      <c r="O2035" s="10">
        <v>1.21</v>
      </c>
      <c r="P2035" s="10">
        <v>9.35E-2</v>
      </c>
      <c r="Q2035" s="10">
        <v>69.7</v>
      </c>
      <c r="R2035" s="10" t="s">
        <v>77</v>
      </c>
      <c r="S2035" s="34">
        <f t="shared" si="228"/>
        <v>69.7</v>
      </c>
      <c r="T2035" s="10" t="s">
        <v>1155</v>
      </c>
      <c r="U2035" s="34">
        <f t="shared" si="231"/>
        <v>43.984331281477331</v>
      </c>
      <c r="V2035" s="31" t="str">
        <f>IF(H2035="CHK",VLOOKUP(I2035,QCCHK,3,),IF(H2035="GUP",VLOOKUP(E2035,QCGUP,2,),IF(AND(H2035="ATP",OR(I2035="TN",I2035="TDN",I2035="TNO2-3",I2035="NO2-3")),VLOOKUP(E2035,QCREC_N,2,),IF(AND(H2035="NIC",OR(I2035="TN",I2035="TDN",I2035="TNO2-3",I2035="NO2-3")),VLOOKUP(E2035,QCNIC_N,2,),IF(AND(H2035="UREA",OR(I2035="TN",I2035="TDN",I2035="TNO2-3",I2035="NO2-3")),VLOOKUP(E2035,QCUREA_N,2,),IF(H2035="PER",VLOOKUP(I2035,QCPER,MATCH(E2035,QCACTUAL!$J$25:$AA$25,0),),IF(H2035="SPK",VLOOKUP(I2035,QCSPK,3,),IF(AND(H2035="ATP",OR(I2035="TP",I2035="TDP")),VLOOKUP(E2035,QCATP_P,2,),""))))))))</f>
        <v/>
      </c>
      <c r="W2035" s="31" t="str">
        <f t="shared" si="232"/>
        <v>FALSE</v>
      </c>
      <c r="X2035" s="31" t="str">
        <f t="shared" si="227"/>
        <v>((ABS(rep1-rep2))/((rep1+rep2)/2)*100</v>
      </c>
      <c r="Y2035" s="10" t="s">
        <v>1144</v>
      </c>
      <c r="Z2035" s="10" t="s">
        <v>910</v>
      </c>
      <c r="AL2035" s="10" t="str">
        <f t="shared" si="229"/>
        <v>FALSE</v>
      </c>
      <c r="AM2035" s="10" t="str">
        <f t="shared" si="229"/>
        <v>FALSE</v>
      </c>
      <c r="AN2035" s="10" t="str">
        <f t="shared" si="229"/>
        <v>FALSE</v>
      </c>
      <c r="AO2035" s="10" t="str">
        <f t="shared" si="230"/>
        <v>FALSE</v>
      </c>
      <c r="AP2035" s="10" t="str">
        <f t="shared" si="230"/>
        <v>FALSE</v>
      </c>
      <c r="AQ2035" s="10" t="b">
        <f>IF(AND(I2035="TP",S2035&lt;=150),VLOOKUP(AF2035,TPCalibEq150!$AZ$2:$BB$55,3,),IF(AND(I2035="TDP",S2035&lt;=150),VLOOKUP(AF2035,TPCalibEq150!$AZ$2:$BB$55,3,)))</f>
        <v>0</v>
      </c>
      <c r="AR2035" s="10" t="b">
        <f>IF(AND(I2035="TP",S2035&lt;=300),VLOOKUP(AF2035,TPCalibEq300!$AZ$2:$BB$55,3,),IF(AND(I2035="TDP",S2035&lt;=300),VLOOKUP(AF2035,TPCalibEq300!$AZ$2:$BB$55,3,)))</f>
        <v>0</v>
      </c>
      <c r="AS2035" s="10" t="b">
        <f>IF(AND(I2035="TP",S2035&lt;=500),VLOOKUP(AF2035,TPCalibEq500!$AZ$2:$BB$56,3,),IF(AND(I2035="TDP",S2035&lt;=500),VLOOKUP(AF2035,TPCalibEq500!$AZ$2:$BB$56,3,)))</f>
        <v>0</v>
      </c>
      <c r="AT2035" s="10" t="b">
        <f>IF(AND(I2035="TN",S2035&lt;=2800),VLOOKUP(AF2035,TNCalibEq2500!$AZ$2:$BB$56,3,),IF(AND(I2035="TDN",S2035&lt;=2800),VLOOKUP(AF2035,TNCalibEq2500!$AZ$2:$BB$56,3,)))</f>
        <v>0</v>
      </c>
      <c r="AU2035" s="10" t="b">
        <f>IF(I2035="TP",VLOOKUP(AF2035,TPCalibEqFull!$AZ$2:$BB$56,3),IF(I2035="TDP",VLOOKUP(AF2035,TPCalibEqFull!$AZ$2:$BB$56,3),IF(I2035="TDN",VLOOKUP(AF2035,TNCalibEqFull!$AZ$1:$BB$56,3),IF(I2035="TN",VLOOKUP(AF2035,TNCalibEqFull!$AZ$1:$BB$56,3),FALSE))))</f>
        <v>0</v>
      </c>
      <c r="AV2035" s="10" t="str">
        <f t="shared" si="233"/>
        <v>0206 14:20:00-DAM-0-C-1-SW-DUP</v>
      </c>
    </row>
    <row r="2036" spans="1:48" s="10" customFormat="1" x14ac:dyDescent="0.55000000000000004">
      <c r="A2036" s="32">
        <v>44963</v>
      </c>
      <c r="B2036" s="33">
        <v>0.59722222222222221</v>
      </c>
      <c r="C2036" s="10" t="s">
        <v>214</v>
      </c>
      <c r="D2036" s="10">
        <v>0</v>
      </c>
      <c r="E2036" s="10" t="s">
        <v>190</v>
      </c>
      <c r="F2036" s="10">
        <v>1</v>
      </c>
      <c r="G2036" s="10" t="s">
        <v>231</v>
      </c>
      <c r="H2036" s="10" t="s">
        <v>314</v>
      </c>
      <c r="I2036" s="10" t="s">
        <v>75</v>
      </c>
      <c r="J2036" s="10">
        <v>114</v>
      </c>
      <c r="K2036" s="12">
        <v>44966</v>
      </c>
      <c r="L2036" s="33">
        <v>0.49903935185185189</v>
      </c>
      <c r="M2036" s="10">
        <v>1</v>
      </c>
      <c r="N2036" s="10" t="s">
        <v>76</v>
      </c>
      <c r="O2036" s="10">
        <v>1.25</v>
      </c>
      <c r="P2036" s="10">
        <v>0.10100000000000001</v>
      </c>
      <c r="Q2036" s="10">
        <v>71.8</v>
      </c>
      <c r="R2036" s="10" t="s">
        <v>77</v>
      </c>
      <c r="S2036" s="34">
        <f t="shared" si="228"/>
        <v>71.8</v>
      </c>
      <c r="T2036" s="10" t="s">
        <v>1155</v>
      </c>
      <c r="U2036" s="34">
        <f t="shared" si="231"/>
        <v>0.33599999999999908</v>
      </c>
      <c r="V2036" s="31">
        <f>IF(H2036="CHK",VLOOKUP(I2036,QCCHK,3,),IF(H2036="GUP",VLOOKUP(E2036,QCGUP,2,),IF(AND(H2036="ATP",OR(I2036="TN",I2036="TDN",I2036="TNO2-3",I2036="NO2-3")),VLOOKUP(E2036,QCREC_N,2,),IF(AND(H2036="NIC",OR(I2036="TN",I2036="TDN",I2036="TNO2-3",I2036="NO2-3")),VLOOKUP(E2036,QCNIC_N,2,),IF(AND(H2036="UREA",OR(I2036="TN",I2036="TDN",I2036="TNO2-3",I2036="NO2-3")),VLOOKUP(E2036,QCUREA_N,2,),IF(H2036="PER",VLOOKUP(I2036,QCPER,MATCH(E2036,QCACTUAL!$J$25:$AA$25,0),),IF(H2036="SPK",VLOOKUP(I2036,QCSPK,3,),IF(AND(H2036="ATP",OR(I2036="TP",I2036="TDP")),VLOOKUP(E2036,QCATP_P,2,),""))))))))</f>
        <v>625</v>
      </c>
      <c r="W2036" s="31" t="str">
        <f t="shared" si="232"/>
        <v>FALSE</v>
      </c>
      <c r="X2036" s="31" t="str">
        <f t="shared" si="227"/>
        <v>([spikedunkn]-[unkn])/[spike]*100</v>
      </c>
      <c r="Y2036" s="10" t="s">
        <v>1144</v>
      </c>
      <c r="Z2036" s="10" t="s">
        <v>910</v>
      </c>
      <c r="AL2036" s="10" t="str">
        <f t="shared" si="229"/>
        <v>FALSE</v>
      </c>
      <c r="AM2036" s="10" t="str">
        <f t="shared" si="229"/>
        <v>FALSE</v>
      </c>
      <c r="AN2036" s="10" t="str">
        <f t="shared" si="229"/>
        <v>FALSE</v>
      </c>
      <c r="AO2036" s="10" t="str">
        <f t="shared" si="230"/>
        <v>FALSE</v>
      </c>
      <c r="AP2036" s="10" t="str">
        <f t="shared" si="230"/>
        <v>FALSE</v>
      </c>
      <c r="AQ2036" s="10" t="b">
        <f>IF(AND(I2036="TP",S2036&lt;=150),VLOOKUP(AF2036,TPCalibEq150!$AZ$2:$BB$55,3,),IF(AND(I2036="TDP",S2036&lt;=150),VLOOKUP(AF2036,TPCalibEq150!$AZ$2:$BB$55,3,)))</f>
        <v>0</v>
      </c>
      <c r="AR2036" s="10" t="b">
        <f>IF(AND(I2036="TP",S2036&lt;=300),VLOOKUP(AF2036,TPCalibEq300!$AZ$2:$BB$55,3,),IF(AND(I2036="TDP",S2036&lt;=300),VLOOKUP(AF2036,TPCalibEq300!$AZ$2:$BB$55,3,)))</f>
        <v>0</v>
      </c>
      <c r="AS2036" s="10" t="b">
        <f>IF(AND(I2036="TP",S2036&lt;=500),VLOOKUP(AF2036,TPCalibEq500!$AZ$2:$BB$56,3,),IF(AND(I2036="TDP",S2036&lt;=500),VLOOKUP(AF2036,TPCalibEq500!$AZ$2:$BB$56,3,)))</f>
        <v>0</v>
      </c>
      <c r="AT2036" s="10" t="b">
        <f>IF(AND(I2036="TN",S2036&lt;=2800),VLOOKUP(AF2036,TNCalibEq2500!$AZ$2:$BB$56,3,),IF(AND(I2036="TDN",S2036&lt;=2800),VLOOKUP(AF2036,TNCalibEq2500!$AZ$2:$BB$56,3,)))</f>
        <v>0</v>
      </c>
      <c r="AU2036" s="10" t="b">
        <f>IF(I2036="TP",VLOOKUP(AF2036,TPCalibEqFull!$AZ$2:$BB$56,3),IF(I2036="TDP",VLOOKUP(AF2036,TPCalibEqFull!$AZ$2:$BB$56,3),IF(I2036="TDN",VLOOKUP(AF2036,TNCalibEqFull!$AZ$1:$BB$56,3),IF(I2036="TN",VLOOKUP(AF2036,TNCalibEqFull!$AZ$1:$BB$56,3),FALSE))))</f>
        <v>0</v>
      </c>
      <c r="AV2036" s="10" t="str">
        <f t="shared" si="233"/>
        <v>0206 14:20:00-DAM-0-C-1-SW-SPK</v>
      </c>
    </row>
    <row r="2037" spans="1:48" s="10" customFormat="1" x14ac:dyDescent="0.55000000000000004">
      <c r="A2037" s="32">
        <v>44966</v>
      </c>
      <c r="B2037" s="33">
        <v>0.375</v>
      </c>
      <c r="C2037" s="10" t="s">
        <v>70</v>
      </c>
      <c r="D2037" s="10" t="s">
        <v>71</v>
      </c>
      <c r="E2037" s="10" t="s">
        <v>901</v>
      </c>
      <c r="F2037" s="10">
        <v>1</v>
      </c>
      <c r="G2037" s="10" t="s">
        <v>73</v>
      </c>
      <c r="H2037" s="10" t="s">
        <v>207</v>
      </c>
      <c r="I2037" s="10" t="s">
        <v>75</v>
      </c>
      <c r="J2037" s="10">
        <v>200</v>
      </c>
      <c r="K2037" s="12">
        <v>44966</v>
      </c>
      <c r="L2037" s="33">
        <v>0.49986111111111109</v>
      </c>
      <c r="M2037" s="10">
        <v>1</v>
      </c>
      <c r="N2037" s="10" t="s">
        <v>76</v>
      </c>
      <c r="O2037" s="10">
        <v>4.78</v>
      </c>
      <c r="P2037" s="10">
        <v>0.379</v>
      </c>
      <c r="Q2037" s="10">
        <v>275</v>
      </c>
      <c r="R2037" s="10" t="s">
        <v>77</v>
      </c>
      <c r="S2037" s="34">
        <f t="shared" si="228"/>
        <v>275</v>
      </c>
      <c r="T2037" s="10" t="s">
        <v>1155</v>
      </c>
      <c r="U2037" s="34">
        <f t="shared" si="231"/>
        <v>91.666666666666657</v>
      </c>
      <c r="V2037" s="31">
        <f>IF(H2037="CHK",VLOOKUP(I2037,QCCHK,3,),IF(H2037="GUP",VLOOKUP(E2037,QCGUP,2,),IF(AND(H2037="ATP",OR(I2037="TN",I2037="TDN",I2037="TNO2-3",I2037="NO2-3")),VLOOKUP(E2037,QCREC_N,2,),IF(AND(H2037="NIC",OR(I2037="TN",I2037="TDN",I2037="TNO2-3",I2037="NO2-3")),VLOOKUP(E2037,QCNIC_N,2,),IF(AND(H2037="UREA",OR(I2037="TN",I2037="TDN",I2037="TNO2-3",I2037="NO2-3")),VLOOKUP(E2037,QCUREA_N,2,),IF(H2037="PER",VLOOKUP(I2037,QCPER,MATCH(E2037,QCACTUAL!$J$25:$AA$25,0),),IF(H2037="SPK",VLOOKUP(I2037,QCSPK,3,),IF(AND(H2037="ATP",OR(I2037="TP",I2037="TDP")),VLOOKUP(E2037,QCATP_P,2,),""))))))))</f>
        <v>300</v>
      </c>
      <c r="W2037" s="31" t="str">
        <f t="shared" si="232"/>
        <v>TRUE</v>
      </c>
      <c r="X2037" s="31" t="str">
        <f t="shared" si="227"/>
        <v>[chk]/[actual]*100</v>
      </c>
      <c r="Y2037" s="10" t="s">
        <v>1144</v>
      </c>
      <c r="AL2037" s="10" t="str">
        <f t="shared" si="229"/>
        <v>FALSE</v>
      </c>
      <c r="AM2037" s="10" t="str">
        <f t="shared" si="229"/>
        <v>FALSE</v>
      </c>
      <c r="AN2037" s="10" t="str">
        <f t="shared" si="229"/>
        <v>FALSE</v>
      </c>
      <c r="AO2037" s="10" t="str">
        <f t="shared" si="230"/>
        <v>FALSE</v>
      </c>
      <c r="AP2037" s="10" t="str">
        <f t="shared" si="230"/>
        <v>FALSE</v>
      </c>
      <c r="AQ2037" s="10" t="b">
        <f>IF(AND(I2037="TP",S2037&lt;=150),VLOOKUP(AF2037,TPCalibEq150!$AZ$2:$BB$55,3,),IF(AND(I2037="TDP",S2037&lt;=150),VLOOKUP(AF2037,TPCalibEq150!$AZ$2:$BB$55,3,)))</f>
        <v>0</v>
      </c>
      <c r="AR2037" s="10" t="b">
        <f>IF(AND(I2037="TP",S2037&lt;=300),VLOOKUP(AF2037,TPCalibEq300!$AZ$2:$BB$55,3,),IF(AND(I2037="TDP",S2037&lt;=300),VLOOKUP(AF2037,TPCalibEq300!$AZ$2:$BB$55,3,)))</f>
        <v>0</v>
      </c>
      <c r="AS2037" s="10" t="b">
        <f>IF(AND(I2037="TP",S2037&lt;=500),VLOOKUP(AF2037,TPCalibEq500!$AZ$2:$BB$56,3,),IF(AND(I2037="TDP",S2037&lt;=500),VLOOKUP(AF2037,TPCalibEq500!$AZ$2:$BB$56,3,)))</f>
        <v>0</v>
      </c>
      <c r="AT2037" s="10" t="b">
        <f>IF(AND(I2037="TN",S2037&lt;=2800),VLOOKUP(AF2037,TNCalibEq2500!$AZ$2:$BB$56,3,),IF(AND(I2037="TDN",S2037&lt;=2800),VLOOKUP(AF2037,TNCalibEq2500!$AZ$2:$BB$56,3,)))</f>
        <v>0</v>
      </c>
      <c r="AU2037" s="10" t="b">
        <f>IF(I2037="TP",VLOOKUP(AF2037,TPCalibEqFull!$AZ$2:$BB$56,3),IF(I2037="TDP",VLOOKUP(AF2037,TPCalibEqFull!$AZ$2:$BB$56,3),IF(I2037="TDN",VLOOKUP(AF2037,TNCalibEqFull!$AZ$1:$BB$56,3),IF(I2037="TN",VLOOKUP(AF2037,TNCalibEqFull!$AZ$1:$BB$56,3),FALSE))))</f>
        <v>0</v>
      </c>
      <c r="AV2037" s="10" t="str">
        <f t="shared" si="233"/>
        <v>0209 09:00:00-QAC-STD-D-1-DI-CHK</v>
      </c>
    </row>
    <row r="2038" spans="1:48" s="10" customFormat="1" x14ac:dyDescent="0.55000000000000004">
      <c r="A2038" s="32">
        <v>44965</v>
      </c>
      <c r="B2038" s="33">
        <v>0.47164351851851855</v>
      </c>
      <c r="C2038" s="10" t="s">
        <v>431</v>
      </c>
      <c r="D2038" s="10">
        <v>0</v>
      </c>
      <c r="E2038" s="10">
        <v>500</v>
      </c>
      <c r="F2038" s="10">
        <v>1</v>
      </c>
      <c r="G2038" s="10" t="s">
        <v>231</v>
      </c>
      <c r="H2038" s="10" t="s">
        <v>322</v>
      </c>
      <c r="I2038" s="10" t="s">
        <v>75</v>
      </c>
      <c r="J2038" s="10">
        <v>26</v>
      </c>
      <c r="K2038" s="12">
        <v>44966</v>
      </c>
      <c r="L2038" s="33">
        <v>0.50067129629629636</v>
      </c>
      <c r="M2038" s="10">
        <v>1</v>
      </c>
      <c r="N2038" s="10" t="s">
        <v>76</v>
      </c>
      <c r="O2038" s="10">
        <v>0.56000000000000005</v>
      </c>
      <c r="P2038" s="10">
        <v>3.9600000000000003E-2</v>
      </c>
      <c r="Q2038" s="10">
        <v>32.200000000000003</v>
      </c>
      <c r="R2038" s="10" t="s">
        <v>77</v>
      </c>
      <c r="S2038" s="34">
        <f t="shared" si="228"/>
        <v>32.200000000000003</v>
      </c>
      <c r="T2038" s="10" t="s">
        <v>1155</v>
      </c>
      <c r="U2038" s="34" t="str">
        <f t="shared" si="231"/>
        <v/>
      </c>
      <c r="V2038" s="31" t="str">
        <f>IF(H2038="CHK",VLOOKUP(I2038,QCCHK,3,),IF(H2038="GUP",VLOOKUP(E2038,QCGUP,2,),IF(AND(H2038="ATP",OR(I2038="TN",I2038="TDN",I2038="TNO2-3",I2038="NO2-3")),VLOOKUP(E2038,QCREC_N,2,),IF(AND(H2038="NIC",OR(I2038="TN",I2038="TDN",I2038="TNO2-3",I2038="NO2-3")),VLOOKUP(E2038,QCNIC_N,2,),IF(AND(H2038="UREA",OR(I2038="TN",I2038="TDN",I2038="TNO2-3",I2038="NO2-3")),VLOOKUP(E2038,QCUREA_N,2,),IF(H2038="PER",VLOOKUP(I2038,QCPER,MATCH(E2038,QCACTUAL!$J$25:$AA$25,0),),IF(H2038="SPK",VLOOKUP(I2038,QCSPK,3,),IF(AND(H2038="ATP",OR(I2038="TP",I2038="TDP")),VLOOKUP(E2038,QCATP_P,2,),""))))))))</f>
        <v/>
      </c>
      <c r="W2038" s="31" t="str">
        <f t="shared" si="232"/>
        <v>TRUE</v>
      </c>
      <c r="X2038" s="31" t="str">
        <f t="shared" si="227"/>
        <v/>
      </c>
      <c r="Y2038" s="10" t="s">
        <v>1144</v>
      </c>
      <c r="AL2038" s="10" t="str">
        <f t="shared" si="229"/>
        <v>FALSE</v>
      </c>
      <c r="AM2038" s="10" t="str">
        <f t="shared" si="229"/>
        <v>FALSE</v>
      </c>
      <c r="AN2038" s="10" t="str">
        <f t="shared" si="229"/>
        <v>FALSE</v>
      </c>
      <c r="AO2038" s="10" t="str">
        <f t="shared" si="230"/>
        <v>FALSE</v>
      </c>
      <c r="AP2038" s="10" t="str">
        <f t="shared" si="230"/>
        <v>FALSE</v>
      </c>
      <c r="AQ2038" s="10" t="b">
        <f>IF(AND(I2038="TP",S2038&lt;=150),VLOOKUP(AF2038,TPCalibEq150!$AZ$2:$BB$55,3,),IF(AND(I2038="TDP",S2038&lt;=150),VLOOKUP(AF2038,TPCalibEq150!$AZ$2:$BB$55,3,)))</f>
        <v>0</v>
      </c>
      <c r="AR2038" s="10" t="b">
        <f>IF(AND(I2038="TP",S2038&lt;=300),VLOOKUP(AF2038,TPCalibEq300!$AZ$2:$BB$55,3,),IF(AND(I2038="TDP",S2038&lt;=300),VLOOKUP(AF2038,TPCalibEq300!$AZ$2:$BB$55,3,)))</f>
        <v>0</v>
      </c>
      <c r="AS2038" s="10" t="b">
        <f>IF(AND(I2038="TP",S2038&lt;=500),VLOOKUP(AF2038,TPCalibEq500!$AZ$2:$BB$56,3,),IF(AND(I2038="TDP",S2038&lt;=500),VLOOKUP(AF2038,TPCalibEq500!$AZ$2:$BB$56,3,)))</f>
        <v>0</v>
      </c>
      <c r="AT2038" s="10" t="b">
        <f>IF(AND(I2038="TN",S2038&lt;=2800),VLOOKUP(AF2038,TNCalibEq2500!$AZ$2:$BB$56,3,),IF(AND(I2038="TDN",S2038&lt;=2800),VLOOKUP(AF2038,TNCalibEq2500!$AZ$2:$BB$56,3,)))</f>
        <v>0</v>
      </c>
      <c r="AU2038" s="10" t="b">
        <f>IF(I2038="TP",VLOOKUP(AF2038,TPCalibEqFull!$AZ$2:$BB$56,3),IF(I2038="TDP",VLOOKUP(AF2038,TPCalibEqFull!$AZ$2:$BB$56,3),IF(I2038="TDN",VLOOKUP(AF2038,TNCalibEqFull!$AZ$1:$BB$56,3),IF(I2038="TN",VLOOKUP(AF2038,TNCalibEqFull!$AZ$1:$BB$56,3),FALSE))))</f>
        <v>0</v>
      </c>
      <c r="AV2038" s="10" t="str">
        <f t="shared" si="233"/>
        <v>0208 11:19:10-EUS-0-500-1-SW-UKN</v>
      </c>
    </row>
    <row r="2039" spans="1:48" s="10" customFormat="1" x14ac:dyDescent="0.55000000000000004">
      <c r="A2039" s="32">
        <v>44965</v>
      </c>
      <c r="B2039" s="33">
        <v>0.47395833333333331</v>
      </c>
      <c r="C2039" s="10" t="s">
        <v>431</v>
      </c>
      <c r="D2039" s="10">
        <v>5</v>
      </c>
      <c r="E2039" s="10" t="s">
        <v>190</v>
      </c>
      <c r="F2039" s="10">
        <v>1</v>
      </c>
      <c r="G2039" s="10" t="s">
        <v>231</v>
      </c>
      <c r="H2039" s="10" t="s">
        <v>322</v>
      </c>
      <c r="I2039" s="10" t="s">
        <v>75</v>
      </c>
      <c r="J2039" s="10">
        <v>27</v>
      </c>
      <c r="K2039" s="12">
        <v>44966</v>
      </c>
      <c r="L2039" s="33">
        <v>0.50148148148148153</v>
      </c>
      <c r="M2039" s="10">
        <v>1</v>
      </c>
      <c r="N2039" s="10" t="s">
        <v>76</v>
      </c>
      <c r="O2039" s="10">
        <v>0.55400000000000005</v>
      </c>
      <c r="P2039" s="10">
        <v>4.6699999999999998E-2</v>
      </c>
      <c r="Q2039" s="10">
        <v>31.9</v>
      </c>
      <c r="R2039" s="10" t="s">
        <v>77</v>
      </c>
      <c r="S2039" s="34">
        <f t="shared" si="228"/>
        <v>31.9</v>
      </c>
      <c r="T2039" s="10" t="s">
        <v>1155</v>
      </c>
      <c r="U2039" s="34" t="str">
        <f t="shared" si="231"/>
        <v/>
      </c>
      <c r="V2039" s="31" t="str">
        <f>IF(H2039="CHK",VLOOKUP(I2039,QCCHK,3,),IF(H2039="GUP",VLOOKUP(E2039,QCGUP,2,),IF(AND(H2039="ATP",OR(I2039="TN",I2039="TDN",I2039="TNO2-3",I2039="NO2-3")),VLOOKUP(E2039,QCREC_N,2,),IF(AND(H2039="NIC",OR(I2039="TN",I2039="TDN",I2039="TNO2-3",I2039="NO2-3")),VLOOKUP(E2039,QCNIC_N,2,),IF(AND(H2039="UREA",OR(I2039="TN",I2039="TDN",I2039="TNO2-3",I2039="NO2-3")),VLOOKUP(E2039,QCUREA_N,2,),IF(H2039="PER",VLOOKUP(I2039,QCPER,MATCH(E2039,QCACTUAL!$J$25:$AA$25,0),),IF(H2039="SPK",VLOOKUP(I2039,QCSPK,3,),IF(AND(H2039="ATP",OR(I2039="TP",I2039="TDP")),VLOOKUP(E2039,QCATP_P,2,),""))))))))</f>
        <v/>
      </c>
      <c r="W2039" s="31" t="str">
        <f t="shared" si="232"/>
        <v>TRUE</v>
      </c>
      <c r="X2039" s="31" t="str">
        <f t="shared" si="227"/>
        <v/>
      </c>
      <c r="Y2039" s="10" t="s">
        <v>1144</v>
      </c>
      <c r="AL2039" s="10" t="str">
        <f t="shared" si="229"/>
        <v>FALSE</v>
      </c>
      <c r="AM2039" s="10" t="str">
        <f t="shared" si="229"/>
        <v>FALSE</v>
      </c>
      <c r="AN2039" s="10" t="str">
        <f t="shared" si="229"/>
        <v>FALSE</v>
      </c>
      <c r="AO2039" s="10" t="str">
        <f t="shared" si="230"/>
        <v>FALSE</v>
      </c>
      <c r="AP2039" s="10" t="str">
        <f t="shared" si="230"/>
        <v>FALSE</v>
      </c>
      <c r="AQ2039" s="10" t="b">
        <f>IF(AND(I2039="TP",S2039&lt;=150),VLOOKUP(AF2039,TPCalibEq150!$AZ$2:$BB$55,3,),IF(AND(I2039="TDP",S2039&lt;=150),VLOOKUP(AF2039,TPCalibEq150!$AZ$2:$BB$55,3,)))</f>
        <v>0</v>
      </c>
      <c r="AR2039" s="10" t="b">
        <f>IF(AND(I2039="TP",S2039&lt;=300),VLOOKUP(AF2039,TPCalibEq300!$AZ$2:$BB$55,3,),IF(AND(I2039="TDP",S2039&lt;=300),VLOOKUP(AF2039,TPCalibEq300!$AZ$2:$BB$55,3,)))</f>
        <v>0</v>
      </c>
      <c r="AS2039" s="10" t="b">
        <f>IF(AND(I2039="TP",S2039&lt;=500),VLOOKUP(AF2039,TPCalibEq500!$AZ$2:$BB$56,3,),IF(AND(I2039="TDP",S2039&lt;=500),VLOOKUP(AF2039,TPCalibEq500!$AZ$2:$BB$56,3,)))</f>
        <v>0</v>
      </c>
      <c r="AT2039" s="10" t="b">
        <f>IF(AND(I2039="TN",S2039&lt;=2800),VLOOKUP(AF2039,TNCalibEq2500!$AZ$2:$BB$56,3,),IF(AND(I2039="TDN",S2039&lt;=2800),VLOOKUP(AF2039,TNCalibEq2500!$AZ$2:$BB$56,3,)))</f>
        <v>0</v>
      </c>
      <c r="AU2039" s="10" t="b">
        <f>IF(I2039="TP",VLOOKUP(AF2039,TPCalibEqFull!$AZ$2:$BB$56,3),IF(I2039="TDP",VLOOKUP(AF2039,TPCalibEqFull!$AZ$2:$BB$56,3),IF(I2039="TDN",VLOOKUP(AF2039,TNCalibEqFull!$AZ$1:$BB$56,3),IF(I2039="TN",VLOOKUP(AF2039,TNCalibEqFull!$AZ$1:$BB$56,3),FALSE))))</f>
        <v>0</v>
      </c>
      <c r="AV2039" s="10" t="str">
        <f t="shared" si="233"/>
        <v>0208 11:22:30-EUS-5-C-1-SW-UKN</v>
      </c>
    </row>
    <row r="2040" spans="1:48" s="10" customFormat="1" x14ac:dyDescent="0.55000000000000004">
      <c r="A2040" s="32">
        <v>44965</v>
      </c>
      <c r="B2040" s="33">
        <v>0.46828703703703706</v>
      </c>
      <c r="C2040" s="10" t="s">
        <v>618</v>
      </c>
      <c r="D2040" s="10">
        <v>0</v>
      </c>
      <c r="E2040" s="10">
        <v>700</v>
      </c>
      <c r="F2040" s="10">
        <v>1</v>
      </c>
      <c r="G2040" s="10" t="s">
        <v>231</v>
      </c>
      <c r="H2040" s="10" t="s">
        <v>322</v>
      </c>
      <c r="I2040" s="10" t="s">
        <v>75</v>
      </c>
      <c r="J2040" s="10">
        <v>28</v>
      </c>
      <c r="K2040" s="12">
        <v>44966</v>
      </c>
      <c r="L2040" s="33">
        <v>0.50229166666666669</v>
      </c>
      <c r="M2040" s="10">
        <v>1</v>
      </c>
      <c r="N2040" s="10" t="s">
        <v>76</v>
      </c>
      <c r="O2040" s="10">
        <v>1.54</v>
      </c>
      <c r="P2040" s="10">
        <v>0.12</v>
      </c>
      <c r="Q2040" s="10">
        <v>88.6</v>
      </c>
      <c r="R2040" s="10" t="s">
        <v>77</v>
      </c>
      <c r="S2040" s="34">
        <f t="shared" si="228"/>
        <v>88.6</v>
      </c>
      <c r="T2040" s="10" t="s">
        <v>1155</v>
      </c>
      <c r="U2040" s="34" t="str">
        <f t="shared" si="231"/>
        <v/>
      </c>
      <c r="V2040" s="31" t="str">
        <f>IF(H2040="CHK",VLOOKUP(I2040,QCCHK,3,),IF(H2040="GUP",VLOOKUP(E2040,QCGUP,2,),IF(AND(H2040="ATP",OR(I2040="TN",I2040="TDN",I2040="TNO2-3",I2040="NO2-3")),VLOOKUP(E2040,QCREC_N,2,),IF(AND(H2040="NIC",OR(I2040="TN",I2040="TDN",I2040="TNO2-3",I2040="NO2-3")),VLOOKUP(E2040,QCNIC_N,2,),IF(AND(H2040="UREA",OR(I2040="TN",I2040="TDN",I2040="TNO2-3",I2040="NO2-3")),VLOOKUP(E2040,QCUREA_N,2,),IF(H2040="PER",VLOOKUP(I2040,QCPER,MATCH(E2040,QCACTUAL!$J$25:$AA$25,0),),IF(H2040="SPK",VLOOKUP(I2040,QCSPK,3,),IF(AND(H2040="ATP",OR(I2040="TP",I2040="TDP")),VLOOKUP(E2040,QCATP_P,2,),""))))))))</f>
        <v/>
      </c>
      <c r="W2040" s="31" t="str">
        <f t="shared" si="232"/>
        <v>TRUE</v>
      </c>
      <c r="X2040" s="31" t="str">
        <f t="shared" si="227"/>
        <v/>
      </c>
      <c r="Y2040" s="10" t="s">
        <v>1144</v>
      </c>
      <c r="AL2040" s="10" t="str">
        <f t="shared" si="229"/>
        <v>FALSE</v>
      </c>
      <c r="AM2040" s="10" t="str">
        <f t="shared" si="229"/>
        <v>FALSE</v>
      </c>
      <c r="AN2040" s="10" t="str">
        <f t="shared" si="229"/>
        <v>FALSE</v>
      </c>
      <c r="AO2040" s="10" t="str">
        <f t="shared" si="230"/>
        <v>FALSE</v>
      </c>
      <c r="AP2040" s="10" t="str">
        <f t="shared" si="230"/>
        <v>FALSE</v>
      </c>
      <c r="AQ2040" s="10" t="b">
        <f>IF(AND(I2040="TP",S2040&lt;=150),VLOOKUP(AF2040,TPCalibEq150!$AZ$2:$BB$55,3,),IF(AND(I2040="TDP",S2040&lt;=150),VLOOKUP(AF2040,TPCalibEq150!$AZ$2:$BB$55,3,)))</f>
        <v>0</v>
      </c>
      <c r="AR2040" s="10" t="b">
        <f>IF(AND(I2040="TP",S2040&lt;=300),VLOOKUP(AF2040,TPCalibEq300!$AZ$2:$BB$55,3,),IF(AND(I2040="TDP",S2040&lt;=300),VLOOKUP(AF2040,TPCalibEq300!$AZ$2:$BB$55,3,)))</f>
        <v>0</v>
      </c>
      <c r="AS2040" s="10" t="b">
        <f>IF(AND(I2040="TP",S2040&lt;=500),VLOOKUP(AF2040,TPCalibEq500!$AZ$2:$BB$56,3,),IF(AND(I2040="TDP",S2040&lt;=500),VLOOKUP(AF2040,TPCalibEq500!$AZ$2:$BB$56,3,)))</f>
        <v>0</v>
      </c>
      <c r="AT2040" s="10" t="b">
        <f>IF(AND(I2040="TN",S2040&lt;=2800),VLOOKUP(AF2040,TNCalibEq2500!$AZ$2:$BB$56,3,),IF(AND(I2040="TDN",S2040&lt;=2800),VLOOKUP(AF2040,TNCalibEq2500!$AZ$2:$BB$56,3,)))</f>
        <v>0</v>
      </c>
      <c r="AU2040" s="10" t="b">
        <f>IF(I2040="TP",VLOOKUP(AF2040,TPCalibEqFull!$AZ$2:$BB$56,3),IF(I2040="TDP",VLOOKUP(AF2040,TPCalibEqFull!$AZ$2:$BB$56,3),IF(I2040="TDN",VLOOKUP(AF2040,TNCalibEqFull!$AZ$1:$BB$56,3),IF(I2040="TN",VLOOKUP(AF2040,TNCalibEqFull!$AZ$1:$BB$56,3),FALSE))))</f>
        <v>0</v>
      </c>
      <c r="AV2040" s="10" t="str">
        <f t="shared" si="233"/>
        <v>0208 11:14:20-ECP-0-700-1-SW-UKN</v>
      </c>
    </row>
    <row r="2041" spans="1:48" s="10" customFormat="1" x14ac:dyDescent="0.55000000000000004">
      <c r="A2041" s="32">
        <v>44965</v>
      </c>
      <c r="B2041" s="33">
        <v>0.46828703703703706</v>
      </c>
      <c r="C2041" s="10" t="s">
        <v>618</v>
      </c>
      <c r="D2041" s="10">
        <v>0</v>
      </c>
      <c r="E2041" s="10">
        <v>700</v>
      </c>
      <c r="F2041" s="10">
        <v>2</v>
      </c>
      <c r="G2041" s="10" t="s">
        <v>231</v>
      </c>
      <c r="H2041" s="10" t="s">
        <v>322</v>
      </c>
      <c r="I2041" s="10" t="s">
        <v>75</v>
      </c>
      <c r="J2041" s="10">
        <v>29</v>
      </c>
      <c r="K2041" s="12">
        <v>44966</v>
      </c>
      <c r="L2041" s="33">
        <v>0.50310185185185186</v>
      </c>
      <c r="M2041" s="10">
        <v>1</v>
      </c>
      <c r="N2041" s="10" t="s">
        <v>76</v>
      </c>
      <c r="O2041" s="10">
        <v>1.45</v>
      </c>
      <c r="P2041" s="10">
        <v>0.112</v>
      </c>
      <c r="Q2041" s="10">
        <v>83.6</v>
      </c>
      <c r="R2041" s="10" t="s">
        <v>77</v>
      </c>
      <c r="S2041" s="34">
        <f t="shared" si="228"/>
        <v>83.6</v>
      </c>
      <c r="T2041" s="10" t="s">
        <v>1155</v>
      </c>
      <c r="U2041" s="34" t="str">
        <f t="shared" si="231"/>
        <v/>
      </c>
      <c r="V2041" s="31" t="str">
        <f>IF(H2041="CHK",VLOOKUP(I2041,QCCHK,3,),IF(H2041="GUP",VLOOKUP(E2041,QCGUP,2,),IF(AND(H2041="ATP",OR(I2041="TN",I2041="TDN",I2041="TNO2-3",I2041="NO2-3")),VLOOKUP(E2041,QCREC_N,2,),IF(AND(H2041="NIC",OR(I2041="TN",I2041="TDN",I2041="TNO2-3",I2041="NO2-3")),VLOOKUP(E2041,QCNIC_N,2,),IF(AND(H2041="UREA",OR(I2041="TN",I2041="TDN",I2041="TNO2-3",I2041="NO2-3")),VLOOKUP(E2041,QCUREA_N,2,),IF(H2041="PER",VLOOKUP(I2041,QCPER,MATCH(E2041,QCACTUAL!$J$25:$AA$25,0),),IF(H2041="SPK",VLOOKUP(I2041,QCSPK,3,),IF(AND(H2041="ATP",OR(I2041="TP",I2041="TDP")),VLOOKUP(E2041,QCATP_P,2,),""))))))))</f>
        <v/>
      </c>
      <c r="W2041" s="31" t="str">
        <f t="shared" si="232"/>
        <v>TRUE</v>
      </c>
      <c r="X2041" s="31" t="str">
        <f t="shared" si="227"/>
        <v/>
      </c>
      <c r="Y2041" s="10" t="s">
        <v>1144</v>
      </c>
      <c r="AL2041" s="10" t="str">
        <f t="shared" si="229"/>
        <v>FALSE</v>
      </c>
      <c r="AM2041" s="10" t="str">
        <f t="shared" si="229"/>
        <v>FALSE</v>
      </c>
      <c r="AN2041" s="10" t="str">
        <f t="shared" si="229"/>
        <v>FALSE</v>
      </c>
      <c r="AO2041" s="10" t="str">
        <f t="shared" si="230"/>
        <v>FALSE</v>
      </c>
      <c r="AP2041" s="10" t="str">
        <f t="shared" si="230"/>
        <v>FALSE</v>
      </c>
      <c r="AQ2041" s="10" t="b">
        <f>IF(AND(I2041="TP",S2041&lt;=150),VLOOKUP(AF2041,TPCalibEq150!$AZ$2:$BB$55,3,),IF(AND(I2041="TDP",S2041&lt;=150),VLOOKUP(AF2041,TPCalibEq150!$AZ$2:$BB$55,3,)))</f>
        <v>0</v>
      </c>
      <c r="AR2041" s="10" t="b">
        <f>IF(AND(I2041="TP",S2041&lt;=300),VLOOKUP(AF2041,TPCalibEq300!$AZ$2:$BB$55,3,),IF(AND(I2041="TDP",S2041&lt;=300),VLOOKUP(AF2041,TPCalibEq300!$AZ$2:$BB$55,3,)))</f>
        <v>0</v>
      </c>
      <c r="AS2041" s="10" t="b">
        <f>IF(AND(I2041="TP",S2041&lt;=500),VLOOKUP(AF2041,TPCalibEq500!$AZ$2:$BB$56,3,),IF(AND(I2041="TDP",S2041&lt;=500),VLOOKUP(AF2041,TPCalibEq500!$AZ$2:$BB$56,3,)))</f>
        <v>0</v>
      </c>
      <c r="AT2041" s="10" t="b">
        <f>IF(AND(I2041="TN",S2041&lt;=2800),VLOOKUP(AF2041,TNCalibEq2500!$AZ$2:$BB$56,3,),IF(AND(I2041="TDN",S2041&lt;=2800),VLOOKUP(AF2041,TNCalibEq2500!$AZ$2:$BB$56,3,)))</f>
        <v>0</v>
      </c>
      <c r="AU2041" s="10" t="b">
        <f>IF(I2041="TP",VLOOKUP(AF2041,TPCalibEqFull!$AZ$2:$BB$56,3),IF(I2041="TDP",VLOOKUP(AF2041,TPCalibEqFull!$AZ$2:$BB$56,3),IF(I2041="TDN",VLOOKUP(AF2041,TNCalibEqFull!$AZ$1:$BB$56,3),IF(I2041="TN",VLOOKUP(AF2041,TNCalibEqFull!$AZ$1:$BB$56,3),FALSE))))</f>
        <v>0</v>
      </c>
      <c r="AV2041" s="10" t="str">
        <f t="shared" si="233"/>
        <v>0208 11:14:20-ECP-0-700-2-SW-UKN</v>
      </c>
    </row>
    <row r="2042" spans="1:48" s="10" customFormat="1" x14ac:dyDescent="0.55000000000000004">
      <c r="A2042" s="32">
        <v>44965</v>
      </c>
      <c r="B2042" s="33">
        <v>0.46828703703703706</v>
      </c>
      <c r="C2042" s="10" t="s">
        <v>618</v>
      </c>
      <c r="D2042" s="10">
        <v>0</v>
      </c>
      <c r="E2042" s="10">
        <v>700</v>
      </c>
      <c r="F2042" s="10">
        <v>2</v>
      </c>
      <c r="G2042" s="10" t="s">
        <v>231</v>
      </c>
      <c r="H2042" s="10" t="s">
        <v>233</v>
      </c>
      <c r="I2042" s="10" t="s">
        <v>75</v>
      </c>
      <c r="J2042" s="10">
        <v>29</v>
      </c>
      <c r="K2042" s="12">
        <v>44966</v>
      </c>
      <c r="L2042" s="33">
        <v>0.50391203703703702</v>
      </c>
      <c r="M2042" s="10">
        <v>1</v>
      </c>
      <c r="N2042" s="10" t="s">
        <v>76</v>
      </c>
      <c r="O2042" s="10">
        <v>1.4</v>
      </c>
      <c r="P2042" s="10">
        <v>0.11</v>
      </c>
      <c r="Q2042" s="10">
        <v>80.400000000000006</v>
      </c>
      <c r="R2042" s="10" t="s">
        <v>77</v>
      </c>
      <c r="S2042" s="34">
        <f t="shared" si="228"/>
        <v>80.400000000000006</v>
      </c>
      <c r="T2042" s="10" t="s">
        <v>1155</v>
      </c>
      <c r="U2042" s="34">
        <f t="shared" si="231"/>
        <v>3.90243902439023</v>
      </c>
      <c r="V2042" s="31" t="str">
        <f>IF(H2042="CHK",VLOOKUP(I2042,QCCHK,3,),IF(H2042="GUP",VLOOKUP(E2042,QCGUP,2,),IF(AND(H2042="ATP",OR(I2042="TN",I2042="TDN",I2042="TNO2-3",I2042="NO2-3")),VLOOKUP(E2042,QCREC_N,2,),IF(AND(H2042="NIC",OR(I2042="TN",I2042="TDN",I2042="TNO2-3",I2042="NO2-3")),VLOOKUP(E2042,QCNIC_N,2,),IF(AND(H2042="UREA",OR(I2042="TN",I2042="TDN",I2042="TNO2-3",I2042="NO2-3")),VLOOKUP(E2042,QCUREA_N,2,),IF(H2042="PER",VLOOKUP(I2042,QCPER,MATCH(E2042,QCACTUAL!$J$25:$AA$25,0),),IF(H2042="SPK",VLOOKUP(I2042,QCSPK,3,),IF(AND(H2042="ATP",OR(I2042="TP",I2042="TDP")),VLOOKUP(E2042,QCATP_P,2,),""))))))))</f>
        <v/>
      </c>
      <c r="W2042" s="31" t="str">
        <f t="shared" si="232"/>
        <v>TRUE</v>
      </c>
      <c r="X2042" s="31" t="str">
        <f t="shared" si="227"/>
        <v>((ABS(rep1-rep2))/((rep1+rep2)/2)*100</v>
      </c>
      <c r="Y2042" s="10" t="s">
        <v>1144</v>
      </c>
      <c r="AL2042" s="10" t="str">
        <f t="shared" si="229"/>
        <v>FALSE</v>
      </c>
      <c r="AM2042" s="10" t="str">
        <f t="shared" si="229"/>
        <v>FALSE</v>
      </c>
      <c r="AN2042" s="10" t="str">
        <f t="shared" si="229"/>
        <v>FALSE</v>
      </c>
      <c r="AO2042" s="10" t="str">
        <f t="shared" si="230"/>
        <v>FALSE</v>
      </c>
      <c r="AP2042" s="10" t="str">
        <f t="shared" si="230"/>
        <v>FALSE</v>
      </c>
      <c r="AQ2042" s="10" t="b">
        <f>IF(AND(I2042="TP",S2042&lt;=150),VLOOKUP(AF2042,TPCalibEq150!$AZ$2:$BB$55,3,),IF(AND(I2042="TDP",S2042&lt;=150),VLOOKUP(AF2042,TPCalibEq150!$AZ$2:$BB$55,3,)))</f>
        <v>0</v>
      </c>
      <c r="AR2042" s="10" t="b">
        <f>IF(AND(I2042="TP",S2042&lt;=300),VLOOKUP(AF2042,TPCalibEq300!$AZ$2:$BB$55,3,),IF(AND(I2042="TDP",S2042&lt;=300),VLOOKUP(AF2042,TPCalibEq300!$AZ$2:$BB$55,3,)))</f>
        <v>0</v>
      </c>
      <c r="AS2042" s="10" t="b">
        <f>IF(AND(I2042="TP",S2042&lt;=500),VLOOKUP(AF2042,TPCalibEq500!$AZ$2:$BB$56,3,),IF(AND(I2042="TDP",S2042&lt;=500),VLOOKUP(AF2042,TPCalibEq500!$AZ$2:$BB$56,3,)))</f>
        <v>0</v>
      </c>
      <c r="AT2042" s="10" t="b">
        <f>IF(AND(I2042="TN",S2042&lt;=2800),VLOOKUP(AF2042,TNCalibEq2500!$AZ$2:$BB$56,3,),IF(AND(I2042="TDN",S2042&lt;=2800),VLOOKUP(AF2042,TNCalibEq2500!$AZ$2:$BB$56,3,)))</f>
        <v>0</v>
      </c>
      <c r="AU2042" s="10" t="b">
        <f>IF(I2042="TP",VLOOKUP(AF2042,TPCalibEqFull!$AZ$2:$BB$56,3),IF(I2042="TDP",VLOOKUP(AF2042,TPCalibEqFull!$AZ$2:$BB$56,3),IF(I2042="TDN",VLOOKUP(AF2042,TNCalibEqFull!$AZ$1:$BB$56,3),IF(I2042="TN",VLOOKUP(AF2042,TNCalibEqFull!$AZ$1:$BB$56,3),FALSE))))</f>
        <v>0</v>
      </c>
      <c r="AV2042" s="10" t="str">
        <f t="shared" si="233"/>
        <v>0208 11:14:20-ECP-0-700-2-SW-DUP</v>
      </c>
    </row>
    <row r="2043" spans="1:48" s="10" customFormat="1" x14ac:dyDescent="0.55000000000000004">
      <c r="A2043" s="32">
        <v>44965</v>
      </c>
      <c r="B2043" s="33">
        <v>0.46828703703703706</v>
      </c>
      <c r="C2043" s="10" t="s">
        <v>618</v>
      </c>
      <c r="D2043" s="10">
        <v>0</v>
      </c>
      <c r="E2043" s="10">
        <v>700</v>
      </c>
      <c r="F2043" s="10">
        <v>2</v>
      </c>
      <c r="G2043" s="10" t="s">
        <v>231</v>
      </c>
      <c r="H2043" s="10" t="s">
        <v>314</v>
      </c>
      <c r="I2043" s="10" t="s">
        <v>75</v>
      </c>
      <c r="J2043" s="10">
        <v>122</v>
      </c>
      <c r="K2043" s="12">
        <v>44966</v>
      </c>
      <c r="L2043" s="33">
        <v>0.50473379629629633</v>
      </c>
      <c r="M2043" s="10">
        <v>1</v>
      </c>
      <c r="N2043" s="10" t="s">
        <v>76</v>
      </c>
      <c r="O2043" s="10">
        <v>14</v>
      </c>
      <c r="P2043" s="10">
        <v>1.1100000000000001</v>
      </c>
      <c r="Q2043" s="10">
        <v>804</v>
      </c>
      <c r="R2043" s="10" t="s">
        <v>77</v>
      </c>
      <c r="S2043" s="34">
        <f t="shared" si="228"/>
        <v>804</v>
      </c>
      <c r="T2043" s="10" t="s">
        <v>1155</v>
      </c>
      <c r="U2043" s="34">
        <f t="shared" si="231"/>
        <v>115.77600000000001</v>
      </c>
      <c r="V2043" s="31">
        <f>IF(H2043="CHK",VLOOKUP(I2043,QCCHK,3,),IF(H2043="GUP",VLOOKUP(E2043,QCGUP,2,),IF(AND(H2043="ATP",OR(I2043="TN",I2043="TDN",I2043="TNO2-3",I2043="NO2-3")),VLOOKUP(E2043,QCREC_N,2,),IF(AND(H2043="NIC",OR(I2043="TN",I2043="TDN",I2043="TNO2-3",I2043="NO2-3")),VLOOKUP(E2043,QCNIC_N,2,),IF(AND(H2043="UREA",OR(I2043="TN",I2043="TDN",I2043="TNO2-3",I2043="NO2-3")),VLOOKUP(E2043,QCUREA_N,2,),IF(H2043="PER",VLOOKUP(I2043,QCPER,MATCH(E2043,QCACTUAL!$J$25:$AA$25,0),),IF(H2043="SPK",VLOOKUP(I2043,QCSPK,3,),IF(AND(H2043="ATP",OR(I2043="TP",I2043="TDP")),VLOOKUP(E2043,QCATP_P,2,),""))))))))</f>
        <v>625</v>
      </c>
      <c r="W2043" s="31" t="str">
        <f t="shared" si="232"/>
        <v>TRUE</v>
      </c>
      <c r="X2043" s="31" t="str">
        <f t="shared" si="227"/>
        <v>([spikedunkn]-[unkn])/[spike]*100</v>
      </c>
      <c r="Y2043" s="10" t="s">
        <v>1144</v>
      </c>
      <c r="AL2043" s="10" t="str">
        <f t="shared" si="229"/>
        <v>FALSE</v>
      </c>
      <c r="AM2043" s="10" t="str">
        <f t="shared" si="229"/>
        <v>FALSE</v>
      </c>
      <c r="AN2043" s="10" t="str">
        <f t="shared" si="229"/>
        <v>FALSE</v>
      </c>
      <c r="AO2043" s="10" t="str">
        <f t="shared" si="230"/>
        <v>FALSE</v>
      </c>
      <c r="AP2043" s="10" t="str">
        <f t="shared" si="230"/>
        <v>FALSE</v>
      </c>
      <c r="AQ2043" s="10" t="b">
        <f>IF(AND(I2043="TP",S2043&lt;=150),VLOOKUP(AF2043,TPCalibEq150!$AZ$2:$BB$55,3,),IF(AND(I2043="TDP",S2043&lt;=150),VLOOKUP(AF2043,TPCalibEq150!$AZ$2:$BB$55,3,)))</f>
        <v>0</v>
      </c>
      <c r="AR2043" s="10" t="b">
        <f>IF(AND(I2043="TP",S2043&lt;=300),VLOOKUP(AF2043,TPCalibEq300!$AZ$2:$BB$55,3,),IF(AND(I2043="TDP",S2043&lt;=300),VLOOKUP(AF2043,TPCalibEq300!$AZ$2:$BB$55,3,)))</f>
        <v>0</v>
      </c>
      <c r="AS2043" s="10" t="b">
        <f>IF(AND(I2043="TP",S2043&lt;=500),VLOOKUP(AF2043,TPCalibEq500!$AZ$2:$BB$56,3,),IF(AND(I2043="TDP",S2043&lt;=500),VLOOKUP(AF2043,TPCalibEq500!$AZ$2:$BB$56,3,)))</f>
        <v>0</v>
      </c>
      <c r="AT2043" s="10" t="b">
        <f>IF(AND(I2043="TN",S2043&lt;=2800),VLOOKUP(AF2043,TNCalibEq2500!$AZ$2:$BB$56,3,),IF(AND(I2043="TDN",S2043&lt;=2800),VLOOKUP(AF2043,TNCalibEq2500!$AZ$2:$BB$56,3,)))</f>
        <v>0</v>
      </c>
      <c r="AU2043" s="10" t="b">
        <f>IF(I2043="TP",VLOOKUP(AF2043,TPCalibEqFull!$AZ$2:$BB$56,3),IF(I2043="TDP",VLOOKUP(AF2043,TPCalibEqFull!$AZ$2:$BB$56,3),IF(I2043="TDN",VLOOKUP(AF2043,TNCalibEqFull!$AZ$1:$BB$56,3),IF(I2043="TN",VLOOKUP(AF2043,TNCalibEqFull!$AZ$1:$BB$56,3),FALSE))))</f>
        <v>0</v>
      </c>
      <c r="AV2043" s="10" t="str">
        <f t="shared" si="233"/>
        <v>0208 11:14:20-ECP-0-700-2-SW-SPK</v>
      </c>
    </row>
    <row r="2044" spans="1:48" s="10" customFormat="1" x14ac:dyDescent="0.55000000000000004">
      <c r="A2044" s="32">
        <v>44966</v>
      </c>
      <c r="B2044" s="33">
        <v>0.375</v>
      </c>
      <c r="C2044" s="10" t="s">
        <v>70</v>
      </c>
      <c r="D2044" s="10" t="s">
        <v>71</v>
      </c>
      <c r="E2044" s="10" t="s">
        <v>901</v>
      </c>
      <c r="F2044" s="10">
        <v>1</v>
      </c>
      <c r="G2044" s="10" t="s">
        <v>73</v>
      </c>
      <c r="H2044" s="10" t="s">
        <v>207</v>
      </c>
      <c r="I2044" s="10" t="s">
        <v>75</v>
      </c>
      <c r="J2044" s="10">
        <v>200</v>
      </c>
      <c r="K2044" s="12">
        <v>44966</v>
      </c>
      <c r="L2044" s="33">
        <v>0.50555555555555554</v>
      </c>
      <c r="M2044" s="10">
        <v>1</v>
      </c>
      <c r="N2044" s="10" t="s">
        <v>76</v>
      </c>
      <c r="O2044" s="10">
        <v>4.8600000000000003</v>
      </c>
      <c r="P2044" s="10">
        <v>0.38600000000000001</v>
      </c>
      <c r="Q2044" s="10">
        <v>279</v>
      </c>
      <c r="R2044" s="10" t="s">
        <v>77</v>
      </c>
      <c r="S2044" s="34">
        <f t="shared" si="228"/>
        <v>279</v>
      </c>
      <c r="T2044" s="10" t="s">
        <v>1155</v>
      </c>
      <c r="U2044" s="34">
        <f t="shared" si="231"/>
        <v>93</v>
      </c>
      <c r="V2044" s="31">
        <f>IF(H2044="CHK",VLOOKUP(I2044,QCCHK,3,),IF(H2044="GUP",VLOOKUP(E2044,QCGUP,2,),IF(AND(H2044="ATP",OR(I2044="TN",I2044="TDN",I2044="TNO2-3",I2044="NO2-3")),VLOOKUP(E2044,QCREC_N,2,),IF(AND(H2044="NIC",OR(I2044="TN",I2044="TDN",I2044="TNO2-3",I2044="NO2-3")),VLOOKUP(E2044,QCNIC_N,2,),IF(AND(H2044="UREA",OR(I2044="TN",I2044="TDN",I2044="TNO2-3",I2044="NO2-3")),VLOOKUP(E2044,QCUREA_N,2,),IF(H2044="PER",VLOOKUP(I2044,QCPER,MATCH(E2044,QCACTUAL!$J$25:$AA$25,0),),IF(H2044="SPK",VLOOKUP(I2044,QCSPK,3,),IF(AND(H2044="ATP",OR(I2044="TP",I2044="TDP")),VLOOKUP(E2044,QCATP_P,2,),""))))))))</f>
        <v>300</v>
      </c>
      <c r="W2044" s="31" t="str">
        <f t="shared" si="232"/>
        <v>TRUE</v>
      </c>
      <c r="X2044" s="31" t="str">
        <f t="shared" si="227"/>
        <v>[chk]/[actual]*100</v>
      </c>
      <c r="Y2044" s="10" t="s">
        <v>1144</v>
      </c>
      <c r="AL2044" s="10" t="str">
        <f t="shared" si="229"/>
        <v>FALSE</v>
      </c>
      <c r="AM2044" s="10" t="str">
        <f t="shared" si="229"/>
        <v>FALSE</v>
      </c>
      <c r="AN2044" s="10" t="str">
        <f t="shared" si="229"/>
        <v>FALSE</v>
      </c>
      <c r="AO2044" s="10" t="str">
        <f t="shared" si="230"/>
        <v>FALSE</v>
      </c>
      <c r="AP2044" s="10" t="str">
        <f t="shared" si="230"/>
        <v>FALSE</v>
      </c>
      <c r="AQ2044" s="10" t="b">
        <f>IF(AND(I2044="TP",S2044&lt;=150),VLOOKUP(AF2044,TPCalibEq150!$AZ$2:$BB$55,3,),IF(AND(I2044="TDP",S2044&lt;=150),VLOOKUP(AF2044,TPCalibEq150!$AZ$2:$BB$55,3,)))</f>
        <v>0</v>
      </c>
      <c r="AR2044" s="10" t="b">
        <f>IF(AND(I2044="TP",S2044&lt;=300),VLOOKUP(AF2044,TPCalibEq300!$AZ$2:$BB$55,3,),IF(AND(I2044="TDP",S2044&lt;=300),VLOOKUP(AF2044,TPCalibEq300!$AZ$2:$BB$55,3,)))</f>
        <v>0</v>
      </c>
      <c r="AS2044" s="10" t="b">
        <f>IF(AND(I2044="TP",S2044&lt;=500),VLOOKUP(AF2044,TPCalibEq500!$AZ$2:$BB$56,3,),IF(AND(I2044="TDP",S2044&lt;=500),VLOOKUP(AF2044,TPCalibEq500!$AZ$2:$BB$56,3,)))</f>
        <v>0</v>
      </c>
      <c r="AT2044" s="10" t="b">
        <f>IF(AND(I2044="TN",S2044&lt;=2800),VLOOKUP(AF2044,TNCalibEq2500!$AZ$2:$BB$56,3,),IF(AND(I2044="TDN",S2044&lt;=2800),VLOOKUP(AF2044,TNCalibEq2500!$AZ$2:$BB$56,3,)))</f>
        <v>0</v>
      </c>
      <c r="AU2044" s="10" t="b">
        <f>IF(I2044="TP",VLOOKUP(AF2044,TPCalibEqFull!$AZ$2:$BB$56,3),IF(I2044="TDP",VLOOKUP(AF2044,TPCalibEqFull!$AZ$2:$BB$56,3),IF(I2044="TDN",VLOOKUP(AF2044,TNCalibEqFull!$AZ$1:$BB$56,3),IF(I2044="TN",VLOOKUP(AF2044,TNCalibEqFull!$AZ$1:$BB$56,3),FALSE))))</f>
        <v>0</v>
      </c>
      <c r="AV2044" s="10" t="str">
        <f t="shared" si="233"/>
        <v>0209 09:00:00-QAC-STD-D-1-DI-CHK</v>
      </c>
    </row>
    <row r="2045" spans="1:48" s="10" customFormat="1" x14ac:dyDescent="0.55000000000000004">
      <c r="A2045" s="32">
        <v>44965</v>
      </c>
      <c r="B2045" s="33">
        <v>0.49027777777777781</v>
      </c>
      <c r="C2045" s="10" t="s">
        <v>618</v>
      </c>
      <c r="D2045" s="10">
        <v>5</v>
      </c>
      <c r="E2045" s="10">
        <v>660</v>
      </c>
      <c r="F2045" s="10">
        <v>1</v>
      </c>
      <c r="G2045" s="10" t="s">
        <v>231</v>
      </c>
      <c r="H2045" s="10" t="s">
        <v>322</v>
      </c>
      <c r="I2045" s="10" t="s">
        <v>75</v>
      </c>
      <c r="J2045" s="10">
        <v>30</v>
      </c>
      <c r="K2045" s="12">
        <v>44966</v>
      </c>
      <c r="L2045" s="33">
        <v>0.50636574074074081</v>
      </c>
      <c r="M2045" s="10">
        <v>1</v>
      </c>
      <c r="N2045" s="10" t="s">
        <v>76</v>
      </c>
      <c r="O2045" s="10">
        <v>1.37</v>
      </c>
      <c r="P2045" s="10">
        <v>0.11</v>
      </c>
      <c r="Q2045" s="10">
        <v>78.7</v>
      </c>
      <c r="R2045" s="10" t="s">
        <v>77</v>
      </c>
      <c r="S2045" s="34">
        <f t="shared" si="228"/>
        <v>78.7</v>
      </c>
      <c r="T2045" s="10" t="s">
        <v>1155</v>
      </c>
      <c r="U2045" s="34" t="str">
        <f t="shared" si="231"/>
        <v/>
      </c>
      <c r="V2045" s="31" t="str">
        <f>IF(H2045="CHK",VLOOKUP(I2045,QCCHK,3,),IF(H2045="GUP",VLOOKUP(E2045,QCGUP,2,),IF(AND(H2045="ATP",OR(I2045="TN",I2045="TDN",I2045="TNO2-3",I2045="NO2-3")),VLOOKUP(E2045,QCREC_N,2,),IF(AND(H2045="NIC",OR(I2045="TN",I2045="TDN",I2045="TNO2-3",I2045="NO2-3")),VLOOKUP(E2045,QCNIC_N,2,),IF(AND(H2045="UREA",OR(I2045="TN",I2045="TDN",I2045="TNO2-3",I2045="NO2-3")),VLOOKUP(E2045,QCUREA_N,2,),IF(H2045="PER",VLOOKUP(I2045,QCPER,MATCH(E2045,QCACTUAL!$J$25:$AA$25,0),),IF(H2045="SPK",VLOOKUP(I2045,QCSPK,3,),IF(AND(H2045="ATP",OR(I2045="TP",I2045="TDP")),VLOOKUP(E2045,QCATP_P,2,),""))))))))</f>
        <v/>
      </c>
      <c r="W2045" s="31" t="str">
        <f t="shared" si="232"/>
        <v>TRUE</v>
      </c>
      <c r="X2045" s="31" t="str">
        <f t="shared" si="227"/>
        <v/>
      </c>
      <c r="Y2045" s="10" t="s">
        <v>1144</v>
      </c>
      <c r="AL2045" s="10" t="str">
        <f t="shared" si="229"/>
        <v>FALSE</v>
      </c>
      <c r="AM2045" s="10" t="str">
        <f t="shared" si="229"/>
        <v>FALSE</v>
      </c>
      <c r="AN2045" s="10" t="str">
        <f t="shared" si="229"/>
        <v>FALSE</v>
      </c>
      <c r="AO2045" s="10" t="str">
        <f t="shared" si="230"/>
        <v>FALSE</v>
      </c>
      <c r="AP2045" s="10" t="str">
        <f t="shared" si="230"/>
        <v>FALSE</v>
      </c>
      <c r="AQ2045" s="10" t="b">
        <f>IF(AND(I2045="TP",S2045&lt;=150),VLOOKUP(AF2045,TPCalibEq150!$AZ$2:$BB$55,3,),IF(AND(I2045="TDP",S2045&lt;=150),VLOOKUP(AF2045,TPCalibEq150!$AZ$2:$BB$55,3,)))</f>
        <v>0</v>
      </c>
      <c r="AR2045" s="10" t="b">
        <f>IF(AND(I2045="TP",S2045&lt;=300),VLOOKUP(AF2045,TPCalibEq300!$AZ$2:$BB$55,3,),IF(AND(I2045="TDP",S2045&lt;=300),VLOOKUP(AF2045,TPCalibEq300!$AZ$2:$BB$55,3,)))</f>
        <v>0</v>
      </c>
      <c r="AS2045" s="10" t="b">
        <f>IF(AND(I2045="TP",S2045&lt;=500),VLOOKUP(AF2045,TPCalibEq500!$AZ$2:$BB$56,3,),IF(AND(I2045="TDP",S2045&lt;=500),VLOOKUP(AF2045,TPCalibEq500!$AZ$2:$BB$56,3,)))</f>
        <v>0</v>
      </c>
      <c r="AT2045" s="10" t="b">
        <f>IF(AND(I2045="TN",S2045&lt;=2800),VLOOKUP(AF2045,TNCalibEq2500!$AZ$2:$BB$56,3,),IF(AND(I2045="TDN",S2045&lt;=2800),VLOOKUP(AF2045,TNCalibEq2500!$AZ$2:$BB$56,3,)))</f>
        <v>0</v>
      </c>
      <c r="AU2045" s="10" t="b">
        <f>IF(I2045="TP",VLOOKUP(AF2045,TPCalibEqFull!$AZ$2:$BB$56,3),IF(I2045="TDP",VLOOKUP(AF2045,TPCalibEqFull!$AZ$2:$BB$56,3),IF(I2045="TDN",VLOOKUP(AF2045,TNCalibEqFull!$AZ$1:$BB$56,3),IF(I2045="TN",VLOOKUP(AF2045,TNCalibEqFull!$AZ$1:$BB$56,3),FALSE))))</f>
        <v>0</v>
      </c>
      <c r="AV2045" s="10" t="str">
        <f t="shared" si="233"/>
        <v>0208 11:46:00-ECP-5-660-1-SW-UKN</v>
      </c>
    </row>
    <row r="2046" spans="1:48" s="10" customFormat="1" x14ac:dyDescent="0.55000000000000004">
      <c r="A2046" s="32">
        <v>44965</v>
      </c>
      <c r="B2046" s="33">
        <v>0.4927083333333333</v>
      </c>
      <c r="C2046" s="10" t="s">
        <v>618</v>
      </c>
      <c r="D2046" s="10">
        <v>10</v>
      </c>
      <c r="E2046" s="10">
        <v>700</v>
      </c>
      <c r="F2046" s="10">
        <v>1</v>
      </c>
      <c r="G2046" s="10" t="s">
        <v>231</v>
      </c>
      <c r="H2046" s="10" t="s">
        <v>322</v>
      </c>
      <c r="I2046" s="10" t="s">
        <v>75</v>
      </c>
      <c r="J2046" s="10">
        <v>31</v>
      </c>
      <c r="K2046" s="12">
        <v>44966</v>
      </c>
      <c r="L2046" s="33">
        <v>0.50718750000000001</v>
      </c>
      <c r="M2046" s="10">
        <v>1</v>
      </c>
      <c r="N2046" s="10" t="s">
        <v>76</v>
      </c>
      <c r="O2046" s="10">
        <v>1.41</v>
      </c>
      <c r="P2046" s="10">
        <v>0.109</v>
      </c>
      <c r="Q2046" s="10">
        <v>80.900000000000006</v>
      </c>
      <c r="R2046" s="10" t="s">
        <v>77</v>
      </c>
      <c r="S2046" s="34">
        <f t="shared" si="228"/>
        <v>80.900000000000006</v>
      </c>
      <c r="T2046" s="10" t="s">
        <v>1155</v>
      </c>
      <c r="U2046" s="34" t="str">
        <f t="shared" si="231"/>
        <v/>
      </c>
      <c r="V2046" s="31" t="str">
        <f>IF(H2046="CHK",VLOOKUP(I2046,QCCHK,3,),IF(H2046="GUP",VLOOKUP(E2046,QCGUP,2,),IF(AND(H2046="ATP",OR(I2046="TN",I2046="TDN",I2046="TNO2-3",I2046="NO2-3")),VLOOKUP(E2046,QCREC_N,2,),IF(AND(H2046="NIC",OR(I2046="TN",I2046="TDN",I2046="TNO2-3",I2046="NO2-3")),VLOOKUP(E2046,QCNIC_N,2,),IF(AND(H2046="UREA",OR(I2046="TN",I2046="TDN",I2046="TNO2-3",I2046="NO2-3")),VLOOKUP(E2046,QCUREA_N,2,),IF(H2046="PER",VLOOKUP(I2046,QCPER,MATCH(E2046,QCACTUAL!$J$25:$AA$25,0),),IF(H2046="SPK",VLOOKUP(I2046,QCSPK,3,),IF(AND(H2046="ATP",OR(I2046="TP",I2046="TDP")),VLOOKUP(E2046,QCATP_P,2,),""))))))))</f>
        <v/>
      </c>
      <c r="W2046" s="31" t="str">
        <f t="shared" si="232"/>
        <v>TRUE</v>
      </c>
      <c r="X2046" s="31" t="str">
        <f t="shared" si="227"/>
        <v/>
      </c>
      <c r="Y2046" s="10" t="s">
        <v>1144</v>
      </c>
      <c r="AL2046" s="10" t="str">
        <f t="shared" si="229"/>
        <v>FALSE</v>
      </c>
      <c r="AM2046" s="10" t="str">
        <f t="shared" si="229"/>
        <v>FALSE</v>
      </c>
      <c r="AN2046" s="10" t="str">
        <f t="shared" si="229"/>
        <v>FALSE</v>
      </c>
      <c r="AO2046" s="10" t="str">
        <f t="shared" si="230"/>
        <v>FALSE</v>
      </c>
      <c r="AP2046" s="10" t="str">
        <f t="shared" si="230"/>
        <v>FALSE</v>
      </c>
      <c r="AQ2046" s="10" t="b">
        <f>IF(AND(I2046="TP",S2046&lt;=150),VLOOKUP(AF2046,TPCalibEq150!$AZ$2:$BB$55,3,),IF(AND(I2046="TDP",S2046&lt;=150),VLOOKUP(AF2046,TPCalibEq150!$AZ$2:$BB$55,3,)))</f>
        <v>0</v>
      </c>
      <c r="AR2046" s="10" t="b">
        <f>IF(AND(I2046="TP",S2046&lt;=300),VLOOKUP(AF2046,TPCalibEq300!$AZ$2:$BB$55,3,),IF(AND(I2046="TDP",S2046&lt;=300),VLOOKUP(AF2046,TPCalibEq300!$AZ$2:$BB$55,3,)))</f>
        <v>0</v>
      </c>
      <c r="AS2046" s="10" t="b">
        <f>IF(AND(I2046="TP",S2046&lt;=500),VLOOKUP(AF2046,TPCalibEq500!$AZ$2:$BB$56,3,),IF(AND(I2046="TDP",S2046&lt;=500),VLOOKUP(AF2046,TPCalibEq500!$AZ$2:$BB$56,3,)))</f>
        <v>0</v>
      </c>
      <c r="AT2046" s="10" t="b">
        <f>IF(AND(I2046="TN",S2046&lt;=2800),VLOOKUP(AF2046,TNCalibEq2500!$AZ$2:$BB$56,3,),IF(AND(I2046="TDN",S2046&lt;=2800),VLOOKUP(AF2046,TNCalibEq2500!$AZ$2:$BB$56,3,)))</f>
        <v>0</v>
      </c>
      <c r="AU2046" s="10" t="b">
        <f>IF(I2046="TP",VLOOKUP(AF2046,TPCalibEqFull!$AZ$2:$BB$56,3),IF(I2046="TDP",VLOOKUP(AF2046,TPCalibEqFull!$AZ$2:$BB$56,3),IF(I2046="TDN",VLOOKUP(AF2046,TNCalibEqFull!$AZ$1:$BB$56,3),IF(I2046="TN",VLOOKUP(AF2046,TNCalibEqFull!$AZ$1:$BB$56,3),FALSE))))</f>
        <v>0</v>
      </c>
      <c r="AV2046" s="10" t="str">
        <f t="shared" si="233"/>
        <v>0208 11:49:30-ECP-10-700-1-SW-UKN</v>
      </c>
    </row>
    <row r="2047" spans="1:48" s="10" customFormat="1" x14ac:dyDescent="0.55000000000000004">
      <c r="A2047" s="32">
        <v>44965</v>
      </c>
      <c r="B2047" s="33">
        <v>0.49502314814814818</v>
      </c>
      <c r="C2047" s="10" t="s">
        <v>618</v>
      </c>
      <c r="D2047" s="10">
        <v>20</v>
      </c>
      <c r="E2047" s="10" t="s">
        <v>190</v>
      </c>
      <c r="F2047" s="10">
        <v>1</v>
      </c>
      <c r="G2047" s="10" t="s">
        <v>231</v>
      </c>
      <c r="H2047" s="10" t="s">
        <v>322</v>
      </c>
      <c r="I2047" s="10" t="s">
        <v>75</v>
      </c>
      <c r="J2047" s="10">
        <v>32</v>
      </c>
      <c r="K2047" s="12">
        <v>44966</v>
      </c>
      <c r="L2047" s="33">
        <v>0.50800925925925922</v>
      </c>
      <c r="M2047" s="10">
        <v>1</v>
      </c>
      <c r="N2047" s="10" t="s">
        <v>76</v>
      </c>
      <c r="O2047" s="10">
        <v>1.84</v>
      </c>
      <c r="P2047" s="10">
        <v>0.14199999999999999</v>
      </c>
      <c r="Q2047" s="10">
        <v>106</v>
      </c>
      <c r="R2047" s="10" t="s">
        <v>77</v>
      </c>
      <c r="S2047" s="34">
        <f t="shared" si="228"/>
        <v>106</v>
      </c>
      <c r="T2047" s="10" t="s">
        <v>1155</v>
      </c>
      <c r="U2047" s="34" t="str">
        <f t="shared" si="231"/>
        <v/>
      </c>
      <c r="V2047" s="31" t="str">
        <f>IF(H2047="CHK",VLOOKUP(I2047,QCCHK,3,),IF(H2047="GUP",VLOOKUP(E2047,QCGUP,2,),IF(AND(H2047="ATP",OR(I2047="TN",I2047="TDN",I2047="TNO2-3",I2047="NO2-3")),VLOOKUP(E2047,QCREC_N,2,),IF(AND(H2047="NIC",OR(I2047="TN",I2047="TDN",I2047="TNO2-3",I2047="NO2-3")),VLOOKUP(E2047,QCNIC_N,2,),IF(AND(H2047="UREA",OR(I2047="TN",I2047="TDN",I2047="TNO2-3",I2047="NO2-3")),VLOOKUP(E2047,QCUREA_N,2,),IF(H2047="PER",VLOOKUP(I2047,QCPER,MATCH(E2047,QCACTUAL!$J$25:$AA$25,0),),IF(H2047="SPK",VLOOKUP(I2047,QCSPK,3,),IF(AND(H2047="ATP",OR(I2047="TP",I2047="TDP")),VLOOKUP(E2047,QCATP_P,2,),""))))))))</f>
        <v/>
      </c>
      <c r="W2047" s="31" t="str">
        <f t="shared" si="232"/>
        <v>TRUE</v>
      </c>
      <c r="X2047" s="31" t="str">
        <f t="shared" ref="X2047:X2110" si="234">IF(ISNA(VLOOKUP(H2047,QCEQUATIONS,2,)),"",(VLOOKUP(H2047,QCEQUATIONS,2,)))</f>
        <v/>
      </c>
      <c r="Y2047" s="10" t="s">
        <v>1144</v>
      </c>
      <c r="AL2047" s="10" t="str">
        <f t="shared" si="229"/>
        <v>FALSE</v>
      </c>
      <c r="AM2047" s="10" t="str">
        <f t="shared" si="229"/>
        <v>FALSE</v>
      </c>
      <c r="AN2047" s="10" t="str">
        <f t="shared" si="229"/>
        <v>FALSE</v>
      </c>
      <c r="AO2047" s="10" t="str">
        <f t="shared" si="230"/>
        <v>FALSE</v>
      </c>
      <c r="AP2047" s="10" t="str">
        <f t="shared" si="230"/>
        <v>FALSE</v>
      </c>
      <c r="AQ2047" s="10" t="b">
        <f>IF(AND(I2047="TP",S2047&lt;=150),VLOOKUP(AF2047,TPCalibEq150!$AZ$2:$BB$55,3,),IF(AND(I2047="TDP",S2047&lt;=150),VLOOKUP(AF2047,TPCalibEq150!$AZ$2:$BB$55,3,)))</f>
        <v>0</v>
      </c>
      <c r="AR2047" s="10" t="b">
        <f>IF(AND(I2047="TP",S2047&lt;=300),VLOOKUP(AF2047,TPCalibEq300!$AZ$2:$BB$55,3,),IF(AND(I2047="TDP",S2047&lt;=300),VLOOKUP(AF2047,TPCalibEq300!$AZ$2:$BB$55,3,)))</f>
        <v>0</v>
      </c>
      <c r="AS2047" s="10" t="b">
        <f>IF(AND(I2047="TP",S2047&lt;=500),VLOOKUP(AF2047,TPCalibEq500!$AZ$2:$BB$56,3,),IF(AND(I2047="TDP",S2047&lt;=500),VLOOKUP(AF2047,TPCalibEq500!$AZ$2:$BB$56,3,)))</f>
        <v>0</v>
      </c>
      <c r="AT2047" s="10" t="b">
        <f>IF(AND(I2047="TN",S2047&lt;=2800),VLOOKUP(AF2047,TNCalibEq2500!$AZ$2:$BB$56,3,),IF(AND(I2047="TDN",S2047&lt;=2800),VLOOKUP(AF2047,TNCalibEq2500!$AZ$2:$BB$56,3,)))</f>
        <v>0</v>
      </c>
      <c r="AU2047" s="10" t="b">
        <f>IF(I2047="TP",VLOOKUP(AF2047,TPCalibEqFull!$AZ$2:$BB$56,3),IF(I2047="TDP",VLOOKUP(AF2047,TPCalibEqFull!$AZ$2:$BB$56,3),IF(I2047="TDN",VLOOKUP(AF2047,TNCalibEqFull!$AZ$1:$BB$56,3),IF(I2047="TN",VLOOKUP(AF2047,TNCalibEqFull!$AZ$1:$BB$56,3),FALSE))))</f>
        <v>0</v>
      </c>
      <c r="AV2047" s="10" t="str">
        <f t="shared" si="233"/>
        <v>0208 11:52:50-ECP-20-C-1-SW-UKN</v>
      </c>
    </row>
    <row r="2048" spans="1:48" s="10" customFormat="1" x14ac:dyDescent="0.55000000000000004">
      <c r="A2048" s="32">
        <v>44965</v>
      </c>
      <c r="B2048" s="33">
        <v>0.49745370370370368</v>
      </c>
      <c r="C2048" s="10" t="s">
        <v>618</v>
      </c>
      <c r="D2048" s="10">
        <v>33</v>
      </c>
      <c r="E2048" s="10" t="s">
        <v>190</v>
      </c>
      <c r="F2048" s="10">
        <v>1</v>
      </c>
      <c r="G2048" s="10" t="s">
        <v>231</v>
      </c>
      <c r="H2048" s="10" t="s">
        <v>322</v>
      </c>
      <c r="I2048" s="10" t="s">
        <v>75</v>
      </c>
      <c r="J2048" s="10">
        <v>33</v>
      </c>
      <c r="K2048" s="12">
        <v>44966</v>
      </c>
      <c r="L2048" s="33">
        <v>0.50883101851851853</v>
      </c>
      <c r="M2048" s="10">
        <v>1</v>
      </c>
      <c r="N2048" s="10" t="s">
        <v>76</v>
      </c>
      <c r="O2048" s="10">
        <v>3.03</v>
      </c>
      <c r="P2048" s="10">
        <v>0.23699999999999999</v>
      </c>
      <c r="Q2048" s="10">
        <v>174</v>
      </c>
      <c r="R2048" s="10" t="s">
        <v>77</v>
      </c>
      <c r="S2048" s="34">
        <f t="shared" ref="S2048:S2111" si="235">IF(OR(AND(I2048&lt;&gt;"TP", I2048&lt;&gt;"TDP",I2048&lt;&gt;"TN", I2048&lt;&gt;"TDN"),H2048="CAL"), Q2048*M2048, IF(OR(AND(I2048="TN", Q2048&gt;2500), AND(I2048="TDN", Q2048&gt;2500)),MAX(Q2048, AK2048)*M2048, IF(OR(AND(I2048="TN", Q2048&lt;=2500), AND(I2048="TDN", Q2048&lt;=2500)),MAX(Q2048, AJ2048,AK2048)*M2048, IF(OR(AND(I2048="TP",Q2048&gt;500), AND(I2048="TDP", Q2048&gt;500)),MAX(Q2048,AK2048)*M2048,IF(OR(AND(I2048="TP",Q2048&lt;=150), AND(I2048="TDP", Q2048&lt;=150)),MAX(Q2048,AG2048:AI2048,AK2048)*M2048,IF(OR(AND(I2048="TP",Q2048&lt;=300), AND(I2048="TDP", Q2048&lt;=300)),MAX(Q2048,AH2048,AI2048,AK2048)*M2048,IF(OR(AND(I2048="TP",Q2048&lt;=500), AND(I2048="TDP", Q2048&lt;=500)),MAX(Q2048,AI2048,AK2048)*M2048,"")))))))</f>
        <v>174</v>
      </c>
      <c r="T2048" s="10" t="s">
        <v>1155</v>
      </c>
      <c r="U2048" s="34" t="str">
        <f t="shared" si="231"/>
        <v/>
      </c>
      <c r="V2048" s="31" t="str">
        <f>IF(H2048="CHK",VLOOKUP(I2048,QCCHK,3,),IF(H2048="GUP",VLOOKUP(E2048,QCGUP,2,),IF(AND(H2048="ATP",OR(I2048="TN",I2048="TDN",I2048="TNO2-3",I2048="NO2-3")),VLOOKUP(E2048,QCREC_N,2,),IF(AND(H2048="NIC",OR(I2048="TN",I2048="TDN",I2048="TNO2-3",I2048="NO2-3")),VLOOKUP(E2048,QCNIC_N,2,),IF(AND(H2048="UREA",OR(I2048="TN",I2048="TDN",I2048="TNO2-3",I2048="NO2-3")),VLOOKUP(E2048,QCUREA_N,2,),IF(H2048="PER",VLOOKUP(I2048,QCPER,MATCH(E2048,QCACTUAL!$J$25:$AA$25,0),),IF(H2048="SPK",VLOOKUP(I2048,QCSPK,3,),IF(AND(H2048="ATP",OR(I2048="TP",I2048="TDP")),VLOOKUP(E2048,QCATP_P,2,),""))))))))</f>
        <v/>
      </c>
      <c r="W2048" s="31" t="str">
        <f t="shared" si="232"/>
        <v>TRUE</v>
      </c>
      <c r="X2048" s="31" t="str">
        <f t="shared" si="234"/>
        <v/>
      </c>
      <c r="Y2048" s="10" t="s">
        <v>1144</v>
      </c>
      <c r="AL2048" s="10" t="str">
        <f t="shared" si="229"/>
        <v>FALSE</v>
      </c>
      <c r="AM2048" s="10" t="str">
        <f t="shared" si="229"/>
        <v>FALSE</v>
      </c>
      <c r="AN2048" s="10" t="str">
        <f t="shared" si="229"/>
        <v>FALSE</v>
      </c>
      <c r="AO2048" s="10" t="str">
        <f t="shared" si="230"/>
        <v>FALSE</v>
      </c>
      <c r="AP2048" s="10" t="str">
        <f t="shared" si="230"/>
        <v>FALSE</v>
      </c>
      <c r="AQ2048" s="10" t="b">
        <f>IF(AND(I2048="TP",S2048&lt;=150),VLOOKUP(AF2048,TPCalibEq150!$AZ$2:$BB$55,3,),IF(AND(I2048="TDP",S2048&lt;=150),VLOOKUP(AF2048,TPCalibEq150!$AZ$2:$BB$55,3,)))</f>
        <v>0</v>
      </c>
      <c r="AR2048" s="10" t="b">
        <f>IF(AND(I2048="TP",S2048&lt;=300),VLOOKUP(AF2048,TPCalibEq300!$AZ$2:$BB$55,3,),IF(AND(I2048="TDP",S2048&lt;=300),VLOOKUP(AF2048,TPCalibEq300!$AZ$2:$BB$55,3,)))</f>
        <v>0</v>
      </c>
      <c r="AS2048" s="10" t="b">
        <f>IF(AND(I2048="TP",S2048&lt;=500),VLOOKUP(AF2048,TPCalibEq500!$AZ$2:$BB$56,3,),IF(AND(I2048="TDP",S2048&lt;=500),VLOOKUP(AF2048,TPCalibEq500!$AZ$2:$BB$56,3,)))</f>
        <v>0</v>
      </c>
      <c r="AT2048" s="10" t="b">
        <f>IF(AND(I2048="TN",S2048&lt;=2800),VLOOKUP(AF2048,TNCalibEq2500!$AZ$2:$BB$56,3,),IF(AND(I2048="TDN",S2048&lt;=2800),VLOOKUP(AF2048,TNCalibEq2500!$AZ$2:$BB$56,3,)))</f>
        <v>0</v>
      </c>
      <c r="AU2048" s="10" t="b">
        <f>IF(I2048="TP",VLOOKUP(AF2048,TPCalibEqFull!$AZ$2:$BB$56,3),IF(I2048="TDP",VLOOKUP(AF2048,TPCalibEqFull!$AZ$2:$BB$56,3),IF(I2048="TDN",VLOOKUP(AF2048,TNCalibEqFull!$AZ$1:$BB$56,3),IF(I2048="TN",VLOOKUP(AF2048,TNCalibEqFull!$AZ$1:$BB$56,3),FALSE))))</f>
        <v>0</v>
      </c>
      <c r="AV2048" s="10" t="str">
        <f t="shared" si="233"/>
        <v>0208 11:56:20-ECP-33-C-1-SW-UKN</v>
      </c>
    </row>
    <row r="2049" spans="1:48" s="10" customFormat="1" x14ac:dyDescent="0.55000000000000004">
      <c r="A2049" s="32">
        <v>44965</v>
      </c>
      <c r="B2049" s="33">
        <v>0.50439814814814821</v>
      </c>
      <c r="C2049" s="10" t="s">
        <v>661</v>
      </c>
      <c r="D2049" s="10">
        <v>0</v>
      </c>
      <c r="E2049" s="10">
        <v>660</v>
      </c>
      <c r="F2049" s="10">
        <v>1</v>
      </c>
      <c r="G2049" s="10" t="s">
        <v>231</v>
      </c>
      <c r="H2049" s="10" t="s">
        <v>322</v>
      </c>
      <c r="I2049" s="10" t="s">
        <v>75</v>
      </c>
      <c r="J2049" s="10">
        <v>34</v>
      </c>
      <c r="K2049" s="12">
        <v>44966</v>
      </c>
      <c r="L2049" s="33">
        <v>0.50965277777777784</v>
      </c>
      <c r="M2049" s="10">
        <v>1</v>
      </c>
      <c r="N2049" s="10" t="s">
        <v>76</v>
      </c>
      <c r="O2049" s="10">
        <v>1.78</v>
      </c>
      <c r="P2049" s="10">
        <v>0.13900000000000001</v>
      </c>
      <c r="Q2049" s="10">
        <v>102</v>
      </c>
      <c r="R2049" s="10" t="s">
        <v>77</v>
      </c>
      <c r="S2049" s="34">
        <f t="shared" si="235"/>
        <v>102</v>
      </c>
      <c r="T2049" s="10" t="s">
        <v>1155</v>
      </c>
      <c r="U2049" s="34" t="str">
        <f t="shared" si="231"/>
        <v/>
      </c>
      <c r="V2049" s="31" t="str">
        <f>IF(H2049="CHK",VLOOKUP(I2049,QCCHK,3,),IF(H2049="GUP",VLOOKUP(E2049,QCGUP,2,),IF(AND(H2049="ATP",OR(I2049="TN",I2049="TDN",I2049="TNO2-3",I2049="NO2-3")),VLOOKUP(E2049,QCREC_N,2,),IF(AND(H2049="NIC",OR(I2049="TN",I2049="TDN",I2049="TNO2-3",I2049="NO2-3")),VLOOKUP(E2049,QCNIC_N,2,),IF(AND(H2049="UREA",OR(I2049="TN",I2049="TDN",I2049="TNO2-3",I2049="NO2-3")),VLOOKUP(E2049,QCUREA_N,2,),IF(H2049="PER",VLOOKUP(I2049,QCPER,MATCH(E2049,QCACTUAL!$J$25:$AA$25,0),),IF(H2049="SPK",VLOOKUP(I2049,QCSPK,3,),IF(AND(H2049="ATP",OR(I2049="TP",I2049="TDP")),VLOOKUP(E2049,QCATP_P,2,),""))))))))</f>
        <v/>
      </c>
      <c r="W2049" s="31" t="str">
        <f t="shared" si="232"/>
        <v>TRUE</v>
      </c>
      <c r="X2049" s="31" t="str">
        <f t="shared" si="234"/>
        <v/>
      </c>
      <c r="Y2049" s="10" t="s">
        <v>1144</v>
      </c>
      <c r="AL2049" s="10" t="str">
        <f t="shared" ref="AL2049:AN2112" si="236">IF($O2049="", "", IF(AQ2049&lt;&gt;"", SUBSTITUTE(SUBSTITUTE(AQ2049, "x", "*"&amp;$O2049&amp;"^", 1), "x", "*"&amp;$O2049, 1), ""))</f>
        <v>FALSE</v>
      </c>
      <c r="AM2049" s="10" t="str">
        <f t="shared" si="236"/>
        <v>FALSE</v>
      </c>
      <c r="AN2049" s="10" t="str">
        <f t="shared" si="236"/>
        <v>FALSE</v>
      </c>
      <c r="AO2049" s="10" t="str">
        <f t="shared" ref="AO2049:AP2112" si="237">IF($O2049="", "FALSE", IF(AT2049&lt;&gt;"FALSE", SUBSTITUTE(SUBSTITUTE(AT2049, "x", "*"&amp;$O2049&amp;"^", 1), "x", "*"&amp;$O2049, 1), ""))</f>
        <v>FALSE</v>
      </c>
      <c r="AP2049" s="10" t="str">
        <f t="shared" si="237"/>
        <v>FALSE</v>
      </c>
      <c r="AQ2049" s="10" t="b">
        <f>IF(AND(I2049="TP",S2049&lt;=150),VLOOKUP(AF2049,TPCalibEq150!$AZ$2:$BB$55,3,),IF(AND(I2049="TDP",S2049&lt;=150),VLOOKUP(AF2049,TPCalibEq150!$AZ$2:$BB$55,3,)))</f>
        <v>0</v>
      </c>
      <c r="AR2049" s="10" t="b">
        <f>IF(AND(I2049="TP",S2049&lt;=300),VLOOKUP(AF2049,TPCalibEq300!$AZ$2:$BB$55,3,),IF(AND(I2049="TDP",S2049&lt;=300),VLOOKUP(AF2049,TPCalibEq300!$AZ$2:$BB$55,3,)))</f>
        <v>0</v>
      </c>
      <c r="AS2049" s="10" t="b">
        <f>IF(AND(I2049="TP",S2049&lt;=500),VLOOKUP(AF2049,TPCalibEq500!$AZ$2:$BB$56,3,),IF(AND(I2049="TDP",S2049&lt;=500),VLOOKUP(AF2049,TPCalibEq500!$AZ$2:$BB$56,3,)))</f>
        <v>0</v>
      </c>
      <c r="AT2049" s="10" t="b">
        <f>IF(AND(I2049="TN",S2049&lt;=2800),VLOOKUP(AF2049,TNCalibEq2500!$AZ$2:$BB$56,3,),IF(AND(I2049="TDN",S2049&lt;=2800),VLOOKUP(AF2049,TNCalibEq2500!$AZ$2:$BB$56,3,)))</f>
        <v>0</v>
      </c>
      <c r="AU2049" s="10" t="b">
        <f>IF(I2049="TP",VLOOKUP(AF2049,TPCalibEqFull!$AZ$2:$BB$56,3),IF(I2049="TDP",VLOOKUP(AF2049,TPCalibEqFull!$AZ$2:$BB$56,3),IF(I2049="TDN",VLOOKUP(AF2049,TNCalibEqFull!$AZ$1:$BB$56,3),IF(I2049="TN",VLOOKUP(AF2049,TNCalibEqFull!$AZ$1:$BB$56,3),FALSE))))</f>
        <v>0</v>
      </c>
      <c r="AV2049" s="10" t="str">
        <f t="shared" si="233"/>
        <v>0208 12:06:20-ENN-0-660-1-SW-UKN</v>
      </c>
    </row>
    <row r="2050" spans="1:48" s="10" customFormat="1" x14ac:dyDescent="0.55000000000000004">
      <c r="A2050" s="32">
        <v>44965</v>
      </c>
      <c r="B2050" s="33">
        <v>0.50706018518518514</v>
      </c>
      <c r="C2050" s="10" t="s">
        <v>661</v>
      </c>
      <c r="D2050" s="10">
        <v>5</v>
      </c>
      <c r="E2050" s="10">
        <v>700</v>
      </c>
      <c r="F2050" s="10">
        <v>1</v>
      </c>
      <c r="G2050" s="10" t="s">
        <v>231</v>
      </c>
      <c r="H2050" s="10" t="s">
        <v>322</v>
      </c>
      <c r="I2050" s="10" t="s">
        <v>75</v>
      </c>
      <c r="J2050" s="10">
        <v>35</v>
      </c>
      <c r="K2050" s="12">
        <v>44966</v>
      </c>
      <c r="L2050" s="33">
        <v>0.51047453703703705</v>
      </c>
      <c r="M2050" s="10">
        <v>1</v>
      </c>
      <c r="N2050" s="10" t="s">
        <v>76</v>
      </c>
      <c r="O2050" s="10">
        <v>1.79</v>
      </c>
      <c r="P2050" s="10">
        <v>0.14000000000000001</v>
      </c>
      <c r="Q2050" s="10">
        <v>103</v>
      </c>
      <c r="R2050" s="10" t="s">
        <v>77</v>
      </c>
      <c r="S2050" s="34">
        <f t="shared" si="235"/>
        <v>103</v>
      </c>
      <c r="T2050" s="10" t="s">
        <v>1155</v>
      </c>
      <c r="U2050" s="34" t="str">
        <f t="shared" ref="U2050:U2113" si="238">IF(OR(H2050="CHK",H2050="ATP",H2050="GUP",H2050="PER", H2050="NIC", H2050="UREA"),(S2050/V2050*100),IF(H2050="DUP",((ABS(S2050-S2049))/((S2049+S2050)/2))*100,IF(H2050="SPK",((S2050-S2049)/V2050*100),IF(OR(H2050="LAB",H2050="FLD",H2050="ESF"),S2050,""))))</f>
        <v/>
      </c>
      <c r="V2050" s="31" t="str">
        <f>IF(H2050="CHK",VLOOKUP(I2050,QCCHK,3,),IF(H2050="GUP",VLOOKUP(E2050,QCGUP,2,),IF(AND(H2050="ATP",OR(I2050="TN",I2050="TDN",I2050="TNO2-3",I2050="NO2-3")),VLOOKUP(E2050,QCREC_N,2,),IF(AND(H2050="NIC",OR(I2050="TN",I2050="TDN",I2050="TNO2-3",I2050="NO2-3")),VLOOKUP(E2050,QCNIC_N,2,),IF(AND(H2050="UREA",OR(I2050="TN",I2050="TDN",I2050="TNO2-3",I2050="NO2-3")),VLOOKUP(E2050,QCUREA_N,2,),IF(H2050="PER",VLOOKUP(I2050,QCPER,MATCH(E2050,QCACTUAL!$J$25:$AA$25,0),),IF(H2050="SPK",VLOOKUP(I2050,QCSPK,3,),IF(AND(H2050="ATP",OR(I2050="TP",I2050="TDP")),VLOOKUP(E2050,QCATP_P,2,),""))))))))</f>
        <v/>
      </c>
      <c r="W2050" s="31" t="str">
        <f t="shared" ref="W2050:W2113" si="239">IF(AND(OR(H2050="PER",H2050="ATP",H2050="GUP",H2050="CHK",H2050="SPK", H2050="NIC"),OR(U2050&gt;125,U2050&lt;75)),"FALSE",IF(AND(H2050="DUP",OR(U2050&gt;25, U2050&lt;-25)),"FALSE",IF(AND(OR(H2050="LAB",H2050="FLD",H2050="ESF"),U2050&gt;15),"FALSE","TRUE")))</f>
        <v>TRUE</v>
      </c>
      <c r="X2050" s="31" t="str">
        <f t="shared" si="234"/>
        <v/>
      </c>
      <c r="Y2050" s="10" t="s">
        <v>1144</v>
      </c>
      <c r="AL2050" s="10" t="str">
        <f t="shared" si="236"/>
        <v>FALSE</v>
      </c>
      <c r="AM2050" s="10" t="str">
        <f t="shared" si="236"/>
        <v>FALSE</v>
      </c>
      <c r="AN2050" s="10" t="str">
        <f t="shared" si="236"/>
        <v>FALSE</v>
      </c>
      <c r="AO2050" s="10" t="str">
        <f t="shared" si="237"/>
        <v>FALSE</v>
      </c>
      <c r="AP2050" s="10" t="str">
        <f t="shared" si="237"/>
        <v>FALSE</v>
      </c>
      <c r="AQ2050" s="10" t="b">
        <f>IF(AND(I2050="TP",S2050&lt;=150),VLOOKUP(AF2050,TPCalibEq150!$AZ$2:$BB$55,3,),IF(AND(I2050="TDP",S2050&lt;=150),VLOOKUP(AF2050,TPCalibEq150!$AZ$2:$BB$55,3,)))</f>
        <v>0</v>
      </c>
      <c r="AR2050" s="10" t="b">
        <f>IF(AND(I2050="TP",S2050&lt;=300),VLOOKUP(AF2050,TPCalibEq300!$AZ$2:$BB$55,3,),IF(AND(I2050="TDP",S2050&lt;=300),VLOOKUP(AF2050,TPCalibEq300!$AZ$2:$BB$55,3,)))</f>
        <v>0</v>
      </c>
      <c r="AS2050" s="10" t="b">
        <f>IF(AND(I2050="TP",S2050&lt;=500),VLOOKUP(AF2050,TPCalibEq500!$AZ$2:$BB$56,3,),IF(AND(I2050="TDP",S2050&lt;=500),VLOOKUP(AF2050,TPCalibEq500!$AZ$2:$BB$56,3,)))</f>
        <v>0</v>
      </c>
      <c r="AT2050" s="10" t="b">
        <f>IF(AND(I2050="TN",S2050&lt;=2800),VLOOKUP(AF2050,TNCalibEq2500!$AZ$2:$BB$56,3,),IF(AND(I2050="TDN",S2050&lt;=2800),VLOOKUP(AF2050,TNCalibEq2500!$AZ$2:$BB$56,3,)))</f>
        <v>0</v>
      </c>
      <c r="AU2050" s="10" t="b">
        <f>IF(I2050="TP",VLOOKUP(AF2050,TPCalibEqFull!$AZ$2:$BB$56,3),IF(I2050="TDP",VLOOKUP(AF2050,TPCalibEqFull!$AZ$2:$BB$56,3),IF(I2050="TDN",VLOOKUP(AF2050,TNCalibEqFull!$AZ$1:$BB$56,3),IF(I2050="TN",VLOOKUP(AF2050,TNCalibEqFull!$AZ$1:$BB$56,3),FALSE))))</f>
        <v>0</v>
      </c>
      <c r="AV2050" s="10" t="str">
        <f t="shared" ref="AV2050:AV2113" si="240">TEXT(A2050, "MMDD")&amp;" "&amp;TEXT(B2050, "HH:MM:SS")&amp;"-"&amp;C2050&amp;"-"&amp;D2050&amp;"-"&amp;E2050&amp;"-"&amp;F2050&amp;"-"&amp;G2050&amp;"-"&amp;H2050</f>
        <v>0208 12:10:10-ENN-5-700-1-SW-UKN</v>
      </c>
    </row>
    <row r="2051" spans="1:48" s="10" customFormat="1" x14ac:dyDescent="0.55000000000000004">
      <c r="A2051" s="32">
        <v>44965</v>
      </c>
      <c r="B2051" s="33">
        <v>0.50949074074074074</v>
      </c>
      <c r="C2051" s="10" t="s">
        <v>661</v>
      </c>
      <c r="D2051" s="10">
        <v>10</v>
      </c>
      <c r="E2051" s="10">
        <v>700</v>
      </c>
      <c r="F2051" s="10">
        <v>1</v>
      </c>
      <c r="G2051" s="10" t="s">
        <v>231</v>
      </c>
      <c r="H2051" s="10" t="s">
        <v>322</v>
      </c>
      <c r="I2051" s="10" t="s">
        <v>75</v>
      </c>
      <c r="J2051" s="10">
        <v>36</v>
      </c>
      <c r="K2051" s="12">
        <v>44966</v>
      </c>
      <c r="L2051" s="33">
        <v>0.51129629629629625</v>
      </c>
      <c r="M2051" s="10">
        <v>1</v>
      </c>
      <c r="N2051" s="10" t="s">
        <v>76</v>
      </c>
      <c r="O2051" s="10">
        <v>1.75</v>
      </c>
      <c r="P2051" s="10">
        <v>0.13700000000000001</v>
      </c>
      <c r="Q2051" s="10">
        <v>101</v>
      </c>
      <c r="R2051" s="10" t="s">
        <v>77</v>
      </c>
      <c r="S2051" s="34">
        <f t="shared" si="235"/>
        <v>101</v>
      </c>
      <c r="T2051" s="10" t="s">
        <v>1155</v>
      </c>
      <c r="U2051" s="34" t="str">
        <f t="shared" si="238"/>
        <v/>
      </c>
      <c r="V2051" s="31" t="str">
        <f>IF(H2051="CHK",VLOOKUP(I2051,QCCHK,3,),IF(H2051="GUP",VLOOKUP(E2051,QCGUP,2,),IF(AND(H2051="ATP",OR(I2051="TN",I2051="TDN",I2051="TNO2-3",I2051="NO2-3")),VLOOKUP(E2051,QCREC_N,2,),IF(AND(H2051="NIC",OR(I2051="TN",I2051="TDN",I2051="TNO2-3",I2051="NO2-3")),VLOOKUP(E2051,QCNIC_N,2,),IF(AND(H2051="UREA",OR(I2051="TN",I2051="TDN",I2051="TNO2-3",I2051="NO2-3")),VLOOKUP(E2051,QCUREA_N,2,),IF(H2051="PER",VLOOKUP(I2051,QCPER,MATCH(E2051,QCACTUAL!$J$25:$AA$25,0),),IF(H2051="SPK",VLOOKUP(I2051,QCSPK,3,),IF(AND(H2051="ATP",OR(I2051="TP",I2051="TDP")),VLOOKUP(E2051,QCATP_P,2,),""))))))))</f>
        <v/>
      </c>
      <c r="W2051" s="31" t="str">
        <f t="shared" si="239"/>
        <v>TRUE</v>
      </c>
      <c r="X2051" s="31" t="str">
        <f t="shared" si="234"/>
        <v/>
      </c>
      <c r="Y2051" s="10" t="s">
        <v>1144</v>
      </c>
      <c r="AL2051" s="10" t="str">
        <f t="shared" si="236"/>
        <v>FALSE</v>
      </c>
      <c r="AM2051" s="10" t="str">
        <f t="shared" si="236"/>
        <v>FALSE</v>
      </c>
      <c r="AN2051" s="10" t="str">
        <f t="shared" si="236"/>
        <v>FALSE</v>
      </c>
      <c r="AO2051" s="10" t="str">
        <f t="shared" si="237"/>
        <v>FALSE</v>
      </c>
      <c r="AP2051" s="10" t="str">
        <f t="shared" si="237"/>
        <v>FALSE</v>
      </c>
      <c r="AQ2051" s="10" t="b">
        <f>IF(AND(I2051="TP",S2051&lt;=150),VLOOKUP(AF2051,TPCalibEq150!$AZ$2:$BB$55,3,),IF(AND(I2051="TDP",S2051&lt;=150),VLOOKUP(AF2051,TPCalibEq150!$AZ$2:$BB$55,3,)))</f>
        <v>0</v>
      </c>
      <c r="AR2051" s="10" t="b">
        <f>IF(AND(I2051="TP",S2051&lt;=300),VLOOKUP(AF2051,TPCalibEq300!$AZ$2:$BB$55,3,),IF(AND(I2051="TDP",S2051&lt;=300),VLOOKUP(AF2051,TPCalibEq300!$AZ$2:$BB$55,3,)))</f>
        <v>0</v>
      </c>
      <c r="AS2051" s="10" t="b">
        <f>IF(AND(I2051="TP",S2051&lt;=500),VLOOKUP(AF2051,TPCalibEq500!$AZ$2:$BB$56,3,),IF(AND(I2051="TDP",S2051&lt;=500),VLOOKUP(AF2051,TPCalibEq500!$AZ$2:$BB$56,3,)))</f>
        <v>0</v>
      </c>
      <c r="AT2051" s="10" t="b">
        <f>IF(AND(I2051="TN",S2051&lt;=2800),VLOOKUP(AF2051,TNCalibEq2500!$AZ$2:$BB$56,3,),IF(AND(I2051="TDN",S2051&lt;=2800),VLOOKUP(AF2051,TNCalibEq2500!$AZ$2:$BB$56,3,)))</f>
        <v>0</v>
      </c>
      <c r="AU2051" s="10" t="b">
        <f>IF(I2051="TP",VLOOKUP(AF2051,TPCalibEqFull!$AZ$2:$BB$56,3),IF(I2051="TDP",VLOOKUP(AF2051,TPCalibEqFull!$AZ$2:$BB$56,3),IF(I2051="TDN",VLOOKUP(AF2051,TNCalibEqFull!$AZ$1:$BB$56,3),IF(I2051="TN",VLOOKUP(AF2051,TNCalibEqFull!$AZ$1:$BB$56,3),FALSE))))</f>
        <v>0</v>
      </c>
      <c r="AV2051" s="10" t="str">
        <f t="shared" si="240"/>
        <v>0208 12:13:40-ENN-10-700-1-SW-UKN</v>
      </c>
    </row>
    <row r="2052" spans="1:48" s="10" customFormat="1" x14ac:dyDescent="0.55000000000000004">
      <c r="A2052" s="32">
        <v>44965</v>
      </c>
      <c r="B2052" s="33">
        <v>0.51180555555555551</v>
      </c>
      <c r="C2052" s="10" t="s">
        <v>661</v>
      </c>
      <c r="D2052" s="10">
        <v>20</v>
      </c>
      <c r="E2052" s="10" t="s">
        <v>190</v>
      </c>
      <c r="F2052" s="10">
        <v>1</v>
      </c>
      <c r="G2052" s="10" t="s">
        <v>231</v>
      </c>
      <c r="H2052" s="10" t="s">
        <v>322</v>
      </c>
      <c r="I2052" s="10" t="s">
        <v>75</v>
      </c>
      <c r="J2052" s="10">
        <v>37</v>
      </c>
      <c r="K2052" s="12">
        <v>44966</v>
      </c>
      <c r="L2052" s="33">
        <v>0.51210648148148141</v>
      </c>
      <c r="M2052" s="10">
        <v>1</v>
      </c>
      <c r="N2052" s="10" t="s">
        <v>76</v>
      </c>
      <c r="O2052" s="10">
        <v>1.81</v>
      </c>
      <c r="P2052" s="10">
        <v>0.14099999999999999</v>
      </c>
      <c r="Q2052" s="10">
        <v>104</v>
      </c>
      <c r="R2052" s="10" t="s">
        <v>77</v>
      </c>
      <c r="S2052" s="34">
        <f t="shared" si="235"/>
        <v>104</v>
      </c>
      <c r="T2052" s="10" t="s">
        <v>1155</v>
      </c>
      <c r="U2052" s="34" t="str">
        <f t="shared" si="238"/>
        <v/>
      </c>
      <c r="V2052" s="31" t="str">
        <f>IF(H2052="CHK",VLOOKUP(I2052,QCCHK,3,),IF(H2052="GUP",VLOOKUP(E2052,QCGUP,2,),IF(AND(H2052="ATP",OR(I2052="TN",I2052="TDN",I2052="TNO2-3",I2052="NO2-3")),VLOOKUP(E2052,QCREC_N,2,),IF(AND(H2052="NIC",OR(I2052="TN",I2052="TDN",I2052="TNO2-3",I2052="NO2-3")),VLOOKUP(E2052,QCNIC_N,2,),IF(AND(H2052="UREA",OR(I2052="TN",I2052="TDN",I2052="TNO2-3",I2052="NO2-3")),VLOOKUP(E2052,QCUREA_N,2,),IF(H2052="PER",VLOOKUP(I2052,QCPER,MATCH(E2052,QCACTUAL!$J$25:$AA$25,0),),IF(H2052="SPK",VLOOKUP(I2052,QCSPK,3,),IF(AND(H2052="ATP",OR(I2052="TP",I2052="TDP")),VLOOKUP(E2052,QCATP_P,2,),""))))))))</f>
        <v/>
      </c>
      <c r="W2052" s="31" t="str">
        <f t="shared" si="239"/>
        <v>TRUE</v>
      </c>
      <c r="X2052" s="31" t="str">
        <f t="shared" si="234"/>
        <v/>
      </c>
      <c r="Y2052" s="10" t="s">
        <v>1144</v>
      </c>
      <c r="AL2052" s="10" t="str">
        <f t="shared" si="236"/>
        <v>FALSE</v>
      </c>
      <c r="AM2052" s="10" t="str">
        <f t="shared" si="236"/>
        <v>FALSE</v>
      </c>
      <c r="AN2052" s="10" t="str">
        <f t="shared" si="236"/>
        <v>FALSE</v>
      </c>
      <c r="AO2052" s="10" t="str">
        <f t="shared" si="237"/>
        <v>FALSE</v>
      </c>
      <c r="AP2052" s="10" t="str">
        <f t="shared" si="237"/>
        <v>FALSE</v>
      </c>
      <c r="AQ2052" s="10" t="b">
        <f>IF(AND(I2052="TP",S2052&lt;=150),VLOOKUP(AF2052,TPCalibEq150!$AZ$2:$BB$55,3,),IF(AND(I2052="TDP",S2052&lt;=150),VLOOKUP(AF2052,TPCalibEq150!$AZ$2:$BB$55,3,)))</f>
        <v>0</v>
      </c>
      <c r="AR2052" s="10" t="b">
        <f>IF(AND(I2052="TP",S2052&lt;=300),VLOOKUP(AF2052,TPCalibEq300!$AZ$2:$BB$55,3,),IF(AND(I2052="TDP",S2052&lt;=300),VLOOKUP(AF2052,TPCalibEq300!$AZ$2:$BB$55,3,)))</f>
        <v>0</v>
      </c>
      <c r="AS2052" s="10" t="b">
        <f>IF(AND(I2052="TP",S2052&lt;=500),VLOOKUP(AF2052,TPCalibEq500!$AZ$2:$BB$56,3,),IF(AND(I2052="TDP",S2052&lt;=500),VLOOKUP(AF2052,TPCalibEq500!$AZ$2:$BB$56,3,)))</f>
        <v>0</v>
      </c>
      <c r="AT2052" s="10" t="b">
        <f>IF(AND(I2052="TN",S2052&lt;=2800),VLOOKUP(AF2052,TNCalibEq2500!$AZ$2:$BB$56,3,),IF(AND(I2052="TDN",S2052&lt;=2800),VLOOKUP(AF2052,TNCalibEq2500!$AZ$2:$BB$56,3,)))</f>
        <v>0</v>
      </c>
      <c r="AU2052" s="10" t="b">
        <f>IF(I2052="TP",VLOOKUP(AF2052,TPCalibEqFull!$AZ$2:$BB$56,3),IF(I2052="TDP",VLOOKUP(AF2052,TPCalibEqFull!$AZ$2:$BB$56,3),IF(I2052="TDN",VLOOKUP(AF2052,TNCalibEqFull!$AZ$1:$BB$56,3),IF(I2052="TN",VLOOKUP(AF2052,TNCalibEqFull!$AZ$1:$BB$56,3),FALSE))))</f>
        <v>0</v>
      </c>
      <c r="AV2052" s="10" t="str">
        <f t="shared" si="240"/>
        <v>0208 12:17:00-ENN-20-C-1-SW-UKN</v>
      </c>
    </row>
    <row r="2053" spans="1:48" s="10" customFormat="1" x14ac:dyDescent="0.55000000000000004">
      <c r="A2053" s="32">
        <v>44965</v>
      </c>
      <c r="B2053" s="33">
        <v>0.51412037037037039</v>
      </c>
      <c r="C2053" s="10" t="s">
        <v>661</v>
      </c>
      <c r="D2053" s="10">
        <v>23</v>
      </c>
      <c r="E2053" s="10" t="s">
        <v>190</v>
      </c>
      <c r="F2053" s="10">
        <v>1</v>
      </c>
      <c r="G2053" s="10" t="s">
        <v>231</v>
      </c>
      <c r="H2053" s="10" t="s">
        <v>322</v>
      </c>
      <c r="I2053" s="10" t="s">
        <v>75</v>
      </c>
      <c r="J2053" s="10">
        <v>38</v>
      </c>
      <c r="K2053" s="12">
        <v>44966</v>
      </c>
      <c r="L2053" s="33">
        <v>0.51292824074074073</v>
      </c>
      <c r="M2053" s="10">
        <v>1</v>
      </c>
      <c r="N2053" s="10" t="s">
        <v>76</v>
      </c>
      <c r="O2053" s="10">
        <v>1.77</v>
      </c>
      <c r="P2053" s="10">
        <v>0.13800000000000001</v>
      </c>
      <c r="Q2053" s="10">
        <v>102</v>
      </c>
      <c r="R2053" s="10" t="s">
        <v>77</v>
      </c>
      <c r="S2053" s="34">
        <f t="shared" si="235"/>
        <v>102</v>
      </c>
      <c r="T2053" s="10" t="s">
        <v>1155</v>
      </c>
      <c r="U2053" s="34" t="str">
        <f t="shared" si="238"/>
        <v/>
      </c>
      <c r="V2053" s="31" t="str">
        <f>IF(H2053="CHK",VLOOKUP(I2053,QCCHK,3,),IF(H2053="GUP",VLOOKUP(E2053,QCGUP,2,),IF(AND(H2053="ATP",OR(I2053="TN",I2053="TDN",I2053="TNO2-3",I2053="NO2-3")),VLOOKUP(E2053,QCREC_N,2,),IF(AND(H2053="NIC",OR(I2053="TN",I2053="TDN",I2053="TNO2-3",I2053="NO2-3")),VLOOKUP(E2053,QCNIC_N,2,),IF(AND(H2053="UREA",OR(I2053="TN",I2053="TDN",I2053="TNO2-3",I2053="NO2-3")),VLOOKUP(E2053,QCUREA_N,2,),IF(H2053="PER",VLOOKUP(I2053,QCPER,MATCH(E2053,QCACTUAL!$J$25:$AA$25,0),),IF(H2053="SPK",VLOOKUP(I2053,QCSPK,3,),IF(AND(H2053="ATP",OR(I2053="TP",I2053="TDP")),VLOOKUP(E2053,QCATP_P,2,),""))))))))</f>
        <v/>
      </c>
      <c r="W2053" s="31" t="str">
        <f t="shared" si="239"/>
        <v>TRUE</v>
      </c>
      <c r="X2053" s="31" t="str">
        <f t="shared" si="234"/>
        <v/>
      </c>
      <c r="Y2053" s="10" t="s">
        <v>1144</v>
      </c>
      <c r="AL2053" s="10" t="str">
        <f t="shared" si="236"/>
        <v>FALSE</v>
      </c>
      <c r="AM2053" s="10" t="str">
        <f t="shared" si="236"/>
        <v>FALSE</v>
      </c>
      <c r="AN2053" s="10" t="str">
        <f t="shared" si="236"/>
        <v>FALSE</v>
      </c>
      <c r="AO2053" s="10" t="str">
        <f t="shared" si="237"/>
        <v>FALSE</v>
      </c>
      <c r="AP2053" s="10" t="str">
        <f t="shared" si="237"/>
        <v>FALSE</v>
      </c>
      <c r="AQ2053" s="10" t="b">
        <f>IF(AND(I2053="TP",S2053&lt;=150),VLOOKUP(AF2053,TPCalibEq150!$AZ$2:$BB$55,3,),IF(AND(I2053="TDP",S2053&lt;=150),VLOOKUP(AF2053,TPCalibEq150!$AZ$2:$BB$55,3,)))</f>
        <v>0</v>
      </c>
      <c r="AR2053" s="10" t="b">
        <f>IF(AND(I2053="TP",S2053&lt;=300),VLOOKUP(AF2053,TPCalibEq300!$AZ$2:$BB$55,3,),IF(AND(I2053="TDP",S2053&lt;=300),VLOOKUP(AF2053,TPCalibEq300!$AZ$2:$BB$55,3,)))</f>
        <v>0</v>
      </c>
      <c r="AS2053" s="10" t="b">
        <f>IF(AND(I2053="TP",S2053&lt;=500),VLOOKUP(AF2053,TPCalibEq500!$AZ$2:$BB$56,3,),IF(AND(I2053="TDP",S2053&lt;=500),VLOOKUP(AF2053,TPCalibEq500!$AZ$2:$BB$56,3,)))</f>
        <v>0</v>
      </c>
      <c r="AT2053" s="10" t="b">
        <f>IF(AND(I2053="TN",S2053&lt;=2800),VLOOKUP(AF2053,TNCalibEq2500!$AZ$2:$BB$56,3,),IF(AND(I2053="TDN",S2053&lt;=2800),VLOOKUP(AF2053,TNCalibEq2500!$AZ$2:$BB$56,3,)))</f>
        <v>0</v>
      </c>
      <c r="AU2053" s="10" t="b">
        <f>IF(I2053="TP",VLOOKUP(AF2053,TPCalibEqFull!$AZ$2:$BB$56,3),IF(I2053="TDP",VLOOKUP(AF2053,TPCalibEqFull!$AZ$2:$BB$56,3),IF(I2053="TDN",VLOOKUP(AF2053,TNCalibEqFull!$AZ$1:$BB$56,3),IF(I2053="TN",VLOOKUP(AF2053,TNCalibEqFull!$AZ$1:$BB$56,3),FALSE))))</f>
        <v>0</v>
      </c>
      <c r="AV2053" s="10" t="str">
        <f t="shared" si="240"/>
        <v>0208 12:20:20-ENN-23-C-1-SW-UKN</v>
      </c>
    </row>
    <row r="2054" spans="1:48" s="10" customFormat="1" x14ac:dyDescent="0.55000000000000004">
      <c r="A2054" s="32">
        <v>44965</v>
      </c>
      <c r="B2054" s="33">
        <v>0.43796296296296294</v>
      </c>
      <c r="C2054" s="10" t="s">
        <v>646</v>
      </c>
      <c r="D2054" s="10">
        <v>0</v>
      </c>
      <c r="E2054" s="10">
        <v>800</v>
      </c>
      <c r="F2054" s="10">
        <v>1</v>
      </c>
      <c r="G2054" s="10" t="s">
        <v>231</v>
      </c>
      <c r="H2054" s="10" t="s">
        <v>322</v>
      </c>
      <c r="I2054" s="10" t="s">
        <v>75</v>
      </c>
      <c r="J2054" s="10">
        <v>39</v>
      </c>
      <c r="K2054" s="12">
        <v>44966</v>
      </c>
      <c r="L2054" s="33">
        <v>0.513738425925926</v>
      </c>
      <c r="M2054" s="10">
        <v>1</v>
      </c>
      <c r="N2054" s="10" t="s">
        <v>76</v>
      </c>
      <c r="O2054" s="10">
        <v>1.28</v>
      </c>
      <c r="P2054" s="10">
        <v>9.9199999999999997E-2</v>
      </c>
      <c r="Q2054" s="10">
        <v>73.599999999999994</v>
      </c>
      <c r="R2054" s="10" t="s">
        <v>77</v>
      </c>
      <c r="S2054" s="34">
        <f t="shared" si="235"/>
        <v>73.599999999999994</v>
      </c>
      <c r="T2054" s="10" t="s">
        <v>1155</v>
      </c>
      <c r="U2054" s="34" t="str">
        <f t="shared" si="238"/>
        <v/>
      </c>
      <c r="V2054" s="31" t="str">
        <f>IF(H2054="CHK",VLOOKUP(I2054,QCCHK,3,),IF(H2054="GUP",VLOOKUP(E2054,QCGUP,2,),IF(AND(H2054="ATP",OR(I2054="TN",I2054="TDN",I2054="TNO2-3",I2054="NO2-3")),VLOOKUP(E2054,QCREC_N,2,),IF(AND(H2054="NIC",OR(I2054="TN",I2054="TDN",I2054="TNO2-3",I2054="NO2-3")),VLOOKUP(E2054,QCNIC_N,2,),IF(AND(H2054="UREA",OR(I2054="TN",I2054="TDN",I2054="TNO2-3",I2054="NO2-3")),VLOOKUP(E2054,QCUREA_N,2,),IF(H2054="PER",VLOOKUP(I2054,QCPER,MATCH(E2054,QCACTUAL!$J$25:$AA$25,0),),IF(H2054="SPK",VLOOKUP(I2054,QCSPK,3,),IF(AND(H2054="ATP",OR(I2054="TP",I2054="TDP")),VLOOKUP(E2054,QCATP_P,2,),""))))))))</f>
        <v/>
      </c>
      <c r="W2054" s="31" t="str">
        <f t="shared" si="239"/>
        <v>TRUE</v>
      </c>
      <c r="X2054" s="31" t="str">
        <f t="shared" si="234"/>
        <v/>
      </c>
      <c r="Y2054" s="10" t="s">
        <v>1144</v>
      </c>
      <c r="AL2054" s="10" t="str">
        <f t="shared" si="236"/>
        <v>FALSE</v>
      </c>
      <c r="AM2054" s="10" t="str">
        <f t="shared" si="236"/>
        <v>FALSE</v>
      </c>
      <c r="AN2054" s="10" t="str">
        <f t="shared" si="236"/>
        <v>FALSE</v>
      </c>
      <c r="AO2054" s="10" t="str">
        <f t="shared" si="237"/>
        <v>FALSE</v>
      </c>
      <c r="AP2054" s="10" t="str">
        <f t="shared" si="237"/>
        <v>FALSE</v>
      </c>
      <c r="AQ2054" s="10" t="b">
        <f>IF(AND(I2054="TP",S2054&lt;=150),VLOOKUP(AF2054,TPCalibEq150!$AZ$2:$BB$55,3,),IF(AND(I2054="TDP",S2054&lt;=150),VLOOKUP(AF2054,TPCalibEq150!$AZ$2:$BB$55,3,)))</f>
        <v>0</v>
      </c>
      <c r="AR2054" s="10" t="b">
        <f>IF(AND(I2054="TP",S2054&lt;=300),VLOOKUP(AF2054,TPCalibEq300!$AZ$2:$BB$55,3,),IF(AND(I2054="TDP",S2054&lt;=300),VLOOKUP(AF2054,TPCalibEq300!$AZ$2:$BB$55,3,)))</f>
        <v>0</v>
      </c>
      <c r="AS2054" s="10" t="b">
        <f>IF(AND(I2054="TP",S2054&lt;=500),VLOOKUP(AF2054,TPCalibEq500!$AZ$2:$BB$56,3,),IF(AND(I2054="TDP",S2054&lt;=500),VLOOKUP(AF2054,TPCalibEq500!$AZ$2:$BB$56,3,)))</f>
        <v>0</v>
      </c>
      <c r="AT2054" s="10" t="b">
        <f>IF(AND(I2054="TN",S2054&lt;=2800),VLOOKUP(AF2054,TNCalibEq2500!$AZ$2:$BB$56,3,),IF(AND(I2054="TDN",S2054&lt;=2800),VLOOKUP(AF2054,TNCalibEq2500!$AZ$2:$BB$56,3,)))</f>
        <v>0</v>
      </c>
      <c r="AU2054" s="10" t="b">
        <f>IF(I2054="TP",VLOOKUP(AF2054,TPCalibEqFull!$AZ$2:$BB$56,3),IF(I2054="TDP",VLOOKUP(AF2054,TPCalibEqFull!$AZ$2:$BB$56,3),IF(I2054="TDN",VLOOKUP(AF2054,TNCalibEqFull!$AZ$1:$BB$56,3),IF(I2054="TN",VLOOKUP(AF2054,TNCalibEqFull!$AZ$1:$BB$56,3),FALSE))))</f>
        <v>0</v>
      </c>
      <c r="AV2054" s="10" t="str">
        <f t="shared" si="240"/>
        <v>0208 10:30:40-EMB-0-800-1-SW-UKN</v>
      </c>
    </row>
    <row r="2055" spans="1:48" s="10" customFormat="1" x14ac:dyDescent="0.55000000000000004">
      <c r="A2055" s="32">
        <v>44965</v>
      </c>
      <c r="B2055" s="33">
        <v>0.43796296296296294</v>
      </c>
      <c r="C2055" s="10" t="s">
        <v>646</v>
      </c>
      <c r="D2055" s="10">
        <v>0</v>
      </c>
      <c r="E2055" s="10">
        <v>800</v>
      </c>
      <c r="F2055" s="10">
        <v>1</v>
      </c>
      <c r="G2055" s="10" t="s">
        <v>231</v>
      </c>
      <c r="H2055" s="10" t="s">
        <v>233</v>
      </c>
      <c r="I2055" s="10" t="s">
        <v>75</v>
      </c>
      <c r="J2055" s="10">
        <v>39</v>
      </c>
      <c r="K2055" s="12">
        <v>44966</v>
      </c>
      <c r="L2055" s="33">
        <v>0.51454861111111116</v>
      </c>
      <c r="M2055" s="10">
        <v>1</v>
      </c>
      <c r="N2055" s="10" t="s">
        <v>76</v>
      </c>
      <c r="O2055" s="10">
        <v>1.27</v>
      </c>
      <c r="P2055" s="10">
        <v>0.112</v>
      </c>
      <c r="Q2055" s="10">
        <v>73.3</v>
      </c>
      <c r="R2055" s="10" t="s">
        <v>77</v>
      </c>
      <c r="S2055" s="34">
        <f t="shared" si="235"/>
        <v>73.3</v>
      </c>
      <c r="T2055" s="10" t="s">
        <v>1155</v>
      </c>
      <c r="U2055" s="34">
        <f t="shared" si="238"/>
        <v>0.40844111640571434</v>
      </c>
      <c r="V2055" s="31" t="str">
        <f>IF(H2055="CHK",VLOOKUP(I2055,QCCHK,3,),IF(H2055="GUP",VLOOKUP(E2055,QCGUP,2,),IF(AND(H2055="ATP",OR(I2055="TN",I2055="TDN",I2055="TNO2-3",I2055="NO2-3")),VLOOKUP(E2055,QCREC_N,2,),IF(AND(H2055="NIC",OR(I2055="TN",I2055="TDN",I2055="TNO2-3",I2055="NO2-3")),VLOOKUP(E2055,QCNIC_N,2,),IF(AND(H2055="UREA",OR(I2055="TN",I2055="TDN",I2055="TNO2-3",I2055="NO2-3")),VLOOKUP(E2055,QCUREA_N,2,),IF(H2055="PER",VLOOKUP(I2055,QCPER,MATCH(E2055,QCACTUAL!$J$25:$AA$25,0),),IF(H2055="SPK",VLOOKUP(I2055,QCSPK,3,),IF(AND(H2055="ATP",OR(I2055="TP",I2055="TDP")),VLOOKUP(E2055,QCATP_P,2,),""))))))))</f>
        <v/>
      </c>
      <c r="W2055" s="31" t="str">
        <f t="shared" si="239"/>
        <v>TRUE</v>
      </c>
      <c r="X2055" s="31" t="str">
        <f t="shared" si="234"/>
        <v>((ABS(rep1-rep2))/((rep1+rep2)/2)*100</v>
      </c>
      <c r="Y2055" s="10" t="s">
        <v>1144</v>
      </c>
      <c r="AL2055" s="10" t="str">
        <f t="shared" si="236"/>
        <v>FALSE</v>
      </c>
      <c r="AM2055" s="10" t="str">
        <f t="shared" si="236"/>
        <v>FALSE</v>
      </c>
      <c r="AN2055" s="10" t="str">
        <f t="shared" si="236"/>
        <v>FALSE</v>
      </c>
      <c r="AO2055" s="10" t="str">
        <f t="shared" si="237"/>
        <v>FALSE</v>
      </c>
      <c r="AP2055" s="10" t="str">
        <f t="shared" si="237"/>
        <v>FALSE</v>
      </c>
      <c r="AQ2055" s="10" t="b">
        <f>IF(AND(I2055="TP",S2055&lt;=150),VLOOKUP(AF2055,TPCalibEq150!$AZ$2:$BB$55,3,),IF(AND(I2055="TDP",S2055&lt;=150),VLOOKUP(AF2055,TPCalibEq150!$AZ$2:$BB$55,3,)))</f>
        <v>0</v>
      </c>
      <c r="AR2055" s="10" t="b">
        <f>IF(AND(I2055="TP",S2055&lt;=300),VLOOKUP(AF2055,TPCalibEq300!$AZ$2:$BB$55,3,),IF(AND(I2055="TDP",S2055&lt;=300),VLOOKUP(AF2055,TPCalibEq300!$AZ$2:$BB$55,3,)))</f>
        <v>0</v>
      </c>
      <c r="AS2055" s="10" t="b">
        <f>IF(AND(I2055="TP",S2055&lt;=500),VLOOKUP(AF2055,TPCalibEq500!$AZ$2:$BB$56,3,),IF(AND(I2055="TDP",S2055&lt;=500),VLOOKUP(AF2055,TPCalibEq500!$AZ$2:$BB$56,3,)))</f>
        <v>0</v>
      </c>
      <c r="AT2055" s="10" t="b">
        <f>IF(AND(I2055="TN",S2055&lt;=2800),VLOOKUP(AF2055,TNCalibEq2500!$AZ$2:$BB$56,3,),IF(AND(I2055="TDN",S2055&lt;=2800),VLOOKUP(AF2055,TNCalibEq2500!$AZ$2:$BB$56,3,)))</f>
        <v>0</v>
      </c>
      <c r="AU2055" s="10" t="b">
        <f>IF(I2055="TP",VLOOKUP(AF2055,TPCalibEqFull!$AZ$2:$BB$56,3),IF(I2055="TDP",VLOOKUP(AF2055,TPCalibEqFull!$AZ$2:$BB$56,3),IF(I2055="TDN",VLOOKUP(AF2055,TNCalibEqFull!$AZ$1:$BB$56,3),IF(I2055="TN",VLOOKUP(AF2055,TNCalibEqFull!$AZ$1:$BB$56,3),FALSE))))</f>
        <v>0</v>
      </c>
      <c r="AV2055" s="10" t="str">
        <f t="shared" si="240"/>
        <v>0208 10:30:40-EMB-0-800-1-SW-DUP</v>
      </c>
    </row>
    <row r="2056" spans="1:48" s="10" customFormat="1" x14ac:dyDescent="0.55000000000000004">
      <c r="A2056" s="32">
        <v>44965</v>
      </c>
      <c r="B2056" s="33">
        <v>0.43796296296296294</v>
      </c>
      <c r="C2056" s="10" t="s">
        <v>646</v>
      </c>
      <c r="D2056" s="10">
        <v>0</v>
      </c>
      <c r="E2056" s="10">
        <v>800</v>
      </c>
      <c r="F2056" s="10">
        <v>1</v>
      </c>
      <c r="G2056" s="10" t="s">
        <v>231</v>
      </c>
      <c r="H2056" s="10" t="s">
        <v>314</v>
      </c>
      <c r="I2056" s="10" t="s">
        <v>75</v>
      </c>
      <c r="J2056" s="10">
        <v>123</v>
      </c>
      <c r="K2056" s="12">
        <v>44966</v>
      </c>
      <c r="L2056" s="33">
        <v>0.51537037037037037</v>
      </c>
      <c r="M2056" s="10">
        <v>1</v>
      </c>
      <c r="N2056" s="10" t="s">
        <v>76</v>
      </c>
      <c r="O2056" s="10">
        <v>12.5</v>
      </c>
      <c r="P2056" s="10">
        <v>0.995</v>
      </c>
      <c r="Q2056" s="10">
        <v>716</v>
      </c>
      <c r="R2056" s="10" t="s">
        <v>77</v>
      </c>
      <c r="S2056" s="34">
        <f t="shared" si="235"/>
        <v>716</v>
      </c>
      <c r="T2056" s="10" t="s">
        <v>1155</v>
      </c>
      <c r="U2056" s="34">
        <f t="shared" si="238"/>
        <v>102.83200000000001</v>
      </c>
      <c r="V2056" s="31">
        <f>IF(H2056="CHK",VLOOKUP(I2056,QCCHK,3,),IF(H2056="GUP",VLOOKUP(E2056,QCGUP,2,),IF(AND(H2056="ATP",OR(I2056="TN",I2056="TDN",I2056="TNO2-3",I2056="NO2-3")),VLOOKUP(E2056,QCREC_N,2,),IF(AND(H2056="NIC",OR(I2056="TN",I2056="TDN",I2056="TNO2-3",I2056="NO2-3")),VLOOKUP(E2056,QCNIC_N,2,),IF(AND(H2056="UREA",OR(I2056="TN",I2056="TDN",I2056="TNO2-3",I2056="NO2-3")),VLOOKUP(E2056,QCUREA_N,2,),IF(H2056="PER",VLOOKUP(I2056,QCPER,MATCH(E2056,QCACTUAL!$J$25:$AA$25,0),),IF(H2056="SPK",VLOOKUP(I2056,QCSPK,3,),IF(AND(H2056="ATP",OR(I2056="TP",I2056="TDP")),VLOOKUP(E2056,QCATP_P,2,),""))))))))</f>
        <v>625</v>
      </c>
      <c r="W2056" s="31" t="str">
        <f t="shared" si="239"/>
        <v>TRUE</v>
      </c>
      <c r="X2056" s="31" t="str">
        <f t="shared" si="234"/>
        <v>([spikedunkn]-[unkn])/[spike]*100</v>
      </c>
      <c r="Y2056" s="10" t="s">
        <v>1144</v>
      </c>
      <c r="AL2056" s="10" t="str">
        <f t="shared" si="236"/>
        <v>FALSE</v>
      </c>
      <c r="AM2056" s="10" t="str">
        <f t="shared" si="236"/>
        <v>FALSE</v>
      </c>
      <c r="AN2056" s="10" t="str">
        <f t="shared" si="236"/>
        <v>FALSE</v>
      </c>
      <c r="AO2056" s="10" t="str">
        <f t="shared" si="237"/>
        <v>FALSE</v>
      </c>
      <c r="AP2056" s="10" t="str">
        <f t="shared" si="237"/>
        <v>FALSE</v>
      </c>
      <c r="AQ2056" s="10" t="b">
        <f>IF(AND(I2056="TP",S2056&lt;=150),VLOOKUP(AF2056,TPCalibEq150!$AZ$2:$BB$55,3,),IF(AND(I2056="TDP",S2056&lt;=150),VLOOKUP(AF2056,TPCalibEq150!$AZ$2:$BB$55,3,)))</f>
        <v>0</v>
      </c>
      <c r="AR2056" s="10" t="b">
        <f>IF(AND(I2056="TP",S2056&lt;=300),VLOOKUP(AF2056,TPCalibEq300!$AZ$2:$BB$55,3,),IF(AND(I2056="TDP",S2056&lt;=300),VLOOKUP(AF2056,TPCalibEq300!$AZ$2:$BB$55,3,)))</f>
        <v>0</v>
      </c>
      <c r="AS2056" s="10" t="b">
        <f>IF(AND(I2056="TP",S2056&lt;=500),VLOOKUP(AF2056,TPCalibEq500!$AZ$2:$BB$56,3,),IF(AND(I2056="TDP",S2056&lt;=500),VLOOKUP(AF2056,TPCalibEq500!$AZ$2:$BB$56,3,)))</f>
        <v>0</v>
      </c>
      <c r="AT2056" s="10" t="b">
        <f>IF(AND(I2056="TN",S2056&lt;=2800),VLOOKUP(AF2056,TNCalibEq2500!$AZ$2:$BB$56,3,),IF(AND(I2056="TDN",S2056&lt;=2800),VLOOKUP(AF2056,TNCalibEq2500!$AZ$2:$BB$56,3,)))</f>
        <v>0</v>
      </c>
      <c r="AU2056" s="10" t="b">
        <f>IF(I2056="TP",VLOOKUP(AF2056,TPCalibEqFull!$AZ$2:$BB$56,3),IF(I2056="TDP",VLOOKUP(AF2056,TPCalibEqFull!$AZ$2:$BB$56,3),IF(I2056="TDN",VLOOKUP(AF2056,TNCalibEqFull!$AZ$1:$BB$56,3),IF(I2056="TN",VLOOKUP(AF2056,TNCalibEqFull!$AZ$1:$BB$56,3),FALSE))))</f>
        <v>0</v>
      </c>
      <c r="AV2056" s="10" t="str">
        <f t="shared" si="240"/>
        <v>0208 10:30:40-EMB-0-800-1-SW-SPK</v>
      </c>
    </row>
    <row r="2057" spans="1:48" s="10" customFormat="1" x14ac:dyDescent="0.55000000000000004">
      <c r="A2057" s="32">
        <v>44966</v>
      </c>
      <c r="B2057" s="33">
        <v>0.375</v>
      </c>
      <c r="C2057" s="10" t="s">
        <v>70</v>
      </c>
      <c r="D2057" s="10" t="s">
        <v>71</v>
      </c>
      <c r="E2057" s="10" t="s">
        <v>901</v>
      </c>
      <c r="F2057" s="10">
        <v>1</v>
      </c>
      <c r="G2057" s="10" t="s">
        <v>73</v>
      </c>
      <c r="H2057" s="10" t="s">
        <v>207</v>
      </c>
      <c r="I2057" s="10" t="s">
        <v>75</v>
      </c>
      <c r="J2057" s="10">
        <v>200</v>
      </c>
      <c r="K2057" s="12">
        <v>44966</v>
      </c>
      <c r="L2057" s="33">
        <v>0.51620370370370372</v>
      </c>
      <c r="M2057" s="10">
        <v>1</v>
      </c>
      <c r="N2057" s="10" t="s">
        <v>76</v>
      </c>
      <c r="O2057" s="10">
        <v>4.88</v>
      </c>
      <c r="P2057" s="10">
        <v>0.38800000000000001</v>
      </c>
      <c r="Q2057" s="10">
        <v>281</v>
      </c>
      <c r="R2057" s="10" t="s">
        <v>77</v>
      </c>
      <c r="S2057" s="34">
        <f t="shared" si="235"/>
        <v>281</v>
      </c>
      <c r="T2057" s="10" t="s">
        <v>1155</v>
      </c>
      <c r="U2057" s="34">
        <f t="shared" si="238"/>
        <v>93.666666666666671</v>
      </c>
      <c r="V2057" s="31">
        <f>IF(H2057="CHK",VLOOKUP(I2057,QCCHK,3,),IF(H2057="GUP",VLOOKUP(E2057,QCGUP,2,),IF(AND(H2057="ATP",OR(I2057="TN",I2057="TDN",I2057="TNO2-3",I2057="NO2-3")),VLOOKUP(E2057,QCREC_N,2,),IF(AND(H2057="NIC",OR(I2057="TN",I2057="TDN",I2057="TNO2-3",I2057="NO2-3")),VLOOKUP(E2057,QCNIC_N,2,),IF(AND(H2057="UREA",OR(I2057="TN",I2057="TDN",I2057="TNO2-3",I2057="NO2-3")),VLOOKUP(E2057,QCUREA_N,2,),IF(H2057="PER",VLOOKUP(I2057,QCPER,MATCH(E2057,QCACTUAL!$J$25:$AA$25,0),),IF(H2057="SPK",VLOOKUP(I2057,QCSPK,3,),IF(AND(H2057="ATP",OR(I2057="TP",I2057="TDP")),VLOOKUP(E2057,QCATP_P,2,),""))))))))</f>
        <v>300</v>
      </c>
      <c r="W2057" s="31" t="str">
        <f t="shared" si="239"/>
        <v>TRUE</v>
      </c>
      <c r="X2057" s="31" t="str">
        <f t="shared" si="234"/>
        <v>[chk]/[actual]*100</v>
      </c>
      <c r="Y2057" s="10" t="s">
        <v>1144</v>
      </c>
      <c r="AL2057" s="10" t="str">
        <f t="shared" si="236"/>
        <v>FALSE</v>
      </c>
      <c r="AM2057" s="10" t="str">
        <f t="shared" si="236"/>
        <v>FALSE</v>
      </c>
      <c r="AN2057" s="10" t="str">
        <f t="shared" si="236"/>
        <v>FALSE</v>
      </c>
      <c r="AO2057" s="10" t="str">
        <f t="shared" si="237"/>
        <v>FALSE</v>
      </c>
      <c r="AP2057" s="10" t="str">
        <f t="shared" si="237"/>
        <v>FALSE</v>
      </c>
      <c r="AQ2057" s="10" t="b">
        <f>IF(AND(I2057="TP",S2057&lt;=150),VLOOKUP(AF2057,TPCalibEq150!$AZ$2:$BB$55,3,),IF(AND(I2057="TDP",S2057&lt;=150),VLOOKUP(AF2057,TPCalibEq150!$AZ$2:$BB$55,3,)))</f>
        <v>0</v>
      </c>
      <c r="AR2057" s="10" t="b">
        <f>IF(AND(I2057="TP",S2057&lt;=300),VLOOKUP(AF2057,TPCalibEq300!$AZ$2:$BB$55,3,),IF(AND(I2057="TDP",S2057&lt;=300),VLOOKUP(AF2057,TPCalibEq300!$AZ$2:$BB$55,3,)))</f>
        <v>0</v>
      </c>
      <c r="AS2057" s="10" t="b">
        <f>IF(AND(I2057="TP",S2057&lt;=500),VLOOKUP(AF2057,TPCalibEq500!$AZ$2:$BB$56,3,),IF(AND(I2057="TDP",S2057&lt;=500),VLOOKUP(AF2057,TPCalibEq500!$AZ$2:$BB$56,3,)))</f>
        <v>0</v>
      </c>
      <c r="AT2057" s="10" t="b">
        <f>IF(AND(I2057="TN",S2057&lt;=2800),VLOOKUP(AF2057,TNCalibEq2500!$AZ$2:$BB$56,3,),IF(AND(I2057="TDN",S2057&lt;=2800),VLOOKUP(AF2057,TNCalibEq2500!$AZ$2:$BB$56,3,)))</f>
        <v>0</v>
      </c>
      <c r="AU2057" s="10" t="b">
        <f>IF(I2057="TP",VLOOKUP(AF2057,TPCalibEqFull!$AZ$2:$BB$56,3),IF(I2057="TDP",VLOOKUP(AF2057,TPCalibEqFull!$AZ$2:$BB$56,3),IF(I2057="TDN",VLOOKUP(AF2057,TNCalibEqFull!$AZ$1:$BB$56,3),IF(I2057="TN",VLOOKUP(AF2057,TNCalibEqFull!$AZ$1:$BB$56,3),FALSE))))</f>
        <v>0</v>
      </c>
      <c r="AV2057" s="10" t="str">
        <f t="shared" si="240"/>
        <v>0209 09:00:00-QAC-STD-D-1-DI-CHK</v>
      </c>
    </row>
    <row r="2058" spans="1:48" s="10" customFormat="1" x14ac:dyDescent="0.55000000000000004">
      <c r="A2058" s="32">
        <v>44965</v>
      </c>
      <c r="B2058" s="33">
        <v>0.44027777777777777</v>
      </c>
      <c r="C2058" s="10" t="s">
        <v>646</v>
      </c>
      <c r="D2058" s="10">
        <v>5</v>
      </c>
      <c r="E2058" s="10">
        <v>800</v>
      </c>
      <c r="F2058" s="10">
        <v>1</v>
      </c>
      <c r="G2058" s="10" t="s">
        <v>231</v>
      </c>
      <c r="H2058" s="10" t="s">
        <v>322</v>
      </c>
      <c r="I2058" s="10" t="s">
        <v>75</v>
      </c>
      <c r="J2058" s="10">
        <v>40</v>
      </c>
      <c r="K2058" s="12">
        <v>44966</v>
      </c>
      <c r="L2058" s="33">
        <v>0.51701388888888888</v>
      </c>
      <c r="M2058" s="10">
        <v>1</v>
      </c>
      <c r="N2058" s="10" t="s">
        <v>76</v>
      </c>
      <c r="O2058" s="10">
        <v>1.33</v>
      </c>
      <c r="P2058" s="10">
        <v>0.1</v>
      </c>
      <c r="Q2058" s="10">
        <v>76.3</v>
      </c>
      <c r="R2058" s="10" t="s">
        <v>77</v>
      </c>
      <c r="S2058" s="34">
        <f t="shared" si="235"/>
        <v>76.3</v>
      </c>
      <c r="T2058" s="10" t="s">
        <v>1155</v>
      </c>
      <c r="U2058" s="34" t="str">
        <f t="shared" si="238"/>
        <v/>
      </c>
      <c r="V2058" s="31" t="str">
        <f>IF(H2058="CHK",VLOOKUP(I2058,QCCHK,3,),IF(H2058="GUP",VLOOKUP(E2058,QCGUP,2,),IF(AND(H2058="ATP",OR(I2058="TN",I2058="TDN",I2058="TNO2-3",I2058="NO2-3")),VLOOKUP(E2058,QCREC_N,2,),IF(AND(H2058="NIC",OR(I2058="TN",I2058="TDN",I2058="TNO2-3",I2058="NO2-3")),VLOOKUP(E2058,QCNIC_N,2,),IF(AND(H2058="UREA",OR(I2058="TN",I2058="TDN",I2058="TNO2-3",I2058="NO2-3")),VLOOKUP(E2058,QCUREA_N,2,),IF(H2058="PER",VLOOKUP(I2058,QCPER,MATCH(E2058,QCACTUAL!$J$25:$AA$25,0),),IF(H2058="SPK",VLOOKUP(I2058,QCSPK,3,),IF(AND(H2058="ATP",OR(I2058="TP",I2058="TDP")),VLOOKUP(E2058,QCATP_P,2,),""))))))))</f>
        <v/>
      </c>
      <c r="W2058" s="31" t="str">
        <f t="shared" si="239"/>
        <v>TRUE</v>
      </c>
      <c r="X2058" s="31" t="str">
        <f t="shared" si="234"/>
        <v/>
      </c>
      <c r="Y2058" s="10" t="s">
        <v>1144</v>
      </c>
      <c r="AL2058" s="10" t="str">
        <f t="shared" si="236"/>
        <v>FALSE</v>
      </c>
      <c r="AM2058" s="10" t="str">
        <f t="shared" si="236"/>
        <v>FALSE</v>
      </c>
      <c r="AN2058" s="10" t="str">
        <f t="shared" si="236"/>
        <v>FALSE</v>
      </c>
      <c r="AO2058" s="10" t="str">
        <f t="shared" si="237"/>
        <v>FALSE</v>
      </c>
      <c r="AP2058" s="10" t="str">
        <f t="shared" si="237"/>
        <v>FALSE</v>
      </c>
      <c r="AQ2058" s="10" t="b">
        <f>IF(AND(I2058="TP",S2058&lt;=150),VLOOKUP(AF2058,TPCalibEq150!$AZ$2:$BB$55,3,),IF(AND(I2058="TDP",S2058&lt;=150),VLOOKUP(AF2058,TPCalibEq150!$AZ$2:$BB$55,3,)))</f>
        <v>0</v>
      </c>
      <c r="AR2058" s="10" t="b">
        <f>IF(AND(I2058="TP",S2058&lt;=300),VLOOKUP(AF2058,TPCalibEq300!$AZ$2:$BB$55,3,),IF(AND(I2058="TDP",S2058&lt;=300),VLOOKUP(AF2058,TPCalibEq300!$AZ$2:$BB$55,3,)))</f>
        <v>0</v>
      </c>
      <c r="AS2058" s="10" t="b">
        <f>IF(AND(I2058="TP",S2058&lt;=500),VLOOKUP(AF2058,TPCalibEq500!$AZ$2:$BB$56,3,),IF(AND(I2058="TDP",S2058&lt;=500),VLOOKUP(AF2058,TPCalibEq500!$AZ$2:$BB$56,3,)))</f>
        <v>0</v>
      </c>
      <c r="AT2058" s="10" t="b">
        <f>IF(AND(I2058="TN",S2058&lt;=2800),VLOOKUP(AF2058,TNCalibEq2500!$AZ$2:$BB$56,3,),IF(AND(I2058="TDN",S2058&lt;=2800),VLOOKUP(AF2058,TNCalibEq2500!$AZ$2:$BB$56,3,)))</f>
        <v>0</v>
      </c>
      <c r="AU2058" s="10" t="b">
        <f>IF(I2058="TP",VLOOKUP(AF2058,TPCalibEqFull!$AZ$2:$BB$56,3),IF(I2058="TDP",VLOOKUP(AF2058,TPCalibEqFull!$AZ$2:$BB$56,3),IF(I2058="TDN",VLOOKUP(AF2058,TNCalibEqFull!$AZ$1:$BB$56,3),IF(I2058="TN",VLOOKUP(AF2058,TNCalibEqFull!$AZ$1:$BB$56,3),FALSE))))</f>
        <v>0</v>
      </c>
      <c r="AV2058" s="10" t="str">
        <f t="shared" si="240"/>
        <v>0208 10:34:00-EMB-5-800-1-SW-UKN</v>
      </c>
    </row>
    <row r="2059" spans="1:48" s="10" customFormat="1" x14ac:dyDescent="0.55000000000000004">
      <c r="A2059" s="32">
        <v>44965</v>
      </c>
      <c r="B2059" s="33">
        <v>0.44259259259259259</v>
      </c>
      <c r="C2059" s="10" t="s">
        <v>646</v>
      </c>
      <c r="D2059" s="10">
        <v>10</v>
      </c>
      <c r="E2059" s="10">
        <v>800</v>
      </c>
      <c r="F2059" s="10">
        <v>1</v>
      </c>
      <c r="G2059" s="10" t="s">
        <v>231</v>
      </c>
      <c r="H2059" s="10" t="s">
        <v>322</v>
      </c>
      <c r="I2059" s="10" t="s">
        <v>75</v>
      </c>
      <c r="J2059" s="10">
        <v>41</v>
      </c>
      <c r="K2059" s="12">
        <v>44966</v>
      </c>
      <c r="L2059" s="33">
        <v>0.51782407407407405</v>
      </c>
      <c r="M2059" s="10">
        <v>1</v>
      </c>
      <c r="N2059" s="10" t="s">
        <v>76</v>
      </c>
      <c r="O2059" s="10">
        <v>1.23</v>
      </c>
      <c r="P2059" s="10">
        <v>9.5200000000000007E-2</v>
      </c>
      <c r="Q2059" s="10">
        <v>70.7</v>
      </c>
      <c r="R2059" s="10" t="s">
        <v>77</v>
      </c>
      <c r="S2059" s="34">
        <f t="shared" si="235"/>
        <v>70.7</v>
      </c>
      <c r="T2059" s="10" t="s">
        <v>1155</v>
      </c>
      <c r="U2059" s="34" t="str">
        <f t="shared" si="238"/>
        <v/>
      </c>
      <c r="V2059" s="31" t="str">
        <f>IF(H2059="CHK",VLOOKUP(I2059,QCCHK,3,),IF(H2059="GUP",VLOOKUP(E2059,QCGUP,2,),IF(AND(H2059="ATP",OR(I2059="TN",I2059="TDN",I2059="TNO2-3",I2059="NO2-3")),VLOOKUP(E2059,QCREC_N,2,),IF(AND(H2059="NIC",OR(I2059="TN",I2059="TDN",I2059="TNO2-3",I2059="NO2-3")),VLOOKUP(E2059,QCNIC_N,2,),IF(AND(H2059="UREA",OR(I2059="TN",I2059="TDN",I2059="TNO2-3",I2059="NO2-3")),VLOOKUP(E2059,QCUREA_N,2,),IF(H2059="PER",VLOOKUP(I2059,QCPER,MATCH(E2059,QCACTUAL!$J$25:$AA$25,0),),IF(H2059="SPK",VLOOKUP(I2059,QCSPK,3,),IF(AND(H2059="ATP",OR(I2059="TP",I2059="TDP")),VLOOKUP(E2059,QCATP_P,2,),""))))))))</f>
        <v/>
      </c>
      <c r="W2059" s="31" t="str">
        <f t="shared" si="239"/>
        <v>TRUE</v>
      </c>
      <c r="X2059" s="31" t="str">
        <f t="shared" si="234"/>
        <v/>
      </c>
      <c r="Y2059" s="10" t="s">
        <v>1144</v>
      </c>
      <c r="AL2059" s="10" t="str">
        <f t="shared" si="236"/>
        <v>FALSE</v>
      </c>
      <c r="AM2059" s="10" t="str">
        <f t="shared" si="236"/>
        <v>FALSE</v>
      </c>
      <c r="AN2059" s="10" t="str">
        <f t="shared" si="236"/>
        <v>FALSE</v>
      </c>
      <c r="AO2059" s="10" t="str">
        <f t="shared" si="237"/>
        <v>FALSE</v>
      </c>
      <c r="AP2059" s="10" t="str">
        <f t="shared" si="237"/>
        <v>FALSE</v>
      </c>
      <c r="AQ2059" s="10" t="b">
        <f>IF(AND(I2059="TP",S2059&lt;=150),VLOOKUP(AF2059,TPCalibEq150!$AZ$2:$BB$55,3,),IF(AND(I2059="TDP",S2059&lt;=150),VLOOKUP(AF2059,TPCalibEq150!$AZ$2:$BB$55,3,)))</f>
        <v>0</v>
      </c>
      <c r="AR2059" s="10" t="b">
        <f>IF(AND(I2059="TP",S2059&lt;=300),VLOOKUP(AF2059,TPCalibEq300!$AZ$2:$BB$55,3,),IF(AND(I2059="TDP",S2059&lt;=300),VLOOKUP(AF2059,TPCalibEq300!$AZ$2:$BB$55,3,)))</f>
        <v>0</v>
      </c>
      <c r="AS2059" s="10" t="b">
        <f>IF(AND(I2059="TP",S2059&lt;=500),VLOOKUP(AF2059,TPCalibEq500!$AZ$2:$BB$56,3,),IF(AND(I2059="TDP",S2059&lt;=500),VLOOKUP(AF2059,TPCalibEq500!$AZ$2:$BB$56,3,)))</f>
        <v>0</v>
      </c>
      <c r="AT2059" s="10" t="b">
        <f>IF(AND(I2059="TN",S2059&lt;=2800),VLOOKUP(AF2059,TNCalibEq2500!$AZ$2:$BB$56,3,),IF(AND(I2059="TDN",S2059&lt;=2800),VLOOKUP(AF2059,TNCalibEq2500!$AZ$2:$BB$56,3,)))</f>
        <v>0</v>
      </c>
      <c r="AU2059" s="10" t="b">
        <f>IF(I2059="TP",VLOOKUP(AF2059,TPCalibEqFull!$AZ$2:$BB$56,3),IF(I2059="TDP",VLOOKUP(AF2059,TPCalibEqFull!$AZ$2:$BB$56,3),IF(I2059="TDN",VLOOKUP(AF2059,TNCalibEqFull!$AZ$1:$BB$56,3),IF(I2059="TN",VLOOKUP(AF2059,TNCalibEqFull!$AZ$1:$BB$56,3),FALSE))))</f>
        <v>0</v>
      </c>
      <c r="AV2059" s="10" t="str">
        <f t="shared" si="240"/>
        <v>0208 10:37:20-EMB-10-800-1-SW-UKN</v>
      </c>
    </row>
    <row r="2060" spans="1:48" s="10" customFormat="1" x14ac:dyDescent="0.55000000000000004">
      <c r="A2060" s="32">
        <v>44965</v>
      </c>
      <c r="B2060" s="33">
        <v>0.44490740740740736</v>
      </c>
      <c r="C2060" s="10" t="s">
        <v>646</v>
      </c>
      <c r="D2060" s="10">
        <v>20</v>
      </c>
      <c r="E2060" s="10" t="s">
        <v>190</v>
      </c>
      <c r="F2060" s="10">
        <v>1</v>
      </c>
      <c r="G2060" s="10" t="s">
        <v>231</v>
      </c>
      <c r="H2060" s="10" t="s">
        <v>322</v>
      </c>
      <c r="I2060" s="10" t="s">
        <v>75</v>
      </c>
      <c r="J2060" s="10">
        <v>42</v>
      </c>
      <c r="K2060" s="12">
        <v>44966</v>
      </c>
      <c r="L2060" s="33">
        <v>0.51863425925925932</v>
      </c>
      <c r="M2060" s="10">
        <v>1</v>
      </c>
      <c r="N2060" s="10" t="s">
        <v>76</v>
      </c>
      <c r="O2060" s="10">
        <v>1.19</v>
      </c>
      <c r="P2060" s="10">
        <v>9.3399999999999997E-2</v>
      </c>
      <c r="Q2060" s="10">
        <v>68.5</v>
      </c>
      <c r="R2060" s="10" t="s">
        <v>77</v>
      </c>
      <c r="S2060" s="34">
        <f t="shared" si="235"/>
        <v>68.5</v>
      </c>
      <c r="T2060" s="10" t="s">
        <v>1155</v>
      </c>
      <c r="U2060" s="34" t="str">
        <f t="shared" si="238"/>
        <v/>
      </c>
      <c r="V2060" s="31" t="str">
        <f>IF(H2060="CHK",VLOOKUP(I2060,QCCHK,3,),IF(H2060="GUP",VLOOKUP(E2060,QCGUP,2,),IF(AND(H2060="ATP",OR(I2060="TN",I2060="TDN",I2060="TNO2-3",I2060="NO2-3")),VLOOKUP(E2060,QCREC_N,2,),IF(AND(H2060="NIC",OR(I2060="TN",I2060="TDN",I2060="TNO2-3",I2060="NO2-3")),VLOOKUP(E2060,QCNIC_N,2,),IF(AND(H2060="UREA",OR(I2060="TN",I2060="TDN",I2060="TNO2-3",I2060="NO2-3")),VLOOKUP(E2060,QCUREA_N,2,),IF(H2060="PER",VLOOKUP(I2060,QCPER,MATCH(E2060,QCACTUAL!$J$25:$AA$25,0),),IF(H2060="SPK",VLOOKUP(I2060,QCSPK,3,),IF(AND(H2060="ATP",OR(I2060="TP",I2060="TDP")),VLOOKUP(E2060,QCATP_P,2,),""))))))))</f>
        <v/>
      </c>
      <c r="W2060" s="31" t="str">
        <f t="shared" si="239"/>
        <v>TRUE</v>
      </c>
      <c r="X2060" s="31" t="str">
        <f t="shared" si="234"/>
        <v/>
      </c>
      <c r="Y2060" s="10" t="s">
        <v>1144</v>
      </c>
      <c r="AL2060" s="10" t="str">
        <f t="shared" si="236"/>
        <v>FALSE</v>
      </c>
      <c r="AM2060" s="10" t="str">
        <f t="shared" si="236"/>
        <v>FALSE</v>
      </c>
      <c r="AN2060" s="10" t="str">
        <f t="shared" si="236"/>
        <v>FALSE</v>
      </c>
      <c r="AO2060" s="10" t="str">
        <f t="shared" si="237"/>
        <v>FALSE</v>
      </c>
      <c r="AP2060" s="10" t="str">
        <f t="shared" si="237"/>
        <v>FALSE</v>
      </c>
      <c r="AQ2060" s="10" t="b">
        <f>IF(AND(I2060="TP",S2060&lt;=150),VLOOKUP(AF2060,TPCalibEq150!$AZ$2:$BB$55,3,),IF(AND(I2060="TDP",S2060&lt;=150),VLOOKUP(AF2060,TPCalibEq150!$AZ$2:$BB$55,3,)))</f>
        <v>0</v>
      </c>
      <c r="AR2060" s="10" t="b">
        <f>IF(AND(I2060="TP",S2060&lt;=300),VLOOKUP(AF2060,TPCalibEq300!$AZ$2:$BB$55,3,),IF(AND(I2060="TDP",S2060&lt;=300),VLOOKUP(AF2060,TPCalibEq300!$AZ$2:$BB$55,3,)))</f>
        <v>0</v>
      </c>
      <c r="AS2060" s="10" t="b">
        <f>IF(AND(I2060="TP",S2060&lt;=500),VLOOKUP(AF2060,TPCalibEq500!$AZ$2:$BB$56,3,),IF(AND(I2060="TDP",S2060&lt;=500),VLOOKUP(AF2060,TPCalibEq500!$AZ$2:$BB$56,3,)))</f>
        <v>0</v>
      </c>
      <c r="AT2060" s="10" t="b">
        <f>IF(AND(I2060="TN",S2060&lt;=2800),VLOOKUP(AF2060,TNCalibEq2500!$AZ$2:$BB$56,3,),IF(AND(I2060="TDN",S2060&lt;=2800),VLOOKUP(AF2060,TNCalibEq2500!$AZ$2:$BB$56,3,)))</f>
        <v>0</v>
      </c>
      <c r="AU2060" s="10" t="b">
        <f>IF(I2060="TP",VLOOKUP(AF2060,TPCalibEqFull!$AZ$2:$BB$56,3),IF(I2060="TDP",VLOOKUP(AF2060,TPCalibEqFull!$AZ$2:$BB$56,3),IF(I2060="TDN",VLOOKUP(AF2060,TNCalibEqFull!$AZ$1:$BB$56,3),IF(I2060="TN",VLOOKUP(AF2060,TNCalibEqFull!$AZ$1:$BB$56,3),FALSE))))</f>
        <v>0</v>
      </c>
      <c r="AV2060" s="10" t="str">
        <f t="shared" si="240"/>
        <v>0208 10:40:40-EMB-20-C-1-SW-UKN</v>
      </c>
    </row>
    <row r="2061" spans="1:48" s="10" customFormat="1" x14ac:dyDescent="0.55000000000000004">
      <c r="A2061" s="32">
        <v>44965</v>
      </c>
      <c r="B2061" s="33">
        <v>0.44780092592592591</v>
      </c>
      <c r="C2061" s="10" t="s">
        <v>646</v>
      </c>
      <c r="D2061" s="10">
        <v>69</v>
      </c>
      <c r="E2061" s="10" t="s">
        <v>190</v>
      </c>
      <c r="F2061" s="10">
        <v>1</v>
      </c>
      <c r="G2061" s="10" t="s">
        <v>231</v>
      </c>
      <c r="H2061" s="10" t="s">
        <v>322</v>
      </c>
      <c r="I2061" s="10" t="s">
        <v>75</v>
      </c>
      <c r="J2061" s="10">
        <v>43</v>
      </c>
      <c r="K2061" s="12">
        <v>44966</v>
      </c>
      <c r="L2061" s="33">
        <v>0.51944444444444449</v>
      </c>
      <c r="M2061" s="10">
        <v>1</v>
      </c>
      <c r="N2061" s="10" t="s">
        <v>76</v>
      </c>
      <c r="O2061" s="10">
        <v>2.23</v>
      </c>
      <c r="P2061" s="10">
        <v>0.17599999999999999</v>
      </c>
      <c r="Q2061" s="10">
        <v>128</v>
      </c>
      <c r="R2061" s="10" t="s">
        <v>77</v>
      </c>
      <c r="S2061" s="34">
        <f t="shared" si="235"/>
        <v>128</v>
      </c>
      <c r="T2061" s="10" t="s">
        <v>1155</v>
      </c>
      <c r="U2061" s="34" t="str">
        <f t="shared" si="238"/>
        <v/>
      </c>
      <c r="V2061" s="31" t="str">
        <f>IF(H2061="CHK",VLOOKUP(I2061,QCCHK,3,),IF(H2061="GUP",VLOOKUP(E2061,QCGUP,2,),IF(AND(H2061="ATP",OR(I2061="TN",I2061="TDN",I2061="TNO2-3",I2061="NO2-3")),VLOOKUP(E2061,QCREC_N,2,),IF(AND(H2061="NIC",OR(I2061="TN",I2061="TDN",I2061="TNO2-3",I2061="NO2-3")),VLOOKUP(E2061,QCNIC_N,2,),IF(AND(H2061="UREA",OR(I2061="TN",I2061="TDN",I2061="TNO2-3",I2061="NO2-3")),VLOOKUP(E2061,QCUREA_N,2,),IF(H2061="PER",VLOOKUP(I2061,QCPER,MATCH(E2061,QCACTUAL!$J$25:$AA$25,0),),IF(H2061="SPK",VLOOKUP(I2061,QCSPK,3,),IF(AND(H2061="ATP",OR(I2061="TP",I2061="TDP")),VLOOKUP(E2061,QCATP_P,2,),""))))))))</f>
        <v/>
      </c>
      <c r="W2061" s="31" t="str">
        <f t="shared" si="239"/>
        <v>TRUE</v>
      </c>
      <c r="X2061" s="31" t="str">
        <f t="shared" si="234"/>
        <v/>
      </c>
      <c r="Y2061" s="10" t="s">
        <v>1144</v>
      </c>
      <c r="AL2061" s="10" t="str">
        <f t="shared" si="236"/>
        <v>FALSE</v>
      </c>
      <c r="AM2061" s="10" t="str">
        <f t="shared" si="236"/>
        <v>FALSE</v>
      </c>
      <c r="AN2061" s="10" t="str">
        <f t="shared" si="236"/>
        <v>FALSE</v>
      </c>
      <c r="AO2061" s="10" t="str">
        <f t="shared" si="237"/>
        <v>FALSE</v>
      </c>
      <c r="AP2061" s="10" t="str">
        <f t="shared" si="237"/>
        <v>FALSE</v>
      </c>
      <c r="AQ2061" s="10" t="b">
        <f>IF(AND(I2061="TP",S2061&lt;=150),VLOOKUP(AF2061,TPCalibEq150!$AZ$2:$BB$55,3,),IF(AND(I2061="TDP",S2061&lt;=150),VLOOKUP(AF2061,TPCalibEq150!$AZ$2:$BB$55,3,)))</f>
        <v>0</v>
      </c>
      <c r="AR2061" s="10" t="b">
        <f>IF(AND(I2061="TP",S2061&lt;=300),VLOOKUP(AF2061,TPCalibEq300!$AZ$2:$BB$55,3,),IF(AND(I2061="TDP",S2061&lt;=300),VLOOKUP(AF2061,TPCalibEq300!$AZ$2:$BB$55,3,)))</f>
        <v>0</v>
      </c>
      <c r="AS2061" s="10" t="b">
        <f>IF(AND(I2061="TP",S2061&lt;=500),VLOOKUP(AF2061,TPCalibEq500!$AZ$2:$BB$56,3,),IF(AND(I2061="TDP",S2061&lt;=500),VLOOKUP(AF2061,TPCalibEq500!$AZ$2:$BB$56,3,)))</f>
        <v>0</v>
      </c>
      <c r="AT2061" s="10" t="b">
        <f>IF(AND(I2061="TN",S2061&lt;=2800),VLOOKUP(AF2061,TNCalibEq2500!$AZ$2:$BB$56,3,),IF(AND(I2061="TDN",S2061&lt;=2800),VLOOKUP(AF2061,TNCalibEq2500!$AZ$2:$BB$56,3,)))</f>
        <v>0</v>
      </c>
      <c r="AU2061" s="10" t="b">
        <f>IF(I2061="TP",VLOOKUP(AF2061,TPCalibEqFull!$AZ$2:$BB$56,3),IF(I2061="TDP",VLOOKUP(AF2061,TPCalibEqFull!$AZ$2:$BB$56,3),IF(I2061="TDN",VLOOKUP(AF2061,TNCalibEqFull!$AZ$1:$BB$56,3),IF(I2061="TN",VLOOKUP(AF2061,TNCalibEqFull!$AZ$1:$BB$56,3),FALSE))))</f>
        <v>0</v>
      </c>
      <c r="AV2061" s="10" t="str">
        <f t="shared" si="240"/>
        <v>0208 10:44:50-EMB-69-C-1-SW-UKN</v>
      </c>
    </row>
    <row r="2062" spans="1:48" s="10" customFormat="1" x14ac:dyDescent="0.55000000000000004">
      <c r="A2062" s="32">
        <v>44965</v>
      </c>
      <c r="B2062" s="33">
        <v>0.39953703703703702</v>
      </c>
      <c r="C2062" s="10" t="s">
        <v>287</v>
      </c>
      <c r="D2062" s="10">
        <v>0</v>
      </c>
      <c r="E2062" s="10">
        <v>800</v>
      </c>
      <c r="F2062" s="10">
        <v>1</v>
      </c>
      <c r="G2062" s="10" t="s">
        <v>231</v>
      </c>
      <c r="H2062" s="10" t="s">
        <v>322</v>
      </c>
      <c r="I2062" s="10" t="s">
        <v>75</v>
      </c>
      <c r="J2062" s="10">
        <v>44</v>
      </c>
      <c r="K2062" s="12">
        <v>44966</v>
      </c>
      <c r="L2062" s="33">
        <v>0.52025462962962965</v>
      </c>
      <c r="M2062" s="10">
        <v>1</v>
      </c>
      <c r="N2062" s="10" t="s">
        <v>76</v>
      </c>
      <c r="O2062" s="10">
        <v>1.1200000000000001</v>
      </c>
      <c r="P2062" s="10">
        <v>8.9399999999999993E-2</v>
      </c>
      <c r="Q2062" s="10">
        <v>64.7</v>
      </c>
      <c r="R2062" s="10" t="s">
        <v>77</v>
      </c>
      <c r="S2062" s="34">
        <f t="shared" si="235"/>
        <v>64.7</v>
      </c>
      <c r="T2062" s="10" t="s">
        <v>1155</v>
      </c>
      <c r="U2062" s="34" t="str">
        <f t="shared" si="238"/>
        <v/>
      </c>
      <c r="V2062" s="31" t="str">
        <f>IF(H2062="CHK",VLOOKUP(I2062,QCCHK,3,),IF(H2062="GUP",VLOOKUP(E2062,QCGUP,2,),IF(AND(H2062="ATP",OR(I2062="TN",I2062="TDN",I2062="TNO2-3",I2062="NO2-3")),VLOOKUP(E2062,QCREC_N,2,),IF(AND(H2062="NIC",OR(I2062="TN",I2062="TDN",I2062="TNO2-3",I2062="NO2-3")),VLOOKUP(E2062,QCNIC_N,2,),IF(AND(H2062="UREA",OR(I2062="TN",I2062="TDN",I2062="TNO2-3",I2062="NO2-3")),VLOOKUP(E2062,QCUREA_N,2,),IF(H2062="PER",VLOOKUP(I2062,QCPER,MATCH(E2062,QCACTUAL!$J$25:$AA$25,0),),IF(H2062="SPK",VLOOKUP(I2062,QCSPK,3,),IF(AND(H2062="ATP",OR(I2062="TP",I2062="TDP")),VLOOKUP(E2062,QCATP_P,2,),""))))))))</f>
        <v/>
      </c>
      <c r="W2062" s="31" t="str">
        <f t="shared" si="239"/>
        <v>TRUE</v>
      </c>
      <c r="X2062" s="31" t="str">
        <f t="shared" si="234"/>
        <v/>
      </c>
      <c r="Y2062" s="10" t="s">
        <v>1144</v>
      </c>
      <c r="AL2062" s="10" t="str">
        <f t="shared" si="236"/>
        <v>FALSE</v>
      </c>
      <c r="AM2062" s="10" t="str">
        <f t="shared" si="236"/>
        <v>FALSE</v>
      </c>
      <c r="AN2062" s="10" t="str">
        <f t="shared" si="236"/>
        <v>FALSE</v>
      </c>
      <c r="AO2062" s="10" t="str">
        <f t="shared" si="237"/>
        <v>FALSE</v>
      </c>
      <c r="AP2062" s="10" t="str">
        <f t="shared" si="237"/>
        <v>FALSE</v>
      </c>
      <c r="AQ2062" s="10" t="b">
        <f>IF(AND(I2062="TP",S2062&lt;=150),VLOOKUP(AF2062,TPCalibEq150!$AZ$2:$BB$55,3,),IF(AND(I2062="TDP",S2062&lt;=150),VLOOKUP(AF2062,TPCalibEq150!$AZ$2:$BB$55,3,)))</f>
        <v>0</v>
      </c>
      <c r="AR2062" s="10" t="b">
        <f>IF(AND(I2062="TP",S2062&lt;=300),VLOOKUP(AF2062,TPCalibEq300!$AZ$2:$BB$55,3,),IF(AND(I2062="TDP",S2062&lt;=300),VLOOKUP(AF2062,TPCalibEq300!$AZ$2:$BB$55,3,)))</f>
        <v>0</v>
      </c>
      <c r="AS2062" s="10" t="b">
        <f>IF(AND(I2062="TP",S2062&lt;=500),VLOOKUP(AF2062,TPCalibEq500!$AZ$2:$BB$56,3,),IF(AND(I2062="TDP",S2062&lt;=500),VLOOKUP(AF2062,TPCalibEq500!$AZ$2:$BB$56,3,)))</f>
        <v>0</v>
      </c>
      <c r="AT2062" s="10" t="b">
        <f>IF(AND(I2062="TN",S2062&lt;=2800),VLOOKUP(AF2062,TNCalibEq2500!$AZ$2:$BB$56,3,),IF(AND(I2062="TDN",S2062&lt;=2800),VLOOKUP(AF2062,TNCalibEq2500!$AZ$2:$BB$56,3,)))</f>
        <v>0</v>
      </c>
      <c r="AU2062" s="10" t="b">
        <f>IF(I2062="TP",VLOOKUP(AF2062,TPCalibEqFull!$AZ$2:$BB$56,3),IF(I2062="TDP",VLOOKUP(AF2062,TPCalibEqFull!$AZ$2:$BB$56,3),IF(I2062="TDN",VLOOKUP(AF2062,TNCalibEqFull!$AZ$1:$BB$56,3),IF(I2062="TN",VLOOKUP(AF2062,TNCalibEqFull!$AZ$1:$BB$56,3),FALSE))))</f>
        <v>0</v>
      </c>
      <c r="AV2062" s="10" t="str">
        <f t="shared" si="240"/>
        <v>0208 09:35:20-EFL-0-800-1-SW-UKN</v>
      </c>
    </row>
    <row r="2063" spans="1:48" s="10" customFormat="1" x14ac:dyDescent="0.55000000000000004">
      <c r="A2063" s="32">
        <v>44965</v>
      </c>
      <c r="B2063" s="33">
        <v>0.40185185185185185</v>
      </c>
      <c r="C2063" s="10" t="s">
        <v>287</v>
      </c>
      <c r="D2063" s="10">
        <v>5</v>
      </c>
      <c r="E2063" s="10">
        <v>800</v>
      </c>
      <c r="F2063" s="10">
        <v>1</v>
      </c>
      <c r="G2063" s="10" t="s">
        <v>231</v>
      </c>
      <c r="H2063" s="10" t="s">
        <v>322</v>
      </c>
      <c r="I2063" s="10" t="s">
        <v>75</v>
      </c>
      <c r="J2063" s="10">
        <v>45</v>
      </c>
      <c r="K2063" s="12">
        <v>44966</v>
      </c>
      <c r="L2063" s="33">
        <v>0.52105324074074078</v>
      </c>
      <c r="M2063" s="10">
        <v>1</v>
      </c>
      <c r="N2063" s="10" t="s">
        <v>76</v>
      </c>
      <c r="O2063" s="10">
        <v>1.1499999999999999</v>
      </c>
      <c r="P2063" s="10">
        <v>9.0899999999999995E-2</v>
      </c>
      <c r="Q2063" s="10">
        <v>66.400000000000006</v>
      </c>
      <c r="R2063" s="10" t="s">
        <v>77</v>
      </c>
      <c r="S2063" s="34">
        <f t="shared" si="235"/>
        <v>66.400000000000006</v>
      </c>
      <c r="T2063" s="10" t="s">
        <v>1155</v>
      </c>
      <c r="U2063" s="34" t="str">
        <f t="shared" si="238"/>
        <v/>
      </c>
      <c r="V2063" s="31" t="str">
        <f>IF(H2063="CHK",VLOOKUP(I2063,QCCHK,3,),IF(H2063="GUP",VLOOKUP(E2063,QCGUP,2,),IF(AND(H2063="ATP",OR(I2063="TN",I2063="TDN",I2063="TNO2-3",I2063="NO2-3")),VLOOKUP(E2063,QCREC_N,2,),IF(AND(H2063="NIC",OR(I2063="TN",I2063="TDN",I2063="TNO2-3",I2063="NO2-3")),VLOOKUP(E2063,QCNIC_N,2,),IF(AND(H2063="UREA",OR(I2063="TN",I2063="TDN",I2063="TNO2-3",I2063="NO2-3")),VLOOKUP(E2063,QCUREA_N,2,),IF(H2063="PER",VLOOKUP(I2063,QCPER,MATCH(E2063,QCACTUAL!$J$25:$AA$25,0),),IF(H2063="SPK",VLOOKUP(I2063,QCSPK,3,),IF(AND(H2063="ATP",OR(I2063="TP",I2063="TDP")),VLOOKUP(E2063,QCATP_P,2,),""))))))))</f>
        <v/>
      </c>
      <c r="W2063" s="31" t="str">
        <f t="shared" si="239"/>
        <v>TRUE</v>
      </c>
      <c r="X2063" s="31" t="str">
        <f t="shared" si="234"/>
        <v/>
      </c>
      <c r="Y2063" s="10" t="s">
        <v>1144</v>
      </c>
      <c r="AL2063" s="10" t="str">
        <f t="shared" si="236"/>
        <v>FALSE</v>
      </c>
      <c r="AM2063" s="10" t="str">
        <f t="shared" si="236"/>
        <v>FALSE</v>
      </c>
      <c r="AN2063" s="10" t="str">
        <f t="shared" si="236"/>
        <v>FALSE</v>
      </c>
      <c r="AO2063" s="10" t="str">
        <f t="shared" si="237"/>
        <v>FALSE</v>
      </c>
      <c r="AP2063" s="10" t="str">
        <f t="shared" si="237"/>
        <v>FALSE</v>
      </c>
      <c r="AQ2063" s="10" t="b">
        <f>IF(AND(I2063="TP",S2063&lt;=150),VLOOKUP(AF2063,TPCalibEq150!$AZ$2:$BB$55,3,),IF(AND(I2063="TDP",S2063&lt;=150),VLOOKUP(AF2063,TPCalibEq150!$AZ$2:$BB$55,3,)))</f>
        <v>0</v>
      </c>
      <c r="AR2063" s="10" t="b">
        <f>IF(AND(I2063="TP",S2063&lt;=300),VLOOKUP(AF2063,TPCalibEq300!$AZ$2:$BB$55,3,),IF(AND(I2063="TDP",S2063&lt;=300),VLOOKUP(AF2063,TPCalibEq300!$AZ$2:$BB$55,3,)))</f>
        <v>0</v>
      </c>
      <c r="AS2063" s="10" t="b">
        <f>IF(AND(I2063="TP",S2063&lt;=500),VLOOKUP(AF2063,TPCalibEq500!$AZ$2:$BB$56,3,),IF(AND(I2063="TDP",S2063&lt;=500),VLOOKUP(AF2063,TPCalibEq500!$AZ$2:$BB$56,3,)))</f>
        <v>0</v>
      </c>
      <c r="AT2063" s="10" t="b">
        <f>IF(AND(I2063="TN",S2063&lt;=2800),VLOOKUP(AF2063,TNCalibEq2500!$AZ$2:$BB$56,3,),IF(AND(I2063="TDN",S2063&lt;=2800),VLOOKUP(AF2063,TNCalibEq2500!$AZ$2:$BB$56,3,)))</f>
        <v>0</v>
      </c>
      <c r="AU2063" s="10" t="b">
        <f>IF(I2063="TP",VLOOKUP(AF2063,TPCalibEqFull!$AZ$2:$BB$56,3),IF(I2063="TDP",VLOOKUP(AF2063,TPCalibEqFull!$AZ$2:$BB$56,3),IF(I2063="TDN",VLOOKUP(AF2063,TNCalibEqFull!$AZ$1:$BB$56,3),IF(I2063="TN",VLOOKUP(AF2063,TNCalibEqFull!$AZ$1:$BB$56,3),FALSE))))</f>
        <v>0</v>
      </c>
      <c r="AV2063" s="10" t="str">
        <f t="shared" si="240"/>
        <v>0208 09:38:40-EFL-5-800-1-SW-UKN</v>
      </c>
    </row>
    <row r="2064" spans="1:48" s="10" customFormat="1" x14ac:dyDescent="0.55000000000000004">
      <c r="A2064" s="32">
        <v>44965</v>
      </c>
      <c r="B2064" s="33">
        <v>0.40416666666666662</v>
      </c>
      <c r="C2064" s="10" t="s">
        <v>287</v>
      </c>
      <c r="D2064" s="10">
        <v>10</v>
      </c>
      <c r="E2064" s="10">
        <v>800</v>
      </c>
      <c r="F2064" s="10">
        <v>1</v>
      </c>
      <c r="G2064" s="10" t="s">
        <v>231</v>
      </c>
      <c r="H2064" s="10" t="s">
        <v>322</v>
      </c>
      <c r="I2064" s="10" t="s">
        <v>75</v>
      </c>
      <c r="J2064" s="10">
        <v>46</v>
      </c>
      <c r="K2064" s="12">
        <v>44966</v>
      </c>
      <c r="L2064" s="33">
        <v>0.52187499999999998</v>
      </c>
      <c r="M2064" s="10">
        <v>1</v>
      </c>
      <c r="N2064" s="10" t="s">
        <v>76</v>
      </c>
      <c r="O2064" s="10">
        <v>1.25</v>
      </c>
      <c r="P2064" s="10">
        <v>9.6199999999999994E-2</v>
      </c>
      <c r="Q2064" s="10">
        <v>71.7</v>
      </c>
      <c r="R2064" s="10" t="s">
        <v>77</v>
      </c>
      <c r="S2064" s="34">
        <f t="shared" si="235"/>
        <v>71.7</v>
      </c>
      <c r="T2064" s="10" t="s">
        <v>1155</v>
      </c>
      <c r="U2064" s="34" t="str">
        <f t="shared" si="238"/>
        <v/>
      </c>
      <c r="V2064" s="31" t="str">
        <f>IF(H2064="CHK",VLOOKUP(I2064,QCCHK,3,),IF(H2064="GUP",VLOOKUP(E2064,QCGUP,2,),IF(AND(H2064="ATP",OR(I2064="TN",I2064="TDN",I2064="TNO2-3",I2064="NO2-3")),VLOOKUP(E2064,QCREC_N,2,),IF(AND(H2064="NIC",OR(I2064="TN",I2064="TDN",I2064="TNO2-3",I2064="NO2-3")),VLOOKUP(E2064,QCNIC_N,2,),IF(AND(H2064="UREA",OR(I2064="TN",I2064="TDN",I2064="TNO2-3",I2064="NO2-3")),VLOOKUP(E2064,QCUREA_N,2,),IF(H2064="PER",VLOOKUP(I2064,QCPER,MATCH(E2064,QCACTUAL!$J$25:$AA$25,0),),IF(H2064="SPK",VLOOKUP(I2064,QCSPK,3,),IF(AND(H2064="ATP",OR(I2064="TP",I2064="TDP")),VLOOKUP(E2064,QCATP_P,2,),""))))))))</f>
        <v/>
      </c>
      <c r="W2064" s="31" t="str">
        <f t="shared" si="239"/>
        <v>TRUE</v>
      </c>
      <c r="X2064" s="31" t="str">
        <f t="shared" si="234"/>
        <v/>
      </c>
      <c r="Y2064" s="10" t="s">
        <v>1144</v>
      </c>
      <c r="AL2064" s="10" t="str">
        <f t="shared" si="236"/>
        <v>FALSE</v>
      </c>
      <c r="AM2064" s="10" t="str">
        <f t="shared" si="236"/>
        <v>FALSE</v>
      </c>
      <c r="AN2064" s="10" t="str">
        <f t="shared" si="236"/>
        <v>FALSE</v>
      </c>
      <c r="AO2064" s="10" t="str">
        <f t="shared" si="237"/>
        <v>FALSE</v>
      </c>
      <c r="AP2064" s="10" t="str">
        <f t="shared" si="237"/>
        <v>FALSE</v>
      </c>
      <c r="AQ2064" s="10" t="b">
        <f>IF(AND(I2064="TP",S2064&lt;=150),VLOOKUP(AF2064,TPCalibEq150!$AZ$2:$BB$55,3,),IF(AND(I2064="TDP",S2064&lt;=150),VLOOKUP(AF2064,TPCalibEq150!$AZ$2:$BB$55,3,)))</f>
        <v>0</v>
      </c>
      <c r="AR2064" s="10" t="b">
        <f>IF(AND(I2064="TP",S2064&lt;=300),VLOOKUP(AF2064,TPCalibEq300!$AZ$2:$BB$55,3,),IF(AND(I2064="TDP",S2064&lt;=300),VLOOKUP(AF2064,TPCalibEq300!$AZ$2:$BB$55,3,)))</f>
        <v>0</v>
      </c>
      <c r="AS2064" s="10" t="b">
        <f>IF(AND(I2064="TP",S2064&lt;=500),VLOOKUP(AF2064,TPCalibEq500!$AZ$2:$BB$56,3,),IF(AND(I2064="TDP",S2064&lt;=500),VLOOKUP(AF2064,TPCalibEq500!$AZ$2:$BB$56,3,)))</f>
        <v>0</v>
      </c>
      <c r="AT2064" s="10" t="b">
        <f>IF(AND(I2064="TN",S2064&lt;=2800),VLOOKUP(AF2064,TNCalibEq2500!$AZ$2:$BB$56,3,),IF(AND(I2064="TDN",S2064&lt;=2800),VLOOKUP(AF2064,TNCalibEq2500!$AZ$2:$BB$56,3,)))</f>
        <v>0</v>
      </c>
      <c r="AU2064" s="10" t="b">
        <f>IF(I2064="TP",VLOOKUP(AF2064,TPCalibEqFull!$AZ$2:$BB$56,3),IF(I2064="TDP",VLOOKUP(AF2064,TPCalibEqFull!$AZ$2:$BB$56,3),IF(I2064="TDN",VLOOKUP(AF2064,TNCalibEqFull!$AZ$1:$BB$56,3),IF(I2064="TN",VLOOKUP(AF2064,TNCalibEqFull!$AZ$1:$BB$56,3),FALSE))))</f>
        <v>0</v>
      </c>
      <c r="AV2064" s="10" t="str">
        <f t="shared" si="240"/>
        <v>0208 09:42:00-EFL-10-800-1-SW-UKN</v>
      </c>
    </row>
    <row r="2065" spans="1:48" s="10" customFormat="1" x14ac:dyDescent="0.55000000000000004">
      <c r="A2065" s="32">
        <v>44965</v>
      </c>
      <c r="B2065" s="33">
        <v>0.4069444444444445</v>
      </c>
      <c r="C2065" s="10" t="s">
        <v>287</v>
      </c>
      <c r="D2065" s="10">
        <v>20</v>
      </c>
      <c r="E2065" s="10">
        <v>800</v>
      </c>
      <c r="F2065" s="10">
        <v>1</v>
      </c>
      <c r="G2065" s="10" t="s">
        <v>231</v>
      </c>
      <c r="H2065" s="10" t="s">
        <v>322</v>
      </c>
      <c r="I2065" s="10" t="s">
        <v>75</v>
      </c>
      <c r="J2065" s="10">
        <v>47</v>
      </c>
      <c r="K2065" s="12">
        <v>44966</v>
      </c>
      <c r="L2065" s="33">
        <v>0.52270833333333333</v>
      </c>
      <c r="M2065" s="10">
        <v>1</v>
      </c>
      <c r="N2065" s="10" t="s">
        <v>76</v>
      </c>
      <c r="O2065" s="10">
        <v>1.17</v>
      </c>
      <c r="P2065" s="10">
        <v>9.1899999999999996E-2</v>
      </c>
      <c r="Q2065" s="10">
        <v>67.400000000000006</v>
      </c>
      <c r="R2065" s="10" t="s">
        <v>77</v>
      </c>
      <c r="S2065" s="34">
        <f t="shared" si="235"/>
        <v>67.400000000000006</v>
      </c>
      <c r="T2065" s="10" t="s">
        <v>1155</v>
      </c>
      <c r="U2065" s="34" t="str">
        <f t="shared" si="238"/>
        <v/>
      </c>
      <c r="V2065" s="31" t="str">
        <f>IF(H2065="CHK",VLOOKUP(I2065,QCCHK,3,),IF(H2065="GUP",VLOOKUP(E2065,QCGUP,2,),IF(AND(H2065="ATP",OR(I2065="TN",I2065="TDN",I2065="TNO2-3",I2065="NO2-3")),VLOOKUP(E2065,QCREC_N,2,),IF(AND(H2065="NIC",OR(I2065="TN",I2065="TDN",I2065="TNO2-3",I2065="NO2-3")),VLOOKUP(E2065,QCNIC_N,2,),IF(AND(H2065="UREA",OR(I2065="TN",I2065="TDN",I2065="TNO2-3",I2065="NO2-3")),VLOOKUP(E2065,QCUREA_N,2,),IF(H2065="PER",VLOOKUP(I2065,QCPER,MATCH(E2065,QCACTUAL!$J$25:$AA$25,0),),IF(H2065="SPK",VLOOKUP(I2065,QCSPK,3,),IF(AND(H2065="ATP",OR(I2065="TP",I2065="TDP")),VLOOKUP(E2065,QCATP_P,2,),""))))))))</f>
        <v/>
      </c>
      <c r="W2065" s="31" t="str">
        <f t="shared" si="239"/>
        <v>TRUE</v>
      </c>
      <c r="X2065" s="31" t="str">
        <f t="shared" si="234"/>
        <v/>
      </c>
      <c r="Y2065" s="10" t="s">
        <v>1144</v>
      </c>
      <c r="AL2065" s="10" t="str">
        <f t="shared" si="236"/>
        <v>FALSE</v>
      </c>
      <c r="AM2065" s="10" t="str">
        <f t="shared" si="236"/>
        <v>FALSE</v>
      </c>
      <c r="AN2065" s="10" t="str">
        <f t="shared" si="236"/>
        <v>FALSE</v>
      </c>
      <c r="AO2065" s="10" t="str">
        <f t="shared" si="237"/>
        <v>FALSE</v>
      </c>
      <c r="AP2065" s="10" t="str">
        <f t="shared" si="237"/>
        <v>FALSE</v>
      </c>
      <c r="AQ2065" s="10" t="b">
        <f>IF(AND(I2065="TP",S2065&lt;=150),VLOOKUP(AF2065,TPCalibEq150!$AZ$2:$BB$55,3,),IF(AND(I2065="TDP",S2065&lt;=150),VLOOKUP(AF2065,TPCalibEq150!$AZ$2:$BB$55,3,)))</f>
        <v>0</v>
      </c>
      <c r="AR2065" s="10" t="b">
        <f>IF(AND(I2065="TP",S2065&lt;=300),VLOOKUP(AF2065,TPCalibEq300!$AZ$2:$BB$55,3,),IF(AND(I2065="TDP",S2065&lt;=300),VLOOKUP(AF2065,TPCalibEq300!$AZ$2:$BB$55,3,)))</f>
        <v>0</v>
      </c>
      <c r="AS2065" s="10" t="b">
        <f>IF(AND(I2065="TP",S2065&lt;=500),VLOOKUP(AF2065,TPCalibEq500!$AZ$2:$BB$56,3,),IF(AND(I2065="TDP",S2065&lt;=500),VLOOKUP(AF2065,TPCalibEq500!$AZ$2:$BB$56,3,)))</f>
        <v>0</v>
      </c>
      <c r="AT2065" s="10" t="b">
        <f>IF(AND(I2065="TN",S2065&lt;=2800),VLOOKUP(AF2065,TNCalibEq2500!$AZ$2:$BB$56,3,),IF(AND(I2065="TDN",S2065&lt;=2800),VLOOKUP(AF2065,TNCalibEq2500!$AZ$2:$BB$56,3,)))</f>
        <v>0</v>
      </c>
      <c r="AU2065" s="10" t="b">
        <f>IF(I2065="TP",VLOOKUP(AF2065,TPCalibEqFull!$AZ$2:$BB$56,3),IF(I2065="TDP",VLOOKUP(AF2065,TPCalibEqFull!$AZ$2:$BB$56,3),IF(I2065="TDN",VLOOKUP(AF2065,TNCalibEqFull!$AZ$1:$BB$56,3),IF(I2065="TN",VLOOKUP(AF2065,TNCalibEqFull!$AZ$1:$BB$56,3),FALSE))))</f>
        <v>0</v>
      </c>
      <c r="AV2065" s="10" t="str">
        <f t="shared" si="240"/>
        <v>0208 09:46:00-EFL-20-800-1-SW-UKN</v>
      </c>
    </row>
    <row r="2066" spans="1:48" s="10" customFormat="1" x14ac:dyDescent="0.55000000000000004">
      <c r="A2066" s="32">
        <v>44965</v>
      </c>
      <c r="B2066" s="33">
        <v>0.4069444444444445</v>
      </c>
      <c r="C2066" s="10" t="s">
        <v>287</v>
      </c>
      <c r="D2066" s="10">
        <v>20</v>
      </c>
      <c r="E2066" s="10">
        <v>800</v>
      </c>
      <c r="F2066" s="10">
        <v>2</v>
      </c>
      <c r="G2066" s="10" t="s">
        <v>231</v>
      </c>
      <c r="H2066" s="10" t="s">
        <v>322</v>
      </c>
      <c r="I2066" s="10" t="s">
        <v>75</v>
      </c>
      <c r="J2066" s="10">
        <v>48</v>
      </c>
      <c r="K2066" s="12">
        <v>44966</v>
      </c>
      <c r="L2066" s="33">
        <v>0.52353009259259264</v>
      </c>
      <c r="M2066" s="10">
        <v>1</v>
      </c>
      <c r="N2066" s="10" t="s">
        <v>76</v>
      </c>
      <c r="O2066" s="10">
        <v>1.18</v>
      </c>
      <c r="P2066" s="10">
        <v>9.1800000000000007E-2</v>
      </c>
      <c r="Q2066" s="10">
        <v>67.900000000000006</v>
      </c>
      <c r="R2066" s="10" t="s">
        <v>77</v>
      </c>
      <c r="S2066" s="34">
        <f t="shared" si="235"/>
        <v>67.900000000000006</v>
      </c>
      <c r="T2066" s="10" t="s">
        <v>1155</v>
      </c>
      <c r="U2066" s="34" t="str">
        <f t="shared" si="238"/>
        <v/>
      </c>
      <c r="V2066" s="31" t="str">
        <f>IF(H2066="CHK",VLOOKUP(I2066,QCCHK,3,),IF(H2066="GUP",VLOOKUP(E2066,QCGUP,2,),IF(AND(H2066="ATP",OR(I2066="TN",I2066="TDN",I2066="TNO2-3",I2066="NO2-3")),VLOOKUP(E2066,QCREC_N,2,),IF(AND(H2066="NIC",OR(I2066="TN",I2066="TDN",I2066="TNO2-3",I2066="NO2-3")),VLOOKUP(E2066,QCNIC_N,2,),IF(AND(H2066="UREA",OR(I2066="TN",I2066="TDN",I2066="TNO2-3",I2066="NO2-3")),VLOOKUP(E2066,QCUREA_N,2,),IF(H2066="PER",VLOOKUP(I2066,QCPER,MATCH(E2066,QCACTUAL!$J$25:$AA$25,0),),IF(H2066="SPK",VLOOKUP(I2066,QCSPK,3,),IF(AND(H2066="ATP",OR(I2066="TP",I2066="TDP")),VLOOKUP(E2066,QCATP_P,2,),""))))))))</f>
        <v/>
      </c>
      <c r="W2066" s="31" t="str">
        <f t="shared" si="239"/>
        <v>TRUE</v>
      </c>
      <c r="X2066" s="31" t="str">
        <f t="shared" si="234"/>
        <v/>
      </c>
      <c r="Y2066" s="10" t="s">
        <v>1144</v>
      </c>
      <c r="AL2066" s="10" t="str">
        <f t="shared" si="236"/>
        <v>FALSE</v>
      </c>
      <c r="AM2066" s="10" t="str">
        <f t="shared" si="236"/>
        <v>FALSE</v>
      </c>
      <c r="AN2066" s="10" t="str">
        <f t="shared" si="236"/>
        <v>FALSE</v>
      </c>
      <c r="AO2066" s="10" t="str">
        <f t="shared" si="237"/>
        <v>FALSE</v>
      </c>
      <c r="AP2066" s="10" t="str">
        <f t="shared" si="237"/>
        <v>FALSE</v>
      </c>
      <c r="AQ2066" s="10" t="b">
        <f>IF(AND(I2066="TP",S2066&lt;=150),VLOOKUP(AF2066,TPCalibEq150!$AZ$2:$BB$55,3,),IF(AND(I2066="TDP",S2066&lt;=150),VLOOKUP(AF2066,TPCalibEq150!$AZ$2:$BB$55,3,)))</f>
        <v>0</v>
      </c>
      <c r="AR2066" s="10" t="b">
        <f>IF(AND(I2066="TP",S2066&lt;=300),VLOOKUP(AF2066,TPCalibEq300!$AZ$2:$BB$55,3,),IF(AND(I2066="TDP",S2066&lt;=300),VLOOKUP(AF2066,TPCalibEq300!$AZ$2:$BB$55,3,)))</f>
        <v>0</v>
      </c>
      <c r="AS2066" s="10" t="b">
        <f>IF(AND(I2066="TP",S2066&lt;=500),VLOOKUP(AF2066,TPCalibEq500!$AZ$2:$BB$56,3,),IF(AND(I2066="TDP",S2066&lt;=500),VLOOKUP(AF2066,TPCalibEq500!$AZ$2:$BB$56,3,)))</f>
        <v>0</v>
      </c>
      <c r="AT2066" s="10" t="b">
        <f>IF(AND(I2066="TN",S2066&lt;=2800),VLOOKUP(AF2066,TNCalibEq2500!$AZ$2:$BB$56,3,),IF(AND(I2066="TDN",S2066&lt;=2800),VLOOKUP(AF2066,TNCalibEq2500!$AZ$2:$BB$56,3,)))</f>
        <v>0</v>
      </c>
      <c r="AU2066" s="10" t="b">
        <f>IF(I2066="TP",VLOOKUP(AF2066,TPCalibEqFull!$AZ$2:$BB$56,3),IF(I2066="TDP",VLOOKUP(AF2066,TPCalibEqFull!$AZ$2:$BB$56,3),IF(I2066="TDN",VLOOKUP(AF2066,TNCalibEqFull!$AZ$1:$BB$56,3),IF(I2066="TN",VLOOKUP(AF2066,TNCalibEqFull!$AZ$1:$BB$56,3),FALSE))))</f>
        <v>0</v>
      </c>
      <c r="AV2066" s="10" t="str">
        <f t="shared" si="240"/>
        <v>0208 09:46:00-EFL-20-800-2-SW-UKN</v>
      </c>
    </row>
    <row r="2067" spans="1:48" s="10" customFormat="1" x14ac:dyDescent="0.55000000000000004">
      <c r="A2067" s="32">
        <v>44965</v>
      </c>
      <c r="B2067" s="33">
        <v>0.41111111111111115</v>
      </c>
      <c r="C2067" s="10" t="s">
        <v>287</v>
      </c>
      <c r="D2067" s="10">
        <v>48</v>
      </c>
      <c r="E2067" s="10" t="s">
        <v>190</v>
      </c>
      <c r="F2067" s="10">
        <v>1</v>
      </c>
      <c r="G2067" s="10" t="s">
        <v>231</v>
      </c>
      <c r="H2067" s="10" t="s">
        <v>322</v>
      </c>
      <c r="I2067" s="10" t="s">
        <v>75</v>
      </c>
      <c r="J2067" s="10">
        <v>49</v>
      </c>
      <c r="K2067" s="12">
        <v>44966</v>
      </c>
      <c r="L2067" s="33">
        <v>0.52435185185185185</v>
      </c>
      <c r="M2067" s="10">
        <v>1</v>
      </c>
      <c r="N2067" s="10" t="s">
        <v>76</v>
      </c>
      <c r="O2067" s="10">
        <v>1.51</v>
      </c>
      <c r="P2067" s="10">
        <v>0.11799999999999999</v>
      </c>
      <c r="Q2067" s="10">
        <v>87.1</v>
      </c>
      <c r="R2067" s="10" t="s">
        <v>77</v>
      </c>
      <c r="S2067" s="34">
        <f t="shared" si="235"/>
        <v>87.1</v>
      </c>
      <c r="T2067" s="10" t="s">
        <v>1155</v>
      </c>
      <c r="U2067" s="34" t="str">
        <f t="shared" si="238"/>
        <v/>
      </c>
      <c r="V2067" s="31" t="str">
        <f>IF(H2067="CHK",VLOOKUP(I2067,QCCHK,3,),IF(H2067="GUP",VLOOKUP(E2067,QCGUP,2,),IF(AND(H2067="ATP",OR(I2067="TN",I2067="TDN",I2067="TNO2-3",I2067="NO2-3")),VLOOKUP(E2067,QCREC_N,2,),IF(AND(H2067="NIC",OR(I2067="TN",I2067="TDN",I2067="TNO2-3",I2067="NO2-3")),VLOOKUP(E2067,QCNIC_N,2,),IF(AND(H2067="UREA",OR(I2067="TN",I2067="TDN",I2067="TNO2-3",I2067="NO2-3")),VLOOKUP(E2067,QCUREA_N,2,),IF(H2067="PER",VLOOKUP(I2067,QCPER,MATCH(E2067,QCACTUAL!$J$25:$AA$25,0),),IF(H2067="SPK",VLOOKUP(I2067,QCSPK,3,),IF(AND(H2067="ATP",OR(I2067="TP",I2067="TDP")),VLOOKUP(E2067,QCATP_P,2,),""))))))))</f>
        <v/>
      </c>
      <c r="W2067" s="31" t="str">
        <f t="shared" si="239"/>
        <v>TRUE</v>
      </c>
      <c r="X2067" s="31" t="str">
        <f t="shared" si="234"/>
        <v/>
      </c>
      <c r="Y2067" s="10" t="s">
        <v>1144</v>
      </c>
      <c r="AL2067" s="10" t="str">
        <f t="shared" si="236"/>
        <v>FALSE</v>
      </c>
      <c r="AM2067" s="10" t="str">
        <f t="shared" si="236"/>
        <v>FALSE</v>
      </c>
      <c r="AN2067" s="10" t="str">
        <f t="shared" si="236"/>
        <v>FALSE</v>
      </c>
      <c r="AO2067" s="10" t="str">
        <f t="shared" si="237"/>
        <v>FALSE</v>
      </c>
      <c r="AP2067" s="10" t="str">
        <f t="shared" si="237"/>
        <v>FALSE</v>
      </c>
      <c r="AQ2067" s="10" t="b">
        <f>IF(AND(I2067="TP",S2067&lt;=150),VLOOKUP(AF2067,TPCalibEq150!$AZ$2:$BB$55,3,),IF(AND(I2067="TDP",S2067&lt;=150),VLOOKUP(AF2067,TPCalibEq150!$AZ$2:$BB$55,3,)))</f>
        <v>0</v>
      </c>
      <c r="AR2067" s="10" t="b">
        <f>IF(AND(I2067="TP",S2067&lt;=300),VLOOKUP(AF2067,TPCalibEq300!$AZ$2:$BB$55,3,),IF(AND(I2067="TDP",S2067&lt;=300),VLOOKUP(AF2067,TPCalibEq300!$AZ$2:$BB$55,3,)))</f>
        <v>0</v>
      </c>
      <c r="AS2067" s="10" t="b">
        <f>IF(AND(I2067="TP",S2067&lt;=500),VLOOKUP(AF2067,TPCalibEq500!$AZ$2:$BB$56,3,),IF(AND(I2067="TDP",S2067&lt;=500),VLOOKUP(AF2067,TPCalibEq500!$AZ$2:$BB$56,3,)))</f>
        <v>0</v>
      </c>
      <c r="AT2067" s="10" t="b">
        <f>IF(AND(I2067="TN",S2067&lt;=2800),VLOOKUP(AF2067,TNCalibEq2500!$AZ$2:$BB$56,3,),IF(AND(I2067="TDN",S2067&lt;=2800),VLOOKUP(AF2067,TNCalibEq2500!$AZ$2:$BB$56,3,)))</f>
        <v>0</v>
      </c>
      <c r="AU2067" s="10" t="b">
        <f>IF(I2067="TP",VLOOKUP(AF2067,TPCalibEqFull!$AZ$2:$BB$56,3),IF(I2067="TDP",VLOOKUP(AF2067,TPCalibEqFull!$AZ$2:$BB$56,3),IF(I2067="TDN",VLOOKUP(AF2067,TNCalibEqFull!$AZ$1:$BB$56,3),IF(I2067="TN",VLOOKUP(AF2067,TNCalibEqFull!$AZ$1:$BB$56,3),FALSE))))</f>
        <v>0</v>
      </c>
      <c r="AV2067" s="10" t="str">
        <f t="shared" si="240"/>
        <v>0208 09:52:00-EFL-48-C-1-SW-UKN</v>
      </c>
    </row>
    <row r="2068" spans="1:48" s="10" customFormat="1" x14ac:dyDescent="0.55000000000000004">
      <c r="A2068" s="32">
        <v>44965</v>
      </c>
      <c r="B2068" s="33">
        <v>0.41111111111111115</v>
      </c>
      <c r="C2068" s="10" t="s">
        <v>287</v>
      </c>
      <c r="D2068" s="10">
        <v>48</v>
      </c>
      <c r="E2068" s="10" t="s">
        <v>190</v>
      </c>
      <c r="F2068" s="10">
        <v>1</v>
      </c>
      <c r="G2068" s="10" t="s">
        <v>231</v>
      </c>
      <c r="H2068" s="10" t="s">
        <v>233</v>
      </c>
      <c r="I2068" s="10" t="s">
        <v>75</v>
      </c>
      <c r="J2068" s="10">
        <v>49</v>
      </c>
      <c r="K2068" s="12">
        <v>44966</v>
      </c>
      <c r="L2068" s="33">
        <v>0.52517361111111105</v>
      </c>
      <c r="M2068" s="10">
        <v>1</v>
      </c>
      <c r="N2068" s="10" t="s">
        <v>76</v>
      </c>
      <c r="O2068" s="10">
        <v>1.53</v>
      </c>
      <c r="P2068" s="10">
        <v>0.11899999999999999</v>
      </c>
      <c r="Q2068" s="10">
        <v>88</v>
      </c>
      <c r="R2068" s="10" t="s">
        <v>77</v>
      </c>
      <c r="S2068" s="34">
        <f t="shared" si="235"/>
        <v>88</v>
      </c>
      <c r="T2068" s="10" t="s">
        <v>1155</v>
      </c>
      <c r="U2068" s="34">
        <f t="shared" si="238"/>
        <v>1.0279840091376422</v>
      </c>
      <c r="V2068" s="31" t="str">
        <f>IF(H2068="CHK",VLOOKUP(I2068,QCCHK,3,),IF(H2068="GUP",VLOOKUP(E2068,QCGUP,2,),IF(AND(H2068="ATP",OR(I2068="TN",I2068="TDN",I2068="TNO2-3",I2068="NO2-3")),VLOOKUP(E2068,QCREC_N,2,),IF(AND(H2068="NIC",OR(I2068="TN",I2068="TDN",I2068="TNO2-3",I2068="NO2-3")),VLOOKUP(E2068,QCNIC_N,2,),IF(AND(H2068="UREA",OR(I2068="TN",I2068="TDN",I2068="TNO2-3",I2068="NO2-3")),VLOOKUP(E2068,QCUREA_N,2,),IF(H2068="PER",VLOOKUP(I2068,QCPER,MATCH(E2068,QCACTUAL!$J$25:$AA$25,0),),IF(H2068="SPK",VLOOKUP(I2068,QCSPK,3,),IF(AND(H2068="ATP",OR(I2068="TP",I2068="TDP")),VLOOKUP(E2068,QCATP_P,2,),""))))))))</f>
        <v/>
      </c>
      <c r="W2068" s="31" t="str">
        <f t="shared" si="239"/>
        <v>TRUE</v>
      </c>
      <c r="X2068" s="31" t="str">
        <f t="shared" si="234"/>
        <v>((ABS(rep1-rep2))/((rep1+rep2)/2)*100</v>
      </c>
      <c r="Y2068" s="10" t="s">
        <v>1144</v>
      </c>
      <c r="AL2068" s="10" t="str">
        <f t="shared" si="236"/>
        <v>FALSE</v>
      </c>
      <c r="AM2068" s="10" t="str">
        <f t="shared" si="236"/>
        <v>FALSE</v>
      </c>
      <c r="AN2068" s="10" t="str">
        <f t="shared" si="236"/>
        <v>FALSE</v>
      </c>
      <c r="AO2068" s="10" t="str">
        <f t="shared" si="237"/>
        <v>FALSE</v>
      </c>
      <c r="AP2068" s="10" t="str">
        <f t="shared" si="237"/>
        <v>FALSE</v>
      </c>
      <c r="AQ2068" s="10" t="b">
        <f>IF(AND(I2068="TP",S2068&lt;=150),VLOOKUP(AF2068,TPCalibEq150!$AZ$2:$BB$55,3,),IF(AND(I2068="TDP",S2068&lt;=150),VLOOKUP(AF2068,TPCalibEq150!$AZ$2:$BB$55,3,)))</f>
        <v>0</v>
      </c>
      <c r="AR2068" s="10" t="b">
        <f>IF(AND(I2068="TP",S2068&lt;=300),VLOOKUP(AF2068,TPCalibEq300!$AZ$2:$BB$55,3,),IF(AND(I2068="TDP",S2068&lt;=300),VLOOKUP(AF2068,TPCalibEq300!$AZ$2:$BB$55,3,)))</f>
        <v>0</v>
      </c>
      <c r="AS2068" s="10" t="b">
        <f>IF(AND(I2068="TP",S2068&lt;=500),VLOOKUP(AF2068,TPCalibEq500!$AZ$2:$BB$56,3,),IF(AND(I2068="TDP",S2068&lt;=500),VLOOKUP(AF2068,TPCalibEq500!$AZ$2:$BB$56,3,)))</f>
        <v>0</v>
      </c>
      <c r="AT2068" s="10" t="b">
        <f>IF(AND(I2068="TN",S2068&lt;=2800),VLOOKUP(AF2068,TNCalibEq2500!$AZ$2:$BB$56,3,),IF(AND(I2068="TDN",S2068&lt;=2800),VLOOKUP(AF2068,TNCalibEq2500!$AZ$2:$BB$56,3,)))</f>
        <v>0</v>
      </c>
      <c r="AU2068" s="10" t="b">
        <f>IF(I2068="TP",VLOOKUP(AF2068,TPCalibEqFull!$AZ$2:$BB$56,3),IF(I2068="TDP",VLOOKUP(AF2068,TPCalibEqFull!$AZ$2:$BB$56,3),IF(I2068="TDN",VLOOKUP(AF2068,TNCalibEqFull!$AZ$1:$BB$56,3),IF(I2068="TN",VLOOKUP(AF2068,TNCalibEqFull!$AZ$1:$BB$56,3),FALSE))))</f>
        <v>0</v>
      </c>
      <c r="AV2068" s="10" t="str">
        <f t="shared" si="240"/>
        <v>0208 09:52:00-EFL-48-C-1-SW-DUP</v>
      </c>
    </row>
    <row r="2069" spans="1:48" s="10" customFormat="1" x14ac:dyDescent="0.55000000000000004">
      <c r="A2069" s="32">
        <v>44965</v>
      </c>
      <c r="B2069" s="33">
        <v>0.41111111111111115</v>
      </c>
      <c r="C2069" s="10" t="s">
        <v>287</v>
      </c>
      <c r="D2069" s="10">
        <v>48</v>
      </c>
      <c r="E2069" s="10" t="s">
        <v>190</v>
      </c>
      <c r="F2069" s="10">
        <v>1</v>
      </c>
      <c r="G2069" s="10" t="s">
        <v>231</v>
      </c>
      <c r="H2069" s="10" t="s">
        <v>314</v>
      </c>
      <c r="I2069" s="10" t="s">
        <v>75</v>
      </c>
      <c r="J2069" s="10">
        <v>124</v>
      </c>
      <c r="K2069" s="12">
        <v>44966</v>
      </c>
      <c r="L2069" s="33">
        <v>0.52598379629629632</v>
      </c>
      <c r="M2069" s="10">
        <v>1</v>
      </c>
      <c r="N2069" s="10" t="s">
        <v>76</v>
      </c>
      <c r="O2069" s="10">
        <v>13.1</v>
      </c>
      <c r="P2069" s="10">
        <v>1.05</v>
      </c>
      <c r="Q2069" s="10">
        <v>754</v>
      </c>
      <c r="R2069" s="10" t="s">
        <v>77</v>
      </c>
      <c r="S2069" s="34">
        <f t="shared" si="235"/>
        <v>754</v>
      </c>
      <c r="T2069" s="10" t="s">
        <v>1155</v>
      </c>
      <c r="U2069" s="34">
        <f t="shared" si="238"/>
        <v>106.56000000000002</v>
      </c>
      <c r="V2069" s="31">
        <f>IF(H2069="CHK",VLOOKUP(I2069,QCCHK,3,),IF(H2069="GUP",VLOOKUP(E2069,QCGUP,2,),IF(AND(H2069="ATP",OR(I2069="TN",I2069="TDN",I2069="TNO2-3",I2069="NO2-3")),VLOOKUP(E2069,QCREC_N,2,),IF(AND(H2069="NIC",OR(I2069="TN",I2069="TDN",I2069="TNO2-3",I2069="NO2-3")),VLOOKUP(E2069,QCNIC_N,2,),IF(AND(H2069="UREA",OR(I2069="TN",I2069="TDN",I2069="TNO2-3",I2069="NO2-3")),VLOOKUP(E2069,QCUREA_N,2,),IF(H2069="PER",VLOOKUP(I2069,QCPER,MATCH(E2069,QCACTUAL!$J$25:$AA$25,0),),IF(H2069="SPK",VLOOKUP(I2069,QCSPK,3,),IF(AND(H2069="ATP",OR(I2069="TP",I2069="TDP")),VLOOKUP(E2069,QCATP_P,2,),""))))))))</f>
        <v>625</v>
      </c>
      <c r="W2069" s="31" t="str">
        <f t="shared" si="239"/>
        <v>TRUE</v>
      </c>
      <c r="X2069" s="31" t="str">
        <f t="shared" si="234"/>
        <v>([spikedunkn]-[unkn])/[spike]*100</v>
      </c>
      <c r="Y2069" s="10" t="s">
        <v>1144</v>
      </c>
      <c r="AL2069" s="10" t="str">
        <f t="shared" si="236"/>
        <v>FALSE</v>
      </c>
      <c r="AM2069" s="10" t="str">
        <f t="shared" si="236"/>
        <v>FALSE</v>
      </c>
      <c r="AN2069" s="10" t="str">
        <f t="shared" si="236"/>
        <v>FALSE</v>
      </c>
      <c r="AO2069" s="10" t="str">
        <f t="shared" si="237"/>
        <v>FALSE</v>
      </c>
      <c r="AP2069" s="10" t="str">
        <f t="shared" si="237"/>
        <v>FALSE</v>
      </c>
      <c r="AQ2069" s="10" t="b">
        <f>IF(AND(I2069="TP",S2069&lt;=150),VLOOKUP(AF2069,TPCalibEq150!$AZ$2:$BB$55,3,),IF(AND(I2069="TDP",S2069&lt;=150),VLOOKUP(AF2069,TPCalibEq150!$AZ$2:$BB$55,3,)))</f>
        <v>0</v>
      </c>
      <c r="AR2069" s="10" t="b">
        <f>IF(AND(I2069="TP",S2069&lt;=300),VLOOKUP(AF2069,TPCalibEq300!$AZ$2:$BB$55,3,),IF(AND(I2069="TDP",S2069&lt;=300),VLOOKUP(AF2069,TPCalibEq300!$AZ$2:$BB$55,3,)))</f>
        <v>0</v>
      </c>
      <c r="AS2069" s="10" t="b">
        <f>IF(AND(I2069="TP",S2069&lt;=500),VLOOKUP(AF2069,TPCalibEq500!$AZ$2:$BB$56,3,),IF(AND(I2069="TDP",S2069&lt;=500),VLOOKUP(AF2069,TPCalibEq500!$AZ$2:$BB$56,3,)))</f>
        <v>0</v>
      </c>
      <c r="AT2069" s="10" t="b">
        <f>IF(AND(I2069="TN",S2069&lt;=2800),VLOOKUP(AF2069,TNCalibEq2500!$AZ$2:$BB$56,3,),IF(AND(I2069="TDN",S2069&lt;=2800),VLOOKUP(AF2069,TNCalibEq2500!$AZ$2:$BB$56,3,)))</f>
        <v>0</v>
      </c>
      <c r="AU2069" s="10" t="b">
        <f>IF(I2069="TP",VLOOKUP(AF2069,TPCalibEqFull!$AZ$2:$BB$56,3),IF(I2069="TDP",VLOOKUP(AF2069,TPCalibEqFull!$AZ$2:$BB$56,3),IF(I2069="TDN",VLOOKUP(AF2069,TNCalibEqFull!$AZ$1:$BB$56,3),IF(I2069="TN",VLOOKUP(AF2069,TNCalibEqFull!$AZ$1:$BB$56,3),FALSE))))</f>
        <v>0</v>
      </c>
      <c r="AV2069" s="10" t="str">
        <f t="shared" si="240"/>
        <v>0208 09:52:00-EFL-48-C-1-SW-SPK</v>
      </c>
    </row>
    <row r="2070" spans="1:48" s="10" customFormat="1" x14ac:dyDescent="0.55000000000000004">
      <c r="A2070" s="32">
        <v>44966</v>
      </c>
      <c r="B2070" s="33">
        <v>0.375</v>
      </c>
      <c r="C2070" s="10" t="s">
        <v>70</v>
      </c>
      <c r="D2070" s="10" t="s">
        <v>71</v>
      </c>
      <c r="E2070" s="10" t="s">
        <v>901</v>
      </c>
      <c r="F2070" s="10">
        <v>1</v>
      </c>
      <c r="G2070" s="10" t="s">
        <v>73</v>
      </c>
      <c r="H2070" s="10" t="s">
        <v>207</v>
      </c>
      <c r="I2070" s="10" t="s">
        <v>75</v>
      </c>
      <c r="J2070" s="10">
        <v>201</v>
      </c>
      <c r="K2070" s="12">
        <v>44966</v>
      </c>
      <c r="L2070" s="33">
        <v>0.52681712962962968</v>
      </c>
      <c r="M2070" s="10">
        <v>1</v>
      </c>
      <c r="N2070" s="10" t="s">
        <v>76</v>
      </c>
      <c r="O2070" s="10">
        <v>4.8899999999999997</v>
      </c>
      <c r="P2070" s="10">
        <v>0.38800000000000001</v>
      </c>
      <c r="Q2070" s="10">
        <v>281</v>
      </c>
      <c r="R2070" s="10" t="s">
        <v>77</v>
      </c>
      <c r="S2070" s="34">
        <f t="shared" si="235"/>
        <v>281</v>
      </c>
      <c r="T2070" s="10" t="s">
        <v>1155</v>
      </c>
      <c r="U2070" s="34">
        <f t="shared" si="238"/>
        <v>93.666666666666671</v>
      </c>
      <c r="V2070" s="31">
        <f>IF(H2070="CHK",VLOOKUP(I2070,QCCHK,3,),IF(H2070="GUP",VLOOKUP(E2070,QCGUP,2,),IF(AND(H2070="ATP",OR(I2070="TN",I2070="TDN",I2070="TNO2-3",I2070="NO2-3")),VLOOKUP(E2070,QCREC_N,2,),IF(AND(H2070="NIC",OR(I2070="TN",I2070="TDN",I2070="TNO2-3",I2070="NO2-3")),VLOOKUP(E2070,QCNIC_N,2,),IF(AND(H2070="UREA",OR(I2070="TN",I2070="TDN",I2070="TNO2-3",I2070="NO2-3")),VLOOKUP(E2070,QCUREA_N,2,),IF(H2070="PER",VLOOKUP(I2070,QCPER,MATCH(E2070,QCACTUAL!$J$25:$AA$25,0),),IF(H2070="SPK",VLOOKUP(I2070,QCSPK,3,),IF(AND(H2070="ATP",OR(I2070="TP",I2070="TDP")),VLOOKUP(E2070,QCATP_P,2,),""))))))))</f>
        <v>300</v>
      </c>
      <c r="W2070" s="31" t="str">
        <f t="shared" si="239"/>
        <v>TRUE</v>
      </c>
      <c r="X2070" s="31" t="str">
        <f t="shared" si="234"/>
        <v>[chk]/[actual]*100</v>
      </c>
      <c r="Y2070" s="10" t="s">
        <v>1144</v>
      </c>
      <c r="AL2070" s="10" t="str">
        <f t="shared" si="236"/>
        <v>FALSE</v>
      </c>
      <c r="AM2070" s="10" t="str">
        <f t="shared" si="236"/>
        <v>FALSE</v>
      </c>
      <c r="AN2070" s="10" t="str">
        <f t="shared" si="236"/>
        <v>FALSE</v>
      </c>
      <c r="AO2070" s="10" t="str">
        <f t="shared" si="237"/>
        <v>FALSE</v>
      </c>
      <c r="AP2070" s="10" t="str">
        <f t="shared" si="237"/>
        <v>FALSE</v>
      </c>
      <c r="AQ2070" s="10" t="b">
        <f>IF(AND(I2070="TP",S2070&lt;=150),VLOOKUP(AF2070,TPCalibEq150!$AZ$2:$BB$55,3,),IF(AND(I2070="TDP",S2070&lt;=150),VLOOKUP(AF2070,TPCalibEq150!$AZ$2:$BB$55,3,)))</f>
        <v>0</v>
      </c>
      <c r="AR2070" s="10" t="b">
        <f>IF(AND(I2070="TP",S2070&lt;=300),VLOOKUP(AF2070,TPCalibEq300!$AZ$2:$BB$55,3,),IF(AND(I2070="TDP",S2070&lt;=300),VLOOKUP(AF2070,TPCalibEq300!$AZ$2:$BB$55,3,)))</f>
        <v>0</v>
      </c>
      <c r="AS2070" s="10" t="b">
        <f>IF(AND(I2070="TP",S2070&lt;=500),VLOOKUP(AF2070,TPCalibEq500!$AZ$2:$BB$56,3,),IF(AND(I2070="TDP",S2070&lt;=500),VLOOKUP(AF2070,TPCalibEq500!$AZ$2:$BB$56,3,)))</f>
        <v>0</v>
      </c>
      <c r="AT2070" s="10" t="b">
        <f>IF(AND(I2070="TN",S2070&lt;=2800),VLOOKUP(AF2070,TNCalibEq2500!$AZ$2:$BB$56,3,),IF(AND(I2070="TDN",S2070&lt;=2800),VLOOKUP(AF2070,TNCalibEq2500!$AZ$2:$BB$56,3,)))</f>
        <v>0</v>
      </c>
      <c r="AU2070" s="10" t="b">
        <f>IF(I2070="TP",VLOOKUP(AF2070,TPCalibEqFull!$AZ$2:$BB$56,3),IF(I2070="TDP",VLOOKUP(AF2070,TPCalibEqFull!$AZ$2:$BB$56,3),IF(I2070="TDN",VLOOKUP(AF2070,TNCalibEqFull!$AZ$1:$BB$56,3),IF(I2070="TN",VLOOKUP(AF2070,TNCalibEqFull!$AZ$1:$BB$56,3),FALSE))))</f>
        <v>0</v>
      </c>
      <c r="AV2070" s="10" t="str">
        <f t="shared" si="240"/>
        <v>0209 09:00:00-QAC-STD-D-1-DI-CHK</v>
      </c>
    </row>
    <row r="2071" spans="1:48" s="10" customFormat="1" x14ac:dyDescent="0.55000000000000004">
      <c r="A2071" s="32">
        <v>44965</v>
      </c>
      <c r="B2071" s="33">
        <v>0.37777777777777777</v>
      </c>
      <c r="C2071" s="10" t="s">
        <v>428</v>
      </c>
      <c r="D2071" s="10">
        <v>0</v>
      </c>
      <c r="E2071" s="10">
        <v>800</v>
      </c>
      <c r="F2071" s="10">
        <v>1</v>
      </c>
      <c r="G2071" s="10" t="s">
        <v>231</v>
      </c>
      <c r="H2071" s="10" t="s">
        <v>322</v>
      </c>
      <c r="I2071" s="10" t="s">
        <v>75</v>
      </c>
      <c r="J2071" s="10">
        <v>50</v>
      </c>
      <c r="K2071" s="12">
        <v>44966</v>
      </c>
      <c r="L2071" s="33">
        <v>0.52762731481481484</v>
      </c>
      <c r="M2071" s="10">
        <v>1</v>
      </c>
      <c r="N2071" s="10" t="s">
        <v>76</v>
      </c>
      <c r="O2071" s="10">
        <v>1.32</v>
      </c>
      <c r="P2071" s="10">
        <v>0.10199999999999999</v>
      </c>
      <c r="Q2071" s="10">
        <v>75.8</v>
      </c>
      <c r="R2071" s="10" t="s">
        <v>77</v>
      </c>
      <c r="S2071" s="34">
        <f t="shared" si="235"/>
        <v>75.8</v>
      </c>
      <c r="T2071" s="10" t="s">
        <v>1155</v>
      </c>
      <c r="U2071" s="34" t="str">
        <f t="shared" si="238"/>
        <v/>
      </c>
      <c r="V2071" s="31" t="str">
        <f>IF(H2071="CHK",VLOOKUP(I2071,QCCHK,3,),IF(H2071="GUP",VLOOKUP(E2071,QCGUP,2,),IF(AND(H2071="ATP",OR(I2071="TN",I2071="TDN",I2071="TNO2-3",I2071="NO2-3")),VLOOKUP(E2071,QCREC_N,2,),IF(AND(H2071="NIC",OR(I2071="TN",I2071="TDN",I2071="TNO2-3",I2071="NO2-3")),VLOOKUP(E2071,QCNIC_N,2,),IF(AND(H2071="UREA",OR(I2071="TN",I2071="TDN",I2071="TNO2-3",I2071="NO2-3")),VLOOKUP(E2071,QCUREA_N,2,),IF(H2071="PER",VLOOKUP(I2071,QCPER,MATCH(E2071,QCACTUAL!$J$25:$AA$25,0),),IF(H2071="SPK",VLOOKUP(I2071,QCSPK,3,),IF(AND(H2071="ATP",OR(I2071="TP",I2071="TDP")),VLOOKUP(E2071,QCATP_P,2,),""))))))))</f>
        <v/>
      </c>
      <c r="W2071" s="31" t="str">
        <f t="shared" si="239"/>
        <v>TRUE</v>
      </c>
      <c r="X2071" s="31" t="str">
        <f t="shared" si="234"/>
        <v/>
      </c>
      <c r="Y2071" s="10" t="s">
        <v>1144</v>
      </c>
      <c r="AL2071" s="10" t="str">
        <f t="shared" si="236"/>
        <v>FALSE</v>
      </c>
      <c r="AM2071" s="10" t="str">
        <f t="shared" si="236"/>
        <v>FALSE</v>
      </c>
      <c r="AN2071" s="10" t="str">
        <f t="shared" si="236"/>
        <v>FALSE</v>
      </c>
      <c r="AO2071" s="10" t="str">
        <f t="shared" si="237"/>
        <v>FALSE</v>
      </c>
      <c r="AP2071" s="10" t="str">
        <f t="shared" si="237"/>
        <v>FALSE</v>
      </c>
      <c r="AQ2071" s="10" t="b">
        <f>IF(AND(I2071="TP",S2071&lt;=150),VLOOKUP(AF2071,TPCalibEq150!$AZ$2:$BB$55,3,),IF(AND(I2071="TDP",S2071&lt;=150),VLOOKUP(AF2071,TPCalibEq150!$AZ$2:$BB$55,3,)))</f>
        <v>0</v>
      </c>
      <c r="AR2071" s="10" t="b">
        <f>IF(AND(I2071="TP",S2071&lt;=300),VLOOKUP(AF2071,TPCalibEq300!$AZ$2:$BB$55,3,),IF(AND(I2071="TDP",S2071&lt;=300),VLOOKUP(AF2071,TPCalibEq300!$AZ$2:$BB$55,3,)))</f>
        <v>0</v>
      </c>
      <c r="AS2071" s="10" t="b">
        <f>IF(AND(I2071="TP",S2071&lt;=500),VLOOKUP(AF2071,TPCalibEq500!$AZ$2:$BB$56,3,),IF(AND(I2071="TDP",S2071&lt;=500),VLOOKUP(AF2071,TPCalibEq500!$AZ$2:$BB$56,3,)))</f>
        <v>0</v>
      </c>
      <c r="AT2071" s="10" t="b">
        <f>IF(AND(I2071="TN",S2071&lt;=2800),VLOOKUP(AF2071,TNCalibEq2500!$AZ$2:$BB$56,3,),IF(AND(I2071="TDN",S2071&lt;=2800),VLOOKUP(AF2071,TNCalibEq2500!$AZ$2:$BB$56,3,)))</f>
        <v>0</v>
      </c>
      <c r="AU2071" s="10" t="b">
        <f>IF(I2071="TP",VLOOKUP(AF2071,TPCalibEqFull!$AZ$2:$BB$56,3),IF(I2071="TDP",VLOOKUP(AF2071,TPCalibEqFull!$AZ$2:$BB$56,3),IF(I2071="TDN",VLOOKUP(AF2071,TNCalibEqFull!$AZ$1:$BB$56,3),IF(I2071="TN",VLOOKUP(AF2071,TNCalibEqFull!$AZ$1:$BB$56,3),FALSE))))</f>
        <v>0</v>
      </c>
      <c r="AV2071" s="10" t="str">
        <f t="shared" si="240"/>
        <v>0208 09:04:00-EOF-0-800-1-SW-UKN</v>
      </c>
    </row>
    <row r="2072" spans="1:48" s="10" customFormat="1" x14ac:dyDescent="0.55000000000000004">
      <c r="A2072" s="32">
        <v>44965</v>
      </c>
      <c r="B2072" s="33">
        <v>0.37986111111111115</v>
      </c>
      <c r="C2072" s="10" t="s">
        <v>428</v>
      </c>
      <c r="D2072" s="10">
        <v>5</v>
      </c>
      <c r="E2072" s="10">
        <v>800</v>
      </c>
      <c r="F2072" s="10">
        <v>1</v>
      </c>
      <c r="G2072" s="10" t="s">
        <v>231</v>
      </c>
      <c r="H2072" s="10" t="s">
        <v>322</v>
      </c>
      <c r="I2072" s="10" t="s">
        <v>75</v>
      </c>
      <c r="J2072" s="10">
        <v>51</v>
      </c>
      <c r="K2072" s="12">
        <v>44966</v>
      </c>
      <c r="L2072" s="33">
        <v>0.52844907407407404</v>
      </c>
      <c r="M2072" s="10">
        <v>1</v>
      </c>
      <c r="N2072" s="10" t="s">
        <v>76</v>
      </c>
      <c r="O2072" s="10">
        <v>1.34</v>
      </c>
      <c r="P2072" s="10">
        <v>0.11799999999999999</v>
      </c>
      <c r="Q2072" s="10">
        <v>77.3</v>
      </c>
      <c r="R2072" s="10" t="s">
        <v>77</v>
      </c>
      <c r="S2072" s="34">
        <f t="shared" si="235"/>
        <v>77.3</v>
      </c>
      <c r="T2072" s="10" t="s">
        <v>1155</v>
      </c>
      <c r="U2072" s="34" t="str">
        <f t="shared" si="238"/>
        <v/>
      </c>
      <c r="V2072" s="31" t="str">
        <f>IF(H2072="CHK",VLOOKUP(I2072,QCCHK,3,),IF(H2072="GUP",VLOOKUP(E2072,QCGUP,2,),IF(AND(H2072="ATP",OR(I2072="TN",I2072="TDN",I2072="TNO2-3",I2072="NO2-3")),VLOOKUP(E2072,QCREC_N,2,),IF(AND(H2072="NIC",OR(I2072="TN",I2072="TDN",I2072="TNO2-3",I2072="NO2-3")),VLOOKUP(E2072,QCNIC_N,2,),IF(AND(H2072="UREA",OR(I2072="TN",I2072="TDN",I2072="TNO2-3",I2072="NO2-3")),VLOOKUP(E2072,QCUREA_N,2,),IF(H2072="PER",VLOOKUP(I2072,QCPER,MATCH(E2072,QCACTUAL!$J$25:$AA$25,0),),IF(H2072="SPK",VLOOKUP(I2072,QCSPK,3,),IF(AND(H2072="ATP",OR(I2072="TP",I2072="TDP")),VLOOKUP(E2072,QCATP_P,2,),""))))))))</f>
        <v/>
      </c>
      <c r="W2072" s="31" t="str">
        <f t="shared" si="239"/>
        <v>TRUE</v>
      </c>
      <c r="X2072" s="31" t="str">
        <f t="shared" si="234"/>
        <v/>
      </c>
      <c r="Y2072" s="10" t="s">
        <v>1144</v>
      </c>
      <c r="AL2072" s="10" t="str">
        <f t="shared" si="236"/>
        <v>FALSE</v>
      </c>
      <c r="AM2072" s="10" t="str">
        <f t="shared" si="236"/>
        <v>FALSE</v>
      </c>
      <c r="AN2072" s="10" t="str">
        <f t="shared" si="236"/>
        <v>FALSE</v>
      </c>
      <c r="AO2072" s="10" t="str">
        <f t="shared" si="237"/>
        <v>FALSE</v>
      </c>
      <c r="AP2072" s="10" t="str">
        <f t="shared" si="237"/>
        <v>FALSE</v>
      </c>
      <c r="AQ2072" s="10" t="b">
        <f>IF(AND(I2072="TP",S2072&lt;=150),VLOOKUP(AF2072,TPCalibEq150!$AZ$2:$BB$55,3,),IF(AND(I2072="TDP",S2072&lt;=150),VLOOKUP(AF2072,TPCalibEq150!$AZ$2:$BB$55,3,)))</f>
        <v>0</v>
      </c>
      <c r="AR2072" s="10" t="b">
        <f>IF(AND(I2072="TP",S2072&lt;=300),VLOOKUP(AF2072,TPCalibEq300!$AZ$2:$BB$55,3,),IF(AND(I2072="TDP",S2072&lt;=300),VLOOKUP(AF2072,TPCalibEq300!$AZ$2:$BB$55,3,)))</f>
        <v>0</v>
      </c>
      <c r="AS2072" s="10" t="b">
        <f>IF(AND(I2072="TP",S2072&lt;=500),VLOOKUP(AF2072,TPCalibEq500!$AZ$2:$BB$56,3,),IF(AND(I2072="TDP",S2072&lt;=500),VLOOKUP(AF2072,TPCalibEq500!$AZ$2:$BB$56,3,)))</f>
        <v>0</v>
      </c>
      <c r="AT2072" s="10" t="b">
        <f>IF(AND(I2072="TN",S2072&lt;=2800),VLOOKUP(AF2072,TNCalibEq2500!$AZ$2:$BB$56,3,),IF(AND(I2072="TDN",S2072&lt;=2800),VLOOKUP(AF2072,TNCalibEq2500!$AZ$2:$BB$56,3,)))</f>
        <v>0</v>
      </c>
      <c r="AU2072" s="10" t="b">
        <f>IF(I2072="TP",VLOOKUP(AF2072,TPCalibEqFull!$AZ$2:$BB$56,3),IF(I2072="TDP",VLOOKUP(AF2072,TPCalibEqFull!$AZ$2:$BB$56,3),IF(I2072="TDN",VLOOKUP(AF2072,TNCalibEqFull!$AZ$1:$BB$56,3),IF(I2072="TN",VLOOKUP(AF2072,TNCalibEqFull!$AZ$1:$BB$56,3),FALSE))))</f>
        <v>0</v>
      </c>
      <c r="AV2072" s="10" t="str">
        <f t="shared" si="240"/>
        <v>0208 09:07:00-EOF-5-800-1-SW-UKN</v>
      </c>
    </row>
    <row r="2073" spans="1:48" s="10" customFormat="1" x14ac:dyDescent="0.55000000000000004">
      <c r="A2073" s="32">
        <v>44965</v>
      </c>
      <c r="B2073" s="33">
        <v>0.38263888888888892</v>
      </c>
      <c r="C2073" s="10" t="s">
        <v>428</v>
      </c>
      <c r="D2073" s="10">
        <v>10</v>
      </c>
      <c r="E2073" s="10">
        <v>800</v>
      </c>
      <c r="F2073" s="10">
        <v>1</v>
      </c>
      <c r="G2073" s="10" t="s">
        <v>231</v>
      </c>
      <c r="H2073" s="10" t="s">
        <v>322</v>
      </c>
      <c r="I2073" s="10" t="s">
        <v>75</v>
      </c>
      <c r="J2073" s="10">
        <v>52</v>
      </c>
      <c r="K2073" s="12">
        <v>44966</v>
      </c>
      <c r="L2073" s="33">
        <v>0.52927083333333336</v>
      </c>
      <c r="M2073" s="10">
        <v>1</v>
      </c>
      <c r="N2073" s="10" t="s">
        <v>76</v>
      </c>
      <c r="O2073" s="10">
        <v>1.4</v>
      </c>
      <c r="P2073" s="10">
        <v>0.105</v>
      </c>
      <c r="Q2073" s="10">
        <v>80.7</v>
      </c>
      <c r="R2073" s="10" t="s">
        <v>77</v>
      </c>
      <c r="S2073" s="34">
        <f t="shared" si="235"/>
        <v>80.7</v>
      </c>
      <c r="T2073" s="10" t="s">
        <v>1155</v>
      </c>
      <c r="U2073" s="34" t="str">
        <f t="shared" si="238"/>
        <v/>
      </c>
      <c r="V2073" s="31" t="str">
        <f>IF(H2073="CHK",VLOOKUP(I2073,QCCHK,3,),IF(H2073="GUP",VLOOKUP(E2073,QCGUP,2,),IF(AND(H2073="ATP",OR(I2073="TN",I2073="TDN",I2073="TNO2-3",I2073="NO2-3")),VLOOKUP(E2073,QCREC_N,2,),IF(AND(H2073="NIC",OR(I2073="TN",I2073="TDN",I2073="TNO2-3",I2073="NO2-3")),VLOOKUP(E2073,QCNIC_N,2,),IF(AND(H2073="UREA",OR(I2073="TN",I2073="TDN",I2073="TNO2-3",I2073="NO2-3")),VLOOKUP(E2073,QCUREA_N,2,),IF(H2073="PER",VLOOKUP(I2073,QCPER,MATCH(E2073,QCACTUAL!$J$25:$AA$25,0),),IF(H2073="SPK",VLOOKUP(I2073,QCSPK,3,),IF(AND(H2073="ATP",OR(I2073="TP",I2073="TDP")),VLOOKUP(E2073,QCATP_P,2,),""))))))))</f>
        <v/>
      </c>
      <c r="W2073" s="31" t="str">
        <f t="shared" si="239"/>
        <v>TRUE</v>
      </c>
      <c r="X2073" s="31" t="str">
        <f t="shared" si="234"/>
        <v/>
      </c>
      <c r="Y2073" s="10" t="s">
        <v>1144</v>
      </c>
      <c r="AL2073" s="10" t="str">
        <f t="shared" si="236"/>
        <v>FALSE</v>
      </c>
      <c r="AM2073" s="10" t="str">
        <f t="shared" si="236"/>
        <v>FALSE</v>
      </c>
      <c r="AN2073" s="10" t="str">
        <f t="shared" si="236"/>
        <v>FALSE</v>
      </c>
      <c r="AO2073" s="10" t="str">
        <f t="shared" si="237"/>
        <v>FALSE</v>
      </c>
      <c r="AP2073" s="10" t="str">
        <f t="shared" si="237"/>
        <v>FALSE</v>
      </c>
      <c r="AQ2073" s="10" t="b">
        <f>IF(AND(I2073="TP",S2073&lt;=150),VLOOKUP(AF2073,TPCalibEq150!$AZ$2:$BB$55,3,),IF(AND(I2073="TDP",S2073&lt;=150),VLOOKUP(AF2073,TPCalibEq150!$AZ$2:$BB$55,3,)))</f>
        <v>0</v>
      </c>
      <c r="AR2073" s="10" t="b">
        <f>IF(AND(I2073="TP",S2073&lt;=300),VLOOKUP(AF2073,TPCalibEq300!$AZ$2:$BB$55,3,),IF(AND(I2073="TDP",S2073&lt;=300),VLOOKUP(AF2073,TPCalibEq300!$AZ$2:$BB$55,3,)))</f>
        <v>0</v>
      </c>
      <c r="AS2073" s="10" t="b">
        <f>IF(AND(I2073="TP",S2073&lt;=500),VLOOKUP(AF2073,TPCalibEq500!$AZ$2:$BB$56,3,),IF(AND(I2073="TDP",S2073&lt;=500),VLOOKUP(AF2073,TPCalibEq500!$AZ$2:$BB$56,3,)))</f>
        <v>0</v>
      </c>
      <c r="AT2073" s="10" t="b">
        <f>IF(AND(I2073="TN",S2073&lt;=2800),VLOOKUP(AF2073,TNCalibEq2500!$AZ$2:$BB$56,3,),IF(AND(I2073="TDN",S2073&lt;=2800),VLOOKUP(AF2073,TNCalibEq2500!$AZ$2:$BB$56,3,)))</f>
        <v>0</v>
      </c>
      <c r="AU2073" s="10" t="b">
        <f>IF(I2073="TP",VLOOKUP(AF2073,TPCalibEqFull!$AZ$2:$BB$56,3),IF(I2073="TDP",VLOOKUP(AF2073,TPCalibEqFull!$AZ$2:$BB$56,3),IF(I2073="TDN",VLOOKUP(AF2073,TNCalibEqFull!$AZ$1:$BB$56,3),IF(I2073="TN",VLOOKUP(AF2073,TNCalibEqFull!$AZ$1:$BB$56,3),FALSE))))</f>
        <v>0</v>
      </c>
      <c r="AV2073" s="10" t="str">
        <f t="shared" si="240"/>
        <v>0208 09:11:00-EOF-10-800-1-SW-UKN</v>
      </c>
    </row>
    <row r="2074" spans="1:48" s="10" customFormat="1" x14ac:dyDescent="0.55000000000000004">
      <c r="A2074" s="32">
        <v>44965</v>
      </c>
      <c r="B2074" s="33">
        <v>0.38472222222222219</v>
      </c>
      <c r="C2074" s="10" t="s">
        <v>428</v>
      </c>
      <c r="D2074" s="10">
        <v>20</v>
      </c>
      <c r="E2074" s="10" t="s">
        <v>190</v>
      </c>
      <c r="F2074" s="10">
        <v>1</v>
      </c>
      <c r="G2074" s="10" t="s">
        <v>231</v>
      </c>
      <c r="H2074" s="10" t="s">
        <v>322</v>
      </c>
      <c r="I2074" s="10" t="s">
        <v>75</v>
      </c>
      <c r="J2074" s="10">
        <v>53</v>
      </c>
      <c r="K2074" s="12">
        <v>44966</v>
      </c>
      <c r="L2074" s="33">
        <v>0.53008101851851852</v>
      </c>
      <c r="M2074" s="10">
        <v>1</v>
      </c>
      <c r="N2074" s="10" t="s">
        <v>76</v>
      </c>
      <c r="O2074" s="10">
        <v>1.32</v>
      </c>
      <c r="P2074" s="10">
        <v>0.10199999999999999</v>
      </c>
      <c r="Q2074" s="10">
        <v>75.7</v>
      </c>
      <c r="R2074" s="10" t="s">
        <v>77</v>
      </c>
      <c r="S2074" s="34">
        <f t="shared" si="235"/>
        <v>75.7</v>
      </c>
      <c r="T2074" s="10" t="s">
        <v>1155</v>
      </c>
      <c r="U2074" s="34" t="str">
        <f t="shared" si="238"/>
        <v/>
      </c>
      <c r="V2074" s="31" t="str">
        <f>IF(H2074="CHK",VLOOKUP(I2074,QCCHK,3,),IF(H2074="GUP",VLOOKUP(E2074,QCGUP,2,),IF(AND(H2074="ATP",OR(I2074="TN",I2074="TDN",I2074="TNO2-3",I2074="NO2-3")),VLOOKUP(E2074,QCREC_N,2,),IF(AND(H2074="NIC",OR(I2074="TN",I2074="TDN",I2074="TNO2-3",I2074="NO2-3")),VLOOKUP(E2074,QCNIC_N,2,),IF(AND(H2074="UREA",OR(I2074="TN",I2074="TDN",I2074="TNO2-3",I2074="NO2-3")),VLOOKUP(E2074,QCUREA_N,2,),IF(H2074="PER",VLOOKUP(I2074,QCPER,MATCH(E2074,QCACTUAL!$J$25:$AA$25,0),),IF(H2074="SPK",VLOOKUP(I2074,QCSPK,3,),IF(AND(H2074="ATP",OR(I2074="TP",I2074="TDP")),VLOOKUP(E2074,QCATP_P,2,),""))))))))</f>
        <v/>
      </c>
      <c r="W2074" s="31" t="str">
        <f t="shared" si="239"/>
        <v>TRUE</v>
      </c>
      <c r="X2074" s="31" t="str">
        <f t="shared" si="234"/>
        <v/>
      </c>
      <c r="Y2074" s="10" t="s">
        <v>1144</v>
      </c>
      <c r="AL2074" s="10" t="str">
        <f t="shared" si="236"/>
        <v>FALSE</v>
      </c>
      <c r="AM2074" s="10" t="str">
        <f t="shared" si="236"/>
        <v>FALSE</v>
      </c>
      <c r="AN2074" s="10" t="str">
        <f t="shared" si="236"/>
        <v>FALSE</v>
      </c>
      <c r="AO2074" s="10" t="str">
        <f t="shared" si="237"/>
        <v>FALSE</v>
      </c>
      <c r="AP2074" s="10" t="str">
        <f t="shared" si="237"/>
        <v>FALSE</v>
      </c>
      <c r="AQ2074" s="10" t="b">
        <f>IF(AND(I2074="TP",S2074&lt;=150),VLOOKUP(AF2074,TPCalibEq150!$AZ$2:$BB$55,3,),IF(AND(I2074="TDP",S2074&lt;=150),VLOOKUP(AF2074,TPCalibEq150!$AZ$2:$BB$55,3,)))</f>
        <v>0</v>
      </c>
      <c r="AR2074" s="10" t="b">
        <f>IF(AND(I2074="TP",S2074&lt;=300),VLOOKUP(AF2074,TPCalibEq300!$AZ$2:$BB$55,3,),IF(AND(I2074="TDP",S2074&lt;=300),VLOOKUP(AF2074,TPCalibEq300!$AZ$2:$BB$55,3,)))</f>
        <v>0</v>
      </c>
      <c r="AS2074" s="10" t="b">
        <f>IF(AND(I2074="TP",S2074&lt;=500),VLOOKUP(AF2074,TPCalibEq500!$AZ$2:$BB$56,3,),IF(AND(I2074="TDP",S2074&lt;=500),VLOOKUP(AF2074,TPCalibEq500!$AZ$2:$BB$56,3,)))</f>
        <v>0</v>
      </c>
      <c r="AT2074" s="10" t="b">
        <f>IF(AND(I2074="TN",S2074&lt;=2800),VLOOKUP(AF2074,TNCalibEq2500!$AZ$2:$BB$56,3,),IF(AND(I2074="TDN",S2074&lt;=2800),VLOOKUP(AF2074,TNCalibEq2500!$AZ$2:$BB$56,3,)))</f>
        <v>0</v>
      </c>
      <c r="AU2074" s="10" t="b">
        <f>IF(I2074="TP",VLOOKUP(AF2074,TPCalibEqFull!$AZ$2:$BB$56,3),IF(I2074="TDP",VLOOKUP(AF2074,TPCalibEqFull!$AZ$2:$BB$56,3),IF(I2074="TDN",VLOOKUP(AF2074,TNCalibEqFull!$AZ$1:$BB$56,3),IF(I2074="TN",VLOOKUP(AF2074,TNCalibEqFull!$AZ$1:$BB$56,3),FALSE))))</f>
        <v>0</v>
      </c>
      <c r="AV2074" s="10" t="str">
        <f t="shared" si="240"/>
        <v>0208 09:14:00-EOF-20-C-1-SW-UKN</v>
      </c>
    </row>
    <row r="2075" spans="1:48" s="10" customFormat="1" x14ac:dyDescent="0.55000000000000004">
      <c r="A2075" s="32">
        <v>44965</v>
      </c>
      <c r="B2075" s="33">
        <v>0.38877314814814817</v>
      </c>
      <c r="C2075" s="10" t="s">
        <v>428</v>
      </c>
      <c r="D2075" s="10">
        <v>80</v>
      </c>
      <c r="E2075" s="10" t="s">
        <v>190</v>
      </c>
      <c r="F2075" s="10">
        <v>1</v>
      </c>
      <c r="G2075" s="10" t="s">
        <v>231</v>
      </c>
      <c r="H2075" s="10" t="s">
        <v>322</v>
      </c>
      <c r="I2075" s="10" t="s">
        <v>75</v>
      </c>
      <c r="J2075" s="10">
        <v>54</v>
      </c>
      <c r="K2075" s="12">
        <v>44966</v>
      </c>
      <c r="L2075" s="33">
        <v>0.53089120370370368</v>
      </c>
      <c r="M2075" s="10">
        <v>1</v>
      </c>
      <c r="N2075" s="10" t="s">
        <v>76</v>
      </c>
      <c r="O2075" s="10">
        <v>2.66</v>
      </c>
      <c r="P2075" s="10">
        <v>0.20899999999999999</v>
      </c>
      <c r="Q2075" s="10">
        <v>153</v>
      </c>
      <c r="R2075" s="10" t="s">
        <v>77</v>
      </c>
      <c r="S2075" s="34">
        <f t="shared" si="235"/>
        <v>153</v>
      </c>
      <c r="T2075" s="10" t="s">
        <v>1155</v>
      </c>
      <c r="U2075" s="34" t="str">
        <f t="shared" si="238"/>
        <v/>
      </c>
      <c r="V2075" s="31" t="str">
        <f>IF(H2075="CHK",VLOOKUP(I2075,QCCHK,3,),IF(H2075="GUP",VLOOKUP(E2075,QCGUP,2,),IF(AND(H2075="ATP",OR(I2075="TN",I2075="TDN",I2075="TNO2-3",I2075="NO2-3")),VLOOKUP(E2075,QCREC_N,2,),IF(AND(H2075="NIC",OR(I2075="TN",I2075="TDN",I2075="TNO2-3",I2075="NO2-3")),VLOOKUP(E2075,QCNIC_N,2,),IF(AND(H2075="UREA",OR(I2075="TN",I2075="TDN",I2075="TNO2-3",I2075="NO2-3")),VLOOKUP(E2075,QCUREA_N,2,),IF(H2075="PER",VLOOKUP(I2075,QCPER,MATCH(E2075,QCACTUAL!$J$25:$AA$25,0),),IF(H2075="SPK",VLOOKUP(I2075,QCSPK,3,),IF(AND(H2075="ATP",OR(I2075="TP",I2075="TDP")),VLOOKUP(E2075,QCATP_P,2,),""))))))))</f>
        <v/>
      </c>
      <c r="W2075" s="31" t="str">
        <f t="shared" si="239"/>
        <v>TRUE</v>
      </c>
      <c r="X2075" s="31" t="str">
        <f t="shared" si="234"/>
        <v/>
      </c>
      <c r="Y2075" s="10" t="s">
        <v>1144</v>
      </c>
      <c r="AL2075" s="10" t="str">
        <f t="shared" si="236"/>
        <v>FALSE</v>
      </c>
      <c r="AM2075" s="10" t="str">
        <f t="shared" si="236"/>
        <v>FALSE</v>
      </c>
      <c r="AN2075" s="10" t="str">
        <f t="shared" si="236"/>
        <v>FALSE</v>
      </c>
      <c r="AO2075" s="10" t="str">
        <f t="shared" si="237"/>
        <v>FALSE</v>
      </c>
      <c r="AP2075" s="10" t="str">
        <f t="shared" si="237"/>
        <v>FALSE</v>
      </c>
      <c r="AQ2075" s="10" t="b">
        <f>IF(AND(I2075="TP",S2075&lt;=150),VLOOKUP(AF2075,TPCalibEq150!$AZ$2:$BB$55,3,),IF(AND(I2075="TDP",S2075&lt;=150),VLOOKUP(AF2075,TPCalibEq150!$AZ$2:$BB$55,3,)))</f>
        <v>0</v>
      </c>
      <c r="AR2075" s="10" t="b">
        <f>IF(AND(I2075="TP",S2075&lt;=300),VLOOKUP(AF2075,TPCalibEq300!$AZ$2:$BB$55,3,),IF(AND(I2075="TDP",S2075&lt;=300),VLOOKUP(AF2075,TPCalibEq300!$AZ$2:$BB$55,3,)))</f>
        <v>0</v>
      </c>
      <c r="AS2075" s="10" t="b">
        <f>IF(AND(I2075="TP",S2075&lt;=500),VLOOKUP(AF2075,TPCalibEq500!$AZ$2:$BB$56,3,),IF(AND(I2075="TDP",S2075&lt;=500),VLOOKUP(AF2075,TPCalibEq500!$AZ$2:$BB$56,3,)))</f>
        <v>0</v>
      </c>
      <c r="AT2075" s="10" t="b">
        <f>IF(AND(I2075="TN",S2075&lt;=2800),VLOOKUP(AF2075,TNCalibEq2500!$AZ$2:$BB$56,3,),IF(AND(I2075="TDN",S2075&lt;=2800),VLOOKUP(AF2075,TNCalibEq2500!$AZ$2:$BB$56,3,)))</f>
        <v>0</v>
      </c>
      <c r="AU2075" s="10" t="b">
        <f>IF(I2075="TP",VLOOKUP(AF2075,TPCalibEqFull!$AZ$2:$BB$56,3),IF(I2075="TDP",VLOOKUP(AF2075,TPCalibEqFull!$AZ$2:$BB$56,3),IF(I2075="TDN",VLOOKUP(AF2075,TNCalibEqFull!$AZ$1:$BB$56,3),IF(I2075="TN",VLOOKUP(AF2075,TNCalibEqFull!$AZ$1:$BB$56,3),FALSE))))</f>
        <v>0</v>
      </c>
      <c r="AV2075" s="10" t="str">
        <f t="shared" si="240"/>
        <v>0208 09:19:50-EOF-80-C-1-SW-UKN</v>
      </c>
    </row>
    <row r="2076" spans="1:48" s="10" customFormat="1" x14ac:dyDescent="0.55000000000000004">
      <c r="A2076" s="32">
        <v>44965</v>
      </c>
      <c r="B2076" s="33">
        <v>0.4201388888888889</v>
      </c>
      <c r="C2076" s="10" t="s">
        <v>611</v>
      </c>
      <c r="D2076" s="10">
        <v>0</v>
      </c>
      <c r="E2076" s="10">
        <v>800</v>
      </c>
      <c r="F2076" s="10">
        <v>1</v>
      </c>
      <c r="G2076" s="10" t="s">
        <v>231</v>
      </c>
      <c r="H2076" s="10" t="s">
        <v>322</v>
      </c>
      <c r="I2076" s="10" t="s">
        <v>75</v>
      </c>
      <c r="J2076" s="10">
        <v>55</v>
      </c>
      <c r="K2076" s="12">
        <v>44966</v>
      </c>
      <c r="L2076" s="33">
        <v>0.53170138888888896</v>
      </c>
      <c r="M2076" s="10">
        <v>1</v>
      </c>
      <c r="N2076" s="10" t="s">
        <v>76</v>
      </c>
      <c r="O2076" s="10">
        <v>1.2</v>
      </c>
      <c r="P2076" s="10">
        <v>9.3100000000000002E-2</v>
      </c>
      <c r="Q2076" s="10">
        <v>69.099999999999994</v>
      </c>
      <c r="R2076" s="10" t="s">
        <v>77</v>
      </c>
      <c r="S2076" s="34">
        <f t="shared" si="235"/>
        <v>69.099999999999994</v>
      </c>
      <c r="T2076" s="10" t="s">
        <v>1155</v>
      </c>
      <c r="U2076" s="34" t="str">
        <f t="shared" si="238"/>
        <v/>
      </c>
      <c r="V2076" s="31" t="str">
        <f>IF(H2076="CHK",VLOOKUP(I2076,QCCHK,3,),IF(H2076="GUP",VLOOKUP(E2076,QCGUP,2,),IF(AND(H2076="ATP",OR(I2076="TN",I2076="TDN",I2076="TNO2-3",I2076="NO2-3")),VLOOKUP(E2076,QCREC_N,2,),IF(AND(H2076="NIC",OR(I2076="TN",I2076="TDN",I2076="TNO2-3",I2076="NO2-3")),VLOOKUP(E2076,QCNIC_N,2,),IF(AND(H2076="UREA",OR(I2076="TN",I2076="TDN",I2076="TNO2-3",I2076="NO2-3")),VLOOKUP(E2076,QCUREA_N,2,),IF(H2076="PER",VLOOKUP(I2076,QCPER,MATCH(E2076,QCACTUAL!$J$25:$AA$25,0),),IF(H2076="SPK",VLOOKUP(I2076,QCSPK,3,),IF(AND(H2076="ATP",OR(I2076="TP",I2076="TDP")),VLOOKUP(E2076,QCATP_P,2,),""))))))))</f>
        <v/>
      </c>
      <c r="W2076" s="31" t="str">
        <f t="shared" si="239"/>
        <v>TRUE</v>
      </c>
      <c r="X2076" s="31" t="str">
        <f t="shared" si="234"/>
        <v/>
      </c>
      <c r="Y2076" s="10" t="s">
        <v>1144</v>
      </c>
      <c r="AL2076" s="10" t="str">
        <f t="shared" si="236"/>
        <v>FALSE</v>
      </c>
      <c r="AM2076" s="10" t="str">
        <f t="shared" si="236"/>
        <v>FALSE</v>
      </c>
      <c r="AN2076" s="10" t="str">
        <f t="shared" si="236"/>
        <v>FALSE</v>
      </c>
      <c r="AO2076" s="10" t="str">
        <f t="shared" si="237"/>
        <v>FALSE</v>
      </c>
      <c r="AP2076" s="10" t="str">
        <f t="shared" si="237"/>
        <v>FALSE</v>
      </c>
      <c r="AQ2076" s="10" t="b">
        <f>IF(AND(I2076="TP",S2076&lt;=150),VLOOKUP(AF2076,TPCalibEq150!$AZ$2:$BB$55,3,),IF(AND(I2076="TDP",S2076&lt;=150),VLOOKUP(AF2076,TPCalibEq150!$AZ$2:$BB$55,3,)))</f>
        <v>0</v>
      </c>
      <c r="AR2076" s="10" t="b">
        <f>IF(AND(I2076="TP",S2076&lt;=300),VLOOKUP(AF2076,TPCalibEq300!$AZ$2:$BB$55,3,),IF(AND(I2076="TDP",S2076&lt;=300),VLOOKUP(AF2076,TPCalibEq300!$AZ$2:$BB$55,3,)))</f>
        <v>0</v>
      </c>
      <c r="AS2076" s="10" t="b">
        <f>IF(AND(I2076="TP",S2076&lt;=500),VLOOKUP(AF2076,TPCalibEq500!$AZ$2:$BB$56,3,),IF(AND(I2076="TDP",S2076&lt;=500),VLOOKUP(AF2076,TPCalibEq500!$AZ$2:$BB$56,3,)))</f>
        <v>0</v>
      </c>
      <c r="AT2076" s="10" t="b">
        <f>IF(AND(I2076="TN",S2076&lt;=2800),VLOOKUP(AF2076,TNCalibEq2500!$AZ$2:$BB$56,3,),IF(AND(I2076="TDN",S2076&lt;=2800),VLOOKUP(AF2076,TNCalibEq2500!$AZ$2:$BB$56,3,)))</f>
        <v>0</v>
      </c>
      <c r="AU2076" s="10" t="b">
        <f>IF(I2076="TP",VLOOKUP(AF2076,TPCalibEqFull!$AZ$2:$BB$56,3),IF(I2076="TDP",VLOOKUP(AF2076,TPCalibEqFull!$AZ$2:$BB$56,3),IF(I2076="TDN",VLOOKUP(AF2076,TNCalibEqFull!$AZ$1:$BB$56,3),IF(I2076="TN",VLOOKUP(AF2076,TNCalibEqFull!$AZ$1:$BB$56,3),FALSE))))</f>
        <v>0</v>
      </c>
      <c r="AV2076" s="10" t="str">
        <f t="shared" si="240"/>
        <v>0208 10:05:00-BUO-0-800-1-SW-UKN</v>
      </c>
    </row>
    <row r="2077" spans="1:48" s="10" customFormat="1" x14ac:dyDescent="0.55000000000000004">
      <c r="A2077" s="32">
        <v>44965</v>
      </c>
      <c r="B2077" s="33">
        <v>0.42291666666666666</v>
      </c>
      <c r="C2077" s="10" t="s">
        <v>611</v>
      </c>
      <c r="D2077" s="10">
        <v>5</v>
      </c>
      <c r="E2077" s="10">
        <v>800</v>
      </c>
      <c r="F2077" s="10">
        <v>1</v>
      </c>
      <c r="G2077" s="10" t="s">
        <v>231</v>
      </c>
      <c r="H2077" s="10" t="s">
        <v>322</v>
      </c>
      <c r="I2077" s="10" t="s">
        <v>75</v>
      </c>
      <c r="J2077" s="10">
        <v>56</v>
      </c>
      <c r="K2077" s="12">
        <v>44966</v>
      </c>
      <c r="L2077" s="33">
        <v>0.53252314814814816</v>
      </c>
      <c r="M2077" s="10">
        <v>1</v>
      </c>
      <c r="N2077" s="10" t="s">
        <v>76</v>
      </c>
      <c r="O2077" s="10">
        <v>1.2</v>
      </c>
      <c r="P2077" s="10">
        <v>9.3299999999999994E-2</v>
      </c>
      <c r="Q2077" s="10">
        <v>69.2</v>
      </c>
      <c r="R2077" s="10" t="s">
        <v>77</v>
      </c>
      <c r="S2077" s="34">
        <f t="shared" si="235"/>
        <v>69.2</v>
      </c>
      <c r="T2077" s="10" t="s">
        <v>1155</v>
      </c>
      <c r="U2077" s="34" t="str">
        <f t="shared" si="238"/>
        <v/>
      </c>
      <c r="V2077" s="31" t="str">
        <f>IF(H2077="CHK",VLOOKUP(I2077,QCCHK,3,),IF(H2077="GUP",VLOOKUP(E2077,QCGUP,2,),IF(AND(H2077="ATP",OR(I2077="TN",I2077="TDN",I2077="TNO2-3",I2077="NO2-3")),VLOOKUP(E2077,QCREC_N,2,),IF(AND(H2077="NIC",OR(I2077="TN",I2077="TDN",I2077="TNO2-3",I2077="NO2-3")),VLOOKUP(E2077,QCNIC_N,2,),IF(AND(H2077="UREA",OR(I2077="TN",I2077="TDN",I2077="TNO2-3",I2077="NO2-3")),VLOOKUP(E2077,QCUREA_N,2,),IF(H2077="PER",VLOOKUP(I2077,QCPER,MATCH(E2077,QCACTUAL!$J$25:$AA$25,0),),IF(H2077="SPK",VLOOKUP(I2077,QCSPK,3,),IF(AND(H2077="ATP",OR(I2077="TP",I2077="TDP")),VLOOKUP(E2077,QCATP_P,2,),""))))))))</f>
        <v/>
      </c>
      <c r="W2077" s="31" t="str">
        <f t="shared" si="239"/>
        <v>TRUE</v>
      </c>
      <c r="X2077" s="31" t="str">
        <f t="shared" si="234"/>
        <v/>
      </c>
      <c r="Y2077" s="10" t="s">
        <v>1144</v>
      </c>
      <c r="AL2077" s="10" t="str">
        <f t="shared" si="236"/>
        <v>FALSE</v>
      </c>
      <c r="AM2077" s="10" t="str">
        <f t="shared" si="236"/>
        <v>FALSE</v>
      </c>
      <c r="AN2077" s="10" t="str">
        <f t="shared" si="236"/>
        <v>FALSE</v>
      </c>
      <c r="AO2077" s="10" t="str">
        <f t="shared" si="237"/>
        <v>FALSE</v>
      </c>
      <c r="AP2077" s="10" t="str">
        <f t="shared" si="237"/>
        <v>FALSE</v>
      </c>
      <c r="AQ2077" s="10" t="b">
        <f>IF(AND(I2077="TP",S2077&lt;=150),VLOOKUP(AF2077,TPCalibEq150!$AZ$2:$BB$55,3,),IF(AND(I2077="TDP",S2077&lt;=150),VLOOKUP(AF2077,TPCalibEq150!$AZ$2:$BB$55,3,)))</f>
        <v>0</v>
      </c>
      <c r="AR2077" s="10" t="b">
        <f>IF(AND(I2077="TP",S2077&lt;=300),VLOOKUP(AF2077,TPCalibEq300!$AZ$2:$BB$55,3,),IF(AND(I2077="TDP",S2077&lt;=300),VLOOKUP(AF2077,TPCalibEq300!$AZ$2:$BB$55,3,)))</f>
        <v>0</v>
      </c>
      <c r="AS2077" s="10" t="b">
        <f>IF(AND(I2077="TP",S2077&lt;=500),VLOOKUP(AF2077,TPCalibEq500!$AZ$2:$BB$56,3,),IF(AND(I2077="TDP",S2077&lt;=500),VLOOKUP(AF2077,TPCalibEq500!$AZ$2:$BB$56,3,)))</f>
        <v>0</v>
      </c>
      <c r="AT2077" s="10" t="b">
        <f>IF(AND(I2077="TN",S2077&lt;=2800),VLOOKUP(AF2077,TNCalibEq2500!$AZ$2:$BB$56,3,),IF(AND(I2077="TDN",S2077&lt;=2800),VLOOKUP(AF2077,TNCalibEq2500!$AZ$2:$BB$56,3,)))</f>
        <v>0</v>
      </c>
      <c r="AU2077" s="10" t="b">
        <f>IF(I2077="TP",VLOOKUP(AF2077,TPCalibEqFull!$AZ$2:$BB$56,3),IF(I2077="TDP",VLOOKUP(AF2077,TPCalibEqFull!$AZ$2:$BB$56,3),IF(I2077="TDN",VLOOKUP(AF2077,TNCalibEqFull!$AZ$1:$BB$56,3),IF(I2077="TN",VLOOKUP(AF2077,TNCalibEqFull!$AZ$1:$BB$56,3),FALSE))))</f>
        <v>0</v>
      </c>
      <c r="AV2077" s="10" t="str">
        <f t="shared" si="240"/>
        <v>0208 10:09:00-BUO-5-800-1-SW-UKN</v>
      </c>
    </row>
    <row r="2078" spans="1:48" s="10" customFormat="1" x14ac:dyDescent="0.55000000000000004">
      <c r="A2078" s="32">
        <v>44965</v>
      </c>
      <c r="B2078" s="33">
        <v>0.42499999999999999</v>
      </c>
      <c r="C2078" s="10" t="s">
        <v>611</v>
      </c>
      <c r="D2078" s="10">
        <v>10</v>
      </c>
      <c r="E2078" s="10">
        <v>800</v>
      </c>
      <c r="F2078" s="10">
        <v>1</v>
      </c>
      <c r="G2078" s="10" t="s">
        <v>231</v>
      </c>
      <c r="H2078" s="10" t="s">
        <v>322</v>
      </c>
      <c r="I2078" s="10" t="s">
        <v>75</v>
      </c>
      <c r="J2078" s="10">
        <v>57</v>
      </c>
      <c r="K2078" s="12">
        <v>44966</v>
      </c>
      <c r="L2078" s="33">
        <v>0.53333333333333333</v>
      </c>
      <c r="M2078" s="10">
        <v>1</v>
      </c>
      <c r="N2078" s="10" t="s">
        <v>76</v>
      </c>
      <c r="O2078" s="10">
        <v>1.22</v>
      </c>
      <c r="P2078" s="10">
        <v>9.2700000000000005E-2</v>
      </c>
      <c r="Q2078" s="10">
        <v>70.099999999999994</v>
      </c>
      <c r="R2078" s="10" t="s">
        <v>77</v>
      </c>
      <c r="S2078" s="34">
        <f t="shared" si="235"/>
        <v>70.099999999999994</v>
      </c>
      <c r="T2078" s="10" t="s">
        <v>1155</v>
      </c>
      <c r="U2078" s="34" t="str">
        <f t="shared" si="238"/>
        <v/>
      </c>
      <c r="V2078" s="31" t="str">
        <f>IF(H2078="CHK",VLOOKUP(I2078,QCCHK,3,),IF(H2078="GUP",VLOOKUP(E2078,QCGUP,2,),IF(AND(H2078="ATP",OR(I2078="TN",I2078="TDN",I2078="TNO2-3",I2078="NO2-3")),VLOOKUP(E2078,QCREC_N,2,),IF(AND(H2078="NIC",OR(I2078="TN",I2078="TDN",I2078="TNO2-3",I2078="NO2-3")),VLOOKUP(E2078,QCNIC_N,2,),IF(AND(H2078="UREA",OR(I2078="TN",I2078="TDN",I2078="TNO2-3",I2078="NO2-3")),VLOOKUP(E2078,QCUREA_N,2,),IF(H2078="PER",VLOOKUP(I2078,QCPER,MATCH(E2078,QCACTUAL!$J$25:$AA$25,0),),IF(H2078="SPK",VLOOKUP(I2078,QCSPK,3,),IF(AND(H2078="ATP",OR(I2078="TP",I2078="TDP")),VLOOKUP(E2078,QCATP_P,2,),""))))))))</f>
        <v/>
      </c>
      <c r="W2078" s="31" t="str">
        <f t="shared" si="239"/>
        <v>TRUE</v>
      </c>
      <c r="X2078" s="31" t="str">
        <f t="shared" si="234"/>
        <v/>
      </c>
      <c r="Y2078" s="10" t="s">
        <v>1144</v>
      </c>
      <c r="AL2078" s="10" t="str">
        <f t="shared" si="236"/>
        <v>FALSE</v>
      </c>
      <c r="AM2078" s="10" t="str">
        <f t="shared" si="236"/>
        <v>FALSE</v>
      </c>
      <c r="AN2078" s="10" t="str">
        <f t="shared" si="236"/>
        <v>FALSE</v>
      </c>
      <c r="AO2078" s="10" t="str">
        <f t="shared" si="237"/>
        <v>FALSE</v>
      </c>
      <c r="AP2078" s="10" t="str">
        <f t="shared" si="237"/>
        <v>FALSE</v>
      </c>
      <c r="AQ2078" s="10" t="b">
        <f>IF(AND(I2078="TP",S2078&lt;=150),VLOOKUP(AF2078,TPCalibEq150!$AZ$2:$BB$55,3,),IF(AND(I2078="TDP",S2078&lt;=150),VLOOKUP(AF2078,TPCalibEq150!$AZ$2:$BB$55,3,)))</f>
        <v>0</v>
      </c>
      <c r="AR2078" s="10" t="b">
        <f>IF(AND(I2078="TP",S2078&lt;=300),VLOOKUP(AF2078,TPCalibEq300!$AZ$2:$BB$55,3,),IF(AND(I2078="TDP",S2078&lt;=300),VLOOKUP(AF2078,TPCalibEq300!$AZ$2:$BB$55,3,)))</f>
        <v>0</v>
      </c>
      <c r="AS2078" s="10" t="b">
        <f>IF(AND(I2078="TP",S2078&lt;=500),VLOOKUP(AF2078,TPCalibEq500!$AZ$2:$BB$56,3,),IF(AND(I2078="TDP",S2078&lt;=500),VLOOKUP(AF2078,TPCalibEq500!$AZ$2:$BB$56,3,)))</f>
        <v>0</v>
      </c>
      <c r="AT2078" s="10" t="b">
        <f>IF(AND(I2078="TN",S2078&lt;=2800),VLOOKUP(AF2078,TNCalibEq2500!$AZ$2:$BB$56,3,),IF(AND(I2078="TDN",S2078&lt;=2800),VLOOKUP(AF2078,TNCalibEq2500!$AZ$2:$BB$56,3,)))</f>
        <v>0</v>
      </c>
      <c r="AU2078" s="10" t="b">
        <f>IF(I2078="TP",VLOOKUP(AF2078,TPCalibEqFull!$AZ$2:$BB$56,3),IF(I2078="TDP",VLOOKUP(AF2078,TPCalibEqFull!$AZ$2:$BB$56,3),IF(I2078="TDN",VLOOKUP(AF2078,TNCalibEqFull!$AZ$1:$BB$56,3),IF(I2078="TN",VLOOKUP(AF2078,TNCalibEqFull!$AZ$1:$BB$56,3),FALSE))))</f>
        <v>0</v>
      </c>
      <c r="AV2078" s="10" t="str">
        <f t="shared" si="240"/>
        <v>0208 10:12:00-BUO-10-800-1-SW-UKN</v>
      </c>
    </row>
    <row r="2079" spans="1:48" s="10" customFormat="1" x14ac:dyDescent="0.55000000000000004">
      <c r="A2079" s="32">
        <v>44965</v>
      </c>
      <c r="B2079" s="33">
        <v>0.42777777777777781</v>
      </c>
      <c r="C2079" s="10" t="s">
        <v>611</v>
      </c>
      <c r="D2079" s="10">
        <v>20</v>
      </c>
      <c r="E2079" s="10" t="s">
        <v>190</v>
      </c>
      <c r="F2079" s="10">
        <v>1</v>
      </c>
      <c r="G2079" s="10" t="s">
        <v>231</v>
      </c>
      <c r="H2079" s="10" t="s">
        <v>322</v>
      </c>
      <c r="I2079" s="10" t="s">
        <v>75</v>
      </c>
      <c r="J2079" s="10">
        <v>58</v>
      </c>
      <c r="K2079" s="12">
        <v>44966</v>
      </c>
      <c r="L2079" s="33">
        <v>0.53414351851851849</v>
      </c>
      <c r="M2079" s="10">
        <v>1</v>
      </c>
      <c r="N2079" s="10" t="s">
        <v>76</v>
      </c>
      <c r="O2079" s="10">
        <v>1.2</v>
      </c>
      <c r="P2079" s="10">
        <v>9.4E-2</v>
      </c>
      <c r="Q2079" s="10">
        <v>69.2</v>
      </c>
      <c r="R2079" s="10" t="s">
        <v>77</v>
      </c>
      <c r="S2079" s="34">
        <f t="shared" si="235"/>
        <v>69.2</v>
      </c>
      <c r="T2079" s="10" t="s">
        <v>1155</v>
      </c>
      <c r="U2079" s="34" t="str">
        <f t="shared" si="238"/>
        <v/>
      </c>
      <c r="V2079" s="31" t="str">
        <f>IF(H2079="CHK",VLOOKUP(I2079,QCCHK,3,),IF(H2079="GUP",VLOOKUP(E2079,QCGUP,2,),IF(AND(H2079="ATP",OR(I2079="TN",I2079="TDN",I2079="TNO2-3",I2079="NO2-3")),VLOOKUP(E2079,QCREC_N,2,),IF(AND(H2079="NIC",OR(I2079="TN",I2079="TDN",I2079="TNO2-3",I2079="NO2-3")),VLOOKUP(E2079,QCNIC_N,2,),IF(AND(H2079="UREA",OR(I2079="TN",I2079="TDN",I2079="TNO2-3",I2079="NO2-3")),VLOOKUP(E2079,QCUREA_N,2,),IF(H2079="PER",VLOOKUP(I2079,QCPER,MATCH(E2079,QCACTUAL!$J$25:$AA$25,0),),IF(H2079="SPK",VLOOKUP(I2079,QCSPK,3,),IF(AND(H2079="ATP",OR(I2079="TP",I2079="TDP")),VLOOKUP(E2079,QCATP_P,2,),""))))))))</f>
        <v/>
      </c>
      <c r="W2079" s="31" t="str">
        <f t="shared" si="239"/>
        <v>TRUE</v>
      </c>
      <c r="X2079" s="31" t="str">
        <f t="shared" si="234"/>
        <v/>
      </c>
      <c r="Y2079" s="10" t="s">
        <v>1144</v>
      </c>
      <c r="AL2079" s="10" t="str">
        <f t="shared" si="236"/>
        <v>FALSE</v>
      </c>
      <c r="AM2079" s="10" t="str">
        <f t="shared" si="236"/>
        <v>FALSE</v>
      </c>
      <c r="AN2079" s="10" t="str">
        <f t="shared" si="236"/>
        <v>FALSE</v>
      </c>
      <c r="AO2079" s="10" t="str">
        <f t="shared" si="237"/>
        <v>FALSE</v>
      </c>
      <c r="AP2079" s="10" t="str">
        <f t="shared" si="237"/>
        <v>FALSE</v>
      </c>
      <c r="AQ2079" s="10" t="b">
        <f>IF(AND(I2079="TP",S2079&lt;=150),VLOOKUP(AF2079,TPCalibEq150!$AZ$2:$BB$55,3,),IF(AND(I2079="TDP",S2079&lt;=150),VLOOKUP(AF2079,TPCalibEq150!$AZ$2:$BB$55,3,)))</f>
        <v>0</v>
      </c>
      <c r="AR2079" s="10" t="b">
        <f>IF(AND(I2079="TP",S2079&lt;=300),VLOOKUP(AF2079,TPCalibEq300!$AZ$2:$BB$55,3,),IF(AND(I2079="TDP",S2079&lt;=300),VLOOKUP(AF2079,TPCalibEq300!$AZ$2:$BB$55,3,)))</f>
        <v>0</v>
      </c>
      <c r="AS2079" s="10" t="b">
        <f>IF(AND(I2079="TP",S2079&lt;=500),VLOOKUP(AF2079,TPCalibEq500!$AZ$2:$BB$56,3,),IF(AND(I2079="TDP",S2079&lt;=500),VLOOKUP(AF2079,TPCalibEq500!$AZ$2:$BB$56,3,)))</f>
        <v>0</v>
      </c>
      <c r="AT2079" s="10" t="b">
        <f>IF(AND(I2079="TN",S2079&lt;=2800),VLOOKUP(AF2079,TNCalibEq2500!$AZ$2:$BB$56,3,),IF(AND(I2079="TDN",S2079&lt;=2800),VLOOKUP(AF2079,TNCalibEq2500!$AZ$2:$BB$56,3,)))</f>
        <v>0</v>
      </c>
      <c r="AU2079" s="10" t="b">
        <f>IF(I2079="TP",VLOOKUP(AF2079,TPCalibEqFull!$AZ$2:$BB$56,3),IF(I2079="TDP",VLOOKUP(AF2079,TPCalibEqFull!$AZ$2:$BB$56,3),IF(I2079="TDN",VLOOKUP(AF2079,TNCalibEqFull!$AZ$1:$BB$56,3),IF(I2079="TN",VLOOKUP(AF2079,TNCalibEqFull!$AZ$1:$BB$56,3),FALSE))))</f>
        <v>0</v>
      </c>
      <c r="AV2079" s="10" t="str">
        <f t="shared" si="240"/>
        <v>0208 10:16:00-BUO-20-C-1-SW-UKN</v>
      </c>
    </row>
    <row r="2080" spans="1:48" s="10" customFormat="1" x14ac:dyDescent="0.55000000000000004">
      <c r="A2080" s="32">
        <v>44965</v>
      </c>
      <c r="B2080" s="33">
        <v>0.43055555555555558</v>
      </c>
      <c r="C2080" s="10" t="s">
        <v>611</v>
      </c>
      <c r="D2080" s="10">
        <v>46</v>
      </c>
      <c r="E2080" s="10" t="s">
        <v>190</v>
      </c>
      <c r="F2080" s="10">
        <v>1</v>
      </c>
      <c r="G2080" s="10" t="s">
        <v>231</v>
      </c>
      <c r="H2080" s="10" t="s">
        <v>322</v>
      </c>
      <c r="I2080" s="10" t="s">
        <v>75</v>
      </c>
      <c r="J2080" s="10">
        <v>59</v>
      </c>
      <c r="K2080" s="12">
        <v>44966</v>
      </c>
      <c r="L2080" s="33">
        <v>0.53495370370370365</v>
      </c>
      <c r="M2080" s="10">
        <v>1</v>
      </c>
      <c r="N2080" s="10" t="s">
        <v>76</v>
      </c>
      <c r="O2080" s="10">
        <v>1.29</v>
      </c>
      <c r="P2080" s="10">
        <v>9.98E-2</v>
      </c>
      <c r="Q2080" s="10">
        <v>73.900000000000006</v>
      </c>
      <c r="R2080" s="10" t="s">
        <v>77</v>
      </c>
      <c r="S2080" s="34">
        <f t="shared" si="235"/>
        <v>73.900000000000006</v>
      </c>
      <c r="T2080" s="10" t="s">
        <v>1155</v>
      </c>
      <c r="U2080" s="34" t="str">
        <f t="shared" si="238"/>
        <v/>
      </c>
      <c r="V2080" s="31" t="str">
        <f>IF(H2080="CHK",VLOOKUP(I2080,QCCHK,3,),IF(H2080="GUP",VLOOKUP(E2080,QCGUP,2,),IF(AND(H2080="ATP",OR(I2080="TN",I2080="TDN",I2080="TNO2-3",I2080="NO2-3")),VLOOKUP(E2080,QCREC_N,2,),IF(AND(H2080="NIC",OR(I2080="TN",I2080="TDN",I2080="TNO2-3",I2080="NO2-3")),VLOOKUP(E2080,QCNIC_N,2,),IF(AND(H2080="UREA",OR(I2080="TN",I2080="TDN",I2080="TNO2-3",I2080="NO2-3")),VLOOKUP(E2080,QCUREA_N,2,),IF(H2080="PER",VLOOKUP(I2080,QCPER,MATCH(E2080,QCACTUAL!$J$25:$AA$25,0),),IF(H2080="SPK",VLOOKUP(I2080,QCSPK,3,),IF(AND(H2080="ATP",OR(I2080="TP",I2080="TDP")),VLOOKUP(E2080,QCATP_P,2,),""))))))))</f>
        <v/>
      </c>
      <c r="W2080" s="31" t="str">
        <f t="shared" si="239"/>
        <v>TRUE</v>
      </c>
      <c r="X2080" s="31" t="str">
        <f t="shared" si="234"/>
        <v/>
      </c>
      <c r="Y2080" s="10" t="s">
        <v>1144</v>
      </c>
      <c r="AL2080" s="10" t="str">
        <f t="shared" si="236"/>
        <v>FALSE</v>
      </c>
      <c r="AM2080" s="10" t="str">
        <f t="shared" si="236"/>
        <v>FALSE</v>
      </c>
      <c r="AN2080" s="10" t="str">
        <f t="shared" si="236"/>
        <v>FALSE</v>
      </c>
      <c r="AO2080" s="10" t="str">
        <f t="shared" si="237"/>
        <v>FALSE</v>
      </c>
      <c r="AP2080" s="10" t="str">
        <f t="shared" si="237"/>
        <v>FALSE</v>
      </c>
      <c r="AQ2080" s="10" t="b">
        <f>IF(AND(I2080="TP",S2080&lt;=150),VLOOKUP(AF2080,TPCalibEq150!$AZ$2:$BB$55,3,),IF(AND(I2080="TDP",S2080&lt;=150),VLOOKUP(AF2080,TPCalibEq150!$AZ$2:$BB$55,3,)))</f>
        <v>0</v>
      </c>
      <c r="AR2080" s="10" t="b">
        <f>IF(AND(I2080="TP",S2080&lt;=300),VLOOKUP(AF2080,TPCalibEq300!$AZ$2:$BB$55,3,),IF(AND(I2080="TDP",S2080&lt;=300),VLOOKUP(AF2080,TPCalibEq300!$AZ$2:$BB$55,3,)))</f>
        <v>0</v>
      </c>
      <c r="AS2080" s="10" t="b">
        <f>IF(AND(I2080="TP",S2080&lt;=500),VLOOKUP(AF2080,TPCalibEq500!$AZ$2:$BB$56,3,),IF(AND(I2080="TDP",S2080&lt;=500),VLOOKUP(AF2080,TPCalibEq500!$AZ$2:$BB$56,3,)))</f>
        <v>0</v>
      </c>
      <c r="AT2080" s="10" t="b">
        <f>IF(AND(I2080="TN",S2080&lt;=2800),VLOOKUP(AF2080,TNCalibEq2500!$AZ$2:$BB$56,3,),IF(AND(I2080="TDN",S2080&lt;=2800),VLOOKUP(AF2080,TNCalibEq2500!$AZ$2:$BB$56,3,)))</f>
        <v>0</v>
      </c>
      <c r="AU2080" s="10" t="b">
        <f>IF(I2080="TP",VLOOKUP(AF2080,TPCalibEqFull!$AZ$2:$BB$56,3),IF(I2080="TDP",VLOOKUP(AF2080,TPCalibEqFull!$AZ$2:$BB$56,3),IF(I2080="TDN",VLOOKUP(AF2080,TNCalibEqFull!$AZ$1:$BB$56,3),IF(I2080="TN",VLOOKUP(AF2080,TNCalibEqFull!$AZ$1:$BB$56,3),FALSE))))</f>
        <v>0</v>
      </c>
      <c r="AV2080" s="10" t="str">
        <f t="shared" si="240"/>
        <v>0208 10:20:00-BUO-46-C-1-SW-UKN</v>
      </c>
    </row>
    <row r="2081" spans="1:48" s="10" customFormat="1" x14ac:dyDescent="0.55000000000000004">
      <c r="A2081" s="32">
        <v>44965</v>
      </c>
      <c r="B2081" s="33">
        <v>0.43055555555555558</v>
      </c>
      <c r="C2081" s="10" t="s">
        <v>611</v>
      </c>
      <c r="D2081" s="10">
        <v>46</v>
      </c>
      <c r="E2081" s="10" t="s">
        <v>190</v>
      </c>
      <c r="F2081" s="10">
        <v>1</v>
      </c>
      <c r="G2081" s="10" t="s">
        <v>231</v>
      </c>
      <c r="H2081" s="10" t="s">
        <v>233</v>
      </c>
      <c r="I2081" s="10" t="s">
        <v>75</v>
      </c>
      <c r="J2081" s="10">
        <v>59</v>
      </c>
      <c r="K2081" s="12">
        <v>44966</v>
      </c>
      <c r="L2081" s="33">
        <v>0.53575231481481478</v>
      </c>
      <c r="M2081" s="10">
        <v>1</v>
      </c>
      <c r="N2081" s="10" t="s">
        <v>76</v>
      </c>
      <c r="O2081" s="10">
        <v>1.3</v>
      </c>
      <c r="P2081" s="10">
        <v>0.1</v>
      </c>
      <c r="Q2081" s="10">
        <v>74.7</v>
      </c>
      <c r="R2081" s="10" t="s">
        <v>77</v>
      </c>
      <c r="S2081" s="34">
        <f t="shared" si="235"/>
        <v>74.7</v>
      </c>
      <c r="T2081" s="10" t="s">
        <v>1155</v>
      </c>
      <c r="U2081" s="34">
        <f t="shared" si="238"/>
        <v>1.0767160161507363</v>
      </c>
      <c r="V2081" s="31" t="str">
        <f>IF(H2081="CHK",VLOOKUP(I2081,QCCHK,3,),IF(H2081="GUP",VLOOKUP(E2081,QCGUP,2,),IF(AND(H2081="ATP",OR(I2081="TN",I2081="TDN",I2081="TNO2-3",I2081="NO2-3")),VLOOKUP(E2081,QCREC_N,2,),IF(AND(H2081="NIC",OR(I2081="TN",I2081="TDN",I2081="TNO2-3",I2081="NO2-3")),VLOOKUP(E2081,QCNIC_N,2,),IF(AND(H2081="UREA",OR(I2081="TN",I2081="TDN",I2081="TNO2-3",I2081="NO2-3")),VLOOKUP(E2081,QCUREA_N,2,),IF(H2081="PER",VLOOKUP(I2081,QCPER,MATCH(E2081,QCACTUAL!$J$25:$AA$25,0),),IF(H2081="SPK",VLOOKUP(I2081,QCSPK,3,),IF(AND(H2081="ATP",OR(I2081="TP",I2081="TDP")),VLOOKUP(E2081,QCATP_P,2,),""))))))))</f>
        <v/>
      </c>
      <c r="W2081" s="31" t="str">
        <f t="shared" si="239"/>
        <v>TRUE</v>
      </c>
      <c r="X2081" s="31" t="str">
        <f t="shared" si="234"/>
        <v>((ABS(rep1-rep2))/((rep1+rep2)/2)*100</v>
      </c>
      <c r="Y2081" s="10" t="s">
        <v>1144</v>
      </c>
      <c r="AL2081" s="10" t="str">
        <f t="shared" si="236"/>
        <v>FALSE</v>
      </c>
      <c r="AM2081" s="10" t="str">
        <f t="shared" si="236"/>
        <v>FALSE</v>
      </c>
      <c r="AN2081" s="10" t="str">
        <f t="shared" si="236"/>
        <v>FALSE</v>
      </c>
      <c r="AO2081" s="10" t="str">
        <f t="shared" si="237"/>
        <v>FALSE</v>
      </c>
      <c r="AP2081" s="10" t="str">
        <f t="shared" si="237"/>
        <v>FALSE</v>
      </c>
      <c r="AQ2081" s="10" t="b">
        <f>IF(AND(I2081="TP",S2081&lt;=150),VLOOKUP(AF2081,TPCalibEq150!$AZ$2:$BB$55,3,),IF(AND(I2081="TDP",S2081&lt;=150),VLOOKUP(AF2081,TPCalibEq150!$AZ$2:$BB$55,3,)))</f>
        <v>0</v>
      </c>
      <c r="AR2081" s="10" t="b">
        <f>IF(AND(I2081="TP",S2081&lt;=300),VLOOKUP(AF2081,TPCalibEq300!$AZ$2:$BB$55,3,),IF(AND(I2081="TDP",S2081&lt;=300),VLOOKUP(AF2081,TPCalibEq300!$AZ$2:$BB$55,3,)))</f>
        <v>0</v>
      </c>
      <c r="AS2081" s="10" t="b">
        <f>IF(AND(I2081="TP",S2081&lt;=500),VLOOKUP(AF2081,TPCalibEq500!$AZ$2:$BB$56,3,),IF(AND(I2081="TDP",S2081&lt;=500),VLOOKUP(AF2081,TPCalibEq500!$AZ$2:$BB$56,3,)))</f>
        <v>0</v>
      </c>
      <c r="AT2081" s="10" t="b">
        <f>IF(AND(I2081="TN",S2081&lt;=2800),VLOOKUP(AF2081,TNCalibEq2500!$AZ$2:$BB$56,3,),IF(AND(I2081="TDN",S2081&lt;=2800),VLOOKUP(AF2081,TNCalibEq2500!$AZ$2:$BB$56,3,)))</f>
        <v>0</v>
      </c>
      <c r="AU2081" s="10" t="b">
        <f>IF(I2081="TP",VLOOKUP(AF2081,TPCalibEqFull!$AZ$2:$BB$56,3),IF(I2081="TDP",VLOOKUP(AF2081,TPCalibEqFull!$AZ$2:$BB$56,3),IF(I2081="TDN",VLOOKUP(AF2081,TNCalibEqFull!$AZ$1:$BB$56,3),IF(I2081="TN",VLOOKUP(AF2081,TNCalibEqFull!$AZ$1:$BB$56,3),FALSE))))</f>
        <v>0</v>
      </c>
      <c r="AV2081" s="10" t="str">
        <f t="shared" si="240"/>
        <v>0208 10:20:00-BUO-46-C-1-SW-DUP</v>
      </c>
    </row>
    <row r="2082" spans="1:48" s="10" customFormat="1" x14ac:dyDescent="0.55000000000000004">
      <c r="A2082" s="32">
        <v>44965</v>
      </c>
      <c r="B2082" s="33">
        <v>0.43055555555555558</v>
      </c>
      <c r="C2082" s="10" t="s">
        <v>611</v>
      </c>
      <c r="D2082" s="10">
        <v>46</v>
      </c>
      <c r="E2082" s="10" t="s">
        <v>190</v>
      </c>
      <c r="F2082" s="10">
        <v>1</v>
      </c>
      <c r="G2082" s="10" t="s">
        <v>231</v>
      </c>
      <c r="H2082" s="10" t="s">
        <v>314</v>
      </c>
      <c r="I2082" s="10" t="s">
        <v>75</v>
      </c>
      <c r="J2082" s="10">
        <v>125</v>
      </c>
      <c r="K2082" s="12">
        <v>44966</v>
      </c>
      <c r="L2082" s="33">
        <v>0.53657407407407409</v>
      </c>
      <c r="M2082" s="10">
        <v>1</v>
      </c>
      <c r="N2082" s="10" t="s">
        <v>76</v>
      </c>
      <c r="O2082" s="10">
        <v>12.3</v>
      </c>
      <c r="P2082" s="10">
        <v>0.97899999999999998</v>
      </c>
      <c r="Q2082" s="10">
        <v>704</v>
      </c>
      <c r="R2082" s="10" t="s">
        <v>77</v>
      </c>
      <c r="S2082" s="34">
        <f t="shared" si="235"/>
        <v>704</v>
      </c>
      <c r="T2082" s="10" t="s">
        <v>1155</v>
      </c>
      <c r="U2082" s="34">
        <f t="shared" si="238"/>
        <v>100.688</v>
      </c>
      <c r="V2082" s="31">
        <f>IF(H2082="CHK",VLOOKUP(I2082,QCCHK,3,),IF(H2082="GUP",VLOOKUP(E2082,QCGUP,2,),IF(AND(H2082="ATP",OR(I2082="TN",I2082="TDN",I2082="TNO2-3",I2082="NO2-3")),VLOOKUP(E2082,QCREC_N,2,),IF(AND(H2082="NIC",OR(I2082="TN",I2082="TDN",I2082="TNO2-3",I2082="NO2-3")),VLOOKUP(E2082,QCNIC_N,2,),IF(AND(H2082="UREA",OR(I2082="TN",I2082="TDN",I2082="TNO2-3",I2082="NO2-3")),VLOOKUP(E2082,QCUREA_N,2,),IF(H2082="PER",VLOOKUP(I2082,QCPER,MATCH(E2082,QCACTUAL!$J$25:$AA$25,0),),IF(H2082="SPK",VLOOKUP(I2082,QCSPK,3,),IF(AND(H2082="ATP",OR(I2082="TP",I2082="TDP")),VLOOKUP(E2082,QCATP_P,2,),""))))))))</f>
        <v>625</v>
      </c>
      <c r="W2082" s="31" t="str">
        <f t="shared" si="239"/>
        <v>TRUE</v>
      </c>
      <c r="X2082" s="31" t="str">
        <f t="shared" si="234"/>
        <v>([spikedunkn]-[unkn])/[spike]*100</v>
      </c>
      <c r="Y2082" s="10" t="s">
        <v>1144</v>
      </c>
      <c r="AL2082" s="10" t="str">
        <f t="shared" si="236"/>
        <v>FALSE</v>
      </c>
      <c r="AM2082" s="10" t="str">
        <f t="shared" si="236"/>
        <v>FALSE</v>
      </c>
      <c r="AN2082" s="10" t="str">
        <f t="shared" si="236"/>
        <v>FALSE</v>
      </c>
      <c r="AO2082" s="10" t="str">
        <f t="shared" si="237"/>
        <v>FALSE</v>
      </c>
      <c r="AP2082" s="10" t="str">
        <f t="shared" si="237"/>
        <v>FALSE</v>
      </c>
      <c r="AQ2082" s="10" t="b">
        <f>IF(AND(I2082="TP",S2082&lt;=150),VLOOKUP(AF2082,TPCalibEq150!$AZ$2:$BB$55,3,),IF(AND(I2082="TDP",S2082&lt;=150),VLOOKUP(AF2082,TPCalibEq150!$AZ$2:$BB$55,3,)))</f>
        <v>0</v>
      </c>
      <c r="AR2082" s="10" t="b">
        <f>IF(AND(I2082="TP",S2082&lt;=300),VLOOKUP(AF2082,TPCalibEq300!$AZ$2:$BB$55,3,),IF(AND(I2082="TDP",S2082&lt;=300),VLOOKUP(AF2082,TPCalibEq300!$AZ$2:$BB$55,3,)))</f>
        <v>0</v>
      </c>
      <c r="AS2082" s="10" t="b">
        <f>IF(AND(I2082="TP",S2082&lt;=500),VLOOKUP(AF2082,TPCalibEq500!$AZ$2:$BB$56,3,),IF(AND(I2082="TDP",S2082&lt;=500),VLOOKUP(AF2082,TPCalibEq500!$AZ$2:$BB$56,3,)))</f>
        <v>0</v>
      </c>
      <c r="AT2082" s="10" t="b">
        <f>IF(AND(I2082="TN",S2082&lt;=2800),VLOOKUP(AF2082,TNCalibEq2500!$AZ$2:$BB$56,3,),IF(AND(I2082="TDN",S2082&lt;=2800),VLOOKUP(AF2082,TNCalibEq2500!$AZ$2:$BB$56,3,)))</f>
        <v>0</v>
      </c>
      <c r="AU2082" s="10" t="b">
        <f>IF(I2082="TP",VLOOKUP(AF2082,TPCalibEqFull!$AZ$2:$BB$56,3),IF(I2082="TDP",VLOOKUP(AF2082,TPCalibEqFull!$AZ$2:$BB$56,3),IF(I2082="TDN",VLOOKUP(AF2082,TNCalibEqFull!$AZ$1:$BB$56,3),IF(I2082="TN",VLOOKUP(AF2082,TNCalibEqFull!$AZ$1:$BB$56,3),FALSE))))</f>
        <v>0</v>
      </c>
      <c r="AV2082" s="10" t="str">
        <f t="shared" si="240"/>
        <v>0208 10:20:00-BUO-46-C-1-SW-SPK</v>
      </c>
    </row>
    <row r="2083" spans="1:48" s="10" customFormat="1" x14ac:dyDescent="0.55000000000000004">
      <c r="A2083" s="32">
        <v>44966</v>
      </c>
      <c r="B2083" s="33">
        <v>0.375</v>
      </c>
      <c r="C2083" s="10" t="s">
        <v>70</v>
      </c>
      <c r="D2083" s="10" t="s">
        <v>71</v>
      </c>
      <c r="E2083" s="10" t="s">
        <v>901</v>
      </c>
      <c r="F2083" s="10">
        <v>1</v>
      </c>
      <c r="G2083" s="10" t="s">
        <v>73</v>
      </c>
      <c r="H2083" s="10" t="s">
        <v>207</v>
      </c>
      <c r="I2083" s="10" t="s">
        <v>75</v>
      </c>
      <c r="J2083" s="10">
        <v>201</v>
      </c>
      <c r="K2083" s="12">
        <v>44966</v>
      </c>
      <c r="L2083" s="33">
        <v>0.53739583333333341</v>
      </c>
      <c r="M2083" s="10">
        <v>1</v>
      </c>
      <c r="N2083" s="10" t="s">
        <v>76</v>
      </c>
      <c r="O2083" s="10">
        <v>4.91</v>
      </c>
      <c r="P2083" s="10">
        <v>0.4</v>
      </c>
      <c r="Q2083" s="10">
        <v>282</v>
      </c>
      <c r="R2083" s="10" t="s">
        <v>77</v>
      </c>
      <c r="S2083" s="34">
        <f t="shared" si="235"/>
        <v>282</v>
      </c>
      <c r="T2083" s="10" t="s">
        <v>1155</v>
      </c>
      <c r="U2083" s="34">
        <f t="shared" si="238"/>
        <v>94</v>
      </c>
      <c r="V2083" s="31">
        <f>IF(H2083="CHK",VLOOKUP(I2083,QCCHK,3,),IF(H2083="GUP",VLOOKUP(E2083,QCGUP,2,),IF(AND(H2083="ATP",OR(I2083="TN",I2083="TDN",I2083="TNO2-3",I2083="NO2-3")),VLOOKUP(E2083,QCREC_N,2,),IF(AND(H2083="NIC",OR(I2083="TN",I2083="TDN",I2083="TNO2-3",I2083="NO2-3")),VLOOKUP(E2083,QCNIC_N,2,),IF(AND(H2083="UREA",OR(I2083="TN",I2083="TDN",I2083="TNO2-3",I2083="NO2-3")),VLOOKUP(E2083,QCUREA_N,2,),IF(H2083="PER",VLOOKUP(I2083,QCPER,MATCH(E2083,QCACTUAL!$J$25:$AA$25,0),),IF(H2083="SPK",VLOOKUP(I2083,QCSPK,3,),IF(AND(H2083="ATP",OR(I2083="TP",I2083="TDP")),VLOOKUP(E2083,QCATP_P,2,),""))))))))</f>
        <v>300</v>
      </c>
      <c r="W2083" s="31" t="str">
        <f t="shared" si="239"/>
        <v>TRUE</v>
      </c>
      <c r="X2083" s="31" t="str">
        <f t="shared" si="234"/>
        <v>[chk]/[actual]*100</v>
      </c>
      <c r="Y2083" s="10" t="s">
        <v>1144</v>
      </c>
      <c r="AL2083" s="10" t="str">
        <f t="shared" si="236"/>
        <v>FALSE</v>
      </c>
      <c r="AM2083" s="10" t="str">
        <f t="shared" si="236"/>
        <v>FALSE</v>
      </c>
      <c r="AN2083" s="10" t="str">
        <f t="shared" si="236"/>
        <v>FALSE</v>
      </c>
      <c r="AO2083" s="10" t="str">
        <f t="shared" si="237"/>
        <v>FALSE</v>
      </c>
      <c r="AP2083" s="10" t="str">
        <f t="shared" si="237"/>
        <v>FALSE</v>
      </c>
      <c r="AQ2083" s="10" t="b">
        <f>IF(AND(I2083="TP",S2083&lt;=150),VLOOKUP(AF2083,TPCalibEq150!$AZ$2:$BB$55,3,),IF(AND(I2083="TDP",S2083&lt;=150),VLOOKUP(AF2083,TPCalibEq150!$AZ$2:$BB$55,3,)))</f>
        <v>0</v>
      </c>
      <c r="AR2083" s="10" t="b">
        <f>IF(AND(I2083="TP",S2083&lt;=300),VLOOKUP(AF2083,TPCalibEq300!$AZ$2:$BB$55,3,),IF(AND(I2083="TDP",S2083&lt;=300),VLOOKUP(AF2083,TPCalibEq300!$AZ$2:$BB$55,3,)))</f>
        <v>0</v>
      </c>
      <c r="AS2083" s="10" t="b">
        <f>IF(AND(I2083="TP",S2083&lt;=500),VLOOKUP(AF2083,TPCalibEq500!$AZ$2:$BB$56,3,),IF(AND(I2083="TDP",S2083&lt;=500),VLOOKUP(AF2083,TPCalibEq500!$AZ$2:$BB$56,3,)))</f>
        <v>0</v>
      </c>
      <c r="AT2083" s="10" t="b">
        <f>IF(AND(I2083="TN",S2083&lt;=2800),VLOOKUP(AF2083,TNCalibEq2500!$AZ$2:$BB$56,3,),IF(AND(I2083="TDN",S2083&lt;=2800),VLOOKUP(AF2083,TNCalibEq2500!$AZ$2:$BB$56,3,)))</f>
        <v>0</v>
      </c>
      <c r="AU2083" s="10" t="b">
        <f>IF(I2083="TP",VLOOKUP(AF2083,TPCalibEqFull!$AZ$2:$BB$56,3),IF(I2083="TDP",VLOOKUP(AF2083,TPCalibEqFull!$AZ$2:$BB$56,3),IF(I2083="TDN",VLOOKUP(AF2083,TNCalibEqFull!$AZ$1:$BB$56,3),IF(I2083="TN",VLOOKUP(AF2083,TNCalibEqFull!$AZ$1:$BB$56,3),FALSE))))</f>
        <v>0</v>
      </c>
      <c r="AV2083" s="10" t="str">
        <f t="shared" si="240"/>
        <v>0209 09:00:00-QAC-STD-D-1-DI-CHK</v>
      </c>
    </row>
    <row r="2084" spans="1:48" s="10" customFormat="1" x14ac:dyDescent="0.55000000000000004">
      <c r="A2084" s="32">
        <v>44958</v>
      </c>
      <c r="B2084" s="33">
        <v>0.50138888888888888</v>
      </c>
      <c r="C2084" s="10" t="s">
        <v>279</v>
      </c>
      <c r="D2084" s="10">
        <v>0</v>
      </c>
      <c r="E2084" s="10" t="s">
        <v>911</v>
      </c>
      <c r="F2084" s="10">
        <v>1</v>
      </c>
      <c r="G2084" s="10" t="s">
        <v>231</v>
      </c>
      <c r="H2084" s="10" t="s">
        <v>322</v>
      </c>
      <c r="I2084" s="10" t="s">
        <v>183</v>
      </c>
      <c r="J2084" s="10">
        <v>60</v>
      </c>
      <c r="K2084" s="12">
        <v>44966</v>
      </c>
      <c r="L2084" s="33">
        <v>0.53820601851851857</v>
      </c>
      <c r="M2084" s="10">
        <v>1</v>
      </c>
      <c r="N2084" s="10" t="s">
        <v>76</v>
      </c>
      <c r="O2084" s="10">
        <v>0.42099999999999999</v>
      </c>
      <c r="P2084" s="10">
        <v>3.3700000000000001E-2</v>
      </c>
      <c r="Q2084" s="10">
        <v>24.2</v>
      </c>
      <c r="R2084" s="10" t="s">
        <v>77</v>
      </c>
      <c r="S2084" s="34">
        <f t="shared" si="235"/>
        <v>24.2</v>
      </c>
      <c r="T2084" s="10" t="s">
        <v>1155</v>
      </c>
      <c r="U2084" s="34" t="str">
        <f t="shared" si="238"/>
        <v/>
      </c>
      <c r="V2084" s="31" t="str">
        <f>IF(H2084="CHK",VLOOKUP(I2084,QCCHK,3,),IF(H2084="GUP",VLOOKUP(E2084,QCGUP,2,),IF(AND(H2084="ATP",OR(I2084="TN",I2084="TDN",I2084="TNO2-3",I2084="NO2-3")),VLOOKUP(E2084,QCREC_N,2,),IF(AND(H2084="NIC",OR(I2084="TN",I2084="TDN",I2084="TNO2-3",I2084="NO2-3")),VLOOKUP(E2084,QCNIC_N,2,),IF(AND(H2084="UREA",OR(I2084="TN",I2084="TDN",I2084="TNO2-3",I2084="NO2-3")),VLOOKUP(E2084,QCUREA_N,2,),IF(H2084="PER",VLOOKUP(I2084,QCPER,MATCH(E2084,QCACTUAL!$J$25:$AA$25,0),),IF(H2084="SPK",VLOOKUP(I2084,QCSPK,3,),IF(AND(H2084="ATP",OR(I2084="TP",I2084="TDP")),VLOOKUP(E2084,QCATP_P,2,),""))))))))</f>
        <v/>
      </c>
      <c r="W2084" s="31" t="str">
        <f t="shared" si="239"/>
        <v>TRUE</v>
      </c>
      <c r="X2084" s="31" t="str">
        <f t="shared" si="234"/>
        <v/>
      </c>
      <c r="Y2084" s="10" t="s">
        <v>1144</v>
      </c>
      <c r="Z2084" s="10" t="s">
        <v>910</v>
      </c>
      <c r="AL2084" s="10" t="str">
        <f t="shared" si="236"/>
        <v>FALSE</v>
      </c>
      <c r="AM2084" s="10" t="str">
        <f t="shared" si="236"/>
        <v>FALSE</v>
      </c>
      <c r="AN2084" s="10" t="str">
        <f t="shared" si="236"/>
        <v>FALSE</v>
      </c>
      <c r="AO2084" s="10" t="str">
        <f t="shared" si="237"/>
        <v>FALSE</v>
      </c>
      <c r="AP2084" s="10" t="str">
        <f t="shared" si="237"/>
        <v>FALSE</v>
      </c>
      <c r="AQ2084" s="10" t="b">
        <f>IF(AND(I2084="TP",S2084&lt;=150),VLOOKUP(AF2084,TPCalibEq150!$AZ$2:$BB$55,3,),IF(AND(I2084="TDP",S2084&lt;=150),VLOOKUP(AF2084,TPCalibEq150!$AZ$2:$BB$55,3,)))</f>
        <v>0</v>
      </c>
      <c r="AR2084" s="10" t="b">
        <f>IF(AND(I2084="TP",S2084&lt;=300),VLOOKUP(AF2084,TPCalibEq300!$AZ$2:$BB$55,3,),IF(AND(I2084="TDP",S2084&lt;=300),VLOOKUP(AF2084,TPCalibEq300!$AZ$2:$BB$55,3,)))</f>
        <v>0</v>
      </c>
      <c r="AS2084" s="10" t="b">
        <f>IF(AND(I2084="TP",S2084&lt;=500),VLOOKUP(AF2084,TPCalibEq500!$AZ$2:$BB$56,3,),IF(AND(I2084="TDP",S2084&lt;=500),VLOOKUP(AF2084,TPCalibEq500!$AZ$2:$BB$56,3,)))</f>
        <v>0</v>
      </c>
      <c r="AT2084" s="10" t="b">
        <f>IF(AND(I2084="TN",S2084&lt;=2800),VLOOKUP(AF2084,TNCalibEq2500!$AZ$2:$BB$56,3,),IF(AND(I2084="TDN",S2084&lt;=2800),VLOOKUP(AF2084,TNCalibEq2500!$AZ$2:$BB$56,3,)))</f>
        <v>0</v>
      </c>
      <c r="AU2084" s="10" t="b">
        <f>IF(I2084="TP",VLOOKUP(AF2084,TPCalibEqFull!$AZ$2:$BB$56,3),IF(I2084="TDP",VLOOKUP(AF2084,TPCalibEqFull!$AZ$2:$BB$56,3),IF(I2084="TDN",VLOOKUP(AF2084,TNCalibEqFull!$AZ$1:$BB$56,3),IF(I2084="TN",VLOOKUP(AF2084,TNCalibEqFull!$AZ$1:$BB$56,3),FALSE))))</f>
        <v>0</v>
      </c>
      <c r="AV2084" s="10" t="str">
        <f t="shared" si="240"/>
        <v>0201 12:02:00-EFK-0-FIL-1-SW-UKN</v>
      </c>
    </row>
    <row r="2085" spans="1:48" s="10" customFormat="1" x14ac:dyDescent="0.55000000000000004">
      <c r="A2085" s="32">
        <v>44958</v>
      </c>
      <c r="B2085" s="33">
        <v>0.50347222222222221</v>
      </c>
      <c r="C2085" s="10" t="s">
        <v>333</v>
      </c>
      <c r="D2085" s="10">
        <v>0</v>
      </c>
      <c r="E2085" s="10" t="s">
        <v>911</v>
      </c>
      <c r="F2085" s="10">
        <v>1</v>
      </c>
      <c r="G2085" s="10" t="s">
        <v>231</v>
      </c>
      <c r="H2085" s="10" t="s">
        <v>322</v>
      </c>
      <c r="I2085" s="10" t="s">
        <v>183</v>
      </c>
      <c r="J2085" s="10">
        <v>61</v>
      </c>
      <c r="K2085" s="12">
        <v>44966</v>
      </c>
      <c r="L2085" s="33">
        <v>0.53903935185185181</v>
      </c>
      <c r="M2085" s="10">
        <v>1</v>
      </c>
      <c r="N2085" s="10" t="s">
        <v>76</v>
      </c>
      <c r="O2085" s="10">
        <v>2.3300000000000001E-2</v>
      </c>
      <c r="P2085" s="10">
        <v>2.6099999999999999E-3</v>
      </c>
      <c r="Q2085" s="10">
        <v>1.34</v>
      </c>
      <c r="R2085" s="10" t="s">
        <v>77</v>
      </c>
      <c r="S2085" s="34">
        <f t="shared" si="235"/>
        <v>1.34</v>
      </c>
      <c r="T2085" s="10" t="s">
        <v>1155</v>
      </c>
      <c r="U2085" s="34" t="str">
        <f t="shared" si="238"/>
        <v/>
      </c>
      <c r="V2085" s="31" t="str">
        <f>IF(H2085="CHK",VLOOKUP(I2085,QCCHK,3,),IF(H2085="GUP",VLOOKUP(E2085,QCGUP,2,),IF(AND(H2085="ATP",OR(I2085="TN",I2085="TDN",I2085="TNO2-3",I2085="NO2-3")),VLOOKUP(E2085,QCREC_N,2,),IF(AND(H2085="NIC",OR(I2085="TN",I2085="TDN",I2085="TNO2-3",I2085="NO2-3")),VLOOKUP(E2085,QCNIC_N,2,),IF(AND(H2085="UREA",OR(I2085="TN",I2085="TDN",I2085="TNO2-3",I2085="NO2-3")),VLOOKUP(E2085,QCUREA_N,2,),IF(H2085="PER",VLOOKUP(I2085,QCPER,MATCH(E2085,QCACTUAL!$J$25:$AA$25,0),),IF(H2085="SPK",VLOOKUP(I2085,QCSPK,3,),IF(AND(H2085="ATP",OR(I2085="TP",I2085="TDP")),VLOOKUP(E2085,QCATP_P,2,),""))))))))</f>
        <v/>
      </c>
      <c r="W2085" s="31" t="str">
        <f t="shared" si="239"/>
        <v>TRUE</v>
      </c>
      <c r="X2085" s="31" t="str">
        <f t="shared" si="234"/>
        <v/>
      </c>
      <c r="Y2085" s="10" t="s">
        <v>1144</v>
      </c>
      <c r="Z2085" s="10" t="s">
        <v>910</v>
      </c>
      <c r="AL2085" s="10" t="str">
        <f t="shared" si="236"/>
        <v>FALSE</v>
      </c>
      <c r="AM2085" s="10" t="str">
        <f t="shared" si="236"/>
        <v>FALSE</v>
      </c>
      <c r="AN2085" s="10" t="str">
        <f t="shared" si="236"/>
        <v>FALSE</v>
      </c>
      <c r="AO2085" s="10" t="str">
        <f t="shared" si="237"/>
        <v>FALSE</v>
      </c>
      <c r="AP2085" s="10" t="str">
        <f t="shared" si="237"/>
        <v>FALSE</v>
      </c>
      <c r="AQ2085" s="10" t="b">
        <f>IF(AND(I2085="TP",S2085&lt;=150),VLOOKUP(AF2085,TPCalibEq150!$AZ$2:$BB$55,3,),IF(AND(I2085="TDP",S2085&lt;=150),VLOOKUP(AF2085,TPCalibEq150!$AZ$2:$BB$55,3,)))</f>
        <v>0</v>
      </c>
      <c r="AR2085" s="10" t="b">
        <f>IF(AND(I2085="TP",S2085&lt;=300),VLOOKUP(AF2085,TPCalibEq300!$AZ$2:$BB$55,3,),IF(AND(I2085="TDP",S2085&lt;=300),VLOOKUP(AF2085,TPCalibEq300!$AZ$2:$BB$55,3,)))</f>
        <v>0</v>
      </c>
      <c r="AS2085" s="10" t="b">
        <f>IF(AND(I2085="TP",S2085&lt;=500),VLOOKUP(AF2085,TPCalibEq500!$AZ$2:$BB$56,3,),IF(AND(I2085="TDP",S2085&lt;=500),VLOOKUP(AF2085,TPCalibEq500!$AZ$2:$BB$56,3,)))</f>
        <v>0</v>
      </c>
      <c r="AT2085" s="10" t="b">
        <f>IF(AND(I2085="TN",S2085&lt;=2800),VLOOKUP(AF2085,TNCalibEq2500!$AZ$2:$BB$56,3,),IF(AND(I2085="TDN",S2085&lt;=2800),VLOOKUP(AF2085,TNCalibEq2500!$AZ$2:$BB$56,3,)))</f>
        <v>0</v>
      </c>
      <c r="AU2085" s="10" t="b">
        <f>IF(I2085="TP",VLOOKUP(AF2085,TPCalibEqFull!$AZ$2:$BB$56,3),IF(I2085="TDP",VLOOKUP(AF2085,TPCalibEqFull!$AZ$2:$BB$56,3),IF(I2085="TDN",VLOOKUP(AF2085,TNCalibEqFull!$AZ$1:$BB$56,3),IF(I2085="TN",VLOOKUP(AF2085,TNCalibEqFull!$AZ$1:$BB$56,3),FALSE))))</f>
        <v>0</v>
      </c>
      <c r="AV2085" s="10" t="str">
        <f t="shared" si="240"/>
        <v>0201 12:05:00-HST-0-FIL-1-SW-UKN</v>
      </c>
    </row>
    <row r="2086" spans="1:48" s="10" customFormat="1" x14ac:dyDescent="0.55000000000000004">
      <c r="A2086" s="32">
        <v>44959</v>
      </c>
      <c r="B2086" s="33">
        <v>0.58194444444444449</v>
      </c>
      <c r="C2086" s="10" t="s">
        <v>279</v>
      </c>
      <c r="D2086" s="10">
        <v>0</v>
      </c>
      <c r="E2086" s="10" t="s">
        <v>911</v>
      </c>
      <c r="F2086" s="10">
        <v>1</v>
      </c>
      <c r="G2086" s="10" t="s">
        <v>231</v>
      </c>
      <c r="H2086" s="10" t="s">
        <v>322</v>
      </c>
      <c r="I2086" s="10" t="s">
        <v>183</v>
      </c>
      <c r="J2086" s="10">
        <v>62</v>
      </c>
      <c r="K2086" s="12">
        <v>44966</v>
      </c>
      <c r="L2086" s="33">
        <v>0.53986111111111112</v>
      </c>
      <c r="M2086" s="10">
        <v>1</v>
      </c>
      <c r="N2086" s="10" t="s">
        <v>76</v>
      </c>
      <c r="O2086" s="10">
        <v>2</v>
      </c>
      <c r="P2086" s="10">
        <v>0.16</v>
      </c>
      <c r="Q2086" s="10">
        <v>115</v>
      </c>
      <c r="R2086" s="10" t="s">
        <v>77</v>
      </c>
      <c r="S2086" s="34">
        <f t="shared" si="235"/>
        <v>115</v>
      </c>
      <c r="T2086" s="10" t="s">
        <v>1155</v>
      </c>
      <c r="U2086" s="34" t="str">
        <f t="shared" si="238"/>
        <v/>
      </c>
      <c r="V2086" s="31" t="str">
        <f>IF(H2086="CHK",VLOOKUP(I2086,QCCHK,3,),IF(H2086="GUP",VLOOKUP(E2086,QCGUP,2,),IF(AND(H2086="ATP",OR(I2086="TN",I2086="TDN",I2086="TNO2-3",I2086="NO2-3")),VLOOKUP(E2086,QCREC_N,2,),IF(AND(H2086="NIC",OR(I2086="TN",I2086="TDN",I2086="TNO2-3",I2086="NO2-3")),VLOOKUP(E2086,QCNIC_N,2,),IF(AND(H2086="UREA",OR(I2086="TN",I2086="TDN",I2086="TNO2-3",I2086="NO2-3")),VLOOKUP(E2086,QCUREA_N,2,),IF(H2086="PER",VLOOKUP(I2086,QCPER,MATCH(E2086,QCACTUAL!$J$25:$AA$25,0),),IF(H2086="SPK",VLOOKUP(I2086,QCSPK,3,),IF(AND(H2086="ATP",OR(I2086="TP",I2086="TDP")),VLOOKUP(E2086,QCATP_P,2,),""))))))))</f>
        <v/>
      </c>
      <c r="W2086" s="31" t="str">
        <f t="shared" si="239"/>
        <v>TRUE</v>
      </c>
      <c r="X2086" s="31" t="str">
        <f t="shared" si="234"/>
        <v/>
      </c>
      <c r="Y2086" s="10" t="s">
        <v>1144</v>
      </c>
      <c r="Z2086" s="10" t="s">
        <v>910</v>
      </c>
      <c r="AL2086" s="10" t="str">
        <f t="shared" si="236"/>
        <v>FALSE</v>
      </c>
      <c r="AM2086" s="10" t="str">
        <f t="shared" si="236"/>
        <v>FALSE</v>
      </c>
      <c r="AN2086" s="10" t="str">
        <f t="shared" si="236"/>
        <v>FALSE</v>
      </c>
      <c r="AO2086" s="10" t="str">
        <f t="shared" si="237"/>
        <v>FALSE</v>
      </c>
      <c r="AP2086" s="10" t="str">
        <f t="shared" si="237"/>
        <v>FALSE</v>
      </c>
      <c r="AQ2086" s="10" t="b">
        <f>IF(AND(I2086="TP",S2086&lt;=150),VLOOKUP(AF2086,TPCalibEq150!$AZ$2:$BB$55,3,),IF(AND(I2086="TDP",S2086&lt;=150),VLOOKUP(AF2086,TPCalibEq150!$AZ$2:$BB$55,3,)))</f>
        <v>0</v>
      </c>
      <c r="AR2086" s="10" t="b">
        <f>IF(AND(I2086="TP",S2086&lt;=300),VLOOKUP(AF2086,TPCalibEq300!$AZ$2:$BB$55,3,),IF(AND(I2086="TDP",S2086&lt;=300),VLOOKUP(AF2086,TPCalibEq300!$AZ$2:$BB$55,3,)))</f>
        <v>0</v>
      </c>
      <c r="AS2086" s="10" t="b">
        <f>IF(AND(I2086="TP",S2086&lt;=500),VLOOKUP(AF2086,TPCalibEq500!$AZ$2:$BB$56,3,),IF(AND(I2086="TDP",S2086&lt;=500),VLOOKUP(AF2086,TPCalibEq500!$AZ$2:$BB$56,3,)))</f>
        <v>0</v>
      </c>
      <c r="AT2086" s="10" t="b">
        <f>IF(AND(I2086="TN",S2086&lt;=2800),VLOOKUP(AF2086,TNCalibEq2500!$AZ$2:$BB$56,3,),IF(AND(I2086="TDN",S2086&lt;=2800),VLOOKUP(AF2086,TNCalibEq2500!$AZ$2:$BB$56,3,)))</f>
        <v>0</v>
      </c>
      <c r="AU2086" s="10" t="b">
        <f>IF(I2086="TP",VLOOKUP(AF2086,TPCalibEqFull!$AZ$2:$BB$56,3),IF(I2086="TDP",VLOOKUP(AF2086,TPCalibEqFull!$AZ$2:$BB$56,3),IF(I2086="TDN",VLOOKUP(AF2086,TNCalibEqFull!$AZ$1:$BB$56,3),IF(I2086="TN",VLOOKUP(AF2086,TNCalibEqFull!$AZ$1:$BB$56,3),FALSE))))</f>
        <v>0</v>
      </c>
      <c r="AV2086" s="10" t="str">
        <f t="shared" si="240"/>
        <v>0202 13:58:00-EFK-0-FIL-1-SW-UKN</v>
      </c>
    </row>
    <row r="2087" spans="1:48" s="10" customFormat="1" x14ac:dyDescent="0.55000000000000004">
      <c r="A2087" s="32">
        <v>44959</v>
      </c>
      <c r="B2087" s="33">
        <v>0.56944444444444442</v>
      </c>
      <c r="C2087" s="10" t="s">
        <v>333</v>
      </c>
      <c r="D2087" s="10">
        <v>0</v>
      </c>
      <c r="E2087" s="10" t="s">
        <v>911</v>
      </c>
      <c r="F2087" s="10">
        <v>1</v>
      </c>
      <c r="G2087" s="10" t="s">
        <v>231</v>
      </c>
      <c r="H2087" s="10" t="s">
        <v>322</v>
      </c>
      <c r="I2087" s="10" t="s">
        <v>183</v>
      </c>
      <c r="J2087" s="10">
        <v>63</v>
      </c>
      <c r="K2087" s="12">
        <v>44966</v>
      </c>
      <c r="L2087" s="33">
        <v>0.54068287037037044</v>
      </c>
      <c r="M2087" s="10">
        <v>1</v>
      </c>
      <c r="N2087" s="10" t="s">
        <v>76</v>
      </c>
      <c r="O2087" s="10">
        <v>2.29</v>
      </c>
      <c r="P2087" s="10">
        <v>0.185</v>
      </c>
      <c r="Q2087" s="10">
        <v>132</v>
      </c>
      <c r="R2087" s="10" t="s">
        <v>77</v>
      </c>
      <c r="S2087" s="34">
        <f t="shared" si="235"/>
        <v>132</v>
      </c>
      <c r="T2087" s="10" t="s">
        <v>1155</v>
      </c>
      <c r="U2087" s="34" t="str">
        <f t="shared" si="238"/>
        <v/>
      </c>
      <c r="V2087" s="31" t="str">
        <f>IF(H2087="CHK",VLOOKUP(I2087,QCCHK,3,),IF(H2087="GUP",VLOOKUP(E2087,QCGUP,2,),IF(AND(H2087="ATP",OR(I2087="TN",I2087="TDN",I2087="TNO2-3",I2087="NO2-3")),VLOOKUP(E2087,QCREC_N,2,),IF(AND(H2087="NIC",OR(I2087="TN",I2087="TDN",I2087="TNO2-3",I2087="NO2-3")),VLOOKUP(E2087,QCNIC_N,2,),IF(AND(H2087="UREA",OR(I2087="TN",I2087="TDN",I2087="TNO2-3",I2087="NO2-3")),VLOOKUP(E2087,QCUREA_N,2,),IF(H2087="PER",VLOOKUP(I2087,QCPER,MATCH(E2087,QCACTUAL!$J$25:$AA$25,0),),IF(H2087="SPK",VLOOKUP(I2087,QCSPK,3,),IF(AND(H2087="ATP",OR(I2087="TP",I2087="TDP")),VLOOKUP(E2087,QCATP_P,2,),""))))))))</f>
        <v/>
      </c>
      <c r="W2087" s="31" t="str">
        <f t="shared" si="239"/>
        <v>TRUE</v>
      </c>
      <c r="X2087" s="31" t="str">
        <f t="shared" si="234"/>
        <v/>
      </c>
      <c r="Y2087" s="10" t="s">
        <v>1144</v>
      </c>
      <c r="Z2087" s="10" t="s">
        <v>910</v>
      </c>
      <c r="AL2087" s="10" t="str">
        <f t="shared" si="236"/>
        <v>FALSE</v>
      </c>
      <c r="AM2087" s="10" t="str">
        <f t="shared" si="236"/>
        <v>FALSE</v>
      </c>
      <c r="AN2087" s="10" t="str">
        <f t="shared" si="236"/>
        <v>FALSE</v>
      </c>
      <c r="AO2087" s="10" t="str">
        <f t="shared" si="237"/>
        <v>FALSE</v>
      </c>
      <c r="AP2087" s="10" t="str">
        <f t="shared" si="237"/>
        <v>FALSE</v>
      </c>
      <c r="AQ2087" s="10" t="b">
        <f>IF(AND(I2087="TP",S2087&lt;=150),VLOOKUP(AF2087,TPCalibEq150!$AZ$2:$BB$55,3,),IF(AND(I2087="TDP",S2087&lt;=150),VLOOKUP(AF2087,TPCalibEq150!$AZ$2:$BB$55,3,)))</f>
        <v>0</v>
      </c>
      <c r="AR2087" s="10" t="b">
        <f>IF(AND(I2087="TP",S2087&lt;=300),VLOOKUP(AF2087,TPCalibEq300!$AZ$2:$BB$55,3,),IF(AND(I2087="TDP",S2087&lt;=300),VLOOKUP(AF2087,TPCalibEq300!$AZ$2:$BB$55,3,)))</f>
        <v>0</v>
      </c>
      <c r="AS2087" s="10" t="b">
        <f>IF(AND(I2087="TP",S2087&lt;=500),VLOOKUP(AF2087,TPCalibEq500!$AZ$2:$BB$56,3,),IF(AND(I2087="TDP",S2087&lt;=500),VLOOKUP(AF2087,TPCalibEq500!$AZ$2:$BB$56,3,)))</f>
        <v>0</v>
      </c>
      <c r="AT2087" s="10" t="b">
        <f>IF(AND(I2087="TN",S2087&lt;=2800),VLOOKUP(AF2087,TNCalibEq2500!$AZ$2:$BB$56,3,),IF(AND(I2087="TDN",S2087&lt;=2800),VLOOKUP(AF2087,TNCalibEq2500!$AZ$2:$BB$56,3,)))</f>
        <v>0</v>
      </c>
      <c r="AU2087" s="10" t="b">
        <f>IF(I2087="TP",VLOOKUP(AF2087,TPCalibEqFull!$AZ$2:$BB$56,3),IF(I2087="TDP",VLOOKUP(AF2087,TPCalibEqFull!$AZ$2:$BB$56,3),IF(I2087="TDN",VLOOKUP(AF2087,TNCalibEqFull!$AZ$1:$BB$56,3),IF(I2087="TN",VLOOKUP(AF2087,TNCalibEqFull!$AZ$1:$BB$56,3),FALSE))))</f>
        <v>0</v>
      </c>
      <c r="AV2087" s="10" t="str">
        <f t="shared" si="240"/>
        <v>0202 13:40:00-HST-0-FIL-1-SW-UKN</v>
      </c>
    </row>
    <row r="2088" spans="1:48" s="10" customFormat="1" x14ac:dyDescent="0.55000000000000004">
      <c r="A2088" s="32">
        <v>44960</v>
      </c>
      <c r="B2088" s="33">
        <v>0.45208333333333334</v>
      </c>
      <c r="C2088" s="10" t="s">
        <v>279</v>
      </c>
      <c r="D2088" s="10">
        <v>0</v>
      </c>
      <c r="E2088" s="10" t="s">
        <v>911</v>
      </c>
      <c r="F2088" s="10">
        <v>1</v>
      </c>
      <c r="G2088" s="10" t="s">
        <v>231</v>
      </c>
      <c r="H2088" s="10" t="s">
        <v>322</v>
      </c>
      <c r="I2088" s="10" t="s">
        <v>183</v>
      </c>
      <c r="J2088" s="10">
        <v>64</v>
      </c>
      <c r="K2088" s="12">
        <v>44966</v>
      </c>
      <c r="L2088" s="33">
        <v>0.54150462962962964</v>
      </c>
      <c r="M2088" s="10">
        <v>1</v>
      </c>
      <c r="N2088" s="10" t="s">
        <v>76</v>
      </c>
      <c r="O2088" s="10">
        <v>0.53400000000000003</v>
      </c>
      <c r="P2088" s="10">
        <v>4.3400000000000001E-2</v>
      </c>
      <c r="Q2088" s="10">
        <v>30.7</v>
      </c>
      <c r="R2088" s="10" t="s">
        <v>77</v>
      </c>
      <c r="S2088" s="34">
        <f t="shared" si="235"/>
        <v>30.7</v>
      </c>
      <c r="T2088" s="10" t="s">
        <v>1155</v>
      </c>
      <c r="U2088" s="34" t="str">
        <f t="shared" si="238"/>
        <v/>
      </c>
      <c r="V2088" s="31" t="str">
        <f>IF(H2088="CHK",VLOOKUP(I2088,QCCHK,3,),IF(H2088="GUP",VLOOKUP(E2088,QCGUP,2,),IF(AND(H2088="ATP",OR(I2088="TN",I2088="TDN",I2088="TNO2-3",I2088="NO2-3")),VLOOKUP(E2088,QCREC_N,2,),IF(AND(H2088="NIC",OR(I2088="TN",I2088="TDN",I2088="TNO2-3",I2088="NO2-3")),VLOOKUP(E2088,QCNIC_N,2,),IF(AND(H2088="UREA",OR(I2088="TN",I2088="TDN",I2088="TNO2-3",I2088="NO2-3")),VLOOKUP(E2088,QCUREA_N,2,),IF(H2088="PER",VLOOKUP(I2088,QCPER,MATCH(E2088,QCACTUAL!$J$25:$AA$25,0),),IF(H2088="SPK",VLOOKUP(I2088,QCSPK,3,),IF(AND(H2088="ATP",OR(I2088="TP",I2088="TDP")),VLOOKUP(E2088,QCATP_P,2,),""))))))))</f>
        <v/>
      </c>
      <c r="W2088" s="31" t="str">
        <f t="shared" si="239"/>
        <v>TRUE</v>
      </c>
      <c r="X2088" s="31" t="str">
        <f t="shared" si="234"/>
        <v/>
      </c>
      <c r="Y2088" s="10" t="s">
        <v>1144</v>
      </c>
      <c r="Z2088" s="10" t="s">
        <v>910</v>
      </c>
      <c r="AL2088" s="10" t="str">
        <f t="shared" si="236"/>
        <v>FALSE</v>
      </c>
      <c r="AM2088" s="10" t="str">
        <f t="shared" si="236"/>
        <v>FALSE</v>
      </c>
      <c r="AN2088" s="10" t="str">
        <f t="shared" si="236"/>
        <v>FALSE</v>
      </c>
      <c r="AO2088" s="10" t="str">
        <f t="shared" si="237"/>
        <v>FALSE</v>
      </c>
      <c r="AP2088" s="10" t="str">
        <f t="shared" si="237"/>
        <v>FALSE</v>
      </c>
      <c r="AQ2088" s="10" t="b">
        <f>IF(AND(I2088="TP",S2088&lt;=150),VLOOKUP(AF2088,TPCalibEq150!$AZ$2:$BB$55,3,),IF(AND(I2088="TDP",S2088&lt;=150),VLOOKUP(AF2088,TPCalibEq150!$AZ$2:$BB$55,3,)))</f>
        <v>0</v>
      </c>
      <c r="AR2088" s="10" t="b">
        <f>IF(AND(I2088="TP",S2088&lt;=300),VLOOKUP(AF2088,TPCalibEq300!$AZ$2:$BB$55,3,),IF(AND(I2088="TDP",S2088&lt;=300),VLOOKUP(AF2088,TPCalibEq300!$AZ$2:$BB$55,3,)))</f>
        <v>0</v>
      </c>
      <c r="AS2088" s="10" t="b">
        <f>IF(AND(I2088="TP",S2088&lt;=500),VLOOKUP(AF2088,TPCalibEq500!$AZ$2:$BB$56,3,),IF(AND(I2088="TDP",S2088&lt;=500),VLOOKUP(AF2088,TPCalibEq500!$AZ$2:$BB$56,3,)))</f>
        <v>0</v>
      </c>
      <c r="AT2088" s="10" t="b">
        <f>IF(AND(I2088="TN",S2088&lt;=2800),VLOOKUP(AF2088,TNCalibEq2500!$AZ$2:$BB$56,3,),IF(AND(I2088="TDN",S2088&lt;=2800),VLOOKUP(AF2088,TNCalibEq2500!$AZ$2:$BB$56,3,)))</f>
        <v>0</v>
      </c>
      <c r="AU2088" s="10" t="b">
        <f>IF(I2088="TP",VLOOKUP(AF2088,TPCalibEqFull!$AZ$2:$BB$56,3),IF(I2088="TDP",VLOOKUP(AF2088,TPCalibEqFull!$AZ$2:$BB$56,3),IF(I2088="TDN",VLOOKUP(AF2088,TNCalibEqFull!$AZ$1:$BB$56,3),IF(I2088="TN",VLOOKUP(AF2088,TNCalibEqFull!$AZ$1:$BB$56,3),FALSE))))</f>
        <v>0</v>
      </c>
      <c r="AV2088" s="10" t="str">
        <f t="shared" si="240"/>
        <v>0203 10:51:00-EFK-0-FIL-1-SW-UKN</v>
      </c>
    </row>
    <row r="2089" spans="1:48" s="10" customFormat="1" x14ac:dyDescent="0.55000000000000004">
      <c r="A2089" s="32">
        <v>44960</v>
      </c>
      <c r="B2089" s="33">
        <v>0.45416666666666666</v>
      </c>
      <c r="C2089" s="10" t="s">
        <v>333</v>
      </c>
      <c r="D2089" s="10">
        <v>0</v>
      </c>
      <c r="E2089" s="10" t="s">
        <v>911</v>
      </c>
      <c r="F2089" s="10">
        <v>1</v>
      </c>
      <c r="G2089" s="10" t="s">
        <v>231</v>
      </c>
      <c r="H2089" s="10" t="s">
        <v>322</v>
      </c>
      <c r="I2089" s="10" t="s">
        <v>183</v>
      </c>
      <c r="J2089" s="10">
        <v>65</v>
      </c>
      <c r="K2089" s="12">
        <v>44966</v>
      </c>
      <c r="L2089" s="33">
        <v>0.54232638888888884</v>
      </c>
      <c r="M2089" s="10">
        <v>1</v>
      </c>
      <c r="N2089" s="10" t="s">
        <v>76</v>
      </c>
      <c r="O2089" s="10">
        <v>7.4700000000000003E-2</v>
      </c>
      <c r="P2089" s="10">
        <v>6.8799999999999998E-3</v>
      </c>
      <c r="Q2089" s="10">
        <v>4.3</v>
      </c>
      <c r="R2089" s="10" t="s">
        <v>77</v>
      </c>
      <c r="S2089" s="34">
        <f t="shared" si="235"/>
        <v>4.3</v>
      </c>
      <c r="T2089" s="10" t="s">
        <v>1155</v>
      </c>
      <c r="U2089" s="34" t="str">
        <f t="shared" si="238"/>
        <v/>
      </c>
      <c r="V2089" s="31" t="str">
        <f>IF(H2089="CHK",VLOOKUP(I2089,QCCHK,3,),IF(H2089="GUP",VLOOKUP(E2089,QCGUP,2,),IF(AND(H2089="ATP",OR(I2089="TN",I2089="TDN",I2089="TNO2-3",I2089="NO2-3")),VLOOKUP(E2089,QCREC_N,2,),IF(AND(H2089="NIC",OR(I2089="TN",I2089="TDN",I2089="TNO2-3",I2089="NO2-3")),VLOOKUP(E2089,QCNIC_N,2,),IF(AND(H2089="UREA",OR(I2089="TN",I2089="TDN",I2089="TNO2-3",I2089="NO2-3")),VLOOKUP(E2089,QCUREA_N,2,),IF(H2089="PER",VLOOKUP(I2089,QCPER,MATCH(E2089,QCACTUAL!$J$25:$AA$25,0),),IF(H2089="SPK",VLOOKUP(I2089,QCSPK,3,),IF(AND(H2089="ATP",OR(I2089="TP",I2089="TDP")),VLOOKUP(E2089,QCATP_P,2,),""))))))))</f>
        <v/>
      </c>
      <c r="W2089" s="31" t="str">
        <f t="shared" si="239"/>
        <v>TRUE</v>
      </c>
      <c r="X2089" s="31" t="str">
        <f t="shared" si="234"/>
        <v/>
      </c>
      <c r="Y2089" s="10" t="s">
        <v>1144</v>
      </c>
      <c r="Z2089" s="10" t="s">
        <v>910</v>
      </c>
      <c r="AL2089" s="10" t="str">
        <f t="shared" si="236"/>
        <v>FALSE</v>
      </c>
      <c r="AM2089" s="10" t="str">
        <f t="shared" si="236"/>
        <v>FALSE</v>
      </c>
      <c r="AN2089" s="10" t="str">
        <f t="shared" si="236"/>
        <v>FALSE</v>
      </c>
      <c r="AO2089" s="10" t="str">
        <f t="shared" si="237"/>
        <v>FALSE</v>
      </c>
      <c r="AP2089" s="10" t="str">
        <f t="shared" si="237"/>
        <v>FALSE</v>
      </c>
      <c r="AQ2089" s="10" t="b">
        <f>IF(AND(I2089="TP",S2089&lt;=150),VLOOKUP(AF2089,TPCalibEq150!$AZ$2:$BB$55,3,),IF(AND(I2089="TDP",S2089&lt;=150),VLOOKUP(AF2089,TPCalibEq150!$AZ$2:$BB$55,3,)))</f>
        <v>0</v>
      </c>
      <c r="AR2089" s="10" t="b">
        <f>IF(AND(I2089="TP",S2089&lt;=300),VLOOKUP(AF2089,TPCalibEq300!$AZ$2:$BB$55,3,),IF(AND(I2089="TDP",S2089&lt;=300),VLOOKUP(AF2089,TPCalibEq300!$AZ$2:$BB$55,3,)))</f>
        <v>0</v>
      </c>
      <c r="AS2089" s="10" t="b">
        <f>IF(AND(I2089="TP",S2089&lt;=500),VLOOKUP(AF2089,TPCalibEq500!$AZ$2:$BB$56,3,),IF(AND(I2089="TDP",S2089&lt;=500),VLOOKUP(AF2089,TPCalibEq500!$AZ$2:$BB$56,3,)))</f>
        <v>0</v>
      </c>
      <c r="AT2089" s="10" t="b">
        <f>IF(AND(I2089="TN",S2089&lt;=2800),VLOOKUP(AF2089,TNCalibEq2500!$AZ$2:$BB$56,3,),IF(AND(I2089="TDN",S2089&lt;=2800),VLOOKUP(AF2089,TNCalibEq2500!$AZ$2:$BB$56,3,)))</f>
        <v>0</v>
      </c>
      <c r="AU2089" s="10" t="b">
        <f>IF(I2089="TP",VLOOKUP(AF2089,TPCalibEqFull!$AZ$2:$BB$56,3),IF(I2089="TDP",VLOOKUP(AF2089,TPCalibEqFull!$AZ$2:$BB$56,3),IF(I2089="TDN",VLOOKUP(AF2089,TNCalibEqFull!$AZ$1:$BB$56,3),IF(I2089="TN",VLOOKUP(AF2089,TNCalibEqFull!$AZ$1:$BB$56,3),FALSE))))</f>
        <v>0</v>
      </c>
      <c r="AV2089" s="10" t="str">
        <f t="shared" si="240"/>
        <v>0203 10:54:00-HST-0-FIL-1-SW-UKN</v>
      </c>
    </row>
    <row r="2090" spans="1:48" s="10" customFormat="1" x14ac:dyDescent="0.55000000000000004">
      <c r="A2090" s="32">
        <v>44963</v>
      </c>
      <c r="B2090" s="33">
        <v>0.31666666666666665</v>
      </c>
      <c r="C2090" s="10" t="s">
        <v>279</v>
      </c>
      <c r="D2090" s="10">
        <v>0</v>
      </c>
      <c r="E2090" s="10" t="s">
        <v>911</v>
      </c>
      <c r="F2090" s="10">
        <v>1</v>
      </c>
      <c r="G2090" s="10" t="s">
        <v>231</v>
      </c>
      <c r="H2090" s="10" t="s">
        <v>322</v>
      </c>
      <c r="I2090" s="10" t="s">
        <v>183</v>
      </c>
      <c r="J2090" s="10">
        <v>66</v>
      </c>
      <c r="K2090" s="12">
        <v>44966</v>
      </c>
      <c r="L2090" s="33">
        <v>0.54313657407407401</v>
      </c>
      <c r="M2090" s="10">
        <v>1</v>
      </c>
      <c r="N2090" s="10" t="s">
        <v>76</v>
      </c>
      <c r="O2090" s="10">
        <v>1.65</v>
      </c>
      <c r="P2090" s="10">
        <v>0.13300000000000001</v>
      </c>
      <c r="Q2090" s="10">
        <v>94.8</v>
      </c>
      <c r="R2090" s="10" t="s">
        <v>77</v>
      </c>
      <c r="S2090" s="34">
        <f t="shared" si="235"/>
        <v>94.8</v>
      </c>
      <c r="T2090" s="10" t="s">
        <v>1155</v>
      </c>
      <c r="U2090" s="34" t="str">
        <f t="shared" si="238"/>
        <v/>
      </c>
      <c r="V2090" s="31" t="str">
        <f>IF(H2090="CHK",VLOOKUP(I2090,QCCHK,3,),IF(H2090="GUP",VLOOKUP(E2090,QCGUP,2,),IF(AND(H2090="ATP",OR(I2090="TN",I2090="TDN",I2090="TNO2-3",I2090="NO2-3")),VLOOKUP(E2090,QCREC_N,2,),IF(AND(H2090="NIC",OR(I2090="TN",I2090="TDN",I2090="TNO2-3",I2090="NO2-3")),VLOOKUP(E2090,QCNIC_N,2,),IF(AND(H2090="UREA",OR(I2090="TN",I2090="TDN",I2090="TNO2-3",I2090="NO2-3")),VLOOKUP(E2090,QCUREA_N,2,),IF(H2090="PER",VLOOKUP(I2090,QCPER,MATCH(E2090,QCACTUAL!$J$25:$AA$25,0),),IF(H2090="SPK",VLOOKUP(I2090,QCSPK,3,),IF(AND(H2090="ATP",OR(I2090="TP",I2090="TDP")),VLOOKUP(E2090,QCATP_P,2,),""))))))))</f>
        <v/>
      </c>
      <c r="W2090" s="31" t="str">
        <f t="shared" si="239"/>
        <v>TRUE</v>
      </c>
      <c r="X2090" s="31" t="str">
        <f t="shared" si="234"/>
        <v/>
      </c>
      <c r="Y2090" s="10" t="s">
        <v>1144</v>
      </c>
      <c r="Z2090" s="10" t="s">
        <v>910</v>
      </c>
      <c r="AL2090" s="10" t="str">
        <f t="shared" si="236"/>
        <v>FALSE</v>
      </c>
      <c r="AM2090" s="10" t="str">
        <f t="shared" si="236"/>
        <v>FALSE</v>
      </c>
      <c r="AN2090" s="10" t="str">
        <f t="shared" si="236"/>
        <v>FALSE</v>
      </c>
      <c r="AO2090" s="10" t="str">
        <f t="shared" si="237"/>
        <v>FALSE</v>
      </c>
      <c r="AP2090" s="10" t="str">
        <f t="shared" si="237"/>
        <v>FALSE</v>
      </c>
      <c r="AQ2090" s="10" t="b">
        <f>IF(AND(I2090="TP",S2090&lt;=150),VLOOKUP(AF2090,TPCalibEq150!$AZ$2:$BB$55,3,),IF(AND(I2090="TDP",S2090&lt;=150),VLOOKUP(AF2090,TPCalibEq150!$AZ$2:$BB$55,3,)))</f>
        <v>0</v>
      </c>
      <c r="AR2090" s="10" t="b">
        <f>IF(AND(I2090="TP",S2090&lt;=300),VLOOKUP(AF2090,TPCalibEq300!$AZ$2:$BB$55,3,),IF(AND(I2090="TDP",S2090&lt;=300),VLOOKUP(AF2090,TPCalibEq300!$AZ$2:$BB$55,3,)))</f>
        <v>0</v>
      </c>
      <c r="AS2090" s="10" t="b">
        <f>IF(AND(I2090="TP",S2090&lt;=500),VLOOKUP(AF2090,TPCalibEq500!$AZ$2:$BB$56,3,),IF(AND(I2090="TDP",S2090&lt;=500),VLOOKUP(AF2090,TPCalibEq500!$AZ$2:$BB$56,3,)))</f>
        <v>0</v>
      </c>
      <c r="AT2090" s="10" t="b">
        <f>IF(AND(I2090="TN",S2090&lt;=2800),VLOOKUP(AF2090,TNCalibEq2500!$AZ$2:$BB$56,3,),IF(AND(I2090="TDN",S2090&lt;=2800),VLOOKUP(AF2090,TNCalibEq2500!$AZ$2:$BB$56,3,)))</f>
        <v>0</v>
      </c>
      <c r="AU2090" s="10" t="b">
        <f>IF(I2090="TP",VLOOKUP(AF2090,TPCalibEqFull!$AZ$2:$BB$56,3),IF(I2090="TDP",VLOOKUP(AF2090,TPCalibEqFull!$AZ$2:$BB$56,3),IF(I2090="TDN",VLOOKUP(AF2090,TNCalibEqFull!$AZ$1:$BB$56,3),IF(I2090="TN",VLOOKUP(AF2090,TNCalibEqFull!$AZ$1:$BB$56,3),FALSE))))</f>
        <v>0</v>
      </c>
      <c r="AV2090" s="10" t="str">
        <f t="shared" si="240"/>
        <v>0206 07:36:00-EFK-0-FIL-1-SW-UKN</v>
      </c>
    </row>
    <row r="2091" spans="1:48" s="10" customFormat="1" x14ac:dyDescent="0.55000000000000004">
      <c r="A2091" s="32">
        <v>44963</v>
      </c>
      <c r="B2091" s="33">
        <v>0.27986111111111112</v>
      </c>
      <c r="C2091" s="10" t="s">
        <v>333</v>
      </c>
      <c r="D2091" s="10">
        <v>0</v>
      </c>
      <c r="E2091" s="10" t="s">
        <v>911</v>
      </c>
      <c r="F2091" s="10">
        <v>1</v>
      </c>
      <c r="G2091" s="10" t="s">
        <v>231</v>
      </c>
      <c r="H2091" s="10" t="s">
        <v>322</v>
      </c>
      <c r="I2091" s="10" t="s">
        <v>183</v>
      </c>
      <c r="J2091" s="10">
        <v>67</v>
      </c>
      <c r="K2091" s="12">
        <v>44966</v>
      </c>
      <c r="L2091" s="33">
        <v>0.54395833333333332</v>
      </c>
      <c r="M2091" s="10">
        <v>1</v>
      </c>
      <c r="N2091" s="10" t="s">
        <v>76</v>
      </c>
      <c r="O2091" s="10">
        <v>0.106</v>
      </c>
      <c r="P2091" s="10">
        <v>1.0500000000000001E-2</v>
      </c>
      <c r="Q2091" s="10">
        <v>6.09</v>
      </c>
      <c r="R2091" s="10" t="s">
        <v>77</v>
      </c>
      <c r="S2091" s="34">
        <f t="shared" si="235"/>
        <v>6.09</v>
      </c>
      <c r="T2091" s="10" t="s">
        <v>1155</v>
      </c>
      <c r="U2091" s="34" t="str">
        <f t="shared" si="238"/>
        <v/>
      </c>
      <c r="V2091" s="31" t="str">
        <f>IF(H2091="CHK",VLOOKUP(I2091,QCCHK,3,),IF(H2091="GUP",VLOOKUP(E2091,QCGUP,2,),IF(AND(H2091="ATP",OR(I2091="TN",I2091="TDN",I2091="TNO2-3",I2091="NO2-3")),VLOOKUP(E2091,QCREC_N,2,),IF(AND(H2091="NIC",OR(I2091="TN",I2091="TDN",I2091="TNO2-3",I2091="NO2-3")),VLOOKUP(E2091,QCNIC_N,2,),IF(AND(H2091="UREA",OR(I2091="TN",I2091="TDN",I2091="TNO2-3",I2091="NO2-3")),VLOOKUP(E2091,QCUREA_N,2,),IF(H2091="PER",VLOOKUP(I2091,QCPER,MATCH(E2091,QCACTUAL!$J$25:$AA$25,0),),IF(H2091="SPK",VLOOKUP(I2091,QCSPK,3,),IF(AND(H2091="ATP",OR(I2091="TP",I2091="TDP")),VLOOKUP(E2091,QCATP_P,2,),""))))))))</f>
        <v/>
      </c>
      <c r="W2091" s="31" t="str">
        <f t="shared" si="239"/>
        <v>TRUE</v>
      </c>
      <c r="X2091" s="31" t="str">
        <f t="shared" si="234"/>
        <v/>
      </c>
      <c r="Y2091" s="10" t="s">
        <v>1144</v>
      </c>
      <c r="Z2091" s="10" t="s">
        <v>910</v>
      </c>
      <c r="AL2091" s="10" t="str">
        <f t="shared" si="236"/>
        <v>FALSE</v>
      </c>
      <c r="AM2091" s="10" t="str">
        <f t="shared" si="236"/>
        <v>FALSE</v>
      </c>
      <c r="AN2091" s="10" t="str">
        <f t="shared" si="236"/>
        <v>FALSE</v>
      </c>
      <c r="AO2091" s="10" t="str">
        <f t="shared" si="237"/>
        <v>FALSE</v>
      </c>
      <c r="AP2091" s="10" t="str">
        <f t="shared" si="237"/>
        <v>FALSE</v>
      </c>
      <c r="AQ2091" s="10" t="b">
        <f>IF(AND(I2091="TP",S2091&lt;=150),VLOOKUP(AF2091,TPCalibEq150!$AZ$2:$BB$55,3,),IF(AND(I2091="TDP",S2091&lt;=150),VLOOKUP(AF2091,TPCalibEq150!$AZ$2:$BB$55,3,)))</f>
        <v>0</v>
      </c>
      <c r="AR2091" s="10" t="b">
        <f>IF(AND(I2091="TP",S2091&lt;=300),VLOOKUP(AF2091,TPCalibEq300!$AZ$2:$BB$55,3,),IF(AND(I2091="TDP",S2091&lt;=300),VLOOKUP(AF2091,TPCalibEq300!$AZ$2:$BB$55,3,)))</f>
        <v>0</v>
      </c>
      <c r="AS2091" s="10" t="b">
        <f>IF(AND(I2091="TP",S2091&lt;=500),VLOOKUP(AF2091,TPCalibEq500!$AZ$2:$BB$56,3,),IF(AND(I2091="TDP",S2091&lt;=500),VLOOKUP(AF2091,TPCalibEq500!$AZ$2:$BB$56,3,)))</f>
        <v>0</v>
      </c>
      <c r="AT2091" s="10" t="b">
        <f>IF(AND(I2091="TN",S2091&lt;=2800),VLOOKUP(AF2091,TNCalibEq2500!$AZ$2:$BB$56,3,),IF(AND(I2091="TDN",S2091&lt;=2800),VLOOKUP(AF2091,TNCalibEq2500!$AZ$2:$BB$56,3,)))</f>
        <v>0</v>
      </c>
      <c r="AU2091" s="10" t="b">
        <f>IF(I2091="TP",VLOOKUP(AF2091,TPCalibEqFull!$AZ$2:$BB$56,3),IF(I2091="TDP",VLOOKUP(AF2091,TPCalibEqFull!$AZ$2:$BB$56,3),IF(I2091="TDN",VLOOKUP(AF2091,TNCalibEqFull!$AZ$1:$BB$56,3),IF(I2091="TN",VLOOKUP(AF2091,TNCalibEqFull!$AZ$1:$BB$56,3),FALSE))))</f>
        <v>0</v>
      </c>
      <c r="AV2091" s="10" t="str">
        <f t="shared" si="240"/>
        <v>0206 06:43:00-HST-0-FIL-1-SW-UKN</v>
      </c>
    </row>
    <row r="2092" spans="1:48" s="10" customFormat="1" x14ac:dyDescent="0.55000000000000004">
      <c r="A2092" s="32">
        <v>44964</v>
      </c>
      <c r="B2092" s="33">
        <v>0.22291666666666665</v>
      </c>
      <c r="C2092" s="10" t="s">
        <v>279</v>
      </c>
      <c r="D2092" s="10">
        <v>0</v>
      </c>
      <c r="E2092" s="10" t="s">
        <v>911</v>
      </c>
      <c r="F2092" s="10">
        <v>1</v>
      </c>
      <c r="G2092" s="10" t="s">
        <v>231</v>
      </c>
      <c r="H2092" s="10" t="s">
        <v>322</v>
      </c>
      <c r="I2092" s="10" t="s">
        <v>183</v>
      </c>
      <c r="J2092" s="10">
        <v>68</v>
      </c>
      <c r="K2092" s="12">
        <v>44966</v>
      </c>
      <c r="L2092" s="33">
        <v>0.54478009259259264</v>
      </c>
      <c r="M2092" s="10">
        <v>1</v>
      </c>
      <c r="N2092" s="10" t="s">
        <v>76</v>
      </c>
      <c r="O2092" s="10">
        <v>0.44500000000000001</v>
      </c>
      <c r="P2092" s="10">
        <v>3.7199999999999997E-2</v>
      </c>
      <c r="Q2092" s="10">
        <v>25.6</v>
      </c>
      <c r="R2092" s="10" t="s">
        <v>77</v>
      </c>
      <c r="S2092" s="34">
        <f t="shared" si="235"/>
        <v>25.6</v>
      </c>
      <c r="T2092" s="10" t="s">
        <v>1155</v>
      </c>
      <c r="U2092" s="34" t="str">
        <f t="shared" si="238"/>
        <v/>
      </c>
      <c r="V2092" s="31" t="str">
        <f>IF(H2092="CHK",VLOOKUP(I2092,QCCHK,3,),IF(H2092="GUP",VLOOKUP(E2092,QCGUP,2,),IF(AND(H2092="ATP",OR(I2092="TN",I2092="TDN",I2092="TNO2-3",I2092="NO2-3")),VLOOKUP(E2092,QCREC_N,2,),IF(AND(H2092="NIC",OR(I2092="TN",I2092="TDN",I2092="TNO2-3",I2092="NO2-3")),VLOOKUP(E2092,QCNIC_N,2,),IF(AND(H2092="UREA",OR(I2092="TN",I2092="TDN",I2092="TNO2-3",I2092="NO2-3")),VLOOKUP(E2092,QCUREA_N,2,),IF(H2092="PER",VLOOKUP(I2092,QCPER,MATCH(E2092,QCACTUAL!$J$25:$AA$25,0),),IF(H2092="SPK",VLOOKUP(I2092,QCSPK,3,),IF(AND(H2092="ATP",OR(I2092="TP",I2092="TDP")),VLOOKUP(E2092,QCATP_P,2,),""))))))))</f>
        <v/>
      </c>
      <c r="W2092" s="31" t="str">
        <f t="shared" si="239"/>
        <v>TRUE</v>
      </c>
      <c r="X2092" s="31" t="str">
        <f t="shared" si="234"/>
        <v/>
      </c>
      <c r="Y2092" s="10" t="s">
        <v>1144</v>
      </c>
      <c r="Z2092" s="10" t="s">
        <v>910</v>
      </c>
      <c r="AL2092" s="10" t="str">
        <f t="shared" si="236"/>
        <v>FALSE</v>
      </c>
      <c r="AM2092" s="10" t="str">
        <f t="shared" si="236"/>
        <v>FALSE</v>
      </c>
      <c r="AN2092" s="10" t="str">
        <f t="shared" si="236"/>
        <v>FALSE</v>
      </c>
      <c r="AO2092" s="10" t="str">
        <f t="shared" si="237"/>
        <v>FALSE</v>
      </c>
      <c r="AP2092" s="10" t="str">
        <f t="shared" si="237"/>
        <v>FALSE</v>
      </c>
      <c r="AQ2092" s="10" t="b">
        <f>IF(AND(I2092="TP",S2092&lt;=150),VLOOKUP(AF2092,TPCalibEq150!$AZ$2:$BB$55,3,),IF(AND(I2092="TDP",S2092&lt;=150),VLOOKUP(AF2092,TPCalibEq150!$AZ$2:$BB$55,3,)))</f>
        <v>0</v>
      </c>
      <c r="AR2092" s="10" t="b">
        <f>IF(AND(I2092="TP",S2092&lt;=300),VLOOKUP(AF2092,TPCalibEq300!$AZ$2:$BB$55,3,),IF(AND(I2092="TDP",S2092&lt;=300),VLOOKUP(AF2092,TPCalibEq300!$AZ$2:$BB$55,3,)))</f>
        <v>0</v>
      </c>
      <c r="AS2092" s="10" t="b">
        <f>IF(AND(I2092="TP",S2092&lt;=500),VLOOKUP(AF2092,TPCalibEq500!$AZ$2:$BB$56,3,),IF(AND(I2092="TDP",S2092&lt;=500),VLOOKUP(AF2092,TPCalibEq500!$AZ$2:$BB$56,3,)))</f>
        <v>0</v>
      </c>
      <c r="AT2092" s="10" t="b">
        <f>IF(AND(I2092="TN",S2092&lt;=2800),VLOOKUP(AF2092,TNCalibEq2500!$AZ$2:$BB$56,3,),IF(AND(I2092="TDN",S2092&lt;=2800),VLOOKUP(AF2092,TNCalibEq2500!$AZ$2:$BB$56,3,)))</f>
        <v>0</v>
      </c>
      <c r="AU2092" s="10" t="b">
        <f>IF(I2092="TP",VLOOKUP(AF2092,TPCalibEqFull!$AZ$2:$BB$56,3),IF(I2092="TDP",VLOOKUP(AF2092,TPCalibEqFull!$AZ$2:$BB$56,3),IF(I2092="TDN",VLOOKUP(AF2092,TNCalibEqFull!$AZ$1:$BB$56,3),IF(I2092="TN",VLOOKUP(AF2092,TNCalibEqFull!$AZ$1:$BB$56,3),FALSE))))</f>
        <v>0</v>
      </c>
      <c r="AV2092" s="10" t="str">
        <f t="shared" si="240"/>
        <v>0207 05:21:00-EFK-0-FIL-1-SW-UKN</v>
      </c>
    </row>
    <row r="2093" spans="1:48" s="10" customFormat="1" x14ac:dyDescent="0.55000000000000004">
      <c r="A2093" s="32">
        <v>44964</v>
      </c>
      <c r="B2093" s="33">
        <v>0.22777777777777777</v>
      </c>
      <c r="C2093" s="10" t="s">
        <v>333</v>
      </c>
      <c r="D2093" s="10">
        <v>0</v>
      </c>
      <c r="E2093" s="10" t="s">
        <v>911</v>
      </c>
      <c r="F2093" s="10">
        <v>1</v>
      </c>
      <c r="G2093" s="10" t="s">
        <v>231</v>
      </c>
      <c r="H2093" s="10" t="s">
        <v>322</v>
      </c>
      <c r="I2093" s="10" t="s">
        <v>183</v>
      </c>
      <c r="J2093" s="10">
        <v>69</v>
      </c>
      <c r="K2093" s="12">
        <v>44966</v>
      </c>
      <c r="L2093" s="33">
        <v>0.5455902777777778</v>
      </c>
      <c r="M2093" s="10">
        <v>1</v>
      </c>
      <c r="N2093" s="10" t="s">
        <v>76</v>
      </c>
      <c r="O2093" s="10">
        <v>1.7000000000000001E-2</v>
      </c>
      <c r="P2093" s="10">
        <v>2.6700000000000001E-3</v>
      </c>
      <c r="Q2093" s="10">
        <v>0.97799999999999998</v>
      </c>
      <c r="R2093" s="10" t="s">
        <v>77</v>
      </c>
      <c r="S2093" s="34">
        <f t="shared" si="235"/>
        <v>0.97799999999999998</v>
      </c>
      <c r="T2093" s="10" t="s">
        <v>1155</v>
      </c>
      <c r="U2093" s="34" t="str">
        <f t="shared" si="238"/>
        <v/>
      </c>
      <c r="V2093" s="31" t="str">
        <f>IF(H2093="CHK",VLOOKUP(I2093,QCCHK,3,),IF(H2093="GUP",VLOOKUP(E2093,QCGUP,2,),IF(AND(H2093="ATP",OR(I2093="TN",I2093="TDN",I2093="TNO2-3",I2093="NO2-3")),VLOOKUP(E2093,QCREC_N,2,),IF(AND(H2093="NIC",OR(I2093="TN",I2093="TDN",I2093="TNO2-3",I2093="NO2-3")),VLOOKUP(E2093,QCNIC_N,2,),IF(AND(H2093="UREA",OR(I2093="TN",I2093="TDN",I2093="TNO2-3",I2093="NO2-3")),VLOOKUP(E2093,QCUREA_N,2,),IF(H2093="PER",VLOOKUP(I2093,QCPER,MATCH(E2093,QCACTUAL!$J$25:$AA$25,0),),IF(H2093="SPK",VLOOKUP(I2093,QCSPK,3,),IF(AND(H2093="ATP",OR(I2093="TP",I2093="TDP")),VLOOKUP(E2093,QCATP_P,2,),""))))))))</f>
        <v/>
      </c>
      <c r="W2093" s="31" t="str">
        <f t="shared" si="239"/>
        <v>TRUE</v>
      </c>
      <c r="X2093" s="31" t="str">
        <f t="shared" si="234"/>
        <v/>
      </c>
      <c r="Y2093" s="10" t="s">
        <v>1144</v>
      </c>
      <c r="Z2093" s="10" t="s">
        <v>910</v>
      </c>
      <c r="AL2093" s="10" t="str">
        <f t="shared" si="236"/>
        <v>FALSE</v>
      </c>
      <c r="AM2093" s="10" t="str">
        <f t="shared" si="236"/>
        <v>FALSE</v>
      </c>
      <c r="AN2093" s="10" t="str">
        <f t="shared" si="236"/>
        <v>FALSE</v>
      </c>
      <c r="AO2093" s="10" t="str">
        <f t="shared" si="237"/>
        <v>FALSE</v>
      </c>
      <c r="AP2093" s="10" t="str">
        <f t="shared" si="237"/>
        <v>FALSE</v>
      </c>
      <c r="AQ2093" s="10" t="b">
        <f>IF(AND(I2093="TP",S2093&lt;=150),VLOOKUP(AF2093,TPCalibEq150!$AZ$2:$BB$55,3,),IF(AND(I2093="TDP",S2093&lt;=150),VLOOKUP(AF2093,TPCalibEq150!$AZ$2:$BB$55,3,)))</f>
        <v>0</v>
      </c>
      <c r="AR2093" s="10" t="b">
        <f>IF(AND(I2093="TP",S2093&lt;=300),VLOOKUP(AF2093,TPCalibEq300!$AZ$2:$BB$55,3,),IF(AND(I2093="TDP",S2093&lt;=300),VLOOKUP(AF2093,TPCalibEq300!$AZ$2:$BB$55,3,)))</f>
        <v>0</v>
      </c>
      <c r="AS2093" s="10" t="b">
        <f>IF(AND(I2093="TP",S2093&lt;=500),VLOOKUP(AF2093,TPCalibEq500!$AZ$2:$BB$56,3,),IF(AND(I2093="TDP",S2093&lt;=500),VLOOKUP(AF2093,TPCalibEq500!$AZ$2:$BB$56,3,)))</f>
        <v>0</v>
      </c>
      <c r="AT2093" s="10" t="b">
        <f>IF(AND(I2093="TN",S2093&lt;=2800),VLOOKUP(AF2093,TNCalibEq2500!$AZ$2:$BB$56,3,),IF(AND(I2093="TDN",S2093&lt;=2800),VLOOKUP(AF2093,TNCalibEq2500!$AZ$2:$BB$56,3,)))</f>
        <v>0</v>
      </c>
      <c r="AU2093" s="10" t="b">
        <f>IF(I2093="TP",VLOOKUP(AF2093,TPCalibEqFull!$AZ$2:$BB$56,3),IF(I2093="TDP",VLOOKUP(AF2093,TPCalibEqFull!$AZ$2:$BB$56,3),IF(I2093="TDN",VLOOKUP(AF2093,TNCalibEqFull!$AZ$1:$BB$56,3),IF(I2093="TN",VLOOKUP(AF2093,TNCalibEqFull!$AZ$1:$BB$56,3),FALSE))))</f>
        <v>0</v>
      </c>
      <c r="AV2093" s="10" t="str">
        <f t="shared" si="240"/>
        <v>0207 05:28:00-HST-0-FIL-1-SW-UKN</v>
      </c>
    </row>
    <row r="2094" spans="1:48" s="10" customFormat="1" x14ac:dyDescent="0.55000000000000004">
      <c r="A2094" s="32">
        <v>44964</v>
      </c>
      <c r="B2094" s="33">
        <v>0.22777777777777777</v>
      </c>
      <c r="C2094" s="10" t="s">
        <v>333</v>
      </c>
      <c r="D2094" s="10">
        <v>0</v>
      </c>
      <c r="E2094" s="10" t="s">
        <v>911</v>
      </c>
      <c r="F2094" s="10">
        <v>1</v>
      </c>
      <c r="G2094" s="10" t="s">
        <v>231</v>
      </c>
      <c r="H2094" s="10" t="s">
        <v>233</v>
      </c>
      <c r="I2094" s="10" t="s">
        <v>183</v>
      </c>
      <c r="J2094" s="10">
        <v>69</v>
      </c>
      <c r="K2094" s="12">
        <v>44966</v>
      </c>
      <c r="L2094" s="33">
        <v>0.54640046296296296</v>
      </c>
      <c r="M2094" s="10">
        <v>1</v>
      </c>
      <c r="N2094" s="10" t="s">
        <v>76</v>
      </c>
      <c r="O2094" s="10">
        <v>2.4299999999999999E-2</v>
      </c>
      <c r="P2094" s="10">
        <v>3.0699999999999998E-3</v>
      </c>
      <c r="Q2094" s="10">
        <v>1.4</v>
      </c>
      <c r="R2094" s="10" t="s">
        <v>77</v>
      </c>
      <c r="S2094" s="34">
        <f t="shared" si="235"/>
        <v>1.4</v>
      </c>
      <c r="T2094" s="10" t="s">
        <v>1155</v>
      </c>
      <c r="U2094" s="34">
        <f t="shared" si="238"/>
        <v>35.492010092514711</v>
      </c>
      <c r="V2094" s="31" t="str">
        <f>IF(H2094="CHK",VLOOKUP(I2094,QCCHK,3,),IF(H2094="GUP",VLOOKUP(E2094,QCGUP,2,),IF(AND(H2094="ATP",OR(I2094="TN",I2094="TDN",I2094="TNO2-3",I2094="NO2-3")),VLOOKUP(E2094,QCREC_N,2,),IF(AND(H2094="NIC",OR(I2094="TN",I2094="TDN",I2094="TNO2-3",I2094="NO2-3")),VLOOKUP(E2094,QCNIC_N,2,),IF(AND(H2094="UREA",OR(I2094="TN",I2094="TDN",I2094="TNO2-3",I2094="NO2-3")),VLOOKUP(E2094,QCUREA_N,2,),IF(H2094="PER",VLOOKUP(I2094,QCPER,MATCH(E2094,QCACTUAL!$J$25:$AA$25,0),),IF(H2094="SPK",VLOOKUP(I2094,QCSPK,3,),IF(AND(H2094="ATP",OR(I2094="TP",I2094="TDP")),VLOOKUP(E2094,QCATP_P,2,),""))))))))</f>
        <v/>
      </c>
      <c r="W2094" s="31" t="b">
        <v>1</v>
      </c>
      <c r="X2094" s="31" t="str">
        <f t="shared" si="234"/>
        <v>((ABS(rep1-rep2))/((rep1+rep2)/2)*100</v>
      </c>
      <c r="Y2094" s="10" t="s">
        <v>1144</v>
      </c>
      <c r="Z2094" s="10" t="s">
        <v>1059</v>
      </c>
      <c r="AL2094" s="10" t="str">
        <f t="shared" si="236"/>
        <v>FALSE</v>
      </c>
      <c r="AM2094" s="10" t="str">
        <f t="shared" si="236"/>
        <v>FALSE</v>
      </c>
      <c r="AN2094" s="10" t="str">
        <f t="shared" si="236"/>
        <v>FALSE</v>
      </c>
      <c r="AO2094" s="10" t="str">
        <f t="shared" si="237"/>
        <v>FALSE</v>
      </c>
      <c r="AP2094" s="10" t="str">
        <f t="shared" si="237"/>
        <v>FALSE</v>
      </c>
      <c r="AQ2094" s="10" t="b">
        <f>IF(AND(I2094="TP",S2094&lt;=150),VLOOKUP(AF2094,TPCalibEq150!$AZ$2:$BB$55,3,),IF(AND(I2094="TDP",S2094&lt;=150),VLOOKUP(AF2094,TPCalibEq150!$AZ$2:$BB$55,3,)))</f>
        <v>0</v>
      </c>
      <c r="AR2094" s="10" t="b">
        <f>IF(AND(I2094="TP",S2094&lt;=300),VLOOKUP(AF2094,TPCalibEq300!$AZ$2:$BB$55,3,),IF(AND(I2094="TDP",S2094&lt;=300),VLOOKUP(AF2094,TPCalibEq300!$AZ$2:$BB$55,3,)))</f>
        <v>0</v>
      </c>
      <c r="AS2094" s="10" t="b">
        <f>IF(AND(I2094="TP",S2094&lt;=500),VLOOKUP(AF2094,TPCalibEq500!$AZ$2:$BB$56,3,),IF(AND(I2094="TDP",S2094&lt;=500),VLOOKUP(AF2094,TPCalibEq500!$AZ$2:$BB$56,3,)))</f>
        <v>0</v>
      </c>
      <c r="AT2094" s="10" t="b">
        <f>IF(AND(I2094="TN",S2094&lt;=2800),VLOOKUP(AF2094,TNCalibEq2500!$AZ$2:$BB$56,3,),IF(AND(I2094="TDN",S2094&lt;=2800),VLOOKUP(AF2094,TNCalibEq2500!$AZ$2:$BB$56,3,)))</f>
        <v>0</v>
      </c>
      <c r="AU2094" s="10" t="b">
        <f>IF(I2094="TP",VLOOKUP(AF2094,TPCalibEqFull!$AZ$2:$BB$56,3),IF(I2094="TDP",VLOOKUP(AF2094,TPCalibEqFull!$AZ$2:$BB$56,3),IF(I2094="TDN",VLOOKUP(AF2094,TNCalibEqFull!$AZ$1:$BB$56,3),IF(I2094="TN",VLOOKUP(AF2094,TNCalibEqFull!$AZ$1:$BB$56,3),FALSE))))</f>
        <v>0</v>
      </c>
      <c r="AV2094" s="10" t="str">
        <f t="shared" si="240"/>
        <v>0207 05:28:00-HST-0-FIL-1-SW-DUP</v>
      </c>
    </row>
    <row r="2095" spans="1:48" s="10" customFormat="1" x14ac:dyDescent="0.55000000000000004">
      <c r="A2095" s="32">
        <v>44964</v>
      </c>
      <c r="B2095" s="33">
        <v>0.22777777777777777</v>
      </c>
      <c r="C2095" s="10" t="s">
        <v>912</v>
      </c>
      <c r="D2095" s="10">
        <v>0</v>
      </c>
      <c r="E2095" s="10" t="s">
        <v>911</v>
      </c>
      <c r="F2095" s="10">
        <v>1</v>
      </c>
      <c r="G2095" s="10" t="s">
        <v>231</v>
      </c>
      <c r="H2095" s="10" t="s">
        <v>314</v>
      </c>
      <c r="I2095" s="10" t="s">
        <v>183</v>
      </c>
      <c r="J2095" s="10">
        <v>36</v>
      </c>
      <c r="K2095" s="12">
        <v>44966</v>
      </c>
      <c r="L2095" s="33">
        <v>0.54722222222222217</v>
      </c>
      <c r="M2095" s="10">
        <v>1</v>
      </c>
      <c r="N2095" s="10" t="s">
        <v>76</v>
      </c>
      <c r="O2095" s="10">
        <v>12</v>
      </c>
      <c r="P2095" s="10">
        <v>3.79</v>
      </c>
      <c r="Q2095" s="10">
        <v>687</v>
      </c>
      <c r="R2095" s="10" t="s">
        <v>77</v>
      </c>
      <c r="S2095" s="34">
        <f t="shared" si="235"/>
        <v>687</v>
      </c>
      <c r="T2095" s="10" t="s">
        <v>1155</v>
      </c>
      <c r="U2095" s="34">
        <f t="shared" si="238"/>
        <v>109.696</v>
      </c>
      <c r="V2095" s="31">
        <f>IF(H2095="CHK",VLOOKUP(I2095,QCCHK,3,),IF(H2095="GUP",VLOOKUP(E2095,QCGUP,2,),IF(AND(H2095="ATP",OR(I2095="TN",I2095="TDN",I2095="TNO2-3",I2095="NO2-3")),VLOOKUP(E2095,QCREC_N,2,),IF(AND(H2095="NIC",OR(I2095="TN",I2095="TDN",I2095="TNO2-3",I2095="NO2-3")),VLOOKUP(E2095,QCNIC_N,2,),IF(AND(H2095="UREA",OR(I2095="TN",I2095="TDN",I2095="TNO2-3",I2095="NO2-3")),VLOOKUP(E2095,QCUREA_N,2,),IF(H2095="PER",VLOOKUP(I2095,QCPER,MATCH(E2095,QCACTUAL!$J$25:$AA$25,0),),IF(H2095="SPK",VLOOKUP(I2095,QCSPK,3,),IF(AND(H2095="ATP",OR(I2095="TP",I2095="TDP")),VLOOKUP(E2095,QCATP_P,2,),""))))))))</f>
        <v>625</v>
      </c>
      <c r="W2095" s="31" t="str">
        <f t="shared" si="239"/>
        <v>TRUE</v>
      </c>
      <c r="X2095" s="31" t="str">
        <f t="shared" si="234"/>
        <v>([spikedunkn]-[unkn])/[spike]*100</v>
      </c>
      <c r="Y2095" s="10" t="s">
        <v>1144</v>
      </c>
      <c r="Z2095" s="10" t="s">
        <v>910</v>
      </c>
      <c r="AL2095" s="10" t="str">
        <f t="shared" si="236"/>
        <v>FALSE</v>
      </c>
      <c r="AM2095" s="10" t="str">
        <f t="shared" si="236"/>
        <v>FALSE</v>
      </c>
      <c r="AN2095" s="10" t="str">
        <f t="shared" si="236"/>
        <v>FALSE</v>
      </c>
      <c r="AO2095" s="10" t="str">
        <f t="shared" si="237"/>
        <v>FALSE</v>
      </c>
      <c r="AP2095" s="10" t="str">
        <f t="shared" si="237"/>
        <v>FALSE</v>
      </c>
      <c r="AQ2095" s="10" t="b">
        <f>IF(AND(I2095="TP",S2095&lt;=150),VLOOKUP(AF2095,TPCalibEq150!$AZ$2:$BB$55,3,),IF(AND(I2095="TDP",S2095&lt;=150),VLOOKUP(AF2095,TPCalibEq150!$AZ$2:$BB$55,3,)))</f>
        <v>0</v>
      </c>
      <c r="AR2095" s="10" t="b">
        <f>IF(AND(I2095="TP",S2095&lt;=300),VLOOKUP(AF2095,TPCalibEq300!$AZ$2:$BB$55,3,),IF(AND(I2095="TDP",S2095&lt;=300),VLOOKUP(AF2095,TPCalibEq300!$AZ$2:$BB$55,3,)))</f>
        <v>0</v>
      </c>
      <c r="AS2095" s="10" t="b">
        <f>IF(AND(I2095="TP",S2095&lt;=500),VLOOKUP(AF2095,TPCalibEq500!$AZ$2:$BB$56,3,),IF(AND(I2095="TDP",S2095&lt;=500),VLOOKUP(AF2095,TPCalibEq500!$AZ$2:$BB$56,3,)))</f>
        <v>0</v>
      </c>
      <c r="AT2095" s="10" t="b">
        <f>IF(AND(I2095="TN",S2095&lt;=2800),VLOOKUP(AF2095,TNCalibEq2500!$AZ$2:$BB$56,3,),IF(AND(I2095="TDN",S2095&lt;=2800),VLOOKUP(AF2095,TNCalibEq2500!$AZ$2:$BB$56,3,)))</f>
        <v>0</v>
      </c>
      <c r="AU2095" s="10" t="b">
        <f>IF(I2095="TP",VLOOKUP(AF2095,TPCalibEqFull!$AZ$2:$BB$56,3),IF(I2095="TDP",VLOOKUP(AF2095,TPCalibEqFull!$AZ$2:$BB$56,3),IF(I2095="TDN",VLOOKUP(AF2095,TNCalibEqFull!$AZ$1:$BB$56,3),IF(I2095="TN",VLOOKUP(AF2095,TNCalibEqFull!$AZ$1:$BB$56,3),FALSE))))</f>
        <v>0</v>
      </c>
      <c r="AV2095" s="10" t="str">
        <f t="shared" si="240"/>
        <v>0207 05:28:00-HST -0-FIL-1-SW-SPK</v>
      </c>
    </row>
    <row r="2096" spans="1:48" s="10" customFormat="1" x14ac:dyDescent="0.55000000000000004">
      <c r="A2096" s="32">
        <v>44966</v>
      </c>
      <c r="B2096" s="33">
        <v>0.375</v>
      </c>
      <c r="C2096" s="10" t="s">
        <v>70</v>
      </c>
      <c r="D2096" s="10" t="s">
        <v>71</v>
      </c>
      <c r="E2096" s="10" t="s">
        <v>901</v>
      </c>
      <c r="F2096" s="10">
        <v>1</v>
      </c>
      <c r="G2096" s="10" t="s">
        <v>73</v>
      </c>
      <c r="H2096" s="10" t="s">
        <v>207</v>
      </c>
      <c r="I2096" s="10" t="s">
        <v>75</v>
      </c>
      <c r="J2096" s="10">
        <v>202</v>
      </c>
      <c r="K2096" s="12">
        <v>44966</v>
      </c>
      <c r="L2096" s="33">
        <v>0.54804398148148148</v>
      </c>
      <c r="M2096" s="10">
        <v>1</v>
      </c>
      <c r="N2096" s="10" t="s">
        <v>76</v>
      </c>
      <c r="O2096" s="10">
        <v>4.8</v>
      </c>
      <c r="P2096" s="10">
        <v>0.38100000000000001</v>
      </c>
      <c r="Q2096" s="10">
        <v>276</v>
      </c>
      <c r="R2096" s="10" t="s">
        <v>77</v>
      </c>
      <c r="S2096" s="34">
        <f t="shared" si="235"/>
        <v>276</v>
      </c>
      <c r="T2096" s="10" t="s">
        <v>1155</v>
      </c>
      <c r="U2096" s="34">
        <f t="shared" si="238"/>
        <v>92</v>
      </c>
      <c r="V2096" s="31">
        <f>IF(H2096="CHK",VLOOKUP(I2096,QCCHK,3,),IF(H2096="GUP",VLOOKUP(E2096,QCGUP,2,),IF(AND(H2096="ATP",OR(I2096="TN",I2096="TDN",I2096="TNO2-3",I2096="NO2-3")),VLOOKUP(E2096,QCREC_N,2,),IF(AND(H2096="NIC",OR(I2096="TN",I2096="TDN",I2096="TNO2-3",I2096="NO2-3")),VLOOKUP(E2096,QCNIC_N,2,),IF(AND(H2096="UREA",OR(I2096="TN",I2096="TDN",I2096="TNO2-3",I2096="NO2-3")),VLOOKUP(E2096,QCUREA_N,2,),IF(H2096="PER",VLOOKUP(I2096,QCPER,MATCH(E2096,QCACTUAL!$J$25:$AA$25,0),),IF(H2096="SPK",VLOOKUP(I2096,QCSPK,3,),IF(AND(H2096="ATP",OR(I2096="TP",I2096="TDP")),VLOOKUP(E2096,QCATP_P,2,),""))))))))</f>
        <v>300</v>
      </c>
      <c r="W2096" s="31" t="str">
        <f t="shared" si="239"/>
        <v>TRUE</v>
      </c>
      <c r="X2096" s="31" t="str">
        <f t="shared" si="234"/>
        <v>[chk]/[actual]*100</v>
      </c>
      <c r="Y2096" s="10" t="s">
        <v>1144</v>
      </c>
      <c r="AL2096" s="10" t="str">
        <f t="shared" si="236"/>
        <v>FALSE</v>
      </c>
      <c r="AM2096" s="10" t="str">
        <f t="shared" si="236"/>
        <v>FALSE</v>
      </c>
      <c r="AN2096" s="10" t="str">
        <f t="shared" si="236"/>
        <v>FALSE</v>
      </c>
      <c r="AO2096" s="10" t="str">
        <f t="shared" si="237"/>
        <v>FALSE</v>
      </c>
      <c r="AP2096" s="10" t="str">
        <f t="shared" si="237"/>
        <v>FALSE</v>
      </c>
      <c r="AQ2096" s="10" t="b">
        <f>IF(AND(I2096="TP",S2096&lt;=150),VLOOKUP(AF2096,TPCalibEq150!$AZ$2:$BB$55,3,),IF(AND(I2096="TDP",S2096&lt;=150),VLOOKUP(AF2096,TPCalibEq150!$AZ$2:$BB$55,3,)))</f>
        <v>0</v>
      </c>
      <c r="AR2096" s="10" t="b">
        <f>IF(AND(I2096="TP",S2096&lt;=300),VLOOKUP(AF2096,TPCalibEq300!$AZ$2:$BB$55,3,),IF(AND(I2096="TDP",S2096&lt;=300),VLOOKUP(AF2096,TPCalibEq300!$AZ$2:$BB$55,3,)))</f>
        <v>0</v>
      </c>
      <c r="AS2096" s="10" t="b">
        <f>IF(AND(I2096="TP",S2096&lt;=500),VLOOKUP(AF2096,TPCalibEq500!$AZ$2:$BB$56,3,),IF(AND(I2096="TDP",S2096&lt;=500),VLOOKUP(AF2096,TPCalibEq500!$AZ$2:$BB$56,3,)))</f>
        <v>0</v>
      </c>
      <c r="AT2096" s="10" t="b">
        <f>IF(AND(I2096="TN",S2096&lt;=2800),VLOOKUP(AF2096,TNCalibEq2500!$AZ$2:$BB$56,3,),IF(AND(I2096="TDN",S2096&lt;=2800),VLOOKUP(AF2096,TNCalibEq2500!$AZ$2:$BB$56,3,)))</f>
        <v>0</v>
      </c>
      <c r="AU2096" s="10" t="b">
        <f>IF(I2096="TP",VLOOKUP(AF2096,TPCalibEqFull!$AZ$2:$BB$56,3),IF(I2096="TDP",VLOOKUP(AF2096,TPCalibEqFull!$AZ$2:$BB$56,3),IF(I2096="TDN",VLOOKUP(AF2096,TNCalibEqFull!$AZ$1:$BB$56,3),IF(I2096="TN",VLOOKUP(AF2096,TNCalibEqFull!$AZ$1:$BB$56,3),FALSE))))</f>
        <v>0</v>
      </c>
      <c r="AV2096" s="10" t="str">
        <f t="shared" si="240"/>
        <v>0209 09:00:00-QAC-STD-D-1-DI-CHK</v>
      </c>
    </row>
    <row r="2097" spans="1:48" s="10" customFormat="1" x14ac:dyDescent="0.55000000000000004">
      <c r="A2097" s="32">
        <v>44963</v>
      </c>
      <c r="B2097" s="33">
        <v>0.33749999999999997</v>
      </c>
      <c r="C2097" s="10" t="s">
        <v>998</v>
      </c>
      <c r="D2097" s="10">
        <v>0</v>
      </c>
      <c r="E2097" s="10" t="s">
        <v>911</v>
      </c>
      <c r="F2097" s="10">
        <v>1</v>
      </c>
      <c r="G2097" s="10" t="s">
        <v>231</v>
      </c>
      <c r="H2097" s="10" t="s">
        <v>322</v>
      </c>
      <c r="I2097" s="10" t="s">
        <v>183</v>
      </c>
      <c r="J2097" s="10">
        <v>70</v>
      </c>
      <c r="K2097" s="12">
        <v>44966</v>
      </c>
      <c r="L2097" s="33">
        <v>0.54885416666666664</v>
      </c>
      <c r="M2097" s="10">
        <v>1</v>
      </c>
      <c r="N2097" s="10" t="s">
        <v>76</v>
      </c>
      <c r="O2097" s="10">
        <v>1.64</v>
      </c>
      <c r="P2097" s="10">
        <v>0.13100000000000001</v>
      </c>
      <c r="Q2097" s="10">
        <v>94.2</v>
      </c>
      <c r="R2097" s="10" t="s">
        <v>77</v>
      </c>
      <c r="S2097" s="34">
        <f t="shared" si="235"/>
        <v>94.2</v>
      </c>
      <c r="T2097" s="10" t="s">
        <v>1155</v>
      </c>
      <c r="U2097" s="34" t="str">
        <f t="shared" si="238"/>
        <v/>
      </c>
      <c r="V2097" s="31" t="str">
        <f>IF(H2097="CHK",VLOOKUP(I2097,QCCHK,3,),IF(H2097="GUP",VLOOKUP(E2097,QCGUP,2,),IF(AND(H2097="ATP",OR(I2097="TN",I2097="TDN",I2097="TNO2-3",I2097="NO2-3")),VLOOKUP(E2097,QCREC_N,2,),IF(AND(H2097="NIC",OR(I2097="TN",I2097="TDN",I2097="TNO2-3",I2097="NO2-3")),VLOOKUP(E2097,QCNIC_N,2,),IF(AND(H2097="UREA",OR(I2097="TN",I2097="TDN",I2097="TNO2-3",I2097="NO2-3")),VLOOKUP(E2097,QCUREA_N,2,),IF(H2097="PER",VLOOKUP(I2097,QCPER,MATCH(E2097,QCACTUAL!$J$25:$AA$25,0),),IF(H2097="SPK",VLOOKUP(I2097,QCSPK,3,),IF(AND(H2097="ATP",OR(I2097="TP",I2097="TDP")),VLOOKUP(E2097,QCATP_P,2,),""))))))))</f>
        <v/>
      </c>
      <c r="W2097" s="31" t="str">
        <f t="shared" si="239"/>
        <v>TRUE</v>
      </c>
      <c r="X2097" s="31" t="str">
        <f t="shared" si="234"/>
        <v/>
      </c>
      <c r="Y2097" s="10" t="s">
        <v>1144</v>
      </c>
      <c r="Z2097" s="10" t="s">
        <v>910</v>
      </c>
      <c r="AL2097" s="10" t="str">
        <f t="shared" si="236"/>
        <v>FALSE</v>
      </c>
      <c r="AM2097" s="10" t="str">
        <f t="shared" si="236"/>
        <v>FALSE</v>
      </c>
      <c r="AN2097" s="10" t="str">
        <f t="shared" si="236"/>
        <v>FALSE</v>
      </c>
      <c r="AO2097" s="10" t="str">
        <f t="shared" si="237"/>
        <v>FALSE</v>
      </c>
      <c r="AP2097" s="10" t="str">
        <f t="shared" si="237"/>
        <v>FALSE</v>
      </c>
      <c r="AQ2097" s="10" t="b">
        <f>IF(AND(I2097="TP",S2097&lt;=150),VLOOKUP(AF2097,TPCalibEq150!$AZ$2:$BB$55,3,),IF(AND(I2097="TDP",S2097&lt;=150),VLOOKUP(AF2097,TPCalibEq150!$AZ$2:$BB$55,3,)))</f>
        <v>0</v>
      </c>
      <c r="AR2097" s="10" t="b">
        <f>IF(AND(I2097="TP",S2097&lt;=300),VLOOKUP(AF2097,TPCalibEq300!$AZ$2:$BB$55,3,),IF(AND(I2097="TDP",S2097&lt;=300),VLOOKUP(AF2097,TPCalibEq300!$AZ$2:$BB$55,3,)))</f>
        <v>0</v>
      </c>
      <c r="AS2097" s="10" t="b">
        <f>IF(AND(I2097="TP",S2097&lt;=500),VLOOKUP(AF2097,TPCalibEq500!$AZ$2:$BB$56,3,),IF(AND(I2097="TDP",S2097&lt;=500),VLOOKUP(AF2097,TPCalibEq500!$AZ$2:$BB$56,3,)))</f>
        <v>0</v>
      </c>
      <c r="AT2097" s="10" t="b">
        <f>IF(AND(I2097="TN",S2097&lt;=2800),VLOOKUP(AF2097,TNCalibEq2500!$AZ$2:$BB$56,3,),IF(AND(I2097="TDN",S2097&lt;=2800),VLOOKUP(AF2097,TNCalibEq2500!$AZ$2:$BB$56,3,)))</f>
        <v>0</v>
      </c>
      <c r="AU2097" s="10" t="b">
        <f>IF(I2097="TP",VLOOKUP(AF2097,TPCalibEqFull!$AZ$2:$BB$56,3),IF(I2097="TDP",VLOOKUP(AF2097,TPCalibEqFull!$AZ$2:$BB$56,3),IF(I2097="TDN",VLOOKUP(AF2097,TNCalibEqFull!$AZ$1:$BB$56,3),IF(I2097="TN",VLOOKUP(AF2097,TNCalibEqFull!$AZ$1:$BB$56,3),FALSE))))</f>
        <v>0</v>
      </c>
      <c r="AV2097" s="10" t="str">
        <f t="shared" si="240"/>
        <v>0206 08:06:00-ELW-0-FIL-1-SW-UKN</v>
      </c>
    </row>
    <row r="2098" spans="1:48" s="10" customFormat="1" x14ac:dyDescent="0.55000000000000004">
      <c r="A2098" s="32">
        <v>44963</v>
      </c>
      <c r="B2098" s="33">
        <v>0.34930555555555554</v>
      </c>
      <c r="C2098" s="10" t="s">
        <v>260</v>
      </c>
      <c r="D2098" s="10">
        <v>0</v>
      </c>
      <c r="E2098" s="10" t="s">
        <v>911</v>
      </c>
      <c r="F2098" s="10">
        <v>1</v>
      </c>
      <c r="G2098" s="10" t="s">
        <v>231</v>
      </c>
      <c r="H2098" s="10" t="s">
        <v>322</v>
      </c>
      <c r="I2098" s="10" t="s">
        <v>183</v>
      </c>
      <c r="J2098" s="10">
        <v>71</v>
      </c>
      <c r="K2098" s="12">
        <v>44966</v>
      </c>
      <c r="L2098" s="33">
        <v>0.54966435185185192</v>
      </c>
      <c r="M2098" s="10">
        <v>1</v>
      </c>
      <c r="N2098" s="10" t="s">
        <v>76</v>
      </c>
      <c r="O2098" s="10">
        <v>0.84099999999999997</v>
      </c>
      <c r="P2098" s="10">
        <v>6.7100000000000007E-2</v>
      </c>
      <c r="Q2098" s="10">
        <v>48.4</v>
      </c>
      <c r="R2098" s="10" t="s">
        <v>77</v>
      </c>
      <c r="S2098" s="34">
        <f t="shared" si="235"/>
        <v>48.4</v>
      </c>
      <c r="T2098" s="10" t="s">
        <v>1155</v>
      </c>
      <c r="U2098" s="34" t="str">
        <f t="shared" si="238"/>
        <v/>
      </c>
      <c r="V2098" s="31" t="str">
        <f>IF(H2098="CHK",VLOOKUP(I2098,QCCHK,3,),IF(H2098="GUP",VLOOKUP(E2098,QCGUP,2,),IF(AND(H2098="ATP",OR(I2098="TN",I2098="TDN",I2098="TNO2-3",I2098="NO2-3")),VLOOKUP(E2098,QCREC_N,2,),IF(AND(H2098="NIC",OR(I2098="TN",I2098="TDN",I2098="TNO2-3",I2098="NO2-3")),VLOOKUP(E2098,QCNIC_N,2,),IF(AND(H2098="UREA",OR(I2098="TN",I2098="TDN",I2098="TNO2-3",I2098="NO2-3")),VLOOKUP(E2098,QCUREA_N,2,),IF(H2098="PER",VLOOKUP(I2098,QCPER,MATCH(E2098,QCACTUAL!$J$25:$AA$25,0),),IF(H2098="SPK",VLOOKUP(I2098,QCSPK,3,),IF(AND(H2098="ATP",OR(I2098="TP",I2098="TDP")),VLOOKUP(E2098,QCATP_P,2,),""))))))))</f>
        <v/>
      </c>
      <c r="W2098" s="31" t="str">
        <f t="shared" si="239"/>
        <v>TRUE</v>
      </c>
      <c r="X2098" s="31" t="str">
        <f t="shared" si="234"/>
        <v/>
      </c>
      <c r="Y2098" s="10" t="s">
        <v>1144</v>
      </c>
      <c r="Z2098" s="10" t="s">
        <v>910</v>
      </c>
      <c r="AL2098" s="10" t="str">
        <f t="shared" si="236"/>
        <v>FALSE</v>
      </c>
      <c r="AM2098" s="10" t="str">
        <f t="shared" si="236"/>
        <v>FALSE</v>
      </c>
      <c r="AN2098" s="10" t="str">
        <f t="shared" si="236"/>
        <v>FALSE</v>
      </c>
      <c r="AO2098" s="10" t="str">
        <f t="shared" si="237"/>
        <v>FALSE</v>
      </c>
      <c r="AP2098" s="10" t="str">
        <f t="shared" si="237"/>
        <v>FALSE</v>
      </c>
      <c r="AQ2098" s="10" t="b">
        <f>IF(AND(I2098="TP",S2098&lt;=150),VLOOKUP(AF2098,TPCalibEq150!$AZ$2:$BB$55,3,),IF(AND(I2098="TDP",S2098&lt;=150),VLOOKUP(AF2098,TPCalibEq150!$AZ$2:$BB$55,3,)))</f>
        <v>0</v>
      </c>
      <c r="AR2098" s="10" t="b">
        <f>IF(AND(I2098="TP",S2098&lt;=300),VLOOKUP(AF2098,TPCalibEq300!$AZ$2:$BB$55,3,),IF(AND(I2098="TDP",S2098&lt;=300),VLOOKUP(AF2098,TPCalibEq300!$AZ$2:$BB$55,3,)))</f>
        <v>0</v>
      </c>
      <c r="AS2098" s="10" t="b">
        <f>IF(AND(I2098="TP",S2098&lt;=500),VLOOKUP(AF2098,TPCalibEq500!$AZ$2:$BB$56,3,),IF(AND(I2098="TDP",S2098&lt;=500),VLOOKUP(AF2098,TPCalibEq500!$AZ$2:$BB$56,3,)))</f>
        <v>0</v>
      </c>
      <c r="AT2098" s="10" t="b">
        <f>IF(AND(I2098="TN",S2098&lt;=2800),VLOOKUP(AF2098,TNCalibEq2500!$AZ$2:$BB$56,3,),IF(AND(I2098="TDN",S2098&lt;=2800),VLOOKUP(AF2098,TNCalibEq2500!$AZ$2:$BB$56,3,)))</f>
        <v>0</v>
      </c>
      <c r="AU2098" s="10" t="b">
        <f>IF(I2098="TP",VLOOKUP(AF2098,TPCalibEqFull!$AZ$2:$BB$56,3),IF(I2098="TDP",VLOOKUP(AF2098,TPCalibEqFull!$AZ$2:$BB$56,3),IF(I2098="TDN",VLOOKUP(AF2098,TNCalibEqFull!$AZ$1:$BB$56,3),IF(I2098="TN",VLOOKUP(AF2098,TNCalibEqFull!$AZ$1:$BB$56,3),FALSE))))</f>
        <v>0</v>
      </c>
      <c r="AV2098" s="10" t="str">
        <f t="shared" si="240"/>
        <v>0206 08:23:00-EFC-0-FIL-1-SW-UKN</v>
      </c>
    </row>
    <row r="2099" spans="1:48" s="10" customFormat="1" x14ac:dyDescent="0.55000000000000004">
      <c r="A2099" s="32">
        <v>44963</v>
      </c>
      <c r="B2099" s="33">
        <v>0.3611111111111111</v>
      </c>
      <c r="C2099" s="10" t="s">
        <v>543</v>
      </c>
      <c r="D2099" s="10">
        <v>0</v>
      </c>
      <c r="E2099" s="10" t="s">
        <v>911</v>
      </c>
      <c r="F2099" s="10">
        <v>1</v>
      </c>
      <c r="G2099" s="10" t="s">
        <v>231</v>
      </c>
      <c r="H2099" s="10" t="s">
        <v>322</v>
      </c>
      <c r="I2099" s="10" t="s">
        <v>183</v>
      </c>
      <c r="J2099" s="10">
        <v>72</v>
      </c>
      <c r="K2099" s="12">
        <v>44966</v>
      </c>
      <c r="L2099" s="33">
        <v>0.55047453703703708</v>
      </c>
      <c r="M2099" s="10">
        <v>1</v>
      </c>
      <c r="N2099" s="10" t="s">
        <v>76</v>
      </c>
      <c r="O2099" s="10">
        <v>1.5299999999999999E-2</v>
      </c>
      <c r="P2099" s="10">
        <v>2.31E-3</v>
      </c>
      <c r="Q2099" s="10">
        <v>0.88</v>
      </c>
      <c r="R2099" s="10" t="s">
        <v>77</v>
      </c>
      <c r="S2099" s="34">
        <f t="shared" si="235"/>
        <v>0.88</v>
      </c>
      <c r="T2099" s="10" t="s">
        <v>1155</v>
      </c>
      <c r="U2099" s="34" t="str">
        <f t="shared" si="238"/>
        <v/>
      </c>
      <c r="V2099" s="31" t="str">
        <f>IF(H2099="CHK",VLOOKUP(I2099,QCCHK,3,),IF(H2099="GUP",VLOOKUP(E2099,QCGUP,2,),IF(AND(H2099="ATP",OR(I2099="TN",I2099="TDN",I2099="TNO2-3",I2099="NO2-3")),VLOOKUP(E2099,QCREC_N,2,),IF(AND(H2099="NIC",OR(I2099="TN",I2099="TDN",I2099="TNO2-3",I2099="NO2-3")),VLOOKUP(E2099,QCNIC_N,2,),IF(AND(H2099="UREA",OR(I2099="TN",I2099="TDN",I2099="TNO2-3",I2099="NO2-3")),VLOOKUP(E2099,QCUREA_N,2,),IF(H2099="PER",VLOOKUP(I2099,QCPER,MATCH(E2099,QCACTUAL!$J$25:$AA$25,0),),IF(H2099="SPK",VLOOKUP(I2099,QCSPK,3,),IF(AND(H2099="ATP",OR(I2099="TP",I2099="TDP")),VLOOKUP(E2099,QCATP_P,2,),""))))))))</f>
        <v/>
      </c>
      <c r="W2099" s="31" t="str">
        <f t="shared" si="239"/>
        <v>TRUE</v>
      </c>
      <c r="X2099" s="31" t="str">
        <f t="shared" si="234"/>
        <v/>
      </c>
      <c r="Y2099" s="10" t="s">
        <v>1144</v>
      </c>
      <c r="Z2099" s="10" t="s">
        <v>910</v>
      </c>
      <c r="AL2099" s="10" t="str">
        <f t="shared" si="236"/>
        <v>FALSE</v>
      </c>
      <c r="AM2099" s="10" t="str">
        <f t="shared" si="236"/>
        <v>FALSE</v>
      </c>
      <c r="AN2099" s="10" t="str">
        <f t="shared" si="236"/>
        <v>FALSE</v>
      </c>
      <c r="AO2099" s="10" t="str">
        <f t="shared" si="237"/>
        <v>FALSE</v>
      </c>
      <c r="AP2099" s="10" t="str">
        <f t="shared" si="237"/>
        <v>FALSE</v>
      </c>
      <c r="AQ2099" s="10" t="b">
        <f>IF(AND(I2099="TP",S2099&lt;=150),VLOOKUP(AF2099,TPCalibEq150!$AZ$2:$BB$55,3,),IF(AND(I2099="TDP",S2099&lt;=150),VLOOKUP(AF2099,TPCalibEq150!$AZ$2:$BB$55,3,)))</f>
        <v>0</v>
      </c>
      <c r="AR2099" s="10" t="b">
        <f>IF(AND(I2099="TP",S2099&lt;=300),VLOOKUP(AF2099,TPCalibEq300!$AZ$2:$BB$55,3,),IF(AND(I2099="TDP",S2099&lt;=300),VLOOKUP(AF2099,TPCalibEq300!$AZ$2:$BB$55,3,)))</f>
        <v>0</v>
      </c>
      <c r="AS2099" s="10" t="b">
        <f>IF(AND(I2099="TP",S2099&lt;=500),VLOOKUP(AF2099,TPCalibEq500!$AZ$2:$BB$56,3,),IF(AND(I2099="TDP",S2099&lt;=500),VLOOKUP(AF2099,TPCalibEq500!$AZ$2:$BB$56,3,)))</f>
        <v>0</v>
      </c>
      <c r="AT2099" s="10" t="b">
        <f>IF(AND(I2099="TN",S2099&lt;=2800),VLOOKUP(AF2099,TNCalibEq2500!$AZ$2:$BB$56,3,),IF(AND(I2099="TDN",S2099&lt;=2800),VLOOKUP(AF2099,TNCalibEq2500!$AZ$2:$BB$56,3,)))</f>
        <v>0</v>
      </c>
      <c r="AU2099" s="10" t="b">
        <f>IF(I2099="TP",VLOOKUP(AF2099,TPCalibEqFull!$AZ$2:$BB$56,3),IF(I2099="TDP",VLOOKUP(AF2099,TPCalibEqFull!$AZ$2:$BB$56,3),IF(I2099="TDN",VLOOKUP(AF2099,TNCalibEqFull!$AZ$1:$BB$56,3),IF(I2099="TN",VLOOKUP(AF2099,TNCalibEqFull!$AZ$1:$BB$56,3),FALSE))))</f>
        <v>0</v>
      </c>
      <c r="AV2099" s="10" t="str">
        <f t="shared" si="240"/>
        <v>0206 08:40:00-SAR-0-FIL-1-SW-UKN</v>
      </c>
    </row>
    <row r="2100" spans="1:48" s="10" customFormat="1" x14ac:dyDescent="0.55000000000000004">
      <c r="A2100" s="32">
        <v>44963</v>
      </c>
      <c r="B2100" s="33">
        <v>0.37916666666666665</v>
      </c>
      <c r="C2100" s="10" t="s">
        <v>361</v>
      </c>
      <c r="D2100" s="10">
        <v>0</v>
      </c>
      <c r="E2100" s="10" t="s">
        <v>911</v>
      </c>
      <c r="F2100" s="10">
        <v>1</v>
      </c>
      <c r="G2100" s="10" t="s">
        <v>231</v>
      </c>
      <c r="H2100" s="10" t="s">
        <v>322</v>
      </c>
      <c r="I2100" s="10" t="s">
        <v>183</v>
      </c>
      <c r="J2100" s="10">
        <v>73</v>
      </c>
      <c r="K2100" s="12">
        <v>44966</v>
      </c>
      <c r="L2100" s="33">
        <v>0.55128472222222225</v>
      </c>
      <c r="M2100" s="10">
        <v>1</v>
      </c>
      <c r="N2100" s="10" t="s">
        <v>76</v>
      </c>
      <c r="O2100" s="10">
        <v>3.8699999999999998E-2</v>
      </c>
      <c r="P2100" s="10">
        <v>2.5999999999999999E-3</v>
      </c>
      <c r="Q2100" s="10">
        <v>2.23</v>
      </c>
      <c r="R2100" s="10" t="s">
        <v>77</v>
      </c>
      <c r="S2100" s="34">
        <f t="shared" si="235"/>
        <v>2.23</v>
      </c>
      <c r="T2100" s="10" t="s">
        <v>1155</v>
      </c>
      <c r="U2100" s="34" t="str">
        <f t="shared" si="238"/>
        <v/>
      </c>
      <c r="V2100" s="31" t="str">
        <f>IF(H2100="CHK",VLOOKUP(I2100,QCCHK,3,),IF(H2100="GUP",VLOOKUP(E2100,QCGUP,2,),IF(AND(H2100="ATP",OR(I2100="TN",I2100="TDN",I2100="TNO2-3",I2100="NO2-3")),VLOOKUP(E2100,QCREC_N,2,),IF(AND(H2100="NIC",OR(I2100="TN",I2100="TDN",I2100="TNO2-3",I2100="NO2-3")),VLOOKUP(E2100,QCNIC_N,2,),IF(AND(H2100="UREA",OR(I2100="TN",I2100="TDN",I2100="TNO2-3",I2100="NO2-3")),VLOOKUP(E2100,QCUREA_N,2,),IF(H2100="PER",VLOOKUP(I2100,QCPER,MATCH(E2100,QCACTUAL!$J$25:$AA$25,0),),IF(H2100="SPK",VLOOKUP(I2100,QCSPK,3,),IF(AND(H2100="ATP",OR(I2100="TP",I2100="TDP")),VLOOKUP(E2100,QCATP_P,2,),""))))))))</f>
        <v/>
      </c>
      <c r="W2100" s="31" t="str">
        <f t="shared" si="239"/>
        <v>TRUE</v>
      </c>
      <c r="X2100" s="31" t="str">
        <f t="shared" si="234"/>
        <v/>
      </c>
      <c r="Y2100" s="10" t="s">
        <v>1144</v>
      </c>
      <c r="Z2100" s="10" t="s">
        <v>910</v>
      </c>
      <c r="AL2100" s="10" t="str">
        <f t="shared" si="236"/>
        <v>FALSE</v>
      </c>
      <c r="AM2100" s="10" t="str">
        <f t="shared" si="236"/>
        <v>FALSE</v>
      </c>
      <c r="AN2100" s="10" t="str">
        <f t="shared" si="236"/>
        <v>FALSE</v>
      </c>
      <c r="AO2100" s="10" t="str">
        <f t="shared" si="237"/>
        <v>FALSE</v>
      </c>
      <c r="AP2100" s="10" t="str">
        <f t="shared" si="237"/>
        <v>FALSE</v>
      </c>
      <c r="AQ2100" s="10" t="b">
        <f>IF(AND(I2100="TP",S2100&lt;=150),VLOOKUP(AF2100,TPCalibEq150!$AZ$2:$BB$55,3,),IF(AND(I2100="TDP",S2100&lt;=150),VLOOKUP(AF2100,TPCalibEq150!$AZ$2:$BB$55,3,)))</f>
        <v>0</v>
      </c>
      <c r="AR2100" s="10" t="b">
        <f>IF(AND(I2100="TP",S2100&lt;=300),VLOOKUP(AF2100,TPCalibEq300!$AZ$2:$BB$55,3,),IF(AND(I2100="TDP",S2100&lt;=300),VLOOKUP(AF2100,TPCalibEq300!$AZ$2:$BB$55,3,)))</f>
        <v>0</v>
      </c>
      <c r="AS2100" s="10" t="b">
        <f>IF(AND(I2100="TP",S2100&lt;=500),VLOOKUP(AF2100,TPCalibEq500!$AZ$2:$BB$56,3,),IF(AND(I2100="TDP",S2100&lt;=500),VLOOKUP(AF2100,TPCalibEq500!$AZ$2:$BB$56,3,)))</f>
        <v>0</v>
      </c>
      <c r="AT2100" s="10" t="b">
        <f>IF(AND(I2100="TN",S2100&lt;=2800),VLOOKUP(AF2100,TNCalibEq2500!$AZ$2:$BB$56,3,),IF(AND(I2100="TDN",S2100&lt;=2800),VLOOKUP(AF2100,TNCalibEq2500!$AZ$2:$BB$56,3,)))</f>
        <v>0</v>
      </c>
      <c r="AU2100" s="10" t="b">
        <f>IF(I2100="TP",VLOOKUP(AF2100,TPCalibEqFull!$AZ$2:$BB$56,3),IF(I2100="TDP",VLOOKUP(AF2100,TPCalibEqFull!$AZ$2:$BB$56,3),IF(I2100="TDN",VLOOKUP(AF2100,TNCalibEqFull!$AZ$1:$BB$56,3),IF(I2100="TN",VLOOKUP(AF2100,TNCalibEqFull!$AZ$1:$BB$56,3),FALSE))))</f>
        <v>0</v>
      </c>
      <c r="AV2100" s="10" t="str">
        <f t="shared" si="240"/>
        <v>0206 09:06:00-USR-0-FIL-1-SW-UKN</v>
      </c>
    </row>
    <row r="2101" spans="1:48" s="10" customFormat="1" x14ac:dyDescent="0.55000000000000004">
      <c r="A2101" s="32">
        <v>44963</v>
      </c>
      <c r="B2101" s="33">
        <v>0.39305555555555555</v>
      </c>
      <c r="C2101" s="10" t="s">
        <v>351</v>
      </c>
      <c r="D2101" s="10">
        <v>0</v>
      </c>
      <c r="E2101" s="10" t="s">
        <v>911</v>
      </c>
      <c r="F2101" s="10">
        <v>1</v>
      </c>
      <c r="G2101" s="10" t="s">
        <v>231</v>
      </c>
      <c r="H2101" s="10" t="s">
        <v>322</v>
      </c>
      <c r="I2101" s="10" t="s">
        <v>183</v>
      </c>
      <c r="J2101" s="10">
        <v>74</v>
      </c>
      <c r="K2101" s="12">
        <v>44966</v>
      </c>
      <c r="L2101" s="33">
        <v>0.55210648148148145</v>
      </c>
      <c r="M2101" s="10">
        <v>1</v>
      </c>
      <c r="N2101" s="10" t="s">
        <v>76</v>
      </c>
      <c r="O2101" s="10">
        <v>2.3199999999999998E-2</v>
      </c>
      <c r="P2101" s="10">
        <v>2.3900000000000002E-3</v>
      </c>
      <c r="Q2101" s="10">
        <v>1.34</v>
      </c>
      <c r="R2101" s="10" t="s">
        <v>77</v>
      </c>
      <c r="S2101" s="34">
        <f t="shared" si="235"/>
        <v>1.34</v>
      </c>
      <c r="T2101" s="10" t="s">
        <v>1155</v>
      </c>
      <c r="U2101" s="34" t="str">
        <f t="shared" si="238"/>
        <v/>
      </c>
      <c r="V2101" s="31" t="str">
        <f>IF(H2101="CHK",VLOOKUP(I2101,QCCHK,3,),IF(H2101="GUP",VLOOKUP(E2101,QCGUP,2,),IF(AND(H2101="ATP",OR(I2101="TN",I2101="TDN",I2101="TNO2-3",I2101="NO2-3")),VLOOKUP(E2101,QCREC_N,2,),IF(AND(H2101="NIC",OR(I2101="TN",I2101="TDN",I2101="TNO2-3",I2101="NO2-3")),VLOOKUP(E2101,QCNIC_N,2,),IF(AND(H2101="UREA",OR(I2101="TN",I2101="TDN",I2101="TNO2-3",I2101="NO2-3")),VLOOKUP(E2101,QCUREA_N,2,),IF(H2101="PER",VLOOKUP(I2101,QCPER,MATCH(E2101,QCACTUAL!$J$25:$AA$25,0),),IF(H2101="SPK",VLOOKUP(I2101,QCSPK,3,),IF(AND(H2101="ATP",OR(I2101="TP",I2101="TDP")),VLOOKUP(E2101,QCATP_P,2,),""))))))))</f>
        <v/>
      </c>
      <c r="W2101" s="31" t="str">
        <f t="shared" si="239"/>
        <v>TRUE</v>
      </c>
      <c r="X2101" s="31" t="str">
        <f t="shared" si="234"/>
        <v/>
      </c>
      <c r="Y2101" s="10" t="s">
        <v>1144</v>
      </c>
      <c r="Z2101" s="10" t="s">
        <v>910</v>
      </c>
      <c r="AL2101" s="10" t="str">
        <f t="shared" si="236"/>
        <v>FALSE</v>
      </c>
      <c r="AM2101" s="10" t="str">
        <f t="shared" si="236"/>
        <v>FALSE</v>
      </c>
      <c r="AN2101" s="10" t="str">
        <f t="shared" si="236"/>
        <v>FALSE</v>
      </c>
      <c r="AO2101" s="10" t="str">
        <f t="shared" si="237"/>
        <v>FALSE</v>
      </c>
      <c r="AP2101" s="10" t="str">
        <f t="shared" si="237"/>
        <v>FALSE</v>
      </c>
      <c r="AQ2101" s="10" t="b">
        <f>IF(AND(I2101="TP",S2101&lt;=150),VLOOKUP(AF2101,TPCalibEq150!$AZ$2:$BB$55,3,),IF(AND(I2101="TDP",S2101&lt;=150),VLOOKUP(AF2101,TPCalibEq150!$AZ$2:$BB$55,3,)))</f>
        <v>0</v>
      </c>
      <c r="AR2101" s="10" t="b">
        <f>IF(AND(I2101="TP",S2101&lt;=300),VLOOKUP(AF2101,TPCalibEq300!$AZ$2:$BB$55,3,),IF(AND(I2101="TDP",S2101&lt;=300),VLOOKUP(AF2101,TPCalibEq300!$AZ$2:$BB$55,3,)))</f>
        <v>0</v>
      </c>
      <c r="AS2101" s="10" t="b">
        <f>IF(AND(I2101="TP",S2101&lt;=500),VLOOKUP(AF2101,TPCalibEq500!$AZ$2:$BB$56,3,),IF(AND(I2101="TDP",S2101&lt;=500),VLOOKUP(AF2101,TPCalibEq500!$AZ$2:$BB$56,3,)))</f>
        <v>0</v>
      </c>
      <c r="AT2101" s="10" t="b">
        <f>IF(AND(I2101="TN",S2101&lt;=2800),VLOOKUP(AF2101,TNCalibEq2500!$AZ$2:$BB$56,3,),IF(AND(I2101="TDN",S2101&lt;=2800),VLOOKUP(AF2101,TNCalibEq2500!$AZ$2:$BB$56,3,)))</f>
        <v>0</v>
      </c>
      <c r="AU2101" s="10" t="b">
        <f>IF(I2101="TP",VLOOKUP(AF2101,TPCalibEqFull!$AZ$2:$BB$56,3),IF(I2101="TDP",VLOOKUP(AF2101,TPCalibEqFull!$AZ$2:$BB$56,3),IF(I2101="TDN",VLOOKUP(AF2101,TNCalibEqFull!$AZ$1:$BB$56,3),IF(I2101="TN",VLOOKUP(AF2101,TNCalibEqFull!$AZ$1:$BB$56,3),FALSE))))</f>
        <v>0</v>
      </c>
      <c r="AV2101" s="10" t="str">
        <f t="shared" si="240"/>
        <v>0206 09:26:00-SHC-0-FIL-1-SW-UKN</v>
      </c>
    </row>
    <row r="2102" spans="1:48" s="10" customFormat="1" x14ac:dyDescent="0.55000000000000004">
      <c r="A2102" s="32">
        <v>44963</v>
      </c>
      <c r="B2102" s="33">
        <v>0.4055555555555555</v>
      </c>
      <c r="C2102" s="10" t="s">
        <v>355</v>
      </c>
      <c r="D2102" s="10">
        <v>0</v>
      </c>
      <c r="E2102" s="10" t="s">
        <v>911</v>
      </c>
      <c r="F2102" s="10">
        <v>1</v>
      </c>
      <c r="G2102" s="10" t="s">
        <v>231</v>
      </c>
      <c r="H2102" s="10" t="s">
        <v>322</v>
      </c>
      <c r="I2102" s="10" t="s">
        <v>183</v>
      </c>
      <c r="J2102" s="10">
        <v>75</v>
      </c>
      <c r="K2102" s="12">
        <v>44966</v>
      </c>
      <c r="L2102" s="33">
        <v>0.55290509259259257</v>
      </c>
      <c r="M2102" s="10">
        <v>1</v>
      </c>
      <c r="N2102" s="10" t="s">
        <v>76</v>
      </c>
      <c r="O2102" s="10">
        <v>0.219</v>
      </c>
      <c r="P2102" s="10">
        <v>1.8499999999999999E-2</v>
      </c>
      <c r="Q2102" s="10">
        <v>12.6</v>
      </c>
      <c r="R2102" s="10" t="s">
        <v>77</v>
      </c>
      <c r="S2102" s="34">
        <f t="shared" si="235"/>
        <v>12.6</v>
      </c>
      <c r="T2102" s="10" t="s">
        <v>1155</v>
      </c>
      <c r="U2102" s="34" t="str">
        <f t="shared" si="238"/>
        <v/>
      </c>
      <c r="V2102" s="31" t="str">
        <f>IF(H2102="CHK",VLOOKUP(I2102,QCCHK,3,),IF(H2102="GUP",VLOOKUP(E2102,QCGUP,2,),IF(AND(H2102="ATP",OR(I2102="TN",I2102="TDN",I2102="TNO2-3",I2102="NO2-3")),VLOOKUP(E2102,QCREC_N,2,),IF(AND(H2102="NIC",OR(I2102="TN",I2102="TDN",I2102="TNO2-3",I2102="NO2-3")),VLOOKUP(E2102,QCNIC_N,2,),IF(AND(H2102="UREA",OR(I2102="TN",I2102="TDN",I2102="TNO2-3",I2102="NO2-3")),VLOOKUP(E2102,QCUREA_N,2,),IF(H2102="PER",VLOOKUP(I2102,QCPER,MATCH(E2102,QCACTUAL!$J$25:$AA$25,0),),IF(H2102="SPK",VLOOKUP(I2102,QCSPK,3,),IF(AND(H2102="ATP",OR(I2102="TP",I2102="TDP")),VLOOKUP(E2102,QCATP_P,2,),""))))))))</f>
        <v/>
      </c>
      <c r="W2102" s="31" t="str">
        <f t="shared" si="239"/>
        <v>TRUE</v>
      </c>
      <c r="X2102" s="31" t="str">
        <f t="shared" si="234"/>
        <v/>
      </c>
      <c r="Y2102" s="10" t="s">
        <v>1144</v>
      </c>
      <c r="Z2102" s="10" t="s">
        <v>910</v>
      </c>
      <c r="AL2102" s="10" t="str">
        <f t="shared" si="236"/>
        <v>FALSE</v>
      </c>
      <c r="AM2102" s="10" t="str">
        <f t="shared" si="236"/>
        <v>FALSE</v>
      </c>
      <c r="AN2102" s="10" t="str">
        <f t="shared" si="236"/>
        <v>FALSE</v>
      </c>
      <c r="AO2102" s="10" t="str">
        <f t="shared" si="237"/>
        <v>FALSE</v>
      </c>
      <c r="AP2102" s="10" t="str">
        <f t="shared" si="237"/>
        <v>FALSE</v>
      </c>
      <c r="AQ2102" s="10" t="b">
        <f>IF(AND(I2102="TP",S2102&lt;=150),VLOOKUP(AF2102,TPCalibEq150!$AZ$2:$BB$55,3,),IF(AND(I2102="TDP",S2102&lt;=150),VLOOKUP(AF2102,TPCalibEq150!$AZ$2:$BB$55,3,)))</f>
        <v>0</v>
      </c>
      <c r="AR2102" s="10" t="b">
        <f>IF(AND(I2102="TP",S2102&lt;=300),VLOOKUP(AF2102,TPCalibEq300!$AZ$2:$BB$55,3,),IF(AND(I2102="TDP",S2102&lt;=300),VLOOKUP(AF2102,TPCalibEq300!$AZ$2:$BB$55,3,)))</f>
        <v>0</v>
      </c>
      <c r="AS2102" s="10" t="b">
        <f>IF(AND(I2102="TP",S2102&lt;=500),VLOOKUP(AF2102,TPCalibEq500!$AZ$2:$BB$56,3,),IF(AND(I2102="TDP",S2102&lt;=500),VLOOKUP(AF2102,TPCalibEq500!$AZ$2:$BB$56,3,)))</f>
        <v>0</v>
      </c>
      <c r="AT2102" s="10" t="b">
        <f>IF(AND(I2102="TN",S2102&lt;=2800),VLOOKUP(AF2102,TNCalibEq2500!$AZ$2:$BB$56,3,),IF(AND(I2102="TDN",S2102&lt;=2800),VLOOKUP(AF2102,TNCalibEq2500!$AZ$2:$BB$56,3,)))</f>
        <v>0</v>
      </c>
      <c r="AU2102" s="10" t="b">
        <f>IF(I2102="TP",VLOOKUP(AF2102,TPCalibEqFull!$AZ$2:$BB$56,3),IF(I2102="TDP",VLOOKUP(AF2102,TPCalibEqFull!$AZ$2:$BB$56,3),IF(I2102="TDN",VLOOKUP(AF2102,TNCalibEqFull!$AZ$1:$BB$56,3),IF(I2102="TN",VLOOKUP(AF2102,TNCalibEqFull!$AZ$1:$BB$56,3),FALSE))))</f>
        <v>0</v>
      </c>
      <c r="AV2102" s="10" t="str">
        <f t="shared" si="240"/>
        <v>0206 09:44:00-SLT-0-FIL-1-SW-UKN</v>
      </c>
    </row>
    <row r="2103" spans="1:48" s="10" customFormat="1" x14ac:dyDescent="0.55000000000000004">
      <c r="A2103" s="32">
        <v>44963</v>
      </c>
      <c r="B2103" s="33">
        <v>0.4236111111111111</v>
      </c>
      <c r="C2103" s="10" t="s">
        <v>310</v>
      </c>
      <c r="D2103" s="10">
        <v>0</v>
      </c>
      <c r="E2103" s="10" t="s">
        <v>911</v>
      </c>
      <c r="F2103" s="10">
        <v>1</v>
      </c>
      <c r="G2103" s="10" t="s">
        <v>231</v>
      </c>
      <c r="H2103" s="10" t="s">
        <v>322</v>
      </c>
      <c r="I2103" s="10" t="s">
        <v>183</v>
      </c>
      <c r="J2103" s="10">
        <v>76</v>
      </c>
      <c r="K2103" s="12">
        <v>44966</v>
      </c>
      <c r="L2103" s="33">
        <v>0.55372685185185189</v>
      </c>
      <c r="M2103" s="10">
        <v>1</v>
      </c>
      <c r="N2103" s="10" t="s">
        <v>76</v>
      </c>
      <c r="O2103" s="10">
        <v>2.75E-2</v>
      </c>
      <c r="P2103" s="10">
        <v>2.0600000000000002E-3</v>
      </c>
      <c r="Q2103" s="10">
        <v>1.58</v>
      </c>
      <c r="R2103" s="10" t="s">
        <v>77</v>
      </c>
      <c r="S2103" s="34">
        <f t="shared" si="235"/>
        <v>1.58</v>
      </c>
      <c r="T2103" s="10" t="s">
        <v>1155</v>
      </c>
      <c r="U2103" s="34" t="str">
        <f t="shared" si="238"/>
        <v/>
      </c>
      <c r="V2103" s="31" t="str">
        <f>IF(H2103="CHK",VLOOKUP(I2103,QCCHK,3,),IF(H2103="GUP",VLOOKUP(E2103,QCGUP,2,),IF(AND(H2103="ATP",OR(I2103="TN",I2103="TDN",I2103="TNO2-3",I2103="NO2-3")),VLOOKUP(E2103,QCREC_N,2,),IF(AND(H2103="NIC",OR(I2103="TN",I2103="TDN",I2103="TNO2-3",I2103="NO2-3")),VLOOKUP(E2103,QCNIC_N,2,),IF(AND(H2103="UREA",OR(I2103="TN",I2103="TDN",I2103="TNO2-3",I2103="NO2-3")),VLOOKUP(E2103,QCUREA_N,2,),IF(H2103="PER",VLOOKUP(I2103,QCPER,MATCH(E2103,QCACTUAL!$J$25:$AA$25,0),),IF(H2103="SPK",VLOOKUP(I2103,QCSPK,3,),IF(AND(H2103="ATP",OR(I2103="TP",I2103="TDP")),VLOOKUP(E2103,QCATP_P,2,),""))))))))</f>
        <v/>
      </c>
      <c r="W2103" s="31" t="str">
        <f t="shared" si="239"/>
        <v>TRUE</v>
      </c>
      <c r="X2103" s="31" t="str">
        <f t="shared" si="234"/>
        <v/>
      </c>
      <c r="Y2103" s="10" t="s">
        <v>1144</v>
      </c>
      <c r="Z2103" s="10" t="s">
        <v>910</v>
      </c>
      <c r="AL2103" s="10" t="str">
        <f t="shared" si="236"/>
        <v>FALSE</v>
      </c>
      <c r="AM2103" s="10" t="str">
        <f t="shared" si="236"/>
        <v>FALSE</v>
      </c>
      <c r="AN2103" s="10" t="str">
        <f t="shared" si="236"/>
        <v>FALSE</v>
      </c>
      <c r="AO2103" s="10" t="str">
        <f t="shared" si="237"/>
        <v>FALSE</v>
      </c>
      <c r="AP2103" s="10" t="str">
        <f t="shared" si="237"/>
        <v>FALSE</v>
      </c>
      <c r="AQ2103" s="10" t="b">
        <f>IF(AND(I2103="TP",S2103&lt;=150),VLOOKUP(AF2103,TPCalibEq150!$AZ$2:$BB$55,3,),IF(AND(I2103="TDP",S2103&lt;=150),VLOOKUP(AF2103,TPCalibEq150!$AZ$2:$BB$55,3,)))</f>
        <v>0</v>
      </c>
      <c r="AR2103" s="10" t="b">
        <f>IF(AND(I2103="TP",S2103&lt;=300),VLOOKUP(AF2103,TPCalibEq300!$AZ$2:$BB$55,3,),IF(AND(I2103="TDP",S2103&lt;=300),VLOOKUP(AF2103,TPCalibEq300!$AZ$2:$BB$55,3,)))</f>
        <v>0</v>
      </c>
      <c r="AS2103" s="10" t="b">
        <f>IF(AND(I2103="TP",S2103&lt;=500),VLOOKUP(AF2103,TPCalibEq500!$AZ$2:$BB$56,3,),IF(AND(I2103="TDP",S2103&lt;=500),VLOOKUP(AF2103,TPCalibEq500!$AZ$2:$BB$56,3,)))</f>
        <v>0</v>
      </c>
      <c r="AT2103" s="10" t="b">
        <f>IF(AND(I2103="TN",S2103&lt;=2800),VLOOKUP(AF2103,TNCalibEq2500!$AZ$2:$BB$56,3,),IF(AND(I2103="TDN",S2103&lt;=2800),VLOOKUP(AF2103,TNCalibEq2500!$AZ$2:$BB$56,3,)))</f>
        <v>0</v>
      </c>
      <c r="AU2103" s="10" t="b">
        <f>IF(I2103="TP",VLOOKUP(AF2103,TPCalibEqFull!$AZ$2:$BB$56,3),IF(I2103="TDP",VLOOKUP(AF2103,TPCalibEqFull!$AZ$2:$BB$56,3),IF(I2103="TDN",VLOOKUP(AF2103,TNCalibEqFull!$AZ$1:$BB$56,3),IF(I2103="TN",VLOOKUP(AF2103,TNCalibEqFull!$AZ$1:$BB$56,3),FALSE))))</f>
        <v>0</v>
      </c>
      <c r="AV2103" s="10" t="str">
        <f t="shared" si="240"/>
        <v>0206 10:10:00-ELI-0-FIL-1-SW-UKN</v>
      </c>
    </row>
    <row r="2104" spans="1:48" s="10" customFormat="1" x14ac:dyDescent="0.55000000000000004">
      <c r="A2104" s="32">
        <v>44963</v>
      </c>
      <c r="B2104" s="33">
        <v>0.44930555555555557</v>
      </c>
      <c r="C2104" s="10" t="s">
        <v>999</v>
      </c>
      <c r="D2104" s="10">
        <v>0</v>
      </c>
      <c r="E2104" s="10" t="s">
        <v>911</v>
      </c>
      <c r="F2104" s="10">
        <v>1</v>
      </c>
      <c r="G2104" s="10" t="s">
        <v>231</v>
      </c>
      <c r="H2104" s="10" t="s">
        <v>322</v>
      </c>
      <c r="I2104" s="10" t="s">
        <v>183</v>
      </c>
      <c r="J2104" s="10">
        <v>77</v>
      </c>
      <c r="K2104" s="12">
        <v>44966</v>
      </c>
      <c r="L2104" s="33">
        <v>0.55456018518518524</v>
      </c>
      <c r="M2104" s="10">
        <v>1</v>
      </c>
      <c r="N2104" s="10" t="s">
        <v>76</v>
      </c>
      <c r="O2104" s="10">
        <v>4.7899999999999998E-2</v>
      </c>
      <c r="P2104" s="10">
        <v>2.8700000000000002E-3</v>
      </c>
      <c r="Q2104" s="10">
        <v>2.75</v>
      </c>
      <c r="R2104" s="10" t="s">
        <v>77</v>
      </c>
      <c r="S2104" s="34">
        <f t="shared" si="235"/>
        <v>2.75</v>
      </c>
      <c r="T2104" s="10" t="s">
        <v>1155</v>
      </c>
      <c r="U2104" s="34" t="str">
        <f t="shared" si="238"/>
        <v/>
      </c>
      <c r="V2104" s="31" t="str">
        <f>IF(H2104="CHK",VLOOKUP(I2104,QCCHK,3,),IF(H2104="GUP",VLOOKUP(E2104,QCGUP,2,),IF(AND(H2104="ATP",OR(I2104="TN",I2104="TDN",I2104="TNO2-3",I2104="NO2-3")),VLOOKUP(E2104,QCREC_N,2,),IF(AND(H2104="NIC",OR(I2104="TN",I2104="TDN",I2104="TNO2-3",I2104="NO2-3")),VLOOKUP(E2104,QCNIC_N,2,),IF(AND(H2104="UREA",OR(I2104="TN",I2104="TDN",I2104="TNO2-3",I2104="NO2-3")),VLOOKUP(E2104,QCUREA_N,2,),IF(H2104="PER",VLOOKUP(I2104,QCPER,MATCH(E2104,QCACTUAL!$J$25:$AA$25,0),),IF(H2104="SPK",VLOOKUP(I2104,QCSPK,3,),IF(AND(H2104="ATP",OR(I2104="TP",I2104="TDP")),VLOOKUP(E2104,QCATP_P,2,),""))))))))</f>
        <v/>
      </c>
      <c r="W2104" s="31" t="str">
        <f t="shared" si="239"/>
        <v>TRUE</v>
      </c>
      <c r="X2104" s="31" t="str">
        <f t="shared" si="234"/>
        <v/>
      </c>
      <c r="Y2104" s="10" t="s">
        <v>1144</v>
      </c>
      <c r="Z2104" s="10" t="s">
        <v>910</v>
      </c>
      <c r="AL2104" s="10" t="str">
        <f t="shared" si="236"/>
        <v>FALSE</v>
      </c>
      <c r="AM2104" s="10" t="str">
        <f t="shared" si="236"/>
        <v>FALSE</v>
      </c>
      <c r="AN2104" s="10" t="str">
        <f t="shared" si="236"/>
        <v>FALSE</v>
      </c>
      <c r="AO2104" s="10" t="str">
        <f t="shared" si="237"/>
        <v>FALSE</v>
      </c>
      <c r="AP2104" s="10" t="str">
        <f t="shared" si="237"/>
        <v>FALSE</v>
      </c>
      <c r="AQ2104" s="10" t="b">
        <f>IF(AND(I2104="TP",S2104&lt;=150),VLOOKUP(AF2104,TPCalibEq150!$AZ$2:$BB$55,3,),IF(AND(I2104="TDP",S2104&lt;=150),VLOOKUP(AF2104,TPCalibEq150!$AZ$2:$BB$55,3,)))</f>
        <v>0</v>
      </c>
      <c r="AR2104" s="10" t="b">
        <f>IF(AND(I2104="TP",S2104&lt;=300),VLOOKUP(AF2104,TPCalibEq300!$AZ$2:$BB$55,3,),IF(AND(I2104="TDP",S2104&lt;=300),VLOOKUP(AF2104,TPCalibEq300!$AZ$2:$BB$55,3,)))</f>
        <v>0</v>
      </c>
      <c r="AS2104" s="10" t="b">
        <f>IF(AND(I2104="TP",S2104&lt;=500),VLOOKUP(AF2104,TPCalibEq500!$AZ$2:$BB$56,3,),IF(AND(I2104="TDP",S2104&lt;=500),VLOOKUP(AF2104,TPCalibEq500!$AZ$2:$BB$56,3,)))</f>
        <v>0</v>
      </c>
      <c r="AT2104" s="10" t="b">
        <f>IF(AND(I2104="TN",S2104&lt;=2800),VLOOKUP(AF2104,TNCalibEq2500!$AZ$2:$BB$56,3,),IF(AND(I2104="TDN",S2104&lt;=2800),VLOOKUP(AF2104,TNCalibEq2500!$AZ$2:$BB$56,3,)))</f>
        <v>0</v>
      </c>
      <c r="AU2104" s="10" t="b">
        <f>IF(I2104="TP",VLOOKUP(AF2104,TPCalibEqFull!$AZ$2:$BB$56,3),IF(I2104="TDP",VLOOKUP(AF2104,TPCalibEqFull!$AZ$2:$BB$56,3),IF(I2104="TDN",VLOOKUP(AF2104,TNCalibEqFull!$AZ$1:$BB$56,3),IF(I2104="TN",VLOOKUP(AF2104,TNCalibEqFull!$AZ$1:$BB$56,3),FALSE))))</f>
        <v>0</v>
      </c>
      <c r="AV2104" s="10" t="str">
        <f t="shared" si="240"/>
        <v>0206 10:47:00-EAW-0-FIL-1-SW-UKN</v>
      </c>
    </row>
    <row r="2105" spans="1:48" s="10" customFormat="1" x14ac:dyDescent="0.55000000000000004">
      <c r="A2105" s="32">
        <v>44963</v>
      </c>
      <c r="B2105" s="33">
        <v>0.4604166666666667</v>
      </c>
      <c r="C2105" s="10" t="s">
        <v>613</v>
      </c>
      <c r="D2105" s="10">
        <v>0</v>
      </c>
      <c r="E2105" s="10" t="s">
        <v>911</v>
      </c>
      <c r="F2105" s="10">
        <v>1</v>
      </c>
      <c r="G2105" s="10" t="s">
        <v>231</v>
      </c>
      <c r="H2105" s="10" t="s">
        <v>322</v>
      </c>
      <c r="I2105" s="10" t="s">
        <v>183</v>
      </c>
      <c r="J2105" s="10">
        <v>78</v>
      </c>
      <c r="K2105" s="12">
        <v>44966</v>
      </c>
      <c r="L2105" s="33">
        <v>0.55538194444444444</v>
      </c>
      <c r="M2105" s="10">
        <v>1</v>
      </c>
      <c r="N2105" s="10" t="s">
        <v>76</v>
      </c>
      <c r="O2105" s="10">
        <v>3.5200000000000002E-2</v>
      </c>
      <c r="P2105" s="10">
        <v>3.5500000000000002E-3</v>
      </c>
      <c r="Q2105" s="10">
        <v>2.0299999999999998</v>
      </c>
      <c r="R2105" s="10" t="s">
        <v>77</v>
      </c>
      <c r="S2105" s="34">
        <f t="shared" si="235"/>
        <v>2.0299999999999998</v>
      </c>
      <c r="T2105" s="10" t="s">
        <v>1155</v>
      </c>
      <c r="U2105" s="34" t="str">
        <f t="shared" si="238"/>
        <v/>
      </c>
      <c r="V2105" s="31" t="str">
        <f>IF(H2105="CHK",VLOOKUP(I2105,QCCHK,3,),IF(H2105="GUP",VLOOKUP(E2105,QCGUP,2,),IF(AND(H2105="ATP",OR(I2105="TN",I2105="TDN",I2105="TNO2-3",I2105="NO2-3")),VLOOKUP(E2105,QCREC_N,2,),IF(AND(H2105="NIC",OR(I2105="TN",I2105="TDN",I2105="TNO2-3",I2105="NO2-3")),VLOOKUP(E2105,QCNIC_N,2,),IF(AND(H2105="UREA",OR(I2105="TN",I2105="TDN",I2105="TNO2-3",I2105="NO2-3")),VLOOKUP(E2105,QCUREA_N,2,),IF(H2105="PER",VLOOKUP(I2105,QCPER,MATCH(E2105,QCACTUAL!$J$25:$AA$25,0),),IF(H2105="SPK",VLOOKUP(I2105,QCSPK,3,),IF(AND(H2105="ATP",OR(I2105="TP",I2105="TDP")),VLOOKUP(E2105,QCATP_P,2,),""))))))))</f>
        <v/>
      </c>
      <c r="W2105" s="31" t="str">
        <f t="shared" si="239"/>
        <v>TRUE</v>
      </c>
      <c r="X2105" s="31" t="str">
        <f t="shared" si="234"/>
        <v/>
      </c>
      <c r="Y2105" s="10" t="s">
        <v>1144</v>
      </c>
      <c r="Z2105" s="10" t="s">
        <v>910</v>
      </c>
      <c r="AL2105" s="10" t="str">
        <f t="shared" si="236"/>
        <v>FALSE</v>
      </c>
      <c r="AM2105" s="10" t="str">
        <f t="shared" si="236"/>
        <v>FALSE</v>
      </c>
      <c r="AN2105" s="10" t="str">
        <f t="shared" si="236"/>
        <v>FALSE</v>
      </c>
      <c r="AO2105" s="10" t="str">
        <f t="shared" si="237"/>
        <v>FALSE</v>
      </c>
      <c r="AP2105" s="10" t="str">
        <f t="shared" si="237"/>
        <v>FALSE</v>
      </c>
      <c r="AQ2105" s="10" t="b">
        <f>IF(AND(I2105="TP",S2105&lt;=150),VLOOKUP(AF2105,TPCalibEq150!$AZ$2:$BB$55,3,),IF(AND(I2105="TDP",S2105&lt;=150),VLOOKUP(AF2105,TPCalibEq150!$AZ$2:$BB$55,3,)))</f>
        <v>0</v>
      </c>
      <c r="AR2105" s="10" t="b">
        <f>IF(AND(I2105="TP",S2105&lt;=300),VLOOKUP(AF2105,TPCalibEq300!$AZ$2:$BB$55,3,),IF(AND(I2105="TDP",S2105&lt;=300),VLOOKUP(AF2105,TPCalibEq300!$AZ$2:$BB$55,3,)))</f>
        <v>0</v>
      </c>
      <c r="AS2105" s="10" t="b">
        <f>IF(AND(I2105="TP",S2105&lt;=500),VLOOKUP(AF2105,TPCalibEq500!$AZ$2:$BB$56,3,),IF(AND(I2105="TDP",S2105&lt;=500),VLOOKUP(AF2105,TPCalibEq500!$AZ$2:$BB$56,3,)))</f>
        <v>0</v>
      </c>
      <c r="AT2105" s="10" t="b">
        <f>IF(AND(I2105="TN",S2105&lt;=2800),VLOOKUP(AF2105,TNCalibEq2500!$AZ$2:$BB$56,3,),IF(AND(I2105="TDN",S2105&lt;=2800),VLOOKUP(AF2105,TNCalibEq2500!$AZ$2:$BB$56,3,)))</f>
        <v>0</v>
      </c>
      <c r="AU2105" s="10" t="b">
        <f>IF(I2105="TP",VLOOKUP(AF2105,TPCalibEqFull!$AZ$2:$BB$56,3),IF(I2105="TDP",VLOOKUP(AF2105,TPCalibEqFull!$AZ$2:$BB$56,3),IF(I2105="TDN",VLOOKUP(AF2105,TNCalibEqFull!$AZ$1:$BB$56,3),IF(I2105="TN",VLOOKUP(AF2105,TNCalibEqFull!$AZ$1:$BB$56,3),FALSE))))</f>
        <v>0</v>
      </c>
      <c r="AV2105" s="10" t="str">
        <f t="shared" si="240"/>
        <v>0206 11:03:00-FVC-0-FIL-1-SW-UKN</v>
      </c>
    </row>
    <row r="2106" spans="1:48" s="10" customFormat="1" x14ac:dyDescent="0.55000000000000004">
      <c r="A2106" s="32">
        <v>44963</v>
      </c>
      <c r="B2106" s="33">
        <v>0.4604166666666667</v>
      </c>
      <c r="C2106" s="10" t="s">
        <v>613</v>
      </c>
      <c r="D2106" s="10">
        <v>0</v>
      </c>
      <c r="E2106" s="10" t="s">
        <v>911</v>
      </c>
      <c r="F2106" s="10">
        <v>2</v>
      </c>
      <c r="G2106" s="10" t="s">
        <v>231</v>
      </c>
      <c r="H2106" s="10" t="s">
        <v>322</v>
      </c>
      <c r="I2106" s="10" t="s">
        <v>183</v>
      </c>
      <c r="J2106" s="10">
        <v>79</v>
      </c>
      <c r="K2106" s="12">
        <v>44966</v>
      </c>
      <c r="L2106" s="33">
        <v>0.55620370370370364</v>
      </c>
      <c r="M2106" s="10">
        <v>1</v>
      </c>
      <c r="N2106" s="10" t="s">
        <v>76</v>
      </c>
      <c r="O2106" s="10">
        <v>3.2000000000000001E-2</v>
      </c>
      <c r="P2106" s="10">
        <v>2.2100000000000002E-3</v>
      </c>
      <c r="Q2106" s="10">
        <v>1.84</v>
      </c>
      <c r="R2106" s="10" t="s">
        <v>77</v>
      </c>
      <c r="S2106" s="34">
        <f t="shared" si="235"/>
        <v>1.84</v>
      </c>
      <c r="T2106" s="10" t="s">
        <v>1155</v>
      </c>
      <c r="U2106" s="34" t="str">
        <f t="shared" si="238"/>
        <v/>
      </c>
      <c r="V2106" s="31" t="str">
        <f>IF(H2106="CHK",VLOOKUP(I2106,QCCHK,3,),IF(H2106="GUP",VLOOKUP(E2106,QCGUP,2,),IF(AND(H2106="ATP",OR(I2106="TN",I2106="TDN",I2106="TNO2-3",I2106="NO2-3")),VLOOKUP(E2106,QCREC_N,2,),IF(AND(H2106="NIC",OR(I2106="TN",I2106="TDN",I2106="TNO2-3",I2106="NO2-3")),VLOOKUP(E2106,QCNIC_N,2,),IF(AND(H2106="UREA",OR(I2106="TN",I2106="TDN",I2106="TNO2-3",I2106="NO2-3")),VLOOKUP(E2106,QCUREA_N,2,),IF(H2106="PER",VLOOKUP(I2106,QCPER,MATCH(E2106,QCACTUAL!$J$25:$AA$25,0),),IF(H2106="SPK",VLOOKUP(I2106,QCSPK,3,),IF(AND(H2106="ATP",OR(I2106="TP",I2106="TDP")),VLOOKUP(E2106,QCATP_P,2,),""))))))))</f>
        <v/>
      </c>
      <c r="W2106" s="31" t="str">
        <f t="shared" si="239"/>
        <v>TRUE</v>
      </c>
      <c r="X2106" s="31" t="str">
        <f t="shared" si="234"/>
        <v/>
      </c>
      <c r="Y2106" s="10" t="s">
        <v>1144</v>
      </c>
      <c r="Z2106" s="10" t="s">
        <v>910</v>
      </c>
      <c r="AL2106" s="10" t="str">
        <f t="shared" si="236"/>
        <v>FALSE</v>
      </c>
      <c r="AM2106" s="10" t="str">
        <f t="shared" si="236"/>
        <v>FALSE</v>
      </c>
      <c r="AN2106" s="10" t="str">
        <f t="shared" si="236"/>
        <v>FALSE</v>
      </c>
      <c r="AO2106" s="10" t="str">
        <f t="shared" si="237"/>
        <v>FALSE</v>
      </c>
      <c r="AP2106" s="10" t="str">
        <f t="shared" si="237"/>
        <v>FALSE</v>
      </c>
      <c r="AQ2106" s="10" t="b">
        <f>IF(AND(I2106="TP",S2106&lt;=150),VLOOKUP(AF2106,TPCalibEq150!$AZ$2:$BB$55,3,),IF(AND(I2106="TDP",S2106&lt;=150),VLOOKUP(AF2106,TPCalibEq150!$AZ$2:$BB$55,3,)))</f>
        <v>0</v>
      </c>
      <c r="AR2106" s="10" t="b">
        <f>IF(AND(I2106="TP",S2106&lt;=300),VLOOKUP(AF2106,TPCalibEq300!$AZ$2:$BB$55,3,),IF(AND(I2106="TDP",S2106&lt;=300),VLOOKUP(AF2106,TPCalibEq300!$AZ$2:$BB$55,3,)))</f>
        <v>0</v>
      </c>
      <c r="AS2106" s="10" t="b">
        <f>IF(AND(I2106="TP",S2106&lt;=500),VLOOKUP(AF2106,TPCalibEq500!$AZ$2:$BB$56,3,),IF(AND(I2106="TDP",S2106&lt;=500),VLOOKUP(AF2106,TPCalibEq500!$AZ$2:$BB$56,3,)))</f>
        <v>0</v>
      </c>
      <c r="AT2106" s="10" t="b">
        <f>IF(AND(I2106="TN",S2106&lt;=2800),VLOOKUP(AF2106,TNCalibEq2500!$AZ$2:$BB$56,3,),IF(AND(I2106="TDN",S2106&lt;=2800),VLOOKUP(AF2106,TNCalibEq2500!$AZ$2:$BB$56,3,)))</f>
        <v>0</v>
      </c>
      <c r="AU2106" s="10" t="b">
        <f>IF(I2106="TP",VLOOKUP(AF2106,TPCalibEqFull!$AZ$2:$BB$56,3),IF(I2106="TDP",VLOOKUP(AF2106,TPCalibEqFull!$AZ$2:$BB$56,3),IF(I2106="TDN",VLOOKUP(AF2106,TNCalibEqFull!$AZ$1:$BB$56,3),IF(I2106="TN",VLOOKUP(AF2106,TNCalibEqFull!$AZ$1:$BB$56,3),FALSE))))</f>
        <v>0</v>
      </c>
      <c r="AV2106" s="10" t="str">
        <f t="shared" si="240"/>
        <v>0206 11:03:00-FVC-0-FIL-2-SW-UKN</v>
      </c>
    </row>
    <row r="2107" spans="1:48" s="10" customFormat="1" x14ac:dyDescent="0.55000000000000004">
      <c r="A2107" s="32">
        <v>44963</v>
      </c>
      <c r="B2107" s="33">
        <v>0.4604166666666667</v>
      </c>
      <c r="C2107" s="10" t="s">
        <v>613</v>
      </c>
      <c r="D2107" s="10">
        <v>0</v>
      </c>
      <c r="E2107" s="10" t="s">
        <v>911</v>
      </c>
      <c r="F2107" s="10">
        <v>2</v>
      </c>
      <c r="G2107" s="10" t="s">
        <v>231</v>
      </c>
      <c r="H2107" s="10" t="s">
        <v>233</v>
      </c>
      <c r="I2107" s="10" t="s">
        <v>183</v>
      </c>
      <c r="J2107" s="10">
        <v>79</v>
      </c>
      <c r="K2107" s="12">
        <v>44966</v>
      </c>
      <c r="L2107" s="33">
        <v>0.55701388888888892</v>
      </c>
      <c r="M2107" s="10">
        <v>1</v>
      </c>
      <c r="N2107" s="10" t="s">
        <v>76</v>
      </c>
      <c r="O2107" s="10">
        <v>8.3299999999999999E-2</v>
      </c>
      <c r="P2107" s="10">
        <v>5.5399999999999998E-3</v>
      </c>
      <c r="Q2107" s="10">
        <v>4.79</v>
      </c>
      <c r="R2107" s="10" t="s">
        <v>77</v>
      </c>
      <c r="S2107" s="34">
        <f t="shared" si="235"/>
        <v>4.79</v>
      </c>
      <c r="T2107" s="10" t="s">
        <v>1155</v>
      </c>
      <c r="U2107" s="34">
        <f t="shared" si="238"/>
        <v>88.989441930618412</v>
      </c>
      <c r="V2107" s="31" t="str">
        <f>IF(H2107="CHK",VLOOKUP(I2107,QCCHK,3,),IF(H2107="GUP",VLOOKUP(E2107,QCGUP,2,),IF(AND(H2107="ATP",OR(I2107="TN",I2107="TDN",I2107="TNO2-3",I2107="NO2-3")),VLOOKUP(E2107,QCREC_N,2,),IF(AND(H2107="NIC",OR(I2107="TN",I2107="TDN",I2107="TNO2-3",I2107="NO2-3")),VLOOKUP(E2107,QCNIC_N,2,),IF(AND(H2107="UREA",OR(I2107="TN",I2107="TDN",I2107="TNO2-3",I2107="NO2-3")),VLOOKUP(E2107,QCUREA_N,2,),IF(H2107="PER",VLOOKUP(I2107,QCPER,MATCH(E2107,QCACTUAL!$J$25:$AA$25,0),),IF(H2107="SPK",VLOOKUP(I2107,QCSPK,3,),IF(AND(H2107="ATP",OR(I2107="TP",I2107="TDP")),VLOOKUP(E2107,QCATP_P,2,),""))))))))</f>
        <v/>
      </c>
      <c r="W2107" s="31" t="b">
        <v>1</v>
      </c>
      <c r="X2107" s="31" t="str">
        <f t="shared" si="234"/>
        <v>((ABS(rep1-rep2))/((rep1+rep2)/2)*100</v>
      </c>
      <c r="Y2107" s="10" t="s">
        <v>1144</v>
      </c>
      <c r="Z2107" s="10" t="s">
        <v>1059</v>
      </c>
      <c r="AL2107" s="10" t="str">
        <f t="shared" si="236"/>
        <v>FALSE</v>
      </c>
      <c r="AM2107" s="10" t="str">
        <f t="shared" si="236"/>
        <v>FALSE</v>
      </c>
      <c r="AN2107" s="10" t="str">
        <f t="shared" si="236"/>
        <v>FALSE</v>
      </c>
      <c r="AO2107" s="10" t="str">
        <f t="shared" si="237"/>
        <v>FALSE</v>
      </c>
      <c r="AP2107" s="10" t="str">
        <f t="shared" si="237"/>
        <v>FALSE</v>
      </c>
      <c r="AQ2107" s="10" t="b">
        <f>IF(AND(I2107="TP",S2107&lt;=150),VLOOKUP(AF2107,TPCalibEq150!$AZ$2:$BB$55,3,),IF(AND(I2107="TDP",S2107&lt;=150),VLOOKUP(AF2107,TPCalibEq150!$AZ$2:$BB$55,3,)))</f>
        <v>0</v>
      </c>
      <c r="AR2107" s="10" t="b">
        <f>IF(AND(I2107="TP",S2107&lt;=300),VLOOKUP(AF2107,TPCalibEq300!$AZ$2:$BB$55,3,),IF(AND(I2107="TDP",S2107&lt;=300),VLOOKUP(AF2107,TPCalibEq300!$AZ$2:$BB$55,3,)))</f>
        <v>0</v>
      </c>
      <c r="AS2107" s="10" t="b">
        <f>IF(AND(I2107="TP",S2107&lt;=500),VLOOKUP(AF2107,TPCalibEq500!$AZ$2:$BB$56,3,),IF(AND(I2107="TDP",S2107&lt;=500),VLOOKUP(AF2107,TPCalibEq500!$AZ$2:$BB$56,3,)))</f>
        <v>0</v>
      </c>
      <c r="AT2107" s="10" t="b">
        <f>IF(AND(I2107="TN",S2107&lt;=2800),VLOOKUP(AF2107,TNCalibEq2500!$AZ$2:$BB$56,3,),IF(AND(I2107="TDN",S2107&lt;=2800),VLOOKUP(AF2107,TNCalibEq2500!$AZ$2:$BB$56,3,)))</f>
        <v>0</v>
      </c>
      <c r="AU2107" s="10" t="b">
        <f>IF(I2107="TP",VLOOKUP(AF2107,TPCalibEqFull!$AZ$2:$BB$56,3),IF(I2107="TDP",VLOOKUP(AF2107,TPCalibEqFull!$AZ$2:$BB$56,3),IF(I2107="TDN",VLOOKUP(AF2107,TNCalibEqFull!$AZ$1:$BB$56,3),IF(I2107="TN",VLOOKUP(AF2107,TNCalibEqFull!$AZ$1:$BB$56,3),FALSE))))</f>
        <v>0</v>
      </c>
      <c r="AV2107" s="10" t="str">
        <f t="shared" si="240"/>
        <v>0206 11:03:00-FVC-0-FIL-2-SW-DUP</v>
      </c>
    </row>
    <row r="2108" spans="1:48" s="10" customFormat="1" x14ac:dyDescent="0.55000000000000004">
      <c r="A2108" s="32">
        <v>44963</v>
      </c>
      <c r="B2108" s="33">
        <v>0.4604166666666667</v>
      </c>
      <c r="C2108" s="10" t="s">
        <v>613</v>
      </c>
      <c r="D2108" s="10">
        <v>0</v>
      </c>
      <c r="E2108" s="10" t="s">
        <v>911</v>
      </c>
      <c r="F2108" s="10">
        <v>2</v>
      </c>
      <c r="G2108" s="10" t="s">
        <v>231</v>
      </c>
      <c r="H2108" s="10" t="s">
        <v>314</v>
      </c>
      <c r="I2108" s="10" t="s">
        <v>183</v>
      </c>
      <c r="J2108" s="10">
        <v>37</v>
      </c>
      <c r="K2108" s="12">
        <v>44966</v>
      </c>
      <c r="L2108" s="33">
        <v>0.55783564814814812</v>
      </c>
      <c r="M2108" s="10">
        <v>1</v>
      </c>
      <c r="N2108" s="10" t="s">
        <v>76</v>
      </c>
      <c r="O2108" s="10">
        <v>10.7</v>
      </c>
      <c r="P2108" s="10">
        <v>2.5499999999999998</v>
      </c>
      <c r="Q2108" s="10">
        <v>614</v>
      </c>
      <c r="R2108" s="10" t="s">
        <v>77</v>
      </c>
      <c r="S2108" s="34">
        <f t="shared" si="235"/>
        <v>614</v>
      </c>
      <c r="T2108" s="10" t="s">
        <v>1155</v>
      </c>
      <c r="U2108" s="34">
        <f t="shared" si="238"/>
        <v>97.473600000000005</v>
      </c>
      <c r="V2108" s="31">
        <f>IF(H2108="CHK",VLOOKUP(I2108,QCCHK,3,),IF(H2108="GUP",VLOOKUP(E2108,QCGUP,2,),IF(AND(H2108="ATP",OR(I2108="TN",I2108="TDN",I2108="TNO2-3",I2108="NO2-3")),VLOOKUP(E2108,QCREC_N,2,),IF(AND(H2108="NIC",OR(I2108="TN",I2108="TDN",I2108="TNO2-3",I2108="NO2-3")),VLOOKUP(E2108,QCNIC_N,2,),IF(AND(H2108="UREA",OR(I2108="TN",I2108="TDN",I2108="TNO2-3",I2108="NO2-3")),VLOOKUP(E2108,QCUREA_N,2,),IF(H2108="PER",VLOOKUP(I2108,QCPER,MATCH(E2108,QCACTUAL!$J$25:$AA$25,0),),IF(H2108="SPK",VLOOKUP(I2108,QCSPK,3,),IF(AND(H2108="ATP",OR(I2108="TP",I2108="TDP")),VLOOKUP(E2108,QCATP_P,2,),""))))))))</f>
        <v>625</v>
      </c>
      <c r="W2108" s="31" t="str">
        <f t="shared" si="239"/>
        <v>TRUE</v>
      </c>
      <c r="X2108" s="31" t="str">
        <f t="shared" si="234"/>
        <v>([spikedunkn]-[unkn])/[spike]*100</v>
      </c>
      <c r="Y2108" s="10" t="s">
        <v>1144</v>
      </c>
      <c r="Z2108" s="10" t="s">
        <v>910</v>
      </c>
      <c r="AL2108" s="10" t="str">
        <f t="shared" si="236"/>
        <v>FALSE</v>
      </c>
      <c r="AM2108" s="10" t="str">
        <f t="shared" si="236"/>
        <v>FALSE</v>
      </c>
      <c r="AN2108" s="10" t="str">
        <f t="shared" si="236"/>
        <v>FALSE</v>
      </c>
      <c r="AO2108" s="10" t="str">
        <f t="shared" si="237"/>
        <v>FALSE</v>
      </c>
      <c r="AP2108" s="10" t="str">
        <f t="shared" si="237"/>
        <v>FALSE</v>
      </c>
      <c r="AQ2108" s="10" t="b">
        <f>IF(AND(I2108="TP",S2108&lt;=150),VLOOKUP(AF2108,TPCalibEq150!$AZ$2:$BB$55,3,),IF(AND(I2108="TDP",S2108&lt;=150),VLOOKUP(AF2108,TPCalibEq150!$AZ$2:$BB$55,3,)))</f>
        <v>0</v>
      </c>
      <c r="AR2108" s="10" t="b">
        <f>IF(AND(I2108="TP",S2108&lt;=300),VLOOKUP(AF2108,TPCalibEq300!$AZ$2:$BB$55,3,),IF(AND(I2108="TDP",S2108&lt;=300),VLOOKUP(AF2108,TPCalibEq300!$AZ$2:$BB$55,3,)))</f>
        <v>0</v>
      </c>
      <c r="AS2108" s="10" t="b">
        <f>IF(AND(I2108="TP",S2108&lt;=500),VLOOKUP(AF2108,TPCalibEq500!$AZ$2:$BB$56,3,),IF(AND(I2108="TDP",S2108&lt;=500),VLOOKUP(AF2108,TPCalibEq500!$AZ$2:$BB$56,3,)))</f>
        <v>0</v>
      </c>
      <c r="AT2108" s="10" t="b">
        <f>IF(AND(I2108="TN",S2108&lt;=2800),VLOOKUP(AF2108,TNCalibEq2500!$AZ$2:$BB$56,3,),IF(AND(I2108="TDN",S2108&lt;=2800),VLOOKUP(AF2108,TNCalibEq2500!$AZ$2:$BB$56,3,)))</f>
        <v>0</v>
      </c>
      <c r="AU2108" s="10" t="b">
        <f>IF(I2108="TP",VLOOKUP(AF2108,TPCalibEqFull!$AZ$2:$BB$56,3),IF(I2108="TDP",VLOOKUP(AF2108,TPCalibEqFull!$AZ$2:$BB$56,3),IF(I2108="TDN",VLOOKUP(AF2108,TNCalibEqFull!$AZ$1:$BB$56,3),IF(I2108="TN",VLOOKUP(AF2108,TNCalibEqFull!$AZ$1:$BB$56,3),FALSE))))</f>
        <v>0</v>
      </c>
      <c r="AV2108" s="10" t="str">
        <f t="shared" si="240"/>
        <v>0206 11:03:00-FVC-0-FIL-2-SW-SPK</v>
      </c>
    </row>
    <row r="2109" spans="1:48" s="10" customFormat="1" x14ac:dyDescent="0.55000000000000004">
      <c r="A2109" s="32">
        <v>44963</v>
      </c>
      <c r="B2109" s="33">
        <v>0.4604166666666667</v>
      </c>
      <c r="C2109" s="10" t="s">
        <v>613</v>
      </c>
      <c r="D2109" s="10">
        <v>0</v>
      </c>
      <c r="E2109" s="10" t="s">
        <v>911</v>
      </c>
      <c r="F2109" s="10">
        <v>2</v>
      </c>
      <c r="G2109" s="10" t="s">
        <v>231</v>
      </c>
      <c r="H2109" s="10" t="s">
        <v>314</v>
      </c>
      <c r="I2109" s="10" t="s">
        <v>183</v>
      </c>
      <c r="J2109" s="10">
        <v>113</v>
      </c>
      <c r="K2109" s="12">
        <v>44966</v>
      </c>
      <c r="L2109" s="33">
        <v>0.55865740740740744</v>
      </c>
      <c r="M2109" s="10">
        <v>1</v>
      </c>
      <c r="N2109" s="10" t="s">
        <v>76</v>
      </c>
      <c r="O2109" s="10">
        <v>2.4900000000000002</v>
      </c>
      <c r="P2109" s="10">
        <v>0.19900000000000001</v>
      </c>
      <c r="Q2109" s="10">
        <v>143</v>
      </c>
      <c r="R2109" s="10" t="s">
        <v>77</v>
      </c>
      <c r="S2109" s="34">
        <f t="shared" si="235"/>
        <v>143</v>
      </c>
      <c r="T2109" s="10" t="s">
        <v>1155</v>
      </c>
      <c r="U2109" s="34">
        <f t="shared" si="238"/>
        <v>-75.36</v>
      </c>
      <c r="V2109" s="31">
        <f>IF(H2109="CHK",VLOOKUP(I2109,QCCHK,3,),IF(H2109="GUP",VLOOKUP(E2109,QCGUP,2,),IF(AND(H2109="ATP",OR(I2109="TN",I2109="TDN",I2109="TNO2-3",I2109="NO2-3")),VLOOKUP(E2109,QCREC_N,2,),IF(AND(H2109="NIC",OR(I2109="TN",I2109="TDN",I2109="TNO2-3",I2109="NO2-3")),VLOOKUP(E2109,QCNIC_N,2,),IF(AND(H2109="UREA",OR(I2109="TN",I2109="TDN",I2109="TNO2-3",I2109="NO2-3")),VLOOKUP(E2109,QCUREA_N,2,),IF(H2109="PER",VLOOKUP(I2109,QCPER,MATCH(E2109,QCACTUAL!$J$25:$AA$25,0),),IF(H2109="SPK",VLOOKUP(I2109,QCSPK,3,),IF(AND(H2109="ATP",OR(I2109="TP",I2109="TDP")),VLOOKUP(E2109,QCATP_P,2,),""))))))))</f>
        <v>625</v>
      </c>
      <c r="W2109" s="31" t="str">
        <f t="shared" si="239"/>
        <v>FALSE</v>
      </c>
      <c r="X2109" s="31" t="str">
        <f t="shared" si="234"/>
        <v>([spikedunkn]-[unkn])/[spike]*100</v>
      </c>
      <c r="Y2109" s="10" t="s">
        <v>1144</v>
      </c>
      <c r="Z2109" s="10" t="s">
        <v>910</v>
      </c>
      <c r="AL2109" s="10" t="str">
        <f t="shared" si="236"/>
        <v>FALSE</v>
      </c>
      <c r="AM2109" s="10" t="str">
        <f t="shared" si="236"/>
        <v>FALSE</v>
      </c>
      <c r="AN2109" s="10" t="str">
        <f t="shared" si="236"/>
        <v>FALSE</v>
      </c>
      <c r="AO2109" s="10" t="str">
        <f t="shared" si="237"/>
        <v>FALSE</v>
      </c>
      <c r="AP2109" s="10" t="str">
        <f t="shared" si="237"/>
        <v>FALSE</v>
      </c>
      <c r="AQ2109" s="10" t="b">
        <f>IF(AND(I2109="TP",S2109&lt;=150),VLOOKUP(AF2109,TPCalibEq150!$AZ$2:$BB$55,3,),IF(AND(I2109="TDP",S2109&lt;=150),VLOOKUP(AF2109,TPCalibEq150!$AZ$2:$BB$55,3,)))</f>
        <v>0</v>
      </c>
      <c r="AR2109" s="10" t="b">
        <f>IF(AND(I2109="TP",S2109&lt;=300),VLOOKUP(AF2109,TPCalibEq300!$AZ$2:$BB$55,3,),IF(AND(I2109="TDP",S2109&lt;=300),VLOOKUP(AF2109,TPCalibEq300!$AZ$2:$BB$55,3,)))</f>
        <v>0</v>
      </c>
      <c r="AS2109" s="10" t="b">
        <f>IF(AND(I2109="TP",S2109&lt;=500),VLOOKUP(AF2109,TPCalibEq500!$AZ$2:$BB$56,3,),IF(AND(I2109="TDP",S2109&lt;=500),VLOOKUP(AF2109,TPCalibEq500!$AZ$2:$BB$56,3,)))</f>
        <v>0</v>
      </c>
      <c r="AT2109" s="10" t="b">
        <f>IF(AND(I2109="TN",S2109&lt;=2800),VLOOKUP(AF2109,TNCalibEq2500!$AZ$2:$BB$56,3,),IF(AND(I2109="TDN",S2109&lt;=2800),VLOOKUP(AF2109,TNCalibEq2500!$AZ$2:$BB$56,3,)))</f>
        <v>0</v>
      </c>
      <c r="AU2109" s="10" t="b">
        <f>IF(I2109="TP",VLOOKUP(AF2109,TPCalibEqFull!$AZ$2:$BB$56,3),IF(I2109="TDP",VLOOKUP(AF2109,TPCalibEqFull!$AZ$2:$BB$56,3),IF(I2109="TDN",VLOOKUP(AF2109,TNCalibEqFull!$AZ$1:$BB$56,3),IF(I2109="TN",VLOOKUP(AF2109,TNCalibEqFull!$AZ$1:$BB$56,3),FALSE))))</f>
        <v>0</v>
      </c>
      <c r="AV2109" s="10" t="str">
        <f t="shared" si="240"/>
        <v>0206 11:03:00-FVC-0-FIL-2-SW-SPK</v>
      </c>
    </row>
    <row r="2110" spans="1:48" s="10" customFormat="1" x14ac:dyDescent="0.55000000000000004">
      <c r="A2110" s="32">
        <v>44966</v>
      </c>
      <c r="B2110" s="33">
        <v>0.375</v>
      </c>
      <c r="C2110" s="10" t="s">
        <v>70</v>
      </c>
      <c r="D2110" s="10" t="s">
        <v>71</v>
      </c>
      <c r="E2110" s="10" t="s">
        <v>901</v>
      </c>
      <c r="F2110" s="10">
        <v>1</v>
      </c>
      <c r="G2110" s="10" t="s">
        <v>73</v>
      </c>
      <c r="H2110" s="10" t="s">
        <v>207</v>
      </c>
      <c r="I2110" s="10" t="s">
        <v>75</v>
      </c>
      <c r="J2110" s="10">
        <v>202</v>
      </c>
      <c r="K2110" s="12">
        <v>44966</v>
      </c>
      <c r="L2110" s="33">
        <v>0.55947916666666664</v>
      </c>
      <c r="M2110" s="10">
        <v>1</v>
      </c>
      <c r="N2110" s="10" t="s">
        <v>76</v>
      </c>
      <c r="O2110" s="10">
        <v>4.8</v>
      </c>
      <c r="P2110" s="10">
        <v>0.38200000000000001</v>
      </c>
      <c r="Q2110" s="10">
        <v>276</v>
      </c>
      <c r="R2110" s="10" t="s">
        <v>77</v>
      </c>
      <c r="S2110" s="34">
        <f t="shared" si="235"/>
        <v>276</v>
      </c>
      <c r="T2110" s="10" t="s">
        <v>1155</v>
      </c>
      <c r="U2110" s="34">
        <f t="shared" si="238"/>
        <v>92</v>
      </c>
      <c r="V2110" s="31">
        <f>IF(H2110="CHK",VLOOKUP(I2110,QCCHK,3,),IF(H2110="GUP",VLOOKUP(E2110,QCGUP,2,),IF(AND(H2110="ATP",OR(I2110="TN",I2110="TDN",I2110="TNO2-3",I2110="NO2-3")),VLOOKUP(E2110,QCREC_N,2,),IF(AND(H2110="NIC",OR(I2110="TN",I2110="TDN",I2110="TNO2-3",I2110="NO2-3")),VLOOKUP(E2110,QCNIC_N,2,),IF(AND(H2110="UREA",OR(I2110="TN",I2110="TDN",I2110="TNO2-3",I2110="NO2-3")),VLOOKUP(E2110,QCUREA_N,2,),IF(H2110="PER",VLOOKUP(I2110,QCPER,MATCH(E2110,QCACTUAL!$J$25:$AA$25,0),),IF(H2110="SPK",VLOOKUP(I2110,QCSPK,3,),IF(AND(H2110="ATP",OR(I2110="TP",I2110="TDP")),VLOOKUP(E2110,QCATP_P,2,),""))))))))</f>
        <v>300</v>
      </c>
      <c r="W2110" s="31" t="str">
        <f t="shared" si="239"/>
        <v>TRUE</v>
      </c>
      <c r="X2110" s="31" t="str">
        <f t="shared" si="234"/>
        <v>[chk]/[actual]*100</v>
      </c>
      <c r="Y2110" s="10" t="s">
        <v>1144</v>
      </c>
      <c r="AL2110" s="10" t="str">
        <f t="shared" si="236"/>
        <v>FALSE</v>
      </c>
      <c r="AM2110" s="10" t="str">
        <f t="shared" si="236"/>
        <v>FALSE</v>
      </c>
      <c r="AN2110" s="10" t="str">
        <f t="shared" si="236"/>
        <v>FALSE</v>
      </c>
      <c r="AO2110" s="10" t="str">
        <f t="shared" si="237"/>
        <v>FALSE</v>
      </c>
      <c r="AP2110" s="10" t="str">
        <f t="shared" si="237"/>
        <v>FALSE</v>
      </c>
      <c r="AQ2110" s="10" t="b">
        <f>IF(AND(I2110="TP",S2110&lt;=150),VLOOKUP(AF2110,TPCalibEq150!$AZ$2:$BB$55,3,),IF(AND(I2110="TDP",S2110&lt;=150),VLOOKUP(AF2110,TPCalibEq150!$AZ$2:$BB$55,3,)))</f>
        <v>0</v>
      </c>
      <c r="AR2110" s="10" t="b">
        <f>IF(AND(I2110="TP",S2110&lt;=300),VLOOKUP(AF2110,TPCalibEq300!$AZ$2:$BB$55,3,),IF(AND(I2110="TDP",S2110&lt;=300),VLOOKUP(AF2110,TPCalibEq300!$AZ$2:$BB$55,3,)))</f>
        <v>0</v>
      </c>
      <c r="AS2110" s="10" t="b">
        <f>IF(AND(I2110="TP",S2110&lt;=500),VLOOKUP(AF2110,TPCalibEq500!$AZ$2:$BB$56,3,),IF(AND(I2110="TDP",S2110&lt;=500),VLOOKUP(AF2110,TPCalibEq500!$AZ$2:$BB$56,3,)))</f>
        <v>0</v>
      </c>
      <c r="AT2110" s="10" t="b">
        <f>IF(AND(I2110="TN",S2110&lt;=2800),VLOOKUP(AF2110,TNCalibEq2500!$AZ$2:$BB$56,3,),IF(AND(I2110="TDN",S2110&lt;=2800),VLOOKUP(AF2110,TNCalibEq2500!$AZ$2:$BB$56,3,)))</f>
        <v>0</v>
      </c>
      <c r="AU2110" s="10" t="b">
        <f>IF(I2110="TP",VLOOKUP(AF2110,TPCalibEqFull!$AZ$2:$BB$56,3),IF(I2110="TDP",VLOOKUP(AF2110,TPCalibEqFull!$AZ$2:$BB$56,3),IF(I2110="TDN",VLOOKUP(AF2110,TNCalibEqFull!$AZ$1:$BB$56,3),IF(I2110="TN",VLOOKUP(AF2110,TNCalibEqFull!$AZ$1:$BB$56,3),FALSE))))</f>
        <v>0</v>
      </c>
      <c r="AV2110" s="10" t="str">
        <f t="shared" si="240"/>
        <v>0209 09:00:00-QAC-STD-D-1-DI-CHK</v>
      </c>
    </row>
    <row r="2111" spans="1:48" s="10" customFormat="1" x14ac:dyDescent="0.55000000000000004">
      <c r="A2111" s="32">
        <v>44963</v>
      </c>
      <c r="B2111" s="33">
        <v>0.46875</v>
      </c>
      <c r="C2111" s="10" t="s">
        <v>250</v>
      </c>
      <c r="D2111" s="10">
        <v>0</v>
      </c>
      <c r="E2111" s="10" t="s">
        <v>911</v>
      </c>
      <c r="F2111" s="10">
        <v>1</v>
      </c>
      <c r="G2111" s="10" t="s">
        <v>231</v>
      </c>
      <c r="H2111" s="10" t="s">
        <v>322</v>
      </c>
      <c r="I2111" s="10" t="s">
        <v>183</v>
      </c>
      <c r="J2111" s="10">
        <v>80</v>
      </c>
      <c r="K2111" s="12">
        <v>44966</v>
      </c>
      <c r="L2111" s="33">
        <v>0.56030092592592595</v>
      </c>
      <c r="M2111" s="10">
        <v>1</v>
      </c>
      <c r="N2111" s="10" t="s">
        <v>76</v>
      </c>
      <c r="O2111" s="10">
        <v>1.23E-2</v>
      </c>
      <c r="P2111" s="10">
        <v>2.16E-3</v>
      </c>
      <c r="Q2111" s="10">
        <v>0.70499999999999996</v>
      </c>
      <c r="R2111" s="10" t="s">
        <v>77</v>
      </c>
      <c r="S2111" s="34">
        <f t="shared" si="235"/>
        <v>0.70499999999999996</v>
      </c>
      <c r="T2111" s="10" t="s">
        <v>1155</v>
      </c>
      <c r="U2111" s="34" t="str">
        <f t="shared" si="238"/>
        <v/>
      </c>
      <c r="V2111" s="31" t="str">
        <f>IF(H2111="CHK",VLOOKUP(I2111,QCCHK,3,),IF(H2111="GUP",VLOOKUP(E2111,QCGUP,2,),IF(AND(H2111="ATP",OR(I2111="TN",I2111="TDN",I2111="TNO2-3",I2111="NO2-3")),VLOOKUP(E2111,QCREC_N,2,),IF(AND(H2111="NIC",OR(I2111="TN",I2111="TDN",I2111="TNO2-3",I2111="NO2-3")),VLOOKUP(E2111,QCNIC_N,2,),IF(AND(H2111="UREA",OR(I2111="TN",I2111="TDN",I2111="TNO2-3",I2111="NO2-3")),VLOOKUP(E2111,QCUREA_N,2,),IF(H2111="PER",VLOOKUP(I2111,QCPER,MATCH(E2111,QCACTUAL!$J$25:$AA$25,0),),IF(H2111="SPK",VLOOKUP(I2111,QCSPK,3,),IF(AND(H2111="ATP",OR(I2111="TP",I2111="TDP")),VLOOKUP(E2111,QCATP_P,2,),""))))))))</f>
        <v/>
      </c>
      <c r="W2111" s="31" t="str">
        <f t="shared" si="239"/>
        <v>TRUE</v>
      </c>
      <c r="X2111" s="31" t="str">
        <f t="shared" ref="X2111:X2174" si="241">IF(ISNA(VLOOKUP(H2111,QCEQUATIONS,2,)),"",(VLOOKUP(H2111,QCEQUATIONS,2,)))</f>
        <v/>
      </c>
      <c r="Y2111" s="10" t="s">
        <v>1144</v>
      </c>
      <c r="Z2111" s="10" t="s">
        <v>910</v>
      </c>
      <c r="AL2111" s="10" t="str">
        <f t="shared" si="236"/>
        <v>FALSE</v>
      </c>
      <c r="AM2111" s="10" t="str">
        <f t="shared" si="236"/>
        <v>FALSE</v>
      </c>
      <c r="AN2111" s="10" t="str">
        <f t="shared" si="236"/>
        <v>FALSE</v>
      </c>
      <c r="AO2111" s="10" t="str">
        <f t="shared" si="237"/>
        <v>FALSE</v>
      </c>
      <c r="AP2111" s="10" t="str">
        <f t="shared" si="237"/>
        <v>FALSE</v>
      </c>
      <c r="AQ2111" s="10" t="b">
        <f>IF(AND(I2111="TP",S2111&lt;=150),VLOOKUP(AF2111,TPCalibEq150!$AZ$2:$BB$55,3,),IF(AND(I2111="TDP",S2111&lt;=150),VLOOKUP(AF2111,TPCalibEq150!$AZ$2:$BB$55,3,)))</f>
        <v>0</v>
      </c>
      <c r="AR2111" s="10" t="b">
        <f>IF(AND(I2111="TP",S2111&lt;=300),VLOOKUP(AF2111,TPCalibEq300!$AZ$2:$BB$55,3,),IF(AND(I2111="TDP",S2111&lt;=300),VLOOKUP(AF2111,TPCalibEq300!$AZ$2:$BB$55,3,)))</f>
        <v>0</v>
      </c>
      <c r="AS2111" s="10" t="b">
        <f>IF(AND(I2111="TP",S2111&lt;=500),VLOOKUP(AF2111,TPCalibEq500!$AZ$2:$BB$56,3,),IF(AND(I2111="TDP",S2111&lt;=500),VLOOKUP(AF2111,TPCalibEq500!$AZ$2:$BB$56,3,)))</f>
        <v>0</v>
      </c>
      <c r="AT2111" s="10" t="b">
        <f>IF(AND(I2111="TN",S2111&lt;=2800),VLOOKUP(AF2111,TNCalibEq2500!$AZ$2:$BB$56,3,),IF(AND(I2111="TDN",S2111&lt;=2800),VLOOKUP(AF2111,TNCalibEq2500!$AZ$2:$BB$56,3,)))</f>
        <v>0</v>
      </c>
      <c r="AU2111" s="10" t="b">
        <f>IF(I2111="TP",VLOOKUP(AF2111,TPCalibEqFull!$AZ$2:$BB$56,3),IF(I2111="TDP",VLOOKUP(AF2111,TPCalibEqFull!$AZ$2:$BB$56,3),IF(I2111="TDN",VLOOKUP(AF2111,TNCalibEqFull!$AZ$1:$BB$56,3),IF(I2111="TN",VLOOKUP(AF2111,TNCalibEqFull!$AZ$1:$BB$56,3),FALSE))))</f>
        <v>0</v>
      </c>
      <c r="AV2111" s="10" t="str">
        <f t="shared" si="240"/>
        <v>0206 11:15:00-EFB-0-FIL-1-SW-UKN</v>
      </c>
    </row>
    <row r="2112" spans="1:48" s="10" customFormat="1" x14ac:dyDescent="0.55000000000000004">
      <c r="A2112" s="32">
        <v>44963</v>
      </c>
      <c r="B2112" s="33">
        <v>0.47916666666666669</v>
      </c>
      <c r="C2112" s="10" t="s">
        <v>326</v>
      </c>
      <c r="D2112" s="10">
        <v>0</v>
      </c>
      <c r="E2112" s="10" t="s">
        <v>911</v>
      </c>
      <c r="F2112" s="10">
        <v>1</v>
      </c>
      <c r="G2112" s="10" t="s">
        <v>231</v>
      </c>
      <c r="H2112" s="10" t="s">
        <v>322</v>
      </c>
      <c r="I2112" s="10" t="s">
        <v>183</v>
      </c>
      <c r="J2112" s="10">
        <v>81</v>
      </c>
      <c r="K2112" s="12">
        <v>44966</v>
      </c>
      <c r="L2112" s="33">
        <v>0.56111111111111112</v>
      </c>
      <c r="M2112" s="10">
        <v>1</v>
      </c>
      <c r="N2112" s="10" t="s">
        <v>76</v>
      </c>
      <c r="O2112" s="10">
        <v>0.17599999999999999</v>
      </c>
      <c r="P2112" s="10">
        <v>1.44E-2</v>
      </c>
      <c r="Q2112" s="10">
        <v>10.1</v>
      </c>
      <c r="R2112" s="10" t="s">
        <v>77</v>
      </c>
      <c r="S2112" s="34">
        <f t="shared" ref="S2112:S2175" si="242">IF(OR(AND(I2112&lt;&gt;"TP", I2112&lt;&gt;"TDP",I2112&lt;&gt;"TN", I2112&lt;&gt;"TDN"),H2112="CAL"), Q2112*M2112, IF(OR(AND(I2112="TN", Q2112&gt;2500), AND(I2112="TDN", Q2112&gt;2500)),MAX(Q2112, AK2112)*M2112, IF(OR(AND(I2112="TN", Q2112&lt;=2500), AND(I2112="TDN", Q2112&lt;=2500)),MAX(Q2112, AJ2112,AK2112)*M2112, IF(OR(AND(I2112="TP",Q2112&gt;500), AND(I2112="TDP", Q2112&gt;500)),MAX(Q2112,AK2112)*M2112,IF(OR(AND(I2112="TP",Q2112&lt;=150), AND(I2112="TDP", Q2112&lt;=150)),MAX(Q2112,AG2112:AI2112,AK2112)*M2112,IF(OR(AND(I2112="TP",Q2112&lt;=300), AND(I2112="TDP", Q2112&lt;=300)),MAX(Q2112,AH2112,AI2112,AK2112)*M2112,IF(OR(AND(I2112="TP",Q2112&lt;=500), AND(I2112="TDP", Q2112&lt;=500)),MAX(Q2112,AI2112,AK2112)*M2112,"")))))))</f>
        <v>10.1</v>
      </c>
      <c r="T2112" s="10" t="s">
        <v>1155</v>
      </c>
      <c r="U2112" s="34" t="str">
        <f t="shared" si="238"/>
        <v/>
      </c>
      <c r="V2112" s="31" t="str">
        <f>IF(H2112="CHK",VLOOKUP(I2112,QCCHK,3,),IF(H2112="GUP",VLOOKUP(E2112,QCGUP,2,),IF(AND(H2112="ATP",OR(I2112="TN",I2112="TDN",I2112="TNO2-3",I2112="NO2-3")),VLOOKUP(E2112,QCREC_N,2,),IF(AND(H2112="NIC",OR(I2112="TN",I2112="TDN",I2112="TNO2-3",I2112="NO2-3")),VLOOKUP(E2112,QCNIC_N,2,),IF(AND(H2112="UREA",OR(I2112="TN",I2112="TDN",I2112="TNO2-3",I2112="NO2-3")),VLOOKUP(E2112,QCUREA_N,2,),IF(H2112="PER",VLOOKUP(I2112,QCPER,MATCH(E2112,QCACTUAL!$J$25:$AA$25,0),),IF(H2112="SPK",VLOOKUP(I2112,QCSPK,3,),IF(AND(H2112="ATP",OR(I2112="TP",I2112="TDP")),VLOOKUP(E2112,QCATP_P,2,),""))))))))</f>
        <v/>
      </c>
      <c r="W2112" s="31" t="str">
        <f t="shared" si="239"/>
        <v>TRUE</v>
      </c>
      <c r="X2112" s="31" t="str">
        <f t="shared" si="241"/>
        <v/>
      </c>
      <c r="Y2112" s="10" t="s">
        <v>1144</v>
      </c>
      <c r="Z2112" s="10" t="s">
        <v>910</v>
      </c>
      <c r="AL2112" s="10" t="str">
        <f t="shared" si="236"/>
        <v>FALSE</v>
      </c>
      <c r="AM2112" s="10" t="str">
        <f t="shared" si="236"/>
        <v>FALSE</v>
      </c>
      <c r="AN2112" s="10" t="str">
        <f t="shared" si="236"/>
        <v>FALSE</v>
      </c>
      <c r="AO2112" s="10" t="str">
        <f t="shared" si="237"/>
        <v>FALSE</v>
      </c>
      <c r="AP2112" s="10" t="str">
        <f t="shared" si="237"/>
        <v>FALSE</v>
      </c>
      <c r="AQ2112" s="10" t="b">
        <f>IF(AND(I2112="TP",S2112&lt;=150),VLOOKUP(AF2112,TPCalibEq150!$AZ$2:$BB$55,3,),IF(AND(I2112="TDP",S2112&lt;=150),VLOOKUP(AF2112,TPCalibEq150!$AZ$2:$BB$55,3,)))</f>
        <v>0</v>
      </c>
      <c r="AR2112" s="10" t="b">
        <f>IF(AND(I2112="TP",S2112&lt;=300),VLOOKUP(AF2112,TPCalibEq300!$AZ$2:$BB$55,3,),IF(AND(I2112="TDP",S2112&lt;=300),VLOOKUP(AF2112,TPCalibEq300!$AZ$2:$BB$55,3,)))</f>
        <v>0</v>
      </c>
      <c r="AS2112" s="10" t="b">
        <f>IF(AND(I2112="TP",S2112&lt;=500),VLOOKUP(AF2112,TPCalibEq500!$AZ$2:$BB$56,3,),IF(AND(I2112="TDP",S2112&lt;=500),VLOOKUP(AF2112,TPCalibEq500!$AZ$2:$BB$56,3,)))</f>
        <v>0</v>
      </c>
      <c r="AT2112" s="10" t="b">
        <f>IF(AND(I2112="TN",S2112&lt;=2800),VLOOKUP(AF2112,TNCalibEq2500!$AZ$2:$BB$56,3,),IF(AND(I2112="TDN",S2112&lt;=2800),VLOOKUP(AF2112,TNCalibEq2500!$AZ$2:$BB$56,3,)))</f>
        <v>0</v>
      </c>
      <c r="AU2112" s="10" t="b">
        <f>IF(I2112="TP",VLOOKUP(AF2112,TPCalibEqFull!$AZ$2:$BB$56,3),IF(I2112="TDP",VLOOKUP(AF2112,TPCalibEqFull!$AZ$2:$BB$56,3),IF(I2112="TDN",VLOOKUP(AF2112,TNCalibEqFull!$AZ$1:$BB$56,3),IF(I2112="TN",VLOOKUP(AF2112,TNCalibEqFull!$AZ$1:$BB$56,3),FALSE))))</f>
        <v>0</v>
      </c>
      <c r="AV2112" s="10" t="str">
        <f t="shared" si="240"/>
        <v>0206 11:30:00-GRR-0-FIL-1-SW-UKN</v>
      </c>
    </row>
    <row r="2113" spans="1:48" s="10" customFormat="1" x14ac:dyDescent="0.55000000000000004">
      <c r="A2113" s="32">
        <v>44963</v>
      </c>
      <c r="B2113" s="33">
        <v>0.4909722222222222</v>
      </c>
      <c r="C2113" s="10" t="s">
        <v>416</v>
      </c>
      <c r="D2113" s="10">
        <v>0</v>
      </c>
      <c r="E2113" s="10" t="s">
        <v>911</v>
      </c>
      <c r="F2113" s="10">
        <v>1</v>
      </c>
      <c r="G2113" s="10" t="s">
        <v>231</v>
      </c>
      <c r="H2113" s="10" t="s">
        <v>322</v>
      </c>
      <c r="I2113" s="10" t="s">
        <v>183</v>
      </c>
      <c r="J2113" s="10">
        <v>82</v>
      </c>
      <c r="K2113" s="12">
        <v>44966</v>
      </c>
      <c r="L2113" s="33">
        <v>0.56193287037037043</v>
      </c>
      <c r="M2113" s="10">
        <v>1</v>
      </c>
      <c r="N2113" s="10" t="s">
        <v>76</v>
      </c>
      <c r="O2113" s="10">
        <v>1.29</v>
      </c>
      <c r="P2113" s="10">
        <v>0.104</v>
      </c>
      <c r="Q2113" s="10">
        <v>74.099999999999994</v>
      </c>
      <c r="R2113" s="10" t="s">
        <v>77</v>
      </c>
      <c r="S2113" s="34">
        <f t="shared" si="242"/>
        <v>74.099999999999994</v>
      </c>
      <c r="T2113" s="10" t="s">
        <v>1155</v>
      </c>
      <c r="U2113" s="34" t="str">
        <f t="shared" si="238"/>
        <v/>
      </c>
      <c r="V2113" s="31" t="str">
        <f>IF(H2113="CHK",VLOOKUP(I2113,QCCHK,3,),IF(H2113="GUP",VLOOKUP(E2113,QCGUP,2,),IF(AND(H2113="ATP",OR(I2113="TN",I2113="TDN",I2113="TNO2-3",I2113="NO2-3")),VLOOKUP(E2113,QCREC_N,2,),IF(AND(H2113="NIC",OR(I2113="TN",I2113="TDN",I2113="TNO2-3",I2113="NO2-3")),VLOOKUP(E2113,QCNIC_N,2,),IF(AND(H2113="UREA",OR(I2113="TN",I2113="TDN",I2113="TNO2-3",I2113="NO2-3")),VLOOKUP(E2113,QCUREA_N,2,),IF(H2113="PER",VLOOKUP(I2113,QCPER,MATCH(E2113,QCACTUAL!$J$25:$AA$25,0),),IF(H2113="SPK",VLOOKUP(I2113,QCSPK,3,),IF(AND(H2113="ATP",OR(I2113="TP",I2113="TDP")),VLOOKUP(E2113,QCATP_P,2,),""))))))))</f>
        <v/>
      </c>
      <c r="W2113" s="31" t="str">
        <f t="shared" si="239"/>
        <v>TRUE</v>
      </c>
      <c r="X2113" s="31" t="str">
        <f t="shared" si="241"/>
        <v/>
      </c>
      <c r="Y2113" s="10" t="s">
        <v>1144</v>
      </c>
      <c r="Z2113" s="10" t="s">
        <v>910</v>
      </c>
      <c r="AL2113" s="10" t="str">
        <f t="shared" ref="AL2113:AN2176" si="243">IF($O2113="", "", IF(AQ2113&lt;&gt;"", SUBSTITUTE(SUBSTITUTE(AQ2113, "x", "*"&amp;$O2113&amp;"^", 1), "x", "*"&amp;$O2113, 1), ""))</f>
        <v>FALSE</v>
      </c>
      <c r="AM2113" s="10" t="str">
        <f t="shared" si="243"/>
        <v>FALSE</v>
      </c>
      <c r="AN2113" s="10" t="str">
        <f t="shared" si="243"/>
        <v>FALSE</v>
      </c>
      <c r="AO2113" s="10" t="str">
        <f t="shared" ref="AO2113:AP2176" si="244">IF($O2113="", "FALSE", IF(AT2113&lt;&gt;"FALSE", SUBSTITUTE(SUBSTITUTE(AT2113, "x", "*"&amp;$O2113&amp;"^", 1), "x", "*"&amp;$O2113, 1), ""))</f>
        <v>FALSE</v>
      </c>
      <c r="AP2113" s="10" t="str">
        <f t="shared" si="244"/>
        <v>FALSE</v>
      </c>
      <c r="AQ2113" s="10" t="b">
        <f>IF(AND(I2113="TP",S2113&lt;=150),VLOOKUP(AF2113,TPCalibEq150!$AZ$2:$BB$55,3,),IF(AND(I2113="TDP",S2113&lt;=150),VLOOKUP(AF2113,TPCalibEq150!$AZ$2:$BB$55,3,)))</f>
        <v>0</v>
      </c>
      <c r="AR2113" s="10" t="b">
        <f>IF(AND(I2113="TP",S2113&lt;=300),VLOOKUP(AF2113,TPCalibEq300!$AZ$2:$BB$55,3,),IF(AND(I2113="TDP",S2113&lt;=300),VLOOKUP(AF2113,TPCalibEq300!$AZ$2:$BB$55,3,)))</f>
        <v>0</v>
      </c>
      <c r="AS2113" s="10" t="b">
        <f>IF(AND(I2113="TP",S2113&lt;=500),VLOOKUP(AF2113,TPCalibEq500!$AZ$2:$BB$56,3,),IF(AND(I2113="TDP",S2113&lt;=500),VLOOKUP(AF2113,TPCalibEq500!$AZ$2:$BB$56,3,)))</f>
        <v>0</v>
      </c>
      <c r="AT2113" s="10" t="b">
        <f>IF(AND(I2113="TN",S2113&lt;=2800),VLOOKUP(AF2113,TNCalibEq2500!$AZ$2:$BB$56,3,),IF(AND(I2113="TDN",S2113&lt;=2800),VLOOKUP(AF2113,TNCalibEq2500!$AZ$2:$BB$56,3,)))</f>
        <v>0</v>
      </c>
      <c r="AU2113" s="10" t="b">
        <f>IF(I2113="TP",VLOOKUP(AF2113,TPCalibEqFull!$AZ$2:$BB$56,3),IF(I2113="TDP",VLOOKUP(AF2113,TPCalibEqFull!$AZ$2:$BB$56,3),IF(I2113="TDN",VLOOKUP(AF2113,TNCalibEqFull!$AZ$1:$BB$56,3),IF(I2113="TN",VLOOKUP(AF2113,TNCalibEqFull!$AZ$1:$BB$56,3),FALSE))))</f>
        <v>0</v>
      </c>
      <c r="AV2113" s="10" t="str">
        <f t="shared" si="240"/>
        <v>0206 11:47:00-CWL-0-FIL-1-SW-UKN</v>
      </c>
    </row>
    <row r="2114" spans="1:48" s="10" customFormat="1" x14ac:dyDescent="0.55000000000000004">
      <c r="A2114" s="32">
        <v>44963</v>
      </c>
      <c r="B2114" s="33">
        <v>0.61875000000000002</v>
      </c>
      <c r="C2114" s="10" t="s">
        <v>408</v>
      </c>
      <c r="D2114" s="10">
        <v>0</v>
      </c>
      <c r="E2114" s="10" t="s">
        <v>911</v>
      </c>
      <c r="F2114" s="10">
        <v>1</v>
      </c>
      <c r="G2114" s="10" t="s">
        <v>231</v>
      </c>
      <c r="H2114" s="10" t="s">
        <v>322</v>
      </c>
      <c r="I2114" s="10" t="s">
        <v>183</v>
      </c>
      <c r="J2114" s="10">
        <v>83</v>
      </c>
      <c r="K2114" s="12">
        <v>44966</v>
      </c>
      <c r="L2114" s="33">
        <v>0.56275462962962963</v>
      </c>
      <c r="M2114" s="10">
        <v>1</v>
      </c>
      <c r="N2114" s="10" t="s">
        <v>76</v>
      </c>
      <c r="O2114" s="10">
        <v>0.19</v>
      </c>
      <c r="P2114" s="10">
        <v>1.6E-2</v>
      </c>
      <c r="Q2114" s="10">
        <v>10.9</v>
      </c>
      <c r="R2114" s="10" t="s">
        <v>77</v>
      </c>
      <c r="S2114" s="34">
        <f t="shared" si="242"/>
        <v>10.9</v>
      </c>
      <c r="T2114" s="10" t="s">
        <v>1155</v>
      </c>
      <c r="U2114" s="34" t="str">
        <f t="shared" ref="U2114:U2177" si="245">IF(OR(H2114="CHK",H2114="ATP",H2114="GUP",H2114="PER", H2114="NIC", H2114="UREA"),(S2114/V2114*100),IF(H2114="DUP",((ABS(S2114-S2113))/((S2113+S2114)/2))*100,IF(H2114="SPK",((S2114-S2113)/V2114*100),IF(OR(H2114="LAB",H2114="FLD",H2114="ESF"),S2114,""))))</f>
        <v/>
      </c>
      <c r="V2114" s="31" t="str">
        <f>IF(H2114="CHK",VLOOKUP(I2114,QCCHK,3,),IF(H2114="GUP",VLOOKUP(E2114,QCGUP,2,),IF(AND(H2114="ATP",OR(I2114="TN",I2114="TDN",I2114="TNO2-3",I2114="NO2-3")),VLOOKUP(E2114,QCREC_N,2,),IF(AND(H2114="NIC",OR(I2114="TN",I2114="TDN",I2114="TNO2-3",I2114="NO2-3")),VLOOKUP(E2114,QCNIC_N,2,),IF(AND(H2114="UREA",OR(I2114="TN",I2114="TDN",I2114="TNO2-3",I2114="NO2-3")),VLOOKUP(E2114,QCUREA_N,2,),IF(H2114="PER",VLOOKUP(I2114,QCPER,MATCH(E2114,QCACTUAL!$J$25:$AA$25,0),),IF(H2114="SPK",VLOOKUP(I2114,QCSPK,3,),IF(AND(H2114="ATP",OR(I2114="TP",I2114="TDP")),VLOOKUP(E2114,QCATP_P,2,),""))))))))</f>
        <v/>
      </c>
      <c r="W2114" s="31" t="str">
        <f t="shared" ref="W2114:W2177" si="246">IF(AND(OR(H2114="PER",H2114="ATP",H2114="GUP",H2114="CHK",H2114="SPK", H2114="NIC"),OR(U2114&gt;125,U2114&lt;75)),"FALSE",IF(AND(H2114="DUP",OR(U2114&gt;25, U2114&lt;-25)),"FALSE",IF(AND(OR(H2114="LAB",H2114="FLD",H2114="ESF"),U2114&gt;15),"FALSE","TRUE")))</f>
        <v>TRUE</v>
      </c>
      <c r="X2114" s="31" t="str">
        <f t="shared" si="241"/>
        <v/>
      </c>
      <c r="Y2114" s="10" t="s">
        <v>1144</v>
      </c>
      <c r="Z2114" s="10" t="s">
        <v>910</v>
      </c>
      <c r="AL2114" s="10" t="str">
        <f t="shared" si="243"/>
        <v>FALSE</v>
      </c>
      <c r="AM2114" s="10" t="str">
        <f t="shared" si="243"/>
        <v>FALSE</v>
      </c>
      <c r="AN2114" s="10" t="str">
        <f t="shared" si="243"/>
        <v>FALSE</v>
      </c>
      <c r="AO2114" s="10" t="str">
        <f t="shared" si="244"/>
        <v>FALSE</v>
      </c>
      <c r="AP2114" s="10" t="str">
        <f t="shared" si="244"/>
        <v>FALSE</v>
      </c>
      <c r="AQ2114" s="10" t="b">
        <f>IF(AND(I2114="TP",S2114&lt;=150),VLOOKUP(AF2114,TPCalibEq150!$AZ$2:$BB$55,3,),IF(AND(I2114="TDP",S2114&lt;=150),VLOOKUP(AF2114,TPCalibEq150!$AZ$2:$BB$55,3,)))</f>
        <v>0</v>
      </c>
      <c r="AR2114" s="10" t="b">
        <f>IF(AND(I2114="TP",S2114&lt;=300),VLOOKUP(AF2114,TPCalibEq300!$AZ$2:$BB$55,3,),IF(AND(I2114="TDP",S2114&lt;=300),VLOOKUP(AF2114,TPCalibEq300!$AZ$2:$BB$55,3,)))</f>
        <v>0</v>
      </c>
      <c r="AS2114" s="10" t="b">
        <f>IF(AND(I2114="TP",S2114&lt;=500),VLOOKUP(AF2114,TPCalibEq500!$AZ$2:$BB$56,3,),IF(AND(I2114="TDP",S2114&lt;=500),VLOOKUP(AF2114,TPCalibEq500!$AZ$2:$BB$56,3,)))</f>
        <v>0</v>
      </c>
      <c r="AT2114" s="10" t="b">
        <f>IF(AND(I2114="TN",S2114&lt;=2800),VLOOKUP(AF2114,TNCalibEq2500!$AZ$2:$BB$56,3,),IF(AND(I2114="TDN",S2114&lt;=2800),VLOOKUP(AF2114,TNCalibEq2500!$AZ$2:$BB$56,3,)))</f>
        <v>0</v>
      </c>
      <c r="AU2114" s="10" t="b">
        <f>IF(I2114="TP",VLOOKUP(AF2114,TPCalibEqFull!$AZ$2:$BB$56,3),IF(I2114="TDP",VLOOKUP(AF2114,TPCalibEqFull!$AZ$2:$BB$56,3),IF(I2114="TDN",VLOOKUP(AF2114,TNCalibEqFull!$AZ$1:$BB$56,3),IF(I2114="TN",VLOOKUP(AF2114,TNCalibEqFull!$AZ$1:$BB$56,3),FALSE))))</f>
        <v>0</v>
      </c>
      <c r="AV2114" s="10" t="str">
        <f t="shared" ref="AV2114:AV2177" si="247">TEXT(A2114, "MMDD")&amp;" "&amp;TEXT(B2114, "HH:MM:SS")&amp;"-"&amp;C2114&amp;"-"&amp;D2114&amp;"-"&amp;E2114&amp;"-"&amp;F2114&amp;"-"&amp;G2114&amp;"-"&amp;H2114</f>
        <v>0206 14:51:00-CLC-0-FIL-1-SW-UKN</v>
      </c>
    </row>
    <row r="2115" spans="1:48" s="10" customFormat="1" x14ac:dyDescent="0.55000000000000004">
      <c r="A2115" s="32">
        <v>44963</v>
      </c>
      <c r="B2115" s="33">
        <v>0.59722222222222221</v>
      </c>
      <c r="C2115" s="10" t="s">
        <v>214</v>
      </c>
      <c r="D2115" s="10">
        <v>0</v>
      </c>
      <c r="E2115" s="10" t="s">
        <v>911</v>
      </c>
      <c r="F2115" s="10">
        <v>1</v>
      </c>
      <c r="G2115" s="10" t="s">
        <v>231</v>
      </c>
      <c r="H2115" s="10" t="s">
        <v>322</v>
      </c>
      <c r="I2115" s="10" t="s">
        <v>183</v>
      </c>
      <c r="J2115" s="10">
        <v>84</v>
      </c>
      <c r="K2115" s="12">
        <v>44966</v>
      </c>
      <c r="L2115" s="33">
        <v>0.5635648148148148</v>
      </c>
      <c r="M2115" s="10">
        <v>1</v>
      </c>
      <c r="N2115" s="10" t="s">
        <v>76</v>
      </c>
      <c r="O2115" s="10">
        <v>3.34</v>
      </c>
      <c r="P2115" s="10">
        <v>0.27</v>
      </c>
      <c r="Q2115" s="10">
        <v>192</v>
      </c>
      <c r="R2115" s="10" t="s">
        <v>77</v>
      </c>
      <c r="S2115" s="34">
        <f t="shared" si="242"/>
        <v>192</v>
      </c>
      <c r="T2115" s="10" t="s">
        <v>1155</v>
      </c>
      <c r="U2115" s="34" t="str">
        <f t="shared" si="245"/>
        <v/>
      </c>
      <c r="V2115" s="31" t="str">
        <f>IF(H2115="CHK",VLOOKUP(I2115,QCCHK,3,),IF(H2115="GUP",VLOOKUP(E2115,QCGUP,2,),IF(AND(H2115="ATP",OR(I2115="TN",I2115="TDN",I2115="TNO2-3",I2115="NO2-3")),VLOOKUP(E2115,QCREC_N,2,),IF(AND(H2115="NIC",OR(I2115="TN",I2115="TDN",I2115="TNO2-3",I2115="NO2-3")),VLOOKUP(E2115,QCNIC_N,2,),IF(AND(H2115="UREA",OR(I2115="TN",I2115="TDN",I2115="TNO2-3",I2115="NO2-3")),VLOOKUP(E2115,QCUREA_N,2,),IF(H2115="PER",VLOOKUP(I2115,QCPER,MATCH(E2115,QCACTUAL!$J$25:$AA$25,0),),IF(H2115="SPK",VLOOKUP(I2115,QCSPK,3,),IF(AND(H2115="ATP",OR(I2115="TP",I2115="TDP")),VLOOKUP(E2115,QCATP_P,2,),""))))))))</f>
        <v/>
      </c>
      <c r="W2115" s="31" t="str">
        <f t="shared" si="246"/>
        <v>TRUE</v>
      </c>
      <c r="X2115" s="31" t="str">
        <f t="shared" si="241"/>
        <v/>
      </c>
      <c r="Y2115" s="10" t="s">
        <v>1144</v>
      </c>
      <c r="Z2115" s="10" t="s">
        <v>910</v>
      </c>
      <c r="AL2115" s="10" t="str">
        <f t="shared" si="243"/>
        <v>FALSE</v>
      </c>
      <c r="AM2115" s="10" t="str">
        <f t="shared" si="243"/>
        <v>FALSE</v>
      </c>
      <c r="AN2115" s="10" t="str">
        <f t="shared" si="243"/>
        <v>FALSE</v>
      </c>
      <c r="AO2115" s="10" t="str">
        <f t="shared" si="244"/>
        <v>FALSE</v>
      </c>
      <c r="AP2115" s="10" t="str">
        <f t="shared" si="244"/>
        <v>FALSE</v>
      </c>
      <c r="AQ2115" s="10" t="b">
        <f>IF(AND(I2115="TP",S2115&lt;=150),VLOOKUP(AF2115,TPCalibEq150!$AZ$2:$BB$55,3,),IF(AND(I2115="TDP",S2115&lt;=150),VLOOKUP(AF2115,TPCalibEq150!$AZ$2:$BB$55,3,)))</f>
        <v>0</v>
      </c>
      <c r="AR2115" s="10" t="b">
        <f>IF(AND(I2115="TP",S2115&lt;=300),VLOOKUP(AF2115,TPCalibEq300!$AZ$2:$BB$55,3,),IF(AND(I2115="TDP",S2115&lt;=300),VLOOKUP(AF2115,TPCalibEq300!$AZ$2:$BB$55,3,)))</f>
        <v>0</v>
      </c>
      <c r="AS2115" s="10" t="b">
        <f>IF(AND(I2115="TP",S2115&lt;=500),VLOOKUP(AF2115,TPCalibEq500!$AZ$2:$BB$56,3,),IF(AND(I2115="TDP",S2115&lt;=500),VLOOKUP(AF2115,TPCalibEq500!$AZ$2:$BB$56,3,)))</f>
        <v>0</v>
      </c>
      <c r="AT2115" s="10" t="b">
        <f>IF(AND(I2115="TN",S2115&lt;=2800),VLOOKUP(AF2115,TNCalibEq2500!$AZ$2:$BB$56,3,),IF(AND(I2115="TDN",S2115&lt;=2800),VLOOKUP(AF2115,TNCalibEq2500!$AZ$2:$BB$56,3,)))</f>
        <v>0</v>
      </c>
      <c r="AU2115" s="10" t="b">
        <f>IF(I2115="TP",VLOOKUP(AF2115,TPCalibEqFull!$AZ$2:$BB$56,3),IF(I2115="TDP",VLOOKUP(AF2115,TPCalibEqFull!$AZ$2:$BB$56,3),IF(I2115="TDN",VLOOKUP(AF2115,TNCalibEqFull!$AZ$1:$BB$56,3),IF(I2115="TN",VLOOKUP(AF2115,TNCalibEqFull!$AZ$1:$BB$56,3),FALSE))))</f>
        <v>0</v>
      </c>
      <c r="AV2115" s="10" t="str">
        <f t="shared" si="247"/>
        <v>0206 14:20:00-DAM-0-FIL-1-SW-UKN</v>
      </c>
    </row>
    <row r="2116" spans="1:48" s="10" customFormat="1" x14ac:dyDescent="0.55000000000000004">
      <c r="A2116" s="32">
        <v>44963</v>
      </c>
      <c r="B2116" s="33">
        <v>0.59722222222222221</v>
      </c>
      <c r="C2116" s="10" t="s">
        <v>214</v>
      </c>
      <c r="D2116" s="10">
        <v>0</v>
      </c>
      <c r="E2116" s="10" t="s">
        <v>911</v>
      </c>
      <c r="F2116" s="10">
        <v>1</v>
      </c>
      <c r="G2116" s="10" t="s">
        <v>231</v>
      </c>
      <c r="H2116" s="10" t="s">
        <v>233</v>
      </c>
      <c r="I2116" s="10" t="s">
        <v>183</v>
      </c>
      <c r="J2116" s="10">
        <v>84</v>
      </c>
      <c r="K2116" s="12">
        <v>44966</v>
      </c>
      <c r="L2116" s="33">
        <v>0.56437499999999996</v>
      </c>
      <c r="M2116" s="10">
        <v>1</v>
      </c>
      <c r="N2116" s="10" t="s">
        <v>76</v>
      </c>
      <c r="O2116" s="10">
        <v>2.17</v>
      </c>
      <c r="P2116" s="10">
        <v>0.17399999999999999</v>
      </c>
      <c r="Q2116" s="10">
        <v>125</v>
      </c>
      <c r="R2116" s="10" t="s">
        <v>77</v>
      </c>
      <c r="S2116" s="34">
        <f t="shared" si="242"/>
        <v>125</v>
      </c>
      <c r="T2116" s="10" t="s">
        <v>1155</v>
      </c>
      <c r="U2116" s="34">
        <f t="shared" si="245"/>
        <v>42.271293375394322</v>
      </c>
      <c r="V2116" s="31" t="str">
        <f>IF(H2116="CHK",VLOOKUP(I2116,QCCHK,3,),IF(H2116="GUP",VLOOKUP(E2116,QCGUP,2,),IF(AND(H2116="ATP",OR(I2116="TN",I2116="TDN",I2116="TNO2-3",I2116="NO2-3")),VLOOKUP(E2116,QCREC_N,2,),IF(AND(H2116="NIC",OR(I2116="TN",I2116="TDN",I2116="TNO2-3",I2116="NO2-3")),VLOOKUP(E2116,QCNIC_N,2,),IF(AND(H2116="UREA",OR(I2116="TN",I2116="TDN",I2116="TNO2-3",I2116="NO2-3")),VLOOKUP(E2116,QCUREA_N,2,),IF(H2116="PER",VLOOKUP(I2116,QCPER,MATCH(E2116,QCACTUAL!$J$25:$AA$25,0),),IF(H2116="SPK",VLOOKUP(I2116,QCSPK,3,),IF(AND(H2116="ATP",OR(I2116="TP",I2116="TDP")),VLOOKUP(E2116,QCATP_P,2,),""))))))))</f>
        <v/>
      </c>
      <c r="W2116" s="31" t="str">
        <f t="shared" si="246"/>
        <v>FALSE</v>
      </c>
      <c r="X2116" s="31" t="str">
        <f t="shared" si="241"/>
        <v>((ABS(rep1-rep2))/((rep1+rep2)/2)*100</v>
      </c>
      <c r="Y2116" s="10" t="s">
        <v>1144</v>
      </c>
      <c r="Z2116" s="10" t="s">
        <v>910</v>
      </c>
      <c r="AL2116" s="10" t="str">
        <f t="shared" si="243"/>
        <v>FALSE</v>
      </c>
      <c r="AM2116" s="10" t="str">
        <f t="shared" si="243"/>
        <v>FALSE</v>
      </c>
      <c r="AN2116" s="10" t="str">
        <f t="shared" si="243"/>
        <v>FALSE</v>
      </c>
      <c r="AO2116" s="10" t="str">
        <f t="shared" si="244"/>
        <v>FALSE</v>
      </c>
      <c r="AP2116" s="10" t="str">
        <f t="shared" si="244"/>
        <v>FALSE</v>
      </c>
      <c r="AQ2116" s="10" t="b">
        <f>IF(AND(I2116="TP",S2116&lt;=150),VLOOKUP(AF2116,TPCalibEq150!$AZ$2:$BB$55,3,),IF(AND(I2116="TDP",S2116&lt;=150),VLOOKUP(AF2116,TPCalibEq150!$AZ$2:$BB$55,3,)))</f>
        <v>0</v>
      </c>
      <c r="AR2116" s="10" t="b">
        <f>IF(AND(I2116="TP",S2116&lt;=300),VLOOKUP(AF2116,TPCalibEq300!$AZ$2:$BB$55,3,),IF(AND(I2116="TDP",S2116&lt;=300),VLOOKUP(AF2116,TPCalibEq300!$AZ$2:$BB$55,3,)))</f>
        <v>0</v>
      </c>
      <c r="AS2116" s="10" t="b">
        <f>IF(AND(I2116="TP",S2116&lt;=500),VLOOKUP(AF2116,TPCalibEq500!$AZ$2:$BB$56,3,),IF(AND(I2116="TDP",S2116&lt;=500),VLOOKUP(AF2116,TPCalibEq500!$AZ$2:$BB$56,3,)))</f>
        <v>0</v>
      </c>
      <c r="AT2116" s="10" t="b">
        <f>IF(AND(I2116="TN",S2116&lt;=2800),VLOOKUP(AF2116,TNCalibEq2500!$AZ$2:$BB$56,3,),IF(AND(I2116="TDN",S2116&lt;=2800),VLOOKUP(AF2116,TNCalibEq2500!$AZ$2:$BB$56,3,)))</f>
        <v>0</v>
      </c>
      <c r="AU2116" s="10" t="b">
        <f>IF(I2116="TP",VLOOKUP(AF2116,TPCalibEqFull!$AZ$2:$BB$56,3),IF(I2116="TDP",VLOOKUP(AF2116,TPCalibEqFull!$AZ$2:$BB$56,3),IF(I2116="TDN",VLOOKUP(AF2116,TNCalibEqFull!$AZ$1:$BB$56,3),IF(I2116="TN",VLOOKUP(AF2116,TNCalibEqFull!$AZ$1:$BB$56,3),FALSE))))</f>
        <v>0</v>
      </c>
      <c r="AV2116" s="10" t="str">
        <f t="shared" si="247"/>
        <v>0206 14:20:00-DAM-0-FIL-1-SW-DUP</v>
      </c>
    </row>
    <row r="2117" spans="1:48" s="10" customFormat="1" x14ac:dyDescent="0.55000000000000004">
      <c r="A2117" s="32">
        <v>44963</v>
      </c>
      <c r="B2117" s="33">
        <v>0.59722222222222221</v>
      </c>
      <c r="C2117" s="10" t="s">
        <v>214</v>
      </c>
      <c r="D2117" s="10">
        <v>0</v>
      </c>
      <c r="E2117" s="10" t="s">
        <v>911</v>
      </c>
      <c r="F2117" s="10">
        <v>1</v>
      </c>
      <c r="G2117" s="10" t="s">
        <v>231</v>
      </c>
      <c r="H2117" s="10" t="s">
        <v>314</v>
      </c>
      <c r="I2117" s="10" t="s">
        <v>183</v>
      </c>
      <c r="J2117" s="10">
        <v>114</v>
      </c>
      <c r="K2117" s="12">
        <v>44966</v>
      </c>
      <c r="L2117" s="33">
        <v>0.56518518518518512</v>
      </c>
      <c r="M2117" s="10">
        <v>1</v>
      </c>
      <c r="N2117" s="10" t="s">
        <v>76</v>
      </c>
      <c r="O2117" s="10">
        <v>1.31</v>
      </c>
      <c r="P2117" s="10">
        <v>0.10299999999999999</v>
      </c>
      <c r="Q2117" s="10">
        <v>75.3</v>
      </c>
      <c r="R2117" s="10" t="s">
        <v>77</v>
      </c>
      <c r="S2117" s="34">
        <f t="shared" si="242"/>
        <v>75.3</v>
      </c>
      <c r="T2117" s="10" t="s">
        <v>1155</v>
      </c>
      <c r="U2117" s="34">
        <f t="shared" si="245"/>
        <v>-7.9520000000000008</v>
      </c>
      <c r="V2117" s="31">
        <f>IF(H2117="CHK",VLOOKUP(I2117,QCCHK,3,),IF(H2117="GUP",VLOOKUP(E2117,QCGUP,2,),IF(AND(H2117="ATP",OR(I2117="TN",I2117="TDN",I2117="TNO2-3",I2117="NO2-3")),VLOOKUP(E2117,QCREC_N,2,),IF(AND(H2117="NIC",OR(I2117="TN",I2117="TDN",I2117="TNO2-3",I2117="NO2-3")),VLOOKUP(E2117,QCNIC_N,2,),IF(AND(H2117="UREA",OR(I2117="TN",I2117="TDN",I2117="TNO2-3",I2117="NO2-3")),VLOOKUP(E2117,QCUREA_N,2,),IF(H2117="PER",VLOOKUP(I2117,QCPER,MATCH(E2117,QCACTUAL!$J$25:$AA$25,0),),IF(H2117="SPK",VLOOKUP(I2117,QCSPK,3,),IF(AND(H2117="ATP",OR(I2117="TP",I2117="TDP")),VLOOKUP(E2117,QCATP_P,2,),""))))))))</f>
        <v>625</v>
      </c>
      <c r="W2117" s="31" t="str">
        <f t="shared" si="246"/>
        <v>FALSE</v>
      </c>
      <c r="X2117" s="31" t="str">
        <f t="shared" si="241"/>
        <v>([spikedunkn]-[unkn])/[spike]*100</v>
      </c>
      <c r="Y2117" s="10" t="s">
        <v>1144</v>
      </c>
      <c r="Z2117" s="10" t="s">
        <v>910</v>
      </c>
      <c r="AL2117" s="10" t="str">
        <f t="shared" si="243"/>
        <v>FALSE</v>
      </c>
      <c r="AM2117" s="10" t="str">
        <f t="shared" si="243"/>
        <v>FALSE</v>
      </c>
      <c r="AN2117" s="10" t="str">
        <f t="shared" si="243"/>
        <v>FALSE</v>
      </c>
      <c r="AO2117" s="10" t="str">
        <f t="shared" si="244"/>
        <v>FALSE</v>
      </c>
      <c r="AP2117" s="10" t="str">
        <f t="shared" si="244"/>
        <v>FALSE</v>
      </c>
      <c r="AQ2117" s="10" t="b">
        <f>IF(AND(I2117="TP",S2117&lt;=150),VLOOKUP(AF2117,TPCalibEq150!$AZ$2:$BB$55,3,),IF(AND(I2117="TDP",S2117&lt;=150),VLOOKUP(AF2117,TPCalibEq150!$AZ$2:$BB$55,3,)))</f>
        <v>0</v>
      </c>
      <c r="AR2117" s="10" t="b">
        <f>IF(AND(I2117="TP",S2117&lt;=300),VLOOKUP(AF2117,TPCalibEq300!$AZ$2:$BB$55,3,),IF(AND(I2117="TDP",S2117&lt;=300),VLOOKUP(AF2117,TPCalibEq300!$AZ$2:$BB$55,3,)))</f>
        <v>0</v>
      </c>
      <c r="AS2117" s="10" t="b">
        <f>IF(AND(I2117="TP",S2117&lt;=500),VLOOKUP(AF2117,TPCalibEq500!$AZ$2:$BB$56,3,),IF(AND(I2117="TDP",S2117&lt;=500),VLOOKUP(AF2117,TPCalibEq500!$AZ$2:$BB$56,3,)))</f>
        <v>0</v>
      </c>
      <c r="AT2117" s="10" t="b">
        <f>IF(AND(I2117="TN",S2117&lt;=2800),VLOOKUP(AF2117,TNCalibEq2500!$AZ$2:$BB$56,3,),IF(AND(I2117="TDN",S2117&lt;=2800),VLOOKUP(AF2117,TNCalibEq2500!$AZ$2:$BB$56,3,)))</f>
        <v>0</v>
      </c>
      <c r="AU2117" s="10" t="b">
        <f>IF(I2117="TP",VLOOKUP(AF2117,TPCalibEqFull!$AZ$2:$BB$56,3),IF(I2117="TDP",VLOOKUP(AF2117,TPCalibEqFull!$AZ$2:$BB$56,3),IF(I2117="TDN",VLOOKUP(AF2117,TNCalibEqFull!$AZ$1:$BB$56,3),IF(I2117="TN",VLOOKUP(AF2117,TNCalibEqFull!$AZ$1:$BB$56,3),FALSE))))</f>
        <v>0</v>
      </c>
      <c r="AV2117" s="10" t="str">
        <f t="shared" si="247"/>
        <v>0206 14:20:00-DAM-0-FIL-1-SW-SPK</v>
      </c>
    </row>
    <row r="2118" spans="1:48" s="10" customFormat="1" x14ac:dyDescent="0.55000000000000004">
      <c r="A2118" s="32">
        <v>44966</v>
      </c>
      <c r="B2118" s="33">
        <v>0.375</v>
      </c>
      <c r="C2118" s="10" t="s">
        <v>70</v>
      </c>
      <c r="D2118" s="10" t="s">
        <v>71</v>
      </c>
      <c r="E2118" s="10" t="s">
        <v>901</v>
      </c>
      <c r="F2118" s="10">
        <v>1</v>
      </c>
      <c r="G2118" s="10" t="s">
        <v>73</v>
      </c>
      <c r="H2118" s="10" t="s">
        <v>207</v>
      </c>
      <c r="I2118" s="10" t="s">
        <v>75</v>
      </c>
      <c r="J2118" s="10">
        <v>203</v>
      </c>
      <c r="K2118" s="12">
        <v>44966</v>
      </c>
      <c r="L2118" s="33">
        <v>0.56601851851851859</v>
      </c>
      <c r="M2118" s="10">
        <v>1</v>
      </c>
      <c r="N2118" s="10" t="s">
        <v>76</v>
      </c>
      <c r="O2118" s="10">
        <v>4.8899999999999997</v>
      </c>
      <c r="P2118" s="10">
        <v>0.38900000000000001</v>
      </c>
      <c r="Q2118" s="10">
        <v>281</v>
      </c>
      <c r="R2118" s="10" t="s">
        <v>77</v>
      </c>
      <c r="S2118" s="34">
        <f t="shared" si="242"/>
        <v>281</v>
      </c>
      <c r="T2118" s="10" t="s">
        <v>1155</v>
      </c>
      <c r="U2118" s="34">
        <f t="shared" si="245"/>
        <v>93.666666666666671</v>
      </c>
      <c r="V2118" s="31">
        <f>IF(H2118="CHK",VLOOKUP(I2118,QCCHK,3,),IF(H2118="GUP",VLOOKUP(E2118,QCGUP,2,),IF(AND(H2118="ATP",OR(I2118="TN",I2118="TDN",I2118="TNO2-3",I2118="NO2-3")),VLOOKUP(E2118,QCREC_N,2,),IF(AND(H2118="NIC",OR(I2118="TN",I2118="TDN",I2118="TNO2-3",I2118="NO2-3")),VLOOKUP(E2118,QCNIC_N,2,),IF(AND(H2118="UREA",OR(I2118="TN",I2118="TDN",I2118="TNO2-3",I2118="NO2-3")),VLOOKUP(E2118,QCUREA_N,2,),IF(H2118="PER",VLOOKUP(I2118,QCPER,MATCH(E2118,QCACTUAL!$J$25:$AA$25,0),),IF(H2118="SPK",VLOOKUP(I2118,QCSPK,3,),IF(AND(H2118="ATP",OR(I2118="TP",I2118="TDP")),VLOOKUP(E2118,QCATP_P,2,),""))))))))</f>
        <v>300</v>
      </c>
      <c r="W2118" s="31" t="str">
        <f t="shared" si="246"/>
        <v>TRUE</v>
      </c>
      <c r="X2118" s="31" t="str">
        <f t="shared" si="241"/>
        <v>[chk]/[actual]*100</v>
      </c>
      <c r="Y2118" s="10" t="s">
        <v>1144</v>
      </c>
      <c r="AL2118" s="10" t="str">
        <f t="shared" si="243"/>
        <v>FALSE</v>
      </c>
      <c r="AM2118" s="10" t="str">
        <f t="shared" si="243"/>
        <v>FALSE</v>
      </c>
      <c r="AN2118" s="10" t="str">
        <f t="shared" si="243"/>
        <v>FALSE</v>
      </c>
      <c r="AO2118" s="10" t="str">
        <f t="shared" si="244"/>
        <v>FALSE</v>
      </c>
      <c r="AP2118" s="10" t="str">
        <f t="shared" si="244"/>
        <v>FALSE</v>
      </c>
      <c r="AQ2118" s="10" t="b">
        <f>IF(AND(I2118="TP",S2118&lt;=150),VLOOKUP(AF2118,TPCalibEq150!$AZ$2:$BB$55,3,),IF(AND(I2118="TDP",S2118&lt;=150),VLOOKUP(AF2118,TPCalibEq150!$AZ$2:$BB$55,3,)))</f>
        <v>0</v>
      </c>
      <c r="AR2118" s="10" t="b">
        <f>IF(AND(I2118="TP",S2118&lt;=300),VLOOKUP(AF2118,TPCalibEq300!$AZ$2:$BB$55,3,),IF(AND(I2118="TDP",S2118&lt;=300),VLOOKUP(AF2118,TPCalibEq300!$AZ$2:$BB$55,3,)))</f>
        <v>0</v>
      </c>
      <c r="AS2118" s="10" t="b">
        <f>IF(AND(I2118="TP",S2118&lt;=500),VLOOKUP(AF2118,TPCalibEq500!$AZ$2:$BB$56,3,),IF(AND(I2118="TDP",S2118&lt;=500),VLOOKUP(AF2118,TPCalibEq500!$AZ$2:$BB$56,3,)))</f>
        <v>0</v>
      </c>
      <c r="AT2118" s="10" t="b">
        <f>IF(AND(I2118="TN",S2118&lt;=2800),VLOOKUP(AF2118,TNCalibEq2500!$AZ$2:$BB$56,3,),IF(AND(I2118="TDN",S2118&lt;=2800),VLOOKUP(AF2118,TNCalibEq2500!$AZ$2:$BB$56,3,)))</f>
        <v>0</v>
      </c>
      <c r="AU2118" s="10" t="b">
        <f>IF(I2118="TP",VLOOKUP(AF2118,TPCalibEqFull!$AZ$2:$BB$56,3),IF(I2118="TDP",VLOOKUP(AF2118,TPCalibEqFull!$AZ$2:$BB$56,3),IF(I2118="TDN",VLOOKUP(AF2118,TNCalibEqFull!$AZ$1:$BB$56,3),IF(I2118="TN",VLOOKUP(AF2118,TNCalibEqFull!$AZ$1:$BB$56,3),FALSE))))</f>
        <v>0</v>
      </c>
      <c r="AV2118" s="10" t="str">
        <f t="shared" si="247"/>
        <v>0209 09:00:00-QAC-STD-D-1-DI-CHK</v>
      </c>
    </row>
    <row r="2119" spans="1:48" s="10" customFormat="1" x14ac:dyDescent="0.55000000000000004">
      <c r="A2119" s="32">
        <v>44965</v>
      </c>
      <c r="B2119" s="33">
        <v>0.47164351851851855</v>
      </c>
      <c r="C2119" s="10" t="s">
        <v>431</v>
      </c>
      <c r="D2119" s="10">
        <v>0</v>
      </c>
      <c r="E2119" s="10" t="s">
        <v>911</v>
      </c>
      <c r="F2119" s="10">
        <v>1</v>
      </c>
      <c r="G2119" s="10" t="s">
        <v>231</v>
      </c>
      <c r="H2119" s="10" t="s">
        <v>322</v>
      </c>
      <c r="I2119" s="10" t="s">
        <v>183</v>
      </c>
      <c r="J2119" s="10">
        <v>85</v>
      </c>
      <c r="K2119" s="12">
        <v>44966</v>
      </c>
      <c r="L2119" s="33">
        <v>0.56682870370370375</v>
      </c>
      <c r="M2119" s="10">
        <v>1</v>
      </c>
      <c r="N2119" s="10" t="s">
        <v>76</v>
      </c>
      <c r="O2119" s="10">
        <v>0.52900000000000003</v>
      </c>
      <c r="P2119" s="10">
        <v>4.3900000000000002E-2</v>
      </c>
      <c r="Q2119" s="10">
        <v>30.4</v>
      </c>
      <c r="R2119" s="10" t="s">
        <v>77</v>
      </c>
      <c r="S2119" s="34">
        <f t="shared" si="242"/>
        <v>30.4</v>
      </c>
      <c r="T2119" s="10" t="s">
        <v>1155</v>
      </c>
      <c r="U2119" s="34" t="str">
        <f t="shared" si="245"/>
        <v/>
      </c>
      <c r="V2119" s="31" t="str">
        <f>IF(H2119="CHK",VLOOKUP(I2119,QCCHK,3,),IF(H2119="GUP",VLOOKUP(E2119,QCGUP,2,),IF(AND(H2119="ATP",OR(I2119="TN",I2119="TDN",I2119="TNO2-3",I2119="NO2-3")),VLOOKUP(E2119,QCREC_N,2,),IF(AND(H2119="NIC",OR(I2119="TN",I2119="TDN",I2119="TNO2-3",I2119="NO2-3")),VLOOKUP(E2119,QCNIC_N,2,),IF(AND(H2119="UREA",OR(I2119="TN",I2119="TDN",I2119="TNO2-3",I2119="NO2-3")),VLOOKUP(E2119,QCUREA_N,2,),IF(H2119="PER",VLOOKUP(I2119,QCPER,MATCH(E2119,QCACTUAL!$J$25:$AA$25,0),),IF(H2119="SPK",VLOOKUP(I2119,QCSPK,3,),IF(AND(H2119="ATP",OR(I2119="TP",I2119="TDP")),VLOOKUP(E2119,QCATP_P,2,),""))))))))</f>
        <v/>
      </c>
      <c r="W2119" s="31" t="str">
        <f t="shared" si="246"/>
        <v>TRUE</v>
      </c>
      <c r="X2119" s="31" t="str">
        <f t="shared" si="241"/>
        <v/>
      </c>
      <c r="Y2119" s="10" t="s">
        <v>1144</v>
      </c>
      <c r="AL2119" s="10" t="str">
        <f t="shared" si="243"/>
        <v>FALSE</v>
      </c>
      <c r="AM2119" s="10" t="str">
        <f t="shared" si="243"/>
        <v>FALSE</v>
      </c>
      <c r="AN2119" s="10" t="str">
        <f t="shared" si="243"/>
        <v>FALSE</v>
      </c>
      <c r="AO2119" s="10" t="str">
        <f t="shared" si="244"/>
        <v>FALSE</v>
      </c>
      <c r="AP2119" s="10" t="str">
        <f t="shared" si="244"/>
        <v>FALSE</v>
      </c>
      <c r="AQ2119" s="10" t="b">
        <f>IF(AND(I2119="TP",S2119&lt;=150),VLOOKUP(AF2119,TPCalibEq150!$AZ$2:$BB$55,3,),IF(AND(I2119="TDP",S2119&lt;=150),VLOOKUP(AF2119,TPCalibEq150!$AZ$2:$BB$55,3,)))</f>
        <v>0</v>
      </c>
      <c r="AR2119" s="10" t="b">
        <f>IF(AND(I2119="TP",S2119&lt;=300),VLOOKUP(AF2119,TPCalibEq300!$AZ$2:$BB$55,3,),IF(AND(I2119="TDP",S2119&lt;=300),VLOOKUP(AF2119,TPCalibEq300!$AZ$2:$BB$55,3,)))</f>
        <v>0</v>
      </c>
      <c r="AS2119" s="10" t="b">
        <f>IF(AND(I2119="TP",S2119&lt;=500),VLOOKUP(AF2119,TPCalibEq500!$AZ$2:$BB$56,3,),IF(AND(I2119="TDP",S2119&lt;=500),VLOOKUP(AF2119,TPCalibEq500!$AZ$2:$BB$56,3,)))</f>
        <v>0</v>
      </c>
      <c r="AT2119" s="10" t="b">
        <f>IF(AND(I2119="TN",S2119&lt;=2800),VLOOKUP(AF2119,TNCalibEq2500!$AZ$2:$BB$56,3,),IF(AND(I2119="TDN",S2119&lt;=2800),VLOOKUP(AF2119,TNCalibEq2500!$AZ$2:$BB$56,3,)))</f>
        <v>0</v>
      </c>
      <c r="AU2119" s="10" t="b">
        <f>IF(I2119="TP",VLOOKUP(AF2119,TPCalibEqFull!$AZ$2:$BB$56,3),IF(I2119="TDP",VLOOKUP(AF2119,TPCalibEqFull!$AZ$2:$BB$56,3),IF(I2119="TDN",VLOOKUP(AF2119,TNCalibEqFull!$AZ$1:$BB$56,3),IF(I2119="TN",VLOOKUP(AF2119,TNCalibEqFull!$AZ$1:$BB$56,3),FALSE))))</f>
        <v>0</v>
      </c>
      <c r="AV2119" s="10" t="str">
        <f t="shared" si="247"/>
        <v>0208 11:19:10-EUS-0-FIL-1-SW-UKN</v>
      </c>
    </row>
    <row r="2120" spans="1:48" s="10" customFormat="1" x14ac:dyDescent="0.55000000000000004">
      <c r="A2120" s="32">
        <v>44965</v>
      </c>
      <c r="B2120" s="33">
        <v>0.47395833333333331</v>
      </c>
      <c r="C2120" s="10" t="s">
        <v>431</v>
      </c>
      <c r="D2120" s="10">
        <v>5</v>
      </c>
      <c r="E2120" s="10" t="s">
        <v>911</v>
      </c>
      <c r="F2120" s="10">
        <v>1</v>
      </c>
      <c r="G2120" s="10" t="s">
        <v>231</v>
      </c>
      <c r="H2120" s="10" t="s">
        <v>322</v>
      </c>
      <c r="I2120" s="10" t="s">
        <v>183</v>
      </c>
      <c r="J2120" s="10">
        <v>86</v>
      </c>
      <c r="K2120" s="12">
        <v>44966</v>
      </c>
      <c r="L2120" s="33">
        <v>0.56763888888888892</v>
      </c>
      <c r="M2120" s="10">
        <v>1</v>
      </c>
      <c r="N2120" s="10" t="s">
        <v>76</v>
      </c>
      <c r="O2120" s="10">
        <v>0.58299999999999996</v>
      </c>
      <c r="P2120" s="10">
        <v>4.7600000000000003E-2</v>
      </c>
      <c r="Q2120" s="10">
        <v>33.6</v>
      </c>
      <c r="R2120" s="10" t="s">
        <v>77</v>
      </c>
      <c r="S2120" s="34">
        <f t="shared" si="242"/>
        <v>33.6</v>
      </c>
      <c r="T2120" s="10" t="s">
        <v>1155</v>
      </c>
      <c r="U2120" s="34" t="str">
        <f t="shared" si="245"/>
        <v/>
      </c>
      <c r="V2120" s="31" t="str">
        <f>IF(H2120="CHK",VLOOKUP(I2120,QCCHK,3,),IF(H2120="GUP",VLOOKUP(E2120,QCGUP,2,),IF(AND(H2120="ATP",OR(I2120="TN",I2120="TDN",I2120="TNO2-3",I2120="NO2-3")),VLOOKUP(E2120,QCREC_N,2,),IF(AND(H2120="NIC",OR(I2120="TN",I2120="TDN",I2120="TNO2-3",I2120="NO2-3")),VLOOKUP(E2120,QCNIC_N,2,),IF(AND(H2120="UREA",OR(I2120="TN",I2120="TDN",I2120="TNO2-3",I2120="NO2-3")),VLOOKUP(E2120,QCUREA_N,2,),IF(H2120="PER",VLOOKUP(I2120,QCPER,MATCH(E2120,QCACTUAL!$J$25:$AA$25,0),),IF(H2120="SPK",VLOOKUP(I2120,QCSPK,3,),IF(AND(H2120="ATP",OR(I2120="TP",I2120="TDP")),VLOOKUP(E2120,QCATP_P,2,),""))))))))</f>
        <v/>
      </c>
      <c r="W2120" s="31" t="str">
        <f t="shared" si="246"/>
        <v>TRUE</v>
      </c>
      <c r="X2120" s="31" t="str">
        <f t="shared" si="241"/>
        <v/>
      </c>
      <c r="Y2120" s="10" t="s">
        <v>1144</v>
      </c>
      <c r="AL2120" s="10" t="str">
        <f t="shared" si="243"/>
        <v>FALSE</v>
      </c>
      <c r="AM2120" s="10" t="str">
        <f t="shared" si="243"/>
        <v>FALSE</v>
      </c>
      <c r="AN2120" s="10" t="str">
        <f t="shared" si="243"/>
        <v>FALSE</v>
      </c>
      <c r="AO2120" s="10" t="str">
        <f t="shared" si="244"/>
        <v>FALSE</v>
      </c>
      <c r="AP2120" s="10" t="str">
        <f t="shared" si="244"/>
        <v>FALSE</v>
      </c>
      <c r="AQ2120" s="10" t="b">
        <f>IF(AND(I2120="TP",S2120&lt;=150),VLOOKUP(AF2120,TPCalibEq150!$AZ$2:$BB$55,3,),IF(AND(I2120="TDP",S2120&lt;=150),VLOOKUP(AF2120,TPCalibEq150!$AZ$2:$BB$55,3,)))</f>
        <v>0</v>
      </c>
      <c r="AR2120" s="10" t="b">
        <f>IF(AND(I2120="TP",S2120&lt;=300),VLOOKUP(AF2120,TPCalibEq300!$AZ$2:$BB$55,3,),IF(AND(I2120="TDP",S2120&lt;=300),VLOOKUP(AF2120,TPCalibEq300!$AZ$2:$BB$55,3,)))</f>
        <v>0</v>
      </c>
      <c r="AS2120" s="10" t="b">
        <f>IF(AND(I2120="TP",S2120&lt;=500),VLOOKUP(AF2120,TPCalibEq500!$AZ$2:$BB$56,3,),IF(AND(I2120="TDP",S2120&lt;=500),VLOOKUP(AF2120,TPCalibEq500!$AZ$2:$BB$56,3,)))</f>
        <v>0</v>
      </c>
      <c r="AT2120" s="10" t="b">
        <f>IF(AND(I2120="TN",S2120&lt;=2800),VLOOKUP(AF2120,TNCalibEq2500!$AZ$2:$BB$56,3,),IF(AND(I2120="TDN",S2120&lt;=2800),VLOOKUP(AF2120,TNCalibEq2500!$AZ$2:$BB$56,3,)))</f>
        <v>0</v>
      </c>
      <c r="AU2120" s="10" t="b">
        <f>IF(I2120="TP",VLOOKUP(AF2120,TPCalibEqFull!$AZ$2:$BB$56,3),IF(I2120="TDP",VLOOKUP(AF2120,TPCalibEqFull!$AZ$2:$BB$56,3),IF(I2120="TDN",VLOOKUP(AF2120,TNCalibEqFull!$AZ$1:$BB$56,3),IF(I2120="TN",VLOOKUP(AF2120,TNCalibEqFull!$AZ$1:$BB$56,3),FALSE))))</f>
        <v>0</v>
      </c>
      <c r="AV2120" s="10" t="str">
        <f t="shared" si="247"/>
        <v>0208 11:22:30-EUS-5-FIL-1-SW-UKN</v>
      </c>
    </row>
    <row r="2121" spans="1:48" s="10" customFormat="1" x14ac:dyDescent="0.55000000000000004">
      <c r="A2121" s="32">
        <v>44965</v>
      </c>
      <c r="B2121" s="33">
        <v>0.46828703703703706</v>
      </c>
      <c r="C2121" s="10" t="s">
        <v>618</v>
      </c>
      <c r="D2121" s="10">
        <v>0</v>
      </c>
      <c r="E2121" s="10" t="s">
        <v>911</v>
      </c>
      <c r="F2121" s="10">
        <v>1</v>
      </c>
      <c r="G2121" s="10" t="s">
        <v>231</v>
      </c>
      <c r="H2121" s="10" t="s">
        <v>322</v>
      </c>
      <c r="I2121" s="10" t="s">
        <v>183</v>
      </c>
      <c r="J2121" s="10">
        <v>87</v>
      </c>
      <c r="K2121" s="12">
        <v>44966</v>
      </c>
      <c r="L2121" s="33">
        <v>0.56843750000000004</v>
      </c>
      <c r="M2121" s="10">
        <v>1</v>
      </c>
      <c r="N2121" s="10" t="s">
        <v>76</v>
      </c>
      <c r="O2121" s="10">
        <v>1.35</v>
      </c>
      <c r="P2121" s="10">
        <v>0.112</v>
      </c>
      <c r="Q2121" s="10">
        <v>77.5</v>
      </c>
      <c r="R2121" s="10" t="s">
        <v>77</v>
      </c>
      <c r="S2121" s="34">
        <f t="shared" si="242"/>
        <v>77.5</v>
      </c>
      <c r="T2121" s="10" t="s">
        <v>1155</v>
      </c>
      <c r="U2121" s="34" t="str">
        <f t="shared" si="245"/>
        <v/>
      </c>
      <c r="V2121" s="31" t="str">
        <f>IF(H2121="CHK",VLOOKUP(I2121,QCCHK,3,),IF(H2121="GUP",VLOOKUP(E2121,QCGUP,2,),IF(AND(H2121="ATP",OR(I2121="TN",I2121="TDN",I2121="TNO2-3",I2121="NO2-3")),VLOOKUP(E2121,QCREC_N,2,),IF(AND(H2121="NIC",OR(I2121="TN",I2121="TDN",I2121="TNO2-3",I2121="NO2-3")),VLOOKUP(E2121,QCNIC_N,2,),IF(AND(H2121="UREA",OR(I2121="TN",I2121="TDN",I2121="TNO2-3",I2121="NO2-3")),VLOOKUP(E2121,QCUREA_N,2,),IF(H2121="PER",VLOOKUP(I2121,QCPER,MATCH(E2121,QCACTUAL!$J$25:$AA$25,0),),IF(H2121="SPK",VLOOKUP(I2121,QCSPK,3,),IF(AND(H2121="ATP",OR(I2121="TP",I2121="TDP")),VLOOKUP(E2121,QCATP_P,2,),""))))))))</f>
        <v/>
      </c>
      <c r="W2121" s="31" t="str">
        <f t="shared" si="246"/>
        <v>TRUE</v>
      </c>
      <c r="X2121" s="31" t="str">
        <f t="shared" si="241"/>
        <v/>
      </c>
      <c r="Y2121" s="10" t="s">
        <v>1144</v>
      </c>
      <c r="AL2121" s="10" t="str">
        <f t="shared" si="243"/>
        <v>FALSE</v>
      </c>
      <c r="AM2121" s="10" t="str">
        <f t="shared" si="243"/>
        <v>FALSE</v>
      </c>
      <c r="AN2121" s="10" t="str">
        <f t="shared" si="243"/>
        <v>FALSE</v>
      </c>
      <c r="AO2121" s="10" t="str">
        <f t="shared" si="244"/>
        <v>FALSE</v>
      </c>
      <c r="AP2121" s="10" t="str">
        <f t="shared" si="244"/>
        <v>FALSE</v>
      </c>
      <c r="AQ2121" s="10" t="b">
        <f>IF(AND(I2121="TP",S2121&lt;=150),VLOOKUP(AF2121,TPCalibEq150!$AZ$2:$BB$55,3,),IF(AND(I2121="TDP",S2121&lt;=150),VLOOKUP(AF2121,TPCalibEq150!$AZ$2:$BB$55,3,)))</f>
        <v>0</v>
      </c>
      <c r="AR2121" s="10" t="b">
        <f>IF(AND(I2121="TP",S2121&lt;=300),VLOOKUP(AF2121,TPCalibEq300!$AZ$2:$BB$55,3,),IF(AND(I2121="TDP",S2121&lt;=300),VLOOKUP(AF2121,TPCalibEq300!$AZ$2:$BB$55,3,)))</f>
        <v>0</v>
      </c>
      <c r="AS2121" s="10" t="b">
        <f>IF(AND(I2121="TP",S2121&lt;=500),VLOOKUP(AF2121,TPCalibEq500!$AZ$2:$BB$56,3,),IF(AND(I2121="TDP",S2121&lt;=500),VLOOKUP(AF2121,TPCalibEq500!$AZ$2:$BB$56,3,)))</f>
        <v>0</v>
      </c>
      <c r="AT2121" s="10" t="b">
        <f>IF(AND(I2121="TN",S2121&lt;=2800),VLOOKUP(AF2121,TNCalibEq2500!$AZ$2:$BB$56,3,),IF(AND(I2121="TDN",S2121&lt;=2800),VLOOKUP(AF2121,TNCalibEq2500!$AZ$2:$BB$56,3,)))</f>
        <v>0</v>
      </c>
      <c r="AU2121" s="10" t="b">
        <f>IF(I2121="TP",VLOOKUP(AF2121,TPCalibEqFull!$AZ$2:$BB$56,3),IF(I2121="TDP",VLOOKUP(AF2121,TPCalibEqFull!$AZ$2:$BB$56,3),IF(I2121="TDN",VLOOKUP(AF2121,TNCalibEqFull!$AZ$1:$BB$56,3),IF(I2121="TN",VLOOKUP(AF2121,TNCalibEqFull!$AZ$1:$BB$56,3),FALSE))))</f>
        <v>0</v>
      </c>
      <c r="AV2121" s="10" t="str">
        <f t="shared" si="247"/>
        <v>0208 11:14:20-ECP-0-FIL-1-SW-UKN</v>
      </c>
    </row>
    <row r="2122" spans="1:48" s="10" customFormat="1" x14ac:dyDescent="0.55000000000000004">
      <c r="A2122" s="32">
        <v>44965</v>
      </c>
      <c r="B2122" s="33">
        <v>0.46828703703703706</v>
      </c>
      <c r="C2122" s="10" t="s">
        <v>618</v>
      </c>
      <c r="D2122" s="10">
        <v>0</v>
      </c>
      <c r="E2122" s="10" t="s">
        <v>911</v>
      </c>
      <c r="F2122" s="10">
        <v>2</v>
      </c>
      <c r="G2122" s="10" t="s">
        <v>231</v>
      </c>
      <c r="H2122" s="10" t="s">
        <v>322</v>
      </c>
      <c r="I2122" s="10" t="s">
        <v>183</v>
      </c>
      <c r="J2122" s="10">
        <v>88</v>
      </c>
      <c r="K2122" s="12">
        <v>44966</v>
      </c>
      <c r="L2122" s="33">
        <v>0.56925925925925924</v>
      </c>
      <c r="M2122" s="10">
        <v>1</v>
      </c>
      <c r="N2122" s="10" t="s">
        <v>76</v>
      </c>
      <c r="O2122" s="10">
        <v>1.39</v>
      </c>
      <c r="P2122" s="10">
        <v>0.125</v>
      </c>
      <c r="Q2122" s="10">
        <v>79.7</v>
      </c>
      <c r="R2122" s="10" t="s">
        <v>77</v>
      </c>
      <c r="S2122" s="34">
        <f t="shared" si="242"/>
        <v>79.7</v>
      </c>
      <c r="T2122" s="10" t="s">
        <v>1155</v>
      </c>
      <c r="U2122" s="34" t="str">
        <f t="shared" si="245"/>
        <v/>
      </c>
      <c r="V2122" s="31" t="str">
        <f>IF(H2122="CHK",VLOOKUP(I2122,QCCHK,3,),IF(H2122="GUP",VLOOKUP(E2122,QCGUP,2,),IF(AND(H2122="ATP",OR(I2122="TN",I2122="TDN",I2122="TNO2-3",I2122="NO2-3")),VLOOKUP(E2122,QCREC_N,2,),IF(AND(H2122="NIC",OR(I2122="TN",I2122="TDN",I2122="TNO2-3",I2122="NO2-3")),VLOOKUP(E2122,QCNIC_N,2,),IF(AND(H2122="UREA",OR(I2122="TN",I2122="TDN",I2122="TNO2-3",I2122="NO2-3")),VLOOKUP(E2122,QCUREA_N,2,),IF(H2122="PER",VLOOKUP(I2122,QCPER,MATCH(E2122,QCACTUAL!$J$25:$AA$25,0),),IF(H2122="SPK",VLOOKUP(I2122,QCSPK,3,),IF(AND(H2122="ATP",OR(I2122="TP",I2122="TDP")),VLOOKUP(E2122,QCATP_P,2,),""))))))))</f>
        <v/>
      </c>
      <c r="W2122" s="31" t="str">
        <f t="shared" si="246"/>
        <v>TRUE</v>
      </c>
      <c r="X2122" s="31" t="str">
        <f t="shared" si="241"/>
        <v/>
      </c>
      <c r="Y2122" s="10" t="s">
        <v>1144</v>
      </c>
      <c r="AL2122" s="10" t="str">
        <f t="shared" si="243"/>
        <v>FALSE</v>
      </c>
      <c r="AM2122" s="10" t="str">
        <f t="shared" si="243"/>
        <v>FALSE</v>
      </c>
      <c r="AN2122" s="10" t="str">
        <f t="shared" si="243"/>
        <v>FALSE</v>
      </c>
      <c r="AO2122" s="10" t="str">
        <f t="shared" si="244"/>
        <v>FALSE</v>
      </c>
      <c r="AP2122" s="10" t="str">
        <f t="shared" si="244"/>
        <v>FALSE</v>
      </c>
      <c r="AQ2122" s="10" t="b">
        <f>IF(AND(I2122="TP",S2122&lt;=150),VLOOKUP(AF2122,TPCalibEq150!$AZ$2:$BB$55,3,),IF(AND(I2122="TDP",S2122&lt;=150),VLOOKUP(AF2122,TPCalibEq150!$AZ$2:$BB$55,3,)))</f>
        <v>0</v>
      </c>
      <c r="AR2122" s="10" t="b">
        <f>IF(AND(I2122="TP",S2122&lt;=300),VLOOKUP(AF2122,TPCalibEq300!$AZ$2:$BB$55,3,),IF(AND(I2122="TDP",S2122&lt;=300),VLOOKUP(AF2122,TPCalibEq300!$AZ$2:$BB$55,3,)))</f>
        <v>0</v>
      </c>
      <c r="AS2122" s="10" t="b">
        <f>IF(AND(I2122="TP",S2122&lt;=500),VLOOKUP(AF2122,TPCalibEq500!$AZ$2:$BB$56,3,),IF(AND(I2122="TDP",S2122&lt;=500),VLOOKUP(AF2122,TPCalibEq500!$AZ$2:$BB$56,3,)))</f>
        <v>0</v>
      </c>
      <c r="AT2122" s="10" t="b">
        <f>IF(AND(I2122="TN",S2122&lt;=2800),VLOOKUP(AF2122,TNCalibEq2500!$AZ$2:$BB$56,3,),IF(AND(I2122="TDN",S2122&lt;=2800),VLOOKUP(AF2122,TNCalibEq2500!$AZ$2:$BB$56,3,)))</f>
        <v>0</v>
      </c>
      <c r="AU2122" s="10" t="b">
        <f>IF(I2122="TP",VLOOKUP(AF2122,TPCalibEqFull!$AZ$2:$BB$56,3),IF(I2122="TDP",VLOOKUP(AF2122,TPCalibEqFull!$AZ$2:$BB$56,3),IF(I2122="TDN",VLOOKUP(AF2122,TNCalibEqFull!$AZ$1:$BB$56,3),IF(I2122="TN",VLOOKUP(AF2122,TNCalibEqFull!$AZ$1:$BB$56,3),FALSE))))</f>
        <v>0</v>
      </c>
      <c r="AV2122" s="10" t="str">
        <f t="shared" si="247"/>
        <v>0208 11:14:20-ECP-0-FIL-2-SW-UKN</v>
      </c>
    </row>
    <row r="2123" spans="1:48" s="10" customFormat="1" x14ac:dyDescent="0.55000000000000004">
      <c r="A2123" s="32">
        <v>44965</v>
      </c>
      <c r="B2123" s="33">
        <v>0.46828703703703706</v>
      </c>
      <c r="C2123" s="10" t="s">
        <v>618</v>
      </c>
      <c r="D2123" s="10">
        <v>0</v>
      </c>
      <c r="E2123" s="10" t="s">
        <v>911</v>
      </c>
      <c r="F2123" s="10">
        <v>2</v>
      </c>
      <c r="G2123" s="10" t="s">
        <v>231</v>
      </c>
      <c r="H2123" s="10" t="s">
        <v>233</v>
      </c>
      <c r="I2123" s="10" t="s">
        <v>183</v>
      </c>
      <c r="J2123" s="10">
        <v>88</v>
      </c>
      <c r="K2123" s="12">
        <v>44966</v>
      </c>
      <c r="L2123" s="33">
        <v>0.57006944444444441</v>
      </c>
      <c r="M2123" s="10">
        <v>1</v>
      </c>
      <c r="N2123" s="10" t="s">
        <v>76</v>
      </c>
      <c r="O2123" s="10">
        <v>1.36</v>
      </c>
      <c r="P2123" s="10">
        <v>0.11</v>
      </c>
      <c r="Q2123" s="10">
        <v>78.3</v>
      </c>
      <c r="R2123" s="10" t="s">
        <v>77</v>
      </c>
      <c r="S2123" s="34">
        <f t="shared" si="242"/>
        <v>78.3</v>
      </c>
      <c r="T2123" s="10" t="s">
        <v>1155</v>
      </c>
      <c r="U2123" s="34">
        <f t="shared" si="245"/>
        <v>1.7721518987341847</v>
      </c>
      <c r="V2123" s="31" t="str">
        <f>IF(H2123="CHK",VLOOKUP(I2123,QCCHK,3,),IF(H2123="GUP",VLOOKUP(E2123,QCGUP,2,),IF(AND(H2123="ATP",OR(I2123="TN",I2123="TDN",I2123="TNO2-3",I2123="NO2-3")),VLOOKUP(E2123,QCREC_N,2,),IF(AND(H2123="NIC",OR(I2123="TN",I2123="TDN",I2123="TNO2-3",I2123="NO2-3")),VLOOKUP(E2123,QCNIC_N,2,),IF(AND(H2123="UREA",OR(I2123="TN",I2123="TDN",I2123="TNO2-3",I2123="NO2-3")),VLOOKUP(E2123,QCUREA_N,2,),IF(H2123="PER",VLOOKUP(I2123,QCPER,MATCH(E2123,QCACTUAL!$J$25:$AA$25,0),),IF(H2123="SPK",VLOOKUP(I2123,QCSPK,3,),IF(AND(H2123="ATP",OR(I2123="TP",I2123="TDP")),VLOOKUP(E2123,QCATP_P,2,),""))))))))</f>
        <v/>
      </c>
      <c r="W2123" s="31" t="str">
        <f t="shared" si="246"/>
        <v>TRUE</v>
      </c>
      <c r="X2123" s="31" t="str">
        <f t="shared" si="241"/>
        <v>((ABS(rep1-rep2))/((rep1+rep2)/2)*100</v>
      </c>
      <c r="Y2123" s="10" t="s">
        <v>1144</v>
      </c>
      <c r="AL2123" s="10" t="str">
        <f t="shared" si="243"/>
        <v>FALSE</v>
      </c>
      <c r="AM2123" s="10" t="str">
        <f t="shared" si="243"/>
        <v>FALSE</v>
      </c>
      <c r="AN2123" s="10" t="str">
        <f t="shared" si="243"/>
        <v>FALSE</v>
      </c>
      <c r="AO2123" s="10" t="str">
        <f t="shared" si="244"/>
        <v>FALSE</v>
      </c>
      <c r="AP2123" s="10" t="str">
        <f t="shared" si="244"/>
        <v>FALSE</v>
      </c>
      <c r="AQ2123" s="10" t="b">
        <f>IF(AND(I2123="TP",S2123&lt;=150),VLOOKUP(AF2123,TPCalibEq150!$AZ$2:$BB$55,3,),IF(AND(I2123="TDP",S2123&lt;=150),VLOOKUP(AF2123,TPCalibEq150!$AZ$2:$BB$55,3,)))</f>
        <v>0</v>
      </c>
      <c r="AR2123" s="10" t="b">
        <f>IF(AND(I2123="TP",S2123&lt;=300),VLOOKUP(AF2123,TPCalibEq300!$AZ$2:$BB$55,3,),IF(AND(I2123="TDP",S2123&lt;=300),VLOOKUP(AF2123,TPCalibEq300!$AZ$2:$BB$55,3,)))</f>
        <v>0</v>
      </c>
      <c r="AS2123" s="10" t="b">
        <f>IF(AND(I2123="TP",S2123&lt;=500),VLOOKUP(AF2123,TPCalibEq500!$AZ$2:$BB$56,3,),IF(AND(I2123="TDP",S2123&lt;=500),VLOOKUP(AF2123,TPCalibEq500!$AZ$2:$BB$56,3,)))</f>
        <v>0</v>
      </c>
      <c r="AT2123" s="10" t="b">
        <f>IF(AND(I2123="TN",S2123&lt;=2800),VLOOKUP(AF2123,TNCalibEq2500!$AZ$2:$BB$56,3,),IF(AND(I2123="TDN",S2123&lt;=2800),VLOOKUP(AF2123,TNCalibEq2500!$AZ$2:$BB$56,3,)))</f>
        <v>0</v>
      </c>
      <c r="AU2123" s="10" t="b">
        <f>IF(I2123="TP",VLOOKUP(AF2123,TPCalibEqFull!$AZ$2:$BB$56,3),IF(I2123="TDP",VLOOKUP(AF2123,TPCalibEqFull!$AZ$2:$BB$56,3),IF(I2123="TDN",VLOOKUP(AF2123,TNCalibEqFull!$AZ$1:$BB$56,3),IF(I2123="TN",VLOOKUP(AF2123,TNCalibEqFull!$AZ$1:$BB$56,3),FALSE))))</f>
        <v>0</v>
      </c>
      <c r="AV2123" s="10" t="str">
        <f t="shared" si="247"/>
        <v>0208 11:14:20-ECP-0-FIL-2-SW-DUP</v>
      </c>
    </row>
    <row r="2124" spans="1:48" s="10" customFormat="1" x14ac:dyDescent="0.55000000000000004">
      <c r="A2124" s="32">
        <v>44965</v>
      </c>
      <c r="B2124" s="33">
        <v>0.46828703703703706</v>
      </c>
      <c r="C2124" s="10" t="s">
        <v>618</v>
      </c>
      <c r="D2124" s="10">
        <v>0</v>
      </c>
      <c r="E2124" s="10" t="s">
        <v>911</v>
      </c>
      <c r="F2124" s="10">
        <v>2</v>
      </c>
      <c r="G2124" s="10" t="s">
        <v>231</v>
      </c>
      <c r="H2124" s="10" t="s">
        <v>314</v>
      </c>
      <c r="I2124" s="10" t="s">
        <v>183</v>
      </c>
      <c r="J2124" s="10">
        <v>129</v>
      </c>
      <c r="K2124" s="12">
        <v>44966</v>
      </c>
      <c r="L2124" s="33">
        <v>0.57089120370370372</v>
      </c>
      <c r="M2124" s="10">
        <v>1</v>
      </c>
      <c r="N2124" s="10" t="s">
        <v>76</v>
      </c>
      <c r="O2124" s="10">
        <v>13.2</v>
      </c>
      <c r="P2124" s="10">
        <v>1.05</v>
      </c>
      <c r="Q2124" s="10">
        <v>755</v>
      </c>
      <c r="R2124" s="10" t="s">
        <v>77</v>
      </c>
      <c r="S2124" s="34">
        <f t="shared" si="242"/>
        <v>755</v>
      </c>
      <c r="T2124" s="10" t="s">
        <v>1155</v>
      </c>
      <c r="U2124" s="34">
        <f t="shared" si="245"/>
        <v>108.27200000000002</v>
      </c>
      <c r="V2124" s="31">
        <f>IF(H2124="CHK",VLOOKUP(I2124,QCCHK,3,),IF(H2124="GUP",VLOOKUP(E2124,QCGUP,2,),IF(AND(H2124="ATP",OR(I2124="TN",I2124="TDN",I2124="TNO2-3",I2124="NO2-3")),VLOOKUP(E2124,QCREC_N,2,),IF(AND(H2124="NIC",OR(I2124="TN",I2124="TDN",I2124="TNO2-3",I2124="NO2-3")),VLOOKUP(E2124,QCNIC_N,2,),IF(AND(H2124="UREA",OR(I2124="TN",I2124="TDN",I2124="TNO2-3",I2124="NO2-3")),VLOOKUP(E2124,QCUREA_N,2,),IF(H2124="PER",VLOOKUP(I2124,QCPER,MATCH(E2124,QCACTUAL!$J$25:$AA$25,0),),IF(H2124="SPK",VLOOKUP(I2124,QCSPK,3,),IF(AND(H2124="ATP",OR(I2124="TP",I2124="TDP")),VLOOKUP(E2124,QCATP_P,2,),""))))))))</f>
        <v>625</v>
      </c>
      <c r="W2124" s="31" t="str">
        <f t="shared" si="246"/>
        <v>TRUE</v>
      </c>
      <c r="X2124" s="31" t="str">
        <f t="shared" si="241"/>
        <v>([spikedunkn]-[unkn])/[spike]*100</v>
      </c>
      <c r="Y2124" s="10" t="s">
        <v>1144</v>
      </c>
      <c r="AL2124" s="10" t="str">
        <f t="shared" si="243"/>
        <v>FALSE</v>
      </c>
      <c r="AM2124" s="10" t="str">
        <f t="shared" si="243"/>
        <v>FALSE</v>
      </c>
      <c r="AN2124" s="10" t="str">
        <f t="shared" si="243"/>
        <v>FALSE</v>
      </c>
      <c r="AO2124" s="10" t="str">
        <f t="shared" si="244"/>
        <v>FALSE</v>
      </c>
      <c r="AP2124" s="10" t="str">
        <f t="shared" si="244"/>
        <v>FALSE</v>
      </c>
      <c r="AQ2124" s="10" t="b">
        <f>IF(AND(I2124="TP",S2124&lt;=150),VLOOKUP(AF2124,TPCalibEq150!$AZ$2:$BB$55,3,),IF(AND(I2124="TDP",S2124&lt;=150),VLOOKUP(AF2124,TPCalibEq150!$AZ$2:$BB$55,3,)))</f>
        <v>0</v>
      </c>
      <c r="AR2124" s="10" t="b">
        <f>IF(AND(I2124="TP",S2124&lt;=300),VLOOKUP(AF2124,TPCalibEq300!$AZ$2:$BB$55,3,),IF(AND(I2124="TDP",S2124&lt;=300),VLOOKUP(AF2124,TPCalibEq300!$AZ$2:$BB$55,3,)))</f>
        <v>0</v>
      </c>
      <c r="AS2124" s="10" t="b">
        <f>IF(AND(I2124="TP",S2124&lt;=500),VLOOKUP(AF2124,TPCalibEq500!$AZ$2:$BB$56,3,),IF(AND(I2124="TDP",S2124&lt;=500),VLOOKUP(AF2124,TPCalibEq500!$AZ$2:$BB$56,3,)))</f>
        <v>0</v>
      </c>
      <c r="AT2124" s="10" t="b">
        <f>IF(AND(I2124="TN",S2124&lt;=2800),VLOOKUP(AF2124,TNCalibEq2500!$AZ$2:$BB$56,3,),IF(AND(I2124="TDN",S2124&lt;=2800),VLOOKUP(AF2124,TNCalibEq2500!$AZ$2:$BB$56,3,)))</f>
        <v>0</v>
      </c>
      <c r="AU2124" s="10" t="b">
        <f>IF(I2124="TP",VLOOKUP(AF2124,TPCalibEqFull!$AZ$2:$BB$56,3),IF(I2124="TDP",VLOOKUP(AF2124,TPCalibEqFull!$AZ$2:$BB$56,3),IF(I2124="TDN",VLOOKUP(AF2124,TNCalibEqFull!$AZ$1:$BB$56,3),IF(I2124="TN",VLOOKUP(AF2124,TNCalibEqFull!$AZ$1:$BB$56,3),FALSE))))</f>
        <v>0</v>
      </c>
      <c r="AV2124" s="10" t="str">
        <f t="shared" si="247"/>
        <v>0208 11:14:20-ECP-0-FIL-2-SW-SPK</v>
      </c>
    </row>
    <row r="2125" spans="1:48" s="10" customFormat="1" x14ac:dyDescent="0.55000000000000004">
      <c r="A2125" s="32">
        <v>44966</v>
      </c>
      <c r="B2125" s="33">
        <v>0.375</v>
      </c>
      <c r="C2125" s="10" t="s">
        <v>70</v>
      </c>
      <c r="D2125" s="10" t="s">
        <v>71</v>
      </c>
      <c r="E2125" s="10" t="s">
        <v>901</v>
      </c>
      <c r="F2125" s="10">
        <v>1</v>
      </c>
      <c r="G2125" s="10" t="s">
        <v>73</v>
      </c>
      <c r="H2125" s="10" t="s">
        <v>207</v>
      </c>
      <c r="I2125" s="10" t="s">
        <v>75</v>
      </c>
      <c r="J2125" s="10">
        <v>203</v>
      </c>
      <c r="K2125" s="12">
        <v>44966</v>
      </c>
      <c r="L2125" s="33">
        <v>0.57171296296296303</v>
      </c>
      <c r="M2125" s="10">
        <v>1</v>
      </c>
      <c r="N2125" s="10" t="s">
        <v>76</v>
      </c>
      <c r="O2125" s="10">
        <v>4.8600000000000003</v>
      </c>
      <c r="P2125" s="10">
        <v>0.39</v>
      </c>
      <c r="Q2125" s="10">
        <v>279</v>
      </c>
      <c r="R2125" s="10" t="s">
        <v>77</v>
      </c>
      <c r="S2125" s="34">
        <f t="shared" si="242"/>
        <v>279</v>
      </c>
      <c r="T2125" s="10" t="s">
        <v>1155</v>
      </c>
      <c r="U2125" s="34">
        <f t="shared" si="245"/>
        <v>93</v>
      </c>
      <c r="V2125" s="31">
        <f>IF(H2125="CHK",VLOOKUP(I2125,QCCHK,3,),IF(H2125="GUP",VLOOKUP(E2125,QCGUP,2,),IF(AND(H2125="ATP",OR(I2125="TN",I2125="TDN",I2125="TNO2-3",I2125="NO2-3")),VLOOKUP(E2125,QCREC_N,2,),IF(AND(H2125="NIC",OR(I2125="TN",I2125="TDN",I2125="TNO2-3",I2125="NO2-3")),VLOOKUP(E2125,QCNIC_N,2,),IF(AND(H2125="UREA",OR(I2125="TN",I2125="TDN",I2125="TNO2-3",I2125="NO2-3")),VLOOKUP(E2125,QCUREA_N,2,),IF(H2125="PER",VLOOKUP(I2125,QCPER,MATCH(E2125,QCACTUAL!$J$25:$AA$25,0),),IF(H2125="SPK",VLOOKUP(I2125,QCSPK,3,),IF(AND(H2125="ATP",OR(I2125="TP",I2125="TDP")),VLOOKUP(E2125,QCATP_P,2,),""))))))))</f>
        <v>300</v>
      </c>
      <c r="W2125" s="31" t="str">
        <f t="shared" si="246"/>
        <v>TRUE</v>
      </c>
      <c r="X2125" s="31" t="str">
        <f t="shared" si="241"/>
        <v>[chk]/[actual]*100</v>
      </c>
      <c r="Y2125" s="10" t="s">
        <v>1144</v>
      </c>
      <c r="AL2125" s="10" t="str">
        <f t="shared" si="243"/>
        <v>FALSE</v>
      </c>
      <c r="AM2125" s="10" t="str">
        <f t="shared" si="243"/>
        <v>FALSE</v>
      </c>
      <c r="AN2125" s="10" t="str">
        <f t="shared" si="243"/>
        <v>FALSE</v>
      </c>
      <c r="AO2125" s="10" t="str">
        <f t="shared" si="244"/>
        <v>FALSE</v>
      </c>
      <c r="AP2125" s="10" t="str">
        <f t="shared" si="244"/>
        <v>FALSE</v>
      </c>
      <c r="AQ2125" s="10" t="b">
        <f>IF(AND(I2125="TP",S2125&lt;=150),VLOOKUP(AF2125,TPCalibEq150!$AZ$2:$BB$55,3,),IF(AND(I2125="TDP",S2125&lt;=150),VLOOKUP(AF2125,TPCalibEq150!$AZ$2:$BB$55,3,)))</f>
        <v>0</v>
      </c>
      <c r="AR2125" s="10" t="b">
        <f>IF(AND(I2125="TP",S2125&lt;=300),VLOOKUP(AF2125,TPCalibEq300!$AZ$2:$BB$55,3,),IF(AND(I2125="TDP",S2125&lt;=300),VLOOKUP(AF2125,TPCalibEq300!$AZ$2:$BB$55,3,)))</f>
        <v>0</v>
      </c>
      <c r="AS2125" s="10" t="b">
        <f>IF(AND(I2125="TP",S2125&lt;=500),VLOOKUP(AF2125,TPCalibEq500!$AZ$2:$BB$56,3,),IF(AND(I2125="TDP",S2125&lt;=500),VLOOKUP(AF2125,TPCalibEq500!$AZ$2:$BB$56,3,)))</f>
        <v>0</v>
      </c>
      <c r="AT2125" s="10" t="b">
        <f>IF(AND(I2125="TN",S2125&lt;=2800),VLOOKUP(AF2125,TNCalibEq2500!$AZ$2:$BB$56,3,),IF(AND(I2125="TDN",S2125&lt;=2800),VLOOKUP(AF2125,TNCalibEq2500!$AZ$2:$BB$56,3,)))</f>
        <v>0</v>
      </c>
      <c r="AU2125" s="10" t="b">
        <f>IF(I2125="TP",VLOOKUP(AF2125,TPCalibEqFull!$AZ$2:$BB$56,3),IF(I2125="TDP",VLOOKUP(AF2125,TPCalibEqFull!$AZ$2:$BB$56,3),IF(I2125="TDN",VLOOKUP(AF2125,TNCalibEqFull!$AZ$1:$BB$56,3),IF(I2125="TN",VLOOKUP(AF2125,TNCalibEqFull!$AZ$1:$BB$56,3),FALSE))))</f>
        <v>0</v>
      </c>
      <c r="AV2125" s="10" t="str">
        <f t="shared" si="247"/>
        <v>0209 09:00:00-QAC-STD-D-1-DI-CHK</v>
      </c>
    </row>
    <row r="2126" spans="1:48" s="10" customFormat="1" x14ac:dyDescent="0.55000000000000004">
      <c r="A2126" s="32">
        <v>44965</v>
      </c>
      <c r="B2126" s="33">
        <v>0.49027777777777781</v>
      </c>
      <c r="C2126" s="10" t="s">
        <v>618</v>
      </c>
      <c r="D2126" s="10">
        <v>5</v>
      </c>
      <c r="E2126" s="10" t="s">
        <v>911</v>
      </c>
      <c r="F2126" s="10">
        <v>1</v>
      </c>
      <c r="G2126" s="10" t="s">
        <v>231</v>
      </c>
      <c r="H2126" s="10" t="s">
        <v>322</v>
      </c>
      <c r="I2126" s="10" t="s">
        <v>183</v>
      </c>
      <c r="J2126" s="10">
        <v>89</v>
      </c>
      <c r="K2126" s="12">
        <v>44966</v>
      </c>
      <c r="L2126" s="33">
        <v>0.5725231481481482</v>
      </c>
      <c r="M2126" s="10">
        <v>1</v>
      </c>
      <c r="N2126" s="10" t="s">
        <v>76</v>
      </c>
      <c r="O2126" s="10">
        <v>1.3</v>
      </c>
      <c r="P2126" s="10">
        <v>0.104</v>
      </c>
      <c r="Q2126" s="10">
        <v>74.7</v>
      </c>
      <c r="R2126" s="10" t="s">
        <v>77</v>
      </c>
      <c r="S2126" s="34">
        <f t="shared" si="242"/>
        <v>74.7</v>
      </c>
      <c r="T2126" s="10" t="s">
        <v>1155</v>
      </c>
      <c r="U2126" s="34" t="str">
        <f t="shared" si="245"/>
        <v/>
      </c>
      <c r="V2126" s="31" t="str">
        <f>IF(H2126="CHK",VLOOKUP(I2126,QCCHK,3,),IF(H2126="GUP",VLOOKUP(E2126,QCGUP,2,),IF(AND(H2126="ATP",OR(I2126="TN",I2126="TDN",I2126="TNO2-3",I2126="NO2-3")),VLOOKUP(E2126,QCREC_N,2,),IF(AND(H2126="NIC",OR(I2126="TN",I2126="TDN",I2126="TNO2-3",I2126="NO2-3")),VLOOKUP(E2126,QCNIC_N,2,),IF(AND(H2126="UREA",OR(I2126="TN",I2126="TDN",I2126="TNO2-3",I2126="NO2-3")),VLOOKUP(E2126,QCUREA_N,2,),IF(H2126="PER",VLOOKUP(I2126,QCPER,MATCH(E2126,QCACTUAL!$J$25:$AA$25,0),),IF(H2126="SPK",VLOOKUP(I2126,QCSPK,3,),IF(AND(H2126="ATP",OR(I2126="TP",I2126="TDP")),VLOOKUP(E2126,QCATP_P,2,),""))))))))</f>
        <v/>
      </c>
      <c r="W2126" s="31" t="str">
        <f t="shared" si="246"/>
        <v>TRUE</v>
      </c>
      <c r="X2126" s="31" t="str">
        <f t="shared" si="241"/>
        <v/>
      </c>
      <c r="Y2126" s="10" t="s">
        <v>1144</v>
      </c>
      <c r="AL2126" s="10" t="str">
        <f t="shared" si="243"/>
        <v>FALSE</v>
      </c>
      <c r="AM2126" s="10" t="str">
        <f t="shared" si="243"/>
        <v>FALSE</v>
      </c>
      <c r="AN2126" s="10" t="str">
        <f t="shared" si="243"/>
        <v>FALSE</v>
      </c>
      <c r="AO2126" s="10" t="str">
        <f t="shared" si="244"/>
        <v>FALSE</v>
      </c>
      <c r="AP2126" s="10" t="str">
        <f t="shared" si="244"/>
        <v>FALSE</v>
      </c>
      <c r="AQ2126" s="10" t="b">
        <f>IF(AND(I2126="TP",S2126&lt;=150),VLOOKUP(AF2126,TPCalibEq150!$AZ$2:$BB$55,3,),IF(AND(I2126="TDP",S2126&lt;=150),VLOOKUP(AF2126,TPCalibEq150!$AZ$2:$BB$55,3,)))</f>
        <v>0</v>
      </c>
      <c r="AR2126" s="10" t="b">
        <f>IF(AND(I2126="TP",S2126&lt;=300),VLOOKUP(AF2126,TPCalibEq300!$AZ$2:$BB$55,3,),IF(AND(I2126="TDP",S2126&lt;=300),VLOOKUP(AF2126,TPCalibEq300!$AZ$2:$BB$55,3,)))</f>
        <v>0</v>
      </c>
      <c r="AS2126" s="10" t="b">
        <f>IF(AND(I2126="TP",S2126&lt;=500),VLOOKUP(AF2126,TPCalibEq500!$AZ$2:$BB$56,3,),IF(AND(I2126="TDP",S2126&lt;=500),VLOOKUP(AF2126,TPCalibEq500!$AZ$2:$BB$56,3,)))</f>
        <v>0</v>
      </c>
      <c r="AT2126" s="10" t="b">
        <f>IF(AND(I2126="TN",S2126&lt;=2800),VLOOKUP(AF2126,TNCalibEq2500!$AZ$2:$BB$56,3,),IF(AND(I2126="TDN",S2126&lt;=2800),VLOOKUP(AF2126,TNCalibEq2500!$AZ$2:$BB$56,3,)))</f>
        <v>0</v>
      </c>
      <c r="AU2126" s="10" t="b">
        <f>IF(I2126="TP",VLOOKUP(AF2126,TPCalibEqFull!$AZ$2:$BB$56,3),IF(I2126="TDP",VLOOKUP(AF2126,TPCalibEqFull!$AZ$2:$BB$56,3),IF(I2126="TDN",VLOOKUP(AF2126,TNCalibEqFull!$AZ$1:$BB$56,3),IF(I2126="TN",VLOOKUP(AF2126,TNCalibEqFull!$AZ$1:$BB$56,3),FALSE))))</f>
        <v>0</v>
      </c>
      <c r="AV2126" s="10" t="str">
        <f t="shared" si="247"/>
        <v>0208 11:46:00-ECP-5-FIL-1-SW-UKN</v>
      </c>
    </row>
    <row r="2127" spans="1:48" s="10" customFormat="1" x14ac:dyDescent="0.55000000000000004">
      <c r="A2127" s="32">
        <v>44965</v>
      </c>
      <c r="B2127" s="33">
        <v>0.4927083333333333</v>
      </c>
      <c r="C2127" s="10" t="s">
        <v>618</v>
      </c>
      <c r="D2127" s="10">
        <v>10</v>
      </c>
      <c r="E2127" s="10" t="s">
        <v>911</v>
      </c>
      <c r="F2127" s="10">
        <v>1</v>
      </c>
      <c r="G2127" s="10" t="s">
        <v>231</v>
      </c>
      <c r="H2127" s="10" t="s">
        <v>322</v>
      </c>
      <c r="I2127" s="10" t="s">
        <v>183</v>
      </c>
      <c r="J2127" s="10">
        <v>90</v>
      </c>
      <c r="K2127" s="12">
        <v>44966</v>
      </c>
      <c r="L2127" s="33">
        <v>0.57333333333333336</v>
      </c>
      <c r="M2127" s="10">
        <v>1</v>
      </c>
      <c r="N2127" s="10" t="s">
        <v>76</v>
      </c>
      <c r="O2127" s="10">
        <v>1.36</v>
      </c>
      <c r="P2127" s="10">
        <v>0.106</v>
      </c>
      <c r="Q2127" s="10">
        <v>78.2</v>
      </c>
      <c r="R2127" s="10" t="s">
        <v>77</v>
      </c>
      <c r="S2127" s="34">
        <f t="shared" si="242"/>
        <v>78.2</v>
      </c>
      <c r="T2127" s="10" t="s">
        <v>1155</v>
      </c>
      <c r="U2127" s="34" t="str">
        <f t="shared" si="245"/>
        <v/>
      </c>
      <c r="V2127" s="31" t="str">
        <f>IF(H2127="CHK",VLOOKUP(I2127,QCCHK,3,),IF(H2127="GUP",VLOOKUP(E2127,QCGUP,2,),IF(AND(H2127="ATP",OR(I2127="TN",I2127="TDN",I2127="TNO2-3",I2127="NO2-3")),VLOOKUP(E2127,QCREC_N,2,),IF(AND(H2127="NIC",OR(I2127="TN",I2127="TDN",I2127="TNO2-3",I2127="NO2-3")),VLOOKUP(E2127,QCNIC_N,2,),IF(AND(H2127="UREA",OR(I2127="TN",I2127="TDN",I2127="TNO2-3",I2127="NO2-3")),VLOOKUP(E2127,QCUREA_N,2,),IF(H2127="PER",VLOOKUP(I2127,QCPER,MATCH(E2127,QCACTUAL!$J$25:$AA$25,0),),IF(H2127="SPK",VLOOKUP(I2127,QCSPK,3,),IF(AND(H2127="ATP",OR(I2127="TP",I2127="TDP")),VLOOKUP(E2127,QCATP_P,2,),""))))))))</f>
        <v/>
      </c>
      <c r="W2127" s="31" t="str">
        <f t="shared" si="246"/>
        <v>TRUE</v>
      </c>
      <c r="X2127" s="31" t="str">
        <f t="shared" si="241"/>
        <v/>
      </c>
      <c r="Y2127" s="10" t="s">
        <v>1144</v>
      </c>
      <c r="AL2127" s="10" t="str">
        <f t="shared" si="243"/>
        <v>FALSE</v>
      </c>
      <c r="AM2127" s="10" t="str">
        <f t="shared" si="243"/>
        <v>FALSE</v>
      </c>
      <c r="AN2127" s="10" t="str">
        <f t="shared" si="243"/>
        <v>FALSE</v>
      </c>
      <c r="AO2127" s="10" t="str">
        <f t="shared" si="244"/>
        <v>FALSE</v>
      </c>
      <c r="AP2127" s="10" t="str">
        <f t="shared" si="244"/>
        <v>FALSE</v>
      </c>
      <c r="AQ2127" s="10" t="b">
        <f>IF(AND(I2127="TP",S2127&lt;=150),VLOOKUP(AF2127,TPCalibEq150!$AZ$2:$BB$55,3,),IF(AND(I2127="TDP",S2127&lt;=150),VLOOKUP(AF2127,TPCalibEq150!$AZ$2:$BB$55,3,)))</f>
        <v>0</v>
      </c>
      <c r="AR2127" s="10" t="b">
        <f>IF(AND(I2127="TP",S2127&lt;=300),VLOOKUP(AF2127,TPCalibEq300!$AZ$2:$BB$55,3,),IF(AND(I2127="TDP",S2127&lt;=300),VLOOKUP(AF2127,TPCalibEq300!$AZ$2:$BB$55,3,)))</f>
        <v>0</v>
      </c>
      <c r="AS2127" s="10" t="b">
        <f>IF(AND(I2127="TP",S2127&lt;=500),VLOOKUP(AF2127,TPCalibEq500!$AZ$2:$BB$56,3,),IF(AND(I2127="TDP",S2127&lt;=500),VLOOKUP(AF2127,TPCalibEq500!$AZ$2:$BB$56,3,)))</f>
        <v>0</v>
      </c>
      <c r="AT2127" s="10" t="b">
        <f>IF(AND(I2127="TN",S2127&lt;=2800),VLOOKUP(AF2127,TNCalibEq2500!$AZ$2:$BB$56,3,),IF(AND(I2127="TDN",S2127&lt;=2800),VLOOKUP(AF2127,TNCalibEq2500!$AZ$2:$BB$56,3,)))</f>
        <v>0</v>
      </c>
      <c r="AU2127" s="10" t="b">
        <f>IF(I2127="TP",VLOOKUP(AF2127,TPCalibEqFull!$AZ$2:$BB$56,3),IF(I2127="TDP",VLOOKUP(AF2127,TPCalibEqFull!$AZ$2:$BB$56,3),IF(I2127="TDN",VLOOKUP(AF2127,TNCalibEqFull!$AZ$1:$BB$56,3),IF(I2127="TN",VLOOKUP(AF2127,TNCalibEqFull!$AZ$1:$BB$56,3),FALSE))))</f>
        <v>0</v>
      </c>
      <c r="AV2127" s="10" t="str">
        <f t="shared" si="247"/>
        <v>0208 11:49:30-ECP-10-FIL-1-SW-UKN</v>
      </c>
    </row>
    <row r="2128" spans="1:48" s="10" customFormat="1" x14ac:dyDescent="0.55000000000000004">
      <c r="A2128" s="32">
        <v>44965</v>
      </c>
      <c r="B2128" s="33">
        <v>0.49502314814814818</v>
      </c>
      <c r="C2128" s="10" t="s">
        <v>618</v>
      </c>
      <c r="D2128" s="10">
        <v>20</v>
      </c>
      <c r="E2128" s="10" t="s">
        <v>911</v>
      </c>
      <c r="F2128" s="10">
        <v>1</v>
      </c>
      <c r="G2128" s="10" t="s">
        <v>231</v>
      </c>
      <c r="H2128" s="10" t="s">
        <v>322</v>
      </c>
      <c r="I2128" s="10" t="s">
        <v>183</v>
      </c>
      <c r="J2128" s="10">
        <v>91</v>
      </c>
      <c r="K2128" s="12">
        <v>44966</v>
      </c>
      <c r="L2128" s="33">
        <v>0.57415509259259256</v>
      </c>
      <c r="M2128" s="10">
        <v>1</v>
      </c>
      <c r="N2128" s="10" t="s">
        <v>76</v>
      </c>
      <c r="O2128" s="10">
        <v>1.8</v>
      </c>
      <c r="P2128" s="10">
        <v>0.14000000000000001</v>
      </c>
      <c r="Q2128" s="10">
        <v>104</v>
      </c>
      <c r="R2128" s="10" t="s">
        <v>77</v>
      </c>
      <c r="S2128" s="34">
        <f t="shared" si="242"/>
        <v>104</v>
      </c>
      <c r="T2128" s="10" t="s">
        <v>1155</v>
      </c>
      <c r="U2128" s="34" t="str">
        <f t="shared" si="245"/>
        <v/>
      </c>
      <c r="V2128" s="31" t="str">
        <f>IF(H2128="CHK",VLOOKUP(I2128,QCCHK,3,),IF(H2128="GUP",VLOOKUP(E2128,QCGUP,2,),IF(AND(H2128="ATP",OR(I2128="TN",I2128="TDN",I2128="TNO2-3",I2128="NO2-3")),VLOOKUP(E2128,QCREC_N,2,),IF(AND(H2128="NIC",OR(I2128="TN",I2128="TDN",I2128="TNO2-3",I2128="NO2-3")),VLOOKUP(E2128,QCNIC_N,2,),IF(AND(H2128="UREA",OR(I2128="TN",I2128="TDN",I2128="TNO2-3",I2128="NO2-3")),VLOOKUP(E2128,QCUREA_N,2,),IF(H2128="PER",VLOOKUP(I2128,QCPER,MATCH(E2128,QCACTUAL!$J$25:$AA$25,0),),IF(H2128="SPK",VLOOKUP(I2128,QCSPK,3,),IF(AND(H2128="ATP",OR(I2128="TP",I2128="TDP")),VLOOKUP(E2128,QCATP_P,2,),""))))))))</f>
        <v/>
      </c>
      <c r="W2128" s="31" t="str">
        <f t="shared" si="246"/>
        <v>TRUE</v>
      </c>
      <c r="X2128" s="31" t="str">
        <f t="shared" si="241"/>
        <v/>
      </c>
      <c r="Y2128" s="10" t="s">
        <v>1144</v>
      </c>
      <c r="AL2128" s="10" t="str">
        <f t="shared" si="243"/>
        <v>FALSE</v>
      </c>
      <c r="AM2128" s="10" t="str">
        <f t="shared" si="243"/>
        <v>FALSE</v>
      </c>
      <c r="AN2128" s="10" t="str">
        <f t="shared" si="243"/>
        <v>FALSE</v>
      </c>
      <c r="AO2128" s="10" t="str">
        <f t="shared" si="244"/>
        <v>FALSE</v>
      </c>
      <c r="AP2128" s="10" t="str">
        <f t="shared" si="244"/>
        <v>FALSE</v>
      </c>
      <c r="AQ2128" s="10" t="b">
        <f>IF(AND(I2128="TP",S2128&lt;=150),VLOOKUP(AF2128,TPCalibEq150!$AZ$2:$BB$55,3,),IF(AND(I2128="TDP",S2128&lt;=150),VLOOKUP(AF2128,TPCalibEq150!$AZ$2:$BB$55,3,)))</f>
        <v>0</v>
      </c>
      <c r="AR2128" s="10" t="b">
        <f>IF(AND(I2128="TP",S2128&lt;=300),VLOOKUP(AF2128,TPCalibEq300!$AZ$2:$BB$55,3,),IF(AND(I2128="TDP",S2128&lt;=300),VLOOKUP(AF2128,TPCalibEq300!$AZ$2:$BB$55,3,)))</f>
        <v>0</v>
      </c>
      <c r="AS2128" s="10" t="b">
        <f>IF(AND(I2128="TP",S2128&lt;=500),VLOOKUP(AF2128,TPCalibEq500!$AZ$2:$BB$56,3,),IF(AND(I2128="TDP",S2128&lt;=500),VLOOKUP(AF2128,TPCalibEq500!$AZ$2:$BB$56,3,)))</f>
        <v>0</v>
      </c>
      <c r="AT2128" s="10" t="b">
        <f>IF(AND(I2128="TN",S2128&lt;=2800),VLOOKUP(AF2128,TNCalibEq2500!$AZ$2:$BB$56,3,),IF(AND(I2128="TDN",S2128&lt;=2800),VLOOKUP(AF2128,TNCalibEq2500!$AZ$2:$BB$56,3,)))</f>
        <v>0</v>
      </c>
      <c r="AU2128" s="10" t="b">
        <f>IF(I2128="TP",VLOOKUP(AF2128,TPCalibEqFull!$AZ$2:$BB$56,3),IF(I2128="TDP",VLOOKUP(AF2128,TPCalibEqFull!$AZ$2:$BB$56,3),IF(I2128="TDN",VLOOKUP(AF2128,TNCalibEqFull!$AZ$1:$BB$56,3),IF(I2128="TN",VLOOKUP(AF2128,TNCalibEqFull!$AZ$1:$BB$56,3),FALSE))))</f>
        <v>0</v>
      </c>
      <c r="AV2128" s="10" t="str">
        <f t="shared" si="247"/>
        <v>0208 11:52:50-ECP-20-FIL-1-SW-UKN</v>
      </c>
    </row>
    <row r="2129" spans="1:48" s="10" customFormat="1" x14ac:dyDescent="0.55000000000000004">
      <c r="A2129" s="32">
        <v>44965</v>
      </c>
      <c r="B2129" s="33">
        <v>0.49745370370370368</v>
      </c>
      <c r="C2129" s="10" t="s">
        <v>618</v>
      </c>
      <c r="D2129" s="10">
        <v>33</v>
      </c>
      <c r="E2129" s="10" t="s">
        <v>911</v>
      </c>
      <c r="F2129" s="10">
        <v>1</v>
      </c>
      <c r="G2129" s="10" t="s">
        <v>231</v>
      </c>
      <c r="H2129" s="10" t="s">
        <v>322</v>
      </c>
      <c r="I2129" s="10" t="s">
        <v>183</v>
      </c>
      <c r="J2129" s="10">
        <v>92</v>
      </c>
      <c r="K2129" s="12">
        <v>44966</v>
      </c>
      <c r="L2129" s="33">
        <v>0.57497685185185188</v>
      </c>
      <c r="M2129" s="10">
        <v>1</v>
      </c>
      <c r="N2129" s="10" t="s">
        <v>76</v>
      </c>
      <c r="O2129" s="10">
        <v>2.74</v>
      </c>
      <c r="P2129" s="10">
        <v>0.219</v>
      </c>
      <c r="Q2129" s="10">
        <v>157</v>
      </c>
      <c r="R2129" s="10" t="s">
        <v>77</v>
      </c>
      <c r="S2129" s="34">
        <f t="shared" si="242"/>
        <v>157</v>
      </c>
      <c r="T2129" s="10" t="s">
        <v>1155</v>
      </c>
      <c r="U2129" s="34" t="str">
        <f t="shared" si="245"/>
        <v/>
      </c>
      <c r="V2129" s="31" t="str">
        <f>IF(H2129="CHK",VLOOKUP(I2129,QCCHK,3,),IF(H2129="GUP",VLOOKUP(E2129,QCGUP,2,),IF(AND(H2129="ATP",OR(I2129="TN",I2129="TDN",I2129="TNO2-3",I2129="NO2-3")),VLOOKUP(E2129,QCREC_N,2,),IF(AND(H2129="NIC",OR(I2129="TN",I2129="TDN",I2129="TNO2-3",I2129="NO2-3")),VLOOKUP(E2129,QCNIC_N,2,),IF(AND(H2129="UREA",OR(I2129="TN",I2129="TDN",I2129="TNO2-3",I2129="NO2-3")),VLOOKUP(E2129,QCUREA_N,2,),IF(H2129="PER",VLOOKUP(I2129,QCPER,MATCH(E2129,QCACTUAL!$J$25:$AA$25,0),),IF(H2129="SPK",VLOOKUP(I2129,QCSPK,3,),IF(AND(H2129="ATP",OR(I2129="TP",I2129="TDP")),VLOOKUP(E2129,QCATP_P,2,),""))))))))</f>
        <v/>
      </c>
      <c r="W2129" s="31" t="str">
        <f t="shared" si="246"/>
        <v>TRUE</v>
      </c>
      <c r="X2129" s="31" t="str">
        <f t="shared" si="241"/>
        <v/>
      </c>
      <c r="Y2129" s="10" t="s">
        <v>1144</v>
      </c>
      <c r="AL2129" s="10" t="str">
        <f t="shared" si="243"/>
        <v>FALSE</v>
      </c>
      <c r="AM2129" s="10" t="str">
        <f t="shared" si="243"/>
        <v>FALSE</v>
      </c>
      <c r="AN2129" s="10" t="str">
        <f t="shared" si="243"/>
        <v>FALSE</v>
      </c>
      <c r="AO2129" s="10" t="str">
        <f t="shared" si="244"/>
        <v>FALSE</v>
      </c>
      <c r="AP2129" s="10" t="str">
        <f t="shared" si="244"/>
        <v>FALSE</v>
      </c>
      <c r="AQ2129" s="10" t="b">
        <f>IF(AND(I2129="TP",S2129&lt;=150),VLOOKUP(AF2129,TPCalibEq150!$AZ$2:$BB$55,3,),IF(AND(I2129="TDP",S2129&lt;=150),VLOOKUP(AF2129,TPCalibEq150!$AZ$2:$BB$55,3,)))</f>
        <v>0</v>
      </c>
      <c r="AR2129" s="10" t="b">
        <f>IF(AND(I2129="TP",S2129&lt;=300),VLOOKUP(AF2129,TPCalibEq300!$AZ$2:$BB$55,3,),IF(AND(I2129="TDP",S2129&lt;=300),VLOOKUP(AF2129,TPCalibEq300!$AZ$2:$BB$55,3,)))</f>
        <v>0</v>
      </c>
      <c r="AS2129" s="10" t="b">
        <f>IF(AND(I2129="TP",S2129&lt;=500),VLOOKUP(AF2129,TPCalibEq500!$AZ$2:$BB$56,3,),IF(AND(I2129="TDP",S2129&lt;=500),VLOOKUP(AF2129,TPCalibEq500!$AZ$2:$BB$56,3,)))</f>
        <v>0</v>
      </c>
      <c r="AT2129" s="10" t="b">
        <f>IF(AND(I2129="TN",S2129&lt;=2800),VLOOKUP(AF2129,TNCalibEq2500!$AZ$2:$BB$56,3,),IF(AND(I2129="TDN",S2129&lt;=2800),VLOOKUP(AF2129,TNCalibEq2500!$AZ$2:$BB$56,3,)))</f>
        <v>0</v>
      </c>
      <c r="AU2129" s="10" t="b">
        <f>IF(I2129="TP",VLOOKUP(AF2129,TPCalibEqFull!$AZ$2:$BB$56,3),IF(I2129="TDP",VLOOKUP(AF2129,TPCalibEqFull!$AZ$2:$BB$56,3),IF(I2129="TDN",VLOOKUP(AF2129,TNCalibEqFull!$AZ$1:$BB$56,3),IF(I2129="TN",VLOOKUP(AF2129,TNCalibEqFull!$AZ$1:$BB$56,3),FALSE))))</f>
        <v>0</v>
      </c>
      <c r="AV2129" s="10" t="str">
        <f t="shared" si="247"/>
        <v>0208 11:56:20-ECP-33-FIL-1-SW-UKN</v>
      </c>
    </row>
    <row r="2130" spans="1:48" s="10" customFormat="1" x14ac:dyDescent="0.55000000000000004">
      <c r="A2130" s="32">
        <v>44965</v>
      </c>
      <c r="B2130" s="33">
        <v>0.50439814814814821</v>
      </c>
      <c r="C2130" s="10" t="s">
        <v>661</v>
      </c>
      <c r="D2130" s="10">
        <v>0</v>
      </c>
      <c r="E2130" s="10" t="s">
        <v>911</v>
      </c>
      <c r="F2130" s="10">
        <v>1</v>
      </c>
      <c r="G2130" s="10" t="s">
        <v>231</v>
      </c>
      <c r="H2130" s="10" t="s">
        <v>322</v>
      </c>
      <c r="I2130" s="10" t="s">
        <v>183</v>
      </c>
      <c r="J2130" s="10">
        <v>93</v>
      </c>
      <c r="K2130" s="12">
        <v>44966</v>
      </c>
      <c r="L2130" s="33">
        <v>0.57579861111111108</v>
      </c>
      <c r="M2130" s="10">
        <v>1</v>
      </c>
      <c r="N2130" s="10" t="s">
        <v>76</v>
      </c>
      <c r="O2130" s="10">
        <v>1.68</v>
      </c>
      <c r="P2130" s="10">
        <v>0.13500000000000001</v>
      </c>
      <c r="Q2130" s="10">
        <v>96.8</v>
      </c>
      <c r="R2130" s="10" t="s">
        <v>77</v>
      </c>
      <c r="S2130" s="34">
        <f t="shared" si="242"/>
        <v>96.8</v>
      </c>
      <c r="T2130" s="10" t="s">
        <v>1155</v>
      </c>
      <c r="U2130" s="34" t="str">
        <f t="shared" si="245"/>
        <v/>
      </c>
      <c r="V2130" s="31" t="str">
        <f>IF(H2130="CHK",VLOOKUP(I2130,QCCHK,3,),IF(H2130="GUP",VLOOKUP(E2130,QCGUP,2,),IF(AND(H2130="ATP",OR(I2130="TN",I2130="TDN",I2130="TNO2-3",I2130="NO2-3")),VLOOKUP(E2130,QCREC_N,2,),IF(AND(H2130="NIC",OR(I2130="TN",I2130="TDN",I2130="TNO2-3",I2130="NO2-3")),VLOOKUP(E2130,QCNIC_N,2,),IF(AND(H2130="UREA",OR(I2130="TN",I2130="TDN",I2130="TNO2-3",I2130="NO2-3")),VLOOKUP(E2130,QCUREA_N,2,),IF(H2130="PER",VLOOKUP(I2130,QCPER,MATCH(E2130,QCACTUAL!$J$25:$AA$25,0),),IF(H2130="SPK",VLOOKUP(I2130,QCSPK,3,),IF(AND(H2130="ATP",OR(I2130="TP",I2130="TDP")),VLOOKUP(E2130,QCATP_P,2,),""))))))))</f>
        <v/>
      </c>
      <c r="W2130" s="31" t="str">
        <f t="shared" si="246"/>
        <v>TRUE</v>
      </c>
      <c r="X2130" s="31" t="str">
        <f t="shared" si="241"/>
        <v/>
      </c>
      <c r="Y2130" s="10" t="s">
        <v>1144</v>
      </c>
      <c r="AL2130" s="10" t="str">
        <f t="shared" si="243"/>
        <v>FALSE</v>
      </c>
      <c r="AM2130" s="10" t="str">
        <f t="shared" si="243"/>
        <v>FALSE</v>
      </c>
      <c r="AN2130" s="10" t="str">
        <f t="shared" si="243"/>
        <v>FALSE</v>
      </c>
      <c r="AO2130" s="10" t="str">
        <f t="shared" si="244"/>
        <v>FALSE</v>
      </c>
      <c r="AP2130" s="10" t="str">
        <f t="shared" si="244"/>
        <v>FALSE</v>
      </c>
      <c r="AQ2130" s="10" t="b">
        <f>IF(AND(I2130="TP",S2130&lt;=150),VLOOKUP(AF2130,TPCalibEq150!$AZ$2:$BB$55,3,),IF(AND(I2130="TDP",S2130&lt;=150),VLOOKUP(AF2130,TPCalibEq150!$AZ$2:$BB$55,3,)))</f>
        <v>0</v>
      </c>
      <c r="AR2130" s="10" t="b">
        <f>IF(AND(I2130="TP",S2130&lt;=300),VLOOKUP(AF2130,TPCalibEq300!$AZ$2:$BB$55,3,),IF(AND(I2130="TDP",S2130&lt;=300),VLOOKUP(AF2130,TPCalibEq300!$AZ$2:$BB$55,3,)))</f>
        <v>0</v>
      </c>
      <c r="AS2130" s="10" t="b">
        <f>IF(AND(I2130="TP",S2130&lt;=500),VLOOKUP(AF2130,TPCalibEq500!$AZ$2:$BB$56,3,),IF(AND(I2130="TDP",S2130&lt;=500),VLOOKUP(AF2130,TPCalibEq500!$AZ$2:$BB$56,3,)))</f>
        <v>0</v>
      </c>
      <c r="AT2130" s="10" t="b">
        <f>IF(AND(I2130="TN",S2130&lt;=2800),VLOOKUP(AF2130,TNCalibEq2500!$AZ$2:$BB$56,3,),IF(AND(I2130="TDN",S2130&lt;=2800),VLOOKUP(AF2130,TNCalibEq2500!$AZ$2:$BB$56,3,)))</f>
        <v>0</v>
      </c>
      <c r="AU2130" s="10" t="b">
        <f>IF(I2130="TP",VLOOKUP(AF2130,TPCalibEqFull!$AZ$2:$BB$56,3),IF(I2130="TDP",VLOOKUP(AF2130,TPCalibEqFull!$AZ$2:$BB$56,3),IF(I2130="TDN",VLOOKUP(AF2130,TNCalibEqFull!$AZ$1:$BB$56,3),IF(I2130="TN",VLOOKUP(AF2130,TNCalibEqFull!$AZ$1:$BB$56,3),FALSE))))</f>
        <v>0</v>
      </c>
      <c r="AV2130" s="10" t="str">
        <f t="shared" si="247"/>
        <v>0208 12:06:20-ENN-0-FIL-1-SW-UKN</v>
      </c>
    </row>
    <row r="2131" spans="1:48" s="10" customFormat="1" x14ac:dyDescent="0.55000000000000004">
      <c r="A2131" s="32">
        <v>44965</v>
      </c>
      <c r="B2131" s="33">
        <v>0.50706018518518514</v>
      </c>
      <c r="C2131" s="10" t="s">
        <v>661</v>
      </c>
      <c r="D2131" s="10">
        <v>5</v>
      </c>
      <c r="E2131" s="10" t="s">
        <v>911</v>
      </c>
      <c r="F2131" s="10">
        <v>1</v>
      </c>
      <c r="G2131" s="10" t="s">
        <v>231</v>
      </c>
      <c r="H2131" s="10" t="s">
        <v>322</v>
      </c>
      <c r="I2131" s="10" t="s">
        <v>183</v>
      </c>
      <c r="J2131" s="10">
        <v>94</v>
      </c>
      <c r="K2131" s="12">
        <v>44966</v>
      </c>
      <c r="L2131" s="33">
        <v>0.57662037037037039</v>
      </c>
      <c r="M2131" s="10">
        <v>1</v>
      </c>
      <c r="N2131" s="10" t="s">
        <v>76</v>
      </c>
      <c r="O2131" s="10">
        <v>1.72</v>
      </c>
      <c r="P2131" s="10">
        <v>0.13800000000000001</v>
      </c>
      <c r="Q2131" s="10">
        <v>99.2</v>
      </c>
      <c r="R2131" s="10" t="s">
        <v>77</v>
      </c>
      <c r="S2131" s="34">
        <f t="shared" si="242"/>
        <v>99.2</v>
      </c>
      <c r="T2131" s="10" t="s">
        <v>1155</v>
      </c>
      <c r="U2131" s="34" t="str">
        <f t="shared" si="245"/>
        <v/>
      </c>
      <c r="V2131" s="31" t="str">
        <f>IF(H2131="CHK",VLOOKUP(I2131,QCCHK,3,),IF(H2131="GUP",VLOOKUP(E2131,QCGUP,2,),IF(AND(H2131="ATP",OR(I2131="TN",I2131="TDN",I2131="TNO2-3",I2131="NO2-3")),VLOOKUP(E2131,QCREC_N,2,),IF(AND(H2131="NIC",OR(I2131="TN",I2131="TDN",I2131="TNO2-3",I2131="NO2-3")),VLOOKUP(E2131,QCNIC_N,2,),IF(AND(H2131="UREA",OR(I2131="TN",I2131="TDN",I2131="TNO2-3",I2131="NO2-3")),VLOOKUP(E2131,QCUREA_N,2,),IF(H2131="PER",VLOOKUP(I2131,QCPER,MATCH(E2131,QCACTUAL!$J$25:$AA$25,0),),IF(H2131="SPK",VLOOKUP(I2131,QCSPK,3,),IF(AND(H2131="ATP",OR(I2131="TP",I2131="TDP")),VLOOKUP(E2131,QCATP_P,2,),""))))))))</f>
        <v/>
      </c>
      <c r="W2131" s="31" t="str">
        <f t="shared" si="246"/>
        <v>TRUE</v>
      </c>
      <c r="X2131" s="31" t="str">
        <f t="shared" si="241"/>
        <v/>
      </c>
      <c r="Y2131" s="10" t="s">
        <v>1144</v>
      </c>
      <c r="AL2131" s="10" t="str">
        <f t="shared" si="243"/>
        <v>FALSE</v>
      </c>
      <c r="AM2131" s="10" t="str">
        <f t="shared" si="243"/>
        <v>FALSE</v>
      </c>
      <c r="AN2131" s="10" t="str">
        <f t="shared" si="243"/>
        <v>FALSE</v>
      </c>
      <c r="AO2131" s="10" t="str">
        <f t="shared" si="244"/>
        <v>FALSE</v>
      </c>
      <c r="AP2131" s="10" t="str">
        <f t="shared" si="244"/>
        <v>FALSE</v>
      </c>
      <c r="AQ2131" s="10" t="b">
        <f>IF(AND(I2131="TP",S2131&lt;=150),VLOOKUP(AF2131,TPCalibEq150!$AZ$2:$BB$55,3,),IF(AND(I2131="TDP",S2131&lt;=150),VLOOKUP(AF2131,TPCalibEq150!$AZ$2:$BB$55,3,)))</f>
        <v>0</v>
      </c>
      <c r="AR2131" s="10" t="b">
        <f>IF(AND(I2131="TP",S2131&lt;=300),VLOOKUP(AF2131,TPCalibEq300!$AZ$2:$BB$55,3,),IF(AND(I2131="TDP",S2131&lt;=300),VLOOKUP(AF2131,TPCalibEq300!$AZ$2:$BB$55,3,)))</f>
        <v>0</v>
      </c>
      <c r="AS2131" s="10" t="b">
        <f>IF(AND(I2131="TP",S2131&lt;=500),VLOOKUP(AF2131,TPCalibEq500!$AZ$2:$BB$56,3,),IF(AND(I2131="TDP",S2131&lt;=500),VLOOKUP(AF2131,TPCalibEq500!$AZ$2:$BB$56,3,)))</f>
        <v>0</v>
      </c>
      <c r="AT2131" s="10" t="b">
        <f>IF(AND(I2131="TN",S2131&lt;=2800),VLOOKUP(AF2131,TNCalibEq2500!$AZ$2:$BB$56,3,),IF(AND(I2131="TDN",S2131&lt;=2800),VLOOKUP(AF2131,TNCalibEq2500!$AZ$2:$BB$56,3,)))</f>
        <v>0</v>
      </c>
      <c r="AU2131" s="10" t="b">
        <f>IF(I2131="TP",VLOOKUP(AF2131,TPCalibEqFull!$AZ$2:$BB$56,3),IF(I2131="TDP",VLOOKUP(AF2131,TPCalibEqFull!$AZ$2:$BB$56,3),IF(I2131="TDN",VLOOKUP(AF2131,TNCalibEqFull!$AZ$1:$BB$56,3),IF(I2131="TN",VLOOKUP(AF2131,TNCalibEqFull!$AZ$1:$BB$56,3),FALSE))))</f>
        <v>0</v>
      </c>
      <c r="AV2131" s="10" t="str">
        <f t="shared" si="247"/>
        <v>0208 12:10:10-ENN-5-FIL-1-SW-UKN</v>
      </c>
    </row>
    <row r="2132" spans="1:48" s="10" customFormat="1" x14ac:dyDescent="0.55000000000000004">
      <c r="A2132" s="32">
        <v>44965</v>
      </c>
      <c r="B2132" s="33">
        <v>0.50949074074074074</v>
      </c>
      <c r="C2132" s="10" t="s">
        <v>661</v>
      </c>
      <c r="D2132" s="10">
        <v>10</v>
      </c>
      <c r="E2132" s="10" t="s">
        <v>911</v>
      </c>
      <c r="F2132" s="10">
        <v>1</v>
      </c>
      <c r="G2132" s="10" t="s">
        <v>231</v>
      </c>
      <c r="H2132" s="10" t="s">
        <v>322</v>
      </c>
      <c r="I2132" s="10" t="s">
        <v>183</v>
      </c>
      <c r="J2132" s="10">
        <v>95</v>
      </c>
      <c r="K2132" s="12">
        <v>44966</v>
      </c>
      <c r="L2132" s="33">
        <v>0.5774421296296296</v>
      </c>
      <c r="M2132" s="10">
        <v>1</v>
      </c>
      <c r="N2132" s="10" t="s">
        <v>76</v>
      </c>
      <c r="O2132" s="10">
        <v>1.72</v>
      </c>
      <c r="P2132" s="10">
        <v>0.13500000000000001</v>
      </c>
      <c r="Q2132" s="10">
        <v>99.1</v>
      </c>
      <c r="R2132" s="10" t="s">
        <v>77</v>
      </c>
      <c r="S2132" s="34">
        <f t="shared" si="242"/>
        <v>99.1</v>
      </c>
      <c r="T2132" s="10" t="s">
        <v>1155</v>
      </c>
      <c r="U2132" s="34" t="str">
        <f t="shared" si="245"/>
        <v/>
      </c>
      <c r="V2132" s="31" t="str">
        <f>IF(H2132="CHK",VLOOKUP(I2132,QCCHK,3,),IF(H2132="GUP",VLOOKUP(E2132,QCGUP,2,),IF(AND(H2132="ATP",OR(I2132="TN",I2132="TDN",I2132="TNO2-3",I2132="NO2-3")),VLOOKUP(E2132,QCREC_N,2,),IF(AND(H2132="NIC",OR(I2132="TN",I2132="TDN",I2132="TNO2-3",I2132="NO2-3")),VLOOKUP(E2132,QCNIC_N,2,),IF(AND(H2132="UREA",OR(I2132="TN",I2132="TDN",I2132="TNO2-3",I2132="NO2-3")),VLOOKUP(E2132,QCUREA_N,2,),IF(H2132="PER",VLOOKUP(I2132,QCPER,MATCH(E2132,QCACTUAL!$J$25:$AA$25,0),),IF(H2132="SPK",VLOOKUP(I2132,QCSPK,3,),IF(AND(H2132="ATP",OR(I2132="TP",I2132="TDP")),VLOOKUP(E2132,QCATP_P,2,),""))))))))</f>
        <v/>
      </c>
      <c r="W2132" s="31" t="str">
        <f t="shared" si="246"/>
        <v>TRUE</v>
      </c>
      <c r="X2132" s="31" t="str">
        <f t="shared" si="241"/>
        <v/>
      </c>
      <c r="Y2132" s="10" t="s">
        <v>1144</v>
      </c>
      <c r="AL2132" s="10" t="str">
        <f t="shared" si="243"/>
        <v>FALSE</v>
      </c>
      <c r="AM2132" s="10" t="str">
        <f t="shared" si="243"/>
        <v>FALSE</v>
      </c>
      <c r="AN2132" s="10" t="str">
        <f t="shared" si="243"/>
        <v>FALSE</v>
      </c>
      <c r="AO2132" s="10" t="str">
        <f t="shared" si="244"/>
        <v>FALSE</v>
      </c>
      <c r="AP2132" s="10" t="str">
        <f t="shared" si="244"/>
        <v>FALSE</v>
      </c>
      <c r="AQ2132" s="10" t="b">
        <f>IF(AND(I2132="TP",S2132&lt;=150),VLOOKUP(AF2132,TPCalibEq150!$AZ$2:$BB$55,3,),IF(AND(I2132="TDP",S2132&lt;=150),VLOOKUP(AF2132,TPCalibEq150!$AZ$2:$BB$55,3,)))</f>
        <v>0</v>
      </c>
      <c r="AR2132" s="10" t="b">
        <f>IF(AND(I2132="TP",S2132&lt;=300),VLOOKUP(AF2132,TPCalibEq300!$AZ$2:$BB$55,3,),IF(AND(I2132="TDP",S2132&lt;=300),VLOOKUP(AF2132,TPCalibEq300!$AZ$2:$BB$55,3,)))</f>
        <v>0</v>
      </c>
      <c r="AS2132" s="10" t="b">
        <f>IF(AND(I2132="TP",S2132&lt;=500),VLOOKUP(AF2132,TPCalibEq500!$AZ$2:$BB$56,3,),IF(AND(I2132="TDP",S2132&lt;=500),VLOOKUP(AF2132,TPCalibEq500!$AZ$2:$BB$56,3,)))</f>
        <v>0</v>
      </c>
      <c r="AT2132" s="10" t="b">
        <f>IF(AND(I2132="TN",S2132&lt;=2800),VLOOKUP(AF2132,TNCalibEq2500!$AZ$2:$BB$56,3,),IF(AND(I2132="TDN",S2132&lt;=2800),VLOOKUP(AF2132,TNCalibEq2500!$AZ$2:$BB$56,3,)))</f>
        <v>0</v>
      </c>
      <c r="AU2132" s="10" t="b">
        <f>IF(I2132="TP",VLOOKUP(AF2132,TPCalibEqFull!$AZ$2:$BB$56,3),IF(I2132="TDP",VLOOKUP(AF2132,TPCalibEqFull!$AZ$2:$BB$56,3),IF(I2132="TDN",VLOOKUP(AF2132,TNCalibEqFull!$AZ$1:$BB$56,3),IF(I2132="TN",VLOOKUP(AF2132,TNCalibEqFull!$AZ$1:$BB$56,3),FALSE))))</f>
        <v>0</v>
      </c>
      <c r="AV2132" s="10" t="str">
        <f t="shared" si="247"/>
        <v>0208 12:13:40-ENN-10-FIL-1-SW-UKN</v>
      </c>
    </row>
    <row r="2133" spans="1:48" s="10" customFormat="1" x14ac:dyDescent="0.55000000000000004">
      <c r="A2133" s="32">
        <v>44965</v>
      </c>
      <c r="B2133" s="33">
        <v>0.51180555555555551</v>
      </c>
      <c r="C2133" s="10" t="s">
        <v>661</v>
      </c>
      <c r="D2133" s="10">
        <v>20</v>
      </c>
      <c r="E2133" s="10" t="s">
        <v>911</v>
      </c>
      <c r="F2133" s="10">
        <v>1</v>
      </c>
      <c r="G2133" s="10" t="s">
        <v>231</v>
      </c>
      <c r="H2133" s="10" t="s">
        <v>322</v>
      </c>
      <c r="I2133" s="10" t="s">
        <v>183</v>
      </c>
      <c r="J2133" s="10">
        <v>96</v>
      </c>
      <c r="K2133" s="12">
        <v>44966</v>
      </c>
      <c r="L2133" s="33">
        <v>0.57826388888888891</v>
      </c>
      <c r="M2133" s="10">
        <v>1</v>
      </c>
      <c r="N2133" s="10" t="s">
        <v>76</v>
      </c>
      <c r="O2133" s="10">
        <v>1.73</v>
      </c>
      <c r="P2133" s="10">
        <v>0.13700000000000001</v>
      </c>
      <c r="Q2133" s="10">
        <v>99.3</v>
      </c>
      <c r="R2133" s="10" t="s">
        <v>77</v>
      </c>
      <c r="S2133" s="34">
        <f t="shared" si="242"/>
        <v>99.3</v>
      </c>
      <c r="T2133" s="10" t="s">
        <v>1155</v>
      </c>
      <c r="U2133" s="34" t="str">
        <f t="shared" si="245"/>
        <v/>
      </c>
      <c r="V2133" s="31" t="str">
        <f>IF(H2133="CHK",VLOOKUP(I2133,QCCHK,3,),IF(H2133="GUP",VLOOKUP(E2133,QCGUP,2,),IF(AND(H2133="ATP",OR(I2133="TN",I2133="TDN",I2133="TNO2-3",I2133="NO2-3")),VLOOKUP(E2133,QCREC_N,2,),IF(AND(H2133="NIC",OR(I2133="TN",I2133="TDN",I2133="TNO2-3",I2133="NO2-3")),VLOOKUP(E2133,QCNIC_N,2,),IF(AND(H2133="UREA",OR(I2133="TN",I2133="TDN",I2133="TNO2-3",I2133="NO2-3")),VLOOKUP(E2133,QCUREA_N,2,),IF(H2133="PER",VLOOKUP(I2133,QCPER,MATCH(E2133,QCACTUAL!$J$25:$AA$25,0),),IF(H2133="SPK",VLOOKUP(I2133,QCSPK,3,),IF(AND(H2133="ATP",OR(I2133="TP",I2133="TDP")),VLOOKUP(E2133,QCATP_P,2,),""))))))))</f>
        <v/>
      </c>
      <c r="W2133" s="31" t="str">
        <f t="shared" si="246"/>
        <v>TRUE</v>
      </c>
      <c r="X2133" s="31" t="str">
        <f t="shared" si="241"/>
        <v/>
      </c>
      <c r="Y2133" s="10" t="s">
        <v>1144</v>
      </c>
      <c r="AL2133" s="10" t="str">
        <f t="shared" si="243"/>
        <v>FALSE</v>
      </c>
      <c r="AM2133" s="10" t="str">
        <f t="shared" si="243"/>
        <v>FALSE</v>
      </c>
      <c r="AN2133" s="10" t="str">
        <f t="shared" si="243"/>
        <v>FALSE</v>
      </c>
      <c r="AO2133" s="10" t="str">
        <f t="shared" si="244"/>
        <v>FALSE</v>
      </c>
      <c r="AP2133" s="10" t="str">
        <f t="shared" si="244"/>
        <v>FALSE</v>
      </c>
      <c r="AQ2133" s="10" t="b">
        <f>IF(AND(I2133="TP",S2133&lt;=150),VLOOKUP(AF2133,TPCalibEq150!$AZ$2:$BB$55,3,),IF(AND(I2133="TDP",S2133&lt;=150),VLOOKUP(AF2133,TPCalibEq150!$AZ$2:$BB$55,3,)))</f>
        <v>0</v>
      </c>
      <c r="AR2133" s="10" t="b">
        <f>IF(AND(I2133="TP",S2133&lt;=300),VLOOKUP(AF2133,TPCalibEq300!$AZ$2:$BB$55,3,),IF(AND(I2133="TDP",S2133&lt;=300),VLOOKUP(AF2133,TPCalibEq300!$AZ$2:$BB$55,3,)))</f>
        <v>0</v>
      </c>
      <c r="AS2133" s="10" t="b">
        <f>IF(AND(I2133="TP",S2133&lt;=500),VLOOKUP(AF2133,TPCalibEq500!$AZ$2:$BB$56,3,),IF(AND(I2133="TDP",S2133&lt;=500),VLOOKUP(AF2133,TPCalibEq500!$AZ$2:$BB$56,3,)))</f>
        <v>0</v>
      </c>
      <c r="AT2133" s="10" t="b">
        <f>IF(AND(I2133="TN",S2133&lt;=2800),VLOOKUP(AF2133,TNCalibEq2500!$AZ$2:$BB$56,3,),IF(AND(I2133="TDN",S2133&lt;=2800),VLOOKUP(AF2133,TNCalibEq2500!$AZ$2:$BB$56,3,)))</f>
        <v>0</v>
      </c>
      <c r="AU2133" s="10" t="b">
        <f>IF(I2133="TP",VLOOKUP(AF2133,TPCalibEqFull!$AZ$2:$BB$56,3),IF(I2133="TDP",VLOOKUP(AF2133,TPCalibEqFull!$AZ$2:$BB$56,3),IF(I2133="TDN",VLOOKUP(AF2133,TNCalibEqFull!$AZ$1:$BB$56,3),IF(I2133="TN",VLOOKUP(AF2133,TNCalibEqFull!$AZ$1:$BB$56,3),FALSE))))</f>
        <v>0</v>
      </c>
      <c r="AV2133" s="10" t="str">
        <f t="shared" si="247"/>
        <v>0208 12:17:00-ENN-20-FIL-1-SW-UKN</v>
      </c>
    </row>
    <row r="2134" spans="1:48" s="10" customFormat="1" x14ac:dyDescent="0.55000000000000004">
      <c r="A2134" s="32">
        <v>44965</v>
      </c>
      <c r="B2134" s="33">
        <v>0.51412037037037039</v>
      </c>
      <c r="C2134" s="10" t="s">
        <v>661</v>
      </c>
      <c r="D2134" s="10">
        <v>23</v>
      </c>
      <c r="E2134" s="10" t="s">
        <v>911</v>
      </c>
      <c r="F2134" s="10">
        <v>1</v>
      </c>
      <c r="G2134" s="10" t="s">
        <v>231</v>
      </c>
      <c r="H2134" s="10" t="s">
        <v>322</v>
      </c>
      <c r="I2134" s="10" t="s">
        <v>183</v>
      </c>
      <c r="J2134" s="10">
        <v>97</v>
      </c>
      <c r="K2134" s="12">
        <v>44966</v>
      </c>
      <c r="L2134" s="33">
        <v>0.57907407407407407</v>
      </c>
      <c r="M2134" s="10">
        <v>1</v>
      </c>
      <c r="N2134" s="10" t="s">
        <v>76</v>
      </c>
      <c r="O2134" s="10">
        <v>1.69</v>
      </c>
      <c r="P2134" s="10">
        <v>0.13400000000000001</v>
      </c>
      <c r="Q2134" s="10">
        <v>97</v>
      </c>
      <c r="R2134" s="10" t="s">
        <v>77</v>
      </c>
      <c r="S2134" s="34">
        <f t="shared" si="242"/>
        <v>97</v>
      </c>
      <c r="T2134" s="10" t="s">
        <v>1155</v>
      </c>
      <c r="U2134" s="34" t="str">
        <f t="shared" si="245"/>
        <v/>
      </c>
      <c r="V2134" s="31" t="str">
        <f>IF(H2134="CHK",VLOOKUP(I2134,QCCHK,3,),IF(H2134="GUP",VLOOKUP(E2134,QCGUP,2,),IF(AND(H2134="ATP",OR(I2134="TN",I2134="TDN",I2134="TNO2-3",I2134="NO2-3")),VLOOKUP(E2134,QCREC_N,2,),IF(AND(H2134="NIC",OR(I2134="TN",I2134="TDN",I2134="TNO2-3",I2134="NO2-3")),VLOOKUP(E2134,QCNIC_N,2,),IF(AND(H2134="UREA",OR(I2134="TN",I2134="TDN",I2134="TNO2-3",I2134="NO2-3")),VLOOKUP(E2134,QCUREA_N,2,),IF(H2134="PER",VLOOKUP(I2134,QCPER,MATCH(E2134,QCACTUAL!$J$25:$AA$25,0),),IF(H2134="SPK",VLOOKUP(I2134,QCSPK,3,),IF(AND(H2134="ATP",OR(I2134="TP",I2134="TDP")),VLOOKUP(E2134,QCATP_P,2,),""))))))))</f>
        <v/>
      </c>
      <c r="W2134" s="31" t="str">
        <f t="shared" si="246"/>
        <v>TRUE</v>
      </c>
      <c r="X2134" s="31" t="str">
        <f t="shared" si="241"/>
        <v/>
      </c>
      <c r="Y2134" s="10" t="s">
        <v>1144</v>
      </c>
      <c r="AL2134" s="10" t="str">
        <f t="shared" si="243"/>
        <v>FALSE</v>
      </c>
      <c r="AM2134" s="10" t="str">
        <f t="shared" si="243"/>
        <v>FALSE</v>
      </c>
      <c r="AN2134" s="10" t="str">
        <f t="shared" si="243"/>
        <v>FALSE</v>
      </c>
      <c r="AO2134" s="10" t="str">
        <f t="shared" si="244"/>
        <v>FALSE</v>
      </c>
      <c r="AP2134" s="10" t="str">
        <f t="shared" si="244"/>
        <v>FALSE</v>
      </c>
      <c r="AQ2134" s="10" t="b">
        <f>IF(AND(I2134="TP",S2134&lt;=150),VLOOKUP(AF2134,TPCalibEq150!$AZ$2:$BB$55,3,),IF(AND(I2134="TDP",S2134&lt;=150),VLOOKUP(AF2134,TPCalibEq150!$AZ$2:$BB$55,3,)))</f>
        <v>0</v>
      </c>
      <c r="AR2134" s="10" t="b">
        <f>IF(AND(I2134="TP",S2134&lt;=300),VLOOKUP(AF2134,TPCalibEq300!$AZ$2:$BB$55,3,),IF(AND(I2134="TDP",S2134&lt;=300),VLOOKUP(AF2134,TPCalibEq300!$AZ$2:$BB$55,3,)))</f>
        <v>0</v>
      </c>
      <c r="AS2134" s="10" t="b">
        <f>IF(AND(I2134="TP",S2134&lt;=500),VLOOKUP(AF2134,TPCalibEq500!$AZ$2:$BB$56,3,),IF(AND(I2134="TDP",S2134&lt;=500),VLOOKUP(AF2134,TPCalibEq500!$AZ$2:$BB$56,3,)))</f>
        <v>0</v>
      </c>
      <c r="AT2134" s="10" t="b">
        <f>IF(AND(I2134="TN",S2134&lt;=2800),VLOOKUP(AF2134,TNCalibEq2500!$AZ$2:$BB$56,3,),IF(AND(I2134="TDN",S2134&lt;=2800),VLOOKUP(AF2134,TNCalibEq2500!$AZ$2:$BB$56,3,)))</f>
        <v>0</v>
      </c>
      <c r="AU2134" s="10" t="b">
        <f>IF(I2134="TP",VLOOKUP(AF2134,TPCalibEqFull!$AZ$2:$BB$56,3),IF(I2134="TDP",VLOOKUP(AF2134,TPCalibEqFull!$AZ$2:$BB$56,3),IF(I2134="TDN",VLOOKUP(AF2134,TNCalibEqFull!$AZ$1:$BB$56,3),IF(I2134="TN",VLOOKUP(AF2134,TNCalibEqFull!$AZ$1:$BB$56,3),FALSE))))</f>
        <v>0</v>
      </c>
      <c r="AV2134" s="10" t="str">
        <f t="shared" si="247"/>
        <v>0208 12:20:20-ENN-23-FIL-1-SW-UKN</v>
      </c>
    </row>
    <row r="2135" spans="1:48" s="10" customFormat="1" x14ac:dyDescent="0.55000000000000004">
      <c r="A2135" s="32">
        <v>44965</v>
      </c>
      <c r="B2135" s="33">
        <v>0.43796296296296294</v>
      </c>
      <c r="C2135" s="10" t="s">
        <v>646</v>
      </c>
      <c r="D2135" s="10">
        <v>0</v>
      </c>
      <c r="E2135" s="10" t="s">
        <v>911</v>
      </c>
      <c r="F2135" s="10">
        <v>1</v>
      </c>
      <c r="G2135" s="10" t="s">
        <v>231</v>
      </c>
      <c r="H2135" s="10" t="s">
        <v>322</v>
      </c>
      <c r="I2135" s="10" t="s">
        <v>183</v>
      </c>
      <c r="J2135" s="10">
        <v>98</v>
      </c>
      <c r="K2135" s="12">
        <v>44966</v>
      </c>
      <c r="L2135" s="33">
        <v>0.57989583333333339</v>
      </c>
      <c r="M2135" s="10">
        <v>1</v>
      </c>
      <c r="N2135" s="10" t="s">
        <v>76</v>
      </c>
      <c r="O2135" s="10">
        <v>1.23</v>
      </c>
      <c r="P2135" s="10">
        <v>9.8699999999999996E-2</v>
      </c>
      <c r="Q2135" s="10">
        <v>70.900000000000006</v>
      </c>
      <c r="R2135" s="10" t="s">
        <v>77</v>
      </c>
      <c r="S2135" s="34">
        <f t="shared" si="242"/>
        <v>70.900000000000006</v>
      </c>
      <c r="T2135" s="10" t="s">
        <v>1155</v>
      </c>
      <c r="U2135" s="34" t="str">
        <f t="shared" si="245"/>
        <v/>
      </c>
      <c r="V2135" s="31" t="str">
        <f>IF(H2135="CHK",VLOOKUP(I2135,QCCHK,3,),IF(H2135="GUP",VLOOKUP(E2135,QCGUP,2,),IF(AND(H2135="ATP",OR(I2135="TN",I2135="TDN",I2135="TNO2-3",I2135="NO2-3")),VLOOKUP(E2135,QCREC_N,2,),IF(AND(H2135="NIC",OR(I2135="TN",I2135="TDN",I2135="TNO2-3",I2135="NO2-3")),VLOOKUP(E2135,QCNIC_N,2,),IF(AND(H2135="UREA",OR(I2135="TN",I2135="TDN",I2135="TNO2-3",I2135="NO2-3")),VLOOKUP(E2135,QCUREA_N,2,),IF(H2135="PER",VLOOKUP(I2135,QCPER,MATCH(E2135,QCACTUAL!$J$25:$AA$25,0),),IF(H2135="SPK",VLOOKUP(I2135,QCSPK,3,),IF(AND(H2135="ATP",OR(I2135="TP",I2135="TDP")),VLOOKUP(E2135,QCATP_P,2,),""))))))))</f>
        <v/>
      </c>
      <c r="W2135" s="31" t="str">
        <f t="shared" si="246"/>
        <v>TRUE</v>
      </c>
      <c r="X2135" s="31" t="str">
        <f t="shared" si="241"/>
        <v/>
      </c>
      <c r="Y2135" s="10" t="s">
        <v>1144</v>
      </c>
      <c r="AL2135" s="10" t="str">
        <f t="shared" si="243"/>
        <v>FALSE</v>
      </c>
      <c r="AM2135" s="10" t="str">
        <f t="shared" si="243"/>
        <v>FALSE</v>
      </c>
      <c r="AN2135" s="10" t="str">
        <f t="shared" si="243"/>
        <v>FALSE</v>
      </c>
      <c r="AO2135" s="10" t="str">
        <f t="shared" si="244"/>
        <v>FALSE</v>
      </c>
      <c r="AP2135" s="10" t="str">
        <f t="shared" si="244"/>
        <v>FALSE</v>
      </c>
      <c r="AQ2135" s="10" t="b">
        <f>IF(AND(I2135="TP",S2135&lt;=150),VLOOKUP(AF2135,TPCalibEq150!$AZ$2:$BB$55,3,),IF(AND(I2135="TDP",S2135&lt;=150),VLOOKUP(AF2135,TPCalibEq150!$AZ$2:$BB$55,3,)))</f>
        <v>0</v>
      </c>
      <c r="AR2135" s="10" t="b">
        <f>IF(AND(I2135="TP",S2135&lt;=300),VLOOKUP(AF2135,TPCalibEq300!$AZ$2:$BB$55,3,),IF(AND(I2135="TDP",S2135&lt;=300),VLOOKUP(AF2135,TPCalibEq300!$AZ$2:$BB$55,3,)))</f>
        <v>0</v>
      </c>
      <c r="AS2135" s="10" t="b">
        <f>IF(AND(I2135="TP",S2135&lt;=500),VLOOKUP(AF2135,TPCalibEq500!$AZ$2:$BB$56,3,),IF(AND(I2135="TDP",S2135&lt;=500),VLOOKUP(AF2135,TPCalibEq500!$AZ$2:$BB$56,3,)))</f>
        <v>0</v>
      </c>
      <c r="AT2135" s="10" t="b">
        <f>IF(AND(I2135="TN",S2135&lt;=2800),VLOOKUP(AF2135,TNCalibEq2500!$AZ$2:$BB$56,3,),IF(AND(I2135="TDN",S2135&lt;=2800),VLOOKUP(AF2135,TNCalibEq2500!$AZ$2:$BB$56,3,)))</f>
        <v>0</v>
      </c>
      <c r="AU2135" s="10" t="b">
        <f>IF(I2135="TP",VLOOKUP(AF2135,TPCalibEqFull!$AZ$2:$BB$56,3),IF(I2135="TDP",VLOOKUP(AF2135,TPCalibEqFull!$AZ$2:$BB$56,3),IF(I2135="TDN",VLOOKUP(AF2135,TNCalibEqFull!$AZ$1:$BB$56,3),IF(I2135="TN",VLOOKUP(AF2135,TNCalibEqFull!$AZ$1:$BB$56,3),FALSE))))</f>
        <v>0</v>
      </c>
      <c r="AV2135" s="10" t="str">
        <f t="shared" si="247"/>
        <v>0208 10:30:40-EMB-0-FIL-1-SW-UKN</v>
      </c>
    </row>
    <row r="2136" spans="1:48" s="10" customFormat="1" x14ac:dyDescent="0.55000000000000004">
      <c r="A2136" s="32">
        <v>44965</v>
      </c>
      <c r="B2136" s="33">
        <v>0.43796296296296294</v>
      </c>
      <c r="C2136" s="10" t="s">
        <v>646</v>
      </c>
      <c r="D2136" s="10">
        <v>0</v>
      </c>
      <c r="E2136" s="10" t="s">
        <v>911</v>
      </c>
      <c r="F2136" s="10">
        <v>1</v>
      </c>
      <c r="G2136" s="10" t="s">
        <v>231</v>
      </c>
      <c r="H2136" s="10" t="s">
        <v>233</v>
      </c>
      <c r="I2136" s="10" t="s">
        <v>183</v>
      </c>
      <c r="J2136" s="10">
        <v>98</v>
      </c>
      <c r="K2136" s="12">
        <v>44966</v>
      </c>
      <c r="L2136" s="33">
        <v>0.58071759259259259</v>
      </c>
      <c r="M2136" s="10">
        <v>1</v>
      </c>
      <c r="N2136" s="10" t="s">
        <v>76</v>
      </c>
      <c r="O2136" s="10">
        <v>1.27</v>
      </c>
      <c r="P2136" s="10">
        <v>0.1</v>
      </c>
      <c r="Q2136" s="10">
        <v>72.900000000000006</v>
      </c>
      <c r="R2136" s="10" t="s">
        <v>77</v>
      </c>
      <c r="S2136" s="34">
        <f t="shared" si="242"/>
        <v>72.900000000000006</v>
      </c>
      <c r="T2136" s="10" t="s">
        <v>1155</v>
      </c>
      <c r="U2136" s="34">
        <f t="shared" si="245"/>
        <v>2.7816411682892905</v>
      </c>
      <c r="V2136" s="31" t="str">
        <f>IF(H2136="CHK",VLOOKUP(I2136,QCCHK,3,),IF(H2136="GUP",VLOOKUP(E2136,QCGUP,2,),IF(AND(H2136="ATP",OR(I2136="TN",I2136="TDN",I2136="TNO2-3",I2136="NO2-3")),VLOOKUP(E2136,QCREC_N,2,),IF(AND(H2136="NIC",OR(I2136="TN",I2136="TDN",I2136="TNO2-3",I2136="NO2-3")),VLOOKUP(E2136,QCNIC_N,2,),IF(AND(H2136="UREA",OR(I2136="TN",I2136="TDN",I2136="TNO2-3",I2136="NO2-3")),VLOOKUP(E2136,QCUREA_N,2,),IF(H2136="PER",VLOOKUP(I2136,QCPER,MATCH(E2136,QCACTUAL!$J$25:$AA$25,0),),IF(H2136="SPK",VLOOKUP(I2136,QCSPK,3,),IF(AND(H2136="ATP",OR(I2136="TP",I2136="TDP")),VLOOKUP(E2136,QCATP_P,2,),""))))))))</f>
        <v/>
      </c>
      <c r="W2136" s="31" t="str">
        <f t="shared" si="246"/>
        <v>TRUE</v>
      </c>
      <c r="X2136" s="31" t="str">
        <f t="shared" si="241"/>
        <v>((ABS(rep1-rep2))/((rep1+rep2)/2)*100</v>
      </c>
      <c r="Y2136" s="10" t="s">
        <v>1144</v>
      </c>
      <c r="AL2136" s="10" t="str">
        <f t="shared" si="243"/>
        <v>FALSE</v>
      </c>
      <c r="AM2136" s="10" t="str">
        <f t="shared" si="243"/>
        <v>FALSE</v>
      </c>
      <c r="AN2136" s="10" t="str">
        <f t="shared" si="243"/>
        <v>FALSE</v>
      </c>
      <c r="AO2136" s="10" t="str">
        <f t="shared" si="244"/>
        <v>FALSE</v>
      </c>
      <c r="AP2136" s="10" t="str">
        <f t="shared" si="244"/>
        <v>FALSE</v>
      </c>
      <c r="AQ2136" s="10" t="b">
        <f>IF(AND(I2136="TP",S2136&lt;=150),VLOOKUP(AF2136,TPCalibEq150!$AZ$2:$BB$55,3,),IF(AND(I2136="TDP",S2136&lt;=150),VLOOKUP(AF2136,TPCalibEq150!$AZ$2:$BB$55,3,)))</f>
        <v>0</v>
      </c>
      <c r="AR2136" s="10" t="b">
        <f>IF(AND(I2136="TP",S2136&lt;=300),VLOOKUP(AF2136,TPCalibEq300!$AZ$2:$BB$55,3,),IF(AND(I2136="TDP",S2136&lt;=300),VLOOKUP(AF2136,TPCalibEq300!$AZ$2:$BB$55,3,)))</f>
        <v>0</v>
      </c>
      <c r="AS2136" s="10" t="b">
        <f>IF(AND(I2136="TP",S2136&lt;=500),VLOOKUP(AF2136,TPCalibEq500!$AZ$2:$BB$56,3,),IF(AND(I2136="TDP",S2136&lt;=500),VLOOKUP(AF2136,TPCalibEq500!$AZ$2:$BB$56,3,)))</f>
        <v>0</v>
      </c>
      <c r="AT2136" s="10" t="b">
        <f>IF(AND(I2136="TN",S2136&lt;=2800),VLOOKUP(AF2136,TNCalibEq2500!$AZ$2:$BB$56,3,),IF(AND(I2136="TDN",S2136&lt;=2800),VLOOKUP(AF2136,TNCalibEq2500!$AZ$2:$BB$56,3,)))</f>
        <v>0</v>
      </c>
      <c r="AU2136" s="10" t="b">
        <f>IF(I2136="TP",VLOOKUP(AF2136,TPCalibEqFull!$AZ$2:$BB$56,3),IF(I2136="TDP",VLOOKUP(AF2136,TPCalibEqFull!$AZ$2:$BB$56,3),IF(I2136="TDN",VLOOKUP(AF2136,TNCalibEqFull!$AZ$1:$BB$56,3),IF(I2136="TN",VLOOKUP(AF2136,TNCalibEqFull!$AZ$1:$BB$56,3),FALSE))))</f>
        <v>0</v>
      </c>
      <c r="AV2136" s="10" t="str">
        <f t="shared" si="247"/>
        <v>0208 10:30:40-EMB-0-FIL-1-SW-DUP</v>
      </c>
    </row>
    <row r="2137" spans="1:48" s="10" customFormat="1" x14ac:dyDescent="0.55000000000000004">
      <c r="A2137" s="32">
        <v>44965</v>
      </c>
      <c r="B2137" s="33">
        <v>0.43796296296296294</v>
      </c>
      <c r="C2137" s="10" t="s">
        <v>646</v>
      </c>
      <c r="D2137" s="10">
        <v>0</v>
      </c>
      <c r="E2137" s="10" t="s">
        <v>911</v>
      </c>
      <c r="F2137" s="10">
        <v>1</v>
      </c>
      <c r="G2137" s="10" t="s">
        <v>231</v>
      </c>
      <c r="H2137" s="10" t="s">
        <v>314</v>
      </c>
      <c r="I2137" s="10" t="s">
        <v>183</v>
      </c>
      <c r="J2137" s="10">
        <v>130</v>
      </c>
      <c r="K2137" s="12">
        <v>44966</v>
      </c>
      <c r="L2137" s="33">
        <v>0.58152777777777775</v>
      </c>
      <c r="M2137" s="10">
        <v>1</v>
      </c>
      <c r="N2137" s="10" t="s">
        <v>76</v>
      </c>
      <c r="O2137" s="10">
        <v>13.1</v>
      </c>
      <c r="P2137" s="10">
        <v>1.05</v>
      </c>
      <c r="Q2137" s="10">
        <v>751</v>
      </c>
      <c r="R2137" s="10" t="s">
        <v>77</v>
      </c>
      <c r="S2137" s="34">
        <f t="shared" si="242"/>
        <v>751</v>
      </c>
      <c r="T2137" s="10" t="s">
        <v>1155</v>
      </c>
      <c r="U2137" s="34">
        <f t="shared" si="245"/>
        <v>108.49600000000001</v>
      </c>
      <c r="V2137" s="31">
        <f>IF(H2137="CHK",VLOOKUP(I2137,QCCHK,3,),IF(H2137="GUP",VLOOKUP(E2137,QCGUP,2,),IF(AND(H2137="ATP",OR(I2137="TN",I2137="TDN",I2137="TNO2-3",I2137="NO2-3")),VLOOKUP(E2137,QCREC_N,2,),IF(AND(H2137="NIC",OR(I2137="TN",I2137="TDN",I2137="TNO2-3",I2137="NO2-3")),VLOOKUP(E2137,QCNIC_N,2,),IF(AND(H2137="UREA",OR(I2137="TN",I2137="TDN",I2137="TNO2-3",I2137="NO2-3")),VLOOKUP(E2137,QCUREA_N,2,),IF(H2137="PER",VLOOKUP(I2137,QCPER,MATCH(E2137,QCACTUAL!$J$25:$AA$25,0),),IF(H2137="SPK",VLOOKUP(I2137,QCSPK,3,),IF(AND(H2137="ATP",OR(I2137="TP",I2137="TDP")),VLOOKUP(E2137,QCATP_P,2,),""))))))))</f>
        <v>625</v>
      </c>
      <c r="W2137" s="31" t="str">
        <f t="shared" si="246"/>
        <v>TRUE</v>
      </c>
      <c r="X2137" s="31" t="str">
        <f t="shared" si="241"/>
        <v>([spikedunkn]-[unkn])/[spike]*100</v>
      </c>
      <c r="Y2137" s="10" t="s">
        <v>1144</v>
      </c>
      <c r="AL2137" s="10" t="str">
        <f t="shared" si="243"/>
        <v>FALSE</v>
      </c>
      <c r="AM2137" s="10" t="str">
        <f t="shared" si="243"/>
        <v>FALSE</v>
      </c>
      <c r="AN2137" s="10" t="str">
        <f t="shared" si="243"/>
        <v>FALSE</v>
      </c>
      <c r="AO2137" s="10" t="str">
        <f t="shared" si="244"/>
        <v>FALSE</v>
      </c>
      <c r="AP2137" s="10" t="str">
        <f t="shared" si="244"/>
        <v>FALSE</v>
      </c>
      <c r="AQ2137" s="10" t="b">
        <f>IF(AND(I2137="TP",S2137&lt;=150),VLOOKUP(AF2137,TPCalibEq150!$AZ$2:$BB$55,3,),IF(AND(I2137="TDP",S2137&lt;=150),VLOOKUP(AF2137,TPCalibEq150!$AZ$2:$BB$55,3,)))</f>
        <v>0</v>
      </c>
      <c r="AR2137" s="10" t="b">
        <f>IF(AND(I2137="TP",S2137&lt;=300),VLOOKUP(AF2137,TPCalibEq300!$AZ$2:$BB$55,3,),IF(AND(I2137="TDP",S2137&lt;=300),VLOOKUP(AF2137,TPCalibEq300!$AZ$2:$BB$55,3,)))</f>
        <v>0</v>
      </c>
      <c r="AS2137" s="10" t="b">
        <f>IF(AND(I2137="TP",S2137&lt;=500),VLOOKUP(AF2137,TPCalibEq500!$AZ$2:$BB$56,3,),IF(AND(I2137="TDP",S2137&lt;=500),VLOOKUP(AF2137,TPCalibEq500!$AZ$2:$BB$56,3,)))</f>
        <v>0</v>
      </c>
      <c r="AT2137" s="10" t="b">
        <f>IF(AND(I2137="TN",S2137&lt;=2800),VLOOKUP(AF2137,TNCalibEq2500!$AZ$2:$BB$56,3,),IF(AND(I2137="TDN",S2137&lt;=2800),VLOOKUP(AF2137,TNCalibEq2500!$AZ$2:$BB$56,3,)))</f>
        <v>0</v>
      </c>
      <c r="AU2137" s="10" t="b">
        <f>IF(I2137="TP",VLOOKUP(AF2137,TPCalibEqFull!$AZ$2:$BB$56,3),IF(I2137="TDP",VLOOKUP(AF2137,TPCalibEqFull!$AZ$2:$BB$56,3),IF(I2137="TDN",VLOOKUP(AF2137,TNCalibEqFull!$AZ$1:$BB$56,3),IF(I2137="TN",VLOOKUP(AF2137,TNCalibEqFull!$AZ$1:$BB$56,3),FALSE))))</f>
        <v>0</v>
      </c>
      <c r="AV2137" s="10" t="str">
        <f t="shared" si="247"/>
        <v>0208 10:30:40-EMB-0-FIL-1-SW-SPK</v>
      </c>
    </row>
    <row r="2138" spans="1:48" s="10" customFormat="1" x14ac:dyDescent="0.55000000000000004">
      <c r="A2138" s="32">
        <v>44966</v>
      </c>
      <c r="B2138" s="33">
        <v>0.375</v>
      </c>
      <c r="C2138" s="10" t="s">
        <v>70</v>
      </c>
      <c r="D2138" s="10" t="s">
        <v>71</v>
      </c>
      <c r="E2138" s="10" t="s">
        <v>901</v>
      </c>
      <c r="F2138" s="10">
        <v>1</v>
      </c>
      <c r="G2138" s="10" t="s">
        <v>73</v>
      </c>
      <c r="H2138" s="10" t="s">
        <v>207</v>
      </c>
      <c r="I2138" s="10" t="s">
        <v>75</v>
      </c>
      <c r="J2138" s="10">
        <v>199</v>
      </c>
      <c r="K2138" s="12">
        <v>44966</v>
      </c>
      <c r="L2138" s="33">
        <v>0.58236111111111111</v>
      </c>
      <c r="M2138" s="10">
        <v>1</v>
      </c>
      <c r="N2138" s="10" t="s">
        <v>76</v>
      </c>
      <c r="O2138" s="10">
        <v>5.04</v>
      </c>
      <c r="P2138" s="10">
        <v>0.40300000000000002</v>
      </c>
      <c r="Q2138" s="10">
        <v>290</v>
      </c>
      <c r="R2138" s="10" t="s">
        <v>77</v>
      </c>
      <c r="S2138" s="34">
        <f t="shared" si="242"/>
        <v>290</v>
      </c>
      <c r="T2138" s="10" t="s">
        <v>1155</v>
      </c>
      <c r="U2138" s="34">
        <f t="shared" si="245"/>
        <v>96.666666666666671</v>
      </c>
      <c r="V2138" s="31">
        <f>IF(H2138="CHK",VLOOKUP(I2138,QCCHK,3,),IF(H2138="GUP",VLOOKUP(E2138,QCGUP,2,),IF(AND(H2138="ATP",OR(I2138="TN",I2138="TDN",I2138="TNO2-3",I2138="NO2-3")),VLOOKUP(E2138,QCREC_N,2,),IF(AND(H2138="NIC",OR(I2138="TN",I2138="TDN",I2138="TNO2-3",I2138="NO2-3")),VLOOKUP(E2138,QCNIC_N,2,),IF(AND(H2138="UREA",OR(I2138="TN",I2138="TDN",I2138="TNO2-3",I2138="NO2-3")),VLOOKUP(E2138,QCUREA_N,2,),IF(H2138="PER",VLOOKUP(I2138,QCPER,MATCH(E2138,QCACTUAL!$J$25:$AA$25,0),),IF(H2138="SPK",VLOOKUP(I2138,QCSPK,3,),IF(AND(H2138="ATP",OR(I2138="TP",I2138="TDP")),VLOOKUP(E2138,QCATP_P,2,),""))))))))</f>
        <v>300</v>
      </c>
      <c r="W2138" s="31" t="str">
        <f t="shared" si="246"/>
        <v>TRUE</v>
      </c>
      <c r="X2138" s="31" t="str">
        <f t="shared" si="241"/>
        <v>[chk]/[actual]*100</v>
      </c>
      <c r="Y2138" s="10" t="s">
        <v>1144</v>
      </c>
      <c r="AL2138" s="10" t="str">
        <f t="shared" si="243"/>
        <v>FALSE</v>
      </c>
      <c r="AM2138" s="10" t="str">
        <f t="shared" si="243"/>
        <v>FALSE</v>
      </c>
      <c r="AN2138" s="10" t="str">
        <f t="shared" si="243"/>
        <v>FALSE</v>
      </c>
      <c r="AO2138" s="10" t="str">
        <f t="shared" si="244"/>
        <v>FALSE</v>
      </c>
      <c r="AP2138" s="10" t="str">
        <f t="shared" si="244"/>
        <v>FALSE</v>
      </c>
      <c r="AQ2138" s="10" t="b">
        <f>IF(AND(I2138="TP",S2138&lt;=150),VLOOKUP(AF2138,TPCalibEq150!$AZ$2:$BB$55,3,),IF(AND(I2138="TDP",S2138&lt;=150),VLOOKUP(AF2138,TPCalibEq150!$AZ$2:$BB$55,3,)))</f>
        <v>0</v>
      </c>
      <c r="AR2138" s="10" t="b">
        <f>IF(AND(I2138="TP",S2138&lt;=300),VLOOKUP(AF2138,TPCalibEq300!$AZ$2:$BB$55,3,),IF(AND(I2138="TDP",S2138&lt;=300),VLOOKUP(AF2138,TPCalibEq300!$AZ$2:$BB$55,3,)))</f>
        <v>0</v>
      </c>
      <c r="AS2138" s="10" t="b">
        <f>IF(AND(I2138="TP",S2138&lt;=500),VLOOKUP(AF2138,TPCalibEq500!$AZ$2:$BB$56,3,),IF(AND(I2138="TDP",S2138&lt;=500),VLOOKUP(AF2138,TPCalibEq500!$AZ$2:$BB$56,3,)))</f>
        <v>0</v>
      </c>
      <c r="AT2138" s="10" t="b">
        <f>IF(AND(I2138="TN",S2138&lt;=2800),VLOOKUP(AF2138,TNCalibEq2500!$AZ$2:$BB$56,3,),IF(AND(I2138="TDN",S2138&lt;=2800),VLOOKUP(AF2138,TNCalibEq2500!$AZ$2:$BB$56,3,)))</f>
        <v>0</v>
      </c>
      <c r="AU2138" s="10" t="b">
        <f>IF(I2138="TP",VLOOKUP(AF2138,TPCalibEqFull!$AZ$2:$BB$56,3),IF(I2138="TDP",VLOOKUP(AF2138,TPCalibEqFull!$AZ$2:$BB$56,3),IF(I2138="TDN",VLOOKUP(AF2138,TNCalibEqFull!$AZ$1:$BB$56,3),IF(I2138="TN",VLOOKUP(AF2138,TNCalibEqFull!$AZ$1:$BB$56,3),FALSE))))</f>
        <v>0</v>
      </c>
      <c r="AV2138" s="10" t="str">
        <f t="shared" si="247"/>
        <v>0209 09:00:00-QAC-STD-D-1-DI-CHK</v>
      </c>
    </row>
    <row r="2139" spans="1:48" s="10" customFormat="1" x14ac:dyDescent="0.55000000000000004">
      <c r="A2139" s="32">
        <v>44965</v>
      </c>
      <c r="B2139" s="33">
        <v>0.44027777777777777</v>
      </c>
      <c r="C2139" s="10" t="s">
        <v>646</v>
      </c>
      <c r="D2139" s="10">
        <v>5</v>
      </c>
      <c r="E2139" s="10" t="s">
        <v>911</v>
      </c>
      <c r="F2139" s="10">
        <v>1</v>
      </c>
      <c r="G2139" s="10" t="s">
        <v>231</v>
      </c>
      <c r="H2139" s="10" t="s">
        <v>322</v>
      </c>
      <c r="I2139" s="10" t="s">
        <v>183</v>
      </c>
      <c r="J2139" s="10">
        <v>99</v>
      </c>
      <c r="K2139" s="12">
        <v>44966</v>
      </c>
      <c r="L2139" s="33">
        <v>0.58317129629629627</v>
      </c>
      <c r="M2139" s="10">
        <v>1</v>
      </c>
      <c r="N2139" s="10" t="s">
        <v>76</v>
      </c>
      <c r="O2139" s="10">
        <v>1.21</v>
      </c>
      <c r="P2139" s="10">
        <v>9.6000000000000002E-2</v>
      </c>
      <c r="Q2139" s="10">
        <v>69.599999999999994</v>
      </c>
      <c r="R2139" s="10" t="s">
        <v>77</v>
      </c>
      <c r="S2139" s="34">
        <f t="shared" si="242"/>
        <v>69.599999999999994</v>
      </c>
      <c r="T2139" s="10" t="s">
        <v>1155</v>
      </c>
      <c r="U2139" s="34" t="str">
        <f t="shared" si="245"/>
        <v/>
      </c>
      <c r="V2139" s="31" t="str">
        <f>IF(H2139="CHK",VLOOKUP(I2139,QCCHK,3,),IF(H2139="GUP",VLOOKUP(E2139,QCGUP,2,),IF(AND(H2139="ATP",OR(I2139="TN",I2139="TDN",I2139="TNO2-3",I2139="NO2-3")),VLOOKUP(E2139,QCREC_N,2,),IF(AND(H2139="NIC",OR(I2139="TN",I2139="TDN",I2139="TNO2-3",I2139="NO2-3")),VLOOKUP(E2139,QCNIC_N,2,),IF(AND(H2139="UREA",OR(I2139="TN",I2139="TDN",I2139="TNO2-3",I2139="NO2-3")),VLOOKUP(E2139,QCUREA_N,2,),IF(H2139="PER",VLOOKUP(I2139,QCPER,MATCH(E2139,QCACTUAL!$J$25:$AA$25,0),),IF(H2139="SPK",VLOOKUP(I2139,QCSPK,3,),IF(AND(H2139="ATP",OR(I2139="TP",I2139="TDP")),VLOOKUP(E2139,QCATP_P,2,),""))))))))</f>
        <v/>
      </c>
      <c r="W2139" s="31" t="str">
        <f t="shared" si="246"/>
        <v>TRUE</v>
      </c>
      <c r="X2139" s="31" t="str">
        <f t="shared" si="241"/>
        <v/>
      </c>
      <c r="Y2139" s="10" t="s">
        <v>1144</v>
      </c>
      <c r="AL2139" s="10" t="str">
        <f t="shared" si="243"/>
        <v>FALSE</v>
      </c>
      <c r="AM2139" s="10" t="str">
        <f t="shared" si="243"/>
        <v>FALSE</v>
      </c>
      <c r="AN2139" s="10" t="str">
        <f t="shared" si="243"/>
        <v>FALSE</v>
      </c>
      <c r="AO2139" s="10" t="str">
        <f t="shared" si="244"/>
        <v>FALSE</v>
      </c>
      <c r="AP2139" s="10" t="str">
        <f t="shared" si="244"/>
        <v>FALSE</v>
      </c>
      <c r="AQ2139" s="10" t="b">
        <f>IF(AND(I2139="TP",S2139&lt;=150),VLOOKUP(AF2139,TPCalibEq150!$AZ$2:$BB$55,3,),IF(AND(I2139="TDP",S2139&lt;=150),VLOOKUP(AF2139,TPCalibEq150!$AZ$2:$BB$55,3,)))</f>
        <v>0</v>
      </c>
      <c r="AR2139" s="10" t="b">
        <f>IF(AND(I2139="TP",S2139&lt;=300),VLOOKUP(AF2139,TPCalibEq300!$AZ$2:$BB$55,3,),IF(AND(I2139="TDP",S2139&lt;=300),VLOOKUP(AF2139,TPCalibEq300!$AZ$2:$BB$55,3,)))</f>
        <v>0</v>
      </c>
      <c r="AS2139" s="10" t="b">
        <f>IF(AND(I2139="TP",S2139&lt;=500),VLOOKUP(AF2139,TPCalibEq500!$AZ$2:$BB$56,3,),IF(AND(I2139="TDP",S2139&lt;=500),VLOOKUP(AF2139,TPCalibEq500!$AZ$2:$BB$56,3,)))</f>
        <v>0</v>
      </c>
      <c r="AT2139" s="10" t="b">
        <f>IF(AND(I2139="TN",S2139&lt;=2800),VLOOKUP(AF2139,TNCalibEq2500!$AZ$2:$BB$56,3,),IF(AND(I2139="TDN",S2139&lt;=2800),VLOOKUP(AF2139,TNCalibEq2500!$AZ$2:$BB$56,3,)))</f>
        <v>0</v>
      </c>
      <c r="AU2139" s="10" t="b">
        <f>IF(I2139="TP",VLOOKUP(AF2139,TPCalibEqFull!$AZ$2:$BB$56,3),IF(I2139="TDP",VLOOKUP(AF2139,TPCalibEqFull!$AZ$2:$BB$56,3),IF(I2139="TDN",VLOOKUP(AF2139,TNCalibEqFull!$AZ$1:$BB$56,3),IF(I2139="TN",VLOOKUP(AF2139,TNCalibEqFull!$AZ$1:$BB$56,3),FALSE))))</f>
        <v>0</v>
      </c>
      <c r="AV2139" s="10" t="str">
        <f t="shared" si="247"/>
        <v>0208 10:34:00-EMB-5-FIL-1-SW-UKN</v>
      </c>
    </row>
    <row r="2140" spans="1:48" s="10" customFormat="1" x14ac:dyDescent="0.55000000000000004">
      <c r="A2140" s="32">
        <v>44965</v>
      </c>
      <c r="B2140" s="33">
        <v>0.44259259259259259</v>
      </c>
      <c r="C2140" s="10" t="s">
        <v>646</v>
      </c>
      <c r="D2140" s="10">
        <v>10</v>
      </c>
      <c r="E2140" s="10" t="s">
        <v>911</v>
      </c>
      <c r="F2140" s="10">
        <v>1</v>
      </c>
      <c r="G2140" s="10" t="s">
        <v>231</v>
      </c>
      <c r="H2140" s="10" t="s">
        <v>322</v>
      </c>
      <c r="I2140" s="10" t="s">
        <v>183</v>
      </c>
      <c r="J2140" s="10">
        <v>100</v>
      </c>
      <c r="K2140" s="12">
        <v>44966</v>
      </c>
      <c r="L2140" s="33">
        <v>0.58398148148148155</v>
      </c>
      <c r="M2140" s="10">
        <v>1</v>
      </c>
      <c r="N2140" s="10" t="s">
        <v>76</v>
      </c>
      <c r="O2140" s="10">
        <v>1.19</v>
      </c>
      <c r="P2140" s="10">
        <v>9.5000000000000001E-2</v>
      </c>
      <c r="Q2140" s="10">
        <v>68.400000000000006</v>
      </c>
      <c r="R2140" s="10" t="s">
        <v>77</v>
      </c>
      <c r="S2140" s="34">
        <f t="shared" si="242"/>
        <v>68.400000000000006</v>
      </c>
      <c r="T2140" s="10" t="s">
        <v>1155</v>
      </c>
      <c r="U2140" s="34" t="str">
        <f t="shared" si="245"/>
        <v/>
      </c>
      <c r="V2140" s="31" t="str">
        <f>IF(H2140="CHK",VLOOKUP(I2140,QCCHK,3,),IF(H2140="GUP",VLOOKUP(E2140,QCGUP,2,),IF(AND(H2140="ATP",OR(I2140="TN",I2140="TDN",I2140="TNO2-3",I2140="NO2-3")),VLOOKUP(E2140,QCREC_N,2,),IF(AND(H2140="NIC",OR(I2140="TN",I2140="TDN",I2140="TNO2-3",I2140="NO2-3")),VLOOKUP(E2140,QCNIC_N,2,),IF(AND(H2140="UREA",OR(I2140="TN",I2140="TDN",I2140="TNO2-3",I2140="NO2-3")),VLOOKUP(E2140,QCUREA_N,2,),IF(H2140="PER",VLOOKUP(I2140,QCPER,MATCH(E2140,QCACTUAL!$J$25:$AA$25,0),),IF(H2140="SPK",VLOOKUP(I2140,QCSPK,3,),IF(AND(H2140="ATP",OR(I2140="TP",I2140="TDP")),VLOOKUP(E2140,QCATP_P,2,),""))))))))</f>
        <v/>
      </c>
      <c r="W2140" s="31" t="str">
        <f t="shared" si="246"/>
        <v>TRUE</v>
      </c>
      <c r="X2140" s="31" t="str">
        <f t="shared" si="241"/>
        <v/>
      </c>
      <c r="Y2140" s="10" t="s">
        <v>1144</v>
      </c>
      <c r="AL2140" s="10" t="str">
        <f t="shared" si="243"/>
        <v>FALSE</v>
      </c>
      <c r="AM2140" s="10" t="str">
        <f t="shared" si="243"/>
        <v>FALSE</v>
      </c>
      <c r="AN2140" s="10" t="str">
        <f t="shared" si="243"/>
        <v>FALSE</v>
      </c>
      <c r="AO2140" s="10" t="str">
        <f t="shared" si="244"/>
        <v>FALSE</v>
      </c>
      <c r="AP2140" s="10" t="str">
        <f t="shared" si="244"/>
        <v>FALSE</v>
      </c>
      <c r="AQ2140" s="10" t="b">
        <f>IF(AND(I2140="TP",S2140&lt;=150),VLOOKUP(AF2140,TPCalibEq150!$AZ$2:$BB$55,3,),IF(AND(I2140="TDP",S2140&lt;=150),VLOOKUP(AF2140,TPCalibEq150!$AZ$2:$BB$55,3,)))</f>
        <v>0</v>
      </c>
      <c r="AR2140" s="10" t="b">
        <f>IF(AND(I2140="TP",S2140&lt;=300),VLOOKUP(AF2140,TPCalibEq300!$AZ$2:$BB$55,3,),IF(AND(I2140="TDP",S2140&lt;=300),VLOOKUP(AF2140,TPCalibEq300!$AZ$2:$BB$55,3,)))</f>
        <v>0</v>
      </c>
      <c r="AS2140" s="10" t="b">
        <f>IF(AND(I2140="TP",S2140&lt;=500),VLOOKUP(AF2140,TPCalibEq500!$AZ$2:$BB$56,3,),IF(AND(I2140="TDP",S2140&lt;=500),VLOOKUP(AF2140,TPCalibEq500!$AZ$2:$BB$56,3,)))</f>
        <v>0</v>
      </c>
      <c r="AT2140" s="10" t="b">
        <f>IF(AND(I2140="TN",S2140&lt;=2800),VLOOKUP(AF2140,TNCalibEq2500!$AZ$2:$BB$56,3,),IF(AND(I2140="TDN",S2140&lt;=2800),VLOOKUP(AF2140,TNCalibEq2500!$AZ$2:$BB$56,3,)))</f>
        <v>0</v>
      </c>
      <c r="AU2140" s="10" t="b">
        <f>IF(I2140="TP",VLOOKUP(AF2140,TPCalibEqFull!$AZ$2:$BB$56,3),IF(I2140="TDP",VLOOKUP(AF2140,TPCalibEqFull!$AZ$2:$BB$56,3),IF(I2140="TDN",VLOOKUP(AF2140,TNCalibEqFull!$AZ$1:$BB$56,3),IF(I2140="TN",VLOOKUP(AF2140,TNCalibEqFull!$AZ$1:$BB$56,3),FALSE))))</f>
        <v>0</v>
      </c>
      <c r="AV2140" s="10" t="str">
        <f t="shared" si="247"/>
        <v>0208 10:37:20-EMB-10-FIL-1-SW-UKN</v>
      </c>
    </row>
    <row r="2141" spans="1:48" s="10" customFormat="1" x14ac:dyDescent="0.55000000000000004">
      <c r="A2141" s="32">
        <v>44965</v>
      </c>
      <c r="B2141" s="33">
        <v>0.44490740740740736</v>
      </c>
      <c r="C2141" s="10" t="s">
        <v>646</v>
      </c>
      <c r="D2141" s="10">
        <v>20</v>
      </c>
      <c r="E2141" s="10" t="s">
        <v>911</v>
      </c>
      <c r="F2141" s="10">
        <v>1</v>
      </c>
      <c r="G2141" s="10" t="s">
        <v>231</v>
      </c>
      <c r="H2141" s="10" t="s">
        <v>322</v>
      </c>
      <c r="I2141" s="10" t="s">
        <v>183</v>
      </c>
      <c r="J2141" s="10">
        <v>101</v>
      </c>
      <c r="K2141" s="12">
        <v>44966</v>
      </c>
      <c r="L2141" s="33">
        <v>0.58479166666666671</v>
      </c>
      <c r="M2141" s="10">
        <v>1</v>
      </c>
      <c r="N2141" s="10" t="s">
        <v>76</v>
      </c>
      <c r="O2141" s="10">
        <v>1.18</v>
      </c>
      <c r="P2141" s="10">
        <v>9.35E-2</v>
      </c>
      <c r="Q2141" s="10">
        <v>67.900000000000006</v>
      </c>
      <c r="R2141" s="10" t="s">
        <v>77</v>
      </c>
      <c r="S2141" s="34">
        <f t="shared" si="242"/>
        <v>67.900000000000006</v>
      </c>
      <c r="T2141" s="10" t="s">
        <v>1155</v>
      </c>
      <c r="U2141" s="34" t="str">
        <f t="shared" si="245"/>
        <v/>
      </c>
      <c r="V2141" s="31" t="str">
        <f>IF(H2141="CHK",VLOOKUP(I2141,QCCHK,3,),IF(H2141="GUP",VLOOKUP(E2141,QCGUP,2,),IF(AND(H2141="ATP",OR(I2141="TN",I2141="TDN",I2141="TNO2-3",I2141="NO2-3")),VLOOKUP(E2141,QCREC_N,2,),IF(AND(H2141="NIC",OR(I2141="TN",I2141="TDN",I2141="TNO2-3",I2141="NO2-3")),VLOOKUP(E2141,QCNIC_N,2,),IF(AND(H2141="UREA",OR(I2141="TN",I2141="TDN",I2141="TNO2-3",I2141="NO2-3")),VLOOKUP(E2141,QCUREA_N,2,),IF(H2141="PER",VLOOKUP(I2141,QCPER,MATCH(E2141,QCACTUAL!$J$25:$AA$25,0),),IF(H2141="SPK",VLOOKUP(I2141,QCSPK,3,),IF(AND(H2141="ATP",OR(I2141="TP",I2141="TDP")),VLOOKUP(E2141,QCATP_P,2,),""))))))))</f>
        <v/>
      </c>
      <c r="W2141" s="31" t="str">
        <f t="shared" si="246"/>
        <v>TRUE</v>
      </c>
      <c r="X2141" s="31" t="str">
        <f t="shared" si="241"/>
        <v/>
      </c>
      <c r="Y2141" s="10" t="s">
        <v>1144</v>
      </c>
      <c r="AL2141" s="10" t="str">
        <f t="shared" si="243"/>
        <v>FALSE</v>
      </c>
      <c r="AM2141" s="10" t="str">
        <f t="shared" si="243"/>
        <v>FALSE</v>
      </c>
      <c r="AN2141" s="10" t="str">
        <f t="shared" si="243"/>
        <v>FALSE</v>
      </c>
      <c r="AO2141" s="10" t="str">
        <f t="shared" si="244"/>
        <v>FALSE</v>
      </c>
      <c r="AP2141" s="10" t="str">
        <f t="shared" si="244"/>
        <v>FALSE</v>
      </c>
      <c r="AQ2141" s="10" t="b">
        <f>IF(AND(I2141="TP",S2141&lt;=150),VLOOKUP(AF2141,TPCalibEq150!$AZ$2:$BB$55,3,),IF(AND(I2141="TDP",S2141&lt;=150),VLOOKUP(AF2141,TPCalibEq150!$AZ$2:$BB$55,3,)))</f>
        <v>0</v>
      </c>
      <c r="AR2141" s="10" t="b">
        <f>IF(AND(I2141="TP",S2141&lt;=300),VLOOKUP(AF2141,TPCalibEq300!$AZ$2:$BB$55,3,),IF(AND(I2141="TDP",S2141&lt;=300),VLOOKUP(AF2141,TPCalibEq300!$AZ$2:$BB$55,3,)))</f>
        <v>0</v>
      </c>
      <c r="AS2141" s="10" t="b">
        <f>IF(AND(I2141="TP",S2141&lt;=500),VLOOKUP(AF2141,TPCalibEq500!$AZ$2:$BB$56,3,),IF(AND(I2141="TDP",S2141&lt;=500),VLOOKUP(AF2141,TPCalibEq500!$AZ$2:$BB$56,3,)))</f>
        <v>0</v>
      </c>
      <c r="AT2141" s="10" t="b">
        <f>IF(AND(I2141="TN",S2141&lt;=2800),VLOOKUP(AF2141,TNCalibEq2500!$AZ$2:$BB$56,3,),IF(AND(I2141="TDN",S2141&lt;=2800),VLOOKUP(AF2141,TNCalibEq2500!$AZ$2:$BB$56,3,)))</f>
        <v>0</v>
      </c>
      <c r="AU2141" s="10" t="b">
        <f>IF(I2141="TP",VLOOKUP(AF2141,TPCalibEqFull!$AZ$2:$BB$56,3),IF(I2141="TDP",VLOOKUP(AF2141,TPCalibEqFull!$AZ$2:$BB$56,3),IF(I2141="TDN",VLOOKUP(AF2141,TNCalibEqFull!$AZ$1:$BB$56,3),IF(I2141="TN",VLOOKUP(AF2141,TNCalibEqFull!$AZ$1:$BB$56,3),FALSE))))</f>
        <v>0</v>
      </c>
      <c r="AV2141" s="10" t="str">
        <f t="shared" si="247"/>
        <v>0208 10:40:40-EMB-20-FIL-1-SW-UKN</v>
      </c>
    </row>
    <row r="2142" spans="1:48" s="10" customFormat="1" x14ac:dyDescent="0.55000000000000004">
      <c r="A2142" s="32">
        <v>44965</v>
      </c>
      <c r="B2142" s="33">
        <v>0.44780092592592591</v>
      </c>
      <c r="C2142" s="10" t="s">
        <v>646</v>
      </c>
      <c r="D2142" s="10">
        <v>69</v>
      </c>
      <c r="E2142" s="10" t="s">
        <v>911</v>
      </c>
      <c r="F2142" s="10">
        <v>1</v>
      </c>
      <c r="G2142" s="10" t="s">
        <v>231</v>
      </c>
      <c r="H2142" s="10" t="s">
        <v>322</v>
      </c>
      <c r="I2142" s="10" t="s">
        <v>183</v>
      </c>
      <c r="J2142" s="10">
        <v>102</v>
      </c>
      <c r="K2142" s="12">
        <v>44966</v>
      </c>
      <c r="L2142" s="33">
        <v>0.58560185185185187</v>
      </c>
      <c r="M2142" s="10">
        <v>1</v>
      </c>
      <c r="N2142" s="10" t="s">
        <v>76</v>
      </c>
      <c r="O2142" s="10">
        <v>2.25</v>
      </c>
      <c r="P2142" s="10">
        <v>0.17699999999999999</v>
      </c>
      <c r="Q2142" s="10">
        <v>129</v>
      </c>
      <c r="R2142" s="10" t="s">
        <v>77</v>
      </c>
      <c r="S2142" s="34">
        <f t="shared" si="242"/>
        <v>129</v>
      </c>
      <c r="T2142" s="10" t="s">
        <v>1155</v>
      </c>
      <c r="U2142" s="34" t="str">
        <f t="shared" si="245"/>
        <v/>
      </c>
      <c r="V2142" s="31" t="str">
        <f>IF(H2142="CHK",VLOOKUP(I2142,QCCHK,3,),IF(H2142="GUP",VLOOKUP(E2142,QCGUP,2,),IF(AND(H2142="ATP",OR(I2142="TN",I2142="TDN",I2142="TNO2-3",I2142="NO2-3")),VLOOKUP(E2142,QCREC_N,2,),IF(AND(H2142="NIC",OR(I2142="TN",I2142="TDN",I2142="TNO2-3",I2142="NO2-3")),VLOOKUP(E2142,QCNIC_N,2,),IF(AND(H2142="UREA",OR(I2142="TN",I2142="TDN",I2142="TNO2-3",I2142="NO2-3")),VLOOKUP(E2142,QCUREA_N,2,),IF(H2142="PER",VLOOKUP(I2142,QCPER,MATCH(E2142,QCACTUAL!$J$25:$AA$25,0),),IF(H2142="SPK",VLOOKUP(I2142,QCSPK,3,),IF(AND(H2142="ATP",OR(I2142="TP",I2142="TDP")),VLOOKUP(E2142,QCATP_P,2,),""))))))))</f>
        <v/>
      </c>
      <c r="W2142" s="31" t="str">
        <f t="shared" si="246"/>
        <v>TRUE</v>
      </c>
      <c r="X2142" s="31" t="str">
        <f t="shared" si="241"/>
        <v/>
      </c>
      <c r="Y2142" s="10" t="s">
        <v>1144</v>
      </c>
      <c r="AL2142" s="10" t="str">
        <f t="shared" si="243"/>
        <v>FALSE</v>
      </c>
      <c r="AM2142" s="10" t="str">
        <f t="shared" si="243"/>
        <v>FALSE</v>
      </c>
      <c r="AN2142" s="10" t="str">
        <f t="shared" si="243"/>
        <v>FALSE</v>
      </c>
      <c r="AO2142" s="10" t="str">
        <f t="shared" si="244"/>
        <v>FALSE</v>
      </c>
      <c r="AP2142" s="10" t="str">
        <f t="shared" si="244"/>
        <v>FALSE</v>
      </c>
      <c r="AQ2142" s="10" t="b">
        <f>IF(AND(I2142="TP",S2142&lt;=150),VLOOKUP(AF2142,TPCalibEq150!$AZ$2:$BB$55,3,),IF(AND(I2142="TDP",S2142&lt;=150),VLOOKUP(AF2142,TPCalibEq150!$AZ$2:$BB$55,3,)))</f>
        <v>0</v>
      </c>
      <c r="AR2142" s="10" t="b">
        <f>IF(AND(I2142="TP",S2142&lt;=300),VLOOKUP(AF2142,TPCalibEq300!$AZ$2:$BB$55,3,),IF(AND(I2142="TDP",S2142&lt;=300),VLOOKUP(AF2142,TPCalibEq300!$AZ$2:$BB$55,3,)))</f>
        <v>0</v>
      </c>
      <c r="AS2142" s="10" t="b">
        <f>IF(AND(I2142="TP",S2142&lt;=500),VLOOKUP(AF2142,TPCalibEq500!$AZ$2:$BB$56,3,),IF(AND(I2142="TDP",S2142&lt;=500),VLOOKUP(AF2142,TPCalibEq500!$AZ$2:$BB$56,3,)))</f>
        <v>0</v>
      </c>
      <c r="AT2142" s="10" t="b">
        <f>IF(AND(I2142="TN",S2142&lt;=2800),VLOOKUP(AF2142,TNCalibEq2500!$AZ$2:$BB$56,3,),IF(AND(I2142="TDN",S2142&lt;=2800),VLOOKUP(AF2142,TNCalibEq2500!$AZ$2:$BB$56,3,)))</f>
        <v>0</v>
      </c>
      <c r="AU2142" s="10" t="b">
        <f>IF(I2142="TP",VLOOKUP(AF2142,TPCalibEqFull!$AZ$2:$BB$56,3),IF(I2142="TDP",VLOOKUP(AF2142,TPCalibEqFull!$AZ$2:$BB$56,3),IF(I2142="TDN",VLOOKUP(AF2142,TNCalibEqFull!$AZ$1:$BB$56,3),IF(I2142="TN",VLOOKUP(AF2142,TNCalibEqFull!$AZ$1:$BB$56,3),FALSE))))</f>
        <v>0</v>
      </c>
      <c r="AV2142" s="10" t="str">
        <f t="shared" si="247"/>
        <v>0208 10:44:50-EMB-69-FIL-1-SW-UKN</v>
      </c>
    </row>
    <row r="2143" spans="1:48" s="10" customFormat="1" x14ac:dyDescent="0.55000000000000004">
      <c r="A2143" s="32">
        <v>44965</v>
      </c>
      <c r="B2143" s="33">
        <v>0.39953703703703702</v>
      </c>
      <c r="C2143" s="10" t="s">
        <v>287</v>
      </c>
      <c r="D2143" s="10">
        <v>0</v>
      </c>
      <c r="E2143" s="10" t="s">
        <v>911</v>
      </c>
      <c r="F2143" s="10">
        <v>1</v>
      </c>
      <c r="G2143" s="10" t="s">
        <v>231</v>
      </c>
      <c r="H2143" s="10" t="s">
        <v>322</v>
      </c>
      <c r="I2143" s="10" t="s">
        <v>183</v>
      </c>
      <c r="J2143" s="10">
        <v>103</v>
      </c>
      <c r="K2143" s="12">
        <v>44966</v>
      </c>
      <c r="L2143" s="33">
        <v>0.58642361111111108</v>
      </c>
      <c r="M2143" s="10">
        <v>1</v>
      </c>
      <c r="N2143" s="10" t="s">
        <v>76</v>
      </c>
      <c r="O2143" s="10">
        <v>1.19</v>
      </c>
      <c r="P2143" s="10">
        <v>9.5000000000000001E-2</v>
      </c>
      <c r="Q2143" s="10">
        <v>68.5</v>
      </c>
      <c r="R2143" s="10" t="s">
        <v>77</v>
      </c>
      <c r="S2143" s="34">
        <f t="shared" si="242"/>
        <v>68.5</v>
      </c>
      <c r="T2143" s="10" t="s">
        <v>1155</v>
      </c>
      <c r="U2143" s="34" t="str">
        <f t="shared" si="245"/>
        <v/>
      </c>
      <c r="V2143" s="31" t="str">
        <f>IF(H2143="CHK",VLOOKUP(I2143,QCCHK,3,),IF(H2143="GUP",VLOOKUP(E2143,QCGUP,2,),IF(AND(H2143="ATP",OR(I2143="TN",I2143="TDN",I2143="TNO2-3",I2143="NO2-3")),VLOOKUP(E2143,QCREC_N,2,),IF(AND(H2143="NIC",OR(I2143="TN",I2143="TDN",I2143="TNO2-3",I2143="NO2-3")),VLOOKUP(E2143,QCNIC_N,2,),IF(AND(H2143="UREA",OR(I2143="TN",I2143="TDN",I2143="TNO2-3",I2143="NO2-3")),VLOOKUP(E2143,QCUREA_N,2,),IF(H2143="PER",VLOOKUP(I2143,QCPER,MATCH(E2143,QCACTUAL!$J$25:$AA$25,0),),IF(H2143="SPK",VLOOKUP(I2143,QCSPK,3,),IF(AND(H2143="ATP",OR(I2143="TP",I2143="TDP")),VLOOKUP(E2143,QCATP_P,2,),""))))))))</f>
        <v/>
      </c>
      <c r="W2143" s="31" t="str">
        <f t="shared" si="246"/>
        <v>TRUE</v>
      </c>
      <c r="X2143" s="31" t="str">
        <f t="shared" si="241"/>
        <v/>
      </c>
      <c r="Y2143" s="10" t="s">
        <v>1144</v>
      </c>
      <c r="AL2143" s="10" t="str">
        <f t="shared" si="243"/>
        <v>FALSE</v>
      </c>
      <c r="AM2143" s="10" t="str">
        <f t="shared" si="243"/>
        <v>FALSE</v>
      </c>
      <c r="AN2143" s="10" t="str">
        <f t="shared" si="243"/>
        <v>FALSE</v>
      </c>
      <c r="AO2143" s="10" t="str">
        <f t="shared" si="244"/>
        <v>FALSE</v>
      </c>
      <c r="AP2143" s="10" t="str">
        <f t="shared" si="244"/>
        <v>FALSE</v>
      </c>
      <c r="AQ2143" s="10" t="b">
        <f>IF(AND(I2143="TP",S2143&lt;=150),VLOOKUP(AF2143,TPCalibEq150!$AZ$2:$BB$55,3,),IF(AND(I2143="TDP",S2143&lt;=150),VLOOKUP(AF2143,TPCalibEq150!$AZ$2:$BB$55,3,)))</f>
        <v>0</v>
      </c>
      <c r="AR2143" s="10" t="b">
        <f>IF(AND(I2143="TP",S2143&lt;=300),VLOOKUP(AF2143,TPCalibEq300!$AZ$2:$BB$55,3,),IF(AND(I2143="TDP",S2143&lt;=300),VLOOKUP(AF2143,TPCalibEq300!$AZ$2:$BB$55,3,)))</f>
        <v>0</v>
      </c>
      <c r="AS2143" s="10" t="b">
        <f>IF(AND(I2143="TP",S2143&lt;=500),VLOOKUP(AF2143,TPCalibEq500!$AZ$2:$BB$56,3,),IF(AND(I2143="TDP",S2143&lt;=500),VLOOKUP(AF2143,TPCalibEq500!$AZ$2:$BB$56,3,)))</f>
        <v>0</v>
      </c>
      <c r="AT2143" s="10" t="b">
        <f>IF(AND(I2143="TN",S2143&lt;=2800),VLOOKUP(AF2143,TNCalibEq2500!$AZ$2:$BB$56,3,),IF(AND(I2143="TDN",S2143&lt;=2800),VLOOKUP(AF2143,TNCalibEq2500!$AZ$2:$BB$56,3,)))</f>
        <v>0</v>
      </c>
      <c r="AU2143" s="10" t="b">
        <f>IF(I2143="TP",VLOOKUP(AF2143,TPCalibEqFull!$AZ$2:$BB$56,3),IF(I2143="TDP",VLOOKUP(AF2143,TPCalibEqFull!$AZ$2:$BB$56,3),IF(I2143="TDN",VLOOKUP(AF2143,TNCalibEqFull!$AZ$1:$BB$56,3),IF(I2143="TN",VLOOKUP(AF2143,TNCalibEqFull!$AZ$1:$BB$56,3),FALSE))))</f>
        <v>0</v>
      </c>
      <c r="AV2143" s="10" t="str">
        <f t="shared" si="247"/>
        <v>0208 09:35:20-EFL-0-FIL-1-SW-UKN</v>
      </c>
    </row>
    <row r="2144" spans="1:48" s="10" customFormat="1" x14ac:dyDescent="0.55000000000000004">
      <c r="A2144" s="32">
        <v>44965</v>
      </c>
      <c r="B2144" s="33">
        <v>0.40185185185185185</v>
      </c>
      <c r="C2144" s="10" t="s">
        <v>287</v>
      </c>
      <c r="D2144" s="10">
        <v>5</v>
      </c>
      <c r="E2144" s="10" t="s">
        <v>911</v>
      </c>
      <c r="F2144" s="10">
        <v>1</v>
      </c>
      <c r="G2144" s="10" t="s">
        <v>231</v>
      </c>
      <c r="H2144" s="10" t="s">
        <v>322</v>
      </c>
      <c r="I2144" s="10" t="s">
        <v>183</v>
      </c>
      <c r="J2144" s="10">
        <v>104</v>
      </c>
      <c r="K2144" s="12">
        <v>44966</v>
      </c>
      <c r="L2144" s="33">
        <v>0.58723379629629624</v>
      </c>
      <c r="M2144" s="10">
        <v>1</v>
      </c>
      <c r="N2144" s="10" t="s">
        <v>76</v>
      </c>
      <c r="O2144" s="10">
        <v>1.17</v>
      </c>
      <c r="P2144" s="10">
        <v>9.2299999999999993E-2</v>
      </c>
      <c r="Q2144" s="10">
        <v>67.099999999999994</v>
      </c>
      <c r="R2144" s="10" t="s">
        <v>77</v>
      </c>
      <c r="S2144" s="34">
        <f t="shared" si="242"/>
        <v>67.099999999999994</v>
      </c>
      <c r="T2144" s="10" t="s">
        <v>1155</v>
      </c>
      <c r="U2144" s="34" t="str">
        <f t="shared" si="245"/>
        <v/>
      </c>
      <c r="V2144" s="31" t="str">
        <f>IF(H2144="CHK",VLOOKUP(I2144,QCCHK,3,),IF(H2144="GUP",VLOOKUP(E2144,QCGUP,2,),IF(AND(H2144="ATP",OR(I2144="TN",I2144="TDN",I2144="TNO2-3",I2144="NO2-3")),VLOOKUP(E2144,QCREC_N,2,),IF(AND(H2144="NIC",OR(I2144="TN",I2144="TDN",I2144="TNO2-3",I2144="NO2-3")),VLOOKUP(E2144,QCNIC_N,2,),IF(AND(H2144="UREA",OR(I2144="TN",I2144="TDN",I2144="TNO2-3",I2144="NO2-3")),VLOOKUP(E2144,QCUREA_N,2,),IF(H2144="PER",VLOOKUP(I2144,QCPER,MATCH(E2144,QCACTUAL!$J$25:$AA$25,0),),IF(H2144="SPK",VLOOKUP(I2144,QCSPK,3,),IF(AND(H2144="ATP",OR(I2144="TP",I2144="TDP")),VLOOKUP(E2144,QCATP_P,2,),""))))))))</f>
        <v/>
      </c>
      <c r="W2144" s="31" t="str">
        <f t="shared" si="246"/>
        <v>TRUE</v>
      </c>
      <c r="X2144" s="31" t="str">
        <f t="shared" si="241"/>
        <v/>
      </c>
      <c r="Y2144" s="10" t="s">
        <v>1144</v>
      </c>
      <c r="AL2144" s="10" t="str">
        <f t="shared" si="243"/>
        <v>FALSE</v>
      </c>
      <c r="AM2144" s="10" t="str">
        <f t="shared" si="243"/>
        <v>FALSE</v>
      </c>
      <c r="AN2144" s="10" t="str">
        <f t="shared" si="243"/>
        <v>FALSE</v>
      </c>
      <c r="AO2144" s="10" t="str">
        <f t="shared" si="244"/>
        <v>FALSE</v>
      </c>
      <c r="AP2144" s="10" t="str">
        <f t="shared" si="244"/>
        <v>FALSE</v>
      </c>
      <c r="AQ2144" s="10" t="b">
        <f>IF(AND(I2144="TP",S2144&lt;=150),VLOOKUP(AF2144,TPCalibEq150!$AZ$2:$BB$55,3,),IF(AND(I2144="TDP",S2144&lt;=150),VLOOKUP(AF2144,TPCalibEq150!$AZ$2:$BB$55,3,)))</f>
        <v>0</v>
      </c>
      <c r="AR2144" s="10" t="b">
        <f>IF(AND(I2144="TP",S2144&lt;=300),VLOOKUP(AF2144,TPCalibEq300!$AZ$2:$BB$55,3,),IF(AND(I2144="TDP",S2144&lt;=300),VLOOKUP(AF2144,TPCalibEq300!$AZ$2:$BB$55,3,)))</f>
        <v>0</v>
      </c>
      <c r="AS2144" s="10" t="b">
        <f>IF(AND(I2144="TP",S2144&lt;=500),VLOOKUP(AF2144,TPCalibEq500!$AZ$2:$BB$56,3,),IF(AND(I2144="TDP",S2144&lt;=500),VLOOKUP(AF2144,TPCalibEq500!$AZ$2:$BB$56,3,)))</f>
        <v>0</v>
      </c>
      <c r="AT2144" s="10" t="b">
        <f>IF(AND(I2144="TN",S2144&lt;=2800),VLOOKUP(AF2144,TNCalibEq2500!$AZ$2:$BB$56,3,),IF(AND(I2144="TDN",S2144&lt;=2800),VLOOKUP(AF2144,TNCalibEq2500!$AZ$2:$BB$56,3,)))</f>
        <v>0</v>
      </c>
      <c r="AU2144" s="10" t="b">
        <f>IF(I2144="TP",VLOOKUP(AF2144,TPCalibEqFull!$AZ$2:$BB$56,3),IF(I2144="TDP",VLOOKUP(AF2144,TPCalibEqFull!$AZ$2:$BB$56,3),IF(I2144="TDN",VLOOKUP(AF2144,TNCalibEqFull!$AZ$1:$BB$56,3),IF(I2144="TN",VLOOKUP(AF2144,TNCalibEqFull!$AZ$1:$BB$56,3),FALSE))))</f>
        <v>0</v>
      </c>
      <c r="AV2144" s="10" t="str">
        <f t="shared" si="247"/>
        <v>0208 09:38:40-EFL-5-FIL-1-SW-UKN</v>
      </c>
    </row>
    <row r="2145" spans="1:48" s="10" customFormat="1" x14ac:dyDescent="0.55000000000000004">
      <c r="A2145" s="32">
        <v>44965</v>
      </c>
      <c r="B2145" s="33">
        <v>0.40416666666666662</v>
      </c>
      <c r="C2145" s="10" t="s">
        <v>287</v>
      </c>
      <c r="D2145" s="10">
        <v>10</v>
      </c>
      <c r="E2145" s="10" t="s">
        <v>911</v>
      </c>
      <c r="F2145" s="10">
        <v>1</v>
      </c>
      <c r="G2145" s="10" t="s">
        <v>231</v>
      </c>
      <c r="H2145" s="10" t="s">
        <v>322</v>
      </c>
      <c r="I2145" s="10" t="s">
        <v>183</v>
      </c>
      <c r="J2145" s="10">
        <v>105</v>
      </c>
      <c r="K2145" s="12">
        <v>44966</v>
      </c>
      <c r="L2145" s="33">
        <v>0.58804398148148151</v>
      </c>
      <c r="M2145" s="10">
        <v>1</v>
      </c>
      <c r="N2145" s="10" t="s">
        <v>76</v>
      </c>
      <c r="O2145" s="10">
        <v>1.1200000000000001</v>
      </c>
      <c r="P2145" s="10">
        <v>8.9399999999999993E-2</v>
      </c>
      <c r="Q2145" s="10">
        <v>64.3</v>
      </c>
      <c r="R2145" s="10" t="s">
        <v>77</v>
      </c>
      <c r="S2145" s="34">
        <f t="shared" si="242"/>
        <v>64.3</v>
      </c>
      <c r="T2145" s="10" t="s">
        <v>1155</v>
      </c>
      <c r="U2145" s="34" t="str">
        <f t="shared" si="245"/>
        <v/>
      </c>
      <c r="V2145" s="31" t="str">
        <f>IF(H2145="CHK",VLOOKUP(I2145,QCCHK,3,),IF(H2145="GUP",VLOOKUP(E2145,QCGUP,2,),IF(AND(H2145="ATP",OR(I2145="TN",I2145="TDN",I2145="TNO2-3",I2145="NO2-3")),VLOOKUP(E2145,QCREC_N,2,),IF(AND(H2145="NIC",OR(I2145="TN",I2145="TDN",I2145="TNO2-3",I2145="NO2-3")),VLOOKUP(E2145,QCNIC_N,2,),IF(AND(H2145="UREA",OR(I2145="TN",I2145="TDN",I2145="TNO2-3",I2145="NO2-3")),VLOOKUP(E2145,QCUREA_N,2,),IF(H2145="PER",VLOOKUP(I2145,QCPER,MATCH(E2145,QCACTUAL!$J$25:$AA$25,0),),IF(H2145="SPK",VLOOKUP(I2145,QCSPK,3,),IF(AND(H2145="ATP",OR(I2145="TP",I2145="TDP")),VLOOKUP(E2145,QCATP_P,2,),""))))))))</f>
        <v/>
      </c>
      <c r="W2145" s="31" t="str">
        <f t="shared" si="246"/>
        <v>TRUE</v>
      </c>
      <c r="X2145" s="31" t="str">
        <f t="shared" si="241"/>
        <v/>
      </c>
      <c r="Y2145" s="10" t="s">
        <v>1144</v>
      </c>
      <c r="AL2145" s="10" t="str">
        <f t="shared" si="243"/>
        <v>FALSE</v>
      </c>
      <c r="AM2145" s="10" t="str">
        <f t="shared" si="243"/>
        <v>FALSE</v>
      </c>
      <c r="AN2145" s="10" t="str">
        <f t="shared" si="243"/>
        <v>FALSE</v>
      </c>
      <c r="AO2145" s="10" t="str">
        <f t="shared" si="244"/>
        <v>FALSE</v>
      </c>
      <c r="AP2145" s="10" t="str">
        <f t="shared" si="244"/>
        <v>FALSE</v>
      </c>
      <c r="AQ2145" s="10" t="b">
        <f>IF(AND(I2145="TP",S2145&lt;=150),VLOOKUP(AF2145,TPCalibEq150!$AZ$2:$BB$55,3,),IF(AND(I2145="TDP",S2145&lt;=150),VLOOKUP(AF2145,TPCalibEq150!$AZ$2:$BB$55,3,)))</f>
        <v>0</v>
      </c>
      <c r="AR2145" s="10" t="b">
        <f>IF(AND(I2145="TP",S2145&lt;=300),VLOOKUP(AF2145,TPCalibEq300!$AZ$2:$BB$55,3,),IF(AND(I2145="TDP",S2145&lt;=300),VLOOKUP(AF2145,TPCalibEq300!$AZ$2:$BB$55,3,)))</f>
        <v>0</v>
      </c>
      <c r="AS2145" s="10" t="b">
        <f>IF(AND(I2145="TP",S2145&lt;=500),VLOOKUP(AF2145,TPCalibEq500!$AZ$2:$BB$56,3,),IF(AND(I2145="TDP",S2145&lt;=500),VLOOKUP(AF2145,TPCalibEq500!$AZ$2:$BB$56,3,)))</f>
        <v>0</v>
      </c>
      <c r="AT2145" s="10" t="b">
        <f>IF(AND(I2145="TN",S2145&lt;=2800),VLOOKUP(AF2145,TNCalibEq2500!$AZ$2:$BB$56,3,),IF(AND(I2145="TDN",S2145&lt;=2800),VLOOKUP(AF2145,TNCalibEq2500!$AZ$2:$BB$56,3,)))</f>
        <v>0</v>
      </c>
      <c r="AU2145" s="10" t="b">
        <f>IF(I2145="TP",VLOOKUP(AF2145,TPCalibEqFull!$AZ$2:$BB$56,3),IF(I2145="TDP",VLOOKUP(AF2145,TPCalibEqFull!$AZ$2:$BB$56,3),IF(I2145="TDN",VLOOKUP(AF2145,TNCalibEqFull!$AZ$1:$BB$56,3),IF(I2145="TN",VLOOKUP(AF2145,TNCalibEqFull!$AZ$1:$BB$56,3),FALSE))))</f>
        <v>0</v>
      </c>
      <c r="AV2145" s="10" t="str">
        <f t="shared" si="247"/>
        <v>0208 09:42:00-EFL-10-FIL-1-SW-UKN</v>
      </c>
    </row>
    <row r="2146" spans="1:48" s="10" customFormat="1" x14ac:dyDescent="0.55000000000000004">
      <c r="A2146" s="32">
        <v>44965</v>
      </c>
      <c r="B2146" s="33">
        <v>0.4069444444444445</v>
      </c>
      <c r="C2146" s="10" t="s">
        <v>287</v>
      </c>
      <c r="D2146" s="10">
        <v>20</v>
      </c>
      <c r="E2146" s="10" t="s">
        <v>911</v>
      </c>
      <c r="F2146" s="10">
        <v>1</v>
      </c>
      <c r="G2146" s="10" t="s">
        <v>231</v>
      </c>
      <c r="H2146" s="10" t="s">
        <v>322</v>
      </c>
      <c r="I2146" s="10" t="s">
        <v>183</v>
      </c>
      <c r="J2146" s="10">
        <v>106</v>
      </c>
      <c r="K2146" s="12">
        <v>44966</v>
      </c>
      <c r="L2146" s="33">
        <v>0.58886574074074072</v>
      </c>
      <c r="M2146" s="10">
        <v>1</v>
      </c>
      <c r="N2146" s="10" t="s">
        <v>76</v>
      </c>
      <c r="O2146" s="10">
        <v>1.1599999999999999</v>
      </c>
      <c r="P2146" s="10">
        <v>9.3200000000000005E-2</v>
      </c>
      <c r="Q2146" s="10">
        <v>66.7</v>
      </c>
      <c r="R2146" s="10" t="s">
        <v>77</v>
      </c>
      <c r="S2146" s="34">
        <f t="shared" si="242"/>
        <v>66.7</v>
      </c>
      <c r="T2146" s="10" t="s">
        <v>1155</v>
      </c>
      <c r="U2146" s="34" t="str">
        <f t="shared" si="245"/>
        <v/>
      </c>
      <c r="V2146" s="31" t="str">
        <f>IF(H2146="CHK",VLOOKUP(I2146,QCCHK,3,),IF(H2146="GUP",VLOOKUP(E2146,QCGUP,2,),IF(AND(H2146="ATP",OR(I2146="TN",I2146="TDN",I2146="TNO2-3",I2146="NO2-3")),VLOOKUP(E2146,QCREC_N,2,),IF(AND(H2146="NIC",OR(I2146="TN",I2146="TDN",I2146="TNO2-3",I2146="NO2-3")),VLOOKUP(E2146,QCNIC_N,2,),IF(AND(H2146="UREA",OR(I2146="TN",I2146="TDN",I2146="TNO2-3",I2146="NO2-3")),VLOOKUP(E2146,QCUREA_N,2,),IF(H2146="PER",VLOOKUP(I2146,QCPER,MATCH(E2146,QCACTUAL!$J$25:$AA$25,0),),IF(H2146="SPK",VLOOKUP(I2146,QCSPK,3,),IF(AND(H2146="ATP",OR(I2146="TP",I2146="TDP")),VLOOKUP(E2146,QCATP_P,2,),""))))))))</f>
        <v/>
      </c>
      <c r="W2146" s="31" t="str">
        <f t="shared" si="246"/>
        <v>TRUE</v>
      </c>
      <c r="X2146" s="31" t="str">
        <f t="shared" si="241"/>
        <v/>
      </c>
      <c r="Y2146" s="10" t="s">
        <v>1144</v>
      </c>
      <c r="AL2146" s="10" t="str">
        <f t="shared" si="243"/>
        <v>FALSE</v>
      </c>
      <c r="AM2146" s="10" t="str">
        <f t="shared" si="243"/>
        <v>FALSE</v>
      </c>
      <c r="AN2146" s="10" t="str">
        <f t="shared" si="243"/>
        <v>FALSE</v>
      </c>
      <c r="AO2146" s="10" t="str">
        <f t="shared" si="244"/>
        <v>FALSE</v>
      </c>
      <c r="AP2146" s="10" t="str">
        <f t="shared" si="244"/>
        <v>FALSE</v>
      </c>
      <c r="AQ2146" s="10" t="b">
        <f>IF(AND(I2146="TP",S2146&lt;=150),VLOOKUP(AF2146,TPCalibEq150!$AZ$2:$BB$55,3,),IF(AND(I2146="TDP",S2146&lt;=150),VLOOKUP(AF2146,TPCalibEq150!$AZ$2:$BB$55,3,)))</f>
        <v>0</v>
      </c>
      <c r="AR2146" s="10" t="b">
        <f>IF(AND(I2146="TP",S2146&lt;=300),VLOOKUP(AF2146,TPCalibEq300!$AZ$2:$BB$55,3,),IF(AND(I2146="TDP",S2146&lt;=300),VLOOKUP(AF2146,TPCalibEq300!$AZ$2:$BB$55,3,)))</f>
        <v>0</v>
      </c>
      <c r="AS2146" s="10" t="b">
        <f>IF(AND(I2146="TP",S2146&lt;=500),VLOOKUP(AF2146,TPCalibEq500!$AZ$2:$BB$56,3,),IF(AND(I2146="TDP",S2146&lt;=500),VLOOKUP(AF2146,TPCalibEq500!$AZ$2:$BB$56,3,)))</f>
        <v>0</v>
      </c>
      <c r="AT2146" s="10" t="b">
        <f>IF(AND(I2146="TN",S2146&lt;=2800),VLOOKUP(AF2146,TNCalibEq2500!$AZ$2:$BB$56,3,),IF(AND(I2146="TDN",S2146&lt;=2800),VLOOKUP(AF2146,TNCalibEq2500!$AZ$2:$BB$56,3,)))</f>
        <v>0</v>
      </c>
      <c r="AU2146" s="10" t="b">
        <f>IF(I2146="TP",VLOOKUP(AF2146,TPCalibEqFull!$AZ$2:$BB$56,3),IF(I2146="TDP",VLOOKUP(AF2146,TPCalibEqFull!$AZ$2:$BB$56,3),IF(I2146="TDN",VLOOKUP(AF2146,TNCalibEqFull!$AZ$1:$BB$56,3),IF(I2146="TN",VLOOKUP(AF2146,TNCalibEqFull!$AZ$1:$BB$56,3),FALSE))))</f>
        <v>0</v>
      </c>
      <c r="AV2146" s="10" t="str">
        <f t="shared" si="247"/>
        <v>0208 09:46:00-EFL-20-FIL-1-SW-UKN</v>
      </c>
    </row>
    <row r="2147" spans="1:48" s="10" customFormat="1" x14ac:dyDescent="0.55000000000000004">
      <c r="A2147" s="32">
        <v>44965</v>
      </c>
      <c r="B2147" s="33">
        <v>0.4069444444444445</v>
      </c>
      <c r="C2147" s="10" t="s">
        <v>287</v>
      </c>
      <c r="D2147" s="10">
        <v>20</v>
      </c>
      <c r="E2147" s="10" t="s">
        <v>911</v>
      </c>
      <c r="F2147" s="10">
        <v>2</v>
      </c>
      <c r="G2147" s="10" t="s">
        <v>231</v>
      </c>
      <c r="H2147" s="10" t="s">
        <v>322</v>
      </c>
      <c r="I2147" s="10" t="s">
        <v>183</v>
      </c>
      <c r="J2147" s="10">
        <v>107</v>
      </c>
      <c r="K2147" s="12">
        <v>44966</v>
      </c>
      <c r="L2147" s="33">
        <v>0.58968750000000003</v>
      </c>
      <c r="M2147" s="10">
        <v>1</v>
      </c>
      <c r="N2147" s="10" t="s">
        <v>76</v>
      </c>
      <c r="O2147" s="10">
        <v>1.1299999999999999</v>
      </c>
      <c r="P2147" s="10">
        <v>8.9700000000000002E-2</v>
      </c>
      <c r="Q2147" s="10">
        <v>64.900000000000006</v>
      </c>
      <c r="R2147" s="10" t="s">
        <v>77</v>
      </c>
      <c r="S2147" s="34">
        <f t="shared" si="242"/>
        <v>64.900000000000006</v>
      </c>
      <c r="T2147" s="10" t="s">
        <v>1155</v>
      </c>
      <c r="U2147" s="34" t="str">
        <f t="shared" si="245"/>
        <v/>
      </c>
      <c r="V2147" s="31" t="str">
        <f>IF(H2147="CHK",VLOOKUP(I2147,QCCHK,3,),IF(H2147="GUP",VLOOKUP(E2147,QCGUP,2,),IF(AND(H2147="ATP",OR(I2147="TN",I2147="TDN",I2147="TNO2-3",I2147="NO2-3")),VLOOKUP(E2147,QCREC_N,2,),IF(AND(H2147="NIC",OR(I2147="TN",I2147="TDN",I2147="TNO2-3",I2147="NO2-3")),VLOOKUP(E2147,QCNIC_N,2,),IF(AND(H2147="UREA",OR(I2147="TN",I2147="TDN",I2147="TNO2-3",I2147="NO2-3")),VLOOKUP(E2147,QCUREA_N,2,),IF(H2147="PER",VLOOKUP(I2147,QCPER,MATCH(E2147,QCACTUAL!$J$25:$AA$25,0),),IF(H2147="SPK",VLOOKUP(I2147,QCSPK,3,),IF(AND(H2147="ATP",OR(I2147="TP",I2147="TDP")),VLOOKUP(E2147,QCATP_P,2,),""))))))))</f>
        <v/>
      </c>
      <c r="W2147" s="31" t="str">
        <f t="shared" si="246"/>
        <v>TRUE</v>
      </c>
      <c r="X2147" s="31" t="str">
        <f t="shared" si="241"/>
        <v/>
      </c>
      <c r="Y2147" s="10" t="s">
        <v>1144</v>
      </c>
      <c r="AL2147" s="10" t="str">
        <f t="shared" si="243"/>
        <v>FALSE</v>
      </c>
      <c r="AM2147" s="10" t="str">
        <f t="shared" si="243"/>
        <v>FALSE</v>
      </c>
      <c r="AN2147" s="10" t="str">
        <f t="shared" si="243"/>
        <v>FALSE</v>
      </c>
      <c r="AO2147" s="10" t="str">
        <f t="shared" si="244"/>
        <v>FALSE</v>
      </c>
      <c r="AP2147" s="10" t="str">
        <f t="shared" si="244"/>
        <v>FALSE</v>
      </c>
      <c r="AQ2147" s="10" t="b">
        <f>IF(AND(I2147="TP",S2147&lt;=150),VLOOKUP(AF2147,TPCalibEq150!$AZ$2:$BB$55,3,),IF(AND(I2147="TDP",S2147&lt;=150),VLOOKUP(AF2147,TPCalibEq150!$AZ$2:$BB$55,3,)))</f>
        <v>0</v>
      </c>
      <c r="AR2147" s="10" t="b">
        <f>IF(AND(I2147="TP",S2147&lt;=300),VLOOKUP(AF2147,TPCalibEq300!$AZ$2:$BB$55,3,),IF(AND(I2147="TDP",S2147&lt;=300),VLOOKUP(AF2147,TPCalibEq300!$AZ$2:$BB$55,3,)))</f>
        <v>0</v>
      </c>
      <c r="AS2147" s="10" t="b">
        <f>IF(AND(I2147="TP",S2147&lt;=500),VLOOKUP(AF2147,TPCalibEq500!$AZ$2:$BB$56,3,),IF(AND(I2147="TDP",S2147&lt;=500),VLOOKUP(AF2147,TPCalibEq500!$AZ$2:$BB$56,3,)))</f>
        <v>0</v>
      </c>
      <c r="AT2147" s="10" t="b">
        <f>IF(AND(I2147="TN",S2147&lt;=2800),VLOOKUP(AF2147,TNCalibEq2500!$AZ$2:$BB$56,3,),IF(AND(I2147="TDN",S2147&lt;=2800),VLOOKUP(AF2147,TNCalibEq2500!$AZ$2:$BB$56,3,)))</f>
        <v>0</v>
      </c>
      <c r="AU2147" s="10" t="b">
        <f>IF(I2147="TP",VLOOKUP(AF2147,TPCalibEqFull!$AZ$2:$BB$56,3),IF(I2147="TDP",VLOOKUP(AF2147,TPCalibEqFull!$AZ$2:$BB$56,3),IF(I2147="TDN",VLOOKUP(AF2147,TNCalibEqFull!$AZ$1:$BB$56,3),IF(I2147="TN",VLOOKUP(AF2147,TNCalibEqFull!$AZ$1:$BB$56,3),FALSE))))</f>
        <v>0</v>
      </c>
      <c r="AV2147" s="10" t="str">
        <f t="shared" si="247"/>
        <v>0208 09:46:00-EFL-20-FIL-2-SW-UKN</v>
      </c>
    </row>
    <row r="2148" spans="1:48" s="10" customFormat="1" x14ac:dyDescent="0.55000000000000004">
      <c r="A2148" s="32">
        <v>44965</v>
      </c>
      <c r="B2148" s="33">
        <v>0.41111111111111115</v>
      </c>
      <c r="C2148" s="10" t="s">
        <v>287</v>
      </c>
      <c r="D2148" s="10">
        <v>48</v>
      </c>
      <c r="E2148" s="10" t="s">
        <v>911</v>
      </c>
      <c r="F2148" s="10">
        <v>1</v>
      </c>
      <c r="G2148" s="10" t="s">
        <v>231</v>
      </c>
      <c r="H2148" s="10" t="s">
        <v>322</v>
      </c>
      <c r="I2148" s="10" t="s">
        <v>183</v>
      </c>
      <c r="J2148" s="10">
        <v>108</v>
      </c>
      <c r="K2148" s="12">
        <v>44966</v>
      </c>
      <c r="L2148" s="33">
        <v>0.59052083333333327</v>
      </c>
      <c r="M2148" s="10">
        <v>1</v>
      </c>
      <c r="N2148" s="10" t="s">
        <v>76</v>
      </c>
      <c r="O2148" s="10">
        <v>1.5</v>
      </c>
      <c r="P2148" s="10">
        <v>0.13500000000000001</v>
      </c>
      <c r="Q2148" s="10">
        <v>86.5</v>
      </c>
      <c r="R2148" s="10" t="s">
        <v>77</v>
      </c>
      <c r="S2148" s="34">
        <f t="shared" si="242"/>
        <v>86.5</v>
      </c>
      <c r="T2148" s="10" t="s">
        <v>1155</v>
      </c>
      <c r="U2148" s="34" t="str">
        <f t="shared" si="245"/>
        <v/>
      </c>
      <c r="V2148" s="31" t="str">
        <f>IF(H2148="CHK",VLOOKUP(I2148,QCCHK,3,),IF(H2148="GUP",VLOOKUP(E2148,QCGUP,2,),IF(AND(H2148="ATP",OR(I2148="TN",I2148="TDN",I2148="TNO2-3",I2148="NO2-3")),VLOOKUP(E2148,QCREC_N,2,),IF(AND(H2148="NIC",OR(I2148="TN",I2148="TDN",I2148="TNO2-3",I2148="NO2-3")),VLOOKUP(E2148,QCNIC_N,2,),IF(AND(H2148="UREA",OR(I2148="TN",I2148="TDN",I2148="TNO2-3",I2148="NO2-3")),VLOOKUP(E2148,QCUREA_N,2,),IF(H2148="PER",VLOOKUP(I2148,QCPER,MATCH(E2148,QCACTUAL!$J$25:$AA$25,0),),IF(H2148="SPK",VLOOKUP(I2148,QCSPK,3,),IF(AND(H2148="ATP",OR(I2148="TP",I2148="TDP")),VLOOKUP(E2148,QCATP_P,2,),""))))))))</f>
        <v/>
      </c>
      <c r="W2148" s="31" t="str">
        <f t="shared" si="246"/>
        <v>TRUE</v>
      </c>
      <c r="X2148" s="31" t="str">
        <f t="shared" si="241"/>
        <v/>
      </c>
      <c r="Y2148" s="10" t="s">
        <v>1144</v>
      </c>
      <c r="AL2148" s="10" t="str">
        <f t="shared" si="243"/>
        <v>FALSE</v>
      </c>
      <c r="AM2148" s="10" t="str">
        <f t="shared" si="243"/>
        <v>FALSE</v>
      </c>
      <c r="AN2148" s="10" t="str">
        <f t="shared" si="243"/>
        <v>FALSE</v>
      </c>
      <c r="AO2148" s="10" t="str">
        <f t="shared" si="244"/>
        <v>FALSE</v>
      </c>
      <c r="AP2148" s="10" t="str">
        <f t="shared" si="244"/>
        <v>FALSE</v>
      </c>
      <c r="AQ2148" s="10" t="b">
        <f>IF(AND(I2148="TP",S2148&lt;=150),VLOOKUP(AF2148,TPCalibEq150!$AZ$2:$BB$55,3,),IF(AND(I2148="TDP",S2148&lt;=150),VLOOKUP(AF2148,TPCalibEq150!$AZ$2:$BB$55,3,)))</f>
        <v>0</v>
      </c>
      <c r="AR2148" s="10" t="b">
        <f>IF(AND(I2148="TP",S2148&lt;=300),VLOOKUP(AF2148,TPCalibEq300!$AZ$2:$BB$55,3,),IF(AND(I2148="TDP",S2148&lt;=300),VLOOKUP(AF2148,TPCalibEq300!$AZ$2:$BB$55,3,)))</f>
        <v>0</v>
      </c>
      <c r="AS2148" s="10" t="b">
        <f>IF(AND(I2148="TP",S2148&lt;=500),VLOOKUP(AF2148,TPCalibEq500!$AZ$2:$BB$56,3,),IF(AND(I2148="TDP",S2148&lt;=500),VLOOKUP(AF2148,TPCalibEq500!$AZ$2:$BB$56,3,)))</f>
        <v>0</v>
      </c>
      <c r="AT2148" s="10" t="b">
        <f>IF(AND(I2148="TN",S2148&lt;=2800),VLOOKUP(AF2148,TNCalibEq2500!$AZ$2:$BB$56,3,),IF(AND(I2148="TDN",S2148&lt;=2800),VLOOKUP(AF2148,TNCalibEq2500!$AZ$2:$BB$56,3,)))</f>
        <v>0</v>
      </c>
      <c r="AU2148" s="10" t="b">
        <f>IF(I2148="TP",VLOOKUP(AF2148,TPCalibEqFull!$AZ$2:$BB$56,3),IF(I2148="TDP",VLOOKUP(AF2148,TPCalibEqFull!$AZ$2:$BB$56,3),IF(I2148="TDN",VLOOKUP(AF2148,TNCalibEqFull!$AZ$1:$BB$56,3),IF(I2148="TN",VLOOKUP(AF2148,TNCalibEqFull!$AZ$1:$BB$56,3),FALSE))))</f>
        <v>0</v>
      </c>
      <c r="AV2148" s="10" t="str">
        <f t="shared" si="247"/>
        <v>0208 09:52:00-EFL-48-FIL-1-SW-UKN</v>
      </c>
    </row>
    <row r="2149" spans="1:48" s="10" customFormat="1" x14ac:dyDescent="0.55000000000000004">
      <c r="A2149" s="32">
        <v>44965</v>
      </c>
      <c r="B2149" s="33">
        <v>0.41111111111111115</v>
      </c>
      <c r="C2149" s="10" t="s">
        <v>287</v>
      </c>
      <c r="D2149" s="10">
        <v>48</v>
      </c>
      <c r="E2149" s="10" t="s">
        <v>911</v>
      </c>
      <c r="F2149" s="10">
        <v>1</v>
      </c>
      <c r="G2149" s="10" t="s">
        <v>231</v>
      </c>
      <c r="H2149" s="10" t="s">
        <v>233</v>
      </c>
      <c r="I2149" s="10" t="s">
        <v>183</v>
      </c>
      <c r="J2149" s="10">
        <v>108</v>
      </c>
      <c r="K2149" s="12">
        <v>44966</v>
      </c>
      <c r="L2149" s="33">
        <v>0.59134259259259259</v>
      </c>
      <c r="M2149" s="10">
        <v>1</v>
      </c>
      <c r="N2149" s="10" t="s">
        <v>76</v>
      </c>
      <c r="O2149" s="10">
        <v>1.49</v>
      </c>
      <c r="P2149" s="10">
        <v>0.11700000000000001</v>
      </c>
      <c r="Q2149" s="10">
        <v>85.7</v>
      </c>
      <c r="R2149" s="10" t="s">
        <v>77</v>
      </c>
      <c r="S2149" s="34">
        <f t="shared" si="242"/>
        <v>85.7</v>
      </c>
      <c r="T2149" s="10" t="s">
        <v>1155</v>
      </c>
      <c r="U2149" s="34">
        <f t="shared" si="245"/>
        <v>0.92915214866434048</v>
      </c>
      <c r="V2149" s="31" t="str">
        <f>IF(H2149="CHK",VLOOKUP(I2149,QCCHK,3,),IF(H2149="GUP",VLOOKUP(E2149,QCGUP,2,),IF(AND(H2149="ATP",OR(I2149="TN",I2149="TDN",I2149="TNO2-3",I2149="NO2-3")),VLOOKUP(E2149,QCREC_N,2,),IF(AND(H2149="NIC",OR(I2149="TN",I2149="TDN",I2149="TNO2-3",I2149="NO2-3")),VLOOKUP(E2149,QCNIC_N,2,),IF(AND(H2149="UREA",OR(I2149="TN",I2149="TDN",I2149="TNO2-3",I2149="NO2-3")),VLOOKUP(E2149,QCUREA_N,2,),IF(H2149="PER",VLOOKUP(I2149,QCPER,MATCH(E2149,QCACTUAL!$J$25:$AA$25,0),),IF(H2149="SPK",VLOOKUP(I2149,QCSPK,3,),IF(AND(H2149="ATP",OR(I2149="TP",I2149="TDP")),VLOOKUP(E2149,QCATP_P,2,),""))))))))</f>
        <v/>
      </c>
      <c r="W2149" s="31" t="str">
        <f t="shared" si="246"/>
        <v>TRUE</v>
      </c>
      <c r="X2149" s="31" t="str">
        <f t="shared" si="241"/>
        <v>((ABS(rep1-rep2))/((rep1+rep2)/2)*100</v>
      </c>
      <c r="Y2149" s="10" t="s">
        <v>1144</v>
      </c>
      <c r="AL2149" s="10" t="str">
        <f t="shared" si="243"/>
        <v>FALSE</v>
      </c>
      <c r="AM2149" s="10" t="str">
        <f t="shared" si="243"/>
        <v>FALSE</v>
      </c>
      <c r="AN2149" s="10" t="str">
        <f t="shared" si="243"/>
        <v>FALSE</v>
      </c>
      <c r="AO2149" s="10" t="str">
        <f t="shared" si="244"/>
        <v>FALSE</v>
      </c>
      <c r="AP2149" s="10" t="str">
        <f t="shared" si="244"/>
        <v>FALSE</v>
      </c>
      <c r="AQ2149" s="10" t="b">
        <f>IF(AND(I2149="TP",S2149&lt;=150),VLOOKUP(AF2149,TPCalibEq150!$AZ$2:$BB$55,3,),IF(AND(I2149="TDP",S2149&lt;=150),VLOOKUP(AF2149,TPCalibEq150!$AZ$2:$BB$55,3,)))</f>
        <v>0</v>
      </c>
      <c r="AR2149" s="10" t="b">
        <f>IF(AND(I2149="TP",S2149&lt;=300),VLOOKUP(AF2149,TPCalibEq300!$AZ$2:$BB$55,3,),IF(AND(I2149="TDP",S2149&lt;=300),VLOOKUP(AF2149,TPCalibEq300!$AZ$2:$BB$55,3,)))</f>
        <v>0</v>
      </c>
      <c r="AS2149" s="10" t="b">
        <f>IF(AND(I2149="TP",S2149&lt;=500),VLOOKUP(AF2149,TPCalibEq500!$AZ$2:$BB$56,3,),IF(AND(I2149="TDP",S2149&lt;=500),VLOOKUP(AF2149,TPCalibEq500!$AZ$2:$BB$56,3,)))</f>
        <v>0</v>
      </c>
      <c r="AT2149" s="10" t="b">
        <f>IF(AND(I2149="TN",S2149&lt;=2800),VLOOKUP(AF2149,TNCalibEq2500!$AZ$2:$BB$56,3,),IF(AND(I2149="TDN",S2149&lt;=2800),VLOOKUP(AF2149,TNCalibEq2500!$AZ$2:$BB$56,3,)))</f>
        <v>0</v>
      </c>
      <c r="AU2149" s="10" t="b">
        <f>IF(I2149="TP",VLOOKUP(AF2149,TPCalibEqFull!$AZ$2:$BB$56,3),IF(I2149="TDP",VLOOKUP(AF2149,TPCalibEqFull!$AZ$2:$BB$56,3),IF(I2149="TDN",VLOOKUP(AF2149,TNCalibEqFull!$AZ$1:$BB$56,3),IF(I2149="TN",VLOOKUP(AF2149,TNCalibEqFull!$AZ$1:$BB$56,3),FALSE))))</f>
        <v>0</v>
      </c>
      <c r="AV2149" s="10" t="str">
        <f t="shared" si="247"/>
        <v>0208 09:52:00-EFL-48-FIL-1-SW-DUP</v>
      </c>
    </row>
    <row r="2150" spans="1:48" s="10" customFormat="1" x14ac:dyDescent="0.55000000000000004">
      <c r="A2150" s="32">
        <v>44965</v>
      </c>
      <c r="B2150" s="33">
        <v>0.41111111111111115</v>
      </c>
      <c r="C2150" s="10" t="s">
        <v>287</v>
      </c>
      <c r="D2150" s="10">
        <v>48</v>
      </c>
      <c r="E2150" s="10" t="s">
        <v>911</v>
      </c>
      <c r="F2150" s="10">
        <v>1</v>
      </c>
      <c r="G2150" s="10" t="s">
        <v>231</v>
      </c>
      <c r="H2150" s="10" t="s">
        <v>314</v>
      </c>
      <c r="I2150" s="10" t="s">
        <v>183</v>
      </c>
      <c r="J2150" s="10">
        <v>131</v>
      </c>
      <c r="K2150" s="12">
        <v>44966</v>
      </c>
      <c r="L2150" s="33">
        <v>0.5921643518518519</v>
      </c>
      <c r="M2150" s="10">
        <v>1</v>
      </c>
      <c r="N2150" s="10" t="s">
        <v>76</v>
      </c>
      <c r="O2150" s="10">
        <v>13.3</v>
      </c>
      <c r="P2150" s="10">
        <v>1.06</v>
      </c>
      <c r="Q2150" s="10">
        <v>763</v>
      </c>
      <c r="R2150" s="10" t="s">
        <v>77</v>
      </c>
      <c r="S2150" s="34">
        <f t="shared" si="242"/>
        <v>763</v>
      </c>
      <c r="T2150" s="10" t="s">
        <v>1155</v>
      </c>
      <c r="U2150" s="34">
        <f t="shared" si="245"/>
        <v>108.36799999999999</v>
      </c>
      <c r="V2150" s="31">
        <f>IF(H2150="CHK",VLOOKUP(I2150,QCCHK,3,),IF(H2150="GUP",VLOOKUP(E2150,QCGUP,2,),IF(AND(H2150="ATP",OR(I2150="TN",I2150="TDN",I2150="TNO2-3",I2150="NO2-3")),VLOOKUP(E2150,QCREC_N,2,),IF(AND(H2150="NIC",OR(I2150="TN",I2150="TDN",I2150="TNO2-3",I2150="NO2-3")),VLOOKUP(E2150,QCNIC_N,2,),IF(AND(H2150="UREA",OR(I2150="TN",I2150="TDN",I2150="TNO2-3",I2150="NO2-3")),VLOOKUP(E2150,QCUREA_N,2,),IF(H2150="PER",VLOOKUP(I2150,QCPER,MATCH(E2150,QCACTUAL!$J$25:$AA$25,0),),IF(H2150="SPK",VLOOKUP(I2150,QCSPK,3,),IF(AND(H2150="ATP",OR(I2150="TP",I2150="TDP")),VLOOKUP(E2150,QCATP_P,2,),""))))))))</f>
        <v>625</v>
      </c>
      <c r="W2150" s="31" t="str">
        <f t="shared" si="246"/>
        <v>TRUE</v>
      </c>
      <c r="X2150" s="31" t="str">
        <f t="shared" si="241"/>
        <v>([spikedunkn]-[unkn])/[spike]*100</v>
      </c>
      <c r="Y2150" s="10" t="s">
        <v>1144</v>
      </c>
      <c r="AL2150" s="10" t="str">
        <f t="shared" si="243"/>
        <v>FALSE</v>
      </c>
      <c r="AM2150" s="10" t="str">
        <f t="shared" si="243"/>
        <v>FALSE</v>
      </c>
      <c r="AN2150" s="10" t="str">
        <f t="shared" si="243"/>
        <v>FALSE</v>
      </c>
      <c r="AO2150" s="10" t="str">
        <f t="shared" si="244"/>
        <v>FALSE</v>
      </c>
      <c r="AP2150" s="10" t="str">
        <f t="shared" si="244"/>
        <v>FALSE</v>
      </c>
      <c r="AQ2150" s="10" t="b">
        <f>IF(AND(I2150="TP",S2150&lt;=150),VLOOKUP(AF2150,TPCalibEq150!$AZ$2:$BB$55,3,),IF(AND(I2150="TDP",S2150&lt;=150),VLOOKUP(AF2150,TPCalibEq150!$AZ$2:$BB$55,3,)))</f>
        <v>0</v>
      </c>
      <c r="AR2150" s="10" t="b">
        <f>IF(AND(I2150="TP",S2150&lt;=300),VLOOKUP(AF2150,TPCalibEq300!$AZ$2:$BB$55,3,),IF(AND(I2150="TDP",S2150&lt;=300),VLOOKUP(AF2150,TPCalibEq300!$AZ$2:$BB$55,3,)))</f>
        <v>0</v>
      </c>
      <c r="AS2150" s="10" t="b">
        <f>IF(AND(I2150="TP",S2150&lt;=500),VLOOKUP(AF2150,TPCalibEq500!$AZ$2:$BB$56,3,),IF(AND(I2150="TDP",S2150&lt;=500),VLOOKUP(AF2150,TPCalibEq500!$AZ$2:$BB$56,3,)))</f>
        <v>0</v>
      </c>
      <c r="AT2150" s="10" t="b">
        <f>IF(AND(I2150="TN",S2150&lt;=2800),VLOOKUP(AF2150,TNCalibEq2500!$AZ$2:$BB$56,3,),IF(AND(I2150="TDN",S2150&lt;=2800),VLOOKUP(AF2150,TNCalibEq2500!$AZ$2:$BB$56,3,)))</f>
        <v>0</v>
      </c>
      <c r="AU2150" s="10" t="b">
        <f>IF(I2150="TP",VLOOKUP(AF2150,TPCalibEqFull!$AZ$2:$BB$56,3),IF(I2150="TDP",VLOOKUP(AF2150,TPCalibEqFull!$AZ$2:$BB$56,3),IF(I2150="TDN",VLOOKUP(AF2150,TNCalibEqFull!$AZ$1:$BB$56,3),IF(I2150="TN",VLOOKUP(AF2150,TNCalibEqFull!$AZ$1:$BB$56,3),FALSE))))</f>
        <v>0</v>
      </c>
      <c r="AV2150" s="10" t="str">
        <f t="shared" si="247"/>
        <v>0208 09:52:00-EFL-48-FIL-1-SW-SPK</v>
      </c>
    </row>
    <row r="2151" spans="1:48" s="10" customFormat="1" x14ac:dyDescent="0.55000000000000004">
      <c r="A2151" s="32">
        <v>44966</v>
      </c>
      <c r="B2151" s="33">
        <v>0.375</v>
      </c>
      <c r="C2151" s="10" t="s">
        <v>70</v>
      </c>
      <c r="D2151" s="10" t="s">
        <v>71</v>
      </c>
      <c r="E2151" s="10" t="s">
        <v>901</v>
      </c>
      <c r="F2151" s="10">
        <v>1</v>
      </c>
      <c r="G2151" s="10" t="s">
        <v>73</v>
      </c>
      <c r="H2151" s="10" t="s">
        <v>207</v>
      </c>
      <c r="I2151" s="10" t="s">
        <v>75</v>
      </c>
      <c r="J2151" s="10">
        <v>199</v>
      </c>
      <c r="K2151" s="12">
        <v>44966</v>
      </c>
      <c r="L2151" s="33">
        <v>0.5929861111111111</v>
      </c>
      <c r="M2151" s="10">
        <v>1</v>
      </c>
      <c r="N2151" s="10" t="s">
        <v>76</v>
      </c>
      <c r="O2151" s="10">
        <v>5.08</v>
      </c>
      <c r="P2151" s="10">
        <v>0.40300000000000002</v>
      </c>
      <c r="Q2151" s="10">
        <v>292</v>
      </c>
      <c r="R2151" s="10" t="s">
        <v>77</v>
      </c>
      <c r="S2151" s="34">
        <f t="shared" si="242"/>
        <v>292</v>
      </c>
      <c r="T2151" s="10" t="s">
        <v>1155</v>
      </c>
      <c r="U2151" s="34">
        <f t="shared" si="245"/>
        <v>97.333333333333343</v>
      </c>
      <c r="V2151" s="31">
        <f>IF(H2151="CHK",VLOOKUP(I2151,QCCHK,3,),IF(H2151="GUP",VLOOKUP(E2151,QCGUP,2,),IF(AND(H2151="ATP",OR(I2151="TN",I2151="TDN",I2151="TNO2-3",I2151="NO2-3")),VLOOKUP(E2151,QCREC_N,2,),IF(AND(H2151="NIC",OR(I2151="TN",I2151="TDN",I2151="TNO2-3",I2151="NO2-3")),VLOOKUP(E2151,QCNIC_N,2,),IF(AND(H2151="UREA",OR(I2151="TN",I2151="TDN",I2151="TNO2-3",I2151="NO2-3")),VLOOKUP(E2151,QCUREA_N,2,),IF(H2151="PER",VLOOKUP(I2151,QCPER,MATCH(E2151,QCACTUAL!$J$25:$AA$25,0),),IF(H2151="SPK",VLOOKUP(I2151,QCSPK,3,),IF(AND(H2151="ATP",OR(I2151="TP",I2151="TDP")),VLOOKUP(E2151,QCATP_P,2,),""))))))))</f>
        <v>300</v>
      </c>
      <c r="W2151" s="31" t="str">
        <f t="shared" si="246"/>
        <v>TRUE</v>
      </c>
      <c r="X2151" s="31" t="str">
        <f t="shared" si="241"/>
        <v>[chk]/[actual]*100</v>
      </c>
      <c r="Y2151" s="10" t="s">
        <v>1144</v>
      </c>
      <c r="AL2151" s="10" t="str">
        <f t="shared" si="243"/>
        <v>FALSE</v>
      </c>
      <c r="AM2151" s="10" t="str">
        <f t="shared" si="243"/>
        <v>FALSE</v>
      </c>
      <c r="AN2151" s="10" t="str">
        <f t="shared" si="243"/>
        <v>FALSE</v>
      </c>
      <c r="AO2151" s="10" t="str">
        <f t="shared" si="244"/>
        <v>FALSE</v>
      </c>
      <c r="AP2151" s="10" t="str">
        <f t="shared" si="244"/>
        <v>FALSE</v>
      </c>
      <c r="AQ2151" s="10" t="b">
        <f>IF(AND(I2151="TP",S2151&lt;=150),VLOOKUP(AF2151,TPCalibEq150!$AZ$2:$BB$55,3,),IF(AND(I2151="TDP",S2151&lt;=150),VLOOKUP(AF2151,TPCalibEq150!$AZ$2:$BB$55,3,)))</f>
        <v>0</v>
      </c>
      <c r="AR2151" s="10" t="b">
        <f>IF(AND(I2151="TP",S2151&lt;=300),VLOOKUP(AF2151,TPCalibEq300!$AZ$2:$BB$55,3,),IF(AND(I2151="TDP",S2151&lt;=300),VLOOKUP(AF2151,TPCalibEq300!$AZ$2:$BB$55,3,)))</f>
        <v>0</v>
      </c>
      <c r="AS2151" s="10" t="b">
        <f>IF(AND(I2151="TP",S2151&lt;=500),VLOOKUP(AF2151,TPCalibEq500!$AZ$2:$BB$56,3,),IF(AND(I2151="TDP",S2151&lt;=500),VLOOKUP(AF2151,TPCalibEq500!$AZ$2:$BB$56,3,)))</f>
        <v>0</v>
      </c>
      <c r="AT2151" s="10" t="b">
        <f>IF(AND(I2151="TN",S2151&lt;=2800),VLOOKUP(AF2151,TNCalibEq2500!$AZ$2:$BB$56,3,),IF(AND(I2151="TDN",S2151&lt;=2800),VLOOKUP(AF2151,TNCalibEq2500!$AZ$2:$BB$56,3,)))</f>
        <v>0</v>
      </c>
      <c r="AU2151" s="10" t="b">
        <f>IF(I2151="TP",VLOOKUP(AF2151,TPCalibEqFull!$AZ$2:$BB$56,3),IF(I2151="TDP",VLOOKUP(AF2151,TPCalibEqFull!$AZ$2:$BB$56,3),IF(I2151="TDN",VLOOKUP(AF2151,TNCalibEqFull!$AZ$1:$BB$56,3),IF(I2151="TN",VLOOKUP(AF2151,TNCalibEqFull!$AZ$1:$BB$56,3),FALSE))))</f>
        <v>0</v>
      </c>
      <c r="AV2151" s="10" t="str">
        <f t="shared" si="247"/>
        <v>0209 09:00:00-QAC-STD-D-1-DI-CHK</v>
      </c>
    </row>
    <row r="2152" spans="1:48" s="10" customFormat="1" x14ac:dyDescent="0.55000000000000004">
      <c r="A2152" s="32">
        <v>44965</v>
      </c>
      <c r="B2152" s="33">
        <v>0.37777777777777777</v>
      </c>
      <c r="C2152" s="10" t="s">
        <v>428</v>
      </c>
      <c r="D2152" s="10">
        <v>0</v>
      </c>
      <c r="E2152" s="10" t="s">
        <v>911</v>
      </c>
      <c r="F2152" s="10">
        <v>1</v>
      </c>
      <c r="G2152" s="10" t="s">
        <v>231</v>
      </c>
      <c r="H2152" s="10" t="s">
        <v>322</v>
      </c>
      <c r="I2152" s="10" t="s">
        <v>183</v>
      </c>
      <c r="J2152" s="10">
        <v>109</v>
      </c>
      <c r="K2152" s="12">
        <v>44966</v>
      </c>
      <c r="L2152" s="33">
        <v>0.59380787037037031</v>
      </c>
      <c r="M2152" s="10">
        <v>1</v>
      </c>
      <c r="N2152" s="10" t="s">
        <v>76</v>
      </c>
      <c r="O2152" s="10">
        <v>1.29</v>
      </c>
      <c r="P2152" s="10">
        <v>0.104</v>
      </c>
      <c r="Q2152" s="10">
        <v>74.3</v>
      </c>
      <c r="R2152" s="10" t="s">
        <v>77</v>
      </c>
      <c r="S2152" s="34">
        <f t="shared" si="242"/>
        <v>74.3</v>
      </c>
      <c r="T2152" s="10" t="s">
        <v>1155</v>
      </c>
      <c r="U2152" s="34" t="str">
        <f t="shared" si="245"/>
        <v/>
      </c>
      <c r="V2152" s="31" t="str">
        <f>IF(H2152="CHK",VLOOKUP(I2152,QCCHK,3,),IF(H2152="GUP",VLOOKUP(E2152,QCGUP,2,),IF(AND(H2152="ATP",OR(I2152="TN",I2152="TDN",I2152="TNO2-3",I2152="NO2-3")),VLOOKUP(E2152,QCREC_N,2,),IF(AND(H2152="NIC",OR(I2152="TN",I2152="TDN",I2152="TNO2-3",I2152="NO2-3")),VLOOKUP(E2152,QCNIC_N,2,),IF(AND(H2152="UREA",OR(I2152="TN",I2152="TDN",I2152="TNO2-3",I2152="NO2-3")),VLOOKUP(E2152,QCUREA_N,2,),IF(H2152="PER",VLOOKUP(I2152,QCPER,MATCH(E2152,QCACTUAL!$J$25:$AA$25,0),),IF(H2152="SPK",VLOOKUP(I2152,QCSPK,3,),IF(AND(H2152="ATP",OR(I2152="TP",I2152="TDP")),VLOOKUP(E2152,QCATP_P,2,),""))))))))</f>
        <v/>
      </c>
      <c r="W2152" s="31" t="str">
        <f t="shared" si="246"/>
        <v>TRUE</v>
      </c>
      <c r="X2152" s="31" t="str">
        <f t="shared" si="241"/>
        <v/>
      </c>
      <c r="Y2152" s="10" t="s">
        <v>1144</v>
      </c>
      <c r="AL2152" s="10" t="str">
        <f t="shared" si="243"/>
        <v>FALSE</v>
      </c>
      <c r="AM2152" s="10" t="str">
        <f t="shared" si="243"/>
        <v>FALSE</v>
      </c>
      <c r="AN2152" s="10" t="str">
        <f t="shared" si="243"/>
        <v>FALSE</v>
      </c>
      <c r="AO2152" s="10" t="str">
        <f t="shared" si="244"/>
        <v>FALSE</v>
      </c>
      <c r="AP2152" s="10" t="str">
        <f t="shared" si="244"/>
        <v>FALSE</v>
      </c>
      <c r="AQ2152" s="10" t="b">
        <f>IF(AND(I2152="TP",S2152&lt;=150),VLOOKUP(AF2152,TPCalibEq150!$AZ$2:$BB$55,3,),IF(AND(I2152="TDP",S2152&lt;=150),VLOOKUP(AF2152,TPCalibEq150!$AZ$2:$BB$55,3,)))</f>
        <v>0</v>
      </c>
      <c r="AR2152" s="10" t="b">
        <f>IF(AND(I2152="TP",S2152&lt;=300),VLOOKUP(AF2152,TPCalibEq300!$AZ$2:$BB$55,3,),IF(AND(I2152="TDP",S2152&lt;=300),VLOOKUP(AF2152,TPCalibEq300!$AZ$2:$BB$55,3,)))</f>
        <v>0</v>
      </c>
      <c r="AS2152" s="10" t="b">
        <f>IF(AND(I2152="TP",S2152&lt;=500),VLOOKUP(AF2152,TPCalibEq500!$AZ$2:$BB$56,3,),IF(AND(I2152="TDP",S2152&lt;=500),VLOOKUP(AF2152,TPCalibEq500!$AZ$2:$BB$56,3,)))</f>
        <v>0</v>
      </c>
      <c r="AT2152" s="10" t="b">
        <f>IF(AND(I2152="TN",S2152&lt;=2800),VLOOKUP(AF2152,TNCalibEq2500!$AZ$2:$BB$56,3,),IF(AND(I2152="TDN",S2152&lt;=2800),VLOOKUP(AF2152,TNCalibEq2500!$AZ$2:$BB$56,3,)))</f>
        <v>0</v>
      </c>
      <c r="AU2152" s="10" t="b">
        <f>IF(I2152="TP",VLOOKUP(AF2152,TPCalibEqFull!$AZ$2:$BB$56,3),IF(I2152="TDP",VLOOKUP(AF2152,TPCalibEqFull!$AZ$2:$BB$56,3),IF(I2152="TDN",VLOOKUP(AF2152,TNCalibEqFull!$AZ$1:$BB$56,3),IF(I2152="TN",VLOOKUP(AF2152,TNCalibEqFull!$AZ$1:$BB$56,3),FALSE))))</f>
        <v>0</v>
      </c>
      <c r="AV2152" s="10" t="str">
        <f t="shared" si="247"/>
        <v>0208 09:04:00-EOF-0-FIL-1-SW-UKN</v>
      </c>
    </row>
    <row r="2153" spans="1:48" s="10" customFormat="1" x14ac:dyDescent="0.55000000000000004">
      <c r="A2153" s="32">
        <v>44965</v>
      </c>
      <c r="B2153" s="33">
        <v>0.37986111111111115</v>
      </c>
      <c r="C2153" s="10" t="s">
        <v>428</v>
      </c>
      <c r="D2153" s="10">
        <v>5</v>
      </c>
      <c r="E2153" s="10" t="s">
        <v>911</v>
      </c>
      <c r="F2153" s="10">
        <v>1</v>
      </c>
      <c r="G2153" s="10" t="s">
        <v>231</v>
      </c>
      <c r="H2153" s="10" t="s">
        <v>322</v>
      </c>
      <c r="I2153" s="10" t="s">
        <v>183</v>
      </c>
      <c r="J2153" s="10">
        <v>110</v>
      </c>
      <c r="K2153" s="12">
        <v>44966</v>
      </c>
      <c r="L2153" s="33">
        <v>0.59461805555555558</v>
      </c>
      <c r="M2153" s="10">
        <v>1</v>
      </c>
      <c r="N2153" s="10" t="s">
        <v>76</v>
      </c>
      <c r="O2153" s="10">
        <v>1.26</v>
      </c>
      <c r="P2153" s="10">
        <v>0.10100000000000001</v>
      </c>
      <c r="Q2153" s="10">
        <v>72.3</v>
      </c>
      <c r="R2153" s="10" t="s">
        <v>77</v>
      </c>
      <c r="S2153" s="34">
        <f t="shared" si="242"/>
        <v>72.3</v>
      </c>
      <c r="T2153" s="10" t="s">
        <v>1155</v>
      </c>
      <c r="U2153" s="34" t="str">
        <f t="shared" si="245"/>
        <v/>
      </c>
      <c r="V2153" s="31" t="str">
        <f>IF(H2153="CHK",VLOOKUP(I2153,QCCHK,3,),IF(H2153="GUP",VLOOKUP(E2153,QCGUP,2,),IF(AND(H2153="ATP",OR(I2153="TN",I2153="TDN",I2153="TNO2-3",I2153="NO2-3")),VLOOKUP(E2153,QCREC_N,2,),IF(AND(H2153="NIC",OR(I2153="TN",I2153="TDN",I2153="TNO2-3",I2153="NO2-3")),VLOOKUP(E2153,QCNIC_N,2,),IF(AND(H2153="UREA",OR(I2153="TN",I2153="TDN",I2153="TNO2-3",I2153="NO2-3")),VLOOKUP(E2153,QCUREA_N,2,),IF(H2153="PER",VLOOKUP(I2153,QCPER,MATCH(E2153,QCACTUAL!$J$25:$AA$25,0),),IF(H2153="SPK",VLOOKUP(I2153,QCSPK,3,),IF(AND(H2153="ATP",OR(I2153="TP",I2153="TDP")),VLOOKUP(E2153,QCATP_P,2,),""))))))))</f>
        <v/>
      </c>
      <c r="W2153" s="31" t="str">
        <f t="shared" si="246"/>
        <v>TRUE</v>
      </c>
      <c r="X2153" s="31" t="str">
        <f t="shared" si="241"/>
        <v/>
      </c>
      <c r="Y2153" s="10" t="s">
        <v>1144</v>
      </c>
      <c r="AL2153" s="10" t="str">
        <f t="shared" si="243"/>
        <v>FALSE</v>
      </c>
      <c r="AM2153" s="10" t="str">
        <f t="shared" si="243"/>
        <v>FALSE</v>
      </c>
      <c r="AN2153" s="10" t="str">
        <f t="shared" si="243"/>
        <v>FALSE</v>
      </c>
      <c r="AO2153" s="10" t="str">
        <f t="shared" si="244"/>
        <v>FALSE</v>
      </c>
      <c r="AP2153" s="10" t="str">
        <f t="shared" si="244"/>
        <v>FALSE</v>
      </c>
      <c r="AQ2153" s="10" t="b">
        <f>IF(AND(I2153="TP",S2153&lt;=150),VLOOKUP(AF2153,TPCalibEq150!$AZ$2:$BB$55,3,),IF(AND(I2153="TDP",S2153&lt;=150),VLOOKUP(AF2153,TPCalibEq150!$AZ$2:$BB$55,3,)))</f>
        <v>0</v>
      </c>
      <c r="AR2153" s="10" t="b">
        <f>IF(AND(I2153="TP",S2153&lt;=300),VLOOKUP(AF2153,TPCalibEq300!$AZ$2:$BB$55,3,),IF(AND(I2153="TDP",S2153&lt;=300),VLOOKUP(AF2153,TPCalibEq300!$AZ$2:$BB$55,3,)))</f>
        <v>0</v>
      </c>
      <c r="AS2153" s="10" t="b">
        <f>IF(AND(I2153="TP",S2153&lt;=500),VLOOKUP(AF2153,TPCalibEq500!$AZ$2:$BB$56,3,),IF(AND(I2153="TDP",S2153&lt;=500),VLOOKUP(AF2153,TPCalibEq500!$AZ$2:$BB$56,3,)))</f>
        <v>0</v>
      </c>
      <c r="AT2153" s="10" t="b">
        <f>IF(AND(I2153="TN",S2153&lt;=2800),VLOOKUP(AF2153,TNCalibEq2500!$AZ$2:$BB$56,3,),IF(AND(I2153="TDN",S2153&lt;=2800),VLOOKUP(AF2153,TNCalibEq2500!$AZ$2:$BB$56,3,)))</f>
        <v>0</v>
      </c>
      <c r="AU2153" s="10" t="b">
        <f>IF(I2153="TP",VLOOKUP(AF2153,TPCalibEqFull!$AZ$2:$BB$56,3),IF(I2153="TDP",VLOOKUP(AF2153,TPCalibEqFull!$AZ$2:$BB$56,3),IF(I2153="TDN",VLOOKUP(AF2153,TNCalibEqFull!$AZ$1:$BB$56,3),IF(I2153="TN",VLOOKUP(AF2153,TNCalibEqFull!$AZ$1:$BB$56,3),FALSE))))</f>
        <v>0</v>
      </c>
      <c r="AV2153" s="10" t="str">
        <f t="shared" si="247"/>
        <v>0208 09:07:00-EOF-5-FIL-1-SW-UKN</v>
      </c>
    </row>
    <row r="2154" spans="1:48" s="10" customFormat="1" x14ac:dyDescent="0.55000000000000004">
      <c r="A2154" s="32">
        <v>44965</v>
      </c>
      <c r="B2154" s="33">
        <v>0.38263888888888892</v>
      </c>
      <c r="C2154" s="10" t="s">
        <v>428</v>
      </c>
      <c r="D2154" s="10">
        <v>10</v>
      </c>
      <c r="E2154" s="10" t="s">
        <v>911</v>
      </c>
      <c r="F2154" s="10">
        <v>1</v>
      </c>
      <c r="G2154" s="10" t="s">
        <v>231</v>
      </c>
      <c r="H2154" s="10" t="s">
        <v>322</v>
      </c>
      <c r="I2154" s="10" t="s">
        <v>183</v>
      </c>
      <c r="J2154" s="10">
        <v>111</v>
      </c>
      <c r="K2154" s="12">
        <v>44966</v>
      </c>
      <c r="L2154" s="33">
        <v>0.59543981481481478</v>
      </c>
      <c r="M2154" s="10">
        <v>1</v>
      </c>
      <c r="N2154" s="10" t="s">
        <v>76</v>
      </c>
      <c r="O2154" s="10">
        <v>1.32</v>
      </c>
      <c r="P2154" s="10">
        <v>0.10299999999999999</v>
      </c>
      <c r="Q2154" s="10">
        <v>75.8</v>
      </c>
      <c r="R2154" s="10" t="s">
        <v>77</v>
      </c>
      <c r="S2154" s="34">
        <f t="shared" si="242"/>
        <v>75.8</v>
      </c>
      <c r="T2154" s="10" t="s">
        <v>1155</v>
      </c>
      <c r="U2154" s="34" t="str">
        <f t="shared" si="245"/>
        <v/>
      </c>
      <c r="V2154" s="31" t="str">
        <f>IF(H2154="CHK",VLOOKUP(I2154,QCCHK,3,),IF(H2154="GUP",VLOOKUP(E2154,QCGUP,2,),IF(AND(H2154="ATP",OR(I2154="TN",I2154="TDN",I2154="TNO2-3",I2154="NO2-3")),VLOOKUP(E2154,QCREC_N,2,),IF(AND(H2154="NIC",OR(I2154="TN",I2154="TDN",I2154="TNO2-3",I2154="NO2-3")),VLOOKUP(E2154,QCNIC_N,2,),IF(AND(H2154="UREA",OR(I2154="TN",I2154="TDN",I2154="TNO2-3",I2154="NO2-3")),VLOOKUP(E2154,QCUREA_N,2,),IF(H2154="PER",VLOOKUP(I2154,QCPER,MATCH(E2154,QCACTUAL!$J$25:$AA$25,0),),IF(H2154="SPK",VLOOKUP(I2154,QCSPK,3,),IF(AND(H2154="ATP",OR(I2154="TP",I2154="TDP")),VLOOKUP(E2154,QCATP_P,2,),""))))))))</f>
        <v/>
      </c>
      <c r="W2154" s="31" t="str">
        <f t="shared" si="246"/>
        <v>TRUE</v>
      </c>
      <c r="X2154" s="31" t="str">
        <f t="shared" si="241"/>
        <v/>
      </c>
      <c r="Y2154" s="10" t="s">
        <v>1144</v>
      </c>
      <c r="AL2154" s="10" t="str">
        <f t="shared" si="243"/>
        <v>FALSE</v>
      </c>
      <c r="AM2154" s="10" t="str">
        <f t="shared" si="243"/>
        <v>FALSE</v>
      </c>
      <c r="AN2154" s="10" t="str">
        <f t="shared" si="243"/>
        <v>FALSE</v>
      </c>
      <c r="AO2154" s="10" t="str">
        <f t="shared" si="244"/>
        <v>FALSE</v>
      </c>
      <c r="AP2154" s="10" t="str">
        <f t="shared" si="244"/>
        <v>FALSE</v>
      </c>
      <c r="AQ2154" s="10" t="b">
        <f>IF(AND(I2154="TP",S2154&lt;=150),VLOOKUP(AF2154,TPCalibEq150!$AZ$2:$BB$55,3,),IF(AND(I2154="TDP",S2154&lt;=150),VLOOKUP(AF2154,TPCalibEq150!$AZ$2:$BB$55,3,)))</f>
        <v>0</v>
      </c>
      <c r="AR2154" s="10" t="b">
        <f>IF(AND(I2154="TP",S2154&lt;=300),VLOOKUP(AF2154,TPCalibEq300!$AZ$2:$BB$55,3,),IF(AND(I2154="TDP",S2154&lt;=300),VLOOKUP(AF2154,TPCalibEq300!$AZ$2:$BB$55,3,)))</f>
        <v>0</v>
      </c>
      <c r="AS2154" s="10" t="b">
        <f>IF(AND(I2154="TP",S2154&lt;=500),VLOOKUP(AF2154,TPCalibEq500!$AZ$2:$BB$56,3,),IF(AND(I2154="TDP",S2154&lt;=500),VLOOKUP(AF2154,TPCalibEq500!$AZ$2:$BB$56,3,)))</f>
        <v>0</v>
      </c>
      <c r="AT2154" s="10" t="b">
        <f>IF(AND(I2154="TN",S2154&lt;=2800),VLOOKUP(AF2154,TNCalibEq2500!$AZ$2:$BB$56,3,),IF(AND(I2154="TDN",S2154&lt;=2800),VLOOKUP(AF2154,TNCalibEq2500!$AZ$2:$BB$56,3,)))</f>
        <v>0</v>
      </c>
      <c r="AU2154" s="10" t="b">
        <f>IF(I2154="TP",VLOOKUP(AF2154,TPCalibEqFull!$AZ$2:$BB$56,3),IF(I2154="TDP",VLOOKUP(AF2154,TPCalibEqFull!$AZ$2:$BB$56,3),IF(I2154="TDN",VLOOKUP(AF2154,TNCalibEqFull!$AZ$1:$BB$56,3),IF(I2154="TN",VLOOKUP(AF2154,TNCalibEqFull!$AZ$1:$BB$56,3),FALSE))))</f>
        <v>0</v>
      </c>
      <c r="AV2154" s="10" t="str">
        <f t="shared" si="247"/>
        <v>0208 09:11:00-EOF-10-FIL-1-SW-UKN</v>
      </c>
    </row>
    <row r="2155" spans="1:48" s="10" customFormat="1" x14ac:dyDescent="0.55000000000000004">
      <c r="A2155" s="32">
        <v>44965</v>
      </c>
      <c r="B2155" s="33">
        <v>0.38472222222222219</v>
      </c>
      <c r="C2155" s="10" t="s">
        <v>428</v>
      </c>
      <c r="D2155" s="10">
        <v>20</v>
      </c>
      <c r="E2155" s="10" t="s">
        <v>911</v>
      </c>
      <c r="F2155" s="10">
        <v>1</v>
      </c>
      <c r="G2155" s="10" t="s">
        <v>231</v>
      </c>
      <c r="H2155" s="10" t="s">
        <v>322</v>
      </c>
      <c r="I2155" s="10" t="s">
        <v>183</v>
      </c>
      <c r="J2155" s="10">
        <v>112</v>
      </c>
      <c r="K2155" s="12">
        <v>44966</v>
      </c>
      <c r="L2155" s="33">
        <v>0.5962615740740741</v>
      </c>
      <c r="M2155" s="10">
        <v>1</v>
      </c>
      <c r="N2155" s="10" t="s">
        <v>76</v>
      </c>
      <c r="O2155" s="10">
        <v>1.34</v>
      </c>
      <c r="P2155" s="10">
        <v>0.107</v>
      </c>
      <c r="Q2155" s="10">
        <v>77</v>
      </c>
      <c r="R2155" s="10" t="s">
        <v>77</v>
      </c>
      <c r="S2155" s="34">
        <f t="shared" si="242"/>
        <v>77</v>
      </c>
      <c r="T2155" s="10" t="s">
        <v>1155</v>
      </c>
      <c r="U2155" s="34" t="str">
        <f t="shared" si="245"/>
        <v/>
      </c>
      <c r="V2155" s="31" t="str">
        <f>IF(H2155="CHK",VLOOKUP(I2155,QCCHK,3,),IF(H2155="GUP",VLOOKUP(E2155,QCGUP,2,),IF(AND(H2155="ATP",OR(I2155="TN",I2155="TDN",I2155="TNO2-3",I2155="NO2-3")),VLOOKUP(E2155,QCREC_N,2,),IF(AND(H2155="NIC",OR(I2155="TN",I2155="TDN",I2155="TNO2-3",I2155="NO2-3")),VLOOKUP(E2155,QCNIC_N,2,),IF(AND(H2155="UREA",OR(I2155="TN",I2155="TDN",I2155="TNO2-3",I2155="NO2-3")),VLOOKUP(E2155,QCUREA_N,2,),IF(H2155="PER",VLOOKUP(I2155,QCPER,MATCH(E2155,QCACTUAL!$J$25:$AA$25,0),),IF(H2155="SPK",VLOOKUP(I2155,QCSPK,3,),IF(AND(H2155="ATP",OR(I2155="TP",I2155="TDP")),VLOOKUP(E2155,QCATP_P,2,),""))))))))</f>
        <v/>
      </c>
      <c r="W2155" s="31" t="str">
        <f t="shared" si="246"/>
        <v>TRUE</v>
      </c>
      <c r="X2155" s="31" t="str">
        <f t="shared" si="241"/>
        <v/>
      </c>
      <c r="Y2155" s="10" t="s">
        <v>1144</v>
      </c>
      <c r="AL2155" s="10" t="str">
        <f t="shared" si="243"/>
        <v>FALSE</v>
      </c>
      <c r="AM2155" s="10" t="str">
        <f t="shared" si="243"/>
        <v>FALSE</v>
      </c>
      <c r="AN2155" s="10" t="str">
        <f t="shared" si="243"/>
        <v>FALSE</v>
      </c>
      <c r="AO2155" s="10" t="str">
        <f t="shared" si="244"/>
        <v>FALSE</v>
      </c>
      <c r="AP2155" s="10" t="str">
        <f t="shared" si="244"/>
        <v>FALSE</v>
      </c>
      <c r="AQ2155" s="10" t="b">
        <f>IF(AND(I2155="TP",S2155&lt;=150),VLOOKUP(AF2155,TPCalibEq150!$AZ$2:$BB$55,3,),IF(AND(I2155="TDP",S2155&lt;=150),VLOOKUP(AF2155,TPCalibEq150!$AZ$2:$BB$55,3,)))</f>
        <v>0</v>
      </c>
      <c r="AR2155" s="10" t="b">
        <f>IF(AND(I2155="TP",S2155&lt;=300),VLOOKUP(AF2155,TPCalibEq300!$AZ$2:$BB$55,3,),IF(AND(I2155="TDP",S2155&lt;=300),VLOOKUP(AF2155,TPCalibEq300!$AZ$2:$BB$55,3,)))</f>
        <v>0</v>
      </c>
      <c r="AS2155" s="10" t="b">
        <f>IF(AND(I2155="TP",S2155&lt;=500),VLOOKUP(AF2155,TPCalibEq500!$AZ$2:$BB$56,3,),IF(AND(I2155="TDP",S2155&lt;=500),VLOOKUP(AF2155,TPCalibEq500!$AZ$2:$BB$56,3,)))</f>
        <v>0</v>
      </c>
      <c r="AT2155" s="10" t="b">
        <f>IF(AND(I2155="TN",S2155&lt;=2800),VLOOKUP(AF2155,TNCalibEq2500!$AZ$2:$BB$56,3,),IF(AND(I2155="TDN",S2155&lt;=2800),VLOOKUP(AF2155,TNCalibEq2500!$AZ$2:$BB$56,3,)))</f>
        <v>0</v>
      </c>
      <c r="AU2155" s="10" t="b">
        <f>IF(I2155="TP",VLOOKUP(AF2155,TPCalibEqFull!$AZ$2:$BB$56,3),IF(I2155="TDP",VLOOKUP(AF2155,TPCalibEqFull!$AZ$2:$BB$56,3),IF(I2155="TDN",VLOOKUP(AF2155,TNCalibEqFull!$AZ$1:$BB$56,3),IF(I2155="TN",VLOOKUP(AF2155,TNCalibEqFull!$AZ$1:$BB$56,3),FALSE))))</f>
        <v>0</v>
      </c>
      <c r="AV2155" s="10" t="str">
        <f t="shared" si="247"/>
        <v>0208 09:14:00-EOF-20-FIL-1-SW-UKN</v>
      </c>
    </row>
    <row r="2156" spans="1:48" s="10" customFormat="1" x14ac:dyDescent="0.55000000000000004">
      <c r="A2156" s="32">
        <v>44965</v>
      </c>
      <c r="B2156" s="33">
        <v>0.38877314814814817</v>
      </c>
      <c r="C2156" s="10" t="s">
        <v>428</v>
      </c>
      <c r="D2156" s="10">
        <v>80</v>
      </c>
      <c r="E2156" s="10" t="s">
        <v>911</v>
      </c>
      <c r="F2156" s="10">
        <v>1</v>
      </c>
      <c r="G2156" s="10" t="s">
        <v>231</v>
      </c>
      <c r="H2156" s="10" t="s">
        <v>322</v>
      </c>
      <c r="I2156" s="10" t="s">
        <v>183</v>
      </c>
      <c r="J2156" s="10">
        <v>113</v>
      </c>
      <c r="K2156" s="12">
        <v>44966</v>
      </c>
      <c r="L2156" s="33">
        <v>0.59707175925925926</v>
      </c>
      <c r="M2156" s="10">
        <v>1</v>
      </c>
      <c r="N2156" s="10" t="s">
        <v>76</v>
      </c>
      <c r="O2156" s="10">
        <v>2.4900000000000002</v>
      </c>
      <c r="P2156" s="10">
        <v>0.20100000000000001</v>
      </c>
      <c r="Q2156" s="10">
        <v>143</v>
      </c>
      <c r="R2156" s="10" t="s">
        <v>77</v>
      </c>
      <c r="S2156" s="34">
        <f t="shared" si="242"/>
        <v>143</v>
      </c>
      <c r="T2156" s="10" t="s">
        <v>1155</v>
      </c>
      <c r="U2156" s="34" t="str">
        <f t="shared" si="245"/>
        <v/>
      </c>
      <c r="V2156" s="31" t="str">
        <f>IF(H2156="CHK",VLOOKUP(I2156,QCCHK,3,),IF(H2156="GUP",VLOOKUP(E2156,QCGUP,2,),IF(AND(H2156="ATP",OR(I2156="TN",I2156="TDN",I2156="TNO2-3",I2156="NO2-3")),VLOOKUP(E2156,QCREC_N,2,),IF(AND(H2156="NIC",OR(I2156="TN",I2156="TDN",I2156="TNO2-3",I2156="NO2-3")),VLOOKUP(E2156,QCNIC_N,2,),IF(AND(H2156="UREA",OR(I2156="TN",I2156="TDN",I2156="TNO2-3",I2156="NO2-3")),VLOOKUP(E2156,QCUREA_N,2,),IF(H2156="PER",VLOOKUP(I2156,QCPER,MATCH(E2156,QCACTUAL!$J$25:$AA$25,0),),IF(H2156="SPK",VLOOKUP(I2156,QCSPK,3,),IF(AND(H2156="ATP",OR(I2156="TP",I2156="TDP")),VLOOKUP(E2156,QCATP_P,2,),""))))))))</f>
        <v/>
      </c>
      <c r="W2156" s="31" t="str">
        <f t="shared" si="246"/>
        <v>TRUE</v>
      </c>
      <c r="X2156" s="31" t="str">
        <f t="shared" si="241"/>
        <v/>
      </c>
      <c r="Y2156" s="10" t="s">
        <v>1144</v>
      </c>
      <c r="AL2156" s="10" t="str">
        <f t="shared" si="243"/>
        <v>FALSE</v>
      </c>
      <c r="AM2156" s="10" t="str">
        <f t="shared" si="243"/>
        <v>FALSE</v>
      </c>
      <c r="AN2156" s="10" t="str">
        <f t="shared" si="243"/>
        <v>FALSE</v>
      </c>
      <c r="AO2156" s="10" t="str">
        <f t="shared" si="244"/>
        <v>FALSE</v>
      </c>
      <c r="AP2156" s="10" t="str">
        <f t="shared" si="244"/>
        <v>FALSE</v>
      </c>
      <c r="AQ2156" s="10" t="b">
        <f>IF(AND(I2156="TP",S2156&lt;=150),VLOOKUP(AF2156,TPCalibEq150!$AZ$2:$BB$55,3,),IF(AND(I2156="TDP",S2156&lt;=150),VLOOKUP(AF2156,TPCalibEq150!$AZ$2:$BB$55,3,)))</f>
        <v>0</v>
      </c>
      <c r="AR2156" s="10" t="b">
        <f>IF(AND(I2156="TP",S2156&lt;=300),VLOOKUP(AF2156,TPCalibEq300!$AZ$2:$BB$55,3,),IF(AND(I2156="TDP",S2156&lt;=300),VLOOKUP(AF2156,TPCalibEq300!$AZ$2:$BB$55,3,)))</f>
        <v>0</v>
      </c>
      <c r="AS2156" s="10" t="b">
        <f>IF(AND(I2156="TP",S2156&lt;=500),VLOOKUP(AF2156,TPCalibEq500!$AZ$2:$BB$56,3,),IF(AND(I2156="TDP",S2156&lt;=500),VLOOKUP(AF2156,TPCalibEq500!$AZ$2:$BB$56,3,)))</f>
        <v>0</v>
      </c>
      <c r="AT2156" s="10" t="b">
        <f>IF(AND(I2156="TN",S2156&lt;=2800),VLOOKUP(AF2156,TNCalibEq2500!$AZ$2:$BB$56,3,),IF(AND(I2156="TDN",S2156&lt;=2800),VLOOKUP(AF2156,TNCalibEq2500!$AZ$2:$BB$56,3,)))</f>
        <v>0</v>
      </c>
      <c r="AU2156" s="10" t="b">
        <f>IF(I2156="TP",VLOOKUP(AF2156,TPCalibEqFull!$AZ$2:$BB$56,3),IF(I2156="TDP",VLOOKUP(AF2156,TPCalibEqFull!$AZ$2:$BB$56,3),IF(I2156="TDN",VLOOKUP(AF2156,TNCalibEqFull!$AZ$1:$BB$56,3),IF(I2156="TN",VLOOKUP(AF2156,TNCalibEqFull!$AZ$1:$BB$56,3),FALSE))))</f>
        <v>0</v>
      </c>
      <c r="AV2156" s="10" t="str">
        <f t="shared" si="247"/>
        <v>0208 09:19:50-EOF-80-FIL-1-SW-UKN</v>
      </c>
    </row>
    <row r="2157" spans="1:48" s="10" customFormat="1" x14ac:dyDescent="0.55000000000000004">
      <c r="A2157" s="32">
        <v>44965</v>
      </c>
      <c r="B2157" s="33">
        <v>0.4201388888888889</v>
      </c>
      <c r="C2157" s="10" t="s">
        <v>611</v>
      </c>
      <c r="D2157" s="10">
        <v>0</v>
      </c>
      <c r="E2157" s="10" t="s">
        <v>911</v>
      </c>
      <c r="F2157" s="10">
        <v>1</v>
      </c>
      <c r="G2157" s="10" t="s">
        <v>231</v>
      </c>
      <c r="H2157" s="10" t="s">
        <v>322</v>
      </c>
      <c r="I2157" s="10" t="s">
        <v>183</v>
      </c>
      <c r="J2157" s="10">
        <v>114</v>
      </c>
      <c r="K2157" s="12">
        <v>44966</v>
      </c>
      <c r="L2157" s="33">
        <v>0.59788194444444442</v>
      </c>
      <c r="M2157" s="10">
        <v>1</v>
      </c>
      <c r="N2157" s="10" t="s">
        <v>76</v>
      </c>
      <c r="O2157" s="10">
        <v>14.8</v>
      </c>
      <c r="P2157" s="10">
        <v>4.45</v>
      </c>
      <c r="Q2157" s="10">
        <v>846</v>
      </c>
      <c r="R2157" s="10" t="s">
        <v>77</v>
      </c>
      <c r="S2157" s="34">
        <f t="shared" si="242"/>
        <v>846</v>
      </c>
      <c r="T2157" s="10" t="s">
        <v>1155</v>
      </c>
      <c r="U2157" s="34" t="str">
        <f t="shared" si="245"/>
        <v/>
      </c>
      <c r="V2157" s="31" t="str">
        <f>IF(H2157="CHK",VLOOKUP(I2157,QCCHK,3,),IF(H2157="GUP",VLOOKUP(E2157,QCGUP,2,),IF(AND(H2157="ATP",OR(I2157="TN",I2157="TDN",I2157="TNO2-3",I2157="NO2-3")),VLOOKUP(E2157,QCREC_N,2,),IF(AND(H2157="NIC",OR(I2157="TN",I2157="TDN",I2157="TNO2-3",I2157="NO2-3")),VLOOKUP(E2157,QCNIC_N,2,),IF(AND(H2157="UREA",OR(I2157="TN",I2157="TDN",I2157="TNO2-3",I2157="NO2-3")),VLOOKUP(E2157,QCUREA_N,2,),IF(H2157="PER",VLOOKUP(I2157,QCPER,MATCH(E2157,QCACTUAL!$J$25:$AA$25,0),),IF(H2157="SPK",VLOOKUP(I2157,QCSPK,3,),IF(AND(H2157="ATP",OR(I2157="TP",I2157="TDP")),VLOOKUP(E2157,QCATP_P,2,),""))))))))</f>
        <v/>
      </c>
      <c r="W2157" s="31" t="str">
        <f t="shared" si="246"/>
        <v>TRUE</v>
      </c>
      <c r="X2157" s="31" t="str">
        <f t="shared" si="241"/>
        <v/>
      </c>
      <c r="Y2157" s="10" t="s">
        <v>1144</v>
      </c>
      <c r="AL2157" s="10" t="str">
        <f t="shared" si="243"/>
        <v>FALSE</v>
      </c>
      <c r="AM2157" s="10" t="str">
        <f t="shared" si="243"/>
        <v>FALSE</v>
      </c>
      <c r="AN2157" s="10" t="str">
        <f t="shared" si="243"/>
        <v>FALSE</v>
      </c>
      <c r="AO2157" s="10" t="str">
        <f t="shared" si="244"/>
        <v>FALSE</v>
      </c>
      <c r="AP2157" s="10" t="str">
        <f t="shared" si="244"/>
        <v>FALSE</v>
      </c>
      <c r="AQ2157" s="10" t="b">
        <f>IF(AND(I2157="TP",S2157&lt;=150),VLOOKUP(AF2157,TPCalibEq150!$AZ$2:$BB$55,3,),IF(AND(I2157="TDP",S2157&lt;=150),VLOOKUP(AF2157,TPCalibEq150!$AZ$2:$BB$55,3,)))</f>
        <v>0</v>
      </c>
      <c r="AR2157" s="10" t="b">
        <f>IF(AND(I2157="TP",S2157&lt;=300),VLOOKUP(AF2157,TPCalibEq300!$AZ$2:$BB$55,3,),IF(AND(I2157="TDP",S2157&lt;=300),VLOOKUP(AF2157,TPCalibEq300!$AZ$2:$BB$55,3,)))</f>
        <v>0</v>
      </c>
      <c r="AS2157" s="10" t="b">
        <f>IF(AND(I2157="TP",S2157&lt;=500),VLOOKUP(AF2157,TPCalibEq500!$AZ$2:$BB$56,3,),IF(AND(I2157="TDP",S2157&lt;=500),VLOOKUP(AF2157,TPCalibEq500!$AZ$2:$BB$56,3,)))</f>
        <v>0</v>
      </c>
      <c r="AT2157" s="10" t="b">
        <f>IF(AND(I2157="TN",S2157&lt;=2800),VLOOKUP(AF2157,TNCalibEq2500!$AZ$2:$BB$56,3,),IF(AND(I2157="TDN",S2157&lt;=2800),VLOOKUP(AF2157,TNCalibEq2500!$AZ$2:$BB$56,3,)))</f>
        <v>0</v>
      </c>
      <c r="AU2157" s="10" t="b">
        <f>IF(I2157="TP",VLOOKUP(AF2157,TPCalibEqFull!$AZ$2:$BB$56,3),IF(I2157="TDP",VLOOKUP(AF2157,TPCalibEqFull!$AZ$2:$BB$56,3),IF(I2157="TDN",VLOOKUP(AF2157,TNCalibEqFull!$AZ$1:$BB$56,3),IF(I2157="TN",VLOOKUP(AF2157,TNCalibEqFull!$AZ$1:$BB$56,3),FALSE))))</f>
        <v>0</v>
      </c>
      <c r="AV2157" s="10" t="str">
        <f t="shared" si="247"/>
        <v>0208 10:05:00-BUO-0-FIL-1-SW-UKN</v>
      </c>
    </row>
    <row r="2158" spans="1:48" s="10" customFormat="1" x14ac:dyDescent="0.55000000000000004">
      <c r="A2158" s="32">
        <v>44965</v>
      </c>
      <c r="B2158" s="33">
        <v>0.42291666666666666</v>
      </c>
      <c r="C2158" s="10" t="s">
        <v>611</v>
      </c>
      <c r="D2158" s="10">
        <v>5</v>
      </c>
      <c r="E2158" s="10" t="s">
        <v>911</v>
      </c>
      <c r="F2158" s="10">
        <v>1</v>
      </c>
      <c r="G2158" s="10" t="s">
        <v>231</v>
      </c>
      <c r="H2158" s="10" t="s">
        <v>322</v>
      </c>
      <c r="I2158" s="10" t="s">
        <v>183</v>
      </c>
      <c r="J2158" s="10">
        <v>115</v>
      </c>
      <c r="K2158" s="12">
        <v>44966</v>
      </c>
      <c r="L2158" s="33">
        <v>0.59870370370370374</v>
      </c>
      <c r="M2158" s="10">
        <v>1</v>
      </c>
      <c r="N2158" s="10" t="s">
        <v>76</v>
      </c>
      <c r="O2158" s="10">
        <v>1.3</v>
      </c>
      <c r="P2158" s="10">
        <v>0.10299999999999999</v>
      </c>
      <c r="Q2158" s="10">
        <v>74.599999999999994</v>
      </c>
      <c r="R2158" s="10" t="s">
        <v>77</v>
      </c>
      <c r="S2158" s="34">
        <f t="shared" si="242"/>
        <v>74.599999999999994</v>
      </c>
      <c r="T2158" s="10" t="s">
        <v>1155</v>
      </c>
      <c r="U2158" s="34" t="str">
        <f t="shared" si="245"/>
        <v/>
      </c>
      <c r="V2158" s="31" t="str">
        <f>IF(H2158="CHK",VLOOKUP(I2158,QCCHK,3,),IF(H2158="GUP",VLOOKUP(E2158,QCGUP,2,),IF(AND(H2158="ATP",OR(I2158="TN",I2158="TDN",I2158="TNO2-3",I2158="NO2-3")),VLOOKUP(E2158,QCREC_N,2,),IF(AND(H2158="NIC",OR(I2158="TN",I2158="TDN",I2158="TNO2-3",I2158="NO2-3")),VLOOKUP(E2158,QCNIC_N,2,),IF(AND(H2158="UREA",OR(I2158="TN",I2158="TDN",I2158="TNO2-3",I2158="NO2-3")),VLOOKUP(E2158,QCUREA_N,2,),IF(H2158="PER",VLOOKUP(I2158,QCPER,MATCH(E2158,QCACTUAL!$J$25:$AA$25,0),),IF(H2158="SPK",VLOOKUP(I2158,QCSPK,3,),IF(AND(H2158="ATP",OR(I2158="TP",I2158="TDP")),VLOOKUP(E2158,QCATP_P,2,),""))))))))</f>
        <v/>
      </c>
      <c r="W2158" s="31" t="str">
        <f t="shared" si="246"/>
        <v>TRUE</v>
      </c>
      <c r="X2158" s="31" t="str">
        <f t="shared" si="241"/>
        <v/>
      </c>
      <c r="Y2158" s="10" t="s">
        <v>1144</v>
      </c>
      <c r="AL2158" s="10" t="str">
        <f t="shared" si="243"/>
        <v>FALSE</v>
      </c>
      <c r="AM2158" s="10" t="str">
        <f t="shared" si="243"/>
        <v>FALSE</v>
      </c>
      <c r="AN2158" s="10" t="str">
        <f t="shared" si="243"/>
        <v>FALSE</v>
      </c>
      <c r="AO2158" s="10" t="str">
        <f t="shared" si="244"/>
        <v>FALSE</v>
      </c>
      <c r="AP2158" s="10" t="str">
        <f t="shared" si="244"/>
        <v>FALSE</v>
      </c>
      <c r="AQ2158" s="10" t="b">
        <f>IF(AND(I2158="TP",S2158&lt;=150),VLOOKUP(AF2158,TPCalibEq150!$AZ$2:$BB$55,3,),IF(AND(I2158="TDP",S2158&lt;=150),VLOOKUP(AF2158,TPCalibEq150!$AZ$2:$BB$55,3,)))</f>
        <v>0</v>
      </c>
      <c r="AR2158" s="10" t="b">
        <f>IF(AND(I2158="TP",S2158&lt;=300),VLOOKUP(AF2158,TPCalibEq300!$AZ$2:$BB$55,3,),IF(AND(I2158="TDP",S2158&lt;=300),VLOOKUP(AF2158,TPCalibEq300!$AZ$2:$BB$55,3,)))</f>
        <v>0</v>
      </c>
      <c r="AS2158" s="10" t="b">
        <f>IF(AND(I2158="TP",S2158&lt;=500),VLOOKUP(AF2158,TPCalibEq500!$AZ$2:$BB$56,3,),IF(AND(I2158="TDP",S2158&lt;=500),VLOOKUP(AF2158,TPCalibEq500!$AZ$2:$BB$56,3,)))</f>
        <v>0</v>
      </c>
      <c r="AT2158" s="10" t="b">
        <f>IF(AND(I2158="TN",S2158&lt;=2800),VLOOKUP(AF2158,TNCalibEq2500!$AZ$2:$BB$56,3,),IF(AND(I2158="TDN",S2158&lt;=2800),VLOOKUP(AF2158,TNCalibEq2500!$AZ$2:$BB$56,3,)))</f>
        <v>0</v>
      </c>
      <c r="AU2158" s="10" t="b">
        <f>IF(I2158="TP",VLOOKUP(AF2158,TPCalibEqFull!$AZ$2:$BB$56,3),IF(I2158="TDP",VLOOKUP(AF2158,TPCalibEqFull!$AZ$2:$BB$56,3),IF(I2158="TDN",VLOOKUP(AF2158,TNCalibEqFull!$AZ$1:$BB$56,3),IF(I2158="TN",VLOOKUP(AF2158,TNCalibEqFull!$AZ$1:$BB$56,3),FALSE))))</f>
        <v>0</v>
      </c>
      <c r="AV2158" s="10" t="str">
        <f t="shared" si="247"/>
        <v>0208 10:09:00-BUO-5-FIL-1-SW-UKN</v>
      </c>
    </row>
    <row r="2159" spans="1:48" s="10" customFormat="1" x14ac:dyDescent="0.55000000000000004">
      <c r="A2159" s="32">
        <v>44965</v>
      </c>
      <c r="B2159" s="33">
        <v>0.42499999999999999</v>
      </c>
      <c r="C2159" s="10" t="s">
        <v>611</v>
      </c>
      <c r="D2159" s="10">
        <v>10</v>
      </c>
      <c r="E2159" s="10" t="s">
        <v>911</v>
      </c>
      <c r="F2159" s="10">
        <v>1</v>
      </c>
      <c r="G2159" s="10" t="s">
        <v>231</v>
      </c>
      <c r="H2159" s="10" t="s">
        <v>322</v>
      </c>
      <c r="I2159" s="10" t="s">
        <v>183</v>
      </c>
      <c r="J2159" s="10">
        <v>116</v>
      </c>
      <c r="K2159" s="12">
        <v>44966</v>
      </c>
      <c r="L2159" s="33">
        <v>0.5995138888888889</v>
      </c>
      <c r="M2159" s="10">
        <v>1</v>
      </c>
      <c r="N2159" s="10" t="s">
        <v>76</v>
      </c>
      <c r="O2159" s="10">
        <v>1.19</v>
      </c>
      <c r="P2159" s="10">
        <v>0.106</v>
      </c>
      <c r="Q2159" s="10">
        <v>68.400000000000006</v>
      </c>
      <c r="R2159" s="10" t="s">
        <v>77</v>
      </c>
      <c r="S2159" s="34">
        <f t="shared" si="242"/>
        <v>68.400000000000006</v>
      </c>
      <c r="T2159" s="10" t="s">
        <v>1155</v>
      </c>
      <c r="U2159" s="34" t="str">
        <f t="shared" si="245"/>
        <v/>
      </c>
      <c r="V2159" s="31" t="str">
        <f>IF(H2159="CHK",VLOOKUP(I2159,QCCHK,3,),IF(H2159="GUP",VLOOKUP(E2159,QCGUP,2,),IF(AND(H2159="ATP",OR(I2159="TN",I2159="TDN",I2159="TNO2-3",I2159="NO2-3")),VLOOKUP(E2159,QCREC_N,2,),IF(AND(H2159="NIC",OR(I2159="TN",I2159="TDN",I2159="TNO2-3",I2159="NO2-3")),VLOOKUP(E2159,QCNIC_N,2,),IF(AND(H2159="UREA",OR(I2159="TN",I2159="TDN",I2159="TNO2-3",I2159="NO2-3")),VLOOKUP(E2159,QCUREA_N,2,),IF(H2159="PER",VLOOKUP(I2159,QCPER,MATCH(E2159,QCACTUAL!$J$25:$AA$25,0),),IF(H2159="SPK",VLOOKUP(I2159,QCSPK,3,),IF(AND(H2159="ATP",OR(I2159="TP",I2159="TDP")),VLOOKUP(E2159,QCATP_P,2,),""))))))))</f>
        <v/>
      </c>
      <c r="W2159" s="31" t="str">
        <f t="shared" si="246"/>
        <v>TRUE</v>
      </c>
      <c r="X2159" s="31" t="str">
        <f t="shared" si="241"/>
        <v/>
      </c>
      <c r="Y2159" s="10" t="s">
        <v>1144</v>
      </c>
      <c r="AL2159" s="10" t="str">
        <f t="shared" si="243"/>
        <v>FALSE</v>
      </c>
      <c r="AM2159" s="10" t="str">
        <f t="shared" si="243"/>
        <v>FALSE</v>
      </c>
      <c r="AN2159" s="10" t="str">
        <f t="shared" si="243"/>
        <v>FALSE</v>
      </c>
      <c r="AO2159" s="10" t="str">
        <f t="shared" si="244"/>
        <v>FALSE</v>
      </c>
      <c r="AP2159" s="10" t="str">
        <f t="shared" si="244"/>
        <v>FALSE</v>
      </c>
      <c r="AQ2159" s="10" t="b">
        <f>IF(AND(I2159="TP",S2159&lt;=150),VLOOKUP(AF2159,TPCalibEq150!$AZ$2:$BB$55,3,),IF(AND(I2159="TDP",S2159&lt;=150),VLOOKUP(AF2159,TPCalibEq150!$AZ$2:$BB$55,3,)))</f>
        <v>0</v>
      </c>
      <c r="AR2159" s="10" t="b">
        <f>IF(AND(I2159="TP",S2159&lt;=300),VLOOKUP(AF2159,TPCalibEq300!$AZ$2:$BB$55,3,),IF(AND(I2159="TDP",S2159&lt;=300),VLOOKUP(AF2159,TPCalibEq300!$AZ$2:$BB$55,3,)))</f>
        <v>0</v>
      </c>
      <c r="AS2159" s="10" t="b">
        <f>IF(AND(I2159="TP",S2159&lt;=500),VLOOKUP(AF2159,TPCalibEq500!$AZ$2:$BB$56,3,),IF(AND(I2159="TDP",S2159&lt;=500),VLOOKUP(AF2159,TPCalibEq500!$AZ$2:$BB$56,3,)))</f>
        <v>0</v>
      </c>
      <c r="AT2159" s="10" t="b">
        <f>IF(AND(I2159="TN",S2159&lt;=2800),VLOOKUP(AF2159,TNCalibEq2500!$AZ$2:$BB$56,3,),IF(AND(I2159="TDN",S2159&lt;=2800),VLOOKUP(AF2159,TNCalibEq2500!$AZ$2:$BB$56,3,)))</f>
        <v>0</v>
      </c>
      <c r="AU2159" s="10" t="b">
        <f>IF(I2159="TP",VLOOKUP(AF2159,TPCalibEqFull!$AZ$2:$BB$56,3),IF(I2159="TDP",VLOOKUP(AF2159,TPCalibEqFull!$AZ$2:$BB$56,3),IF(I2159="TDN",VLOOKUP(AF2159,TNCalibEqFull!$AZ$1:$BB$56,3),IF(I2159="TN",VLOOKUP(AF2159,TNCalibEqFull!$AZ$1:$BB$56,3),FALSE))))</f>
        <v>0</v>
      </c>
      <c r="AV2159" s="10" t="str">
        <f t="shared" si="247"/>
        <v>0208 10:12:00-BUO-10-FIL-1-SW-UKN</v>
      </c>
    </row>
    <row r="2160" spans="1:48" s="10" customFormat="1" x14ac:dyDescent="0.55000000000000004">
      <c r="A2160" s="32">
        <v>44965</v>
      </c>
      <c r="B2160" s="33">
        <v>0.42777777777777781</v>
      </c>
      <c r="C2160" s="10" t="s">
        <v>611</v>
      </c>
      <c r="D2160" s="10">
        <v>20</v>
      </c>
      <c r="E2160" s="10" t="s">
        <v>911</v>
      </c>
      <c r="F2160" s="10">
        <v>1</v>
      </c>
      <c r="G2160" s="10" t="s">
        <v>231</v>
      </c>
      <c r="H2160" s="10" t="s">
        <v>322</v>
      </c>
      <c r="I2160" s="10" t="s">
        <v>183</v>
      </c>
      <c r="J2160" s="10">
        <v>117</v>
      </c>
      <c r="K2160" s="12">
        <v>44966</v>
      </c>
      <c r="L2160" s="33">
        <v>0.60032407407407407</v>
      </c>
      <c r="M2160" s="10">
        <v>1</v>
      </c>
      <c r="N2160" s="10" t="s">
        <v>76</v>
      </c>
      <c r="O2160" s="10">
        <v>1.2</v>
      </c>
      <c r="P2160" s="10">
        <v>9.5000000000000001E-2</v>
      </c>
      <c r="Q2160" s="10">
        <v>69</v>
      </c>
      <c r="R2160" s="10" t="s">
        <v>77</v>
      </c>
      <c r="S2160" s="34">
        <f t="shared" si="242"/>
        <v>69</v>
      </c>
      <c r="T2160" s="10" t="s">
        <v>1155</v>
      </c>
      <c r="U2160" s="34" t="str">
        <f t="shared" si="245"/>
        <v/>
      </c>
      <c r="V2160" s="31" t="str">
        <f>IF(H2160="CHK",VLOOKUP(I2160,QCCHK,3,),IF(H2160="GUP",VLOOKUP(E2160,QCGUP,2,),IF(AND(H2160="ATP",OR(I2160="TN",I2160="TDN",I2160="TNO2-3",I2160="NO2-3")),VLOOKUP(E2160,QCREC_N,2,),IF(AND(H2160="NIC",OR(I2160="TN",I2160="TDN",I2160="TNO2-3",I2160="NO2-3")),VLOOKUP(E2160,QCNIC_N,2,),IF(AND(H2160="UREA",OR(I2160="TN",I2160="TDN",I2160="TNO2-3",I2160="NO2-3")),VLOOKUP(E2160,QCUREA_N,2,),IF(H2160="PER",VLOOKUP(I2160,QCPER,MATCH(E2160,QCACTUAL!$J$25:$AA$25,0),),IF(H2160="SPK",VLOOKUP(I2160,QCSPK,3,),IF(AND(H2160="ATP",OR(I2160="TP",I2160="TDP")),VLOOKUP(E2160,QCATP_P,2,),""))))))))</f>
        <v/>
      </c>
      <c r="W2160" s="31" t="str">
        <f t="shared" si="246"/>
        <v>TRUE</v>
      </c>
      <c r="X2160" s="31" t="str">
        <f t="shared" si="241"/>
        <v/>
      </c>
      <c r="Y2160" s="10" t="s">
        <v>1144</v>
      </c>
      <c r="AL2160" s="10" t="str">
        <f t="shared" si="243"/>
        <v>FALSE</v>
      </c>
      <c r="AM2160" s="10" t="str">
        <f t="shared" si="243"/>
        <v>FALSE</v>
      </c>
      <c r="AN2160" s="10" t="str">
        <f t="shared" si="243"/>
        <v>FALSE</v>
      </c>
      <c r="AO2160" s="10" t="str">
        <f t="shared" si="244"/>
        <v>FALSE</v>
      </c>
      <c r="AP2160" s="10" t="str">
        <f t="shared" si="244"/>
        <v>FALSE</v>
      </c>
      <c r="AQ2160" s="10" t="b">
        <f>IF(AND(I2160="TP",S2160&lt;=150),VLOOKUP(AF2160,TPCalibEq150!$AZ$2:$BB$55,3,),IF(AND(I2160="TDP",S2160&lt;=150),VLOOKUP(AF2160,TPCalibEq150!$AZ$2:$BB$55,3,)))</f>
        <v>0</v>
      </c>
      <c r="AR2160" s="10" t="b">
        <f>IF(AND(I2160="TP",S2160&lt;=300),VLOOKUP(AF2160,TPCalibEq300!$AZ$2:$BB$55,3,),IF(AND(I2160="TDP",S2160&lt;=300),VLOOKUP(AF2160,TPCalibEq300!$AZ$2:$BB$55,3,)))</f>
        <v>0</v>
      </c>
      <c r="AS2160" s="10" t="b">
        <f>IF(AND(I2160="TP",S2160&lt;=500),VLOOKUP(AF2160,TPCalibEq500!$AZ$2:$BB$56,3,),IF(AND(I2160="TDP",S2160&lt;=500),VLOOKUP(AF2160,TPCalibEq500!$AZ$2:$BB$56,3,)))</f>
        <v>0</v>
      </c>
      <c r="AT2160" s="10" t="b">
        <f>IF(AND(I2160="TN",S2160&lt;=2800),VLOOKUP(AF2160,TNCalibEq2500!$AZ$2:$BB$56,3,),IF(AND(I2160="TDN",S2160&lt;=2800),VLOOKUP(AF2160,TNCalibEq2500!$AZ$2:$BB$56,3,)))</f>
        <v>0</v>
      </c>
      <c r="AU2160" s="10" t="b">
        <f>IF(I2160="TP",VLOOKUP(AF2160,TPCalibEqFull!$AZ$2:$BB$56,3),IF(I2160="TDP",VLOOKUP(AF2160,TPCalibEqFull!$AZ$2:$BB$56,3),IF(I2160="TDN",VLOOKUP(AF2160,TNCalibEqFull!$AZ$1:$BB$56,3),IF(I2160="TN",VLOOKUP(AF2160,TNCalibEqFull!$AZ$1:$BB$56,3),FALSE))))</f>
        <v>0</v>
      </c>
      <c r="AV2160" s="10" t="str">
        <f t="shared" si="247"/>
        <v>0208 10:16:00-BUO-20-FIL-1-SW-UKN</v>
      </c>
    </row>
    <row r="2161" spans="1:48" s="10" customFormat="1" x14ac:dyDescent="0.55000000000000004">
      <c r="A2161" s="32">
        <v>44965</v>
      </c>
      <c r="B2161" s="33">
        <v>0.43055555555555558</v>
      </c>
      <c r="C2161" s="10" t="s">
        <v>611</v>
      </c>
      <c r="D2161" s="10">
        <v>46</v>
      </c>
      <c r="E2161" s="10" t="s">
        <v>911</v>
      </c>
      <c r="F2161" s="10">
        <v>1</v>
      </c>
      <c r="G2161" s="10" t="s">
        <v>231</v>
      </c>
      <c r="H2161" s="10" t="s">
        <v>322</v>
      </c>
      <c r="I2161" s="10" t="s">
        <v>183</v>
      </c>
      <c r="J2161" s="10">
        <v>118</v>
      </c>
      <c r="K2161" s="12">
        <v>44966</v>
      </c>
      <c r="L2161" s="33">
        <v>0.60113425925925923</v>
      </c>
      <c r="M2161" s="10">
        <v>1</v>
      </c>
      <c r="N2161" s="10" t="s">
        <v>76</v>
      </c>
      <c r="O2161" s="10">
        <v>1.25</v>
      </c>
      <c r="P2161" s="10">
        <v>9.8000000000000004E-2</v>
      </c>
      <c r="Q2161" s="10">
        <v>71.7</v>
      </c>
      <c r="R2161" s="10" t="s">
        <v>77</v>
      </c>
      <c r="S2161" s="34">
        <f t="shared" si="242"/>
        <v>71.7</v>
      </c>
      <c r="T2161" s="10" t="s">
        <v>1155</v>
      </c>
      <c r="U2161" s="34" t="str">
        <f t="shared" si="245"/>
        <v/>
      </c>
      <c r="V2161" s="31" t="str">
        <f>IF(H2161="CHK",VLOOKUP(I2161,QCCHK,3,),IF(H2161="GUP",VLOOKUP(E2161,QCGUP,2,),IF(AND(H2161="ATP",OR(I2161="TN",I2161="TDN",I2161="TNO2-3",I2161="NO2-3")),VLOOKUP(E2161,QCREC_N,2,),IF(AND(H2161="NIC",OR(I2161="TN",I2161="TDN",I2161="TNO2-3",I2161="NO2-3")),VLOOKUP(E2161,QCNIC_N,2,),IF(AND(H2161="UREA",OR(I2161="TN",I2161="TDN",I2161="TNO2-3",I2161="NO2-3")),VLOOKUP(E2161,QCUREA_N,2,),IF(H2161="PER",VLOOKUP(I2161,QCPER,MATCH(E2161,QCACTUAL!$J$25:$AA$25,0),),IF(H2161="SPK",VLOOKUP(I2161,QCSPK,3,),IF(AND(H2161="ATP",OR(I2161="TP",I2161="TDP")),VLOOKUP(E2161,QCATP_P,2,),""))))))))</f>
        <v/>
      </c>
      <c r="W2161" s="31" t="str">
        <f t="shared" si="246"/>
        <v>TRUE</v>
      </c>
      <c r="X2161" s="31" t="str">
        <f t="shared" si="241"/>
        <v/>
      </c>
      <c r="Y2161" s="10" t="s">
        <v>1144</v>
      </c>
      <c r="AL2161" s="10" t="str">
        <f t="shared" si="243"/>
        <v>FALSE</v>
      </c>
      <c r="AM2161" s="10" t="str">
        <f t="shared" si="243"/>
        <v>FALSE</v>
      </c>
      <c r="AN2161" s="10" t="str">
        <f t="shared" si="243"/>
        <v>FALSE</v>
      </c>
      <c r="AO2161" s="10" t="str">
        <f t="shared" si="244"/>
        <v>FALSE</v>
      </c>
      <c r="AP2161" s="10" t="str">
        <f t="shared" si="244"/>
        <v>FALSE</v>
      </c>
      <c r="AQ2161" s="10" t="b">
        <f>IF(AND(I2161="TP",S2161&lt;=150),VLOOKUP(AF2161,TPCalibEq150!$AZ$2:$BB$55,3,),IF(AND(I2161="TDP",S2161&lt;=150),VLOOKUP(AF2161,TPCalibEq150!$AZ$2:$BB$55,3,)))</f>
        <v>0</v>
      </c>
      <c r="AR2161" s="10" t="b">
        <f>IF(AND(I2161="TP",S2161&lt;=300),VLOOKUP(AF2161,TPCalibEq300!$AZ$2:$BB$55,3,),IF(AND(I2161="TDP",S2161&lt;=300),VLOOKUP(AF2161,TPCalibEq300!$AZ$2:$BB$55,3,)))</f>
        <v>0</v>
      </c>
      <c r="AS2161" s="10" t="b">
        <f>IF(AND(I2161="TP",S2161&lt;=500),VLOOKUP(AF2161,TPCalibEq500!$AZ$2:$BB$56,3,),IF(AND(I2161="TDP",S2161&lt;=500),VLOOKUP(AF2161,TPCalibEq500!$AZ$2:$BB$56,3,)))</f>
        <v>0</v>
      </c>
      <c r="AT2161" s="10" t="b">
        <f>IF(AND(I2161="TN",S2161&lt;=2800),VLOOKUP(AF2161,TNCalibEq2500!$AZ$2:$BB$56,3,),IF(AND(I2161="TDN",S2161&lt;=2800),VLOOKUP(AF2161,TNCalibEq2500!$AZ$2:$BB$56,3,)))</f>
        <v>0</v>
      </c>
      <c r="AU2161" s="10" t="b">
        <f>IF(I2161="TP",VLOOKUP(AF2161,TPCalibEqFull!$AZ$2:$BB$56,3),IF(I2161="TDP",VLOOKUP(AF2161,TPCalibEqFull!$AZ$2:$BB$56,3),IF(I2161="TDN",VLOOKUP(AF2161,TNCalibEqFull!$AZ$1:$BB$56,3),IF(I2161="TN",VLOOKUP(AF2161,TNCalibEqFull!$AZ$1:$BB$56,3),FALSE))))</f>
        <v>0</v>
      </c>
      <c r="AV2161" s="10" t="str">
        <f t="shared" si="247"/>
        <v>0208 10:20:00-BUO-46-FIL-1-SW-UKN</v>
      </c>
    </row>
    <row r="2162" spans="1:48" s="10" customFormat="1" x14ac:dyDescent="0.55000000000000004">
      <c r="A2162" s="32">
        <v>44965</v>
      </c>
      <c r="B2162" s="33">
        <v>0.43055555555555558</v>
      </c>
      <c r="C2162" s="10" t="s">
        <v>611</v>
      </c>
      <c r="D2162" s="10">
        <v>46</v>
      </c>
      <c r="E2162" s="10" t="s">
        <v>911</v>
      </c>
      <c r="F2162" s="10">
        <v>1</v>
      </c>
      <c r="G2162" s="10" t="s">
        <v>231</v>
      </c>
      <c r="H2162" s="10" t="s">
        <v>233</v>
      </c>
      <c r="I2162" s="10" t="s">
        <v>183</v>
      </c>
      <c r="J2162" s="10">
        <v>118</v>
      </c>
      <c r="K2162" s="12">
        <v>44966</v>
      </c>
      <c r="L2162" s="33">
        <v>0.60195601851851854</v>
      </c>
      <c r="M2162" s="10">
        <v>1</v>
      </c>
      <c r="N2162" s="10" t="s">
        <v>76</v>
      </c>
      <c r="O2162" s="10">
        <v>1.24</v>
      </c>
      <c r="P2162" s="10">
        <v>9.9500000000000005E-2</v>
      </c>
      <c r="Q2162" s="10">
        <v>71.5</v>
      </c>
      <c r="R2162" s="10" t="s">
        <v>77</v>
      </c>
      <c r="S2162" s="34">
        <f t="shared" si="242"/>
        <v>71.5</v>
      </c>
      <c r="T2162" s="10" t="s">
        <v>1155</v>
      </c>
      <c r="U2162" s="34">
        <f t="shared" si="245"/>
        <v>0.27932960893855147</v>
      </c>
      <c r="V2162" s="31" t="str">
        <f>IF(H2162="CHK",VLOOKUP(I2162,QCCHK,3,),IF(H2162="GUP",VLOOKUP(E2162,QCGUP,2,),IF(AND(H2162="ATP",OR(I2162="TN",I2162="TDN",I2162="TNO2-3",I2162="NO2-3")),VLOOKUP(E2162,QCREC_N,2,),IF(AND(H2162="NIC",OR(I2162="TN",I2162="TDN",I2162="TNO2-3",I2162="NO2-3")),VLOOKUP(E2162,QCNIC_N,2,),IF(AND(H2162="UREA",OR(I2162="TN",I2162="TDN",I2162="TNO2-3",I2162="NO2-3")),VLOOKUP(E2162,QCUREA_N,2,),IF(H2162="PER",VLOOKUP(I2162,QCPER,MATCH(E2162,QCACTUAL!$J$25:$AA$25,0),),IF(H2162="SPK",VLOOKUP(I2162,QCSPK,3,),IF(AND(H2162="ATP",OR(I2162="TP",I2162="TDP")),VLOOKUP(E2162,QCATP_P,2,),""))))))))</f>
        <v/>
      </c>
      <c r="W2162" s="31" t="str">
        <f t="shared" si="246"/>
        <v>TRUE</v>
      </c>
      <c r="X2162" s="31" t="str">
        <f t="shared" si="241"/>
        <v>((ABS(rep1-rep2))/((rep1+rep2)/2)*100</v>
      </c>
      <c r="Y2162" s="10" t="s">
        <v>1144</v>
      </c>
      <c r="AL2162" s="10" t="str">
        <f t="shared" si="243"/>
        <v>FALSE</v>
      </c>
      <c r="AM2162" s="10" t="str">
        <f t="shared" si="243"/>
        <v>FALSE</v>
      </c>
      <c r="AN2162" s="10" t="str">
        <f t="shared" si="243"/>
        <v>FALSE</v>
      </c>
      <c r="AO2162" s="10" t="str">
        <f t="shared" si="244"/>
        <v>FALSE</v>
      </c>
      <c r="AP2162" s="10" t="str">
        <f t="shared" si="244"/>
        <v>FALSE</v>
      </c>
      <c r="AQ2162" s="10" t="b">
        <f>IF(AND(I2162="TP",S2162&lt;=150),VLOOKUP(AF2162,TPCalibEq150!$AZ$2:$BB$55,3,),IF(AND(I2162="TDP",S2162&lt;=150),VLOOKUP(AF2162,TPCalibEq150!$AZ$2:$BB$55,3,)))</f>
        <v>0</v>
      </c>
      <c r="AR2162" s="10" t="b">
        <f>IF(AND(I2162="TP",S2162&lt;=300),VLOOKUP(AF2162,TPCalibEq300!$AZ$2:$BB$55,3,),IF(AND(I2162="TDP",S2162&lt;=300),VLOOKUP(AF2162,TPCalibEq300!$AZ$2:$BB$55,3,)))</f>
        <v>0</v>
      </c>
      <c r="AS2162" s="10" t="b">
        <f>IF(AND(I2162="TP",S2162&lt;=500),VLOOKUP(AF2162,TPCalibEq500!$AZ$2:$BB$56,3,),IF(AND(I2162="TDP",S2162&lt;=500),VLOOKUP(AF2162,TPCalibEq500!$AZ$2:$BB$56,3,)))</f>
        <v>0</v>
      </c>
      <c r="AT2162" s="10" t="b">
        <f>IF(AND(I2162="TN",S2162&lt;=2800),VLOOKUP(AF2162,TNCalibEq2500!$AZ$2:$BB$56,3,),IF(AND(I2162="TDN",S2162&lt;=2800),VLOOKUP(AF2162,TNCalibEq2500!$AZ$2:$BB$56,3,)))</f>
        <v>0</v>
      </c>
      <c r="AU2162" s="10" t="b">
        <f>IF(I2162="TP",VLOOKUP(AF2162,TPCalibEqFull!$AZ$2:$BB$56,3),IF(I2162="TDP",VLOOKUP(AF2162,TPCalibEqFull!$AZ$2:$BB$56,3),IF(I2162="TDN",VLOOKUP(AF2162,TNCalibEqFull!$AZ$1:$BB$56,3),IF(I2162="TN",VLOOKUP(AF2162,TNCalibEqFull!$AZ$1:$BB$56,3),FALSE))))</f>
        <v>0</v>
      </c>
      <c r="AV2162" s="10" t="str">
        <f t="shared" si="247"/>
        <v>0208 10:20:00-BUO-46-FIL-1-SW-DUP</v>
      </c>
    </row>
    <row r="2163" spans="1:48" s="10" customFormat="1" x14ac:dyDescent="0.55000000000000004">
      <c r="A2163" s="32">
        <v>44965</v>
      </c>
      <c r="B2163" s="33">
        <v>0.43055555555555558</v>
      </c>
      <c r="C2163" s="10" t="s">
        <v>611</v>
      </c>
      <c r="D2163" s="10">
        <v>46</v>
      </c>
      <c r="E2163" s="10" t="s">
        <v>911</v>
      </c>
      <c r="F2163" s="10">
        <v>1</v>
      </c>
      <c r="G2163" s="10" t="s">
        <v>231</v>
      </c>
      <c r="H2163" s="10" t="s">
        <v>314</v>
      </c>
      <c r="I2163" s="10" t="s">
        <v>183</v>
      </c>
      <c r="J2163" s="10">
        <v>132</v>
      </c>
      <c r="K2163" s="12">
        <v>44966</v>
      </c>
      <c r="L2163" s="33">
        <v>0.60276620370370371</v>
      </c>
      <c r="M2163" s="10">
        <v>1</v>
      </c>
      <c r="N2163" s="10" t="s">
        <v>76</v>
      </c>
      <c r="O2163" s="10">
        <v>13.1</v>
      </c>
      <c r="P2163" s="10">
        <v>1.05</v>
      </c>
      <c r="Q2163" s="10">
        <v>751</v>
      </c>
      <c r="R2163" s="10" t="s">
        <v>77</v>
      </c>
      <c r="S2163" s="34">
        <f t="shared" si="242"/>
        <v>751</v>
      </c>
      <c r="T2163" s="10" t="s">
        <v>1155</v>
      </c>
      <c r="U2163" s="34">
        <f t="shared" si="245"/>
        <v>108.72</v>
      </c>
      <c r="V2163" s="31">
        <f>IF(H2163="CHK",VLOOKUP(I2163,QCCHK,3,),IF(H2163="GUP",VLOOKUP(E2163,QCGUP,2,),IF(AND(H2163="ATP",OR(I2163="TN",I2163="TDN",I2163="TNO2-3",I2163="NO2-3")),VLOOKUP(E2163,QCREC_N,2,),IF(AND(H2163="NIC",OR(I2163="TN",I2163="TDN",I2163="TNO2-3",I2163="NO2-3")),VLOOKUP(E2163,QCNIC_N,2,),IF(AND(H2163="UREA",OR(I2163="TN",I2163="TDN",I2163="TNO2-3",I2163="NO2-3")),VLOOKUP(E2163,QCUREA_N,2,),IF(H2163="PER",VLOOKUP(I2163,QCPER,MATCH(E2163,QCACTUAL!$J$25:$AA$25,0),),IF(H2163="SPK",VLOOKUP(I2163,QCSPK,3,),IF(AND(H2163="ATP",OR(I2163="TP",I2163="TDP")),VLOOKUP(E2163,QCATP_P,2,),""))))))))</f>
        <v>625</v>
      </c>
      <c r="W2163" s="31" t="str">
        <f t="shared" si="246"/>
        <v>TRUE</v>
      </c>
      <c r="X2163" s="31" t="str">
        <f t="shared" si="241"/>
        <v>([spikedunkn]-[unkn])/[spike]*100</v>
      </c>
      <c r="Y2163" s="10" t="s">
        <v>1144</v>
      </c>
      <c r="AL2163" s="10" t="str">
        <f t="shared" si="243"/>
        <v>FALSE</v>
      </c>
      <c r="AM2163" s="10" t="str">
        <f t="shared" si="243"/>
        <v>FALSE</v>
      </c>
      <c r="AN2163" s="10" t="str">
        <f t="shared" si="243"/>
        <v>FALSE</v>
      </c>
      <c r="AO2163" s="10" t="str">
        <f t="shared" si="244"/>
        <v>FALSE</v>
      </c>
      <c r="AP2163" s="10" t="str">
        <f t="shared" si="244"/>
        <v>FALSE</v>
      </c>
      <c r="AQ2163" s="10" t="b">
        <f>IF(AND(I2163="TP",S2163&lt;=150),VLOOKUP(AF2163,TPCalibEq150!$AZ$2:$BB$55,3,),IF(AND(I2163="TDP",S2163&lt;=150),VLOOKUP(AF2163,TPCalibEq150!$AZ$2:$BB$55,3,)))</f>
        <v>0</v>
      </c>
      <c r="AR2163" s="10" t="b">
        <f>IF(AND(I2163="TP",S2163&lt;=300),VLOOKUP(AF2163,TPCalibEq300!$AZ$2:$BB$55,3,),IF(AND(I2163="TDP",S2163&lt;=300),VLOOKUP(AF2163,TPCalibEq300!$AZ$2:$BB$55,3,)))</f>
        <v>0</v>
      </c>
      <c r="AS2163" s="10" t="b">
        <f>IF(AND(I2163="TP",S2163&lt;=500),VLOOKUP(AF2163,TPCalibEq500!$AZ$2:$BB$56,3,),IF(AND(I2163="TDP",S2163&lt;=500),VLOOKUP(AF2163,TPCalibEq500!$AZ$2:$BB$56,3,)))</f>
        <v>0</v>
      </c>
      <c r="AT2163" s="10" t="b">
        <f>IF(AND(I2163="TN",S2163&lt;=2800),VLOOKUP(AF2163,TNCalibEq2500!$AZ$2:$BB$56,3,),IF(AND(I2163="TDN",S2163&lt;=2800),VLOOKUP(AF2163,TNCalibEq2500!$AZ$2:$BB$56,3,)))</f>
        <v>0</v>
      </c>
      <c r="AU2163" s="10" t="b">
        <f>IF(I2163="TP",VLOOKUP(AF2163,TPCalibEqFull!$AZ$2:$BB$56,3),IF(I2163="TDP",VLOOKUP(AF2163,TPCalibEqFull!$AZ$2:$BB$56,3),IF(I2163="TDN",VLOOKUP(AF2163,TNCalibEqFull!$AZ$1:$BB$56,3),IF(I2163="TN",VLOOKUP(AF2163,TNCalibEqFull!$AZ$1:$BB$56,3),FALSE))))</f>
        <v>0</v>
      </c>
      <c r="AV2163" s="10" t="str">
        <f t="shared" si="247"/>
        <v>0208 10:20:00-BUO-46-FIL-1-SW-SPK</v>
      </c>
    </row>
    <row r="2164" spans="1:48" s="10" customFormat="1" x14ac:dyDescent="0.55000000000000004">
      <c r="A2164" s="32">
        <v>44966</v>
      </c>
      <c r="B2164" s="33">
        <v>0.375</v>
      </c>
      <c r="C2164" s="10" t="s">
        <v>70</v>
      </c>
      <c r="D2164" s="10" t="s">
        <v>71</v>
      </c>
      <c r="E2164" s="10" t="s">
        <v>901</v>
      </c>
      <c r="F2164" s="10">
        <v>1</v>
      </c>
      <c r="G2164" s="10" t="s">
        <v>73</v>
      </c>
      <c r="H2164" s="10" t="s">
        <v>207</v>
      </c>
      <c r="I2164" s="10" t="s">
        <v>75</v>
      </c>
      <c r="J2164" s="10">
        <v>200</v>
      </c>
      <c r="K2164" s="12">
        <v>44966</v>
      </c>
      <c r="L2164" s="33">
        <v>0.60359953703703706</v>
      </c>
      <c r="M2164" s="10">
        <v>1</v>
      </c>
      <c r="N2164" s="10" t="s">
        <v>76</v>
      </c>
      <c r="O2164" s="10">
        <v>4.97</v>
      </c>
      <c r="P2164" s="10">
        <v>0.4</v>
      </c>
      <c r="Q2164" s="10">
        <v>285</v>
      </c>
      <c r="R2164" s="10" t="s">
        <v>77</v>
      </c>
      <c r="S2164" s="34">
        <f t="shared" si="242"/>
        <v>285</v>
      </c>
      <c r="T2164" s="10" t="s">
        <v>1155</v>
      </c>
      <c r="U2164" s="34">
        <f t="shared" si="245"/>
        <v>95</v>
      </c>
      <c r="V2164" s="31">
        <f>IF(H2164="CHK",VLOOKUP(I2164,QCCHK,3,),IF(H2164="GUP",VLOOKUP(E2164,QCGUP,2,),IF(AND(H2164="ATP",OR(I2164="TN",I2164="TDN",I2164="TNO2-3",I2164="NO2-3")),VLOOKUP(E2164,QCREC_N,2,),IF(AND(H2164="NIC",OR(I2164="TN",I2164="TDN",I2164="TNO2-3",I2164="NO2-3")),VLOOKUP(E2164,QCNIC_N,2,),IF(AND(H2164="UREA",OR(I2164="TN",I2164="TDN",I2164="TNO2-3",I2164="NO2-3")),VLOOKUP(E2164,QCUREA_N,2,),IF(H2164="PER",VLOOKUP(I2164,QCPER,MATCH(E2164,QCACTUAL!$J$25:$AA$25,0),),IF(H2164="SPK",VLOOKUP(I2164,QCSPK,3,),IF(AND(H2164="ATP",OR(I2164="TP",I2164="TDP")),VLOOKUP(E2164,QCATP_P,2,),""))))))))</f>
        <v>300</v>
      </c>
      <c r="W2164" s="31" t="str">
        <f t="shared" si="246"/>
        <v>TRUE</v>
      </c>
      <c r="X2164" s="31" t="str">
        <f t="shared" si="241"/>
        <v>[chk]/[actual]*100</v>
      </c>
      <c r="Y2164" s="10" t="s">
        <v>1144</v>
      </c>
      <c r="AL2164" s="10" t="str">
        <f t="shared" si="243"/>
        <v>FALSE</v>
      </c>
      <c r="AM2164" s="10" t="str">
        <f t="shared" si="243"/>
        <v>FALSE</v>
      </c>
      <c r="AN2164" s="10" t="str">
        <f t="shared" si="243"/>
        <v>FALSE</v>
      </c>
      <c r="AO2164" s="10" t="str">
        <f t="shared" si="244"/>
        <v>FALSE</v>
      </c>
      <c r="AP2164" s="10" t="str">
        <f t="shared" si="244"/>
        <v>FALSE</v>
      </c>
      <c r="AQ2164" s="10" t="b">
        <f>IF(AND(I2164="TP",S2164&lt;=150),VLOOKUP(AF2164,TPCalibEq150!$AZ$2:$BB$55,3,),IF(AND(I2164="TDP",S2164&lt;=150),VLOOKUP(AF2164,TPCalibEq150!$AZ$2:$BB$55,3,)))</f>
        <v>0</v>
      </c>
      <c r="AR2164" s="10" t="b">
        <f>IF(AND(I2164="TP",S2164&lt;=300),VLOOKUP(AF2164,TPCalibEq300!$AZ$2:$BB$55,3,),IF(AND(I2164="TDP",S2164&lt;=300),VLOOKUP(AF2164,TPCalibEq300!$AZ$2:$BB$55,3,)))</f>
        <v>0</v>
      </c>
      <c r="AS2164" s="10" t="b">
        <f>IF(AND(I2164="TP",S2164&lt;=500),VLOOKUP(AF2164,TPCalibEq500!$AZ$2:$BB$56,3,),IF(AND(I2164="TDP",S2164&lt;=500),VLOOKUP(AF2164,TPCalibEq500!$AZ$2:$BB$56,3,)))</f>
        <v>0</v>
      </c>
      <c r="AT2164" s="10" t="b">
        <f>IF(AND(I2164="TN",S2164&lt;=2800),VLOOKUP(AF2164,TNCalibEq2500!$AZ$2:$BB$56,3,),IF(AND(I2164="TDN",S2164&lt;=2800),VLOOKUP(AF2164,TNCalibEq2500!$AZ$2:$BB$56,3,)))</f>
        <v>0</v>
      </c>
      <c r="AU2164" s="10" t="b">
        <f>IF(I2164="TP",VLOOKUP(AF2164,TPCalibEqFull!$AZ$2:$BB$56,3),IF(I2164="TDP",VLOOKUP(AF2164,TPCalibEqFull!$AZ$2:$BB$56,3),IF(I2164="TDN",VLOOKUP(AF2164,TNCalibEqFull!$AZ$1:$BB$56,3),IF(I2164="TN",VLOOKUP(AF2164,TNCalibEqFull!$AZ$1:$BB$56,3),FALSE))))</f>
        <v>0</v>
      </c>
      <c r="AV2164" s="10" t="str">
        <f t="shared" si="247"/>
        <v>0209 09:00:00-QAC-STD-D-1-DI-CHK</v>
      </c>
    </row>
    <row r="2165" spans="1:48" s="10" customFormat="1" x14ac:dyDescent="0.55000000000000004">
      <c r="A2165" s="32">
        <v>44964</v>
      </c>
      <c r="B2165" s="33">
        <v>0.22777777777777777</v>
      </c>
      <c r="C2165" s="10" t="s">
        <v>912</v>
      </c>
      <c r="D2165" s="10">
        <v>0</v>
      </c>
      <c r="E2165" s="10" t="s">
        <v>911</v>
      </c>
      <c r="F2165" s="10">
        <v>1</v>
      </c>
      <c r="G2165" s="10" t="s">
        <v>231</v>
      </c>
      <c r="H2165" s="10" t="s">
        <v>314</v>
      </c>
      <c r="I2165" s="10" t="s">
        <v>183</v>
      </c>
      <c r="J2165" s="10">
        <v>126</v>
      </c>
      <c r="K2165" s="12">
        <v>44966</v>
      </c>
      <c r="L2165" s="33">
        <v>0.60440972222222222</v>
      </c>
      <c r="M2165" s="10">
        <v>1</v>
      </c>
      <c r="N2165" s="10" t="s">
        <v>76</v>
      </c>
      <c r="O2165" s="10">
        <v>10.199999999999999</v>
      </c>
      <c r="P2165" s="10">
        <v>0.81399999999999995</v>
      </c>
      <c r="Q2165" s="10">
        <v>583</v>
      </c>
      <c r="R2165" s="10" t="s">
        <v>77</v>
      </c>
      <c r="S2165" s="34">
        <f t="shared" si="242"/>
        <v>583</v>
      </c>
      <c r="T2165" s="10" t="s">
        <v>1155</v>
      </c>
      <c r="U2165" s="34">
        <f t="shared" si="245"/>
        <v>47.68</v>
      </c>
      <c r="V2165" s="31">
        <f>IF(H2165="CHK",VLOOKUP(I2165,QCCHK,3,),IF(H2165="GUP",VLOOKUP(E2165,QCGUP,2,),IF(AND(H2165="ATP",OR(I2165="TN",I2165="TDN",I2165="TNO2-3",I2165="NO2-3")),VLOOKUP(E2165,QCREC_N,2,),IF(AND(H2165="NIC",OR(I2165="TN",I2165="TDN",I2165="TNO2-3",I2165="NO2-3")),VLOOKUP(E2165,QCNIC_N,2,),IF(AND(H2165="UREA",OR(I2165="TN",I2165="TDN",I2165="TNO2-3",I2165="NO2-3")),VLOOKUP(E2165,QCUREA_N,2,),IF(H2165="PER",VLOOKUP(I2165,QCPER,MATCH(E2165,QCACTUAL!$J$25:$AA$25,0),),IF(H2165="SPK",VLOOKUP(I2165,QCSPK,3,),IF(AND(H2165="ATP",OR(I2165="TP",I2165="TDP")),VLOOKUP(E2165,QCATP_P,2,),""))))))))</f>
        <v>625</v>
      </c>
      <c r="W2165" s="31" t="str">
        <f t="shared" si="246"/>
        <v>FALSE</v>
      </c>
      <c r="X2165" s="31" t="str">
        <f t="shared" si="241"/>
        <v>([spikedunkn]-[unkn])/[spike]*100</v>
      </c>
      <c r="Y2165" s="10" t="s">
        <v>1144</v>
      </c>
      <c r="Z2165" s="10" t="s">
        <v>910</v>
      </c>
      <c r="AL2165" s="10" t="str">
        <f t="shared" si="243"/>
        <v>FALSE</v>
      </c>
      <c r="AM2165" s="10" t="str">
        <f t="shared" si="243"/>
        <v>FALSE</v>
      </c>
      <c r="AN2165" s="10" t="str">
        <f t="shared" si="243"/>
        <v>FALSE</v>
      </c>
      <c r="AO2165" s="10" t="str">
        <f t="shared" si="244"/>
        <v>FALSE</v>
      </c>
      <c r="AP2165" s="10" t="str">
        <f t="shared" si="244"/>
        <v>FALSE</v>
      </c>
      <c r="AQ2165" s="10" t="b">
        <f>IF(AND(I2165="TP",S2165&lt;=150),VLOOKUP(AF2165,TPCalibEq150!$AZ$2:$BB$55,3,),IF(AND(I2165="TDP",S2165&lt;=150),VLOOKUP(AF2165,TPCalibEq150!$AZ$2:$BB$55,3,)))</f>
        <v>0</v>
      </c>
      <c r="AR2165" s="10" t="b">
        <f>IF(AND(I2165="TP",S2165&lt;=300),VLOOKUP(AF2165,TPCalibEq300!$AZ$2:$BB$55,3,),IF(AND(I2165="TDP",S2165&lt;=300),VLOOKUP(AF2165,TPCalibEq300!$AZ$2:$BB$55,3,)))</f>
        <v>0</v>
      </c>
      <c r="AS2165" s="10" t="b">
        <f>IF(AND(I2165="TP",S2165&lt;=500),VLOOKUP(AF2165,TPCalibEq500!$AZ$2:$BB$56,3,),IF(AND(I2165="TDP",S2165&lt;=500),VLOOKUP(AF2165,TPCalibEq500!$AZ$2:$BB$56,3,)))</f>
        <v>0</v>
      </c>
      <c r="AT2165" s="10" t="b">
        <f>IF(AND(I2165="TN",S2165&lt;=2800),VLOOKUP(AF2165,TNCalibEq2500!$AZ$2:$BB$56,3,),IF(AND(I2165="TDN",S2165&lt;=2800),VLOOKUP(AF2165,TNCalibEq2500!$AZ$2:$BB$56,3,)))</f>
        <v>0</v>
      </c>
      <c r="AU2165" s="10" t="b">
        <f>IF(I2165="TP",VLOOKUP(AF2165,TPCalibEqFull!$AZ$2:$BB$56,3),IF(I2165="TDP",VLOOKUP(AF2165,TPCalibEqFull!$AZ$2:$BB$56,3),IF(I2165="TDN",VLOOKUP(AF2165,TNCalibEqFull!$AZ$1:$BB$56,3),IF(I2165="TN",VLOOKUP(AF2165,TNCalibEqFull!$AZ$1:$BB$56,3),FALSE))))</f>
        <v>0</v>
      </c>
      <c r="AV2165" s="10" t="str">
        <f t="shared" si="247"/>
        <v>0207 05:28:00-HST -0-FIL-1-SW-SPK</v>
      </c>
    </row>
    <row r="2166" spans="1:48" s="10" customFormat="1" x14ac:dyDescent="0.55000000000000004">
      <c r="A2166" s="32">
        <v>44963</v>
      </c>
      <c r="B2166" s="33">
        <v>0.4604166666666667</v>
      </c>
      <c r="C2166" s="10" t="s">
        <v>613</v>
      </c>
      <c r="D2166" s="10">
        <v>0</v>
      </c>
      <c r="E2166" s="10" t="s">
        <v>911</v>
      </c>
      <c r="F2166" s="10">
        <v>2</v>
      </c>
      <c r="G2166" s="10" t="s">
        <v>231</v>
      </c>
      <c r="H2166" s="10" t="s">
        <v>314</v>
      </c>
      <c r="I2166" s="10" t="s">
        <v>183</v>
      </c>
      <c r="J2166" s="10">
        <v>127</v>
      </c>
      <c r="K2166" s="12">
        <v>44966</v>
      </c>
      <c r="L2166" s="33">
        <v>0.60523148148148154</v>
      </c>
      <c r="M2166" s="10">
        <v>1</v>
      </c>
      <c r="N2166" s="10" t="s">
        <v>76</v>
      </c>
      <c r="O2166" s="10">
        <v>10.8</v>
      </c>
      <c r="P2166" s="10">
        <v>0.86599999999999999</v>
      </c>
      <c r="Q2166" s="10">
        <v>620</v>
      </c>
      <c r="R2166" s="10" t="s">
        <v>77</v>
      </c>
      <c r="S2166" s="34">
        <f t="shared" si="242"/>
        <v>620</v>
      </c>
      <c r="T2166" s="10" t="s">
        <v>1155</v>
      </c>
      <c r="U2166" s="34">
        <f t="shared" si="245"/>
        <v>5.92</v>
      </c>
      <c r="V2166" s="31">
        <f>IF(H2166="CHK",VLOOKUP(I2166,QCCHK,3,),IF(H2166="GUP",VLOOKUP(E2166,QCGUP,2,),IF(AND(H2166="ATP",OR(I2166="TN",I2166="TDN",I2166="TNO2-3",I2166="NO2-3")),VLOOKUP(E2166,QCREC_N,2,),IF(AND(H2166="NIC",OR(I2166="TN",I2166="TDN",I2166="TNO2-3",I2166="NO2-3")),VLOOKUP(E2166,QCNIC_N,2,),IF(AND(H2166="UREA",OR(I2166="TN",I2166="TDN",I2166="TNO2-3",I2166="NO2-3")),VLOOKUP(E2166,QCUREA_N,2,),IF(H2166="PER",VLOOKUP(I2166,QCPER,MATCH(E2166,QCACTUAL!$J$25:$AA$25,0),),IF(H2166="SPK",VLOOKUP(I2166,QCSPK,3,),IF(AND(H2166="ATP",OR(I2166="TP",I2166="TDP")),VLOOKUP(E2166,QCATP_P,2,),""))))))))</f>
        <v>625</v>
      </c>
      <c r="W2166" s="31" t="str">
        <f t="shared" si="246"/>
        <v>FALSE</v>
      </c>
      <c r="X2166" s="31" t="str">
        <f t="shared" si="241"/>
        <v>([spikedunkn]-[unkn])/[spike]*100</v>
      </c>
      <c r="Y2166" s="10" t="s">
        <v>1144</v>
      </c>
      <c r="Z2166" s="10" t="s">
        <v>910</v>
      </c>
      <c r="AL2166" s="10" t="str">
        <f t="shared" si="243"/>
        <v>FALSE</v>
      </c>
      <c r="AM2166" s="10" t="str">
        <f t="shared" si="243"/>
        <v>FALSE</v>
      </c>
      <c r="AN2166" s="10" t="str">
        <f t="shared" si="243"/>
        <v>FALSE</v>
      </c>
      <c r="AO2166" s="10" t="str">
        <f t="shared" si="244"/>
        <v>FALSE</v>
      </c>
      <c r="AP2166" s="10" t="str">
        <f t="shared" si="244"/>
        <v>FALSE</v>
      </c>
      <c r="AQ2166" s="10" t="b">
        <f>IF(AND(I2166="TP",S2166&lt;=150),VLOOKUP(AF2166,TPCalibEq150!$AZ$2:$BB$55,3,),IF(AND(I2166="TDP",S2166&lt;=150),VLOOKUP(AF2166,TPCalibEq150!$AZ$2:$BB$55,3,)))</f>
        <v>0</v>
      </c>
      <c r="AR2166" s="10" t="b">
        <f>IF(AND(I2166="TP",S2166&lt;=300),VLOOKUP(AF2166,TPCalibEq300!$AZ$2:$BB$55,3,),IF(AND(I2166="TDP",S2166&lt;=300),VLOOKUP(AF2166,TPCalibEq300!$AZ$2:$BB$55,3,)))</f>
        <v>0</v>
      </c>
      <c r="AS2166" s="10" t="b">
        <f>IF(AND(I2166="TP",S2166&lt;=500),VLOOKUP(AF2166,TPCalibEq500!$AZ$2:$BB$56,3,),IF(AND(I2166="TDP",S2166&lt;=500),VLOOKUP(AF2166,TPCalibEq500!$AZ$2:$BB$56,3,)))</f>
        <v>0</v>
      </c>
      <c r="AT2166" s="10" t="b">
        <f>IF(AND(I2166="TN",S2166&lt;=2800),VLOOKUP(AF2166,TNCalibEq2500!$AZ$2:$BB$56,3,),IF(AND(I2166="TDN",S2166&lt;=2800),VLOOKUP(AF2166,TNCalibEq2500!$AZ$2:$BB$56,3,)))</f>
        <v>0</v>
      </c>
      <c r="AU2166" s="10" t="b">
        <f>IF(I2166="TP",VLOOKUP(AF2166,TPCalibEqFull!$AZ$2:$BB$56,3),IF(I2166="TDP",VLOOKUP(AF2166,TPCalibEqFull!$AZ$2:$BB$56,3),IF(I2166="TDN",VLOOKUP(AF2166,TNCalibEqFull!$AZ$1:$BB$56,3),IF(I2166="TN",VLOOKUP(AF2166,TNCalibEqFull!$AZ$1:$BB$56,3),FALSE))))</f>
        <v>0</v>
      </c>
      <c r="AV2166" s="10" t="str">
        <f t="shared" si="247"/>
        <v>0206 11:03:00-FVC-0-FIL-2-SW-SPK</v>
      </c>
    </row>
    <row r="2167" spans="1:48" s="10" customFormat="1" x14ac:dyDescent="0.55000000000000004">
      <c r="A2167" s="32">
        <v>44966</v>
      </c>
      <c r="B2167" s="33">
        <v>0.375</v>
      </c>
      <c r="C2167" s="10" t="s">
        <v>70</v>
      </c>
      <c r="D2167" s="10" t="s">
        <v>71</v>
      </c>
      <c r="E2167" s="10" t="s">
        <v>901</v>
      </c>
      <c r="F2167" s="10">
        <v>1</v>
      </c>
      <c r="G2167" s="10" t="s">
        <v>73</v>
      </c>
      <c r="H2167" s="10" t="s">
        <v>207</v>
      </c>
      <c r="I2167" s="10" t="s">
        <v>75</v>
      </c>
      <c r="J2167" s="10">
        <v>200</v>
      </c>
      <c r="K2167" s="12">
        <v>44966</v>
      </c>
      <c r="L2167" s="33">
        <v>0.61667824074074074</v>
      </c>
      <c r="M2167" s="10">
        <v>1</v>
      </c>
      <c r="N2167" s="10" t="s">
        <v>76</v>
      </c>
      <c r="O2167" s="10">
        <v>5.25</v>
      </c>
      <c r="P2167" s="10">
        <v>0.40799999999999997</v>
      </c>
      <c r="Q2167" s="10">
        <v>302</v>
      </c>
      <c r="R2167" s="10" t="s">
        <v>77</v>
      </c>
      <c r="S2167" s="34">
        <f t="shared" si="242"/>
        <v>302</v>
      </c>
      <c r="T2167" s="10" t="s">
        <v>1155</v>
      </c>
      <c r="U2167" s="34">
        <f t="shared" si="245"/>
        <v>100.66666666666666</v>
      </c>
      <c r="V2167" s="31">
        <f>IF(H2167="CHK",VLOOKUP(I2167,QCCHK,3,),IF(H2167="GUP",VLOOKUP(E2167,QCGUP,2,),IF(AND(H2167="ATP",OR(I2167="TN",I2167="TDN",I2167="TNO2-3",I2167="NO2-3")),VLOOKUP(E2167,QCREC_N,2,),IF(AND(H2167="NIC",OR(I2167="TN",I2167="TDN",I2167="TNO2-3",I2167="NO2-3")),VLOOKUP(E2167,QCNIC_N,2,),IF(AND(H2167="UREA",OR(I2167="TN",I2167="TDN",I2167="TNO2-3",I2167="NO2-3")),VLOOKUP(E2167,QCUREA_N,2,),IF(H2167="PER",VLOOKUP(I2167,QCPER,MATCH(E2167,QCACTUAL!$J$25:$AA$25,0),),IF(H2167="SPK",VLOOKUP(I2167,QCSPK,3,),IF(AND(H2167="ATP",OR(I2167="TP",I2167="TDP")),VLOOKUP(E2167,QCATP_P,2,),""))))))))</f>
        <v>300</v>
      </c>
      <c r="W2167" s="31" t="str">
        <f t="shared" si="246"/>
        <v>TRUE</v>
      </c>
      <c r="X2167" s="31" t="str">
        <f t="shared" si="241"/>
        <v>[chk]/[actual]*100</v>
      </c>
      <c r="Y2167" s="10" t="s">
        <v>1144</v>
      </c>
      <c r="AL2167" s="10" t="str">
        <f t="shared" si="243"/>
        <v>FALSE</v>
      </c>
      <c r="AM2167" s="10" t="str">
        <f t="shared" si="243"/>
        <v>FALSE</v>
      </c>
      <c r="AN2167" s="10" t="str">
        <f t="shared" si="243"/>
        <v>FALSE</v>
      </c>
      <c r="AO2167" s="10" t="str">
        <f t="shared" si="244"/>
        <v>FALSE</v>
      </c>
      <c r="AP2167" s="10" t="str">
        <f t="shared" si="244"/>
        <v>FALSE</v>
      </c>
      <c r="AQ2167" s="10" t="b">
        <f>IF(AND(I2167="TP",S2167&lt;=150),VLOOKUP(AF2167,TPCalibEq150!$AZ$2:$BB$55,3,),IF(AND(I2167="TDP",S2167&lt;=150),VLOOKUP(AF2167,TPCalibEq150!$AZ$2:$BB$55,3,)))</f>
        <v>0</v>
      </c>
      <c r="AR2167" s="10" t="b">
        <f>IF(AND(I2167="TP",S2167&lt;=300),VLOOKUP(AF2167,TPCalibEq300!$AZ$2:$BB$55,3,),IF(AND(I2167="TDP",S2167&lt;=300),VLOOKUP(AF2167,TPCalibEq300!$AZ$2:$BB$55,3,)))</f>
        <v>0</v>
      </c>
      <c r="AS2167" s="10" t="b">
        <f>IF(AND(I2167="TP",S2167&lt;=500),VLOOKUP(AF2167,TPCalibEq500!$AZ$2:$BB$56,3,),IF(AND(I2167="TDP",S2167&lt;=500),VLOOKUP(AF2167,TPCalibEq500!$AZ$2:$BB$56,3,)))</f>
        <v>0</v>
      </c>
      <c r="AT2167" s="10" t="b">
        <f>IF(AND(I2167="TN",S2167&lt;=2800),VLOOKUP(AF2167,TNCalibEq2500!$AZ$2:$BB$56,3,),IF(AND(I2167="TDN",S2167&lt;=2800),VLOOKUP(AF2167,TNCalibEq2500!$AZ$2:$BB$56,3,)))</f>
        <v>0</v>
      </c>
      <c r="AU2167" s="10" t="b">
        <f>IF(I2167="TP",VLOOKUP(AF2167,TPCalibEqFull!$AZ$2:$BB$56,3),IF(I2167="TDP",VLOOKUP(AF2167,TPCalibEqFull!$AZ$2:$BB$56,3),IF(I2167="TDN",VLOOKUP(AF2167,TNCalibEqFull!$AZ$1:$BB$56,3),IF(I2167="TN",VLOOKUP(AF2167,TNCalibEqFull!$AZ$1:$BB$56,3),FALSE))))</f>
        <v>0</v>
      </c>
      <c r="AV2167" s="10" t="str">
        <f t="shared" si="247"/>
        <v>0209 09:00:00-QAC-STD-D-1-DI-CHK</v>
      </c>
    </row>
    <row r="2168" spans="1:48" s="10" customFormat="1" x14ac:dyDescent="0.55000000000000004">
      <c r="A2168" s="32">
        <v>44966</v>
      </c>
      <c r="B2168" s="33">
        <v>0.375</v>
      </c>
      <c r="C2168" s="10" t="s">
        <v>70</v>
      </c>
      <c r="D2168" s="10" t="s">
        <v>71</v>
      </c>
      <c r="E2168" s="10" t="s">
        <v>72</v>
      </c>
      <c r="F2168" s="10">
        <v>1</v>
      </c>
      <c r="G2168" s="10" t="s">
        <v>73</v>
      </c>
      <c r="H2168" s="10" t="s">
        <v>74</v>
      </c>
      <c r="I2168" s="10" t="s">
        <v>285</v>
      </c>
      <c r="J2168" s="10">
        <v>181</v>
      </c>
      <c r="K2168" s="12">
        <v>44966</v>
      </c>
      <c r="L2168" s="33">
        <v>0.44186342592592592</v>
      </c>
      <c r="M2168" s="10">
        <v>1</v>
      </c>
      <c r="N2168" s="10" t="s">
        <v>211</v>
      </c>
      <c r="O2168" s="10">
        <v>6.7099999999999998E-3</v>
      </c>
      <c r="P2168" s="10">
        <v>5.7399999999999997E-4</v>
      </c>
      <c r="Q2168" s="10">
        <v>0</v>
      </c>
      <c r="R2168" s="10" t="s">
        <v>913</v>
      </c>
      <c r="S2168" s="34">
        <f t="shared" si="242"/>
        <v>0</v>
      </c>
      <c r="T2168" s="10" t="s">
        <v>914</v>
      </c>
      <c r="U2168" s="34" t="str">
        <f t="shared" si="245"/>
        <v/>
      </c>
      <c r="V2168" s="31" t="str">
        <f>IF(H2168="CHK",VLOOKUP(I2168,QCCHK,3,),IF(H2168="GUP",VLOOKUP(E2168,QCGUP,2,),IF(AND(H2168="ATP",OR(I2168="TN",I2168="TDN",I2168="TNO2-3",I2168="NO2-3")),VLOOKUP(E2168,QCREC_N,2,),IF(AND(H2168="NIC",OR(I2168="TN",I2168="TDN",I2168="TNO2-3",I2168="NO2-3")),VLOOKUP(E2168,QCNIC_N,2,),IF(AND(H2168="UREA",OR(I2168="TN",I2168="TDN",I2168="TNO2-3",I2168="NO2-3")),VLOOKUP(E2168,QCUREA_N,2,),IF(H2168="PER",VLOOKUP(I2168,QCPER,MATCH(E2168,QCACTUAL!$J$25:$AA$25,0),),IF(H2168="SPK",VLOOKUP(I2168,QCSPK,3,),IF(AND(H2168="ATP",OR(I2168="TP",I2168="TDP")),VLOOKUP(E2168,QCATP_P,2,),""))))))))</f>
        <v/>
      </c>
      <c r="W2168" s="31" t="str">
        <f t="shared" si="246"/>
        <v>TRUE</v>
      </c>
      <c r="X2168" s="31" t="str">
        <f t="shared" si="241"/>
        <v/>
      </c>
      <c r="Y2168" s="10" t="s">
        <v>1144</v>
      </c>
      <c r="AL2168" s="10" t="str">
        <f t="shared" si="243"/>
        <v>FALSE</v>
      </c>
      <c r="AM2168" s="10" t="str">
        <f t="shared" si="243"/>
        <v>FALSE</v>
      </c>
      <c r="AN2168" s="10" t="str">
        <f t="shared" si="243"/>
        <v>FALSE</v>
      </c>
      <c r="AO2168" s="10" t="str">
        <f t="shared" si="244"/>
        <v>FALSE</v>
      </c>
      <c r="AP2168" s="10" t="str">
        <f t="shared" si="244"/>
        <v>FALSE</v>
      </c>
      <c r="AQ2168" s="10" t="b">
        <f>IF(AND(I2168="TP",S2168&lt;=150),VLOOKUP(AF2168,TPCalibEq150!$AZ$2:$BB$55,3,),IF(AND(I2168="TDP",S2168&lt;=150),VLOOKUP(AF2168,TPCalibEq150!$AZ$2:$BB$55,3,)))</f>
        <v>0</v>
      </c>
      <c r="AR2168" s="10" t="b">
        <f>IF(AND(I2168="TP",S2168&lt;=300),VLOOKUP(AF2168,TPCalibEq300!$AZ$2:$BB$55,3,),IF(AND(I2168="TDP",S2168&lt;=300),VLOOKUP(AF2168,TPCalibEq300!$AZ$2:$BB$55,3,)))</f>
        <v>0</v>
      </c>
      <c r="AS2168" s="10" t="b">
        <f>IF(AND(I2168="TP",S2168&lt;=500),VLOOKUP(AF2168,TPCalibEq500!$AZ$2:$BB$56,3,),IF(AND(I2168="TDP",S2168&lt;=500),VLOOKUP(AF2168,TPCalibEq500!$AZ$2:$BB$56,3,)))</f>
        <v>0</v>
      </c>
      <c r="AT2168" s="10" t="b">
        <f>IF(AND(I2168="TN",S2168&lt;=2800),VLOOKUP(AF2168,TNCalibEq2500!$AZ$2:$BB$56,3,),IF(AND(I2168="TDN",S2168&lt;=2800),VLOOKUP(AF2168,TNCalibEq2500!$AZ$2:$BB$56,3,)))</f>
        <v>0</v>
      </c>
      <c r="AU2168" s="10" t="b">
        <f>IF(I2168="TP",VLOOKUP(AF2168,TPCalibEqFull!$AZ$2:$BB$56,3),IF(I2168="TDP",VLOOKUP(AF2168,TPCalibEqFull!$AZ$2:$BB$56,3),IF(I2168="TDN",VLOOKUP(AF2168,TNCalibEqFull!$AZ$1:$BB$56,3),IF(I2168="TN",VLOOKUP(AF2168,TNCalibEqFull!$AZ$1:$BB$56,3),FALSE))))</f>
        <v>0</v>
      </c>
      <c r="AV2168" s="10" t="str">
        <f t="shared" si="247"/>
        <v>0209 09:00:00-QAC-STD-H-1-DI-CAL</v>
      </c>
    </row>
    <row r="2169" spans="1:48" s="10" customFormat="1" x14ac:dyDescent="0.55000000000000004">
      <c r="A2169" s="32">
        <v>44966</v>
      </c>
      <c r="B2169" s="33">
        <v>0.375</v>
      </c>
      <c r="C2169" s="10" t="s">
        <v>70</v>
      </c>
      <c r="D2169" s="10" t="s">
        <v>71</v>
      </c>
      <c r="E2169" s="10" t="s">
        <v>908</v>
      </c>
      <c r="F2169" s="10">
        <v>1</v>
      </c>
      <c r="G2169" s="10" t="s">
        <v>73</v>
      </c>
      <c r="H2169" s="10" t="s">
        <v>74</v>
      </c>
      <c r="I2169" s="10" t="s">
        <v>285</v>
      </c>
      <c r="J2169" s="10">
        <v>182</v>
      </c>
      <c r="K2169" s="12">
        <v>44966</v>
      </c>
      <c r="L2169" s="33">
        <v>0.44271990740740735</v>
      </c>
      <c r="M2169" s="10">
        <v>1</v>
      </c>
      <c r="N2169" s="10" t="s">
        <v>211</v>
      </c>
      <c r="O2169" s="10">
        <v>3.5000000000000003E-2</v>
      </c>
      <c r="P2169" s="10">
        <v>3.3999999999999998E-3</v>
      </c>
      <c r="Q2169" s="10">
        <v>5</v>
      </c>
      <c r="R2169" s="10" t="s">
        <v>913</v>
      </c>
      <c r="S2169" s="34">
        <f t="shared" si="242"/>
        <v>5</v>
      </c>
      <c r="T2169" s="10" t="s">
        <v>1156</v>
      </c>
      <c r="U2169" s="34" t="str">
        <f t="shared" si="245"/>
        <v/>
      </c>
      <c r="V2169" s="31" t="str">
        <f>IF(H2169="CHK",VLOOKUP(I2169,QCCHK,3,),IF(H2169="GUP",VLOOKUP(E2169,QCGUP,2,),IF(AND(H2169="ATP",OR(I2169="TN",I2169="TDN",I2169="TNO2-3",I2169="NO2-3")),VLOOKUP(E2169,QCREC_N,2,),IF(AND(H2169="NIC",OR(I2169="TN",I2169="TDN",I2169="TNO2-3",I2169="NO2-3")),VLOOKUP(E2169,QCNIC_N,2,),IF(AND(H2169="UREA",OR(I2169="TN",I2169="TDN",I2169="TNO2-3",I2169="NO2-3")),VLOOKUP(E2169,QCUREA_N,2,),IF(H2169="PER",VLOOKUP(I2169,QCPER,MATCH(E2169,QCACTUAL!$J$25:$AA$25,0),),IF(H2169="SPK",VLOOKUP(I2169,QCSPK,3,),IF(AND(H2169="ATP",OR(I2169="TP",I2169="TDP")),VLOOKUP(E2169,QCATP_P,2,),""))))))))</f>
        <v/>
      </c>
      <c r="W2169" s="31" t="str">
        <f t="shared" si="246"/>
        <v>TRUE</v>
      </c>
      <c r="X2169" s="31" t="str">
        <f t="shared" si="241"/>
        <v/>
      </c>
      <c r="Y2169" s="10" t="s">
        <v>1144</v>
      </c>
      <c r="AL2169" s="10" t="str">
        <f t="shared" si="243"/>
        <v>FALSE</v>
      </c>
      <c r="AM2169" s="10" t="str">
        <f t="shared" si="243"/>
        <v>FALSE</v>
      </c>
      <c r="AN2169" s="10" t="str">
        <f t="shared" si="243"/>
        <v>FALSE</v>
      </c>
      <c r="AO2169" s="10" t="str">
        <f t="shared" si="244"/>
        <v>FALSE</v>
      </c>
      <c r="AP2169" s="10" t="str">
        <f t="shared" si="244"/>
        <v>FALSE</v>
      </c>
      <c r="AQ2169" s="10" t="b">
        <f>IF(AND(I2169="TP",S2169&lt;=150),VLOOKUP(AF2169,TPCalibEq150!$AZ$2:$BB$55,3,),IF(AND(I2169="TDP",S2169&lt;=150),VLOOKUP(AF2169,TPCalibEq150!$AZ$2:$BB$55,3,)))</f>
        <v>0</v>
      </c>
      <c r="AR2169" s="10" t="b">
        <f>IF(AND(I2169="TP",S2169&lt;=300),VLOOKUP(AF2169,TPCalibEq300!$AZ$2:$BB$55,3,),IF(AND(I2169="TDP",S2169&lt;=300),VLOOKUP(AF2169,TPCalibEq300!$AZ$2:$BB$55,3,)))</f>
        <v>0</v>
      </c>
      <c r="AS2169" s="10" t="b">
        <f>IF(AND(I2169="TP",S2169&lt;=500),VLOOKUP(AF2169,TPCalibEq500!$AZ$2:$BB$56,3,),IF(AND(I2169="TDP",S2169&lt;=500),VLOOKUP(AF2169,TPCalibEq500!$AZ$2:$BB$56,3,)))</f>
        <v>0</v>
      </c>
      <c r="AT2169" s="10" t="b">
        <f>IF(AND(I2169="TN",S2169&lt;=2800),VLOOKUP(AF2169,TNCalibEq2500!$AZ$2:$BB$56,3,),IF(AND(I2169="TDN",S2169&lt;=2800),VLOOKUP(AF2169,TNCalibEq2500!$AZ$2:$BB$56,3,)))</f>
        <v>0</v>
      </c>
      <c r="AU2169" s="10" t="b">
        <f>IF(I2169="TP",VLOOKUP(AF2169,TPCalibEqFull!$AZ$2:$BB$56,3),IF(I2169="TDP",VLOOKUP(AF2169,TPCalibEqFull!$AZ$2:$BB$56,3),IF(I2169="TDN",VLOOKUP(AF2169,TNCalibEqFull!$AZ$1:$BB$56,3),IF(I2169="TN",VLOOKUP(AF2169,TNCalibEqFull!$AZ$1:$BB$56,3),FALSE))))</f>
        <v>0</v>
      </c>
      <c r="AV2169" s="10" t="str">
        <f t="shared" si="247"/>
        <v>0209 09:00:00-QAC-STD-G-1-DI-CAL</v>
      </c>
    </row>
    <row r="2170" spans="1:48" s="10" customFormat="1" x14ac:dyDescent="0.55000000000000004">
      <c r="A2170" s="32">
        <v>44966</v>
      </c>
      <c r="B2170" s="33">
        <v>0.375</v>
      </c>
      <c r="C2170" s="10" t="s">
        <v>70</v>
      </c>
      <c r="D2170" s="10" t="s">
        <v>71</v>
      </c>
      <c r="E2170" s="10" t="s">
        <v>550</v>
      </c>
      <c r="F2170" s="10">
        <v>1</v>
      </c>
      <c r="G2170" s="10" t="s">
        <v>73</v>
      </c>
      <c r="H2170" s="10" t="s">
        <v>74</v>
      </c>
      <c r="I2170" s="10" t="s">
        <v>285</v>
      </c>
      <c r="J2170" s="10">
        <v>183</v>
      </c>
      <c r="K2170" s="12">
        <v>44966</v>
      </c>
      <c r="L2170" s="33">
        <v>0.4435648148148148</v>
      </c>
      <c r="M2170" s="10">
        <v>1</v>
      </c>
      <c r="N2170" s="10" t="s">
        <v>211</v>
      </c>
      <c r="O2170" s="10">
        <v>8.2699999999999996E-2</v>
      </c>
      <c r="P2170" s="10">
        <v>8.3599999999999994E-3</v>
      </c>
      <c r="Q2170" s="10">
        <v>15</v>
      </c>
      <c r="R2170" s="10" t="s">
        <v>913</v>
      </c>
      <c r="S2170" s="34">
        <f t="shared" si="242"/>
        <v>15</v>
      </c>
      <c r="T2170" s="10" t="s">
        <v>1157</v>
      </c>
      <c r="U2170" s="34" t="str">
        <f t="shared" si="245"/>
        <v/>
      </c>
      <c r="V2170" s="31" t="str">
        <f>IF(H2170="CHK",VLOOKUP(I2170,QCCHK,3,),IF(H2170="GUP",VLOOKUP(E2170,QCGUP,2,),IF(AND(H2170="ATP",OR(I2170="TN",I2170="TDN",I2170="TNO2-3",I2170="NO2-3")),VLOOKUP(E2170,QCREC_N,2,),IF(AND(H2170="NIC",OR(I2170="TN",I2170="TDN",I2170="TNO2-3",I2170="NO2-3")),VLOOKUP(E2170,QCNIC_N,2,),IF(AND(H2170="UREA",OR(I2170="TN",I2170="TDN",I2170="TNO2-3",I2170="NO2-3")),VLOOKUP(E2170,QCUREA_N,2,),IF(H2170="PER",VLOOKUP(I2170,QCPER,MATCH(E2170,QCACTUAL!$J$25:$AA$25,0),),IF(H2170="SPK",VLOOKUP(I2170,QCSPK,3,),IF(AND(H2170="ATP",OR(I2170="TP",I2170="TDP")),VLOOKUP(E2170,QCATP_P,2,),""))))))))</f>
        <v/>
      </c>
      <c r="W2170" s="31" t="str">
        <f t="shared" si="246"/>
        <v>TRUE</v>
      </c>
      <c r="X2170" s="31" t="str">
        <f t="shared" si="241"/>
        <v/>
      </c>
      <c r="Y2170" s="10" t="s">
        <v>1144</v>
      </c>
      <c r="AL2170" s="10" t="str">
        <f t="shared" si="243"/>
        <v>FALSE</v>
      </c>
      <c r="AM2170" s="10" t="str">
        <f t="shared" si="243"/>
        <v>FALSE</v>
      </c>
      <c r="AN2170" s="10" t="str">
        <f t="shared" si="243"/>
        <v>FALSE</v>
      </c>
      <c r="AO2170" s="10" t="str">
        <f t="shared" si="244"/>
        <v>FALSE</v>
      </c>
      <c r="AP2170" s="10" t="str">
        <f t="shared" si="244"/>
        <v>FALSE</v>
      </c>
      <c r="AQ2170" s="10" t="b">
        <f>IF(AND(I2170="TP",S2170&lt;=150),VLOOKUP(AF2170,TPCalibEq150!$AZ$2:$BB$55,3,),IF(AND(I2170="TDP",S2170&lt;=150),VLOOKUP(AF2170,TPCalibEq150!$AZ$2:$BB$55,3,)))</f>
        <v>0</v>
      </c>
      <c r="AR2170" s="10" t="b">
        <f>IF(AND(I2170="TP",S2170&lt;=300),VLOOKUP(AF2170,TPCalibEq300!$AZ$2:$BB$55,3,),IF(AND(I2170="TDP",S2170&lt;=300),VLOOKUP(AF2170,TPCalibEq300!$AZ$2:$BB$55,3,)))</f>
        <v>0</v>
      </c>
      <c r="AS2170" s="10" t="b">
        <f>IF(AND(I2170="TP",S2170&lt;=500),VLOOKUP(AF2170,TPCalibEq500!$AZ$2:$BB$56,3,),IF(AND(I2170="TDP",S2170&lt;=500),VLOOKUP(AF2170,TPCalibEq500!$AZ$2:$BB$56,3,)))</f>
        <v>0</v>
      </c>
      <c r="AT2170" s="10" t="b">
        <f>IF(AND(I2170="TN",S2170&lt;=2800),VLOOKUP(AF2170,TNCalibEq2500!$AZ$2:$BB$56,3,),IF(AND(I2170="TDN",S2170&lt;=2800),VLOOKUP(AF2170,TNCalibEq2500!$AZ$2:$BB$56,3,)))</f>
        <v>0</v>
      </c>
      <c r="AU2170" s="10" t="b">
        <f>IF(I2170="TP",VLOOKUP(AF2170,TPCalibEqFull!$AZ$2:$BB$56,3),IF(I2170="TDP",VLOOKUP(AF2170,TPCalibEqFull!$AZ$2:$BB$56,3),IF(I2170="TDN",VLOOKUP(AF2170,TNCalibEqFull!$AZ$1:$BB$56,3),IF(I2170="TN",VLOOKUP(AF2170,TNCalibEqFull!$AZ$1:$BB$56,3),FALSE))))</f>
        <v>0</v>
      </c>
      <c r="AV2170" s="10" t="str">
        <f t="shared" si="247"/>
        <v>0209 09:00:00-QAC-STD-F-1-DI-CAL</v>
      </c>
    </row>
    <row r="2171" spans="1:48" s="10" customFormat="1" x14ac:dyDescent="0.55000000000000004">
      <c r="A2171" s="32">
        <v>44966</v>
      </c>
      <c r="B2171" s="33">
        <v>0.375</v>
      </c>
      <c r="C2171" s="10" t="s">
        <v>70</v>
      </c>
      <c r="D2171" s="10" t="s">
        <v>71</v>
      </c>
      <c r="E2171" s="10" t="s">
        <v>909</v>
      </c>
      <c r="F2171" s="10">
        <v>1</v>
      </c>
      <c r="G2171" s="10" t="s">
        <v>73</v>
      </c>
      <c r="H2171" s="10" t="s">
        <v>74</v>
      </c>
      <c r="I2171" s="10" t="s">
        <v>285</v>
      </c>
      <c r="J2171" s="10">
        <v>184</v>
      </c>
      <c r="K2171" s="12">
        <v>44966</v>
      </c>
      <c r="L2171" s="33">
        <v>0.44437499999999996</v>
      </c>
      <c r="M2171" s="10">
        <v>1</v>
      </c>
      <c r="N2171" s="10" t="s">
        <v>211</v>
      </c>
      <c r="O2171" s="10">
        <v>0.121</v>
      </c>
      <c r="P2171" s="10">
        <v>1.14E-2</v>
      </c>
      <c r="Q2171" s="10">
        <v>20</v>
      </c>
      <c r="R2171" s="10" t="s">
        <v>913</v>
      </c>
      <c r="S2171" s="34">
        <f t="shared" si="242"/>
        <v>20</v>
      </c>
      <c r="T2171" s="10" t="s">
        <v>1158</v>
      </c>
      <c r="U2171" s="34" t="str">
        <f t="shared" si="245"/>
        <v/>
      </c>
      <c r="V2171" s="31" t="str">
        <f>IF(H2171="CHK",VLOOKUP(I2171,QCCHK,3,),IF(H2171="GUP",VLOOKUP(E2171,QCGUP,2,),IF(AND(H2171="ATP",OR(I2171="TN",I2171="TDN",I2171="TNO2-3",I2171="NO2-3")),VLOOKUP(E2171,QCREC_N,2,),IF(AND(H2171="NIC",OR(I2171="TN",I2171="TDN",I2171="TNO2-3",I2171="NO2-3")),VLOOKUP(E2171,QCNIC_N,2,),IF(AND(H2171="UREA",OR(I2171="TN",I2171="TDN",I2171="TNO2-3",I2171="NO2-3")),VLOOKUP(E2171,QCUREA_N,2,),IF(H2171="PER",VLOOKUP(I2171,QCPER,MATCH(E2171,QCACTUAL!$J$25:$AA$25,0),),IF(H2171="SPK",VLOOKUP(I2171,QCSPK,3,),IF(AND(H2171="ATP",OR(I2171="TP",I2171="TDP")),VLOOKUP(E2171,QCATP_P,2,),""))))))))</f>
        <v/>
      </c>
      <c r="W2171" s="31" t="str">
        <f t="shared" si="246"/>
        <v>TRUE</v>
      </c>
      <c r="X2171" s="31" t="str">
        <f t="shared" si="241"/>
        <v/>
      </c>
      <c r="Y2171" s="10" t="s">
        <v>1144</v>
      </c>
      <c r="AL2171" s="10" t="str">
        <f t="shared" si="243"/>
        <v>FALSE</v>
      </c>
      <c r="AM2171" s="10" t="str">
        <f t="shared" si="243"/>
        <v>FALSE</v>
      </c>
      <c r="AN2171" s="10" t="str">
        <f t="shared" si="243"/>
        <v>FALSE</v>
      </c>
      <c r="AO2171" s="10" t="str">
        <f t="shared" si="244"/>
        <v>FALSE</v>
      </c>
      <c r="AP2171" s="10" t="str">
        <f t="shared" si="244"/>
        <v>FALSE</v>
      </c>
      <c r="AQ2171" s="10" t="b">
        <f>IF(AND(I2171="TP",S2171&lt;=150),VLOOKUP(AF2171,TPCalibEq150!$AZ$2:$BB$55,3,),IF(AND(I2171="TDP",S2171&lt;=150),VLOOKUP(AF2171,TPCalibEq150!$AZ$2:$BB$55,3,)))</f>
        <v>0</v>
      </c>
      <c r="AR2171" s="10" t="b">
        <f>IF(AND(I2171="TP",S2171&lt;=300),VLOOKUP(AF2171,TPCalibEq300!$AZ$2:$BB$55,3,),IF(AND(I2171="TDP",S2171&lt;=300),VLOOKUP(AF2171,TPCalibEq300!$AZ$2:$BB$55,3,)))</f>
        <v>0</v>
      </c>
      <c r="AS2171" s="10" t="b">
        <f>IF(AND(I2171="TP",S2171&lt;=500),VLOOKUP(AF2171,TPCalibEq500!$AZ$2:$BB$56,3,),IF(AND(I2171="TDP",S2171&lt;=500),VLOOKUP(AF2171,TPCalibEq500!$AZ$2:$BB$56,3,)))</f>
        <v>0</v>
      </c>
      <c r="AT2171" s="10" t="b">
        <f>IF(AND(I2171="TN",S2171&lt;=2800),VLOOKUP(AF2171,TNCalibEq2500!$AZ$2:$BB$56,3,),IF(AND(I2171="TDN",S2171&lt;=2800),VLOOKUP(AF2171,TNCalibEq2500!$AZ$2:$BB$56,3,)))</f>
        <v>0</v>
      </c>
      <c r="AU2171" s="10" t="b">
        <f>IF(I2171="TP",VLOOKUP(AF2171,TPCalibEqFull!$AZ$2:$BB$56,3),IF(I2171="TDP",VLOOKUP(AF2171,TPCalibEqFull!$AZ$2:$BB$56,3),IF(I2171="TDN",VLOOKUP(AF2171,TNCalibEqFull!$AZ$1:$BB$56,3),IF(I2171="TN",VLOOKUP(AF2171,TNCalibEqFull!$AZ$1:$BB$56,3),FALSE))))</f>
        <v>0</v>
      </c>
      <c r="AV2171" s="10" t="str">
        <f t="shared" si="247"/>
        <v>0209 09:00:00-QAC-STD-E-1-DI-CAL</v>
      </c>
    </row>
    <row r="2172" spans="1:48" s="10" customFormat="1" x14ac:dyDescent="0.55000000000000004">
      <c r="A2172" s="32">
        <v>44966</v>
      </c>
      <c r="B2172" s="33">
        <v>0.375</v>
      </c>
      <c r="C2172" s="10" t="s">
        <v>70</v>
      </c>
      <c r="D2172" s="10" t="s">
        <v>71</v>
      </c>
      <c r="E2172" s="10" t="s">
        <v>901</v>
      </c>
      <c r="F2172" s="10">
        <v>1</v>
      </c>
      <c r="G2172" s="10" t="s">
        <v>73</v>
      </c>
      <c r="H2172" s="10" t="s">
        <v>74</v>
      </c>
      <c r="I2172" s="10" t="s">
        <v>285</v>
      </c>
      <c r="J2172" s="10">
        <v>185</v>
      </c>
      <c r="K2172" s="12">
        <v>44966</v>
      </c>
      <c r="L2172" s="33">
        <v>0.44520833333333337</v>
      </c>
      <c r="M2172" s="10">
        <v>1</v>
      </c>
      <c r="N2172" s="10" t="s">
        <v>211</v>
      </c>
      <c r="O2172" s="10">
        <v>2.0299999999999999E-2</v>
      </c>
      <c r="P2172" s="10">
        <v>1.3500000000000001E-3</v>
      </c>
      <c r="Q2172" s="10">
        <v>75</v>
      </c>
      <c r="R2172" s="10" t="s">
        <v>913</v>
      </c>
      <c r="S2172" s="34">
        <f t="shared" si="242"/>
        <v>75</v>
      </c>
      <c r="T2172" s="10" t="s">
        <v>1159</v>
      </c>
      <c r="U2172" s="34" t="str">
        <f t="shared" si="245"/>
        <v/>
      </c>
      <c r="V2172" s="31" t="str">
        <f>IF(H2172="CHK",VLOOKUP(I2172,QCCHK,3,),IF(H2172="GUP",VLOOKUP(E2172,QCGUP,2,),IF(AND(H2172="ATP",OR(I2172="TN",I2172="TDN",I2172="TNO2-3",I2172="NO2-3")),VLOOKUP(E2172,QCREC_N,2,),IF(AND(H2172="NIC",OR(I2172="TN",I2172="TDN",I2172="TNO2-3",I2172="NO2-3")),VLOOKUP(E2172,QCNIC_N,2,),IF(AND(H2172="UREA",OR(I2172="TN",I2172="TDN",I2172="TNO2-3",I2172="NO2-3")),VLOOKUP(E2172,QCUREA_N,2,),IF(H2172="PER",VLOOKUP(I2172,QCPER,MATCH(E2172,QCACTUAL!$J$25:$AA$25,0),),IF(H2172="SPK",VLOOKUP(I2172,QCSPK,3,),IF(AND(H2172="ATP",OR(I2172="TP",I2172="TDP")),VLOOKUP(E2172,QCATP_P,2,),""))))))))</f>
        <v/>
      </c>
      <c r="W2172" s="31" t="str">
        <f t="shared" si="246"/>
        <v>TRUE</v>
      </c>
      <c r="X2172" s="31" t="str">
        <f t="shared" si="241"/>
        <v/>
      </c>
      <c r="Y2172" s="10" t="s">
        <v>1144</v>
      </c>
      <c r="AL2172" s="10" t="str">
        <f t="shared" si="243"/>
        <v>FALSE</v>
      </c>
      <c r="AM2172" s="10" t="str">
        <f t="shared" si="243"/>
        <v>FALSE</v>
      </c>
      <c r="AN2172" s="10" t="str">
        <f t="shared" si="243"/>
        <v>FALSE</v>
      </c>
      <c r="AO2172" s="10" t="str">
        <f t="shared" si="244"/>
        <v>FALSE</v>
      </c>
      <c r="AP2172" s="10" t="str">
        <f t="shared" si="244"/>
        <v>FALSE</v>
      </c>
      <c r="AQ2172" s="10" t="b">
        <f>IF(AND(I2172="TP",S2172&lt;=150),VLOOKUP(AF2172,TPCalibEq150!$AZ$2:$BB$55,3,),IF(AND(I2172="TDP",S2172&lt;=150),VLOOKUP(AF2172,TPCalibEq150!$AZ$2:$BB$55,3,)))</f>
        <v>0</v>
      </c>
      <c r="AR2172" s="10" t="b">
        <f>IF(AND(I2172="TP",S2172&lt;=300),VLOOKUP(AF2172,TPCalibEq300!$AZ$2:$BB$55,3,),IF(AND(I2172="TDP",S2172&lt;=300),VLOOKUP(AF2172,TPCalibEq300!$AZ$2:$BB$55,3,)))</f>
        <v>0</v>
      </c>
      <c r="AS2172" s="10" t="b">
        <f>IF(AND(I2172="TP",S2172&lt;=500),VLOOKUP(AF2172,TPCalibEq500!$AZ$2:$BB$56,3,),IF(AND(I2172="TDP",S2172&lt;=500),VLOOKUP(AF2172,TPCalibEq500!$AZ$2:$BB$56,3,)))</f>
        <v>0</v>
      </c>
      <c r="AT2172" s="10" t="b">
        <f>IF(AND(I2172="TN",S2172&lt;=2800),VLOOKUP(AF2172,TNCalibEq2500!$AZ$2:$BB$56,3,),IF(AND(I2172="TDN",S2172&lt;=2800),VLOOKUP(AF2172,TNCalibEq2500!$AZ$2:$BB$56,3,)))</f>
        <v>0</v>
      </c>
      <c r="AU2172" s="10" t="b">
        <f>IF(I2172="TP",VLOOKUP(AF2172,TPCalibEqFull!$AZ$2:$BB$56,3),IF(I2172="TDP",VLOOKUP(AF2172,TPCalibEqFull!$AZ$2:$BB$56,3),IF(I2172="TDN",VLOOKUP(AF2172,TNCalibEqFull!$AZ$1:$BB$56,3),IF(I2172="TN",VLOOKUP(AF2172,TNCalibEqFull!$AZ$1:$BB$56,3),FALSE))))</f>
        <v>0</v>
      </c>
      <c r="AV2172" s="10" t="str">
        <f t="shared" si="247"/>
        <v>0209 09:00:00-QAC-STD-D-1-DI-CAL</v>
      </c>
    </row>
    <row r="2173" spans="1:48" s="10" customFormat="1" x14ac:dyDescent="0.55000000000000004">
      <c r="A2173" s="32">
        <v>44966</v>
      </c>
      <c r="B2173" s="33">
        <v>0.375</v>
      </c>
      <c r="C2173" s="10" t="s">
        <v>70</v>
      </c>
      <c r="D2173" s="10" t="s">
        <v>71</v>
      </c>
      <c r="E2173" s="10" t="s">
        <v>190</v>
      </c>
      <c r="F2173" s="10">
        <v>1</v>
      </c>
      <c r="G2173" s="10" t="s">
        <v>73</v>
      </c>
      <c r="H2173" s="10" t="s">
        <v>74</v>
      </c>
      <c r="I2173" s="10" t="s">
        <v>285</v>
      </c>
      <c r="J2173" s="10">
        <v>186</v>
      </c>
      <c r="K2173" s="12">
        <v>44966</v>
      </c>
      <c r="L2173" s="33">
        <v>0.44603009259259258</v>
      </c>
      <c r="M2173" s="10">
        <v>1</v>
      </c>
      <c r="N2173" s="10" t="s">
        <v>211</v>
      </c>
      <c r="O2173" s="10">
        <v>0.86799999999999999</v>
      </c>
      <c r="P2173" s="10">
        <v>8.7499999999999994E-2</v>
      </c>
      <c r="Q2173" s="10">
        <v>150</v>
      </c>
      <c r="R2173" s="10" t="s">
        <v>913</v>
      </c>
      <c r="S2173" s="34">
        <f t="shared" si="242"/>
        <v>150</v>
      </c>
      <c r="T2173" s="10" t="s">
        <v>1160</v>
      </c>
      <c r="U2173" s="34" t="str">
        <f t="shared" si="245"/>
        <v/>
      </c>
      <c r="V2173" s="31" t="str">
        <f>IF(H2173="CHK",VLOOKUP(I2173,QCCHK,3,),IF(H2173="GUP",VLOOKUP(E2173,QCGUP,2,),IF(AND(H2173="ATP",OR(I2173="TN",I2173="TDN",I2173="TNO2-3",I2173="NO2-3")),VLOOKUP(E2173,QCREC_N,2,),IF(AND(H2173="NIC",OR(I2173="TN",I2173="TDN",I2173="TNO2-3",I2173="NO2-3")),VLOOKUP(E2173,QCNIC_N,2,),IF(AND(H2173="UREA",OR(I2173="TN",I2173="TDN",I2173="TNO2-3",I2173="NO2-3")),VLOOKUP(E2173,QCUREA_N,2,),IF(H2173="PER",VLOOKUP(I2173,QCPER,MATCH(E2173,QCACTUAL!$J$25:$AA$25,0),),IF(H2173="SPK",VLOOKUP(I2173,QCSPK,3,),IF(AND(H2173="ATP",OR(I2173="TP",I2173="TDP")),VLOOKUP(E2173,QCATP_P,2,),""))))))))</f>
        <v/>
      </c>
      <c r="W2173" s="31" t="str">
        <f t="shared" si="246"/>
        <v>TRUE</v>
      </c>
      <c r="X2173" s="31" t="str">
        <f t="shared" si="241"/>
        <v/>
      </c>
      <c r="Y2173" s="10" t="s">
        <v>1144</v>
      </c>
      <c r="AL2173" s="10" t="str">
        <f t="shared" si="243"/>
        <v>FALSE</v>
      </c>
      <c r="AM2173" s="10" t="str">
        <f t="shared" si="243"/>
        <v>FALSE</v>
      </c>
      <c r="AN2173" s="10" t="str">
        <f t="shared" si="243"/>
        <v>FALSE</v>
      </c>
      <c r="AO2173" s="10" t="str">
        <f t="shared" si="244"/>
        <v>FALSE</v>
      </c>
      <c r="AP2173" s="10" t="str">
        <f t="shared" si="244"/>
        <v>FALSE</v>
      </c>
      <c r="AQ2173" s="10" t="b">
        <f>IF(AND(I2173="TP",S2173&lt;=150),VLOOKUP(AF2173,TPCalibEq150!$AZ$2:$BB$55,3,),IF(AND(I2173="TDP",S2173&lt;=150),VLOOKUP(AF2173,TPCalibEq150!$AZ$2:$BB$55,3,)))</f>
        <v>0</v>
      </c>
      <c r="AR2173" s="10" t="b">
        <f>IF(AND(I2173="TP",S2173&lt;=300),VLOOKUP(AF2173,TPCalibEq300!$AZ$2:$BB$55,3,),IF(AND(I2173="TDP",S2173&lt;=300),VLOOKUP(AF2173,TPCalibEq300!$AZ$2:$BB$55,3,)))</f>
        <v>0</v>
      </c>
      <c r="AS2173" s="10" t="b">
        <f>IF(AND(I2173="TP",S2173&lt;=500),VLOOKUP(AF2173,TPCalibEq500!$AZ$2:$BB$56,3,),IF(AND(I2173="TDP",S2173&lt;=500),VLOOKUP(AF2173,TPCalibEq500!$AZ$2:$BB$56,3,)))</f>
        <v>0</v>
      </c>
      <c r="AT2173" s="10" t="b">
        <f>IF(AND(I2173="TN",S2173&lt;=2800),VLOOKUP(AF2173,TNCalibEq2500!$AZ$2:$BB$56,3,),IF(AND(I2173="TDN",S2173&lt;=2800),VLOOKUP(AF2173,TNCalibEq2500!$AZ$2:$BB$56,3,)))</f>
        <v>0</v>
      </c>
      <c r="AU2173" s="10" t="b">
        <f>IF(I2173="TP",VLOOKUP(AF2173,TPCalibEqFull!$AZ$2:$BB$56,3),IF(I2173="TDP",VLOOKUP(AF2173,TPCalibEqFull!$AZ$2:$BB$56,3),IF(I2173="TDN",VLOOKUP(AF2173,TNCalibEqFull!$AZ$1:$BB$56,3),IF(I2173="TN",VLOOKUP(AF2173,TNCalibEqFull!$AZ$1:$BB$56,3),FALSE))))</f>
        <v>0</v>
      </c>
      <c r="AV2173" s="10" t="str">
        <f t="shared" si="247"/>
        <v>0209 09:00:00-QAC-STD-C-1-DI-CAL</v>
      </c>
    </row>
    <row r="2174" spans="1:48" s="10" customFormat="1" x14ac:dyDescent="0.55000000000000004">
      <c r="A2174" s="32">
        <v>44966</v>
      </c>
      <c r="B2174" s="33">
        <v>0.375</v>
      </c>
      <c r="C2174" s="10" t="s">
        <v>70</v>
      </c>
      <c r="D2174" s="10" t="s">
        <v>71</v>
      </c>
      <c r="E2174" s="10" t="s">
        <v>583</v>
      </c>
      <c r="F2174" s="10">
        <v>1</v>
      </c>
      <c r="G2174" s="10" t="s">
        <v>73</v>
      </c>
      <c r="H2174" s="10" t="s">
        <v>74</v>
      </c>
      <c r="I2174" s="10" t="s">
        <v>285</v>
      </c>
      <c r="J2174" s="10">
        <v>187</v>
      </c>
      <c r="K2174" s="12">
        <v>44966</v>
      </c>
      <c r="L2174" s="33">
        <v>0.44686342592592593</v>
      </c>
      <c r="M2174" s="10">
        <v>1</v>
      </c>
      <c r="N2174" s="10" t="s">
        <v>211</v>
      </c>
      <c r="O2174" s="10">
        <v>1.75</v>
      </c>
      <c r="P2174" s="10">
        <v>0.17799999999999999</v>
      </c>
      <c r="Q2174" s="10">
        <v>300</v>
      </c>
      <c r="R2174" s="10" t="s">
        <v>913</v>
      </c>
      <c r="S2174" s="34">
        <f t="shared" si="242"/>
        <v>300</v>
      </c>
      <c r="T2174" s="10" t="s">
        <v>1161</v>
      </c>
      <c r="U2174" s="34" t="str">
        <f t="shared" si="245"/>
        <v/>
      </c>
      <c r="V2174" s="31" t="str">
        <f>IF(H2174="CHK",VLOOKUP(I2174,QCCHK,3,),IF(H2174="GUP",VLOOKUP(E2174,QCGUP,2,),IF(AND(H2174="ATP",OR(I2174="TN",I2174="TDN",I2174="TNO2-3",I2174="NO2-3")),VLOOKUP(E2174,QCREC_N,2,),IF(AND(H2174="NIC",OR(I2174="TN",I2174="TDN",I2174="TNO2-3",I2174="NO2-3")),VLOOKUP(E2174,QCNIC_N,2,),IF(AND(H2174="UREA",OR(I2174="TN",I2174="TDN",I2174="TNO2-3",I2174="NO2-3")),VLOOKUP(E2174,QCUREA_N,2,),IF(H2174="PER",VLOOKUP(I2174,QCPER,MATCH(E2174,QCACTUAL!$J$25:$AA$25,0),),IF(H2174="SPK",VLOOKUP(I2174,QCSPK,3,),IF(AND(H2174="ATP",OR(I2174="TP",I2174="TDP")),VLOOKUP(E2174,QCATP_P,2,),""))))))))</f>
        <v/>
      </c>
      <c r="W2174" s="31" t="str">
        <f t="shared" si="246"/>
        <v>TRUE</v>
      </c>
      <c r="X2174" s="31" t="str">
        <f t="shared" si="241"/>
        <v/>
      </c>
      <c r="Y2174" s="10" t="s">
        <v>1144</v>
      </c>
      <c r="AL2174" s="10" t="str">
        <f t="shared" si="243"/>
        <v>FALSE</v>
      </c>
      <c r="AM2174" s="10" t="str">
        <f t="shared" si="243"/>
        <v>FALSE</v>
      </c>
      <c r="AN2174" s="10" t="str">
        <f t="shared" si="243"/>
        <v>FALSE</v>
      </c>
      <c r="AO2174" s="10" t="str">
        <f t="shared" si="244"/>
        <v>FALSE</v>
      </c>
      <c r="AP2174" s="10" t="str">
        <f t="shared" si="244"/>
        <v>FALSE</v>
      </c>
      <c r="AQ2174" s="10" t="b">
        <f>IF(AND(I2174="TP",S2174&lt;=150),VLOOKUP(AF2174,TPCalibEq150!$AZ$2:$BB$55,3,),IF(AND(I2174="TDP",S2174&lt;=150),VLOOKUP(AF2174,TPCalibEq150!$AZ$2:$BB$55,3,)))</f>
        <v>0</v>
      </c>
      <c r="AR2174" s="10" t="b">
        <f>IF(AND(I2174="TP",S2174&lt;=300),VLOOKUP(AF2174,TPCalibEq300!$AZ$2:$BB$55,3,),IF(AND(I2174="TDP",S2174&lt;=300),VLOOKUP(AF2174,TPCalibEq300!$AZ$2:$BB$55,3,)))</f>
        <v>0</v>
      </c>
      <c r="AS2174" s="10" t="b">
        <f>IF(AND(I2174="TP",S2174&lt;=500),VLOOKUP(AF2174,TPCalibEq500!$AZ$2:$BB$56,3,),IF(AND(I2174="TDP",S2174&lt;=500),VLOOKUP(AF2174,TPCalibEq500!$AZ$2:$BB$56,3,)))</f>
        <v>0</v>
      </c>
      <c r="AT2174" s="10" t="b">
        <f>IF(AND(I2174="TN",S2174&lt;=2800),VLOOKUP(AF2174,TNCalibEq2500!$AZ$2:$BB$56,3,),IF(AND(I2174="TDN",S2174&lt;=2800),VLOOKUP(AF2174,TNCalibEq2500!$AZ$2:$BB$56,3,)))</f>
        <v>0</v>
      </c>
      <c r="AU2174" s="10" t="b">
        <f>IF(I2174="TP",VLOOKUP(AF2174,TPCalibEqFull!$AZ$2:$BB$56,3),IF(I2174="TDP",VLOOKUP(AF2174,TPCalibEqFull!$AZ$2:$BB$56,3),IF(I2174="TDN",VLOOKUP(AF2174,TNCalibEqFull!$AZ$1:$BB$56,3),IF(I2174="TN",VLOOKUP(AF2174,TNCalibEqFull!$AZ$1:$BB$56,3),FALSE))))</f>
        <v>0</v>
      </c>
      <c r="AV2174" s="10" t="str">
        <f t="shared" si="247"/>
        <v>0209 09:00:00-QAC-STD-B-1-DI-CAL</v>
      </c>
    </row>
    <row r="2175" spans="1:48" s="10" customFormat="1" x14ac:dyDescent="0.55000000000000004">
      <c r="A2175" s="32">
        <v>44966</v>
      </c>
      <c r="B2175" s="33">
        <v>0.375</v>
      </c>
      <c r="C2175" s="10" t="s">
        <v>70</v>
      </c>
      <c r="D2175" s="10" t="s">
        <v>71</v>
      </c>
      <c r="E2175" s="10" t="s">
        <v>866</v>
      </c>
      <c r="F2175" s="10">
        <v>1</v>
      </c>
      <c r="G2175" s="10" t="s">
        <v>73</v>
      </c>
      <c r="H2175" s="10" t="s">
        <v>74</v>
      </c>
      <c r="I2175" s="10" t="s">
        <v>285</v>
      </c>
      <c r="J2175" s="10">
        <v>188</v>
      </c>
      <c r="K2175" s="12">
        <v>44966</v>
      </c>
      <c r="L2175" s="33">
        <v>0.44768518518518513</v>
      </c>
      <c r="M2175" s="10">
        <v>1</v>
      </c>
      <c r="N2175" s="10" t="s">
        <v>211</v>
      </c>
      <c r="O2175" s="10">
        <v>2.89</v>
      </c>
      <c r="P2175" s="10">
        <v>0.29599999999999999</v>
      </c>
      <c r="Q2175" s="10">
        <v>500</v>
      </c>
      <c r="R2175" s="10" t="s">
        <v>913</v>
      </c>
      <c r="S2175" s="34">
        <f t="shared" si="242"/>
        <v>500</v>
      </c>
      <c r="T2175" s="10" t="s">
        <v>1162</v>
      </c>
      <c r="U2175" s="34" t="str">
        <f t="shared" si="245"/>
        <v/>
      </c>
      <c r="V2175" s="31" t="str">
        <f>IF(H2175="CHK",VLOOKUP(I2175,QCCHK,3,),IF(H2175="GUP",VLOOKUP(E2175,QCGUP,2,),IF(AND(H2175="ATP",OR(I2175="TN",I2175="TDN",I2175="TNO2-3",I2175="NO2-3")),VLOOKUP(E2175,QCREC_N,2,),IF(AND(H2175="NIC",OR(I2175="TN",I2175="TDN",I2175="TNO2-3",I2175="NO2-3")),VLOOKUP(E2175,QCNIC_N,2,),IF(AND(H2175="UREA",OR(I2175="TN",I2175="TDN",I2175="TNO2-3",I2175="NO2-3")),VLOOKUP(E2175,QCUREA_N,2,),IF(H2175="PER",VLOOKUP(I2175,QCPER,MATCH(E2175,QCACTUAL!$J$25:$AA$25,0),),IF(H2175="SPK",VLOOKUP(I2175,QCSPK,3,),IF(AND(H2175="ATP",OR(I2175="TP",I2175="TDP")),VLOOKUP(E2175,QCATP_P,2,),""))))))))</f>
        <v/>
      </c>
      <c r="W2175" s="31" t="str">
        <f t="shared" si="246"/>
        <v>TRUE</v>
      </c>
      <c r="X2175" s="31" t="str">
        <f t="shared" ref="X2175:X2238" si="248">IF(ISNA(VLOOKUP(H2175,QCEQUATIONS,2,)),"",(VLOOKUP(H2175,QCEQUATIONS,2,)))</f>
        <v/>
      </c>
      <c r="Y2175" s="10" t="s">
        <v>1144</v>
      </c>
      <c r="AL2175" s="10" t="str">
        <f t="shared" si="243"/>
        <v>FALSE</v>
      </c>
      <c r="AM2175" s="10" t="str">
        <f t="shared" si="243"/>
        <v>FALSE</v>
      </c>
      <c r="AN2175" s="10" t="str">
        <f t="shared" si="243"/>
        <v>FALSE</v>
      </c>
      <c r="AO2175" s="10" t="str">
        <f t="shared" si="244"/>
        <v>FALSE</v>
      </c>
      <c r="AP2175" s="10" t="str">
        <f t="shared" si="244"/>
        <v>FALSE</v>
      </c>
      <c r="AQ2175" s="10" t="b">
        <f>IF(AND(I2175="TP",S2175&lt;=150),VLOOKUP(AF2175,TPCalibEq150!$AZ$2:$BB$55,3,),IF(AND(I2175="TDP",S2175&lt;=150),VLOOKUP(AF2175,TPCalibEq150!$AZ$2:$BB$55,3,)))</f>
        <v>0</v>
      </c>
      <c r="AR2175" s="10" t="b">
        <f>IF(AND(I2175="TP",S2175&lt;=300),VLOOKUP(AF2175,TPCalibEq300!$AZ$2:$BB$55,3,),IF(AND(I2175="TDP",S2175&lt;=300),VLOOKUP(AF2175,TPCalibEq300!$AZ$2:$BB$55,3,)))</f>
        <v>0</v>
      </c>
      <c r="AS2175" s="10" t="b">
        <f>IF(AND(I2175="TP",S2175&lt;=500),VLOOKUP(AF2175,TPCalibEq500!$AZ$2:$BB$56,3,),IF(AND(I2175="TDP",S2175&lt;=500),VLOOKUP(AF2175,TPCalibEq500!$AZ$2:$BB$56,3,)))</f>
        <v>0</v>
      </c>
      <c r="AT2175" s="10" t="b">
        <f>IF(AND(I2175="TN",S2175&lt;=2800),VLOOKUP(AF2175,TNCalibEq2500!$AZ$2:$BB$56,3,),IF(AND(I2175="TDN",S2175&lt;=2800),VLOOKUP(AF2175,TNCalibEq2500!$AZ$2:$BB$56,3,)))</f>
        <v>0</v>
      </c>
      <c r="AU2175" s="10" t="b">
        <f>IF(I2175="TP",VLOOKUP(AF2175,TPCalibEqFull!$AZ$2:$BB$56,3),IF(I2175="TDP",VLOOKUP(AF2175,TPCalibEqFull!$AZ$2:$BB$56,3),IF(I2175="TDN",VLOOKUP(AF2175,TNCalibEqFull!$AZ$1:$BB$56,3),IF(I2175="TN",VLOOKUP(AF2175,TNCalibEqFull!$AZ$1:$BB$56,3),FALSE))))</f>
        <v>0</v>
      </c>
      <c r="AV2175" s="10" t="str">
        <f t="shared" si="247"/>
        <v>0209 09:00:00-QAC-STD-A-1-DI-CAL</v>
      </c>
    </row>
    <row r="2176" spans="1:48" s="10" customFormat="1" x14ac:dyDescent="0.55000000000000004">
      <c r="A2176" s="32">
        <v>44966</v>
      </c>
      <c r="B2176" s="33">
        <v>0.375</v>
      </c>
      <c r="C2176" s="10" t="s">
        <v>70</v>
      </c>
      <c r="D2176" s="10" t="s">
        <v>71</v>
      </c>
      <c r="E2176" s="10" t="s">
        <v>72</v>
      </c>
      <c r="F2176" s="10">
        <v>1</v>
      </c>
      <c r="G2176" s="10" t="s">
        <v>73</v>
      </c>
      <c r="H2176" s="10" t="s">
        <v>74</v>
      </c>
      <c r="I2176" s="10" t="s">
        <v>285</v>
      </c>
      <c r="J2176" s="10">
        <v>181</v>
      </c>
      <c r="K2176" s="12">
        <v>44966</v>
      </c>
      <c r="L2176" s="33">
        <v>0.44931712962962966</v>
      </c>
      <c r="M2176" s="10">
        <v>1</v>
      </c>
      <c r="N2176" s="10" t="s">
        <v>211</v>
      </c>
      <c r="O2176" s="10">
        <v>1.4200000000000001E-2</v>
      </c>
      <c r="P2176" s="10">
        <v>8.7000000000000001E-4</v>
      </c>
      <c r="Q2176" s="10">
        <v>0</v>
      </c>
      <c r="R2176" s="10" t="s">
        <v>913</v>
      </c>
      <c r="S2176" s="34">
        <f t="shared" ref="S2176:S2239" si="249">IF(OR(AND(I2176&lt;&gt;"TP", I2176&lt;&gt;"TDP",I2176&lt;&gt;"TN", I2176&lt;&gt;"TDN"),H2176="CAL"), Q2176*M2176, IF(OR(AND(I2176="TN", Q2176&gt;2500), AND(I2176="TDN", Q2176&gt;2500)),MAX(Q2176, AK2176)*M2176, IF(OR(AND(I2176="TN", Q2176&lt;=2500), AND(I2176="TDN", Q2176&lt;=2500)),MAX(Q2176, AJ2176,AK2176)*M2176, IF(OR(AND(I2176="TP",Q2176&gt;500), AND(I2176="TDP", Q2176&gt;500)),MAX(Q2176,AK2176)*M2176,IF(OR(AND(I2176="TP",Q2176&lt;=150), AND(I2176="TDP", Q2176&lt;=150)),MAX(Q2176,AG2176:AI2176,AK2176)*M2176,IF(OR(AND(I2176="TP",Q2176&lt;=300), AND(I2176="TDP", Q2176&lt;=300)),MAX(Q2176,AH2176,AI2176,AK2176)*M2176,IF(OR(AND(I2176="TP",Q2176&lt;=500), AND(I2176="TDP", Q2176&lt;=500)),MAX(Q2176,AI2176,AK2176)*M2176,"")))))))</f>
        <v>0</v>
      </c>
      <c r="T2176" s="10" t="s">
        <v>1163</v>
      </c>
      <c r="U2176" s="34" t="str">
        <f t="shared" si="245"/>
        <v/>
      </c>
      <c r="V2176" s="31" t="str">
        <f>IF(H2176="CHK",VLOOKUP(I2176,QCCHK,3,),IF(H2176="GUP",VLOOKUP(E2176,QCGUP,2,),IF(AND(H2176="ATP",OR(I2176="TN",I2176="TDN",I2176="TNO2-3",I2176="NO2-3")),VLOOKUP(E2176,QCREC_N,2,),IF(AND(H2176="NIC",OR(I2176="TN",I2176="TDN",I2176="TNO2-3",I2176="NO2-3")),VLOOKUP(E2176,QCNIC_N,2,),IF(AND(H2176="UREA",OR(I2176="TN",I2176="TDN",I2176="TNO2-3",I2176="NO2-3")),VLOOKUP(E2176,QCUREA_N,2,),IF(H2176="PER",VLOOKUP(I2176,QCPER,MATCH(E2176,QCACTUAL!$J$25:$AA$25,0),),IF(H2176="SPK",VLOOKUP(I2176,QCSPK,3,),IF(AND(H2176="ATP",OR(I2176="TP",I2176="TDP")),VLOOKUP(E2176,QCATP_P,2,),""))))))))</f>
        <v/>
      </c>
      <c r="W2176" s="31" t="str">
        <f t="shared" si="246"/>
        <v>TRUE</v>
      </c>
      <c r="X2176" s="31" t="str">
        <f t="shared" si="248"/>
        <v/>
      </c>
      <c r="Y2176" s="10" t="s">
        <v>1144</v>
      </c>
      <c r="AL2176" s="10" t="str">
        <f t="shared" si="243"/>
        <v>FALSE</v>
      </c>
      <c r="AM2176" s="10" t="str">
        <f t="shared" si="243"/>
        <v>FALSE</v>
      </c>
      <c r="AN2176" s="10" t="str">
        <f t="shared" si="243"/>
        <v>FALSE</v>
      </c>
      <c r="AO2176" s="10" t="str">
        <f t="shared" si="244"/>
        <v>FALSE</v>
      </c>
      <c r="AP2176" s="10" t="str">
        <f t="shared" si="244"/>
        <v>FALSE</v>
      </c>
      <c r="AQ2176" s="10" t="b">
        <f>IF(AND(I2176="TP",S2176&lt;=150),VLOOKUP(AF2176,TPCalibEq150!$AZ$2:$BB$55,3,),IF(AND(I2176="TDP",S2176&lt;=150),VLOOKUP(AF2176,TPCalibEq150!$AZ$2:$BB$55,3,)))</f>
        <v>0</v>
      </c>
      <c r="AR2176" s="10" t="b">
        <f>IF(AND(I2176="TP",S2176&lt;=300),VLOOKUP(AF2176,TPCalibEq300!$AZ$2:$BB$55,3,),IF(AND(I2176="TDP",S2176&lt;=300),VLOOKUP(AF2176,TPCalibEq300!$AZ$2:$BB$55,3,)))</f>
        <v>0</v>
      </c>
      <c r="AS2176" s="10" t="b">
        <f>IF(AND(I2176="TP",S2176&lt;=500),VLOOKUP(AF2176,TPCalibEq500!$AZ$2:$BB$56,3,),IF(AND(I2176="TDP",S2176&lt;=500),VLOOKUP(AF2176,TPCalibEq500!$AZ$2:$BB$56,3,)))</f>
        <v>0</v>
      </c>
      <c r="AT2176" s="10" t="b">
        <f>IF(AND(I2176="TN",S2176&lt;=2800),VLOOKUP(AF2176,TNCalibEq2500!$AZ$2:$BB$56,3,),IF(AND(I2176="TDN",S2176&lt;=2800),VLOOKUP(AF2176,TNCalibEq2500!$AZ$2:$BB$56,3,)))</f>
        <v>0</v>
      </c>
      <c r="AU2176" s="10" t="b">
        <f>IF(I2176="TP",VLOOKUP(AF2176,TPCalibEqFull!$AZ$2:$BB$56,3),IF(I2176="TDP",VLOOKUP(AF2176,TPCalibEqFull!$AZ$2:$BB$56,3),IF(I2176="TDN",VLOOKUP(AF2176,TNCalibEqFull!$AZ$1:$BB$56,3),IF(I2176="TN",VLOOKUP(AF2176,TNCalibEqFull!$AZ$1:$BB$56,3),FALSE))))</f>
        <v>0</v>
      </c>
      <c r="AV2176" s="10" t="str">
        <f t="shared" si="247"/>
        <v>0209 09:00:00-QAC-STD-H-1-DI-CAL</v>
      </c>
    </row>
    <row r="2177" spans="1:48" s="10" customFormat="1" x14ac:dyDescent="0.55000000000000004">
      <c r="A2177" s="32">
        <v>44966</v>
      </c>
      <c r="B2177" s="33">
        <v>0.375</v>
      </c>
      <c r="C2177" s="10" t="s">
        <v>70</v>
      </c>
      <c r="D2177" s="10" t="s">
        <v>71</v>
      </c>
      <c r="E2177" s="10" t="s">
        <v>901</v>
      </c>
      <c r="F2177" s="10">
        <v>1</v>
      </c>
      <c r="G2177" s="10" t="s">
        <v>73</v>
      </c>
      <c r="H2177" s="10" t="s">
        <v>74</v>
      </c>
      <c r="I2177" s="10" t="s">
        <v>285</v>
      </c>
      <c r="J2177" s="10">
        <v>185</v>
      </c>
      <c r="K2177" s="12">
        <v>44966</v>
      </c>
      <c r="L2177" s="33">
        <v>0.45013888888888887</v>
      </c>
      <c r="M2177" s="10">
        <v>1</v>
      </c>
      <c r="N2177" s="10" t="s">
        <v>211</v>
      </c>
      <c r="O2177" s="10">
        <v>1.18E-2</v>
      </c>
      <c r="P2177" s="10">
        <v>5.9800000000000001E-4</v>
      </c>
      <c r="Q2177" s="10">
        <v>75</v>
      </c>
      <c r="R2177" s="10" t="s">
        <v>913</v>
      </c>
      <c r="S2177" s="34">
        <f t="shared" si="249"/>
        <v>75</v>
      </c>
      <c r="T2177" s="10" t="s">
        <v>1164</v>
      </c>
      <c r="U2177" s="34" t="str">
        <f t="shared" si="245"/>
        <v/>
      </c>
      <c r="V2177" s="31" t="str">
        <f>IF(H2177="CHK",VLOOKUP(I2177,QCCHK,3,),IF(H2177="GUP",VLOOKUP(E2177,QCGUP,2,),IF(AND(H2177="ATP",OR(I2177="TN",I2177="TDN",I2177="TNO2-3",I2177="NO2-3")),VLOOKUP(E2177,QCREC_N,2,),IF(AND(H2177="NIC",OR(I2177="TN",I2177="TDN",I2177="TNO2-3",I2177="NO2-3")),VLOOKUP(E2177,QCNIC_N,2,),IF(AND(H2177="UREA",OR(I2177="TN",I2177="TDN",I2177="TNO2-3",I2177="NO2-3")),VLOOKUP(E2177,QCUREA_N,2,),IF(H2177="PER",VLOOKUP(I2177,QCPER,MATCH(E2177,QCACTUAL!$J$25:$AA$25,0),),IF(H2177="SPK",VLOOKUP(I2177,QCSPK,3,),IF(AND(H2177="ATP",OR(I2177="TP",I2177="TDP")),VLOOKUP(E2177,QCATP_P,2,),""))))))))</f>
        <v/>
      </c>
      <c r="W2177" s="31" t="str">
        <f t="shared" si="246"/>
        <v>TRUE</v>
      </c>
      <c r="X2177" s="31" t="str">
        <f t="shared" si="248"/>
        <v/>
      </c>
      <c r="Y2177" s="10" t="s">
        <v>1144</v>
      </c>
      <c r="AL2177" s="10" t="str">
        <f t="shared" ref="AL2177:AN2240" si="250">IF($O2177="", "", IF(AQ2177&lt;&gt;"", SUBSTITUTE(SUBSTITUTE(AQ2177, "x", "*"&amp;$O2177&amp;"^", 1), "x", "*"&amp;$O2177, 1), ""))</f>
        <v>FALSE</v>
      </c>
      <c r="AM2177" s="10" t="str">
        <f t="shared" si="250"/>
        <v>FALSE</v>
      </c>
      <c r="AN2177" s="10" t="str">
        <f t="shared" si="250"/>
        <v>FALSE</v>
      </c>
      <c r="AO2177" s="10" t="str">
        <f t="shared" ref="AO2177:AP2240" si="251">IF($O2177="", "FALSE", IF(AT2177&lt;&gt;"FALSE", SUBSTITUTE(SUBSTITUTE(AT2177, "x", "*"&amp;$O2177&amp;"^", 1), "x", "*"&amp;$O2177, 1), ""))</f>
        <v>FALSE</v>
      </c>
      <c r="AP2177" s="10" t="str">
        <f t="shared" si="251"/>
        <v>FALSE</v>
      </c>
      <c r="AQ2177" s="10" t="b">
        <f>IF(AND(I2177="TP",S2177&lt;=150),VLOOKUP(AF2177,TPCalibEq150!$AZ$2:$BB$55,3,),IF(AND(I2177="TDP",S2177&lt;=150),VLOOKUP(AF2177,TPCalibEq150!$AZ$2:$BB$55,3,)))</f>
        <v>0</v>
      </c>
      <c r="AR2177" s="10" t="b">
        <f>IF(AND(I2177="TP",S2177&lt;=300),VLOOKUP(AF2177,TPCalibEq300!$AZ$2:$BB$55,3,),IF(AND(I2177="TDP",S2177&lt;=300),VLOOKUP(AF2177,TPCalibEq300!$AZ$2:$BB$55,3,)))</f>
        <v>0</v>
      </c>
      <c r="AS2177" s="10" t="b">
        <f>IF(AND(I2177="TP",S2177&lt;=500),VLOOKUP(AF2177,TPCalibEq500!$AZ$2:$BB$56,3,),IF(AND(I2177="TDP",S2177&lt;=500),VLOOKUP(AF2177,TPCalibEq500!$AZ$2:$BB$56,3,)))</f>
        <v>0</v>
      </c>
      <c r="AT2177" s="10" t="b">
        <f>IF(AND(I2177="TN",S2177&lt;=2800),VLOOKUP(AF2177,TNCalibEq2500!$AZ$2:$BB$56,3,),IF(AND(I2177="TDN",S2177&lt;=2800),VLOOKUP(AF2177,TNCalibEq2500!$AZ$2:$BB$56,3,)))</f>
        <v>0</v>
      </c>
      <c r="AU2177" s="10" t="b">
        <f>IF(I2177="TP",VLOOKUP(AF2177,TPCalibEqFull!$AZ$2:$BB$56,3),IF(I2177="TDP",VLOOKUP(AF2177,TPCalibEqFull!$AZ$2:$BB$56,3),IF(I2177="TDN",VLOOKUP(AF2177,TNCalibEqFull!$AZ$1:$BB$56,3),IF(I2177="TN",VLOOKUP(AF2177,TNCalibEqFull!$AZ$1:$BB$56,3),FALSE))))</f>
        <v>0</v>
      </c>
      <c r="AV2177" s="10" t="str">
        <f t="shared" si="247"/>
        <v>0209 09:00:00-QAC-STD-D-1-DI-CAL</v>
      </c>
    </row>
    <row r="2178" spans="1:48" s="10" customFormat="1" x14ac:dyDescent="0.55000000000000004">
      <c r="A2178" s="32">
        <v>44966</v>
      </c>
      <c r="B2178" s="33">
        <v>0.375</v>
      </c>
      <c r="C2178" s="10" t="s">
        <v>70</v>
      </c>
      <c r="D2178" s="10" t="s">
        <v>71</v>
      </c>
      <c r="E2178" s="10" t="s">
        <v>901</v>
      </c>
      <c r="F2178" s="10">
        <v>1</v>
      </c>
      <c r="G2178" s="10" t="s">
        <v>73</v>
      </c>
      <c r="H2178" s="10" t="s">
        <v>74</v>
      </c>
      <c r="I2178" s="10" t="s">
        <v>285</v>
      </c>
      <c r="J2178" s="10">
        <v>185</v>
      </c>
      <c r="K2178" s="12">
        <v>44966</v>
      </c>
      <c r="L2178" s="33">
        <v>0.45341435185185186</v>
      </c>
      <c r="M2178" s="10">
        <v>1</v>
      </c>
      <c r="N2178" s="10" t="s">
        <v>211</v>
      </c>
      <c r="O2178" s="10">
        <v>5.0699999999999999E-3</v>
      </c>
      <c r="P2178" s="10">
        <v>6.2500000000000001E-4</v>
      </c>
      <c r="Q2178" s="10">
        <v>75</v>
      </c>
      <c r="R2178" s="10" t="s">
        <v>913</v>
      </c>
      <c r="S2178" s="34">
        <f t="shared" si="249"/>
        <v>75</v>
      </c>
      <c r="T2178" s="10" t="s">
        <v>1165</v>
      </c>
      <c r="U2178" s="34" t="str">
        <f t="shared" ref="U2178:U2241" si="252">IF(OR(H2178="CHK",H2178="ATP",H2178="GUP",H2178="PER", H2178="NIC", H2178="UREA"),(S2178/V2178*100),IF(H2178="DUP",((ABS(S2178-S2177))/((S2177+S2178)/2))*100,IF(H2178="SPK",((S2178-S2177)/V2178*100),IF(OR(H2178="LAB",H2178="FLD",H2178="ESF"),S2178,""))))</f>
        <v/>
      </c>
      <c r="V2178" s="31" t="str">
        <f>IF(H2178="CHK",VLOOKUP(I2178,QCCHK,3,),IF(H2178="GUP",VLOOKUP(E2178,QCGUP,2,),IF(AND(H2178="ATP",OR(I2178="TN",I2178="TDN",I2178="TNO2-3",I2178="NO2-3")),VLOOKUP(E2178,QCREC_N,2,),IF(AND(H2178="NIC",OR(I2178="TN",I2178="TDN",I2178="TNO2-3",I2178="NO2-3")),VLOOKUP(E2178,QCNIC_N,2,),IF(AND(H2178="UREA",OR(I2178="TN",I2178="TDN",I2178="TNO2-3",I2178="NO2-3")),VLOOKUP(E2178,QCUREA_N,2,),IF(H2178="PER",VLOOKUP(I2178,QCPER,MATCH(E2178,QCACTUAL!$J$25:$AA$25,0),),IF(H2178="SPK",VLOOKUP(I2178,QCSPK,3,),IF(AND(H2178="ATP",OR(I2178="TP",I2178="TDP")),VLOOKUP(E2178,QCATP_P,2,),""))))))))</f>
        <v/>
      </c>
      <c r="W2178" s="31" t="str">
        <f t="shared" ref="W2178:W2241" si="253">IF(AND(OR(H2178="PER",H2178="ATP",H2178="GUP",H2178="CHK",H2178="SPK", H2178="NIC"),OR(U2178&gt;125,U2178&lt;75)),"FALSE",IF(AND(H2178="DUP",OR(U2178&gt;25, U2178&lt;-25)),"FALSE",IF(AND(OR(H2178="LAB",H2178="FLD",H2178="ESF"),U2178&gt;15),"FALSE","TRUE")))</f>
        <v>TRUE</v>
      </c>
      <c r="X2178" s="31" t="str">
        <f t="shared" si="248"/>
        <v/>
      </c>
      <c r="Y2178" s="10" t="s">
        <v>1144</v>
      </c>
      <c r="AL2178" s="10" t="str">
        <f t="shared" si="250"/>
        <v>FALSE</v>
      </c>
      <c r="AM2178" s="10" t="str">
        <f t="shared" si="250"/>
        <v>FALSE</v>
      </c>
      <c r="AN2178" s="10" t="str">
        <f t="shared" si="250"/>
        <v>FALSE</v>
      </c>
      <c r="AO2178" s="10" t="str">
        <f t="shared" si="251"/>
        <v>FALSE</v>
      </c>
      <c r="AP2178" s="10" t="str">
        <f t="shared" si="251"/>
        <v>FALSE</v>
      </c>
      <c r="AQ2178" s="10" t="b">
        <f>IF(AND(I2178="TP",S2178&lt;=150),VLOOKUP(AF2178,TPCalibEq150!$AZ$2:$BB$55,3,),IF(AND(I2178="TDP",S2178&lt;=150),VLOOKUP(AF2178,TPCalibEq150!$AZ$2:$BB$55,3,)))</f>
        <v>0</v>
      </c>
      <c r="AR2178" s="10" t="b">
        <f>IF(AND(I2178="TP",S2178&lt;=300),VLOOKUP(AF2178,TPCalibEq300!$AZ$2:$BB$55,3,),IF(AND(I2178="TDP",S2178&lt;=300),VLOOKUP(AF2178,TPCalibEq300!$AZ$2:$BB$55,3,)))</f>
        <v>0</v>
      </c>
      <c r="AS2178" s="10" t="b">
        <f>IF(AND(I2178="TP",S2178&lt;=500),VLOOKUP(AF2178,TPCalibEq500!$AZ$2:$BB$56,3,),IF(AND(I2178="TDP",S2178&lt;=500),VLOOKUP(AF2178,TPCalibEq500!$AZ$2:$BB$56,3,)))</f>
        <v>0</v>
      </c>
      <c r="AT2178" s="10" t="b">
        <f>IF(AND(I2178="TN",S2178&lt;=2800),VLOOKUP(AF2178,TNCalibEq2500!$AZ$2:$BB$56,3,),IF(AND(I2178="TDN",S2178&lt;=2800),VLOOKUP(AF2178,TNCalibEq2500!$AZ$2:$BB$56,3,)))</f>
        <v>0</v>
      </c>
      <c r="AU2178" s="10" t="b">
        <f>IF(I2178="TP",VLOOKUP(AF2178,TPCalibEqFull!$AZ$2:$BB$56,3),IF(I2178="TDP",VLOOKUP(AF2178,TPCalibEqFull!$AZ$2:$BB$56,3),IF(I2178="TDN",VLOOKUP(AF2178,TNCalibEqFull!$AZ$1:$BB$56,3),IF(I2178="TN",VLOOKUP(AF2178,TNCalibEqFull!$AZ$1:$BB$56,3),FALSE))))</f>
        <v>0</v>
      </c>
      <c r="AV2178" s="10" t="str">
        <f t="shared" ref="AV2178:AV2241" si="254">TEXT(A2178, "MMDD")&amp;" "&amp;TEXT(B2178, "HH:MM:SS")&amp;"-"&amp;C2178&amp;"-"&amp;D2178&amp;"-"&amp;E2178&amp;"-"&amp;F2178&amp;"-"&amp;G2178&amp;"-"&amp;H2178</f>
        <v>0209 09:00:00-QAC-STD-D-1-DI-CAL</v>
      </c>
    </row>
    <row r="2179" spans="1:48" s="10" customFormat="1" x14ac:dyDescent="0.55000000000000004">
      <c r="A2179" s="32">
        <v>44966</v>
      </c>
      <c r="B2179" s="33">
        <v>0.375</v>
      </c>
      <c r="C2179" s="10" t="s">
        <v>70</v>
      </c>
      <c r="D2179" s="10" t="s">
        <v>71</v>
      </c>
      <c r="E2179" s="10" t="s">
        <v>901</v>
      </c>
      <c r="F2179" s="10">
        <v>1</v>
      </c>
      <c r="G2179" s="10" t="s">
        <v>73</v>
      </c>
      <c r="H2179" s="10" t="s">
        <v>74</v>
      </c>
      <c r="I2179" s="10" t="s">
        <v>285</v>
      </c>
      <c r="J2179" s="10">
        <v>195</v>
      </c>
      <c r="K2179" s="12">
        <v>44966</v>
      </c>
      <c r="L2179" s="33">
        <v>0.45505787037037032</v>
      </c>
      <c r="M2179" s="10">
        <v>1</v>
      </c>
      <c r="N2179" s="10" t="s">
        <v>211</v>
      </c>
      <c r="O2179" s="10">
        <v>0.42199999999999999</v>
      </c>
      <c r="P2179" s="10">
        <v>4.1599999999999998E-2</v>
      </c>
      <c r="Q2179" s="10">
        <v>83.4</v>
      </c>
      <c r="R2179" s="10" t="s">
        <v>913</v>
      </c>
      <c r="S2179" s="34">
        <f t="shared" si="249"/>
        <v>83.4</v>
      </c>
      <c r="T2179" s="10" t="s">
        <v>1165</v>
      </c>
      <c r="U2179" s="34" t="str">
        <f t="shared" si="252"/>
        <v/>
      </c>
      <c r="V2179" s="31" t="str">
        <f>IF(H2179="CHK",VLOOKUP(I2179,QCCHK,3,),IF(H2179="GUP",VLOOKUP(E2179,QCGUP,2,),IF(AND(H2179="ATP",OR(I2179="TN",I2179="TDN",I2179="TNO2-3",I2179="NO2-3")),VLOOKUP(E2179,QCREC_N,2,),IF(AND(H2179="NIC",OR(I2179="TN",I2179="TDN",I2179="TNO2-3",I2179="NO2-3")),VLOOKUP(E2179,QCNIC_N,2,),IF(AND(H2179="UREA",OR(I2179="TN",I2179="TDN",I2179="TNO2-3",I2179="NO2-3")),VLOOKUP(E2179,QCUREA_N,2,),IF(H2179="PER",VLOOKUP(I2179,QCPER,MATCH(E2179,QCACTUAL!$J$25:$AA$25,0),),IF(H2179="SPK",VLOOKUP(I2179,QCSPK,3,),IF(AND(H2179="ATP",OR(I2179="TP",I2179="TDP")),VLOOKUP(E2179,QCATP_P,2,),""))))))))</f>
        <v/>
      </c>
      <c r="W2179" s="31" t="str">
        <f t="shared" si="253"/>
        <v>TRUE</v>
      </c>
      <c r="X2179" s="31" t="str">
        <f t="shared" si="248"/>
        <v/>
      </c>
      <c r="Y2179" s="10" t="s">
        <v>1144</v>
      </c>
      <c r="AL2179" s="10" t="str">
        <f t="shared" si="250"/>
        <v>FALSE</v>
      </c>
      <c r="AM2179" s="10" t="str">
        <f t="shared" si="250"/>
        <v>FALSE</v>
      </c>
      <c r="AN2179" s="10" t="str">
        <f t="shared" si="250"/>
        <v>FALSE</v>
      </c>
      <c r="AO2179" s="10" t="str">
        <f t="shared" si="251"/>
        <v>FALSE</v>
      </c>
      <c r="AP2179" s="10" t="str">
        <f t="shared" si="251"/>
        <v>FALSE</v>
      </c>
      <c r="AQ2179" s="10" t="b">
        <f>IF(AND(I2179="TP",S2179&lt;=150),VLOOKUP(AF2179,TPCalibEq150!$AZ$2:$BB$55,3,),IF(AND(I2179="TDP",S2179&lt;=150),VLOOKUP(AF2179,TPCalibEq150!$AZ$2:$BB$55,3,)))</f>
        <v>0</v>
      </c>
      <c r="AR2179" s="10" t="b">
        <f>IF(AND(I2179="TP",S2179&lt;=300),VLOOKUP(AF2179,TPCalibEq300!$AZ$2:$BB$55,3,),IF(AND(I2179="TDP",S2179&lt;=300),VLOOKUP(AF2179,TPCalibEq300!$AZ$2:$BB$55,3,)))</f>
        <v>0</v>
      </c>
      <c r="AS2179" s="10" t="b">
        <f>IF(AND(I2179="TP",S2179&lt;=500),VLOOKUP(AF2179,TPCalibEq500!$AZ$2:$BB$56,3,),IF(AND(I2179="TDP",S2179&lt;=500),VLOOKUP(AF2179,TPCalibEq500!$AZ$2:$BB$56,3,)))</f>
        <v>0</v>
      </c>
      <c r="AT2179" s="10" t="b">
        <f>IF(AND(I2179="TN",S2179&lt;=2800),VLOOKUP(AF2179,TNCalibEq2500!$AZ$2:$BB$56,3,),IF(AND(I2179="TDN",S2179&lt;=2800),VLOOKUP(AF2179,TNCalibEq2500!$AZ$2:$BB$56,3,)))</f>
        <v>0</v>
      </c>
      <c r="AU2179" s="10" t="b">
        <f>IF(I2179="TP",VLOOKUP(AF2179,TPCalibEqFull!$AZ$2:$BB$56,3),IF(I2179="TDP",VLOOKUP(AF2179,TPCalibEqFull!$AZ$2:$BB$56,3),IF(I2179="TDN",VLOOKUP(AF2179,TNCalibEqFull!$AZ$1:$BB$56,3),IF(I2179="TN",VLOOKUP(AF2179,TNCalibEqFull!$AZ$1:$BB$56,3),FALSE))))</f>
        <v>0</v>
      </c>
      <c r="AV2179" s="10" t="str">
        <f t="shared" si="254"/>
        <v>0209 09:00:00-QAC-STD-D-1-DI-CAL</v>
      </c>
    </row>
    <row r="2180" spans="1:48" s="10" customFormat="1" x14ac:dyDescent="0.55000000000000004">
      <c r="A2180" s="32">
        <v>44966</v>
      </c>
      <c r="B2180" s="33">
        <v>0.375</v>
      </c>
      <c r="C2180" s="10" t="s">
        <v>70</v>
      </c>
      <c r="D2180" s="10" t="s">
        <v>71</v>
      </c>
      <c r="E2180" s="10" t="s">
        <v>901</v>
      </c>
      <c r="F2180" s="10">
        <v>1</v>
      </c>
      <c r="G2180" s="10" t="s">
        <v>73</v>
      </c>
      <c r="H2180" s="10" t="s">
        <v>74</v>
      </c>
      <c r="I2180" s="10" t="s">
        <v>285</v>
      </c>
      <c r="J2180" s="10">
        <v>195</v>
      </c>
      <c r="K2180" s="12">
        <v>44966</v>
      </c>
      <c r="L2180" s="33">
        <v>0.45847222222222223</v>
      </c>
      <c r="M2180" s="10">
        <v>1</v>
      </c>
      <c r="N2180" s="10" t="s">
        <v>211</v>
      </c>
      <c r="O2180" s="10">
        <v>0.41899999999999998</v>
      </c>
      <c r="P2180" s="10">
        <v>4.1599999999999998E-2</v>
      </c>
      <c r="Q2180" s="10">
        <v>75</v>
      </c>
      <c r="R2180" s="10" t="s">
        <v>913</v>
      </c>
      <c r="S2180" s="34">
        <f t="shared" si="249"/>
        <v>75</v>
      </c>
      <c r="T2180" s="10" t="s">
        <v>1166</v>
      </c>
      <c r="U2180" s="34" t="str">
        <f t="shared" si="252"/>
        <v/>
      </c>
      <c r="V2180" s="31" t="str">
        <f>IF(H2180="CHK",VLOOKUP(I2180,QCCHK,3,),IF(H2180="GUP",VLOOKUP(E2180,QCGUP,2,),IF(AND(H2180="ATP",OR(I2180="TN",I2180="TDN",I2180="TNO2-3",I2180="NO2-3")),VLOOKUP(E2180,QCREC_N,2,),IF(AND(H2180="NIC",OR(I2180="TN",I2180="TDN",I2180="TNO2-3",I2180="NO2-3")),VLOOKUP(E2180,QCNIC_N,2,),IF(AND(H2180="UREA",OR(I2180="TN",I2180="TDN",I2180="TNO2-3",I2180="NO2-3")),VLOOKUP(E2180,QCUREA_N,2,),IF(H2180="PER",VLOOKUP(I2180,QCPER,MATCH(E2180,QCACTUAL!$J$25:$AA$25,0),),IF(H2180="SPK",VLOOKUP(I2180,QCSPK,3,),IF(AND(H2180="ATP",OR(I2180="TP",I2180="TDP")),VLOOKUP(E2180,QCATP_P,2,),""))))))))</f>
        <v/>
      </c>
      <c r="W2180" s="31" t="str">
        <f t="shared" si="253"/>
        <v>TRUE</v>
      </c>
      <c r="X2180" s="31" t="str">
        <f t="shared" si="248"/>
        <v/>
      </c>
      <c r="Y2180" s="10" t="s">
        <v>1144</v>
      </c>
      <c r="AL2180" s="10" t="str">
        <f t="shared" si="250"/>
        <v>FALSE</v>
      </c>
      <c r="AM2180" s="10" t="str">
        <f t="shared" si="250"/>
        <v>FALSE</v>
      </c>
      <c r="AN2180" s="10" t="str">
        <f t="shared" si="250"/>
        <v>FALSE</v>
      </c>
      <c r="AO2180" s="10" t="str">
        <f t="shared" si="251"/>
        <v>FALSE</v>
      </c>
      <c r="AP2180" s="10" t="str">
        <f t="shared" si="251"/>
        <v>FALSE</v>
      </c>
      <c r="AQ2180" s="10" t="b">
        <f>IF(AND(I2180="TP",S2180&lt;=150),VLOOKUP(AF2180,TPCalibEq150!$AZ$2:$BB$55,3,),IF(AND(I2180="TDP",S2180&lt;=150),VLOOKUP(AF2180,TPCalibEq150!$AZ$2:$BB$55,3,)))</f>
        <v>0</v>
      </c>
      <c r="AR2180" s="10" t="b">
        <f>IF(AND(I2180="TP",S2180&lt;=300),VLOOKUP(AF2180,TPCalibEq300!$AZ$2:$BB$55,3,),IF(AND(I2180="TDP",S2180&lt;=300),VLOOKUP(AF2180,TPCalibEq300!$AZ$2:$BB$55,3,)))</f>
        <v>0</v>
      </c>
      <c r="AS2180" s="10" t="b">
        <f>IF(AND(I2180="TP",S2180&lt;=500),VLOOKUP(AF2180,TPCalibEq500!$AZ$2:$BB$56,3,),IF(AND(I2180="TDP",S2180&lt;=500),VLOOKUP(AF2180,TPCalibEq500!$AZ$2:$BB$56,3,)))</f>
        <v>0</v>
      </c>
      <c r="AT2180" s="10" t="b">
        <f>IF(AND(I2180="TN",S2180&lt;=2800),VLOOKUP(AF2180,TNCalibEq2500!$AZ$2:$BB$56,3,),IF(AND(I2180="TDN",S2180&lt;=2800),VLOOKUP(AF2180,TNCalibEq2500!$AZ$2:$BB$56,3,)))</f>
        <v>0</v>
      </c>
      <c r="AU2180" s="10" t="b">
        <f>IF(I2180="TP",VLOOKUP(AF2180,TPCalibEqFull!$AZ$2:$BB$56,3),IF(I2180="TDP",VLOOKUP(AF2180,TPCalibEqFull!$AZ$2:$BB$56,3),IF(I2180="TDN",VLOOKUP(AF2180,TNCalibEqFull!$AZ$1:$BB$56,3),IF(I2180="TN",VLOOKUP(AF2180,TNCalibEqFull!$AZ$1:$BB$56,3),FALSE))))</f>
        <v>0</v>
      </c>
      <c r="AV2180" s="10" t="str">
        <f t="shared" si="254"/>
        <v>0209 09:00:00-QAC-STD-D-1-DI-CAL</v>
      </c>
    </row>
    <row r="2181" spans="1:48" s="10" customFormat="1" x14ac:dyDescent="0.55000000000000004">
      <c r="A2181" s="32">
        <v>44966</v>
      </c>
      <c r="B2181" s="33">
        <v>0.375</v>
      </c>
      <c r="C2181" s="10" t="s">
        <v>70</v>
      </c>
      <c r="D2181" s="10" t="s">
        <v>241</v>
      </c>
      <c r="E2181" s="10" t="s">
        <v>866</v>
      </c>
      <c r="F2181" s="10">
        <v>1</v>
      </c>
      <c r="G2181" s="10" t="s">
        <v>73</v>
      </c>
      <c r="H2181" s="10" t="s">
        <v>283</v>
      </c>
      <c r="I2181" s="10" t="s">
        <v>285</v>
      </c>
      <c r="J2181" s="10">
        <v>198</v>
      </c>
      <c r="K2181" s="12">
        <v>44966</v>
      </c>
      <c r="L2181" s="33">
        <v>0.46219907407407407</v>
      </c>
      <c r="M2181" s="10">
        <v>1</v>
      </c>
      <c r="N2181" s="10" t="s">
        <v>211</v>
      </c>
      <c r="O2181" s="10">
        <v>1.5699999999999999E-2</v>
      </c>
      <c r="P2181" s="10">
        <v>5.4100000000000003E-4</v>
      </c>
      <c r="Q2181" s="10">
        <v>2.2200000000000002</v>
      </c>
      <c r="R2181" s="10" t="s">
        <v>913</v>
      </c>
      <c r="S2181" s="34">
        <f t="shared" si="249"/>
        <v>2.2200000000000002</v>
      </c>
      <c r="T2181" s="10" t="s">
        <v>1166</v>
      </c>
      <c r="U2181" s="34">
        <f t="shared" si="252"/>
        <v>2.2200000000000002</v>
      </c>
      <c r="V2181" s="31" t="str">
        <f>IF(H2181="CHK",VLOOKUP(I2181,QCCHK,3,),IF(H2181="GUP",VLOOKUP(E2181,QCGUP,2,),IF(AND(H2181="ATP",OR(I2181="TN",I2181="TDN",I2181="TNO2-3",I2181="NO2-3")),VLOOKUP(E2181,QCREC_N,2,),IF(AND(H2181="NIC",OR(I2181="TN",I2181="TDN",I2181="TNO2-3",I2181="NO2-3")),VLOOKUP(E2181,QCNIC_N,2,),IF(AND(H2181="UREA",OR(I2181="TN",I2181="TDN",I2181="TNO2-3",I2181="NO2-3")),VLOOKUP(E2181,QCUREA_N,2,),IF(H2181="PER",VLOOKUP(I2181,QCPER,MATCH(E2181,QCACTUAL!$J$25:$AA$25,0),),IF(H2181="SPK",VLOOKUP(I2181,QCSPK,3,),IF(AND(H2181="ATP",OR(I2181="TP",I2181="TDP")),VLOOKUP(E2181,QCATP_P,2,),""))))))))</f>
        <v/>
      </c>
      <c r="W2181" s="31" t="str">
        <f t="shared" si="253"/>
        <v>TRUE</v>
      </c>
      <c r="X2181" s="31" t="str">
        <f t="shared" si="248"/>
        <v>nominal concentration</v>
      </c>
      <c r="Y2181" s="10" t="s">
        <v>1144</v>
      </c>
      <c r="AL2181" s="10" t="str">
        <f t="shared" si="250"/>
        <v>FALSE</v>
      </c>
      <c r="AM2181" s="10" t="str">
        <f t="shared" si="250"/>
        <v>FALSE</v>
      </c>
      <c r="AN2181" s="10" t="str">
        <f t="shared" si="250"/>
        <v>FALSE</v>
      </c>
      <c r="AO2181" s="10" t="str">
        <f t="shared" si="251"/>
        <v>FALSE</v>
      </c>
      <c r="AP2181" s="10" t="str">
        <f t="shared" si="251"/>
        <v>FALSE</v>
      </c>
      <c r="AQ2181" s="10" t="b">
        <f>IF(AND(I2181="TP",S2181&lt;=150),VLOOKUP(AF2181,TPCalibEq150!$AZ$2:$BB$55,3,),IF(AND(I2181="TDP",S2181&lt;=150),VLOOKUP(AF2181,TPCalibEq150!$AZ$2:$BB$55,3,)))</f>
        <v>0</v>
      </c>
      <c r="AR2181" s="10" t="b">
        <f>IF(AND(I2181="TP",S2181&lt;=300),VLOOKUP(AF2181,TPCalibEq300!$AZ$2:$BB$55,3,),IF(AND(I2181="TDP",S2181&lt;=300),VLOOKUP(AF2181,TPCalibEq300!$AZ$2:$BB$55,3,)))</f>
        <v>0</v>
      </c>
      <c r="AS2181" s="10" t="b">
        <f>IF(AND(I2181="TP",S2181&lt;=500),VLOOKUP(AF2181,TPCalibEq500!$AZ$2:$BB$56,3,),IF(AND(I2181="TDP",S2181&lt;=500),VLOOKUP(AF2181,TPCalibEq500!$AZ$2:$BB$56,3,)))</f>
        <v>0</v>
      </c>
      <c r="AT2181" s="10" t="b">
        <f>IF(AND(I2181="TN",S2181&lt;=2800),VLOOKUP(AF2181,TNCalibEq2500!$AZ$2:$BB$56,3,),IF(AND(I2181="TDN",S2181&lt;=2800),VLOOKUP(AF2181,TNCalibEq2500!$AZ$2:$BB$56,3,)))</f>
        <v>0</v>
      </c>
      <c r="AU2181" s="10" t="b">
        <f>IF(I2181="TP",VLOOKUP(AF2181,TPCalibEqFull!$AZ$2:$BB$56,3),IF(I2181="TDP",VLOOKUP(AF2181,TPCalibEqFull!$AZ$2:$BB$56,3),IF(I2181="TDN",VLOOKUP(AF2181,TNCalibEqFull!$AZ$1:$BB$56,3),IF(I2181="TN",VLOOKUP(AF2181,TNCalibEqFull!$AZ$1:$BB$56,3),FALSE))))</f>
        <v>0</v>
      </c>
      <c r="AV2181" s="10" t="str">
        <f t="shared" si="254"/>
        <v>0209 09:00:00-QAC-BLK-A-1-DI-LAB</v>
      </c>
    </row>
    <row r="2182" spans="1:48" s="10" customFormat="1" x14ac:dyDescent="0.55000000000000004">
      <c r="A2182" s="32">
        <v>44966</v>
      </c>
      <c r="B2182" s="33">
        <v>0.375</v>
      </c>
      <c r="C2182" s="10" t="s">
        <v>70</v>
      </c>
      <c r="D2182" s="10" t="s">
        <v>241</v>
      </c>
      <c r="E2182" s="10" t="s">
        <v>866</v>
      </c>
      <c r="F2182" s="10">
        <v>1</v>
      </c>
      <c r="G2182" s="10" t="s">
        <v>73</v>
      </c>
      <c r="H2182" s="10" t="s">
        <v>314</v>
      </c>
      <c r="I2182" s="10" t="s">
        <v>285</v>
      </c>
      <c r="J2182" s="10">
        <v>225</v>
      </c>
      <c r="K2182" s="12">
        <v>44966</v>
      </c>
      <c r="L2182" s="33">
        <v>0.46304398148148151</v>
      </c>
      <c r="M2182" s="10">
        <v>1</v>
      </c>
      <c r="N2182" s="10" t="s">
        <v>211</v>
      </c>
      <c r="O2182" s="10">
        <v>0.94099999999999995</v>
      </c>
      <c r="P2182" s="10">
        <v>9.4899999999999998E-2</v>
      </c>
      <c r="Q2182" s="10">
        <v>162</v>
      </c>
      <c r="R2182" s="10" t="s">
        <v>913</v>
      </c>
      <c r="S2182" s="34">
        <f t="shared" si="249"/>
        <v>162</v>
      </c>
      <c r="T2182" s="10" t="s">
        <v>1166</v>
      </c>
      <c r="U2182" s="34">
        <f t="shared" si="252"/>
        <v>102.25919999999999</v>
      </c>
      <c r="V2182" s="31">
        <f>IF(H2182="CHK",VLOOKUP(I2182,QCCHK,3,),IF(H2182="GUP",VLOOKUP(E2182,QCGUP,2,),IF(AND(H2182="ATP",OR(I2182="TN",I2182="TDN",I2182="TNO2-3",I2182="NO2-3")),VLOOKUP(E2182,QCREC_N,2,),IF(AND(H2182="NIC",OR(I2182="TN",I2182="TDN",I2182="TNO2-3",I2182="NO2-3")),VLOOKUP(E2182,QCNIC_N,2,),IF(AND(H2182="UREA",OR(I2182="TN",I2182="TDN",I2182="TNO2-3",I2182="NO2-3")),VLOOKUP(E2182,QCUREA_N,2,),IF(H2182="PER",VLOOKUP(I2182,QCPER,MATCH(E2182,QCACTUAL!$J$25:$AA$25,0),),IF(H2182="SPK",VLOOKUP(I2182,QCSPK,3,),IF(AND(H2182="ATP",OR(I2182="TP",I2182="TDP")),VLOOKUP(E2182,QCATP_P,2,),""))))))))</f>
        <v>156.25</v>
      </c>
      <c r="W2182" s="31" t="str">
        <f t="shared" si="253"/>
        <v>TRUE</v>
      </c>
      <c r="X2182" s="31" t="str">
        <f t="shared" si="248"/>
        <v>([spikedunkn]-[unkn])/[spike]*100</v>
      </c>
      <c r="Y2182" s="10" t="s">
        <v>1144</v>
      </c>
      <c r="AL2182" s="10" t="str">
        <f t="shared" si="250"/>
        <v>FALSE</v>
      </c>
      <c r="AM2182" s="10" t="str">
        <f t="shared" si="250"/>
        <v>FALSE</v>
      </c>
      <c r="AN2182" s="10" t="str">
        <f t="shared" si="250"/>
        <v>FALSE</v>
      </c>
      <c r="AO2182" s="10" t="str">
        <f t="shared" si="251"/>
        <v>FALSE</v>
      </c>
      <c r="AP2182" s="10" t="str">
        <f t="shared" si="251"/>
        <v>FALSE</v>
      </c>
      <c r="AQ2182" s="10" t="b">
        <f>IF(AND(I2182="TP",S2182&lt;=150),VLOOKUP(AF2182,TPCalibEq150!$AZ$2:$BB$55,3,),IF(AND(I2182="TDP",S2182&lt;=150),VLOOKUP(AF2182,TPCalibEq150!$AZ$2:$BB$55,3,)))</f>
        <v>0</v>
      </c>
      <c r="AR2182" s="10" t="b">
        <f>IF(AND(I2182="TP",S2182&lt;=300),VLOOKUP(AF2182,TPCalibEq300!$AZ$2:$BB$55,3,),IF(AND(I2182="TDP",S2182&lt;=300),VLOOKUP(AF2182,TPCalibEq300!$AZ$2:$BB$55,3,)))</f>
        <v>0</v>
      </c>
      <c r="AS2182" s="10" t="b">
        <f>IF(AND(I2182="TP",S2182&lt;=500),VLOOKUP(AF2182,TPCalibEq500!$AZ$2:$BB$56,3,),IF(AND(I2182="TDP",S2182&lt;=500),VLOOKUP(AF2182,TPCalibEq500!$AZ$2:$BB$56,3,)))</f>
        <v>0</v>
      </c>
      <c r="AT2182" s="10" t="b">
        <f>IF(AND(I2182="TN",S2182&lt;=2800),VLOOKUP(AF2182,TNCalibEq2500!$AZ$2:$BB$56,3,),IF(AND(I2182="TDN",S2182&lt;=2800),VLOOKUP(AF2182,TNCalibEq2500!$AZ$2:$BB$56,3,)))</f>
        <v>0</v>
      </c>
      <c r="AU2182" s="10" t="b">
        <f>IF(I2182="TP",VLOOKUP(AF2182,TPCalibEqFull!$AZ$2:$BB$56,3),IF(I2182="TDP",VLOOKUP(AF2182,TPCalibEqFull!$AZ$2:$BB$56,3),IF(I2182="TDN",VLOOKUP(AF2182,TNCalibEqFull!$AZ$1:$BB$56,3),IF(I2182="TN",VLOOKUP(AF2182,TNCalibEqFull!$AZ$1:$BB$56,3),FALSE))))</f>
        <v>0</v>
      </c>
      <c r="AV2182" s="10" t="str">
        <f t="shared" si="254"/>
        <v>0209 09:00:00-QAC-BLK-A-1-DI-SPK</v>
      </c>
    </row>
    <row r="2183" spans="1:48" s="10" customFormat="1" x14ac:dyDescent="0.55000000000000004">
      <c r="A2183" s="32">
        <v>44966</v>
      </c>
      <c r="B2183" s="33">
        <v>0.375</v>
      </c>
      <c r="C2183" s="10" t="s">
        <v>70</v>
      </c>
      <c r="D2183" s="10" t="s">
        <v>71</v>
      </c>
      <c r="E2183" s="10" t="s">
        <v>948</v>
      </c>
      <c r="F2183" s="10">
        <v>1</v>
      </c>
      <c r="G2183" s="10" t="s">
        <v>73</v>
      </c>
      <c r="H2183" s="10" t="s">
        <v>299</v>
      </c>
      <c r="I2183" s="10" t="s">
        <v>285</v>
      </c>
      <c r="J2183" s="10">
        <v>197</v>
      </c>
      <c r="K2183" s="12">
        <v>44966</v>
      </c>
      <c r="L2183" s="33">
        <v>0.46387731481481481</v>
      </c>
      <c r="M2183" s="10">
        <v>1</v>
      </c>
      <c r="N2183" s="10" t="s">
        <v>211</v>
      </c>
      <c r="O2183" s="10">
        <v>1.97</v>
      </c>
      <c r="P2183" s="10">
        <v>0.19700000000000001</v>
      </c>
      <c r="Q2183" s="10">
        <v>340</v>
      </c>
      <c r="R2183" s="10" t="s">
        <v>913</v>
      </c>
      <c r="S2183" s="34">
        <f t="shared" si="249"/>
        <v>340</v>
      </c>
      <c r="T2183" s="10" t="s">
        <v>1166</v>
      </c>
      <c r="U2183" s="34">
        <f t="shared" si="252"/>
        <v>96.045197740112997</v>
      </c>
      <c r="V2183" s="31">
        <f>IF(H2183="CHK",VLOOKUP(I2183,QCCHK,3,),IF(H2183="GUP",VLOOKUP(E2183,QCGUP,2,),IF(AND(H2183="ATP",OR(I2183="TN",I2183="TDN",I2183="TNO2-3",I2183="NO2-3")),VLOOKUP(E2183,QCREC_N,2,),IF(AND(H2183="NIC",OR(I2183="TN",I2183="TDN",I2183="TNO2-3",I2183="NO2-3")),VLOOKUP(E2183,QCNIC_N,2,),IF(AND(H2183="UREA",OR(I2183="TN",I2183="TDN",I2183="TNO2-3",I2183="NO2-3")),VLOOKUP(E2183,QCUREA_N,2,),IF(H2183="PER",VLOOKUP(I2183,QCPER,MATCH(E2183,QCACTUAL!$J$25:$AA$25,0),),IF(H2183="SPK",VLOOKUP(I2183,QCSPK,3,),IF(AND(H2183="ATP",OR(I2183="TP",I2183="TDP")),VLOOKUP(E2183,QCATP_P,2,),""))))))))</f>
        <v>354</v>
      </c>
      <c r="W2183" s="31" t="str">
        <f t="shared" si="253"/>
        <v>TRUE</v>
      </c>
      <c r="X2183" s="31" t="str">
        <f t="shared" si="248"/>
        <v>[per]/[actual]*100</v>
      </c>
      <c r="Y2183" s="10" t="s">
        <v>1144</v>
      </c>
      <c r="AL2183" s="10" t="str">
        <f t="shared" si="250"/>
        <v>FALSE</v>
      </c>
      <c r="AM2183" s="10" t="str">
        <f t="shared" si="250"/>
        <v>FALSE</v>
      </c>
      <c r="AN2183" s="10" t="str">
        <f t="shared" si="250"/>
        <v>FALSE</v>
      </c>
      <c r="AO2183" s="10" t="str">
        <f t="shared" si="251"/>
        <v>FALSE</v>
      </c>
      <c r="AP2183" s="10" t="str">
        <f t="shared" si="251"/>
        <v>FALSE</v>
      </c>
      <c r="AQ2183" s="10" t="b">
        <f>IF(AND(I2183="TP",S2183&lt;=150),VLOOKUP(AF2183,TPCalibEq150!$AZ$2:$BB$55,3,),IF(AND(I2183="TDP",S2183&lt;=150),VLOOKUP(AF2183,TPCalibEq150!$AZ$2:$BB$55,3,)))</f>
        <v>0</v>
      </c>
      <c r="AR2183" s="10" t="b">
        <f>IF(AND(I2183="TP",S2183&lt;=300),VLOOKUP(AF2183,TPCalibEq300!$AZ$2:$BB$55,3,),IF(AND(I2183="TDP",S2183&lt;=300),VLOOKUP(AF2183,TPCalibEq300!$AZ$2:$BB$55,3,)))</f>
        <v>0</v>
      </c>
      <c r="AS2183" s="10" t="b">
        <f>IF(AND(I2183="TP",S2183&lt;=500),VLOOKUP(AF2183,TPCalibEq500!$AZ$2:$BB$56,3,),IF(AND(I2183="TDP",S2183&lt;=500),VLOOKUP(AF2183,TPCalibEq500!$AZ$2:$BB$56,3,)))</f>
        <v>0</v>
      </c>
      <c r="AT2183" s="10" t="b">
        <f>IF(AND(I2183="TN",S2183&lt;=2800),VLOOKUP(AF2183,TNCalibEq2500!$AZ$2:$BB$56,3,),IF(AND(I2183="TDN",S2183&lt;=2800),VLOOKUP(AF2183,TNCalibEq2500!$AZ$2:$BB$56,3,)))</f>
        <v>0</v>
      </c>
      <c r="AU2183" s="10" t="b">
        <f>IF(I2183="TP",VLOOKUP(AF2183,TPCalibEqFull!$AZ$2:$BB$56,3),IF(I2183="TDP",VLOOKUP(AF2183,TPCalibEqFull!$AZ$2:$BB$56,3),IF(I2183="TDN",VLOOKUP(AF2183,TNCalibEqFull!$AZ$1:$BB$56,3),IF(I2183="TN",VLOOKUP(AF2183,TNCalibEqFull!$AZ$1:$BB$56,3),FALSE))))</f>
        <v>0</v>
      </c>
      <c r="AV2183" s="10" t="str">
        <f t="shared" si="254"/>
        <v>0209 09:00:00-QAC-STD-22A-1-DI-PER</v>
      </c>
    </row>
    <row r="2184" spans="1:48" s="10" customFormat="1" x14ac:dyDescent="0.55000000000000004">
      <c r="A2184" s="32">
        <v>44966</v>
      </c>
      <c r="B2184" s="33">
        <v>0.375</v>
      </c>
      <c r="C2184" s="10" t="s">
        <v>70</v>
      </c>
      <c r="D2184" s="10" t="s">
        <v>71</v>
      </c>
      <c r="E2184" s="10" t="s">
        <v>1060</v>
      </c>
      <c r="F2184" s="10">
        <v>1</v>
      </c>
      <c r="G2184" s="10" t="s">
        <v>73</v>
      </c>
      <c r="H2184" s="10" t="s">
        <v>299</v>
      </c>
      <c r="I2184" s="10" t="s">
        <v>285</v>
      </c>
      <c r="J2184" s="10">
        <v>196</v>
      </c>
      <c r="K2184" s="12">
        <v>44966</v>
      </c>
      <c r="L2184" s="33">
        <v>0.46469907407407413</v>
      </c>
      <c r="M2184" s="10">
        <v>1</v>
      </c>
      <c r="N2184" s="10" t="s">
        <v>211</v>
      </c>
      <c r="O2184" s="10">
        <v>1.24</v>
      </c>
      <c r="P2184" s="10">
        <v>0.124</v>
      </c>
      <c r="Q2184" s="10">
        <v>214</v>
      </c>
      <c r="R2184" s="10" t="s">
        <v>913</v>
      </c>
      <c r="S2184" s="34">
        <f t="shared" si="249"/>
        <v>214</v>
      </c>
      <c r="T2184" s="10" t="s">
        <v>1166</v>
      </c>
      <c r="U2184" s="34">
        <f t="shared" si="252"/>
        <v>107</v>
      </c>
      <c r="V2184" s="31">
        <f>IF(H2184="CHK",VLOOKUP(I2184,QCCHK,3,),IF(H2184="GUP",VLOOKUP(E2184,QCGUP,2,),IF(AND(H2184="ATP",OR(I2184="TN",I2184="TDN",I2184="TNO2-3",I2184="NO2-3")),VLOOKUP(E2184,QCREC_N,2,),IF(AND(H2184="NIC",OR(I2184="TN",I2184="TDN",I2184="TNO2-3",I2184="NO2-3")),VLOOKUP(E2184,QCNIC_N,2,),IF(AND(H2184="UREA",OR(I2184="TN",I2184="TDN",I2184="TNO2-3",I2184="NO2-3")),VLOOKUP(E2184,QCUREA_N,2,),IF(H2184="PER",VLOOKUP(I2184,QCPER,MATCH(E2184,QCACTUAL!$J$25:$AA$25,0),),IF(H2184="SPK",VLOOKUP(I2184,QCSPK,3,),IF(AND(H2184="ATP",OR(I2184="TP",I2184="TDP")),VLOOKUP(E2184,QCATP_P,2,),""))))))))</f>
        <v>200</v>
      </c>
      <c r="W2184" s="31" t="str">
        <f t="shared" si="253"/>
        <v>TRUE</v>
      </c>
      <c r="X2184" s="31" t="str">
        <f t="shared" si="248"/>
        <v>[per]/[actual]*100</v>
      </c>
      <c r="Y2184" s="10" t="s">
        <v>1144</v>
      </c>
      <c r="AL2184" s="10" t="str">
        <f t="shared" si="250"/>
        <v>FALSE</v>
      </c>
      <c r="AM2184" s="10" t="str">
        <f t="shared" si="250"/>
        <v>FALSE</v>
      </c>
      <c r="AN2184" s="10" t="str">
        <f t="shared" si="250"/>
        <v>FALSE</v>
      </c>
      <c r="AO2184" s="10" t="str">
        <f t="shared" si="251"/>
        <v>FALSE</v>
      </c>
      <c r="AP2184" s="10" t="str">
        <f t="shared" si="251"/>
        <v>FALSE</v>
      </c>
      <c r="AQ2184" s="10" t="b">
        <f>IF(AND(I2184="TP",S2184&lt;=150),VLOOKUP(AF2184,TPCalibEq150!$AZ$2:$BB$55,3,),IF(AND(I2184="TDP",S2184&lt;=150),VLOOKUP(AF2184,TPCalibEq150!$AZ$2:$BB$55,3,)))</f>
        <v>0</v>
      </c>
      <c r="AR2184" s="10" t="b">
        <f>IF(AND(I2184="TP",S2184&lt;=300),VLOOKUP(AF2184,TPCalibEq300!$AZ$2:$BB$55,3,),IF(AND(I2184="TDP",S2184&lt;=300),VLOOKUP(AF2184,TPCalibEq300!$AZ$2:$BB$55,3,)))</f>
        <v>0</v>
      </c>
      <c r="AS2184" s="10" t="b">
        <f>IF(AND(I2184="TP",S2184&lt;=500),VLOOKUP(AF2184,TPCalibEq500!$AZ$2:$BB$56,3,),IF(AND(I2184="TDP",S2184&lt;=500),VLOOKUP(AF2184,TPCalibEq500!$AZ$2:$BB$56,3,)))</f>
        <v>0</v>
      </c>
      <c r="AT2184" s="10" t="b">
        <f>IF(AND(I2184="TN",S2184&lt;=2800),VLOOKUP(AF2184,TNCalibEq2500!$AZ$2:$BB$56,3,),IF(AND(I2184="TDN",S2184&lt;=2800),VLOOKUP(AF2184,TNCalibEq2500!$AZ$2:$BB$56,3,)))</f>
        <v>0</v>
      </c>
      <c r="AU2184" s="10" t="b">
        <f>IF(I2184="TP",VLOOKUP(AF2184,TPCalibEqFull!$AZ$2:$BB$56,3),IF(I2184="TDP",VLOOKUP(AF2184,TPCalibEqFull!$AZ$2:$BB$56,3),IF(I2184="TDN",VLOOKUP(AF2184,TNCalibEqFull!$AZ$1:$BB$56,3),IF(I2184="TN",VLOOKUP(AF2184,TNCalibEqFull!$AZ$1:$BB$56,3),FALSE))))</f>
        <v>0</v>
      </c>
      <c r="AV2184" s="10" t="str">
        <f t="shared" si="254"/>
        <v>0209 09:00:00-QAC-STD-22B-1-DI-PER</v>
      </c>
    </row>
    <row r="2185" spans="1:48" s="10" customFormat="1" x14ac:dyDescent="0.55000000000000004">
      <c r="A2185" s="32">
        <v>44963</v>
      </c>
      <c r="B2185" s="33">
        <v>0.25</v>
      </c>
      <c r="C2185" s="10" t="s">
        <v>70</v>
      </c>
      <c r="D2185" s="10" t="s">
        <v>241</v>
      </c>
      <c r="E2185" s="10" t="s">
        <v>866</v>
      </c>
      <c r="F2185" s="10">
        <v>1</v>
      </c>
      <c r="G2185" s="10" t="s">
        <v>73</v>
      </c>
      <c r="H2185" s="10" t="s">
        <v>264</v>
      </c>
      <c r="I2185" s="10" t="s">
        <v>285</v>
      </c>
      <c r="J2185" s="10">
        <v>133</v>
      </c>
      <c r="K2185" s="12">
        <v>44966</v>
      </c>
      <c r="L2185" s="33">
        <v>0.46714120370370371</v>
      </c>
      <c r="M2185" s="10">
        <v>1</v>
      </c>
      <c r="N2185" s="10" t="s">
        <v>211</v>
      </c>
      <c r="O2185" s="10">
        <v>1.18E-2</v>
      </c>
      <c r="P2185" s="10">
        <v>5.9199999999999997E-4</v>
      </c>
      <c r="Q2185" s="10">
        <v>1.56</v>
      </c>
      <c r="R2185" s="10" t="s">
        <v>913</v>
      </c>
      <c r="S2185" s="34">
        <f t="shared" si="249"/>
        <v>1.56</v>
      </c>
      <c r="T2185" s="10" t="s">
        <v>1166</v>
      </c>
      <c r="U2185" s="34">
        <f t="shared" si="252"/>
        <v>1.56</v>
      </c>
      <c r="V2185" s="31" t="str">
        <f>IF(H2185="CHK",VLOOKUP(I2185,QCCHK,3,),IF(H2185="GUP",VLOOKUP(E2185,QCGUP,2,),IF(AND(H2185="ATP",OR(I2185="TN",I2185="TDN",I2185="TNO2-3",I2185="NO2-3")),VLOOKUP(E2185,QCREC_N,2,),IF(AND(H2185="NIC",OR(I2185="TN",I2185="TDN",I2185="TNO2-3",I2185="NO2-3")),VLOOKUP(E2185,QCNIC_N,2,),IF(AND(H2185="UREA",OR(I2185="TN",I2185="TDN",I2185="TNO2-3",I2185="NO2-3")),VLOOKUP(E2185,QCUREA_N,2,),IF(H2185="PER",VLOOKUP(I2185,QCPER,MATCH(E2185,QCACTUAL!$J$25:$AA$25,0),),IF(H2185="SPK",VLOOKUP(I2185,QCSPK,3,),IF(AND(H2185="ATP",OR(I2185="TP",I2185="TDP")),VLOOKUP(E2185,QCATP_P,2,),""))))))))</f>
        <v/>
      </c>
      <c r="W2185" s="31" t="str">
        <f t="shared" si="253"/>
        <v>TRUE</v>
      </c>
      <c r="X2185" s="31" t="str">
        <f t="shared" si="248"/>
        <v>nominal concentration</v>
      </c>
      <c r="Y2185" s="10" t="s">
        <v>1144</v>
      </c>
      <c r="Z2185" s="10" t="s">
        <v>910</v>
      </c>
      <c r="AL2185" s="10" t="str">
        <f t="shared" si="250"/>
        <v>FALSE</v>
      </c>
      <c r="AM2185" s="10" t="str">
        <f t="shared" si="250"/>
        <v>FALSE</v>
      </c>
      <c r="AN2185" s="10" t="str">
        <f t="shared" si="250"/>
        <v>FALSE</v>
      </c>
      <c r="AO2185" s="10" t="str">
        <f t="shared" si="251"/>
        <v>FALSE</v>
      </c>
      <c r="AP2185" s="10" t="str">
        <f t="shared" si="251"/>
        <v>FALSE</v>
      </c>
      <c r="AQ2185" s="10" t="b">
        <f>IF(AND(I2185="TP",S2185&lt;=150),VLOOKUP(AF2185,TPCalibEq150!$AZ$2:$BB$55,3,),IF(AND(I2185="TDP",S2185&lt;=150),VLOOKUP(AF2185,TPCalibEq150!$AZ$2:$BB$55,3,)))</f>
        <v>0</v>
      </c>
      <c r="AR2185" s="10" t="b">
        <f>IF(AND(I2185="TP",S2185&lt;=300),VLOOKUP(AF2185,TPCalibEq300!$AZ$2:$BB$55,3,),IF(AND(I2185="TDP",S2185&lt;=300),VLOOKUP(AF2185,TPCalibEq300!$AZ$2:$BB$55,3,)))</f>
        <v>0</v>
      </c>
      <c r="AS2185" s="10" t="b">
        <f>IF(AND(I2185="TP",S2185&lt;=500),VLOOKUP(AF2185,TPCalibEq500!$AZ$2:$BB$56,3,),IF(AND(I2185="TDP",S2185&lt;=500),VLOOKUP(AF2185,TPCalibEq500!$AZ$2:$BB$56,3,)))</f>
        <v>0</v>
      </c>
      <c r="AT2185" s="10" t="b">
        <f>IF(AND(I2185="TN",S2185&lt;=2800),VLOOKUP(AF2185,TNCalibEq2500!$AZ$2:$BB$56,3,),IF(AND(I2185="TDN",S2185&lt;=2800),VLOOKUP(AF2185,TNCalibEq2500!$AZ$2:$BB$56,3,)))</f>
        <v>0</v>
      </c>
      <c r="AU2185" s="10" t="b">
        <f>IF(I2185="TP",VLOOKUP(AF2185,TPCalibEqFull!$AZ$2:$BB$56,3),IF(I2185="TDP",VLOOKUP(AF2185,TPCalibEqFull!$AZ$2:$BB$56,3),IF(I2185="TDN",VLOOKUP(AF2185,TNCalibEqFull!$AZ$1:$BB$56,3),IF(I2185="TN",VLOOKUP(AF2185,TNCalibEqFull!$AZ$1:$BB$56,3),FALSE))))</f>
        <v>0</v>
      </c>
      <c r="AV2185" s="10" t="str">
        <f t="shared" si="254"/>
        <v>0206 06:00:00-QAC-BLK-A-1-DI-FLD</v>
      </c>
    </row>
    <row r="2186" spans="1:48" s="10" customFormat="1" x14ac:dyDescent="0.55000000000000004">
      <c r="A2186" s="32">
        <v>44965</v>
      </c>
      <c r="B2186" s="33">
        <v>0.25</v>
      </c>
      <c r="C2186" s="10" t="s">
        <v>70</v>
      </c>
      <c r="D2186" s="10" t="s">
        <v>241</v>
      </c>
      <c r="E2186" s="10">
        <v>800</v>
      </c>
      <c r="F2186" s="10">
        <v>1</v>
      </c>
      <c r="G2186" s="10" t="s">
        <v>73</v>
      </c>
      <c r="H2186" s="10" t="s">
        <v>264</v>
      </c>
      <c r="I2186" s="10" t="s">
        <v>285</v>
      </c>
      <c r="J2186" s="10">
        <v>134</v>
      </c>
      <c r="K2186" s="12">
        <v>44966</v>
      </c>
      <c r="L2186" s="33">
        <v>0.46796296296296297</v>
      </c>
      <c r="M2186" s="10">
        <v>1</v>
      </c>
      <c r="N2186" s="10" t="s">
        <v>211</v>
      </c>
      <c r="O2186" s="10">
        <v>1.35E-2</v>
      </c>
      <c r="P2186" s="10">
        <v>5.1199999999999998E-4</v>
      </c>
      <c r="Q2186" s="10">
        <v>1.84</v>
      </c>
      <c r="R2186" s="10" t="s">
        <v>913</v>
      </c>
      <c r="S2186" s="34">
        <f t="shared" si="249"/>
        <v>1.84</v>
      </c>
      <c r="T2186" s="10" t="s">
        <v>1166</v>
      </c>
      <c r="U2186" s="34">
        <f t="shared" si="252"/>
        <v>1.84</v>
      </c>
      <c r="V2186" s="31" t="str">
        <f>IF(H2186="CHK",VLOOKUP(I2186,QCCHK,3,),IF(H2186="GUP",VLOOKUP(E2186,QCGUP,2,),IF(AND(H2186="ATP",OR(I2186="TN",I2186="TDN",I2186="TNO2-3",I2186="NO2-3")),VLOOKUP(E2186,QCREC_N,2,),IF(AND(H2186="NIC",OR(I2186="TN",I2186="TDN",I2186="TNO2-3",I2186="NO2-3")),VLOOKUP(E2186,QCNIC_N,2,),IF(AND(H2186="UREA",OR(I2186="TN",I2186="TDN",I2186="TNO2-3",I2186="NO2-3")),VLOOKUP(E2186,QCUREA_N,2,),IF(H2186="PER",VLOOKUP(I2186,QCPER,MATCH(E2186,QCACTUAL!$J$25:$AA$25,0),),IF(H2186="SPK",VLOOKUP(I2186,QCSPK,3,),IF(AND(H2186="ATP",OR(I2186="TP",I2186="TDP")),VLOOKUP(E2186,QCATP_P,2,),""))))))))</f>
        <v/>
      </c>
      <c r="W2186" s="31" t="str">
        <f t="shared" si="253"/>
        <v>TRUE</v>
      </c>
      <c r="X2186" s="31" t="str">
        <f t="shared" si="248"/>
        <v>nominal concentration</v>
      </c>
      <c r="Y2186" s="10" t="s">
        <v>1144</v>
      </c>
      <c r="AL2186" s="10" t="str">
        <f t="shared" si="250"/>
        <v>FALSE</v>
      </c>
      <c r="AM2186" s="10" t="str">
        <f t="shared" si="250"/>
        <v>FALSE</v>
      </c>
      <c r="AN2186" s="10" t="str">
        <f t="shared" si="250"/>
        <v>FALSE</v>
      </c>
      <c r="AO2186" s="10" t="str">
        <f t="shared" si="251"/>
        <v>FALSE</v>
      </c>
      <c r="AP2186" s="10" t="str">
        <f t="shared" si="251"/>
        <v>FALSE</v>
      </c>
      <c r="AQ2186" s="10" t="b">
        <f>IF(AND(I2186="TP",S2186&lt;=150),VLOOKUP(AF2186,TPCalibEq150!$AZ$2:$BB$55,3,),IF(AND(I2186="TDP",S2186&lt;=150),VLOOKUP(AF2186,TPCalibEq150!$AZ$2:$BB$55,3,)))</f>
        <v>0</v>
      </c>
      <c r="AR2186" s="10" t="b">
        <f>IF(AND(I2186="TP",S2186&lt;=300),VLOOKUP(AF2186,TPCalibEq300!$AZ$2:$BB$55,3,),IF(AND(I2186="TDP",S2186&lt;=300),VLOOKUP(AF2186,TPCalibEq300!$AZ$2:$BB$55,3,)))</f>
        <v>0</v>
      </c>
      <c r="AS2186" s="10" t="b">
        <f>IF(AND(I2186="TP",S2186&lt;=500),VLOOKUP(AF2186,TPCalibEq500!$AZ$2:$BB$56,3,),IF(AND(I2186="TDP",S2186&lt;=500),VLOOKUP(AF2186,TPCalibEq500!$AZ$2:$BB$56,3,)))</f>
        <v>0</v>
      </c>
      <c r="AT2186" s="10" t="b">
        <f>IF(AND(I2186="TN",S2186&lt;=2800),VLOOKUP(AF2186,TNCalibEq2500!$AZ$2:$BB$56,3,),IF(AND(I2186="TDN",S2186&lt;=2800),VLOOKUP(AF2186,TNCalibEq2500!$AZ$2:$BB$56,3,)))</f>
        <v>0</v>
      </c>
      <c r="AU2186" s="10" t="b">
        <f>IF(I2186="TP",VLOOKUP(AF2186,TPCalibEqFull!$AZ$2:$BB$56,3),IF(I2186="TDP",VLOOKUP(AF2186,TPCalibEqFull!$AZ$2:$BB$56,3),IF(I2186="TDN",VLOOKUP(AF2186,TNCalibEqFull!$AZ$1:$BB$56,3),IF(I2186="TN",VLOOKUP(AF2186,TNCalibEqFull!$AZ$1:$BB$56,3),FALSE))))</f>
        <v>0</v>
      </c>
      <c r="AV2186" s="10" t="str">
        <f t="shared" si="254"/>
        <v>0208 06:00:00-QAC-BLK-800-1-DI-FLD</v>
      </c>
    </row>
    <row r="2187" spans="1:48" s="10" customFormat="1" x14ac:dyDescent="0.55000000000000004">
      <c r="A2187" s="32">
        <v>44964</v>
      </c>
      <c r="B2187" s="33">
        <v>0.30208333333333331</v>
      </c>
      <c r="C2187" s="10" t="s">
        <v>70</v>
      </c>
      <c r="D2187" s="10" t="s">
        <v>241</v>
      </c>
      <c r="E2187" s="10" t="s">
        <v>866</v>
      </c>
      <c r="F2187" s="10">
        <v>1</v>
      </c>
      <c r="G2187" s="10" t="s">
        <v>73</v>
      </c>
      <c r="H2187" s="10" t="s">
        <v>245</v>
      </c>
      <c r="I2187" s="10" t="s">
        <v>285</v>
      </c>
      <c r="J2187" s="10">
        <v>135</v>
      </c>
      <c r="K2187" s="12">
        <v>44966</v>
      </c>
      <c r="L2187" s="33">
        <v>0.46878472222222217</v>
      </c>
      <c r="M2187" s="10">
        <v>1</v>
      </c>
      <c r="N2187" s="10" t="s">
        <v>211</v>
      </c>
      <c r="O2187" s="10">
        <v>8.7299999999999999E-3</v>
      </c>
      <c r="P2187" s="10">
        <v>4.55E-4</v>
      </c>
      <c r="Q2187" s="10">
        <v>1.02</v>
      </c>
      <c r="R2187" s="10" t="s">
        <v>913</v>
      </c>
      <c r="S2187" s="34">
        <f t="shared" si="249"/>
        <v>1.02</v>
      </c>
      <c r="T2187" s="10" t="s">
        <v>1166</v>
      </c>
      <c r="U2187" s="34">
        <f t="shared" si="252"/>
        <v>1.02</v>
      </c>
      <c r="V2187" s="31" t="str">
        <f>IF(H2187="CHK",VLOOKUP(I2187,QCCHK,3,),IF(H2187="GUP",VLOOKUP(E2187,QCGUP,2,),IF(AND(H2187="ATP",OR(I2187="TN",I2187="TDN",I2187="TNO2-3",I2187="NO2-3")),VLOOKUP(E2187,QCREC_N,2,),IF(AND(H2187="NIC",OR(I2187="TN",I2187="TDN",I2187="TNO2-3",I2187="NO2-3")),VLOOKUP(E2187,QCNIC_N,2,),IF(AND(H2187="UREA",OR(I2187="TN",I2187="TDN",I2187="TNO2-3",I2187="NO2-3")),VLOOKUP(E2187,QCUREA_N,2,),IF(H2187="PER",VLOOKUP(I2187,QCPER,MATCH(E2187,QCACTUAL!$J$25:$AA$25,0),),IF(H2187="SPK",VLOOKUP(I2187,QCSPK,3,),IF(AND(H2187="ATP",OR(I2187="TP",I2187="TDP")),VLOOKUP(E2187,QCATP_P,2,),""))))))))</f>
        <v/>
      </c>
      <c r="W2187" s="31" t="str">
        <f t="shared" si="253"/>
        <v>TRUE</v>
      </c>
      <c r="X2187" s="31" t="str">
        <f t="shared" si="248"/>
        <v>nominal concentration</v>
      </c>
      <c r="Y2187" s="10" t="s">
        <v>1144</v>
      </c>
      <c r="Z2187" s="10" t="s">
        <v>910</v>
      </c>
      <c r="AL2187" s="10" t="str">
        <f t="shared" si="250"/>
        <v>FALSE</v>
      </c>
      <c r="AM2187" s="10" t="str">
        <f t="shared" si="250"/>
        <v>FALSE</v>
      </c>
      <c r="AN2187" s="10" t="str">
        <f t="shared" si="250"/>
        <v>FALSE</v>
      </c>
      <c r="AO2187" s="10" t="str">
        <f t="shared" si="251"/>
        <v>FALSE</v>
      </c>
      <c r="AP2187" s="10" t="str">
        <f t="shared" si="251"/>
        <v>FALSE</v>
      </c>
      <c r="AQ2187" s="10" t="b">
        <f>IF(AND(I2187="TP",S2187&lt;=150),VLOOKUP(AF2187,TPCalibEq150!$AZ$2:$BB$55,3,),IF(AND(I2187="TDP",S2187&lt;=150),VLOOKUP(AF2187,TPCalibEq150!$AZ$2:$BB$55,3,)))</f>
        <v>0</v>
      </c>
      <c r="AR2187" s="10" t="b">
        <f>IF(AND(I2187="TP",S2187&lt;=300),VLOOKUP(AF2187,TPCalibEq300!$AZ$2:$BB$55,3,),IF(AND(I2187="TDP",S2187&lt;=300),VLOOKUP(AF2187,TPCalibEq300!$AZ$2:$BB$55,3,)))</f>
        <v>0</v>
      </c>
      <c r="AS2187" s="10" t="b">
        <f>IF(AND(I2187="TP",S2187&lt;=500),VLOOKUP(AF2187,TPCalibEq500!$AZ$2:$BB$56,3,),IF(AND(I2187="TDP",S2187&lt;=500),VLOOKUP(AF2187,TPCalibEq500!$AZ$2:$BB$56,3,)))</f>
        <v>0</v>
      </c>
      <c r="AT2187" s="10" t="b">
        <f>IF(AND(I2187="TN",S2187&lt;=2800),VLOOKUP(AF2187,TNCalibEq2500!$AZ$2:$BB$56,3,),IF(AND(I2187="TDN",S2187&lt;=2800),VLOOKUP(AF2187,TNCalibEq2500!$AZ$2:$BB$56,3,)))</f>
        <v>0</v>
      </c>
      <c r="AU2187" s="10" t="b">
        <f>IF(I2187="TP",VLOOKUP(AF2187,TPCalibEqFull!$AZ$2:$BB$56,3),IF(I2187="TDP",VLOOKUP(AF2187,TPCalibEqFull!$AZ$2:$BB$56,3),IF(I2187="TDN",VLOOKUP(AF2187,TNCalibEqFull!$AZ$1:$BB$56,3),IF(I2187="TN",VLOOKUP(AF2187,TNCalibEqFull!$AZ$1:$BB$56,3),FALSE))))</f>
        <v>0</v>
      </c>
      <c r="AV2187" s="10" t="str">
        <f t="shared" si="254"/>
        <v>0207 07:15:00-QAC-BLK-A-1-DI-ESF</v>
      </c>
    </row>
    <row r="2188" spans="1:48" s="10" customFormat="1" x14ac:dyDescent="0.55000000000000004">
      <c r="A2188" s="32">
        <v>44963</v>
      </c>
      <c r="B2188" s="33">
        <v>0</v>
      </c>
      <c r="C2188" s="10" t="s">
        <v>70</v>
      </c>
      <c r="D2188" s="10" t="s">
        <v>241</v>
      </c>
      <c r="E2188" s="10" t="s">
        <v>911</v>
      </c>
      <c r="F2188" s="10">
        <v>1</v>
      </c>
      <c r="G2188" s="10" t="s">
        <v>73</v>
      </c>
      <c r="H2188" s="10" t="s">
        <v>264</v>
      </c>
      <c r="I2188" s="10" t="s">
        <v>167</v>
      </c>
      <c r="J2188" s="10">
        <v>136</v>
      </c>
      <c r="K2188" s="12">
        <v>44966</v>
      </c>
      <c r="L2188" s="33">
        <v>0.46960648148148149</v>
      </c>
      <c r="M2188" s="10">
        <v>1</v>
      </c>
      <c r="N2188" s="10" t="s">
        <v>211</v>
      </c>
      <c r="O2188" s="10">
        <v>1.3599999999999999E-2</v>
      </c>
      <c r="P2188" s="10">
        <v>1.07E-3</v>
      </c>
      <c r="Q2188" s="10">
        <v>1.87</v>
      </c>
      <c r="R2188" s="10" t="s">
        <v>913</v>
      </c>
      <c r="S2188" s="34">
        <f t="shared" si="249"/>
        <v>1.87</v>
      </c>
      <c r="T2188" s="10" t="s">
        <v>1166</v>
      </c>
      <c r="U2188" s="34">
        <f t="shared" si="252"/>
        <v>1.87</v>
      </c>
      <c r="V2188" s="31" t="str">
        <f>IF(H2188="CHK",VLOOKUP(I2188,QCCHK,3,),IF(H2188="GUP",VLOOKUP(E2188,QCGUP,2,),IF(AND(H2188="ATP",OR(I2188="TN",I2188="TDN",I2188="TNO2-3",I2188="NO2-3")),VLOOKUP(E2188,QCREC_N,2,),IF(AND(H2188="NIC",OR(I2188="TN",I2188="TDN",I2188="TNO2-3",I2188="NO2-3")),VLOOKUP(E2188,QCNIC_N,2,),IF(AND(H2188="UREA",OR(I2188="TN",I2188="TDN",I2188="TNO2-3",I2188="NO2-3")),VLOOKUP(E2188,QCUREA_N,2,),IF(H2188="PER",VLOOKUP(I2188,QCPER,MATCH(E2188,QCACTUAL!$J$25:$AA$25,0),),IF(H2188="SPK",VLOOKUP(I2188,QCSPK,3,),IF(AND(H2188="ATP",OR(I2188="TP",I2188="TDP")),VLOOKUP(E2188,QCATP_P,2,),""))))))))</f>
        <v/>
      </c>
      <c r="W2188" s="31" t="str">
        <f t="shared" si="253"/>
        <v>TRUE</v>
      </c>
      <c r="X2188" s="31" t="str">
        <f t="shared" si="248"/>
        <v>nominal concentration</v>
      </c>
      <c r="Y2188" s="10" t="s">
        <v>1144</v>
      </c>
      <c r="Z2188" s="10" t="s">
        <v>910</v>
      </c>
      <c r="AL2188" s="10" t="str">
        <f t="shared" si="250"/>
        <v>FALSE</v>
      </c>
      <c r="AM2188" s="10" t="str">
        <f t="shared" si="250"/>
        <v>FALSE</v>
      </c>
      <c r="AN2188" s="10" t="str">
        <f t="shared" si="250"/>
        <v>FALSE</v>
      </c>
      <c r="AO2188" s="10" t="str">
        <f t="shared" si="251"/>
        <v>FALSE</v>
      </c>
      <c r="AP2188" s="10" t="str">
        <f t="shared" si="251"/>
        <v>FALSE</v>
      </c>
      <c r="AQ2188" s="10" t="b">
        <f>IF(AND(I2188="TP",S2188&lt;=150),VLOOKUP(AF2188,TPCalibEq150!$AZ$2:$BB$55,3,),IF(AND(I2188="TDP",S2188&lt;=150),VLOOKUP(AF2188,TPCalibEq150!$AZ$2:$BB$55,3,)))</f>
        <v>0</v>
      </c>
      <c r="AR2188" s="10" t="b">
        <f>IF(AND(I2188="TP",S2188&lt;=300),VLOOKUP(AF2188,TPCalibEq300!$AZ$2:$BB$55,3,),IF(AND(I2188="TDP",S2188&lt;=300),VLOOKUP(AF2188,TPCalibEq300!$AZ$2:$BB$55,3,)))</f>
        <v>0</v>
      </c>
      <c r="AS2188" s="10" t="b">
        <f>IF(AND(I2188="TP",S2188&lt;=500),VLOOKUP(AF2188,TPCalibEq500!$AZ$2:$BB$56,3,),IF(AND(I2188="TDP",S2188&lt;=500),VLOOKUP(AF2188,TPCalibEq500!$AZ$2:$BB$56,3,)))</f>
        <v>0</v>
      </c>
      <c r="AT2188" s="10" t="b">
        <f>IF(AND(I2188="TN",S2188&lt;=2800),VLOOKUP(AF2188,TNCalibEq2500!$AZ$2:$BB$56,3,),IF(AND(I2188="TDN",S2188&lt;=2800),VLOOKUP(AF2188,TNCalibEq2500!$AZ$2:$BB$56,3,)))</f>
        <v>0</v>
      </c>
      <c r="AU2188" s="10" t="b">
        <f>IF(I2188="TP",VLOOKUP(AF2188,TPCalibEqFull!$AZ$2:$BB$56,3),IF(I2188="TDP",VLOOKUP(AF2188,TPCalibEqFull!$AZ$2:$BB$56,3),IF(I2188="TDN",VLOOKUP(AF2188,TNCalibEqFull!$AZ$1:$BB$56,3),IF(I2188="TN",VLOOKUP(AF2188,TNCalibEqFull!$AZ$1:$BB$56,3),FALSE))))</f>
        <v>0</v>
      </c>
      <c r="AV2188" s="10" t="str">
        <f t="shared" si="254"/>
        <v>0206 00:00:00-QAC-BLK-FIL-1-DI-FLD</v>
      </c>
    </row>
    <row r="2189" spans="1:48" s="10" customFormat="1" x14ac:dyDescent="0.55000000000000004">
      <c r="A2189" s="32">
        <v>44965</v>
      </c>
      <c r="B2189" s="33">
        <v>0.25</v>
      </c>
      <c r="C2189" s="10" t="s">
        <v>70</v>
      </c>
      <c r="D2189" s="10" t="s">
        <v>241</v>
      </c>
      <c r="E2189" s="10" t="s">
        <v>911</v>
      </c>
      <c r="F2189" s="10">
        <v>1</v>
      </c>
      <c r="G2189" s="10" t="s">
        <v>73</v>
      </c>
      <c r="H2189" s="10" t="s">
        <v>264</v>
      </c>
      <c r="I2189" s="10" t="s">
        <v>167</v>
      </c>
      <c r="J2189" s="10">
        <v>137</v>
      </c>
      <c r="K2189" s="12">
        <v>44966</v>
      </c>
      <c r="L2189" s="33">
        <v>0.47042824074074074</v>
      </c>
      <c r="M2189" s="10">
        <v>1</v>
      </c>
      <c r="N2189" s="10" t="s">
        <v>211</v>
      </c>
      <c r="O2189" s="10">
        <v>2.9600000000000001E-2</v>
      </c>
      <c r="P2189" s="10">
        <v>2.2000000000000001E-3</v>
      </c>
      <c r="Q2189" s="10">
        <v>4.6399999999999997</v>
      </c>
      <c r="R2189" s="10" t="s">
        <v>913</v>
      </c>
      <c r="S2189" s="34">
        <f t="shared" si="249"/>
        <v>4.6399999999999997</v>
      </c>
      <c r="T2189" s="10" t="s">
        <v>1166</v>
      </c>
      <c r="U2189" s="34">
        <f t="shared" si="252"/>
        <v>4.6399999999999997</v>
      </c>
      <c r="V2189" s="31" t="str">
        <f>IF(H2189="CHK",VLOOKUP(I2189,QCCHK,3,),IF(H2189="GUP",VLOOKUP(E2189,QCGUP,2,),IF(AND(H2189="ATP",OR(I2189="TN",I2189="TDN",I2189="TNO2-3",I2189="NO2-3")),VLOOKUP(E2189,QCREC_N,2,),IF(AND(H2189="NIC",OR(I2189="TN",I2189="TDN",I2189="TNO2-3",I2189="NO2-3")),VLOOKUP(E2189,QCNIC_N,2,),IF(AND(H2189="UREA",OR(I2189="TN",I2189="TDN",I2189="TNO2-3",I2189="NO2-3")),VLOOKUP(E2189,QCUREA_N,2,),IF(H2189="PER",VLOOKUP(I2189,QCPER,MATCH(E2189,QCACTUAL!$J$25:$AA$25,0),),IF(H2189="SPK",VLOOKUP(I2189,QCSPK,3,),IF(AND(H2189="ATP",OR(I2189="TP",I2189="TDP")),VLOOKUP(E2189,QCATP_P,2,),""))))))))</f>
        <v/>
      </c>
      <c r="W2189" s="31" t="str">
        <f t="shared" si="253"/>
        <v>TRUE</v>
      </c>
      <c r="X2189" s="31" t="str">
        <f t="shared" si="248"/>
        <v>nominal concentration</v>
      </c>
      <c r="Y2189" s="10" t="s">
        <v>1144</v>
      </c>
      <c r="AL2189" s="10" t="str">
        <f t="shared" si="250"/>
        <v>FALSE</v>
      </c>
      <c r="AM2189" s="10" t="str">
        <f t="shared" si="250"/>
        <v>FALSE</v>
      </c>
      <c r="AN2189" s="10" t="str">
        <f t="shared" si="250"/>
        <v>FALSE</v>
      </c>
      <c r="AO2189" s="10" t="str">
        <f t="shared" si="251"/>
        <v>FALSE</v>
      </c>
      <c r="AP2189" s="10" t="str">
        <f t="shared" si="251"/>
        <v>FALSE</v>
      </c>
      <c r="AQ2189" s="10" t="b">
        <f>IF(AND(I2189="TP",S2189&lt;=150),VLOOKUP(AF2189,TPCalibEq150!$AZ$2:$BB$55,3,),IF(AND(I2189="TDP",S2189&lt;=150),VLOOKUP(AF2189,TPCalibEq150!$AZ$2:$BB$55,3,)))</f>
        <v>0</v>
      </c>
      <c r="AR2189" s="10" t="b">
        <f>IF(AND(I2189="TP",S2189&lt;=300),VLOOKUP(AF2189,TPCalibEq300!$AZ$2:$BB$55,3,),IF(AND(I2189="TDP",S2189&lt;=300),VLOOKUP(AF2189,TPCalibEq300!$AZ$2:$BB$55,3,)))</f>
        <v>0</v>
      </c>
      <c r="AS2189" s="10" t="b">
        <f>IF(AND(I2189="TP",S2189&lt;=500),VLOOKUP(AF2189,TPCalibEq500!$AZ$2:$BB$56,3,),IF(AND(I2189="TDP",S2189&lt;=500),VLOOKUP(AF2189,TPCalibEq500!$AZ$2:$BB$56,3,)))</f>
        <v>0</v>
      </c>
      <c r="AT2189" s="10" t="b">
        <f>IF(AND(I2189="TN",S2189&lt;=2800),VLOOKUP(AF2189,TNCalibEq2500!$AZ$2:$BB$56,3,),IF(AND(I2189="TDN",S2189&lt;=2800),VLOOKUP(AF2189,TNCalibEq2500!$AZ$2:$BB$56,3,)))</f>
        <v>0</v>
      </c>
      <c r="AU2189" s="10" t="b">
        <f>IF(I2189="TP",VLOOKUP(AF2189,TPCalibEqFull!$AZ$2:$BB$56,3),IF(I2189="TDP",VLOOKUP(AF2189,TPCalibEqFull!$AZ$2:$BB$56,3),IF(I2189="TDN",VLOOKUP(AF2189,TNCalibEqFull!$AZ$1:$BB$56,3),IF(I2189="TN",VLOOKUP(AF2189,TNCalibEqFull!$AZ$1:$BB$56,3),FALSE))))</f>
        <v>0</v>
      </c>
      <c r="AV2189" s="10" t="str">
        <f t="shared" si="254"/>
        <v>0208 06:00:00-QAC-BLK-FIL-1-DI-FLD</v>
      </c>
    </row>
    <row r="2190" spans="1:48" s="10" customFormat="1" x14ac:dyDescent="0.55000000000000004">
      <c r="A2190" s="32">
        <v>44964</v>
      </c>
      <c r="B2190" s="33">
        <v>0.30208333333333331</v>
      </c>
      <c r="C2190" s="10" t="s">
        <v>70</v>
      </c>
      <c r="D2190" s="10" t="s">
        <v>241</v>
      </c>
      <c r="E2190" s="10" t="s">
        <v>911</v>
      </c>
      <c r="F2190" s="10">
        <v>1</v>
      </c>
      <c r="G2190" s="10" t="s">
        <v>73</v>
      </c>
      <c r="H2190" s="10" t="s">
        <v>245</v>
      </c>
      <c r="I2190" s="10" t="s">
        <v>167</v>
      </c>
      <c r="J2190" s="10">
        <v>138</v>
      </c>
      <c r="K2190" s="12">
        <v>44966</v>
      </c>
      <c r="L2190" s="33">
        <v>0.47126157407407404</v>
      </c>
      <c r="M2190" s="10">
        <v>1</v>
      </c>
      <c r="N2190" s="10" t="s">
        <v>211</v>
      </c>
      <c r="O2190" s="10">
        <v>1.41E-2</v>
      </c>
      <c r="P2190" s="10">
        <v>6.3000000000000003E-4</v>
      </c>
      <c r="Q2190" s="10">
        <v>1.94</v>
      </c>
      <c r="R2190" s="10" t="s">
        <v>913</v>
      </c>
      <c r="S2190" s="34">
        <f t="shared" si="249"/>
        <v>1.94</v>
      </c>
      <c r="T2190" s="10" t="s">
        <v>1166</v>
      </c>
      <c r="U2190" s="34">
        <f t="shared" si="252"/>
        <v>1.94</v>
      </c>
      <c r="V2190" s="31" t="str">
        <f>IF(H2190="CHK",VLOOKUP(I2190,QCCHK,3,),IF(H2190="GUP",VLOOKUP(E2190,QCGUP,2,),IF(AND(H2190="ATP",OR(I2190="TN",I2190="TDN",I2190="TNO2-3",I2190="NO2-3")),VLOOKUP(E2190,QCREC_N,2,),IF(AND(H2190="NIC",OR(I2190="TN",I2190="TDN",I2190="TNO2-3",I2190="NO2-3")),VLOOKUP(E2190,QCNIC_N,2,),IF(AND(H2190="UREA",OR(I2190="TN",I2190="TDN",I2190="TNO2-3",I2190="NO2-3")),VLOOKUP(E2190,QCUREA_N,2,),IF(H2190="PER",VLOOKUP(I2190,QCPER,MATCH(E2190,QCACTUAL!$J$25:$AA$25,0),),IF(H2190="SPK",VLOOKUP(I2190,QCSPK,3,),IF(AND(H2190="ATP",OR(I2190="TP",I2190="TDP")),VLOOKUP(E2190,QCATP_P,2,),""))))))))</f>
        <v/>
      </c>
      <c r="W2190" s="31" t="str">
        <f t="shared" si="253"/>
        <v>TRUE</v>
      </c>
      <c r="X2190" s="31" t="str">
        <f t="shared" si="248"/>
        <v>nominal concentration</v>
      </c>
      <c r="Y2190" s="10" t="s">
        <v>1144</v>
      </c>
      <c r="Z2190" s="10" t="s">
        <v>910</v>
      </c>
      <c r="AL2190" s="10" t="str">
        <f t="shared" si="250"/>
        <v>FALSE</v>
      </c>
      <c r="AM2190" s="10" t="str">
        <f t="shared" si="250"/>
        <v>FALSE</v>
      </c>
      <c r="AN2190" s="10" t="str">
        <f t="shared" si="250"/>
        <v>FALSE</v>
      </c>
      <c r="AO2190" s="10" t="str">
        <f t="shared" si="251"/>
        <v>FALSE</v>
      </c>
      <c r="AP2190" s="10" t="str">
        <f t="shared" si="251"/>
        <v>FALSE</v>
      </c>
      <c r="AQ2190" s="10" t="b">
        <f>IF(AND(I2190="TP",S2190&lt;=150),VLOOKUP(AF2190,TPCalibEq150!$AZ$2:$BB$55,3,),IF(AND(I2190="TDP",S2190&lt;=150),VLOOKUP(AF2190,TPCalibEq150!$AZ$2:$BB$55,3,)))</f>
        <v>0</v>
      </c>
      <c r="AR2190" s="10" t="b">
        <f>IF(AND(I2190="TP",S2190&lt;=300),VLOOKUP(AF2190,TPCalibEq300!$AZ$2:$BB$55,3,),IF(AND(I2190="TDP",S2190&lt;=300),VLOOKUP(AF2190,TPCalibEq300!$AZ$2:$BB$55,3,)))</f>
        <v>0</v>
      </c>
      <c r="AS2190" s="10" t="b">
        <f>IF(AND(I2190="TP",S2190&lt;=500),VLOOKUP(AF2190,TPCalibEq500!$AZ$2:$BB$56,3,),IF(AND(I2190="TDP",S2190&lt;=500),VLOOKUP(AF2190,TPCalibEq500!$AZ$2:$BB$56,3,)))</f>
        <v>0</v>
      </c>
      <c r="AT2190" s="10" t="b">
        <f>IF(AND(I2190="TN",S2190&lt;=2800),VLOOKUP(AF2190,TNCalibEq2500!$AZ$2:$BB$56,3,),IF(AND(I2190="TDN",S2190&lt;=2800),VLOOKUP(AF2190,TNCalibEq2500!$AZ$2:$BB$56,3,)))</f>
        <v>0</v>
      </c>
      <c r="AU2190" s="10" t="b">
        <f>IF(I2190="TP",VLOOKUP(AF2190,TPCalibEqFull!$AZ$2:$BB$56,3),IF(I2190="TDP",VLOOKUP(AF2190,TPCalibEqFull!$AZ$2:$BB$56,3),IF(I2190="TDN",VLOOKUP(AF2190,TNCalibEqFull!$AZ$1:$BB$56,3),IF(I2190="TN",VLOOKUP(AF2190,TNCalibEqFull!$AZ$1:$BB$56,3),FALSE))))</f>
        <v>0</v>
      </c>
      <c r="AV2190" s="10" t="str">
        <f t="shared" si="254"/>
        <v>0207 07:15:00-QAC-BLK-FIL-1-DI-ESF</v>
      </c>
    </row>
    <row r="2191" spans="1:48" s="10" customFormat="1" x14ac:dyDescent="0.55000000000000004">
      <c r="A2191" s="32">
        <v>44966</v>
      </c>
      <c r="B2191" s="33">
        <v>0.375</v>
      </c>
      <c r="C2191" s="10" t="s">
        <v>70</v>
      </c>
      <c r="D2191" s="10" t="s">
        <v>71</v>
      </c>
      <c r="E2191" s="10" t="s">
        <v>901</v>
      </c>
      <c r="F2191" s="10">
        <v>1</v>
      </c>
      <c r="G2191" s="10" t="s">
        <v>73</v>
      </c>
      <c r="H2191" s="10" t="s">
        <v>207</v>
      </c>
      <c r="I2191" s="10" t="s">
        <v>285</v>
      </c>
      <c r="J2191" s="10">
        <v>199</v>
      </c>
      <c r="K2191" s="12">
        <v>44966</v>
      </c>
      <c r="L2191" s="33">
        <v>0.47208333333333335</v>
      </c>
      <c r="M2191" s="10">
        <v>1</v>
      </c>
      <c r="N2191" s="10" t="s">
        <v>211</v>
      </c>
      <c r="O2191" s="10">
        <v>0.41899999999999998</v>
      </c>
      <c r="P2191" s="10">
        <v>4.1099999999999998E-2</v>
      </c>
      <c r="Q2191" s="10">
        <v>72.099999999999994</v>
      </c>
      <c r="R2191" s="10" t="s">
        <v>913</v>
      </c>
      <c r="S2191" s="34">
        <f t="shared" si="249"/>
        <v>72.099999999999994</v>
      </c>
      <c r="T2191" s="10" t="s">
        <v>1166</v>
      </c>
      <c r="U2191" s="34">
        <f t="shared" si="252"/>
        <v>96.133333333333326</v>
      </c>
      <c r="V2191" s="31">
        <f>IF(H2191="CHK",VLOOKUP(I2191,QCCHK,3,),IF(H2191="GUP",VLOOKUP(E2191,QCGUP,2,),IF(AND(H2191="ATP",OR(I2191="TN",I2191="TDN",I2191="TNO2-3",I2191="NO2-3")),VLOOKUP(E2191,QCREC_N,2,),IF(AND(H2191="NIC",OR(I2191="TN",I2191="TDN",I2191="TNO2-3",I2191="NO2-3")),VLOOKUP(E2191,QCNIC_N,2,),IF(AND(H2191="UREA",OR(I2191="TN",I2191="TDN",I2191="TNO2-3",I2191="NO2-3")),VLOOKUP(E2191,QCUREA_N,2,),IF(H2191="PER",VLOOKUP(I2191,QCPER,MATCH(E2191,QCACTUAL!$J$25:$AA$25,0),),IF(H2191="SPK",VLOOKUP(I2191,QCSPK,3,),IF(AND(H2191="ATP",OR(I2191="TP",I2191="TDP")),VLOOKUP(E2191,QCATP_P,2,),""))))))))</f>
        <v>75</v>
      </c>
      <c r="W2191" s="31" t="str">
        <f t="shared" si="253"/>
        <v>TRUE</v>
      </c>
      <c r="X2191" s="31" t="str">
        <f t="shared" si="248"/>
        <v>[chk]/[actual]*100</v>
      </c>
      <c r="Y2191" s="10" t="s">
        <v>1144</v>
      </c>
      <c r="AL2191" s="10" t="str">
        <f t="shared" si="250"/>
        <v>FALSE</v>
      </c>
      <c r="AM2191" s="10" t="str">
        <f t="shared" si="250"/>
        <v>FALSE</v>
      </c>
      <c r="AN2191" s="10" t="str">
        <f t="shared" si="250"/>
        <v>FALSE</v>
      </c>
      <c r="AO2191" s="10" t="str">
        <f t="shared" si="251"/>
        <v>FALSE</v>
      </c>
      <c r="AP2191" s="10" t="str">
        <f t="shared" si="251"/>
        <v>FALSE</v>
      </c>
      <c r="AQ2191" s="10" t="b">
        <f>IF(AND(I2191="TP",S2191&lt;=150),VLOOKUP(AF2191,TPCalibEq150!$AZ$2:$BB$55,3,),IF(AND(I2191="TDP",S2191&lt;=150),VLOOKUP(AF2191,TPCalibEq150!$AZ$2:$BB$55,3,)))</f>
        <v>0</v>
      </c>
      <c r="AR2191" s="10" t="b">
        <f>IF(AND(I2191="TP",S2191&lt;=300),VLOOKUP(AF2191,TPCalibEq300!$AZ$2:$BB$55,3,),IF(AND(I2191="TDP",S2191&lt;=300),VLOOKUP(AF2191,TPCalibEq300!$AZ$2:$BB$55,3,)))</f>
        <v>0</v>
      </c>
      <c r="AS2191" s="10" t="b">
        <f>IF(AND(I2191="TP",S2191&lt;=500),VLOOKUP(AF2191,TPCalibEq500!$AZ$2:$BB$56,3,),IF(AND(I2191="TDP",S2191&lt;=500),VLOOKUP(AF2191,TPCalibEq500!$AZ$2:$BB$56,3,)))</f>
        <v>0</v>
      </c>
      <c r="AT2191" s="10" t="b">
        <f>IF(AND(I2191="TN",S2191&lt;=2800),VLOOKUP(AF2191,TNCalibEq2500!$AZ$2:$BB$56,3,),IF(AND(I2191="TDN",S2191&lt;=2800),VLOOKUP(AF2191,TNCalibEq2500!$AZ$2:$BB$56,3,)))</f>
        <v>0</v>
      </c>
      <c r="AU2191" s="10" t="b">
        <f>IF(I2191="TP",VLOOKUP(AF2191,TPCalibEqFull!$AZ$2:$BB$56,3),IF(I2191="TDP",VLOOKUP(AF2191,TPCalibEqFull!$AZ$2:$BB$56,3),IF(I2191="TDN",VLOOKUP(AF2191,TNCalibEqFull!$AZ$1:$BB$56,3),IF(I2191="TN",VLOOKUP(AF2191,TNCalibEqFull!$AZ$1:$BB$56,3),FALSE))))</f>
        <v>0</v>
      </c>
      <c r="AV2191" s="10" t="str">
        <f t="shared" si="254"/>
        <v>0209 09:00:00-QAC-STD-D-1-DI-CHK</v>
      </c>
    </row>
    <row r="2192" spans="1:48" s="10" customFormat="1" x14ac:dyDescent="0.55000000000000004">
      <c r="A2192" s="32">
        <v>44958</v>
      </c>
      <c r="B2192" s="33">
        <v>0.50138888888888888</v>
      </c>
      <c r="C2192" s="10" t="s">
        <v>279</v>
      </c>
      <c r="D2192" s="10">
        <v>0</v>
      </c>
      <c r="E2192" s="10" t="s">
        <v>190</v>
      </c>
      <c r="F2192" s="10">
        <v>1</v>
      </c>
      <c r="G2192" s="10" t="s">
        <v>231</v>
      </c>
      <c r="H2192" s="10" t="s">
        <v>322</v>
      </c>
      <c r="I2192" s="10" t="s">
        <v>285</v>
      </c>
      <c r="J2192" s="10">
        <v>1</v>
      </c>
      <c r="K2192" s="12">
        <v>44966</v>
      </c>
      <c r="L2192" s="33">
        <v>0.47290509259259261</v>
      </c>
      <c r="M2192" s="10">
        <v>1</v>
      </c>
      <c r="N2192" s="10" t="s">
        <v>211</v>
      </c>
      <c r="O2192" s="10">
        <v>0.82</v>
      </c>
      <c r="P2192" s="10">
        <v>8.0600000000000005E-2</v>
      </c>
      <c r="Q2192" s="10">
        <v>142</v>
      </c>
      <c r="R2192" s="10" t="s">
        <v>913</v>
      </c>
      <c r="S2192" s="34">
        <f t="shared" si="249"/>
        <v>142</v>
      </c>
      <c r="T2192" s="10" t="s">
        <v>1166</v>
      </c>
      <c r="U2192" s="34" t="str">
        <f t="shared" si="252"/>
        <v/>
      </c>
      <c r="V2192" s="31" t="str">
        <f>IF(H2192="CHK",VLOOKUP(I2192,QCCHK,3,),IF(H2192="GUP",VLOOKUP(E2192,QCGUP,2,),IF(AND(H2192="ATP",OR(I2192="TN",I2192="TDN",I2192="TNO2-3",I2192="NO2-3")),VLOOKUP(E2192,QCREC_N,2,),IF(AND(H2192="NIC",OR(I2192="TN",I2192="TDN",I2192="TNO2-3",I2192="NO2-3")),VLOOKUP(E2192,QCNIC_N,2,),IF(AND(H2192="UREA",OR(I2192="TN",I2192="TDN",I2192="TNO2-3",I2192="NO2-3")),VLOOKUP(E2192,QCUREA_N,2,),IF(H2192="PER",VLOOKUP(I2192,QCPER,MATCH(E2192,QCACTUAL!$J$25:$AA$25,0),),IF(H2192="SPK",VLOOKUP(I2192,QCSPK,3,),IF(AND(H2192="ATP",OR(I2192="TP",I2192="TDP")),VLOOKUP(E2192,QCATP_P,2,),""))))))))</f>
        <v/>
      </c>
      <c r="W2192" s="31" t="str">
        <f t="shared" si="253"/>
        <v>TRUE</v>
      </c>
      <c r="X2192" s="31" t="str">
        <f t="shared" si="248"/>
        <v/>
      </c>
      <c r="Y2192" s="10" t="s">
        <v>1144</v>
      </c>
      <c r="Z2192" s="10" t="s">
        <v>910</v>
      </c>
      <c r="AL2192" s="10" t="str">
        <f t="shared" si="250"/>
        <v>FALSE</v>
      </c>
      <c r="AM2192" s="10" t="str">
        <f t="shared" si="250"/>
        <v>FALSE</v>
      </c>
      <c r="AN2192" s="10" t="str">
        <f t="shared" si="250"/>
        <v>FALSE</v>
      </c>
      <c r="AO2192" s="10" t="str">
        <f t="shared" si="251"/>
        <v>FALSE</v>
      </c>
      <c r="AP2192" s="10" t="str">
        <f t="shared" si="251"/>
        <v>FALSE</v>
      </c>
      <c r="AQ2192" s="10" t="b">
        <f>IF(AND(I2192="TP",S2192&lt;=150),VLOOKUP(AF2192,TPCalibEq150!$AZ$2:$BB$55,3,),IF(AND(I2192="TDP",S2192&lt;=150),VLOOKUP(AF2192,TPCalibEq150!$AZ$2:$BB$55,3,)))</f>
        <v>0</v>
      </c>
      <c r="AR2192" s="10" t="b">
        <f>IF(AND(I2192="TP",S2192&lt;=300),VLOOKUP(AF2192,TPCalibEq300!$AZ$2:$BB$55,3,),IF(AND(I2192="TDP",S2192&lt;=300),VLOOKUP(AF2192,TPCalibEq300!$AZ$2:$BB$55,3,)))</f>
        <v>0</v>
      </c>
      <c r="AS2192" s="10" t="b">
        <f>IF(AND(I2192="TP",S2192&lt;=500),VLOOKUP(AF2192,TPCalibEq500!$AZ$2:$BB$56,3,),IF(AND(I2192="TDP",S2192&lt;=500),VLOOKUP(AF2192,TPCalibEq500!$AZ$2:$BB$56,3,)))</f>
        <v>0</v>
      </c>
      <c r="AT2192" s="10" t="b">
        <f>IF(AND(I2192="TN",S2192&lt;=2800),VLOOKUP(AF2192,TNCalibEq2500!$AZ$2:$BB$56,3,),IF(AND(I2192="TDN",S2192&lt;=2800),VLOOKUP(AF2192,TNCalibEq2500!$AZ$2:$BB$56,3,)))</f>
        <v>0</v>
      </c>
      <c r="AU2192" s="10" t="b">
        <f>IF(I2192="TP",VLOOKUP(AF2192,TPCalibEqFull!$AZ$2:$BB$56,3),IF(I2192="TDP",VLOOKUP(AF2192,TPCalibEqFull!$AZ$2:$BB$56,3),IF(I2192="TDN",VLOOKUP(AF2192,TNCalibEqFull!$AZ$1:$BB$56,3),IF(I2192="TN",VLOOKUP(AF2192,TNCalibEqFull!$AZ$1:$BB$56,3),FALSE))))</f>
        <v>0</v>
      </c>
      <c r="AV2192" s="10" t="str">
        <f t="shared" si="254"/>
        <v>0201 12:02:00-EFK-0-C-1-SW-UKN</v>
      </c>
    </row>
    <row r="2193" spans="1:48" s="10" customFormat="1" x14ac:dyDescent="0.55000000000000004">
      <c r="A2193" s="32">
        <v>44958</v>
      </c>
      <c r="B2193" s="33">
        <v>0.50347222222222221</v>
      </c>
      <c r="C2193" s="10" t="s">
        <v>333</v>
      </c>
      <c r="D2193" s="10">
        <v>0</v>
      </c>
      <c r="E2193" s="10" t="s">
        <v>190</v>
      </c>
      <c r="F2193" s="10">
        <v>1</v>
      </c>
      <c r="G2193" s="10" t="s">
        <v>231</v>
      </c>
      <c r="H2193" s="10" t="s">
        <v>322</v>
      </c>
      <c r="I2193" s="10" t="s">
        <v>285</v>
      </c>
      <c r="J2193" s="10">
        <v>2</v>
      </c>
      <c r="K2193" s="12">
        <v>44966</v>
      </c>
      <c r="L2193" s="33">
        <v>0.47372685185185182</v>
      </c>
      <c r="M2193" s="10">
        <v>1</v>
      </c>
      <c r="N2193" s="10" t="s">
        <v>211</v>
      </c>
      <c r="O2193" s="10">
        <v>0.36299999999999999</v>
      </c>
      <c r="P2193" s="10">
        <v>3.4299999999999997E-2</v>
      </c>
      <c r="Q2193" s="10">
        <v>62.4</v>
      </c>
      <c r="R2193" s="10" t="s">
        <v>913</v>
      </c>
      <c r="S2193" s="34">
        <f t="shared" si="249"/>
        <v>62.4</v>
      </c>
      <c r="T2193" s="10" t="s">
        <v>1166</v>
      </c>
      <c r="U2193" s="34" t="str">
        <f t="shared" si="252"/>
        <v/>
      </c>
      <c r="V2193" s="31" t="str">
        <f>IF(H2193="CHK",VLOOKUP(I2193,QCCHK,3,),IF(H2193="GUP",VLOOKUP(E2193,QCGUP,2,),IF(AND(H2193="ATP",OR(I2193="TN",I2193="TDN",I2193="TNO2-3",I2193="NO2-3")),VLOOKUP(E2193,QCREC_N,2,),IF(AND(H2193="NIC",OR(I2193="TN",I2193="TDN",I2193="TNO2-3",I2193="NO2-3")),VLOOKUP(E2193,QCNIC_N,2,),IF(AND(H2193="UREA",OR(I2193="TN",I2193="TDN",I2193="TNO2-3",I2193="NO2-3")),VLOOKUP(E2193,QCUREA_N,2,),IF(H2193="PER",VLOOKUP(I2193,QCPER,MATCH(E2193,QCACTUAL!$J$25:$AA$25,0),),IF(H2193="SPK",VLOOKUP(I2193,QCSPK,3,),IF(AND(H2193="ATP",OR(I2193="TP",I2193="TDP")),VLOOKUP(E2193,QCATP_P,2,),""))))))))</f>
        <v/>
      </c>
      <c r="W2193" s="31" t="str">
        <f t="shared" si="253"/>
        <v>TRUE</v>
      </c>
      <c r="X2193" s="31" t="str">
        <f t="shared" si="248"/>
        <v/>
      </c>
      <c r="Y2193" s="10" t="s">
        <v>1144</v>
      </c>
      <c r="Z2193" s="10" t="s">
        <v>910</v>
      </c>
      <c r="AL2193" s="10" t="str">
        <f t="shared" si="250"/>
        <v>FALSE</v>
      </c>
      <c r="AM2193" s="10" t="str">
        <f t="shared" si="250"/>
        <v>FALSE</v>
      </c>
      <c r="AN2193" s="10" t="str">
        <f t="shared" si="250"/>
        <v>FALSE</v>
      </c>
      <c r="AO2193" s="10" t="str">
        <f t="shared" si="251"/>
        <v>FALSE</v>
      </c>
      <c r="AP2193" s="10" t="str">
        <f t="shared" si="251"/>
        <v>FALSE</v>
      </c>
      <c r="AQ2193" s="10" t="b">
        <f>IF(AND(I2193="TP",S2193&lt;=150),VLOOKUP(AF2193,TPCalibEq150!$AZ$2:$BB$55,3,),IF(AND(I2193="TDP",S2193&lt;=150),VLOOKUP(AF2193,TPCalibEq150!$AZ$2:$BB$55,3,)))</f>
        <v>0</v>
      </c>
      <c r="AR2193" s="10" t="b">
        <f>IF(AND(I2193="TP",S2193&lt;=300),VLOOKUP(AF2193,TPCalibEq300!$AZ$2:$BB$55,3,),IF(AND(I2193="TDP",S2193&lt;=300),VLOOKUP(AF2193,TPCalibEq300!$AZ$2:$BB$55,3,)))</f>
        <v>0</v>
      </c>
      <c r="AS2193" s="10" t="b">
        <f>IF(AND(I2193="TP",S2193&lt;=500),VLOOKUP(AF2193,TPCalibEq500!$AZ$2:$BB$56,3,),IF(AND(I2193="TDP",S2193&lt;=500),VLOOKUP(AF2193,TPCalibEq500!$AZ$2:$BB$56,3,)))</f>
        <v>0</v>
      </c>
      <c r="AT2193" s="10" t="b">
        <f>IF(AND(I2193="TN",S2193&lt;=2800),VLOOKUP(AF2193,TNCalibEq2500!$AZ$2:$BB$56,3,),IF(AND(I2193="TDN",S2193&lt;=2800),VLOOKUP(AF2193,TNCalibEq2500!$AZ$2:$BB$56,3,)))</f>
        <v>0</v>
      </c>
      <c r="AU2193" s="10" t="b">
        <f>IF(I2193="TP",VLOOKUP(AF2193,TPCalibEqFull!$AZ$2:$BB$56,3),IF(I2193="TDP",VLOOKUP(AF2193,TPCalibEqFull!$AZ$2:$BB$56,3),IF(I2193="TDN",VLOOKUP(AF2193,TNCalibEqFull!$AZ$1:$BB$56,3),IF(I2193="TN",VLOOKUP(AF2193,TNCalibEqFull!$AZ$1:$BB$56,3),FALSE))))</f>
        <v>0</v>
      </c>
      <c r="AV2193" s="10" t="str">
        <f t="shared" si="254"/>
        <v>0201 12:05:00-HST-0-C-1-SW-UKN</v>
      </c>
    </row>
    <row r="2194" spans="1:48" s="10" customFormat="1" x14ac:dyDescent="0.55000000000000004">
      <c r="A2194" s="32">
        <v>44959</v>
      </c>
      <c r="B2194" s="33">
        <v>0.58194444444444449</v>
      </c>
      <c r="C2194" s="10" t="s">
        <v>279</v>
      </c>
      <c r="D2194" s="10">
        <v>0</v>
      </c>
      <c r="E2194" s="10" t="s">
        <v>190</v>
      </c>
      <c r="F2194" s="10">
        <v>1</v>
      </c>
      <c r="G2194" s="10" t="s">
        <v>231</v>
      </c>
      <c r="H2194" s="10" t="s">
        <v>322</v>
      </c>
      <c r="I2194" s="10" t="s">
        <v>285</v>
      </c>
      <c r="J2194" s="10">
        <v>3</v>
      </c>
      <c r="K2194" s="12">
        <v>44966</v>
      </c>
      <c r="L2194" s="33">
        <v>0.47456018518518522</v>
      </c>
      <c r="M2194" s="10">
        <v>1</v>
      </c>
      <c r="N2194" s="10" t="s">
        <v>211</v>
      </c>
      <c r="O2194" s="10">
        <v>1.02</v>
      </c>
      <c r="P2194" s="10">
        <v>0.1</v>
      </c>
      <c r="Q2194" s="10">
        <v>177</v>
      </c>
      <c r="R2194" s="10" t="s">
        <v>913</v>
      </c>
      <c r="S2194" s="34">
        <f t="shared" si="249"/>
        <v>177</v>
      </c>
      <c r="T2194" s="10" t="s">
        <v>1166</v>
      </c>
      <c r="U2194" s="34" t="str">
        <f t="shared" si="252"/>
        <v/>
      </c>
      <c r="V2194" s="31" t="str">
        <f>IF(H2194="CHK",VLOOKUP(I2194,QCCHK,3,),IF(H2194="GUP",VLOOKUP(E2194,QCGUP,2,),IF(AND(H2194="ATP",OR(I2194="TN",I2194="TDN",I2194="TNO2-3",I2194="NO2-3")),VLOOKUP(E2194,QCREC_N,2,),IF(AND(H2194="NIC",OR(I2194="TN",I2194="TDN",I2194="TNO2-3",I2194="NO2-3")),VLOOKUP(E2194,QCNIC_N,2,),IF(AND(H2194="UREA",OR(I2194="TN",I2194="TDN",I2194="TNO2-3",I2194="NO2-3")),VLOOKUP(E2194,QCUREA_N,2,),IF(H2194="PER",VLOOKUP(I2194,QCPER,MATCH(E2194,QCACTUAL!$J$25:$AA$25,0),),IF(H2194="SPK",VLOOKUP(I2194,QCSPK,3,),IF(AND(H2194="ATP",OR(I2194="TP",I2194="TDP")),VLOOKUP(E2194,QCATP_P,2,),""))))))))</f>
        <v/>
      </c>
      <c r="W2194" s="31" t="str">
        <f t="shared" si="253"/>
        <v>TRUE</v>
      </c>
      <c r="X2194" s="31" t="str">
        <f t="shared" si="248"/>
        <v/>
      </c>
      <c r="Y2194" s="10" t="s">
        <v>1144</v>
      </c>
      <c r="Z2194" s="10" t="s">
        <v>910</v>
      </c>
      <c r="AL2194" s="10" t="str">
        <f t="shared" si="250"/>
        <v>FALSE</v>
      </c>
      <c r="AM2194" s="10" t="str">
        <f t="shared" si="250"/>
        <v>FALSE</v>
      </c>
      <c r="AN2194" s="10" t="str">
        <f t="shared" si="250"/>
        <v>FALSE</v>
      </c>
      <c r="AO2194" s="10" t="str">
        <f t="shared" si="251"/>
        <v>FALSE</v>
      </c>
      <c r="AP2194" s="10" t="str">
        <f t="shared" si="251"/>
        <v>FALSE</v>
      </c>
      <c r="AQ2194" s="10" t="b">
        <f>IF(AND(I2194="TP",S2194&lt;=150),VLOOKUP(AF2194,TPCalibEq150!$AZ$2:$BB$55,3,),IF(AND(I2194="TDP",S2194&lt;=150),VLOOKUP(AF2194,TPCalibEq150!$AZ$2:$BB$55,3,)))</f>
        <v>0</v>
      </c>
      <c r="AR2194" s="10" t="b">
        <f>IF(AND(I2194="TP",S2194&lt;=300),VLOOKUP(AF2194,TPCalibEq300!$AZ$2:$BB$55,3,),IF(AND(I2194="TDP",S2194&lt;=300),VLOOKUP(AF2194,TPCalibEq300!$AZ$2:$BB$55,3,)))</f>
        <v>0</v>
      </c>
      <c r="AS2194" s="10" t="b">
        <f>IF(AND(I2194="TP",S2194&lt;=500),VLOOKUP(AF2194,TPCalibEq500!$AZ$2:$BB$56,3,),IF(AND(I2194="TDP",S2194&lt;=500),VLOOKUP(AF2194,TPCalibEq500!$AZ$2:$BB$56,3,)))</f>
        <v>0</v>
      </c>
      <c r="AT2194" s="10" t="b">
        <f>IF(AND(I2194="TN",S2194&lt;=2800),VLOOKUP(AF2194,TNCalibEq2500!$AZ$2:$BB$56,3,),IF(AND(I2194="TDN",S2194&lt;=2800),VLOOKUP(AF2194,TNCalibEq2500!$AZ$2:$BB$56,3,)))</f>
        <v>0</v>
      </c>
      <c r="AU2194" s="10" t="b">
        <f>IF(I2194="TP",VLOOKUP(AF2194,TPCalibEqFull!$AZ$2:$BB$56,3),IF(I2194="TDP",VLOOKUP(AF2194,TPCalibEqFull!$AZ$2:$BB$56,3),IF(I2194="TDN",VLOOKUP(AF2194,TNCalibEqFull!$AZ$1:$BB$56,3),IF(I2194="TN",VLOOKUP(AF2194,TNCalibEqFull!$AZ$1:$BB$56,3),FALSE))))</f>
        <v>0</v>
      </c>
      <c r="AV2194" s="10" t="str">
        <f t="shared" si="254"/>
        <v>0202 13:58:00-EFK-0-C-1-SW-UKN</v>
      </c>
    </row>
    <row r="2195" spans="1:48" s="10" customFormat="1" x14ac:dyDescent="0.55000000000000004">
      <c r="A2195" s="32">
        <v>44959</v>
      </c>
      <c r="B2195" s="33">
        <v>0.56944444444444442</v>
      </c>
      <c r="C2195" s="10" t="s">
        <v>333</v>
      </c>
      <c r="D2195" s="10">
        <v>0</v>
      </c>
      <c r="E2195" s="10" t="s">
        <v>190</v>
      </c>
      <c r="F2195" s="10">
        <v>1</v>
      </c>
      <c r="G2195" s="10" t="s">
        <v>231</v>
      </c>
      <c r="H2195" s="10" t="s">
        <v>322</v>
      </c>
      <c r="I2195" s="10" t="s">
        <v>285</v>
      </c>
      <c r="J2195" s="10">
        <v>4</v>
      </c>
      <c r="K2195" s="12">
        <v>44966</v>
      </c>
      <c r="L2195" s="33">
        <v>0.47538194444444448</v>
      </c>
      <c r="M2195" s="10">
        <v>1</v>
      </c>
      <c r="N2195" s="10" t="s">
        <v>211</v>
      </c>
      <c r="O2195" s="10">
        <v>0.747</v>
      </c>
      <c r="P2195" s="10">
        <v>7.2599999999999998E-2</v>
      </c>
      <c r="Q2195" s="10">
        <v>129</v>
      </c>
      <c r="R2195" s="10" t="s">
        <v>913</v>
      </c>
      <c r="S2195" s="34">
        <f t="shared" si="249"/>
        <v>129</v>
      </c>
      <c r="T2195" s="10" t="s">
        <v>1166</v>
      </c>
      <c r="U2195" s="34" t="str">
        <f t="shared" si="252"/>
        <v/>
      </c>
      <c r="V2195" s="31" t="str">
        <f>IF(H2195="CHK",VLOOKUP(I2195,QCCHK,3,),IF(H2195="GUP",VLOOKUP(E2195,QCGUP,2,),IF(AND(H2195="ATP",OR(I2195="TN",I2195="TDN",I2195="TNO2-3",I2195="NO2-3")),VLOOKUP(E2195,QCREC_N,2,),IF(AND(H2195="NIC",OR(I2195="TN",I2195="TDN",I2195="TNO2-3",I2195="NO2-3")),VLOOKUP(E2195,QCNIC_N,2,),IF(AND(H2195="UREA",OR(I2195="TN",I2195="TDN",I2195="TNO2-3",I2195="NO2-3")),VLOOKUP(E2195,QCUREA_N,2,),IF(H2195="PER",VLOOKUP(I2195,QCPER,MATCH(E2195,QCACTUAL!$J$25:$AA$25,0),),IF(H2195="SPK",VLOOKUP(I2195,QCSPK,3,),IF(AND(H2195="ATP",OR(I2195="TP",I2195="TDP")),VLOOKUP(E2195,QCATP_P,2,),""))))))))</f>
        <v/>
      </c>
      <c r="W2195" s="31" t="str">
        <f t="shared" si="253"/>
        <v>TRUE</v>
      </c>
      <c r="X2195" s="31" t="str">
        <f t="shared" si="248"/>
        <v/>
      </c>
      <c r="Y2195" s="10" t="s">
        <v>1144</v>
      </c>
      <c r="Z2195" s="10" t="s">
        <v>910</v>
      </c>
      <c r="AL2195" s="10" t="str">
        <f t="shared" si="250"/>
        <v>FALSE</v>
      </c>
      <c r="AM2195" s="10" t="str">
        <f t="shared" si="250"/>
        <v>FALSE</v>
      </c>
      <c r="AN2195" s="10" t="str">
        <f t="shared" si="250"/>
        <v>FALSE</v>
      </c>
      <c r="AO2195" s="10" t="str">
        <f t="shared" si="251"/>
        <v>FALSE</v>
      </c>
      <c r="AP2195" s="10" t="str">
        <f t="shared" si="251"/>
        <v>FALSE</v>
      </c>
      <c r="AQ2195" s="10" t="b">
        <f>IF(AND(I2195="TP",S2195&lt;=150),VLOOKUP(AF2195,TPCalibEq150!$AZ$2:$BB$55,3,),IF(AND(I2195="TDP",S2195&lt;=150),VLOOKUP(AF2195,TPCalibEq150!$AZ$2:$BB$55,3,)))</f>
        <v>0</v>
      </c>
      <c r="AR2195" s="10" t="b">
        <f>IF(AND(I2195="TP",S2195&lt;=300),VLOOKUP(AF2195,TPCalibEq300!$AZ$2:$BB$55,3,),IF(AND(I2195="TDP",S2195&lt;=300),VLOOKUP(AF2195,TPCalibEq300!$AZ$2:$BB$55,3,)))</f>
        <v>0</v>
      </c>
      <c r="AS2195" s="10" t="b">
        <f>IF(AND(I2195="TP",S2195&lt;=500),VLOOKUP(AF2195,TPCalibEq500!$AZ$2:$BB$56,3,),IF(AND(I2195="TDP",S2195&lt;=500),VLOOKUP(AF2195,TPCalibEq500!$AZ$2:$BB$56,3,)))</f>
        <v>0</v>
      </c>
      <c r="AT2195" s="10" t="b">
        <f>IF(AND(I2195="TN",S2195&lt;=2800),VLOOKUP(AF2195,TNCalibEq2500!$AZ$2:$BB$56,3,),IF(AND(I2195="TDN",S2195&lt;=2800),VLOOKUP(AF2195,TNCalibEq2500!$AZ$2:$BB$56,3,)))</f>
        <v>0</v>
      </c>
      <c r="AU2195" s="10" t="b">
        <f>IF(I2195="TP",VLOOKUP(AF2195,TPCalibEqFull!$AZ$2:$BB$56,3),IF(I2195="TDP",VLOOKUP(AF2195,TPCalibEqFull!$AZ$2:$BB$56,3),IF(I2195="TDN",VLOOKUP(AF2195,TNCalibEqFull!$AZ$1:$BB$56,3),IF(I2195="TN",VLOOKUP(AF2195,TNCalibEqFull!$AZ$1:$BB$56,3),FALSE))))</f>
        <v>0</v>
      </c>
      <c r="AV2195" s="10" t="str">
        <f t="shared" si="254"/>
        <v>0202 13:40:00-HST-0-C-1-SW-UKN</v>
      </c>
    </row>
    <row r="2196" spans="1:48" s="10" customFormat="1" x14ac:dyDescent="0.55000000000000004">
      <c r="A2196" s="32">
        <v>44960</v>
      </c>
      <c r="B2196" s="33">
        <v>0.45208333333333334</v>
      </c>
      <c r="C2196" s="10" t="s">
        <v>279</v>
      </c>
      <c r="D2196" s="10">
        <v>0</v>
      </c>
      <c r="E2196" s="10" t="s">
        <v>190</v>
      </c>
      <c r="F2196" s="10">
        <v>1</v>
      </c>
      <c r="G2196" s="10" t="s">
        <v>231</v>
      </c>
      <c r="H2196" s="10" t="s">
        <v>322</v>
      </c>
      <c r="I2196" s="10" t="s">
        <v>285</v>
      </c>
      <c r="J2196" s="10">
        <v>5</v>
      </c>
      <c r="K2196" s="12">
        <v>44966</v>
      </c>
      <c r="L2196" s="33">
        <v>0.47619212962962965</v>
      </c>
      <c r="M2196" s="10">
        <v>1</v>
      </c>
      <c r="N2196" s="10" t="s">
        <v>211</v>
      </c>
      <c r="O2196" s="10">
        <v>1.38</v>
      </c>
      <c r="P2196" s="10">
        <v>0.13700000000000001</v>
      </c>
      <c r="Q2196" s="10">
        <v>238</v>
      </c>
      <c r="R2196" s="10" t="s">
        <v>913</v>
      </c>
      <c r="S2196" s="34">
        <f t="shared" si="249"/>
        <v>238</v>
      </c>
      <c r="T2196" s="10" t="s">
        <v>1166</v>
      </c>
      <c r="U2196" s="34" t="str">
        <f t="shared" si="252"/>
        <v/>
      </c>
      <c r="V2196" s="31" t="str">
        <f>IF(H2196="CHK",VLOOKUP(I2196,QCCHK,3,),IF(H2196="GUP",VLOOKUP(E2196,QCGUP,2,),IF(AND(H2196="ATP",OR(I2196="TN",I2196="TDN",I2196="TNO2-3",I2196="NO2-3")),VLOOKUP(E2196,QCREC_N,2,),IF(AND(H2196="NIC",OR(I2196="TN",I2196="TDN",I2196="TNO2-3",I2196="NO2-3")),VLOOKUP(E2196,QCNIC_N,2,),IF(AND(H2196="UREA",OR(I2196="TN",I2196="TDN",I2196="TNO2-3",I2196="NO2-3")),VLOOKUP(E2196,QCUREA_N,2,),IF(H2196="PER",VLOOKUP(I2196,QCPER,MATCH(E2196,QCACTUAL!$J$25:$AA$25,0),),IF(H2196="SPK",VLOOKUP(I2196,QCSPK,3,),IF(AND(H2196="ATP",OR(I2196="TP",I2196="TDP")),VLOOKUP(E2196,QCATP_P,2,),""))))))))</f>
        <v/>
      </c>
      <c r="W2196" s="31" t="str">
        <f t="shared" si="253"/>
        <v>TRUE</v>
      </c>
      <c r="X2196" s="31" t="str">
        <f t="shared" si="248"/>
        <v/>
      </c>
      <c r="Y2196" s="10" t="s">
        <v>1144</v>
      </c>
      <c r="Z2196" s="10" t="s">
        <v>910</v>
      </c>
      <c r="AL2196" s="10" t="str">
        <f t="shared" si="250"/>
        <v>FALSE</v>
      </c>
      <c r="AM2196" s="10" t="str">
        <f t="shared" si="250"/>
        <v>FALSE</v>
      </c>
      <c r="AN2196" s="10" t="str">
        <f t="shared" si="250"/>
        <v>FALSE</v>
      </c>
      <c r="AO2196" s="10" t="str">
        <f t="shared" si="251"/>
        <v>FALSE</v>
      </c>
      <c r="AP2196" s="10" t="str">
        <f t="shared" si="251"/>
        <v>FALSE</v>
      </c>
      <c r="AQ2196" s="10" t="b">
        <f>IF(AND(I2196="TP",S2196&lt;=150),VLOOKUP(AF2196,TPCalibEq150!$AZ$2:$BB$55,3,),IF(AND(I2196="TDP",S2196&lt;=150),VLOOKUP(AF2196,TPCalibEq150!$AZ$2:$BB$55,3,)))</f>
        <v>0</v>
      </c>
      <c r="AR2196" s="10" t="b">
        <f>IF(AND(I2196="TP",S2196&lt;=300),VLOOKUP(AF2196,TPCalibEq300!$AZ$2:$BB$55,3,),IF(AND(I2196="TDP",S2196&lt;=300),VLOOKUP(AF2196,TPCalibEq300!$AZ$2:$BB$55,3,)))</f>
        <v>0</v>
      </c>
      <c r="AS2196" s="10" t="b">
        <f>IF(AND(I2196="TP",S2196&lt;=500),VLOOKUP(AF2196,TPCalibEq500!$AZ$2:$BB$56,3,),IF(AND(I2196="TDP",S2196&lt;=500),VLOOKUP(AF2196,TPCalibEq500!$AZ$2:$BB$56,3,)))</f>
        <v>0</v>
      </c>
      <c r="AT2196" s="10" t="b">
        <f>IF(AND(I2196="TN",S2196&lt;=2800),VLOOKUP(AF2196,TNCalibEq2500!$AZ$2:$BB$56,3,),IF(AND(I2196="TDN",S2196&lt;=2800),VLOOKUP(AF2196,TNCalibEq2500!$AZ$2:$BB$56,3,)))</f>
        <v>0</v>
      </c>
      <c r="AU2196" s="10" t="b">
        <f>IF(I2196="TP",VLOOKUP(AF2196,TPCalibEqFull!$AZ$2:$BB$56,3),IF(I2196="TDP",VLOOKUP(AF2196,TPCalibEqFull!$AZ$2:$BB$56,3),IF(I2196="TDN",VLOOKUP(AF2196,TNCalibEqFull!$AZ$1:$BB$56,3),IF(I2196="TN",VLOOKUP(AF2196,TNCalibEqFull!$AZ$1:$BB$56,3),FALSE))))</f>
        <v>0</v>
      </c>
      <c r="AV2196" s="10" t="str">
        <f t="shared" si="254"/>
        <v>0203 10:51:00-EFK-0-C-1-SW-UKN</v>
      </c>
    </row>
    <row r="2197" spans="1:48" s="10" customFormat="1" x14ac:dyDescent="0.55000000000000004">
      <c r="A2197" s="32">
        <v>44960</v>
      </c>
      <c r="B2197" s="33">
        <v>0.45416666666666666</v>
      </c>
      <c r="C2197" s="10" t="s">
        <v>333</v>
      </c>
      <c r="D2197" s="10">
        <v>0</v>
      </c>
      <c r="E2197" s="10" t="s">
        <v>190</v>
      </c>
      <c r="F2197" s="10">
        <v>1</v>
      </c>
      <c r="G2197" s="10" t="s">
        <v>231</v>
      </c>
      <c r="H2197" s="10" t="s">
        <v>322</v>
      </c>
      <c r="I2197" s="10" t="s">
        <v>285</v>
      </c>
      <c r="J2197" s="10">
        <v>6</v>
      </c>
      <c r="K2197" s="12">
        <v>44966</v>
      </c>
      <c r="L2197" s="33">
        <v>0.4770138888888889</v>
      </c>
      <c r="M2197" s="10">
        <v>1</v>
      </c>
      <c r="N2197" s="10" t="s">
        <v>211</v>
      </c>
      <c r="O2197" s="10">
        <v>0.29499999999999998</v>
      </c>
      <c r="P2197" s="10">
        <v>2.8199999999999999E-2</v>
      </c>
      <c r="Q2197" s="10">
        <v>50.5</v>
      </c>
      <c r="R2197" s="10" t="s">
        <v>913</v>
      </c>
      <c r="S2197" s="34">
        <f t="shared" si="249"/>
        <v>50.5</v>
      </c>
      <c r="T2197" s="10" t="s">
        <v>1166</v>
      </c>
      <c r="U2197" s="34" t="str">
        <f t="shared" si="252"/>
        <v/>
      </c>
      <c r="V2197" s="31" t="str">
        <f>IF(H2197="CHK",VLOOKUP(I2197,QCCHK,3,),IF(H2197="GUP",VLOOKUP(E2197,QCGUP,2,),IF(AND(H2197="ATP",OR(I2197="TN",I2197="TDN",I2197="TNO2-3",I2197="NO2-3")),VLOOKUP(E2197,QCREC_N,2,),IF(AND(H2197="NIC",OR(I2197="TN",I2197="TDN",I2197="TNO2-3",I2197="NO2-3")),VLOOKUP(E2197,QCNIC_N,2,),IF(AND(H2197="UREA",OR(I2197="TN",I2197="TDN",I2197="TNO2-3",I2197="NO2-3")),VLOOKUP(E2197,QCUREA_N,2,),IF(H2197="PER",VLOOKUP(I2197,QCPER,MATCH(E2197,QCACTUAL!$J$25:$AA$25,0),),IF(H2197="SPK",VLOOKUP(I2197,QCSPK,3,),IF(AND(H2197="ATP",OR(I2197="TP",I2197="TDP")),VLOOKUP(E2197,QCATP_P,2,),""))))))))</f>
        <v/>
      </c>
      <c r="W2197" s="31" t="str">
        <f t="shared" si="253"/>
        <v>TRUE</v>
      </c>
      <c r="X2197" s="31" t="str">
        <f t="shared" si="248"/>
        <v/>
      </c>
      <c r="Y2197" s="10" t="s">
        <v>1144</v>
      </c>
      <c r="Z2197" s="10" t="s">
        <v>910</v>
      </c>
      <c r="AL2197" s="10" t="str">
        <f t="shared" si="250"/>
        <v>FALSE</v>
      </c>
      <c r="AM2197" s="10" t="str">
        <f t="shared" si="250"/>
        <v>FALSE</v>
      </c>
      <c r="AN2197" s="10" t="str">
        <f t="shared" si="250"/>
        <v>FALSE</v>
      </c>
      <c r="AO2197" s="10" t="str">
        <f t="shared" si="251"/>
        <v>FALSE</v>
      </c>
      <c r="AP2197" s="10" t="str">
        <f t="shared" si="251"/>
        <v>FALSE</v>
      </c>
      <c r="AQ2197" s="10" t="b">
        <f>IF(AND(I2197="TP",S2197&lt;=150),VLOOKUP(AF2197,TPCalibEq150!$AZ$2:$BB$55,3,),IF(AND(I2197="TDP",S2197&lt;=150),VLOOKUP(AF2197,TPCalibEq150!$AZ$2:$BB$55,3,)))</f>
        <v>0</v>
      </c>
      <c r="AR2197" s="10" t="b">
        <f>IF(AND(I2197="TP",S2197&lt;=300),VLOOKUP(AF2197,TPCalibEq300!$AZ$2:$BB$55,3,),IF(AND(I2197="TDP",S2197&lt;=300),VLOOKUP(AF2197,TPCalibEq300!$AZ$2:$BB$55,3,)))</f>
        <v>0</v>
      </c>
      <c r="AS2197" s="10" t="b">
        <f>IF(AND(I2197="TP",S2197&lt;=500),VLOOKUP(AF2197,TPCalibEq500!$AZ$2:$BB$56,3,),IF(AND(I2197="TDP",S2197&lt;=500),VLOOKUP(AF2197,TPCalibEq500!$AZ$2:$BB$56,3,)))</f>
        <v>0</v>
      </c>
      <c r="AT2197" s="10" t="b">
        <f>IF(AND(I2197="TN",S2197&lt;=2800),VLOOKUP(AF2197,TNCalibEq2500!$AZ$2:$BB$56,3,),IF(AND(I2197="TDN",S2197&lt;=2800),VLOOKUP(AF2197,TNCalibEq2500!$AZ$2:$BB$56,3,)))</f>
        <v>0</v>
      </c>
      <c r="AU2197" s="10" t="b">
        <f>IF(I2197="TP",VLOOKUP(AF2197,TPCalibEqFull!$AZ$2:$BB$56,3),IF(I2197="TDP",VLOOKUP(AF2197,TPCalibEqFull!$AZ$2:$BB$56,3),IF(I2197="TDN",VLOOKUP(AF2197,TNCalibEqFull!$AZ$1:$BB$56,3),IF(I2197="TN",VLOOKUP(AF2197,TNCalibEqFull!$AZ$1:$BB$56,3),FALSE))))</f>
        <v>0</v>
      </c>
      <c r="AV2197" s="10" t="str">
        <f t="shared" si="254"/>
        <v>0203 10:54:00-HST-0-C-1-SW-UKN</v>
      </c>
    </row>
    <row r="2198" spans="1:48" s="10" customFormat="1" x14ac:dyDescent="0.55000000000000004">
      <c r="A2198" s="32">
        <v>44963</v>
      </c>
      <c r="B2198" s="33">
        <v>0.31666666666666665</v>
      </c>
      <c r="C2198" s="10" t="s">
        <v>279</v>
      </c>
      <c r="D2198" s="10">
        <v>0</v>
      </c>
      <c r="E2198" s="10" t="s">
        <v>190</v>
      </c>
      <c r="F2198" s="10">
        <v>1</v>
      </c>
      <c r="G2198" s="10" t="s">
        <v>231</v>
      </c>
      <c r="H2198" s="10" t="s">
        <v>322</v>
      </c>
      <c r="I2198" s="10" t="s">
        <v>285</v>
      </c>
      <c r="J2198" s="10">
        <v>7</v>
      </c>
      <c r="K2198" s="12">
        <v>44966</v>
      </c>
      <c r="L2198" s="33">
        <v>0.47783564814814811</v>
      </c>
      <c r="M2198" s="10">
        <v>1</v>
      </c>
      <c r="N2198" s="10" t="s">
        <v>211</v>
      </c>
      <c r="O2198" s="10">
        <v>0.97199999999999998</v>
      </c>
      <c r="P2198" s="10">
        <v>9.5299999999999996E-2</v>
      </c>
      <c r="Q2198" s="10">
        <v>168</v>
      </c>
      <c r="R2198" s="10" t="s">
        <v>913</v>
      </c>
      <c r="S2198" s="34">
        <f t="shared" si="249"/>
        <v>168</v>
      </c>
      <c r="T2198" s="10" t="s">
        <v>1166</v>
      </c>
      <c r="U2198" s="34" t="str">
        <f t="shared" si="252"/>
        <v/>
      </c>
      <c r="V2198" s="31" t="str">
        <f>IF(H2198="CHK",VLOOKUP(I2198,QCCHK,3,),IF(H2198="GUP",VLOOKUP(E2198,QCGUP,2,),IF(AND(H2198="ATP",OR(I2198="TN",I2198="TDN",I2198="TNO2-3",I2198="NO2-3")),VLOOKUP(E2198,QCREC_N,2,),IF(AND(H2198="NIC",OR(I2198="TN",I2198="TDN",I2198="TNO2-3",I2198="NO2-3")),VLOOKUP(E2198,QCNIC_N,2,),IF(AND(H2198="UREA",OR(I2198="TN",I2198="TDN",I2198="TNO2-3",I2198="NO2-3")),VLOOKUP(E2198,QCUREA_N,2,),IF(H2198="PER",VLOOKUP(I2198,QCPER,MATCH(E2198,QCACTUAL!$J$25:$AA$25,0),),IF(H2198="SPK",VLOOKUP(I2198,QCSPK,3,),IF(AND(H2198="ATP",OR(I2198="TP",I2198="TDP")),VLOOKUP(E2198,QCATP_P,2,),""))))))))</f>
        <v/>
      </c>
      <c r="W2198" s="31" t="str">
        <f t="shared" si="253"/>
        <v>TRUE</v>
      </c>
      <c r="X2198" s="31" t="str">
        <f t="shared" si="248"/>
        <v/>
      </c>
      <c r="Y2198" s="10" t="s">
        <v>1144</v>
      </c>
      <c r="Z2198" s="10" t="s">
        <v>910</v>
      </c>
      <c r="AL2198" s="10" t="str">
        <f t="shared" si="250"/>
        <v>FALSE</v>
      </c>
      <c r="AM2198" s="10" t="str">
        <f t="shared" si="250"/>
        <v>FALSE</v>
      </c>
      <c r="AN2198" s="10" t="str">
        <f t="shared" si="250"/>
        <v>FALSE</v>
      </c>
      <c r="AO2198" s="10" t="str">
        <f t="shared" si="251"/>
        <v>FALSE</v>
      </c>
      <c r="AP2198" s="10" t="str">
        <f t="shared" si="251"/>
        <v>FALSE</v>
      </c>
      <c r="AQ2198" s="10" t="b">
        <f>IF(AND(I2198="TP",S2198&lt;=150),VLOOKUP(AF2198,TPCalibEq150!$AZ$2:$BB$55,3,),IF(AND(I2198="TDP",S2198&lt;=150),VLOOKUP(AF2198,TPCalibEq150!$AZ$2:$BB$55,3,)))</f>
        <v>0</v>
      </c>
      <c r="AR2198" s="10" t="b">
        <f>IF(AND(I2198="TP",S2198&lt;=300),VLOOKUP(AF2198,TPCalibEq300!$AZ$2:$BB$55,3,),IF(AND(I2198="TDP",S2198&lt;=300),VLOOKUP(AF2198,TPCalibEq300!$AZ$2:$BB$55,3,)))</f>
        <v>0</v>
      </c>
      <c r="AS2198" s="10" t="b">
        <f>IF(AND(I2198="TP",S2198&lt;=500),VLOOKUP(AF2198,TPCalibEq500!$AZ$2:$BB$56,3,),IF(AND(I2198="TDP",S2198&lt;=500),VLOOKUP(AF2198,TPCalibEq500!$AZ$2:$BB$56,3,)))</f>
        <v>0</v>
      </c>
      <c r="AT2198" s="10" t="b">
        <f>IF(AND(I2198="TN",S2198&lt;=2800),VLOOKUP(AF2198,TNCalibEq2500!$AZ$2:$BB$56,3,),IF(AND(I2198="TDN",S2198&lt;=2800),VLOOKUP(AF2198,TNCalibEq2500!$AZ$2:$BB$56,3,)))</f>
        <v>0</v>
      </c>
      <c r="AU2198" s="10" t="b">
        <f>IF(I2198="TP",VLOOKUP(AF2198,TPCalibEqFull!$AZ$2:$BB$56,3),IF(I2198="TDP",VLOOKUP(AF2198,TPCalibEqFull!$AZ$2:$BB$56,3),IF(I2198="TDN",VLOOKUP(AF2198,TNCalibEqFull!$AZ$1:$BB$56,3),IF(I2198="TN",VLOOKUP(AF2198,TNCalibEqFull!$AZ$1:$BB$56,3),FALSE))))</f>
        <v>0</v>
      </c>
      <c r="AV2198" s="10" t="str">
        <f t="shared" si="254"/>
        <v>0206 07:36:00-EFK-0-C-1-SW-UKN</v>
      </c>
    </row>
    <row r="2199" spans="1:48" s="10" customFormat="1" x14ac:dyDescent="0.55000000000000004">
      <c r="A2199" s="32">
        <v>44963</v>
      </c>
      <c r="B2199" s="33">
        <v>0.27986111111111112</v>
      </c>
      <c r="C2199" s="10" t="s">
        <v>333</v>
      </c>
      <c r="D2199" s="10">
        <v>0</v>
      </c>
      <c r="E2199" s="10" t="s">
        <v>190</v>
      </c>
      <c r="F2199" s="10">
        <v>1</v>
      </c>
      <c r="G2199" s="10" t="s">
        <v>231</v>
      </c>
      <c r="H2199" s="10" t="s">
        <v>322</v>
      </c>
      <c r="I2199" s="10" t="s">
        <v>285</v>
      </c>
      <c r="J2199" s="10">
        <v>8</v>
      </c>
      <c r="K2199" s="12">
        <v>44966</v>
      </c>
      <c r="L2199" s="33">
        <v>0.47864583333333338</v>
      </c>
      <c r="M2199" s="10">
        <v>1</v>
      </c>
      <c r="N2199" s="10" t="s">
        <v>211</v>
      </c>
      <c r="O2199" s="10">
        <v>0.36299999999999999</v>
      </c>
      <c r="P2199" s="10">
        <v>3.4299999999999997E-2</v>
      </c>
      <c r="Q2199" s="10">
        <v>62.3</v>
      </c>
      <c r="R2199" s="10" t="s">
        <v>913</v>
      </c>
      <c r="S2199" s="34">
        <f t="shared" si="249"/>
        <v>62.3</v>
      </c>
      <c r="T2199" s="10" t="s">
        <v>1166</v>
      </c>
      <c r="U2199" s="34" t="str">
        <f t="shared" si="252"/>
        <v/>
      </c>
      <c r="V2199" s="31" t="str">
        <f>IF(H2199="CHK",VLOOKUP(I2199,QCCHK,3,),IF(H2199="GUP",VLOOKUP(E2199,QCGUP,2,),IF(AND(H2199="ATP",OR(I2199="TN",I2199="TDN",I2199="TNO2-3",I2199="NO2-3")),VLOOKUP(E2199,QCREC_N,2,),IF(AND(H2199="NIC",OR(I2199="TN",I2199="TDN",I2199="TNO2-3",I2199="NO2-3")),VLOOKUP(E2199,QCNIC_N,2,),IF(AND(H2199="UREA",OR(I2199="TN",I2199="TDN",I2199="TNO2-3",I2199="NO2-3")),VLOOKUP(E2199,QCUREA_N,2,),IF(H2199="PER",VLOOKUP(I2199,QCPER,MATCH(E2199,QCACTUAL!$J$25:$AA$25,0),),IF(H2199="SPK",VLOOKUP(I2199,QCSPK,3,),IF(AND(H2199="ATP",OR(I2199="TP",I2199="TDP")),VLOOKUP(E2199,QCATP_P,2,),""))))))))</f>
        <v/>
      </c>
      <c r="W2199" s="31" t="str">
        <f t="shared" si="253"/>
        <v>TRUE</v>
      </c>
      <c r="X2199" s="31" t="str">
        <f t="shared" si="248"/>
        <v/>
      </c>
      <c r="Y2199" s="10" t="s">
        <v>1144</v>
      </c>
      <c r="Z2199" s="10" t="s">
        <v>910</v>
      </c>
      <c r="AL2199" s="10" t="str">
        <f t="shared" si="250"/>
        <v>FALSE</v>
      </c>
      <c r="AM2199" s="10" t="str">
        <f t="shared" si="250"/>
        <v>FALSE</v>
      </c>
      <c r="AN2199" s="10" t="str">
        <f t="shared" si="250"/>
        <v>FALSE</v>
      </c>
      <c r="AO2199" s="10" t="str">
        <f t="shared" si="251"/>
        <v>FALSE</v>
      </c>
      <c r="AP2199" s="10" t="str">
        <f t="shared" si="251"/>
        <v>FALSE</v>
      </c>
      <c r="AQ2199" s="10" t="b">
        <f>IF(AND(I2199="TP",S2199&lt;=150),VLOOKUP(AF2199,TPCalibEq150!$AZ$2:$BB$55,3,),IF(AND(I2199="TDP",S2199&lt;=150),VLOOKUP(AF2199,TPCalibEq150!$AZ$2:$BB$55,3,)))</f>
        <v>0</v>
      </c>
      <c r="AR2199" s="10" t="b">
        <f>IF(AND(I2199="TP",S2199&lt;=300),VLOOKUP(AF2199,TPCalibEq300!$AZ$2:$BB$55,3,),IF(AND(I2199="TDP",S2199&lt;=300),VLOOKUP(AF2199,TPCalibEq300!$AZ$2:$BB$55,3,)))</f>
        <v>0</v>
      </c>
      <c r="AS2199" s="10" t="b">
        <f>IF(AND(I2199="TP",S2199&lt;=500),VLOOKUP(AF2199,TPCalibEq500!$AZ$2:$BB$56,3,),IF(AND(I2199="TDP",S2199&lt;=500),VLOOKUP(AF2199,TPCalibEq500!$AZ$2:$BB$56,3,)))</f>
        <v>0</v>
      </c>
      <c r="AT2199" s="10" t="b">
        <f>IF(AND(I2199="TN",S2199&lt;=2800),VLOOKUP(AF2199,TNCalibEq2500!$AZ$2:$BB$56,3,),IF(AND(I2199="TDN",S2199&lt;=2800),VLOOKUP(AF2199,TNCalibEq2500!$AZ$2:$BB$56,3,)))</f>
        <v>0</v>
      </c>
      <c r="AU2199" s="10" t="b">
        <f>IF(I2199="TP",VLOOKUP(AF2199,TPCalibEqFull!$AZ$2:$BB$56,3),IF(I2199="TDP",VLOOKUP(AF2199,TPCalibEqFull!$AZ$2:$BB$56,3),IF(I2199="TDN",VLOOKUP(AF2199,TNCalibEqFull!$AZ$1:$BB$56,3),IF(I2199="TN",VLOOKUP(AF2199,TNCalibEqFull!$AZ$1:$BB$56,3),FALSE))))</f>
        <v>0</v>
      </c>
      <c r="AV2199" s="10" t="str">
        <f t="shared" si="254"/>
        <v>0206 06:43:00-HST-0-C-1-SW-UKN</v>
      </c>
    </row>
    <row r="2200" spans="1:48" s="10" customFormat="1" x14ac:dyDescent="0.55000000000000004">
      <c r="A2200" s="32">
        <v>44964</v>
      </c>
      <c r="B2200" s="33">
        <v>0.22291666666666665</v>
      </c>
      <c r="C2200" s="10" t="s">
        <v>279</v>
      </c>
      <c r="D2200" s="10">
        <v>0</v>
      </c>
      <c r="E2200" s="10" t="s">
        <v>190</v>
      </c>
      <c r="F2200" s="10">
        <v>1</v>
      </c>
      <c r="G2200" s="10" t="s">
        <v>231</v>
      </c>
      <c r="H2200" s="10" t="s">
        <v>322</v>
      </c>
      <c r="I2200" s="10" t="s">
        <v>285</v>
      </c>
      <c r="J2200" s="10">
        <v>9</v>
      </c>
      <c r="K2200" s="12">
        <v>44966</v>
      </c>
      <c r="L2200" s="33">
        <v>0.47945601851851855</v>
      </c>
      <c r="M2200" s="10">
        <v>1</v>
      </c>
      <c r="N2200" s="10" t="s">
        <v>211</v>
      </c>
      <c r="O2200" s="10">
        <v>0.72199999999999998</v>
      </c>
      <c r="P2200" s="10">
        <v>7.0400000000000004E-2</v>
      </c>
      <c r="Q2200" s="10">
        <v>125</v>
      </c>
      <c r="R2200" s="10" t="s">
        <v>913</v>
      </c>
      <c r="S2200" s="34">
        <f t="shared" si="249"/>
        <v>125</v>
      </c>
      <c r="T2200" s="10" t="s">
        <v>1166</v>
      </c>
      <c r="U2200" s="34" t="str">
        <f t="shared" si="252"/>
        <v/>
      </c>
      <c r="V2200" s="31" t="str">
        <f>IF(H2200="CHK",VLOOKUP(I2200,QCCHK,3,),IF(H2200="GUP",VLOOKUP(E2200,QCGUP,2,),IF(AND(H2200="ATP",OR(I2200="TN",I2200="TDN",I2200="TNO2-3",I2200="NO2-3")),VLOOKUP(E2200,QCREC_N,2,),IF(AND(H2200="NIC",OR(I2200="TN",I2200="TDN",I2200="TNO2-3",I2200="NO2-3")),VLOOKUP(E2200,QCNIC_N,2,),IF(AND(H2200="UREA",OR(I2200="TN",I2200="TDN",I2200="TNO2-3",I2200="NO2-3")),VLOOKUP(E2200,QCUREA_N,2,),IF(H2200="PER",VLOOKUP(I2200,QCPER,MATCH(E2200,QCACTUAL!$J$25:$AA$25,0),),IF(H2200="SPK",VLOOKUP(I2200,QCSPK,3,),IF(AND(H2200="ATP",OR(I2200="TP",I2200="TDP")),VLOOKUP(E2200,QCATP_P,2,),""))))))))</f>
        <v/>
      </c>
      <c r="W2200" s="31" t="str">
        <f t="shared" si="253"/>
        <v>TRUE</v>
      </c>
      <c r="X2200" s="31" t="str">
        <f t="shared" si="248"/>
        <v/>
      </c>
      <c r="Y2200" s="10" t="s">
        <v>1144</v>
      </c>
      <c r="Z2200" s="10" t="s">
        <v>910</v>
      </c>
      <c r="AL2200" s="10" t="str">
        <f t="shared" si="250"/>
        <v>FALSE</v>
      </c>
      <c r="AM2200" s="10" t="str">
        <f t="shared" si="250"/>
        <v>FALSE</v>
      </c>
      <c r="AN2200" s="10" t="str">
        <f t="shared" si="250"/>
        <v>FALSE</v>
      </c>
      <c r="AO2200" s="10" t="str">
        <f t="shared" si="251"/>
        <v>FALSE</v>
      </c>
      <c r="AP2200" s="10" t="str">
        <f t="shared" si="251"/>
        <v>FALSE</v>
      </c>
      <c r="AQ2200" s="10" t="b">
        <f>IF(AND(I2200="TP",S2200&lt;=150),VLOOKUP(AF2200,TPCalibEq150!$AZ$2:$BB$55,3,),IF(AND(I2200="TDP",S2200&lt;=150),VLOOKUP(AF2200,TPCalibEq150!$AZ$2:$BB$55,3,)))</f>
        <v>0</v>
      </c>
      <c r="AR2200" s="10" t="b">
        <f>IF(AND(I2200="TP",S2200&lt;=300),VLOOKUP(AF2200,TPCalibEq300!$AZ$2:$BB$55,3,),IF(AND(I2200="TDP",S2200&lt;=300),VLOOKUP(AF2200,TPCalibEq300!$AZ$2:$BB$55,3,)))</f>
        <v>0</v>
      </c>
      <c r="AS2200" s="10" t="b">
        <f>IF(AND(I2200="TP",S2200&lt;=500),VLOOKUP(AF2200,TPCalibEq500!$AZ$2:$BB$56,3,),IF(AND(I2200="TDP",S2200&lt;=500),VLOOKUP(AF2200,TPCalibEq500!$AZ$2:$BB$56,3,)))</f>
        <v>0</v>
      </c>
      <c r="AT2200" s="10" t="b">
        <f>IF(AND(I2200="TN",S2200&lt;=2800),VLOOKUP(AF2200,TNCalibEq2500!$AZ$2:$BB$56,3,),IF(AND(I2200="TDN",S2200&lt;=2800),VLOOKUP(AF2200,TNCalibEq2500!$AZ$2:$BB$56,3,)))</f>
        <v>0</v>
      </c>
      <c r="AU2200" s="10" t="b">
        <f>IF(I2200="TP",VLOOKUP(AF2200,TPCalibEqFull!$AZ$2:$BB$56,3),IF(I2200="TDP",VLOOKUP(AF2200,TPCalibEqFull!$AZ$2:$BB$56,3),IF(I2200="TDN",VLOOKUP(AF2200,TNCalibEqFull!$AZ$1:$BB$56,3),IF(I2200="TN",VLOOKUP(AF2200,TNCalibEqFull!$AZ$1:$BB$56,3),FALSE))))</f>
        <v>0</v>
      </c>
      <c r="AV2200" s="10" t="str">
        <f t="shared" si="254"/>
        <v>0207 05:21:00-EFK-0-C-1-SW-UKN</v>
      </c>
    </row>
    <row r="2201" spans="1:48" s="10" customFormat="1" x14ac:dyDescent="0.55000000000000004">
      <c r="A2201" s="32">
        <v>44964</v>
      </c>
      <c r="B2201" s="33">
        <v>0.22777777777777777</v>
      </c>
      <c r="C2201" s="10" t="s">
        <v>333</v>
      </c>
      <c r="D2201" s="10">
        <v>0</v>
      </c>
      <c r="E2201" s="10" t="s">
        <v>190</v>
      </c>
      <c r="F2201" s="10">
        <v>1</v>
      </c>
      <c r="G2201" s="10" t="s">
        <v>231</v>
      </c>
      <c r="H2201" s="10" t="s">
        <v>322</v>
      </c>
      <c r="I2201" s="10" t="s">
        <v>285</v>
      </c>
      <c r="J2201" s="10">
        <v>10</v>
      </c>
      <c r="K2201" s="12">
        <v>44966</v>
      </c>
      <c r="L2201" s="33">
        <v>0.4802777777777778</v>
      </c>
      <c r="M2201" s="10">
        <v>1</v>
      </c>
      <c r="N2201" s="10" t="s">
        <v>211</v>
      </c>
      <c r="O2201" s="10">
        <v>0.26500000000000001</v>
      </c>
      <c r="P2201" s="10">
        <v>2.4799999999999999E-2</v>
      </c>
      <c r="Q2201" s="10">
        <v>45.4</v>
      </c>
      <c r="R2201" s="10" t="s">
        <v>913</v>
      </c>
      <c r="S2201" s="34">
        <f t="shared" si="249"/>
        <v>45.4</v>
      </c>
      <c r="T2201" s="10" t="s">
        <v>1166</v>
      </c>
      <c r="U2201" s="34" t="str">
        <f t="shared" si="252"/>
        <v/>
      </c>
      <c r="V2201" s="31" t="str">
        <f>IF(H2201="CHK",VLOOKUP(I2201,QCCHK,3,),IF(H2201="GUP",VLOOKUP(E2201,QCGUP,2,),IF(AND(H2201="ATP",OR(I2201="TN",I2201="TDN",I2201="TNO2-3",I2201="NO2-3")),VLOOKUP(E2201,QCREC_N,2,),IF(AND(H2201="NIC",OR(I2201="TN",I2201="TDN",I2201="TNO2-3",I2201="NO2-3")),VLOOKUP(E2201,QCNIC_N,2,),IF(AND(H2201="UREA",OR(I2201="TN",I2201="TDN",I2201="TNO2-3",I2201="NO2-3")),VLOOKUP(E2201,QCUREA_N,2,),IF(H2201="PER",VLOOKUP(I2201,QCPER,MATCH(E2201,QCACTUAL!$J$25:$AA$25,0),),IF(H2201="SPK",VLOOKUP(I2201,QCSPK,3,),IF(AND(H2201="ATP",OR(I2201="TP",I2201="TDP")),VLOOKUP(E2201,QCATP_P,2,),""))))))))</f>
        <v/>
      </c>
      <c r="W2201" s="31" t="str">
        <f t="shared" si="253"/>
        <v>TRUE</v>
      </c>
      <c r="X2201" s="31" t="str">
        <f t="shared" si="248"/>
        <v/>
      </c>
      <c r="Y2201" s="10" t="s">
        <v>1144</v>
      </c>
      <c r="Z2201" s="10" t="s">
        <v>910</v>
      </c>
      <c r="AL2201" s="10" t="str">
        <f t="shared" si="250"/>
        <v>FALSE</v>
      </c>
      <c r="AM2201" s="10" t="str">
        <f t="shared" si="250"/>
        <v>FALSE</v>
      </c>
      <c r="AN2201" s="10" t="str">
        <f t="shared" si="250"/>
        <v>FALSE</v>
      </c>
      <c r="AO2201" s="10" t="str">
        <f t="shared" si="251"/>
        <v>FALSE</v>
      </c>
      <c r="AP2201" s="10" t="str">
        <f t="shared" si="251"/>
        <v>FALSE</v>
      </c>
      <c r="AQ2201" s="10" t="b">
        <f>IF(AND(I2201="TP",S2201&lt;=150),VLOOKUP(AF2201,TPCalibEq150!$AZ$2:$BB$55,3,),IF(AND(I2201="TDP",S2201&lt;=150),VLOOKUP(AF2201,TPCalibEq150!$AZ$2:$BB$55,3,)))</f>
        <v>0</v>
      </c>
      <c r="AR2201" s="10" t="b">
        <f>IF(AND(I2201="TP",S2201&lt;=300),VLOOKUP(AF2201,TPCalibEq300!$AZ$2:$BB$55,3,),IF(AND(I2201="TDP",S2201&lt;=300),VLOOKUP(AF2201,TPCalibEq300!$AZ$2:$BB$55,3,)))</f>
        <v>0</v>
      </c>
      <c r="AS2201" s="10" t="b">
        <f>IF(AND(I2201="TP",S2201&lt;=500),VLOOKUP(AF2201,TPCalibEq500!$AZ$2:$BB$56,3,),IF(AND(I2201="TDP",S2201&lt;=500),VLOOKUP(AF2201,TPCalibEq500!$AZ$2:$BB$56,3,)))</f>
        <v>0</v>
      </c>
      <c r="AT2201" s="10" t="b">
        <f>IF(AND(I2201="TN",S2201&lt;=2800),VLOOKUP(AF2201,TNCalibEq2500!$AZ$2:$BB$56,3,),IF(AND(I2201="TDN",S2201&lt;=2800),VLOOKUP(AF2201,TNCalibEq2500!$AZ$2:$BB$56,3,)))</f>
        <v>0</v>
      </c>
      <c r="AU2201" s="10" t="b">
        <f>IF(I2201="TP",VLOOKUP(AF2201,TPCalibEqFull!$AZ$2:$BB$56,3),IF(I2201="TDP",VLOOKUP(AF2201,TPCalibEqFull!$AZ$2:$BB$56,3),IF(I2201="TDN",VLOOKUP(AF2201,TNCalibEqFull!$AZ$1:$BB$56,3),IF(I2201="TN",VLOOKUP(AF2201,TNCalibEqFull!$AZ$1:$BB$56,3),FALSE))))</f>
        <v>0</v>
      </c>
      <c r="AV2201" s="10" t="str">
        <f t="shared" si="254"/>
        <v>0207 05:28:00-HST-0-C-1-SW-UKN</v>
      </c>
    </row>
    <row r="2202" spans="1:48" s="10" customFormat="1" x14ac:dyDescent="0.55000000000000004">
      <c r="A2202" s="32">
        <v>44964</v>
      </c>
      <c r="B2202" s="33">
        <v>0.22777777777777777</v>
      </c>
      <c r="C2202" s="10" t="s">
        <v>333</v>
      </c>
      <c r="D2202" s="10">
        <v>0</v>
      </c>
      <c r="E2202" s="10" t="s">
        <v>190</v>
      </c>
      <c r="F2202" s="10">
        <v>1</v>
      </c>
      <c r="G2202" s="10" t="s">
        <v>231</v>
      </c>
      <c r="H2202" s="10" t="s">
        <v>233</v>
      </c>
      <c r="I2202" s="10" t="s">
        <v>285</v>
      </c>
      <c r="J2202" s="10">
        <v>10</v>
      </c>
      <c r="K2202" s="12">
        <v>44966</v>
      </c>
      <c r="L2202" s="33">
        <v>0.48108796296296297</v>
      </c>
      <c r="M2202" s="10">
        <v>1</v>
      </c>
      <c r="N2202" s="10" t="s">
        <v>211</v>
      </c>
      <c r="O2202" s="10">
        <v>0.114</v>
      </c>
      <c r="P2202" s="10">
        <v>1.01E-2</v>
      </c>
      <c r="Q2202" s="10">
        <v>19.3</v>
      </c>
      <c r="R2202" s="10" t="s">
        <v>913</v>
      </c>
      <c r="S2202" s="34">
        <f t="shared" si="249"/>
        <v>19.3</v>
      </c>
      <c r="T2202" s="10" t="s">
        <v>1166</v>
      </c>
      <c r="U2202" s="34">
        <f t="shared" si="252"/>
        <v>80.680061823802149</v>
      </c>
      <c r="V2202" s="31" t="str">
        <f>IF(H2202="CHK",VLOOKUP(I2202,QCCHK,3,),IF(H2202="GUP",VLOOKUP(E2202,QCGUP,2,),IF(AND(H2202="ATP",OR(I2202="TN",I2202="TDN",I2202="TNO2-3",I2202="NO2-3")),VLOOKUP(E2202,QCREC_N,2,),IF(AND(H2202="NIC",OR(I2202="TN",I2202="TDN",I2202="TNO2-3",I2202="NO2-3")),VLOOKUP(E2202,QCNIC_N,2,),IF(AND(H2202="UREA",OR(I2202="TN",I2202="TDN",I2202="TNO2-3",I2202="NO2-3")),VLOOKUP(E2202,QCUREA_N,2,),IF(H2202="PER",VLOOKUP(I2202,QCPER,MATCH(E2202,QCACTUAL!$J$25:$AA$25,0),),IF(H2202="SPK",VLOOKUP(I2202,QCSPK,3,),IF(AND(H2202="ATP",OR(I2202="TP",I2202="TDP")),VLOOKUP(E2202,QCATP_P,2,),""))))))))</f>
        <v/>
      </c>
      <c r="W2202" s="31" t="str">
        <f t="shared" si="253"/>
        <v>FALSE</v>
      </c>
      <c r="X2202" s="31" t="str">
        <f t="shared" si="248"/>
        <v>((ABS(rep1-rep2))/((rep1+rep2)/2)*100</v>
      </c>
      <c r="Y2202" s="10" t="s">
        <v>1144</v>
      </c>
      <c r="Z2202" s="10" t="s">
        <v>910</v>
      </c>
      <c r="AL2202" s="10" t="str">
        <f t="shared" si="250"/>
        <v>FALSE</v>
      </c>
      <c r="AM2202" s="10" t="str">
        <f t="shared" si="250"/>
        <v>FALSE</v>
      </c>
      <c r="AN2202" s="10" t="str">
        <f t="shared" si="250"/>
        <v>FALSE</v>
      </c>
      <c r="AO2202" s="10" t="str">
        <f t="shared" si="251"/>
        <v>FALSE</v>
      </c>
      <c r="AP2202" s="10" t="str">
        <f t="shared" si="251"/>
        <v>FALSE</v>
      </c>
      <c r="AQ2202" s="10" t="b">
        <f>IF(AND(I2202="TP",S2202&lt;=150),VLOOKUP(AF2202,TPCalibEq150!$AZ$2:$BB$55,3,),IF(AND(I2202="TDP",S2202&lt;=150),VLOOKUP(AF2202,TPCalibEq150!$AZ$2:$BB$55,3,)))</f>
        <v>0</v>
      </c>
      <c r="AR2202" s="10" t="b">
        <f>IF(AND(I2202="TP",S2202&lt;=300),VLOOKUP(AF2202,TPCalibEq300!$AZ$2:$BB$55,3,),IF(AND(I2202="TDP",S2202&lt;=300),VLOOKUP(AF2202,TPCalibEq300!$AZ$2:$BB$55,3,)))</f>
        <v>0</v>
      </c>
      <c r="AS2202" s="10" t="b">
        <f>IF(AND(I2202="TP",S2202&lt;=500),VLOOKUP(AF2202,TPCalibEq500!$AZ$2:$BB$56,3,),IF(AND(I2202="TDP",S2202&lt;=500),VLOOKUP(AF2202,TPCalibEq500!$AZ$2:$BB$56,3,)))</f>
        <v>0</v>
      </c>
      <c r="AT2202" s="10" t="b">
        <f>IF(AND(I2202="TN",S2202&lt;=2800),VLOOKUP(AF2202,TNCalibEq2500!$AZ$2:$BB$56,3,),IF(AND(I2202="TDN",S2202&lt;=2800),VLOOKUP(AF2202,TNCalibEq2500!$AZ$2:$BB$56,3,)))</f>
        <v>0</v>
      </c>
      <c r="AU2202" s="10" t="b">
        <f>IF(I2202="TP",VLOOKUP(AF2202,TPCalibEqFull!$AZ$2:$BB$56,3),IF(I2202="TDP",VLOOKUP(AF2202,TPCalibEqFull!$AZ$2:$BB$56,3),IF(I2202="TDN",VLOOKUP(AF2202,TNCalibEqFull!$AZ$1:$BB$56,3),IF(I2202="TN",VLOOKUP(AF2202,TNCalibEqFull!$AZ$1:$BB$56,3),FALSE))))</f>
        <v>0</v>
      </c>
      <c r="AV2202" s="10" t="str">
        <f t="shared" si="254"/>
        <v>0207 05:28:00-HST-0-C-1-SW-DUP</v>
      </c>
    </row>
    <row r="2203" spans="1:48" s="10" customFormat="1" x14ac:dyDescent="0.55000000000000004">
      <c r="A2203" s="32">
        <v>44964</v>
      </c>
      <c r="B2203" s="33">
        <v>0.22777777777777777</v>
      </c>
      <c r="C2203" s="10" t="s">
        <v>912</v>
      </c>
      <c r="D2203" s="10">
        <v>0</v>
      </c>
      <c r="E2203" s="10" t="s">
        <v>190</v>
      </c>
      <c r="F2203" s="10">
        <v>1</v>
      </c>
      <c r="G2203" s="10" t="s">
        <v>231</v>
      </c>
      <c r="H2203" s="10" t="s">
        <v>314</v>
      </c>
      <c r="I2203" s="10" t="s">
        <v>285</v>
      </c>
      <c r="J2203" s="10">
        <v>119</v>
      </c>
      <c r="K2203" s="12">
        <v>44966</v>
      </c>
      <c r="L2203" s="33">
        <v>0.48189814814814813</v>
      </c>
      <c r="M2203" s="10">
        <v>1</v>
      </c>
      <c r="N2203" s="10" t="s">
        <v>211</v>
      </c>
      <c r="O2203" s="10">
        <v>0.95099999999999996</v>
      </c>
      <c r="P2203" s="10">
        <v>9.1399999999999995E-2</v>
      </c>
      <c r="Q2203" s="10">
        <v>164</v>
      </c>
      <c r="R2203" s="10" t="s">
        <v>913</v>
      </c>
      <c r="S2203" s="34">
        <f t="shared" si="249"/>
        <v>164</v>
      </c>
      <c r="T2203" s="10" t="s">
        <v>1166</v>
      </c>
      <c r="U2203" s="34">
        <f t="shared" si="252"/>
        <v>92.60799999999999</v>
      </c>
      <c r="V2203" s="31">
        <f>IF(H2203="CHK",VLOOKUP(I2203,QCCHK,3,),IF(H2203="GUP",VLOOKUP(E2203,QCGUP,2,),IF(AND(H2203="ATP",OR(I2203="TN",I2203="TDN",I2203="TNO2-3",I2203="NO2-3")),VLOOKUP(E2203,QCREC_N,2,),IF(AND(H2203="NIC",OR(I2203="TN",I2203="TDN",I2203="TNO2-3",I2203="NO2-3")),VLOOKUP(E2203,QCNIC_N,2,),IF(AND(H2203="UREA",OR(I2203="TN",I2203="TDN",I2203="TNO2-3",I2203="NO2-3")),VLOOKUP(E2203,QCUREA_N,2,),IF(H2203="PER",VLOOKUP(I2203,QCPER,MATCH(E2203,QCACTUAL!$J$25:$AA$25,0),),IF(H2203="SPK",VLOOKUP(I2203,QCSPK,3,),IF(AND(H2203="ATP",OR(I2203="TP",I2203="TDP")),VLOOKUP(E2203,QCATP_P,2,),""))))))))</f>
        <v>156.25</v>
      </c>
      <c r="W2203" s="31" t="str">
        <f t="shared" si="253"/>
        <v>TRUE</v>
      </c>
      <c r="X2203" s="31" t="str">
        <f t="shared" si="248"/>
        <v>([spikedunkn]-[unkn])/[spike]*100</v>
      </c>
      <c r="Y2203" s="10" t="s">
        <v>1144</v>
      </c>
      <c r="Z2203" s="10" t="s">
        <v>910</v>
      </c>
      <c r="AL2203" s="10" t="str">
        <f t="shared" si="250"/>
        <v>FALSE</v>
      </c>
      <c r="AM2203" s="10" t="str">
        <f t="shared" si="250"/>
        <v>FALSE</v>
      </c>
      <c r="AN2203" s="10" t="str">
        <f t="shared" si="250"/>
        <v>FALSE</v>
      </c>
      <c r="AO2203" s="10" t="str">
        <f t="shared" si="251"/>
        <v>FALSE</v>
      </c>
      <c r="AP2203" s="10" t="str">
        <f t="shared" si="251"/>
        <v>FALSE</v>
      </c>
      <c r="AQ2203" s="10" t="b">
        <f>IF(AND(I2203="TP",S2203&lt;=150),VLOOKUP(AF2203,TPCalibEq150!$AZ$2:$BB$55,3,),IF(AND(I2203="TDP",S2203&lt;=150),VLOOKUP(AF2203,TPCalibEq150!$AZ$2:$BB$55,3,)))</f>
        <v>0</v>
      </c>
      <c r="AR2203" s="10" t="b">
        <f>IF(AND(I2203="TP",S2203&lt;=300),VLOOKUP(AF2203,TPCalibEq300!$AZ$2:$BB$55,3,),IF(AND(I2203="TDP",S2203&lt;=300),VLOOKUP(AF2203,TPCalibEq300!$AZ$2:$BB$55,3,)))</f>
        <v>0</v>
      </c>
      <c r="AS2203" s="10" t="b">
        <f>IF(AND(I2203="TP",S2203&lt;=500),VLOOKUP(AF2203,TPCalibEq500!$AZ$2:$BB$56,3,),IF(AND(I2203="TDP",S2203&lt;=500),VLOOKUP(AF2203,TPCalibEq500!$AZ$2:$BB$56,3,)))</f>
        <v>0</v>
      </c>
      <c r="AT2203" s="10" t="b">
        <f>IF(AND(I2203="TN",S2203&lt;=2800),VLOOKUP(AF2203,TNCalibEq2500!$AZ$2:$BB$56,3,),IF(AND(I2203="TDN",S2203&lt;=2800),VLOOKUP(AF2203,TNCalibEq2500!$AZ$2:$BB$56,3,)))</f>
        <v>0</v>
      </c>
      <c r="AU2203" s="10" t="b">
        <f>IF(I2203="TP",VLOOKUP(AF2203,TPCalibEqFull!$AZ$2:$BB$56,3),IF(I2203="TDP",VLOOKUP(AF2203,TPCalibEqFull!$AZ$2:$BB$56,3),IF(I2203="TDN",VLOOKUP(AF2203,TNCalibEqFull!$AZ$1:$BB$56,3),IF(I2203="TN",VLOOKUP(AF2203,TNCalibEqFull!$AZ$1:$BB$56,3),FALSE))))</f>
        <v>0</v>
      </c>
      <c r="AV2203" s="10" t="str">
        <f t="shared" si="254"/>
        <v>0207 05:28:00-HST -0-C-1-SW-SPK</v>
      </c>
    </row>
    <row r="2204" spans="1:48" s="10" customFormat="1" x14ac:dyDescent="0.55000000000000004">
      <c r="A2204" s="32">
        <v>44966</v>
      </c>
      <c r="B2204" s="33">
        <v>0.375</v>
      </c>
      <c r="C2204" s="10" t="s">
        <v>70</v>
      </c>
      <c r="D2204" s="10" t="s">
        <v>71</v>
      </c>
      <c r="E2204" s="10" t="s">
        <v>901</v>
      </c>
      <c r="F2204" s="10">
        <v>1</v>
      </c>
      <c r="G2204" s="10" t="s">
        <v>73</v>
      </c>
      <c r="H2204" s="10" t="s">
        <v>207</v>
      </c>
      <c r="I2204" s="10" t="s">
        <v>285</v>
      </c>
      <c r="J2204" s="10">
        <v>199</v>
      </c>
      <c r="K2204" s="12">
        <v>44966</v>
      </c>
      <c r="L2204" s="33">
        <v>0.48271990740740739</v>
      </c>
      <c r="M2204" s="10">
        <v>1</v>
      </c>
      <c r="N2204" s="10" t="s">
        <v>211</v>
      </c>
      <c r="O2204" s="10">
        <v>0.42599999999999999</v>
      </c>
      <c r="P2204" s="10">
        <v>4.1599999999999998E-2</v>
      </c>
      <c r="Q2204" s="10">
        <v>73.2</v>
      </c>
      <c r="R2204" s="10" t="s">
        <v>913</v>
      </c>
      <c r="S2204" s="34">
        <f t="shared" si="249"/>
        <v>73.2</v>
      </c>
      <c r="T2204" s="10" t="s">
        <v>1166</v>
      </c>
      <c r="U2204" s="34">
        <f t="shared" si="252"/>
        <v>97.600000000000009</v>
      </c>
      <c r="V2204" s="31">
        <f>IF(H2204="CHK",VLOOKUP(I2204,QCCHK,3,),IF(H2204="GUP",VLOOKUP(E2204,QCGUP,2,),IF(AND(H2204="ATP",OR(I2204="TN",I2204="TDN",I2204="TNO2-3",I2204="NO2-3")),VLOOKUP(E2204,QCREC_N,2,),IF(AND(H2204="NIC",OR(I2204="TN",I2204="TDN",I2204="TNO2-3",I2204="NO2-3")),VLOOKUP(E2204,QCNIC_N,2,),IF(AND(H2204="UREA",OR(I2204="TN",I2204="TDN",I2204="TNO2-3",I2204="NO2-3")),VLOOKUP(E2204,QCUREA_N,2,),IF(H2204="PER",VLOOKUP(I2204,QCPER,MATCH(E2204,QCACTUAL!$J$25:$AA$25,0),),IF(H2204="SPK",VLOOKUP(I2204,QCSPK,3,),IF(AND(H2204="ATP",OR(I2204="TP",I2204="TDP")),VLOOKUP(E2204,QCATP_P,2,),""))))))))</f>
        <v>75</v>
      </c>
      <c r="W2204" s="31" t="str">
        <f t="shared" si="253"/>
        <v>TRUE</v>
      </c>
      <c r="X2204" s="31" t="str">
        <f t="shared" si="248"/>
        <v>[chk]/[actual]*100</v>
      </c>
      <c r="Y2204" s="10" t="s">
        <v>1144</v>
      </c>
      <c r="AL2204" s="10" t="str">
        <f t="shared" si="250"/>
        <v>FALSE</v>
      </c>
      <c r="AM2204" s="10" t="str">
        <f t="shared" si="250"/>
        <v>FALSE</v>
      </c>
      <c r="AN2204" s="10" t="str">
        <f t="shared" si="250"/>
        <v>FALSE</v>
      </c>
      <c r="AO2204" s="10" t="str">
        <f t="shared" si="251"/>
        <v>FALSE</v>
      </c>
      <c r="AP2204" s="10" t="str">
        <f t="shared" si="251"/>
        <v>FALSE</v>
      </c>
      <c r="AQ2204" s="10" t="b">
        <f>IF(AND(I2204="TP",S2204&lt;=150),VLOOKUP(AF2204,TPCalibEq150!$AZ$2:$BB$55,3,),IF(AND(I2204="TDP",S2204&lt;=150),VLOOKUP(AF2204,TPCalibEq150!$AZ$2:$BB$55,3,)))</f>
        <v>0</v>
      </c>
      <c r="AR2204" s="10" t="b">
        <f>IF(AND(I2204="TP",S2204&lt;=300),VLOOKUP(AF2204,TPCalibEq300!$AZ$2:$BB$55,3,),IF(AND(I2204="TDP",S2204&lt;=300),VLOOKUP(AF2204,TPCalibEq300!$AZ$2:$BB$55,3,)))</f>
        <v>0</v>
      </c>
      <c r="AS2204" s="10" t="b">
        <f>IF(AND(I2204="TP",S2204&lt;=500),VLOOKUP(AF2204,TPCalibEq500!$AZ$2:$BB$56,3,),IF(AND(I2204="TDP",S2204&lt;=500),VLOOKUP(AF2204,TPCalibEq500!$AZ$2:$BB$56,3,)))</f>
        <v>0</v>
      </c>
      <c r="AT2204" s="10" t="b">
        <f>IF(AND(I2204="TN",S2204&lt;=2800),VLOOKUP(AF2204,TNCalibEq2500!$AZ$2:$BB$56,3,),IF(AND(I2204="TDN",S2204&lt;=2800),VLOOKUP(AF2204,TNCalibEq2500!$AZ$2:$BB$56,3,)))</f>
        <v>0</v>
      </c>
      <c r="AU2204" s="10" t="b">
        <f>IF(I2204="TP",VLOOKUP(AF2204,TPCalibEqFull!$AZ$2:$BB$56,3),IF(I2204="TDP",VLOOKUP(AF2204,TPCalibEqFull!$AZ$2:$BB$56,3),IF(I2204="TDN",VLOOKUP(AF2204,TNCalibEqFull!$AZ$1:$BB$56,3),IF(I2204="TN",VLOOKUP(AF2204,TNCalibEqFull!$AZ$1:$BB$56,3),FALSE))))</f>
        <v>0</v>
      </c>
      <c r="AV2204" s="10" t="str">
        <f t="shared" si="254"/>
        <v>0209 09:00:00-QAC-STD-D-1-DI-CHK</v>
      </c>
    </row>
    <row r="2205" spans="1:48" s="10" customFormat="1" x14ac:dyDescent="0.55000000000000004">
      <c r="A2205" s="32">
        <v>44963</v>
      </c>
      <c r="B2205" s="33">
        <v>0.33749999999999997</v>
      </c>
      <c r="C2205" s="10" t="s">
        <v>998</v>
      </c>
      <c r="D2205" s="10">
        <v>0</v>
      </c>
      <c r="E2205" s="10" t="s">
        <v>190</v>
      </c>
      <c r="F2205" s="10">
        <v>1</v>
      </c>
      <c r="G2205" s="10" t="s">
        <v>231</v>
      </c>
      <c r="H2205" s="10" t="s">
        <v>322</v>
      </c>
      <c r="I2205" s="10" t="s">
        <v>285</v>
      </c>
      <c r="J2205" s="10">
        <v>11</v>
      </c>
      <c r="K2205" s="12">
        <v>44966</v>
      </c>
      <c r="L2205" s="33">
        <v>0.48353009259259255</v>
      </c>
      <c r="M2205" s="10">
        <v>1</v>
      </c>
      <c r="N2205" s="10" t="s">
        <v>211</v>
      </c>
      <c r="O2205" s="10">
        <v>1.65</v>
      </c>
      <c r="P2205" s="10">
        <v>0.16300000000000001</v>
      </c>
      <c r="Q2205" s="10">
        <v>285</v>
      </c>
      <c r="R2205" s="10" t="s">
        <v>913</v>
      </c>
      <c r="S2205" s="34">
        <f t="shared" si="249"/>
        <v>285</v>
      </c>
      <c r="T2205" s="10" t="s">
        <v>1166</v>
      </c>
      <c r="U2205" s="34" t="str">
        <f t="shared" si="252"/>
        <v/>
      </c>
      <c r="V2205" s="31" t="str">
        <f>IF(H2205="CHK",VLOOKUP(I2205,QCCHK,3,),IF(H2205="GUP",VLOOKUP(E2205,QCGUP,2,),IF(AND(H2205="ATP",OR(I2205="TN",I2205="TDN",I2205="TNO2-3",I2205="NO2-3")),VLOOKUP(E2205,QCREC_N,2,),IF(AND(H2205="NIC",OR(I2205="TN",I2205="TDN",I2205="TNO2-3",I2205="NO2-3")),VLOOKUP(E2205,QCNIC_N,2,),IF(AND(H2205="UREA",OR(I2205="TN",I2205="TDN",I2205="TNO2-3",I2205="NO2-3")),VLOOKUP(E2205,QCUREA_N,2,),IF(H2205="PER",VLOOKUP(I2205,QCPER,MATCH(E2205,QCACTUAL!$J$25:$AA$25,0),),IF(H2205="SPK",VLOOKUP(I2205,QCSPK,3,),IF(AND(H2205="ATP",OR(I2205="TP",I2205="TDP")),VLOOKUP(E2205,QCATP_P,2,),""))))))))</f>
        <v/>
      </c>
      <c r="W2205" s="31" t="str">
        <f t="shared" si="253"/>
        <v>TRUE</v>
      </c>
      <c r="X2205" s="31" t="str">
        <f t="shared" si="248"/>
        <v/>
      </c>
      <c r="Y2205" s="10" t="s">
        <v>1144</v>
      </c>
      <c r="Z2205" s="10" t="s">
        <v>910</v>
      </c>
      <c r="AL2205" s="10" t="str">
        <f t="shared" si="250"/>
        <v>FALSE</v>
      </c>
      <c r="AM2205" s="10" t="str">
        <f t="shared" si="250"/>
        <v>FALSE</v>
      </c>
      <c r="AN2205" s="10" t="str">
        <f t="shared" si="250"/>
        <v>FALSE</v>
      </c>
      <c r="AO2205" s="10" t="str">
        <f t="shared" si="251"/>
        <v>FALSE</v>
      </c>
      <c r="AP2205" s="10" t="str">
        <f t="shared" si="251"/>
        <v>FALSE</v>
      </c>
      <c r="AQ2205" s="10" t="b">
        <f>IF(AND(I2205="TP",S2205&lt;=150),VLOOKUP(AF2205,TPCalibEq150!$AZ$2:$BB$55,3,),IF(AND(I2205="TDP",S2205&lt;=150),VLOOKUP(AF2205,TPCalibEq150!$AZ$2:$BB$55,3,)))</f>
        <v>0</v>
      </c>
      <c r="AR2205" s="10" t="b">
        <f>IF(AND(I2205="TP",S2205&lt;=300),VLOOKUP(AF2205,TPCalibEq300!$AZ$2:$BB$55,3,),IF(AND(I2205="TDP",S2205&lt;=300),VLOOKUP(AF2205,TPCalibEq300!$AZ$2:$BB$55,3,)))</f>
        <v>0</v>
      </c>
      <c r="AS2205" s="10" t="b">
        <f>IF(AND(I2205="TP",S2205&lt;=500),VLOOKUP(AF2205,TPCalibEq500!$AZ$2:$BB$56,3,),IF(AND(I2205="TDP",S2205&lt;=500),VLOOKUP(AF2205,TPCalibEq500!$AZ$2:$BB$56,3,)))</f>
        <v>0</v>
      </c>
      <c r="AT2205" s="10" t="b">
        <f>IF(AND(I2205="TN",S2205&lt;=2800),VLOOKUP(AF2205,TNCalibEq2500!$AZ$2:$BB$56,3,),IF(AND(I2205="TDN",S2205&lt;=2800),VLOOKUP(AF2205,TNCalibEq2500!$AZ$2:$BB$56,3,)))</f>
        <v>0</v>
      </c>
      <c r="AU2205" s="10" t="b">
        <f>IF(I2205="TP",VLOOKUP(AF2205,TPCalibEqFull!$AZ$2:$BB$56,3),IF(I2205="TDP",VLOOKUP(AF2205,TPCalibEqFull!$AZ$2:$BB$56,3),IF(I2205="TDN",VLOOKUP(AF2205,TNCalibEqFull!$AZ$1:$BB$56,3),IF(I2205="TN",VLOOKUP(AF2205,TNCalibEqFull!$AZ$1:$BB$56,3),FALSE))))</f>
        <v>0</v>
      </c>
      <c r="AV2205" s="10" t="str">
        <f t="shared" si="254"/>
        <v>0206 08:06:00-ELW-0-C-1-SW-UKN</v>
      </c>
    </row>
    <row r="2206" spans="1:48" s="10" customFormat="1" x14ac:dyDescent="0.55000000000000004">
      <c r="A2206" s="32">
        <v>44963</v>
      </c>
      <c r="B2206" s="33">
        <v>0.34930555555555554</v>
      </c>
      <c r="C2206" s="10" t="s">
        <v>260</v>
      </c>
      <c r="D2206" s="10">
        <v>0</v>
      </c>
      <c r="E2206" s="10" t="s">
        <v>190</v>
      </c>
      <c r="F2206" s="10">
        <v>1</v>
      </c>
      <c r="G2206" s="10" t="s">
        <v>231</v>
      </c>
      <c r="H2206" s="10" t="s">
        <v>322</v>
      </c>
      <c r="I2206" s="10" t="s">
        <v>285</v>
      </c>
      <c r="J2206" s="10">
        <v>12</v>
      </c>
      <c r="K2206" s="12">
        <v>44966</v>
      </c>
      <c r="L2206" s="33">
        <v>0.48434027777777783</v>
      </c>
      <c r="M2206" s="10">
        <v>1</v>
      </c>
      <c r="N2206" s="10" t="s">
        <v>211</v>
      </c>
      <c r="O2206" s="10">
        <v>1.68</v>
      </c>
      <c r="P2206" s="10">
        <v>0.16700000000000001</v>
      </c>
      <c r="Q2206" s="10">
        <v>290</v>
      </c>
      <c r="R2206" s="10" t="s">
        <v>913</v>
      </c>
      <c r="S2206" s="34">
        <f t="shared" si="249"/>
        <v>290</v>
      </c>
      <c r="T2206" s="10" t="s">
        <v>1166</v>
      </c>
      <c r="U2206" s="34" t="str">
        <f t="shared" si="252"/>
        <v/>
      </c>
      <c r="V2206" s="31" t="str">
        <f>IF(H2206="CHK",VLOOKUP(I2206,QCCHK,3,),IF(H2206="GUP",VLOOKUP(E2206,QCGUP,2,),IF(AND(H2206="ATP",OR(I2206="TN",I2206="TDN",I2206="TNO2-3",I2206="NO2-3")),VLOOKUP(E2206,QCREC_N,2,),IF(AND(H2206="NIC",OR(I2206="TN",I2206="TDN",I2206="TNO2-3",I2206="NO2-3")),VLOOKUP(E2206,QCNIC_N,2,),IF(AND(H2206="UREA",OR(I2206="TN",I2206="TDN",I2206="TNO2-3",I2206="NO2-3")),VLOOKUP(E2206,QCUREA_N,2,),IF(H2206="PER",VLOOKUP(I2206,QCPER,MATCH(E2206,QCACTUAL!$J$25:$AA$25,0),),IF(H2206="SPK",VLOOKUP(I2206,QCSPK,3,),IF(AND(H2206="ATP",OR(I2206="TP",I2206="TDP")),VLOOKUP(E2206,QCATP_P,2,),""))))))))</f>
        <v/>
      </c>
      <c r="W2206" s="31" t="str">
        <f t="shared" si="253"/>
        <v>TRUE</v>
      </c>
      <c r="X2206" s="31" t="str">
        <f t="shared" si="248"/>
        <v/>
      </c>
      <c r="Y2206" s="10" t="s">
        <v>1144</v>
      </c>
      <c r="Z2206" s="10" t="s">
        <v>910</v>
      </c>
      <c r="AL2206" s="10" t="str">
        <f t="shared" si="250"/>
        <v>FALSE</v>
      </c>
      <c r="AM2206" s="10" t="str">
        <f t="shared" si="250"/>
        <v>FALSE</v>
      </c>
      <c r="AN2206" s="10" t="str">
        <f t="shared" si="250"/>
        <v>FALSE</v>
      </c>
      <c r="AO2206" s="10" t="str">
        <f t="shared" si="251"/>
        <v>FALSE</v>
      </c>
      <c r="AP2206" s="10" t="str">
        <f t="shared" si="251"/>
        <v>FALSE</v>
      </c>
      <c r="AQ2206" s="10" t="b">
        <f>IF(AND(I2206="TP",S2206&lt;=150),VLOOKUP(AF2206,TPCalibEq150!$AZ$2:$BB$55,3,),IF(AND(I2206="TDP",S2206&lt;=150),VLOOKUP(AF2206,TPCalibEq150!$AZ$2:$BB$55,3,)))</f>
        <v>0</v>
      </c>
      <c r="AR2206" s="10" t="b">
        <f>IF(AND(I2206="TP",S2206&lt;=300),VLOOKUP(AF2206,TPCalibEq300!$AZ$2:$BB$55,3,),IF(AND(I2206="TDP",S2206&lt;=300),VLOOKUP(AF2206,TPCalibEq300!$AZ$2:$BB$55,3,)))</f>
        <v>0</v>
      </c>
      <c r="AS2206" s="10" t="b">
        <f>IF(AND(I2206="TP",S2206&lt;=500),VLOOKUP(AF2206,TPCalibEq500!$AZ$2:$BB$56,3,),IF(AND(I2206="TDP",S2206&lt;=500),VLOOKUP(AF2206,TPCalibEq500!$AZ$2:$BB$56,3,)))</f>
        <v>0</v>
      </c>
      <c r="AT2206" s="10" t="b">
        <f>IF(AND(I2206="TN",S2206&lt;=2800),VLOOKUP(AF2206,TNCalibEq2500!$AZ$2:$BB$56,3,),IF(AND(I2206="TDN",S2206&lt;=2800),VLOOKUP(AF2206,TNCalibEq2500!$AZ$2:$BB$56,3,)))</f>
        <v>0</v>
      </c>
      <c r="AU2206" s="10" t="b">
        <f>IF(I2206="TP",VLOOKUP(AF2206,TPCalibEqFull!$AZ$2:$BB$56,3),IF(I2206="TDP",VLOOKUP(AF2206,TPCalibEqFull!$AZ$2:$BB$56,3),IF(I2206="TDN",VLOOKUP(AF2206,TNCalibEqFull!$AZ$1:$BB$56,3),IF(I2206="TN",VLOOKUP(AF2206,TNCalibEqFull!$AZ$1:$BB$56,3),FALSE))))</f>
        <v>0</v>
      </c>
      <c r="AV2206" s="10" t="str">
        <f t="shared" si="254"/>
        <v>0206 08:23:00-EFC-0-C-1-SW-UKN</v>
      </c>
    </row>
    <row r="2207" spans="1:48" s="10" customFormat="1" x14ac:dyDescent="0.55000000000000004">
      <c r="A2207" s="32">
        <v>44963</v>
      </c>
      <c r="B2207" s="33">
        <v>0.3611111111111111</v>
      </c>
      <c r="C2207" s="10" t="s">
        <v>543</v>
      </c>
      <c r="D2207" s="10">
        <v>0</v>
      </c>
      <c r="E2207" s="10" t="s">
        <v>190</v>
      </c>
      <c r="F2207" s="10">
        <v>1</v>
      </c>
      <c r="G2207" s="10" t="s">
        <v>231</v>
      </c>
      <c r="H2207" s="10" t="s">
        <v>322</v>
      </c>
      <c r="I2207" s="10" t="s">
        <v>285</v>
      </c>
      <c r="J2207" s="10">
        <v>13</v>
      </c>
      <c r="K2207" s="12">
        <v>44966</v>
      </c>
      <c r="L2207" s="33">
        <v>0.48516203703703703</v>
      </c>
      <c r="M2207" s="10">
        <v>1</v>
      </c>
      <c r="N2207" s="10" t="s">
        <v>211</v>
      </c>
      <c r="O2207" s="10">
        <v>6.4600000000000005E-2</v>
      </c>
      <c r="P2207" s="10">
        <v>5.8300000000000001E-3</v>
      </c>
      <c r="Q2207" s="10">
        <v>10.7</v>
      </c>
      <c r="R2207" s="10" t="s">
        <v>913</v>
      </c>
      <c r="S2207" s="34">
        <f t="shared" si="249"/>
        <v>10.7</v>
      </c>
      <c r="T2207" s="10" t="s">
        <v>1166</v>
      </c>
      <c r="U2207" s="34" t="str">
        <f t="shared" si="252"/>
        <v/>
      </c>
      <c r="V2207" s="31" t="str">
        <f>IF(H2207="CHK",VLOOKUP(I2207,QCCHK,3,),IF(H2207="GUP",VLOOKUP(E2207,QCGUP,2,),IF(AND(H2207="ATP",OR(I2207="TN",I2207="TDN",I2207="TNO2-3",I2207="NO2-3")),VLOOKUP(E2207,QCREC_N,2,),IF(AND(H2207="NIC",OR(I2207="TN",I2207="TDN",I2207="TNO2-3",I2207="NO2-3")),VLOOKUP(E2207,QCNIC_N,2,),IF(AND(H2207="UREA",OR(I2207="TN",I2207="TDN",I2207="TNO2-3",I2207="NO2-3")),VLOOKUP(E2207,QCUREA_N,2,),IF(H2207="PER",VLOOKUP(I2207,QCPER,MATCH(E2207,QCACTUAL!$J$25:$AA$25,0),),IF(H2207="SPK",VLOOKUP(I2207,QCSPK,3,),IF(AND(H2207="ATP",OR(I2207="TP",I2207="TDP")),VLOOKUP(E2207,QCATP_P,2,),""))))))))</f>
        <v/>
      </c>
      <c r="W2207" s="31" t="str">
        <f t="shared" si="253"/>
        <v>TRUE</v>
      </c>
      <c r="X2207" s="31" t="str">
        <f t="shared" si="248"/>
        <v/>
      </c>
      <c r="Y2207" s="10" t="s">
        <v>1144</v>
      </c>
      <c r="Z2207" s="10" t="s">
        <v>910</v>
      </c>
      <c r="AL2207" s="10" t="str">
        <f t="shared" si="250"/>
        <v>FALSE</v>
      </c>
      <c r="AM2207" s="10" t="str">
        <f t="shared" si="250"/>
        <v>FALSE</v>
      </c>
      <c r="AN2207" s="10" t="str">
        <f t="shared" si="250"/>
        <v>FALSE</v>
      </c>
      <c r="AO2207" s="10" t="str">
        <f t="shared" si="251"/>
        <v>FALSE</v>
      </c>
      <c r="AP2207" s="10" t="str">
        <f t="shared" si="251"/>
        <v>FALSE</v>
      </c>
      <c r="AQ2207" s="10" t="b">
        <f>IF(AND(I2207="TP",S2207&lt;=150),VLOOKUP(AF2207,TPCalibEq150!$AZ$2:$BB$55,3,),IF(AND(I2207="TDP",S2207&lt;=150),VLOOKUP(AF2207,TPCalibEq150!$AZ$2:$BB$55,3,)))</f>
        <v>0</v>
      </c>
      <c r="AR2207" s="10" t="b">
        <f>IF(AND(I2207="TP",S2207&lt;=300),VLOOKUP(AF2207,TPCalibEq300!$AZ$2:$BB$55,3,),IF(AND(I2207="TDP",S2207&lt;=300),VLOOKUP(AF2207,TPCalibEq300!$AZ$2:$BB$55,3,)))</f>
        <v>0</v>
      </c>
      <c r="AS2207" s="10" t="b">
        <f>IF(AND(I2207="TP",S2207&lt;=500),VLOOKUP(AF2207,TPCalibEq500!$AZ$2:$BB$56,3,),IF(AND(I2207="TDP",S2207&lt;=500),VLOOKUP(AF2207,TPCalibEq500!$AZ$2:$BB$56,3,)))</f>
        <v>0</v>
      </c>
      <c r="AT2207" s="10" t="b">
        <f>IF(AND(I2207="TN",S2207&lt;=2800),VLOOKUP(AF2207,TNCalibEq2500!$AZ$2:$BB$56,3,),IF(AND(I2207="TDN",S2207&lt;=2800),VLOOKUP(AF2207,TNCalibEq2500!$AZ$2:$BB$56,3,)))</f>
        <v>0</v>
      </c>
      <c r="AU2207" s="10" t="b">
        <f>IF(I2207="TP",VLOOKUP(AF2207,TPCalibEqFull!$AZ$2:$BB$56,3),IF(I2207="TDP",VLOOKUP(AF2207,TPCalibEqFull!$AZ$2:$BB$56,3),IF(I2207="TDN",VLOOKUP(AF2207,TNCalibEqFull!$AZ$1:$BB$56,3),IF(I2207="TN",VLOOKUP(AF2207,TNCalibEqFull!$AZ$1:$BB$56,3),FALSE))))</f>
        <v>0</v>
      </c>
      <c r="AV2207" s="10" t="str">
        <f t="shared" si="254"/>
        <v>0206 08:40:00-SAR-0-C-1-SW-UKN</v>
      </c>
    </row>
    <row r="2208" spans="1:48" s="10" customFormat="1" x14ac:dyDescent="0.55000000000000004">
      <c r="A2208" s="32">
        <v>44963</v>
      </c>
      <c r="B2208" s="33">
        <v>0.37916666666666665</v>
      </c>
      <c r="C2208" s="10" t="s">
        <v>361</v>
      </c>
      <c r="D2208" s="10">
        <v>0</v>
      </c>
      <c r="E2208" s="10" t="s">
        <v>190</v>
      </c>
      <c r="F2208" s="10">
        <v>1</v>
      </c>
      <c r="G2208" s="10" t="s">
        <v>231</v>
      </c>
      <c r="H2208" s="10" t="s">
        <v>322</v>
      </c>
      <c r="I2208" s="10" t="s">
        <v>285</v>
      </c>
      <c r="J2208" s="10">
        <v>14</v>
      </c>
      <c r="K2208" s="12">
        <v>44966</v>
      </c>
      <c r="L2208" s="33">
        <v>0.48596064814814816</v>
      </c>
      <c r="M2208" s="10">
        <v>1</v>
      </c>
      <c r="N2208" s="10" t="s">
        <v>211</v>
      </c>
      <c r="O2208" s="10">
        <v>8.2400000000000001E-2</v>
      </c>
      <c r="P2208" s="10">
        <v>6.2599999999999999E-3</v>
      </c>
      <c r="Q2208" s="10">
        <v>13.8</v>
      </c>
      <c r="R2208" s="10" t="s">
        <v>913</v>
      </c>
      <c r="S2208" s="34">
        <f t="shared" si="249"/>
        <v>13.8</v>
      </c>
      <c r="T2208" s="10" t="s">
        <v>1166</v>
      </c>
      <c r="U2208" s="34" t="str">
        <f t="shared" si="252"/>
        <v/>
      </c>
      <c r="V2208" s="31" t="str">
        <f>IF(H2208="CHK",VLOOKUP(I2208,QCCHK,3,),IF(H2208="GUP",VLOOKUP(E2208,QCGUP,2,),IF(AND(H2208="ATP",OR(I2208="TN",I2208="TDN",I2208="TNO2-3",I2208="NO2-3")),VLOOKUP(E2208,QCREC_N,2,),IF(AND(H2208="NIC",OR(I2208="TN",I2208="TDN",I2208="TNO2-3",I2208="NO2-3")),VLOOKUP(E2208,QCNIC_N,2,),IF(AND(H2208="UREA",OR(I2208="TN",I2208="TDN",I2208="TNO2-3",I2208="NO2-3")),VLOOKUP(E2208,QCUREA_N,2,),IF(H2208="PER",VLOOKUP(I2208,QCPER,MATCH(E2208,QCACTUAL!$J$25:$AA$25,0),),IF(H2208="SPK",VLOOKUP(I2208,QCSPK,3,),IF(AND(H2208="ATP",OR(I2208="TP",I2208="TDP")),VLOOKUP(E2208,QCATP_P,2,),""))))))))</f>
        <v/>
      </c>
      <c r="W2208" s="31" t="str">
        <f t="shared" si="253"/>
        <v>TRUE</v>
      </c>
      <c r="X2208" s="31" t="str">
        <f t="shared" si="248"/>
        <v/>
      </c>
      <c r="Y2208" s="10" t="s">
        <v>1144</v>
      </c>
      <c r="Z2208" s="10" t="s">
        <v>910</v>
      </c>
      <c r="AL2208" s="10" t="str">
        <f t="shared" si="250"/>
        <v>FALSE</v>
      </c>
      <c r="AM2208" s="10" t="str">
        <f t="shared" si="250"/>
        <v>FALSE</v>
      </c>
      <c r="AN2208" s="10" t="str">
        <f t="shared" si="250"/>
        <v>FALSE</v>
      </c>
      <c r="AO2208" s="10" t="str">
        <f t="shared" si="251"/>
        <v>FALSE</v>
      </c>
      <c r="AP2208" s="10" t="str">
        <f t="shared" si="251"/>
        <v>FALSE</v>
      </c>
      <c r="AQ2208" s="10" t="b">
        <f>IF(AND(I2208="TP",S2208&lt;=150),VLOOKUP(AF2208,TPCalibEq150!$AZ$2:$BB$55,3,),IF(AND(I2208="TDP",S2208&lt;=150),VLOOKUP(AF2208,TPCalibEq150!$AZ$2:$BB$55,3,)))</f>
        <v>0</v>
      </c>
      <c r="AR2208" s="10" t="b">
        <f>IF(AND(I2208="TP",S2208&lt;=300),VLOOKUP(AF2208,TPCalibEq300!$AZ$2:$BB$55,3,),IF(AND(I2208="TDP",S2208&lt;=300),VLOOKUP(AF2208,TPCalibEq300!$AZ$2:$BB$55,3,)))</f>
        <v>0</v>
      </c>
      <c r="AS2208" s="10" t="b">
        <f>IF(AND(I2208="TP",S2208&lt;=500),VLOOKUP(AF2208,TPCalibEq500!$AZ$2:$BB$56,3,),IF(AND(I2208="TDP",S2208&lt;=500),VLOOKUP(AF2208,TPCalibEq500!$AZ$2:$BB$56,3,)))</f>
        <v>0</v>
      </c>
      <c r="AT2208" s="10" t="b">
        <f>IF(AND(I2208="TN",S2208&lt;=2800),VLOOKUP(AF2208,TNCalibEq2500!$AZ$2:$BB$56,3,),IF(AND(I2208="TDN",S2208&lt;=2800),VLOOKUP(AF2208,TNCalibEq2500!$AZ$2:$BB$56,3,)))</f>
        <v>0</v>
      </c>
      <c r="AU2208" s="10" t="b">
        <f>IF(I2208="TP",VLOOKUP(AF2208,TPCalibEqFull!$AZ$2:$BB$56,3),IF(I2208="TDP",VLOOKUP(AF2208,TPCalibEqFull!$AZ$2:$BB$56,3),IF(I2208="TDN",VLOOKUP(AF2208,TNCalibEqFull!$AZ$1:$BB$56,3),IF(I2208="TN",VLOOKUP(AF2208,TNCalibEqFull!$AZ$1:$BB$56,3),FALSE))))</f>
        <v>0</v>
      </c>
      <c r="AV2208" s="10" t="str">
        <f t="shared" si="254"/>
        <v>0206 09:06:00-USR-0-C-1-SW-UKN</v>
      </c>
    </row>
    <row r="2209" spans="1:48" s="10" customFormat="1" x14ac:dyDescent="0.55000000000000004">
      <c r="A2209" s="32">
        <v>44963</v>
      </c>
      <c r="B2209" s="33">
        <v>0.39305555555555555</v>
      </c>
      <c r="C2209" s="10" t="s">
        <v>351</v>
      </c>
      <c r="D2209" s="10">
        <v>0</v>
      </c>
      <c r="E2209" s="10" t="s">
        <v>190</v>
      </c>
      <c r="F2209" s="10">
        <v>1</v>
      </c>
      <c r="G2209" s="10" t="s">
        <v>231</v>
      </c>
      <c r="H2209" s="10" t="s">
        <v>322</v>
      </c>
      <c r="I2209" s="10" t="s">
        <v>285</v>
      </c>
      <c r="J2209" s="10">
        <v>15</v>
      </c>
      <c r="K2209" s="12">
        <v>44966</v>
      </c>
      <c r="L2209" s="33">
        <v>0.48677083333333332</v>
      </c>
      <c r="M2209" s="10">
        <v>1</v>
      </c>
      <c r="N2209" s="10" t="s">
        <v>211</v>
      </c>
      <c r="O2209" s="10">
        <v>9.3399999999999997E-2</v>
      </c>
      <c r="P2209" s="10">
        <v>8.5100000000000002E-3</v>
      </c>
      <c r="Q2209" s="10">
        <v>15.7</v>
      </c>
      <c r="R2209" s="10" t="s">
        <v>913</v>
      </c>
      <c r="S2209" s="34">
        <f t="shared" si="249"/>
        <v>15.7</v>
      </c>
      <c r="T2209" s="10" t="s">
        <v>1166</v>
      </c>
      <c r="U2209" s="34" t="str">
        <f t="shared" si="252"/>
        <v/>
      </c>
      <c r="V2209" s="31" t="str">
        <f>IF(H2209="CHK",VLOOKUP(I2209,QCCHK,3,),IF(H2209="GUP",VLOOKUP(E2209,QCGUP,2,),IF(AND(H2209="ATP",OR(I2209="TN",I2209="TDN",I2209="TNO2-3",I2209="NO2-3")),VLOOKUP(E2209,QCREC_N,2,),IF(AND(H2209="NIC",OR(I2209="TN",I2209="TDN",I2209="TNO2-3",I2209="NO2-3")),VLOOKUP(E2209,QCNIC_N,2,),IF(AND(H2209="UREA",OR(I2209="TN",I2209="TDN",I2209="TNO2-3",I2209="NO2-3")),VLOOKUP(E2209,QCUREA_N,2,),IF(H2209="PER",VLOOKUP(I2209,QCPER,MATCH(E2209,QCACTUAL!$J$25:$AA$25,0),),IF(H2209="SPK",VLOOKUP(I2209,QCSPK,3,),IF(AND(H2209="ATP",OR(I2209="TP",I2209="TDP")),VLOOKUP(E2209,QCATP_P,2,),""))))))))</f>
        <v/>
      </c>
      <c r="W2209" s="31" t="str">
        <f t="shared" si="253"/>
        <v>TRUE</v>
      </c>
      <c r="X2209" s="31" t="str">
        <f t="shared" si="248"/>
        <v/>
      </c>
      <c r="Y2209" s="10" t="s">
        <v>1144</v>
      </c>
      <c r="Z2209" s="10" t="s">
        <v>910</v>
      </c>
      <c r="AL2209" s="10" t="str">
        <f t="shared" si="250"/>
        <v>FALSE</v>
      </c>
      <c r="AM2209" s="10" t="str">
        <f t="shared" si="250"/>
        <v>FALSE</v>
      </c>
      <c r="AN2209" s="10" t="str">
        <f t="shared" si="250"/>
        <v>FALSE</v>
      </c>
      <c r="AO2209" s="10" t="str">
        <f t="shared" si="251"/>
        <v>FALSE</v>
      </c>
      <c r="AP2209" s="10" t="str">
        <f t="shared" si="251"/>
        <v>FALSE</v>
      </c>
      <c r="AQ2209" s="10" t="b">
        <f>IF(AND(I2209="TP",S2209&lt;=150),VLOOKUP(AF2209,TPCalibEq150!$AZ$2:$BB$55,3,),IF(AND(I2209="TDP",S2209&lt;=150),VLOOKUP(AF2209,TPCalibEq150!$AZ$2:$BB$55,3,)))</f>
        <v>0</v>
      </c>
      <c r="AR2209" s="10" t="b">
        <f>IF(AND(I2209="TP",S2209&lt;=300),VLOOKUP(AF2209,TPCalibEq300!$AZ$2:$BB$55,3,),IF(AND(I2209="TDP",S2209&lt;=300),VLOOKUP(AF2209,TPCalibEq300!$AZ$2:$BB$55,3,)))</f>
        <v>0</v>
      </c>
      <c r="AS2209" s="10" t="b">
        <f>IF(AND(I2209="TP",S2209&lt;=500),VLOOKUP(AF2209,TPCalibEq500!$AZ$2:$BB$56,3,),IF(AND(I2209="TDP",S2209&lt;=500),VLOOKUP(AF2209,TPCalibEq500!$AZ$2:$BB$56,3,)))</f>
        <v>0</v>
      </c>
      <c r="AT2209" s="10" t="b">
        <f>IF(AND(I2209="TN",S2209&lt;=2800),VLOOKUP(AF2209,TNCalibEq2500!$AZ$2:$BB$56,3,),IF(AND(I2209="TDN",S2209&lt;=2800),VLOOKUP(AF2209,TNCalibEq2500!$AZ$2:$BB$56,3,)))</f>
        <v>0</v>
      </c>
      <c r="AU2209" s="10" t="b">
        <f>IF(I2209="TP",VLOOKUP(AF2209,TPCalibEqFull!$AZ$2:$BB$56,3),IF(I2209="TDP",VLOOKUP(AF2209,TPCalibEqFull!$AZ$2:$BB$56,3),IF(I2209="TDN",VLOOKUP(AF2209,TNCalibEqFull!$AZ$1:$BB$56,3),IF(I2209="TN",VLOOKUP(AF2209,TNCalibEqFull!$AZ$1:$BB$56,3),FALSE))))</f>
        <v>0</v>
      </c>
      <c r="AV2209" s="10" t="str">
        <f t="shared" si="254"/>
        <v>0206 09:26:00-SHC-0-C-1-SW-UKN</v>
      </c>
    </row>
    <row r="2210" spans="1:48" s="10" customFormat="1" x14ac:dyDescent="0.55000000000000004">
      <c r="A2210" s="32">
        <v>44963</v>
      </c>
      <c r="B2210" s="33">
        <v>0.4055555555555555</v>
      </c>
      <c r="C2210" s="10" t="s">
        <v>355</v>
      </c>
      <c r="D2210" s="10">
        <v>0</v>
      </c>
      <c r="E2210" s="10" t="s">
        <v>190</v>
      </c>
      <c r="F2210" s="10">
        <v>1</v>
      </c>
      <c r="G2210" s="10" t="s">
        <v>231</v>
      </c>
      <c r="H2210" s="10" t="s">
        <v>322</v>
      </c>
      <c r="I2210" s="10" t="s">
        <v>285</v>
      </c>
      <c r="J2210" s="10">
        <v>16</v>
      </c>
      <c r="K2210" s="12">
        <v>44966</v>
      </c>
      <c r="L2210" s="33">
        <v>0.48759259259259258</v>
      </c>
      <c r="M2210" s="10">
        <v>1</v>
      </c>
      <c r="N2210" s="10" t="s">
        <v>211</v>
      </c>
      <c r="O2210" s="10">
        <v>8.48E-2</v>
      </c>
      <c r="P2210" s="10">
        <v>7.8100000000000001E-3</v>
      </c>
      <c r="Q2210" s="10">
        <v>14.2</v>
      </c>
      <c r="R2210" s="10" t="s">
        <v>913</v>
      </c>
      <c r="S2210" s="34">
        <f t="shared" si="249"/>
        <v>14.2</v>
      </c>
      <c r="T2210" s="10" t="s">
        <v>1166</v>
      </c>
      <c r="U2210" s="34" t="str">
        <f t="shared" si="252"/>
        <v/>
      </c>
      <c r="V2210" s="31" t="str">
        <f>IF(H2210="CHK",VLOOKUP(I2210,QCCHK,3,),IF(H2210="GUP",VLOOKUP(E2210,QCGUP,2,),IF(AND(H2210="ATP",OR(I2210="TN",I2210="TDN",I2210="TNO2-3",I2210="NO2-3")),VLOOKUP(E2210,QCREC_N,2,),IF(AND(H2210="NIC",OR(I2210="TN",I2210="TDN",I2210="TNO2-3",I2210="NO2-3")),VLOOKUP(E2210,QCNIC_N,2,),IF(AND(H2210="UREA",OR(I2210="TN",I2210="TDN",I2210="TNO2-3",I2210="NO2-3")),VLOOKUP(E2210,QCUREA_N,2,),IF(H2210="PER",VLOOKUP(I2210,QCPER,MATCH(E2210,QCACTUAL!$J$25:$AA$25,0),),IF(H2210="SPK",VLOOKUP(I2210,QCSPK,3,),IF(AND(H2210="ATP",OR(I2210="TP",I2210="TDP")),VLOOKUP(E2210,QCATP_P,2,),""))))))))</f>
        <v/>
      </c>
      <c r="W2210" s="31" t="str">
        <f t="shared" si="253"/>
        <v>TRUE</v>
      </c>
      <c r="X2210" s="31" t="str">
        <f t="shared" si="248"/>
        <v/>
      </c>
      <c r="Y2210" s="10" t="s">
        <v>1144</v>
      </c>
      <c r="Z2210" s="10" t="s">
        <v>910</v>
      </c>
      <c r="AL2210" s="10" t="str">
        <f t="shared" si="250"/>
        <v>FALSE</v>
      </c>
      <c r="AM2210" s="10" t="str">
        <f t="shared" si="250"/>
        <v>FALSE</v>
      </c>
      <c r="AN2210" s="10" t="str">
        <f t="shared" si="250"/>
        <v>FALSE</v>
      </c>
      <c r="AO2210" s="10" t="str">
        <f t="shared" si="251"/>
        <v>FALSE</v>
      </c>
      <c r="AP2210" s="10" t="str">
        <f t="shared" si="251"/>
        <v>FALSE</v>
      </c>
      <c r="AQ2210" s="10" t="b">
        <f>IF(AND(I2210="TP",S2210&lt;=150),VLOOKUP(AF2210,TPCalibEq150!$AZ$2:$BB$55,3,),IF(AND(I2210="TDP",S2210&lt;=150),VLOOKUP(AF2210,TPCalibEq150!$AZ$2:$BB$55,3,)))</f>
        <v>0</v>
      </c>
      <c r="AR2210" s="10" t="b">
        <f>IF(AND(I2210="TP",S2210&lt;=300),VLOOKUP(AF2210,TPCalibEq300!$AZ$2:$BB$55,3,),IF(AND(I2210="TDP",S2210&lt;=300),VLOOKUP(AF2210,TPCalibEq300!$AZ$2:$BB$55,3,)))</f>
        <v>0</v>
      </c>
      <c r="AS2210" s="10" t="b">
        <f>IF(AND(I2210="TP",S2210&lt;=500),VLOOKUP(AF2210,TPCalibEq500!$AZ$2:$BB$56,3,),IF(AND(I2210="TDP",S2210&lt;=500),VLOOKUP(AF2210,TPCalibEq500!$AZ$2:$BB$56,3,)))</f>
        <v>0</v>
      </c>
      <c r="AT2210" s="10" t="b">
        <f>IF(AND(I2210="TN",S2210&lt;=2800),VLOOKUP(AF2210,TNCalibEq2500!$AZ$2:$BB$56,3,),IF(AND(I2210="TDN",S2210&lt;=2800),VLOOKUP(AF2210,TNCalibEq2500!$AZ$2:$BB$56,3,)))</f>
        <v>0</v>
      </c>
      <c r="AU2210" s="10" t="b">
        <f>IF(I2210="TP",VLOOKUP(AF2210,TPCalibEqFull!$AZ$2:$BB$56,3),IF(I2210="TDP",VLOOKUP(AF2210,TPCalibEqFull!$AZ$2:$BB$56,3),IF(I2210="TDN",VLOOKUP(AF2210,TNCalibEqFull!$AZ$1:$BB$56,3),IF(I2210="TN",VLOOKUP(AF2210,TNCalibEqFull!$AZ$1:$BB$56,3),FALSE))))</f>
        <v>0</v>
      </c>
      <c r="AV2210" s="10" t="str">
        <f t="shared" si="254"/>
        <v>0206 09:44:00-SLT-0-C-1-SW-UKN</v>
      </c>
    </row>
    <row r="2211" spans="1:48" s="10" customFormat="1" x14ac:dyDescent="0.55000000000000004">
      <c r="A2211" s="32">
        <v>44963</v>
      </c>
      <c r="B2211" s="33">
        <v>0.4236111111111111</v>
      </c>
      <c r="C2211" s="10" t="s">
        <v>310</v>
      </c>
      <c r="D2211" s="10">
        <v>0</v>
      </c>
      <c r="E2211" s="10">
        <v>580</v>
      </c>
      <c r="F2211" s="10">
        <v>1</v>
      </c>
      <c r="G2211" s="10" t="s">
        <v>231</v>
      </c>
      <c r="H2211" s="10" t="s">
        <v>322</v>
      </c>
      <c r="I2211" s="10" t="s">
        <v>285</v>
      </c>
      <c r="J2211" s="10">
        <v>17</v>
      </c>
      <c r="K2211" s="12">
        <v>44966</v>
      </c>
      <c r="L2211" s="33">
        <v>0.48841435185185184</v>
      </c>
      <c r="M2211" s="10">
        <v>1</v>
      </c>
      <c r="N2211" s="10" t="s">
        <v>211</v>
      </c>
      <c r="O2211" s="10">
        <v>0.31</v>
      </c>
      <c r="P2211" s="10">
        <v>0.03</v>
      </c>
      <c r="Q2211" s="10">
        <v>53.1</v>
      </c>
      <c r="R2211" s="10" t="s">
        <v>913</v>
      </c>
      <c r="S2211" s="34">
        <f t="shared" si="249"/>
        <v>53.1</v>
      </c>
      <c r="T2211" s="10" t="s">
        <v>1166</v>
      </c>
      <c r="U2211" s="34" t="str">
        <f t="shared" si="252"/>
        <v/>
      </c>
      <c r="V2211" s="31" t="str">
        <f>IF(H2211="CHK",VLOOKUP(I2211,QCCHK,3,),IF(H2211="GUP",VLOOKUP(E2211,QCGUP,2,),IF(AND(H2211="ATP",OR(I2211="TN",I2211="TDN",I2211="TNO2-3",I2211="NO2-3")),VLOOKUP(E2211,QCREC_N,2,),IF(AND(H2211="NIC",OR(I2211="TN",I2211="TDN",I2211="TNO2-3",I2211="NO2-3")),VLOOKUP(E2211,QCNIC_N,2,),IF(AND(H2211="UREA",OR(I2211="TN",I2211="TDN",I2211="TNO2-3",I2211="NO2-3")),VLOOKUP(E2211,QCUREA_N,2,),IF(H2211="PER",VLOOKUP(I2211,QCPER,MATCH(E2211,QCACTUAL!$J$25:$AA$25,0),),IF(H2211="SPK",VLOOKUP(I2211,QCSPK,3,),IF(AND(H2211="ATP",OR(I2211="TP",I2211="TDP")),VLOOKUP(E2211,QCATP_P,2,),""))))))))</f>
        <v/>
      </c>
      <c r="W2211" s="31" t="str">
        <f t="shared" si="253"/>
        <v>TRUE</v>
      </c>
      <c r="X2211" s="31" t="str">
        <f t="shared" si="248"/>
        <v/>
      </c>
      <c r="Y2211" s="10" t="s">
        <v>1144</v>
      </c>
      <c r="Z2211" s="10" t="s">
        <v>910</v>
      </c>
      <c r="AL2211" s="10" t="str">
        <f t="shared" si="250"/>
        <v>FALSE</v>
      </c>
      <c r="AM2211" s="10" t="str">
        <f t="shared" si="250"/>
        <v>FALSE</v>
      </c>
      <c r="AN2211" s="10" t="str">
        <f t="shared" si="250"/>
        <v>FALSE</v>
      </c>
      <c r="AO2211" s="10" t="str">
        <f t="shared" si="251"/>
        <v>FALSE</v>
      </c>
      <c r="AP2211" s="10" t="str">
        <f t="shared" si="251"/>
        <v>FALSE</v>
      </c>
      <c r="AQ2211" s="10" t="b">
        <f>IF(AND(I2211="TP",S2211&lt;=150),VLOOKUP(AF2211,TPCalibEq150!$AZ$2:$BB$55,3,),IF(AND(I2211="TDP",S2211&lt;=150),VLOOKUP(AF2211,TPCalibEq150!$AZ$2:$BB$55,3,)))</f>
        <v>0</v>
      </c>
      <c r="AR2211" s="10" t="b">
        <f>IF(AND(I2211="TP",S2211&lt;=300),VLOOKUP(AF2211,TPCalibEq300!$AZ$2:$BB$55,3,),IF(AND(I2211="TDP",S2211&lt;=300),VLOOKUP(AF2211,TPCalibEq300!$AZ$2:$BB$55,3,)))</f>
        <v>0</v>
      </c>
      <c r="AS2211" s="10" t="b">
        <f>IF(AND(I2211="TP",S2211&lt;=500),VLOOKUP(AF2211,TPCalibEq500!$AZ$2:$BB$56,3,),IF(AND(I2211="TDP",S2211&lt;=500),VLOOKUP(AF2211,TPCalibEq500!$AZ$2:$BB$56,3,)))</f>
        <v>0</v>
      </c>
      <c r="AT2211" s="10" t="b">
        <f>IF(AND(I2211="TN",S2211&lt;=2800),VLOOKUP(AF2211,TNCalibEq2500!$AZ$2:$BB$56,3,),IF(AND(I2211="TDN",S2211&lt;=2800),VLOOKUP(AF2211,TNCalibEq2500!$AZ$2:$BB$56,3,)))</f>
        <v>0</v>
      </c>
      <c r="AU2211" s="10" t="b">
        <f>IF(I2211="TP",VLOOKUP(AF2211,TPCalibEqFull!$AZ$2:$BB$56,3),IF(I2211="TDP",VLOOKUP(AF2211,TPCalibEqFull!$AZ$2:$BB$56,3),IF(I2211="TDN",VLOOKUP(AF2211,TNCalibEqFull!$AZ$1:$BB$56,3),IF(I2211="TN",VLOOKUP(AF2211,TNCalibEqFull!$AZ$1:$BB$56,3),FALSE))))</f>
        <v>0</v>
      </c>
      <c r="AV2211" s="10" t="str">
        <f t="shared" si="254"/>
        <v>0206 10:10:00-ELI-0-580-1-SW-UKN</v>
      </c>
    </row>
    <row r="2212" spans="1:48" s="10" customFormat="1" x14ac:dyDescent="0.55000000000000004">
      <c r="A2212" s="32">
        <v>44963</v>
      </c>
      <c r="B2212" s="33">
        <v>0.44930555555555557</v>
      </c>
      <c r="C2212" s="10" t="s">
        <v>999</v>
      </c>
      <c r="D2212" s="10">
        <v>0</v>
      </c>
      <c r="E2212" s="10" t="s">
        <v>190</v>
      </c>
      <c r="F2212" s="10">
        <v>1</v>
      </c>
      <c r="G2212" s="10" t="s">
        <v>231</v>
      </c>
      <c r="H2212" s="10" t="s">
        <v>322</v>
      </c>
      <c r="I2212" s="10" t="s">
        <v>285</v>
      </c>
      <c r="J2212" s="10">
        <v>18</v>
      </c>
      <c r="K2212" s="12">
        <v>44966</v>
      </c>
      <c r="L2212" s="33">
        <v>0.48923611111111115</v>
      </c>
      <c r="M2212" s="10">
        <v>1</v>
      </c>
      <c r="N2212" s="10" t="s">
        <v>211</v>
      </c>
      <c r="O2212" s="10">
        <v>0.21299999999999999</v>
      </c>
      <c r="P2212" s="10">
        <v>2.07E-2</v>
      </c>
      <c r="Q2212" s="10">
        <v>36.4</v>
      </c>
      <c r="R2212" s="10" t="s">
        <v>913</v>
      </c>
      <c r="S2212" s="34">
        <f t="shared" si="249"/>
        <v>36.4</v>
      </c>
      <c r="T2212" s="10" t="s">
        <v>1166</v>
      </c>
      <c r="U2212" s="34" t="str">
        <f t="shared" si="252"/>
        <v/>
      </c>
      <c r="V2212" s="31" t="str">
        <f>IF(H2212="CHK",VLOOKUP(I2212,QCCHK,3,),IF(H2212="GUP",VLOOKUP(E2212,QCGUP,2,),IF(AND(H2212="ATP",OR(I2212="TN",I2212="TDN",I2212="TNO2-3",I2212="NO2-3")),VLOOKUP(E2212,QCREC_N,2,),IF(AND(H2212="NIC",OR(I2212="TN",I2212="TDN",I2212="TNO2-3",I2212="NO2-3")),VLOOKUP(E2212,QCNIC_N,2,),IF(AND(H2212="UREA",OR(I2212="TN",I2212="TDN",I2212="TNO2-3",I2212="NO2-3")),VLOOKUP(E2212,QCUREA_N,2,),IF(H2212="PER",VLOOKUP(I2212,QCPER,MATCH(E2212,QCACTUAL!$J$25:$AA$25,0),),IF(H2212="SPK",VLOOKUP(I2212,QCSPK,3,),IF(AND(H2212="ATP",OR(I2212="TP",I2212="TDP")),VLOOKUP(E2212,QCATP_P,2,),""))))))))</f>
        <v/>
      </c>
      <c r="W2212" s="31" t="str">
        <f t="shared" si="253"/>
        <v>TRUE</v>
      </c>
      <c r="X2212" s="31" t="str">
        <f t="shared" si="248"/>
        <v/>
      </c>
      <c r="Y2212" s="10" t="s">
        <v>1144</v>
      </c>
      <c r="Z2212" s="10" t="s">
        <v>910</v>
      </c>
      <c r="AL2212" s="10" t="str">
        <f t="shared" si="250"/>
        <v>FALSE</v>
      </c>
      <c r="AM2212" s="10" t="str">
        <f t="shared" si="250"/>
        <v>FALSE</v>
      </c>
      <c r="AN2212" s="10" t="str">
        <f t="shared" si="250"/>
        <v>FALSE</v>
      </c>
      <c r="AO2212" s="10" t="str">
        <f t="shared" si="251"/>
        <v>FALSE</v>
      </c>
      <c r="AP2212" s="10" t="str">
        <f t="shared" si="251"/>
        <v>FALSE</v>
      </c>
      <c r="AQ2212" s="10" t="b">
        <f>IF(AND(I2212="TP",S2212&lt;=150),VLOOKUP(AF2212,TPCalibEq150!$AZ$2:$BB$55,3,),IF(AND(I2212="TDP",S2212&lt;=150),VLOOKUP(AF2212,TPCalibEq150!$AZ$2:$BB$55,3,)))</f>
        <v>0</v>
      </c>
      <c r="AR2212" s="10" t="b">
        <f>IF(AND(I2212="TP",S2212&lt;=300),VLOOKUP(AF2212,TPCalibEq300!$AZ$2:$BB$55,3,),IF(AND(I2212="TDP",S2212&lt;=300),VLOOKUP(AF2212,TPCalibEq300!$AZ$2:$BB$55,3,)))</f>
        <v>0</v>
      </c>
      <c r="AS2212" s="10" t="b">
        <f>IF(AND(I2212="TP",S2212&lt;=500),VLOOKUP(AF2212,TPCalibEq500!$AZ$2:$BB$56,3,),IF(AND(I2212="TDP",S2212&lt;=500),VLOOKUP(AF2212,TPCalibEq500!$AZ$2:$BB$56,3,)))</f>
        <v>0</v>
      </c>
      <c r="AT2212" s="10" t="b">
        <f>IF(AND(I2212="TN",S2212&lt;=2800),VLOOKUP(AF2212,TNCalibEq2500!$AZ$2:$BB$56,3,),IF(AND(I2212="TDN",S2212&lt;=2800),VLOOKUP(AF2212,TNCalibEq2500!$AZ$2:$BB$56,3,)))</f>
        <v>0</v>
      </c>
      <c r="AU2212" s="10" t="b">
        <f>IF(I2212="TP",VLOOKUP(AF2212,TPCalibEqFull!$AZ$2:$BB$56,3),IF(I2212="TDP",VLOOKUP(AF2212,TPCalibEqFull!$AZ$2:$BB$56,3),IF(I2212="TDN",VLOOKUP(AF2212,TNCalibEqFull!$AZ$1:$BB$56,3),IF(I2212="TN",VLOOKUP(AF2212,TNCalibEqFull!$AZ$1:$BB$56,3),FALSE))))</f>
        <v>0</v>
      </c>
      <c r="AV2212" s="10" t="str">
        <f t="shared" si="254"/>
        <v>0206 10:47:00-EAW-0-C-1-SW-UKN</v>
      </c>
    </row>
    <row r="2213" spans="1:48" s="10" customFormat="1" x14ac:dyDescent="0.55000000000000004">
      <c r="A2213" s="32">
        <v>44963</v>
      </c>
      <c r="B2213" s="33">
        <v>0.4604166666666667</v>
      </c>
      <c r="C2213" s="10" t="s">
        <v>613</v>
      </c>
      <c r="D2213" s="10">
        <v>0</v>
      </c>
      <c r="E2213" s="10" t="s">
        <v>190</v>
      </c>
      <c r="F2213" s="10">
        <v>1</v>
      </c>
      <c r="G2213" s="10" t="s">
        <v>231</v>
      </c>
      <c r="H2213" s="10" t="s">
        <v>322</v>
      </c>
      <c r="I2213" s="10" t="s">
        <v>285</v>
      </c>
      <c r="J2213" s="10">
        <v>19</v>
      </c>
      <c r="K2213" s="12">
        <v>44966</v>
      </c>
      <c r="L2213" s="33">
        <v>0.49005787037037035</v>
      </c>
      <c r="M2213" s="10">
        <v>1</v>
      </c>
      <c r="N2213" s="10" t="s">
        <v>211</v>
      </c>
      <c r="O2213" s="10">
        <v>0.39900000000000002</v>
      </c>
      <c r="P2213" s="10">
        <v>3.8300000000000001E-2</v>
      </c>
      <c r="Q2213" s="10">
        <v>68.599999999999994</v>
      </c>
      <c r="R2213" s="10" t="s">
        <v>913</v>
      </c>
      <c r="S2213" s="34">
        <f t="shared" si="249"/>
        <v>68.599999999999994</v>
      </c>
      <c r="T2213" s="10" t="s">
        <v>1166</v>
      </c>
      <c r="U2213" s="34" t="str">
        <f t="shared" si="252"/>
        <v/>
      </c>
      <c r="V2213" s="31" t="str">
        <f>IF(H2213="CHK",VLOOKUP(I2213,QCCHK,3,),IF(H2213="GUP",VLOOKUP(E2213,QCGUP,2,),IF(AND(H2213="ATP",OR(I2213="TN",I2213="TDN",I2213="TNO2-3",I2213="NO2-3")),VLOOKUP(E2213,QCREC_N,2,),IF(AND(H2213="NIC",OR(I2213="TN",I2213="TDN",I2213="TNO2-3",I2213="NO2-3")),VLOOKUP(E2213,QCNIC_N,2,),IF(AND(H2213="UREA",OR(I2213="TN",I2213="TDN",I2213="TNO2-3",I2213="NO2-3")),VLOOKUP(E2213,QCUREA_N,2,),IF(H2213="PER",VLOOKUP(I2213,QCPER,MATCH(E2213,QCACTUAL!$J$25:$AA$25,0),),IF(H2213="SPK",VLOOKUP(I2213,QCSPK,3,),IF(AND(H2213="ATP",OR(I2213="TP",I2213="TDP")),VLOOKUP(E2213,QCATP_P,2,),""))))))))</f>
        <v/>
      </c>
      <c r="W2213" s="31" t="str">
        <f t="shared" si="253"/>
        <v>TRUE</v>
      </c>
      <c r="X2213" s="31" t="str">
        <f t="shared" si="248"/>
        <v/>
      </c>
      <c r="Y2213" s="10" t="s">
        <v>1144</v>
      </c>
      <c r="Z2213" s="10" t="s">
        <v>910</v>
      </c>
      <c r="AL2213" s="10" t="str">
        <f t="shared" si="250"/>
        <v>FALSE</v>
      </c>
      <c r="AM2213" s="10" t="str">
        <f t="shared" si="250"/>
        <v>FALSE</v>
      </c>
      <c r="AN2213" s="10" t="str">
        <f t="shared" si="250"/>
        <v>FALSE</v>
      </c>
      <c r="AO2213" s="10" t="str">
        <f t="shared" si="251"/>
        <v>FALSE</v>
      </c>
      <c r="AP2213" s="10" t="str">
        <f t="shared" si="251"/>
        <v>FALSE</v>
      </c>
      <c r="AQ2213" s="10" t="b">
        <f>IF(AND(I2213="TP",S2213&lt;=150),VLOOKUP(AF2213,TPCalibEq150!$AZ$2:$BB$55,3,),IF(AND(I2213="TDP",S2213&lt;=150),VLOOKUP(AF2213,TPCalibEq150!$AZ$2:$BB$55,3,)))</f>
        <v>0</v>
      </c>
      <c r="AR2213" s="10" t="b">
        <f>IF(AND(I2213="TP",S2213&lt;=300),VLOOKUP(AF2213,TPCalibEq300!$AZ$2:$BB$55,3,),IF(AND(I2213="TDP",S2213&lt;=300),VLOOKUP(AF2213,TPCalibEq300!$AZ$2:$BB$55,3,)))</f>
        <v>0</v>
      </c>
      <c r="AS2213" s="10" t="b">
        <f>IF(AND(I2213="TP",S2213&lt;=500),VLOOKUP(AF2213,TPCalibEq500!$AZ$2:$BB$56,3,),IF(AND(I2213="TDP",S2213&lt;=500),VLOOKUP(AF2213,TPCalibEq500!$AZ$2:$BB$56,3,)))</f>
        <v>0</v>
      </c>
      <c r="AT2213" s="10" t="b">
        <f>IF(AND(I2213="TN",S2213&lt;=2800),VLOOKUP(AF2213,TNCalibEq2500!$AZ$2:$BB$56,3,),IF(AND(I2213="TDN",S2213&lt;=2800),VLOOKUP(AF2213,TNCalibEq2500!$AZ$2:$BB$56,3,)))</f>
        <v>0</v>
      </c>
      <c r="AU2213" s="10" t="b">
        <f>IF(I2213="TP",VLOOKUP(AF2213,TPCalibEqFull!$AZ$2:$BB$56,3),IF(I2213="TDP",VLOOKUP(AF2213,TPCalibEqFull!$AZ$2:$BB$56,3),IF(I2213="TDN",VLOOKUP(AF2213,TNCalibEqFull!$AZ$1:$BB$56,3),IF(I2213="TN",VLOOKUP(AF2213,TNCalibEqFull!$AZ$1:$BB$56,3),FALSE))))</f>
        <v>0</v>
      </c>
      <c r="AV2213" s="10" t="str">
        <f t="shared" si="254"/>
        <v>0206 11:03:00-FVC-0-C-1-SW-UKN</v>
      </c>
    </row>
    <row r="2214" spans="1:48" s="10" customFormat="1" x14ac:dyDescent="0.55000000000000004">
      <c r="A2214" s="32">
        <v>44963</v>
      </c>
      <c r="B2214" s="33">
        <v>0.4604166666666667</v>
      </c>
      <c r="C2214" s="10" t="s">
        <v>613</v>
      </c>
      <c r="D2214" s="10">
        <v>0</v>
      </c>
      <c r="E2214" s="10" t="s">
        <v>190</v>
      </c>
      <c r="F2214" s="10">
        <v>2</v>
      </c>
      <c r="G2214" s="10" t="s">
        <v>231</v>
      </c>
      <c r="H2214" s="10" t="s">
        <v>322</v>
      </c>
      <c r="I2214" s="10" t="s">
        <v>285</v>
      </c>
      <c r="J2214" s="10">
        <v>20</v>
      </c>
      <c r="K2214" s="12">
        <v>44966</v>
      </c>
      <c r="L2214" s="33">
        <v>0.49087962962962961</v>
      </c>
      <c r="M2214" s="10">
        <v>1</v>
      </c>
      <c r="N2214" s="10" t="s">
        <v>211</v>
      </c>
      <c r="O2214" s="10">
        <v>0.41099999999999998</v>
      </c>
      <c r="P2214" s="10">
        <v>3.9899999999999998E-2</v>
      </c>
      <c r="Q2214" s="10">
        <v>70.599999999999994</v>
      </c>
      <c r="R2214" s="10" t="s">
        <v>913</v>
      </c>
      <c r="S2214" s="34">
        <f t="shared" si="249"/>
        <v>70.599999999999994</v>
      </c>
      <c r="T2214" s="10" t="s">
        <v>1166</v>
      </c>
      <c r="U2214" s="34" t="str">
        <f t="shared" si="252"/>
        <v/>
      </c>
      <c r="V2214" s="31" t="str">
        <f>IF(H2214="CHK",VLOOKUP(I2214,QCCHK,3,),IF(H2214="GUP",VLOOKUP(E2214,QCGUP,2,),IF(AND(H2214="ATP",OR(I2214="TN",I2214="TDN",I2214="TNO2-3",I2214="NO2-3")),VLOOKUP(E2214,QCREC_N,2,),IF(AND(H2214="NIC",OR(I2214="TN",I2214="TDN",I2214="TNO2-3",I2214="NO2-3")),VLOOKUP(E2214,QCNIC_N,2,),IF(AND(H2214="UREA",OR(I2214="TN",I2214="TDN",I2214="TNO2-3",I2214="NO2-3")),VLOOKUP(E2214,QCUREA_N,2,),IF(H2214="PER",VLOOKUP(I2214,QCPER,MATCH(E2214,QCACTUAL!$J$25:$AA$25,0),),IF(H2214="SPK",VLOOKUP(I2214,QCSPK,3,),IF(AND(H2214="ATP",OR(I2214="TP",I2214="TDP")),VLOOKUP(E2214,QCATP_P,2,),""))))))))</f>
        <v/>
      </c>
      <c r="W2214" s="31" t="str">
        <f t="shared" si="253"/>
        <v>TRUE</v>
      </c>
      <c r="X2214" s="31" t="str">
        <f t="shared" si="248"/>
        <v/>
      </c>
      <c r="Y2214" s="10" t="s">
        <v>1144</v>
      </c>
      <c r="Z2214" s="10" t="s">
        <v>910</v>
      </c>
      <c r="AL2214" s="10" t="str">
        <f t="shared" si="250"/>
        <v>FALSE</v>
      </c>
      <c r="AM2214" s="10" t="str">
        <f t="shared" si="250"/>
        <v>FALSE</v>
      </c>
      <c r="AN2214" s="10" t="str">
        <f t="shared" si="250"/>
        <v>FALSE</v>
      </c>
      <c r="AO2214" s="10" t="str">
        <f t="shared" si="251"/>
        <v>FALSE</v>
      </c>
      <c r="AP2214" s="10" t="str">
        <f t="shared" si="251"/>
        <v>FALSE</v>
      </c>
      <c r="AQ2214" s="10" t="b">
        <f>IF(AND(I2214="TP",S2214&lt;=150),VLOOKUP(AF2214,TPCalibEq150!$AZ$2:$BB$55,3,),IF(AND(I2214="TDP",S2214&lt;=150),VLOOKUP(AF2214,TPCalibEq150!$AZ$2:$BB$55,3,)))</f>
        <v>0</v>
      </c>
      <c r="AR2214" s="10" t="b">
        <f>IF(AND(I2214="TP",S2214&lt;=300),VLOOKUP(AF2214,TPCalibEq300!$AZ$2:$BB$55,3,),IF(AND(I2214="TDP",S2214&lt;=300),VLOOKUP(AF2214,TPCalibEq300!$AZ$2:$BB$55,3,)))</f>
        <v>0</v>
      </c>
      <c r="AS2214" s="10" t="b">
        <f>IF(AND(I2214="TP",S2214&lt;=500),VLOOKUP(AF2214,TPCalibEq500!$AZ$2:$BB$56,3,),IF(AND(I2214="TDP",S2214&lt;=500),VLOOKUP(AF2214,TPCalibEq500!$AZ$2:$BB$56,3,)))</f>
        <v>0</v>
      </c>
      <c r="AT2214" s="10" t="b">
        <f>IF(AND(I2214="TN",S2214&lt;=2800),VLOOKUP(AF2214,TNCalibEq2500!$AZ$2:$BB$56,3,),IF(AND(I2214="TDN",S2214&lt;=2800),VLOOKUP(AF2214,TNCalibEq2500!$AZ$2:$BB$56,3,)))</f>
        <v>0</v>
      </c>
      <c r="AU2214" s="10" t="b">
        <f>IF(I2214="TP",VLOOKUP(AF2214,TPCalibEqFull!$AZ$2:$BB$56,3),IF(I2214="TDP",VLOOKUP(AF2214,TPCalibEqFull!$AZ$2:$BB$56,3),IF(I2214="TDN",VLOOKUP(AF2214,TNCalibEqFull!$AZ$1:$BB$56,3),IF(I2214="TN",VLOOKUP(AF2214,TNCalibEqFull!$AZ$1:$BB$56,3),FALSE))))</f>
        <v>0</v>
      </c>
      <c r="AV2214" s="10" t="str">
        <f t="shared" si="254"/>
        <v>0206 11:03:00-FVC-0-C-2-SW-UKN</v>
      </c>
    </row>
    <row r="2215" spans="1:48" s="10" customFormat="1" x14ac:dyDescent="0.55000000000000004">
      <c r="A2215" s="32">
        <v>44963</v>
      </c>
      <c r="B2215" s="33">
        <v>0.4604166666666667</v>
      </c>
      <c r="C2215" s="10" t="s">
        <v>613</v>
      </c>
      <c r="D2215" s="10">
        <v>0</v>
      </c>
      <c r="E2215" s="10" t="s">
        <v>190</v>
      </c>
      <c r="F2215" s="10">
        <v>2</v>
      </c>
      <c r="G2215" s="10" t="s">
        <v>231</v>
      </c>
      <c r="H2215" s="10" t="s">
        <v>233</v>
      </c>
      <c r="I2215" s="10" t="s">
        <v>285</v>
      </c>
      <c r="J2215" s="10">
        <v>20</v>
      </c>
      <c r="K2215" s="12">
        <v>44966</v>
      </c>
      <c r="L2215" s="33">
        <v>0.49168981481481483</v>
      </c>
      <c r="M2215" s="10">
        <v>1</v>
      </c>
      <c r="N2215" s="10" t="s">
        <v>211</v>
      </c>
      <c r="O2215" s="10">
        <v>0.20699999999999999</v>
      </c>
      <c r="P2215" s="10">
        <v>1.9699999999999999E-2</v>
      </c>
      <c r="Q2215" s="10">
        <v>35.299999999999997</v>
      </c>
      <c r="R2215" s="10" t="s">
        <v>913</v>
      </c>
      <c r="S2215" s="34">
        <f t="shared" si="249"/>
        <v>35.299999999999997</v>
      </c>
      <c r="T2215" s="10" t="s">
        <v>1166</v>
      </c>
      <c r="U2215" s="34">
        <f t="shared" si="252"/>
        <v>66.666666666666657</v>
      </c>
      <c r="V2215" s="31" t="str">
        <f>IF(H2215="CHK",VLOOKUP(I2215,QCCHK,3,),IF(H2215="GUP",VLOOKUP(E2215,QCGUP,2,),IF(AND(H2215="ATP",OR(I2215="TN",I2215="TDN",I2215="TNO2-3",I2215="NO2-3")),VLOOKUP(E2215,QCREC_N,2,),IF(AND(H2215="NIC",OR(I2215="TN",I2215="TDN",I2215="TNO2-3",I2215="NO2-3")),VLOOKUP(E2215,QCNIC_N,2,),IF(AND(H2215="UREA",OR(I2215="TN",I2215="TDN",I2215="TNO2-3",I2215="NO2-3")),VLOOKUP(E2215,QCUREA_N,2,),IF(H2215="PER",VLOOKUP(I2215,QCPER,MATCH(E2215,QCACTUAL!$J$25:$AA$25,0),),IF(H2215="SPK",VLOOKUP(I2215,QCSPK,3,),IF(AND(H2215="ATP",OR(I2215="TP",I2215="TDP")),VLOOKUP(E2215,QCATP_P,2,),""))))))))</f>
        <v/>
      </c>
      <c r="W2215" s="31" t="str">
        <f t="shared" si="253"/>
        <v>FALSE</v>
      </c>
      <c r="X2215" s="31" t="str">
        <f t="shared" si="248"/>
        <v>((ABS(rep1-rep2))/((rep1+rep2)/2)*100</v>
      </c>
      <c r="Y2215" s="10" t="s">
        <v>1144</v>
      </c>
      <c r="Z2215" s="10" t="s">
        <v>910</v>
      </c>
      <c r="AL2215" s="10" t="str">
        <f t="shared" si="250"/>
        <v>FALSE</v>
      </c>
      <c r="AM2215" s="10" t="str">
        <f t="shared" si="250"/>
        <v>FALSE</v>
      </c>
      <c r="AN2215" s="10" t="str">
        <f t="shared" si="250"/>
        <v>FALSE</v>
      </c>
      <c r="AO2215" s="10" t="str">
        <f t="shared" si="251"/>
        <v>FALSE</v>
      </c>
      <c r="AP2215" s="10" t="str">
        <f t="shared" si="251"/>
        <v>FALSE</v>
      </c>
      <c r="AQ2215" s="10" t="b">
        <f>IF(AND(I2215="TP",S2215&lt;=150),VLOOKUP(AF2215,TPCalibEq150!$AZ$2:$BB$55,3,),IF(AND(I2215="TDP",S2215&lt;=150),VLOOKUP(AF2215,TPCalibEq150!$AZ$2:$BB$55,3,)))</f>
        <v>0</v>
      </c>
      <c r="AR2215" s="10" t="b">
        <f>IF(AND(I2215="TP",S2215&lt;=300),VLOOKUP(AF2215,TPCalibEq300!$AZ$2:$BB$55,3,),IF(AND(I2215="TDP",S2215&lt;=300),VLOOKUP(AF2215,TPCalibEq300!$AZ$2:$BB$55,3,)))</f>
        <v>0</v>
      </c>
      <c r="AS2215" s="10" t="b">
        <f>IF(AND(I2215="TP",S2215&lt;=500),VLOOKUP(AF2215,TPCalibEq500!$AZ$2:$BB$56,3,),IF(AND(I2215="TDP",S2215&lt;=500),VLOOKUP(AF2215,TPCalibEq500!$AZ$2:$BB$56,3,)))</f>
        <v>0</v>
      </c>
      <c r="AT2215" s="10" t="b">
        <f>IF(AND(I2215="TN",S2215&lt;=2800),VLOOKUP(AF2215,TNCalibEq2500!$AZ$2:$BB$56,3,),IF(AND(I2215="TDN",S2215&lt;=2800),VLOOKUP(AF2215,TNCalibEq2500!$AZ$2:$BB$56,3,)))</f>
        <v>0</v>
      </c>
      <c r="AU2215" s="10" t="b">
        <f>IF(I2215="TP",VLOOKUP(AF2215,TPCalibEqFull!$AZ$2:$BB$56,3),IF(I2215="TDP",VLOOKUP(AF2215,TPCalibEqFull!$AZ$2:$BB$56,3),IF(I2215="TDN",VLOOKUP(AF2215,TNCalibEqFull!$AZ$1:$BB$56,3),IF(I2215="TN",VLOOKUP(AF2215,TNCalibEqFull!$AZ$1:$BB$56,3),FALSE))))</f>
        <v>0</v>
      </c>
      <c r="AV2215" s="10" t="str">
        <f t="shared" si="254"/>
        <v>0206 11:03:00-FVC-0-C-2-SW-DUP</v>
      </c>
    </row>
    <row r="2216" spans="1:48" s="10" customFormat="1" x14ac:dyDescent="0.55000000000000004">
      <c r="A2216" s="32">
        <v>44963</v>
      </c>
      <c r="B2216" s="33">
        <v>0.4604166666666667</v>
      </c>
      <c r="C2216" s="10" t="s">
        <v>613</v>
      </c>
      <c r="D2216" s="10">
        <v>0</v>
      </c>
      <c r="E2216" s="10" t="s">
        <v>190</v>
      </c>
      <c r="F2216" s="10">
        <v>2</v>
      </c>
      <c r="G2216" s="10" t="s">
        <v>231</v>
      </c>
      <c r="H2216" s="10" t="s">
        <v>314</v>
      </c>
      <c r="I2216" s="10" t="s">
        <v>285</v>
      </c>
      <c r="J2216" s="10">
        <v>120</v>
      </c>
      <c r="K2216" s="12">
        <v>44966</v>
      </c>
      <c r="L2216" s="33">
        <v>0.49251157407407403</v>
      </c>
      <c r="M2216" s="10">
        <v>1</v>
      </c>
      <c r="N2216" s="10" t="s">
        <v>211</v>
      </c>
      <c r="O2216" s="10">
        <v>1.1599999999999999</v>
      </c>
      <c r="P2216" s="10">
        <v>0.114</v>
      </c>
      <c r="Q2216" s="10">
        <v>201</v>
      </c>
      <c r="R2216" s="10" t="s">
        <v>913</v>
      </c>
      <c r="S2216" s="34">
        <f t="shared" si="249"/>
        <v>201</v>
      </c>
      <c r="T2216" s="10" t="s">
        <v>1166</v>
      </c>
      <c r="U2216" s="34">
        <f t="shared" si="252"/>
        <v>106.04799999999999</v>
      </c>
      <c r="V2216" s="31">
        <f>IF(H2216="CHK",VLOOKUP(I2216,QCCHK,3,),IF(H2216="GUP",VLOOKUP(E2216,QCGUP,2,),IF(AND(H2216="ATP",OR(I2216="TN",I2216="TDN",I2216="TNO2-3",I2216="NO2-3")),VLOOKUP(E2216,QCREC_N,2,),IF(AND(H2216="NIC",OR(I2216="TN",I2216="TDN",I2216="TNO2-3",I2216="NO2-3")),VLOOKUP(E2216,QCNIC_N,2,),IF(AND(H2216="UREA",OR(I2216="TN",I2216="TDN",I2216="TNO2-3",I2216="NO2-3")),VLOOKUP(E2216,QCUREA_N,2,),IF(H2216="PER",VLOOKUP(I2216,QCPER,MATCH(E2216,QCACTUAL!$J$25:$AA$25,0),),IF(H2216="SPK",VLOOKUP(I2216,QCSPK,3,),IF(AND(H2216="ATP",OR(I2216="TP",I2216="TDP")),VLOOKUP(E2216,QCATP_P,2,),""))))))))</f>
        <v>156.25</v>
      </c>
      <c r="W2216" s="31" t="str">
        <f t="shared" si="253"/>
        <v>TRUE</v>
      </c>
      <c r="X2216" s="31" t="str">
        <f t="shared" si="248"/>
        <v>([spikedunkn]-[unkn])/[spike]*100</v>
      </c>
      <c r="Y2216" s="10" t="s">
        <v>1144</v>
      </c>
      <c r="Z2216" s="10" t="s">
        <v>910</v>
      </c>
      <c r="AL2216" s="10" t="str">
        <f t="shared" si="250"/>
        <v>FALSE</v>
      </c>
      <c r="AM2216" s="10" t="str">
        <f t="shared" si="250"/>
        <v>FALSE</v>
      </c>
      <c r="AN2216" s="10" t="str">
        <f t="shared" si="250"/>
        <v>FALSE</v>
      </c>
      <c r="AO2216" s="10" t="str">
        <f t="shared" si="251"/>
        <v>FALSE</v>
      </c>
      <c r="AP2216" s="10" t="str">
        <f t="shared" si="251"/>
        <v>FALSE</v>
      </c>
      <c r="AQ2216" s="10" t="b">
        <f>IF(AND(I2216="TP",S2216&lt;=150),VLOOKUP(AF2216,TPCalibEq150!$AZ$2:$BB$55,3,),IF(AND(I2216="TDP",S2216&lt;=150),VLOOKUP(AF2216,TPCalibEq150!$AZ$2:$BB$55,3,)))</f>
        <v>0</v>
      </c>
      <c r="AR2216" s="10" t="b">
        <f>IF(AND(I2216="TP",S2216&lt;=300),VLOOKUP(AF2216,TPCalibEq300!$AZ$2:$BB$55,3,),IF(AND(I2216="TDP",S2216&lt;=300),VLOOKUP(AF2216,TPCalibEq300!$AZ$2:$BB$55,3,)))</f>
        <v>0</v>
      </c>
      <c r="AS2216" s="10" t="b">
        <f>IF(AND(I2216="TP",S2216&lt;=500),VLOOKUP(AF2216,TPCalibEq500!$AZ$2:$BB$56,3,),IF(AND(I2216="TDP",S2216&lt;=500),VLOOKUP(AF2216,TPCalibEq500!$AZ$2:$BB$56,3,)))</f>
        <v>0</v>
      </c>
      <c r="AT2216" s="10" t="b">
        <f>IF(AND(I2216="TN",S2216&lt;=2800),VLOOKUP(AF2216,TNCalibEq2500!$AZ$2:$BB$56,3,),IF(AND(I2216="TDN",S2216&lt;=2800),VLOOKUP(AF2216,TNCalibEq2500!$AZ$2:$BB$56,3,)))</f>
        <v>0</v>
      </c>
      <c r="AU2216" s="10" t="b">
        <f>IF(I2216="TP",VLOOKUP(AF2216,TPCalibEqFull!$AZ$2:$BB$56,3),IF(I2216="TDP",VLOOKUP(AF2216,TPCalibEqFull!$AZ$2:$BB$56,3),IF(I2216="TDN",VLOOKUP(AF2216,TNCalibEqFull!$AZ$1:$BB$56,3),IF(I2216="TN",VLOOKUP(AF2216,TNCalibEqFull!$AZ$1:$BB$56,3),FALSE))))</f>
        <v>0</v>
      </c>
      <c r="AV2216" s="10" t="str">
        <f t="shared" si="254"/>
        <v>0206 11:03:00-FVC-0-C-2-SW-SPK</v>
      </c>
    </row>
    <row r="2217" spans="1:48" s="10" customFormat="1" x14ac:dyDescent="0.55000000000000004">
      <c r="A2217" s="32">
        <v>44966</v>
      </c>
      <c r="B2217" s="33">
        <v>0.375</v>
      </c>
      <c r="C2217" s="10" t="s">
        <v>70</v>
      </c>
      <c r="D2217" s="10" t="s">
        <v>71</v>
      </c>
      <c r="E2217" s="10" t="s">
        <v>901</v>
      </c>
      <c r="F2217" s="10">
        <v>1</v>
      </c>
      <c r="G2217" s="10" t="s">
        <v>73</v>
      </c>
      <c r="H2217" s="10" t="s">
        <v>207</v>
      </c>
      <c r="I2217" s="10" t="s">
        <v>285</v>
      </c>
      <c r="J2217" s="10">
        <v>200</v>
      </c>
      <c r="K2217" s="12">
        <v>44966</v>
      </c>
      <c r="L2217" s="33">
        <v>0.49333333333333335</v>
      </c>
      <c r="M2217" s="10">
        <v>1</v>
      </c>
      <c r="N2217" s="10" t="s">
        <v>211</v>
      </c>
      <c r="O2217" s="10">
        <v>0.438</v>
      </c>
      <c r="P2217" s="10">
        <v>4.2200000000000001E-2</v>
      </c>
      <c r="Q2217" s="10">
        <v>75.3</v>
      </c>
      <c r="R2217" s="10" t="s">
        <v>913</v>
      </c>
      <c r="S2217" s="34">
        <f t="shared" si="249"/>
        <v>75.3</v>
      </c>
      <c r="T2217" s="10" t="s">
        <v>1166</v>
      </c>
      <c r="U2217" s="34">
        <f t="shared" si="252"/>
        <v>100.4</v>
      </c>
      <c r="V2217" s="31">
        <f>IF(H2217="CHK",VLOOKUP(I2217,QCCHK,3,),IF(H2217="GUP",VLOOKUP(E2217,QCGUP,2,),IF(AND(H2217="ATP",OR(I2217="TN",I2217="TDN",I2217="TNO2-3",I2217="NO2-3")),VLOOKUP(E2217,QCREC_N,2,),IF(AND(H2217="NIC",OR(I2217="TN",I2217="TDN",I2217="TNO2-3",I2217="NO2-3")),VLOOKUP(E2217,QCNIC_N,2,),IF(AND(H2217="UREA",OR(I2217="TN",I2217="TDN",I2217="TNO2-3",I2217="NO2-3")),VLOOKUP(E2217,QCUREA_N,2,),IF(H2217="PER",VLOOKUP(I2217,QCPER,MATCH(E2217,QCACTUAL!$J$25:$AA$25,0),),IF(H2217="SPK",VLOOKUP(I2217,QCSPK,3,),IF(AND(H2217="ATP",OR(I2217="TP",I2217="TDP")),VLOOKUP(E2217,QCATP_P,2,),""))))))))</f>
        <v>75</v>
      </c>
      <c r="W2217" s="31" t="str">
        <f t="shared" si="253"/>
        <v>TRUE</v>
      </c>
      <c r="X2217" s="31" t="str">
        <f t="shared" si="248"/>
        <v>[chk]/[actual]*100</v>
      </c>
      <c r="Y2217" s="10" t="s">
        <v>1144</v>
      </c>
      <c r="AL2217" s="10" t="str">
        <f t="shared" si="250"/>
        <v>FALSE</v>
      </c>
      <c r="AM2217" s="10" t="str">
        <f t="shared" si="250"/>
        <v>FALSE</v>
      </c>
      <c r="AN2217" s="10" t="str">
        <f t="shared" si="250"/>
        <v>FALSE</v>
      </c>
      <c r="AO2217" s="10" t="str">
        <f t="shared" si="251"/>
        <v>FALSE</v>
      </c>
      <c r="AP2217" s="10" t="str">
        <f t="shared" si="251"/>
        <v>FALSE</v>
      </c>
      <c r="AQ2217" s="10" t="b">
        <f>IF(AND(I2217="TP",S2217&lt;=150),VLOOKUP(AF2217,TPCalibEq150!$AZ$2:$BB$55,3,),IF(AND(I2217="TDP",S2217&lt;=150),VLOOKUP(AF2217,TPCalibEq150!$AZ$2:$BB$55,3,)))</f>
        <v>0</v>
      </c>
      <c r="AR2217" s="10" t="b">
        <f>IF(AND(I2217="TP",S2217&lt;=300),VLOOKUP(AF2217,TPCalibEq300!$AZ$2:$BB$55,3,),IF(AND(I2217="TDP",S2217&lt;=300),VLOOKUP(AF2217,TPCalibEq300!$AZ$2:$BB$55,3,)))</f>
        <v>0</v>
      </c>
      <c r="AS2217" s="10" t="b">
        <f>IF(AND(I2217="TP",S2217&lt;=500),VLOOKUP(AF2217,TPCalibEq500!$AZ$2:$BB$56,3,),IF(AND(I2217="TDP",S2217&lt;=500),VLOOKUP(AF2217,TPCalibEq500!$AZ$2:$BB$56,3,)))</f>
        <v>0</v>
      </c>
      <c r="AT2217" s="10" t="b">
        <f>IF(AND(I2217="TN",S2217&lt;=2800),VLOOKUP(AF2217,TNCalibEq2500!$AZ$2:$BB$56,3,),IF(AND(I2217="TDN",S2217&lt;=2800),VLOOKUP(AF2217,TNCalibEq2500!$AZ$2:$BB$56,3,)))</f>
        <v>0</v>
      </c>
      <c r="AU2217" s="10" t="b">
        <f>IF(I2217="TP",VLOOKUP(AF2217,TPCalibEqFull!$AZ$2:$BB$56,3),IF(I2217="TDP",VLOOKUP(AF2217,TPCalibEqFull!$AZ$2:$BB$56,3),IF(I2217="TDN",VLOOKUP(AF2217,TNCalibEqFull!$AZ$1:$BB$56,3),IF(I2217="TN",VLOOKUP(AF2217,TNCalibEqFull!$AZ$1:$BB$56,3),FALSE))))</f>
        <v>0</v>
      </c>
      <c r="AV2217" s="10" t="str">
        <f t="shared" si="254"/>
        <v>0209 09:00:00-QAC-STD-D-1-DI-CHK</v>
      </c>
    </row>
    <row r="2218" spans="1:48" s="10" customFormat="1" x14ac:dyDescent="0.55000000000000004">
      <c r="A2218" s="32">
        <v>44963</v>
      </c>
      <c r="B2218" s="33">
        <v>0.46875</v>
      </c>
      <c r="C2218" s="10" t="s">
        <v>250</v>
      </c>
      <c r="D2218" s="10">
        <v>0</v>
      </c>
      <c r="E2218" s="10" t="s">
        <v>190</v>
      </c>
      <c r="F2218" s="10">
        <v>1</v>
      </c>
      <c r="G2218" s="10" t="s">
        <v>231</v>
      </c>
      <c r="H2218" s="10" t="s">
        <v>322</v>
      </c>
      <c r="I2218" s="10" t="s">
        <v>285</v>
      </c>
      <c r="J2218" s="10">
        <v>21</v>
      </c>
      <c r="K2218" s="12">
        <v>44966</v>
      </c>
      <c r="L2218" s="33">
        <v>0.4941550925925926</v>
      </c>
      <c r="M2218" s="10">
        <v>1</v>
      </c>
      <c r="N2218" s="10" t="s">
        <v>211</v>
      </c>
      <c r="O2218" s="10">
        <v>0.247</v>
      </c>
      <c r="P2218" s="10">
        <v>2.35E-2</v>
      </c>
      <c r="Q2218" s="10">
        <v>42.3</v>
      </c>
      <c r="R2218" s="10" t="s">
        <v>913</v>
      </c>
      <c r="S2218" s="34">
        <f t="shared" si="249"/>
        <v>42.3</v>
      </c>
      <c r="T2218" s="10" t="s">
        <v>1166</v>
      </c>
      <c r="U2218" s="34" t="str">
        <f t="shared" si="252"/>
        <v/>
      </c>
      <c r="V2218" s="31" t="str">
        <f>IF(H2218="CHK",VLOOKUP(I2218,QCCHK,3,),IF(H2218="GUP",VLOOKUP(E2218,QCGUP,2,),IF(AND(H2218="ATP",OR(I2218="TN",I2218="TDN",I2218="TNO2-3",I2218="NO2-3")),VLOOKUP(E2218,QCREC_N,2,),IF(AND(H2218="NIC",OR(I2218="TN",I2218="TDN",I2218="TNO2-3",I2218="NO2-3")),VLOOKUP(E2218,QCNIC_N,2,),IF(AND(H2218="UREA",OR(I2218="TN",I2218="TDN",I2218="TNO2-3",I2218="NO2-3")),VLOOKUP(E2218,QCUREA_N,2,),IF(H2218="PER",VLOOKUP(I2218,QCPER,MATCH(E2218,QCACTUAL!$J$25:$AA$25,0),),IF(H2218="SPK",VLOOKUP(I2218,QCSPK,3,),IF(AND(H2218="ATP",OR(I2218="TP",I2218="TDP")),VLOOKUP(E2218,QCATP_P,2,),""))))))))</f>
        <v/>
      </c>
      <c r="W2218" s="31" t="str">
        <f t="shared" si="253"/>
        <v>TRUE</v>
      </c>
      <c r="X2218" s="31" t="str">
        <f t="shared" si="248"/>
        <v/>
      </c>
      <c r="Y2218" s="10" t="s">
        <v>1144</v>
      </c>
      <c r="Z2218" s="10" t="s">
        <v>910</v>
      </c>
      <c r="AL2218" s="10" t="str">
        <f t="shared" si="250"/>
        <v>FALSE</v>
      </c>
      <c r="AM2218" s="10" t="str">
        <f t="shared" si="250"/>
        <v>FALSE</v>
      </c>
      <c r="AN2218" s="10" t="str">
        <f t="shared" si="250"/>
        <v>FALSE</v>
      </c>
      <c r="AO2218" s="10" t="str">
        <f t="shared" si="251"/>
        <v>FALSE</v>
      </c>
      <c r="AP2218" s="10" t="str">
        <f t="shared" si="251"/>
        <v>FALSE</v>
      </c>
      <c r="AQ2218" s="10" t="b">
        <f>IF(AND(I2218="TP",S2218&lt;=150),VLOOKUP(AF2218,TPCalibEq150!$AZ$2:$BB$55,3,),IF(AND(I2218="TDP",S2218&lt;=150),VLOOKUP(AF2218,TPCalibEq150!$AZ$2:$BB$55,3,)))</f>
        <v>0</v>
      </c>
      <c r="AR2218" s="10" t="b">
        <f>IF(AND(I2218="TP",S2218&lt;=300),VLOOKUP(AF2218,TPCalibEq300!$AZ$2:$BB$55,3,),IF(AND(I2218="TDP",S2218&lt;=300),VLOOKUP(AF2218,TPCalibEq300!$AZ$2:$BB$55,3,)))</f>
        <v>0</v>
      </c>
      <c r="AS2218" s="10" t="b">
        <f>IF(AND(I2218="TP",S2218&lt;=500),VLOOKUP(AF2218,TPCalibEq500!$AZ$2:$BB$56,3,),IF(AND(I2218="TDP",S2218&lt;=500),VLOOKUP(AF2218,TPCalibEq500!$AZ$2:$BB$56,3,)))</f>
        <v>0</v>
      </c>
      <c r="AT2218" s="10" t="b">
        <f>IF(AND(I2218="TN",S2218&lt;=2800),VLOOKUP(AF2218,TNCalibEq2500!$AZ$2:$BB$56,3,),IF(AND(I2218="TDN",S2218&lt;=2800),VLOOKUP(AF2218,TNCalibEq2500!$AZ$2:$BB$56,3,)))</f>
        <v>0</v>
      </c>
      <c r="AU2218" s="10" t="b">
        <f>IF(I2218="TP",VLOOKUP(AF2218,TPCalibEqFull!$AZ$2:$BB$56,3),IF(I2218="TDP",VLOOKUP(AF2218,TPCalibEqFull!$AZ$2:$BB$56,3),IF(I2218="TDN",VLOOKUP(AF2218,TNCalibEqFull!$AZ$1:$BB$56,3),IF(I2218="TN",VLOOKUP(AF2218,TNCalibEqFull!$AZ$1:$BB$56,3),FALSE))))</f>
        <v>0</v>
      </c>
      <c r="AV2218" s="10" t="str">
        <f t="shared" si="254"/>
        <v>0206 11:15:00-EFB-0-C-1-SW-UKN</v>
      </c>
    </row>
    <row r="2219" spans="1:48" s="10" customFormat="1" x14ac:dyDescent="0.55000000000000004">
      <c r="A2219" s="32">
        <v>44963</v>
      </c>
      <c r="B2219" s="33">
        <v>0.47916666666666669</v>
      </c>
      <c r="C2219" s="10" t="s">
        <v>326</v>
      </c>
      <c r="D2219" s="10">
        <v>0</v>
      </c>
      <c r="E2219" s="10" t="s">
        <v>190</v>
      </c>
      <c r="F2219" s="10">
        <v>1</v>
      </c>
      <c r="G2219" s="10" t="s">
        <v>231</v>
      </c>
      <c r="H2219" s="10" t="s">
        <v>322</v>
      </c>
      <c r="I2219" s="10" t="s">
        <v>285</v>
      </c>
      <c r="J2219" s="10">
        <v>22</v>
      </c>
      <c r="K2219" s="12">
        <v>44966</v>
      </c>
      <c r="L2219" s="33">
        <v>0.49496527777777777</v>
      </c>
      <c r="M2219" s="10">
        <v>1</v>
      </c>
      <c r="N2219" s="10" t="s">
        <v>211</v>
      </c>
      <c r="O2219" s="10">
        <v>0.16200000000000001</v>
      </c>
      <c r="P2219" s="10">
        <v>1.55E-2</v>
      </c>
      <c r="Q2219" s="10">
        <v>27.5</v>
      </c>
      <c r="R2219" s="10" t="s">
        <v>913</v>
      </c>
      <c r="S2219" s="34">
        <f t="shared" si="249"/>
        <v>27.5</v>
      </c>
      <c r="T2219" s="10" t="s">
        <v>1166</v>
      </c>
      <c r="U2219" s="34" t="str">
        <f t="shared" si="252"/>
        <v/>
      </c>
      <c r="V2219" s="31" t="str">
        <f>IF(H2219="CHK",VLOOKUP(I2219,QCCHK,3,),IF(H2219="GUP",VLOOKUP(E2219,QCGUP,2,),IF(AND(H2219="ATP",OR(I2219="TN",I2219="TDN",I2219="TNO2-3",I2219="NO2-3")),VLOOKUP(E2219,QCREC_N,2,),IF(AND(H2219="NIC",OR(I2219="TN",I2219="TDN",I2219="TNO2-3",I2219="NO2-3")),VLOOKUP(E2219,QCNIC_N,2,),IF(AND(H2219="UREA",OR(I2219="TN",I2219="TDN",I2219="TNO2-3",I2219="NO2-3")),VLOOKUP(E2219,QCUREA_N,2,),IF(H2219="PER",VLOOKUP(I2219,QCPER,MATCH(E2219,QCACTUAL!$J$25:$AA$25,0),),IF(H2219="SPK",VLOOKUP(I2219,QCSPK,3,),IF(AND(H2219="ATP",OR(I2219="TP",I2219="TDP")),VLOOKUP(E2219,QCATP_P,2,),""))))))))</f>
        <v/>
      </c>
      <c r="W2219" s="31" t="str">
        <f t="shared" si="253"/>
        <v>TRUE</v>
      </c>
      <c r="X2219" s="31" t="str">
        <f t="shared" si="248"/>
        <v/>
      </c>
      <c r="Y2219" s="10" t="s">
        <v>1144</v>
      </c>
      <c r="Z2219" s="10" t="s">
        <v>910</v>
      </c>
      <c r="AL2219" s="10" t="str">
        <f t="shared" si="250"/>
        <v>FALSE</v>
      </c>
      <c r="AM2219" s="10" t="str">
        <f t="shared" si="250"/>
        <v>FALSE</v>
      </c>
      <c r="AN2219" s="10" t="str">
        <f t="shared" si="250"/>
        <v>FALSE</v>
      </c>
      <c r="AO2219" s="10" t="str">
        <f t="shared" si="251"/>
        <v>FALSE</v>
      </c>
      <c r="AP2219" s="10" t="str">
        <f t="shared" si="251"/>
        <v>FALSE</v>
      </c>
      <c r="AQ2219" s="10" t="b">
        <f>IF(AND(I2219="TP",S2219&lt;=150),VLOOKUP(AF2219,TPCalibEq150!$AZ$2:$BB$55,3,),IF(AND(I2219="TDP",S2219&lt;=150),VLOOKUP(AF2219,TPCalibEq150!$AZ$2:$BB$55,3,)))</f>
        <v>0</v>
      </c>
      <c r="AR2219" s="10" t="b">
        <f>IF(AND(I2219="TP",S2219&lt;=300),VLOOKUP(AF2219,TPCalibEq300!$AZ$2:$BB$55,3,),IF(AND(I2219="TDP",S2219&lt;=300),VLOOKUP(AF2219,TPCalibEq300!$AZ$2:$BB$55,3,)))</f>
        <v>0</v>
      </c>
      <c r="AS2219" s="10" t="b">
        <f>IF(AND(I2219="TP",S2219&lt;=500),VLOOKUP(AF2219,TPCalibEq500!$AZ$2:$BB$56,3,),IF(AND(I2219="TDP",S2219&lt;=500),VLOOKUP(AF2219,TPCalibEq500!$AZ$2:$BB$56,3,)))</f>
        <v>0</v>
      </c>
      <c r="AT2219" s="10" t="b">
        <f>IF(AND(I2219="TN",S2219&lt;=2800),VLOOKUP(AF2219,TNCalibEq2500!$AZ$2:$BB$56,3,),IF(AND(I2219="TDN",S2219&lt;=2800),VLOOKUP(AF2219,TNCalibEq2500!$AZ$2:$BB$56,3,)))</f>
        <v>0</v>
      </c>
      <c r="AU2219" s="10" t="b">
        <f>IF(I2219="TP",VLOOKUP(AF2219,TPCalibEqFull!$AZ$2:$BB$56,3),IF(I2219="TDP",VLOOKUP(AF2219,TPCalibEqFull!$AZ$2:$BB$56,3),IF(I2219="TDN",VLOOKUP(AF2219,TNCalibEqFull!$AZ$1:$BB$56,3),IF(I2219="TN",VLOOKUP(AF2219,TNCalibEqFull!$AZ$1:$BB$56,3),FALSE))))</f>
        <v>0</v>
      </c>
      <c r="AV2219" s="10" t="str">
        <f t="shared" si="254"/>
        <v>0206 11:30:00-GRR-0-C-1-SW-UKN</v>
      </c>
    </row>
    <row r="2220" spans="1:48" s="10" customFormat="1" x14ac:dyDescent="0.55000000000000004">
      <c r="A2220" s="32">
        <v>44963</v>
      </c>
      <c r="B2220" s="33">
        <v>0.4909722222222222</v>
      </c>
      <c r="C2220" s="10" t="s">
        <v>416</v>
      </c>
      <c r="D2220" s="10">
        <v>0</v>
      </c>
      <c r="E2220" s="10" t="s">
        <v>190</v>
      </c>
      <c r="F2220" s="10">
        <v>1</v>
      </c>
      <c r="G2220" s="10" t="s">
        <v>231</v>
      </c>
      <c r="H2220" s="10" t="s">
        <v>322</v>
      </c>
      <c r="I2220" s="10" t="s">
        <v>285</v>
      </c>
      <c r="J2220" s="10">
        <v>23</v>
      </c>
      <c r="K2220" s="12">
        <v>44966</v>
      </c>
      <c r="L2220" s="33">
        <v>0.49578703703703703</v>
      </c>
      <c r="M2220" s="10">
        <v>1</v>
      </c>
      <c r="N2220" s="10" t="s">
        <v>211</v>
      </c>
      <c r="O2220" s="10">
        <v>0.85899999999999999</v>
      </c>
      <c r="P2220" s="10">
        <v>8.4000000000000005E-2</v>
      </c>
      <c r="Q2220" s="10">
        <v>148</v>
      </c>
      <c r="R2220" s="10" t="s">
        <v>913</v>
      </c>
      <c r="S2220" s="34">
        <f t="shared" si="249"/>
        <v>148</v>
      </c>
      <c r="T2220" s="10" t="s">
        <v>1166</v>
      </c>
      <c r="U2220" s="34" t="str">
        <f t="shared" si="252"/>
        <v/>
      </c>
      <c r="V2220" s="31" t="str">
        <f>IF(H2220="CHK",VLOOKUP(I2220,QCCHK,3,),IF(H2220="GUP",VLOOKUP(E2220,QCGUP,2,),IF(AND(H2220="ATP",OR(I2220="TN",I2220="TDN",I2220="TNO2-3",I2220="NO2-3")),VLOOKUP(E2220,QCREC_N,2,),IF(AND(H2220="NIC",OR(I2220="TN",I2220="TDN",I2220="TNO2-3",I2220="NO2-3")),VLOOKUP(E2220,QCNIC_N,2,),IF(AND(H2220="UREA",OR(I2220="TN",I2220="TDN",I2220="TNO2-3",I2220="NO2-3")),VLOOKUP(E2220,QCUREA_N,2,),IF(H2220="PER",VLOOKUP(I2220,QCPER,MATCH(E2220,QCACTUAL!$J$25:$AA$25,0),),IF(H2220="SPK",VLOOKUP(I2220,QCSPK,3,),IF(AND(H2220="ATP",OR(I2220="TP",I2220="TDP")),VLOOKUP(E2220,QCATP_P,2,),""))))))))</f>
        <v/>
      </c>
      <c r="W2220" s="31" t="str">
        <f t="shared" si="253"/>
        <v>TRUE</v>
      </c>
      <c r="X2220" s="31" t="str">
        <f t="shared" si="248"/>
        <v/>
      </c>
      <c r="Y2220" s="10" t="s">
        <v>1144</v>
      </c>
      <c r="Z2220" s="10" t="s">
        <v>910</v>
      </c>
      <c r="AL2220" s="10" t="str">
        <f t="shared" si="250"/>
        <v>FALSE</v>
      </c>
      <c r="AM2220" s="10" t="str">
        <f t="shared" si="250"/>
        <v>FALSE</v>
      </c>
      <c r="AN2220" s="10" t="str">
        <f t="shared" si="250"/>
        <v>FALSE</v>
      </c>
      <c r="AO2220" s="10" t="str">
        <f t="shared" si="251"/>
        <v>FALSE</v>
      </c>
      <c r="AP2220" s="10" t="str">
        <f t="shared" si="251"/>
        <v>FALSE</v>
      </c>
      <c r="AQ2220" s="10" t="b">
        <f>IF(AND(I2220="TP",S2220&lt;=150),VLOOKUP(AF2220,TPCalibEq150!$AZ$2:$BB$55,3,),IF(AND(I2220="TDP",S2220&lt;=150),VLOOKUP(AF2220,TPCalibEq150!$AZ$2:$BB$55,3,)))</f>
        <v>0</v>
      </c>
      <c r="AR2220" s="10" t="b">
        <f>IF(AND(I2220="TP",S2220&lt;=300),VLOOKUP(AF2220,TPCalibEq300!$AZ$2:$BB$55,3,),IF(AND(I2220="TDP",S2220&lt;=300),VLOOKUP(AF2220,TPCalibEq300!$AZ$2:$BB$55,3,)))</f>
        <v>0</v>
      </c>
      <c r="AS2220" s="10" t="b">
        <f>IF(AND(I2220="TP",S2220&lt;=500),VLOOKUP(AF2220,TPCalibEq500!$AZ$2:$BB$56,3,),IF(AND(I2220="TDP",S2220&lt;=500),VLOOKUP(AF2220,TPCalibEq500!$AZ$2:$BB$56,3,)))</f>
        <v>0</v>
      </c>
      <c r="AT2220" s="10" t="b">
        <f>IF(AND(I2220="TN",S2220&lt;=2800),VLOOKUP(AF2220,TNCalibEq2500!$AZ$2:$BB$56,3,),IF(AND(I2220="TDN",S2220&lt;=2800),VLOOKUP(AF2220,TNCalibEq2500!$AZ$2:$BB$56,3,)))</f>
        <v>0</v>
      </c>
      <c r="AU2220" s="10" t="b">
        <f>IF(I2220="TP",VLOOKUP(AF2220,TPCalibEqFull!$AZ$2:$BB$56,3),IF(I2220="TDP",VLOOKUP(AF2220,TPCalibEqFull!$AZ$2:$BB$56,3),IF(I2220="TDN",VLOOKUP(AF2220,TNCalibEqFull!$AZ$1:$BB$56,3),IF(I2220="TN",VLOOKUP(AF2220,TNCalibEqFull!$AZ$1:$BB$56,3),FALSE))))</f>
        <v>0</v>
      </c>
      <c r="AV2220" s="10" t="str">
        <f t="shared" si="254"/>
        <v>0206 11:47:00-CWL-0-C-1-SW-UKN</v>
      </c>
    </row>
    <row r="2221" spans="1:48" s="10" customFormat="1" x14ac:dyDescent="0.55000000000000004">
      <c r="A2221" s="32">
        <v>44963</v>
      </c>
      <c r="B2221" s="33">
        <v>0.61875000000000002</v>
      </c>
      <c r="C2221" s="10" t="s">
        <v>408</v>
      </c>
      <c r="D2221" s="10">
        <v>0</v>
      </c>
      <c r="E2221" s="10">
        <v>560</v>
      </c>
      <c r="F2221" s="10">
        <v>1</v>
      </c>
      <c r="G2221" s="10" t="s">
        <v>231</v>
      </c>
      <c r="H2221" s="10" t="s">
        <v>322</v>
      </c>
      <c r="I2221" s="10" t="s">
        <v>285</v>
      </c>
      <c r="J2221" s="10">
        <v>24</v>
      </c>
      <c r="K2221" s="12">
        <v>44966</v>
      </c>
      <c r="L2221" s="33">
        <v>0.49659722222222219</v>
      </c>
      <c r="M2221" s="10">
        <v>1</v>
      </c>
      <c r="N2221" s="10" t="s">
        <v>211</v>
      </c>
      <c r="O2221" s="10">
        <v>0.17699999999999999</v>
      </c>
      <c r="P2221" s="10">
        <v>1.67E-2</v>
      </c>
      <c r="Q2221" s="10">
        <v>30.2</v>
      </c>
      <c r="R2221" s="10" t="s">
        <v>913</v>
      </c>
      <c r="S2221" s="34">
        <f t="shared" si="249"/>
        <v>30.2</v>
      </c>
      <c r="T2221" s="10" t="s">
        <v>1166</v>
      </c>
      <c r="U2221" s="34" t="str">
        <f t="shared" si="252"/>
        <v/>
      </c>
      <c r="V2221" s="31" t="str">
        <f>IF(H2221="CHK",VLOOKUP(I2221,QCCHK,3,),IF(H2221="GUP",VLOOKUP(E2221,QCGUP,2,),IF(AND(H2221="ATP",OR(I2221="TN",I2221="TDN",I2221="TNO2-3",I2221="NO2-3")),VLOOKUP(E2221,QCREC_N,2,),IF(AND(H2221="NIC",OR(I2221="TN",I2221="TDN",I2221="TNO2-3",I2221="NO2-3")),VLOOKUP(E2221,QCNIC_N,2,),IF(AND(H2221="UREA",OR(I2221="TN",I2221="TDN",I2221="TNO2-3",I2221="NO2-3")),VLOOKUP(E2221,QCUREA_N,2,),IF(H2221="PER",VLOOKUP(I2221,QCPER,MATCH(E2221,QCACTUAL!$J$25:$AA$25,0),),IF(H2221="SPK",VLOOKUP(I2221,QCSPK,3,),IF(AND(H2221="ATP",OR(I2221="TP",I2221="TDP")),VLOOKUP(E2221,QCATP_P,2,),""))))))))</f>
        <v/>
      </c>
      <c r="W2221" s="31" t="str">
        <f t="shared" si="253"/>
        <v>TRUE</v>
      </c>
      <c r="X2221" s="31" t="str">
        <f t="shared" si="248"/>
        <v/>
      </c>
      <c r="Y2221" s="10" t="s">
        <v>1144</v>
      </c>
      <c r="Z2221" s="10" t="s">
        <v>910</v>
      </c>
      <c r="AL2221" s="10" t="str">
        <f t="shared" si="250"/>
        <v>FALSE</v>
      </c>
      <c r="AM2221" s="10" t="str">
        <f t="shared" si="250"/>
        <v>FALSE</v>
      </c>
      <c r="AN2221" s="10" t="str">
        <f t="shared" si="250"/>
        <v>FALSE</v>
      </c>
      <c r="AO2221" s="10" t="str">
        <f t="shared" si="251"/>
        <v>FALSE</v>
      </c>
      <c r="AP2221" s="10" t="str">
        <f t="shared" si="251"/>
        <v>FALSE</v>
      </c>
      <c r="AQ2221" s="10" t="b">
        <f>IF(AND(I2221="TP",S2221&lt;=150),VLOOKUP(AF2221,TPCalibEq150!$AZ$2:$BB$55,3,),IF(AND(I2221="TDP",S2221&lt;=150),VLOOKUP(AF2221,TPCalibEq150!$AZ$2:$BB$55,3,)))</f>
        <v>0</v>
      </c>
      <c r="AR2221" s="10" t="b">
        <f>IF(AND(I2221="TP",S2221&lt;=300),VLOOKUP(AF2221,TPCalibEq300!$AZ$2:$BB$55,3,),IF(AND(I2221="TDP",S2221&lt;=300),VLOOKUP(AF2221,TPCalibEq300!$AZ$2:$BB$55,3,)))</f>
        <v>0</v>
      </c>
      <c r="AS2221" s="10" t="b">
        <f>IF(AND(I2221="TP",S2221&lt;=500),VLOOKUP(AF2221,TPCalibEq500!$AZ$2:$BB$56,3,),IF(AND(I2221="TDP",S2221&lt;=500),VLOOKUP(AF2221,TPCalibEq500!$AZ$2:$BB$56,3,)))</f>
        <v>0</v>
      </c>
      <c r="AT2221" s="10" t="b">
        <f>IF(AND(I2221="TN",S2221&lt;=2800),VLOOKUP(AF2221,TNCalibEq2500!$AZ$2:$BB$56,3,),IF(AND(I2221="TDN",S2221&lt;=2800),VLOOKUP(AF2221,TNCalibEq2500!$AZ$2:$BB$56,3,)))</f>
        <v>0</v>
      </c>
      <c r="AU2221" s="10" t="b">
        <f>IF(I2221="TP",VLOOKUP(AF2221,TPCalibEqFull!$AZ$2:$BB$56,3),IF(I2221="TDP",VLOOKUP(AF2221,TPCalibEqFull!$AZ$2:$BB$56,3),IF(I2221="TDN",VLOOKUP(AF2221,TNCalibEqFull!$AZ$1:$BB$56,3),IF(I2221="TN",VLOOKUP(AF2221,TNCalibEqFull!$AZ$1:$BB$56,3),FALSE))))</f>
        <v>0</v>
      </c>
      <c r="AV2221" s="10" t="str">
        <f t="shared" si="254"/>
        <v>0206 14:51:00-CLC-0-560-1-SW-UKN</v>
      </c>
    </row>
    <row r="2222" spans="1:48" s="10" customFormat="1" x14ac:dyDescent="0.55000000000000004">
      <c r="A2222" s="32">
        <v>44963</v>
      </c>
      <c r="B2222" s="33">
        <v>0.59722222222222221</v>
      </c>
      <c r="C2222" s="10" t="s">
        <v>214</v>
      </c>
      <c r="D2222" s="10">
        <v>0</v>
      </c>
      <c r="E2222" s="10">
        <v>610</v>
      </c>
      <c r="F2222" s="10">
        <v>1</v>
      </c>
      <c r="G2222" s="10" t="s">
        <v>231</v>
      </c>
      <c r="H2222" s="10" t="s">
        <v>322</v>
      </c>
      <c r="I2222" s="10" t="s">
        <v>285</v>
      </c>
      <c r="J2222" s="10">
        <v>25</v>
      </c>
      <c r="K2222" s="12">
        <v>44966</v>
      </c>
      <c r="L2222" s="33">
        <v>0.49740740740740735</v>
      </c>
      <c r="M2222" s="10">
        <v>1</v>
      </c>
      <c r="N2222" s="10" t="s">
        <v>211</v>
      </c>
      <c r="O2222" s="10">
        <v>0.82</v>
      </c>
      <c r="P2222" s="10">
        <v>7.9899999999999999E-2</v>
      </c>
      <c r="Q2222" s="10">
        <v>141</v>
      </c>
      <c r="R2222" s="10" t="s">
        <v>913</v>
      </c>
      <c r="S2222" s="34">
        <f t="shared" si="249"/>
        <v>141</v>
      </c>
      <c r="T2222" s="10" t="s">
        <v>1166</v>
      </c>
      <c r="U2222" s="34" t="str">
        <f t="shared" si="252"/>
        <v/>
      </c>
      <c r="V2222" s="31" t="str">
        <f>IF(H2222="CHK",VLOOKUP(I2222,QCCHK,3,),IF(H2222="GUP",VLOOKUP(E2222,QCGUP,2,),IF(AND(H2222="ATP",OR(I2222="TN",I2222="TDN",I2222="TNO2-3",I2222="NO2-3")),VLOOKUP(E2222,QCREC_N,2,),IF(AND(H2222="NIC",OR(I2222="TN",I2222="TDN",I2222="TNO2-3",I2222="NO2-3")),VLOOKUP(E2222,QCNIC_N,2,),IF(AND(H2222="UREA",OR(I2222="TN",I2222="TDN",I2222="TNO2-3",I2222="NO2-3")),VLOOKUP(E2222,QCUREA_N,2,),IF(H2222="PER",VLOOKUP(I2222,QCPER,MATCH(E2222,QCACTUAL!$J$25:$AA$25,0),),IF(H2222="SPK",VLOOKUP(I2222,QCSPK,3,),IF(AND(H2222="ATP",OR(I2222="TP",I2222="TDP")),VLOOKUP(E2222,QCATP_P,2,),""))))))))</f>
        <v/>
      </c>
      <c r="W2222" s="31" t="str">
        <f t="shared" si="253"/>
        <v>TRUE</v>
      </c>
      <c r="X2222" s="31" t="str">
        <f t="shared" si="248"/>
        <v/>
      </c>
      <c r="Y2222" s="10" t="s">
        <v>1144</v>
      </c>
      <c r="Z2222" s="10" t="s">
        <v>910</v>
      </c>
      <c r="AL2222" s="10" t="str">
        <f t="shared" si="250"/>
        <v>FALSE</v>
      </c>
      <c r="AM2222" s="10" t="str">
        <f t="shared" si="250"/>
        <v>FALSE</v>
      </c>
      <c r="AN2222" s="10" t="str">
        <f t="shared" si="250"/>
        <v>FALSE</v>
      </c>
      <c r="AO2222" s="10" t="str">
        <f t="shared" si="251"/>
        <v>FALSE</v>
      </c>
      <c r="AP2222" s="10" t="str">
        <f t="shared" si="251"/>
        <v>FALSE</v>
      </c>
      <c r="AQ2222" s="10" t="b">
        <f>IF(AND(I2222="TP",S2222&lt;=150),VLOOKUP(AF2222,TPCalibEq150!$AZ$2:$BB$55,3,),IF(AND(I2222="TDP",S2222&lt;=150),VLOOKUP(AF2222,TPCalibEq150!$AZ$2:$BB$55,3,)))</f>
        <v>0</v>
      </c>
      <c r="AR2222" s="10" t="b">
        <f>IF(AND(I2222="TP",S2222&lt;=300),VLOOKUP(AF2222,TPCalibEq300!$AZ$2:$BB$55,3,),IF(AND(I2222="TDP",S2222&lt;=300),VLOOKUP(AF2222,TPCalibEq300!$AZ$2:$BB$55,3,)))</f>
        <v>0</v>
      </c>
      <c r="AS2222" s="10" t="b">
        <f>IF(AND(I2222="TP",S2222&lt;=500),VLOOKUP(AF2222,TPCalibEq500!$AZ$2:$BB$56,3,),IF(AND(I2222="TDP",S2222&lt;=500),VLOOKUP(AF2222,TPCalibEq500!$AZ$2:$BB$56,3,)))</f>
        <v>0</v>
      </c>
      <c r="AT2222" s="10" t="b">
        <f>IF(AND(I2222="TN",S2222&lt;=2800),VLOOKUP(AF2222,TNCalibEq2500!$AZ$2:$BB$56,3,),IF(AND(I2222="TDN",S2222&lt;=2800),VLOOKUP(AF2222,TNCalibEq2500!$AZ$2:$BB$56,3,)))</f>
        <v>0</v>
      </c>
      <c r="AU2222" s="10" t="b">
        <f>IF(I2222="TP",VLOOKUP(AF2222,TPCalibEqFull!$AZ$2:$BB$56,3),IF(I2222="TDP",VLOOKUP(AF2222,TPCalibEqFull!$AZ$2:$BB$56,3),IF(I2222="TDN",VLOOKUP(AF2222,TNCalibEqFull!$AZ$1:$BB$56,3),IF(I2222="TN",VLOOKUP(AF2222,TNCalibEqFull!$AZ$1:$BB$56,3),FALSE))))</f>
        <v>0</v>
      </c>
      <c r="AV2222" s="10" t="str">
        <f t="shared" si="254"/>
        <v>0206 14:20:00-DAM-0-610-1-SW-UKN</v>
      </c>
    </row>
    <row r="2223" spans="1:48" s="10" customFormat="1" x14ac:dyDescent="0.55000000000000004">
      <c r="A2223" s="32">
        <v>44963</v>
      </c>
      <c r="B2223" s="33">
        <v>0.59722222222222221</v>
      </c>
      <c r="C2223" s="10" t="s">
        <v>214</v>
      </c>
      <c r="D2223" s="10">
        <v>0</v>
      </c>
      <c r="E2223" s="10" t="s">
        <v>190</v>
      </c>
      <c r="F2223" s="10">
        <v>1</v>
      </c>
      <c r="G2223" s="10" t="s">
        <v>231</v>
      </c>
      <c r="H2223" s="10" t="s">
        <v>233</v>
      </c>
      <c r="I2223" s="10" t="s">
        <v>285</v>
      </c>
      <c r="J2223" s="10">
        <v>25</v>
      </c>
      <c r="K2223" s="12">
        <v>44966</v>
      </c>
      <c r="L2223" s="33">
        <v>0.49822916666666667</v>
      </c>
      <c r="M2223" s="10">
        <v>1</v>
      </c>
      <c r="N2223" s="10" t="s">
        <v>211</v>
      </c>
      <c r="O2223" s="10">
        <v>0.35299999999999998</v>
      </c>
      <c r="P2223" s="10">
        <v>3.4200000000000001E-2</v>
      </c>
      <c r="Q2223" s="10">
        <v>60.6</v>
      </c>
      <c r="R2223" s="10" t="s">
        <v>913</v>
      </c>
      <c r="S2223" s="34">
        <f t="shared" si="249"/>
        <v>60.6</v>
      </c>
      <c r="T2223" s="10" t="s">
        <v>1166</v>
      </c>
      <c r="U2223" s="34">
        <f t="shared" si="252"/>
        <v>79.761904761904773</v>
      </c>
      <c r="V2223" s="31" t="str">
        <f>IF(H2223="CHK",VLOOKUP(I2223,QCCHK,3,),IF(H2223="GUP",VLOOKUP(E2223,QCGUP,2,),IF(AND(H2223="ATP",OR(I2223="TN",I2223="TDN",I2223="TNO2-3",I2223="NO2-3")),VLOOKUP(E2223,QCREC_N,2,),IF(AND(H2223="NIC",OR(I2223="TN",I2223="TDN",I2223="TNO2-3",I2223="NO2-3")),VLOOKUP(E2223,QCNIC_N,2,),IF(AND(H2223="UREA",OR(I2223="TN",I2223="TDN",I2223="TNO2-3",I2223="NO2-3")),VLOOKUP(E2223,QCUREA_N,2,),IF(H2223="PER",VLOOKUP(I2223,QCPER,MATCH(E2223,QCACTUAL!$J$25:$AA$25,0),),IF(H2223="SPK",VLOOKUP(I2223,QCSPK,3,),IF(AND(H2223="ATP",OR(I2223="TP",I2223="TDP")),VLOOKUP(E2223,QCATP_P,2,),""))))))))</f>
        <v/>
      </c>
      <c r="W2223" s="31" t="str">
        <f t="shared" si="253"/>
        <v>FALSE</v>
      </c>
      <c r="X2223" s="31" t="str">
        <f t="shared" si="248"/>
        <v>((ABS(rep1-rep2))/((rep1+rep2)/2)*100</v>
      </c>
      <c r="Y2223" s="10" t="s">
        <v>1144</v>
      </c>
      <c r="Z2223" s="10" t="s">
        <v>910</v>
      </c>
      <c r="AL2223" s="10" t="str">
        <f t="shared" si="250"/>
        <v>FALSE</v>
      </c>
      <c r="AM2223" s="10" t="str">
        <f t="shared" si="250"/>
        <v>FALSE</v>
      </c>
      <c r="AN2223" s="10" t="str">
        <f t="shared" si="250"/>
        <v>FALSE</v>
      </c>
      <c r="AO2223" s="10" t="str">
        <f t="shared" si="251"/>
        <v>FALSE</v>
      </c>
      <c r="AP2223" s="10" t="str">
        <f t="shared" si="251"/>
        <v>FALSE</v>
      </c>
      <c r="AQ2223" s="10" t="b">
        <f>IF(AND(I2223="TP",S2223&lt;=150),VLOOKUP(AF2223,TPCalibEq150!$AZ$2:$BB$55,3,),IF(AND(I2223="TDP",S2223&lt;=150),VLOOKUP(AF2223,TPCalibEq150!$AZ$2:$BB$55,3,)))</f>
        <v>0</v>
      </c>
      <c r="AR2223" s="10" t="b">
        <f>IF(AND(I2223="TP",S2223&lt;=300),VLOOKUP(AF2223,TPCalibEq300!$AZ$2:$BB$55,3,),IF(AND(I2223="TDP",S2223&lt;=300),VLOOKUP(AF2223,TPCalibEq300!$AZ$2:$BB$55,3,)))</f>
        <v>0</v>
      </c>
      <c r="AS2223" s="10" t="b">
        <f>IF(AND(I2223="TP",S2223&lt;=500),VLOOKUP(AF2223,TPCalibEq500!$AZ$2:$BB$56,3,),IF(AND(I2223="TDP",S2223&lt;=500),VLOOKUP(AF2223,TPCalibEq500!$AZ$2:$BB$56,3,)))</f>
        <v>0</v>
      </c>
      <c r="AT2223" s="10" t="b">
        <f>IF(AND(I2223="TN",S2223&lt;=2800),VLOOKUP(AF2223,TNCalibEq2500!$AZ$2:$BB$56,3,),IF(AND(I2223="TDN",S2223&lt;=2800),VLOOKUP(AF2223,TNCalibEq2500!$AZ$2:$BB$56,3,)))</f>
        <v>0</v>
      </c>
      <c r="AU2223" s="10" t="b">
        <f>IF(I2223="TP",VLOOKUP(AF2223,TPCalibEqFull!$AZ$2:$BB$56,3),IF(I2223="TDP",VLOOKUP(AF2223,TPCalibEqFull!$AZ$2:$BB$56,3),IF(I2223="TDN",VLOOKUP(AF2223,TNCalibEqFull!$AZ$1:$BB$56,3),IF(I2223="TN",VLOOKUP(AF2223,TNCalibEqFull!$AZ$1:$BB$56,3),FALSE))))</f>
        <v>0</v>
      </c>
      <c r="AV2223" s="10" t="str">
        <f t="shared" si="254"/>
        <v>0206 14:20:00-DAM-0-C-1-SW-DUP</v>
      </c>
    </row>
    <row r="2224" spans="1:48" s="10" customFormat="1" x14ac:dyDescent="0.55000000000000004">
      <c r="A2224" s="32">
        <v>44963</v>
      </c>
      <c r="B2224" s="33">
        <v>0.59722222222222221</v>
      </c>
      <c r="C2224" s="10" t="s">
        <v>214</v>
      </c>
      <c r="D2224" s="10">
        <v>0</v>
      </c>
      <c r="E2224" s="10" t="s">
        <v>190</v>
      </c>
      <c r="F2224" s="10">
        <v>1</v>
      </c>
      <c r="G2224" s="10" t="s">
        <v>231</v>
      </c>
      <c r="H2224" s="10" t="s">
        <v>314</v>
      </c>
      <c r="I2224" s="10" t="s">
        <v>285</v>
      </c>
      <c r="J2224" s="10">
        <v>114</v>
      </c>
      <c r="K2224" s="12">
        <v>44966</v>
      </c>
      <c r="L2224" s="33">
        <v>0.49903935185185189</v>
      </c>
      <c r="M2224" s="10">
        <v>1</v>
      </c>
      <c r="N2224" s="10" t="s">
        <v>211</v>
      </c>
      <c r="O2224" s="10">
        <v>0.56399999999999995</v>
      </c>
      <c r="P2224" s="10">
        <v>5.4399999999999997E-2</v>
      </c>
      <c r="Q2224" s="10">
        <v>97.1</v>
      </c>
      <c r="R2224" s="10" t="s">
        <v>913</v>
      </c>
      <c r="S2224" s="34">
        <f t="shared" si="249"/>
        <v>97.1</v>
      </c>
      <c r="T2224" s="10" t="s">
        <v>1166</v>
      </c>
      <c r="U2224" s="34">
        <f t="shared" si="252"/>
        <v>23.359999999999996</v>
      </c>
      <c r="V2224" s="31">
        <f>IF(H2224="CHK",VLOOKUP(I2224,QCCHK,3,),IF(H2224="GUP",VLOOKUP(E2224,QCGUP,2,),IF(AND(H2224="ATP",OR(I2224="TN",I2224="TDN",I2224="TNO2-3",I2224="NO2-3")),VLOOKUP(E2224,QCREC_N,2,),IF(AND(H2224="NIC",OR(I2224="TN",I2224="TDN",I2224="TNO2-3",I2224="NO2-3")),VLOOKUP(E2224,QCNIC_N,2,),IF(AND(H2224="UREA",OR(I2224="TN",I2224="TDN",I2224="TNO2-3",I2224="NO2-3")),VLOOKUP(E2224,QCUREA_N,2,),IF(H2224="PER",VLOOKUP(I2224,QCPER,MATCH(E2224,QCACTUAL!$J$25:$AA$25,0),),IF(H2224="SPK",VLOOKUP(I2224,QCSPK,3,),IF(AND(H2224="ATP",OR(I2224="TP",I2224="TDP")),VLOOKUP(E2224,QCATP_P,2,),""))))))))</f>
        <v>156.25</v>
      </c>
      <c r="W2224" s="31" t="str">
        <f t="shared" si="253"/>
        <v>FALSE</v>
      </c>
      <c r="X2224" s="31" t="str">
        <f t="shared" si="248"/>
        <v>([spikedunkn]-[unkn])/[spike]*100</v>
      </c>
      <c r="Y2224" s="10" t="s">
        <v>1144</v>
      </c>
      <c r="Z2224" s="10" t="s">
        <v>910</v>
      </c>
      <c r="AL2224" s="10" t="str">
        <f t="shared" si="250"/>
        <v>FALSE</v>
      </c>
      <c r="AM2224" s="10" t="str">
        <f t="shared" si="250"/>
        <v>FALSE</v>
      </c>
      <c r="AN2224" s="10" t="str">
        <f t="shared" si="250"/>
        <v>FALSE</v>
      </c>
      <c r="AO2224" s="10" t="str">
        <f t="shared" si="251"/>
        <v>FALSE</v>
      </c>
      <c r="AP2224" s="10" t="str">
        <f t="shared" si="251"/>
        <v>FALSE</v>
      </c>
      <c r="AQ2224" s="10" t="b">
        <f>IF(AND(I2224="TP",S2224&lt;=150),VLOOKUP(AF2224,TPCalibEq150!$AZ$2:$BB$55,3,),IF(AND(I2224="TDP",S2224&lt;=150),VLOOKUP(AF2224,TPCalibEq150!$AZ$2:$BB$55,3,)))</f>
        <v>0</v>
      </c>
      <c r="AR2224" s="10" t="b">
        <f>IF(AND(I2224="TP",S2224&lt;=300),VLOOKUP(AF2224,TPCalibEq300!$AZ$2:$BB$55,3,),IF(AND(I2224="TDP",S2224&lt;=300),VLOOKUP(AF2224,TPCalibEq300!$AZ$2:$BB$55,3,)))</f>
        <v>0</v>
      </c>
      <c r="AS2224" s="10" t="b">
        <f>IF(AND(I2224="TP",S2224&lt;=500),VLOOKUP(AF2224,TPCalibEq500!$AZ$2:$BB$56,3,),IF(AND(I2224="TDP",S2224&lt;=500),VLOOKUP(AF2224,TPCalibEq500!$AZ$2:$BB$56,3,)))</f>
        <v>0</v>
      </c>
      <c r="AT2224" s="10" t="b">
        <f>IF(AND(I2224="TN",S2224&lt;=2800),VLOOKUP(AF2224,TNCalibEq2500!$AZ$2:$BB$56,3,),IF(AND(I2224="TDN",S2224&lt;=2800),VLOOKUP(AF2224,TNCalibEq2500!$AZ$2:$BB$56,3,)))</f>
        <v>0</v>
      </c>
      <c r="AU2224" s="10" t="b">
        <f>IF(I2224="TP",VLOOKUP(AF2224,TPCalibEqFull!$AZ$2:$BB$56,3),IF(I2224="TDP",VLOOKUP(AF2224,TPCalibEqFull!$AZ$2:$BB$56,3),IF(I2224="TDN",VLOOKUP(AF2224,TNCalibEqFull!$AZ$1:$BB$56,3),IF(I2224="TN",VLOOKUP(AF2224,TNCalibEqFull!$AZ$1:$BB$56,3),FALSE))))</f>
        <v>0</v>
      </c>
      <c r="AV2224" s="10" t="str">
        <f t="shared" si="254"/>
        <v>0206 14:20:00-DAM-0-C-1-SW-SPK</v>
      </c>
    </row>
    <row r="2225" spans="1:48" s="10" customFormat="1" x14ac:dyDescent="0.55000000000000004">
      <c r="A2225" s="32">
        <v>44966</v>
      </c>
      <c r="B2225" s="33">
        <v>0.375</v>
      </c>
      <c r="C2225" s="10" t="s">
        <v>70</v>
      </c>
      <c r="D2225" s="10" t="s">
        <v>71</v>
      </c>
      <c r="E2225" s="10" t="s">
        <v>901</v>
      </c>
      <c r="F2225" s="10">
        <v>1</v>
      </c>
      <c r="G2225" s="10" t="s">
        <v>73</v>
      </c>
      <c r="H2225" s="10" t="s">
        <v>207</v>
      </c>
      <c r="I2225" s="10" t="s">
        <v>285</v>
      </c>
      <c r="J2225" s="10">
        <v>200</v>
      </c>
      <c r="K2225" s="12">
        <v>44966</v>
      </c>
      <c r="L2225" s="33">
        <v>0.49986111111111109</v>
      </c>
      <c r="M2225" s="10">
        <v>1</v>
      </c>
      <c r="N2225" s="10" t="s">
        <v>211</v>
      </c>
      <c r="O2225" s="10">
        <v>0.434</v>
      </c>
      <c r="P2225" s="10">
        <v>4.1700000000000001E-2</v>
      </c>
      <c r="Q2225" s="10">
        <v>74.7</v>
      </c>
      <c r="R2225" s="10" t="s">
        <v>913</v>
      </c>
      <c r="S2225" s="34">
        <f t="shared" si="249"/>
        <v>74.7</v>
      </c>
      <c r="T2225" s="10" t="s">
        <v>1166</v>
      </c>
      <c r="U2225" s="34">
        <f t="shared" si="252"/>
        <v>99.6</v>
      </c>
      <c r="V2225" s="31">
        <f>IF(H2225="CHK",VLOOKUP(I2225,QCCHK,3,),IF(H2225="GUP",VLOOKUP(E2225,QCGUP,2,),IF(AND(H2225="ATP",OR(I2225="TN",I2225="TDN",I2225="TNO2-3",I2225="NO2-3")),VLOOKUP(E2225,QCREC_N,2,),IF(AND(H2225="NIC",OR(I2225="TN",I2225="TDN",I2225="TNO2-3",I2225="NO2-3")),VLOOKUP(E2225,QCNIC_N,2,),IF(AND(H2225="UREA",OR(I2225="TN",I2225="TDN",I2225="TNO2-3",I2225="NO2-3")),VLOOKUP(E2225,QCUREA_N,2,),IF(H2225="PER",VLOOKUP(I2225,QCPER,MATCH(E2225,QCACTUAL!$J$25:$AA$25,0),),IF(H2225="SPK",VLOOKUP(I2225,QCSPK,3,),IF(AND(H2225="ATP",OR(I2225="TP",I2225="TDP")),VLOOKUP(E2225,QCATP_P,2,),""))))))))</f>
        <v>75</v>
      </c>
      <c r="W2225" s="31" t="str">
        <f t="shared" si="253"/>
        <v>TRUE</v>
      </c>
      <c r="X2225" s="31" t="str">
        <f t="shared" si="248"/>
        <v>[chk]/[actual]*100</v>
      </c>
      <c r="Y2225" s="10" t="s">
        <v>1144</v>
      </c>
      <c r="AL2225" s="10" t="str">
        <f t="shared" si="250"/>
        <v>FALSE</v>
      </c>
      <c r="AM2225" s="10" t="str">
        <f t="shared" si="250"/>
        <v>FALSE</v>
      </c>
      <c r="AN2225" s="10" t="str">
        <f t="shared" si="250"/>
        <v>FALSE</v>
      </c>
      <c r="AO2225" s="10" t="str">
        <f t="shared" si="251"/>
        <v>FALSE</v>
      </c>
      <c r="AP2225" s="10" t="str">
        <f t="shared" si="251"/>
        <v>FALSE</v>
      </c>
      <c r="AQ2225" s="10" t="b">
        <f>IF(AND(I2225="TP",S2225&lt;=150),VLOOKUP(AF2225,TPCalibEq150!$AZ$2:$BB$55,3,),IF(AND(I2225="TDP",S2225&lt;=150),VLOOKUP(AF2225,TPCalibEq150!$AZ$2:$BB$55,3,)))</f>
        <v>0</v>
      </c>
      <c r="AR2225" s="10" t="b">
        <f>IF(AND(I2225="TP",S2225&lt;=300),VLOOKUP(AF2225,TPCalibEq300!$AZ$2:$BB$55,3,),IF(AND(I2225="TDP",S2225&lt;=300),VLOOKUP(AF2225,TPCalibEq300!$AZ$2:$BB$55,3,)))</f>
        <v>0</v>
      </c>
      <c r="AS2225" s="10" t="b">
        <f>IF(AND(I2225="TP",S2225&lt;=500),VLOOKUP(AF2225,TPCalibEq500!$AZ$2:$BB$56,3,),IF(AND(I2225="TDP",S2225&lt;=500),VLOOKUP(AF2225,TPCalibEq500!$AZ$2:$BB$56,3,)))</f>
        <v>0</v>
      </c>
      <c r="AT2225" s="10" t="b">
        <f>IF(AND(I2225="TN",S2225&lt;=2800),VLOOKUP(AF2225,TNCalibEq2500!$AZ$2:$BB$56,3,),IF(AND(I2225="TDN",S2225&lt;=2800),VLOOKUP(AF2225,TNCalibEq2500!$AZ$2:$BB$56,3,)))</f>
        <v>0</v>
      </c>
      <c r="AU2225" s="10" t="b">
        <f>IF(I2225="TP",VLOOKUP(AF2225,TPCalibEqFull!$AZ$2:$BB$56,3),IF(I2225="TDP",VLOOKUP(AF2225,TPCalibEqFull!$AZ$2:$BB$56,3),IF(I2225="TDN",VLOOKUP(AF2225,TNCalibEqFull!$AZ$1:$BB$56,3),IF(I2225="TN",VLOOKUP(AF2225,TNCalibEqFull!$AZ$1:$BB$56,3),FALSE))))</f>
        <v>0</v>
      </c>
      <c r="AV2225" s="10" t="str">
        <f t="shared" si="254"/>
        <v>0209 09:00:00-QAC-STD-D-1-DI-CHK</v>
      </c>
    </row>
    <row r="2226" spans="1:48" s="10" customFormat="1" x14ac:dyDescent="0.55000000000000004">
      <c r="A2226" s="32">
        <v>44965</v>
      </c>
      <c r="B2226" s="33">
        <v>0.47164351851851855</v>
      </c>
      <c r="C2226" s="10" t="s">
        <v>431</v>
      </c>
      <c r="D2226" s="10">
        <v>0</v>
      </c>
      <c r="E2226" s="10">
        <v>500</v>
      </c>
      <c r="F2226" s="10">
        <v>1</v>
      </c>
      <c r="G2226" s="10" t="s">
        <v>231</v>
      </c>
      <c r="H2226" s="10" t="s">
        <v>322</v>
      </c>
      <c r="I2226" s="10" t="s">
        <v>285</v>
      </c>
      <c r="J2226" s="10">
        <v>26</v>
      </c>
      <c r="K2226" s="12">
        <v>44966</v>
      </c>
      <c r="L2226" s="33">
        <v>0.50067129629629636</v>
      </c>
      <c r="M2226" s="10">
        <v>1</v>
      </c>
      <c r="N2226" s="10" t="s">
        <v>211</v>
      </c>
      <c r="O2226" s="10">
        <v>0.35099999999999998</v>
      </c>
      <c r="P2226" s="10">
        <v>3.3500000000000002E-2</v>
      </c>
      <c r="Q2226" s="10">
        <v>60.2</v>
      </c>
      <c r="R2226" s="10" t="s">
        <v>913</v>
      </c>
      <c r="S2226" s="34">
        <f t="shared" si="249"/>
        <v>60.2</v>
      </c>
      <c r="T2226" s="10" t="s">
        <v>1166</v>
      </c>
      <c r="U2226" s="34" t="str">
        <f t="shared" si="252"/>
        <v/>
      </c>
      <c r="V2226" s="31" t="str">
        <f>IF(H2226="CHK",VLOOKUP(I2226,QCCHK,3,),IF(H2226="GUP",VLOOKUP(E2226,QCGUP,2,),IF(AND(H2226="ATP",OR(I2226="TN",I2226="TDN",I2226="TNO2-3",I2226="NO2-3")),VLOOKUP(E2226,QCREC_N,2,),IF(AND(H2226="NIC",OR(I2226="TN",I2226="TDN",I2226="TNO2-3",I2226="NO2-3")),VLOOKUP(E2226,QCNIC_N,2,),IF(AND(H2226="UREA",OR(I2226="TN",I2226="TDN",I2226="TNO2-3",I2226="NO2-3")),VLOOKUP(E2226,QCUREA_N,2,),IF(H2226="PER",VLOOKUP(I2226,QCPER,MATCH(E2226,QCACTUAL!$J$25:$AA$25,0),),IF(H2226="SPK",VLOOKUP(I2226,QCSPK,3,),IF(AND(H2226="ATP",OR(I2226="TP",I2226="TDP")),VLOOKUP(E2226,QCATP_P,2,),""))))))))</f>
        <v/>
      </c>
      <c r="W2226" s="31" t="str">
        <f t="shared" si="253"/>
        <v>TRUE</v>
      </c>
      <c r="X2226" s="31" t="str">
        <f t="shared" si="248"/>
        <v/>
      </c>
      <c r="Y2226" s="10" t="s">
        <v>1144</v>
      </c>
      <c r="AL2226" s="10" t="str">
        <f t="shared" si="250"/>
        <v>FALSE</v>
      </c>
      <c r="AM2226" s="10" t="str">
        <f t="shared" si="250"/>
        <v>FALSE</v>
      </c>
      <c r="AN2226" s="10" t="str">
        <f t="shared" si="250"/>
        <v>FALSE</v>
      </c>
      <c r="AO2226" s="10" t="str">
        <f t="shared" si="251"/>
        <v>FALSE</v>
      </c>
      <c r="AP2226" s="10" t="str">
        <f t="shared" si="251"/>
        <v>FALSE</v>
      </c>
      <c r="AQ2226" s="10" t="b">
        <f>IF(AND(I2226="TP",S2226&lt;=150),VLOOKUP(AF2226,TPCalibEq150!$AZ$2:$BB$55,3,),IF(AND(I2226="TDP",S2226&lt;=150),VLOOKUP(AF2226,TPCalibEq150!$AZ$2:$BB$55,3,)))</f>
        <v>0</v>
      </c>
      <c r="AR2226" s="10" t="b">
        <f>IF(AND(I2226="TP",S2226&lt;=300),VLOOKUP(AF2226,TPCalibEq300!$AZ$2:$BB$55,3,),IF(AND(I2226="TDP",S2226&lt;=300),VLOOKUP(AF2226,TPCalibEq300!$AZ$2:$BB$55,3,)))</f>
        <v>0</v>
      </c>
      <c r="AS2226" s="10" t="b">
        <f>IF(AND(I2226="TP",S2226&lt;=500),VLOOKUP(AF2226,TPCalibEq500!$AZ$2:$BB$56,3,),IF(AND(I2226="TDP",S2226&lt;=500),VLOOKUP(AF2226,TPCalibEq500!$AZ$2:$BB$56,3,)))</f>
        <v>0</v>
      </c>
      <c r="AT2226" s="10" t="b">
        <f>IF(AND(I2226="TN",S2226&lt;=2800),VLOOKUP(AF2226,TNCalibEq2500!$AZ$2:$BB$56,3,),IF(AND(I2226="TDN",S2226&lt;=2800),VLOOKUP(AF2226,TNCalibEq2500!$AZ$2:$BB$56,3,)))</f>
        <v>0</v>
      </c>
      <c r="AU2226" s="10" t="b">
        <f>IF(I2226="TP",VLOOKUP(AF2226,TPCalibEqFull!$AZ$2:$BB$56,3),IF(I2226="TDP",VLOOKUP(AF2226,TPCalibEqFull!$AZ$2:$BB$56,3),IF(I2226="TDN",VLOOKUP(AF2226,TNCalibEqFull!$AZ$1:$BB$56,3),IF(I2226="TN",VLOOKUP(AF2226,TNCalibEqFull!$AZ$1:$BB$56,3),FALSE))))</f>
        <v>0</v>
      </c>
      <c r="AV2226" s="10" t="str">
        <f t="shared" si="254"/>
        <v>0208 11:19:10-EUS-0-500-1-SW-UKN</v>
      </c>
    </row>
    <row r="2227" spans="1:48" s="10" customFormat="1" x14ac:dyDescent="0.55000000000000004">
      <c r="A2227" s="32">
        <v>44965</v>
      </c>
      <c r="B2227" s="33">
        <v>0.47395833333333331</v>
      </c>
      <c r="C2227" s="10" t="s">
        <v>431</v>
      </c>
      <c r="D2227" s="10">
        <v>5</v>
      </c>
      <c r="E2227" s="10" t="s">
        <v>190</v>
      </c>
      <c r="F2227" s="10">
        <v>1</v>
      </c>
      <c r="G2227" s="10" t="s">
        <v>231</v>
      </c>
      <c r="H2227" s="10" t="s">
        <v>322</v>
      </c>
      <c r="I2227" s="10" t="s">
        <v>285</v>
      </c>
      <c r="J2227" s="10">
        <v>27</v>
      </c>
      <c r="K2227" s="12">
        <v>44966</v>
      </c>
      <c r="L2227" s="33">
        <v>0.50148148148148153</v>
      </c>
      <c r="M2227" s="10">
        <v>1</v>
      </c>
      <c r="N2227" s="10" t="s">
        <v>211</v>
      </c>
      <c r="O2227" s="10">
        <v>0.35399999999999998</v>
      </c>
      <c r="P2227" s="10">
        <v>3.4099999999999998E-2</v>
      </c>
      <c r="Q2227" s="10">
        <v>60.7</v>
      </c>
      <c r="R2227" s="10" t="s">
        <v>913</v>
      </c>
      <c r="S2227" s="34">
        <f t="shared" si="249"/>
        <v>60.7</v>
      </c>
      <c r="T2227" s="10" t="s">
        <v>1166</v>
      </c>
      <c r="U2227" s="34" t="str">
        <f t="shared" si="252"/>
        <v/>
      </c>
      <c r="V2227" s="31" t="str">
        <f>IF(H2227="CHK",VLOOKUP(I2227,QCCHK,3,),IF(H2227="GUP",VLOOKUP(E2227,QCGUP,2,),IF(AND(H2227="ATP",OR(I2227="TN",I2227="TDN",I2227="TNO2-3",I2227="NO2-3")),VLOOKUP(E2227,QCREC_N,2,),IF(AND(H2227="NIC",OR(I2227="TN",I2227="TDN",I2227="TNO2-3",I2227="NO2-3")),VLOOKUP(E2227,QCNIC_N,2,),IF(AND(H2227="UREA",OR(I2227="TN",I2227="TDN",I2227="TNO2-3",I2227="NO2-3")),VLOOKUP(E2227,QCUREA_N,2,),IF(H2227="PER",VLOOKUP(I2227,QCPER,MATCH(E2227,QCACTUAL!$J$25:$AA$25,0),),IF(H2227="SPK",VLOOKUP(I2227,QCSPK,3,),IF(AND(H2227="ATP",OR(I2227="TP",I2227="TDP")),VLOOKUP(E2227,QCATP_P,2,),""))))))))</f>
        <v/>
      </c>
      <c r="W2227" s="31" t="str">
        <f t="shared" si="253"/>
        <v>TRUE</v>
      </c>
      <c r="X2227" s="31" t="str">
        <f t="shared" si="248"/>
        <v/>
      </c>
      <c r="Y2227" s="10" t="s">
        <v>1144</v>
      </c>
      <c r="AL2227" s="10" t="str">
        <f t="shared" si="250"/>
        <v>FALSE</v>
      </c>
      <c r="AM2227" s="10" t="str">
        <f t="shared" si="250"/>
        <v>FALSE</v>
      </c>
      <c r="AN2227" s="10" t="str">
        <f t="shared" si="250"/>
        <v>FALSE</v>
      </c>
      <c r="AO2227" s="10" t="str">
        <f t="shared" si="251"/>
        <v>FALSE</v>
      </c>
      <c r="AP2227" s="10" t="str">
        <f t="shared" si="251"/>
        <v>FALSE</v>
      </c>
      <c r="AQ2227" s="10" t="b">
        <f>IF(AND(I2227="TP",S2227&lt;=150),VLOOKUP(AF2227,TPCalibEq150!$AZ$2:$BB$55,3,),IF(AND(I2227="TDP",S2227&lt;=150),VLOOKUP(AF2227,TPCalibEq150!$AZ$2:$BB$55,3,)))</f>
        <v>0</v>
      </c>
      <c r="AR2227" s="10" t="b">
        <f>IF(AND(I2227="TP",S2227&lt;=300),VLOOKUP(AF2227,TPCalibEq300!$AZ$2:$BB$55,3,),IF(AND(I2227="TDP",S2227&lt;=300),VLOOKUP(AF2227,TPCalibEq300!$AZ$2:$BB$55,3,)))</f>
        <v>0</v>
      </c>
      <c r="AS2227" s="10" t="b">
        <f>IF(AND(I2227="TP",S2227&lt;=500),VLOOKUP(AF2227,TPCalibEq500!$AZ$2:$BB$56,3,),IF(AND(I2227="TDP",S2227&lt;=500),VLOOKUP(AF2227,TPCalibEq500!$AZ$2:$BB$56,3,)))</f>
        <v>0</v>
      </c>
      <c r="AT2227" s="10" t="b">
        <f>IF(AND(I2227="TN",S2227&lt;=2800),VLOOKUP(AF2227,TNCalibEq2500!$AZ$2:$BB$56,3,),IF(AND(I2227="TDN",S2227&lt;=2800),VLOOKUP(AF2227,TNCalibEq2500!$AZ$2:$BB$56,3,)))</f>
        <v>0</v>
      </c>
      <c r="AU2227" s="10" t="b">
        <f>IF(I2227="TP",VLOOKUP(AF2227,TPCalibEqFull!$AZ$2:$BB$56,3),IF(I2227="TDP",VLOOKUP(AF2227,TPCalibEqFull!$AZ$2:$BB$56,3),IF(I2227="TDN",VLOOKUP(AF2227,TNCalibEqFull!$AZ$1:$BB$56,3),IF(I2227="TN",VLOOKUP(AF2227,TNCalibEqFull!$AZ$1:$BB$56,3),FALSE))))</f>
        <v>0</v>
      </c>
      <c r="AV2227" s="10" t="str">
        <f t="shared" si="254"/>
        <v>0208 11:22:30-EUS-5-C-1-SW-UKN</v>
      </c>
    </row>
    <row r="2228" spans="1:48" s="10" customFormat="1" x14ac:dyDescent="0.55000000000000004">
      <c r="A2228" s="32">
        <v>44965</v>
      </c>
      <c r="B2228" s="33">
        <v>0.46828703703703706</v>
      </c>
      <c r="C2228" s="10" t="s">
        <v>618</v>
      </c>
      <c r="D2228" s="10">
        <v>0</v>
      </c>
      <c r="E2228" s="10">
        <v>700</v>
      </c>
      <c r="F2228" s="10">
        <v>1</v>
      </c>
      <c r="G2228" s="10" t="s">
        <v>231</v>
      </c>
      <c r="H2228" s="10" t="s">
        <v>322</v>
      </c>
      <c r="I2228" s="10" t="s">
        <v>285</v>
      </c>
      <c r="J2228" s="10">
        <v>28</v>
      </c>
      <c r="K2228" s="12">
        <v>44966</v>
      </c>
      <c r="L2228" s="33">
        <v>0.50229166666666669</v>
      </c>
      <c r="M2228" s="10">
        <v>1</v>
      </c>
      <c r="N2228" s="10" t="s">
        <v>211</v>
      </c>
      <c r="O2228" s="10">
        <v>0.61899999999999999</v>
      </c>
      <c r="P2228" s="10">
        <v>5.9499999999999997E-2</v>
      </c>
      <c r="Q2228" s="10">
        <v>107</v>
      </c>
      <c r="R2228" s="10" t="s">
        <v>913</v>
      </c>
      <c r="S2228" s="34">
        <f t="shared" si="249"/>
        <v>107</v>
      </c>
      <c r="T2228" s="10" t="s">
        <v>1166</v>
      </c>
      <c r="U2228" s="34" t="str">
        <f t="shared" si="252"/>
        <v/>
      </c>
      <c r="V2228" s="31" t="str">
        <f>IF(H2228="CHK",VLOOKUP(I2228,QCCHK,3,),IF(H2228="GUP",VLOOKUP(E2228,QCGUP,2,),IF(AND(H2228="ATP",OR(I2228="TN",I2228="TDN",I2228="TNO2-3",I2228="NO2-3")),VLOOKUP(E2228,QCREC_N,2,),IF(AND(H2228="NIC",OR(I2228="TN",I2228="TDN",I2228="TNO2-3",I2228="NO2-3")),VLOOKUP(E2228,QCNIC_N,2,),IF(AND(H2228="UREA",OR(I2228="TN",I2228="TDN",I2228="TNO2-3",I2228="NO2-3")),VLOOKUP(E2228,QCUREA_N,2,),IF(H2228="PER",VLOOKUP(I2228,QCPER,MATCH(E2228,QCACTUAL!$J$25:$AA$25,0),),IF(H2228="SPK",VLOOKUP(I2228,QCSPK,3,),IF(AND(H2228="ATP",OR(I2228="TP",I2228="TDP")),VLOOKUP(E2228,QCATP_P,2,),""))))))))</f>
        <v/>
      </c>
      <c r="W2228" s="31" t="str">
        <f t="shared" si="253"/>
        <v>TRUE</v>
      </c>
      <c r="X2228" s="31" t="str">
        <f t="shared" si="248"/>
        <v/>
      </c>
      <c r="Y2228" s="10" t="s">
        <v>1144</v>
      </c>
      <c r="AL2228" s="10" t="str">
        <f t="shared" si="250"/>
        <v>FALSE</v>
      </c>
      <c r="AM2228" s="10" t="str">
        <f t="shared" si="250"/>
        <v>FALSE</v>
      </c>
      <c r="AN2228" s="10" t="str">
        <f t="shared" si="250"/>
        <v>FALSE</v>
      </c>
      <c r="AO2228" s="10" t="str">
        <f t="shared" si="251"/>
        <v>FALSE</v>
      </c>
      <c r="AP2228" s="10" t="str">
        <f t="shared" si="251"/>
        <v>FALSE</v>
      </c>
      <c r="AQ2228" s="10" t="b">
        <f>IF(AND(I2228="TP",S2228&lt;=150),VLOOKUP(AF2228,TPCalibEq150!$AZ$2:$BB$55,3,),IF(AND(I2228="TDP",S2228&lt;=150),VLOOKUP(AF2228,TPCalibEq150!$AZ$2:$BB$55,3,)))</f>
        <v>0</v>
      </c>
      <c r="AR2228" s="10" t="b">
        <f>IF(AND(I2228="TP",S2228&lt;=300),VLOOKUP(AF2228,TPCalibEq300!$AZ$2:$BB$55,3,),IF(AND(I2228="TDP",S2228&lt;=300),VLOOKUP(AF2228,TPCalibEq300!$AZ$2:$BB$55,3,)))</f>
        <v>0</v>
      </c>
      <c r="AS2228" s="10" t="b">
        <f>IF(AND(I2228="TP",S2228&lt;=500),VLOOKUP(AF2228,TPCalibEq500!$AZ$2:$BB$56,3,),IF(AND(I2228="TDP",S2228&lt;=500),VLOOKUP(AF2228,TPCalibEq500!$AZ$2:$BB$56,3,)))</f>
        <v>0</v>
      </c>
      <c r="AT2228" s="10" t="b">
        <f>IF(AND(I2228="TN",S2228&lt;=2800),VLOOKUP(AF2228,TNCalibEq2500!$AZ$2:$BB$56,3,),IF(AND(I2228="TDN",S2228&lt;=2800),VLOOKUP(AF2228,TNCalibEq2500!$AZ$2:$BB$56,3,)))</f>
        <v>0</v>
      </c>
      <c r="AU2228" s="10" t="b">
        <f>IF(I2228="TP",VLOOKUP(AF2228,TPCalibEqFull!$AZ$2:$BB$56,3),IF(I2228="TDP",VLOOKUP(AF2228,TPCalibEqFull!$AZ$2:$BB$56,3),IF(I2228="TDN",VLOOKUP(AF2228,TNCalibEqFull!$AZ$1:$BB$56,3),IF(I2228="TN",VLOOKUP(AF2228,TNCalibEqFull!$AZ$1:$BB$56,3),FALSE))))</f>
        <v>0</v>
      </c>
      <c r="AV2228" s="10" t="str">
        <f t="shared" si="254"/>
        <v>0208 11:14:20-ECP-0-700-1-SW-UKN</v>
      </c>
    </row>
    <row r="2229" spans="1:48" s="10" customFormat="1" x14ac:dyDescent="0.55000000000000004">
      <c r="A2229" s="32">
        <v>44965</v>
      </c>
      <c r="B2229" s="33">
        <v>0.46828703703703706</v>
      </c>
      <c r="C2229" s="10" t="s">
        <v>618</v>
      </c>
      <c r="D2229" s="10">
        <v>0</v>
      </c>
      <c r="E2229" s="10">
        <v>700</v>
      </c>
      <c r="F2229" s="10">
        <v>2</v>
      </c>
      <c r="G2229" s="10" t="s">
        <v>231</v>
      </c>
      <c r="H2229" s="10" t="s">
        <v>322</v>
      </c>
      <c r="I2229" s="10" t="s">
        <v>285</v>
      </c>
      <c r="J2229" s="10">
        <v>29</v>
      </c>
      <c r="K2229" s="12">
        <v>44966</v>
      </c>
      <c r="L2229" s="33">
        <v>0.50310185185185186</v>
      </c>
      <c r="M2229" s="10">
        <v>1</v>
      </c>
      <c r="N2229" s="10" t="s">
        <v>211</v>
      </c>
      <c r="O2229" s="10">
        <v>0.623</v>
      </c>
      <c r="P2229" s="10">
        <v>6.0100000000000001E-2</v>
      </c>
      <c r="Q2229" s="10">
        <v>107</v>
      </c>
      <c r="R2229" s="10" t="s">
        <v>913</v>
      </c>
      <c r="S2229" s="34">
        <f t="shared" si="249"/>
        <v>107</v>
      </c>
      <c r="T2229" s="10" t="s">
        <v>1166</v>
      </c>
      <c r="U2229" s="34" t="str">
        <f t="shared" si="252"/>
        <v/>
      </c>
      <c r="V2229" s="31" t="str">
        <f>IF(H2229="CHK",VLOOKUP(I2229,QCCHK,3,),IF(H2229="GUP",VLOOKUP(E2229,QCGUP,2,),IF(AND(H2229="ATP",OR(I2229="TN",I2229="TDN",I2229="TNO2-3",I2229="NO2-3")),VLOOKUP(E2229,QCREC_N,2,),IF(AND(H2229="NIC",OR(I2229="TN",I2229="TDN",I2229="TNO2-3",I2229="NO2-3")),VLOOKUP(E2229,QCNIC_N,2,),IF(AND(H2229="UREA",OR(I2229="TN",I2229="TDN",I2229="TNO2-3",I2229="NO2-3")),VLOOKUP(E2229,QCUREA_N,2,),IF(H2229="PER",VLOOKUP(I2229,QCPER,MATCH(E2229,QCACTUAL!$J$25:$AA$25,0),),IF(H2229="SPK",VLOOKUP(I2229,QCSPK,3,),IF(AND(H2229="ATP",OR(I2229="TP",I2229="TDP")),VLOOKUP(E2229,QCATP_P,2,),""))))))))</f>
        <v/>
      </c>
      <c r="W2229" s="31" t="str">
        <f t="shared" si="253"/>
        <v>TRUE</v>
      </c>
      <c r="X2229" s="31" t="str">
        <f t="shared" si="248"/>
        <v/>
      </c>
      <c r="Y2229" s="10" t="s">
        <v>1144</v>
      </c>
      <c r="AL2229" s="10" t="str">
        <f t="shared" si="250"/>
        <v>FALSE</v>
      </c>
      <c r="AM2229" s="10" t="str">
        <f t="shared" si="250"/>
        <v>FALSE</v>
      </c>
      <c r="AN2229" s="10" t="str">
        <f t="shared" si="250"/>
        <v>FALSE</v>
      </c>
      <c r="AO2229" s="10" t="str">
        <f t="shared" si="251"/>
        <v>FALSE</v>
      </c>
      <c r="AP2229" s="10" t="str">
        <f t="shared" si="251"/>
        <v>FALSE</v>
      </c>
      <c r="AQ2229" s="10" t="b">
        <f>IF(AND(I2229="TP",S2229&lt;=150),VLOOKUP(AF2229,TPCalibEq150!$AZ$2:$BB$55,3,),IF(AND(I2229="TDP",S2229&lt;=150),VLOOKUP(AF2229,TPCalibEq150!$AZ$2:$BB$55,3,)))</f>
        <v>0</v>
      </c>
      <c r="AR2229" s="10" t="b">
        <f>IF(AND(I2229="TP",S2229&lt;=300),VLOOKUP(AF2229,TPCalibEq300!$AZ$2:$BB$55,3,),IF(AND(I2229="TDP",S2229&lt;=300),VLOOKUP(AF2229,TPCalibEq300!$AZ$2:$BB$55,3,)))</f>
        <v>0</v>
      </c>
      <c r="AS2229" s="10" t="b">
        <f>IF(AND(I2229="TP",S2229&lt;=500),VLOOKUP(AF2229,TPCalibEq500!$AZ$2:$BB$56,3,),IF(AND(I2229="TDP",S2229&lt;=500),VLOOKUP(AF2229,TPCalibEq500!$AZ$2:$BB$56,3,)))</f>
        <v>0</v>
      </c>
      <c r="AT2229" s="10" t="b">
        <f>IF(AND(I2229="TN",S2229&lt;=2800),VLOOKUP(AF2229,TNCalibEq2500!$AZ$2:$BB$56,3,),IF(AND(I2229="TDN",S2229&lt;=2800),VLOOKUP(AF2229,TNCalibEq2500!$AZ$2:$BB$56,3,)))</f>
        <v>0</v>
      </c>
      <c r="AU2229" s="10" t="b">
        <f>IF(I2229="TP",VLOOKUP(AF2229,TPCalibEqFull!$AZ$2:$BB$56,3),IF(I2229="TDP",VLOOKUP(AF2229,TPCalibEqFull!$AZ$2:$BB$56,3),IF(I2229="TDN",VLOOKUP(AF2229,TNCalibEqFull!$AZ$1:$BB$56,3),IF(I2229="TN",VLOOKUP(AF2229,TNCalibEqFull!$AZ$1:$BB$56,3),FALSE))))</f>
        <v>0</v>
      </c>
      <c r="AV2229" s="10" t="str">
        <f t="shared" si="254"/>
        <v>0208 11:14:20-ECP-0-700-2-SW-UKN</v>
      </c>
    </row>
    <row r="2230" spans="1:48" s="10" customFormat="1" x14ac:dyDescent="0.55000000000000004">
      <c r="A2230" s="32">
        <v>44965</v>
      </c>
      <c r="B2230" s="33">
        <v>0.46828703703703706</v>
      </c>
      <c r="C2230" s="10" t="s">
        <v>618</v>
      </c>
      <c r="D2230" s="10">
        <v>0</v>
      </c>
      <c r="E2230" s="10">
        <v>700</v>
      </c>
      <c r="F2230" s="10">
        <v>2</v>
      </c>
      <c r="G2230" s="10" t="s">
        <v>231</v>
      </c>
      <c r="H2230" s="10" t="s">
        <v>233</v>
      </c>
      <c r="I2230" s="10" t="s">
        <v>285</v>
      </c>
      <c r="J2230" s="10">
        <v>29</v>
      </c>
      <c r="K2230" s="12">
        <v>44966</v>
      </c>
      <c r="L2230" s="33">
        <v>0.50391203703703702</v>
      </c>
      <c r="M2230" s="10">
        <v>1</v>
      </c>
      <c r="N2230" s="10" t="s">
        <v>211</v>
      </c>
      <c r="O2230" s="10">
        <v>0.625</v>
      </c>
      <c r="P2230" s="10">
        <v>5.9900000000000002E-2</v>
      </c>
      <c r="Q2230" s="10">
        <v>108</v>
      </c>
      <c r="R2230" s="10" t="s">
        <v>913</v>
      </c>
      <c r="S2230" s="34">
        <f t="shared" si="249"/>
        <v>108</v>
      </c>
      <c r="T2230" s="10" t="s">
        <v>1166</v>
      </c>
      <c r="U2230" s="34">
        <f t="shared" si="252"/>
        <v>0.93023255813953487</v>
      </c>
      <c r="V2230" s="31" t="str">
        <f>IF(H2230="CHK",VLOOKUP(I2230,QCCHK,3,),IF(H2230="GUP",VLOOKUP(E2230,QCGUP,2,),IF(AND(H2230="ATP",OR(I2230="TN",I2230="TDN",I2230="TNO2-3",I2230="NO2-3")),VLOOKUP(E2230,QCREC_N,2,),IF(AND(H2230="NIC",OR(I2230="TN",I2230="TDN",I2230="TNO2-3",I2230="NO2-3")),VLOOKUP(E2230,QCNIC_N,2,),IF(AND(H2230="UREA",OR(I2230="TN",I2230="TDN",I2230="TNO2-3",I2230="NO2-3")),VLOOKUP(E2230,QCUREA_N,2,),IF(H2230="PER",VLOOKUP(I2230,QCPER,MATCH(E2230,QCACTUAL!$J$25:$AA$25,0),),IF(H2230="SPK",VLOOKUP(I2230,QCSPK,3,),IF(AND(H2230="ATP",OR(I2230="TP",I2230="TDP")),VLOOKUP(E2230,QCATP_P,2,),""))))))))</f>
        <v/>
      </c>
      <c r="W2230" s="31" t="str">
        <f t="shared" si="253"/>
        <v>TRUE</v>
      </c>
      <c r="X2230" s="31" t="str">
        <f t="shared" si="248"/>
        <v>((ABS(rep1-rep2))/((rep1+rep2)/2)*100</v>
      </c>
      <c r="Y2230" s="10" t="s">
        <v>1144</v>
      </c>
      <c r="AL2230" s="10" t="str">
        <f t="shared" si="250"/>
        <v>FALSE</v>
      </c>
      <c r="AM2230" s="10" t="str">
        <f t="shared" si="250"/>
        <v>FALSE</v>
      </c>
      <c r="AN2230" s="10" t="str">
        <f t="shared" si="250"/>
        <v>FALSE</v>
      </c>
      <c r="AO2230" s="10" t="str">
        <f t="shared" si="251"/>
        <v>FALSE</v>
      </c>
      <c r="AP2230" s="10" t="str">
        <f t="shared" si="251"/>
        <v>FALSE</v>
      </c>
      <c r="AQ2230" s="10" t="b">
        <f>IF(AND(I2230="TP",S2230&lt;=150),VLOOKUP(AF2230,TPCalibEq150!$AZ$2:$BB$55,3,),IF(AND(I2230="TDP",S2230&lt;=150),VLOOKUP(AF2230,TPCalibEq150!$AZ$2:$BB$55,3,)))</f>
        <v>0</v>
      </c>
      <c r="AR2230" s="10" t="b">
        <f>IF(AND(I2230="TP",S2230&lt;=300),VLOOKUP(AF2230,TPCalibEq300!$AZ$2:$BB$55,3,),IF(AND(I2230="TDP",S2230&lt;=300),VLOOKUP(AF2230,TPCalibEq300!$AZ$2:$BB$55,3,)))</f>
        <v>0</v>
      </c>
      <c r="AS2230" s="10" t="b">
        <f>IF(AND(I2230="TP",S2230&lt;=500),VLOOKUP(AF2230,TPCalibEq500!$AZ$2:$BB$56,3,),IF(AND(I2230="TDP",S2230&lt;=500),VLOOKUP(AF2230,TPCalibEq500!$AZ$2:$BB$56,3,)))</f>
        <v>0</v>
      </c>
      <c r="AT2230" s="10" t="b">
        <f>IF(AND(I2230="TN",S2230&lt;=2800),VLOOKUP(AF2230,TNCalibEq2500!$AZ$2:$BB$56,3,),IF(AND(I2230="TDN",S2230&lt;=2800),VLOOKUP(AF2230,TNCalibEq2500!$AZ$2:$BB$56,3,)))</f>
        <v>0</v>
      </c>
      <c r="AU2230" s="10" t="b">
        <f>IF(I2230="TP",VLOOKUP(AF2230,TPCalibEqFull!$AZ$2:$BB$56,3),IF(I2230="TDP",VLOOKUP(AF2230,TPCalibEqFull!$AZ$2:$BB$56,3),IF(I2230="TDN",VLOOKUP(AF2230,TNCalibEqFull!$AZ$1:$BB$56,3),IF(I2230="TN",VLOOKUP(AF2230,TNCalibEqFull!$AZ$1:$BB$56,3),FALSE))))</f>
        <v>0</v>
      </c>
      <c r="AV2230" s="10" t="str">
        <f t="shared" si="254"/>
        <v>0208 11:14:20-ECP-0-700-2-SW-DUP</v>
      </c>
    </row>
    <row r="2231" spans="1:48" s="10" customFormat="1" x14ac:dyDescent="0.55000000000000004">
      <c r="A2231" s="32">
        <v>44965</v>
      </c>
      <c r="B2231" s="33">
        <v>0.46828703703703706</v>
      </c>
      <c r="C2231" s="10" t="s">
        <v>618</v>
      </c>
      <c r="D2231" s="10">
        <v>0</v>
      </c>
      <c r="E2231" s="10">
        <v>700</v>
      </c>
      <c r="F2231" s="10">
        <v>2</v>
      </c>
      <c r="G2231" s="10" t="s">
        <v>231</v>
      </c>
      <c r="H2231" s="10" t="s">
        <v>314</v>
      </c>
      <c r="I2231" s="10" t="s">
        <v>285</v>
      </c>
      <c r="J2231" s="10">
        <v>122</v>
      </c>
      <c r="K2231" s="12">
        <v>44966</v>
      </c>
      <c r="L2231" s="33">
        <v>0.50473379629629633</v>
      </c>
      <c r="M2231" s="10">
        <v>1</v>
      </c>
      <c r="N2231" s="10" t="s">
        <v>211</v>
      </c>
      <c r="O2231" s="10">
        <v>1.67</v>
      </c>
      <c r="P2231" s="10">
        <v>0.16400000000000001</v>
      </c>
      <c r="Q2231" s="10">
        <v>289</v>
      </c>
      <c r="R2231" s="10" t="s">
        <v>913</v>
      </c>
      <c r="S2231" s="34">
        <f t="shared" si="249"/>
        <v>289</v>
      </c>
      <c r="T2231" s="10" t="s">
        <v>1166</v>
      </c>
      <c r="U2231" s="34">
        <f t="shared" si="252"/>
        <v>115.84</v>
      </c>
      <c r="V2231" s="31">
        <f>IF(H2231="CHK",VLOOKUP(I2231,QCCHK,3,),IF(H2231="GUP",VLOOKUP(E2231,QCGUP,2,),IF(AND(H2231="ATP",OR(I2231="TN",I2231="TDN",I2231="TNO2-3",I2231="NO2-3")),VLOOKUP(E2231,QCREC_N,2,),IF(AND(H2231="NIC",OR(I2231="TN",I2231="TDN",I2231="TNO2-3",I2231="NO2-3")),VLOOKUP(E2231,QCNIC_N,2,),IF(AND(H2231="UREA",OR(I2231="TN",I2231="TDN",I2231="TNO2-3",I2231="NO2-3")),VLOOKUP(E2231,QCUREA_N,2,),IF(H2231="PER",VLOOKUP(I2231,QCPER,MATCH(E2231,QCACTUAL!$J$25:$AA$25,0),),IF(H2231="SPK",VLOOKUP(I2231,QCSPK,3,),IF(AND(H2231="ATP",OR(I2231="TP",I2231="TDP")),VLOOKUP(E2231,QCATP_P,2,),""))))))))</f>
        <v>156.25</v>
      </c>
      <c r="W2231" s="31" t="str">
        <f t="shared" si="253"/>
        <v>TRUE</v>
      </c>
      <c r="X2231" s="31" t="str">
        <f t="shared" si="248"/>
        <v>([spikedunkn]-[unkn])/[spike]*100</v>
      </c>
      <c r="Y2231" s="10" t="s">
        <v>1144</v>
      </c>
      <c r="AL2231" s="10" t="str">
        <f t="shared" si="250"/>
        <v>FALSE</v>
      </c>
      <c r="AM2231" s="10" t="str">
        <f t="shared" si="250"/>
        <v>FALSE</v>
      </c>
      <c r="AN2231" s="10" t="str">
        <f t="shared" si="250"/>
        <v>FALSE</v>
      </c>
      <c r="AO2231" s="10" t="str">
        <f t="shared" si="251"/>
        <v>FALSE</v>
      </c>
      <c r="AP2231" s="10" t="str">
        <f t="shared" si="251"/>
        <v>FALSE</v>
      </c>
      <c r="AQ2231" s="10" t="b">
        <f>IF(AND(I2231="TP",S2231&lt;=150),VLOOKUP(AF2231,TPCalibEq150!$AZ$2:$BB$55,3,),IF(AND(I2231="TDP",S2231&lt;=150),VLOOKUP(AF2231,TPCalibEq150!$AZ$2:$BB$55,3,)))</f>
        <v>0</v>
      </c>
      <c r="AR2231" s="10" t="b">
        <f>IF(AND(I2231="TP",S2231&lt;=300),VLOOKUP(AF2231,TPCalibEq300!$AZ$2:$BB$55,3,),IF(AND(I2231="TDP",S2231&lt;=300),VLOOKUP(AF2231,TPCalibEq300!$AZ$2:$BB$55,3,)))</f>
        <v>0</v>
      </c>
      <c r="AS2231" s="10" t="b">
        <f>IF(AND(I2231="TP",S2231&lt;=500),VLOOKUP(AF2231,TPCalibEq500!$AZ$2:$BB$56,3,),IF(AND(I2231="TDP",S2231&lt;=500),VLOOKUP(AF2231,TPCalibEq500!$AZ$2:$BB$56,3,)))</f>
        <v>0</v>
      </c>
      <c r="AT2231" s="10" t="b">
        <f>IF(AND(I2231="TN",S2231&lt;=2800),VLOOKUP(AF2231,TNCalibEq2500!$AZ$2:$BB$56,3,),IF(AND(I2231="TDN",S2231&lt;=2800),VLOOKUP(AF2231,TNCalibEq2500!$AZ$2:$BB$56,3,)))</f>
        <v>0</v>
      </c>
      <c r="AU2231" s="10" t="b">
        <f>IF(I2231="TP",VLOOKUP(AF2231,TPCalibEqFull!$AZ$2:$BB$56,3),IF(I2231="TDP",VLOOKUP(AF2231,TPCalibEqFull!$AZ$2:$BB$56,3),IF(I2231="TDN",VLOOKUP(AF2231,TNCalibEqFull!$AZ$1:$BB$56,3),IF(I2231="TN",VLOOKUP(AF2231,TNCalibEqFull!$AZ$1:$BB$56,3),FALSE))))</f>
        <v>0</v>
      </c>
      <c r="AV2231" s="10" t="str">
        <f t="shared" si="254"/>
        <v>0208 11:14:20-ECP-0-700-2-SW-SPK</v>
      </c>
    </row>
    <row r="2232" spans="1:48" s="10" customFormat="1" x14ac:dyDescent="0.55000000000000004">
      <c r="A2232" s="32">
        <v>44966</v>
      </c>
      <c r="B2232" s="33">
        <v>0.375</v>
      </c>
      <c r="C2232" s="10" t="s">
        <v>70</v>
      </c>
      <c r="D2232" s="10" t="s">
        <v>71</v>
      </c>
      <c r="E2232" s="10" t="s">
        <v>901</v>
      </c>
      <c r="F2232" s="10">
        <v>1</v>
      </c>
      <c r="G2232" s="10" t="s">
        <v>73</v>
      </c>
      <c r="H2232" s="10" t="s">
        <v>207</v>
      </c>
      <c r="I2232" s="10" t="s">
        <v>285</v>
      </c>
      <c r="J2232" s="10">
        <v>200</v>
      </c>
      <c r="K2232" s="12">
        <v>44966</v>
      </c>
      <c r="L2232" s="33">
        <v>0.50555555555555554</v>
      </c>
      <c r="M2232" s="10">
        <v>1</v>
      </c>
      <c r="N2232" s="10" t="s">
        <v>211</v>
      </c>
      <c r="O2232" s="10">
        <v>0.435</v>
      </c>
      <c r="P2232" s="10">
        <v>4.2099999999999999E-2</v>
      </c>
      <c r="Q2232" s="10">
        <v>74.900000000000006</v>
      </c>
      <c r="R2232" s="10" t="s">
        <v>913</v>
      </c>
      <c r="S2232" s="34">
        <f t="shared" si="249"/>
        <v>74.900000000000006</v>
      </c>
      <c r="T2232" s="10" t="s">
        <v>1166</v>
      </c>
      <c r="U2232" s="34">
        <f t="shared" si="252"/>
        <v>99.866666666666674</v>
      </c>
      <c r="V2232" s="31">
        <f>IF(H2232="CHK",VLOOKUP(I2232,QCCHK,3,),IF(H2232="GUP",VLOOKUP(E2232,QCGUP,2,),IF(AND(H2232="ATP",OR(I2232="TN",I2232="TDN",I2232="TNO2-3",I2232="NO2-3")),VLOOKUP(E2232,QCREC_N,2,),IF(AND(H2232="NIC",OR(I2232="TN",I2232="TDN",I2232="TNO2-3",I2232="NO2-3")),VLOOKUP(E2232,QCNIC_N,2,),IF(AND(H2232="UREA",OR(I2232="TN",I2232="TDN",I2232="TNO2-3",I2232="NO2-3")),VLOOKUP(E2232,QCUREA_N,2,),IF(H2232="PER",VLOOKUP(I2232,QCPER,MATCH(E2232,QCACTUAL!$J$25:$AA$25,0),),IF(H2232="SPK",VLOOKUP(I2232,QCSPK,3,),IF(AND(H2232="ATP",OR(I2232="TP",I2232="TDP")),VLOOKUP(E2232,QCATP_P,2,),""))))))))</f>
        <v>75</v>
      </c>
      <c r="W2232" s="31" t="str">
        <f t="shared" si="253"/>
        <v>TRUE</v>
      </c>
      <c r="X2232" s="31" t="str">
        <f t="shared" si="248"/>
        <v>[chk]/[actual]*100</v>
      </c>
      <c r="Y2232" s="10" t="s">
        <v>1144</v>
      </c>
      <c r="AL2232" s="10" t="str">
        <f t="shared" si="250"/>
        <v>FALSE</v>
      </c>
      <c r="AM2232" s="10" t="str">
        <f t="shared" si="250"/>
        <v>FALSE</v>
      </c>
      <c r="AN2232" s="10" t="str">
        <f t="shared" si="250"/>
        <v>FALSE</v>
      </c>
      <c r="AO2232" s="10" t="str">
        <f t="shared" si="251"/>
        <v>FALSE</v>
      </c>
      <c r="AP2232" s="10" t="str">
        <f t="shared" si="251"/>
        <v>FALSE</v>
      </c>
      <c r="AQ2232" s="10" t="b">
        <f>IF(AND(I2232="TP",S2232&lt;=150),VLOOKUP(AF2232,TPCalibEq150!$AZ$2:$BB$55,3,),IF(AND(I2232="TDP",S2232&lt;=150),VLOOKUP(AF2232,TPCalibEq150!$AZ$2:$BB$55,3,)))</f>
        <v>0</v>
      </c>
      <c r="AR2232" s="10" t="b">
        <f>IF(AND(I2232="TP",S2232&lt;=300),VLOOKUP(AF2232,TPCalibEq300!$AZ$2:$BB$55,3,),IF(AND(I2232="TDP",S2232&lt;=300),VLOOKUP(AF2232,TPCalibEq300!$AZ$2:$BB$55,3,)))</f>
        <v>0</v>
      </c>
      <c r="AS2232" s="10" t="b">
        <f>IF(AND(I2232="TP",S2232&lt;=500),VLOOKUP(AF2232,TPCalibEq500!$AZ$2:$BB$56,3,),IF(AND(I2232="TDP",S2232&lt;=500),VLOOKUP(AF2232,TPCalibEq500!$AZ$2:$BB$56,3,)))</f>
        <v>0</v>
      </c>
      <c r="AT2232" s="10" t="b">
        <f>IF(AND(I2232="TN",S2232&lt;=2800),VLOOKUP(AF2232,TNCalibEq2500!$AZ$2:$BB$56,3,),IF(AND(I2232="TDN",S2232&lt;=2800),VLOOKUP(AF2232,TNCalibEq2500!$AZ$2:$BB$56,3,)))</f>
        <v>0</v>
      </c>
      <c r="AU2232" s="10" t="b">
        <f>IF(I2232="TP",VLOOKUP(AF2232,TPCalibEqFull!$AZ$2:$BB$56,3),IF(I2232="TDP",VLOOKUP(AF2232,TPCalibEqFull!$AZ$2:$BB$56,3),IF(I2232="TDN",VLOOKUP(AF2232,TNCalibEqFull!$AZ$1:$BB$56,3),IF(I2232="TN",VLOOKUP(AF2232,TNCalibEqFull!$AZ$1:$BB$56,3),FALSE))))</f>
        <v>0</v>
      </c>
      <c r="AV2232" s="10" t="str">
        <f t="shared" si="254"/>
        <v>0209 09:00:00-QAC-STD-D-1-DI-CHK</v>
      </c>
    </row>
    <row r="2233" spans="1:48" s="10" customFormat="1" x14ac:dyDescent="0.55000000000000004">
      <c r="A2233" s="32">
        <v>44965</v>
      </c>
      <c r="B2233" s="33">
        <v>0.49027777777777781</v>
      </c>
      <c r="C2233" s="10" t="s">
        <v>618</v>
      </c>
      <c r="D2233" s="10">
        <v>5</v>
      </c>
      <c r="E2233" s="10">
        <v>660</v>
      </c>
      <c r="F2233" s="10">
        <v>1</v>
      </c>
      <c r="G2233" s="10" t="s">
        <v>231</v>
      </c>
      <c r="H2233" s="10" t="s">
        <v>322</v>
      </c>
      <c r="I2233" s="10" t="s">
        <v>285</v>
      </c>
      <c r="J2233" s="10">
        <v>30</v>
      </c>
      <c r="K2233" s="12">
        <v>44966</v>
      </c>
      <c r="L2233" s="33">
        <v>0.50636574074074081</v>
      </c>
      <c r="M2233" s="10">
        <v>1</v>
      </c>
      <c r="N2233" s="10" t="s">
        <v>211</v>
      </c>
      <c r="O2233" s="10">
        <v>0.622</v>
      </c>
      <c r="P2233" s="10">
        <v>5.9700000000000003E-2</v>
      </c>
      <c r="Q2233" s="10">
        <v>107</v>
      </c>
      <c r="R2233" s="10" t="s">
        <v>913</v>
      </c>
      <c r="S2233" s="34">
        <f t="shared" si="249"/>
        <v>107</v>
      </c>
      <c r="T2233" s="10" t="s">
        <v>1166</v>
      </c>
      <c r="U2233" s="34" t="str">
        <f t="shared" si="252"/>
        <v/>
      </c>
      <c r="V2233" s="31" t="str">
        <f>IF(H2233="CHK",VLOOKUP(I2233,QCCHK,3,),IF(H2233="GUP",VLOOKUP(E2233,QCGUP,2,),IF(AND(H2233="ATP",OR(I2233="TN",I2233="TDN",I2233="TNO2-3",I2233="NO2-3")),VLOOKUP(E2233,QCREC_N,2,),IF(AND(H2233="NIC",OR(I2233="TN",I2233="TDN",I2233="TNO2-3",I2233="NO2-3")),VLOOKUP(E2233,QCNIC_N,2,),IF(AND(H2233="UREA",OR(I2233="TN",I2233="TDN",I2233="TNO2-3",I2233="NO2-3")),VLOOKUP(E2233,QCUREA_N,2,),IF(H2233="PER",VLOOKUP(I2233,QCPER,MATCH(E2233,QCACTUAL!$J$25:$AA$25,0),),IF(H2233="SPK",VLOOKUP(I2233,QCSPK,3,),IF(AND(H2233="ATP",OR(I2233="TP",I2233="TDP")),VLOOKUP(E2233,QCATP_P,2,),""))))))))</f>
        <v/>
      </c>
      <c r="W2233" s="31" t="str">
        <f t="shared" si="253"/>
        <v>TRUE</v>
      </c>
      <c r="X2233" s="31" t="str">
        <f t="shared" si="248"/>
        <v/>
      </c>
      <c r="Y2233" s="10" t="s">
        <v>1144</v>
      </c>
      <c r="AL2233" s="10" t="str">
        <f t="shared" si="250"/>
        <v>FALSE</v>
      </c>
      <c r="AM2233" s="10" t="str">
        <f t="shared" si="250"/>
        <v>FALSE</v>
      </c>
      <c r="AN2233" s="10" t="str">
        <f t="shared" si="250"/>
        <v>FALSE</v>
      </c>
      <c r="AO2233" s="10" t="str">
        <f t="shared" si="251"/>
        <v>FALSE</v>
      </c>
      <c r="AP2233" s="10" t="str">
        <f t="shared" si="251"/>
        <v>FALSE</v>
      </c>
      <c r="AQ2233" s="10" t="b">
        <f>IF(AND(I2233="TP",S2233&lt;=150),VLOOKUP(AF2233,TPCalibEq150!$AZ$2:$BB$55,3,),IF(AND(I2233="TDP",S2233&lt;=150),VLOOKUP(AF2233,TPCalibEq150!$AZ$2:$BB$55,3,)))</f>
        <v>0</v>
      </c>
      <c r="AR2233" s="10" t="b">
        <f>IF(AND(I2233="TP",S2233&lt;=300),VLOOKUP(AF2233,TPCalibEq300!$AZ$2:$BB$55,3,),IF(AND(I2233="TDP",S2233&lt;=300),VLOOKUP(AF2233,TPCalibEq300!$AZ$2:$BB$55,3,)))</f>
        <v>0</v>
      </c>
      <c r="AS2233" s="10" t="b">
        <f>IF(AND(I2233="TP",S2233&lt;=500),VLOOKUP(AF2233,TPCalibEq500!$AZ$2:$BB$56,3,),IF(AND(I2233="TDP",S2233&lt;=500),VLOOKUP(AF2233,TPCalibEq500!$AZ$2:$BB$56,3,)))</f>
        <v>0</v>
      </c>
      <c r="AT2233" s="10" t="b">
        <f>IF(AND(I2233="TN",S2233&lt;=2800),VLOOKUP(AF2233,TNCalibEq2500!$AZ$2:$BB$56,3,),IF(AND(I2233="TDN",S2233&lt;=2800),VLOOKUP(AF2233,TNCalibEq2500!$AZ$2:$BB$56,3,)))</f>
        <v>0</v>
      </c>
      <c r="AU2233" s="10" t="b">
        <f>IF(I2233="TP",VLOOKUP(AF2233,TPCalibEqFull!$AZ$2:$BB$56,3),IF(I2233="TDP",VLOOKUP(AF2233,TPCalibEqFull!$AZ$2:$BB$56,3),IF(I2233="TDN",VLOOKUP(AF2233,TNCalibEqFull!$AZ$1:$BB$56,3),IF(I2233="TN",VLOOKUP(AF2233,TNCalibEqFull!$AZ$1:$BB$56,3),FALSE))))</f>
        <v>0</v>
      </c>
      <c r="AV2233" s="10" t="str">
        <f t="shared" si="254"/>
        <v>0208 11:46:00-ECP-5-660-1-SW-UKN</v>
      </c>
    </row>
    <row r="2234" spans="1:48" s="10" customFormat="1" x14ac:dyDescent="0.55000000000000004">
      <c r="A2234" s="32">
        <v>44965</v>
      </c>
      <c r="B2234" s="33">
        <v>0.4927083333333333</v>
      </c>
      <c r="C2234" s="10" t="s">
        <v>618</v>
      </c>
      <c r="D2234" s="10">
        <v>10</v>
      </c>
      <c r="E2234" s="10">
        <v>700</v>
      </c>
      <c r="F2234" s="10">
        <v>1</v>
      </c>
      <c r="G2234" s="10" t="s">
        <v>231</v>
      </c>
      <c r="H2234" s="10" t="s">
        <v>322</v>
      </c>
      <c r="I2234" s="10" t="s">
        <v>285</v>
      </c>
      <c r="J2234" s="10">
        <v>31</v>
      </c>
      <c r="K2234" s="12">
        <v>44966</v>
      </c>
      <c r="L2234" s="33">
        <v>0.50718750000000001</v>
      </c>
      <c r="M2234" s="10">
        <v>1</v>
      </c>
      <c r="N2234" s="10" t="s">
        <v>211</v>
      </c>
      <c r="O2234" s="10">
        <v>0.625</v>
      </c>
      <c r="P2234" s="10">
        <v>5.9900000000000002E-2</v>
      </c>
      <c r="Q2234" s="10">
        <v>108</v>
      </c>
      <c r="R2234" s="10" t="s">
        <v>913</v>
      </c>
      <c r="S2234" s="34">
        <f t="shared" si="249"/>
        <v>108</v>
      </c>
      <c r="T2234" s="10" t="s">
        <v>1166</v>
      </c>
      <c r="U2234" s="34" t="str">
        <f t="shared" si="252"/>
        <v/>
      </c>
      <c r="V2234" s="31" t="str">
        <f>IF(H2234="CHK",VLOOKUP(I2234,QCCHK,3,),IF(H2234="GUP",VLOOKUP(E2234,QCGUP,2,),IF(AND(H2234="ATP",OR(I2234="TN",I2234="TDN",I2234="TNO2-3",I2234="NO2-3")),VLOOKUP(E2234,QCREC_N,2,),IF(AND(H2234="NIC",OR(I2234="TN",I2234="TDN",I2234="TNO2-3",I2234="NO2-3")),VLOOKUP(E2234,QCNIC_N,2,),IF(AND(H2234="UREA",OR(I2234="TN",I2234="TDN",I2234="TNO2-3",I2234="NO2-3")),VLOOKUP(E2234,QCUREA_N,2,),IF(H2234="PER",VLOOKUP(I2234,QCPER,MATCH(E2234,QCACTUAL!$J$25:$AA$25,0),),IF(H2234="SPK",VLOOKUP(I2234,QCSPK,3,),IF(AND(H2234="ATP",OR(I2234="TP",I2234="TDP")),VLOOKUP(E2234,QCATP_P,2,),""))))))))</f>
        <v/>
      </c>
      <c r="W2234" s="31" t="str">
        <f t="shared" si="253"/>
        <v>TRUE</v>
      </c>
      <c r="X2234" s="31" t="str">
        <f t="shared" si="248"/>
        <v/>
      </c>
      <c r="Y2234" s="10" t="s">
        <v>1144</v>
      </c>
      <c r="AL2234" s="10" t="str">
        <f t="shared" si="250"/>
        <v>FALSE</v>
      </c>
      <c r="AM2234" s="10" t="str">
        <f t="shared" si="250"/>
        <v>FALSE</v>
      </c>
      <c r="AN2234" s="10" t="str">
        <f t="shared" si="250"/>
        <v>FALSE</v>
      </c>
      <c r="AO2234" s="10" t="str">
        <f t="shared" si="251"/>
        <v>FALSE</v>
      </c>
      <c r="AP2234" s="10" t="str">
        <f t="shared" si="251"/>
        <v>FALSE</v>
      </c>
      <c r="AQ2234" s="10" t="b">
        <f>IF(AND(I2234="TP",S2234&lt;=150),VLOOKUP(AF2234,TPCalibEq150!$AZ$2:$BB$55,3,),IF(AND(I2234="TDP",S2234&lt;=150),VLOOKUP(AF2234,TPCalibEq150!$AZ$2:$BB$55,3,)))</f>
        <v>0</v>
      </c>
      <c r="AR2234" s="10" t="b">
        <f>IF(AND(I2234="TP",S2234&lt;=300),VLOOKUP(AF2234,TPCalibEq300!$AZ$2:$BB$55,3,),IF(AND(I2234="TDP",S2234&lt;=300),VLOOKUP(AF2234,TPCalibEq300!$AZ$2:$BB$55,3,)))</f>
        <v>0</v>
      </c>
      <c r="AS2234" s="10" t="b">
        <f>IF(AND(I2234="TP",S2234&lt;=500),VLOOKUP(AF2234,TPCalibEq500!$AZ$2:$BB$56,3,),IF(AND(I2234="TDP",S2234&lt;=500),VLOOKUP(AF2234,TPCalibEq500!$AZ$2:$BB$56,3,)))</f>
        <v>0</v>
      </c>
      <c r="AT2234" s="10" t="b">
        <f>IF(AND(I2234="TN",S2234&lt;=2800),VLOOKUP(AF2234,TNCalibEq2500!$AZ$2:$BB$56,3,),IF(AND(I2234="TDN",S2234&lt;=2800),VLOOKUP(AF2234,TNCalibEq2500!$AZ$2:$BB$56,3,)))</f>
        <v>0</v>
      </c>
      <c r="AU2234" s="10" t="b">
        <f>IF(I2234="TP",VLOOKUP(AF2234,TPCalibEqFull!$AZ$2:$BB$56,3),IF(I2234="TDP",VLOOKUP(AF2234,TPCalibEqFull!$AZ$2:$BB$56,3),IF(I2234="TDN",VLOOKUP(AF2234,TNCalibEqFull!$AZ$1:$BB$56,3),IF(I2234="TN",VLOOKUP(AF2234,TNCalibEqFull!$AZ$1:$BB$56,3),FALSE))))</f>
        <v>0</v>
      </c>
      <c r="AV2234" s="10" t="str">
        <f t="shared" si="254"/>
        <v>0208 11:49:30-ECP-10-700-1-SW-UKN</v>
      </c>
    </row>
    <row r="2235" spans="1:48" s="10" customFormat="1" x14ac:dyDescent="0.55000000000000004">
      <c r="A2235" s="32">
        <v>44965</v>
      </c>
      <c r="B2235" s="33">
        <v>0.49502314814814818</v>
      </c>
      <c r="C2235" s="10" t="s">
        <v>618</v>
      </c>
      <c r="D2235" s="10">
        <v>20</v>
      </c>
      <c r="E2235" s="10" t="s">
        <v>190</v>
      </c>
      <c r="F2235" s="10">
        <v>1</v>
      </c>
      <c r="G2235" s="10" t="s">
        <v>231</v>
      </c>
      <c r="H2235" s="10" t="s">
        <v>322</v>
      </c>
      <c r="I2235" s="10" t="s">
        <v>285</v>
      </c>
      <c r="J2235" s="10">
        <v>32</v>
      </c>
      <c r="K2235" s="12">
        <v>44966</v>
      </c>
      <c r="L2235" s="33">
        <v>0.50800925925925922</v>
      </c>
      <c r="M2235" s="10">
        <v>1</v>
      </c>
      <c r="N2235" s="10" t="s">
        <v>211</v>
      </c>
      <c r="O2235" s="10">
        <v>0.61499999999999999</v>
      </c>
      <c r="P2235" s="10">
        <v>5.8799999999999998E-2</v>
      </c>
      <c r="Q2235" s="10">
        <v>106</v>
      </c>
      <c r="R2235" s="10" t="s">
        <v>913</v>
      </c>
      <c r="S2235" s="34">
        <f t="shared" si="249"/>
        <v>106</v>
      </c>
      <c r="T2235" s="10" t="s">
        <v>1166</v>
      </c>
      <c r="U2235" s="34" t="str">
        <f t="shared" si="252"/>
        <v/>
      </c>
      <c r="V2235" s="31" t="str">
        <f>IF(H2235="CHK",VLOOKUP(I2235,QCCHK,3,),IF(H2235="GUP",VLOOKUP(E2235,QCGUP,2,),IF(AND(H2235="ATP",OR(I2235="TN",I2235="TDN",I2235="TNO2-3",I2235="NO2-3")),VLOOKUP(E2235,QCREC_N,2,),IF(AND(H2235="NIC",OR(I2235="TN",I2235="TDN",I2235="TNO2-3",I2235="NO2-3")),VLOOKUP(E2235,QCNIC_N,2,),IF(AND(H2235="UREA",OR(I2235="TN",I2235="TDN",I2235="TNO2-3",I2235="NO2-3")),VLOOKUP(E2235,QCUREA_N,2,),IF(H2235="PER",VLOOKUP(I2235,QCPER,MATCH(E2235,QCACTUAL!$J$25:$AA$25,0),),IF(H2235="SPK",VLOOKUP(I2235,QCSPK,3,),IF(AND(H2235="ATP",OR(I2235="TP",I2235="TDP")),VLOOKUP(E2235,QCATP_P,2,),""))))))))</f>
        <v/>
      </c>
      <c r="W2235" s="31" t="str">
        <f t="shared" si="253"/>
        <v>TRUE</v>
      </c>
      <c r="X2235" s="31" t="str">
        <f t="shared" si="248"/>
        <v/>
      </c>
      <c r="Y2235" s="10" t="s">
        <v>1144</v>
      </c>
      <c r="AL2235" s="10" t="str">
        <f t="shared" si="250"/>
        <v>FALSE</v>
      </c>
      <c r="AM2235" s="10" t="str">
        <f t="shared" si="250"/>
        <v>FALSE</v>
      </c>
      <c r="AN2235" s="10" t="str">
        <f t="shared" si="250"/>
        <v>FALSE</v>
      </c>
      <c r="AO2235" s="10" t="str">
        <f t="shared" si="251"/>
        <v>FALSE</v>
      </c>
      <c r="AP2235" s="10" t="str">
        <f t="shared" si="251"/>
        <v>FALSE</v>
      </c>
      <c r="AQ2235" s="10" t="b">
        <f>IF(AND(I2235="TP",S2235&lt;=150),VLOOKUP(AF2235,TPCalibEq150!$AZ$2:$BB$55,3,),IF(AND(I2235="TDP",S2235&lt;=150),VLOOKUP(AF2235,TPCalibEq150!$AZ$2:$BB$55,3,)))</f>
        <v>0</v>
      </c>
      <c r="AR2235" s="10" t="b">
        <f>IF(AND(I2235="TP",S2235&lt;=300),VLOOKUP(AF2235,TPCalibEq300!$AZ$2:$BB$55,3,),IF(AND(I2235="TDP",S2235&lt;=300),VLOOKUP(AF2235,TPCalibEq300!$AZ$2:$BB$55,3,)))</f>
        <v>0</v>
      </c>
      <c r="AS2235" s="10" t="b">
        <f>IF(AND(I2235="TP",S2235&lt;=500),VLOOKUP(AF2235,TPCalibEq500!$AZ$2:$BB$56,3,),IF(AND(I2235="TDP",S2235&lt;=500),VLOOKUP(AF2235,TPCalibEq500!$AZ$2:$BB$56,3,)))</f>
        <v>0</v>
      </c>
      <c r="AT2235" s="10" t="b">
        <f>IF(AND(I2235="TN",S2235&lt;=2800),VLOOKUP(AF2235,TNCalibEq2500!$AZ$2:$BB$56,3,),IF(AND(I2235="TDN",S2235&lt;=2800),VLOOKUP(AF2235,TNCalibEq2500!$AZ$2:$BB$56,3,)))</f>
        <v>0</v>
      </c>
      <c r="AU2235" s="10" t="b">
        <f>IF(I2235="TP",VLOOKUP(AF2235,TPCalibEqFull!$AZ$2:$BB$56,3),IF(I2235="TDP",VLOOKUP(AF2235,TPCalibEqFull!$AZ$2:$BB$56,3),IF(I2235="TDN",VLOOKUP(AF2235,TNCalibEqFull!$AZ$1:$BB$56,3),IF(I2235="TN",VLOOKUP(AF2235,TNCalibEqFull!$AZ$1:$BB$56,3),FALSE))))</f>
        <v>0</v>
      </c>
      <c r="AV2235" s="10" t="str">
        <f t="shared" si="254"/>
        <v>0208 11:52:50-ECP-20-C-1-SW-UKN</v>
      </c>
    </row>
    <row r="2236" spans="1:48" s="10" customFormat="1" x14ac:dyDescent="0.55000000000000004">
      <c r="A2236" s="32">
        <v>44965</v>
      </c>
      <c r="B2236" s="33">
        <v>0.49745370370370368</v>
      </c>
      <c r="C2236" s="10" t="s">
        <v>618</v>
      </c>
      <c r="D2236" s="10">
        <v>33</v>
      </c>
      <c r="E2236" s="10" t="s">
        <v>190</v>
      </c>
      <c r="F2236" s="10">
        <v>1</v>
      </c>
      <c r="G2236" s="10" t="s">
        <v>231</v>
      </c>
      <c r="H2236" s="10" t="s">
        <v>322</v>
      </c>
      <c r="I2236" s="10" t="s">
        <v>285</v>
      </c>
      <c r="J2236" s="10">
        <v>33</v>
      </c>
      <c r="K2236" s="12">
        <v>44966</v>
      </c>
      <c r="L2236" s="33">
        <v>0.50883101851851853</v>
      </c>
      <c r="M2236" s="10">
        <v>1</v>
      </c>
      <c r="N2236" s="10" t="s">
        <v>211</v>
      </c>
      <c r="O2236" s="10">
        <v>0.57399999999999995</v>
      </c>
      <c r="P2236" s="10">
        <v>5.5E-2</v>
      </c>
      <c r="Q2236" s="10">
        <v>98.8</v>
      </c>
      <c r="R2236" s="10" t="s">
        <v>913</v>
      </c>
      <c r="S2236" s="34">
        <f t="shared" si="249"/>
        <v>98.8</v>
      </c>
      <c r="T2236" s="10" t="s">
        <v>1166</v>
      </c>
      <c r="U2236" s="34" t="str">
        <f t="shared" si="252"/>
        <v/>
      </c>
      <c r="V2236" s="31" t="str">
        <f>IF(H2236="CHK",VLOOKUP(I2236,QCCHK,3,),IF(H2236="GUP",VLOOKUP(E2236,QCGUP,2,),IF(AND(H2236="ATP",OR(I2236="TN",I2236="TDN",I2236="TNO2-3",I2236="NO2-3")),VLOOKUP(E2236,QCREC_N,2,),IF(AND(H2236="NIC",OR(I2236="TN",I2236="TDN",I2236="TNO2-3",I2236="NO2-3")),VLOOKUP(E2236,QCNIC_N,2,),IF(AND(H2236="UREA",OR(I2236="TN",I2236="TDN",I2236="TNO2-3",I2236="NO2-3")),VLOOKUP(E2236,QCUREA_N,2,),IF(H2236="PER",VLOOKUP(I2236,QCPER,MATCH(E2236,QCACTUAL!$J$25:$AA$25,0),),IF(H2236="SPK",VLOOKUP(I2236,QCSPK,3,),IF(AND(H2236="ATP",OR(I2236="TP",I2236="TDP")),VLOOKUP(E2236,QCATP_P,2,),""))))))))</f>
        <v/>
      </c>
      <c r="W2236" s="31" t="str">
        <f t="shared" si="253"/>
        <v>TRUE</v>
      </c>
      <c r="X2236" s="31" t="str">
        <f t="shared" si="248"/>
        <v/>
      </c>
      <c r="Y2236" s="10" t="s">
        <v>1144</v>
      </c>
      <c r="AL2236" s="10" t="str">
        <f t="shared" si="250"/>
        <v>FALSE</v>
      </c>
      <c r="AM2236" s="10" t="str">
        <f t="shared" si="250"/>
        <v>FALSE</v>
      </c>
      <c r="AN2236" s="10" t="str">
        <f t="shared" si="250"/>
        <v>FALSE</v>
      </c>
      <c r="AO2236" s="10" t="str">
        <f t="shared" si="251"/>
        <v>FALSE</v>
      </c>
      <c r="AP2236" s="10" t="str">
        <f t="shared" si="251"/>
        <v>FALSE</v>
      </c>
      <c r="AQ2236" s="10" t="b">
        <f>IF(AND(I2236="TP",S2236&lt;=150),VLOOKUP(AF2236,TPCalibEq150!$AZ$2:$BB$55,3,),IF(AND(I2236="TDP",S2236&lt;=150),VLOOKUP(AF2236,TPCalibEq150!$AZ$2:$BB$55,3,)))</f>
        <v>0</v>
      </c>
      <c r="AR2236" s="10" t="b">
        <f>IF(AND(I2236="TP",S2236&lt;=300),VLOOKUP(AF2236,TPCalibEq300!$AZ$2:$BB$55,3,),IF(AND(I2236="TDP",S2236&lt;=300),VLOOKUP(AF2236,TPCalibEq300!$AZ$2:$BB$55,3,)))</f>
        <v>0</v>
      </c>
      <c r="AS2236" s="10" t="b">
        <f>IF(AND(I2236="TP",S2236&lt;=500),VLOOKUP(AF2236,TPCalibEq500!$AZ$2:$BB$56,3,),IF(AND(I2236="TDP",S2236&lt;=500),VLOOKUP(AF2236,TPCalibEq500!$AZ$2:$BB$56,3,)))</f>
        <v>0</v>
      </c>
      <c r="AT2236" s="10" t="b">
        <f>IF(AND(I2236="TN",S2236&lt;=2800),VLOOKUP(AF2236,TNCalibEq2500!$AZ$2:$BB$56,3,),IF(AND(I2236="TDN",S2236&lt;=2800),VLOOKUP(AF2236,TNCalibEq2500!$AZ$2:$BB$56,3,)))</f>
        <v>0</v>
      </c>
      <c r="AU2236" s="10" t="b">
        <f>IF(I2236="TP",VLOOKUP(AF2236,TPCalibEqFull!$AZ$2:$BB$56,3),IF(I2236="TDP",VLOOKUP(AF2236,TPCalibEqFull!$AZ$2:$BB$56,3),IF(I2236="TDN",VLOOKUP(AF2236,TNCalibEqFull!$AZ$1:$BB$56,3),IF(I2236="TN",VLOOKUP(AF2236,TNCalibEqFull!$AZ$1:$BB$56,3),FALSE))))</f>
        <v>0</v>
      </c>
      <c r="AV2236" s="10" t="str">
        <f t="shared" si="254"/>
        <v>0208 11:56:20-ECP-33-C-1-SW-UKN</v>
      </c>
    </row>
    <row r="2237" spans="1:48" s="10" customFormat="1" x14ac:dyDescent="0.55000000000000004">
      <c r="A2237" s="32">
        <v>44965</v>
      </c>
      <c r="B2237" s="33">
        <v>0.50439814814814821</v>
      </c>
      <c r="C2237" s="10" t="s">
        <v>661</v>
      </c>
      <c r="D2237" s="10">
        <v>0</v>
      </c>
      <c r="E2237" s="10">
        <v>660</v>
      </c>
      <c r="F2237" s="10">
        <v>1</v>
      </c>
      <c r="G2237" s="10" t="s">
        <v>231</v>
      </c>
      <c r="H2237" s="10" t="s">
        <v>322</v>
      </c>
      <c r="I2237" s="10" t="s">
        <v>285</v>
      </c>
      <c r="J2237" s="10">
        <v>34</v>
      </c>
      <c r="K2237" s="12">
        <v>44966</v>
      </c>
      <c r="L2237" s="33">
        <v>0.50965277777777784</v>
      </c>
      <c r="M2237" s="10">
        <v>1</v>
      </c>
      <c r="N2237" s="10" t="s">
        <v>211</v>
      </c>
      <c r="O2237" s="10">
        <v>0.64</v>
      </c>
      <c r="P2237" s="10">
        <v>6.0999999999999999E-2</v>
      </c>
      <c r="Q2237" s="10">
        <v>110</v>
      </c>
      <c r="R2237" s="10" t="s">
        <v>913</v>
      </c>
      <c r="S2237" s="34">
        <f t="shared" si="249"/>
        <v>110</v>
      </c>
      <c r="T2237" s="10" t="s">
        <v>1166</v>
      </c>
      <c r="U2237" s="34" t="str">
        <f t="shared" si="252"/>
        <v/>
      </c>
      <c r="V2237" s="31" t="str">
        <f>IF(H2237="CHK",VLOOKUP(I2237,QCCHK,3,),IF(H2237="GUP",VLOOKUP(E2237,QCGUP,2,),IF(AND(H2237="ATP",OR(I2237="TN",I2237="TDN",I2237="TNO2-3",I2237="NO2-3")),VLOOKUP(E2237,QCREC_N,2,),IF(AND(H2237="NIC",OR(I2237="TN",I2237="TDN",I2237="TNO2-3",I2237="NO2-3")),VLOOKUP(E2237,QCNIC_N,2,),IF(AND(H2237="UREA",OR(I2237="TN",I2237="TDN",I2237="TNO2-3",I2237="NO2-3")),VLOOKUP(E2237,QCUREA_N,2,),IF(H2237="PER",VLOOKUP(I2237,QCPER,MATCH(E2237,QCACTUAL!$J$25:$AA$25,0),),IF(H2237="SPK",VLOOKUP(I2237,QCSPK,3,),IF(AND(H2237="ATP",OR(I2237="TP",I2237="TDP")),VLOOKUP(E2237,QCATP_P,2,),""))))))))</f>
        <v/>
      </c>
      <c r="W2237" s="31" t="str">
        <f t="shared" si="253"/>
        <v>TRUE</v>
      </c>
      <c r="X2237" s="31" t="str">
        <f t="shared" si="248"/>
        <v/>
      </c>
      <c r="Y2237" s="10" t="s">
        <v>1144</v>
      </c>
      <c r="AL2237" s="10" t="str">
        <f t="shared" si="250"/>
        <v>FALSE</v>
      </c>
      <c r="AM2237" s="10" t="str">
        <f t="shared" si="250"/>
        <v>FALSE</v>
      </c>
      <c r="AN2237" s="10" t="str">
        <f t="shared" si="250"/>
        <v>FALSE</v>
      </c>
      <c r="AO2237" s="10" t="str">
        <f t="shared" si="251"/>
        <v>FALSE</v>
      </c>
      <c r="AP2237" s="10" t="str">
        <f t="shared" si="251"/>
        <v>FALSE</v>
      </c>
      <c r="AQ2237" s="10" t="b">
        <f>IF(AND(I2237="TP",S2237&lt;=150),VLOOKUP(AF2237,TPCalibEq150!$AZ$2:$BB$55,3,),IF(AND(I2237="TDP",S2237&lt;=150),VLOOKUP(AF2237,TPCalibEq150!$AZ$2:$BB$55,3,)))</f>
        <v>0</v>
      </c>
      <c r="AR2237" s="10" t="b">
        <f>IF(AND(I2237="TP",S2237&lt;=300),VLOOKUP(AF2237,TPCalibEq300!$AZ$2:$BB$55,3,),IF(AND(I2237="TDP",S2237&lt;=300),VLOOKUP(AF2237,TPCalibEq300!$AZ$2:$BB$55,3,)))</f>
        <v>0</v>
      </c>
      <c r="AS2237" s="10" t="b">
        <f>IF(AND(I2237="TP",S2237&lt;=500),VLOOKUP(AF2237,TPCalibEq500!$AZ$2:$BB$56,3,),IF(AND(I2237="TDP",S2237&lt;=500),VLOOKUP(AF2237,TPCalibEq500!$AZ$2:$BB$56,3,)))</f>
        <v>0</v>
      </c>
      <c r="AT2237" s="10" t="b">
        <f>IF(AND(I2237="TN",S2237&lt;=2800),VLOOKUP(AF2237,TNCalibEq2500!$AZ$2:$BB$56,3,),IF(AND(I2237="TDN",S2237&lt;=2800),VLOOKUP(AF2237,TNCalibEq2500!$AZ$2:$BB$56,3,)))</f>
        <v>0</v>
      </c>
      <c r="AU2237" s="10" t="b">
        <f>IF(I2237="TP",VLOOKUP(AF2237,TPCalibEqFull!$AZ$2:$BB$56,3),IF(I2237="TDP",VLOOKUP(AF2237,TPCalibEqFull!$AZ$2:$BB$56,3),IF(I2237="TDN",VLOOKUP(AF2237,TNCalibEqFull!$AZ$1:$BB$56,3),IF(I2237="TN",VLOOKUP(AF2237,TNCalibEqFull!$AZ$1:$BB$56,3),FALSE))))</f>
        <v>0</v>
      </c>
      <c r="AV2237" s="10" t="str">
        <f t="shared" si="254"/>
        <v>0208 12:06:20-ENN-0-660-1-SW-UKN</v>
      </c>
    </row>
    <row r="2238" spans="1:48" s="10" customFormat="1" x14ac:dyDescent="0.55000000000000004">
      <c r="A2238" s="32">
        <v>44965</v>
      </c>
      <c r="B2238" s="33">
        <v>0.50706018518518514</v>
      </c>
      <c r="C2238" s="10" t="s">
        <v>661</v>
      </c>
      <c r="D2238" s="10">
        <v>5</v>
      </c>
      <c r="E2238" s="10">
        <v>700</v>
      </c>
      <c r="F2238" s="10">
        <v>1</v>
      </c>
      <c r="G2238" s="10" t="s">
        <v>231</v>
      </c>
      <c r="H2238" s="10" t="s">
        <v>322</v>
      </c>
      <c r="I2238" s="10" t="s">
        <v>285</v>
      </c>
      <c r="J2238" s="10">
        <v>35</v>
      </c>
      <c r="K2238" s="12">
        <v>44966</v>
      </c>
      <c r="L2238" s="33">
        <v>0.51047453703703705</v>
      </c>
      <c r="M2238" s="10">
        <v>1</v>
      </c>
      <c r="N2238" s="10" t="s">
        <v>211</v>
      </c>
      <c r="O2238" s="10">
        <v>0.63700000000000001</v>
      </c>
      <c r="P2238" s="10">
        <v>6.0999999999999999E-2</v>
      </c>
      <c r="Q2238" s="10">
        <v>110</v>
      </c>
      <c r="R2238" s="10" t="s">
        <v>913</v>
      </c>
      <c r="S2238" s="34">
        <f t="shared" si="249"/>
        <v>110</v>
      </c>
      <c r="T2238" s="10" t="s">
        <v>1166</v>
      </c>
      <c r="U2238" s="34" t="str">
        <f t="shared" si="252"/>
        <v/>
      </c>
      <c r="V2238" s="31" t="str">
        <f>IF(H2238="CHK",VLOOKUP(I2238,QCCHK,3,),IF(H2238="GUP",VLOOKUP(E2238,QCGUP,2,),IF(AND(H2238="ATP",OR(I2238="TN",I2238="TDN",I2238="TNO2-3",I2238="NO2-3")),VLOOKUP(E2238,QCREC_N,2,),IF(AND(H2238="NIC",OR(I2238="TN",I2238="TDN",I2238="TNO2-3",I2238="NO2-3")),VLOOKUP(E2238,QCNIC_N,2,),IF(AND(H2238="UREA",OR(I2238="TN",I2238="TDN",I2238="TNO2-3",I2238="NO2-3")),VLOOKUP(E2238,QCUREA_N,2,),IF(H2238="PER",VLOOKUP(I2238,QCPER,MATCH(E2238,QCACTUAL!$J$25:$AA$25,0),),IF(H2238="SPK",VLOOKUP(I2238,QCSPK,3,),IF(AND(H2238="ATP",OR(I2238="TP",I2238="TDP")),VLOOKUP(E2238,QCATP_P,2,),""))))))))</f>
        <v/>
      </c>
      <c r="W2238" s="31" t="str">
        <f t="shared" si="253"/>
        <v>TRUE</v>
      </c>
      <c r="X2238" s="31" t="str">
        <f t="shared" si="248"/>
        <v/>
      </c>
      <c r="Y2238" s="10" t="s">
        <v>1144</v>
      </c>
      <c r="AL2238" s="10" t="str">
        <f t="shared" si="250"/>
        <v>FALSE</v>
      </c>
      <c r="AM2238" s="10" t="str">
        <f t="shared" si="250"/>
        <v>FALSE</v>
      </c>
      <c r="AN2238" s="10" t="str">
        <f t="shared" si="250"/>
        <v>FALSE</v>
      </c>
      <c r="AO2238" s="10" t="str">
        <f t="shared" si="251"/>
        <v>FALSE</v>
      </c>
      <c r="AP2238" s="10" t="str">
        <f t="shared" si="251"/>
        <v>FALSE</v>
      </c>
      <c r="AQ2238" s="10" t="b">
        <f>IF(AND(I2238="TP",S2238&lt;=150),VLOOKUP(AF2238,TPCalibEq150!$AZ$2:$BB$55,3,),IF(AND(I2238="TDP",S2238&lt;=150),VLOOKUP(AF2238,TPCalibEq150!$AZ$2:$BB$55,3,)))</f>
        <v>0</v>
      </c>
      <c r="AR2238" s="10" t="b">
        <f>IF(AND(I2238="TP",S2238&lt;=300),VLOOKUP(AF2238,TPCalibEq300!$AZ$2:$BB$55,3,),IF(AND(I2238="TDP",S2238&lt;=300),VLOOKUP(AF2238,TPCalibEq300!$AZ$2:$BB$55,3,)))</f>
        <v>0</v>
      </c>
      <c r="AS2238" s="10" t="b">
        <f>IF(AND(I2238="TP",S2238&lt;=500),VLOOKUP(AF2238,TPCalibEq500!$AZ$2:$BB$56,3,),IF(AND(I2238="TDP",S2238&lt;=500),VLOOKUP(AF2238,TPCalibEq500!$AZ$2:$BB$56,3,)))</f>
        <v>0</v>
      </c>
      <c r="AT2238" s="10" t="b">
        <f>IF(AND(I2238="TN",S2238&lt;=2800),VLOOKUP(AF2238,TNCalibEq2500!$AZ$2:$BB$56,3,),IF(AND(I2238="TDN",S2238&lt;=2800),VLOOKUP(AF2238,TNCalibEq2500!$AZ$2:$BB$56,3,)))</f>
        <v>0</v>
      </c>
      <c r="AU2238" s="10" t="b">
        <f>IF(I2238="TP",VLOOKUP(AF2238,TPCalibEqFull!$AZ$2:$BB$56,3),IF(I2238="TDP",VLOOKUP(AF2238,TPCalibEqFull!$AZ$2:$BB$56,3),IF(I2238="TDN",VLOOKUP(AF2238,TNCalibEqFull!$AZ$1:$BB$56,3),IF(I2238="TN",VLOOKUP(AF2238,TNCalibEqFull!$AZ$1:$BB$56,3),FALSE))))</f>
        <v>0</v>
      </c>
      <c r="AV2238" s="10" t="str">
        <f t="shared" si="254"/>
        <v>0208 12:10:10-ENN-5-700-1-SW-UKN</v>
      </c>
    </row>
    <row r="2239" spans="1:48" s="10" customFormat="1" x14ac:dyDescent="0.55000000000000004">
      <c r="A2239" s="32">
        <v>44965</v>
      </c>
      <c r="B2239" s="33">
        <v>0.50949074074074074</v>
      </c>
      <c r="C2239" s="10" t="s">
        <v>661</v>
      </c>
      <c r="D2239" s="10">
        <v>10</v>
      </c>
      <c r="E2239" s="10">
        <v>700</v>
      </c>
      <c r="F2239" s="10">
        <v>1</v>
      </c>
      <c r="G2239" s="10" t="s">
        <v>231</v>
      </c>
      <c r="H2239" s="10" t="s">
        <v>322</v>
      </c>
      <c r="I2239" s="10" t="s">
        <v>285</v>
      </c>
      <c r="J2239" s="10">
        <v>36</v>
      </c>
      <c r="K2239" s="12">
        <v>44966</v>
      </c>
      <c r="L2239" s="33">
        <v>0.51129629629629625</v>
      </c>
      <c r="M2239" s="10">
        <v>1</v>
      </c>
      <c r="N2239" s="10" t="s">
        <v>211</v>
      </c>
      <c r="O2239" s="10">
        <v>0.63800000000000001</v>
      </c>
      <c r="P2239" s="10">
        <v>6.08E-2</v>
      </c>
      <c r="Q2239" s="10">
        <v>110</v>
      </c>
      <c r="R2239" s="10" t="s">
        <v>913</v>
      </c>
      <c r="S2239" s="34">
        <f t="shared" si="249"/>
        <v>110</v>
      </c>
      <c r="T2239" s="10" t="s">
        <v>1166</v>
      </c>
      <c r="U2239" s="34" t="str">
        <f t="shared" si="252"/>
        <v/>
      </c>
      <c r="V2239" s="31" t="str">
        <f>IF(H2239="CHK",VLOOKUP(I2239,QCCHK,3,),IF(H2239="GUP",VLOOKUP(E2239,QCGUP,2,),IF(AND(H2239="ATP",OR(I2239="TN",I2239="TDN",I2239="TNO2-3",I2239="NO2-3")),VLOOKUP(E2239,QCREC_N,2,),IF(AND(H2239="NIC",OR(I2239="TN",I2239="TDN",I2239="TNO2-3",I2239="NO2-3")),VLOOKUP(E2239,QCNIC_N,2,),IF(AND(H2239="UREA",OR(I2239="TN",I2239="TDN",I2239="TNO2-3",I2239="NO2-3")),VLOOKUP(E2239,QCUREA_N,2,),IF(H2239="PER",VLOOKUP(I2239,QCPER,MATCH(E2239,QCACTUAL!$J$25:$AA$25,0),),IF(H2239="SPK",VLOOKUP(I2239,QCSPK,3,),IF(AND(H2239="ATP",OR(I2239="TP",I2239="TDP")),VLOOKUP(E2239,QCATP_P,2,),""))))))))</f>
        <v/>
      </c>
      <c r="W2239" s="31" t="str">
        <f t="shared" si="253"/>
        <v>TRUE</v>
      </c>
      <c r="X2239" s="31" t="str">
        <f t="shared" ref="X2239:X2302" si="255">IF(ISNA(VLOOKUP(H2239,QCEQUATIONS,2,)),"",(VLOOKUP(H2239,QCEQUATIONS,2,)))</f>
        <v/>
      </c>
      <c r="Y2239" s="10" t="s">
        <v>1144</v>
      </c>
      <c r="AL2239" s="10" t="str">
        <f t="shared" si="250"/>
        <v>FALSE</v>
      </c>
      <c r="AM2239" s="10" t="str">
        <f t="shared" si="250"/>
        <v>FALSE</v>
      </c>
      <c r="AN2239" s="10" t="str">
        <f t="shared" si="250"/>
        <v>FALSE</v>
      </c>
      <c r="AO2239" s="10" t="str">
        <f t="shared" si="251"/>
        <v>FALSE</v>
      </c>
      <c r="AP2239" s="10" t="str">
        <f t="shared" si="251"/>
        <v>FALSE</v>
      </c>
      <c r="AQ2239" s="10" t="b">
        <f>IF(AND(I2239="TP",S2239&lt;=150),VLOOKUP(AF2239,TPCalibEq150!$AZ$2:$BB$55,3,),IF(AND(I2239="TDP",S2239&lt;=150),VLOOKUP(AF2239,TPCalibEq150!$AZ$2:$BB$55,3,)))</f>
        <v>0</v>
      </c>
      <c r="AR2239" s="10" t="b">
        <f>IF(AND(I2239="TP",S2239&lt;=300),VLOOKUP(AF2239,TPCalibEq300!$AZ$2:$BB$55,3,),IF(AND(I2239="TDP",S2239&lt;=300),VLOOKUP(AF2239,TPCalibEq300!$AZ$2:$BB$55,3,)))</f>
        <v>0</v>
      </c>
      <c r="AS2239" s="10" t="b">
        <f>IF(AND(I2239="TP",S2239&lt;=500),VLOOKUP(AF2239,TPCalibEq500!$AZ$2:$BB$56,3,),IF(AND(I2239="TDP",S2239&lt;=500),VLOOKUP(AF2239,TPCalibEq500!$AZ$2:$BB$56,3,)))</f>
        <v>0</v>
      </c>
      <c r="AT2239" s="10" t="b">
        <f>IF(AND(I2239="TN",S2239&lt;=2800),VLOOKUP(AF2239,TNCalibEq2500!$AZ$2:$BB$56,3,),IF(AND(I2239="TDN",S2239&lt;=2800),VLOOKUP(AF2239,TNCalibEq2500!$AZ$2:$BB$56,3,)))</f>
        <v>0</v>
      </c>
      <c r="AU2239" s="10" t="b">
        <f>IF(I2239="TP",VLOOKUP(AF2239,TPCalibEqFull!$AZ$2:$BB$56,3),IF(I2239="TDP",VLOOKUP(AF2239,TPCalibEqFull!$AZ$2:$BB$56,3),IF(I2239="TDN",VLOOKUP(AF2239,TNCalibEqFull!$AZ$1:$BB$56,3),IF(I2239="TN",VLOOKUP(AF2239,TNCalibEqFull!$AZ$1:$BB$56,3),FALSE))))</f>
        <v>0</v>
      </c>
      <c r="AV2239" s="10" t="str">
        <f t="shared" si="254"/>
        <v>0208 12:13:40-ENN-10-700-1-SW-UKN</v>
      </c>
    </row>
    <row r="2240" spans="1:48" s="10" customFormat="1" x14ac:dyDescent="0.55000000000000004">
      <c r="A2240" s="32">
        <v>44965</v>
      </c>
      <c r="B2240" s="33">
        <v>0.51180555555555551</v>
      </c>
      <c r="C2240" s="10" t="s">
        <v>661</v>
      </c>
      <c r="D2240" s="10">
        <v>20</v>
      </c>
      <c r="E2240" s="10" t="s">
        <v>190</v>
      </c>
      <c r="F2240" s="10">
        <v>1</v>
      </c>
      <c r="G2240" s="10" t="s">
        <v>231</v>
      </c>
      <c r="H2240" s="10" t="s">
        <v>322</v>
      </c>
      <c r="I2240" s="10" t="s">
        <v>285</v>
      </c>
      <c r="J2240" s="10">
        <v>37</v>
      </c>
      <c r="K2240" s="12">
        <v>44966</v>
      </c>
      <c r="L2240" s="33">
        <v>0.51210648148148141</v>
      </c>
      <c r="M2240" s="10">
        <v>1</v>
      </c>
      <c r="N2240" s="10" t="s">
        <v>211</v>
      </c>
      <c r="O2240" s="10">
        <v>0.625</v>
      </c>
      <c r="P2240" s="10">
        <v>5.96E-2</v>
      </c>
      <c r="Q2240" s="10">
        <v>108</v>
      </c>
      <c r="R2240" s="10" t="s">
        <v>913</v>
      </c>
      <c r="S2240" s="34">
        <f t="shared" ref="S2240:S2303" si="256">IF(OR(AND(I2240&lt;&gt;"TP", I2240&lt;&gt;"TDP",I2240&lt;&gt;"TN", I2240&lt;&gt;"TDN"),H2240="CAL"), Q2240*M2240, IF(OR(AND(I2240="TN", Q2240&gt;2500), AND(I2240="TDN", Q2240&gt;2500)),MAX(Q2240, AK2240)*M2240, IF(OR(AND(I2240="TN", Q2240&lt;=2500), AND(I2240="TDN", Q2240&lt;=2500)),MAX(Q2240, AJ2240,AK2240)*M2240, IF(OR(AND(I2240="TP",Q2240&gt;500), AND(I2240="TDP", Q2240&gt;500)),MAX(Q2240,AK2240)*M2240,IF(OR(AND(I2240="TP",Q2240&lt;=150), AND(I2240="TDP", Q2240&lt;=150)),MAX(Q2240,AG2240:AI2240,AK2240)*M2240,IF(OR(AND(I2240="TP",Q2240&lt;=300), AND(I2240="TDP", Q2240&lt;=300)),MAX(Q2240,AH2240,AI2240,AK2240)*M2240,IF(OR(AND(I2240="TP",Q2240&lt;=500), AND(I2240="TDP", Q2240&lt;=500)),MAX(Q2240,AI2240,AK2240)*M2240,"")))))))</f>
        <v>108</v>
      </c>
      <c r="T2240" s="10" t="s">
        <v>1166</v>
      </c>
      <c r="U2240" s="34" t="str">
        <f t="shared" si="252"/>
        <v/>
      </c>
      <c r="V2240" s="31" t="str">
        <f>IF(H2240="CHK",VLOOKUP(I2240,QCCHK,3,),IF(H2240="GUP",VLOOKUP(E2240,QCGUP,2,),IF(AND(H2240="ATP",OR(I2240="TN",I2240="TDN",I2240="TNO2-3",I2240="NO2-3")),VLOOKUP(E2240,QCREC_N,2,),IF(AND(H2240="NIC",OR(I2240="TN",I2240="TDN",I2240="TNO2-3",I2240="NO2-3")),VLOOKUP(E2240,QCNIC_N,2,),IF(AND(H2240="UREA",OR(I2240="TN",I2240="TDN",I2240="TNO2-3",I2240="NO2-3")),VLOOKUP(E2240,QCUREA_N,2,),IF(H2240="PER",VLOOKUP(I2240,QCPER,MATCH(E2240,QCACTUAL!$J$25:$AA$25,0),),IF(H2240="SPK",VLOOKUP(I2240,QCSPK,3,),IF(AND(H2240="ATP",OR(I2240="TP",I2240="TDP")),VLOOKUP(E2240,QCATP_P,2,),""))))))))</f>
        <v/>
      </c>
      <c r="W2240" s="31" t="str">
        <f t="shared" si="253"/>
        <v>TRUE</v>
      </c>
      <c r="X2240" s="31" t="str">
        <f t="shared" si="255"/>
        <v/>
      </c>
      <c r="Y2240" s="10" t="s">
        <v>1144</v>
      </c>
      <c r="AL2240" s="10" t="str">
        <f t="shared" si="250"/>
        <v>FALSE</v>
      </c>
      <c r="AM2240" s="10" t="str">
        <f t="shared" si="250"/>
        <v>FALSE</v>
      </c>
      <c r="AN2240" s="10" t="str">
        <f t="shared" si="250"/>
        <v>FALSE</v>
      </c>
      <c r="AO2240" s="10" t="str">
        <f t="shared" si="251"/>
        <v>FALSE</v>
      </c>
      <c r="AP2240" s="10" t="str">
        <f t="shared" si="251"/>
        <v>FALSE</v>
      </c>
      <c r="AQ2240" s="10" t="b">
        <f>IF(AND(I2240="TP",S2240&lt;=150),VLOOKUP(AF2240,TPCalibEq150!$AZ$2:$BB$55,3,),IF(AND(I2240="TDP",S2240&lt;=150),VLOOKUP(AF2240,TPCalibEq150!$AZ$2:$BB$55,3,)))</f>
        <v>0</v>
      </c>
      <c r="AR2240" s="10" t="b">
        <f>IF(AND(I2240="TP",S2240&lt;=300),VLOOKUP(AF2240,TPCalibEq300!$AZ$2:$BB$55,3,),IF(AND(I2240="TDP",S2240&lt;=300),VLOOKUP(AF2240,TPCalibEq300!$AZ$2:$BB$55,3,)))</f>
        <v>0</v>
      </c>
      <c r="AS2240" s="10" t="b">
        <f>IF(AND(I2240="TP",S2240&lt;=500),VLOOKUP(AF2240,TPCalibEq500!$AZ$2:$BB$56,3,),IF(AND(I2240="TDP",S2240&lt;=500),VLOOKUP(AF2240,TPCalibEq500!$AZ$2:$BB$56,3,)))</f>
        <v>0</v>
      </c>
      <c r="AT2240" s="10" t="b">
        <f>IF(AND(I2240="TN",S2240&lt;=2800),VLOOKUP(AF2240,TNCalibEq2500!$AZ$2:$BB$56,3,),IF(AND(I2240="TDN",S2240&lt;=2800),VLOOKUP(AF2240,TNCalibEq2500!$AZ$2:$BB$56,3,)))</f>
        <v>0</v>
      </c>
      <c r="AU2240" s="10" t="b">
        <f>IF(I2240="TP",VLOOKUP(AF2240,TPCalibEqFull!$AZ$2:$BB$56,3),IF(I2240="TDP",VLOOKUP(AF2240,TPCalibEqFull!$AZ$2:$BB$56,3),IF(I2240="TDN",VLOOKUP(AF2240,TNCalibEqFull!$AZ$1:$BB$56,3),IF(I2240="TN",VLOOKUP(AF2240,TNCalibEqFull!$AZ$1:$BB$56,3),FALSE))))</f>
        <v>0</v>
      </c>
      <c r="AV2240" s="10" t="str">
        <f t="shared" si="254"/>
        <v>0208 12:17:00-ENN-20-C-1-SW-UKN</v>
      </c>
    </row>
    <row r="2241" spans="1:48" s="10" customFormat="1" x14ac:dyDescent="0.55000000000000004">
      <c r="A2241" s="32">
        <v>44965</v>
      </c>
      <c r="B2241" s="33">
        <v>0.51412037037037039</v>
      </c>
      <c r="C2241" s="10" t="s">
        <v>661</v>
      </c>
      <c r="D2241" s="10">
        <v>23</v>
      </c>
      <c r="E2241" s="10" t="s">
        <v>190</v>
      </c>
      <c r="F2241" s="10">
        <v>1</v>
      </c>
      <c r="G2241" s="10" t="s">
        <v>231</v>
      </c>
      <c r="H2241" s="10" t="s">
        <v>322</v>
      </c>
      <c r="I2241" s="10" t="s">
        <v>285</v>
      </c>
      <c r="J2241" s="10">
        <v>38</v>
      </c>
      <c r="K2241" s="12">
        <v>44966</v>
      </c>
      <c r="L2241" s="33">
        <v>0.51292824074074073</v>
      </c>
      <c r="M2241" s="10">
        <v>1</v>
      </c>
      <c r="N2241" s="10" t="s">
        <v>211</v>
      </c>
      <c r="O2241" s="10">
        <v>0.59599999999999997</v>
      </c>
      <c r="P2241" s="10">
        <v>5.7500000000000002E-2</v>
      </c>
      <c r="Q2241" s="10">
        <v>103</v>
      </c>
      <c r="R2241" s="10" t="s">
        <v>913</v>
      </c>
      <c r="S2241" s="34">
        <f t="shared" si="256"/>
        <v>103</v>
      </c>
      <c r="T2241" s="10" t="s">
        <v>1166</v>
      </c>
      <c r="U2241" s="34" t="str">
        <f t="shared" si="252"/>
        <v/>
      </c>
      <c r="V2241" s="31" t="str">
        <f>IF(H2241="CHK",VLOOKUP(I2241,QCCHK,3,),IF(H2241="GUP",VLOOKUP(E2241,QCGUP,2,),IF(AND(H2241="ATP",OR(I2241="TN",I2241="TDN",I2241="TNO2-3",I2241="NO2-3")),VLOOKUP(E2241,QCREC_N,2,),IF(AND(H2241="NIC",OR(I2241="TN",I2241="TDN",I2241="TNO2-3",I2241="NO2-3")),VLOOKUP(E2241,QCNIC_N,2,),IF(AND(H2241="UREA",OR(I2241="TN",I2241="TDN",I2241="TNO2-3",I2241="NO2-3")),VLOOKUP(E2241,QCUREA_N,2,),IF(H2241="PER",VLOOKUP(I2241,QCPER,MATCH(E2241,QCACTUAL!$J$25:$AA$25,0),),IF(H2241="SPK",VLOOKUP(I2241,QCSPK,3,),IF(AND(H2241="ATP",OR(I2241="TP",I2241="TDP")),VLOOKUP(E2241,QCATP_P,2,),""))))))))</f>
        <v/>
      </c>
      <c r="W2241" s="31" t="str">
        <f t="shared" si="253"/>
        <v>TRUE</v>
      </c>
      <c r="X2241" s="31" t="str">
        <f t="shared" si="255"/>
        <v/>
      </c>
      <c r="Y2241" s="10" t="s">
        <v>1144</v>
      </c>
      <c r="AL2241" s="10" t="str">
        <f t="shared" ref="AL2241:AN2304" si="257">IF($O2241="", "", IF(AQ2241&lt;&gt;"", SUBSTITUTE(SUBSTITUTE(AQ2241, "x", "*"&amp;$O2241&amp;"^", 1), "x", "*"&amp;$O2241, 1), ""))</f>
        <v>FALSE</v>
      </c>
      <c r="AM2241" s="10" t="str">
        <f t="shared" si="257"/>
        <v>FALSE</v>
      </c>
      <c r="AN2241" s="10" t="str">
        <f t="shared" si="257"/>
        <v>FALSE</v>
      </c>
      <c r="AO2241" s="10" t="str">
        <f t="shared" ref="AO2241:AP2304" si="258">IF($O2241="", "FALSE", IF(AT2241&lt;&gt;"FALSE", SUBSTITUTE(SUBSTITUTE(AT2241, "x", "*"&amp;$O2241&amp;"^", 1), "x", "*"&amp;$O2241, 1), ""))</f>
        <v>FALSE</v>
      </c>
      <c r="AP2241" s="10" t="str">
        <f t="shared" si="258"/>
        <v>FALSE</v>
      </c>
      <c r="AQ2241" s="10" t="b">
        <f>IF(AND(I2241="TP",S2241&lt;=150),VLOOKUP(AF2241,TPCalibEq150!$AZ$2:$BB$55,3,),IF(AND(I2241="TDP",S2241&lt;=150),VLOOKUP(AF2241,TPCalibEq150!$AZ$2:$BB$55,3,)))</f>
        <v>0</v>
      </c>
      <c r="AR2241" s="10" t="b">
        <f>IF(AND(I2241="TP",S2241&lt;=300),VLOOKUP(AF2241,TPCalibEq300!$AZ$2:$BB$55,3,),IF(AND(I2241="TDP",S2241&lt;=300),VLOOKUP(AF2241,TPCalibEq300!$AZ$2:$BB$55,3,)))</f>
        <v>0</v>
      </c>
      <c r="AS2241" s="10" t="b">
        <f>IF(AND(I2241="TP",S2241&lt;=500),VLOOKUP(AF2241,TPCalibEq500!$AZ$2:$BB$56,3,),IF(AND(I2241="TDP",S2241&lt;=500),VLOOKUP(AF2241,TPCalibEq500!$AZ$2:$BB$56,3,)))</f>
        <v>0</v>
      </c>
      <c r="AT2241" s="10" t="b">
        <f>IF(AND(I2241="TN",S2241&lt;=2800),VLOOKUP(AF2241,TNCalibEq2500!$AZ$2:$BB$56,3,),IF(AND(I2241="TDN",S2241&lt;=2800),VLOOKUP(AF2241,TNCalibEq2500!$AZ$2:$BB$56,3,)))</f>
        <v>0</v>
      </c>
      <c r="AU2241" s="10" t="b">
        <f>IF(I2241="TP",VLOOKUP(AF2241,TPCalibEqFull!$AZ$2:$BB$56,3),IF(I2241="TDP",VLOOKUP(AF2241,TPCalibEqFull!$AZ$2:$BB$56,3),IF(I2241="TDN",VLOOKUP(AF2241,TNCalibEqFull!$AZ$1:$BB$56,3),IF(I2241="TN",VLOOKUP(AF2241,TNCalibEqFull!$AZ$1:$BB$56,3),FALSE))))</f>
        <v>0</v>
      </c>
      <c r="AV2241" s="10" t="str">
        <f t="shared" si="254"/>
        <v>0208 12:20:20-ENN-23-C-1-SW-UKN</v>
      </c>
    </row>
    <row r="2242" spans="1:48" s="10" customFormat="1" x14ac:dyDescent="0.55000000000000004">
      <c r="A2242" s="32">
        <v>44965</v>
      </c>
      <c r="B2242" s="33">
        <v>0.43796296296296294</v>
      </c>
      <c r="C2242" s="10" t="s">
        <v>646</v>
      </c>
      <c r="D2242" s="10">
        <v>0</v>
      </c>
      <c r="E2242" s="10">
        <v>800</v>
      </c>
      <c r="F2242" s="10">
        <v>1</v>
      </c>
      <c r="G2242" s="10" t="s">
        <v>231</v>
      </c>
      <c r="H2242" s="10" t="s">
        <v>322</v>
      </c>
      <c r="I2242" s="10" t="s">
        <v>285</v>
      </c>
      <c r="J2242" s="10">
        <v>39</v>
      </c>
      <c r="K2242" s="12">
        <v>44966</v>
      </c>
      <c r="L2242" s="33">
        <v>0.513738425925926</v>
      </c>
      <c r="M2242" s="10">
        <v>1</v>
      </c>
      <c r="N2242" s="10" t="s">
        <v>211</v>
      </c>
      <c r="O2242" s="10">
        <v>0.629</v>
      </c>
      <c r="P2242" s="10">
        <v>6.0400000000000002E-2</v>
      </c>
      <c r="Q2242" s="10">
        <v>108</v>
      </c>
      <c r="R2242" s="10" t="s">
        <v>913</v>
      </c>
      <c r="S2242" s="34">
        <f t="shared" si="256"/>
        <v>108</v>
      </c>
      <c r="T2242" s="10" t="s">
        <v>1166</v>
      </c>
      <c r="U2242" s="34" t="str">
        <f t="shared" ref="U2242:U2305" si="259">IF(OR(H2242="CHK",H2242="ATP",H2242="GUP",H2242="PER", H2242="NIC", H2242="UREA"),(S2242/V2242*100),IF(H2242="DUP",((ABS(S2242-S2241))/((S2241+S2242)/2))*100,IF(H2242="SPK",((S2242-S2241)/V2242*100),IF(OR(H2242="LAB",H2242="FLD",H2242="ESF"),S2242,""))))</f>
        <v/>
      </c>
      <c r="V2242" s="31" t="str">
        <f>IF(H2242="CHK",VLOOKUP(I2242,QCCHK,3,),IF(H2242="GUP",VLOOKUP(E2242,QCGUP,2,),IF(AND(H2242="ATP",OR(I2242="TN",I2242="TDN",I2242="TNO2-3",I2242="NO2-3")),VLOOKUP(E2242,QCREC_N,2,),IF(AND(H2242="NIC",OR(I2242="TN",I2242="TDN",I2242="TNO2-3",I2242="NO2-3")),VLOOKUP(E2242,QCNIC_N,2,),IF(AND(H2242="UREA",OR(I2242="TN",I2242="TDN",I2242="TNO2-3",I2242="NO2-3")),VLOOKUP(E2242,QCUREA_N,2,),IF(H2242="PER",VLOOKUP(I2242,QCPER,MATCH(E2242,QCACTUAL!$J$25:$AA$25,0),),IF(H2242="SPK",VLOOKUP(I2242,QCSPK,3,),IF(AND(H2242="ATP",OR(I2242="TP",I2242="TDP")),VLOOKUP(E2242,QCATP_P,2,),""))))))))</f>
        <v/>
      </c>
      <c r="W2242" s="31" t="str">
        <f t="shared" ref="W2242:W2305" si="260">IF(AND(OR(H2242="PER",H2242="ATP",H2242="GUP",H2242="CHK",H2242="SPK", H2242="NIC"),OR(U2242&gt;125,U2242&lt;75)),"FALSE",IF(AND(H2242="DUP",OR(U2242&gt;25, U2242&lt;-25)),"FALSE",IF(AND(OR(H2242="LAB",H2242="FLD",H2242="ESF"),U2242&gt;15),"FALSE","TRUE")))</f>
        <v>TRUE</v>
      </c>
      <c r="X2242" s="31" t="str">
        <f t="shared" si="255"/>
        <v/>
      </c>
      <c r="Y2242" s="10" t="s">
        <v>1144</v>
      </c>
      <c r="AL2242" s="10" t="str">
        <f t="shared" si="257"/>
        <v>FALSE</v>
      </c>
      <c r="AM2242" s="10" t="str">
        <f t="shared" si="257"/>
        <v>FALSE</v>
      </c>
      <c r="AN2242" s="10" t="str">
        <f t="shared" si="257"/>
        <v>FALSE</v>
      </c>
      <c r="AO2242" s="10" t="str">
        <f t="shared" si="258"/>
        <v>FALSE</v>
      </c>
      <c r="AP2242" s="10" t="str">
        <f t="shared" si="258"/>
        <v>FALSE</v>
      </c>
      <c r="AQ2242" s="10" t="b">
        <f>IF(AND(I2242="TP",S2242&lt;=150),VLOOKUP(AF2242,TPCalibEq150!$AZ$2:$BB$55,3,),IF(AND(I2242="TDP",S2242&lt;=150),VLOOKUP(AF2242,TPCalibEq150!$AZ$2:$BB$55,3,)))</f>
        <v>0</v>
      </c>
      <c r="AR2242" s="10" t="b">
        <f>IF(AND(I2242="TP",S2242&lt;=300),VLOOKUP(AF2242,TPCalibEq300!$AZ$2:$BB$55,3,),IF(AND(I2242="TDP",S2242&lt;=300),VLOOKUP(AF2242,TPCalibEq300!$AZ$2:$BB$55,3,)))</f>
        <v>0</v>
      </c>
      <c r="AS2242" s="10" t="b">
        <f>IF(AND(I2242="TP",S2242&lt;=500),VLOOKUP(AF2242,TPCalibEq500!$AZ$2:$BB$56,3,),IF(AND(I2242="TDP",S2242&lt;=500),VLOOKUP(AF2242,TPCalibEq500!$AZ$2:$BB$56,3,)))</f>
        <v>0</v>
      </c>
      <c r="AT2242" s="10" t="b">
        <f>IF(AND(I2242="TN",S2242&lt;=2800),VLOOKUP(AF2242,TNCalibEq2500!$AZ$2:$BB$56,3,),IF(AND(I2242="TDN",S2242&lt;=2800),VLOOKUP(AF2242,TNCalibEq2500!$AZ$2:$BB$56,3,)))</f>
        <v>0</v>
      </c>
      <c r="AU2242" s="10" t="b">
        <f>IF(I2242="TP",VLOOKUP(AF2242,TPCalibEqFull!$AZ$2:$BB$56,3),IF(I2242="TDP",VLOOKUP(AF2242,TPCalibEqFull!$AZ$2:$BB$56,3),IF(I2242="TDN",VLOOKUP(AF2242,TNCalibEqFull!$AZ$1:$BB$56,3),IF(I2242="TN",VLOOKUP(AF2242,TNCalibEqFull!$AZ$1:$BB$56,3),FALSE))))</f>
        <v>0</v>
      </c>
      <c r="AV2242" s="10" t="str">
        <f t="shared" ref="AV2242:AV2305" si="261">TEXT(A2242, "MMDD")&amp;" "&amp;TEXT(B2242, "HH:MM:SS")&amp;"-"&amp;C2242&amp;"-"&amp;D2242&amp;"-"&amp;E2242&amp;"-"&amp;F2242&amp;"-"&amp;G2242&amp;"-"&amp;H2242</f>
        <v>0208 10:30:40-EMB-0-800-1-SW-UKN</v>
      </c>
    </row>
    <row r="2243" spans="1:48" s="10" customFormat="1" x14ac:dyDescent="0.55000000000000004">
      <c r="A2243" s="32">
        <v>44965</v>
      </c>
      <c r="B2243" s="33">
        <v>0.43796296296296294</v>
      </c>
      <c r="C2243" s="10" t="s">
        <v>646</v>
      </c>
      <c r="D2243" s="10">
        <v>0</v>
      </c>
      <c r="E2243" s="10">
        <v>800</v>
      </c>
      <c r="F2243" s="10">
        <v>1</v>
      </c>
      <c r="G2243" s="10" t="s">
        <v>231</v>
      </c>
      <c r="H2243" s="10" t="s">
        <v>233</v>
      </c>
      <c r="I2243" s="10" t="s">
        <v>285</v>
      </c>
      <c r="J2243" s="10">
        <v>39</v>
      </c>
      <c r="K2243" s="12">
        <v>44966</v>
      </c>
      <c r="L2243" s="33">
        <v>0.51454861111111116</v>
      </c>
      <c r="M2243" s="10">
        <v>1</v>
      </c>
      <c r="N2243" s="10" t="s">
        <v>211</v>
      </c>
      <c r="O2243" s="10">
        <v>0.627</v>
      </c>
      <c r="P2243" s="10">
        <v>0.06</v>
      </c>
      <c r="Q2243" s="10">
        <v>108</v>
      </c>
      <c r="R2243" s="10" t="s">
        <v>913</v>
      </c>
      <c r="S2243" s="34">
        <f t="shared" si="256"/>
        <v>108</v>
      </c>
      <c r="T2243" s="10" t="s">
        <v>1166</v>
      </c>
      <c r="U2243" s="34">
        <f t="shared" si="259"/>
        <v>0</v>
      </c>
      <c r="V2243" s="31" t="str">
        <f>IF(H2243="CHK",VLOOKUP(I2243,QCCHK,3,),IF(H2243="GUP",VLOOKUP(E2243,QCGUP,2,),IF(AND(H2243="ATP",OR(I2243="TN",I2243="TDN",I2243="TNO2-3",I2243="NO2-3")),VLOOKUP(E2243,QCREC_N,2,),IF(AND(H2243="NIC",OR(I2243="TN",I2243="TDN",I2243="TNO2-3",I2243="NO2-3")),VLOOKUP(E2243,QCNIC_N,2,),IF(AND(H2243="UREA",OR(I2243="TN",I2243="TDN",I2243="TNO2-3",I2243="NO2-3")),VLOOKUP(E2243,QCUREA_N,2,),IF(H2243="PER",VLOOKUP(I2243,QCPER,MATCH(E2243,QCACTUAL!$J$25:$AA$25,0),),IF(H2243="SPK",VLOOKUP(I2243,QCSPK,3,),IF(AND(H2243="ATP",OR(I2243="TP",I2243="TDP")),VLOOKUP(E2243,QCATP_P,2,),""))))))))</f>
        <v/>
      </c>
      <c r="W2243" s="31" t="str">
        <f t="shared" si="260"/>
        <v>TRUE</v>
      </c>
      <c r="X2243" s="31" t="str">
        <f t="shared" si="255"/>
        <v>((ABS(rep1-rep2))/((rep1+rep2)/2)*100</v>
      </c>
      <c r="Y2243" s="10" t="s">
        <v>1144</v>
      </c>
      <c r="AL2243" s="10" t="str">
        <f t="shared" si="257"/>
        <v>FALSE</v>
      </c>
      <c r="AM2243" s="10" t="str">
        <f t="shared" si="257"/>
        <v>FALSE</v>
      </c>
      <c r="AN2243" s="10" t="str">
        <f t="shared" si="257"/>
        <v>FALSE</v>
      </c>
      <c r="AO2243" s="10" t="str">
        <f t="shared" si="258"/>
        <v>FALSE</v>
      </c>
      <c r="AP2243" s="10" t="str">
        <f t="shared" si="258"/>
        <v>FALSE</v>
      </c>
      <c r="AQ2243" s="10" t="b">
        <f>IF(AND(I2243="TP",S2243&lt;=150),VLOOKUP(AF2243,TPCalibEq150!$AZ$2:$BB$55,3,),IF(AND(I2243="TDP",S2243&lt;=150),VLOOKUP(AF2243,TPCalibEq150!$AZ$2:$BB$55,3,)))</f>
        <v>0</v>
      </c>
      <c r="AR2243" s="10" t="b">
        <f>IF(AND(I2243="TP",S2243&lt;=300),VLOOKUP(AF2243,TPCalibEq300!$AZ$2:$BB$55,3,),IF(AND(I2243="TDP",S2243&lt;=300),VLOOKUP(AF2243,TPCalibEq300!$AZ$2:$BB$55,3,)))</f>
        <v>0</v>
      </c>
      <c r="AS2243" s="10" t="b">
        <f>IF(AND(I2243="TP",S2243&lt;=500),VLOOKUP(AF2243,TPCalibEq500!$AZ$2:$BB$56,3,),IF(AND(I2243="TDP",S2243&lt;=500),VLOOKUP(AF2243,TPCalibEq500!$AZ$2:$BB$56,3,)))</f>
        <v>0</v>
      </c>
      <c r="AT2243" s="10" t="b">
        <f>IF(AND(I2243="TN",S2243&lt;=2800),VLOOKUP(AF2243,TNCalibEq2500!$AZ$2:$BB$56,3,),IF(AND(I2243="TDN",S2243&lt;=2800),VLOOKUP(AF2243,TNCalibEq2500!$AZ$2:$BB$56,3,)))</f>
        <v>0</v>
      </c>
      <c r="AU2243" s="10" t="b">
        <f>IF(I2243="TP",VLOOKUP(AF2243,TPCalibEqFull!$AZ$2:$BB$56,3),IF(I2243="TDP",VLOOKUP(AF2243,TPCalibEqFull!$AZ$2:$BB$56,3),IF(I2243="TDN",VLOOKUP(AF2243,TNCalibEqFull!$AZ$1:$BB$56,3),IF(I2243="TN",VLOOKUP(AF2243,TNCalibEqFull!$AZ$1:$BB$56,3),FALSE))))</f>
        <v>0</v>
      </c>
      <c r="AV2243" s="10" t="str">
        <f t="shared" si="261"/>
        <v>0208 10:30:40-EMB-0-800-1-SW-DUP</v>
      </c>
    </row>
    <row r="2244" spans="1:48" s="10" customFormat="1" x14ac:dyDescent="0.55000000000000004">
      <c r="A2244" s="32">
        <v>44965</v>
      </c>
      <c r="B2244" s="33">
        <v>0.43796296296296294</v>
      </c>
      <c r="C2244" s="10" t="s">
        <v>646</v>
      </c>
      <c r="D2244" s="10">
        <v>0</v>
      </c>
      <c r="E2244" s="10">
        <v>800</v>
      </c>
      <c r="F2244" s="10">
        <v>1</v>
      </c>
      <c r="G2244" s="10" t="s">
        <v>231</v>
      </c>
      <c r="H2244" s="10" t="s">
        <v>314</v>
      </c>
      <c r="I2244" s="10" t="s">
        <v>285</v>
      </c>
      <c r="J2244" s="10">
        <v>123</v>
      </c>
      <c r="K2244" s="12">
        <v>44966</v>
      </c>
      <c r="L2244" s="33">
        <v>0.51537037037037037</v>
      </c>
      <c r="M2244" s="10">
        <v>1</v>
      </c>
      <c r="N2244" s="10" t="s">
        <v>211</v>
      </c>
      <c r="O2244" s="10">
        <v>1.55</v>
      </c>
      <c r="P2244" s="10">
        <v>0.152</v>
      </c>
      <c r="Q2244" s="10">
        <v>268</v>
      </c>
      <c r="R2244" s="10" t="s">
        <v>913</v>
      </c>
      <c r="S2244" s="34">
        <f t="shared" si="256"/>
        <v>268</v>
      </c>
      <c r="T2244" s="10" t="s">
        <v>1166</v>
      </c>
      <c r="U2244" s="34">
        <f t="shared" si="259"/>
        <v>102.4</v>
      </c>
      <c r="V2244" s="31">
        <f>IF(H2244="CHK",VLOOKUP(I2244,QCCHK,3,),IF(H2244="GUP",VLOOKUP(E2244,QCGUP,2,),IF(AND(H2244="ATP",OR(I2244="TN",I2244="TDN",I2244="TNO2-3",I2244="NO2-3")),VLOOKUP(E2244,QCREC_N,2,),IF(AND(H2244="NIC",OR(I2244="TN",I2244="TDN",I2244="TNO2-3",I2244="NO2-3")),VLOOKUP(E2244,QCNIC_N,2,),IF(AND(H2244="UREA",OR(I2244="TN",I2244="TDN",I2244="TNO2-3",I2244="NO2-3")),VLOOKUP(E2244,QCUREA_N,2,),IF(H2244="PER",VLOOKUP(I2244,QCPER,MATCH(E2244,QCACTUAL!$J$25:$AA$25,0),),IF(H2244="SPK",VLOOKUP(I2244,QCSPK,3,),IF(AND(H2244="ATP",OR(I2244="TP",I2244="TDP")),VLOOKUP(E2244,QCATP_P,2,),""))))))))</f>
        <v>156.25</v>
      </c>
      <c r="W2244" s="31" t="str">
        <f t="shared" si="260"/>
        <v>TRUE</v>
      </c>
      <c r="X2244" s="31" t="str">
        <f t="shared" si="255"/>
        <v>([spikedunkn]-[unkn])/[spike]*100</v>
      </c>
      <c r="Y2244" s="10" t="s">
        <v>1144</v>
      </c>
      <c r="AL2244" s="10" t="str">
        <f t="shared" si="257"/>
        <v>FALSE</v>
      </c>
      <c r="AM2244" s="10" t="str">
        <f t="shared" si="257"/>
        <v>FALSE</v>
      </c>
      <c r="AN2244" s="10" t="str">
        <f t="shared" si="257"/>
        <v>FALSE</v>
      </c>
      <c r="AO2244" s="10" t="str">
        <f t="shared" si="258"/>
        <v>FALSE</v>
      </c>
      <c r="AP2244" s="10" t="str">
        <f t="shared" si="258"/>
        <v>FALSE</v>
      </c>
      <c r="AQ2244" s="10" t="b">
        <f>IF(AND(I2244="TP",S2244&lt;=150),VLOOKUP(AF2244,TPCalibEq150!$AZ$2:$BB$55,3,),IF(AND(I2244="TDP",S2244&lt;=150),VLOOKUP(AF2244,TPCalibEq150!$AZ$2:$BB$55,3,)))</f>
        <v>0</v>
      </c>
      <c r="AR2244" s="10" t="b">
        <f>IF(AND(I2244="TP",S2244&lt;=300),VLOOKUP(AF2244,TPCalibEq300!$AZ$2:$BB$55,3,),IF(AND(I2244="TDP",S2244&lt;=300),VLOOKUP(AF2244,TPCalibEq300!$AZ$2:$BB$55,3,)))</f>
        <v>0</v>
      </c>
      <c r="AS2244" s="10" t="b">
        <f>IF(AND(I2244="TP",S2244&lt;=500),VLOOKUP(AF2244,TPCalibEq500!$AZ$2:$BB$56,3,),IF(AND(I2244="TDP",S2244&lt;=500),VLOOKUP(AF2244,TPCalibEq500!$AZ$2:$BB$56,3,)))</f>
        <v>0</v>
      </c>
      <c r="AT2244" s="10" t="b">
        <f>IF(AND(I2244="TN",S2244&lt;=2800),VLOOKUP(AF2244,TNCalibEq2500!$AZ$2:$BB$56,3,),IF(AND(I2244="TDN",S2244&lt;=2800),VLOOKUP(AF2244,TNCalibEq2500!$AZ$2:$BB$56,3,)))</f>
        <v>0</v>
      </c>
      <c r="AU2244" s="10" t="b">
        <f>IF(I2244="TP",VLOOKUP(AF2244,TPCalibEqFull!$AZ$2:$BB$56,3),IF(I2244="TDP",VLOOKUP(AF2244,TPCalibEqFull!$AZ$2:$BB$56,3),IF(I2244="TDN",VLOOKUP(AF2244,TNCalibEqFull!$AZ$1:$BB$56,3),IF(I2244="TN",VLOOKUP(AF2244,TNCalibEqFull!$AZ$1:$BB$56,3),FALSE))))</f>
        <v>0</v>
      </c>
      <c r="AV2244" s="10" t="str">
        <f t="shared" si="261"/>
        <v>0208 10:30:40-EMB-0-800-1-SW-SPK</v>
      </c>
    </row>
    <row r="2245" spans="1:48" s="10" customFormat="1" x14ac:dyDescent="0.55000000000000004">
      <c r="A2245" s="32">
        <v>44966</v>
      </c>
      <c r="B2245" s="33">
        <v>0.375</v>
      </c>
      <c r="C2245" s="10" t="s">
        <v>70</v>
      </c>
      <c r="D2245" s="10" t="s">
        <v>71</v>
      </c>
      <c r="E2245" s="10" t="s">
        <v>901</v>
      </c>
      <c r="F2245" s="10">
        <v>1</v>
      </c>
      <c r="G2245" s="10" t="s">
        <v>73</v>
      </c>
      <c r="H2245" s="10" t="s">
        <v>207</v>
      </c>
      <c r="I2245" s="10" t="s">
        <v>285</v>
      </c>
      <c r="J2245" s="10">
        <v>200</v>
      </c>
      <c r="K2245" s="12">
        <v>44966</v>
      </c>
      <c r="L2245" s="33">
        <v>0.51620370370370372</v>
      </c>
      <c r="M2245" s="10">
        <v>1</v>
      </c>
      <c r="N2245" s="10" t="s">
        <v>211</v>
      </c>
      <c r="O2245" s="10">
        <v>0.44</v>
      </c>
      <c r="P2245" s="10">
        <v>4.2000000000000003E-2</v>
      </c>
      <c r="Q2245" s="10">
        <v>75.7</v>
      </c>
      <c r="R2245" s="10" t="s">
        <v>913</v>
      </c>
      <c r="S2245" s="34">
        <f t="shared" si="256"/>
        <v>75.7</v>
      </c>
      <c r="T2245" s="10" t="s">
        <v>1166</v>
      </c>
      <c r="U2245" s="34">
        <f t="shared" si="259"/>
        <v>100.93333333333334</v>
      </c>
      <c r="V2245" s="31">
        <f>IF(H2245="CHK",VLOOKUP(I2245,QCCHK,3,),IF(H2245="GUP",VLOOKUP(E2245,QCGUP,2,),IF(AND(H2245="ATP",OR(I2245="TN",I2245="TDN",I2245="TNO2-3",I2245="NO2-3")),VLOOKUP(E2245,QCREC_N,2,),IF(AND(H2245="NIC",OR(I2245="TN",I2245="TDN",I2245="TNO2-3",I2245="NO2-3")),VLOOKUP(E2245,QCNIC_N,2,),IF(AND(H2245="UREA",OR(I2245="TN",I2245="TDN",I2245="TNO2-3",I2245="NO2-3")),VLOOKUP(E2245,QCUREA_N,2,),IF(H2245="PER",VLOOKUP(I2245,QCPER,MATCH(E2245,QCACTUAL!$J$25:$AA$25,0),),IF(H2245="SPK",VLOOKUP(I2245,QCSPK,3,),IF(AND(H2245="ATP",OR(I2245="TP",I2245="TDP")),VLOOKUP(E2245,QCATP_P,2,),""))))))))</f>
        <v>75</v>
      </c>
      <c r="W2245" s="31" t="str">
        <f t="shared" si="260"/>
        <v>TRUE</v>
      </c>
      <c r="X2245" s="31" t="str">
        <f t="shared" si="255"/>
        <v>[chk]/[actual]*100</v>
      </c>
      <c r="Y2245" s="10" t="s">
        <v>1144</v>
      </c>
      <c r="AL2245" s="10" t="str">
        <f t="shared" si="257"/>
        <v>FALSE</v>
      </c>
      <c r="AM2245" s="10" t="str">
        <f t="shared" si="257"/>
        <v>FALSE</v>
      </c>
      <c r="AN2245" s="10" t="str">
        <f t="shared" si="257"/>
        <v>FALSE</v>
      </c>
      <c r="AO2245" s="10" t="str">
        <f t="shared" si="258"/>
        <v>FALSE</v>
      </c>
      <c r="AP2245" s="10" t="str">
        <f t="shared" si="258"/>
        <v>FALSE</v>
      </c>
      <c r="AQ2245" s="10" t="b">
        <f>IF(AND(I2245="TP",S2245&lt;=150),VLOOKUP(AF2245,TPCalibEq150!$AZ$2:$BB$55,3,),IF(AND(I2245="TDP",S2245&lt;=150),VLOOKUP(AF2245,TPCalibEq150!$AZ$2:$BB$55,3,)))</f>
        <v>0</v>
      </c>
      <c r="AR2245" s="10" t="b">
        <f>IF(AND(I2245="TP",S2245&lt;=300),VLOOKUP(AF2245,TPCalibEq300!$AZ$2:$BB$55,3,),IF(AND(I2245="TDP",S2245&lt;=300),VLOOKUP(AF2245,TPCalibEq300!$AZ$2:$BB$55,3,)))</f>
        <v>0</v>
      </c>
      <c r="AS2245" s="10" t="b">
        <f>IF(AND(I2245="TP",S2245&lt;=500),VLOOKUP(AF2245,TPCalibEq500!$AZ$2:$BB$56,3,),IF(AND(I2245="TDP",S2245&lt;=500),VLOOKUP(AF2245,TPCalibEq500!$AZ$2:$BB$56,3,)))</f>
        <v>0</v>
      </c>
      <c r="AT2245" s="10" t="b">
        <f>IF(AND(I2245="TN",S2245&lt;=2800),VLOOKUP(AF2245,TNCalibEq2500!$AZ$2:$BB$56,3,),IF(AND(I2245="TDN",S2245&lt;=2800),VLOOKUP(AF2245,TNCalibEq2500!$AZ$2:$BB$56,3,)))</f>
        <v>0</v>
      </c>
      <c r="AU2245" s="10" t="b">
        <f>IF(I2245="TP",VLOOKUP(AF2245,TPCalibEqFull!$AZ$2:$BB$56,3),IF(I2245="TDP",VLOOKUP(AF2245,TPCalibEqFull!$AZ$2:$BB$56,3),IF(I2245="TDN",VLOOKUP(AF2245,TNCalibEqFull!$AZ$1:$BB$56,3),IF(I2245="TN",VLOOKUP(AF2245,TNCalibEqFull!$AZ$1:$BB$56,3),FALSE))))</f>
        <v>0</v>
      </c>
      <c r="AV2245" s="10" t="str">
        <f t="shared" si="261"/>
        <v>0209 09:00:00-QAC-STD-D-1-DI-CHK</v>
      </c>
    </row>
    <row r="2246" spans="1:48" s="10" customFormat="1" x14ac:dyDescent="0.55000000000000004">
      <c r="A2246" s="32">
        <v>44965</v>
      </c>
      <c r="B2246" s="33">
        <v>0.44027777777777777</v>
      </c>
      <c r="C2246" s="10" t="s">
        <v>646</v>
      </c>
      <c r="D2246" s="10">
        <v>5</v>
      </c>
      <c r="E2246" s="10">
        <v>800</v>
      </c>
      <c r="F2246" s="10">
        <v>1</v>
      </c>
      <c r="G2246" s="10" t="s">
        <v>231</v>
      </c>
      <c r="H2246" s="10" t="s">
        <v>322</v>
      </c>
      <c r="I2246" s="10" t="s">
        <v>285</v>
      </c>
      <c r="J2246" s="10">
        <v>40</v>
      </c>
      <c r="K2246" s="12">
        <v>44966</v>
      </c>
      <c r="L2246" s="33">
        <v>0.51701388888888888</v>
      </c>
      <c r="M2246" s="10">
        <v>1</v>
      </c>
      <c r="N2246" s="10" t="s">
        <v>211</v>
      </c>
      <c r="O2246" s="10">
        <v>0.629</v>
      </c>
      <c r="P2246" s="10">
        <v>0.06</v>
      </c>
      <c r="Q2246" s="10">
        <v>108</v>
      </c>
      <c r="R2246" s="10" t="s">
        <v>913</v>
      </c>
      <c r="S2246" s="34">
        <f t="shared" si="256"/>
        <v>108</v>
      </c>
      <c r="T2246" s="10" t="s">
        <v>1166</v>
      </c>
      <c r="U2246" s="34" t="str">
        <f t="shared" si="259"/>
        <v/>
      </c>
      <c r="V2246" s="31" t="str">
        <f>IF(H2246="CHK",VLOOKUP(I2246,QCCHK,3,),IF(H2246="GUP",VLOOKUP(E2246,QCGUP,2,),IF(AND(H2246="ATP",OR(I2246="TN",I2246="TDN",I2246="TNO2-3",I2246="NO2-3")),VLOOKUP(E2246,QCREC_N,2,),IF(AND(H2246="NIC",OR(I2246="TN",I2246="TDN",I2246="TNO2-3",I2246="NO2-3")),VLOOKUP(E2246,QCNIC_N,2,),IF(AND(H2246="UREA",OR(I2246="TN",I2246="TDN",I2246="TNO2-3",I2246="NO2-3")),VLOOKUP(E2246,QCUREA_N,2,),IF(H2246="PER",VLOOKUP(I2246,QCPER,MATCH(E2246,QCACTUAL!$J$25:$AA$25,0),),IF(H2246="SPK",VLOOKUP(I2246,QCSPK,3,),IF(AND(H2246="ATP",OR(I2246="TP",I2246="TDP")),VLOOKUP(E2246,QCATP_P,2,),""))))))))</f>
        <v/>
      </c>
      <c r="W2246" s="31" t="str">
        <f t="shared" si="260"/>
        <v>TRUE</v>
      </c>
      <c r="X2246" s="31" t="str">
        <f t="shared" si="255"/>
        <v/>
      </c>
      <c r="Y2246" s="10" t="s">
        <v>1144</v>
      </c>
      <c r="AL2246" s="10" t="str">
        <f t="shared" si="257"/>
        <v>FALSE</v>
      </c>
      <c r="AM2246" s="10" t="str">
        <f t="shared" si="257"/>
        <v>FALSE</v>
      </c>
      <c r="AN2246" s="10" t="str">
        <f t="shared" si="257"/>
        <v>FALSE</v>
      </c>
      <c r="AO2246" s="10" t="str">
        <f t="shared" si="258"/>
        <v>FALSE</v>
      </c>
      <c r="AP2246" s="10" t="str">
        <f t="shared" si="258"/>
        <v>FALSE</v>
      </c>
      <c r="AQ2246" s="10" t="b">
        <f>IF(AND(I2246="TP",S2246&lt;=150),VLOOKUP(AF2246,TPCalibEq150!$AZ$2:$BB$55,3,),IF(AND(I2246="TDP",S2246&lt;=150),VLOOKUP(AF2246,TPCalibEq150!$AZ$2:$BB$55,3,)))</f>
        <v>0</v>
      </c>
      <c r="AR2246" s="10" t="b">
        <f>IF(AND(I2246="TP",S2246&lt;=300),VLOOKUP(AF2246,TPCalibEq300!$AZ$2:$BB$55,3,),IF(AND(I2246="TDP",S2246&lt;=300),VLOOKUP(AF2246,TPCalibEq300!$AZ$2:$BB$55,3,)))</f>
        <v>0</v>
      </c>
      <c r="AS2246" s="10" t="b">
        <f>IF(AND(I2246="TP",S2246&lt;=500),VLOOKUP(AF2246,TPCalibEq500!$AZ$2:$BB$56,3,),IF(AND(I2246="TDP",S2246&lt;=500),VLOOKUP(AF2246,TPCalibEq500!$AZ$2:$BB$56,3,)))</f>
        <v>0</v>
      </c>
      <c r="AT2246" s="10" t="b">
        <f>IF(AND(I2246="TN",S2246&lt;=2800),VLOOKUP(AF2246,TNCalibEq2500!$AZ$2:$BB$56,3,),IF(AND(I2246="TDN",S2246&lt;=2800),VLOOKUP(AF2246,TNCalibEq2500!$AZ$2:$BB$56,3,)))</f>
        <v>0</v>
      </c>
      <c r="AU2246" s="10" t="b">
        <f>IF(I2246="TP",VLOOKUP(AF2246,TPCalibEqFull!$AZ$2:$BB$56,3),IF(I2246="TDP",VLOOKUP(AF2246,TPCalibEqFull!$AZ$2:$BB$56,3),IF(I2246="TDN",VLOOKUP(AF2246,TNCalibEqFull!$AZ$1:$BB$56,3),IF(I2246="TN",VLOOKUP(AF2246,TNCalibEqFull!$AZ$1:$BB$56,3),FALSE))))</f>
        <v>0</v>
      </c>
      <c r="AV2246" s="10" t="str">
        <f t="shared" si="261"/>
        <v>0208 10:34:00-EMB-5-800-1-SW-UKN</v>
      </c>
    </row>
    <row r="2247" spans="1:48" s="10" customFormat="1" x14ac:dyDescent="0.55000000000000004">
      <c r="A2247" s="32">
        <v>44965</v>
      </c>
      <c r="B2247" s="33">
        <v>0.44259259259259259</v>
      </c>
      <c r="C2247" s="10" t="s">
        <v>646</v>
      </c>
      <c r="D2247" s="10">
        <v>10</v>
      </c>
      <c r="E2247" s="10">
        <v>800</v>
      </c>
      <c r="F2247" s="10">
        <v>1</v>
      </c>
      <c r="G2247" s="10" t="s">
        <v>231</v>
      </c>
      <c r="H2247" s="10" t="s">
        <v>322</v>
      </c>
      <c r="I2247" s="10" t="s">
        <v>285</v>
      </c>
      <c r="J2247" s="10">
        <v>41</v>
      </c>
      <c r="K2247" s="12">
        <v>44966</v>
      </c>
      <c r="L2247" s="33">
        <v>0.51782407407407405</v>
      </c>
      <c r="M2247" s="10">
        <v>1</v>
      </c>
      <c r="N2247" s="10" t="s">
        <v>211</v>
      </c>
      <c r="O2247" s="10">
        <v>0.626</v>
      </c>
      <c r="P2247" s="10">
        <v>5.9700000000000003E-2</v>
      </c>
      <c r="Q2247" s="10">
        <v>108</v>
      </c>
      <c r="R2247" s="10" t="s">
        <v>913</v>
      </c>
      <c r="S2247" s="34">
        <f t="shared" si="256"/>
        <v>108</v>
      </c>
      <c r="T2247" s="10" t="s">
        <v>1166</v>
      </c>
      <c r="U2247" s="34" t="str">
        <f t="shared" si="259"/>
        <v/>
      </c>
      <c r="V2247" s="31" t="str">
        <f>IF(H2247="CHK",VLOOKUP(I2247,QCCHK,3,),IF(H2247="GUP",VLOOKUP(E2247,QCGUP,2,),IF(AND(H2247="ATP",OR(I2247="TN",I2247="TDN",I2247="TNO2-3",I2247="NO2-3")),VLOOKUP(E2247,QCREC_N,2,),IF(AND(H2247="NIC",OR(I2247="TN",I2247="TDN",I2247="TNO2-3",I2247="NO2-3")),VLOOKUP(E2247,QCNIC_N,2,),IF(AND(H2247="UREA",OR(I2247="TN",I2247="TDN",I2247="TNO2-3",I2247="NO2-3")),VLOOKUP(E2247,QCUREA_N,2,),IF(H2247="PER",VLOOKUP(I2247,QCPER,MATCH(E2247,QCACTUAL!$J$25:$AA$25,0),),IF(H2247="SPK",VLOOKUP(I2247,QCSPK,3,),IF(AND(H2247="ATP",OR(I2247="TP",I2247="TDP")),VLOOKUP(E2247,QCATP_P,2,),""))))))))</f>
        <v/>
      </c>
      <c r="W2247" s="31" t="str">
        <f t="shared" si="260"/>
        <v>TRUE</v>
      </c>
      <c r="X2247" s="31" t="str">
        <f t="shared" si="255"/>
        <v/>
      </c>
      <c r="Y2247" s="10" t="s">
        <v>1144</v>
      </c>
      <c r="AL2247" s="10" t="str">
        <f t="shared" si="257"/>
        <v>FALSE</v>
      </c>
      <c r="AM2247" s="10" t="str">
        <f t="shared" si="257"/>
        <v>FALSE</v>
      </c>
      <c r="AN2247" s="10" t="str">
        <f t="shared" si="257"/>
        <v>FALSE</v>
      </c>
      <c r="AO2247" s="10" t="str">
        <f t="shared" si="258"/>
        <v>FALSE</v>
      </c>
      <c r="AP2247" s="10" t="str">
        <f t="shared" si="258"/>
        <v>FALSE</v>
      </c>
      <c r="AQ2247" s="10" t="b">
        <f>IF(AND(I2247="TP",S2247&lt;=150),VLOOKUP(AF2247,TPCalibEq150!$AZ$2:$BB$55,3,),IF(AND(I2247="TDP",S2247&lt;=150),VLOOKUP(AF2247,TPCalibEq150!$AZ$2:$BB$55,3,)))</f>
        <v>0</v>
      </c>
      <c r="AR2247" s="10" t="b">
        <f>IF(AND(I2247="TP",S2247&lt;=300),VLOOKUP(AF2247,TPCalibEq300!$AZ$2:$BB$55,3,),IF(AND(I2247="TDP",S2247&lt;=300),VLOOKUP(AF2247,TPCalibEq300!$AZ$2:$BB$55,3,)))</f>
        <v>0</v>
      </c>
      <c r="AS2247" s="10" t="b">
        <f>IF(AND(I2247="TP",S2247&lt;=500),VLOOKUP(AF2247,TPCalibEq500!$AZ$2:$BB$56,3,),IF(AND(I2247="TDP",S2247&lt;=500),VLOOKUP(AF2247,TPCalibEq500!$AZ$2:$BB$56,3,)))</f>
        <v>0</v>
      </c>
      <c r="AT2247" s="10" t="b">
        <f>IF(AND(I2247="TN",S2247&lt;=2800),VLOOKUP(AF2247,TNCalibEq2500!$AZ$2:$BB$56,3,),IF(AND(I2247="TDN",S2247&lt;=2800),VLOOKUP(AF2247,TNCalibEq2500!$AZ$2:$BB$56,3,)))</f>
        <v>0</v>
      </c>
      <c r="AU2247" s="10" t="b">
        <f>IF(I2247="TP",VLOOKUP(AF2247,TPCalibEqFull!$AZ$2:$BB$56,3),IF(I2247="TDP",VLOOKUP(AF2247,TPCalibEqFull!$AZ$2:$BB$56,3),IF(I2247="TDN",VLOOKUP(AF2247,TNCalibEqFull!$AZ$1:$BB$56,3),IF(I2247="TN",VLOOKUP(AF2247,TNCalibEqFull!$AZ$1:$BB$56,3),FALSE))))</f>
        <v>0</v>
      </c>
      <c r="AV2247" s="10" t="str">
        <f t="shared" si="261"/>
        <v>0208 10:37:20-EMB-10-800-1-SW-UKN</v>
      </c>
    </row>
    <row r="2248" spans="1:48" s="10" customFormat="1" x14ac:dyDescent="0.55000000000000004">
      <c r="A2248" s="32">
        <v>44965</v>
      </c>
      <c r="B2248" s="33">
        <v>0.44490740740740736</v>
      </c>
      <c r="C2248" s="10" t="s">
        <v>646</v>
      </c>
      <c r="D2248" s="10">
        <v>20</v>
      </c>
      <c r="E2248" s="10" t="s">
        <v>190</v>
      </c>
      <c r="F2248" s="10">
        <v>1</v>
      </c>
      <c r="G2248" s="10" t="s">
        <v>231</v>
      </c>
      <c r="H2248" s="10" t="s">
        <v>322</v>
      </c>
      <c r="I2248" s="10" t="s">
        <v>285</v>
      </c>
      <c r="J2248" s="10">
        <v>42</v>
      </c>
      <c r="K2248" s="12">
        <v>44966</v>
      </c>
      <c r="L2248" s="33">
        <v>0.51863425925925932</v>
      </c>
      <c r="M2248" s="10">
        <v>1</v>
      </c>
      <c r="N2248" s="10" t="s">
        <v>211</v>
      </c>
      <c r="O2248" s="10">
        <v>0.624</v>
      </c>
      <c r="P2248" s="10">
        <v>5.96E-2</v>
      </c>
      <c r="Q2248" s="10">
        <v>107</v>
      </c>
      <c r="R2248" s="10" t="s">
        <v>913</v>
      </c>
      <c r="S2248" s="34">
        <f t="shared" si="256"/>
        <v>107</v>
      </c>
      <c r="T2248" s="10" t="s">
        <v>1166</v>
      </c>
      <c r="U2248" s="34" t="str">
        <f t="shared" si="259"/>
        <v/>
      </c>
      <c r="V2248" s="31" t="str">
        <f>IF(H2248="CHK",VLOOKUP(I2248,QCCHK,3,),IF(H2248="GUP",VLOOKUP(E2248,QCGUP,2,),IF(AND(H2248="ATP",OR(I2248="TN",I2248="TDN",I2248="TNO2-3",I2248="NO2-3")),VLOOKUP(E2248,QCREC_N,2,),IF(AND(H2248="NIC",OR(I2248="TN",I2248="TDN",I2248="TNO2-3",I2248="NO2-3")),VLOOKUP(E2248,QCNIC_N,2,),IF(AND(H2248="UREA",OR(I2248="TN",I2248="TDN",I2248="TNO2-3",I2248="NO2-3")),VLOOKUP(E2248,QCUREA_N,2,),IF(H2248="PER",VLOOKUP(I2248,QCPER,MATCH(E2248,QCACTUAL!$J$25:$AA$25,0),),IF(H2248="SPK",VLOOKUP(I2248,QCSPK,3,),IF(AND(H2248="ATP",OR(I2248="TP",I2248="TDP")),VLOOKUP(E2248,QCATP_P,2,),""))))))))</f>
        <v/>
      </c>
      <c r="W2248" s="31" t="str">
        <f t="shared" si="260"/>
        <v>TRUE</v>
      </c>
      <c r="X2248" s="31" t="str">
        <f t="shared" si="255"/>
        <v/>
      </c>
      <c r="Y2248" s="10" t="s">
        <v>1144</v>
      </c>
      <c r="AL2248" s="10" t="str">
        <f t="shared" si="257"/>
        <v>FALSE</v>
      </c>
      <c r="AM2248" s="10" t="str">
        <f t="shared" si="257"/>
        <v>FALSE</v>
      </c>
      <c r="AN2248" s="10" t="str">
        <f t="shared" si="257"/>
        <v>FALSE</v>
      </c>
      <c r="AO2248" s="10" t="str">
        <f t="shared" si="258"/>
        <v>FALSE</v>
      </c>
      <c r="AP2248" s="10" t="str">
        <f t="shared" si="258"/>
        <v>FALSE</v>
      </c>
      <c r="AQ2248" s="10" t="b">
        <f>IF(AND(I2248="TP",S2248&lt;=150),VLOOKUP(AF2248,TPCalibEq150!$AZ$2:$BB$55,3,),IF(AND(I2248="TDP",S2248&lt;=150),VLOOKUP(AF2248,TPCalibEq150!$AZ$2:$BB$55,3,)))</f>
        <v>0</v>
      </c>
      <c r="AR2248" s="10" t="b">
        <f>IF(AND(I2248="TP",S2248&lt;=300),VLOOKUP(AF2248,TPCalibEq300!$AZ$2:$BB$55,3,),IF(AND(I2248="TDP",S2248&lt;=300),VLOOKUP(AF2248,TPCalibEq300!$AZ$2:$BB$55,3,)))</f>
        <v>0</v>
      </c>
      <c r="AS2248" s="10" t="b">
        <f>IF(AND(I2248="TP",S2248&lt;=500),VLOOKUP(AF2248,TPCalibEq500!$AZ$2:$BB$56,3,),IF(AND(I2248="TDP",S2248&lt;=500),VLOOKUP(AF2248,TPCalibEq500!$AZ$2:$BB$56,3,)))</f>
        <v>0</v>
      </c>
      <c r="AT2248" s="10" t="b">
        <f>IF(AND(I2248="TN",S2248&lt;=2800),VLOOKUP(AF2248,TNCalibEq2500!$AZ$2:$BB$56,3,),IF(AND(I2248="TDN",S2248&lt;=2800),VLOOKUP(AF2248,TNCalibEq2500!$AZ$2:$BB$56,3,)))</f>
        <v>0</v>
      </c>
      <c r="AU2248" s="10" t="b">
        <f>IF(I2248="TP",VLOOKUP(AF2248,TPCalibEqFull!$AZ$2:$BB$56,3),IF(I2248="TDP",VLOOKUP(AF2248,TPCalibEqFull!$AZ$2:$BB$56,3),IF(I2248="TDN",VLOOKUP(AF2248,TNCalibEqFull!$AZ$1:$BB$56,3),IF(I2248="TN",VLOOKUP(AF2248,TNCalibEqFull!$AZ$1:$BB$56,3),FALSE))))</f>
        <v>0</v>
      </c>
      <c r="AV2248" s="10" t="str">
        <f t="shared" si="261"/>
        <v>0208 10:40:40-EMB-20-C-1-SW-UKN</v>
      </c>
    </row>
    <row r="2249" spans="1:48" s="10" customFormat="1" x14ac:dyDescent="0.55000000000000004">
      <c r="A2249" s="32">
        <v>44965</v>
      </c>
      <c r="B2249" s="33">
        <v>0.44780092592592591</v>
      </c>
      <c r="C2249" s="10" t="s">
        <v>646</v>
      </c>
      <c r="D2249" s="10">
        <v>69</v>
      </c>
      <c r="E2249" s="10" t="s">
        <v>190</v>
      </c>
      <c r="F2249" s="10">
        <v>1</v>
      </c>
      <c r="G2249" s="10" t="s">
        <v>231</v>
      </c>
      <c r="H2249" s="10" t="s">
        <v>322</v>
      </c>
      <c r="I2249" s="10" t="s">
        <v>285</v>
      </c>
      <c r="J2249" s="10">
        <v>43</v>
      </c>
      <c r="K2249" s="12">
        <v>44966</v>
      </c>
      <c r="L2249" s="33">
        <v>0.51944444444444449</v>
      </c>
      <c r="M2249" s="10">
        <v>1</v>
      </c>
      <c r="N2249" s="10" t="s">
        <v>211</v>
      </c>
      <c r="O2249" s="10">
        <v>0.57099999999999995</v>
      </c>
      <c r="P2249" s="10">
        <v>5.4600000000000003E-2</v>
      </c>
      <c r="Q2249" s="10">
        <v>98.3</v>
      </c>
      <c r="R2249" s="10" t="s">
        <v>913</v>
      </c>
      <c r="S2249" s="34">
        <f t="shared" si="256"/>
        <v>98.3</v>
      </c>
      <c r="T2249" s="10" t="s">
        <v>1166</v>
      </c>
      <c r="U2249" s="34" t="str">
        <f t="shared" si="259"/>
        <v/>
      </c>
      <c r="V2249" s="31" t="str">
        <f>IF(H2249="CHK",VLOOKUP(I2249,QCCHK,3,),IF(H2249="GUP",VLOOKUP(E2249,QCGUP,2,),IF(AND(H2249="ATP",OR(I2249="TN",I2249="TDN",I2249="TNO2-3",I2249="NO2-3")),VLOOKUP(E2249,QCREC_N,2,),IF(AND(H2249="NIC",OR(I2249="TN",I2249="TDN",I2249="TNO2-3",I2249="NO2-3")),VLOOKUP(E2249,QCNIC_N,2,),IF(AND(H2249="UREA",OR(I2249="TN",I2249="TDN",I2249="TNO2-3",I2249="NO2-3")),VLOOKUP(E2249,QCUREA_N,2,),IF(H2249="PER",VLOOKUP(I2249,QCPER,MATCH(E2249,QCACTUAL!$J$25:$AA$25,0),),IF(H2249="SPK",VLOOKUP(I2249,QCSPK,3,),IF(AND(H2249="ATP",OR(I2249="TP",I2249="TDP")),VLOOKUP(E2249,QCATP_P,2,),""))))))))</f>
        <v/>
      </c>
      <c r="W2249" s="31" t="str">
        <f t="shared" si="260"/>
        <v>TRUE</v>
      </c>
      <c r="X2249" s="31" t="str">
        <f t="shared" si="255"/>
        <v/>
      </c>
      <c r="Y2249" s="10" t="s">
        <v>1144</v>
      </c>
      <c r="AL2249" s="10" t="str">
        <f t="shared" si="257"/>
        <v>FALSE</v>
      </c>
      <c r="AM2249" s="10" t="str">
        <f t="shared" si="257"/>
        <v>FALSE</v>
      </c>
      <c r="AN2249" s="10" t="str">
        <f t="shared" si="257"/>
        <v>FALSE</v>
      </c>
      <c r="AO2249" s="10" t="str">
        <f t="shared" si="258"/>
        <v>FALSE</v>
      </c>
      <c r="AP2249" s="10" t="str">
        <f t="shared" si="258"/>
        <v>FALSE</v>
      </c>
      <c r="AQ2249" s="10" t="b">
        <f>IF(AND(I2249="TP",S2249&lt;=150),VLOOKUP(AF2249,TPCalibEq150!$AZ$2:$BB$55,3,),IF(AND(I2249="TDP",S2249&lt;=150),VLOOKUP(AF2249,TPCalibEq150!$AZ$2:$BB$55,3,)))</f>
        <v>0</v>
      </c>
      <c r="AR2249" s="10" t="b">
        <f>IF(AND(I2249="TP",S2249&lt;=300),VLOOKUP(AF2249,TPCalibEq300!$AZ$2:$BB$55,3,),IF(AND(I2249="TDP",S2249&lt;=300),VLOOKUP(AF2249,TPCalibEq300!$AZ$2:$BB$55,3,)))</f>
        <v>0</v>
      </c>
      <c r="AS2249" s="10" t="b">
        <f>IF(AND(I2249="TP",S2249&lt;=500),VLOOKUP(AF2249,TPCalibEq500!$AZ$2:$BB$56,3,),IF(AND(I2249="TDP",S2249&lt;=500),VLOOKUP(AF2249,TPCalibEq500!$AZ$2:$BB$56,3,)))</f>
        <v>0</v>
      </c>
      <c r="AT2249" s="10" t="b">
        <f>IF(AND(I2249="TN",S2249&lt;=2800),VLOOKUP(AF2249,TNCalibEq2500!$AZ$2:$BB$56,3,),IF(AND(I2249="TDN",S2249&lt;=2800),VLOOKUP(AF2249,TNCalibEq2500!$AZ$2:$BB$56,3,)))</f>
        <v>0</v>
      </c>
      <c r="AU2249" s="10" t="b">
        <f>IF(I2249="TP",VLOOKUP(AF2249,TPCalibEqFull!$AZ$2:$BB$56,3),IF(I2249="TDP",VLOOKUP(AF2249,TPCalibEqFull!$AZ$2:$BB$56,3),IF(I2249="TDN",VLOOKUP(AF2249,TNCalibEqFull!$AZ$1:$BB$56,3),IF(I2249="TN",VLOOKUP(AF2249,TNCalibEqFull!$AZ$1:$BB$56,3),FALSE))))</f>
        <v>0</v>
      </c>
      <c r="AV2249" s="10" t="str">
        <f t="shared" si="261"/>
        <v>0208 10:44:50-EMB-69-C-1-SW-UKN</v>
      </c>
    </row>
    <row r="2250" spans="1:48" s="10" customFormat="1" x14ac:dyDescent="0.55000000000000004">
      <c r="A2250" s="32">
        <v>44965</v>
      </c>
      <c r="B2250" s="33">
        <v>0.39953703703703702</v>
      </c>
      <c r="C2250" s="10" t="s">
        <v>287</v>
      </c>
      <c r="D2250" s="10">
        <v>0</v>
      </c>
      <c r="E2250" s="10">
        <v>800</v>
      </c>
      <c r="F2250" s="10">
        <v>1</v>
      </c>
      <c r="G2250" s="10" t="s">
        <v>231</v>
      </c>
      <c r="H2250" s="10" t="s">
        <v>322</v>
      </c>
      <c r="I2250" s="10" t="s">
        <v>285</v>
      </c>
      <c r="J2250" s="10">
        <v>44</v>
      </c>
      <c r="K2250" s="12">
        <v>44966</v>
      </c>
      <c r="L2250" s="33">
        <v>0.52025462962962965</v>
      </c>
      <c r="M2250" s="10">
        <v>1</v>
      </c>
      <c r="N2250" s="10" t="s">
        <v>211</v>
      </c>
      <c r="O2250" s="10">
        <v>0.60899999999999999</v>
      </c>
      <c r="P2250" s="10">
        <v>5.8400000000000001E-2</v>
      </c>
      <c r="Q2250" s="10">
        <v>105</v>
      </c>
      <c r="R2250" s="10" t="s">
        <v>913</v>
      </c>
      <c r="S2250" s="34">
        <f t="shared" si="256"/>
        <v>105</v>
      </c>
      <c r="T2250" s="10" t="s">
        <v>1166</v>
      </c>
      <c r="U2250" s="34" t="str">
        <f t="shared" si="259"/>
        <v/>
      </c>
      <c r="V2250" s="31" t="str">
        <f>IF(H2250="CHK",VLOOKUP(I2250,QCCHK,3,),IF(H2250="GUP",VLOOKUP(E2250,QCGUP,2,),IF(AND(H2250="ATP",OR(I2250="TN",I2250="TDN",I2250="TNO2-3",I2250="NO2-3")),VLOOKUP(E2250,QCREC_N,2,),IF(AND(H2250="NIC",OR(I2250="TN",I2250="TDN",I2250="TNO2-3",I2250="NO2-3")),VLOOKUP(E2250,QCNIC_N,2,),IF(AND(H2250="UREA",OR(I2250="TN",I2250="TDN",I2250="TNO2-3",I2250="NO2-3")),VLOOKUP(E2250,QCUREA_N,2,),IF(H2250="PER",VLOOKUP(I2250,QCPER,MATCH(E2250,QCACTUAL!$J$25:$AA$25,0),),IF(H2250="SPK",VLOOKUP(I2250,QCSPK,3,),IF(AND(H2250="ATP",OR(I2250="TP",I2250="TDP")),VLOOKUP(E2250,QCATP_P,2,),""))))))))</f>
        <v/>
      </c>
      <c r="W2250" s="31" t="str">
        <f t="shared" si="260"/>
        <v>TRUE</v>
      </c>
      <c r="X2250" s="31" t="str">
        <f t="shared" si="255"/>
        <v/>
      </c>
      <c r="Y2250" s="10" t="s">
        <v>1144</v>
      </c>
      <c r="AL2250" s="10" t="str">
        <f t="shared" si="257"/>
        <v>FALSE</v>
      </c>
      <c r="AM2250" s="10" t="str">
        <f t="shared" si="257"/>
        <v>FALSE</v>
      </c>
      <c r="AN2250" s="10" t="str">
        <f t="shared" si="257"/>
        <v>FALSE</v>
      </c>
      <c r="AO2250" s="10" t="str">
        <f t="shared" si="258"/>
        <v>FALSE</v>
      </c>
      <c r="AP2250" s="10" t="str">
        <f t="shared" si="258"/>
        <v>FALSE</v>
      </c>
      <c r="AQ2250" s="10" t="b">
        <f>IF(AND(I2250="TP",S2250&lt;=150),VLOOKUP(AF2250,TPCalibEq150!$AZ$2:$BB$55,3,),IF(AND(I2250="TDP",S2250&lt;=150),VLOOKUP(AF2250,TPCalibEq150!$AZ$2:$BB$55,3,)))</f>
        <v>0</v>
      </c>
      <c r="AR2250" s="10" t="b">
        <f>IF(AND(I2250="TP",S2250&lt;=300),VLOOKUP(AF2250,TPCalibEq300!$AZ$2:$BB$55,3,),IF(AND(I2250="TDP",S2250&lt;=300),VLOOKUP(AF2250,TPCalibEq300!$AZ$2:$BB$55,3,)))</f>
        <v>0</v>
      </c>
      <c r="AS2250" s="10" t="b">
        <f>IF(AND(I2250="TP",S2250&lt;=500),VLOOKUP(AF2250,TPCalibEq500!$AZ$2:$BB$56,3,),IF(AND(I2250="TDP",S2250&lt;=500),VLOOKUP(AF2250,TPCalibEq500!$AZ$2:$BB$56,3,)))</f>
        <v>0</v>
      </c>
      <c r="AT2250" s="10" t="b">
        <f>IF(AND(I2250="TN",S2250&lt;=2800),VLOOKUP(AF2250,TNCalibEq2500!$AZ$2:$BB$56,3,),IF(AND(I2250="TDN",S2250&lt;=2800),VLOOKUP(AF2250,TNCalibEq2500!$AZ$2:$BB$56,3,)))</f>
        <v>0</v>
      </c>
      <c r="AU2250" s="10" t="b">
        <f>IF(I2250="TP",VLOOKUP(AF2250,TPCalibEqFull!$AZ$2:$BB$56,3),IF(I2250="TDP",VLOOKUP(AF2250,TPCalibEqFull!$AZ$2:$BB$56,3),IF(I2250="TDN",VLOOKUP(AF2250,TNCalibEqFull!$AZ$1:$BB$56,3),IF(I2250="TN",VLOOKUP(AF2250,TNCalibEqFull!$AZ$1:$BB$56,3),FALSE))))</f>
        <v>0</v>
      </c>
      <c r="AV2250" s="10" t="str">
        <f t="shared" si="261"/>
        <v>0208 09:35:20-EFL-0-800-1-SW-UKN</v>
      </c>
    </row>
    <row r="2251" spans="1:48" s="10" customFormat="1" x14ac:dyDescent="0.55000000000000004">
      <c r="A2251" s="32">
        <v>44965</v>
      </c>
      <c r="B2251" s="33">
        <v>0.40185185185185185</v>
      </c>
      <c r="C2251" s="10" t="s">
        <v>287</v>
      </c>
      <c r="D2251" s="10">
        <v>5</v>
      </c>
      <c r="E2251" s="10">
        <v>800</v>
      </c>
      <c r="F2251" s="10">
        <v>1</v>
      </c>
      <c r="G2251" s="10" t="s">
        <v>231</v>
      </c>
      <c r="H2251" s="10" t="s">
        <v>322</v>
      </c>
      <c r="I2251" s="10" t="s">
        <v>285</v>
      </c>
      <c r="J2251" s="10">
        <v>45</v>
      </c>
      <c r="K2251" s="12">
        <v>44966</v>
      </c>
      <c r="L2251" s="33">
        <v>0.52105324074074078</v>
      </c>
      <c r="M2251" s="10">
        <v>1</v>
      </c>
      <c r="N2251" s="10" t="s">
        <v>211</v>
      </c>
      <c r="O2251" s="10">
        <v>0.61799999999999999</v>
      </c>
      <c r="P2251" s="10">
        <v>5.8599999999999999E-2</v>
      </c>
      <c r="Q2251" s="10">
        <v>106</v>
      </c>
      <c r="R2251" s="10" t="s">
        <v>913</v>
      </c>
      <c r="S2251" s="34">
        <f t="shared" si="256"/>
        <v>106</v>
      </c>
      <c r="T2251" s="10" t="s">
        <v>1166</v>
      </c>
      <c r="U2251" s="34" t="str">
        <f t="shared" si="259"/>
        <v/>
      </c>
      <c r="V2251" s="31" t="str">
        <f>IF(H2251="CHK",VLOOKUP(I2251,QCCHK,3,),IF(H2251="GUP",VLOOKUP(E2251,QCGUP,2,),IF(AND(H2251="ATP",OR(I2251="TN",I2251="TDN",I2251="TNO2-3",I2251="NO2-3")),VLOOKUP(E2251,QCREC_N,2,),IF(AND(H2251="NIC",OR(I2251="TN",I2251="TDN",I2251="TNO2-3",I2251="NO2-3")),VLOOKUP(E2251,QCNIC_N,2,),IF(AND(H2251="UREA",OR(I2251="TN",I2251="TDN",I2251="TNO2-3",I2251="NO2-3")),VLOOKUP(E2251,QCUREA_N,2,),IF(H2251="PER",VLOOKUP(I2251,QCPER,MATCH(E2251,QCACTUAL!$J$25:$AA$25,0),),IF(H2251="SPK",VLOOKUP(I2251,QCSPK,3,),IF(AND(H2251="ATP",OR(I2251="TP",I2251="TDP")),VLOOKUP(E2251,QCATP_P,2,),""))))))))</f>
        <v/>
      </c>
      <c r="W2251" s="31" t="str">
        <f t="shared" si="260"/>
        <v>TRUE</v>
      </c>
      <c r="X2251" s="31" t="str">
        <f t="shared" si="255"/>
        <v/>
      </c>
      <c r="Y2251" s="10" t="s">
        <v>1144</v>
      </c>
      <c r="AL2251" s="10" t="str">
        <f t="shared" si="257"/>
        <v>FALSE</v>
      </c>
      <c r="AM2251" s="10" t="str">
        <f t="shared" si="257"/>
        <v>FALSE</v>
      </c>
      <c r="AN2251" s="10" t="str">
        <f t="shared" si="257"/>
        <v>FALSE</v>
      </c>
      <c r="AO2251" s="10" t="str">
        <f t="shared" si="258"/>
        <v>FALSE</v>
      </c>
      <c r="AP2251" s="10" t="str">
        <f t="shared" si="258"/>
        <v>FALSE</v>
      </c>
      <c r="AQ2251" s="10" t="b">
        <f>IF(AND(I2251="TP",S2251&lt;=150),VLOOKUP(AF2251,TPCalibEq150!$AZ$2:$BB$55,3,),IF(AND(I2251="TDP",S2251&lt;=150),VLOOKUP(AF2251,TPCalibEq150!$AZ$2:$BB$55,3,)))</f>
        <v>0</v>
      </c>
      <c r="AR2251" s="10" t="b">
        <f>IF(AND(I2251="TP",S2251&lt;=300),VLOOKUP(AF2251,TPCalibEq300!$AZ$2:$BB$55,3,),IF(AND(I2251="TDP",S2251&lt;=300),VLOOKUP(AF2251,TPCalibEq300!$AZ$2:$BB$55,3,)))</f>
        <v>0</v>
      </c>
      <c r="AS2251" s="10" t="b">
        <f>IF(AND(I2251="TP",S2251&lt;=500),VLOOKUP(AF2251,TPCalibEq500!$AZ$2:$BB$56,3,),IF(AND(I2251="TDP",S2251&lt;=500),VLOOKUP(AF2251,TPCalibEq500!$AZ$2:$BB$56,3,)))</f>
        <v>0</v>
      </c>
      <c r="AT2251" s="10" t="b">
        <f>IF(AND(I2251="TN",S2251&lt;=2800),VLOOKUP(AF2251,TNCalibEq2500!$AZ$2:$BB$56,3,),IF(AND(I2251="TDN",S2251&lt;=2800),VLOOKUP(AF2251,TNCalibEq2500!$AZ$2:$BB$56,3,)))</f>
        <v>0</v>
      </c>
      <c r="AU2251" s="10" t="b">
        <f>IF(I2251="TP",VLOOKUP(AF2251,TPCalibEqFull!$AZ$2:$BB$56,3),IF(I2251="TDP",VLOOKUP(AF2251,TPCalibEqFull!$AZ$2:$BB$56,3),IF(I2251="TDN",VLOOKUP(AF2251,TNCalibEqFull!$AZ$1:$BB$56,3),IF(I2251="TN",VLOOKUP(AF2251,TNCalibEqFull!$AZ$1:$BB$56,3),FALSE))))</f>
        <v>0</v>
      </c>
      <c r="AV2251" s="10" t="str">
        <f t="shared" si="261"/>
        <v>0208 09:38:40-EFL-5-800-1-SW-UKN</v>
      </c>
    </row>
    <row r="2252" spans="1:48" s="10" customFormat="1" x14ac:dyDescent="0.55000000000000004">
      <c r="A2252" s="32">
        <v>44965</v>
      </c>
      <c r="B2252" s="33">
        <v>0.40416666666666662</v>
      </c>
      <c r="C2252" s="10" t="s">
        <v>287</v>
      </c>
      <c r="D2252" s="10">
        <v>10</v>
      </c>
      <c r="E2252" s="10">
        <v>800</v>
      </c>
      <c r="F2252" s="10">
        <v>1</v>
      </c>
      <c r="G2252" s="10" t="s">
        <v>231</v>
      </c>
      <c r="H2252" s="10" t="s">
        <v>322</v>
      </c>
      <c r="I2252" s="10" t="s">
        <v>285</v>
      </c>
      <c r="J2252" s="10">
        <v>46</v>
      </c>
      <c r="K2252" s="12">
        <v>44966</v>
      </c>
      <c r="L2252" s="33">
        <v>0.52187499999999998</v>
      </c>
      <c r="M2252" s="10">
        <v>1</v>
      </c>
      <c r="N2252" s="10" t="s">
        <v>211</v>
      </c>
      <c r="O2252" s="10">
        <v>0.62</v>
      </c>
      <c r="P2252" s="10">
        <v>5.8900000000000001E-2</v>
      </c>
      <c r="Q2252" s="10">
        <v>107</v>
      </c>
      <c r="R2252" s="10" t="s">
        <v>913</v>
      </c>
      <c r="S2252" s="34">
        <f t="shared" si="256"/>
        <v>107</v>
      </c>
      <c r="T2252" s="10" t="s">
        <v>1166</v>
      </c>
      <c r="U2252" s="34" t="str">
        <f t="shared" si="259"/>
        <v/>
      </c>
      <c r="V2252" s="31" t="str">
        <f>IF(H2252="CHK",VLOOKUP(I2252,QCCHK,3,),IF(H2252="GUP",VLOOKUP(E2252,QCGUP,2,),IF(AND(H2252="ATP",OR(I2252="TN",I2252="TDN",I2252="TNO2-3",I2252="NO2-3")),VLOOKUP(E2252,QCREC_N,2,),IF(AND(H2252="NIC",OR(I2252="TN",I2252="TDN",I2252="TNO2-3",I2252="NO2-3")),VLOOKUP(E2252,QCNIC_N,2,),IF(AND(H2252="UREA",OR(I2252="TN",I2252="TDN",I2252="TNO2-3",I2252="NO2-3")),VLOOKUP(E2252,QCUREA_N,2,),IF(H2252="PER",VLOOKUP(I2252,QCPER,MATCH(E2252,QCACTUAL!$J$25:$AA$25,0),),IF(H2252="SPK",VLOOKUP(I2252,QCSPK,3,),IF(AND(H2252="ATP",OR(I2252="TP",I2252="TDP")),VLOOKUP(E2252,QCATP_P,2,),""))))))))</f>
        <v/>
      </c>
      <c r="W2252" s="31" t="str">
        <f t="shared" si="260"/>
        <v>TRUE</v>
      </c>
      <c r="X2252" s="31" t="str">
        <f t="shared" si="255"/>
        <v/>
      </c>
      <c r="Y2252" s="10" t="s">
        <v>1144</v>
      </c>
      <c r="AL2252" s="10" t="str">
        <f t="shared" si="257"/>
        <v>FALSE</v>
      </c>
      <c r="AM2252" s="10" t="str">
        <f t="shared" si="257"/>
        <v>FALSE</v>
      </c>
      <c r="AN2252" s="10" t="str">
        <f t="shared" si="257"/>
        <v>FALSE</v>
      </c>
      <c r="AO2252" s="10" t="str">
        <f t="shared" si="258"/>
        <v>FALSE</v>
      </c>
      <c r="AP2252" s="10" t="str">
        <f t="shared" si="258"/>
        <v>FALSE</v>
      </c>
      <c r="AQ2252" s="10" t="b">
        <f>IF(AND(I2252="TP",S2252&lt;=150),VLOOKUP(AF2252,TPCalibEq150!$AZ$2:$BB$55,3,),IF(AND(I2252="TDP",S2252&lt;=150),VLOOKUP(AF2252,TPCalibEq150!$AZ$2:$BB$55,3,)))</f>
        <v>0</v>
      </c>
      <c r="AR2252" s="10" t="b">
        <f>IF(AND(I2252="TP",S2252&lt;=300),VLOOKUP(AF2252,TPCalibEq300!$AZ$2:$BB$55,3,),IF(AND(I2252="TDP",S2252&lt;=300),VLOOKUP(AF2252,TPCalibEq300!$AZ$2:$BB$55,3,)))</f>
        <v>0</v>
      </c>
      <c r="AS2252" s="10" t="b">
        <f>IF(AND(I2252="TP",S2252&lt;=500),VLOOKUP(AF2252,TPCalibEq500!$AZ$2:$BB$56,3,),IF(AND(I2252="TDP",S2252&lt;=500),VLOOKUP(AF2252,TPCalibEq500!$AZ$2:$BB$56,3,)))</f>
        <v>0</v>
      </c>
      <c r="AT2252" s="10" t="b">
        <f>IF(AND(I2252="TN",S2252&lt;=2800),VLOOKUP(AF2252,TNCalibEq2500!$AZ$2:$BB$56,3,),IF(AND(I2252="TDN",S2252&lt;=2800),VLOOKUP(AF2252,TNCalibEq2500!$AZ$2:$BB$56,3,)))</f>
        <v>0</v>
      </c>
      <c r="AU2252" s="10" t="b">
        <f>IF(I2252="TP",VLOOKUP(AF2252,TPCalibEqFull!$AZ$2:$BB$56,3),IF(I2252="TDP",VLOOKUP(AF2252,TPCalibEqFull!$AZ$2:$BB$56,3),IF(I2252="TDN",VLOOKUP(AF2252,TNCalibEqFull!$AZ$1:$BB$56,3),IF(I2252="TN",VLOOKUP(AF2252,TNCalibEqFull!$AZ$1:$BB$56,3),FALSE))))</f>
        <v>0</v>
      </c>
      <c r="AV2252" s="10" t="str">
        <f t="shared" si="261"/>
        <v>0208 09:42:00-EFL-10-800-1-SW-UKN</v>
      </c>
    </row>
    <row r="2253" spans="1:48" s="10" customFormat="1" x14ac:dyDescent="0.55000000000000004">
      <c r="A2253" s="32">
        <v>44965</v>
      </c>
      <c r="B2253" s="33">
        <v>0.4069444444444445</v>
      </c>
      <c r="C2253" s="10" t="s">
        <v>287</v>
      </c>
      <c r="D2253" s="10">
        <v>20</v>
      </c>
      <c r="E2253" s="10">
        <v>800</v>
      </c>
      <c r="F2253" s="10">
        <v>1</v>
      </c>
      <c r="G2253" s="10" t="s">
        <v>231</v>
      </c>
      <c r="H2253" s="10" t="s">
        <v>322</v>
      </c>
      <c r="I2253" s="10" t="s">
        <v>285</v>
      </c>
      <c r="J2253" s="10">
        <v>47</v>
      </c>
      <c r="K2253" s="12">
        <v>44966</v>
      </c>
      <c r="L2253" s="33">
        <v>0.52270833333333333</v>
      </c>
      <c r="M2253" s="10">
        <v>1</v>
      </c>
      <c r="N2253" s="10" t="s">
        <v>211</v>
      </c>
      <c r="O2253" s="10">
        <v>0.63</v>
      </c>
      <c r="P2253" s="10">
        <v>5.9900000000000002E-2</v>
      </c>
      <c r="Q2253" s="10">
        <v>108</v>
      </c>
      <c r="R2253" s="10" t="s">
        <v>913</v>
      </c>
      <c r="S2253" s="34">
        <f t="shared" si="256"/>
        <v>108</v>
      </c>
      <c r="T2253" s="10" t="s">
        <v>1166</v>
      </c>
      <c r="U2253" s="34" t="str">
        <f t="shared" si="259"/>
        <v/>
      </c>
      <c r="V2253" s="31" t="str">
        <f>IF(H2253="CHK",VLOOKUP(I2253,QCCHK,3,),IF(H2253="GUP",VLOOKUP(E2253,QCGUP,2,),IF(AND(H2253="ATP",OR(I2253="TN",I2253="TDN",I2253="TNO2-3",I2253="NO2-3")),VLOOKUP(E2253,QCREC_N,2,),IF(AND(H2253="NIC",OR(I2253="TN",I2253="TDN",I2253="TNO2-3",I2253="NO2-3")),VLOOKUP(E2253,QCNIC_N,2,),IF(AND(H2253="UREA",OR(I2253="TN",I2253="TDN",I2253="TNO2-3",I2253="NO2-3")),VLOOKUP(E2253,QCUREA_N,2,),IF(H2253="PER",VLOOKUP(I2253,QCPER,MATCH(E2253,QCACTUAL!$J$25:$AA$25,0),),IF(H2253="SPK",VLOOKUP(I2253,QCSPK,3,),IF(AND(H2253="ATP",OR(I2253="TP",I2253="TDP")),VLOOKUP(E2253,QCATP_P,2,),""))))))))</f>
        <v/>
      </c>
      <c r="W2253" s="31" t="str">
        <f t="shared" si="260"/>
        <v>TRUE</v>
      </c>
      <c r="X2253" s="31" t="str">
        <f t="shared" si="255"/>
        <v/>
      </c>
      <c r="Y2253" s="10" t="s">
        <v>1144</v>
      </c>
      <c r="AL2253" s="10" t="str">
        <f t="shared" si="257"/>
        <v>FALSE</v>
      </c>
      <c r="AM2253" s="10" t="str">
        <f t="shared" si="257"/>
        <v>FALSE</v>
      </c>
      <c r="AN2253" s="10" t="str">
        <f t="shared" si="257"/>
        <v>FALSE</v>
      </c>
      <c r="AO2253" s="10" t="str">
        <f t="shared" si="258"/>
        <v>FALSE</v>
      </c>
      <c r="AP2253" s="10" t="str">
        <f t="shared" si="258"/>
        <v>FALSE</v>
      </c>
      <c r="AQ2253" s="10" t="b">
        <f>IF(AND(I2253="TP",S2253&lt;=150),VLOOKUP(AF2253,TPCalibEq150!$AZ$2:$BB$55,3,),IF(AND(I2253="TDP",S2253&lt;=150),VLOOKUP(AF2253,TPCalibEq150!$AZ$2:$BB$55,3,)))</f>
        <v>0</v>
      </c>
      <c r="AR2253" s="10" t="b">
        <f>IF(AND(I2253="TP",S2253&lt;=300),VLOOKUP(AF2253,TPCalibEq300!$AZ$2:$BB$55,3,),IF(AND(I2253="TDP",S2253&lt;=300),VLOOKUP(AF2253,TPCalibEq300!$AZ$2:$BB$55,3,)))</f>
        <v>0</v>
      </c>
      <c r="AS2253" s="10" t="b">
        <f>IF(AND(I2253="TP",S2253&lt;=500),VLOOKUP(AF2253,TPCalibEq500!$AZ$2:$BB$56,3,),IF(AND(I2253="TDP",S2253&lt;=500),VLOOKUP(AF2253,TPCalibEq500!$AZ$2:$BB$56,3,)))</f>
        <v>0</v>
      </c>
      <c r="AT2253" s="10" t="b">
        <f>IF(AND(I2253="TN",S2253&lt;=2800),VLOOKUP(AF2253,TNCalibEq2500!$AZ$2:$BB$56,3,),IF(AND(I2253="TDN",S2253&lt;=2800),VLOOKUP(AF2253,TNCalibEq2500!$AZ$2:$BB$56,3,)))</f>
        <v>0</v>
      </c>
      <c r="AU2253" s="10" t="b">
        <f>IF(I2253="TP",VLOOKUP(AF2253,TPCalibEqFull!$AZ$2:$BB$56,3),IF(I2253="TDP",VLOOKUP(AF2253,TPCalibEqFull!$AZ$2:$BB$56,3),IF(I2253="TDN",VLOOKUP(AF2253,TNCalibEqFull!$AZ$1:$BB$56,3),IF(I2253="TN",VLOOKUP(AF2253,TNCalibEqFull!$AZ$1:$BB$56,3),FALSE))))</f>
        <v>0</v>
      </c>
      <c r="AV2253" s="10" t="str">
        <f t="shared" si="261"/>
        <v>0208 09:46:00-EFL-20-800-1-SW-UKN</v>
      </c>
    </row>
    <row r="2254" spans="1:48" s="10" customFormat="1" x14ac:dyDescent="0.55000000000000004">
      <c r="A2254" s="32">
        <v>44965</v>
      </c>
      <c r="B2254" s="33">
        <v>0.4069444444444445</v>
      </c>
      <c r="C2254" s="10" t="s">
        <v>287</v>
      </c>
      <c r="D2254" s="10">
        <v>20</v>
      </c>
      <c r="E2254" s="10">
        <v>800</v>
      </c>
      <c r="F2254" s="10">
        <v>2</v>
      </c>
      <c r="G2254" s="10" t="s">
        <v>231</v>
      </c>
      <c r="H2254" s="10" t="s">
        <v>322</v>
      </c>
      <c r="I2254" s="10" t="s">
        <v>285</v>
      </c>
      <c r="J2254" s="10">
        <v>48</v>
      </c>
      <c r="K2254" s="12">
        <v>44966</v>
      </c>
      <c r="L2254" s="33">
        <v>0.52353009259259264</v>
      </c>
      <c r="M2254" s="10">
        <v>1</v>
      </c>
      <c r="N2254" s="10" t="s">
        <v>211</v>
      </c>
      <c r="O2254" s="10">
        <v>0.626</v>
      </c>
      <c r="P2254" s="10">
        <v>5.9400000000000001E-2</v>
      </c>
      <c r="Q2254" s="10">
        <v>108</v>
      </c>
      <c r="R2254" s="10" t="s">
        <v>913</v>
      </c>
      <c r="S2254" s="34">
        <f t="shared" si="256"/>
        <v>108</v>
      </c>
      <c r="T2254" s="10" t="s">
        <v>1166</v>
      </c>
      <c r="U2254" s="34" t="str">
        <f t="shared" si="259"/>
        <v/>
      </c>
      <c r="V2254" s="31" t="str">
        <f>IF(H2254="CHK",VLOOKUP(I2254,QCCHK,3,),IF(H2254="GUP",VLOOKUP(E2254,QCGUP,2,),IF(AND(H2254="ATP",OR(I2254="TN",I2254="TDN",I2254="TNO2-3",I2254="NO2-3")),VLOOKUP(E2254,QCREC_N,2,),IF(AND(H2254="NIC",OR(I2254="TN",I2254="TDN",I2254="TNO2-3",I2254="NO2-3")),VLOOKUP(E2254,QCNIC_N,2,),IF(AND(H2254="UREA",OR(I2254="TN",I2254="TDN",I2254="TNO2-3",I2254="NO2-3")),VLOOKUP(E2254,QCUREA_N,2,),IF(H2254="PER",VLOOKUP(I2254,QCPER,MATCH(E2254,QCACTUAL!$J$25:$AA$25,0),),IF(H2254="SPK",VLOOKUP(I2254,QCSPK,3,),IF(AND(H2254="ATP",OR(I2254="TP",I2254="TDP")),VLOOKUP(E2254,QCATP_P,2,),""))))))))</f>
        <v/>
      </c>
      <c r="W2254" s="31" t="str">
        <f t="shared" si="260"/>
        <v>TRUE</v>
      </c>
      <c r="X2254" s="31" t="str">
        <f t="shared" si="255"/>
        <v/>
      </c>
      <c r="Y2254" s="10" t="s">
        <v>1144</v>
      </c>
      <c r="AL2254" s="10" t="str">
        <f t="shared" si="257"/>
        <v>FALSE</v>
      </c>
      <c r="AM2254" s="10" t="str">
        <f t="shared" si="257"/>
        <v>FALSE</v>
      </c>
      <c r="AN2254" s="10" t="str">
        <f t="shared" si="257"/>
        <v>FALSE</v>
      </c>
      <c r="AO2254" s="10" t="str">
        <f t="shared" si="258"/>
        <v>FALSE</v>
      </c>
      <c r="AP2254" s="10" t="str">
        <f t="shared" si="258"/>
        <v>FALSE</v>
      </c>
      <c r="AQ2254" s="10" t="b">
        <f>IF(AND(I2254="TP",S2254&lt;=150),VLOOKUP(AF2254,TPCalibEq150!$AZ$2:$BB$55,3,),IF(AND(I2254="TDP",S2254&lt;=150),VLOOKUP(AF2254,TPCalibEq150!$AZ$2:$BB$55,3,)))</f>
        <v>0</v>
      </c>
      <c r="AR2254" s="10" t="b">
        <f>IF(AND(I2254="TP",S2254&lt;=300),VLOOKUP(AF2254,TPCalibEq300!$AZ$2:$BB$55,3,),IF(AND(I2254="TDP",S2254&lt;=300),VLOOKUP(AF2254,TPCalibEq300!$AZ$2:$BB$55,3,)))</f>
        <v>0</v>
      </c>
      <c r="AS2254" s="10" t="b">
        <f>IF(AND(I2254="TP",S2254&lt;=500),VLOOKUP(AF2254,TPCalibEq500!$AZ$2:$BB$56,3,),IF(AND(I2254="TDP",S2254&lt;=500),VLOOKUP(AF2254,TPCalibEq500!$AZ$2:$BB$56,3,)))</f>
        <v>0</v>
      </c>
      <c r="AT2254" s="10" t="b">
        <f>IF(AND(I2254="TN",S2254&lt;=2800),VLOOKUP(AF2254,TNCalibEq2500!$AZ$2:$BB$56,3,),IF(AND(I2254="TDN",S2254&lt;=2800),VLOOKUP(AF2254,TNCalibEq2500!$AZ$2:$BB$56,3,)))</f>
        <v>0</v>
      </c>
      <c r="AU2254" s="10" t="b">
        <f>IF(I2254="TP",VLOOKUP(AF2254,TPCalibEqFull!$AZ$2:$BB$56,3),IF(I2254="TDP",VLOOKUP(AF2254,TPCalibEqFull!$AZ$2:$BB$56,3),IF(I2254="TDN",VLOOKUP(AF2254,TNCalibEqFull!$AZ$1:$BB$56,3),IF(I2254="TN",VLOOKUP(AF2254,TNCalibEqFull!$AZ$1:$BB$56,3),FALSE))))</f>
        <v>0</v>
      </c>
      <c r="AV2254" s="10" t="str">
        <f t="shared" si="261"/>
        <v>0208 09:46:00-EFL-20-800-2-SW-UKN</v>
      </c>
    </row>
    <row r="2255" spans="1:48" s="10" customFormat="1" x14ac:dyDescent="0.55000000000000004">
      <c r="A2255" s="32">
        <v>44965</v>
      </c>
      <c r="B2255" s="33">
        <v>0.41111111111111115</v>
      </c>
      <c r="C2255" s="10" t="s">
        <v>287</v>
      </c>
      <c r="D2255" s="10">
        <v>48</v>
      </c>
      <c r="E2255" s="10" t="s">
        <v>190</v>
      </c>
      <c r="F2255" s="10">
        <v>1</v>
      </c>
      <c r="G2255" s="10" t="s">
        <v>231</v>
      </c>
      <c r="H2255" s="10" t="s">
        <v>322</v>
      </c>
      <c r="I2255" s="10" t="s">
        <v>285</v>
      </c>
      <c r="J2255" s="10">
        <v>49</v>
      </c>
      <c r="K2255" s="12">
        <v>44966</v>
      </c>
      <c r="L2255" s="33">
        <v>0.52435185185185185</v>
      </c>
      <c r="M2255" s="10">
        <v>1</v>
      </c>
      <c r="N2255" s="10" t="s">
        <v>211</v>
      </c>
      <c r="O2255" s="10">
        <v>0.625</v>
      </c>
      <c r="P2255" s="10">
        <v>5.9299999999999999E-2</v>
      </c>
      <c r="Q2255" s="10">
        <v>108</v>
      </c>
      <c r="R2255" s="10" t="s">
        <v>913</v>
      </c>
      <c r="S2255" s="34">
        <f t="shared" si="256"/>
        <v>108</v>
      </c>
      <c r="T2255" s="10" t="s">
        <v>1166</v>
      </c>
      <c r="U2255" s="34" t="str">
        <f t="shared" si="259"/>
        <v/>
      </c>
      <c r="V2255" s="31" t="str">
        <f>IF(H2255="CHK",VLOOKUP(I2255,QCCHK,3,),IF(H2255="GUP",VLOOKUP(E2255,QCGUP,2,),IF(AND(H2255="ATP",OR(I2255="TN",I2255="TDN",I2255="TNO2-3",I2255="NO2-3")),VLOOKUP(E2255,QCREC_N,2,),IF(AND(H2255="NIC",OR(I2255="TN",I2255="TDN",I2255="TNO2-3",I2255="NO2-3")),VLOOKUP(E2255,QCNIC_N,2,),IF(AND(H2255="UREA",OR(I2255="TN",I2255="TDN",I2255="TNO2-3",I2255="NO2-3")),VLOOKUP(E2255,QCUREA_N,2,),IF(H2255="PER",VLOOKUP(I2255,QCPER,MATCH(E2255,QCACTUAL!$J$25:$AA$25,0),),IF(H2255="SPK",VLOOKUP(I2255,QCSPK,3,),IF(AND(H2255="ATP",OR(I2255="TP",I2255="TDP")),VLOOKUP(E2255,QCATP_P,2,),""))))))))</f>
        <v/>
      </c>
      <c r="W2255" s="31" t="str">
        <f t="shared" si="260"/>
        <v>TRUE</v>
      </c>
      <c r="X2255" s="31" t="str">
        <f t="shared" si="255"/>
        <v/>
      </c>
      <c r="Y2255" s="10" t="s">
        <v>1144</v>
      </c>
      <c r="AL2255" s="10" t="str">
        <f t="shared" si="257"/>
        <v>FALSE</v>
      </c>
      <c r="AM2255" s="10" t="str">
        <f t="shared" si="257"/>
        <v>FALSE</v>
      </c>
      <c r="AN2255" s="10" t="str">
        <f t="shared" si="257"/>
        <v>FALSE</v>
      </c>
      <c r="AO2255" s="10" t="str">
        <f t="shared" si="258"/>
        <v>FALSE</v>
      </c>
      <c r="AP2255" s="10" t="str">
        <f t="shared" si="258"/>
        <v>FALSE</v>
      </c>
      <c r="AQ2255" s="10" t="b">
        <f>IF(AND(I2255="TP",S2255&lt;=150),VLOOKUP(AF2255,TPCalibEq150!$AZ$2:$BB$55,3,),IF(AND(I2255="TDP",S2255&lt;=150),VLOOKUP(AF2255,TPCalibEq150!$AZ$2:$BB$55,3,)))</f>
        <v>0</v>
      </c>
      <c r="AR2255" s="10" t="b">
        <f>IF(AND(I2255="TP",S2255&lt;=300),VLOOKUP(AF2255,TPCalibEq300!$AZ$2:$BB$55,3,),IF(AND(I2255="TDP",S2255&lt;=300),VLOOKUP(AF2255,TPCalibEq300!$AZ$2:$BB$55,3,)))</f>
        <v>0</v>
      </c>
      <c r="AS2255" s="10" t="b">
        <f>IF(AND(I2255="TP",S2255&lt;=500),VLOOKUP(AF2255,TPCalibEq500!$AZ$2:$BB$56,3,),IF(AND(I2255="TDP",S2255&lt;=500),VLOOKUP(AF2255,TPCalibEq500!$AZ$2:$BB$56,3,)))</f>
        <v>0</v>
      </c>
      <c r="AT2255" s="10" t="b">
        <f>IF(AND(I2255="TN",S2255&lt;=2800),VLOOKUP(AF2255,TNCalibEq2500!$AZ$2:$BB$56,3,),IF(AND(I2255="TDN",S2255&lt;=2800),VLOOKUP(AF2255,TNCalibEq2500!$AZ$2:$BB$56,3,)))</f>
        <v>0</v>
      </c>
      <c r="AU2255" s="10" t="b">
        <f>IF(I2255="TP",VLOOKUP(AF2255,TPCalibEqFull!$AZ$2:$BB$56,3),IF(I2255="TDP",VLOOKUP(AF2255,TPCalibEqFull!$AZ$2:$BB$56,3),IF(I2255="TDN",VLOOKUP(AF2255,TNCalibEqFull!$AZ$1:$BB$56,3),IF(I2255="TN",VLOOKUP(AF2255,TNCalibEqFull!$AZ$1:$BB$56,3),FALSE))))</f>
        <v>0</v>
      </c>
      <c r="AV2255" s="10" t="str">
        <f t="shared" si="261"/>
        <v>0208 09:52:00-EFL-48-C-1-SW-UKN</v>
      </c>
    </row>
    <row r="2256" spans="1:48" s="10" customFormat="1" x14ac:dyDescent="0.55000000000000004">
      <c r="A2256" s="32">
        <v>44965</v>
      </c>
      <c r="B2256" s="33">
        <v>0.41111111111111115</v>
      </c>
      <c r="C2256" s="10" t="s">
        <v>287</v>
      </c>
      <c r="D2256" s="10">
        <v>48</v>
      </c>
      <c r="E2256" s="10" t="s">
        <v>190</v>
      </c>
      <c r="F2256" s="10">
        <v>1</v>
      </c>
      <c r="G2256" s="10" t="s">
        <v>231</v>
      </c>
      <c r="H2256" s="10" t="s">
        <v>233</v>
      </c>
      <c r="I2256" s="10" t="s">
        <v>285</v>
      </c>
      <c r="J2256" s="10">
        <v>49</v>
      </c>
      <c r="K2256" s="12">
        <v>44966</v>
      </c>
      <c r="L2256" s="33">
        <v>0.52517361111111105</v>
      </c>
      <c r="M2256" s="10">
        <v>1</v>
      </c>
      <c r="N2256" s="10" t="s">
        <v>211</v>
      </c>
      <c r="O2256" s="10">
        <v>0.61399999999999999</v>
      </c>
      <c r="P2256" s="10">
        <v>5.8400000000000001E-2</v>
      </c>
      <c r="Q2256" s="10">
        <v>106</v>
      </c>
      <c r="R2256" s="10" t="s">
        <v>913</v>
      </c>
      <c r="S2256" s="34">
        <f t="shared" si="256"/>
        <v>106</v>
      </c>
      <c r="T2256" s="10" t="s">
        <v>1166</v>
      </c>
      <c r="U2256" s="34">
        <f t="shared" si="259"/>
        <v>1.8691588785046727</v>
      </c>
      <c r="V2256" s="31" t="str">
        <f>IF(H2256="CHK",VLOOKUP(I2256,QCCHK,3,),IF(H2256="GUP",VLOOKUP(E2256,QCGUP,2,),IF(AND(H2256="ATP",OR(I2256="TN",I2256="TDN",I2256="TNO2-3",I2256="NO2-3")),VLOOKUP(E2256,QCREC_N,2,),IF(AND(H2256="NIC",OR(I2256="TN",I2256="TDN",I2256="TNO2-3",I2256="NO2-3")),VLOOKUP(E2256,QCNIC_N,2,),IF(AND(H2256="UREA",OR(I2256="TN",I2256="TDN",I2256="TNO2-3",I2256="NO2-3")),VLOOKUP(E2256,QCUREA_N,2,),IF(H2256="PER",VLOOKUP(I2256,QCPER,MATCH(E2256,QCACTUAL!$J$25:$AA$25,0),),IF(H2256="SPK",VLOOKUP(I2256,QCSPK,3,),IF(AND(H2256="ATP",OR(I2256="TP",I2256="TDP")),VLOOKUP(E2256,QCATP_P,2,),""))))))))</f>
        <v/>
      </c>
      <c r="W2256" s="31" t="str">
        <f t="shared" si="260"/>
        <v>TRUE</v>
      </c>
      <c r="X2256" s="31" t="str">
        <f t="shared" si="255"/>
        <v>((ABS(rep1-rep2))/((rep1+rep2)/2)*100</v>
      </c>
      <c r="Y2256" s="10" t="s">
        <v>1144</v>
      </c>
      <c r="AL2256" s="10" t="str">
        <f t="shared" si="257"/>
        <v>FALSE</v>
      </c>
      <c r="AM2256" s="10" t="str">
        <f t="shared" si="257"/>
        <v>FALSE</v>
      </c>
      <c r="AN2256" s="10" t="str">
        <f t="shared" si="257"/>
        <v>FALSE</v>
      </c>
      <c r="AO2256" s="10" t="str">
        <f t="shared" si="258"/>
        <v>FALSE</v>
      </c>
      <c r="AP2256" s="10" t="str">
        <f t="shared" si="258"/>
        <v>FALSE</v>
      </c>
      <c r="AQ2256" s="10" t="b">
        <f>IF(AND(I2256="TP",S2256&lt;=150),VLOOKUP(AF2256,TPCalibEq150!$AZ$2:$BB$55,3,),IF(AND(I2256="TDP",S2256&lt;=150),VLOOKUP(AF2256,TPCalibEq150!$AZ$2:$BB$55,3,)))</f>
        <v>0</v>
      </c>
      <c r="AR2256" s="10" t="b">
        <f>IF(AND(I2256="TP",S2256&lt;=300),VLOOKUP(AF2256,TPCalibEq300!$AZ$2:$BB$55,3,),IF(AND(I2256="TDP",S2256&lt;=300),VLOOKUP(AF2256,TPCalibEq300!$AZ$2:$BB$55,3,)))</f>
        <v>0</v>
      </c>
      <c r="AS2256" s="10" t="b">
        <f>IF(AND(I2256="TP",S2256&lt;=500),VLOOKUP(AF2256,TPCalibEq500!$AZ$2:$BB$56,3,),IF(AND(I2256="TDP",S2256&lt;=500),VLOOKUP(AF2256,TPCalibEq500!$AZ$2:$BB$56,3,)))</f>
        <v>0</v>
      </c>
      <c r="AT2256" s="10" t="b">
        <f>IF(AND(I2256="TN",S2256&lt;=2800),VLOOKUP(AF2256,TNCalibEq2500!$AZ$2:$BB$56,3,),IF(AND(I2256="TDN",S2256&lt;=2800),VLOOKUP(AF2256,TNCalibEq2500!$AZ$2:$BB$56,3,)))</f>
        <v>0</v>
      </c>
      <c r="AU2256" s="10" t="b">
        <f>IF(I2256="TP",VLOOKUP(AF2256,TPCalibEqFull!$AZ$2:$BB$56,3),IF(I2256="TDP",VLOOKUP(AF2256,TPCalibEqFull!$AZ$2:$BB$56,3),IF(I2256="TDN",VLOOKUP(AF2256,TNCalibEqFull!$AZ$1:$BB$56,3),IF(I2256="TN",VLOOKUP(AF2256,TNCalibEqFull!$AZ$1:$BB$56,3),FALSE))))</f>
        <v>0</v>
      </c>
      <c r="AV2256" s="10" t="str">
        <f t="shared" si="261"/>
        <v>0208 09:52:00-EFL-48-C-1-SW-DUP</v>
      </c>
    </row>
    <row r="2257" spans="1:48" s="10" customFormat="1" x14ac:dyDescent="0.55000000000000004">
      <c r="A2257" s="32">
        <v>44965</v>
      </c>
      <c r="B2257" s="33">
        <v>0.41111111111111115</v>
      </c>
      <c r="C2257" s="10" t="s">
        <v>287</v>
      </c>
      <c r="D2257" s="10">
        <v>48</v>
      </c>
      <c r="E2257" s="10" t="s">
        <v>190</v>
      </c>
      <c r="F2257" s="10">
        <v>1</v>
      </c>
      <c r="G2257" s="10" t="s">
        <v>231</v>
      </c>
      <c r="H2257" s="10" t="s">
        <v>314</v>
      </c>
      <c r="I2257" s="10" t="s">
        <v>285</v>
      </c>
      <c r="J2257" s="10">
        <v>124</v>
      </c>
      <c r="K2257" s="12">
        <v>44966</v>
      </c>
      <c r="L2257" s="33">
        <v>0.52598379629629632</v>
      </c>
      <c r="M2257" s="10">
        <v>1</v>
      </c>
      <c r="N2257" s="10" t="s">
        <v>211</v>
      </c>
      <c r="O2257" s="10">
        <v>1.6</v>
      </c>
      <c r="P2257" s="10">
        <v>0.155</v>
      </c>
      <c r="Q2257" s="10">
        <v>276</v>
      </c>
      <c r="R2257" s="10" t="s">
        <v>913</v>
      </c>
      <c r="S2257" s="34">
        <f t="shared" si="256"/>
        <v>276</v>
      </c>
      <c r="T2257" s="10" t="s">
        <v>1166</v>
      </c>
      <c r="U2257" s="34">
        <f t="shared" si="259"/>
        <v>108.80000000000001</v>
      </c>
      <c r="V2257" s="31">
        <f>IF(H2257="CHK",VLOOKUP(I2257,QCCHK,3,),IF(H2257="GUP",VLOOKUP(E2257,QCGUP,2,),IF(AND(H2257="ATP",OR(I2257="TN",I2257="TDN",I2257="TNO2-3",I2257="NO2-3")),VLOOKUP(E2257,QCREC_N,2,),IF(AND(H2257="NIC",OR(I2257="TN",I2257="TDN",I2257="TNO2-3",I2257="NO2-3")),VLOOKUP(E2257,QCNIC_N,2,),IF(AND(H2257="UREA",OR(I2257="TN",I2257="TDN",I2257="TNO2-3",I2257="NO2-3")),VLOOKUP(E2257,QCUREA_N,2,),IF(H2257="PER",VLOOKUP(I2257,QCPER,MATCH(E2257,QCACTUAL!$J$25:$AA$25,0),),IF(H2257="SPK",VLOOKUP(I2257,QCSPK,3,),IF(AND(H2257="ATP",OR(I2257="TP",I2257="TDP")),VLOOKUP(E2257,QCATP_P,2,),""))))))))</f>
        <v>156.25</v>
      </c>
      <c r="W2257" s="31" t="str">
        <f t="shared" si="260"/>
        <v>TRUE</v>
      </c>
      <c r="X2257" s="31" t="str">
        <f t="shared" si="255"/>
        <v>([spikedunkn]-[unkn])/[spike]*100</v>
      </c>
      <c r="Y2257" s="10" t="s">
        <v>1144</v>
      </c>
      <c r="AL2257" s="10" t="str">
        <f t="shared" si="257"/>
        <v>FALSE</v>
      </c>
      <c r="AM2257" s="10" t="str">
        <f t="shared" si="257"/>
        <v>FALSE</v>
      </c>
      <c r="AN2257" s="10" t="str">
        <f t="shared" si="257"/>
        <v>FALSE</v>
      </c>
      <c r="AO2257" s="10" t="str">
        <f t="shared" si="258"/>
        <v>FALSE</v>
      </c>
      <c r="AP2257" s="10" t="str">
        <f t="shared" si="258"/>
        <v>FALSE</v>
      </c>
      <c r="AQ2257" s="10" t="b">
        <f>IF(AND(I2257="TP",S2257&lt;=150),VLOOKUP(AF2257,TPCalibEq150!$AZ$2:$BB$55,3,),IF(AND(I2257="TDP",S2257&lt;=150),VLOOKUP(AF2257,TPCalibEq150!$AZ$2:$BB$55,3,)))</f>
        <v>0</v>
      </c>
      <c r="AR2257" s="10" t="b">
        <f>IF(AND(I2257="TP",S2257&lt;=300),VLOOKUP(AF2257,TPCalibEq300!$AZ$2:$BB$55,3,),IF(AND(I2257="TDP",S2257&lt;=300),VLOOKUP(AF2257,TPCalibEq300!$AZ$2:$BB$55,3,)))</f>
        <v>0</v>
      </c>
      <c r="AS2257" s="10" t="b">
        <f>IF(AND(I2257="TP",S2257&lt;=500),VLOOKUP(AF2257,TPCalibEq500!$AZ$2:$BB$56,3,),IF(AND(I2257="TDP",S2257&lt;=500),VLOOKUP(AF2257,TPCalibEq500!$AZ$2:$BB$56,3,)))</f>
        <v>0</v>
      </c>
      <c r="AT2257" s="10" t="b">
        <f>IF(AND(I2257="TN",S2257&lt;=2800),VLOOKUP(AF2257,TNCalibEq2500!$AZ$2:$BB$56,3,),IF(AND(I2257="TDN",S2257&lt;=2800),VLOOKUP(AF2257,TNCalibEq2500!$AZ$2:$BB$56,3,)))</f>
        <v>0</v>
      </c>
      <c r="AU2257" s="10" t="b">
        <f>IF(I2257="TP",VLOOKUP(AF2257,TPCalibEqFull!$AZ$2:$BB$56,3),IF(I2257="TDP",VLOOKUP(AF2257,TPCalibEqFull!$AZ$2:$BB$56,3),IF(I2257="TDN",VLOOKUP(AF2257,TNCalibEqFull!$AZ$1:$BB$56,3),IF(I2257="TN",VLOOKUP(AF2257,TNCalibEqFull!$AZ$1:$BB$56,3),FALSE))))</f>
        <v>0</v>
      </c>
      <c r="AV2257" s="10" t="str">
        <f t="shared" si="261"/>
        <v>0208 09:52:00-EFL-48-C-1-SW-SPK</v>
      </c>
    </row>
    <row r="2258" spans="1:48" s="10" customFormat="1" x14ac:dyDescent="0.55000000000000004">
      <c r="A2258" s="32">
        <v>44966</v>
      </c>
      <c r="B2258" s="33">
        <v>0.375</v>
      </c>
      <c r="C2258" s="10" t="s">
        <v>70</v>
      </c>
      <c r="D2258" s="10" t="s">
        <v>71</v>
      </c>
      <c r="E2258" s="10" t="s">
        <v>901</v>
      </c>
      <c r="F2258" s="10">
        <v>1</v>
      </c>
      <c r="G2258" s="10" t="s">
        <v>73</v>
      </c>
      <c r="H2258" s="10" t="s">
        <v>207</v>
      </c>
      <c r="I2258" s="10" t="s">
        <v>285</v>
      </c>
      <c r="J2258" s="10">
        <v>201</v>
      </c>
      <c r="K2258" s="12">
        <v>44966</v>
      </c>
      <c r="L2258" s="33">
        <v>0.52681712962962968</v>
      </c>
      <c r="M2258" s="10">
        <v>1</v>
      </c>
      <c r="N2258" s="10" t="s">
        <v>211</v>
      </c>
      <c r="O2258" s="10">
        <v>0.442</v>
      </c>
      <c r="P2258" s="10">
        <v>4.1799999999999997E-2</v>
      </c>
      <c r="Q2258" s="10">
        <v>76</v>
      </c>
      <c r="R2258" s="10" t="s">
        <v>913</v>
      </c>
      <c r="S2258" s="34">
        <f t="shared" si="256"/>
        <v>76</v>
      </c>
      <c r="T2258" s="10" t="s">
        <v>1166</v>
      </c>
      <c r="U2258" s="34">
        <f t="shared" si="259"/>
        <v>101.33333333333334</v>
      </c>
      <c r="V2258" s="31">
        <f>IF(H2258="CHK",VLOOKUP(I2258,QCCHK,3,),IF(H2258="GUP",VLOOKUP(E2258,QCGUP,2,),IF(AND(H2258="ATP",OR(I2258="TN",I2258="TDN",I2258="TNO2-3",I2258="NO2-3")),VLOOKUP(E2258,QCREC_N,2,),IF(AND(H2258="NIC",OR(I2258="TN",I2258="TDN",I2258="TNO2-3",I2258="NO2-3")),VLOOKUP(E2258,QCNIC_N,2,),IF(AND(H2258="UREA",OR(I2258="TN",I2258="TDN",I2258="TNO2-3",I2258="NO2-3")),VLOOKUP(E2258,QCUREA_N,2,),IF(H2258="PER",VLOOKUP(I2258,QCPER,MATCH(E2258,QCACTUAL!$J$25:$AA$25,0),),IF(H2258="SPK",VLOOKUP(I2258,QCSPK,3,),IF(AND(H2258="ATP",OR(I2258="TP",I2258="TDP")),VLOOKUP(E2258,QCATP_P,2,),""))))))))</f>
        <v>75</v>
      </c>
      <c r="W2258" s="31" t="str">
        <f t="shared" si="260"/>
        <v>TRUE</v>
      </c>
      <c r="X2258" s="31" t="str">
        <f t="shared" si="255"/>
        <v>[chk]/[actual]*100</v>
      </c>
      <c r="Y2258" s="10" t="s">
        <v>1144</v>
      </c>
      <c r="AL2258" s="10" t="str">
        <f t="shared" si="257"/>
        <v>FALSE</v>
      </c>
      <c r="AM2258" s="10" t="str">
        <f t="shared" si="257"/>
        <v>FALSE</v>
      </c>
      <c r="AN2258" s="10" t="str">
        <f t="shared" si="257"/>
        <v>FALSE</v>
      </c>
      <c r="AO2258" s="10" t="str">
        <f t="shared" si="258"/>
        <v>FALSE</v>
      </c>
      <c r="AP2258" s="10" t="str">
        <f t="shared" si="258"/>
        <v>FALSE</v>
      </c>
      <c r="AQ2258" s="10" t="b">
        <f>IF(AND(I2258="TP",S2258&lt;=150),VLOOKUP(AF2258,TPCalibEq150!$AZ$2:$BB$55,3,),IF(AND(I2258="TDP",S2258&lt;=150),VLOOKUP(AF2258,TPCalibEq150!$AZ$2:$BB$55,3,)))</f>
        <v>0</v>
      </c>
      <c r="AR2258" s="10" t="b">
        <f>IF(AND(I2258="TP",S2258&lt;=300),VLOOKUP(AF2258,TPCalibEq300!$AZ$2:$BB$55,3,),IF(AND(I2258="TDP",S2258&lt;=300),VLOOKUP(AF2258,TPCalibEq300!$AZ$2:$BB$55,3,)))</f>
        <v>0</v>
      </c>
      <c r="AS2258" s="10" t="b">
        <f>IF(AND(I2258="TP",S2258&lt;=500),VLOOKUP(AF2258,TPCalibEq500!$AZ$2:$BB$56,3,),IF(AND(I2258="TDP",S2258&lt;=500),VLOOKUP(AF2258,TPCalibEq500!$AZ$2:$BB$56,3,)))</f>
        <v>0</v>
      </c>
      <c r="AT2258" s="10" t="b">
        <f>IF(AND(I2258="TN",S2258&lt;=2800),VLOOKUP(AF2258,TNCalibEq2500!$AZ$2:$BB$56,3,),IF(AND(I2258="TDN",S2258&lt;=2800),VLOOKUP(AF2258,TNCalibEq2500!$AZ$2:$BB$56,3,)))</f>
        <v>0</v>
      </c>
      <c r="AU2258" s="10" t="b">
        <f>IF(I2258="TP",VLOOKUP(AF2258,TPCalibEqFull!$AZ$2:$BB$56,3),IF(I2258="TDP",VLOOKUP(AF2258,TPCalibEqFull!$AZ$2:$BB$56,3),IF(I2258="TDN",VLOOKUP(AF2258,TNCalibEqFull!$AZ$1:$BB$56,3),IF(I2258="TN",VLOOKUP(AF2258,TNCalibEqFull!$AZ$1:$BB$56,3),FALSE))))</f>
        <v>0</v>
      </c>
      <c r="AV2258" s="10" t="str">
        <f t="shared" si="261"/>
        <v>0209 09:00:00-QAC-STD-D-1-DI-CHK</v>
      </c>
    </row>
    <row r="2259" spans="1:48" s="10" customFormat="1" x14ac:dyDescent="0.55000000000000004">
      <c r="A2259" s="32">
        <v>44965</v>
      </c>
      <c r="B2259" s="33">
        <v>0.37777777777777777</v>
      </c>
      <c r="C2259" s="10" t="s">
        <v>428</v>
      </c>
      <c r="D2259" s="10">
        <v>0</v>
      </c>
      <c r="E2259" s="10">
        <v>800</v>
      </c>
      <c r="F2259" s="10">
        <v>1</v>
      </c>
      <c r="G2259" s="10" t="s">
        <v>231</v>
      </c>
      <c r="H2259" s="10" t="s">
        <v>322</v>
      </c>
      <c r="I2259" s="10" t="s">
        <v>285</v>
      </c>
      <c r="J2259" s="10">
        <v>50</v>
      </c>
      <c r="K2259" s="12">
        <v>44966</v>
      </c>
      <c r="L2259" s="33">
        <v>0.52762731481481484</v>
      </c>
      <c r="M2259" s="10">
        <v>1</v>
      </c>
      <c r="N2259" s="10" t="s">
        <v>211</v>
      </c>
      <c r="O2259" s="10">
        <v>0.62</v>
      </c>
      <c r="P2259" s="10">
        <v>5.9200000000000003E-2</v>
      </c>
      <c r="Q2259" s="10">
        <v>107</v>
      </c>
      <c r="R2259" s="10" t="s">
        <v>913</v>
      </c>
      <c r="S2259" s="34">
        <f t="shared" si="256"/>
        <v>107</v>
      </c>
      <c r="T2259" s="10" t="s">
        <v>1166</v>
      </c>
      <c r="U2259" s="34" t="str">
        <f t="shared" si="259"/>
        <v/>
      </c>
      <c r="V2259" s="31" t="str">
        <f>IF(H2259="CHK",VLOOKUP(I2259,QCCHK,3,),IF(H2259="GUP",VLOOKUP(E2259,QCGUP,2,),IF(AND(H2259="ATP",OR(I2259="TN",I2259="TDN",I2259="TNO2-3",I2259="NO2-3")),VLOOKUP(E2259,QCREC_N,2,),IF(AND(H2259="NIC",OR(I2259="TN",I2259="TDN",I2259="TNO2-3",I2259="NO2-3")),VLOOKUP(E2259,QCNIC_N,2,),IF(AND(H2259="UREA",OR(I2259="TN",I2259="TDN",I2259="TNO2-3",I2259="NO2-3")),VLOOKUP(E2259,QCUREA_N,2,),IF(H2259="PER",VLOOKUP(I2259,QCPER,MATCH(E2259,QCACTUAL!$J$25:$AA$25,0),),IF(H2259="SPK",VLOOKUP(I2259,QCSPK,3,),IF(AND(H2259="ATP",OR(I2259="TP",I2259="TDP")),VLOOKUP(E2259,QCATP_P,2,),""))))))))</f>
        <v/>
      </c>
      <c r="W2259" s="31" t="str">
        <f t="shared" si="260"/>
        <v>TRUE</v>
      </c>
      <c r="X2259" s="31" t="str">
        <f t="shared" si="255"/>
        <v/>
      </c>
      <c r="Y2259" s="10" t="s">
        <v>1144</v>
      </c>
      <c r="AL2259" s="10" t="str">
        <f t="shared" si="257"/>
        <v>FALSE</v>
      </c>
      <c r="AM2259" s="10" t="str">
        <f t="shared" si="257"/>
        <v>FALSE</v>
      </c>
      <c r="AN2259" s="10" t="str">
        <f t="shared" si="257"/>
        <v>FALSE</v>
      </c>
      <c r="AO2259" s="10" t="str">
        <f t="shared" si="258"/>
        <v>FALSE</v>
      </c>
      <c r="AP2259" s="10" t="str">
        <f t="shared" si="258"/>
        <v>FALSE</v>
      </c>
      <c r="AQ2259" s="10" t="b">
        <f>IF(AND(I2259="TP",S2259&lt;=150),VLOOKUP(AF2259,TPCalibEq150!$AZ$2:$BB$55,3,),IF(AND(I2259="TDP",S2259&lt;=150),VLOOKUP(AF2259,TPCalibEq150!$AZ$2:$BB$55,3,)))</f>
        <v>0</v>
      </c>
      <c r="AR2259" s="10" t="b">
        <f>IF(AND(I2259="TP",S2259&lt;=300),VLOOKUP(AF2259,TPCalibEq300!$AZ$2:$BB$55,3,),IF(AND(I2259="TDP",S2259&lt;=300),VLOOKUP(AF2259,TPCalibEq300!$AZ$2:$BB$55,3,)))</f>
        <v>0</v>
      </c>
      <c r="AS2259" s="10" t="b">
        <f>IF(AND(I2259="TP",S2259&lt;=500),VLOOKUP(AF2259,TPCalibEq500!$AZ$2:$BB$56,3,),IF(AND(I2259="TDP",S2259&lt;=500),VLOOKUP(AF2259,TPCalibEq500!$AZ$2:$BB$56,3,)))</f>
        <v>0</v>
      </c>
      <c r="AT2259" s="10" t="b">
        <f>IF(AND(I2259="TN",S2259&lt;=2800),VLOOKUP(AF2259,TNCalibEq2500!$AZ$2:$BB$56,3,),IF(AND(I2259="TDN",S2259&lt;=2800),VLOOKUP(AF2259,TNCalibEq2500!$AZ$2:$BB$56,3,)))</f>
        <v>0</v>
      </c>
      <c r="AU2259" s="10" t="b">
        <f>IF(I2259="TP",VLOOKUP(AF2259,TPCalibEqFull!$AZ$2:$BB$56,3),IF(I2259="TDP",VLOOKUP(AF2259,TPCalibEqFull!$AZ$2:$BB$56,3),IF(I2259="TDN",VLOOKUP(AF2259,TNCalibEqFull!$AZ$1:$BB$56,3),IF(I2259="TN",VLOOKUP(AF2259,TNCalibEqFull!$AZ$1:$BB$56,3),FALSE))))</f>
        <v>0</v>
      </c>
      <c r="AV2259" s="10" t="str">
        <f t="shared" si="261"/>
        <v>0208 09:04:00-EOF-0-800-1-SW-UKN</v>
      </c>
    </row>
    <row r="2260" spans="1:48" s="10" customFormat="1" x14ac:dyDescent="0.55000000000000004">
      <c r="A2260" s="32">
        <v>44965</v>
      </c>
      <c r="B2260" s="33">
        <v>0.37986111111111115</v>
      </c>
      <c r="C2260" s="10" t="s">
        <v>428</v>
      </c>
      <c r="D2260" s="10">
        <v>5</v>
      </c>
      <c r="E2260" s="10">
        <v>800</v>
      </c>
      <c r="F2260" s="10">
        <v>1</v>
      </c>
      <c r="G2260" s="10" t="s">
        <v>231</v>
      </c>
      <c r="H2260" s="10" t="s">
        <v>322</v>
      </c>
      <c r="I2260" s="10" t="s">
        <v>285</v>
      </c>
      <c r="J2260" s="10">
        <v>51</v>
      </c>
      <c r="K2260" s="12">
        <v>44966</v>
      </c>
      <c r="L2260" s="33">
        <v>0.52844907407407404</v>
      </c>
      <c r="M2260" s="10">
        <v>1</v>
      </c>
      <c r="N2260" s="10" t="s">
        <v>211</v>
      </c>
      <c r="O2260" s="10">
        <v>0.621</v>
      </c>
      <c r="P2260" s="10">
        <v>5.8599999999999999E-2</v>
      </c>
      <c r="Q2260" s="10">
        <v>107</v>
      </c>
      <c r="R2260" s="10" t="s">
        <v>913</v>
      </c>
      <c r="S2260" s="34">
        <f t="shared" si="256"/>
        <v>107</v>
      </c>
      <c r="T2260" s="10" t="s">
        <v>1166</v>
      </c>
      <c r="U2260" s="34" t="str">
        <f t="shared" si="259"/>
        <v/>
      </c>
      <c r="V2260" s="31" t="str">
        <f>IF(H2260="CHK",VLOOKUP(I2260,QCCHK,3,),IF(H2260="GUP",VLOOKUP(E2260,QCGUP,2,),IF(AND(H2260="ATP",OR(I2260="TN",I2260="TDN",I2260="TNO2-3",I2260="NO2-3")),VLOOKUP(E2260,QCREC_N,2,),IF(AND(H2260="NIC",OR(I2260="TN",I2260="TDN",I2260="TNO2-3",I2260="NO2-3")),VLOOKUP(E2260,QCNIC_N,2,),IF(AND(H2260="UREA",OR(I2260="TN",I2260="TDN",I2260="TNO2-3",I2260="NO2-3")),VLOOKUP(E2260,QCUREA_N,2,),IF(H2260="PER",VLOOKUP(I2260,QCPER,MATCH(E2260,QCACTUAL!$J$25:$AA$25,0),),IF(H2260="SPK",VLOOKUP(I2260,QCSPK,3,),IF(AND(H2260="ATP",OR(I2260="TP",I2260="TDP")),VLOOKUP(E2260,QCATP_P,2,),""))))))))</f>
        <v/>
      </c>
      <c r="W2260" s="31" t="str">
        <f t="shared" si="260"/>
        <v>TRUE</v>
      </c>
      <c r="X2260" s="31" t="str">
        <f t="shared" si="255"/>
        <v/>
      </c>
      <c r="Y2260" s="10" t="s">
        <v>1144</v>
      </c>
      <c r="AL2260" s="10" t="str">
        <f t="shared" si="257"/>
        <v>FALSE</v>
      </c>
      <c r="AM2260" s="10" t="str">
        <f t="shared" si="257"/>
        <v>FALSE</v>
      </c>
      <c r="AN2260" s="10" t="str">
        <f t="shared" si="257"/>
        <v>FALSE</v>
      </c>
      <c r="AO2260" s="10" t="str">
        <f t="shared" si="258"/>
        <v>FALSE</v>
      </c>
      <c r="AP2260" s="10" t="str">
        <f t="shared" si="258"/>
        <v>FALSE</v>
      </c>
      <c r="AQ2260" s="10" t="b">
        <f>IF(AND(I2260="TP",S2260&lt;=150),VLOOKUP(AF2260,TPCalibEq150!$AZ$2:$BB$55,3,),IF(AND(I2260="TDP",S2260&lt;=150),VLOOKUP(AF2260,TPCalibEq150!$AZ$2:$BB$55,3,)))</f>
        <v>0</v>
      </c>
      <c r="AR2260" s="10" t="b">
        <f>IF(AND(I2260="TP",S2260&lt;=300),VLOOKUP(AF2260,TPCalibEq300!$AZ$2:$BB$55,3,),IF(AND(I2260="TDP",S2260&lt;=300),VLOOKUP(AF2260,TPCalibEq300!$AZ$2:$BB$55,3,)))</f>
        <v>0</v>
      </c>
      <c r="AS2260" s="10" t="b">
        <f>IF(AND(I2260="TP",S2260&lt;=500),VLOOKUP(AF2260,TPCalibEq500!$AZ$2:$BB$56,3,),IF(AND(I2260="TDP",S2260&lt;=500),VLOOKUP(AF2260,TPCalibEq500!$AZ$2:$BB$56,3,)))</f>
        <v>0</v>
      </c>
      <c r="AT2260" s="10" t="b">
        <f>IF(AND(I2260="TN",S2260&lt;=2800),VLOOKUP(AF2260,TNCalibEq2500!$AZ$2:$BB$56,3,),IF(AND(I2260="TDN",S2260&lt;=2800),VLOOKUP(AF2260,TNCalibEq2500!$AZ$2:$BB$56,3,)))</f>
        <v>0</v>
      </c>
      <c r="AU2260" s="10" t="b">
        <f>IF(I2260="TP",VLOOKUP(AF2260,TPCalibEqFull!$AZ$2:$BB$56,3),IF(I2260="TDP",VLOOKUP(AF2260,TPCalibEqFull!$AZ$2:$BB$56,3),IF(I2260="TDN",VLOOKUP(AF2260,TNCalibEqFull!$AZ$1:$BB$56,3),IF(I2260="TN",VLOOKUP(AF2260,TNCalibEqFull!$AZ$1:$BB$56,3),FALSE))))</f>
        <v>0</v>
      </c>
      <c r="AV2260" s="10" t="str">
        <f t="shared" si="261"/>
        <v>0208 09:07:00-EOF-5-800-1-SW-UKN</v>
      </c>
    </row>
    <row r="2261" spans="1:48" s="10" customFormat="1" x14ac:dyDescent="0.55000000000000004">
      <c r="A2261" s="32">
        <v>44965</v>
      </c>
      <c r="B2261" s="33">
        <v>0.38263888888888892</v>
      </c>
      <c r="C2261" s="10" t="s">
        <v>428</v>
      </c>
      <c r="D2261" s="10">
        <v>10</v>
      </c>
      <c r="E2261" s="10">
        <v>800</v>
      </c>
      <c r="F2261" s="10">
        <v>1</v>
      </c>
      <c r="G2261" s="10" t="s">
        <v>231</v>
      </c>
      <c r="H2261" s="10" t="s">
        <v>322</v>
      </c>
      <c r="I2261" s="10" t="s">
        <v>285</v>
      </c>
      <c r="J2261" s="10">
        <v>52</v>
      </c>
      <c r="K2261" s="12">
        <v>44966</v>
      </c>
      <c r="L2261" s="33">
        <v>0.52927083333333336</v>
      </c>
      <c r="M2261" s="10">
        <v>1</v>
      </c>
      <c r="N2261" s="10" t="s">
        <v>211</v>
      </c>
      <c r="O2261" s="10">
        <v>0.63</v>
      </c>
      <c r="P2261" s="10">
        <v>5.9900000000000002E-2</v>
      </c>
      <c r="Q2261" s="10">
        <v>109</v>
      </c>
      <c r="R2261" s="10" t="s">
        <v>913</v>
      </c>
      <c r="S2261" s="34">
        <f t="shared" si="256"/>
        <v>109</v>
      </c>
      <c r="T2261" s="10" t="s">
        <v>1166</v>
      </c>
      <c r="U2261" s="34" t="str">
        <f t="shared" si="259"/>
        <v/>
      </c>
      <c r="V2261" s="31" t="str">
        <f>IF(H2261="CHK",VLOOKUP(I2261,QCCHK,3,),IF(H2261="GUP",VLOOKUP(E2261,QCGUP,2,),IF(AND(H2261="ATP",OR(I2261="TN",I2261="TDN",I2261="TNO2-3",I2261="NO2-3")),VLOOKUP(E2261,QCREC_N,2,),IF(AND(H2261="NIC",OR(I2261="TN",I2261="TDN",I2261="TNO2-3",I2261="NO2-3")),VLOOKUP(E2261,QCNIC_N,2,),IF(AND(H2261="UREA",OR(I2261="TN",I2261="TDN",I2261="TNO2-3",I2261="NO2-3")),VLOOKUP(E2261,QCUREA_N,2,),IF(H2261="PER",VLOOKUP(I2261,QCPER,MATCH(E2261,QCACTUAL!$J$25:$AA$25,0),),IF(H2261="SPK",VLOOKUP(I2261,QCSPK,3,),IF(AND(H2261="ATP",OR(I2261="TP",I2261="TDP")),VLOOKUP(E2261,QCATP_P,2,),""))))))))</f>
        <v/>
      </c>
      <c r="W2261" s="31" t="str">
        <f t="shared" si="260"/>
        <v>TRUE</v>
      </c>
      <c r="X2261" s="31" t="str">
        <f t="shared" si="255"/>
        <v/>
      </c>
      <c r="Y2261" s="10" t="s">
        <v>1144</v>
      </c>
      <c r="AL2261" s="10" t="str">
        <f t="shared" si="257"/>
        <v>FALSE</v>
      </c>
      <c r="AM2261" s="10" t="str">
        <f t="shared" si="257"/>
        <v>FALSE</v>
      </c>
      <c r="AN2261" s="10" t="str">
        <f t="shared" si="257"/>
        <v>FALSE</v>
      </c>
      <c r="AO2261" s="10" t="str">
        <f t="shared" si="258"/>
        <v>FALSE</v>
      </c>
      <c r="AP2261" s="10" t="str">
        <f t="shared" si="258"/>
        <v>FALSE</v>
      </c>
      <c r="AQ2261" s="10" t="b">
        <f>IF(AND(I2261="TP",S2261&lt;=150),VLOOKUP(AF2261,TPCalibEq150!$AZ$2:$BB$55,3,),IF(AND(I2261="TDP",S2261&lt;=150),VLOOKUP(AF2261,TPCalibEq150!$AZ$2:$BB$55,3,)))</f>
        <v>0</v>
      </c>
      <c r="AR2261" s="10" t="b">
        <f>IF(AND(I2261="TP",S2261&lt;=300),VLOOKUP(AF2261,TPCalibEq300!$AZ$2:$BB$55,3,),IF(AND(I2261="TDP",S2261&lt;=300),VLOOKUP(AF2261,TPCalibEq300!$AZ$2:$BB$55,3,)))</f>
        <v>0</v>
      </c>
      <c r="AS2261" s="10" t="b">
        <f>IF(AND(I2261="TP",S2261&lt;=500),VLOOKUP(AF2261,TPCalibEq500!$AZ$2:$BB$56,3,),IF(AND(I2261="TDP",S2261&lt;=500),VLOOKUP(AF2261,TPCalibEq500!$AZ$2:$BB$56,3,)))</f>
        <v>0</v>
      </c>
      <c r="AT2261" s="10" t="b">
        <f>IF(AND(I2261="TN",S2261&lt;=2800),VLOOKUP(AF2261,TNCalibEq2500!$AZ$2:$BB$56,3,),IF(AND(I2261="TDN",S2261&lt;=2800),VLOOKUP(AF2261,TNCalibEq2500!$AZ$2:$BB$56,3,)))</f>
        <v>0</v>
      </c>
      <c r="AU2261" s="10" t="b">
        <f>IF(I2261="TP",VLOOKUP(AF2261,TPCalibEqFull!$AZ$2:$BB$56,3),IF(I2261="TDP",VLOOKUP(AF2261,TPCalibEqFull!$AZ$2:$BB$56,3),IF(I2261="TDN",VLOOKUP(AF2261,TNCalibEqFull!$AZ$1:$BB$56,3),IF(I2261="TN",VLOOKUP(AF2261,TNCalibEqFull!$AZ$1:$BB$56,3),FALSE))))</f>
        <v>0</v>
      </c>
      <c r="AV2261" s="10" t="str">
        <f t="shared" si="261"/>
        <v>0208 09:11:00-EOF-10-800-1-SW-UKN</v>
      </c>
    </row>
    <row r="2262" spans="1:48" s="10" customFormat="1" x14ac:dyDescent="0.55000000000000004">
      <c r="A2262" s="32">
        <v>44965</v>
      </c>
      <c r="B2262" s="33">
        <v>0.38472222222222219</v>
      </c>
      <c r="C2262" s="10" t="s">
        <v>428</v>
      </c>
      <c r="D2262" s="10">
        <v>20</v>
      </c>
      <c r="E2262" s="10" t="s">
        <v>190</v>
      </c>
      <c r="F2262" s="10">
        <v>1</v>
      </c>
      <c r="G2262" s="10" t="s">
        <v>231</v>
      </c>
      <c r="H2262" s="10" t="s">
        <v>322</v>
      </c>
      <c r="I2262" s="10" t="s">
        <v>285</v>
      </c>
      <c r="J2262" s="10">
        <v>53</v>
      </c>
      <c r="K2262" s="12">
        <v>44966</v>
      </c>
      <c r="L2262" s="33">
        <v>0.53008101851851852</v>
      </c>
      <c r="M2262" s="10">
        <v>1</v>
      </c>
      <c r="N2262" s="10" t="s">
        <v>211</v>
      </c>
      <c r="O2262" s="10">
        <v>0.627</v>
      </c>
      <c r="P2262" s="10">
        <v>5.9499999999999997E-2</v>
      </c>
      <c r="Q2262" s="10">
        <v>108</v>
      </c>
      <c r="R2262" s="10" t="s">
        <v>913</v>
      </c>
      <c r="S2262" s="34">
        <f t="shared" si="256"/>
        <v>108</v>
      </c>
      <c r="T2262" s="10" t="s">
        <v>1166</v>
      </c>
      <c r="U2262" s="34" t="str">
        <f t="shared" si="259"/>
        <v/>
      </c>
      <c r="V2262" s="31" t="str">
        <f>IF(H2262="CHK",VLOOKUP(I2262,QCCHK,3,),IF(H2262="GUP",VLOOKUP(E2262,QCGUP,2,),IF(AND(H2262="ATP",OR(I2262="TN",I2262="TDN",I2262="TNO2-3",I2262="NO2-3")),VLOOKUP(E2262,QCREC_N,2,),IF(AND(H2262="NIC",OR(I2262="TN",I2262="TDN",I2262="TNO2-3",I2262="NO2-3")),VLOOKUP(E2262,QCNIC_N,2,),IF(AND(H2262="UREA",OR(I2262="TN",I2262="TDN",I2262="TNO2-3",I2262="NO2-3")),VLOOKUP(E2262,QCUREA_N,2,),IF(H2262="PER",VLOOKUP(I2262,QCPER,MATCH(E2262,QCACTUAL!$J$25:$AA$25,0),),IF(H2262="SPK",VLOOKUP(I2262,QCSPK,3,),IF(AND(H2262="ATP",OR(I2262="TP",I2262="TDP")),VLOOKUP(E2262,QCATP_P,2,),""))))))))</f>
        <v/>
      </c>
      <c r="W2262" s="31" t="str">
        <f t="shared" si="260"/>
        <v>TRUE</v>
      </c>
      <c r="X2262" s="31" t="str">
        <f t="shared" si="255"/>
        <v/>
      </c>
      <c r="Y2262" s="10" t="s">
        <v>1144</v>
      </c>
      <c r="AL2262" s="10" t="str">
        <f t="shared" si="257"/>
        <v>FALSE</v>
      </c>
      <c r="AM2262" s="10" t="str">
        <f t="shared" si="257"/>
        <v>FALSE</v>
      </c>
      <c r="AN2262" s="10" t="str">
        <f t="shared" si="257"/>
        <v>FALSE</v>
      </c>
      <c r="AO2262" s="10" t="str">
        <f t="shared" si="258"/>
        <v>FALSE</v>
      </c>
      <c r="AP2262" s="10" t="str">
        <f t="shared" si="258"/>
        <v>FALSE</v>
      </c>
      <c r="AQ2262" s="10" t="b">
        <f>IF(AND(I2262="TP",S2262&lt;=150),VLOOKUP(AF2262,TPCalibEq150!$AZ$2:$BB$55,3,),IF(AND(I2262="TDP",S2262&lt;=150),VLOOKUP(AF2262,TPCalibEq150!$AZ$2:$BB$55,3,)))</f>
        <v>0</v>
      </c>
      <c r="AR2262" s="10" t="b">
        <f>IF(AND(I2262="TP",S2262&lt;=300),VLOOKUP(AF2262,TPCalibEq300!$AZ$2:$BB$55,3,),IF(AND(I2262="TDP",S2262&lt;=300),VLOOKUP(AF2262,TPCalibEq300!$AZ$2:$BB$55,3,)))</f>
        <v>0</v>
      </c>
      <c r="AS2262" s="10" t="b">
        <f>IF(AND(I2262="TP",S2262&lt;=500),VLOOKUP(AF2262,TPCalibEq500!$AZ$2:$BB$56,3,),IF(AND(I2262="TDP",S2262&lt;=500),VLOOKUP(AF2262,TPCalibEq500!$AZ$2:$BB$56,3,)))</f>
        <v>0</v>
      </c>
      <c r="AT2262" s="10" t="b">
        <f>IF(AND(I2262="TN",S2262&lt;=2800),VLOOKUP(AF2262,TNCalibEq2500!$AZ$2:$BB$56,3,),IF(AND(I2262="TDN",S2262&lt;=2800),VLOOKUP(AF2262,TNCalibEq2500!$AZ$2:$BB$56,3,)))</f>
        <v>0</v>
      </c>
      <c r="AU2262" s="10" t="b">
        <f>IF(I2262="TP",VLOOKUP(AF2262,TPCalibEqFull!$AZ$2:$BB$56,3),IF(I2262="TDP",VLOOKUP(AF2262,TPCalibEqFull!$AZ$2:$BB$56,3),IF(I2262="TDN",VLOOKUP(AF2262,TNCalibEqFull!$AZ$1:$BB$56,3),IF(I2262="TN",VLOOKUP(AF2262,TNCalibEqFull!$AZ$1:$BB$56,3),FALSE))))</f>
        <v>0</v>
      </c>
      <c r="AV2262" s="10" t="str">
        <f t="shared" si="261"/>
        <v>0208 09:14:00-EOF-20-C-1-SW-UKN</v>
      </c>
    </row>
    <row r="2263" spans="1:48" s="10" customFormat="1" x14ac:dyDescent="0.55000000000000004">
      <c r="A2263" s="32">
        <v>44965</v>
      </c>
      <c r="B2263" s="33">
        <v>0.38877314814814817</v>
      </c>
      <c r="C2263" s="10" t="s">
        <v>428</v>
      </c>
      <c r="D2263" s="10">
        <v>80</v>
      </c>
      <c r="E2263" s="10" t="s">
        <v>190</v>
      </c>
      <c r="F2263" s="10">
        <v>1</v>
      </c>
      <c r="G2263" s="10" t="s">
        <v>231</v>
      </c>
      <c r="H2263" s="10" t="s">
        <v>322</v>
      </c>
      <c r="I2263" s="10" t="s">
        <v>285</v>
      </c>
      <c r="J2263" s="10">
        <v>54</v>
      </c>
      <c r="K2263" s="12">
        <v>44966</v>
      </c>
      <c r="L2263" s="33">
        <v>0.53089120370370368</v>
      </c>
      <c r="M2263" s="10">
        <v>1</v>
      </c>
      <c r="N2263" s="10" t="s">
        <v>211</v>
      </c>
      <c r="O2263" s="10">
        <v>0.63</v>
      </c>
      <c r="P2263" s="10">
        <v>5.9499999999999997E-2</v>
      </c>
      <c r="Q2263" s="10">
        <v>109</v>
      </c>
      <c r="R2263" s="10" t="s">
        <v>913</v>
      </c>
      <c r="S2263" s="34">
        <f t="shared" si="256"/>
        <v>109</v>
      </c>
      <c r="T2263" s="10" t="s">
        <v>1166</v>
      </c>
      <c r="U2263" s="34" t="str">
        <f t="shared" si="259"/>
        <v/>
      </c>
      <c r="V2263" s="31" t="str">
        <f>IF(H2263="CHK",VLOOKUP(I2263,QCCHK,3,),IF(H2263="GUP",VLOOKUP(E2263,QCGUP,2,),IF(AND(H2263="ATP",OR(I2263="TN",I2263="TDN",I2263="TNO2-3",I2263="NO2-3")),VLOOKUP(E2263,QCREC_N,2,),IF(AND(H2263="NIC",OR(I2263="TN",I2263="TDN",I2263="TNO2-3",I2263="NO2-3")),VLOOKUP(E2263,QCNIC_N,2,),IF(AND(H2263="UREA",OR(I2263="TN",I2263="TDN",I2263="TNO2-3",I2263="NO2-3")),VLOOKUP(E2263,QCUREA_N,2,),IF(H2263="PER",VLOOKUP(I2263,QCPER,MATCH(E2263,QCACTUAL!$J$25:$AA$25,0),),IF(H2263="SPK",VLOOKUP(I2263,QCSPK,3,),IF(AND(H2263="ATP",OR(I2263="TP",I2263="TDP")),VLOOKUP(E2263,QCATP_P,2,),""))))))))</f>
        <v/>
      </c>
      <c r="W2263" s="31" t="str">
        <f t="shared" si="260"/>
        <v>TRUE</v>
      </c>
      <c r="X2263" s="31" t="str">
        <f t="shared" si="255"/>
        <v/>
      </c>
      <c r="Y2263" s="10" t="s">
        <v>1144</v>
      </c>
      <c r="AL2263" s="10" t="str">
        <f t="shared" si="257"/>
        <v>FALSE</v>
      </c>
      <c r="AM2263" s="10" t="str">
        <f t="shared" si="257"/>
        <v>FALSE</v>
      </c>
      <c r="AN2263" s="10" t="str">
        <f t="shared" si="257"/>
        <v>FALSE</v>
      </c>
      <c r="AO2263" s="10" t="str">
        <f t="shared" si="258"/>
        <v>FALSE</v>
      </c>
      <c r="AP2263" s="10" t="str">
        <f t="shared" si="258"/>
        <v>FALSE</v>
      </c>
      <c r="AQ2263" s="10" t="b">
        <f>IF(AND(I2263="TP",S2263&lt;=150),VLOOKUP(AF2263,TPCalibEq150!$AZ$2:$BB$55,3,),IF(AND(I2263="TDP",S2263&lt;=150),VLOOKUP(AF2263,TPCalibEq150!$AZ$2:$BB$55,3,)))</f>
        <v>0</v>
      </c>
      <c r="AR2263" s="10" t="b">
        <f>IF(AND(I2263="TP",S2263&lt;=300),VLOOKUP(AF2263,TPCalibEq300!$AZ$2:$BB$55,3,),IF(AND(I2263="TDP",S2263&lt;=300),VLOOKUP(AF2263,TPCalibEq300!$AZ$2:$BB$55,3,)))</f>
        <v>0</v>
      </c>
      <c r="AS2263" s="10" t="b">
        <f>IF(AND(I2263="TP",S2263&lt;=500),VLOOKUP(AF2263,TPCalibEq500!$AZ$2:$BB$56,3,),IF(AND(I2263="TDP",S2263&lt;=500),VLOOKUP(AF2263,TPCalibEq500!$AZ$2:$BB$56,3,)))</f>
        <v>0</v>
      </c>
      <c r="AT2263" s="10" t="b">
        <f>IF(AND(I2263="TN",S2263&lt;=2800),VLOOKUP(AF2263,TNCalibEq2500!$AZ$2:$BB$56,3,),IF(AND(I2263="TDN",S2263&lt;=2800),VLOOKUP(AF2263,TNCalibEq2500!$AZ$2:$BB$56,3,)))</f>
        <v>0</v>
      </c>
      <c r="AU2263" s="10" t="b">
        <f>IF(I2263="TP",VLOOKUP(AF2263,TPCalibEqFull!$AZ$2:$BB$56,3),IF(I2263="TDP",VLOOKUP(AF2263,TPCalibEqFull!$AZ$2:$BB$56,3),IF(I2263="TDN",VLOOKUP(AF2263,TNCalibEqFull!$AZ$1:$BB$56,3),IF(I2263="TN",VLOOKUP(AF2263,TNCalibEqFull!$AZ$1:$BB$56,3),FALSE))))</f>
        <v>0</v>
      </c>
      <c r="AV2263" s="10" t="str">
        <f t="shared" si="261"/>
        <v>0208 09:19:50-EOF-80-C-1-SW-UKN</v>
      </c>
    </row>
    <row r="2264" spans="1:48" s="10" customFormat="1" x14ac:dyDescent="0.55000000000000004">
      <c r="A2264" s="32">
        <v>44965</v>
      </c>
      <c r="B2264" s="33">
        <v>0.4201388888888889</v>
      </c>
      <c r="C2264" s="10" t="s">
        <v>611</v>
      </c>
      <c r="D2264" s="10">
        <v>0</v>
      </c>
      <c r="E2264" s="10">
        <v>800</v>
      </c>
      <c r="F2264" s="10">
        <v>1</v>
      </c>
      <c r="G2264" s="10" t="s">
        <v>231</v>
      </c>
      <c r="H2264" s="10" t="s">
        <v>322</v>
      </c>
      <c r="I2264" s="10" t="s">
        <v>285</v>
      </c>
      <c r="J2264" s="10">
        <v>55</v>
      </c>
      <c r="K2264" s="12">
        <v>44966</v>
      </c>
      <c r="L2264" s="33">
        <v>0.53170138888888896</v>
      </c>
      <c r="M2264" s="10">
        <v>1</v>
      </c>
      <c r="N2264" s="10" t="s">
        <v>211</v>
      </c>
      <c r="O2264" s="10">
        <v>0.624</v>
      </c>
      <c r="P2264" s="10">
        <v>5.8900000000000001E-2</v>
      </c>
      <c r="Q2264" s="10">
        <v>108</v>
      </c>
      <c r="R2264" s="10" t="s">
        <v>913</v>
      </c>
      <c r="S2264" s="34">
        <f t="shared" si="256"/>
        <v>108</v>
      </c>
      <c r="T2264" s="10" t="s">
        <v>1166</v>
      </c>
      <c r="U2264" s="34" t="str">
        <f t="shared" si="259"/>
        <v/>
      </c>
      <c r="V2264" s="31" t="str">
        <f>IF(H2264="CHK",VLOOKUP(I2264,QCCHK,3,),IF(H2264="GUP",VLOOKUP(E2264,QCGUP,2,),IF(AND(H2264="ATP",OR(I2264="TN",I2264="TDN",I2264="TNO2-3",I2264="NO2-3")),VLOOKUP(E2264,QCREC_N,2,),IF(AND(H2264="NIC",OR(I2264="TN",I2264="TDN",I2264="TNO2-3",I2264="NO2-3")),VLOOKUP(E2264,QCNIC_N,2,),IF(AND(H2264="UREA",OR(I2264="TN",I2264="TDN",I2264="TNO2-3",I2264="NO2-3")),VLOOKUP(E2264,QCUREA_N,2,),IF(H2264="PER",VLOOKUP(I2264,QCPER,MATCH(E2264,QCACTUAL!$J$25:$AA$25,0),),IF(H2264="SPK",VLOOKUP(I2264,QCSPK,3,),IF(AND(H2264="ATP",OR(I2264="TP",I2264="TDP")),VLOOKUP(E2264,QCATP_P,2,),""))))))))</f>
        <v/>
      </c>
      <c r="W2264" s="31" t="str">
        <f t="shared" si="260"/>
        <v>TRUE</v>
      </c>
      <c r="X2264" s="31" t="str">
        <f t="shared" si="255"/>
        <v/>
      </c>
      <c r="Y2264" s="10" t="s">
        <v>1144</v>
      </c>
      <c r="AL2264" s="10" t="str">
        <f t="shared" si="257"/>
        <v>FALSE</v>
      </c>
      <c r="AM2264" s="10" t="str">
        <f t="shared" si="257"/>
        <v>FALSE</v>
      </c>
      <c r="AN2264" s="10" t="str">
        <f t="shared" si="257"/>
        <v>FALSE</v>
      </c>
      <c r="AO2264" s="10" t="str">
        <f t="shared" si="258"/>
        <v>FALSE</v>
      </c>
      <c r="AP2264" s="10" t="str">
        <f t="shared" si="258"/>
        <v>FALSE</v>
      </c>
      <c r="AQ2264" s="10" t="b">
        <f>IF(AND(I2264="TP",S2264&lt;=150),VLOOKUP(AF2264,TPCalibEq150!$AZ$2:$BB$55,3,),IF(AND(I2264="TDP",S2264&lt;=150),VLOOKUP(AF2264,TPCalibEq150!$AZ$2:$BB$55,3,)))</f>
        <v>0</v>
      </c>
      <c r="AR2264" s="10" t="b">
        <f>IF(AND(I2264="TP",S2264&lt;=300),VLOOKUP(AF2264,TPCalibEq300!$AZ$2:$BB$55,3,),IF(AND(I2264="TDP",S2264&lt;=300),VLOOKUP(AF2264,TPCalibEq300!$AZ$2:$BB$55,3,)))</f>
        <v>0</v>
      </c>
      <c r="AS2264" s="10" t="b">
        <f>IF(AND(I2264="TP",S2264&lt;=500),VLOOKUP(AF2264,TPCalibEq500!$AZ$2:$BB$56,3,),IF(AND(I2264="TDP",S2264&lt;=500),VLOOKUP(AF2264,TPCalibEq500!$AZ$2:$BB$56,3,)))</f>
        <v>0</v>
      </c>
      <c r="AT2264" s="10" t="b">
        <f>IF(AND(I2264="TN",S2264&lt;=2800),VLOOKUP(AF2264,TNCalibEq2500!$AZ$2:$BB$56,3,),IF(AND(I2264="TDN",S2264&lt;=2800),VLOOKUP(AF2264,TNCalibEq2500!$AZ$2:$BB$56,3,)))</f>
        <v>0</v>
      </c>
      <c r="AU2264" s="10" t="b">
        <f>IF(I2264="TP",VLOOKUP(AF2264,TPCalibEqFull!$AZ$2:$BB$56,3),IF(I2264="TDP",VLOOKUP(AF2264,TPCalibEqFull!$AZ$2:$BB$56,3),IF(I2264="TDN",VLOOKUP(AF2264,TNCalibEqFull!$AZ$1:$BB$56,3),IF(I2264="TN",VLOOKUP(AF2264,TNCalibEqFull!$AZ$1:$BB$56,3),FALSE))))</f>
        <v>0</v>
      </c>
      <c r="AV2264" s="10" t="str">
        <f t="shared" si="261"/>
        <v>0208 10:05:00-BUO-0-800-1-SW-UKN</v>
      </c>
    </row>
    <row r="2265" spans="1:48" s="10" customFormat="1" x14ac:dyDescent="0.55000000000000004">
      <c r="A2265" s="32">
        <v>44965</v>
      </c>
      <c r="B2265" s="33">
        <v>0.42291666666666666</v>
      </c>
      <c r="C2265" s="10" t="s">
        <v>611</v>
      </c>
      <c r="D2265" s="10">
        <v>5</v>
      </c>
      <c r="E2265" s="10">
        <v>800</v>
      </c>
      <c r="F2265" s="10">
        <v>1</v>
      </c>
      <c r="G2265" s="10" t="s">
        <v>231</v>
      </c>
      <c r="H2265" s="10" t="s">
        <v>322</v>
      </c>
      <c r="I2265" s="10" t="s">
        <v>285</v>
      </c>
      <c r="J2265" s="10">
        <v>56</v>
      </c>
      <c r="K2265" s="12">
        <v>44966</v>
      </c>
      <c r="L2265" s="33">
        <v>0.53252314814814816</v>
      </c>
      <c r="M2265" s="10">
        <v>1</v>
      </c>
      <c r="N2265" s="10" t="s">
        <v>211</v>
      </c>
      <c r="O2265" s="10">
        <v>0.627</v>
      </c>
      <c r="P2265" s="10">
        <v>5.9299999999999999E-2</v>
      </c>
      <c r="Q2265" s="10">
        <v>108</v>
      </c>
      <c r="R2265" s="10" t="s">
        <v>913</v>
      </c>
      <c r="S2265" s="34">
        <f t="shared" si="256"/>
        <v>108</v>
      </c>
      <c r="T2265" s="10" t="s">
        <v>1166</v>
      </c>
      <c r="U2265" s="34" t="str">
        <f t="shared" si="259"/>
        <v/>
      </c>
      <c r="V2265" s="31" t="str">
        <f>IF(H2265="CHK",VLOOKUP(I2265,QCCHK,3,),IF(H2265="GUP",VLOOKUP(E2265,QCGUP,2,),IF(AND(H2265="ATP",OR(I2265="TN",I2265="TDN",I2265="TNO2-3",I2265="NO2-3")),VLOOKUP(E2265,QCREC_N,2,),IF(AND(H2265="NIC",OR(I2265="TN",I2265="TDN",I2265="TNO2-3",I2265="NO2-3")),VLOOKUP(E2265,QCNIC_N,2,),IF(AND(H2265="UREA",OR(I2265="TN",I2265="TDN",I2265="TNO2-3",I2265="NO2-3")),VLOOKUP(E2265,QCUREA_N,2,),IF(H2265="PER",VLOOKUP(I2265,QCPER,MATCH(E2265,QCACTUAL!$J$25:$AA$25,0),),IF(H2265="SPK",VLOOKUP(I2265,QCSPK,3,),IF(AND(H2265="ATP",OR(I2265="TP",I2265="TDP")),VLOOKUP(E2265,QCATP_P,2,),""))))))))</f>
        <v/>
      </c>
      <c r="W2265" s="31" t="str">
        <f t="shared" si="260"/>
        <v>TRUE</v>
      </c>
      <c r="X2265" s="31" t="str">
        <f t="shared" si="255"/>
        <v/>
      </c>
      <c r="Y2265" s="10" t="s">
        <v>1144</v>
      </c>
      <c r="AL2265" s="10" t="str">
        <f t="shared" si="257"/>
        <v>FALSE</v>
      </c>
      <c r="AM2265" s="10" t="str">
        <f t="shared" si="257"/>
        <v>FALSE</v>
      </c>
      <c r="AN2265" s="10" t="str">
        <f t="shared" si="257"/>
        <v>FALSE</v>
      </c>
      <c r="AO2265" s="10" t="str">
        <f t="shared" si="258"/>
        <v>FALSE</v>
      </c>
      <c r="AP2265" s="10" t="str">
        <f t="shared" si="258"/>
        <v>FALSE</v>
      </c>
      <c r="AQ2265" s="10" t="b">
        <f>IF(AND(I2265="TP",S2265&lt;=150),VLOOKUP(AF2265,TPCalibEq150!$AZ$2:$BB$55,3,),IF(AND(I2265="TDP",S2265&lt;=150),VLOOKUP(AF2265,TPCalibEq150!$AZ$2:$BB$55,3,)))</f>
        <v>0</v>
      </c>
      <c r="AR2265" s="10" t="b">
        <f>IF(AND(I2265="TP",S2265&lt;=300),VLOOKUP(AF2265,TPCalibEq300!$AZ$2:$BB$55,3,),IF(AND(I2265="TDP",S2265&lt;=300),VLOOKUP(AF2265,TPCalibEq300!$AZ$2:$BB$55,3,)))</f>
        <v>0</v>
      </c>
      <c r="AS2265" s="10" t="b">
        <f>IF(AND(I2265="TP",S2265&lt;=500),VLOOKUP(AF2265,TPCalibEq500!$AZ$2:$BB$56,3,),IF(AND(I2265="TDP",S2265&lt;=500),VLOOKUP(AF2265,TPCalibEq500!$AZ$2:$BB$56,3,)))</f>
        <v>0</v>
      </c>
      <c r="AT2265" s="10" t="b">
        <f>IF(AND(I2265="TN",S2265&lt;=2800),VLOOKUP(AF2265,TNCalibEq2500!$AZ$2:$BB$56,3,),IF(AND(I2265="TDN",S2265&lt;=2800),VLOOKUP(AF2265,TNCalibEq2500!$AZ$2:$BB$56,3,)))</f>
        <v>0</v>
      </c>
      <c r="AU2265" s="10" t="b">
        <f>IF(I2265="TP",VLOOKUP(AF2265,TPCalibEqFull!$AZ$2:$BB$56,3),IF(I2265="TDP",VLOOKUP(AF2265,TPCalibEqFull!$AZ$2:$BB$56,3),IF(I2265="TDN",VLOOKUP(AF2265,TNCalibEqFull!$AZ$1:$BB$56,3),IF(I2265="TN",VLOOKUP(AF2265,TNCalibEqFull!$AZ$1:$BB$56,3),FALSE))))</f>
        <v>0</v>
      </c>
      <c r="AV2265" s="10" t="str">
        <f t="shared" si="261"/>
        <v>0208 10:09:00-BUO-5-800-1-SW-UKN</v>
      </c>
    </row>
    <row r="2266" spans="1:48" s="10" customFormat="1" x14ac:dyDescent="0.55000000000000004">
      <c r="A2266" s="32">
        <v>44965</v>
      </c>
      <c r="B2266" s="33">
        <v>0.42499999999999999</v>
      </c>
      <c r="C2266" s="10" t="s">
        <v>611</v>
      </c>
      <c r="D2266" s="10">
        <v>10</v>
      </c>
      <c r="E2266" s="10">
        <v>800</v>
      </c>
      <c r="F2266" s="10">
        <v>1</v>
      </c>
      <c r="G2266" s="10" t="s">
        <v>231</v>
      </c>
      <c r="H2266" s="10" t="s">
        <v>322</v>
      </c>
      <c r="I2266" s="10" t="s">
        <v>285</v>
      </c>
      <c r="J2266" s="10">
        <v>57</v>
      </c>
      <c r="K2266" s="12">
        <v>44966</v>
      </c>
      <c r="L2266" s="33">
        <v>0.53333333333333333</v>
      </c>
      <c r="M2266" s="10">
        <v>1</v>
      </c>
      <c r="N2266" s="10" t="s">
        <v>211</v>
      </c>
      <c r="O2266" s="10">
        <v>0.621</v>
      </c>
      <c r="P2266" s="10">
        <v>5.8999999999999997E-2</v>
      </c>
      <c r="Q2266" s="10">
        <v>107</v>
      </c>
      <c r="R2266" s="10" t="s">
        <v>913</v>
      </c>
      <c r="S2266" s="34">
        <f t="shared" si="256"/>
        <v>107</v>
      </c>
      <c r="T2266" s="10" t="s">
        <v>1166</v>
      </c>
      <c r="U2266" s="34" t="str">
        <f t="shared" si="259"/>
        <v/>
      </c>
      <c r="V2266" s="31" t="str">
        <f>IF(H2266="CHK",VLOOKUP(I2266,QCCHK,3,),IF(H2266="GUP",VLOOKUP(E2266,QCGUP,2,),IF(AND(H2266="ATP",OR(I2266="TN",I2266="TDN",I2266="TNO2-3",I2266="NO2-3")),VLOOKUP(E2266,QCREC_N,2,),IF(AND(H2266="NIC",OR(I2266="TN",I2266="TDN",I2266="TNO2-3",I2266="NO2-3")),VLOOKUP(E2266,QCNIC_N,2,),IF(AND(H2266="UREA",OR(I2266="TN",I2266="TDN",I2266="TNO2-3",I2266="NO2-3")),VLOOKUP(E2266,QCUREA_N,2,),IF(H2266="PER",VLOOKUP(I2266,QCPER,MATCH(E2266,QCACTUAL!$J$25:$AA$25,0),),IF(H2266="SPK",VLOOKUP(I2266,QCSPK,3,),IF(AND(H2266="ATP",OR(I2266="TP",I2266="TDP")),VLOOKUP(E2266,QCATP_P,2,),""))))))))</f>
        <v/>
      </c>
      <c r="W2266" s="31" t="str">
        <f t="shared" si="260"/>
        <v>TRUE</v>
      </c>
      <c r="X2266" s="31" t="str">
        <f t="shared" si="255"/>
        <v/>
      </c>
      <c r="Y2266" s="10" t="s">
        <v>1144</v>
      </c>
      <c r="AL2266" s="10" t="str">
        <f t="shared" si="257"/>
        <v>FALSE</v>
      </c>
      <c r="AM2266" s="10" t="str">
        <f t="shared" si="257"/>
        <v>FALSE</v>
      </c>
      <c r="AN2266" s="10" t="str">
        <f t="shared" si="257"/>
        <v>FALSE</v>
      </c>
      <c r="AO2266" s="10" t="str">
        <f t="shared" si="258"/>
        <v>FALSE</v>
      </c>
      <c r="AP2266" s="10" t="str">
        <f t="shared" si="258"/>
        <v>FALSE</v>
      </c>
      <c r="AQ2266" s="10" t="b">
        <f>IF(AND(I2266="TP",S2266&lt;=150),VLOOKUP(AF2266,TPCalibEq150!$AZ$2:$BB$55,3,),IF(AND(I2266="TDP",S2266&lt;=150),VLOOKUP(AF2266,TPCalibEq150!$AZ$2:$BB$55,3,)))</f>
        <v>0</v>
      </c>
      <c r="AR2266" s="10" t="b">
        <f>IF(AND(I2266="TP",S2266&lt;=300),VLOOKUP(AF2266,TPCalibEq300!$AZ$2:$BB$55,3,),IF(AND(I2266="TDP",S2266&lt;=300),VLOOKUP(AF2266,TPCalibEq300!$AZ$2:$BB$55,3,)))</f>
        <v>0</v>
      </c>
      <c r="AS2266" s="10" t="b">
        <f>IF(AND(I2266="TP",S2266&lt;=500),VLOOKUP(AF2266,TPCalibEq500!$AZ$2:$BB$56,3,),IF(AND(I2266="TDP",S2266&lt;=500),VLOOKUP(AF2266,TPCalibEq500!$AZ$2:$BB$56,3,)))</f>
        <v>0</v>
      </c>
      <c r="AT2266" s="10" t="b">
        <f>IF(AND(I2266="TN",S2266&lt;=2800),VLOOKUP(AF2266,TNCalibEq2500!$AZ$2:$BB$56,3,),IF(AND(I2266="TDN",S2266&lt;=2800),VLOOKUP(AF2266,TNCalibEq2500!$AZ$2:$BB$56,3,)))</f>
        <v>0</v>
      </c>
      <c r="AU2266" s="10" t="b">
        <f>IF(I2266="TP",VLOOKUP(AF2266,TPCalibEqFull!$AZ$2:$BB$56,3),IF(I2266="TDP",VLOOKUP(AF2266,TPCalibEqFull!$AZ$2:$BB$56,3),IF(I2266="TDN",VLOOKUP(AF2266,TNCalibEqFull!$AZ$1:$BB$56,3),IF(I2266="TN",VLOOKUP(AF2266,TNCalibEqFull!$AZ$1:$BB$56,3),FALSE))))</f>
        <v>0</v>
      </c>
      <c r="AV2266" s="10" t="str">
        <f t="shared" si="261"/>
        <v>0208 10:12:00-BUO-10-800-1-SW-UKN</v>
      </c>
    </row>
    <row r="2267" spans="1:48" s="10" customFormat="1" x14ac:dyDescent="0.55000000000000004">
      <c r="A2267" s="32">
        <v>44965</v>
      </c>
      <c r="B2267" s="33">
        <v>0.42777777777777781</v>
      </c>
      <c r="C2267" s="10" t="s">
        <v>611</v>
      </c>
      <c r="D2267" s="10">
        <v>20</v>
      </c>
      <c r="E2267" s="10" t="s">
        <v>190</v>
      </c>
      <c r="F2267" s="10">
        <v>1</v>
      </c>
      <c r="G2267" s="10" t="s">
        <v>231</v>
      </c>
      <c r="H2267" s="10" t="s">
        <v>322</v>
      </c>
      <c r="I2267" s="10" t="s">
        <v>285</v>
      </c>
      <c r="J2267" s="10">
        <v>58</v>
      </c>
      <c r="K2267" s="12">
        <v>44966</v>
      </c>
      <c r="L2267" s="33">
        <v>0.53414351851851849</v>
      </c>
      <c r="M2267" s="10">
        <v>1</v>
      </c>
      <c r="N2267" s="10" t="s">
        <v>211</v>
      </c>
      <c r="O2267" s="10">
        <v>0.621</v>
      </c>
      <c r="P2267" s="10">
        <v>5.9200000000000003E-2</v>
      </c>
      <c r="Q2267" s="10">
        <v>107</v>
      </c>
      <c r="R2267" s="10" t="s">
        <v>913</v>
      </c>
      <c r="S2267" s="34">
        <f t="shared" si="256"/>
        <v>107</v>
      </c>
      <c r="T2267" s="10" t="s">
        <v>1166</v>
      </c>
      <c r="U2267" s="34" t="str">
        <f t="shared" si="259"/>
        <v/>
      </c>
      <c r="V2267" s="31" t="str">
        <f>IF(H2267="CHK",VLOOKUP(I2267,QCCHK,3,),IF(H2267="GUP",VLOOKUP(E2267,QCGUP,2,),IF(AND(H2267="ATP",OR(I2267="TN",I2267="TDN",I2267="TNO2-3",I2267="NO2-3")),VLOOKUP(E2267,QCREC_N,2,),IF(AND(H2267="NIC",OR(I2267="TN",I2267="TDN",I2267="TNO2-3",I2267="NO2-3")),VLOOKUP(E2267,QCNIC_N,2,),IF(AND(H2267="UREA",OR(I2267="TN",I2267="TDN",I2267="TNO2-3",I2267="NO2-3")),VLOOKUP(E2267,QCUREA_N,2,),IF(H2267="PER",VLOOKUP(I2267,QCPER,MATCH(E2267,QCACTUAL!$J$25:$AA$25,0),),IF(H2267="SPK",VLOOKUP(I2267,QCSPK,3,),IF(AND(H2267="ATP",OR(I2267="TP",I2267="TDP")),VLOOKUP(E2267,QCATP_P,2,),""))))))))</f>
        <v/>
      </c>
      <c r="W2267" s="31" t="str">
        <f t="shared" si="260"/>
        <v>TRUE</v>
      </c>
      <c r="X2267" s="31" t="str">
        <f t="shared" si="255"/>
        <v/>
      </c>
      <c r="Y2267" s="10" t="s">
        <v>1144</v>
      </c>
      <c r="AL2267" s="10" t="str">
        <f t="shared" si="257"/>
        <v>FALSE</v>
      </c>
      <c r="AM2267" s="10" t="str">
        <f t="shared" si="257"/>
        <v>FALSE</v>
      </c>
      <c r="AN2267" s="10" t="str">
        <f t="shared" si="257"/>
        <v>FALSE</v>
      </c>
      <c r="AO2267" s="10" t="str">
        <f t="shared" si="258"/>
        <v>FALSE</v>
      </c>
      <c r="AP2267" s="10" t="str">
        <f t="shared" si="258"/>
        <v>FALSE</v>
      </c>
      <c r="AQ2267" s="10" t="b">
        <f>IF(AND(I2267="TP",S2267&lt;=150),VLOOKUP(AF2267,TPCalibEq150!$AZ$2:$BB$55,3,),IF(AND(I2267="TDP",S2267&lt;=150),VLOOKUP(AF2267,TPCalibEq150!$AZ$2:$BB$55,3,)))</f>
        <v>0</v>
      </c>
      <c r="AR2267" s="10" t="b">
        <f>IF(AND(I2267="TP",S2267&lt;=300),VLOOKUP(AF2267,TPCalibEq300!$AZ$2:$BB$55,3,),IF(AND(I2267="TDP",S2267&lt;=300),VLOOKUP(AF2267,TPCalibEq300!$AZ$2:$BB$55,3,)))</f>
        <v>0</v>
      </c>
      <c r="AS2267" s="10" t="b">
        <f>IF(AND(I2267="TP",S2267&lt;=500),VLOOKUP(AF2267,TPCalibEq500!$AZ$2:$BB$56,3,),IF(AND(I2267="TDP",S2267&lt;=500),VLOOKUP(AF2267,TPCalibEq500!$AZ$2:$BB$56,3,)))</f>
        <v>0</v>
      </c>
      <c r="AT2267" s="10" t="b">
        <f>IF(AND(I2267="TN",S2267&lt;=2800),VLOOKUP(AF2267,TNCalibEq2500!$AZ$2:$BB$56,3,),IF(AND(I2267="TDN",S2267&lt;=2800),VLOOKUP(AF2267,TNCalibEq2500!$AZ$2:$BB$56,3,)))</f>
        <v>0</v>
      </c>
      <c r="AU2267" s="10" t="b">
        <f>IF(I2267="TP",VLOOKUP(AF2267,TPCalibEqFull!$AZ$2:$BB$56,3),IF(I2267="TDP",VLOOKUP(AF2267,TPCalibEqFull!$AZ$2:$BB$56,3),IF(I2267="TDN",VLOOKUP(AF2267,TNCalibEqFull!$AZ$1:$BB$56,3),IF(I2267="TN",VLOOKUP(AF2267,TNCalibEqFull!$AZ$1:$BB$56,3),FALSE))))</f>
        <v>0</v>
      </c>
      <c r="AV2267" s="10" t="str">
        <f t="shared" si="261"/>
        <v>0208 10:16:00-BUO-20-C-1-SW-UKN</v>
      </c>
    </row>
    <row r="2268" spans="1:48" s="10" customFormat="1" x14ac:dyDescent="0.55000000000000004">
      <c r="A2268" s="32">
        <v>44965</v>
      </c>
      <c r="B2268" s="33">
        <v>0.43055555555555558</v>
      </c>
      <c r="C2268" s="10" t="s">
        <v>611</v>
      </c>
      <c r="D2268" s="10">
        <v>46</v>
      </c>
      <c r="E2268" s="10" t="s">
        <v>190</v>
      </c>
      <c r="F2268" s="10">
        <v>1</v>
      </c>
      <c r="G2268" s="10" t="s">
        <v>231</v>
      </c>
      <c r="H2268" s="10" t="s">
        <v>322</v>
      </c>
      <c r="I2268" s="10" t="s">
        <v>285</v>
      </c>
      <c r="J2268" s="10">
        <v>59</v>
      </c>
      <c r="K2268" s="12">
        <v>44966</v>
      </c>
      <c r="L2268" s="33">
        <v>0.53495370370370365</v>
      </c>
      <c r="M2268" s="10">
        <v>1</v>
      </c>
      <c r="N2268" s="10" t="s">
        <v>211</v>
      </c>
      <c r="O2268" s="10">
        <v>0.624</v>
      </c>
      <c r="P2268" s="10">
        <v>5.9400000000000001E-2</v>
      </c>
      <c r="Q2268" s="10">
        <v>108</v>
      </c>
      <c r="R2268" s="10" t="s">
        <v>913</v>
      </c>
      <c r="S2268" s="34">
        <f t="shared" si="256"/>
        <v>108</v>
      </c>
      <c r="T2268" s="10" t="s">
        <v>1166</v>
      </c>
      <c r="U2268" s="34" t="str">
        <f t="shared" si="259"/>
        <v/>
      </c>
      <c r="V2268" s="31" t="str">
        <f>IF(H2268="CHK",VLOOKUP(I2268,QCCHK,3,),IF(H2268="GUP",VLOOKUP(E2268,QCGUP,2,),IF(AND(H2268="ATP",OR(I2268="TN",I2268="TDN",I2268="TNO2-3",I2268="NO2-3")),VLOOKUP(E2268,QCREC_N,2,),IF(AND(H2268="NIC",OR(I2268="TN",I2268="TDN",I2268="TNO2-3",I2268="NO2-3")),VLOOKUP(E2268,QCNIC_N,2,),IF(AND(H2268="UREA",OR(I2268="TN",I2268="TDN",I2268="TNO2-3",I2268="NO2-3")),VLOOKUP(E2268,QCUREA_N,2,),IF(H2268="PER",VLOOKUP(I2268,QCPER,MATCH(E2268,QCACTUAL!$J$25:$AA$25,0),),IF(H2268="SPK",VLOOKUP(I2268,QCSPK,3,),IF(AND(H2268="ATP",OR(I2268="TP",I2268="TDP")),VLOOKUP(E2268,QCATP_P,2,),""))))))))</f>
        <v/>
      </c>
      <c r="W2268" s="31" t="str">
        <f t="shared" si="260"/>
        <v>TRUE</v>
      </c>
      <c r="X2268" s="31" t="str">
        <f t="shared" si="255"/>
        <v/>
      </c>
      <c r="Y2268" s="10" t="s">
        <v>1144</v>
      </c>
      <c r="AL2268" s="10" t="str">
        <f t="shared" si="257"/>
        <v>FALSE</v>
      </c>
      <c r="AM2268" s="10" t="str">
        <f t="shared" si="257"/>
        <v>FALSE</v>
      </c>
      <c r="AN2268" s="10" t="str">
        <f t="shared" si="257"/>
        <v>FALSE</v>
      </c>
      <c r="AO2268" s="10" t="str">
        <f t="shared" si="258"/>
        <v>FALSE</v>
      </c>
      <c r="AP2268" s="10" t="str">
        <f t="shared" si="258"/>
        <v>FALSE</v>
      </c>
      <c r="AQ2268" s="10" t="b">
        <f>IF(AND(I2268="TP",S2268&lt;=150),VLOOKUP(AF2268,TPCalibEq150!$AZ$2:$BB$55,3,),IF(AND(I2268="TDP",S2268&lt;=150),VLOOKUP(AF2268,TPCalibEq150!$AZ$2:$BB$55,3,)))</f>
        <v>0</v>
      </c>
      <c r="AR2268" s="10" t="b">
        <f>IF(AND(I2268="TP",S2268&lt;=300),VLOOKUP(AF2268,TPCalibEq300!$AZ$2:$BB$55,3,),IF(AND(I2268="TDP",S2268&lt;=300),VLOOKUP(AF2268,TPCalibEq300!$AZ$2:$BB$55,3,)))</f>
        <v>0</v>
      </c>
      <c r="AS2268" s="10" t="b">
        <f>IF(AND(I2268="TP",S2268&lt;=500),VLOOKUP(AF2268,TPCalibEq500!$AZ$2:$BB$56,3,),IF(AND(I2268="TDP",S2268&lt;=500),VLOOKUP(AF2268,TPCalibEq500!$AZ$2:$BB$56,3,)))</f>
        <v>0</v>
      </c>
      <c r="AT2268" s="10" t="b">
        <f>IF(AND(I2268="TN",S2268&lt;=2800),VLOOKUP(AF2268,TNCalibEq2500!$AZ$2:$BB$56,3,),IF(AND(I2268="TDN",S2268&lt;=2800),VLOOKUP(AF2268,TNCalibEq2500!$AZ$2:$BB$56,3,)))</f>
        <v>0</v>
      </c>
      <c r="AU2268" s="10" t="b">
        <f>IF(I2268="TP",VLOOKUP(AF2268,TPCalibEqFull!$AZ$2:$BB$56,3),IF(I2268="TDP",VLOOKUP(AF2268,TPCalibEqFull!$AZ$2:$BB$56,3),IF(I2268="TDN",VLOOKUP(AF2268,TNCalibEqFull!$AZ$1:$BB$56,3),IF(I2268="TN",VLOOKUP(AF2268,TNCalibEqFull!$AZ$1:$BB$56,3),FALSE))))</f>
        <v>0</v>
      </c>
      <c r="AV2268" s="10" t="str">
        <f t="shared" si="261"/>
        <v>0208 10:20:00-BUO-46-C-1-SW-UKN</v>
      </c>
    </row>
    <row r="2269" spans="1:48" s="10" customFormat="1" x14ac:dyDescent="0.55000000000000004">
      <c r="A2269" s="32">
        <v>44965</v>
      </c>
      <c r="B2269" s="33">
        <v>0.43055555555555558</v>
      </c>
      <c r="C2269" s="10" t="s">
        <v>611</v>
      </c>
      <c r="D2269" s="10">
        <v>46</v>
      </c>
      <c r="E2269" s="10" t="s">
        <v>190</v>
      </c>
      <c r="F2269" s="10">
        <v>1</v>
      </c>
      <c r="G2269" s="10" t="s">
        <v>231</v>
      </c>
      <c r="H2269" s="10" t="s">
        <v>233</v>
      </c>
      <c r="I2269" s="10" t="s">
        <v>285</v>
      </c>
      <c r="J2269" s="10">
        <v>59</v>
      </c>
      <c r="K2269" s="12">
        <v>44966</v>
      </c>
      <c r="L2269" s="33">
        <v>0.53575231481481478</v>
      </c>
      <c r="M2269" s="10">
        <v>1</v>
      </c>
      <c r="N2269" s="10" t="s">
        <v>211</v>
      </c>
      <c r="O2269" s="10">
        <v>0.61899999999999999</v>
      </c>
      <c r="P2269" s="10">
        <v>5.8900000000000001E-2</v>
      </c>
      <c r="Q2269" s="10">
        <v>107</v>
      </c>
      <c r="R2269" s="10" t="s">
        <v>913</v>
      </c>
      <c r="S2269" s="34">
        <f t="shared" si="256"/>
        <v>107</v>
      </c>
      <c r="T2269" s="10" t="s">
        <v>1166</v>
      </c>
      <c r="U2269" s="34">
        <f t="shared" si="259"/>
        <v>0.93023255813953487</v>
      </c>
      <c r="V2269" s="31" t="str">
        <f>IF(H2269="CHK",VLOOKUP(I2269,QCCHK,3,),IF(H2269="GUP",VLOOKUP(E2269,QCGUP,2,),IF(AND(H2269="ATP",OR(I2269="TN",I2269="TDN",I2269="TNO2-3",I2269="NO2-3")),VLOOKUP(E2269,QCREC_N,2,),IF(AND(H2269="NIC",OR(I2269="TN",I2269="TDN",I2269="TNO2-3",I2269="NO2-3")),VLOOKUP(E2269,QCNIC_N,2,),IF(AND(H2269="UREA",OR(I2269="TN",I2269="TDN",I2269="TNO2-3",I2269="NO2-3")),VLOOKUP(E2269,QCUREA_N,2,),IF(H2269="PER",VLOOKUP(I2269,QCPER,MATCH(E2269,QCACTUAL!$J$25:$AA$25,0),),IF(H2269="SPK",VLOOKUP(I2269,QCSPK,3,),IF(AND(H2269="ATP",OR(I2269="TP",I2269="TDP")),VLOOKUP(E2269,QCATP_P,2,),""))))))))</f>
        <v/>
      </c>
      <c r="W2269" s="31" t="str">
        <f t="shared" si="260"/>
        <v>TRUE</v>
      </c>
      <c r="X2269" s="31" t="str">
        <f t="shared" si="255"/>
        <v>((ABS(rep1-rep2))/((rep1+rep2)/2)*100</v>
      </c>
      <c r="Y2269" s="10" t="s">
        <v>1144</v>
      </c>
      <c r="AL2269" s="10" t="str">
        <f t="shared" si="257"/>
        <v>FALSE</v>
      </c>
      <c r="AM2269" s="10" t="str">
        <f t="shared" si="257"/>
        <v>FALSE</v>
      </c>
      <c r="AN2269" s="10" t="str">
        <f t="shared" si="257"/>
        <v>FALSE</v>
      </c>
      <c r="AO2269" s="10" t="str">
        <f t="shared" si="258"/>
        <v>FALSE</v>
      </c>
      <c r="AP2269" s="10" t="str">
        <f t="shared" si="258"/>
        <v>FALSE</v>
      </c>
      <c r="AQ2269" s="10" t="b">
        <f>IF(AND(I2269="TP",S2269&lt;=150),VLOOKUP(AF2269,TPCalibEq150!$AZ$2:$BB$55,3,),IF(AND(I2269="TDP",S2269&lt;=150),VLOOKUP(AF2269,TPCalibEq150!$AZ$2:$BB$55,3,)))</f>
        <v>0</v>
      </c>
      <c r="AR2269" s="10" t="b">
        <f>IF(AND(I2269="TP",S2269&lt;=300),VLOOKUP(AF2269,TPCalibEq300!$AZ$2:$BB$55,3,),IF(AND(I2269="TDP",S2269&lt;=300),VLOOKUP(AF2269,TPCalibEq300!$AZ$2:$BB$55,3,)))</f>
        <v>0</v>
      </c>
      <c r="AS2269" s="10" t="b">
        <f>IF(AND(I2269="TP",S2269&lt;=500),VLOOKUP(AF2269,TPCalibEq500!$AZ$2:$BB$56,3,),IF(AND(I2269="TDP",S2269&lt;=500),VLOOKUP(AF2269,TPCalibEq500!$AZ$2:$BB$56,3,)))</f>
        <v>0</v>
      </c>
      <c r="AT2269" s="10" t="b">
        <f>IF(AND(I2269="TN",S2269&lt;=2800),VLOOKUP(AF2269,TNCalibEq2500!$AZ$2:$BB$56,3,),IF(AND(I2269="TDN",S2269&lt;=2800),VLOOKUP(AF2269,TNCalibEq2500!$AZ$2:$BB$56,3,)))</f>
        <v>0</v>
      </c>
      <c r="AU2269" s="10" t="b">
        <f>IF(I2269="TP",VLOOKUP(AF2269,TPCalibEqFull!$AZ$2:$BB$56,3),IF(I2269="TDP",VLOOKUP(AF2269,TPCalibEqFull!$AZ$2:$BB$56,3),IF(I2269="TDN",VLOOKUP(AF2269,TNCalibEqFull!$AZ$1:$BB$56,3),IF(I2269="TN",VLOOKUP(AF2269,TNCalibEqFull!$AZ$1:$BB$56,3),FALSE))))</f>
        <v>0</v>
      </c>
      <c r="AV2269" s="10" t="str">
        <f t="shared" si="261"/>
        <v>0208 10:20:00-BUO-46-C-1-SW-DUP</v>
      </c>
    </row>
    <row r="2270" spans="1:48" s="10" customFormat="1" x14ac:dyDescent="0.55000000000000004">
      <c r="A2270" s="32">
        <v>44965</v>
      </c>
      <c r="B2270" s="33">
        <v>0.43055555555555558</v>
      </c>
      <c r="C2270" s="10" t="s">
        <v>611</v>
      </c>
      <c r="D2270" s="10">
        <v>46</v>
      </c>
      <c r="E2270" s="10" t="s">
        <v>190</v>
      </c>
      <c r="F2270" s="10">
        <v>1</v>
      </c>
      <c r="G2270" s="10" t="s">
        <v>231</v>
      </c>
      <c r="H2270" s="10" t="s">
        <v>314</v>
      </c>
      <c r="I2270" s="10" t="s">
        <v>285</v>
      </c>
      <c r="J2270" s="10">
        <v>125</v>
      </c>
      <c r="K2270" s="12">
        <v>44966</v>
      </c>
      <c r="L2270" s="33">
        <v>0.53657407407407409</v>
      </c>
      <c r="M2270" s="10">
        <v>1</v>
      </c>
      <c r="N2270" s="10" t="s">
        <v>211</v>
      </c>
      <c r="O2270" s="10">
        <v>1.55</v>
      </c>
      <c r="P2270" s="10">
        <v>0.15</v>
      </c>
      <c r="Q2270" s="10">
        <v>268</v>
      </c>
      <c r="R2270" s="10" t="s">
        <v>913</v>
      </c>
      <c r="S2270" s="34">
        <f t="shared" si="256"/>
        <v>268</v>
      </c>
      <c r="T2270" s="10" t="s">
        <v>1166</v>
      </c>
      <c r="U2270" s="34">
        <f t="shared" si="259"/>
        <v>103.03999999999999</v>
      </c>
      <c r="V2270" s="31">
        <f>IF(H2270="CHK",VLOOKUP(I2270,QCCHK,3,),IF(H2270="GUP",VLOOKUP(E2270,QCGUP,2,),IF(AND(H2270="ATP",OR(I2270="TN",I2270="TDN",I2270="TNO2-3",I2270="NO2-3")),VLOOKUP(E2270,QCREC_N,2,),IF(AND(H2270="NIC",OR(I2270="TN",I2270="TDN",I2270="TNO2-3",I2270="NO2-3")),VLOOKUP(E2270,QCNIC_N,2,),IF(AND(H2270="UREA",OR(I2270="TN",I2270="TDN",I2270="TNO2-3",I2270="NO2-3")),VLOOKUP(E2270,QCUREA_N,2,),IF(H2270="PER",VLOOKUP(I2270,QCPER,MATCH(E2270,QCACTUAL!$J$25:$AA$25,0),),IF(H2270="SPK",VLOOKUP(I2270,QCSPK,3,),IF(AND(H2270="ATP",OR(I2270="TP",I2270="TDP")),VLOOKUP(E2270,QCATP_P,2,),""))))))))</f>
        <v>156.25</v>
      </c>
      <c r="W2270" s="31" t="str">
        <f t="shared" si="260"/>
        <v>TRUE</v>
      </c>
      <c r="X2270" s="31" t="str">
        <f t="shared" si="255"/>
        <v>([spikedunkn]-[unkn])/[spike]*100</v>
      </c>
      <c r="Y2270" s="10" t="s">
        <v>1144</v>
      </c>
      <c r="AL2270" s="10" t="str">
        <f t="shared" si="257"/>
        <v>FALSE</v>
      </c>
      <c r="AM2270" s="10" t="str">
        <f t="shared" si="257"/>
        <v>FALSE</v>
      </c>
      <c r="AN2270" s="10" t="str">
        <f t="shared" si="257"/>
        <v>FALSE</v>
      </c>
      <c r="AO2270" s="10" t="str">
        <f t="shared" si="258"/>
        <v>FALSE</v>
      </c>
      <c r="AP2270" s="10" t="str">
        <f t="shared" si="258"/>
        <v>FALSE</v>
      </c>
      <c r="AQ2270" s="10" t="b">
        <f>IF(AND(I2270="TP",S2270&lt;=150),VLOOKUP(AF2270,TPCalibEq150!$AZ$2:$BB$55,3,),IF(AND(I2270="TDP",S2270&lt;=150),VLOOKUP(AF2270,TPCalibEq150!$AZ$2:$BB$55,3,)))</f>
        <v>0</v>
      </c>
      <c r="AR2270" s="10" t="b">
        <f>IF(AND(I2270="TP",S2270&lt;=300),VLOOKUP(AF2270,TPCalibEq300!$AZ$2:$BB$55,3,),IF(AND(I2270="TDP",S2270&lt;=300),VLOOKUP(AF2270,TPCalibEq300!$AZ$2:$BB$55,3,)))</f>
        <v>0</v>
      </c>
      <c r="AS2270" s="10" t="b">
        <f>IF(AND(I2270="TP",S2270&lt;=500),VLOOKUP(AF2270,TPCalibEq500!$AZ$2:$BB$56,3,),IF(AND(I2270="TDP",S2270&lt;=500),VLOOKUP(AF2270,TPCalibEq500!$AZ$2:$BB$56,3,)))</f>
        <v>0</v>
      </c>
      <c r="AT2270" s="10" t="b">
        <f>IF(AND(I2270="TN",S2270&lt;=2800),VLOOKUP(AF2270,TNCalibEq2500!$AZ$2:$BB$56,3,),IF(AND(I2270="TDN",S2270&lt;=2800),VLOOKUP(AF2270,TNCalibEq2500!$AZ$2:$BB$56,3,)))</f>
        <v>0</v>
      </c>
      <c r="AU2270" s="10" t="b">
        <f>IF(I2270="TP",VLOOKUP(AF2270,TPCalibEqFull!$AZ$2:$BB$56,3),IF(I2270="TDP",VLOOKUP(AF2270,TPCalibEqFull!$AZ$2:$BB$56,3),IF(I2270="TDN",VLOOKUP(AF2270,TNCalibEqFull!$AZ$1:$BB$56,3),IF(I2270="TN",VLOOKUP(AF2270,TNCalibEqFull!$AZ$1:$BB$56,3),FALSE))))</f>
        <v>0</v>
      </c>
      <c r="AV2270" s="10" t="str">
        <f t="shared" si="261"/>
        <v>0208 10:20:00-BUO-46-C-1-SW-SPK</v>
      </c>
    </row>
    <row r="2271" spans="1:48" s="10" customFormat="1" x14ac:dyDescent="0.55000000000000004">
      <c r="A2271" s="32">
        <v>44966</v>
      </c>
      <c r="B2271" s="33">
        <v>0.375</v>
      </c>
      <c r="C2271" s="10" t="s">
        <v>70</v>
      </c>
      <c r="D2271" s="10" t="s">
        <v>71</v>
      </c>
      <c r="E2271" s="10" t="s">
        <v>901</v>
      </c>
      <c r="F2271" s="10">
        <v>1</v>
      </c>
      <c r="G2271" s="10" t="s">
        <v>73</v>
      </c>
      <c r="H2271" s="10" t="s">
        <v>207</v>
      </c>
      <c r="I2271" s="10" t="s">
        <v>285</v>
      </c>
      <c r="J2271" s="10">
        <v>201</v>
      </c>
      <c r="K2271" s="12">
        <v>44966</v>
      </c>
      <c r="L2271" s="33">
        <v>0.53739583333333341</v>
      </c>
      <c r="M2271" s="10">
        <v>1</v>
      </c>
      <c r="N2271" s="10" t="s">
        <v>211</v>
      </c>
      <c r="O2271" s="10">
        <v>0.44</v>
      </c>
      <c r="P2271" s="10">
        <v>4.1500000000000002E-2</v>
      </c>
      <c r="Q2271" s="10">
        <v>75.599999999999994</v>
      </c>
      <c r="R2271" s="10" t="s">
        <v>913</v>
      </c>
      <c r="S2271" s="34">
        <f t="shared" si="256"/>
        <v>75.599999999999994</v>
      </c>
      <c r="T2271" s="10" t="s">
        <v>1166</v>
      </c>
      <c r="U2271" s="34">
        <f t="shared" si="259"/>
        <v>100.8</v>
      </c>
      <c r="V2271" s="31">
        <f>IF(H2271="CHK",VLOOKUP(I2271,QCCHK,3,),IF(H2271="GUP",VLOOKUP(E2271,QCGUP,2,),IF(AND(H2271="ATP",OR(I2271="TN",I2271="TDN",I2271="TNO2-3",I2271="NO2-3")),VLOOKUP(E2271,QCREC_N,2,),IF(AND(H2271="NIC",OR(I2271="TN",I2271="TDN",I2271="TNO2-3",I2271="NO2-3")),VLOOKUP(E2271,QCNIC_N,2,),IF(AND(H2271="UREA",OR(I2271="TN",I2271="TDN",I2271="TNO2-3",I2271="NO2-3")),VLOOKUP(E2271,QCUREA_N,2,),IF(H2271="PER",VLOOKUP(I2271,QCPER,MATCH(E2271,QCACTUAL!$J$25:$AA$25,0),),IF(H2271="SPK",VLOOKUP(I2271,QCSPK,3,),IF(AND(H2271="ATP",OR(I2271="TP",I2271="TDP")),VLOOKUP(E2271,QCATP_P,2,),""))))))))</f>
        <v>75</v>
      </c>
      <c r="W2271" s="31" t="str">
        <f t="shared" si="260"/>
        <v>TRUE</v>
      </c>
      <c r="X2271" s="31" t="str">
        <f t="shared" si="255"/>
        <v>[chk]/[actual]*100</v>
      </c>
      <c r="Y2271" s="10" t="s">
        <v>1144</v>
      </c>
      <c r="AL2271" s="10" t="str">
        <f t="shared" si="257"/>
        <v>FALSE</v>
      </c>
      <c r="AM2271" s="10" t="str">
        <f t="shared" si="257"/>
        <v>FALSE</v>
      </c>
      <c r="AN2271" s="10" t="str">
        <f t="shared" si="257"/>
        <v>FALSE</v>
      </c>
      <c r="AO2271" s="10" t="str">
        <f t="shared" si="258"/>
        <v>FALSE</v>
      </c>
      <c r="AP2271" s="10" t="str">
        <f t="shared" si="258"/>
        <v>FALSE</v>
      </c>
      <c r="AQ2271" s="10" t="b">
        <f>IF(AND(I2271="TP",S2271&lt;=150),VLOOKUP(AF2271,TPCalibEq150!$AZ$2:$BB$55,3,),IF(AND(I2271="TDP",S2271&lt;=150),VLOOKUP(AF2271,TPCalibEq150!$AZ$2:$BB$55,3,)))</f>
        <v>0</v>
      </c>
      <c r="AR2271" s="10" t="b">
        <f>IF(AND(I2271="TP",S2271&lt;=300),VLOOKUP(AF2271,TPCalibEq300!$AZ$2:$BB$55,3,),IF(AND(I2271="TDP",S2271&lt;=300),VLOOKUP(AF2271,TPCalibEq300!$AZ$2:$BB$55,3,)))</f>
        <v>0</v>
      </c>
      <c r="AS2271" s="10" t="b">
        <f>IF(AND(I2271="TP",S2271&lt;=500),VLOOKUP(AF2271,TPCalibEq500!$AZ$2:$BB$56,3,),IF(AND(I2271="TDP",S2271&lt;=500),VLOOKUP(AF2271,TPCalibEq500!$AZ$2:$BB$56,3,)))</f>
        <v>0</v>
      </c>
      <c r="AT2271" s="10" t="b">
        <f>IF(AND(I2271="TN",S2271&lt;=2800),VLOOKUP(AF2271,TNCalibEq2500!$AZ$2:$BB$56,3,),IF(AND(I2271="TDN",S2271&lt;=2800),VLOOKUP(AF2271,TNCalibEq2500!$AZ$2:$BB$56,3,)))</f>
        <v>0</v>
      </c>
      <c r="AU2271" s="10" t="b">
        <f>IF(I2271="TP",VLOOKUP(AF2271,TPCalibEqFull!$AZ$2:$BB$56,3),IF(I2271="TDP",VLOOKUP(AF2271,TPCalibEqFull!$AZ$2:$BB$56,3),IF(I2271="TDN",VLOOKUP(AF2271,TNCalibEqFull!$AZ$1:$BB$56,3),IF(I2271="TN",VLOOKUP(AF2271,TNCalibEqFull!$AZ$1:$BB$56,3),FALSE))))</f>
        <v>0</v>
      </c>
      <c r="AV2271" s="10" t="str">
        <f t="shared" si="261"/>
        <v>0209 09:00:00-QAC-STD-D-1-DI-CHK</v>
      </c>
    </row>
    <row r="2272" spans="1:48" s="10" customFormat="1" x14ac:dyDescent="0.55000000000000004">
      <c r="A2272" s="32">
        <v>44958</v>
      </c>
      <c r="B2272" s="33">
        <v>0.50138888888888888</v>
      </c>
      <c r="C2272" s="10" t="s">
        <v>279</v>
      </c>
      <c r="D2272" s="10">
        <v>0</v>
      </c>
      <c r="E2272" s="10" t="s">
        <v>911</v>
      </c>
      <c r="F2272" s="10">
        <v>1</v>
      </c>
      <c r="G2272" s="10" t="s">
        <v>231</v>
      </c>
      <c r="H2272" s="10" t="s">
        <v>322</v>
      </c>
      <c r="I2272" s="10" t="s">
        <v>167</v>
      </c>
      <c r="J2272" s="10">
        <v>60</v>
      </c>
      <c r="K2272" s="12">
        <v>44966</v>
      </c>
      <c r="L2272" s="33">
        <v>0.53820601851851857</v>
      </c>
      <c r="M2272" s="10">
        <v>1</v>
      </c>
      <c r="N2272" s="10" t="s">
        <v>211</v>
      </c>
      <c r="O2272" s="10">
        <v>0.93100000000000005</v>
      </c>
      <c r="P2272" s="10">
        <v>8.8700000000000001E-2</v>
      </c>
      <c r="Q2272" s="10">
        <v>161</v>
      </c>
      <c r="R2272" s="10" t="s">
        <v>913</v>
      </c>
      <c r="S2272" s="34">
        <f t="shared" si="256"/>
        <v>161</v>
      </c>
      <c r="T2272" s="10" t="s">
        <v>1166</v>
      </c>
      <c r="U2272" s="34" t="str">
        <f t="shared" si="259"/>
        <v/>
      </c>
      <c r="V2272" s="31" t="str">
        <f>IF(H2272="CHK",VLOOKUP(I2272,QCCHK,3,),IF(H2272="GUP",VLOOKUP(E2272,QCGUP,2,),IF(AND(H2272="ATP",OR(I2272="TN",I2272="TDN",I2272="TNO2-3",I2272="NO2-3")),VLOOKUP(E2272,QCREC_N,2,),IF(AND(H2272="NIC",OR(I2272="TN",I2272="TDN",I2272="TNO2-3",I2272="NO2-3")),VLOOKUP(E2272,QCNIC_N,2,),IF(AND(H2272="UREA",OR(I2272="TN",I2272="TDN",I2272="TNO2-3",I2272="NO2-3")),VLOOKUP(E2272,QCUREA_N,2,),IF(H2272="PER",VLOOKUP(I2272,QCPER,MATCH(E2272,QCACTUAL!$J$25:$AA$25,0),),IF(H2272="SPK",VLOOKUP(I2272,QCSPK,3,),IF(AND(H2272="ATP",OR(I2272="TP",I2272="TDP")),VLOOKUP(E2272,QCATP_P,2,),""))))))))</f>
        <v/>
      </c>
      <c r="W2272" s="31" t="str">
        <f t="shared" si="260"/>
        <v>TRUE</v>
      </c>
      <c r="X2272" s="31" t="str">
        <f t="shared" si="255"/>
        <v/>
      </c>
      <c r="Y2272" s="10" t="s">
        <v>1144</v>
      </c>
      <c r="Z2272" s="10" t="s">
        <v>910</v>
      </c>
      <c r="AL2272" s="10" t="str">
        <f t="shared" si="257"/>
        <v>FALSE</v>
      </c>
      <c r="AM2272" s="10" t="str">
        <f t="shared" si="257"/>
        <v>FALSE</v>
      </c>
      <c r="AN2272" s="10" t="str">
        <f t="shared" si="257"/>
        <v>FALSE</v>
      </c>
      <c r="AO2272" s="10" t="str">
        <f t="shared" si="258"/>
        <v>FALSE</v>
      </c>
      <c r="AP2272" s="10" t="str">
        <f t="shared" si="258"/>
        <v>FALSE</v>
      </c>
      <c r="AQ2272" s="10" t="b">
        <f>IF(AND(I2272="TP",S2272&lt;=150),VLOOKUP(AF2272,TPCalibEq150!$AZ$2:$BB$55,3,),IF(AND(I2272="TDP",S2272&lt;=150),VLOOKUP(AF2272,TPCalibEq150!$AZ$2:$BB$55,3,)))</f>
        <v>0</v>
      </c>
      <c r="AR2272" s="10" t="b">
        <f>IF(AND(I2272="TP",S2272&lt;=300),VLOOKUP(AF2272,TPCalibEq300!$AZ$2:$BB$55,3,),IF(AND(I2272="TDP",S2272&lt;=300),VLOOKUP(AF2272,TPCalibEq300!$AZ$2:$BB$55,3,)))</f>
        <v>0</v>
      </c>
      <c r="AS2272" s="10" t="b">
        <f>IF(AND(I2272="TP",S2272&lt;=500),VLOOKUP(AF2272,TPCalibEq500!$AZ$2:$BB$56,3,),IF(AND(I2272="TDP",S2272&lt;=500),VLOOKUP(AF2272,TPCalibEq500!$AZ$2:$BB$56,3,)))</f>
        <v>0</v>
      </c>
      <c r="AT2272" s="10" t="b">
        <f>IF(AND(I2272="TN",S2272&lt;=2800),VLOOKUP(AF2272,TNCalibEq2500!$AZ$2:$BB$56,3,),IF(AND(I2272="TDN",S2272&lt;=2800),VLOOKUP(AF2272,TNCalibEq2500!$AZ$2:$BB$56,3,)))</f>
        <v>0</v>
      </c>
      <c r="AU2272" s="10" t="b">
        <f>IF(I2272="TP",VLOOKUP(AF2272,TPCalibEqFull!$AZ$2:$BB$56,3),IF(I2272="TDP",VLOOKUP(AF2272,TPCalibEqFull!$AZ$2:$BB$56,3),IF(I2272="TDN",VLOOKUP(AF2272,TNCalibEqFull!$AZ$1:$BB$56,3),IF(I2272="TN",VLOOKUP(AF2272,TNCalibEqFull!$AZ$1:$BB$56,3),FALSE))))</f>
        <v>0</v>
      </c>
      <c r="AV2272" s="10" t="str">
        <f t="shared" si="261"/>
        <v>0201 12:02:00-EFK-0-FIL-1-SW-UKN</v>
      </c>
    </row>
    <row r="2273" spans="1:48" s="10" customFormat="1" x14ac:dyDescent="0.55000000000000004">
      <c r="A2273" s="32">
        <v>44958</v>
      </c>
      <c r="B2273" s="33">
        <v>0.50347222222222221</v>
      </c>
      <c r="C2273" s="10" t="s">
        <v>333</v>
      </c>
      <c r="D2273" s="10">
        <v>0</v>
      </c>
      <c r="E2273" s="10" t="s">
        <v>911</v>
      </c>
      <c r="F2273" s="10">
        <v>1</v>
      </c>
      <c r="G2273" s="10" t="s">
        <v>231</v>
      </c>
      <c r="H2273" s="10" t="s">
        <v>322</v>
      </c>
      <c r="I2273" s="10" t="s">
        <v>167</v>
      </c>
      <c r="J2273" s="10">
        <v>61</v>
      </c>
      <c r="K2273" s="12">
        <v>44966</v>
      </c>
      <c r="L2273" s="33">
        <v>0.53903935185185181</v>
      </c>
      <c r="M2273" s="10">
        <v>1</v>
      </c>
      <c r="N2273" s="10" t="s">
        <v>211</v>
      </c>
      <c r="O2273" s="10">
        <v>0.40300000000000002</v>
      </c>
      <c r="P2273" s="10">
        <v>3.6799999999999999E-2</v>
      </c>
      <c r="Q2273" s="10">
        <v>69.3</v>
      </c>
      <c r="R2273" s="10" t="s">
        <v>913</v>
      </c>
      <c r="S2273" s="34">
        <f t="shared" si="256"/>
        <v>69.3</v>
      </c>
      <c r="T2273" s="10" t="s">
        <v>1166</v>
      </c>
      <c r="U2273" s="34" t="str">
        <f t="shared" si="259"/>
        <v/>
      </c>
      <c r="V2273" s="31" t="str">
        <f>IF(H2273="CHK",VLOOKUP(I2273,QCCHK,3,),IF(H2273="GUP",VLOOKUP(E2273,QCGUP,2,),IF(AND(H2273="ATP",OR(I2273="TN",I2273="TDN",I2273="TNO2-3",I2273="NO2-3")),VLOOKUP(E2273,QCREC_N,2,),IF(AND(H2273="NIC",OR(I2273="TN",I2273="TDN",I2273="TNO2-3",I2273="NO2-3")),VLOOKUP(E2273,QCNIC_N,2,),IF(AND(H2273="UREA",OR(I2273="TN",I2273="TDN",I2273="TNO2-3",I2273="NO2-3")),VLOOKUP(E2273,QCUREA_N,2,),IF(H2273="PER",VLOOKUP(I2273,QCPER,MATCH(E2273,QCACTUAL!$J$25:$AA$25,0),),IF(H2273="SPK",VLOOKUP(I2273,QCSPK,3,),IF(AND(H2273="ATP",OR(I2273="TP",I2273="TDP")),VLOOKUP(E2273,QCATP_P,2,),""))))))))</f>
        <v/>
      </c>
      <c r="W2273" s="31" t="str">
        <f t="shared" si="260"/>
        <v>TRUE</v>
      </c>
      <c r="X2273" s="31" t="str">
        <f t="shared" si="255"/>
        <v/>
      </c>
      <c r="Y2273" s="10" t="s">
        <v>1144</v>
      </c>
      <c r="Z2273" s="10" t="s">
        <v>910</v>
      </c>
      <c r="AL2273" s="10" t="str">
        <f t="shared" si="257"/>
        <v>FALSE</v>
      </c>
      <c r="AM2273" s="10" t="str">
        <f t="shared" si="257"/>
        <v>FALSE</v>
      </c>
      <c r="AN2273" s="10" t="str">
        <f t="shared" si="257"/>
        <v>FALSE</v>
      </c>
      <c r="AO2273" s="10" t="str">
        <f t="shared" si="258"/>
        <v>FALSE</v>
      </c>
      <c r="AP2273" s="10" t="str">
        <f t="shared" si="258"/>
        <v>FALSE</v>
      </c>
      <c r="AQ2273" s="10" t="b">
        <f>IF(AND(I2273="TP",S2273&lt;=150),VLOOKUP(AF2273,TPCalibEq150!$AZ$2:$BB$55,3,),IF(AND(I2273="TDP",S2273&lt;=150),VLOOKUP(AF2273,TPCalibEq150!$AZ$2:$BB$55,3,)))</f>
        <v>0</v>
      </c>
      <c r="AR2273" s="10" t="b">
        <f>IF(AND(I2273="TP",S2273&lt;=300),VLOOKUP(AF2273,TPCalibEq300!$AZ$2:$BB$55,3,),IF(AND(I2273="TDP",S2273&lt;=300),VLOOKUP(AF2273,TPCalibEq300!$AZ$2:$BB$55,3,)))</f>
        <v>0</v>
      </c>
      <c r="AS2273" s="10" t="b">
        <f>IF(AND(I2273="TP",S2273&lt;=500),VLOOKUP(AF2273,TPCalibEq500!$AZ$2:$BB$56,3,),IF(AND(I2273="TDP",S2273&lt;=500),VLOOKUP(AF2273,TPCalibEq500!$AZ$2:$BB$56,3,)))</f>
        <v>0</v>
      </c>
      <c r="AT2273" s="10" t="b">
        <f>IF(AND(I2273="TN",S2273&lt;=2800),VLOOKUP(AF2273,TNCalibEq2500!$AZ$2:$BB$56,3,),IF(AND(I2273="TDN",S2273&lt;=2800),VLOOKUP(AF2273,TNCalibEq2500!$AZ$2:$BB$56,3,)))</f>
        <v>0</v>
      </c>
      <c r="AU2273" s="10" t="b">
        <f>IF(I2273="TP",VLOOKUP(AF2273,TPCalibEqFull!$AZ$2:$BB$56,3),IF(I2273="TDP",VLOOKUP(AF2273,TPCalibEqFull!$AZ$2:$BB$56,3),IF(I2273="TDN",VLOOKUP(AF2273,TNCalibEqFull!$AZ$1:$BB$56,3),IF(I2273="TN",VLOOKUP(AF2273,TNCalibEqFull!$AZ$1:$BB$56,3),FALSE))))</f>
        <v>0</v>
      </c>
      <c r="AV2273" s="10" t="str">
        <f t="shared" si="261"/>
        <v>0201 12:05:00-HST-0-FIL-1-SW-UKN</v>
      </c>
    </row>
    <row r="2274" spans="1:48" s="10" customFormat="1" x14ac:dyDescent="0.55000000000000004">
      <c r="A2274" s="32">
        <v>44959</v>
      </c>
      <c r="B2274" s="33">
        <v>0.58194444444444449</v>
      </c>
      <c r="C2274" s="10" t="s">
        <v>279</v>
      </c>
      <c r="D2274" s="10">
        <v>0</v>
      </c>
      <c r="E2274" s="10" t="s">
        <v>911</v>
      </c>
      <c r="F2274" s="10">
        <v>1</v>
      </c>
      <c r="G2274" s="10" t="s">
        <v>231</v>
      </c>
      <c r="H2274" s="10" t="s">
        <v>322</v>
      </c>
      <c r="I2274" s="10" t="s">
        <v>167</v>
      </c>
      <c r="J2274" s="10">
        <v>62</v>
      </c>
      <c r="K2274" s="12">
        <v>44966</v>
      </c>
      <c r="L2274" s="33">
        <v>0.53986111111111112</v>
      </c>
      <c r="M2274" s="10">
        <v>1</v>
      </c>
      <c r="N2274" s="10" t="s">
        <v>211</v>
      </c>
      <c r="O2274" s="10">
        <v>1.69</v>
      </c>
      <c r="P2274" s="10">
        <v>0.16300000000000001</v>
      </c>
      <c r="Q2274" s="10">
        <v>292</v>
      </c>
      <c r="R2274" s="10" t="s">
        <v>913</v>
      </c>
      <c r="S2274" s="34">
        <f t="shared" si="256"/>
        <v>292</v>
      </c>
      <c r="T2274" s="10" t="s">
        <v>1166</v>
      </c>
      <c r="U2274" s="34" t="str">
        <f t="shared" si="259"/>
        <v/>
      </c>
      <c r="V2274" s="31" t="str">
        <f>IF(H2274="CHK",VLOOKUP(I2274,QCCHK,3,),IF(H2274="GUP",VLOOKUP(E2274,QCGUP,2,),IF(AND(H2274="ATP",OR(I2274="TN",I2274="TDN",I2274="TNO2-3",I2274="NO2-3")),VLOOKUP(E2274,QCREC_N,2,),IF(AND(H2274="NIC",OR(I2274="TN",I2274="TDN",I2274="TNO2-3",I2274="NO2-3")),VLOOKUP(E2274,QCNIC_N,2,),IF(AND(H2274="UREA",OR(I2274="TN",I2274="TDN",I2274="TNO2-3",I2274="NO2-3")),VLOOKUP(E2274,QCUREA_N,2,),IF(H2274="PER",VLOOKUP(I2274,QCPER,MATCH(E2274,QCACTUAL!$J$25:$AA$25,0),),IF(H2274="SPK",VLOOKUP(I2274,QCSPK,3,),IF(AND(H2274="ATP",OR(I2274="TP",I2274="TDP")),VLOOKUP(E2274,QCATP_P,2,),""))))))))</f>
        <v/>
      </c>
      <c r="W2274" s="31" t="str">
        <f t="shared" si="260"/>
        <v>TRUE</v>
      </c>
      <c r="X2274" s="31" t="str">
        <f t="shared" si="255"/>
        <v/>
      </c>
      <c r="Y2274" s="10" t="s">
        <v>1144</v>
      </c>
      <c r="Z2274" s="10" t="s">
        <v>910</v>
      </c>
      <c r="AL2274" s="10" t="str">
        <f t="shared" si="257"/>
        <v>FALSE</v>
      </c>
      <c r="AM2274" s="10" t="str">
        <f t="shared" si="257"/>
        <v>FALSE</v>
      </c>
      <c r="AN2274" s="10" t="str">
        <f t="shared" si="257"/>
        <v>FALSE</v>
      </c>
      <c r="AO2274" s="10" t="str">
        <f t="shared" si="258"/>
        <v>FALSE</v>
      </c>
      <c r="AP2274" s="10" t="str">
        <f t="shared" si="258"/>
        <v>FALSE</v>
      </c>
      <c r="AQ2274" s="10" t="b">
        <f>IF(AND(I2274="TP",S2274&lt;=150),VLOOKUP(AF2274,TPCalibEq150!$AZ$2:$BB$55,3,),IF(AND(I2274="TDP",S2274&lt;=150),VLOOKUP(AF2274,TPCalibEq150!$AZ$2:$BB$55,3,)))</f>
        <v>0</v>
      </c>
      <c r="AR2274" s="10" t="b">
        <f>IF(AND(I2274="TP",S2274&lt;=300),VLOOKUP(AF2274,TPCalibEq300!$AZ$2:$BB$55,3,),IF(AND(I2274="TDP",S2274&lt;=300),VLOOKUP(AF2274,TPCalibEq300!$AZ$2:$BB$55,3,)))</f>
        <v>0</v>
      </c>
      <c r="AS2274" s="10" t="b">
        <f>IF(AND(I2274="TP",S2274&lt;=500),VLOOKUP(AF2274,TPCalibEq500!$AZ$2:$BB$56,3,),IF(AND(I2274="TDP",S2274&lt;=500),VLOOKUP(AF2274,TPCalibEq500!$AZ$2:$BB$56,3,)))</f>
        <v>0</v>
      </c>
      <c r="AT2274" s="10" t="b">
        <f>IF(AND(I2274="TN",S2274&lt;=2800),VLOOKUP(AF2274,TNCalibEq2500!$AZ$2:$BB$56,3,),IF(AND(I2274="TDN",S2274&lt;=2800),VLOOKUP(AF2274,TNCalibEq2500!$AZ$2:$BB$56,3,)))</f>
        <v>0</v>
      </c>
      <c r="AU2274" s="10" t="b">
        <f>IF(I2274="TP",VLOOKUP(AF2274,TPCalibEqFull!$AZ$2:$BB$56,3),IF(I2274="TDP",VLOOKUP(AF2274,TPCalibEqFull!$AZ$2:$BB$56,3),IF(I2274="TDN",VLOOKUP(AF2274,TNCalibEqFull!$AZ$1:$BB$56,3),IF(I2274="TN",VLOOKUP(AF2274,TNCalibEqFull!$AZ$1:$BB$56,3),FALSE))))</f>
        <v>0</v>
      </c>
      <c r="AV2274" s="10" t="str">
        <f t="shared" si="261"/>
        <v>0202 13:58:00-EFK-0-FIL-1-SW-UKN</v>
      </c>
    </row>
    <row r="2275" spans="1:48" s="10" customFormat="1" x14ac:dyDescent="0.55000000000000004">
      <c r="A2275" s="32">
        <v>44959</v>
      </c>
      <c r="B2275" s="33">
        <v>0.56944444444444442</v>
      </c>
      <c r="C2275" s="10" t="s">
        <v>333</v>
      </c>
      <c r="D2275" s="10">
        <v>0</v>
      </c>
      <c r="E2275" s="10" t="s">
        <v>911</v>
      </c>
      <c r="F2275" s="10">
        <v>1</v>
      </c>
      <c r="G2275" s="10" t="s">
        <v>231</v>
      </c>
      <c r="H2275" s="10" t="s">
        <v>322</v>
      </c>
      <c r="I2275" s="10" t="s">
        <v>167</v>
      </c>
      <c r="J2275" s="10">
        <v>63</v>
      </c>
      <c r="K2275" s="12">
        <v>44966</v>
      </c>
      <c r="L2275" s="33">
        <v>0.54068287037037044</v>
      </c>
      <c r="M2275" s="10">
        <v>1</v>
      </c>
      <c r="N2275" s="10" t="s">
        <v>211</v>
      </c>
      <c r="O2275" s="10">
        <v>2.17</v>
      </c>
      <c r="P2275" s="10">
        <v>0.21099999999999999</v>
      </c>
      <c r="Q2275" s="10">
        <v>376</v>
      </c>
      <c r="R2275" s="10" t="s">
        <v>913</v>
      </c>
      <c r="S2275" s="34">
        <f t="shared" si="256"/>
        <v>376</v>
      </c>
      <c r="T2275" s="10" t="s">
        <v>1166</v>
      </c>
      <c r="U2275" s="34" t="str">
        <f t="shared" si="259"/>
        <v/>
      </c>
      <c r="V2275" s="31" t="str">
        <f>IF(H2275="CHK",VLOOKUP(I2275,QCCHK,3,),IF(H2275="GUP",VLOOKUP(E2275,QCGUP,2,),IF(AND(H2275="ATP",OR(I2275="TN",I2275="TDN",I2275="TNO2-3",I2275="NO2-3")),VLOOKUP(E2275,QCREC_N,2,),IF(AND(H2275="NIC",OR(I2275="TN",I2275="TDN",I2275="TNO2-3",I2275="NO2-3")),VLOOKUP(E2275,QCNIC_N,2,),IF(AND(H2275="UREA",OR(I2275="TN",I2275="TDN",I2275="TNO2-3",I2275="NO2-3")),VLOOKUP(E2275,QCUREA_N,2,),IF(H2275="PER",VLOOKUP(I2275,QCPER,MATCH(E2275,QCACTUAL!$J$25:$AA$25,0),),IF(H2275="SPK",VLOOKUP(I2275,QCSPK,3,),IF(AND(H2275="ATP",OR(I2275="TP",I2275="TDP")),VLOOKUP(E2275,QCATP_P,2,),""))))))))</f>
        <v/>
      </c>
      <c r="W2275" s="31" t="str">
        <f t="shared" si="260"/>
        <v>TRUE</v>
      </c>
      <c r="X2275" s="31" t="str">
        <f t="shared" si="255"/>
        <v/>
      </c>
      <c r="Y2275" s="10" t="s">
        <v>1144</v>
      </c>
      <c r="Z2275" s="10" t="s">
        <v>910</v>
      </c>
      <c r="AL2275" s="10" t="str">
        <f t="shared" si="257"/>
        <v>FALSE</v>
      </c>
      <c r="AM2275" s="10" t="str">
        <f t="shared" si="257"/>
        <v>FALSE</v>
      </c>
      <c r="AN2275" s="10" t="str">
        <f t="shared" si="257"/>
        <v>FALSE</v>
      </c>
      <c r="AO2275" s="10" t="str">
        <f t="shared" si="258"/>
        <v>FALSE</v>
      </c>
      <c r="AP2275" s="10" t="str">
        <f t="shared" si="258"/>
        <v>FALSE</v>
      </c>
      <c r="AQ2275" s="10" t="b">
        <f>IF(AND(I2275="TP",S2275&lt;=150),VLOOKUP(AF2275,TPCalibEq150!$AZ$2:$BB$55,3,),IF(AND(I2275="TDP",S2275&lt;=150),VLOOKUP(AF2275,TPCalibEq150!$AZ$2:$BB$55,3,)))</f>
        <v>0</v>
      </c>
      <c r="AR2275" s="10" t="b">
        <f>IF(AND(I2275="TP",S2275&lt;=300),VLOOKUP(AF2275,TPCalibEq300!$AZ$2:$BB$55,3,),IF(AND(I2275="TDP",S2275&lt;=300),VLOOKUP(AF2275,TPCalibEq300!$AZ$2:$BB$55,3,)))</f>
        <v>0</v>
      </c>
      <c r="AS2275" s="10" t="b">
        <f>IF(AND(I2275="TP",S2275&lt;=500),VLOOKUP(AF2275,TPCalibEq500!$AZ$2:$BB$56,3,),IF(AND(I2275="TDP",S2275&lt;=500),VLOOKUP(AF2275,TPCalibEq500!$AZ$2:$BB$56,3,)))</f>
        <v>0</v>
      </c>
      <c r="AT2275" s="10" t="b">
        <f>IF(AND(I2275="TN",S2275&lt;=2800),VLOOKUP(AF2275,TNCalibEq2500!$AZ$2:$BB$56,3,),IF(AND(I2275="TDN",S2275&lt;=2800),VLOOKUP(AF2275,TNCalibEq2500!$AZ$2:$BB$56,3,)))</f>
        <v>0</v>
      </c>
      <c r="AU2275" s="10" t="b">
        <f>IF(I2275="TP",VLOOKUP(AF2275,TPCalibEqFull!$AZ$2:$BB$56,3),IF(I2275="TDP",VLOOKUP(AF2275,TPCalibEqFull!$AZ$2:$BB$56,3),IF(I2275="TDN",VLOOKUP(AF2275,TNCalibEqFull!$AZ$1:$BB$56,3),IF(I2275="TN",VLOOKUP(AF2275,TNCalibEqFull!$AZ$1:$BB$56,3),FALSE))))</f>
        <v>0</v>
      </c>
      <c r="AV2275" s="10" t="str">
        <f t="shared" si="261"/>
        <v>0202 13:40:00-HST-0-FIL-1-SW-UKN</v>
      </c>
    </row>
    <row r="2276" spans="1:48" s="10" customFormat="1" x14ac:dyDescent="0.55000000000000004">
      <c r="A2276" s="32">
        <v>44960</v>
      </c>
      <c r="B2276" s="33">
        <v>0.45208333333333334</v>
      </c>
      <c r="C2276" s="10" t="s">
        <v>279</v>
      </c>
      <c r="D2276" s="10">
        <v>0</v>
      </c>
      <c r="E2276" s="10" t="s">
        <v>911</v>
      </c>
      <c r="F2276" s="10">
        <v>1</v>
      </c>
      <c r="G2276" s="10" t="s">
        <v>231</v>
      </c>
      <c r="H2276" s="10" t="s">
        <v>322</v>
      </c>
      <c r="I2276" s="10" t="s">
        <v>167</v>
      </c>
      <c r="J2276" s="10">
        <v>64</v>
      </c>
      <c r="K2276" s="12">
        <v>44966</v>
      </c>
      <c r="L2276" s="33">
        <v>0.54150462962962964</v>
      </c>
      <c r="M2276" s="10">
        <v>1</v>
      </c>
      <c r="N2276" s="10" t="s">
        <v>211</v>
      </c>
      <c r="O2276" s="10">
        <v>1.23</v>
      </c>
      <c r="P2276" s="10">
        <v>0.11899999999999999</v>
      </c>
      <c r="Q2276" s="10">
        <v>213</v>
      </c>
      <c r="R2276" s="10" t="s">
        <v>913</v>
      </c>
      <c r="S2276" s="34">
        <f t="shared" si="256"/>
        <v>213</v>
      </c>
      <c r="T2276" s="10" t="s">
        <v>1166</v>
      </c>
      <c r="U2276" s="34" t="str">
        <f t="shared" si="259"/>
        <v/>
      </c>
      <c r="V2276" s="31" t="str">
        <f>IF(H2276="CHK",VLOOKUP(I2276,QCCHK,3,),IF(H2276="GUP",VLOOKUP(E2276,QCGUP,2,),IF(AND(H2276="ATP",OR(I2276="TN",I2276="TDN",I2276="TNO2-3",I2276="NO2-3")),VLOOKUP(E2276,QCREC_N,2,),IF(AND(H2276="NIC",OR(I2276="TN",I2276="TDN",I2276="TNO2-3",I2276="NO2-3")),VLOOKUP(E2276,QCNIC_N,2,),IF(AND(H2276="UREA",OR(I2276="TN",I2276="TDN",I2276="TNO2-3",I2276="NO2-3")),VLOOKUP(E2276,QCUREA_N,2,),IF(H2276="PER",VLOOKUP(I2276,QCPER,MATCH(E2276,QCACTUAL!$J$25:$AA$25,0),),IF(H2276="SPK",VLOOKUP(I2276,QCSPK,3,),IF(AND(H2276="ATP",OR(I2276="TP",I2276="TDP")),VLOOKUP(E2276,QCATP_P,2,),""))))))))</f>
        <v/>
      </c>
      <c r="W2276" s="31" t="str">
        <f t="shared" si="260"/>
        <v>TRUE</v>
      </c>
      <c r="X2276" s="31" t="str">
        <f t="shared" si="255"/>
        <v/>
      </c>
      <c r="Y2276" s="10" t="s">
        <v>1144</v>
      </c>
      <c r="Z2276" s="10" t="s">
        <v>910</v>
      </c>
      <c r="AL2276" s="10" t="str">
        <f t="shared" si="257"/>
        <v>FALSE</v>
      </c>
      <c r="AM2276" s="10" t="str">
        <f t="shared" si="257"/>
        <v>FALSE</v>
      </c>
      <c r="AN2276" s="10" t="str">
        <f t="shared" si="257"/>
        <v>FALSE</v>
      </c>
      <c r="AO2276" s="10" t="str">
        <f t="shared" si="258"/>
        <v>FALSE</v>
      </c>
      <c r="AP2276" s="10" t="str">
        <f t="shared" si="258"/>
        <v>FALSE</v>
      </c>
      <c r="AQ2276" s="10" t="b">
        <f>IF(AND(I2276="TP",S2276&lt;=150),VLOOKUP(AF2276,TPCalibEq150!$AZ$2:$BB$55,3,),IF(AND(I2276="TDP",S2276&lt;=150),VLOOKUP(AF2276,TPCalibEq150!$AZ$2:$BB$55,3,)))</f>
        <v>0</v>
      </c>
      <c r="AR2276" s="10" t="b">
        <f>IF(AND(I2276="TP",S2276&lt;=300),VLOOKUP(AF2276,TPCalibEq300!$AZ$2:$BB$55,3,),IF(AND(I2276="TDP",S2276&lt;=300),VLOOKUP(AF2276,TPCalibEq300!$AZ$2:$BB$55,3,)))</f>
        <v>0</v>
      </c>
      <c r="AS2276" s="10" t="b">
        <f>IF(AND(I2276="TP",S2276&lt;=500),VLOOKUP(AF2276,TPCalibEq500!$AZ$2:$BB$56,3,),IF(AND(I2276="TDP",S2276&lt;=500),VLOOKUP(AF2276,TPCalibEq500!$AZ$2:$BB$56,3,)))</f>
        <v>0</v>
      </c>
      <c r="AT2276" s="10" t="b">
        <f>IF(AND(I2276="TN",S2276&lt;=2800),VLOOKUP(AF2276,TNCalibEq2500!$AZ$2:$BB$56,3,),IF(AND(I2276="TDN",S2276&lt;=2800),VLOOKUP(AF2276,TNCalibEq2500!$AZ$2:$BB$56,3,)))</f>
        <v>0</v>
      </c>
      <c r="AU2276" s="10" t="b">
        <f>IF(I2276="TP",VLOOKUP(AF2276,TPCalibEqFull!$AZ$2:$BB$56,3),IF(I2276="TDP",VLOOKUP(AF2276,TPCalibEqFull!$AZ$2:$BB$56,3),IF(I2276="TDN",VLOOKUP(AF2276,TNCalibEqFull!$AZ$1:$BB$56,3),IF(I2276="TN",VLOOKUP(AF2276,TNCalibEqFull!$AZ$1:$BB$56,3),FALSE))))</f>
        <v>0</v>
      </c>
      <c r="AV2276" s="10" t="str">
        <f t="shared" si="261"/>
        <v>0203 10:51:00-EFK-0-FIL-1-SW-UKN</v>
      </c>
    </row>
    <row r="2277" spans="1:48" s="10" customFormat="1" x14ac:dyDescent="0.55000000000000004">
      <c r="A2277" s="32">
        <v>44960</v>
      </c>
      <c r="B2277" s="33">
        <v>0.45416666666666666</v>
      </c>
      <c r="C2277" s="10" t="s">
        <v>333</v>
      </c>
      <c r="D2277" s="10">
        <v>0</v>
      </c>
      <c r="E2277" s="10" t="s">
        <v>911</v>
      </c>
      <c r="F2277" s="10">
        <v>1</v>
      </c>
      <c r="G2277" s="10" t="s">
        <v>231</v>
      </c>
      <c r="H2277" s="10" t="s">
        <v>322</v>
      </c>
      <c r="I2277" s="10" t="s">
        <v>167</v>
      </c>
      <c r="J2277" s="10">
        <v>65</v>
      </c>
      <c r="K2277" s="12">
        <v>44966</v>
      </c>
      <c r="L2277" s="33">
        <v>0.54232638888888884</v>
      </c>
      <c r="M2277" s="10">
        <v>1</v>
      </c>
      <c r="N2277" s="10" t="s">
        <v>211</v>
      </c>
      <c r="O2277" s="10">
        <v>0.33400000000000002</v>
      </c>
      <c r="P2277" s="10">
        <v>3.0800000000000001E-2</v>
      </c>
      <c r="Q2277" s="10">
        <v>57.3</v>
      </c>
      <c r="R2277" s="10" t="s">
        <v>913</v>
      </c>
      <c r="S2277" s="34">
        <f t="shared" si="256"/>
        <v>57.3</v>
      </c>
      <c r="T2277" s="10" t="s">
        <v>1166</v>
      </c>
      <c r="U2277" s="34" t="str">
        <f t="shared" si="259"/>
        <v/>
      </c>
      <c r="V2277" s="31" t="str">
        <f>IF(H2277="CHK",VLOOKUP(I2277,QCCHK,3,),IF(H2277="GUP",VLOOKUP(E2277,QCGUP,2,),IF(AND(H2277="ATP",OR(I2277="TN",I2277="TDN",I2277="TNO2-3",I2277="NO2-3")),VLOOKUP(E2277,QCREC_N,2,),IF(AND(H2277="NIC",OR(I2277="TN",I2277="TDN",I2277="TNO2-3",I2277="NO2-3")),VLOOKUP(E2277,QCNIC_N,2,),IF(AND(H2277="UREA",OR(I2277="TN",I2277="TDN",I2277="TNO2-3",I2277="NO2-3")),VLOOKUP(E2277,QCUREA_N,2,),IF(H2277="PER",VLOOKUP(I2277,QCPER,MATCH(E2277,QCACTUAL!$J$25:$AA$25,0),),IF(H2277="SPK",VLOOKUP(I2277,QCSPK,3,),IF(AND(H2277="ATP",OR(I2277="TP",I2277="TDP")),VLOOKUP(E2277,QCATP_P,2,),""))))))))</f>
        <v/>
      </c>
      <c r="W2277" s="31" t="str">
        <f t="shared" si="260"/>
        <v>TRUE</v>
      </c>
      <c r="X2277" s="31" t="str">
        <f t="shared" si="255"/>
        <v/>
      </c>
      <c r="Y2277" s="10" t="s">
        <v>1144</v>
      </c>
      <c r="Z2277" s="10" t="s">
        <v>910</v>
      </c>
      <c r="AL2277" s="10" t="str">
        <f t="shared" si="257"/>
        <v>FALSE</v>
      </c>
      <c r="AM2277" s="10" t="str">
        <f t="shared" si="257"/>
        <v>FALSE</v>
      </c>
      <c r="AN2277" s="10" t="str">
        <f t="shared" si="257"/>
        <v>FALSE</v>
      </c>
      <c r="AO2277" s="10" t="str">
        <f t="shared" si="258"/>
        <v>FALSE</v>
      </c>
      <c r="AP2277" s="10" t="str">
        <f t="shared" si="258"/>
        <v>FALSE</v>
      </c>
      <c r="AQ2277" s="10" t="b">
        <f>IF(AND(I2277="TP",S2277&lt;=150),VLOOKUP(AF2277,TPCalibEq150!$AZ$2:$BB$55,3,),IF(AND(I2277="TDP",S2277&lt;=150),VLOOKUP(AF2277,TPCalibEq150!$AZ$2:$BB$55,3,)))</f>
        <v>0</v>
      </c>
      <c r="AR2277" s="10" t="b">
        <f>IF(AND(I2277="TP",S2277&lt;=300),VLOOKUP(AF2277,TPCalibEq300!$AZ$2:$BB$55,3,),IF(AND(I2277="TDP",S2277&lt;=300),VLOOKUP(AF2277,TPCalibEq300!$AZ$2:$BB$55,3,)))</f>
        <v>0</v>
      </c>
      <c r="AS2277" s="10" t="b">
        <f>IF(AND(I2277="TP",S2277&lt;=500),VLOOKUP(AF2277,TPCalibEq500!$AZ$2:$BB$56,3,),IF(AND(I2277="TDP",S2277&lt;=500),VLOOKUP(AF2277,TPCalibEq500!$AZ$2:$BB$56,3,)))</f>
        <v>0</v>
      </c>
      <c r="AT2277" s="10" t="b">
        <f>IF(AND(I2277="TN",S2277&lt;=2800),VLOOKUP(AF2277,TNCalibEq2500!$AZ$2:$BB$56,3,),IF(AND(I2277="TDN",S2277&lt;=2800),VLOOKUP(AF2277,TNCalibEq2500!$AZ$2:$BB$56,3,)))</f>
        <v>0</v>
      </c>
      <c r="AU2277" s="10" t="b">
        <f>IF(I2277="TP",VLOOKUP(AF2277,TPCalibEqFull!$AZ$2:$BB$56,3),IF(I2277="TDP",VLOOKUP(AF2277,TPCalibEqFull!$AZ$2:$BB$56,3),IF(I2277="TDN",VLOOKUP(AF2277,TNCalibEqFull!$AZ$1:$BB$56,3),IF(I2277="TN",VLOOKUP(AF2277,TNCalibEqFull!$AZ$1:$BB$56,3),FALSE))))</f>
        <v>0</v>
      </c>
      <c r="AV2277" s="10" t="str">
        <f t="shared" si="261"/>
        <v>0203 10:54:00-HST-0-FIL-1-SW-UKN</v>
      </c>
    </row>
    <row r="2278" spans="1:48" s="10" customFormat="1" x14ac:dyDescent="0.55000000000000004">
      <c r="A2278" s="32">
        <v>44963</v>
      </c>
      <c r="B2278" s="33">
        <v>0.31666666666666665</v>
      </c>
      <c r="C2278" s="10" t="s">
        <v>279</v>
      </c>
      <c r="D2278" s="10">
        <v>0</v>
      </c>
      <c r="E2278" s="10" t="s">
        <v>911</v>
      </c>
      <c r="F2278" s="10">
        <v>1</v>
      </c>
      <c r="G2278" s="10" t="s">
        <v>231</v>
      </c>
      <c r="H2278" s="10" t="s">
        <v>322</v>
      </c>
      <c r="I2278" s="10" t="s">
        <v>167</v>
      </c>
      <c r="J2278" s="10">
        <v>66</v>
      </c>
      <c r="K2278" s="12">
        <v>44966</v>
      </c>
      <c r="L2278" s="33">
        <v>0.54313657407407401</v>
      </c>
      <c r="M2278" s="10">
        <v>1</v>
      </c>
      <c r="N2278" s="10" t="s">
        <v>211</v>
      </c>
      <c r="O2278" s="10">
        <v>1.03</v>
      </c>
      <c r="P2278" s="10">
        <v>9.7299999999999998E-2</v>
      </c>
      <c r="Q2278" s="10">
        <v>177</v>
      </c>
      <c r="R2278" s="10" t="s">
        <v>913</v>
      </c>
      <c r="S2278" s="34">
        <f t="shared" si="256"/>
        <v>177</v>
      </c>
      <c r="T2278" s="10" t="s">
        <v>1166</v>
      </c>
      <c r="U2278" s="34" t="str">
        <f t="shared" si="259"/>
        <v/>
      </c>
      <c r="V2278" s="31" t="str">
        <f>IF(H2278="CHK",VLOOKUP(I2278,QCCHK,3,),IF(H2278="GUP",VLOOKUP(E2278,QCGUP,2,),IF(AND(H2278="ATP",OR(I2278="TN",I2278="TDN",I2278="TNO2-3",I2278="NO2-3")),VLOOKUP(E2278,QCREC_N,2,),IF(AND(H2278="NIC",OR(I2278="TN",I2278="TDN",I2278="TNO2-3",I2278="NO2-3")),VLOOKUP(E2278,QCNIC_N,2,),IF(AND(H2278="UREA",OR(I2278="TN",I2278="TDN",I2278="TNO2-3",I2278="NO2-3")),VLOOKUP(E2278,QCUREA_N,2,),IF(H2278="PER",VLOOKUP(I2278,QCPER,MATCH(E2278,QCACTUAL!$J$25:$AA$25,0),),IF(H2278="SPK",VLOOKUP(I2278,QCSPK,3,),IF(AND(H2278="ATP",OR(I2278="TP",I2278="TDP")),VLOOKUP(E2278,QCATP_P,2,),""))))))))</f>
        <v/>
      </c>
      <c r="W2278" s="31" t="str">
        <f t="shared" si="260"/>
        <v>TRUE</v>
      </c>
      <c r="X2278" s="31" t="str">
        <f t="shared" si="255"/>
        <v/>
      </c>
      <c r="Y2278" s="10" t="s">
        <v>1144</v>
      </c>
      <c r="Z2278" s="10" t="s">
        <v>910</v>
      </c>
      <c r="AL2278" s="10" t="str">
        <f t="shared" si="257"/>
        <v>FALSE</v>
      </c>
      <c r="AM2278" s="10" t="str">
        <f t="shared" si="257"/>
        <v>FALSE</v>
      </c>
      <c r="AN2278" s="10" t="str">
        <f t="shared" si="257"/>
        <v>FALSE</v>
      </c>
      <c r="AO2278" s="10" t="str">
        <f t="shared" si="258"/>
        <v>FALSE</v>
      </c>
      <c r="AP2278" s="10" t="str">
        <f t="shared" si="258"/>
        <v>FALSE</v>
      </c>
      <c r="AQ2278" s="10" t="b">
        <f>IF(AND(I2278="TP",S2278&lt;=150),VLOOKUP(AF2278,TPCalibEq150!$AZ$2:$BB$55,3,),IF(AND(I2278="TDP",S2278&lt;=150),VLOOKUP(AF2278,TPCalibEq150!$AZ$2:$BB$55,3,)))</f>
        <v>0</v>
      </c>
      <c r="AR2278" s="10" t="b">
        <f>IF(AND(I2278="TP",S2278&lt;=300),VLOOKUP(AF2278,TPCalibEq300!$AZ$2:$BB$55,3,),IF(AND(I2278="TDP",S2278&lt;=300),VLOOKUP(AF2278,TPCalibEq300!$AZ$2:$BB$55,3,)))</f>
        <v>0</v>
      </c>
      <c r="AS2278" s="10" t="b">
        <f>IF(AND(I2278="TP",S2278&lt;=500),VLOOKUP(AF2278,TPCalibEq500!$AZ$2:$BB$56,3,),IF(AND(I2278="TDP",S2278&lt;=500),VLOOKUP(AF2278,TPCalibEq500!$AZ$2:$BB$56,3,)))</f>
        <v>0</v>
      </c>
      <c r="AT2278" s="10" t="b">
        <f>IF(AND(I2278="TN",S2278&lt;=2800),VLOOKUP(AF2278,TNCalibEq2500!$AZ$2:$BB$56,3,),IF(AND(I2278="TDN",S2278&lt;=2800),VLOOKUP(AF2278,TNCalibEq2500!$AZ$2:$BB$56,3,)))</f>
        <v>0</v>
      </c>
      <c r="AU2278" s="10" t="b">
        <f>IF(I2278="TP",VLOOKUP(AF2278,TPCalibEqFull!$AZ$2:$BB$56,3),IF(I2278="TDP",VLOOKUP(AF2278,TPCalibEqFull!$AZ$2:$BB$56,3),IF(I2278="TDN",VLOOKUP(AF2278,TNCalibEqFull!$AZ$1:$BB$56,3),IF(I2278="TN",VLOOKUP(AF2278,TNCalibEqFull!$AZ$1:$BB$56,3),FALSE))))</f>
        <v>0</v>
      </c>
      <c r="AV2278" s="10" t="str">
        <f t="shared" si="261"/>
        <v>0206 07:36:00-EFK-0-FIL-1-SW-UKN</v>
      </c>
    </row>
    <row r="2279" spans="1:48" s="10" customFormat="1" x14ac:dyDescent="0.55000000000000004">
      <c r="A2279" s="32">
        <v>44963</v>
      </c>
      <c r="B2279" s="33">
        <v>0.27986111111111112</v>
      </c>
      <c r="C2279" s="10" t="s">
        <v>333</v>
      </c>
      <c r="D2279" s="10">
        <v>0</v>
      </c>
      <c r="E2279" s="10" t="s">
        <v>911</v>
      </c>
      <c r="F2279" s="10">
        <v>1</v>
      </c>
      <c r="G2279" s="10" t="s">
        <v>231</v>
      </c>
      <c r="H2279" s="10" t="s">
        <v>322</v>
      </c>
      <c r="I2279" s="10" t="s">
        <v>167</v>
      </c>
      <c r="J2279" s="10">
        <v>67</v>
      </c>
      <c r="K2279" s="12">
        <v>44966</v>
      </c>
      <c r="L2279" s="33">
        <v>0.54395833333333332</v>
      </c>
      <c r="M2279" s="10">
        <v>1</v>
      </c>
      <c r="N2279" s="10" t="s">
        <v>211</v>
      </c>
      <c r="O2279" s="10">
        <v>0.39200000000000002</v>
      </c>
      <c r="P2279" s="10">
        <v>3.5799999999999998E-2</v>
      </c>
      <c r="Q2279" s="10">
        <v>67.400000000000006</v>
      </c>
      <c r="R2279" s="10" t="s">
        <v>913</v>
      </c>
      <c r="S2279" s="34">
        <f t="shared" si="256"/>
        <v>67.400000000000006</v>
      </c>
      <c r="T2279" s="10" t="s">
        <v>1166</v>
      </c>
      <c r="U2279" s="34" t="str">
        <f t="shared" si="259"/>
        <v/>
      </c>
      <c r="V2279" s="31" t="str">
        <f>IF(H2279="CHK",VLOOKUP(I2279,QCCHK,3,),IF(H2279="GUP",VLOOKUP(E2279,QCGUP,2,),IF(AND(H2279="ATP",OR(I2279="TN",I2279="TDN",I2279="TNO2-3",I2279="NO2-3")),VLOOKUP(E2279,QCREC_N,2,),IF(AND(H2279="NIC",OR(I2279="TN",I2279="TDN",I2279="TNO2-3",I2279="NO2-3")),VLOOKUP(E2279,QCNIC_N,2,),IF(AND(H2279="UREA",OR(I2279="TN",I2279="TDN",I2279="TNO2-3",I2279="NO2-3")),VLOOKUP(E2279,QCUREA_N,2,),IF(H2279="PER",VLOOKUP(I2279,QCPER,MATCH(E2279,QCACTUAL!$J$25:$AA$25,0),),IF(H2279="SPK",VLOOKUP(I2279,QCSPK,3,),IF(AND(H2279="ATP",OR(I2279="TP",I2279="TDP")),VLOOKUP(E2279,QCATP_P,2,),""))))))))</f>
        <v/>
      </c>
      <c r="W2279" s="31" t="str">
        <f t="shared" si="260"/>
        <v>TRUE</v>
      </c>
      <c r="X2279" s="31" t="str">
        <f t="shared" si="255"/>
        <v/>
      </c>
      <c r="Y2279" s="10" t="s">
        <v>1144</v>
      </c>
      <c r="Z2279" s="10" t="s">
        <v>910</v>
      </c>
      <c r="AL2279" s="10" t="str">
        <f t="shared" si="257"/>
        <v>FALSE</v>
      </c>
      <c r="AM2279" s="10" t="str">
        <f t="shared" si="257"/>
        <v>FALSE</v>
      </c>
      <c r="AN2279" s="10" t="str">
        <f t="shared" si="257"/>
        <v>FALSE</v>
      </c>
      <c r="AO2279" s="10" t="str">
        <f t="shared" si="258"/>
        <v>FALSE</v>
      </c>
      <c r="AP2279" s="10" t="str">
        <f t="shared" si="258"/>
        <v>FALSE</v>
      </c>
      <c r="AQ2279" s="10" t="b">
        <f>IF(AND(I2279="TP",S2279&lt;=150),VLOOKUP(AF2279,TPCalibEq150!$AZ$2:$BB$55,3,),IF(AND(I2279="TDP",S2279&lt;=150),VLOOKUP(AF2279,TPCalibEq150!$AZ$2:$BB$55,3,)))</f>
        <v>0</v>
      </c>
      <c r="AR2279" s="10" t="b">
        <f>IF(AND(I2279="TP",S2279&lt;=300),VLOOKUP(AF2279,TPCalibEq300!$AZ$2:$BB$55,3,),IF(AND(I2279="TDP",S2279&lt;=300),VLOOKUP(AF2279,TPCalibEq300!$AZ$2:$BB$55,3,)))</f>
        <v>0</v>
      </c>
      <c r="AS2279" s="10" t="b">
        <f>IF(AND(I2279="TP",S2279&lt;=500),VLOOKUP(AF2279,TPCalibEq500!$AZ$2:$BB$56,3,),IF(AND(I2279="TDP",S2279&lt;=500),VLOOKUP(AF2279,TPCalibEq500!$AZ$2:$BB$56,3,)))</f>
        <v>0</v>
      </c>
      <c r="AT2279" s="10" t="b">
        <f>IF(AND(I2279="TN",S2279&lt;=2800),VLOOKUP(AF2279,TNCalibEq2500!$AZ$2:$BB$56,3,),IF(AND(I2279="TDN",S2279&lt;=2800),VLOOKUP(AF2279,TNCalibEq2500!$AZ$2:$BB$56,3,)))</f>
        <v>0</v>
      </c>
      <c r="AU2279" s="10" t="b">
        <f>IF(I2279="TP",VLOOKUP(AF2279,TPCalibEqFull!$AZ$2:$BB$56,3),IF(I2279="TDP",VLOOKUP(AF2279,TPCalibEqFull!$AZ$2:$BB$56,3),IF(I2279="TDN",VLOOKUP(AF2279,TNCalibEqFull!$AZ$1:$BB$56,3),IF(I2279="TN",VLOOKUP(AF2279,TNCalibEqFull!$AZ$1:$BB$56,3),FALSE))))</f>
        <v>0</v>
      </c>
      <c r="AV2279" s="10" t="str">
        <f t="shared" si="261"/>
        <v>0206 06:43:00-HST-0-FIL-1-SW-UKN</v>
      </c>
    </row>
    <row r="2280" spans="1:48" s="10" customFormat="1" x14ac:dyDescent="0.55000000000000004">
      <c r="A2280" s="32">
        <v>44964</v>
      </c>
      <c r="B2280" s="33">
        <v>0.22291666666666665</v>
      </c>
      <c r="C2280" s="10" t="s">
        <v>279</v>
      </c>
      <c r="D2280" s="10">
        <v>0</v>
      </c>
      <c r="E2280" s="10" t="s">
        <v>911</v>
      </c>
      <c r="F2280" s="10">
        <v>1</v>
      </c>
      <c r="G2280" s="10" t="s">
        <v>231</v>
      </c>
      <c r="H2280" s="10" t="s">
        <v>322</v>
      </c>
      <c r="I2280" s="10" t="s">
        <v>167</v>
      </c>
      <c r="J2280" s="10">
        <v>68</v>
      </c>
      <c r="K2280" s="12">
        <v>44966</v>
      </c>
      <c r="L2280" s="33">
        <v>0.54478009259259264</v>
      </c>
      <c r="M2280" s="10">
        <v>1</v>
      </c>
      <c r="N2280" s="10" t="s">
        <v>211</v>
      </c>
      <c r="O2280" s="10">
        <v>0.92100000000000004</v>
      </c>
      <c r="P2280" s="10">
        <v>8.7599999999999997E-2</v>
      </c>
      <c r="Q2280" s="10">
        <v>159</v>
      </c>
      <c r="R2280" s="10" t="s">
        <v>913</v>
      </c>
      <c r="S2280" s="34">
        <f t="shared" si="256"/>
        <v>159</v>
      </c>
      <c r="T2280" s="10" t="s">
        <v>1166</v>
      </c>
      <c r="U2280" s="34" t="str">
        <f t="shared" si="259"/>
        <v/>
      </c>
      <c r="V2280" s="31" t="str">
        <f>IF(H2280="CHK",VLOOKUP(I2280,QCCHK,3,),IF(H2280="GUP",VLOOKUP(E2280,QCGUP,2,),IF(AND(H2280="ATP",OR(I2280="TN",I2280="TDN",I2280="TNO2-3",I2280="NO2-3")),VLOOKUP(E2280,QCREC_N,2,),IF(AND(H2280="NIC",OR(I2280="TN",I2280="TDN",I2280="TNO2-3",I2280="NO2-3")),VLOOKUP(E2280,QCNIC_N,2,),IF(AND(H2280="UREA",OR(I2280="TN",I2280="TDN",I2280="TNO2-3",I2280="NO2-3")),VLOOKUP(E2280,QCUREA_N,2,),IF(H2280="PER",VLOOKUP(I2280,QCPER,MATCH(E2280,QCACTUAL!$J$25:$AA$25,0),),IF(H2280="SPK",VLOOKUP(I2280,QCSPK,3,),IF(AND(H2280="ATP",OR(I2280="TP",I2280="TDP")),VLOOKUP(E2280,QCATP_P,2,),""))))))))</f>
        <v/>
      </c>
      <c r="W2280" s="31" t="str">
        <f t="shared" si="260"/>
        <v>TRUE</v>
      </c>
      <c r="X2280" s="31" t="str">
        <f t="shared" si="255"/>
        <v/>
      </c>
      <c r="Y2280" s="10" t="s">
        <v>1144</v>
      </c>
      <c r="Z2280" s="10" t="s">
        <v>910</v>
      </c>
      <c r="AL2280" s="10" t="str">
        <f t="shared" si="257"/>
        <v>FALSE</v>
      </c>
      <c r="AM2280" s="10" t="str">
        <f t="shared" si="257"/>
        <v>FALSE</v>
      </c>
      <c r="AN2280" s="10" t="str">
        <f t="shared" si="257"/>
        <v>FALSE</v>
      </c>
      <c r="AO2280" s="10" t="str">
        <f t="shared" si="258"/>
        <v>FALSE</v>
      </c>
      <c r="AP2280" s="10" t="str">
        <f t="shared" si="258"/>
        <v>FALSE</v>
      </c>
      <c r="AQ2280" s="10" t="b">
        <f>IF(AND(I2280="TP",S2280&lt;=150),VLOOKUP(AF2280,TPCalibEq150!$AZ$2:$BB$55,3,),IF(AND(I2280="TDP",S2280&lt;=150),VLOOKUP(AF2280,TPCalibEq150!$AZ$2:$BB$55,3,)))</f>
        <v>0</v>
      </c>
      <c r="AR2280" s="10" t="b">
        <f>IF(AND(I2280="TP",S2280&lt;=300),VLOOKUP(AF2280,TPCalibEq300!$AZ$2:$BB$55,3,),IF(AND(I2280="TDP",S2280&lt;=300),VLOOKUP(AF2280,TPCalibEq300!$AZ$2:$BB$55,3,)))</f>
        <v>0</v>
      </c>
      <c r="AS2280" s="10" t="b">
        <f>IF(AND(I2280="TP",S2280&lt;=500),VLOOKUP(AF2280,TPCalibEq500!$AZ$2:$BB$56,3,),IF(AND(I2280="TDP",S2280&lt;=500),VLOOKUP(AF2280,TPCalibEq500!$AZ$2:$BB$56,3,)))</f>
        <v>0</v>
      </c>
      <c r="AT2280" s="10" t="b">
        <f>IF(AND(I2280="TN",S2280&lt;=2800),VLOOKUP(AF2280,TNCalibEq2500!$AZ$2:$BB$56,3,),IF(AND(I2280="TDN",S2280&lt;=2800),VLOOKUP(AF2280,TNCalibEq2500!$AZ$2:$BB$56,3,)))</f>
        <v>0</v>
      </c>
      <c r="AU2280" s="10" t="b">
        <f>IF(I2280="TP",VLOOKUP(AF2280,TPCalibEqFull!$AZ$2:$BB$56,3),IF(I2280="TDP",VLOOKUP(AF2280,TPCalibEqFull!$AZ$2:$BB$56,3),IF(I2280="TDN",VLOOKUP(AF2280,TNCalibEqFull!$AZ$1:$BB$56,3),IF(I2280="TN",VLOOKUP(AF2280,TNCalibEqFull!$AZ$1:$BB$56,3),FALSE))))</f>
        <v>0</v>
      </c>
      <c r="AV2280" s="10" t="str">
        <f t="shared" si="261"/>
        <v>0207 05:21:00-EFK-0-FIL-1-SW-UKN</v>
      </c>
    </row>
    <row r="2281" spans="1:48" s="10" customFormat="1" x14ac:dyDescent="0.55000000000000004">
      <c r="A2281" s="32">
        <v>44964</v>
      </c>
      <c r="B2281" s="33">
        <v>0.22777777777777777</v>
      </c>
      <c r="C2281" s="10" t="s">
        <v>333</v>
      </c>
      <c r="D2281" s="10">
        <v>0</v>
      </c>
      <c r="E2281" s="10" t="s">
        <v>911</v>
      </c>
      <c r="F2281" s="10">
        <v>1</v>
      </c>
      <c r="G2281" s="10" t="s">
        <v>231</v>
      </c>
      <c r="H2281" s="10" t="s">
        <v>322</v>
      </c>
      <c r="I2281" s="10" t="s">
        <v>167</v>
      </c>
      <c r="J2281" s="10">
        <v>69</v>
      </c>
      <c r="K2281" s="12">
        <v>44966</v>
      </c>
      <c r="L2281" s="33">
        <v>0.5455902777777778</v>
      </c>
      <c r="M2281" s="10">
        <v>1</v>
      </c>
      <c r="N2281" s="10" t="s">
        <v>211</v>
      </c>
      <c r="O2281" s="10">
        <v>0.27200000000000002</v>
      </c>
      <c r="P2281" s="10">
        <v>2.5100000000000001E-2</v>
      </c>
      <c r="Q2281" s="10">
        <v>46.5</v>
      </c>
      <c r="R2281" s="10" t="s">
        <v>913</v>
      </c>
      <c r="S2281" s="34">
        <f t="shared" si="256"/>
        <v>46.5</v>
      </c>
      <c r="T2281" s="10" t="s">
        <v>1166</v>
      </c>
      <c r="U2281" s="34" t="str">
        <f t="shared" si="259"/>
        <v/>
      </c>
      <c r="V2281" s="31" t="str">
        <f>IF(H2281="CHK",VLOOKUP(I2281,QCCHK,3,),IF(H2281="GUP",VLOOKUP(E2281,QCGUP,2,),IF(AND(H2281="ATP",OR(I2281="TN",I2281="TDN",I2281="TNO2-3",I2281="NO2-3")),VLOOKUP(E2281,QCREC_N,2,),IF(AND(H2281="NIC",OR(I2281="TN",I2281="TDN",I2281="TNO2-3",I2281="NO2-3")),VLOOKUP(E2281,QCNIC_N,2,),IF(AND(H2281="UREA",OR(I2281="TN",I2281="TDN",I2281="TNO2-3",I2281="NO2-3")),VLOOKUP(E2281,QCUREA_N,2,),IF(H2281="PER",VLOOKUP(I2281,QCPER,MATCH(E2281,QCACTUAL!$J$25:$AA$25,0),),IF(H2281="SPK",VLOOKUP(I2281,QCSPK,3,),IF(AND(H2281="ATP",OR(I2281="TP",I2281="TDP")),VLOOKUP(E2281,QCATP_P,2,),""))))))))</f>
        <v/>
      </c>
      <c r="W2281" s="31" t="str">
        <f t="shared" si="260"/>
        <v>TRUE</v>
      </c>
      <c r="X2281" s="31" t="str">
        <f t="shared" si="255"/>
        <v/>
      </c>
      <c r="Y2281" s="10" t="s">
        <v>1144</v>
      </c>
      <c r="Z2281" s="10" t="s">
        <v>910</v>
      </c>
      <c r="AL2281" s="10" t="str">
        <f t="shared" si="257"/>
        <v>FALSE</v>
      </c>
      <c r="AM2281" s="10" t="str">
        <f t="shared" si="257"/>
        <v>FALSE</v>
      </c>
      <c r="AN2281" s="10" t="str">
        <f t="shared" si="257"/>
        <v>FALSE</v>
      </c>
      <c r="AO2281" s="10" t="str">
        <f t="shared" si="258"/>
        <v>FALSE</v>
      </c>
      <c r="AP2281" s="10" t="str">
        <f t="shared" si="258"/>
        <v>FALSE</v>
      </c>
      <c r="AQ2281" s="10" t="b">
        <f>IF(AND(I2281="TP",S2281&lt;=150),VLOOKUP(AF2281,TPCalibEq150!$AZ$2:$BB$55,3,),IF(AND(I2281="TDP",S2281&lt;=150),VLOOKUP(AF2281,TPCalibEq150!$AZ$2:$BB$55,3,)))</f>
        <v>0</v>
      </c>
      <c r="AR2281" s="10" t="b">
        <f>IF(AND(I2281="TP",S2281&lt;=300),VLOOKUP(AF2281,TPCalibEq300!$AZ$2:$BB$55,3,),IF(AND(I2281="TDP",S2281&lt;=300),VLOOKUP(AF2281,TPCalibEq300!$AZ$2:$BB$55,3,)))</f>
        <v>0</v>
      </c>
      <c r="AS2281" s="10" t="b">
        <f>IF(AND(I2281="TP",S2281&lt;=500),VLOOKUP(AF2281,TPCalibEq500!$AZ$2:$BB$56,3,),IF(AND(I2281="TDP",S2281&lt;=500),VLOOKUP(AF2281,TPCalibEq500!$AZ$2:$BB$56,3,)))</f>
        <v>0</v>
      </c>
      <c r="AT2281" s="10" t="b">
        <f>IF(AND(I2281="TN",S2281&lt;=2800),VLOOKUP(AF2281,TNCalibEq2500!$AZ$2:$BB$56,3,),IF(AND(I2281="TDN",S2281&lt;=2800),VLOOKUP(AF2281,TNCalibEq2500!$AZ$2:$BB$56,3,)))</f>
        <v>0</v>
      </c>
      <c r="AU2281" s="10" t="b">
        <f>IF(I2281="TP",VLOOKUP(AF2281,TPCalibEqFull!$AZ$2:$BB$56,3),IF(I2281="TDP",VLOOKUP(AF2281,TPCalibEqFull!$AZ$2:$BB$56,3),IF(I2281="TDN",VLOOKUP(AF2281,TNCalibEqFull!$AZ$1:$BB$56,3),IF(I2281="TN",VLOOKUP(AF2281,TNCalibEqFull!$AZ$1:$BB$56,3),FALSE))))</f>
        <v>0</v>
      </c>
      <c r="AV2281" s="10" t="str">
        <f t="shared" si="261"/>
        <v>0207 05:28:00-HST-0-FIL-1-SW-UKN</v>
      </c>
    </row>
    <row r="2282" spans="1:48" s="10" customFormat="1" x14ac:dyDescent="0.55000000000000004">
      <c r="A2282" s="32">
        <v>44964</v>
      </c>
      <c r="B2282" s="33">
        <v>0.22777777777777777</v>
      </c>
      <c r="C2282" s="10" t="s">
        <v>333</v>
      </c>
      <c r="D2282" s="10">
        <v>0</v>
      </c>
      <c r="E2282" s="10" t="s">
        <v>911</v>
      </c>
      <c r="F2282" s="10">
        <v>1</v>
      </c>
      <c r="G2282" s="10" t="s">
        <v>231</v>
      </c>
      <c r="H2282" s="10" t="s">
        <v>233</v>
      </c>
      <c r="I2282" s="10" t="s">
        <v>167</v>
      </c>
      <c r="J2282" s="10">
        <v>69</v>
      </c>
      <c r="K2282" s="12">
        <v>44966</v>
      </c>
      <c r="L2282" s="33">
        <v>0.54640046296296296</v>
      </c>
      <c r="M2282" s="10">
        <v>1</v>
      </c>
      <c r="N2282" s="10" t="s">
        <v>211</v>
      </c>
      <c r="O2282" s="10">
        <v>0.124</v>
      </c>
      <c r="P2282" s="10">
        <v>1.09E-2</v>
      </c>
      <c r="Q2282" s="10">
        <v>20.9</v>
      </c>
      <c r="R2282" s="10" t="s">
        <v>913</v>
      </c>
      <c r="S2282" s="34">
        <f t="shared" si="256"/>
        <v>20.9</v>
      </c>
      <c r="T2282" s="10" t="s">
        <v>1166</v>
      </c>
      <c r="U2282" s="34">
        <f t="shared" si="259"/>
        <v>75.964391691394667</v>
      </c>
      <c r="V2282" s="31" t="str">
        <f>IF(H2282="CHK",VLOOKUP(I2282,QCCHK,3,),IF(H2282="GUP",VLOOKUP(E2282,QCGUP,2,),IF(AND(H2282="ATP",OR(I2282="TN",I2282="TDN",I2282="TNO2-3",I2282="NO2-3")),VLOOKUP(E2282,QCREC_N,2,),IF(AND(H2282="NIC",OR(I2282="TN",I2282="TDN",I2282="TNO2-3",I2282="NO2-3")),VLOOKUP(E2282,QCNIC_N,2,),IF(AND(H2282="UREA",OR(I2282="TN",I2282="TDN",I2282="TNO2-3",I2282="NO2-3")),VLOOKUP(E2282,QCUREA_N,2,),IF(H2282="PER",VLOOKUP(I2282,QCPER,MATCH(E2282,QCACTUAL!$J$25:$AA$25,0),),IF(H2282="SPK",VLOOKUP(I2282,QCSPK,3,),IF(AND(H2282="ATP",OR(I2282="TP",I2282="TDP")),VLOOKUP(E2282,QCATP_P,2,),""))))))))</f>
        <v/>
      </c>
      <c r="W2282" s="31" t="str">
        <f t="shared" si="260"/>
        <v>FALSE</v>
      </c>
      <c r="X2282" s="31" t="str">
        <f t="shared" si="255"/>
        <v>((ABS(rep1-rep2))/((rep1+rep2)/2)*100</v>
      </c>
      <c r="Y2282" s="10" t="s">
        <v>1144</v>
      </c>
      <c r="Z2282" s="10" t="s">
        <v>910</v>
      </c>
      <c r="AL2282" s="10" t="str">
        <f t="shared" si="257"/>
        <v>FALSE</v>
      </c>
      <c r="AM2282" s="10" t="str">
        <f t="shared" si="257"/>
        <v>FALSE</v>
      </c>
      <c r="AN2282" s="10" t="str">
        <f t="shared" si="257"/>
        <v>FALSE</v>
      </c>
      <c r="AO2282" s="10" t="str">
        <f t="shared" si="258"/>
        <v>FALSE</v>
      </c>
      <c r="AP2282" s="10" t="str">
        <f t="shared" si="258"/>
        <v>FALSE</v>
      </c>
      <c r="AQ2282" s="10" t="b">
        <f>IF(AND(I2282="TP",S2282&lt;=150),VLOOKUP(AF2282,TPCalibEq150!$AZ$2:$BB$55,3,),IF(AND(I2282="TDP",S2282&lt;=150),VLOOKUP(AF2282,TPCalibEq150!$AZ$2:$BB$55,3,)))</f>
        <v>0</v>
      </c>
      <c r="AR2282" s="10" t="b">
        <f>IF(AND(I2282="TP",S2282&lt;=300),VLOOKUP(AF2282,TPCalibEq300!$AZ$2:$BB$55,3,),IF(AND(I2282="TDP",S2282&lt;=300),VLOOKUP(AF2282,TPCalibEq300!$AZ$2:$BB$55,3,)))</f>
        <v>0</v>
      </c>
      <c r="AS2282" s="10" t="b">
        <f>IF(AND(I2282="TP",S2282&lt;=500),VLOOKUP(AF2282,TPCalibEq500!$AZ$2:$BB$56,3,),IF(AND(I2282="TDP",S2282&lt;=500),VLOOKUP(AF2282,TPCalibEq500!$AZ$2:$BB$56,3,)))</f>
        <v>0</v>
      </c>
      <c r="AT2282" s="10" t="b">
        <f>IF(AND(I2282="TN",S2282&lt;=2800),VLOOKUP(AF2282,TNCalibEq2500!$AZ$2:$BB$56,3,),IF(AND(I2282="TDN",S2282&lt;=2800),VLOOKUP(AF2282,TNCalibEq2500!$AZ$2:$BB$56,3,)))</f>
        <v>0</v>
      </c>
      <c r="AU2282" s="10" t="b">
        <f>IF(I2282="TP",VLOOKUP(AF2282,TPCalibEqFull!$AZ$2:$BB$56,3),IF(I2282="TDP",VLOOKUP(AF2282,TPCalibEqFull!$AZ$2:$BB$56,3),IF(I2282="TDN",VLOOKUP(AF2282,TNCalibEqFull!$AZ$1:$BB$56,3),IF(I2282="TN",VLOOKUP(AF2282,TNCalibEqFull!$AZ$1:$BB$56,3),FALSE))))</f>
        <v>0</v>
      </c>
      <c r="AV2282" s="10" t="str">
        <f t="shared" si="261"/>
        <v>0207 05:28:00-HST-0-FIL-1-SW-DUP</v>
      </c>
    </row>
    <row r="2283" spans="1:48" s="10" customFormat="1" x14ac:dyDescent="0.55000000000000004">
      <c r="A2283" s="32">
        <v>44964</v>
      </c>
      <c r="B2283" s="33">
        <v>0.22777777777777777</v>
      </c>
      <c r="C2283" s="10" t="s">
        <v>912</v>
      </c>
      <c r="D2283" s="10">
        <v>0</v>
      </c>
      <c r="E2283" s="10" t="s">
        <v>911</v>
      </c>
      <c r="F2283" s="10">
        <v>1</v>
      </c>
      <c r="G2283" s="10" t="s">
        <v>231</v>
      </c>
      <c r="H2283" s="10" t="s">
        <v>314</v>
      </c>
      <c r="I2283" s="10" t="s">
        <v>167</v>
      </c>
      <c r="J2283" s="10">
        <v>36</v>
      </c>
      <c r="K2283" s="12">
        <v>44966</v>
      </c>
      <c r="L2283" s="33">
        <v>0.54722222222222217</v>
      </c>
      <c r="M2283" s="10">
        <v>1</v>
      </c>
      <c r="N2283" s="10" t="s">
        <v>211</v>
      </c>
      <c r="O2283" s="10">
        <v>1.03</v>
      </c>
      <c r="P2283" s="10">
        <v>0.251</v>
      </c>
      <c r="Q2283" s="10">
        <v>177</v>
      </c>
      <c r="R2283" s="10" t="s">
        <v>913</v>
      </c>
      <c r="S2283" s="34">
        <f t="shared" si="256"/>
        <v>177</v>
      </c>
      <c r="T2283" s="10" t="s">
        <v>1166</v>
      </c>
      <c r="U2283" s="34">
        <f t="shared" si="259"/>
        <v>99.903999999999996</v>
      </c>
      <c r="V2283" s="31">
        <f>IF(H2283="CHK",VLOOKUP(I2283,QCCHK,3,),IF(H2283="GUP",VLOOKUP(E2283,QCGUP,2,),IF(AND(H2283="ATP",OR(I2283="TN",I2283="TDN",I2283="TNO2-3",I2283="NO2-3")),VLOOKUP(E2283,QCREC_N,2,),IF(AND(H2283="NIC",OR(I2283="TN",I2283="TDN",I2283="TNO2-3",I2283="NO2-3")),VLOOKUP(E2283,QCNIC_N,2,),IF(AND(H2283="UREA",OR(I2283="TN",I2283="TDN",I2283="TNO2-3",I2283="NO2-3")),VLOOKUP(E2283,QCUREA_N,2,),IF(H2283="PER",VLOOKUP(I2283,QCPER,MATCH(E2283,QCACTUAL!$J$25:$AA$25,0),),IF(H2283="SPK",VLOOKUP(I2283,QCSPK,3,),IF(AND(H2283="ATP",OR(I2283="TP",I2283="TDP")),VLOOKUP(E2283,QCATP_P,2,),""))))))))</f>
        <v>156.25</v>
      </c>
      <c r="W2283" s="31" t="str">
        <f t="shared" si="260"/>
        <v>TRUE</v>
      </c>
      <c r="X2283" s="31" t="str">
        <f t="shared" si="255"/>
        <v>([spikedunkn]-[unkn])/[spike]*100</v>
      </c>
      <c r="Y2283" s="10" t="s">
        <v>1144</v>
      </c>
      <c r="Z2283" s="10" t="s">
        <v>910</v>
      </c>
      <c r="AL2283" s="10" t="str">
        <f t="shared" si="257"/>
        <v>FALSE</v>
      </c>
      <c r="AM2283" s="10" t="str">
        <f t="shared" si="257"/>
        <v>FALSE</v>
      </c>
      <c r="AN2283" s="10" t="str">
        <f t="shared" si="257"/>
        <v>FALSE</v>
      </c>
      <c r="AO2283" s="10" t="str">
        <f t="shared" si="258"/>
        <v>FALSE</v>
      </c>
      <c r="AP2283" s="10" t="str">
        <f t="shared" si="258"/>
        <v>FALSE</v>
      </c>
      <c r="AQ2283" s="10" t="b">
        <f>IF(AND(I2283="TP",S2283&lt;=150),VLOOKUP(AF2283,TPCalibEq150!$AZ$2:$BB$55,3,),IF(AND(I2283="TDP",S2283&lt;=150),VLOOKUP(AF2283,TPCalibEq150!$AZ$2:$BB$55,3,)))</f>
        <v>0</v>
      </c>
      <c r="AR2283" s="10" t="b">
        <f>IF(AND(I2283="TP",S2283&lt;=300),VLOOKUP(AF2283,TPCalibEq300!$AZ$2:$BB$55,3,),IF(AND(I2283="TDP",S2283&lt;=300),VLOOKUP(AF2283,TPCalibEq300!$AZ$2:$BB$55,3,)))</f>
        <v>0</v>
      </c>
      <c r="AS2283" s="10" t="b">
        <f>IF(AND(I2283="TP",S2283&lt;=500),VLOOKUP(AF2283,TPCalibEq500!$AZ$2:$BB$56,3,),IF(AND(I2283="TDP",S2283&lt;=500),VLOOKUP(AF2283,TPCalibEq500!$AZ$2:$BB$56,3,)))</f>
        <v>0</v>
      </c>
      <c r="AT2283" s="10" t="b">
        <f>IF(AND(I2283="TN",S2283&lt;=2800),VLOOKUP(AF2283,TNCalibEq2500!$AZ$2:$BB$56,3,),IF(AND(I2283="TDN",S2283&lt;=2800),VLOOKUP(AF2283,TNCalibEq2500!$AZ$2:$BB$56,3,)))</f>
        <v>0</v>
      </c>
      <c r="AU2283" s="10" t="b">
        <f>IF(I2283="TP",VLOOKUP(AF2283,TPCalibEqFull!$AZ$2:$BB$56,3),IF(I2283="TDP",VLOOKUP(AF2283,TPCalibEqFull!$AZ$2:$BB$56,3),IF(I2283="TDN",VLOOKUP(AF2283,TNCalibEqFull!$AZ$1:$BB$56,3),IF(I2283="TN",VLOOKUP(AF2283,TNCalibEqFull!$AZ$1:$BB$56,3),FALSE))))</f>
        <v>0</v>
      </c>
      <c r="AV2283" s="10" t="str">
        <f t="shared" si="261"/>
        <v>0207 05:28:00-HST -0-FIL-1-SW-SPK</v>
      </c>
    </row>
    <row r="2284" spans="1:48" s="10" customFormat="1" x14ac:dyDescent="0.55000000000000004">
      <c r="A2284" s="32">
        <v>44966</v>
      </c>
      <c r="B2284" s="33">
        <v>0.375</v>
      </c>
      <c r="C2284" s="10" t="s">
        <v>70</v>
      </c>
      <c r="D2284" s="10" t="s">
        <v>71</v>
      </c>
      <c r="E2284" s="10" t="s">
        <v>901</v>
      </c>
      <c r="F2284" s="10">
        <v>1</v>
      </c>
      <c r="G2284" s="10" t="s">
        <v>73</v>
      </c>
      <c r="H2284" s="10" t="s">
        <v>207</v>
      </c>
      <c r="I2284" s="10" t="s">
        <v>285</v>
      </c>
      <c r="J2284" s="10">
        <v>202</v>
      </c>
      <c r="K2284" s="12">
        <v>44966</v>
      </c>
      <c r="L2284" s="33">
        <v>0.54804398148148148</v>
      </c>
      <c r="M2284" s="10">
        <v>1</v>
      </c>
      <c r="N2284" s="10" t="s">
        <v>211</v>
      </c>
      <c r="O2284" s="10">
        <v>0.42699999999999999</v>
      </c>
      <c r="P2284" s="10">
        <v>4.0500000000000001E-2</v>
      </c>
      <c r="Q2284" s="10">
        <v>73.400000000000006</v>
      </c>
      <c r="R2284" s="10" t="s">
        <v>913</v>
      </c>
      <c r="S2284" s="34">
        <f t="shared" si="256"/>
        <v>73.400000000000006</v>
      </c>
      <c r="T2284" s="10" t="s">
        <v>1166</v>
      </c>
      <c r="U2284" s="34">
        <f t="shared" si="259"/>
        <v>97.866666666666674</v>
      </c>
      <c r="V2284" s="31">
        <f>IF(H2284="CHK",VLOOKUP(I2284,QCCHK,3,),IF(H2284="GUP",VLOOKUP(E2284,QCGUP,2,),IF(AND(H2284="ATP",OR(I2284="TN",I2284="TDN",I2284="TNO2-3",I2284="NO2-3")),VLOOKUP(E2284,QCREC_N,2,),IF(AND(H2284="NIC",OR(I2284="TN",I2284="TDN",I2284="TNO2-3",I2284="NO2-3")),VLOOKUP(E2284,QCNIC_N,2,),IF(AND(H2284="UREA",OR(I2284="TN",I2284="TDN",I2284="TNO2-3",I2284="NO2-3")),VLOOKUP(E2284,QCUREA_N,2,),IF(H2284="PER",VLOOKUP(I2284,QCPER,MATCH(E2284,QCACTUAL!$J$25:$AA$25,0),),IF(H2284="SPK",VLOOKUP(I2284,QCSPK,3,),IF(AND(H2284="ATP",OR(I2284="TP",I2284="TDP")),VLOOKUP(E2284,QCATP_P,2,),""))))))))</f>
        <v>75</v>
      </c>
      <c r="W2284" s="31" t="str">
        <f t="shared" si="260"/>
        <v>TRUE</v>
      </c>
      <c r="X2284" s="31" t="str">
        <f t="shared" si="255"/>
        <v>[chk]/[actual]*100</v>
      </c>
      <c r="Y2284" s="10" t="s">
        <v>1144</v>
      </c>
      <c r="AL2284" s="10" t="str">
        <f t="shared" si="257"/>
        <v>FALSE</v>
      </c>
      <c r="AM2284" s="10" t="str">
        <f t="shared" si="257"/>
        <v>FALSE</v>
      </c>
      <c r="AN2284" s="10" t="str">
        <f t="shared" si="257"/>
        <v>FALSE</v>
      </c>
      <c r="AO2284" s="10" t="str">
        <f t="shared" si="258"/>
        <v>FALSE</v>
      </c>
      <c r="AP2284" s="10" t="str">
        <f t="shared" si="258"/>
        <v>FALSE</v>
      </c>
      <c r="AQ2284" s="10" t="b">
        <f>IF(AND(I2284="TP",S2284&lt;=150),VLOOKUP(AF2284,TPCalibEq150!$AZ$2:$BB$55,3,),IF(AND(I2284="TDP",S2284&lt;=150),VLOOKUP(AF2284,TPCalibEq150!$AZ$2:$BB$55,3,)))</f>
        <v>0</v>
      </c>
      <c r="AR2284" s="10" t="b">
        <f>IF(AND(I2284="TP",S2284&lt;=300),VLOOKUP(AF2284,TPCalibEq300!$AZ$2:$BB$55,3,),IF(AND(I2284="TDP",S2284&lt;=300),VLOOKUP(AF2284,TPCalibEq300!$AZ$2:$BB$55,3,)))</f>
        <v>0</v>
      </c>
      <c r="AS2284" s="10" t="b">
        <f>IF(AND(I2284="TP",S2284&lt;=500),VLOOKUP(AF2284,TPCalibEq500!$AZ$2:$BB$56,3,),IF(AND(I2284="TDP",S2284&lt;=500),VLOOKUP(AF2284,TPCalibEq500!$AZ$2:$BB$56,3,)))</f>
        <v>0</v>
      </c>
      <c r="AT2284" s="10" t="b">
        <f>IF(AND(I2284="TN",S2284&lt;=2800),VLOOKUP(AF2284,TNCalibEq2500!$AZ$2:$BB$56,3,),IF(AND(I2284="TDN",S2284&lt;=2800),VLOOKUP(AF2284,TNCalibEq2500!$AZ$2:$BB$56,3,)))</f>
        <v>0</v>
      </c>
      <c r="AU2284" s="10" t="b">
        <f>IF(I2284="TP",VLOOKUP(AF2284,TPCalibEqFull!$AZ$2:$BB$56,3),IF(I2284="TDP",VLOOKUP(AF2284,TPCalibEqFull!$AZ$2:$BB$56,3),IF(I2284="TDN",VLOOKUP(AF2284,TNCalibEqFull!$AZ$1:$BB$56,3),IF(I2284="TN",VLOOKUP(AF2284,TNCalibEqFull!$AZ$1:$BB$56,3),FALSE))))</f>
        <v>0</v>
      </c>
      <c r="AV2284" s="10" t="str">
        <f t="shared" si="261"/>
        <v>0209 09:00:00-QAC-STD-D-1-DI-CHK</v>
      </c>
    </row>
    <row r="2285" spans="1:48" s="10" customFormat="1" x14ac:dyDescent="0.55000000000000004">
      <c r="A2285" s="32">
        <v>44963</v>
      </c>
      <c r="B2285" s="33">
        <v>0.33749999999999997</v>
      </c>
      <c r="C2285" s="10" t="s">
        <v>998</v>
      </c>
      <c r="D2285" s="10">
        <v>0</v>
      </c>
      <c r="E2285" s="10" t="s">
        <v>911</v>
      </c>
      <c r="F2285" s="10">
        <v>1</v>
      </c>
      <c r="G2285" s="10" t="s">
        <v>231</v>
      </c>
      <c r="H2285" s="10" t="s">
        <v>322</v>
      </c>
      <c r="I2285" s="10" t="s">
        <v>167</v>
      </c>
      <c r="J2285" s="10">
        <v>70</v>
      </c>
      <c r="K2285" s="12">
        <v>44966</v>
      </c>
      <c r="L2285" s="33">
        <v>0.54885416666666664</v>
      </c>
      <c r="M2285" s="10">
        <v>1</v>
      </c>
      <c r="N2285" s="10" t="s">
        <v>211</v>
      </c>
      <c r="O2285" s="10">
        <v>1.47</v>
      </c>
      <c r="P2285" s="10">
        <v>0.14099999999999999</v>
      </c>
      <c r="Q2285" s="10">
        <v>253</v>
      </c>
      <c r="R2285" s="10" t="s">
        <v>913</v>
      </c>
      <c r="S2285" s="34">
        <f t="shared" si="256"/>
        <v>253</v>
      </c>
      <c r="T2285" s="10" t="s">
        <v>1166</v>
      </c>
      <c r="U2285" s="34" t="str">
        <f t="shared" si="259"/>
        <v/>
      </c>
      <c r="V2285" s="31" t="str">
        <f>IF(H2285="CHK",VLOOKUP(I2285,QCCHK,3,),IF(H2285="GUP",VLOOKUP(E2285,QCGUP,2,),IF(AND(H2285="ATP",OR(I2285="TN",I2285="TDN",I2285="TNO2-3",I2285="NO2-3")),VLOOKUP(E2285,QCREC_N,2,),IF(AND(H2285="NIC",OR(I2285="TN",I2285="TDN",I2285="TNO2-3",I2285="NO2-3")),VLOOKUP(E2285,QCNIC_N,2,),IF(AND(H2285="UREA",OR(I2285="TN",I2285="TDN",I2285="TNO2-3",I2285="NO2-3")),VLOOKUP(E2285,QCUREA_N,2,),IF(H2285="PER",VLOOKUP(I2285,QCPER,MATCH(E2285,QCACTUAL!$J$25:$AA$25,0),),IF(H2285="SPK",VLOOKUP(I2285,QCSPK,3,),IF(AND(H2285="ATP",OR(I2285="TP",I2285="TDP")),VLOOKUP(E2285,QCATP_P,2,),""))))))))</f>
        <v/>
      </c>
      <c r="W2285" s="31" t="str">
        <f t="shared" si="260"/>
        <v>TRUE</v>
      </c>
      <c r="X2285" s="31" t="str">
        <f t="shared" si="255"/>
        <v/>
      </c>
      <c r="Y2285" s="10" t="s">
        <v>1144</v>
      </c>
      <c r="Z2285" s="10" t="s">
        <v>910</v>
      </c>
      <c r="AL2285" s="10" t="str">
        <f t="shared" si="257"/>
        <v>FALSE</v>
      </c>
      <c r="AM2285" s="10" t="str">
        <f t="shared" si="257"/>
        <v>FALSE</v>
      </c>
      <c r="AN2285" s="10" t="str">
        <f t="shared" si="257"/>
        <v>FALSE</v>
      </c>
      <c r="AO2285" s="10" t="str">
        <f t="shared" si="258"/>
        <v>FALSE</v>
      </c>
      <c r="AP2285" s="10" t="str">
        <f t="shared" si="258"/>
        <v>FALSE</v>
      </c>
      <c r="AQ2285" s="10" t="b">
        <f>IF(AND(I2285="TP",S2285&lt;=150),VLOOKUP(AF2285,TPCalibEq150!$AZ$2:$BB$55,3,),IF(AND(I2285="TDP",S2285&lt;=150),VLOOKUP(AF2285,TPCalibEq150!$AZ$2:$BB$55,3,)))</f>
        <v>0</v>
      </c>
      <c r="AR2285" s="10" t="b">
        <f>IF(AND(I2285="TP",S2285&lt;=300),VLOOKUP(AF2285,TPCalibEq300!$AZ$2:$BB$55,3,),IF(AND(I2285="TDP",S2285&lt;=300),VLOOKUP(AF2285,TPCalibEq300!$AZ$2:$BB$55,3,)))</f>
        <v>0</v>
      </c>
      <c r="AS2285" s="10" t="b">
        <f>IF(AND(I2285="TP",S2285&lt;=500),VLOOKUP(AF2285,TPCalibEq500!$AZ$2:$BB$56,3,),IF(AND(I2285="TDP",S2285&lt;=500),VLOOKUP(AF2285,TPCalibEq500!$AZ$2:$BB$56,3,)))</f>
        <v>0</v>
      </c>
      <c r="AT2285" s="10" t="b">
        <f>IF(AND(I2285="TN",S2285&lt;=2800),VLOOKUP(AF2285,TNCalibEq2500!$AZ$2:$BB$56,3,),IF(AND(I2285="TDN",S2285&lt;=2800),VLOOKUP(AF2285,TNCalibEq2500!$AZ$2:$BB$56,3,)))</f>
        <v>0</v>
      </c>
      <c r="AU2285" s="10" t="b">
        <f>IF(I2285="TP",VLOOKUP(AF2285,TPCalibEqFull!$AZ$2:$BB$56,3),IF(I2285="TDP",VLOOKUP(AF2285,TPCalibEqFull!$AZ$2:$BB$56,3),IF(I2285="TDN",VLOOKUP(AF2285,TNCalibEqFull!$AZ$1:$BB$56,3),IF(I2285="TN",VLOOKUP(AF2285,TNCalibEqFull!$AZ$1:$BB$56,3),FALSE))))</f>
        <v>0</v>
      </c>
      <c r="AV2285" s="10" t="str">
        <f t="shared" si="261"/>
        <v>0206 08:06:00-ELW-0-FIL-1-SW-UKN</v>
      </c>
    </row>
    <row r="2286" spans="1:48" s="10" customFormat="1" x14ac:dyDescent="0.55000000000000004">
      <c r="A2286" s="32">
        <v>44963</v>
      </c>
      <c r="B2286" s="33">
        <v>0.34930555555555554</v>
      </c>
      <c r="C2286" s="10" t="s">
        <v>260</v>
      </c>
      <c r="D2286" s="10">
        <v>0</v>
      </c>
      <c r="E2286" s="10" t="s">
        <v>911</v>
      </c>
      <c r="F2286" s="10">
        <v>1</v>
      </c>
      <c r="G2286" s="10" t="s">
        <v>231</v>
      </c>
      <c r="H2286" s="10" t="s">
        <v>322</v>
      </c>
      <c r="I2286" s="10" t="s">
        <v>167</v>
      </c>
      <c r="J2286" s="10">
        <v>71</v>
      </c>
      <c r="K2286" s="12">
        <v>44966</v>
      </c>
      <c r="L2286" s="33">
        <v>0.54966435185185192</v>
      </c>
      <c r="M2286" s="10">
        <v>1</v>
      </c>
      <c r="N2286" s="10" t="s">
        <v>211</v>
      </c>
      <c r="O2286" s="10">
        <v>1.95</v>
      </c>
      <c r="P2286" s="10">
        <v>0.189</v>
      </c>
      <c r="Q2286" s="10">
        <v>337</v>
      </c>
      <c r="R2286" s="10" t="s">
        <v>913</v>
      </c>
      <c r="S2286" s="34">
        <f t="shared" si="256"/>
        <v>337</v>
      </c>
      <c r="T2286" s="10" t="s">
        <v>1166</v>
      </c>
      <c r="U2286" s="34" t="str">
        <f t="shared" si="259"/>
        <v/>
      </c>
      <c r="V2286" s="31" t="str">
        <f>IF(H2286="CHK",VLOOKUP(I2286,QCCHK,3,),IF(H2286="GUP",VLOOKUP(E2286,QCGUP,2,),IF(AND(H2286="ATP",OR(I2286="TN",I2286="TDN",I2286="TNO2-3",I2286="NO2-3")),VLOOKUP(E2286,QCREC_N,2,),IF(AND(H2286="NIC",OR(I2286="TN",I2286="TDN",I2286="TNO2-3",I2286="NO2-3")),VLOOKUP(E2286,QCNIC_N,2,),IF(AND(H2286="UREA",OR(I2286="TN",I2286="TDN",I2286="TNO2-3",I2286="NO2-3")),VLOOKUP(E2286,QCUREA_N,2,),IF(H2286="PER",VLOOKUP(I2286,QCPER,MATCH(E2286,QCACTUAL!$J$25:$AA$25,0),),IF(H2286="SPK",VLOOKUP(I2286,QCSPK,3,),IF(AND(H2286="ATP",OR(I2286="TP",I2286="TDP")),VLOOKUP(E2286,QCATP_P,2,),""))))))))</f>
        <v/>
      </c>
      <c r="W2286" s="31" t="str">
        <f t="shared" si="260"/>
        <v>TRUE</v>
      </c>
      <c r="X2286" s="31" t="str">
        <f t="shared" si="255"/>
        <v/>
      </c>
      <c r="Y2286" s="10" t="s">
        <v>1144</v>
      </c>
      <c r="Z2286" s="10" t="s">
        <v>910</v>
      </c>
      <c r="AL2286" s="10" t="str">
        <f t="shared" si="257"/>
        <v>FALSE</v>
      </c>
      <c r="AM2286" s="10" t="str">
        <f t="shared" si="257"/>
        <v>FALSE</v>
      </c>
      <c r="AN2286" s="10" t="str">
        <f t="shared" si="257"/>
        <v>FALSE</v>
      </c>
      <c r="AO2286" s="10" t="str">
        <f t="shared" si="258"/>
        <v>FALSE</v>
      </c>
      <c r="AP2286" s="10" t="str">
        <f t="shared" si="258"/>
        <v>FALSE</v>
      </c>
      <c r="AQ2286" s="10" t="b">
        <f>IF(AND(I2286="TP",S2286&lt;=150),VLOOKUP(AF2286,TPCalibEq150!$AZ$2:$BB$55,3,),IF(AND(I2286="TDP",S2286&lt;=150),VLOOKUP(AF2286,TPCalibEq150!$AZ$2:$BB$55,3,)))</f>
        <v>0</v>
      </c>
      <c r="AR2286" s="10" t="b">
        <f>IF(AND(I2286="TP",S2286&lt;=300),VLOOKUP(AF2286,TPCalibEq300!$AZ$2:$BB$55,3,),IF(AND(I2286="TDP",S2286&lt;=300),VLOOKUP(AF2286,TPCalibEq300!$AZ$2:$BB$55,3,)))</f>
        <v>0</v>
      </c>
      <c r="AS2286" s="10" t="b">
        <f>IF(AND(I2286="TP",S2286&lt;=500),VLOOKUP(AF2286,TPCalibEq500!$AZ$2:$BB$56,3,),IF(AND(I2286="TDP",S2286&lt;=500),VLOOKUP(AF2286,TPCalibEq500!$AZ$2:$BB$56,3,)))</f>
        <v>0</v>
      </c>
      <c r="AT2286" s="10" t="b">
        <f>IF(AND(I2286="TN",S2286&lt;=2800),VLOOKUP(AF2286,TNCalibEq2500!$AZ$2:$BB$56,3,),IF(AND(I2286="TDN",S2286&lt;=2800),VLOOKUP(AF2286,TNCalibEq2500!$AZ$2:$BB$56,3,)))</f>
        <v>0</v>
      </c>
      <c r="AU2286" s="10" t="b">
        <f>IF(I2286="TP",VLOOKUP(AF2286,TPCalibEqFull!$AZ$2:$BB$56,3),IF(I2286="TDP",VLOOKUP(AF2286,TPCalibEqFull!$AZ$2:$BB$56,3),IF(I2286="TDN",VLOOKUP(AF2286,TNCalibEqFull!$AZ$1:$BB$56,3),IF(I2286="TN",VLOOKUP(AF2286,TNCalibEqFull!$AZ$1:$BB$56,3),FALSE))))</f>
        <v>0</v>
      </c>
      <c r="AV2286" s="10" t="str">
        <f t="shared" si="261"/>
        <v>0206 08:23:00-EFC-0-FIL-1-SW-UKN</v>
      </c>
    </row>
    <row r="2287" spans="1:48" s="10" customFormat="1" x14ac:dyDescent="0.55000000000000004">
      <c r="A2287" s="32">
        <v>44963</v>
      </c>
      <c r="B2287" s="33">
        <v>0.3611111111111111</v>
      </c>
      <c r="C2287" s="10" t="s">
        <v>543</v>
      </c>
      <c r="D2287" s="10">
        <v>0</v>
      </c>
      <c r="E2287" s="10" t="s">
        <v>911</v>
      </c>
      <c r="F2287" s="10">
        <v>1</v>
      </c>
      <c r="G2287" s="10" t="s">
        <v>231</v>
      </c>
      <c r="H2287" s="10" t="s">
        <v>322</v>
      </c>
      <c r="I2287" s="10" t="s">
        <v>167</v>
      </c>
      <c r="J2287" s="10">
        <v>72</v>
      </c>
      <c r="K2287" s="12">
        <v>44966</v>
      </c>
      <c r="L2287" s="33">
        <v>0.55047453703703708</v>
      </c>
      <c r="M2287" s="10">
        <v>1</v>
      </c>
      <c r="N2287" s="10" t="s">
        <v>211</v>
      </c>
      <c r="O2287" s="10">
        <v>8.3400000000000002E-2</v>
      </c>
      <c r="P2287" s="10">
        <v>6.7799999999999996E-3</v>
      </c>
      <c r="Q2287" s="10">
        <v>13.9</v>
      </c>
      <c r="R2287" s="10" t="s">
        <v>913</v>
      </c>
      <c r="S2287" s="34">
        <f t="shared" si="256"/>
        <v>13.9</v>
      </c>
      <c r="T2287" s="10" t="s">
        <v>1166</v>
      </c>
      <c r="U2287" s="34" t="str">
        <f t="shared" si="259"/>
        <v/>
      </c>
      <c r="V2287" s="31" t="str">
        <f>IF(H2287="CHK",VLOOKUP(I2287,QCCHK,3,),IF(H2287="GUP",VLOOKUP(E2287,QCGUP,2,),IF(AND(H2287="ATP",OR(I2287="TN",I2287="TDN",I2287="TNO2-3",I2287="NO2-3")),VLOOKUP(E2287,QCREC_N,2,),IF(AND(H2287="NIC",OR(I2287="TN",I2287="TDN",I2287="TNO2-3",I2287="NO2-3")),VLOOKUP(E2287,QCNIC_N,2,),IF(AND(H2287="UREA",OR(I2287="TN",I2287="TDN",I2287="TNO2-3",I2287="NO2-3")),VLOOKUP(E2287,QCUREA_N,2,),IF(H2287="PER",VLOOKUP(I2287,QCPER,MATCH(E2287,QCACTUAL!$J$25:$AA$25,0),),IF(H2287="SPK",VLOOKUP(I2287,QCSPK,3,),IF(AND(H2287="ATP",OR(I2287="TP",I2287="TDP")),VLOOKUP(E2287,QCATP_P,2,),""))))))))</f>
        <v/>
      </c>
      <c r="W2287" s="31" t="str">
        <f t="shared" si="260"/>
        <v>TRUE</v>
      </c>
      <c r="X2287" s="31" t="str">
        <f t="shared" si="255"/>
        <v/>
      </c>
      <c r="Y2287" s="10" t="s">
        <v>1144</v>
      </c>
      <c r="Z2287" s="10" t="s">
        <v>910</v>
      </c>
      <c r="AL2287" s="10" t="str">
        <f t="shared" si="257"/>
        <v>FALSE</v>
      </c>
      <c r="AM2287" s="10" t="str">
        <f t="shared" si="257"/>
        <v>FALSE</v>
      </c>
      <c r="AN2287" s="10" t="str">
        <f t="shared" si="257"/>
        <v>FALSE</v>
      </c>
      <c r="AO2287" s="10" t="str">
        <f t="shared" si="258"/>
        <v>FALSE</v>
      </c>
      <c r="AP2287" s="10" t="str">
        <f t="shared" si="258"/>
        <v>FALSE</v>
      </c>
      <c r="AQ2287" s="10" t="b">
        <f>IF(AND(I2287="TP",S2287&lt;=150),VLOOKUP(AF2287,TPCalibEq150!$AZ$2:$BB$55,3,),IF(AND(I2287="TDP",S2287&lt;=150),VLOOKUP(AF2287,TPCalibEq150!$AZ$2:$BB$55,3,)))</f>
        <v>0</v>
      </c>
      <c r="AR2287" s="10" t="b">
        <f>IF(AND(I2287="TP",S2287&lt;=300),VLOOKUP(AF2287,TPCalibEq300!$AZ$2:$BB$55,3,),IF(AND(I2287="TDP",S2287&lt;=300),VLOOKUP(AF2287,TPCalibEq300!$AZ$2:$BB$55,3,)))</f>
        <v>0</v>
      </c>
      <c r="AS2287" s="10" t="b">
        <f>IF(AND(I2287="TP",S2287&lt;=500),VLOOKUP(AF2287,TPCalibEq500!$AZ$2:$BB$56,3,),IF(AND(I2287="TDP",S2287&lt;=500),VLOOKUP(AF2287,TPCalibEq500!$AZ$2:$BB$56,3,)))</f>
        <v>0</v>
      </c>
      <c r="AT2287" s="10" t="b">
        <f>IF(AND(I2287="TN",S2287&lt;=2800),VLOOKUP(AF2287,TNCalibEq2500!$AZ$2:$BB$56,3,),IF(AND(I2287="TDN",S2287&lt;=2800),VLOOKUP(AF2287,TNCalibEq2500!$AZ$2:$BB$56,3,)))</f>
        <v>0</v>
      </c>
      <c r="AU2287" s="10" t="b">
        <f>IF(I2287="TP",VLOOKUP(AF2287,TPCalibEqFull!$AZ$2:$BB$56,3),IF(I2287="TDP",VLOOKUP(AF2287,TPCalibEqFull!$AZ$2:$BB$56,3),IF(I2287="TDN",VLOOKUP(AF2287,TNCalibEqFull!$AZ$1:$BB$56,3),IF(I2287="TN",VLOOKUP(AF2287,TNCalibEqFull!$AZ$1:$BB$56,3),FALSE))))</f>
        <v>0</v>
      </c>
      <c r="AV2287" s="10" t="str">
        <f t="shared" si="261"/>
        <v>0206 08:40:00-SAR-0-FIL-1-SW-UKN</v>
      </c>
    </row>
    <row r="2288" spans="1:48" s="10" customFormat="1" x14ac:dyDescent="0.55000000000000004">
      <c r="A2288" s="32">
        <v>44963</v>
      </c>
      <c r="B2288" s="33">
        <v>0.37916666666666665</v>
      </c>
      <c r="C2288" s="10" t="s">
        <v>361</v>
      </c>
      <c r="D2288" s="10">
        <v>0</v>
      </c>
      <c r="E2288" s="10" t="s">
        <v>911</v>
      </c>
      <c r="F2288" s="10">
        <v>1</v>
      </c>
      <c r="G2288" s="10" t="s">
        <v>231</v>
      </c>
      <c r="H2288" s="10" t="s">
        <v>322</v>
      </c>
      <c r="I2288" s="10" t="s">
        <v>167</v>
      </c>
      <c r="J2288" s="10">
        <v>73</v>
      </c>
      <c r="K2288" s="12">
        <v>44966</v>
      </c>
      <c r="L2288" s="33">
        <v>0.55128472222222225</v>
      </c>
      <c r="M2288" s="10">
        <v>1</v>
      </c>
      <c r="N2288" s="10" t="s">
        <v>211</v>
      </c>
      <c r="O2288" s="10">
        <v>6.54E-2</v>
      </c>
      <c r="P2288" s="10">
        <v>4.64E-3</v>
      </c>
      <c r="Q2288" s="10">
        <v>10.8</v>
      </c>
      <c r="R2288" s="10" t="s">
        <v>913</v>
      </c>
      <c r="S2288" s="34">
        <f t="shared" si="256"/>
        <v>10.8</v>
      </c>
      <c r="T2288" s="10" t="s">
        <v>1166</v>
      </c>
      <c r="U2288" s="34" t="str">
        <f t="shared" si="259"/>
        <v/>
      </c>
      <c r="V2288" s="31" t="str">
        <f>IF(H2288="CHK",VLOOKUP(I2288,QCCHK,3,),IF(H2288="GUP",VLOOKUP(E2288,QCGUP,2,),IF(AND(H2288="ATP",OR(I2288="TN",I2288="TDN",I2288="TNO2-3",I2288="NO2-3")),VLOOKUP(E2288,QCREC_N,2,),IF(AND(H2288="NIC",OR(I2288="TN",I2288="TDN",I2288="TNO2-3",I2288="NO2-3")),VLOOKUP(E2288,QCNIC_N,2,),IF(AND(H2288="UREA",OR(I2288="TN",I2288="TDN",I2288="TNO2-3",I2288="NO2-3")),VLOOKUP(E2288,QCUREA_N,2,),IF(H2288="PER",VLOOKUP(I2288,QCPER,MATCH(E2288,QCACTUAL!$J$25:$AA$25,0),),IF(H2288="SPK",VLOOKUP(I2288,QCSPK,3,),IF(AND(H2288="ATP",OR(I2288="TP",I2288="TDP")),VLOOKUP(E2288,QCATP_P,2,),""))))))))</f>
        <v/>
      </c>
      <c r="W2288" s="31" t="str">
        <f t="shared" si="260"/>
        <v>TRUE</v>
      </c>
      <c r="X2288" s="31" t="str">
        <f t="shared" si="255"/>
        <v/>
      </c>
      <c r="Y2288" s="10" t="s">
        <v>1144</v>
      </c>
      <c r="Z2288" s="10" t="s">
        <v>910</v>
      </c>
      <c r="AL2288" s="10" t="str">
        <f t="shared" si="257"/>
        <v>FALSE</v>
      </c>
      <c r="AM2288" s="10" t="str">
        <f t="shared" si="257"/>
        <v>FALSE</v>
      </c>
      <c r="AN2288" s="10" t="str">
        <f t="shared" si="257"/>
        <v>FALSE</v>
      </c>
      <c r="AO2288" s="10" t="str">
        <f t="shared" si="258"/>
        <v>FALSE</v>
      </c>
      <c r="AP2288" s="10" t="str">
        <f t="shared" si="258"/>
        <v>FALSE</v>
      </c>
      <c r="AQ2288" s="10" t="b">
        <f>IF(AND(I2288="TP",S2288&lt;=150),VLOOKUP(AF2288,TPCalibEq150!$AZ$2:$BB$55,3,),IF(AND(I2288="TDP",S2288&lt;=150),VLOOKUP(AF2288,TPCalibEq150!$AZ$2:$BB$55,3,)))</f>
        <v>0</v>
      </c>
      <c r="AR2288" s="10" t="b">
        <f>IF(AND(I2288="TP",S2288&lt;=300),VLOOKUP(AF2288,TPCalibEq300!$AZ$2:$BB$55,3,),IF(AND(I2288="TDP",S2288&lt;=300),VLOOKUP(AF2288,TPCalibEq300!$AZ$2:$BB$55,3,)))</f>
        <v>0</v>
      </c>
      <c r="AS2288" s="10" t="b">
        <f>IF(AND(I2288="TP",S2288&lt;=500),VLOOKUP(AF2288,TPCalibEq500!$AZ$2:$BB$56,3,),IF(AND(I2288="TDP",S2288&lt;=500),VLOOKUP(AF2288,TPCalibEq500!$AZ$2:$BB$56,3,)))</f>
        <v>0</v>
      </c>
      <c r="AT2288" s="10" t="b">
        <f>IF(AND(I2288="TN",S2288&lt;=2800),VLOOKUP(AF2288,TNCalibEq2500!$AZ$2:$BB$56,3,),IF(AND(I2288="TDN",S2288&lt;=2800),VLOOKUP(AF2288,TNCalibEq2500!$AZ$2:$BB$56,3,)))</f>
        <v>0</v>
      </c>
      <c r="AU2288" s="10" t="b">
        <f>IF(I2288="TP",VLOOKUP(AF2288,TPCalibEqFull!$AZ$2:$BB$56,3),IF(I2288="TDP",VLOOKUP(AF2288,TPCalibEqFull!$AZ$2:$BB$56,3),IF(I2288="TDN",VLOOKUP(AF2288,TNCalibEqFull!$AZ$1:$BB$56,3),IF(I2288="TN",VLOOKUP(AF2288,TNCalibEqFull!$AZ$1:$BB$56,3),FALSE))))</f>
        <v>0</v>
      </c>
      <c r="AV2288" s="10" t="str">
        <f t="shared" si="261"/>
        <v>0206 09:06:00-USR-0-FIL-1-SW-UKN</v>
      </c>
    </row>
    <row r="2289" spans="1:48" s="10" customFormat="1" x14ac:dyDescent="0.55000000000000004">
      <c r="A2289" s="32">
        <v>44963</v>
      </c>
      <c r="B2289" s="33">
        <v>0.39305555555555555</v>
      </c>
      <c r="C2289" s="10" t="s">
        <v>351</v>
      </c>
      <c r="D2289" s="10">
        <v>0</v>
      </c>
      <c r="E2289" s="10" t="s">
        <v>911</v>
      </c>
      <c r="F2289" s="10">
        <v>1</v>
      </c>
      <c r="G2289" s="10" t="s">
        <v>231</v>
      </c>
      <c r="H2289" s="10" t="s">
        <v>322</v>
      </c>
      <c r="I2289" s="10" t="s">
        <v>167</v>
      </c>
      <c r="J2289" s="10">
        <v>74</v>
      </c>
      <c r="K2289" s="12">
        <v>44966</v>
      </c>
      <c r="L2289" s="33">
        <v>0.55210648148148145</v>
      </c>
      <c r="M2289" s="10">
        <v>1</v>
      </c>
      <c r="N2289" s="10" t="s">
        <v>211</v>
      </c>
      <c r="O2289" s="10">
        <v>6.8400000000000002E-2</v>
      </c>
      <c r="P2289" s="10">
        <v>6.1799999999999997E-3</v>
      </c>
      <c r="Q2289" s="10">
        <v>11.4</v>
      </c>
      <c r="R2289" s="10" t="s">
        <v>913</v>
      </c>
      <c r="S2289" s="34">
        <f t="shared" si="256"/>
        <v>11.4</v>
      </c>
      <c r="T2289" s="10" t="s">
        <v>1166</v>
      </c>
      <c r="U2289" s="34" t="str">
        <f t="shared" si="259"/>
        <v/>
      </c>
      <c r="V2289" s="31" t="str">
        <f>IF(H2289="CHK",VLOOKUP(I2289,QCCHK,3,),IF(H2289="GUP",VLOOKUP(E2289,QCGUP,2,),IF(AND(H2289="ATP",OR(I2289="TN",I2289="TDN",I2289="TNO2-3",I2289="NO2-3")),VLOOKUP(E2289,QCREC_N,2,),IF(AND(H2289="NIC",OR(I2289="TN",I2289="TDN",I2289="TNO2-3",I2289="NO2-3")),VLOOKUP(E2289,QCNIC_N,2,),IF(AND(H2289="UREA",OR(I2289="TN",I2289="TDN",I2289="TNO2-3",I2289="NO2-3")),VLOOKUP(E2289,QCUREA_N,2,),IF(H2289="PER",VLOOKUP(I2289,QCPER,MATCH(E2289,QCACTUAL!$J$25:$AA$25,0),),IF(H2289="SPK",VLOOKUP(I2289,QCSPK,3,),IF(AND(H2289="ATP",OR(I2289="TP",I2289="TDP")),VLOOKUP(E2289,QCATP_P,2,),""))))))))</f>
        <v/>
      </c>
      <c r="W2289" s="31" t="str">
        <f t="shared" si="260"/>
        <v>TRUE</v>
      </c>
      <c r="X2289" s="31" t="str">
        <f t="shared" si="255"/>
        <v/>
      </c>
      <c r="Y2289" s="10" t="s">
        <v>1144</v>
      </c>
      <c r="Z2289" s="10" t="s">
        <v>910</v>
      </c>
      <c r="AL2289" s="10" t="str">
        <f t="shared" si="257"/>
        <v>FALSE</v>
      </c>
      <c r="AM2289" s="10" t="str">
        <f t="shared" si="257"/>
        <v>FALSE</v>
      </c>
      <c r="AN2289" s="10" t="str">
        <f t="shared" si="257"/>
        <v>FALSE</v>
      </c>
      <c r="AO2289" s="10" t="str">
        <f t="shared" si="258"/>
        <v>FALSE</v>
      </c>
      <c r="AP2289" s="10" t="str">
        <f t="shared" si="258"/>
        <v>FALSE</v>
      </c>
      <c r="AQ2289" s="10" t="b">
        <f>IF(AND(I2289="TP",S2289&lt;=150),VLOOKUP(AF2289,TPCalibEq150!$AZ$2:$BB$55,3,),IF(AND(I2289="TDP",S2289&lt;=150),VLOOKUP(AF2289,TPCalibEq150!$AZ$2:$BB$55,3,)))</f>
        <v>0</v>
      </c>
      <c r="AR2289" s="10" t="b">
        <f>IF(AND(I2289="TP",S2289&lt;=300),VLOOKUP(AF2289,TPCalibEq300!$AZ$2:$BB$55,3,),IF(AND(I2289="TDP",S2289&lt;=300),VLOOKUP(AF2289,TPCalibEq300!$AZ$2:$BB$55,3,)))</f>
        <v>0</v>
      </c>
      <c r="AS2289" s="10" t="b">
        <f>IF(AND(I2289="TP",S2289&lt;=500),VLOOKUP(AF2289,TPCalibEq500!$AZ$2:$BB$56,3,),IF(AND(I2289="TDP",S2289&lt;=500),VLOOKUP(AF2289,TPCalibEq500!$AZ$2:$BB$56,3,)))</f>
        <v>0</v>
      </c>
      <c r="AT2289" s="10" t="b">
        <f>IF(AND(I2289="TN",S2289&lt;=2800),VLOOKUP(AF2289,TNCalibEq2500!$AZ$2:$BB$56,3,),IF(AND(I2289="TDN",S2289&lt;=2800),VLOOKUP(AF2289,TNCalibEq2500!$AZ$2:$BB$56,3,)))</f>
        <v>0</v>
      </c>
      <c r="AU2289" s="10" t="b">
        <f>IF(I2289="TP",VLOOKUP(AF2289,TPCalibEqFull!$AZ$2:$BB$56,3),IF(I2289="TDP",VLOOKUP(AF2289,TPCalibEqFull!$AZ$2:$BB$56,3),IF(I2289="TDN",VLOOKUP(AF2289,TNCalibEqFull!$AZ$1:$BB$56,3),IF(I2289="TN",VLOOKUP(AF2289,TNCalibEqFull!$AZ$1:$BB$56,3),FALSE))))</f>
        <v>0</v>
      </c>
      <c r="AV2289" s="10" t="str">
        <f t="shared" si="261"/>
        <v>0206 09:26:00-SHC-0-FIL-1-SW-UKN</v>
      </c>
    </row>
    <row r="2290" spans="1:48" s="10" customFormat="1" x14ac:dyDescent="0.55000000000000004">
      <c r="A2290" s="32">
        <v>44963</v>
      </c>
      <c r="B2290" s="33">
        <v>0.4055555555555555</v>
      </c>
      <c r="C2290" s="10" t="s">
        <v>355</v>
      </c>
      <c r="D2290" s="10">
        <v>0</v>
      </c>
      <c r="E2290" s="10" t="s">
        <v>911</v>
      </c>
      <c r="F2290" s="10">
        <v>1</v>
      </c>
      <c r="G2290" s="10" t="s">
        <v>231</v>
      </c>
      <c r="H2290" s="10" t="s">
        <v>322</v>
      </c>
      <c r="I2290" s="10" t="s">
        <v>167</v>
      </c>
      <c r="J2290" s="10">
        <v>75</v>
      </c>
      <c r="K2290" s="12">
        <v>44966</v>
      </c>
      <c r="L2290" s="33">
        <v>0.55290509259259257</v>
      </c>
      <c r="M2290" s="10">
        <v>1</v>
      </c>
      <c r="N2290" s="10" t="s">
        <v>211</v>
      </c>
      <c r="O2290" s="10">
        <v>8.7800000000000003E-2</v>
      </c>
      <c r="P2290" s="10">
        <v>7.7799999999999996E-3</v>
      </c>
      <c r="Q2290" s="10">
        <v>14.7</v>
      </c>
      <c r="R2290" s="10" t="s">
        <v>913</v>
      </c>
      <c r="S2290" s="34">
        <f t="shared" si="256"/>
        <v>14.7</v>
      </c>
      <c r="T2290" s="10" t="s">
        <v>1166</v>
      </c>
      <c r="U2290" s="34" t="str">
        <f t="shared" si="259"/>
        <v/>
      </c>
      <c r="V2290" s="31" t="str">
        <f>IF(H2290="CHK",VLOOKUP(I2290,QCCHK,3,),IF(H2290="GUP",VLOOKUP(E2290,QCGUP,2,),IF(AND(H2290="ATP",OR(I2290="TN",I2290="TDN",I2290="TNO2-3",I2290="NO2-3")),VLOOKUP(E2290,QCREC_N,2,),IF(AND(H2290="NIC",OR(I2290="TN",I2290="TDN",I2290="TNO2-3",I2290="NO2-3")),VLOOKUP(E2290,QCNIC_N,2,),IF(AND(H2290="UREA",OR(I2290="TN",I2290="TDN",I2290="TNO2-3",I2290="NO2-3")),VLOOKUP(E2290,QCUREA_N,2,),IF(H2290="PER",VLOOKUP(I2290,QCPER,MATCH(E2290,QCACTUAL!$J$25:$AA$25,0),),IF(H2290="SPK",VLOOKUP(I2290,QCSPK,3,),IF(AND(H2290="ATP",OR(I2290="TP",I2290="TDP")),VLOOKUP(E2290,QCATP_P,2,),""))))))))</f>
        <v/>
      </c>
      <c r="W2290" s="31" t="str">
        <f t="shared" si="260"/>
        <v>TRUE</v>
      </c>
      <c r="X2290" s="31" t="str">
        <f t="shared" si="255"/>
        <v/>
      </c>
      <c r="Y2290" s="10" t="s">
        <v>1144</v>
      </c>
      <c r="Z2290" s="10" t="s">
        <v>910</v>
      </c>
      <c r="AL2290" s="10" t="str">
        <f t="shared" si="257"/>
        <v>FALSE</v>
      </c>
      <c r="AM2290" s="10" t="str">
        <f t="shared" si="257"/>
        <v>FALSE</v>
      </c>
      <c r="AN2290" s="10" t="str">
        <f t="shared" si="257"/>
        <v>FALSE</v>
      </c>
      <c r="AO2290" s="10" t="str">
        <f t="shared" si="258"/>
        <v>FALSE</v>
      </c>
      <c r="AP2290" s="10" t="str">
        <f t="shared" si="258"/>
        <v>FALSE</v>
      </c>
      <c r="AQ2290" s="10" t="b">
        <f>IF(AND(I2290="TP",S2290&lt;=150),VLOOKUP(AF2290,TPCalibEq150!$AZ$2:$BB$55,3,),IF(AND(I2290="TDP",S2290&lt;=150),VLOOKUP(AF2290,TPCalibEq150!$AZ$2:$BB$55,3,)))</f>
        <v>0</v>
      </c>
      <c r="AR2290" s="10" t="b">
        <f>IF(AND(I2290="TP",S2290&lt;=300),VLOOKUP(AF2290,TPCalibEq300!$AZ$2:$BB$55,3,),IF(AND(I2290="TDP",S2290&lt;=300),VLOOKUP(AF2290,TPCalibEq300!$AZ$2:$BB$55,3,)))</f>
        <v>0</v>
      </c>
      <c r="AS2290" s="10" t="b">
        <f>IF(AND(I2290="TP",S2290&lt;=500),VLOOKUP(AF2290,TPCalibEq500!$AZ$2:$BB$56,3,),IF(AND(I2290="TDP",S2290&lt;=500),VLOOKUP(AF2290,TPCalibEq500!$AZ$2:$BB$56,3,)))</f>
        <v>0</v>
      </c>
      <c r="AT2290" s="10" t="b">
        <f>IF(AND(I2290="TN",S2290&lt;=2800),VLOOKUP(AF2290,TNCalibEq2500!$AZ$2:$BB$56,3,),IF(AND(I2290="TDN",S2290&lt;=2800),VLOOKUP(AF2290,TNCalibEq2500!$AZ$2:$BB$56,3,)))</f>
        <v>0</v>
      </c>
      <c r="AU2290" s="10" t="b">
        <f>IF(I2290="TP",VLOOKUP(AF2290,TPCalibEqFull!$AZ$2:$BB$56,3),IF(I2290="TDP",VLOOKUP(AF2290,TPCalibEqFull!$AZ$2:$BB$56,3),IF(I2290="TDN",VLOOKUP(AF2290,TNCalibEqFull!$AZ$1:$BB$56,3),IF(I2290="TN",VLOOKUP(AF2290,TNCalibEqFull!$AZ$1:$BB$56,3),FALSE))))</f>
        <v>0</v>
      </c>
      <c r="AV2290" s="10" t="str">
        <f t="shared" si="261"/>
        <v>0206 09:44:00-SLT-0-FIL-1-SW-UKN</v>
      </c>
    </row>
    <row r="2291" spans="1:48" s="10" customFormat="1" x14ac:dyDescent="0.55000000000000004">
      <c r="A2291" s="32">
        <v>44963</v>
      </c>
      <c r="B2291" s="33">
        <v>0.4236111111111111</v>
      </c>
      <c r="C2291" s="10" t="s">
        <v>310</v>
      </c>
      <c r="D2291" s="10">
        <v>0</v>
      </c>
      <c r="E2291" s="10" t="s">
        <v>911</v>
      </c>
      <c r="F2291" s="10">
        <v>1</v>
      </c>
      <c r="G2291" s="10" t="s">
        <v>231</v>
      </c>
      <c r="H2291" s="10" t="s">
        <v>322</v>
      </c>
      <c r="I2291" s="10" t="s">
        <v>167</v>
      </c>
      <c r="J2291" s="10">
        <v>76</v>
      </c>
      <c r="K2291" s="12">
        <v>44966</v>
      </c>
      <c r="L2291" s="33">
        <v>0.55372685185185189</v>
      </c>
      <c r="M2291" s="10">
        <v>1</v>
      </c>
      <c r="N2291" s="10" t="s">
        <v>211</v>
      </c>
      <c r="O2291" s="10">
        <v>0.29499999999999998</v>
      </c>
      <c r="P2291" s="10">
        <v>2.7E-2</v>
      </c>
      <c r="Q2291" s="10">
        <v>50.6</v>
      </c>
      <c r="R2291" s="10" t="s">
        <v>913</v>
      </c>
      <c r="S2291" s="34">
        <f t="shared" si="256"/>
        <v>50.6</v>
      </c>
      <c r="T2291" s="10" t="s">
        <v>1166</v>
      </c>
      <c r="U2291" s="34" t="str">
        <f t="shared" si="259"/>
        <v/>
      </c>
      <c r="V2291" s="31" t="str">
        <f>IF(H2291="CHK",VLOOKUP(I2291,QCCHK,3,),IF(H2291="GUP",VLOOKUP(E2291,QCGUP,2,),IF(AND(H2291="ATP",OR(I2291="TN",I2291="TDN",I2291="TNO2-3",I2291="NO2-3")),VLOOKUP(E2291,QCREC_N,2,),IF(AND(H2291="NIC",OR(I2291="TN",I2291="TDN",I2291="TNO2-3",I2291="NO2-3")),VLOOKUP(E2291,QCNIC_N,2,),IF(AND(H2291="UREA",OR(I2291="TN",I2291="TDN",I2291="TNO2-3",I2291="NO2-3")),VLOOKUP(E2291,QCUREA_N,2,),IF(H2291="PER",VLOOKUP(I2291,QCPER,MATCH(E2291,QCACTUAL!$J$25:$AA$25,0),),IF(H2291="SPK",VLOOKUP(I2291,QCSPK,3,),IF(AND(H2291="ATP",OR(I2291="TP",I2291="TDP")),VLOOKUP(E2291,QCATP_P,2,),""))))))))</f>
        <v/>
      </c>
      <c r="W2291" s="31" t="str">
        <f t="shared" si="260"/>
        <v>TRUE</v>
      </c>
      <c r="X2291" s="31" t="str">
        <f t="shared" si="255"/>
        <v/>
      </c>
      <c r="Y2291" s="10" t="s">
        <v>1144</v>
      </c>
      <c r="Z2291" s="10" t="s">
        <v>910</v>
      </c>
      <c r="AL2291" s="10" t="str">
        <f t="shared" si="257"/>
        <v>FALSE</v>
      </c>
      <c r="AM2291" s="10" t="str">
        <f t="shared" si="257"/>
        <v>FALSE</v>
      </c>
      <c r="AN2291" s="10" t="str">
        <f t="shared" si="257"/>
        <v>FALSE</v>
      </c>
      <c r="AO2291" s="10" t="str">
        <f t="shared" si="258"/>
        <v>FALSE</v>
      </c>
      <c r="AP2291" s="10" t="str">
        <f t="shared" si="258"/>
        <v>FALSE</v>
      </c>
      <c r="AQ2291" s="10" t="b">
        <f>IF(AND(I2291="TP",S2291&lt;=150),VLOOKUP(AF2291,TPCalibEq150!$AZ$2:$BB$55,3,),IF(AND(I2291="TDP",S2291&lt;=150),VLOOKUP(AF2291,TPCalibEq150!$AZ$2:$BB$55,3,)))</f>
        <v>0</v>
      </c>
      <c r="AR2291" s="10" t="b">
        <f>IF(AND(I2291="TP",S2291&lt;=300),VLOOKUP(AF2291,TPCalibEq300!$AZ$2:$BB$55,3,),IF(AND(I2291="TDP",S2291&lt;=300),VLOOKUP(AF2291,TPCalibEq300!$AZ$2:$BB$55,3,)))</f>
        <v>0</v>
      </c>
      <c r="AS2291" s="10" t="b">
        <f>IF(AND(I2291="TP",S2291&lt;=500),VLOOKUP(AF2291,TPCalibEq500!$AZ$2:$BB$56,3,),IF(AND(I2291="TDP",S2291&lt;=500),VLOOKUP(AF2291,TPCalibEq500!$AZ$2:$BB$56,3,)))</f>
        <v>0</v>
      </c>
      <c r="AT2291" s="10" t="b">
        <f>IF(AND(I2291="TN",S2291&lt;=2800),VLOOKUP(AF2291,TNCalibEq2500!$AZ$2:$BB$56,3,),IF(AND(I2291="TDN",S2291&lt;=2800),VLOOKUP(AF2291,TNCalibEq2500!$AZ$2:$BB$56,3,)))</f>
        <v>0</v>
      </c>
      <c r="AU2291" s="10" t="b">
        <f>IF(I2291="TP",VLOOKUP(AF2291,TPCalibEqFull!$AZ$2:$BB$56,3),IF(I2291="TDP",VLOOKUP(AF2291,TPCalibEqFull!$AZ$2:$BB$56,3),IF(I2291="TDN",VLOOKUP(AF2291,TNCalibEqFull!$AZ$1:$BB$56,3),IF(I2291="TN",VLOOKUP(AF2291,TNCalibEqFull!$AZ$1:$BB$56,3),FALSE))))</f>
        <v>0</v>
      </c>
      <c r="AV2291" s="10" t="str">
        <f t="shared" si="261"/>
        <v>0206 10:10:00-ELI-0-FIL-1-SW-UKN</v>
      </c>
    </row>
    <row r="2292" spans="1:48" s="10" customFormat="1" x14ac:dyDescent="0.55000000000000004">
      <c r="A2292" s="32">
        <v>44963</v>
      </c>
      <c r="B2292" s="33">
        <v>0.44930555555555557</v>
      </c>
      <c r="C2292" s="10" t="s">
        <v>999</v>
      </c>
      <c r="D2292" s="10">
        <v>0</v>
      </c>
      <c r="E2292" s="10" t="s">
        <v>911</v>
      </c>
      <c r="F2292" s="10">
        <v>1</v>
      </c>
      <c r="G2292" s="10" t="s">
        <v>231</v>
      </c>
      <c r="H2292" s="10" t="s">
        <v>322</v>
      </c>
      <c r="I2292" s="10" t="s">
        <v>167</v>
      </c>
      <c r="J2292" s="10">
        <v>77</v>
      </c>
      <c r="K2292" s="12">
        <v>44966</v>
      </c>
      <c r="L2292" s="33">
        <v>0.55456018518518524</v>
      </c>
      <c r="M2292" s="10">
        <v>1</v>
      </c>
      <c r="N2292" s="10" t="s">
        <v>211</v>
      </c>
      <c r="O2292" s="10">
        <v>0.21</v>
      </c>
      <c r="P2292" s="10">
        <v>1.9199999999999998E-2</v>
      </c>
      <c r="Q2292" s="10">
        <v>35.799999999999997</v>
      </c>
      <c r="R2292" s="10" t="s">
        <v>913</v>
      </c>
      <c r="S2292" s="34">
        <f t="shared" si="256"/>
        <v>35.799999999999997</v>
      </c>
      <c r="T2292" s="10" t="s">
        <v>1166</v>
      </c>
      <c r="U2292" s="34" t="str">
        <f t="shared" si="259"/>
        <v/>
      </c>
      <c r="V2292" s="31" t="str">
        <f>IF(H2292="CHK",VLOOKUP(I2292,QCCHK,3,),IF(H2292="GUP",VLOOKUP(E2292,QCGUP,2,),IF(AND(H2292="ATP",OR(I2292="TN",I2292="TDN",I2292="TNO2-3",I2292="NO2-3")),VLOOKUP(E2292,QCREC_N,2,),IF(AND(H2292="NIC",OR(I2292="TN",I2292="TDN",I2292="TNO2-3",I2292="NO2-3")),VLOOKUP(E2292,QCNIC_N,2,),IF(AND(H2292="UREA",OR(I2292="TN",I2292="TDN",I2292="TNO2-3",I2292="NO2-3")),VLOOKUP(E2292,QCUREA_N,2,),IF(H2292="PER",VLOOKUP(I2292,QCPER,MATCH(E2292,QCACTUAL!$J$25:$AA$25,0),),IF(H2292="SPK",VLOOKUP(I2292,QCSPK,3,),IF(AND(H2292="ATP",OR(I2292="TP",I2292="TDP")),VLOOKUP(E2292,QCATP_P,2,),""))))))))</f>
        <v/>
      </c>
      <c r="W2292" s="31" t="str">
        <f t="shared" si="260"/>
        <v>TRUE</v>
      </c>
      <c r="X2292" s="31" t="str">
        <f t="shared" si="255"/>
        <v/>
      </c>
      <c r="Y2292" s="10" t="s">
        <v>1144</v>
      </c>
      <c r="Z2292" s="10" t="s">
        <v>910</v>
      </c>
      <c r="AL2292" s="10" t="str">
        <f t="shared" si="257"/>
        <v>FALSE</v>
      </c>
      <c r="AM2292" s="10" t="str">
        <f t="shared" si="257"/>
        <v>FALSE</v>
      </c>
      <c r="AN2292" s="10" t="str">
        <f t="shared" si="257"/>
        <v>FALSE</v>
      </c>
      <c r="AO2292" s="10" t="str">
        <f t="shared" si="258"/>
        <v>FALSE</v>
      </c>
      <c r="AP2292" s="10" t="str">
        <f t="shared" si="258"/>
        <v>FALSE</v>
      </c>
      <c r="AQ2292" s="10" t="b">
        <f>IF(AND(I2292="TP",S2292&lt;=150),VLOOKUP(AF2292,TPCalibEq150!$AZ$2:$BB$55,3,),IF(AND(I2292="TDP",S2292&lt;=150),VLOOKUP(AF2292,TPCalibEq150!$AZ$2:$BB$55,3,)))</f>
        <v>0</v>
      </c>
      <c r="AR2292" s="10" t="b">
        <f>IF(AND(I2292="TP",S2292&lt;=300),VLOOKUP(AF2292,TPCalibEq300!$AZ$2:$BB$55,3,),IF(AND(I2292="TDP",S2292&lt;=300),VLOOKUP(AF2292,TPCalibEq300!$AZ$2:$BB$55,3,)))</f>
        <v>0</v>
      </c>
      <c r="AS2292" s="10" t="b">
        <f>IF(AND(I2292="TP",S2292&lt;=500),VLOOKUP(AF2292,TPCalibEq500!$AZ$2:$BB$56,3,),IF(AND(I2292="TDP",S2292&lt;=500),VLOOKUP(AF2292,TPCalibEq500!$AZ$2:$BB$56,3,)))</f>
        <v>0</v>
      </c>
      <c r="AT2292" s="10" t="b">
        <f>IF(AND(I2292="TN",S2292&lt;=2800),VLOOKUP(AF2292,TNCalibEq2500!$AZ$2:$BB$56,3,),IF(AND(I2292="TDN",S2292&lt;=2800),VLOOKUP(AF2292,TNCalibEq2500!$AZ$2:$BB$56,3,)))</f>
        <v>0</v>
      </c>
      <c r="AU2292" s="10" t="b">
        <f>IF(I2292="TP",VLOOKUP(AF2292,TPCalibEqFull!$AZ$2:$BB$56,3),IF(I2292="TDP",VLOOKUP(AF2292,TPCalibEqFull!$AZ$2:$BB$56,3),IF(I2292="TDN",VLOOKUP(AF2292,TNCalibEqFull!$AZ$1:$BB$56,3),IF(I2292="TN",VLOOKUP(AF2292,TNCalibEqFull!$AZ$1:$BB$56,3),FALSE))))</f>
        <v>0</v>
      </c>
      <c r="AV2292" s="10" t="str">
        <f t="shared" si="261"/>
        <v>0206 10:47:00-EAW-0-FIL-1-SW-UKN</v>
      </c>
    </row>
    <row r="2293" spans="1:48" s="10" customFormat="1" x14ac:dyDescent="0.55000000000000004">
      <c r="A2293" s="32">
        <v>44963</v>
      </c>
      <c r="B2293" s="33">
        <v>0.4604166666666667</v>
      </c>
      <c r="C2293" s="10" t="s">
        <v>613</v>
      </c>
      <c r="D2293" s="10">
        <v>0</v>
      </c>
      <c r="E2293" s="10" t="s">
        <v>911</v>
      </c>
      <c r="F2293" s="10">
        <v>1</v>
      </c>
      <c r="G2293" s="10" t="s">
        <v>231</v>
      </c>
      <c r="H2293" s="10" t="s">
        <v>322</v>
      </c>
      <c r="I2293" s="10" t="s">
        <v>167</v>
      </c>
      <c r="J2293" s="10">
        <v>78</v>
      </c>
      <c r="K2293" s="12">
        <v>44966</v>
      </c>
      <c r="L2293" s="33">
        <v>0.55538194444444444</v>
      </c>
      <c r="M2293" s="10">
        <v>1</v>
      </c>
      <c r="N2293" s="10" t="s">
        <v>211</v>
      </c>
      <c r="O2293" s="10">
        <v>0.36899999999999999</v>
      </c>
      <c r="P2293" s="10">
        <v>3.3099999999999997E-2</v>
      </c>
      <c r="Q2293" s="10">
        <v>63.4</v>
      </c>
      <c r="R2293" s="10" t="s">
        <v>913</v>
      </c>
      <c r="S2293" s="34">
        <f t="shared" si="256"/>
        <v>63.4</v>
      </c>
      <c r="T2293" s="10" t="s">
        <v>1166</v>
      </c>
      <c r="U2293" s="34" t="str">
        <f t="shared" si="259"/>
        <v/>
      </c>
      <c r="V2293" s="31" t="str">
        <f>IF(H2293="CHK",VLOOKUP(I2293,QCCHK,3,),IF(H2293="GUP",VLOOKUP(E2293,QCGUP,2,),IF(AND(H2293="ATP",OR(I2293="TN",I2293="TDN",I2293="TNO2-3",I2293="NO2-3")),VLOOKUP(E2293,QCREC_N,2,),IF(AND(H2293="NIC",OR(I2293="TN",I2293="TDN",I2293="TNO2-3",I2293="NO2-3")),VLOOKUP(E2293,QCNIC_N,2,),IF(AND(H2293="UREA",OR(I2293="TN",I2293="TDN",I2293="TNO2-3",I2293="NO2-3")),VLOOKUP(E2293,QCUREA_N,2,),IF(H2293="PER",VLOOKUP(I2293,QCPER,MATCH(E2293,QCACTUAL!$J$25:$AA$25,0),),IF(H2293="SPK",VLOOKUP(I2293,QCSPK,3,),IF(AND(H2293="ATP",OR(I2293="TP",I2293="TDP")),VLOOKUP(E2293,QCATP_P,2,),""))))))))</f>
        <v/>
      </c>
      <c r="W2293" s="31" t="str">
        <f t="shared" si="260"/>
        <v>TRUE</v>
      </c>
      <c r="X2293" s="31" t="str">
        <f t="shared" si="255"/>
        <v/>
      </c>
      <c r="Y2293" s="10" t="s">
        <v>1144</v>
      </c>
      <c r="Z2293" s="10" t="s">
        <v>910</v>
      </c>
      <c r="AL2293" s="10" t="str">
        <f t="shared" si="257"/>
        <v>FALSE</v>
      </c>
      <c r="AM2293" s="10" t="str">
        <f t="shared" si="257"/>
        <v>FALSE</v>
      </c>
      <c r="AN2293" s="10" t="str">
        <f t="shared" si="257"/>
        <v>FALSE</v>
      </c>
      <c r="AO2293" s="10" t="str">
        <f t="shared" si="258"/>
        <v>FALSE</v>
      </c>
      <c r="AP2293" s="10" t="str">
        <f t="shared" si="258"/>
        <v>FALSE</v>
      </c>
      <c r="AQ2293" s="10" t="b">
        <f>IF(AND(I2293="TP",S2293&lt;=150),VLOOKUP(AF2293,TPCalibEq150!$AZ$2:$BB$55,3,),IF(AND(I2293="TDP",S2293&lt;=150),VLOOKUP(AF2293,TPCalibEq150!$AZ$2:$BB$55,3,)))</f>
        <v>0</v>
      </c>
      <c r="AR2293" s="10" t="b">
        <f>IF(AND(I2293="TP",S2293&lt;=300),VLOOKUP(AF2293,TPCalibEq300!$AZ$2:$BB$55,3,),IF(AND(I2293="TDP",S2293&lt;=300),VLOOKUP(AF2293,TPCalibEq300!$AZ$2:$BB$55,3,)))</f>
        <v>0</v>
      </c>
      <c r="AS2293" s="10" t="b">
        <f>IF(AND(I2293="TP",S2293&lt;=500),VLOOKUP(AF2293,TPCalibEq500!$AZ$2:$BB$56,3,),IF(AND(I2293="TDP",S2293&lt;=500),VLOOKUP(AF2293,TPCalibEq500!$AZ$2:$BB$56,3,)))</f>
        <v>0</v>
      </c>
      <c r="AT2293" s="10" t="b">
        <f>IF(AND(I2293="TN",S2293&lt;=2800),VLOOKUP(AF2293,TNCalibEq2500!$AZ$2:$BB$56,3,),IF(AND(I2293="TDN",S2293&lt;=2800),VLOOKUP(AF2293,TNCalibEq2500!$AZ$2:$BB$56,3,)))</f>
        <v>0</v>
      </c>
      <c r="AU2293" s="10" t="b">
        <f>IF(I2293="TP",VLOOKUP(AF2293,TPCalibEqFull!$AZ$2:$BB$56,3),IF(I2293="TDP",VLOOKUP(AF2293,TPCalibEqFull!$AZ$2:$BB$56,3),IF(I2293="TDN",VLOOKUP(AF2293,TNCalibEqFull!$AZ$1:$BB$56,3),IF(I2293="TN",VLOOKUP(AF2293,TNCalibEqFull!$AZ$1:$BB$56,3),FALSE))))</f>
        <v>0</v>
      </c>
      <c r="AV2293" s="10" t="str">
        <f t="shared" si="261"/>
        <v>0206 11:03:00-FVC-0-FIL-1-SW-UKN</v>
      </c>
    </row>
    <row r="2294" spans="1:48" s="10" customFormat="1" x14ac:dyDescent="0.55000000000000004">
      <c r="A2294" s="32">
        <v>44963</v>
      </c>
      <c r="B2294" s="33">
        <v>0.4604166666666667</v>
      </c>
      <c r="C2294" s="10" t="s">
        <v>613</v>
      </c>
      <c r="D2294" s="10">
        <v>0</v>
      </c>
      <c r="E2294" s="10" t="s">
        <v>911</v>
      </c>
      <c r="F2294" s="10">
        <v>2</v>
      </c>
      <c r="G2294" s="10" t="s">
        <v>231</v>
      </c>
      <c r="H2294" s="10" t="s">
        <v>322</v>
      </c>
      <c r="I2294" s="10" t="s">
        <v>167</v>
      </c>
      <c r="J2294" s="10">
        <v>79</v>
      </c>
      <c r="K2294" s="12">
        <v>44966</v>
      </c>
      <c r="L2294" s="33">
        <v>0.55620370370370364</v>
      </c>
      <c r="M2294" s="10">
        <v>1</v>
      </c>
      <c r="N2294" s="10" t="s">
        <v>211</v>
      </c>
      <c r="O2294" s="10">
        <v>0.441</v>
      </c>
      <c r="P2294" s="10">
        <v>4.1099999999999998E-2</v>
      </c>
      <c r="Q2294" s="10">
        <v>75.900000000000006</v>
      </c>
      <c r="R2294" s="10" t="s">
        <v>913</v>
      </c>
      <c r="S2294" s="34">
        <f t="shared" si="256"/>
        <v>75.900000000000006</v>
      </c>
      <c r="T2294" s="10" t="s">
        <v>1166</v>
      </c>
      <c r="U2294" s="34" t="str">
        <f t="shared" si="259"/>
        <v/>
      </c>
      <c r="V2294" s="31" t="str">
        <f>IF(H2294="CHK",VLOOKUP(I2294,QCCHK,3,),IF(H2294="GUP",VLOOKUP(E2294,QCGUP,2,),IF(AND(H2294="ATP",OR(I2294="TN",I2294="TDN",I2294="TNO2-3",I2294="NO2-3")),VLOOKUP(E2294,QCREC_N,2,),IF(AND(H2294="NIC",OR(I2294="TN",I2294="TDN",I2294="TNO2-3",I2294="NO2-3")),VLOOKUP(E2294,QCNIC_N,2,),IF(AND(H2294="UREA",OR(I2294="TN",I2294="TDN",I2294="TNO2-3",I2294="NO2-3")),VLOOKUP(E2294,QCUREA_N,2,),IF(H2294="PER",VLOOKUP(I2294,QCPER,MATCH(E2294,QCACTUAL!$J$25:$AA$25,0),),IF(H2294="SPK",VLOOKUP(I2294,QCSPK,3,),IF(AND(H2294="ATP",OR(I2294="TP",I2294="TDP")),VLOOKUP(E2294,QCATP_P,2,),""))))))))</f>
        <v/>
      </c>
      <c r="W2294" s="31" t="str">
        <f t="shared" si="260"/>
        <v>TRUE</v>
      </c>
      <c r="X2294" s="31" t="str">
        <f t="shared" si="255"/>
        <v/>
      </c>
      <c r="Y2294" s="10" t="s">
        <v>1144</v>
      </c>
      <c r="Z2294" s="10" t="s">
        <v>910</v>
      </c>
      <c r="AL2294" s="10" t="str">
        <f t="shared" si="257"/>
        <v>FALSE</v>
      </c>
      <c r="AM2294" s="10" t="str">
        <f t="shared" si="257"/>
        <v>FALSE</v>
      </c>
      <c r="AN2294" s="10" t="str">
        <f t="shared" si="257"/>
        <v>FALSE</v>
      </c>
      <c r="AO2294" s="10" t="str">
        <f t="shared" si="258"/>
        <v>FALSE</v>
      </c>
      <c r="AP2294" s="10" t="str">
        <f t="shared" si="258"/>
        <v>FALSE</v>
      </c>
      <c r="AQ2294" s="10" t="b">
        <f>IF(AND(I2294="TP",S2294&lt;=150),VLOOKUP(AF2294,TPCalibEq150!$AZ$2:$BB$55,3,),IF(AND(I2294="TDP",S2294&lt;=150),VLOOKUP(AF2294,TPCalibEq150!$AZ$2:$BB$55,3,)))</f>
        <v>0</v>
      </c>
      <c r="AR2294" s="10" t="b">
        <f>IF(AND(I2294="TP",S2294&lt;=300),VLOOKUP(AF2294,TPCalibEq300!$AZ$2:$BB$55,3,),IF(AND(I2294="TDP",S2294&lt;=300),VLOOKUP(AF2294,TPCalibEq300!$AZ$2:$BB$55,3,)))</f>
        <v>0</v>
      </c>
      <c r="AS2294" s="10" t="b">
        <f>IF(AND(I2294="TP",S2294&lt;=500),VLOOKUP(AF2294,TPCalibEq500!$AZ$2:$BB$56,3,),IF(AND(I2294="TDP",S2294&lt;=500),VLOOKUP(AF2294,TPCalibEq500!$AZ$2:$BB$56,3,)))</f>
        <v>0</v>
      </c>
      <c r="AT2294" s="10" t="b">
        <f>IF(AND(I2294="TN",S2294&lt;=2800),VLOOKUP(AF2294,TNCalibEq2500!$AZ$2:$BB$56,3,),IF(AND(I2294="TDN",S2294&lt;=2800),VLOOKUP(AF2294,TNCalibEq2500!$AZ$2:$BB$56,3,)))</f>
        <v>0</v>
      </c>
      <c r="AU2294" s="10" t="b">
        <f>IF(I2294="TP",VLOOKUP(AF2294,TPCalibEqFull!$AZ$2:$BB$56,3),IF(I2294="TDP",VLOOKUP(AF2294,TPCalibEqFull!$AZ$2:$BB$56,3),IF(I2294="TDN",VLOOKUP(AF2294,TNCalibEqFull!$AZ$1:$BB$56,3),IF(I2294="TN",VLOOKUP(AF2294,TNCalibEqFull!$AZ$1:$BB$56,3),FALSE))))</f>
        <v>0</v>
      </c>
      <c r="AV2294" s="10" t="str">
        <f t="shared" si="261"/>
        <v>0206 11:03:00-FVC-0-FIL-2-SW-UKN</v>
      </c>
    </row>
    <row r="2295" spans="1:48" s="10" customFormat="1" x14ac:dyDescent="0.55000000000000004">
      <c r="A2295" s="32">
        <v>44963</v>
      </c>
      <c r="B2295" s="33">
        <v>0.4604166666666667</v>
      </c>
      <c r="C2295" s="10" t="s">
        <v>613</v>
      </c>
      <c r="D2295" s="10">
        <v>0</v>
      </c>
      <c r="E2295" s="10" t="s">
        <v>911</v>
      </c>
      <c r="F2295" s="10">
        <v>2</v>
      </c>
      <c r="G2295" s="10" t="s">
        <v>231</v>
      </c>
      <c r="H2295" s="10" t="s">
        <v>233</v>
      </c>
      <c r="I2295" s="10" t="s">
        <v>167</v>
      </c>
      <c r="J2295" s="10">
        <v>79</v>
      </c>
      <c r="K2295" s="12">
        <v>44966</v>
      </c>
      <c r="L2295" s="33">
        <v>0.55701388888888892</v>
      </c>
      <c r="M2295" s="10">
        <v>1</v>
      </c>
      <c r="N2295" s="10" t="s">
        <v>211</v>
      </c>
      <c r="O2295" s="10">
        <v>0.16500000000000001</v>
      </c>
      <c r="P2295" s="10">
        <v>1.4800000000000001E-2</v>
      </c>
      <c r="Q2295" s="10">
        <v>28</v>
      </c>
      <c r="R2295" s="10" t="s">
        <v>913</v>
      </c>
      <c r="S2295" s="34">
        <f t="shared" si="256"/>
        <v>28</v>
      </c>
      <c r="T2295" s="10" t="s">
        <v>1166</v>
      </c>
      <c r="U2295" s="34">
        <f t="shared" si="259"/>
        <v>92.204042348411946</v>
      </c>
      <c r="V2295" s="31" t="str">
        <f>IF(H2295="CHK",VLOOKUP(I2295,QCCHK,3,),IF(H2295="GUP",VLOOKUP(E2295,QCGUP,2,),IF(AND(H2295="ATP",OR(I2295="TN",I2295="TDN",I2295="TNO2-3",I2295="NO2-3")),VLOOKUP(E2295,QCREC_N,2,),IF(AND(H2295="NIC",OR(I2295="TN",I2295="TDN",I2295="TNO2-3",I2295="NO2-3")),VLOOKUP(E2295,QCNIC_N,2,),IF(AND(H2295="UREA",OR(I2295="TN",I2295="TDN",I2295="TNO2-3",I2295="NO2-3")),VLOOKUP(E2295,QCUREA_N,2,),IF(H2295="PER",VLOOKUP(I2295,QCPER,MATCH(E2295,QCACTUAL!$J$25:$AA$25,0),),IF(H2295="SPK",VLOOKUP(I2295,QCSPK,3,),IF(AND(H2295="ATP",OR(I2295="TP",I2295="TDP")),VLOOKUP(E2295,QCATP_P,2,),""))))))))</f>
        <v/>
      </c>
      <c r="W2295" s="31" t="str">
        <f t="shared" si="260"/>
        <v>FALSE</v>
      </c>
      <c r="X2295" s="31" t="str">
        <f t="shared" si="255"/>
        <v>((ABS(rep1-rep2))/((rep1+rep2)/2)*100</v>
      </c>
      <c r="Y2295" s="10" t="s">
        <v>1144</v>
      </c>
      <c r="Z2295" s="10" t="s">
        <v>910</v>
      </c>
      <c r="AL2295" s="10" t="str">
        <f t="shared" si="257"/>
        <v>FALSE</v>
      </c>
      <c r="AM2295" s="10" t="str">
        <f t="shared" si="257"/>
        <v>FALSE</v>
      </c>
      <c r="AN2295" s="10" t="str">
        <f t="shared" si="257"/>
        <v>FALSE</v>
      </c>
      <c r="AO2295" s="10" t="str">
        <f t="shared" si="258"/>
        <v>FALSE</v>
      </c>
      <c r="AP2295" s="10" t="str">
        <f t="shared" si="258"/>
        <v>FALSE</v>
      </c>
      <c r="AQ2295" s="10" t="b">
        <f>IF(AND(I2295="TP",S2295&lt;=150),VLOOKUP(AF2295,TPCalibEq150!$AZ$2:$BB$55,3,),IF(AND(I2295="TDP",S2295&lt;=150),VLOOKUP(AF2295,TPCalibEq150!$AZ$2:$BB$55,3,)))</f>
        <v>0</v>
      </c>
      <c r="AR2295" s="10" t="b">
        <f>IF(AND(I2295="TP",S2295&lt;=300),VLOOKUP(AF2295,TPCalibEq300!$AZ$2:$BB$55,3,),IF(AND(I2295="TDP",S2295&lt;=300),VLOOKUP(AF2295,TPCalibEq300!$AZ$2:$BB$55,3,)))</f>
        <v>0</v>
      </c>
      <c r="AS2295" s="10" t="b">
        <f>IF(AND(I2295="TP",S2295&lt;=500),VLOOKUP(AF2295,TPCalibEq500!$AZ$2:$BB$56,3,),IF(AND(I2295="TDP",S2295&lt;=500),VLOOKUP(AF2295,TPCalibEq500!$AZ$2:$BB$56,3,)))</f>
        <v>0</v>
      </c>
      <c r="AT2295" s="10" t="b">
        <f>IF(AND(I2295="TN",S2295&lt;=2800),VLOOKUP(AF2295,TNCalibEq2500!$AZ$2:$BB$56,3,),IF(AND(I2295="TDN",S2295&lt;=2800),VLOOKUP(AF2295,TNCalibEq2500!$AZ$2:$BB$56,3,)))</f>
        <v>0</v>
      </c>
      <c r="AU2295" s="10" t="b">
        <f>IF(I2295="TP",VLOOKUP(AF2295,TPCalibEqFull!$AZ$2:$BB$56,3),IF(I2295="TDP",VLOOKUP(AF2295,TPCalibEqFull!$AZ$2:$BB$56,3),IF(I2295="TDN",VLOOKUP(AF2295,TNCalibEqFull!$AZ$1:$BB$56,3),IF(I2295="TN",VLOOKUP(AF2295,TNCalibEqFull!$AZ$1:$BB$56,3),FALSE))))</f>
        <v>0</v>
      </c>
      <c r="AV2295" s="10" t="str">
        <f t="shared" si="261"/>
        <v>0206 11:03:00-FVC-0-FIL-2-SW-DUP</v>
      </c>
    </row>
    <row r="2296" spans="1:48" s="10" customFormat="1" x14ac:dyDescent="0.55000000000000004">
      <c r="A2296" s="32">
        <v>44963</v>
      </c>
      <c r="B2296" s="33">
        <v>0.4604166666666667</v>
      </c>
      <c r="C2296" s="10" t="s">
        <v>613</v>
      </c>
      <c r="D2296" s="10">
        <v>0</v>
      </c>
      <c r="E2296" s="10" t="s">
        <v>911</v>
      </c>
      <c r="F2296" s="10">
        <v>2</v>
      </c>
      <c r="G2296" s="10" t="s">
        <v>231</v>
      </c>
      <c r="H2296" s="10" t="s">
        <v>314</v>
      </c>
      <c r="I2296" s="10" t="s">
        <v>167</v>
      </c>
      <c r="J2296" s="10">
        <v>37</v>
      </c>
      <c r="K2296" s="12">
        <v>44966</v>
      </c>
      <c r="L2296" s="33">
        <v>0.55783564814814812</v>
      </c>
      <c r="M2296" s="10">
        <v>1</v>
      </c>
      <c r="N2296" s="10" t="s">
        <v>211</v>
      </c>
      <c r="O2296" s="10">
        <v>0.20699999999999999</v>
      </c>
      <c r="P2296" s="10">
        <v>1.37E-2</v>
      </c>
      <c r="Q2296" s="10">
        <v>35.299999999999997</v>
      </c>
      <c r="R2296" s="10" t="s">
        <v>913</v>
      </c>
      <c r="S2296" s="34">
        <f t="shared" si="256"/>
        <v>35.299999999999997</v>
      </c>
      <c r="T2296" s="10" t="s">
        <v>1166</v>
      </c>
      <c r="U2296" s="34">
        <f t="shared" si="259"/>
        <v>4.6719999999999988</v>
      </c>
      <c r="V2296" s="31">
        <f>IF(H2296="CHK",VLOOKUP(I2296,QCCHK,3,),IF(H2296="GUP",VLOOKUP(E2296,QCGUP,2,),IF(AND(H2296="ATP",OR(I2296="TN",I2296="TDN",I2296="TNO2-3",I2296="NO2-3")),VLOOKUP(E2296,QCREC_N,2,),IF(AND(H2296="NIC",OR(I2296="TN",I2296="TDN",I2296="TNO2-3",I2296="NO2-3")),VLOOKUP(E2296,QCNIC_N,2,),IF(AND(H2296="UREA",OR(I2296="TN",I2296="TDN",I2296="TNO2-3",I2296="NO2-3")),VLOOKUP(E2296,QCUREA_N,2,),IF(H2296="PER",VLOOKUP(I2296,QCPER,MATCH(E2296,QCACTUAL!$J$25:$AA$25,0),),IF(H2296="SPK",VLOOKUP(I2296,QCSPK,3,),IF(AND(H2296="ATP",OR(I2296="TP",I2296="TDP")),VLOOKUP(E2296,QCATP_P,2,),""))))))))</f>
        <v>156.25</v>
      </c>
      <c r="W2296" s="31" t="str">
        <f t="shared" si="260"/>
        <v>FALSE</v>
      </c>
      <c r="X2296" s="31" t="str">
        <f t="shared" si="255"/>
        <v>([spikedunkn]-[unkn])/[spike]*100</v>
      </c>
      <c r="Y2296" s="10" t="s">
        <v>1144</v>
      </c>
      <c r="Z2296" s="10" t="s">
        <v>910</v>
      </c>
      <c r="AL2296" s="10" t="str">
        <f t="shared" si="257"/>
        <v>FALSE</v>
      </c>
      <c r="AM2296" s="10" t="str">
        <f t="shared" si="257"/>
        <v>FALSE</v>
      </c>
      <c r="AN2296" s="10" t="str">
        <f t="shared" si="257"/>
        <v>FALSE</v>
      </c>
      <c r="AO2296" s="10" t="str">
        <f t="shared" si="258"/>
        <v>FALSE</v>
      </c>
      <c r="AP2296" s="10" t="str">
        <f t="shared" si="258"/>
        <v>FALSE</v>
      </c>
      <c r="AQ2296" s="10" t="b">
        <f>IF(AND(I2296="TP",S2296&lt;=150),VLOOKUP(AF2296,TPCalibEq150!$AZ$2:$BB$55,3,),IF(AND(I2296="TDP",S2296&lt;=150),VLOOKUP(AF2296,TPCalibEq150!$AZ$2:$BB$55,3,)))</f>
        <v>0</v>
      </c>
      <c r="AR2296" s="10" t="b">
        <f>IF(AND(I2296="TP",S2296&lt;=300),VLOOKUP(AF2296,TPCalibEq300!$AZ$2:$BB$55,3,),IF(AND(I2296="TDP",S2296&lt;=300),VLOOKUP(AF2296,TPCalibEq300!$AZ$2:$BB$55,3,)))</f>
        <v>0</v>
      </c>
      <c r="AS2296" s="10" t="b">
        <f>IF(AND(I2296="TP",S2296&lt;=500),VLOOKUP(AF2296,TPCalibEq500!$AZ$2:$BB$56,3,),IF(AND(I2296="TDP",S2296&lt;=500),VLOOKUP(AF2296,TPCalibEq500!$AZ$2:$BB$56,3,)))</f>
        <v>0</v>
      </c>
      <c r="AT2296" s="10" t="b">
        <f>IF(AND(I2296="TN",S2296&lt;=2800),VLOOKUP(AF2296,TNCalibEq2500!$AZ$2:$BB$56,3,),IF(AND(I2296="TDN",S2296&lt;=2800),VLOOKUP(AF2296,TNCalibEq2500!$AZ$2:$BB$56,3,)))</f>
        <v>0</v>
      </c>
      <c r="AU2296" s="10" t="b">
        <f>IF(I2296="TP",VLOOKUP(AF2296,TPCalibEqFull!$AZ$2:$BB$56,3),IF(I2296="TDP",VLOOKUP(AF2296,TPCalibEqFull!$AZ$2:$BB$56,3),IF(I2296="TDN",VLOOKUP(AF2296,TNCalibEqFull!$AZ$1:$BB$56,3),IF(I2296="TN",VLOOKUP(AF2296,TNCalibEqFull!$AZ$1:$BB$56,3),FALSE))))</f>
        <v>0</v>
      </c>
      <c r="AV2296" s="10" t="str">
        <f t="shared" si="261"/>
        <v>0206 11:03:00-FVC-0-FIL-2-SW-SPK</v>
      </c>
    </row>
    <row r="2297" spans="1:48" s="10" customFormat="1" x14ac:dyDescent="0.55000000000000004">
      <c r="A2297" s="32">
        <v>44963</v>
      </c>
      <c r="B2297" s="33">
        <v>0.4604166666666667</v>
      </c>
      <c r="C2297" s="10" t="s">
        <v>613</v>
      </c>
      <c r="D2297" s="10">
        <v>0</v>
      </c>
      <c r="E2297" s="10" t="s">
        <v>911</v>
      </c>
      <c r="F2297" s="10">
        <v>2</v>
      </c>
      <c r="G2297" s="10" t="s">
        <v>231</v>
      </c>
      <c r="H2297" s="10" t="s">
        <v>314</v>
      </c>
      <c r="I2297" s="10" t="s">
        <v>167</v>
      </c>
      <c r="J2297" s="10">
        <v>113</v>
      </c>
      <c r="K2297" s="12">
        <v>44966</v>
      </c>
      <c r="L2297" s="33">
        <v>0.55865740740740744</v>
      </c>
      <c r="M2297" s="10">
        <v>1</v>
      </c>
      <c r="N2297" s="10" t="s">
        <v>211</v>
      </c>
      <c r="O2297" s="10">
        <v>0.53100000000000003</v>
      </c>
      <c r="P2297" s="10">
        <v>4.9799999999999997E-2</v>
      </c>
      <c r="Q2297" s="10">
        <v>91.4</v>
      </c>
      <c r="R2297" s="10" t="s">
        <v>913</v>
      </c>
      <c r="S2297" s="34">
        <f t="shared" si="256"/>
        <v>91.4</v>
      </c>
      <c r="T2297" s="10" t="s">
        <v>1166</v>
      </c>
      <c r="U2297" s="34">
        <f t="shared" si="259"/>
        <v>35.904000000000011</v>
      </c>
      <c r="V2297" s="31">
        <f>IF(H2297="CHK",VLOOKUP(I2297,QCCHK,3,),IF(H2297="GUP",VLOOKUP(E2297,QCGUP,2,),IF(AND(H2297="ATP",OR(I2297="TN",I2297="TDN",I2297="TNO2-3",I2297="NO2-3")),VLOOKUP(E2297,QCREC_N,2,),IF(AND(H2297="NIC",OR(I2297="TN",I2297="TDN",I2297="TNO2-3",I2297="NO2-3")),VLOOKUP(E2297,QCNIC_N,2,),IF(AND(H2297="UREA",OR(I2297="TN",I2297="TDN",I2297="TNO2-3",I2297="NO2-3")),VLOOKUP(E2297,QCUREA_N,2,),IF(H2297="PER",VLOOKUP(I2297,QCPER,MATCH(E2297,QCACTUAL!$J$25:$AA$25,0),),IF(H2297="SPK",VLOOKUP(I2297,QCSPK,3,),IF(AND(H2297="ATP",OR(I2297="TP",I2297="TDP")),VLOOKUP(E2297,QCATP_P,2,),""))))))))</f>
        <v>156.25</v>
      </c>
      <c r="W2297" s="31" t="str">
        <f t="shared" si="260"/>
        <v>FALSE</v>
      </c>
      <c r="X2297" s="31" t="str">
        <f t="shared" si="255"/>
        <v>([spikedunkn]-[unkn])/[spike]*100</v>
      </c>
      <c r="Y2297" s="10" t="s">
        <v>1144</v>
      </c>
      <c r="Z2297" s="10" t="s">
        <v>910</v>
      </c>
      <c r="AL2297" s="10" t="str">
        <f t="shared" si="257"/>
        <v>FALSE</v>
      </c>
      <c r="AM2297" s="10" t="str">
        <f t="shared" si="257"/>
        <v>FALSE</v>
      </c>
      <c r="AN2297" s="10" t="str">
        <f t="shared" si="257"/>
        <v>FALSE</v>
      </c>
      <c r="AO2297" s="10" t="str">
        <f t="shared" si="258"/>
        <v>FALSE</v>
      </c>
      <c r="AP2297" s="10" t="str">
        <f t="shared" si="258"/>
        <v>FALSE</v>
      </c>
      <c r="AQ2297" s="10" t="b">
        <f>IF(AND(I2297="TP",S2297&lt;=150),VLOOKUP(AF2297,TPCalibEq150!$AZ$2:$BB$55,3,),IF(AND(I2297="TDP",S2297&lt;=150),VLOOKUP(AF2297,TPCalibEq150!$AZ$2:$BB$55,3,)))</f>
        <v>0</v>
      </c>
      <c r="AR2297" s="10" t="b">
        <f>IF(AND(I2297="TP",S2297&lt;=300),VLOOKUP(AF2297,TPCalibEq300!$AZ$2:$BB$55,3,),IF(AND(I2297="TDP",S2297&lt;=300),VLOOKUP(AF2297,TPCalibEq300!$AZ$2:$BB$55,3,)))</f>
        <v>0</v>
      </c>
      <c r="AS2297" s="10" t="b">
        <f>IF(AND(I2297="TP",S2297&lt;=500),VLOOKUP(AF2297,TPCalibEq500!$AZ$2:$BB$56,3,),IF(AND(I2297="TDP",S2297&lt;=500),VLOOKUP(AF2297,TPCalibEq500!$AZ$2:$BB$56,3,)))</f>
        <v>0</v>
      </c>
      <c r="AT2297" s="10" t="b">
        <f>IF(AND(I2297="TN",S2297&lt;=2800),VLOOKUP(AF2297,TNCalibEq2500!$AZ$2:$BB$56,3,),IF(AND(I2297="TDN",S2297&lt;=2800),VLOOKUP(AF2297,TNCalibEq2500!$AZ$2:$BB$56,3,)))</f>
        <v>0</v>
      </c>
      <c r="AU2297" s="10" t="b">
        <f>IF(I2297="TP",VLOOKUP(AF2297,TPCalibEqFull!$AZ$2:$BB$56,3),IF(I2297="TDP",VLOOKUP(AF2297,TPCalibEqFull!$AZ$2:$BB$56,3),IF(I2297="TDN",VLOOKUP(AF2297,TNCalibEqFull!$AZ$1:$BB$56,3),IF(I2297="TN",VLOOKUP(AF2297,TNCalibEqFull!$AZ$1:$BB$56,3),FALSE))))</f>
        <v>0</v>
      </c>
      <c r="AV2297" s="10" t="str">
        <f t="shared" si="261"/>
        <v>0206 11:03:00-FVC-0-FIL-2-SW-SPK</v>
      </c>
    </row>
    <row r="2298" spans="1:48" s="10" customFormat="1" x14ac:dyDescent="0.55000000000000004">
      <c r="A2298" s="32">
        <v>44966</v>
      </c>
      <c r="B2298" s="33">
        <v>0.375</v>
      </c>
      <c r="C2298" s="10" t="s">
        <v>70</v>
      </c>
      <c r="D2298" s="10" t="s">
        <v>71</v>
      </c>
      <c r="E2298" s="10" t="s">
        <v>901</v>
      </c>
      <c r="F2298" s="10">
        <v>1</v>
      </c>
      <c r="G2298" s="10" t="s">
        <v>73</v>
      </c>
      <c r="H2298" s="10" t="s">
        <v>207</v>
      </c>
      <c r="I2298" s="10" t="s">
        <v>285</v>
      </c>
      <c r="J2298" s="10">
        <v>202</v>
      </c>
      <c r="K2298" s="12">
        <v>44966</v>
      </c>
      <c r="L2298" s="33">
        <v>0.55947916666666664</v>
      </c>
      <c r="M2298" s="10">
        <v>1</v>
      </c>
      <c r="N2298" s="10" t="s">
        <v>211</v>
      </c>
      <c r="O2298" s="10">
        <v>0.433</v>
      </c>
      <c r="P2298" s="10">
        <v>4.0599999999999997E-2</v>
      </c>
      <c r="Q2298" s="10">
        <v>74.400000000000006</v>
      </c>
      <c r="R2298" s="10" t="s">
        <v>913</v>
      </c>
      <c r="S2298" s="34">
        <f t="shared" si="256"/>
        <v>74.400000000000006</v>
      </c>
      <c r="T2298" s="10" t="s">
        <v>1166</v>
      </c>
      <c r="U2298" s="34">
        <f t="shared" si="259"/>
        <v>99.200000000000017</v>
      </c>
      <c r="V2298" s="31">
        <f>IF(H2298="CHK",VLOOKUP(I2298,QCCHK,3,),IF(H2298="GUP",VLOOKUP(E2298,QCGUP,2,),IF(AND(H2298="ATP",OR(I2298="TN",I2298="TDN",I2298="TNO2-3",I2298="NO2-3")),VLOOKUP(E2298,QCREC_N,2,),IF(AND(H2298="NIC",OR(I2298="TN",I2298="TDN",I2298="TNO2-3",I2298="NO2-3")),VLOOKUP(E2298,QCNIC_N,2,),IF(AND(H2298="UREA",OR(I2298="TN",I2298="TDN",I2298="TNO2-3",I2298="NO2-3")),VLOOKUP(E2298,QCUREA_N,2,),IF(H2298="PER",VLOOKUP(I2298,QCPER,MATCH(E2298,QCACTUAL!$J$25:$AA$25,0),),IF(H2298="SPK",VLOOKUP(I2298,QCSPK,3,),IF(AND(H2298="ATP",OR(I2298="TP",I2298="TDP")),VLOOKUP(E2298,QCATP_P,2,),""))))))))</f>
        <v>75</v>
      </c>
      <c r="W2298" s="31" t="str">
        <f t="shared" si="260"/>
        <v>TRUE</v>
      </c>
      <c r="X2298" s="31" t="str">
        <f t="shared" si="255"/>
        <v>[chk]/[actual]*100</v>
      </c>
      <c r="Y2298" s="10" t="s">
        <v>1144</v>
      </c>
      <c r="AL2298" s="10" t="str">
        <f t="shared" si="257"/>
        <v>FALSE</v>
      </c>
      <c r="AM2298" s="10" t="str">
        <f t="shared" si="257"/>
        <v>FALSE</v>
      </c>
      <c r="AN2298" s="10" t="str">
        <f t="shared" si="257"/>
        <v>FALSE</v>
      </c>
      <c r="AO2298" s="10" t="str">
        <f t="shared" si="258"/>
        <v>FALSE</v>
      </c>
      <c r="AP2298" s="10" t="str">
        <f t="shared" si="258"/>
        <v>FALSE</v>
      </c>
      <c r="AQ2298" s="10" t="b">
        <f>IF(AND(I2298="TP",S2298&lt;=150),VLOOKUP(AF2298,TPCalibEq150!$AZ$2:$BB$55,3,),IF(AND(I2298="TDP",S2298&lt;=150),VLOOKUP(AF2298,TPCalibEq150!$AZ$2:$BB$55,3,)))</f>
        <v>0</v>
      </c>
      <c r="AR2298" s="10" t="b">
        <f>IF(AND(I2298="TP",S2298&lt;=300),VLOOKUP(AF2298,TPCalibEq300!$AZ$2:$BB$55,3,),IF(AND(I2298="TDP",S2298&lt;=300),VLOOKUP(AF2298,TPCalibEq300!$AZ$2:$BB$55,3,)))</f>
        <v>0</v>
      </c>
      <c r="AS2298" s="10" t="b">
        <f>IF(AND(I2298="TP",S2298&lt;=500),VLOOKUP(AF2298,TPCalibEq500!$AZ$2:$BB$56,3,),IF(AND(I2298="TDP",S2298&lt;=500),VLOOKUP(AF2298,TPCalibEq500!$AZ$2:$BB$56,3,)))</f>
        <v>0</v>
      </c>
      <c r="AT2298" s="10" t="b">
        <f>IF(AND(I2298="TN",S2298&lt;=2800),VLOOKUP(AF2298,TNCalibEq2500!$AZ$2:$BB$56,3,),IF(AND(I2298="TDN",S2298&lt;=2800),VLOOKUP(AF2298,TNCalibEq2500!$AZ$2:$BB$56,3,)))</f>
        <v>0</v>
      </c>
      <c r="AU2298" s="10" t="b">
        <f>IF(I2298="TP",VLOOKUP(AF2298,TPCalibEqFull!$AZ$2:$BB$56,3),IF(I2298="TDP",VLOOKUP(AF2298,TPCalibEqFull!$AZ$2:$BB$56,3),IF(I2298="TDN",VLOOKUP(AF2298,TNCalibEqFull!$AZ$1:$BB$56,3),IF(I2298="TN",VLOOKUP(AF2298,TNCalibEqFull!$AZ$1:$BB$56,3),FALSE))))</f>
        <v>0</v>
      </c>
      <c r="AV2298" s="10" t="str">
        <f t="shared" si="261"/>
        <v>0209 09:00:00-QAC-STD-D-1-DI-CHK</v>
      </c>
    </row>
    <row r="2299" spans="1:48" s="10" customFormat="1" x14ac:dyDescent="0.55000000000000004">
      <c r="A2299" s="32">
        <v>44963</v>
      </c>
      <c r="B2299" s="33">
        <v>0.46875</v>
      </c>
      <c r="C2299" s="10" t="s">
        <v>250</v>
      </c>
      <c r="D2299" s="10">
        <v>0</v>
      </c>
      <c r="E2299" s="10" t="s">
        <v>911</v>
      </c>
      <c r="F2299" s="10">
        <v>1</v>
      </c>
      <c r="G2299" s="10" t="s">
        <v>231</v>
      </c>
      <c r="H2299" s="10" t="s">
        <v>322</v>
      </c>
      <c r="I2299" s="10" t="s">
        <v>167</v>
      </c>
      <c r="J2299" s="10">
        <v>80</v>
      </c>
      <c r="K2299" s="12">
        <v>44966</v>
      </c>
      <c r="L2299" s="33">
        <v>0.56030092592592595</v>
      </c>
      <c r="M2299" s="10">
        <v>1</v>
      </c>
      <c r="N2299" s="10" t="s">
        <v>211</v>
      </c>
      <c r="O2299" s="10">
        <v>0.224</v>
      </c>
      <c r="P2299" s="10">
        <v>2.06E-2</v>
      </c>
      <c r="Q2299" s="10">
        <v>38.299999999999997</v>
      </c>
      <c r="R2299" s="10" t="s">
        <v>913</v>
      </c>
      <c r="S2299" s="34">
        <f t="shared" si="256"/>
        <v>38.299999999999997</v>
      </c>
      <c r="T2299" s="10" t="s">
        <v>1166</v>
      </c>
      <c r="U2299" s="34" t="str">
        <f t="shared" si="259"/>
        <v/>
      </c>
      <c r="V2299" s="31" t="str">
        <f>IF(H2299="CHK",VLOOKUP(I2299,QCCHK,3,),IF(H2299="GUP",VLOOKUP(E2299,QCGUP,2,),IF(AND(H2299="ATP",OR(I2299="TN",I2299="TDN",I2299="TNO2-3",I2299="NO2-3")),VLOOKUP(E2299,QCREC_N,2,),IF(AND(H2299="NIC",OR(I2299="TN",I2299="TDN",I2299="TNO2-3",I2299="NO2-3")),VLOOKUP(E2299,QCNIC_N,2,),IF(AND(H2299="UREA",OR(I2299="TN",I2299="TDN",I2299="TNO2-3",I2299="NO2-3")),VLOOKUP(E2299,QCUREA_N,2,),IF(H2299="PER",VLOOKUP(I2299,QCPER,MATCH(E2299,QCACTUAL!$J$25:$AA$25,0),),IF(H2299="SPK",VLOOKUP(I2299,QCSPK,3,),IF(AND(H2299="ATP",OR(I2299="TP",I2299="TDP")),VLOOKUP(E2299,QCATP_P,2,),""))))))))</f>
        <v/>
      </c>
      <c r="W2299" s="31" t="str">
        <f t="shared" si="260"/>
        <v>TRUE</v>
      </c>
      <c r="X2299" s="31" t="str">
        <f t="shared" si="255"/>
        <v/>
      </c>
      <c r="Y2299" s="10" t="s">
        <v>1144</v>
      </c>
      <c r="Z2299" s="10" t="s">
        <v>910</v>
      </c>
      <c r="AL2299" s="10" t="str">
        <f t="shared" si="257"/>
        <v>FALSE</v>
      </c>
      <c r="AM2299" s="10" t="str">
        <f t="shared" si="257"/>
        <v>FALSE</v>
      </c>
      <c r="AN2299" s="10" t="str">
        <f t="shared" si="257"/>
        <v>FALSE</v>
      </c>
      <c r="AO2299" s="10" t="str">
        <f t="shared" si="258"/>
        <v>FALSE</v>
      </c>
      <c r="AP2299" s="10" t="str">
        <f t="shared" si="258"/>
        <v>FALSE</v>
      </c>
      <c r="AQ2299" s="10" t="b">
        <f>IF(AND(I2299="TP",S2299&lt;=150),VLOOKUP(AF2299,TPCalibEq150!$AZ$2:$BB$55,3,),IF(AND(I2299="TDP",S2299&lt;=150),VLOOKUP(AF2299,TPCalibEq150!$AZ$2:$BB$55,3,)))</f>
        <v>0</v>
      </c>
      <c r="AR2299" s="10" t="b">
        <f>IF(AND(I2299="TP",S2299&lt;=300),VLOOKUP(AF2299,TPCalibEq300!$AZ$2:$BB$55,3,),IF(AND(I2299="TDP",S2299&lt;=300),VLOOKUP(AF2299,TPCalibEq300!$AZ$2:$BB$55,3,)))</f>
        <v>0</v>
      </c>
      <c r="AS2299" s="10" t="b">
        <f>IF(AND(I2299="TP",S2299&lt;=500),VLOOKUP(AF2299,TPCalibEq500!$AZ$2:$BB$56,3,),IF(AND(I2299="TDP",S2299&lt;=500),VLOOKUP(AF2299,TPCalibEq500!$AZ$2:$BB$56,3,)))</f>
        <v>0</v>
      </c>
      <c r="AT2299" s="10" t="b">
        <f>IF(AND(I2299="TN",S2299&lt;=2800),VLOOKUP(AF2299,TNCalibEq2500!$AZ$2:$BB$56,3,),IF(AND(I2299="TDN",S2299&lt;=2800),VLOOKUP(AF2299,TNCalibEq2500!$AZ$2:$BB$56,3,)))</f>
        <v>0</v>
      </c>
      <c r="AU2299" s="10" t="b">
        <f>IF(I2299="TP",VLOOKUP(AF2299,TPCalibEqFull!$AZ$2:$BB$56,3),IF(I2299="TDP",VLOOKUP(AF2299,TPCalibEqFull!$AZ$2:$BB$56,3),IF(I2299="TDN",VLOOKUP(AF2299,TNCalibEqFull!$AZ$1:$BB$56,3),IF(I2299="TN",VLOOKUP(AF2299,TNCalibEqFull!$AZ$1:$BB$56,3),FALSE))))</f>
        <v>0</v>
      </c>
      <c r="AV2299" s="10" t="str">
        <f t="shared" si="261"/>
        <v>0206 11:15:00-EFB-0-FIL-1-SW-UKN</v>
      </c>
    </row>
    <row r="2300" spans="1:48" s="10" customFormat="1" x14ac:dyDescent="0.55000000000000004">
      <c r="A2300" s="32">
        <v>44963</v>
      </c>
      <c r="B2300" s="33">
        <v>0.47916666666666669</v>
      </c>
      <c r="C2300" s="10" t="s">
        <v>326</v>
      </c>
      <c r="D2300" s="10">
        <v>0</v>
      </c>
      <c r="E2300" s="10" t="s">
        <v>911</v>
      </c>
      <c r="F2300" s="10">
        <v>1</v>
      </c>
      <c r="G2300" s="10" t="s">
        <v>231</v>
      </c>
      <c r="H2300" s="10" t="s">
        <v>322</v>
      </c>
      <c r="I2300" s="10" t="s">
        <v>167</v>
      </c>
      <c r="J2300" s="10">
        <v>81</v>
      </c>
      <c r="K2300" s="12">
        <v>44966</v>
      </c>
      <c r="L2300" s="33">
        <v>0.56111111111111112</v>
      </c>
      <c r="M2300" s="10">
        <v>1</v>
      </c>
      <c r="N2300" s="10" t="s">
        <v>211</v>
      </c>
      <c r="O2300" s="10">
        <v>0.159</v>
      </c>
      <c r="P2300" s="10">
        <v>1.47E-2</v>
      </c>
      <c r="Q2300" s="10">
        <v>27</v>
      </c>
      <c r="R2300" s="10" t="s">
        <v>913</v>
      </c>
      <c r="S2300" s="34">
        <f t="shared" si="256"/>
        <v>27</v>
      </c>
      <c r="T2300" s="10" t="s">
        <v>1166</v>
      </c>
      <c r="U2300" s="34" t="str">
        <f t="shared" si="259"/>
        <v/>
      </c>
      <c r="V2300" s="31" t="str">
        <f>IF(H2300="CHK",VLOOKUP(I2300,QCCHK,3,),IF(H2300="GUP",VLOOKUP(E2300,QCGUP,2,),IF(AND(H2300="ATP",OR(I2300="TN",I2300="TDN",I2300="TNO2-3",I2300="NO2-3")),VLOOKUP(E2300,QCREC_N,2,),IF(AND(H2300="NIC",OR(I2300="TN",I2300="TDN",I2300="TNO2-3",I2300="NO2-3")),VLOOKUP(E2300,QCNIC_N,2,),IF(AND(H2300="UREA",OR(I2300="TN",I2300="TDN",I2300="TNO2-3",I2300="NO2-3")),VLOOKUP(E2300,QCUREA_N,2,),IF(H2300="PER",VLOOKUP(I2300,QCPER,MATCH(E2300,QCACTUAL!$J$25:$AA$25,0),),IF(H2300="SPK",VLOOKUP(I2300,QCSPK,3,),IF(AND(H2300="ATP",OR(I2300="TP",I2300="TDP")),VLOOKUP(E2300,QCATP_P,2,),""))))))))</f>
        <v/>
      </c>
      <c r="W2300" s="31" t="str">
        <f t="shared" si="260"/>
        <v>TRUE</v>
      </c>
      <c r="X2300" s="31" t="str">
        <f t="shared" si="255"/>
        <v/>
      </c>
      <c r="Y2300" s="10" t="s">
        <v>1144</v>
      </c>
      <c r="Z2300" s="10" t="s">
        <v>910</v>
      </c>
      <c r="AL2300" s="10" t="str">
        <f t="shared" si="257"/>
        <v>FALSE</v>
      </c>
      <c r="AM2300" s="10" t="str">
        <f t="shared" si="257"/>
        <v>FALSE</v>
      </c>
      <c r="AN2300" s="10" t="str">
        <f t="shared" si="257"/>
        <v>FALSE</v>
      </c>
      <c r="AO2300" s="10" t="str">
        <f t="shared" si="258"/>
        <v>FALSE</v>
      </c>
      <c r="AP2300" s="10" t="str">
        <f t="shared" si="258"/>
        <v>FALSE</v>
      </c>
      <c r="AQ2300" s="10" t="b">
        <f>IF(AND(I2300="TP",S2300&lt;=150),VLOOKUP(AF2300,TPCalibEq150!$AZ$2:$BB$55,3,),IF(AND(I2300="TDP",S2300&lt;=150),VLOOKUP(AF2300,TPCalibEq150!$AZ$2:$BB$55,3,)))</f>
        <v>0</v>
      </c>
      <c r="AR2300" s="10" t="b">
        <f>IF(AND(I2300="TP",S2300&lt;=300),VLOOKUP(AF2300,TPCalibEq300!$AZ$2:$BB$55,3,),IF(AND(I2300="TDP",S2300&lt;=300),VLOOKUP(AF2300,TPCalibEq300!$AZ$2:$BB$55,3,)))</f>
        <v>0</v>
      </c>
      <c r="AS2300" s="10" t="b">
        <f>IF(AND(I2300="TP",S2300&lt;=500),VLOOKUP(AF2300,TPCalibEq500!$AZ$2:$BB$56,3,),IF(AND(I2300="TDP",S2300&lt;=500),VLOOKUP(AF2300,TPCalibEq500!$AZ$2:$BB$56,3,)))</f>
        <v>0</v>
      </c>
      <c r="AT2300" s="10" t="b">
        <f>IF(AND(I2300="TN",S2300&lt;=2800),VLOOKUP(AF2300,TNCalibEq2500!$AZ$2:$BB$56,3,),IF(AND(I2300="TDN",S2300&lt;=2800),VLOOKUP(AF2300,TNCalibEq2500!$AZ$2:$BB$56,3,)))</f>
        <v>0</v>
      </c>
      <c r="AU2300" s="10" t="b">
        <f>IF(I2300="TP",VLOOKUP(AF2300,TPCalibEqFull!$AZ$2:$BB$56,3),IF(I2300="TDP",VLOOKUP(AF2300,TPCalibEqFull!$AZ$2:$BB$56,3),IF(I2300="TDN",VLOOKUP(AF2300,TNCalibEqFull!$AZ$1:$BB$56,3),IF(I2300="TN",VLOOKUP(AF2300,TNCalibEqFull!$AZ$1:$BB$56,3),FALSE))))</f>
        <v>0</v>
      </c>
      <c r="AV2300" s="10" t="str">
        <f t="shared" si="261"/>
        <v>0206 11:30:00-GRR-0-FIL-1-SW-UKN</v>
      </c>
    </row>
    <row r="2301" spans="1:48" s="10" customFormat="1" x14ac:dyDescent="0.55000000000000004">
      <c r="A2301" s="32">
        <v>44963</v>
      </c>
      <c r="B2301" s="33">
        <v>0.4909722222222222</v>
      </c>
      <c r="C2301" s="10" t="s">
        <v>416</v>
      </c>
      <c r="D2301" s="10">
        <v>0</v>
      </c>
      <c r="E2301" s="10" t="s">
        <v>911</v>
      </c>
      <c r="F2301" s="10">
        <v>1</v>
      </c>
      <c r="G2301" s="10" t="s">
        <v>231</v>
      </c>
      <c r="H2301" s="10" t="s">
        <v>322</v>
      </c>
      <c r="I2301" s="10" t="s">
        <v>167</v>
      </c>
      <c r="J2301" s="10">
        <v>82</v>
      </c>
      <c r="K2301" s="12">
        <v>44966</v>
      </c>
      <c r="L2301" s="33">
        <v>0.56193287037037043</v>
      </c>
      <c r="M2301" s="10">
        <v>1</v>
      </c>
      <c r="N2301" s="10" t="s">
        <v>211</v>
      </c>
      <c r="O2301" s="10">
        <v>0.86</v>
      </c>
      <c r="P2301" s="10">
        <v>8.1199999999999994E-2</v>
      </c>
      <c r="Q2301" s="10">
        <v>148</v>
      </c>
      <c r="R2301" s="10" t="s">
        <v>913</v>
      </c>
      <c r="S2301" s="34">
        <f t="shared" si="256"/>
        <v>148</v>
      </c>
      <c r="T2301" s="10" t="s">
        <v>1166</v>
      </c>
      <c r="U2301" s="34" t="str">
        <f t="shared" si="259"/>
        <v/>
      </c>
      <c r="V2301" s="31" t="str">
        <f>IF(H2301="CHK",VLOOKUP(I2301,QCCHK,3,),IF(H2301="GUP",VLOOKUP(E2301,QCGUP,2,),IF(AND(H2301="ATP",OR(I2301="TN",I2301="TDN",I2301="TNO2-3",I2301="NO2-3")),VLOOKUP(E2301,QCREC_N,2,),IF(AND(H2301="NIC",OR(I2301="TN",I2301="TDN",I2301="TNO2-3",I2301="NO2-3")),VLOOKUP(E2301,QCNIC_N,2,),IF(AND(H2301="UREA",OR(I2301="TN",I2301="TDN",I2301="TNO2-3",I2301="NO2-3")),VLOOKUP(E2301,QCUREA_N,2,),IF(H2301="PER",VLOOKUP(I2301,QCPER,MATCH(E2301,QCACTUAL!$J$25:$AA$25,0),),IF(H2301="SPK",VLOOKUP(I2301,QCSPK,3,),IF(AND(H2301="ATP",OR(I2301="TP",I2301="TDP")),VLOOKUP(E2301,QCATP_P,2,),""))))))))</f>
        <v/>
      </c>
      <c r="W2301" s="31" t="str">
        <f t="shared" si="260"/>
        <v>TRUE</v>
      </c>
      <c r="X2301" s="31" t="str">
        <f t="shared" si="255"/>
        <v/>
      </c>
      <c r="Y2301" s="10" t="s">
        <v>1144</v>
      </c>
      <c r="Z2301" s="10" t="s">
        <v>910</v>
      </c>
      <c r="AL2301" s="10" t="str">
        <f t="shared" si="257"/>
        <v>FALSE</v>
      </c>
      <c r="AM2301" s="10" t="str">
        <f t="shared" si="257"/>
        <v>FALSE</v>
      </c>
      <c r="AN2301" s="10" t="str">
        <f t="shared" si="257"/>
        <v>FALSE</v>
      </c>
      <c r="AO2301" s="10" t="str">
        <f t="shared" si="258"/>
        <v>FALSE</v>
      </c>
      <c r="AP2301" s="10" t="str">
        <f t="shared" si="258"/>
        <v>FALSE</v>
      </c>
      <c r="AQ2301" s="10" t="b">
        <f>IF(AND(I2301="TP",S2301&lt;=150),VLOOKUP(AF2301,TPCalibEq150!$AZ$2:$BB$55,3,),IF(AND(I2301="TDP",S2301&lt;=150),VLOOKUP(AF2301,TPCalibEq150!$AZ$2:$BB$55,3,)))</f>
        <v>0</v>
      </c>
      <c r="AR2301" s="10" t="b">
        <f>IF(AND(I2301="TP",S2301&lt;=300),VLOOKUP(AF2301,TPCalibEq300!$AZ$2:$BB$55,3,),IF(AND(I2301="TDP",S2301&lt;=300),VLOOKUP(AF2301,TPCalibEq300!$AZ$2:$BB$55,3,)))</f>
        <v>0</v>
      </c>
      <c r="AS2301" s="10" t="b">
        <f>IF(AND(I2301="TP",S2301&lt;=500),VLOOKUP(AF2301,TPCalibEq500!$AZ$2:$BB$56,3,),IF(AND(I2301="TDP",S2301&lt;=500),VLOOKUP(AF2301,TPCalibEq500!$AZ$2:$BB$56,3,)))</f>
        <v>0</v>
      </c>
      <c r="AT2301" s="10" t="b">
        <f>IF(AND(I2301="TN",S2301&lt;=2800),VLOOKUP(AF2301,TNCalibEq2500!$AZ$2:$BB$56,3,),IF(AND(I2301="TDN",S2301&lt;=2800),VLOOKUP(AF2301,TNCalibEq2500!$AZ$2:$BB$56,3,)))</f>
        <v>0</v>
      </c>
      <c r="AU2301" s="10" t="b">
        <f>IF(I2301="TP",VLOOKUP(AF2301,TPCalibEqFull!$AZ$2:$BB$56,3),IF(I2301="TDP",VLOOKUP(AF2301,TPCalibEqFull!$AZ$2:$BB$56,3),IF(I2301="TDN",VLOOKUP(AF2301,TNCalibEqFull!$AZ$1:$BB$56,3),IF(I2301="TN",VLOOKUP(AF2301,TNCalibEqFull!$AZ$1:$BB$56,3),FALSE))))</f>
        <v>0</v>
      </c>
      <c r="AV2301" s="10" t="str">
        <f t="shared" si="261"/>
        <v>0206 11:47:00-CWL-0-FIL-1-SW-UKN</v>
      </c>
    </row>
    <row r="2302" spans="1:48" s="10" customFormat="1" x14ac:dyDescent="0.55000000000000004">
      <c r="A2302" s="32">
        <v>44963</v>
      </c>
      <c r="B2302" s="33">
        <v>0.61875000000000002</v>
      </c>
      <c r="C2302" s="10" t="s">
        <v>408</v>
      </c>
      <c r="D2302" s="10">
        <v>0</v>
      </c>
      <c r="E2302" s="10" t="s">
        <v>911</v>
      </c>
      <c r="F2302" s="10">
        <v>1</v>
      </c>
      <c r="G2302" s="10" t="s">
        <v>231</v>
      </c>
      <c r="H2302" s="10" t="s">
        <v>322</v>
      </c>
      <c r="I2302" s="10" t="s">
        <v>167</v>
      </c>
      <c r="J2302" s="10">
        <v>83</v>
      </c>
      <c r="K2302" s="12">
        <v>44966</v>
      </c>
      <c r="L2302" s="33">
        <v>0.56275462962962963</v>
      </c>
      <c r="M2302" s="10">
        <v>1</v>
      </c>
      <c r="N2302" s="10" t="s">
        <v>211</v>
      </c>
      <c r="O2302" s="10">
        <v>0.54800000000000004</v>
      </c>
      <c r="P2302" s="10">
        <v>5.0799999999999998E-2</v>
      </c>
      <c r="Q2302" s="10">
        <v>94.3</v>
      </c>
      <c r="R2302" s="10" t="s">
        <v>913</v>
      </c>
      <c r="S2302" s="34">
        <f t="shared" si="256"/>
        <v>94.3</v>
      </c>
      <c r="T2302" s="10" t="s">
        <v>1166</v>
      </c>
      <c r="U2302" s="34" t="str">
        <f t="shared" si="259"/>
        <v/>
      </c>
      <c r="V2302" s="31" t="str">
        <f>IF(H2302="CHK",VLOOKUP(I2302,QCCHK,3,),IF(H2302="GUP",VLOOKUP(E2302,QCGUP,2,),IF(AND(H2302="ATP",OR(I2302="TN",I2302="TDN",I2302="TNO2-3",I2302="NO2-3")),VLOOKUP(E2302,QCREC_N,2,),IF(AND(H2302="NIC",OR(I2302="TN",I2302="TDN",I2302="TNO2-3",I2302="NO2-3")),VLOOKUP(E2302,QCNIC_N,2,),IF(AND(H2302="UREA",OR(I2302="TN",I2302="TDN",I2302="TNO2-3",I2302="NO2-3")),VLOOKUP(E2302,QCUREA_N,2,),IF(H2302="PER",VLOOKUP(I2302,QCPER,MATCH(E2302,QCACTUAL!$J$25:$AA$25,0),),IF(H2302="SPK",VLOOKUP(I2302,QCSPK,3,),IF(AND(H2302="ATP",OR(I2302="TP",I2302="TDP")),VLOOKUP(E2302,QCATP_P,2,),""))))))))</f>
        <v/>
      </c>
      <c r="W2302" s="31" t="str">
        <f t="shared" si="260"/>
        <v>TRUE</v>
      </c>
      <c r="X2302" s="31" t="str">
        <f t="shared" si="255"/>
        <v/>
      </c>
      <c r="Y2302" s="10" t="s">
        <v>1144</v>
      </c>
      <c r="Z2302" s="10" t="s">
        <v>910</v>
      </c>
      <c r="AL2302" s="10" t="str">
        <f t="shared" si="257"/>
        <v>FALSE</v>
      </c>
      <c r="AM2302" s="10" t="str">
        <f t="shared" si="257"/>
        <v>FALSE</v>
      </c>
      <c r="AN2302" s="10" t="str">
        <f t="shared" si="257"/>
        <v>FALSE</v>
      </c>
      <c r="AO2302" s="10" t="str">
        <f t="shared" si="258"/>
        <v>FALSE</v>
      </c>
      <c r="AP2302" s="10" t="str">
        <f t="shared" si="258"/>
        <v>FALSE</v>
      </c>
      <c r="AQ2302" s="10" t="b">
        <f>IF(AND(I2302="TP",S2302&lt;=150),VLOOKUP(AF2302,TPCalibEq150!$AZ$2:$BB$55,3,),IF(AND(I2302="TDP",S2302&lt;=150),VLOOKUP(AF2302,TPCalibEq150!$AZ$2:$BB$55,3,)))</f>
        <v>0</v>
      </c>
      <c r="AR2302" s="10" t="b">
        <f>IF(AND(I2302="TP",S2302&lt;=300),VLOOKUP(AF2302,TPCalibEq300!$AZ$2:$BB$55,3,),IF(AND(I2302="TDP",S2302&lt;=300),VLOOKUP(AF2302,TPCalibEq300!$AZ$2:$BB$55,3,)))</f>
        <v>0</v>
      </c>
      <c r="AS2302" s="10" t="b">
        <f>IF(AND(I2302="TP",S2302&lt;=500),VLOOKUP(AF2302,TPCalibEq500!$AZ$2:$BB$56,3,),IF(AND(I2302="TDP",S2302&lt;=500),VLOOKUP(AF2302,TPCalibEq500!$AZ$2:$BB$56,3,)))</f>
        <v>0</v>
      </c>
      <c r="AT2302" s="10" t="b">
        <f>IF(AND(I2302="TN",S2302&lt;=2800),VLOOKUP(AF2302,TNCalibEq2500!$AZ$2:$BB$56,3,),IF(AND(I2302="TDN",S2302&lt;=2800),VLOOKUP(AF2302,TNCalibEq2500!$AZ$2:$BB$56,3,)))</f>
        <v>0</v>
      </c>
      <c r="AU2302" s="10" t="b">
        <f>IF(I2302="TP",VLOOKUP(AF2302,TPCalibEqFull!$AZ$2:$BB$56,3),IF(I2302="TDP",VLOOKUP(AF2302,TPCalibEqFull!$AZ$2:$BB$56,3),IF(I2302="TDN",VLOOKUP(AF2302,TNCalibEqFull!$AZ$1:$BB$56,3),IF(I2302="TN",VLOOKUP(AF2302,TNCalibEqFull!$AZ$1:$BB$56,3),FALSE))))</f>
        <v>0</v>
      </c>
      <c r="AV2302" s="10" t="str">
        <f t="shared" si="261"/>
        <v>0206 14:51:00-CLC-0-FIL-1-SW-UKN</v>
      </c>
    </row>
    <row r="2303" spans="1:48" s="10" customFormat="1" x14ac:dyDescent="0.55000000000000004">
      <c r="A2303" s="32">
        <v>44963</v>
      </c>
      <c r="B2303" s="33">
        <v>0.59722222222222221</v>
      </c>
      <c r="C2303" s="10" t="s">
        <v>214</v>
      </c>
      <c r="D2303" s="10">
        <v>0</v>
      </c>
      <c r="E2303" s="10" t="s">
        <v>911</v>
      </c>
      <c r="F2303" s="10">
        <v>1</v>
      </c>
      <c r="G2303" s="10" t="s">
        <v>231</v>
      </c>
      <c r="H2303" s="10" t="s">
        <v>322</v>
      </c>
      <c r="I2303" s="10" t="s">
        <v>167</v>
      </c>
      <c r="J2303" s="10">
        <v>84</v>
      </c>
      <c r="K2303" s="12">
        <v>44966</v>
      </c>
      <c r="L2303" s="33">
        <v>0.5635648148148148</v>
      </c>
      <c r="M2303" s="10">
        <v>1</v>
      </c>
      <c r="N2303" s="10" t="s">
        <v>211</v>
      </c>
      <c r="O2303" s="10">
        <v>1.57</v>
      </c>
      <c r="P2303" s="10">
        <v>0.151</v>
      </c>
      <c r="Q2303" s="10">
        <v>272</v>
      </c>
      <c r="R2303" s="10" t="s">
        <v>913</v>
      </c>
      <c r="S2303" s="34">
        <f t="shared" si="256"/>
        <v>272</v>
      </c>
      <c r="T2303" s="10" t="s">
        <v>1166</v>
      </c>
      <c r="U2303" s="34" t="str">
        <f t="shared" si="259"/>
        <v/>
      </c>
      <c r="V2303" s="31" t="str">
        <f>IF(H2303="CHK",VLOOKUP(I2303,QCCHK,3,),IF(H2303="GUP",VLOOKUP(E2303,QCGUP,2,),IF(AND(H2303="ATP",OR(I2303="TN",I2303="TDN",I2303="TNO2-3",I2303="NO2-3")),VLOOKUP(E2303,QCREC_N,2,),IF(AND(H2303="NIC",OR(I2303="TN",I2303="TDN",I2303="TNO2-3",I2303="NO2-3")),VLOOKUP(E2303,QCNIC_N,2,),IF(AND(H2303="UREA",OR(I2303="TN",I2303="TDN",I2303="TNO2-3",I2303="NO2-3")),VLOOKUP(E2303,QCUREA_N,2,),IF(H2303="PER",VLOOKUP(I2303,QCPER,MATCH(E2303,QCACTUAL!$J$25:$AA$25,0),),IF(H2303="SPK",VLOOKUP(I2303,QCSPK,3,),IF(AND(H2303="ATP",OR(I2303="TP",I2303="TDP")),VLOOKUP(E2303,QCATP_P,2,),""))))))))</f>
        <v/>
      </c>
      <c r="W2303" s="31" t="str">
        <f t="shared" si="260"/>
        <v>TRUE</v>
      </c>
      <c r="X2303" s="31" t="str">
        <f t="shared" ref="X2303:X2366" si="262">IF(ISNA(VLOOKUP(H2303,QCEQUATIONS,2,)),"",(VLOOKUP(H2303,QCEQUATIONS,2,)))</f>
        <v/>
      </c>
      <c r="Y2303" s="10" t="s">
        <v>1144</v>
      </c>
      <c r="Z2303" s="10" t="s">
        <v>910</v>
      </c>
      <c r="AL2303" s="10" t="str">
        <f t="shared" si="257"/>
        <v>FALSE</v>
      </c>
      <c r="AM2303" s="10" t="str">
        <f t="shared" si="257"/>
        <v>FALSE</v>
      </c>
      <c r="AN2303" s="10" t="str">
        <f t="shared" si="257"/>
        <v>FALSE</v>
      </c>
      <c r="AO2303" s="10" t="str">
        <f t="shared" si="258"/>
        <v>FALSE</v>
      </c>
      <c r="AP2303" s="10" t="str">
        <f t="shared" si="258"/>
        <v>FALSE</v>
      </c>
      <c r="AQ2303" s="10" t="b">
        <f>IF(AND(I2303="TP",S2303&lt;=150),VLOOKUP(AF2303,TPCalibEq150!$AZ$2:$BB$55,3,),IF(AND(I2303="TDP",S2303&lt;=150),VLOOKUP(AF2303,TPCalibEq150!$AZ$2:$BB$55,3,)))</f>
        <v>0</v>
      </c>
      <c r="AR2303" s="10" t="b">
        <f>IF(AND(I2303="TP",S2303&lt;=300),VLOOKUP(AF2303,TPCalibEq300!$AZ$2:$BB$55,3,),IF(AND(I2303="TDP",S2303&lt;=300),VLOOKUP(AF2303,TPCalibEq300!$AZ$2:$BB$55,3,)))</f>
        <v>0</v>
      </c>
      <c r="AS2303" s="10" t="b">
        <f>IF(AND(I2303="TP",S2303&lt;=500),VLOOKUP(AF2303,TPCalibEq500!$AZ$2:$BB$56,3,),IF(AND(I2303="TDP",S2303&lt;=500),VLOOKUP(AF2303,TPCalibEq500!$AZ$2:$BB$56,3,)))</f>
        <v>0</v>
      </c>
      <c r="AT2303" s="10" t="b">
        <f>IF(AND(I2303="TN",S2303&lt;=2800),VLOOKUP(AF2303,TNCalibEq2500!$AZ$2:$BB$56,3,),IF(AND(I2303="TDN",S2303&lt;=2800),VLOOKUP(AF2303,TNCalibEq2500!$AZ$2:$BB$56,3,)))</f>
        <v>0</v>
      </c>
      <c r="AU2303" s="10" t="b">
        <f>IF(I2303="TP",VLOOKUP(AF2303,TPCalibEqFull!$AZ$2:$BB$56,3),IF(I2303="TDP",VLOOKUP(AF2303,TPCalibEqFull!$AZ$2:$BB$56,3),IF(I2303="TDN",VLOOKUP(AF2303,TNCalibEqFull!$AZ$1:$BB$56,3),IF(I2303="TN",VLOOKUP(AF2303,TNCalibEqFull!$AZ$1:$BB$56,3),FALSE))))</f>
        <v>0</v>
      </c>
      <c r="AV2303" s="10" t="str">
        <f t="shared" si="261"/>
        <v>0206 14:20:00-DAM-0-FIL-1-SW-UKN</v>
      </c>
    </row>
    <row r="2304" spans="1:48" s="10" customFormat="1" x14ac:dyDescent="0.55000000000000004">
      <c r="A2304" s="32">
        <v>44963</v>
      </c>
      <c r="B2304" s="33">
        <v>0.59722222222222221</v>
      </c>
      <c r="C2304" s="10" t="s">
        <v>214</v>
      </c>
      <c r="D2304" s="10">
        <v>0</v>
      </c>
      <c r="E2304" s="10" t="s">
        <v>911</v>
      </c>
      <c r="F2304" s="10">
        <v>1</v>
      </c>
      <c r="G2304" s="10" t="s">
        <v>231</v>
      </c>
      <c r="H2304" s="10" t="s">
        <v>233</v>
      </c>
      <c r="I2304" s="10" t="s">
        <v>167</v>
      </c>
      <c r="J2304" s="10">
        <v>84</v>
      </c>
      <c r="K2304" s="12">
        <v>44966</v>
      </c>
      <c r="L2304" s="33">
        <v>0.56437499999999996</v>
      </c>
      <c r="M2304" s="10">
        <v>1</v>
      </c>
      <c r="N2304" s="10" t="s">
        <v>211</v>
      </c>
      <c r="O2304" s="10">
        <v>0.59</v>
      </c>
      <c r="P2304" s="10">
        <v>5.5300000000000002E-2</v>
      </c>
      <c r="Q2304" s="10">
        <v>102</v>
      </c>
      <c r="R2304" s="10" t="s">
        <v>913</v>
      </c>
      <c r="S2304" s="34">
        <f t="shared" ref="S2304:S2367" si="263">IF(OR(AND(I2304&lt;&gt;"TP", I2304&lt;&gt;"TDP",I2304&lt;&gt;"TN", I2304&lt;&gt;"TDN"),H2304="CAL"), Q2304*M2304, IF(OR(AND(I2304="TN", Q2304&gt;2500), AND(I2304="TDN", Q2304&gt;2500)),MAX(Q2304, AK2304)*M2304, IF(OR(AND(I2304="TN", Q2304&lt;=2500), AND(I2304="TDN", Q2304&lt;=2500)),MAX(Q2304, AJ2304,AK2304)*M2304, IF(OR(AND(I2304="TP",Q2304&gt;500), AND(I2304="TDP", Q2304&gt;500)),MAX(Q2304,AK2304)*M2304,IF(OR(AND(I2304="TP",Q2304&lt;=150), AND(I2304="TDP", Q2304&lt;=150)),MAX(Q2304,AG2304:AI2304,AK2304)*M2304,IF(OR(AND(I2304="TP",Q2304&lt;=300), AND(I2304="TDP", Q2304&lt;=300)),MAX(Q2304,AH2304,AI2304,AK2304)*M2304,IF(OR(AND(I2304="TP",Q2304&lt;=500), AND(I2304="TDP", Q2304&lt;=500)),MAX(Q2304,AI2304,AK2304)*M2304,"")))))))</f>
        <v>102</v>
      </c>
      <c r="T2304" s="10" t="s">
        <v>1166</v>
      </c>
      <c r="U2304" s="34">
        <f t="shared" si="259"/>
        <v>90.909090909090907</v>
      </c>
      <c r="V2304" s="31" t="str">
        <f>IF(H2304="CHK",VLOOKUP(I2304,QCCHK,3,),IF(H2304="GUP",VLOOKUP(E2304,QCGUP,2,),IF(AND(H2304="ATP",OR(I2304="TN",I2304="TDN",I2304="TNO2-3",I2304="NO2-3")),VLOOKUP(E2304,QCREC_N,2,),IF(AND(H2304="NIC",OR(I2304="TN",I2304="TDN",I2304="TNO2-3",I2304="NO2-3")),VLOOKUP(E2304,QCNIC_N,2,),IF(AND(H2304="UREA",OR(I2304="TN",I2304="TDN",I2304="TNO2-3",I2304="NO2-3")),VLOOKUP(E2304,QCUREA_N,2,),IF(H2304="PER",VLOOKUP(I2304,QCPER,MATCH(E2304,QCACTUAL!$J$25:$AA$25,0),),IF(H2304="SPK",VLOOKUP(I2304,QCSPK,3,),IF(AND(H2304="ATP",OR(I2304="TP",I2304="TDP")),VLOOKUP(E2304,QCATP_P,2,),""))))))))</f>
        <v/>
      </c>
      <c r="W2304" s="31" t="str">
        <f t="shared" si="260"/>
        <v>FALSE</v>
      </c>
      <c r="X2304" s="31" t="str">
        <f t="shared" si="262"/>
        <v>((ABS(rep1-rep2))/((rep1+rep2)/2)*100</v>
      </c>
      <c r="Y2304" s="10" t="s">
        <v>1144</v>
      </c>
      <c r="Z2304" s="10" t="s">
        <v>910</v>
      </c>
      <c r="AL2304" s="10" t="str">
        <f t="shared" si="257"/>
        <v>FALSE</v>
      </c>
      <c r="AM2304" s="10" t="str">
        <f t="shared" si="257"/>
        <v>FALSE</v>
      </c>
      <c r="AN2304" s="10" t="str">
        <f t="shared" si="257"/>
        <v>FALSE</v>
      </c>
      <c r="AO2304" s="10" t="str">
        <f t="shared" si="258"/>
        <v>FALSE</v>
      </c>
      <c r="AP2304" s="10" t="str">
        <f t="shared" si="258"/>
        <v>FALSE</v>
      </c>
      <c r="AQ2304" s="10" t="b">
        <f>IF(AND(I2304="TP",S2304&lt;=150),VLOOKUP(AF2304,TPCalibEq150!$AZ$2:$BB$55,3,),IF(AND(I2304="TDP",S2304&lt;=150),VLOOKUP(AF2304,TPCalibEq150!$AZ$2:$BB$55,3,)))</f>
        <v>0</v>
      </c>
      <c r="AR2304" s="10" t="b">
        <f>IF(AND(I2304="TP",S2304&lt;=300),VLOOKUP(AF2304,TPCalibEq300!$AZ$2:$BB$55,3,),IF(AND(I2304="TDP",S2304&lt;=300),VLOOKUP(AF2304,TPCalibEq300!$AZ$2:$BB$55,3,)))</f>
        <v>0</v>
      </c>
      <c r="AS2304" s="10" t="b">
        <f>IF(AND(I2304="TP",S2304&lt;=500),VLOOKUP(AF2304,TPCalibEq500!$AZ$2:$BB$56,3,),IF(AND(I2304="TDP",S2304&lt;=500),VLOOKUP(AF2304,TPCalibEq500!$AZ$2:$BB$56,3,)))</f>
        <v>0</v>
      </c>
      <c r="AT2304" s="10" t="b">
        <f>IF(AND(I2304="TN",S2304&lt;=2800),VLOOKUP(AF2304,TNCalibEq2500!$AZ$2:$BB$56,3,),IF(AND(I2304="TDN",S2304&lt;=2800),VLOOKUP(AF2304,TNCalibEq2500!$AZ$2:$BB$56,3,)))</f>
        <v>0</v>
      </c>
      <c r="AU2304" s="10" t="b">
        <f>IF(I2304="TP",VLOOKUP(AF2304,TPCalibEqFull!$AZ$2:$BB$56,3),IF(I2304="TDP",VLOOKUP(AF2304,TPCalibEqFull!$AZ$2:$BB$56,3),IF(I2304="TDN",VLOOKUP(AF2304,TNCalibEqFull!$AZ$1:$BB$56,3),IF(I2304="TN",VLOOKUP(AF2304,TNCalibEqFull!$AZ$1:$BB$56,3),FALSE))))</f>
        <v>0</v>
      </c>
      <c r="AV2304" s="10" t="str">
        <f t="shared" si="261"/>
        <v>0206 14:20:00-DAM-0-FIL-1-SW-DUP</v>
      </c>
    </row>
    <row r="2305" spans="1:48" s="10" customFormat="1" x14ac:dyDescent="0.55000000000000004">
      <c r="A2305" s="32">
        <v>44963</v>
      </c>
      <c r="B2305" s="33">
        <v>0.59722222222222221</v>
      </c>
      <c r="C2305" s="10" t="s">
        <v>214</v>
      </c>
      <c r="D2305" s="10">
        <v>0</v>
      </c>
      <c r="E2305" s="10" t="s">
        <v>911</v>
      </c>
      <c r="F2305" s="10">
        <v>1</v>
      </c>
      <c r="G2305" s="10" t="s">
        <v>231</v>
      </c>
      <c r="H2305" s="10" t="s">
        <v>314</v>
      </c>
      <c r="I2305" s="10" t="s">
        <v>167</v>
      </c>
      <c r="J2305" s="10">
        <v>114</v>
      </c>
      <c r="K2305" s="12">
        <v>44966</v>
      </c>
      <c r="L2305" s="33">
        <v>0.56518518518518512</v>
      </c>
      <c r="M2305" s="10">
        <v>1</v>
      </c>
      <c r="N2305" s="10" t="s">
        <v>211</v>
      </c>
      <c r="O2305" s="10">
        <v>0.56799999999999995</v>
      </c>
      <c r="P2305" s="10">
        <v>5.2999999999999999E-2</v>
      </c>
      <c r="Q2305" s="10">
        <v>97.9</v>
      </c>
      <c r="R2305" s="10" t="s">
        <v>913</v>
      </c>
      <c r="S2305" s="34">
        <f t="shared" si="263"/>
        <v>97.9</v>
      </c>
      <c r="T2305" s="10" t="s">
        <v>1166</v>
      </c>
      <c r="U2305" s="34">
        <f t="shared" si="259"/>
        <v>-2.6239999999999966</v>
      </c>
      <c r="V2305" s="31">
        <f>IF(H2305="CHK",VLOOKUP(I2305,QCCHK,3,),IF(H2305="GUP",VLOOKUP(E2305,QCGUP,2,),IF(AND(H2305="ATP",OR(I2305="TN",I2305="TDN",I2305="TNO2-3",I2305="NO2-3")),VLOOKUP(E2305,QCREC_N,2,),IF(AND(H2305="NIC",OR(I2305="TN",I2305="TDN",I2305="TNO2-3",I2305="NO2-3")),VLOOKUP(E2305,QCNIC_N,2,),IF(AND(H2305="UREA",OR(I2305="TN",I2305="TDN",I2305="TNO2-3",I2305="NO2-3")),VLOOKUP(E2305,QCUREA_N,2,),IF(H2305="PER",VLOOKUP(I2305,QCPER,MATCH(E2305,QCACTUAL!$J$25:$AA$25,0),),IF(H2305="SPK",VLOOKUP(I2305,QCSPK,3,),IF(AND(H2305="ATP",OR(I2305="TP",I2305="TDP")),VLOOKUP(E2305,QCATP_P,2,),""))))))))</f>
        <v>156.25</v>
      </c>
      <c r="W2305" s="31" t="str">
        <f t="shared" si="260"/>
        <v>FALSE</v>
      </c>
      <c r="X2305" s="31" t="str">
        <f t="shared" si="262"/>
        <v>([spikedunkn]-[unkn])/[spike]*100</v>
      </c>
      <c r="Y2305" s="10" t="s">
        <v>1144</v>
      </c>
      <c r="Z2305" s="10" t="s">
        <v>910</v>
      </c>
      <c r="AL2305" s="10" t="str">
        <f t="shared" ref="AL2305:AN2368" si="264">IF($O2305="", "", IF(AQ2305&lt;&gt;"", SUBSTITUTE(SUBSTITUTE(AQ2305, "x", "*"&amp;$O2305&amp;"^", 1), "x", "*"&amp;$O2305, 1), ""))</f>
        <v>FALSE</v>
      </c>
      <c r="AM2305" s="10" t="str">
        <f t="shared" si="264"/>
        <v>FALSE</v>
      </c>
      <c r="AN2305" s="10" t="str">
        <f t="shared" si="264"/>
        <v>FALSE</v>
      </c>
      <c r="AO2305" s="10" t="str">
        <f t="shared" ref="AO2305:AP2368" si="265">IF($O2305="", "FALSE", IF(AT2305&lt;&gt;"FALSE", SUBSTITUTE(SUBSTITUTE(AT2305, "x", "*"&amp;$O2305&amp;"^", 1), "x", "*"&amp;$O2305, 1), ""))</f>
        <v>FALSE</v>
      </c>
      <c r="AP2305" s="10" t="str">
        <f t="shared" si="265"/>
        <v>FALSE</v>
      </c>
      <c r="AQ2305" s="10" t="b">
        <f>IF(AND(I2305="TP",S2305&lt;=150),VLOOKUP(AF2305,TPCalibEq150!$AZ$2:$BB$55,3,),IF(AND(I2305="TDP",S2305&lt;=150),VLOOKUP(AF2305,TPCalibEq150!$AZ$2:$BB$55,3,)))</f>
        <v>0</v>
      </c>
      <c r="AR2305" s="10" t="b">
        <f>IF(AND(I2305="TP",S2305&lt;=300),VLOOKUP(AF2305,TPCalibEq300!$AZ$2:$BB$55,3,),IF(AND(I2305="TDP",S2305&lt;=300),VLOOKUP(AF2305,TPCalibEq300!$AZ$2:$BB$55,3,)))</f>
        <v>0</v>
      </c>
      <c r="AS2305" s="10" t="b">
        <f>IF(AND(I2305="TP",S2305&lt;=500),VLOOKUP(AF2305,TPCalibEq500!$AZ$2:$BB$56,3,),IF(AND(I2305="TDP",S2305&lt;=500),VLOOKUP(AF2305,TPCalibEq500!$AZ$2:$BB$56,3,)))</f>
        <v>0</v>
      </c>
      <c r="AT2305" s="10" t="b">
        <f>IF(AND(I2305="TN",S2305&lt;=2800),VLOOKUP(AF2305,TNCalibEq2500!$AZ$2:$BB$56,3,),IF(AND(I2305="TDN",S2305&lt;=2800),VLOOKUP(AF2305,TNCalibEq2500!$AZ$2:$BB$56,3,)))</f>
        <v>0</v>
      </c>
      <c r="AU2305" s="10" t="b">
        <f>IF(I2305="TP",VLOOKUP(AF2305,TPCalibEqFull!$AZ$2:$BB$56,3),IF(I2305="TDP",VLOOKUP(AF2305,TPCalibEqFull!$AZ$2:$BB$56,3),IF(I2305="TDN",VLOOKUP(AF2305,TNCalibEqFull!$AZ$1:$BB$56,3),IF(I2305="TN",VLOOKUP(AF2305,TNCalibEqFull!$AZ$1:$BB$56,3),FALSE))))</f>
        <v>0</v>
      </c>
      <c r="AV2305" s="10" t="str">
        <f t="shared" si="261"/>
        <v>0206 14:20:00-DAM-0-FIL-1-SW-SPK</v>
      </c>
    </row>
    <row r="2306" spans="1:48" s="10" customFormat="1" x14ac:dyDescent="0.55000000000000004">
      <c r="A2306" s="32">
        <v>44966</v>
      </c>
      <c r="B2306" s="33">
        <v>0.375</v>
      </c>
      <c r="C2306" s="10" t="s">
        <v>70</v>
      </c>
      <c r="D2306" s="10" t="s">
        <v>71</v>
      </c>
      <c r="E2306" s="10" t="s">
        <v>901</v>
      </c>
      <c r="F2306" s="10">
        <v>1</v>
      </c>
      <c r="G2306" s="10" t="s">
        <v>73</v>
      </c>
      <c r="H2306" s="10" t="s">
        <v>207</v>
      </c>
      <c r="I2306" s="10" t="s">
        <v>285</v>
      </c>
      <c r="J2306" s="10">
        <v>203</v>
      </c>
      <c r="K2306" s="12">
        <v>44966</v>
      </c>
      <c r="L2306" s="33">
        <v>0.56601851851851859</v>
      </c>
      <c r="M2306" s="10">
        <v>1</v>
      </c>
      <c r="N2306" s="10" t="s">
        <v>211</v>
      </c>
      <c r="O2306" s="10">
        <v>0.437</v>
      </c>
      <c r="P2306" s="10">
        <v>4.07E-2</v>
      </c>
      <c r="Q2306" s="10">
        <v>75.099999999999994</v>
      </c>
      <c r="R2306" s="10" t="s">
        <v>913</v>
      </c>
      <c r="S2306" s="34">
        <f t="shared" si="263"/>
        <v>75.099999999999994</v>
      </c>
      <c r="T2306" s="10" t="s">
        <v>1166</v>
      </c>
      <c r="U2306" s="34">
        <f t="shared" ref="U2306:U2369" si="266">IF(OR(H2306="CHK",H2306="ATP",H2306="GUP",H2306="PER", H2306="NIC", H2306="UREA"),(S2306/V2306*100),IF(H2306="DUP",((ABS(S2306-S2305))/((S2305+S2306)/2))*100,IF(H2306="SPK",((S2306-S2305)/V2306*100),IF(OR(H2306="LAB",H2306="FLD",H2306="ESF"),S2306,""))))</f>
        <v>100.13333333333333</v>
      </c>
      <c r="V2306" s="31">
        <f>IF(H2306="CHK",VLOOKUP(I2306,QCCHK,3,),IF(H2306="GUP",VLOOKUP(E2306,QCGUP,2,),IF(AND(H2306="ATP",OR(I2306="TN",I2306="TDN",I2306="TNO2-3",I2306="NO2-3")),VLOOKUP(E2306,QCREC_N,2,),IF(AND(H2306="NIC",OR(I2306="TN",I2306="TDN",I2306="TNO2-3",I2306="NO2-3")),VLOOKUP(E2306,QCNIC_N,2,),IF(AND(H2306="UREA",OR(I2306="TN",I2306="TDN",I2306="TNO2-3",I2306="NO2-3")),VLOOKUP(E2306,QCUREA_N,2,),IF(H2306="PER",VLOOKUP(I2306,QCPER,MATCH(E2306,QCACTUAL!$J$25:$AA$25,0),),IF(H2306="SPK",VLOOKUP(I2306,QCSPK,3,),IF(AND(H2306="ATP",OR(I2306="TP",I2306="TDP")),VLOOKUP(E2306,QCATP_P,2,),""))))))))</f>
        <v>75</v>
      </c>
      <c r="W2306" s="31" t="str">
        <f t="shared" ref="W2306:W2369" si="267">IF(AND(OR(H2306="PER",H2306="ATP",H2306="GUP",H2306="CHK",H2306="SPK", H2306="NIC"),OR(U2306&gt;125,U2306&lt;75)),"FALSE",IF(AND(H2306="DUP",OR(U2306&gt;25, U2306&lt;-25)),"FALSE",IF(AND(OR(H2306="LAB",H2306="FLD",H2306="ESF"),U2306&gt;15),"FALSE","TRUE")))</f>
        <v>TRUE</v>
      </c>
      <c r="X2306" s="31" t="str">
        <f t="shared" si="262"/>
        <v>[chk]/[actual]*100</v>
      </c>
      <c r="Y2306" s="10" t="s">
        <v>1144</v>
      </c>
      <c r="AL2306" s="10" t="str">
        <f t="shared" si="264"/>
        <v>FALSE</v>
      </c>
      <c r="AM2306" s="10" t="str">
        <f t="shared" si="264"/>
        <v>FALSE</v>
      </c>
      <c r="AN2306" s="10" t="str">
        <f t="shared" si="264"/>
        <v>FALSE</v>
      </c>
      <c r="AO2306" s="10" t="str">
        <f t="shared" si="265"/>
        <v>FALSE</v>
      </c>
      <c r="AP2306" s="10" t="str">
        <f t="shared" si="265"/>
        <v>FALSE</v>
      </c>
      <c r="AQ2306" s="10" t="b">
        <f>IF(AND(I2306="TP",S2306&lt;=150),VLOOKUP(AF2306,TPCalibEq150!$AZ$2:$BB$55,3,),IF(AND(I2306="TDP",S2306&lt;=150),VLOOKUP(AF2306,TPCalibEq150!$AZ$2:$BB$55,3,)))</f>
        <v>0</v>
      </c>
      <c r="AR2306" s="10" t="b">
        <f>IF(AND(I2306="TP",S2306&lt;=300),VLOOKUP(AF2306,TPCalibEq300!$AZ$2:$BB$55,3,),IF(AND(I2306="TDP",S2306&lt;=300),VLOOKUP(AF2306,TPCalibEq300!$AZ$2:$BB$55,3,)))</f>
        <v>0</v>
      </c>
      <c r="AS2306" s="10" t="b">
        <f>IF(AND(I2306="TP",S2306&lt;=500),VLOOKUP(AF2306,TPCalibEq500!$AZ$2:$BB$56,3,),IF(AND(I2306="TDP",S2306&lt;=500),VLOOKUP(AF2306,TPCalibEq500!$AZ$2:$BB$56,3,)))</f>
        <v>0</v>
      </c>
      <c r="AT2306" s="10" t="b">
        <f>IF(AND(I2306="TN",S2306&lt;=2800),VLOOKUP(AF2306,TNCalibEq2500!$AZ$2:$BB$56,3,),IF(AND(I2306="TDN",S2306&lt;=2800),VLOOKUP(AF2306,TNCalibEq2500!$AZ$2:$BB$56,3,)))</f>
        <v>0</v>
      </c>
      <c r="AU2306" s="10" t="b">
        <f>IF(I2306="TP",VLOOKUP(AF2306,TPCalibEqFull!$AZ$2:$BB$56,3),IF(I2306="TDP",VLOOKUP(AF2306,TPCalibEqFull!$AZ$2:$BB$56,3),IF(I2306="TDN",VLOOKUP(AF2306,TNCalibEqFull!$AZ$1:$BB$56,3),IF(I2306="TN",VLOOKUP(AF2306,TNCalibEqFull!$AZ$1:$BB$56,3),FALSE))))</f>
        <v>0</v>
      </c>
      <c r="AV2306" s="10" t="str">
        <f t="shared" ref="AV2306:AV2369" si="268">TEXT(A2306, "MMDD")&amp;" "&amp;TEXT(B2306, "HH:MM:SS")&amp;"-"&amp;C2306&amp;"-"&amp;D2306&amp;"-"&amp;E2306&amp;"-"&amp;F2306&amp;"-"&amp;G2306&amp;"-"&amp;H2306</f>
        <v>0209 09:00:00-QAC-STD-D-1-DI-CHK</v>
      </c>
    </row>
    <row r="2307" spans="1:48" s="10" customFormat="1" x14ac:dyDescent="0.55000000000000004">
      <c r="A2307" s="32">
        <v>44965</v>
      </c>
      <c r="B2307" s="33">
        <v>0.47164351851851855</v>
      </c>
      <c r="C2307" s="10" t="s">
        <v>431</v>
      </c>
      <c r="D2307" s="10">
        <v>0</v>
      </c>
      <c r="E2307" s="10" t="s">
        <v>911</v>
      </c>
      <c r="F2307" s="10">
        <v>1</v>
      </c>
      <c r="G2307" s="10" t="s">
        <v>231</v>
      </c>
      <c r="H2307" s="10" t="s">
        <v>322</v>
      </c>
      <c r="I2307" s="10" t="s">
        <v>167</v>
      </c>
      <c r="J2307" s="10">
        <v>85</v>
      </c>
      <c r="K2307" s="12">
        <v>44966</v>
      </c>
      <c r="L2307" s="33">
        <v>0.56682870370370375</v>
      </c>
      <c r="M2307" s="10">
        <v>1</v>
      </c>
      <c r="N2307" s="10" t="s">
        <v>211</v>
      </c>
      <c r="O2307" s="10">
        <v>0.27400000000000002</v>
      </c>
      <c r="P2307" s="10">
        <v>2.5000000000000001E-2</v>
      </c>
      <c r="Q2307" s="10">
        <v>46.9</v>
      </c>
      <c r="R2307" s="10" t="s">
        <v>913</v>
      </c>
      <c r="S2307" s="34">
        <f t="shared" si="263"/>
        <v>46.9</v>
      </c>
      <c r="T2307" s="10" t="s">
        <v>1166</v>
      </c>
      <c r="U2307" s="34" t="str">
        <f t="shared" si="266"/>
        <v/>
      </c>
      <c r="V2307" s="31" t="str">
        <f>IF(H2307="CHK",VLOOKUP(I2307,QCCHK,3,),IF(H2307="GUP",VLOOKUP(E2307,QCGUP,2,),IF(AND(H2307="ATP",OR(I2307="TN",I2307="TDN",I2307="TNO2-3",I2307="NO2-3")),VLOOKUP(E2307,QCREC_N,2,),IF(AND(H2307="NIC",OR(I2307="TN",I2307="TDN",I2307="TNO2-3",I2307="NO2-3")),VLOOKUP(E2307,QCNIC_N,2,),IF(AND(H2307="UREA",OR(I2307="TN",I2307="TDN",I2307="TNO2-3",I2307="NO2-3")),VLOOKUP(E2307,QCUREA_N,2,),IF(H2307="PER",VLOOKUP(I2307,QCPER,MATCH(E2307,QCACTUAL!$J$25:$AA$25,0),),IF(H2307="SPK",VLOOKUP(I2307,QCSPK,3,),IF(AND(H2307="ATP",OR(I2307="TP",I2307="TDP")),VLOOKUP(E2307,QCATP_P,2,),""))))))))</f>
        <v/>
      </c>
      <c r="W2307" s="31" t="str">
        <f t="shared" si="267"/>
        <v>TRUE</v>
      </c>
      <c r="X2307" s="31" t="str">
        <f t="shared" si="262"/>
        <v/>
      </c>
      <c r="Y2307" s="10" t="s">
        <v>1144</v>
      </c>
      <c r="AL2307" s="10" t="str">
        <f t="shared" si="264"/>
        <v>FALSE</v>
      </c>
      <c r="AM2307" s="10" t="str">
        <f t="shared" si="264"/>
        <v>FALSE</v>
      </c>
      <c r="AN2307" s="10" t="str">
        <f t="shared" si="264"/>
        <v>FALSE</v>
      </c>
      <c r="AO2307" s="10" t="str">
        <f t="shared" si="265"/>
        <v>FALSE</v>
      </c>
      <c r="AP2307" s="10" t="str">
        <f t="shared" si="265"/>
        <v>FALSE</v>
      </c>
      <c r="AQ2307" s="10" t="b">
        <f>IF(AND(I2307="TP",S2307&lt;=150),VLOOKUP(AF2307,TPCalibEq150!$AZ$2:$BB$55,3,),IF(AND(I2307="TDP",S2307&lt;=150),VLOOKUP(AF2307,TPCalibEq150!$AZ$2:$BB$55,3,)))</f>
        <v>0</v>
      </c>
      <c r="AR2307" s="10" t="b">
        <f>IF(AND(I2307="TP",S2307&lt;=300),VLOOKUP(AF2307,TPCalibEq300!$AZ$2:$BB$55,3,),IF(AND(I2307="TDP",S2307&lt;=300),VLOOKUP(AF2307,TPCalibEq300!$AZ$2:$BB$55,3,)))</f>
        <v>0</v>
      </c>
      <c r="AS2307" s="10" t="b">
        <f>IF(AND(I2307="TP",S2307&lt;=500),VLOOKUP(AF2307,TPCalibEq500!$AZ$2:$BB$56,3,),IF(AND(I2307="TDP",S2307&lt;=500),VLOOKUP(AF2307,TPCalibEq500!$AZ$2:$BB$56,3,)))</f>
        <v>0</v>
      </c>
      <c r="AT2307" s="10" t="b">
        <f>IF(AND(I2307="TN",S2307&lt;=2800),VLOOKUP(AF2307,TNCalibEq2500!$AZ$2:$BB$56,3,),IF(AND(I2307="TDN",S2307&lt;=2800),VLOOKUP(AF2307,TNCalibEq2500!$AZ$2:$BB$56,3,)))</f>
        <v>0</v>
      </c>
      <c r="AU2307" s="10" t="b">
        <f>IF(I2307="TP",VLOOKUP(AF2307,TPCalibEqFull!$AZ$2:$BB$56,3),IF(I2307="TDP",VLOOKUP(AF2307,TPCalibEqFull!$AZ$2:$BB$56,3),IF(I2307="TDN",VLOOKUP(AF2307,TNCalibEqFull!$AZ$1:$BB$56,3),IF(I2307="TN",VLOOKUP(AF2307,TNCalibEqFull!$AZ$1:$BB$56,3),FALSE))))</f>
        <v>0</v>
      </c>
      <c r="AV2307" s="10" t="str">
        <f t="shared" si="268"/>
        <v>0208 11:19:10-EUS-0-FIL-1-SW-UKN</v>
      </c>
    </row>
    <row r="2308" spans="1:48" s="10" customFormat="1" x14ac:dyDescent="0.55000000000000004">
      <c r="A2308" s="32">
        <v>44965</v>
      </c>
      <c r="B2308" s="33">
        <v>0.47395833333333331</v>
      </c>
      <c r="C2308" s="10" t="s">
        <v>431</v>
      </c>
      <c r="D2308" s="10">
        <v>5</v>
      </c>
      <c r="E2308" s="10" t="s">
        <v>911</v>
      </c>
      <c r="F2308" s="10">
        <v>1</v>
      </c>
      <c r="G2308" s="10" t="s">
        <v>231</v>
      </c>
      <c r="H2308" s="10" t="s">
        <v>322</v>
      </c>
      <c r="I2308" s="10" t="s">
        <v>167</v>
      </c>
      <c r="J2308" s="10">
        <v>86</v>
      </c>
      <c r="K2308" s="12">
        <v>44966</v>
      </c>
      <c r="L2308" s="33">
        <v>0.56763888888888892</v>
      </c>
      <c r="M2308" s="10">
        <v>1</v>
      </c>
      <c r="N2308" s="10" t="s">
        <v>211</v>
      </c>
      <c r="O2308" s="10">
        <v>0.28299999999999997</v>
      </c>
      <c r="P2308" s="10">
        <v>2.58E-2</v>
      </c>
      <c r="Q2308" s="10">
        <v>48.5</v>
      </c>
      <c r="R2308" s="10" t="s">
        <v>913</v>
      </c>
      <c r="S2308" s="34">
        <f t="shared" si="263"/>
        <v>48.5</v>
      </c>
      <c r="T2308" s="10" t="s">
        <v>1166</v>
      </c>
      <c r="U2308" s="34" t="str">
        <f t="shared" si="266"/>
        <v/>
      </c>
      <c r="V2308" s="31" t="str">
        <f>IF(H2308="CHK",VLOOKUP(I2308,QCCHK,3,),IF(H2308="GUP",VLOOKUP(E2308,QCGUP,2,),IF(AND(H2308="ATP",OR(I2308="TN",I2308="TDN",I2308="TNO2-3",I2308="NO2-3")),VLOOKUP(E2308,QCREC_N,2,),IF(AND(H2308="NIC",OR(I2308="TN",I2308="TDN",I2308="TNO2-3",I2308="NO2-3")),VLOOKUP(E2308,QCNIC_N,2,),IF(AND(H2308="UREA",OR(I2308="TN",I2308="TDN",I2308="TNO2-3",I2308="NO2-3")),VLOOKUP(E2308,QCUREA_N,2,),IF(H2308="PER",VLOOKUP(I2308,QCPER,MATCH(E2308,QCACTUAL!$J$25:$AA$25,0),),IF(H2308="SPK",VLOOKUP(I2308,QCSPK,3,),IF(AND(H2308="ATP",OR(I2308="TP",I2308="TDP")),VLOOKUP(E2308,QCATP_P,2,),""))))))))</f>
        <v/>
      </c>
      <c r="W2308" s="31" t="str">
        <f t="shared" si="267"/>
        <v>TRUE</v>
      </c>
      <c r="X2308" s="31" t="str">
        <f t="shared" si="262"/>
        <v/>
      </c>
      <c r="Y2308" s="10" t="s">
        <v>1144</v>
      </c>
      <c r="AL2308" s="10" t="str">
        <f t="shared" si="264"/>
        <v>FALSE</v>
      </c>
      <c r="AM2308" s="10" t="str">
        <f t="shared" si="264"/>
        <v>FALSE</v>
      </c>
      <c r="AN2308" s="10" t="str">
        <f t="shared" si="264"/>
        <v>FALSE</v>
      </c>
      <c r="AO2308" s="10" t="str">
        <f t="shared" si="265"/>
        <v>FALSE</v>
      </c>
      <c r="AP2308" s="10" t="str">
        <f t="shared" si="265"/>
        <v>FALSE</v>
      </c>
      <c r="AQ2308" s="10" t="b">
        <f>IF(AND(I2308="TP",S2308&lt;=150),VLOOKUP(AF2308,TPCalibEq150!$AZ$2:$BB$55,3,),IF(AND(I2308="TDP",S2308&lt;=150),VLOOKUP(AF2308,TPCalibEq150!$AZ$2:$BB$55,3,)))</f>
        <v>0</v>
      </c>
      <c r="AR2308" s="10" t="b">
        <f>IF(AND(I2308="TP",S2308&lt;=300),VLOOKUP(AF2308,TPCalibEq300!$AZ$2:$BB$55,3,),IF(AND(I2308="TDP",S2308&lt;=300),VLOOKUP(AF2308,TPCalibEq300!$AZ$2:$BB$55,3,)))</f>
        <v>0</v>
      </c>
      <c r="AS2308" s="10" t="b">
        <f>IF(AND(I2308="TP",S2308&lt;=500),VLOOKUP(AF2308,TPCalibEq500!$AZ$2:$BB$56,3,),IF(AND(I2308="TDP",S2308&lt;=500),VLOOKUP(AF2308,TPCalibEq500!$AZ$2:$BB$56,3,)))</f>
        <v>0</v>
      </c>
      <c r="AT2308" s="10" t="b">
        <f>IF(AND(I2308="TN",S2308&lt;=2800),VLOOKUP(AF2308,TNCalibEq2500!$AZ$2:$BB$56,3,),IF(AND(I2308="TDN",S2308&lt;=2800),VLOOKUP(AF2308,TNCalibEq2500!$AZ$2:$BB$56,3,)))</f>
        <v>0</v>
      </c>
      <c r="AU2308" s="10" t="b">
        <f>IF(I2308="TP",VLOOKUP(AF2308,TPCalibEqFull!$AZ$2:$BB$56,3),IF(I2308="TDP",VLOOKUP(AF2308,TPCalibEqFull!$AZ$2:$BB$56,3),IF(I2308="TDN",VLOOKUP(AF2308,TNCalibEqFull!$AZ$1:$BB$56,3),IF(I2308="TN",VLOOKUP(AF2308,TNCalibEqFull!$AZ$1:$BB$56,3),FALSE))))</f>
        <v>0</v>
      </c>
      <c r="AV2308" s="10" t="str">
        <f t="shared" si="268"/>
        <v>0208 11:22:30-EUS-5-FIL-1-SW-UKN</v>
      </c>
    </row>
    <row r="2309" spans="1:48" s="10" customFormat="1" x14ac:dyDescent="0.55000000000000004">
      <c r="A2309" s="32">
        <v>44965</v>
      </c>
      <c r="B2309" s="33">
        <v>0.46828703703703706</v>
      </c>
      <c r="C2309" s="10" t="s">
        <v>618</v>
      </c>
      <c r="D2309" s="10">
        <v>0</v>
      </c>
      <c r="E2309" s="10" t="s">
        <v>911</v>
      </c>
      <c r="F2309" s="10">
        <v>1</v>
      </c>
      <c r="G2309" s="10" t="s">
        <v>231</v>
      </c>
      <c r="H2309" s="10" t="s">
        <v>322</v>
      </c>
      <c r="I2309" s="10" t="s">
        <v>167</v>
      </c>
      <c r="J2309" s="10">
        <v>87</v>
      </c>
      <c r="K2309" s="12">
        <v>44966</v>
      </c>
      <c r="L2309" s="33">
        <v>0.56843750000000004</v>
      </c>
      <c r="M2309" s="10">
        <v>1</v>
      </c>
      <c r="N2309" s="10" t="s">
        <v>211</v>
      </c>
      <c r="O2309" s="10">
        <v>0.52700000000000002</v>
      </c>
      <c r="P2309" s="10">
        <v>4.9000000000000002E-2</v>
      </c>
      <c r="Q2309" s="10">
        <v>90.8</v>
      </c>
      <c r="R2309" s="10" t="s">
        <v>913</v>
      </c>
      <c r="S2309" s="34">
        <f t="shared" si="263"/>
        <v>90.8</v>
      </c>
      <c r="T2309" s="10" t="s">
        <v>1166</v>
      </c>
      <c r="U2309" s="34" t="str">
        <f t="shared" si="266"/>
        <v/>
      </c>
      <c r="V2309" s="31" t="str">
        <f>IF(H2309="CHK",VLOOKUP(I2309,QCCHK,3,),IF(H2309="GUP",VLOOKUP(E2309,QCGUP,2,),IF(AND(H2309="ATP",OR(I2309="TN",I2309="TDN",I2309="TNO2-3",I2309="NO2-3")),VLOOKUP(E2309,QCREC_N,2,),IF(AND(H2309="NIC",OR(I2309="TN",I2309="TDN",I2309="TNO2-3",I2309="NO2-3")),VLOOKUP(E2309,QCNIC_N,2,),IF(AND(H2309="UREA",OR(I2309="TN",I2309="TDN",I2309="TNO2-3",I2309="NO2-3")),VLOOKUP(E2309,QCUREA_N,2,),IF(H2309="PER",VLOOKUP(I2309,QCPER,MATCH(E2309,QCACTUAL!$J$25:$AA$25,0),),IF(H2309="SPK",VLOOKUP(I2309,QCSPK,3,),IF(AND(H2309="ATP",OR(I2309="TP",I2309="TDP")),VLOOKUP(E2309,QCATP_P,2,),""))))))))</f>
        <v/>
      </c>
      <c r="W2309" s="31" t="str">
        <f t="shared" si="267"/>
        <v>TRUE</v>
      </c>
      <c r="X2309" s="31" t="str">
        <f t="shared" si="262"/>
        <v/>
      </c>
      <c r="Y2309" s="10" t="s">
        <v>1144</v>
      </c>
      <c r="AL2309" s="10" t="str">
        <f t="shared" si="264"/>
        <v>FALSE</v>
      </c>
      <c r="AM2309" s="10" t="str">
        <f t="shared" si="264"/>
        <v>FALSE</v>
      </c>
      <c r="AN2309" s="10" t="str">
        <f t="shared" si="264"/>
        <v>FALSE</v>
      </c>
      <c r="AO2309" s="10" t="str">
        <f t="shared" si="265"/>
        <v>FALSE</v>
      </c>
      <c r="AP2309" s="10" t="str">
        <f t="shared" si="265"/>
        <v>FALSE</v>
      </c>
      <c r="AQ2309" s="10" t="b">
        <f>IF(AND(I2309="TP",S2309&lt;=150),VLOOKUP(AF2309,TPCalibEq150!$AZ$2:$BB$55,3,),IF(AND(I2309="TDP",S2309&lt;=150),VLOOKUP(AF2309,TPCalibEq150!$AZ$2:$BB$55,3,)))</f>
        <v>0</v>
      </c>
      <c r="AR2309" s="10" t="b">
        <f>IF(AND(I2309="TP",S2309&lt;=300),VLOOKUP(AF2309,TPCalibEq300!$AZ$2:$BB$55,3,),IF(AND(I2309="TDP",S2309&lt;=300),VLOOKUP(AF2309,TPCalibEq300!$AZ$2:$BB$55,3,)))</f>
        <v>0</v>
      </c>
      <c r="AS2309" s="10" t="b">
        <f>IF(AND(I2309="TP",S2309&lt;=500),VLOOKUP(AF2309,TPCalibEq500!$AZ$2:$BB$56,3,),IF(AND(I2309="TDP",S2309&lt;=500),VLOOKUP(AF2309,TPCalibEq500!$AZ$2:$BB$56,3,)))</f>
        <v>0</v>
      </c>
      <c r="AT2309" s="10" t="b">
        <f>IF(AND(I2309="TN",S2309&lt;=2800),VLOOKUP(AF2309,TNCalibEq2500!$AZ$2:$BB$56,3,),IF(AND(I2309="TDN",S2309&lt;=2800),VLOOKUP(AF2309,TNCalibEq2500!$AZ$2:$BB$56,3,)))</f>
        <v>0</v>
      </c>
      <c r="AU2309" s="10" t="b">
        <f>IF(I2309="TP",VLOOKUP(AF2309,TPCalibEqFull!$AZ$2:$BB$56,3),IF(I2309="TDP",VLOOKUP(AF2309,TPCalibEqFull!$AZ$2:$BB$56,3),IF(I2309="TDN",VLOOKUP(AF2309,TNCalibEqFull!$AZ$1:$BB$56,3),IF(I2309="TN",VLOOKUP(AF2309,TNCalibEqFull!$AZ$1:$BB$56,3),FALSE))))</f>
        <v>0</v>
      </c>
      <c r="AV2309" s="10" t="str">
        <f t="shared" si="268"/>
        <v>0208 11:14:20-ECP-0-FIL-1-SW-UKN</v>
      </c>
    </row>
    <row r="2310" spans="1:48" s="10" customFormat="1" x14ac:dyDescent="0.55000000000000004">
      <c r="A2310" s="32">
        <v>44965</v>
      </c>
      <c r="B2310" s="33">
        <v>0.46828703703703706</v>
      </c>
      <c r="C2310" s="10" t="s">
        <v>618</v>
      </c>
      <c r="D2310" s="10">
        <v>0</v>
      </c>
      <c r="E2310" s="10" t="s">
        <v>911</v>
      </c>
      <c r="F2310" s="10">
        <v>2</v>
      </c>
      <c r="G2310" s="10" t="s">
        <v>231</v>
      </c>
      <c r="H2310" s="10" t="s">
        <v>322</v>
      </c>
      <c r="I2310" s="10" t="s">
        <v>167</v>
      </c>
      <c r="J2310" s="10">
        <v>88</v>
      </c>
      <c r="K2310" s="12">
        <v>44966</v>
      </c>
      <c r="L2310" s="33">
        <v>0.56925925925925924</v>
      </c>
      <c r="M2310" s="10">
        <v>1</v>
      </c>
      <c r="N2310" s="10" t="s">
        <v>211</v>
      </c>
      <c r="O2310" s="10">
        <v>0.54300000000000004</v>
      </c>
      <c r="P2310" s="10">
        <v>5.1200000000000002E-2</v>
      </c>
      <c r="Q2310" s="10">
        <v>93.4</v>
      </c>
      <c r="R2310" s="10" t="s">
        <v>913</v>
      </c>
      <c r="S2310" s="34">
        <f t="shared" si="263"/>
        <v>93.4</v>
      </c>
      <c r="T2310" s="10" t="s">
        <v>1166</v>
      </c>
      <c r="U2310" s="34" t="str">
        <f t="shared" si="266"/>
        <v/>
      </c>
      <c r="V2310" s="31" t="str">
        <f>IF(H2310="CHK",VLOOKUP(I2310,QCCHK,3,),IF(H2310="GUP",VLOOKUP(E2310,QCGUP,2,),IF(AND(H2310="ATP",OR(I2310="TN",I2310="TDN",I2310="TNO2-3",I2310="NO2-3")),VLOOKUP(E2310,QCREC_N,2,),IF(AND(H2310="NIC",OR(I2310="TN",I2310="TDN",I2310="TNO2-3",I2310="NO2-3")),VLOOKUP(E2310,QCNIC_N,2,),IF(AND(H2310="UREA",OR(I2310="TN",I2310="TDN",I2310="TNO2-3",I2310="NO2-3")),VLOOKUP(E2310,QCUREA_N,2,),IF(H2310="PER",VLOOKUP(I2310,QCPER,MATCH(E2310,QCACTUAL!$J$25:$AA$25,0),),IF(H2310="SPK",VLOOKUP(I2310,QCSPK,3,),IF(AND(H2310="ATP",OR(I2310="TP",I2310="TDP")),VLOOKUP(E2310,QCATP_P,2,),""))))))))</f>
        <v/>
      </c>
      <c r="W2310" s="31" t="str">
        <f t="shared" si="267"/>
        <v>TRUE</v>
      </c>
      <c r="X2310" s="31" t="str">
        <f t="shared" si="262"/>
        <v/>
      </c>
      <c r="Y2310" s="10" t="s">
        <v>1144</v>
      </c>
      <c r="AL2310" s="10" t="str">
        <f t="shared" si="264"/>
        <v>FALSE</v>
      </c>
      <c r="AM2310" s="10" t="str">
        <f t="shared" si="264"/>
        <v>FALSE</v>
      </c>
      <c r="AN2310" s="10" t="str">
        <f t="shared" si="264"/>
        <v>FALSE</v>
      </c>
      <c r="AO2310" s="10" t="str">
        <f t="shared" si="265"/>
        <v>FALSE</v>
      </c>
      <c r="AP2310" s="10" t="str">
        <f t="shared" si="265"/>
        <v>FALSE</v>
      </c>
      <c r="AQ2310" s="10" t="b">
        <f>IF(AND(I2310="TP",S2310&lt;=150),VLOOKUP(AF2310,TPCalibEq150!$AZ$2:$BB$55,3,),IF(AND(I2310="TDP",S2310&lt;=150),VLOOKUP(AF2310,TPCalibEq150!$AZ$2:$BB$55,3,)))</f>
        <v>0</v>
      </c>
      <c r="AR2310" s="10" t="b">
        <f>IF(AND(I2310="TP",S2310&lt;=300),VLOOKUP(AF2310,TPCalibEq300!$AZ$2:$BB$55,3,),IF(AND(I2310="TDP",S2310&lt;=300),VLOOKUP(AF2310,TPCalibEq300!$AZ$2:$BB$55,3,)))</f>
        <v>0</v>
      </c>
      <c r="AS2310" s="10" t="b">
        <f>IF(AND(I2310="TP",S2310&lt;=500),VLOOKUP(AF2310,TPCalibEq500!$AZ$2:$BB$56,3,),IF(AND(I2310="TDP",S2310&lt;=500),VLOOKUP(AF2310,TPCalibEq500!$AZ$2:$BB$56,3,)))</f>
        <v>0</v>
      </c>
      <c r="AT2310" s="10" t="b">
        <f>IF(AND(I2310="TN",S2310&lt;=2800),VLOOKUP(AF2310,TNCalibEq2500!$AZ$2:$BB$56,3,),IF(AND(I2310="TDN",S2310&lt;=2800),VLOOKUP(AF2310,TNCalibEq2500!$AZ$2:$BB$56,3,)))</f>
        <v>0</v>
      </c>
      <c r="AU2310" s="10" t="b">
        <f>IF(I2310="TP",VLOOKUP(AF2310,TPCalibEqFull!$AZ$2:$BB$56,3),IF(I2310="TDP",VLOOKUP(AF2310,TPCalibEqFull!$AZ$2:$BB$56,3),IF(I2310="TDN",VLOOKUP(AF2310,TNCalibEqFull!$AZ$1:$BB$56,3),IF(I2310="TN",VLOOKUP(AF2310,TNCalibEqFull!$AZ$1:$BB$56,3),FALSE))))</f>
        <v>0</v>
      </c>
      <c r="AV2310" s="10" t="str">
        <f t="shared" si="268"/>
        <v>0208 11:14:20-ECP-0-FIL-2-SW-UKN</v>
      </c>
    </row>
    <row r="2311" spans="1:48" s="10" customFormat="1" x14ac:dyDescent="0.55000000000000004">
      <c r="A2311" s="32">
        <v>44965</v>
      </c>
      <c r="B2311" s="33">
        <v>0.46828703703703706</v>
      </c>
      <c r="C2311" s="10" t="s">
        <v>618</v>
      </c>
      <c r="D2311" s="10">
        <v>0</v>
      </c>
      <c r="E2311" s="10" t="s">
        <v>911</v>
      </c>
      <c r="F2311" s="10">
        <v>2</v>
      </c>
      <c r="G2311" s="10" t="s">
        <v>231</v>
      </c>
      <c r="H2311" s="10" t="s">
        <v>233</v>
      </c>
      <c r="I2311" s="10" t="s">
        <v>167</v>
      </c>
      <c r="J2311" s="10">
        <v>88</v>
      </c>
      <c r="K2311" s="12">
        <v>44966</v>
      </c>
      <c r="L2311" s="33">
        <v>0.57006944444444441</v>
      </c>
      <c r="M2311" s="10">
        <v>1</v>
      </c>
      <c r="N2311" s="10" t="s">
        <v>211</v>
      </c>
      <c r="O2311" s="10">
        <v>0.55300000000000005</v>
      </c>
      <c r="P2311" s="10">
        <v>5.16E-2</v>
      </c>
      <c r="Q2311" s="10">
        <v>95.2</v>
      </c>
      <c r="R2311" s="10" t="s">
        <v>913</v>
      </c>
      <c r="S2311" s="34">
        <f t="shared" si="263"/>
        <v>95.2</v>
      </c>
      <c r="T2311" s="10" t="s">
        <v>1166</v>
      </c>
      <c r="U2311" s="34">
        <f t="shared" si="266"/>
        <v>1.908801696712616</v>
      </c>
      <c r="V2311" s="31" t="str">
        <f>IF(H2311="CHK",VLOOKUP(I2311,QCCHK,3,),IF(H2311="GUP",VLOOKUP(E2311,QCGUP,2,),IF(AND(H2311="ATP",OR(I2311="TN",I2311="TDN",I2311="TNO2-3",I2311="NO2-3")),VLOOKUP(E2311,QCREC_N,2,),IF(AND(H2311="NIC",OR(I2311="TN",I2311="TDN",I2311="TNO2-3",I2311="NO2-3")),VLOOKUP(E2311,QCNIC_N,2,),IF(AND(H2311="UREA",OR(I2311="TN",I2311="TDN",I2311="TNO2-3",I2311="NO2-3")),VLOOKUP(E2311,QCUREA_N,2,),IF(H2311="PER",VLOOKUP(I2311,QCPER,MATCH(E2311,QCACTUAL!$J$25:$AA$25,0),),IF(H2311="SPK",VLOOKUP(I2311,QCSPK,3,),IF(AND(H2311="ATP",OR(I2311="TP",I2311="TDP")),VLOOKUP(E2311,QCATP_P,2,),""))))))))</f>
        <v/>
      </c>
      <c r="W2311" s="31" t="str">
        <f t="shared" si="267"/>
        <v>TRUE</v>
      </c>
      <c r="X2311" s="31" t="str">
        <f t="shared" si="262"/>
        <v>((ABS(rep1-rep2))/((rep1+rep2)/2)*100</v>
      </c>
      <c r="Y2311" s="10" t="s">
        <v>1144</v>
      </c>
      <c r="AL2311" s="10" t="str">
        <f t="shared" si="264"/>
        <v>FALSE</v>
      </c>
      <c r="AM2311" s="10" t="str">
        <f t="shared" si="264"/>
        <v>FALSE</v>
      </c>
      <c r="AN2311" s="10" t="str">
        <f t="shared" si="264"/>
        <v>FALSE</v>
      </c>
      <c r="AO2311" s="10" t="str">
        <f t="shared" si="265"/>
        <v>FALSE</v>
      </c>
      <c r="AP2311" s="10" t="str">
        <f t="shared" si="265"/>
        <v>FALSE</v>
      </c>
      <c r="AQ2311" s="10" t="b">
        <f>IF(AND(I2311="TP",S2311&lt;=150),VLOOKUP(AF2311,TPCalibEq150!$AZ$2:$BB$55,3,),IF(AND(I2311="TDP",S2311&lt;=150),VLOOKUP(AF2311,TPCalibEq150!$AZ$2:$BB$55,3,)))</f>
        <v>0</v>
      </c>
      <c r="AR2311" s="10" t="b">
        <f>IF(AND(I2311="TP",S2311&lt;=300),VLOOKUP(AF2311,TPCalibEq300!$AZ$2:$BB$55,3,),IF(AND(I2311="TDP",S2311&lt;=300),VLOOKUP(AF2311,TPCalibEq300!$AZ$2:$BB$55,3,)))</f>
        <v>0</v>
      </c>
      <c r="AS2311" s="10" t="b">
        <f>IF(AND(I2311="TP",S2311&lt;=500),VLOOKUP(AF2311,TPCalibEq500!$AZ$2:$BB$56,3,),IF(AND(I2311="TDP",S2311&lt;=500),VLOOKUP(AF2311,TPCalibEq500!$AZ$2:$BB$56,3,)))</f>
        <v>0</v>
      </c>
      <c r="AT2311" s="10" t="b">
        <f>IF(AND(I2311="TN",S2311&lt;=2800),VLOOKUP(AF2311,TNCalibEq2500!$AZ$2:$BB$56,3,),IF(AND(I2311="TDN",S2311&lt;=2800),VLOOKUP(AF2311,TNCalibEq2500!$AZ$2:$BB$56,3,)))</f>
        <v>0</v>
      </c>
      <c r="AU2311" s="10" t="b">
        <f>IF(I2311="TP",VLOOKUP(AF2311,TPCalibEqFull!$AZ$2:$BB$56,3),IF(I2311="TDP",VLOOKUP(AF2311,TPCalibEqFull!$AZ$2:$BB$56,3),IF(I2311="TDN",VLOOKUP(AF2311,TNCalibEqFull!$AZ$1:$BB$56,3),IF(I2311="TN",VLOOKUP(AF2311,TNCalibEqFull!$AZ$1:$BB$56,3),FALSE))))</f>
        <v>0</v>
      </c>
      <c r="AV2311" s="10" t="str">
        <f t="shared" si="268"/>
        <v>0208 11:14:20-ECP-0-FIL-2-SW-DUP</v>
      </c>
    </row>
    <row r="2312" spans="1:48" s="10" customFormat="1" x14ac:dyDescent="0.55000000000000004">
      <c r="A2312" s="32">
        <v>44965</v>
      </c>
      <c r="B2312" s="33">
        <v>0.46828703703703706</v>
      </c>
      <c r="C2312" s="10" t="s">
        <v>618</v>
      </c>
      <c r="D2312" s="10">
        <v>0</v>
      </c>
      <c r="E2312" s="10" t="s">
        <v>911</v>
      </c>
      <c r="F2312" s="10">
        <v>2</v>
      </c>
      <c r="G2312" s="10" t="s">
        <v>231</v>
      </c>
      <c r="H2312" s="10" t="s">
        <v>314</v>
      </c>
      <c r="I2312" s="10" t="s">
        <v>167</v>
      </c>
      <c r="J2312" s="10">
        <v>129</v>
      </c>
      <c r="K2312" s="12">
        <v>44966</v>
      </c>
      <c r="L2312" s="33">
        <v>0.57089120370370372</v>
      </c>
      <c r="M2312" s="10">
        <v>1</v>
      </c>
      <c r="N2312" s="10" t="s">
        <v>211</v>
      </c>
      <c r="O2312" s="10">
        <v>1.52</v>
      </c>
      <c r="P2312" s="10">
        <v>0.14599999999999999</v>
      </c>
      <c r="Q2312" s="10">
        <v>263</v>
      </c>
      <c r="R2312" s="10" t="s">
        <v>913</v>
      </c>
      <c r="S2312" s="34">
        <f t="shared" si="263"/>
        <v>263</v>
      </c>
      <c r="T2312" s="10" t="s">
        <v>1166</v>
      </c>
      <c r="U2312" s="34">
        <f t="shared" si="266"/>
        <v>107.392</v>
      </c>
      <c r="V2312" s="31">
        <f>IF(H2312="CHK",VLOOKUP(I2312,QCCHK,3,),IF(H2312="GUP",VLOOKUP(E2312,QCGUP,2,),IF(AND(H2312="ATP",OR(I2312="TN",I2312="TDN",I2312="TNO2-3",I2312="NO2-3")),VLOOKUP(E2312,QCREC_N,2,),IF(AND(H2312="NIC",OR(I2312="TN",I2312="TDN",I2312="TNO2-3",I2312="NO2-3")),VLOOKUP(E2312,QCNIC_N,2,),IF(AND(H2312="UREA",OR(I2312="TN",I2312="TDN",I2312="TNO2-3",I2312="NO2-3")),VLOOKUP(E2312,QCUREA_N,2,),IF(H2312="PER",VLOOKUP(I2312,QCPER,MATCH(E2312,QCACTUAL!$J$25:$AA$25,0),),IF(H2312="SPK",VLOOKUP(I2312,QCSPK,3,),IF(AND(H2312="ATP",OR(I2312="TP",I2312="TDP")),VLOOKUP(E2312,QCATP_P,2,),""))))))))</f>
        <v>156.25</v>
      </c>
      <c r="W2312" s="31" t="str">
        <f t="shared" si="267"/>
        <v>TRUE</v>
      </c>
      <c r="X2312" s="31" t="str">
        <f t="shared" si="262"/>
        <v>([spikedunkn]-[unkn])/[spike]*100</v>
      </c>
      <c r="Y2312" s="10" t="s">
        <v>1144</v>
      </c>
      <c r="AL2312" s="10" t="str">
        <f t="shared" si="264"/>
        <v>FALSE</v>
      </c>
      <c r="AM2312" s="10" t="str">
        <f t="shared" si="264"/>
        <v>FALSE</v>
      </c>
      <c r="AN2312" s="10" t="str">
        <f t="shared" si="264"/>
        <v>FALSE</v>
      </c>
      <c r="AO2312" s="10" t="str">
        <f t="shared" si="265"/>
        <v>FALSE</v>
      </c>
      <c r="AP2312" s="10" t="str">
        <f t="shared" si="265"/>
        <v>FALSE</v>
      </c>
      <c r="AQ2312" s="10" t="b">
        <f>IF(AND(I2312="TP",S2312&lt;=150),VLOOKUP(AF2312,TPCalibEq150!$AZ$2:$BB$55,3,),IF(AND(I2312="TDP",S2312&lt;=150),VLOOKUP(AF2312,TPCalibEq150!$AZ$2:$BB$55,3,)))</f>
        <v>0</v>
      </c>
      <c r="AR2312" s="10" t="b">
        <f>IF(AND(I2312="TP",S2312&lt;=300),VLOOKUP(AF2312,TPCalibEq300!$AZ$2:$BB$55,3,),IF(AND(I2312="TDP",S2312&lt;=300),VLOOKUP(AF2312,TPCalibEq300!$AZ$2:$BB$55,3,)))</f>
        <v>0</v>
      </c>
      <c r="AS2312" s="10" t="b">
        <f>IF(AND(I2312="TP",S2312&lt;=500),VLOOKUP(AF2312,TPCalibEq500!$AZ$2:$BB$56,3,),IF(AND(I2312="TDP",S2312&lt;=500),VLOOKUP(AF2312,TPCalibEq500!$AZ$2:$BB$56,3,)))</f>
        <v>0</v>
      </c>
      <c r="AT2312" s="10" t="b">
        <f>IF(AND(I2312="TN",S2312&lt;=2800),VLOOKUP(AF2312,TNCalibEq2500!$AZ$2:$BB$56,3,),IF(AND(I2312="TDN",S2312&lt;=2800),VLOOKUP(AF2312,TNCalibEq2500!$AZ$2:$BB$56,3,)))</f>
        <v>0</v>
      </c>
      <c r="AU2312" s="10" t="b">
        <f>IF(I2312="TP",VLOOKUP(AF2312,TPCalibEqFull!$AZ$2:$BB$56,3),IF(I2312="TDP",VLOOKUP(AF2312,TPCalibEqFull!$AZ$2:$BB$56,3),IF(I2312="TDN",VLOOKUP(AF2312,TNCalibEqFull!$AZ$1:$BB$56,3),IF(I2312="TN",VLOOKUP(AF2312,TNCalibEqFull!$AZ$1:$BB$56,3),FALSE))))</f>
        <v>0</v>
      </c>
      <c r="AV2312" s="10" t="str">
        <f t="shared" si="268"/>
        <v>0208 11:14:20-ECP-0-FIL-2-SW-SPK</v>
      </c>
    </row>
    <row r="2313" spans="1:48" s="10" customFormat="1" x14ac:dyDescent="0.55000000000000004">
      <c r="A2313" s="32">
        <v>44966</v>
      </c>
      <c r="B2313" s="33">
        <v>0.375</v>
      </c>
      <c r="C2313" s="10" t="s">
        <v>70</v>
      </c>
      <c r="D2313" s="10" t="s">
        <v>71</v>
      </c>
      <c r="E2313" s="10" t="s">
        <v>901</v>
      </c>
      <c r="F2313" s="10">
        <v>1</v>
      </c>
      <c r="G2313" s="10" t="s">
        <v>73</v>
      </c>
      <c r="H2313" s="10" t="s">
        <v>207</v>
      </c>
      <c r="I2313" s="10" t="s">
        <v>285</v>
      </c>
      <c r="J2313" s="10">
        <v>203</v>
      </c>
      <c r="K2313" s="12">
        <v>44966</v>
      </c>
      <c r="L2313" s="33">
        <v>0.57171296296296303</v>
      </c>
      <c r="M2313" s="10">
        <v>1</v>
      </c>
      <c r="N2313" s="10" t="s">
        <v>211</v>
      </c>
      <c r="O2313" s="10">
        <v>0.43</v>
      </c>
      <c r="P2313" s="10">
        <v>4.0300000000000002E-2</v>
      </c>
      <c r="Q2313" s="10">
        <v>74</v>
      </c>
      <c r="R2313" s="10" t="s">
        <v>913</v>
      </c>
      <c r="S2313" s="34">
        <f t="shared" si="263"/>
        <v>74</v>
      </c>
      <c r="T2313" s="10" t="s">
        <v>1166</v>
      </c>
      <c r="U2313" s="34">
        <f t="shared" si="266"/>
        <v>98.666666666666671</v>
      </c>
      <c r="V2313" s="31">
        <f>IF(H2313="CHK",VLOOKUP(I2313,QCCHK,3,),IF(H2313="GUP",VLOOKUP(E2313,QCGUP,2,),IF(AND(H2313="ATP",OR(I2313="TN",I2313="TDN",I2313="TNO2-3",I2313="NO2-3")),VLOOKUP(E2313,QCREC_N,2,),IF(AND(H2313="NIC",OR(I2313="TN",I2313="TDN",I2313="TNO2-3",I2313="NO2-3")),VLOOKUP(E2313,QCNIC_N,2,),IF(AND(H2313="UREA",OR(I2313="TN",I2313="TDN",I2313="TNO2-3",I2313="NO2-3")),VLOOKUP(E2313,QCUREA_N,2,),IF(H2313="PER",VLOOKUP(I2313,QCPER,MATCH(E2313,QCACTUAL!$J$25:$AA$25,0),),IF(H2313="SPK",VLOOKUP(I2313,QCSPK,3,),IF(AND(H2313="ATP",OR(I2313="TP",I2313="TDP")),VLOOKUP(E2313,QCATP_P,2,),""))))))))</f>
        <v>75</v>
      </c>
      <c r="W2313" s="31" t="str">
        <f t="shared" si="267"/>
        <v>TRUE</v>
      </c>
      <c r="X2313" s="31" t="str">
        <f t="shared" si="262"/>
        <v>[chk]/[actual]*100</v>
      </c>
      <c r="Y2313" s="10" t="s">
        <v>1144</v>
      </c>
      <c r="AL2313" s="10" t="str">
        <f t="shared" si="264"/>
        <v>FALSE</v>
      </c>
      <c r="AM2313" s="10" t="str">
        <f t="shared" si="264"/>
        <v>FALSE</v>
      </c>
      <c r="AN2313" s="10" t="str">
        <f t="shared" si="264"/>
        <v>FALSE</v>
      </c>
      <c r="AO2313" s="10" t="str">
        <f t="shared" si="265"/>
        <v>FALSE</v>
      </c>
      <c r="AP2313" s="10" t="str">
        <f t="shared" si="265"/>
        <v>FALSE</v>
      </c>
      <c r="AQ2313" s="10" t="b">
        <f>IF(AND(I2313="TP",S2313&lt;=150),VLOOKUP(AF2313,TPCalibEq150!$AZ$2:$BB$55,3,),IF(AND(I2313="TDP",S2313&lt;=150),VLOOKUP(AF2313,TPCalibEq150!$AZ$2:$BB$55,3,)))</f>
        <v>0</v>
      </c>
      <c r="AR2313" s="10" t="b">
        <f>IF(AND(I2313="TP",S2313&lt;=300),VLOOKUP(AF2313,TPCalibEq300!$AZ$2:$BB$55,3,),IF(AND(I2313="TDP",S2313&lt;=300),VLOOKUP(AF2313,TPCalibEq300!$AZ$2:$BB$55,3,)))</f>
        <v>0</v>
      </c>
      <c r="AS2313" s="10" t="b">
        <f>IF(AND(I2313="TP",S2313&lt;=500),VLOOKUP(AF2313,TPCalibEq500!$AZ$2:$BB$56,3,),IF(AND(I2313="TDP",S2313&lt;=500),VLOOKUP(AF2313,TPCalibEq500!$AZ$2:$BB$56,3,)))</f>
        <v>0</v>
      </c>
      <c r="AT2313" s="10" t="b">
        <f>IF(AND(I2313="TN",S2313&lt;=2800),VLOOKUP(AF2313,TNCalibEq2500!$AZ$2:$BB$56,3,),IF(AND(I2313="TDN",S2313&lt;=2800),VLOOKUP(AF2313,TNCalibEq2500!$AZ$2:$BB$56,3,)))</f>
        <v>0</v>
      </c>
      <c r="AU2313" s="10" t="b">
        <f>IF(I2313="TP",VLOOKUP(AF2313,TPCalibEqFull!$AZ$2:$BB$56,3),IF(I2313="TDP",VLOOKUP(AF2313,TPCalibEqFull!$AZ$2:$BB$56,3),IF(I2313="TDN",VLOOKUP(AF2313,TNCalibEqFull!$AZ$1:$BB$56,3),IF(I2313="TN",VLOOKUP(AF2313,TNCalibEqFull!$AZ$1:$BB$56,3),FALSE))))</f>
        <v>0</v>
      </c>
      <c r="AV2313" s="10" t="str">
        <f t="shared" si="268"/>
        <v>0209 09:00:00-QAC-STD-D-1-DI-CHK</v>
      </c>
    </row>
    <row r="2314" spans="1:48" s="10" customFormat="1" x14ac:dyDescent="0.55000000000000004">
      <c r="A2314" s="32">
        <v>44965</v>
      </c>
      <c r="B2314" s="33">
        <v>0.49027777777777781</v>
      </c>
      <c r="C2314" s="10" t="s">
        <v>618</v>
      </c>
      <c r="D2314" s="10">
        <v>5</v>
      </c>
      <c r="E2314" s="10" t="s">
        <v>911</v>
      </c>
      <c r="F2314" s="10">
        <v>1</v>
      </c>
      <c r="G2314" s="10" t="s">
        <v>231</v>
      </c>
      <c r="H2314" s="10" t="s">
        <v>322</v>
      </c>
      <c r="I2314" s="10" t="s">
        <v>167</v>
      </c>
      <c r="J2314" s="10">
        <v>89</v>
      </c>
      <c r="K2314" s="12">
        <v>44966</v>
      </c>
      <c r="L2314" s="33">
        <v>0.5725231481481482</v>
      </c>
      <c r="M2314" s="10">
        <v>1</v>
      </c>
      <c r="N2314" s="10" t="s">
        <v>211</v>
      </c>
      <c r="O2314" s="10">
        <v>0.52200000000000002</v>
      </c>
      <c r="P2314" s="10">
        <v>4.87E-2</v>
      </c>
      <c r="Q2314" s="10">
        <v>89.8</v>
      </c>
      <c r="R2314" s="10" t="s">
        <v>913</v>
      </c>
      <c r="S2314" s="34">
        <f t="shared" si="263"/>
        <v>89.8</v>
      </c>
      <c r="T2314" s="10" t="s">
        <v>1166</v>
      </c>
      <c r="U2314" s="34" t="str">
        <f t="shared" si="266"/>
        <v/>
      </c>
      <c r="V2314" s="31" t="str">
        <f>IF(H2314="CHK",VLOOKUP(I2314,QCCHK,3,),IF(H2314="GUP",VLOOKUP(E2314,QCGUP,2,),IF(AND(H2314="ATP",OR(I2314="TN",I2314="TDN",I2314="TNO2-3",I2314="NO2-3")),VLOOKUP(E2314,QCREC_N,2,),IF(AND(H2314="NIC",OR(I2314="TN",I2314="TDN",I2314="TNO2-3",I2314="NO2-3")),VLOOKUP(E2314,QCNIC_N,2,),IF(AND(H2314="UREA",OR(I2314="TN",I2314="TDN",I2314="TNO2-3",I2314="NO2-3")),VLOOKUP(E2314,QCUREA_N,2,),IF(H2314="PER",VLOOKUP(I2314,QCPER,MATCH(E2314,QCACTUAL!$J$25:$AA$25,0),),IF(H2314="SPK",VLOOKUP(I2314,QCSPK,3,),IF(AND(H2314="ATP",OR(I2314="TP",I2314="TDP")),VLOOKUP(E2314,QCATP_P,2,),""))))))))</f>
        <v/>
      </c>
      <c r="W2314" s="31" t="str">
        <f t="shared" si="267"/>
        <v>TRUE</v>
      </c>
      <c r="X2314" s="31" t="str">
        <f t="shared" si="262"/>
        <v/>
      </c>
      <c r="Y2314" s="10" t="s">
        <v>1144</v>
      </c>
      <c r="AL2314" s="10" t="str">
        <f t="shared" si="264"/>
        <v>FALSE</v>
      </c>
      <c r="AM2314" s="10" t="str">
        <f t="shared" si="264"/>
        <v>FALSE</v>
      </c>
      <c r="AN2314" s="10" t="str">
        <f t="shared" si="264"/>
        <v>FALSE</v>
      </c>
      <c r="AO2314" s="10" t="str">
        <f t="shared" si="265"/>
        <v>FALSE</v>
      </c>
      <c r="AP2314" s="10" t="str">
        <f t="shared" si="265"/>
        <v>FALSE</v>
      </c>
      <c r="AQ2314" s="10" t="b">
        <f>IF(AND(I2314="TP",S2314&lt;=150),VLOOKUP(AF2314,TPCalibEq150!$AZ$2:$BB$55,3,),IF(AND(I2314="TDP",S2314&lt;=150),VLOOKUP(AF2314,TPCalibEq150!$AZ$2:$BB$55,3,)))</f>
        <v>0</v>
      </c>
      <c r="AR2314" s="10" t="b">
        <f>IF(AND(I2314="TP",S2314&lt;=300),VLOOKUP(AF2314,TPCalibEq300!$AZ$2:$BB$55,3,),IF(AND(I2314="TDP",S2314&lt;=300),VLOOKUP(AF2314,TPCalibEq300!$AZ$2:$BB$55,3,)))</f>
        <v>0</v>
      </c>
      <c r="AS2314" s="10" t="b">
        <f>IF(AND(I2314="TP",S2314&lt;=500),VLOOKUP(AF2314,TPCalibEq500!$AZ$2:$BB$56,3,),IF(AND(I2314="TDP",S2314&lt;=500),VLOOKUP(AF2314,TPCalibEq500!$AZ$2:$BB$56,3,)))</f>
        <v>0</v>
      </c>
      <c r="AT2314" s="10" t="b">
        <f>IF(AND(I2314="TN",S2314&lt;=2800),VLOOKUP(AF2314,TNCalibEq2500!$AZ$2:$BB$56,3,),IF(AND(I2314="TDN",S2314&lt;=2800),VLOOKUP(AF2314,TNCalibEq2500!$AZ$2:$BB$56,3,)))</f>
        <v>0</v>
      </c>
      <c r="AU2314" s="10" t="b">
        <f>IF(I2314="TP",VLOOKUP(AF2314,TPCalibEqFull!$AZ$2:$BB$56,3),IF(I2314="TDP",VLOOKUP(AF2314,TPCalibEqFull!$AZ$2:$BB$56,3),IF(I2314="TDN",VLOOKUP(AF2314,TNCalibEqFull!$AZ$1:$BB$56,3),IF(I2314="TN",VLOOKUP(AF2314,TNCalibEqFull!$AZ$1:$BB$56,3),FALSE))))</f>
        <v>0</v>
      </c>
      <c r="AV2314" s="10" t="str">
        <f t="shared" si="268"/>
        <v>0208 11:46:00-ECP-5-FIL-1-SW-UKN</v>
      </c>
    </row>
    <row r="2315" spans="1:48" s="10" customFormat="1" x14ac:dyDescent="0.55000000000000004">
      <c r="A2315" s="32">
        <v>44965</v>
      </c>
      <c r="B2315" s="33">
        <v>0.4927083333333333</v>
      </c>
      <c r="C2315" s="10" t="s">
        <v>618</v>
      </c>
      <c r="D2315" s="10">
        <v>10</v>
      </c>
      <c r="E2315" s="10" t="s">
        <v>911</v>
      </c>
      <c r="F2315" s="10">
        <v>1</v>
      </c>
      <c r="G2315" s="10" t="s">
        <v>231</v>
      </c>
      <c r="H2315" s="10" t="s">
        <v>322</v>
      </c>
      <c r="I2315" s="10" t="s">
        <v>167</v>
      </c>
      <c r="J2315" s="10">
        <v>90</v>
      </c>
      <c r="K2315" s="12">
        <v>44966</v>
      </c>
      <c r="L2315" s="33">
        <v>0.57333333333333336</v>
      </c>
      <c r="M2315" s="10">
        <v>1</v>
      </c>
      <c r="N2315" s="10" t="s">
        <v>211</v>
      </c>
      <c r="O2315" s="10">
        <v>0.54600000000000004</v>
      </c>
      <c r="P2315" s="10">
        <v>0.05</v>
      </c>
      <c r="Q2315" s="10">
        <v>94</v>
      </c>
      <c r="R2315" s="10" t="s">
        <v>913</v>
      </c>
      <c r="S2315" s="34">
        <f t="shared" si="263"/>
        <v>94</v>
      </c>
      <c r="T2315" s="10" t="s">
        <v>1166</v>
      </c>
      <c r="U2315" s="34" t="str">
        <f t="shared" si="266"/>
        <v/>
      </c>
      <c r="V2315" s="31" t="str">
        <f>IF(H2315="CHK",VLOOKUP(I2315,QCCHK,3,),IF(H2315="GUP",VLOOKUP(E2315,QCGUP,2,),IF(AND(H2315="ATP",OR(I2315="TN",I2315="TDN",I2315="TNO2-3",I2315="NO2-3")),VLOOKUP(E2315,QCREC_N,2,),IF(AND(H2315="NIC",OR(I2315="TN",I2315="TDN",I2315="TNO2-3",I2315="NO2-3")),VLOOKUP(E2315,QCNIC_N,2,),IF(AND(H2315="UREA",OR(I2315="TN",I2315="TDN",I2315="TNO2-3",I2315="NO2-3")),VLOOKUP(E2315,QCUREA_N,2,),IF(H2315="PER",VLOOKUP(I2315,QCPER,MATCH(E2315,QCACTUAL!$J$25:$AA$25,0),),IF(H2315="SPK",VLOOKUP(I2315,QCSPK,3,),IF(AND(H2315="ATP",OR(I2315="TP",I2315="TDP")),VLOOKUP(E2315,QCATP_P,2,),""))))))))</f>
        <v/>
      </c>
      <c r="W2315" s="31" t="str">
        <f t="shared" si="267"/>
        <v>TRUE</v>
      </c>
      <c r="X2315" s="31" t="str">
        <f t="shared" si="262"/>
        <v/>
      </c>
      <c r="Y2315" s="10" t="s">
        <v>1144</v>
      </c>
      <c r="AL2315" s="10" t="str">
        <f t="shared" si="264"/>
        <v>FALSE</v>
      </c>
      <c r="AM2315" s="10" t="str">
        <f t="shared" si="264"/>
        <v>FALSE</v>
      </c>
      <c r="AN2315" s="10" t="str">
        <f t="shared" si="264"/>
        <v>FALSE</v>
      </c>
      <c r="AO2315" s="10" t="str">
        <f t="shared" si="265"/>
        <v>FALSE</v>
      </c>
      <c r="AP2315" s="10" t="str">
        <f t="shared" si="265"/>
        <v>FALSE</v>
      </c>
      <c r="AQ2315" s="10" t="b">
        <f>IF(AND(I2315="TP",S2315&lt;=150),VLOOKUP(AF2315,TPCalibEq150!$AZ$2:$BB$55,3,),IF(AND(I2315="TDP",S2315&lt;=150),VLOOKUP(AF2315,TPCalibEq150!$AZ$2:$BB$55,3,)))</f>
        <v>0</v>
      </c>
      <c r="AR2315" s="10" t="b">
        <f>IF(AND(I2315="TP",S2315&lt;=300),VLOOKUP(AF2315,TPCalibEq300!$AZ$2:$BB$55,3,),IF(AND(I2315="TDP",S2315&lt;=300),VLOOKUP(AF2315,TPCalibEq300!$AZ$2:$BB$55,3,)))</f>
        <v>0</v>
      </c>
      <c r="AS2315" s="10" t="b">
        <f>IF(AND(I2315="TP",S2315&lt;=500),VLOOKUP(AF2315,TPCalibEq500!$AZ$2:$BB$56,3,),IF(AND(I2315="TDP",S2315&lt;=500),VLOOKUP(AF2315,TPCalibEq500!$AZ$2:$BB$56,3,)))</f>
        <v>0</v>
      </c>
      <c r="AT2315" s="10" t="b">
        <f>IF(AND(I2315="TN",S2315&lt;=2800),VLOOKUP(AF2315,TNCalibEq2500!$AZ$2:$BB$56,3,),IF(AND(I2315="TDN",S2315&lt;=2800),VLOOKUP(AF2315,TNCalibEq2500!$AZ$2:$BB$56,3,)))</f>
        <v>0</v>
      </c>
      <c r="AU2315" s="10" t="b">
        <f>IF(I2315="TP",VLOOKUP(AF2315,TPCalibEqFull!$AZ$2:$BB$56,3),IF(I2315="TDP",VLOOKUP(AF2315,TPCalibEqFull!$AZ$2:$BB$56,3),IF(I2315="TDN",VLOOKUP(AF2315,TNCalibEqFull!$AZ$1:$BB$56,3),IF(I2315="TN",VLOOKUP(AF2315,TNCalibEqFull!$AZ$1:$BB$56,3),FALSE))))</f>
        <v>0</v>
      </c>
      <c r="AV2315" s="10" t="str">
        <f t="shared" si="268"/>
        <v>0208 11:49:30-ECP-10-FIL-1-SW-UKN</v>
      </c>
    </row>
    <row r="2316" spans="1:48" s="10" customFormat="1" x14ac:dyDescent="0.55000000000000004">
      <c r="A2316" s="32">
        <v>44965</v>
      </c>
      <c r="B2316" s="33">
        <v>0.49502314814814818</v>
      </c>
      <c r="C2316" s="10" t="s">
        <v>618</v>
      </c>
      <c r="D2316" s="10">
        <v>20</v>
      </c>
      <c r="E2316" s="10" t="s">
        <v>911</v>
      </c>
      <c r="F2316" s="10">
        <v>1</v>
      </c>
      <c r="G2316" s="10" t="s">
        <v>231</v>
      </c>
      <c r="H2316" s="10" t="s">
        <v>322</v>
      </c>
      <c r="I2316" s="10" t="s">
        <v>167</v>
      </c>
      <c r="J2316" s="10">
        <v>91</v>
      </c>
      <c r="K2316" s="12">
        <v>44966</v>
      </c>
      <c r="L2316" s="33">
        <v>0.57415509259259256</v>
      </c>
      <c r="M2316" s="10">
        <v>1</v>
      </c>
      <c r="N2316" s="10" t="s">
        <v>211</v>
      </c>
      <c r="O2316" s="10">
        <v>0.53700000000000003</v>
      </c>
      <c r="P2316" s="10">
        <v>0.05</v>
      </c>
      <c r="Q2316" s="10">
        <v>92.5</v>
      </c>
      <c r="R2316" s="10" t="s">
        <v>913</v>
      </c>
      <c r="S2316" s="34">
        <f t="shared" si="263"/>
        <v>92.5</v>
      </c>
      <c r="T2316" s="10" t="s">
        <v>1166</v>
      </c>
      <c r="U2316" s="34" t="str">
        <f t="shared" si="266"/>
        <v/>
      </c>
      <c r="V2316" s="31" t="str">
        <f>IF(H2316="CHK",VLOOKUP(I2316,QCCHK,3,),IF(H2316="GUP",VLOOKUP(E2316,QCGUP,2,),IF(AND(H2316="ATP",OR(I2316="TN",I2316="TDN",I2316="TNO2-3",I2316="NO2-3")),VLOOKUP(E2316,QCREC_N,2,),IF(AND(H2316="NIC",OR(I2316="TN",I2316="TDN",I2316="TNO2-3",I2316="NO2-3")),VLOOKUP(E2316,QCNIC_N,2,),IF(AND(H2316="UREA",OR(I2316="TN",I2316="TDN",I2316="TNO2-3",I2316="NO2-3")),VLOOKUP(E2316,QCUREA_N,2,),IF(H2316="PER",VLOOKUP(I2316,QCPER,MATCH(E2316,QCACTUAL!$J$25:$AA$25,0),),IF(H2316="SPK",VLOOKUP(I2316,QCSPK,3,),IF(AND(H2316="ATP",OR(I2316="TP",I2316="TDP")),VLOOKUP(E2316,QCATP_P,2,),""))))))))</f>
        <v/>
      </c>
      <c r="W2316" s="31" t="str">
        <f t="shared" si="267"/>
        <v>TRUE</v>
      </c>
      <c r="X2316" s="31" t="str">
        <f t="shared" si="262"/>
        <v/>
      </c>
      <c r="Y2316" s="10" t="s">
        <v>1144</v>
      </c>
      <c r="AL2316" s="10" t="str">
        <f t="shared" si="264"/>
        <v>FALSE</v>
      </c>
      <c r="AM2316" s="10" t="str">
        <f t="shared" si="264"/>
        <v>FALSE</v>
      </c>
      <c r="AN2316" s="10" t="str">
        <f t="shared" si="264"/>
        <v>FALSE</v>
      </c>
      <c r="AO2316" s="10" t="str">
        <f t="shared" si="265"/>
        <v>FALSE</v>
      </c>
      <c r="AP2316" s="10" t="str">
        <f t="shared" si="265"/>
        <v>FALSE</v>
      </c>
      <c r="AQ2316" s="10" t="b">
        <f>IF(AND(I2316="TP",S2316&lt;=150),VLOOKUP(AF2316,TPCalibEq150!$AZ$2:$BB$55,3,),IF(AND(I2316="TDP",S2316&lt;=150),VLOOKUP(AF2316,TPCalibEq150!$AZ$2:$BB$55,3,)))</f>
        <v>0</v>
      </c>
      <c r="AR2316" s="10" t="b">
        <f>IF(AND(I2316="TP",S2316&lt;=300),VLOOKUP(AF2316,TPCalibEq300!$AZ$2:$BB$55,3,),IF(AND(I2316="TDP",S2316&lt;=300),VLOOKUP(AF2316,TPCalibEq300!$AZ$2:$BB$55,3,)))</f>
        <v>0</v>
      </c>
      <c r="AS2316" s="10" t="b">
        <f>IF(AND(I2316="TP",S2316&lt;=500),VLOOKUP(AF2316,TPCalibEq500!$AZ$2:$BB$56,3,),IF(AND(I2316="TDP",S2316&lt;=500),VLOOKUP(AF2316,TPCalibEq500!$AZ$2:$BB$56,3,)))</f>
        <v>0</v>
      </c>
      <c r="AT2316" s="10" t="b">
        <f>IF(AND(I2316="TN",S2316&lt;=2800),VLOOKUP(AF2316,TNCalibEq2500!$AZ$2:$BB$56,3,),IF(AND(I2316="TDN",S2316&lt;=2800),VLOOKUP(AF2316,TNCalibEq2500!$AZ$2:$BB$56,3,)))</f>
        <v>0</v>
      </c>
      <c r="AU2316" s="10" t="b">
        <f>IF(I2316="TP",VLOOKUP(AF2316,TPCalibEqFull!$AZ$2:$BB$56,3),IF(I2316="TDP",VLOOKUP(AF2316,TPCalibEqFull!$AZ$2:$BB$56,3),IF(I2316="TDN",VLOOKUP(AF2316,TNCalibEqFull!$AZ$1:$BB$56,3),IF(I2316="TN",VLOOKUP(AF2316,TNCalibEqFull!$AZ$1:$BB$56,3),FALSE))))</f>
        <v>0</v>
      </c>
      <c r="AV2316" s="10" t="str">
        <f t="shared" si="268"/>
        <v>0208 11:52:50-ECP-20-FIL-1-SW-UKN</v>
      </c>
    </row>
    <row r="2317" spans="1:48" s="10" customFormat="1" x14ac:dyDescent="0.55000000000000004">
      <c r="A2317" s="32">
        <v>44965</v>
      </c>
      <c r="B2317" s="33">
        <v>0.49745370370370368</v>
      </c>
      <c r="C2317" s="10" t="s">
        <v>618</v>
      </c>
      <c r="D2317" s="10">
        <v>33</v>
      </c>
      <c r="E2317" s="10" t="s">
        <v>911</v>
      </c>
      <c r="F2317" s="10">
        <v>1</v>
      </c>
      <c r="G2317" s="10" t="s">
        <v>231</v>
      </c>
      <c r="H2317" s="10" t="s">
        <v>322</v>
      </c>
      <c r="I2317" s="10" t="s">
        <v>167</v>
      </c>
      <c r="J2317" s="10">
        <v>92</v>
      </c>
      <c r="K2317" s="12">
        <v>44966</v>
      </c>
      <c r="L2317" s="33">
        <v>0.57497685185185188</v>
      </c>
      <c r="M2317" s="10">
        <v>1</v>
      </c>
      <c r="N2317" s="10" t="s">
        <v>211</v>
      </c>
      <c r="O2317" s="10">
        <v>0.42899999999999999</v>
      </c>
      <c r="P2317" s="10">
        <v>3.9199999999999999E-2</v>
      </c>
      <c r="Q2317" s="10">
        <v>73.7</v>
      </c>
      <c r="R2317" s="10" t="s">
        <v>913</v>
      </c>
      <c r="S2317" s="34">
        <f t="shared" si="263"/>
        <v>73.7</v>
      </c>
      <c r="T2317" s="10" t="s">
        <v>1166</v>
      </c>
      <c r="U2317" s="34" t="str">
        <f t="shared" si="266"/>
        <v/>
      </c>
      <c r="V2317" s="31" t="str">
        <f>IF(H2317="CHK",VLOOKUP(I2317,QCCHK,3,),IF(H2317="GUP",VLOOKUP(E2317,QCGUP,2,),IF(AND(H2317="ATP",OR(I2317="TN",I2317="TDN",I2317="TNO2-3",I2317="NO2-3")),VLOOKUP(E2317,QCREC_N,2,),IF(AND(H2317="NIC",OR(I2317="TN",I2317="TDN",I2317="TNO2-3",I2317="NO2-3")),VLOOKUP(E2317,QCNIC_N,2,),IF(AND(H2317="UREA",OR(I2317="TN",I2317="TDN",I2317="TNO2-3",I2317="NO2-3")),VLOOKUP(E2317,QCUREA_N,2,),IF(H2317="PER",VLOOKUP(I2317,QCPER,MATCH(E2317,QCACTUAL!$J$25:$AA$25,0),),IF(H2317="SPK",VLOOKUP(I2317,QCSPK,3,),IF(AND(H2317="ATP",OR(I2317="TP",I2317="TDP")),VLOOKUP(E2317,QCATP_P,2,),""))))))))</f>
        <v/>
      </c>
      <c r="W2317" s="31" t="str">
        <f t="shared" si="267"/>
        <v>TRUE</v>
      </c>
      <c r="X2317" s="31" t="str">
        <f t="shared" si="262"/>
        <v/>
      </c>
      <c r="Y2317" s="10" t="s">
        <v>1144</v>
      </c>
      <c r="AL2317" s="10" t="str">
        <f t="shared" si="264"/>
        <v>FALSE</v>
      </c>
      <c r="AM2317" s="10" t="str">
        <f t="shared" si="264"/>
        <v>FALSE</v>
      </c>
      <c r="AN2317" s="10" t="str">
        <f t="shared" si="264"/>
        <v>FALSE</v>
      </c>
      <c r="AO2317" s="10" t="str">
        <f t="shared" si="265"/>
        <v>FALSE</v>
      </c>
      <c r="AP2317" s="10" t="str">
        <f t="shared" si="265"/>
        <v>FALSE</v>
      </c>
      <c r="AQ2317" s="10" t="b">
        <f>IF(AND(I2317="TP",S2317&lt;=150),VLOOKUP(AF2317,TPCalibEq150!$AZ$2:$BB$55,3,),IF(AND(I2317="TDP",S2317&lt;=150),VLOOKUP(AF2317,TPCalibEq150!$AZ$2:$BB$55,3,)))</f>
        <v>0</v>
      </c>
      <c r="AR2317" s="10" t="b">
        <f>IF(AND(I2317="TP",S2317&lt;=300),VLOOKUP(AF2317,TPCalibEq300!$AZ$2:$BB$55,3,),IF(AND(I2317="TDP",S2317&lt;=300),VLOOKUP(AF2317,TPCalibEq300!$AZ$2:$BB$55,3,)))</f>
        <v>0</v>
      </c>
      <c r="AS2317" s="10" t="b">
        <f>IF(AND(I2317="TP",S2317&lt;=500),VLOOKUP(AF2317,TPCalibEq500!$AZ$2:$BB$56,3,),IF(AND(I2317="TDP",S2317&lt;=500),VLOOKUP(AF2317,TPCalibEq500!$AZ$2:$BB$56,3,)))</f>
        <v>0</v>
      </c>
      <c r="AT2317" s="10" t="b">
        <f>IF(AND(I2317="TN",S2317&lt;=2800),VLOOKUP(AF2317,TNCalibEq2500!$AZ$2:$BB$56,3,),IF(AND(I2317="TDN",S2317&lt;=2800),VLOOKUP(AF2317,TNCalibEq2500!$AZ$2:$BB$56,3,)))</f>
        <v>0</v>
      </c>
      <c r="AU2317" s="10" t="b">
        <f>IF(I2317="TP",VLOOKUP(AF2317,TPCalibEqFull!$AZ$2:$BB$56,3),IF(I2317="TDP",VLOOKUP(AF2317,TPCalibEqFull!$AZ$2:$BB$56,3),IF(I2317="TDN",VLOOKUP(AF2317,TNCalibEqFull!$AZ$1:$BB$56,3),IF(I2317="TN",VLOOKUP(AF2317,TNCalibEqFull!$AZ$1:$BB$56,3),FALSE))))</f>
        <v>0</v>
      </c>
      <c r="AV2317" s="10" t="str">
        <f t="shared" si="268"/>
        <v>0208 11:56:20-ECP-33-FIL-1-SW-UKN</v>
      </c>
    </row>
    <row r="2318" spans="1:48" s="10" customFormat="1" x14ac:dyDescent="0.55000000000000004">
      <c r="A2318" s="32">
        <v>44965</v>
      </c>
      <c r="B2318" s="33">
        <v>0.50439814814814821</v>
      </c>
      <c r="C2318" s="10" t="s">
        <v>661</v>
      </c>
      <c r="D2318" s="10">
        <v>0</v>
      </c>
      <c r="E2318" s="10" t="s">
        <v>911</v>
      </c>
      <c r="F2318" s="10">
        <v>1</v>
      </c>
      <c r="G2318" s="10" t="s">
        <v>231</v>
      </c>
      <c r="H2318" s="10" t="s">
        <v>322</v>
      </c>
      <c r="I2318" s="10" t="s">
        <v>167</v>
      </c>
      <c r="J2318" s="10">
        <v>93</v>
      </c>
      <c r="K2318" s="12">
        <v>44966</v>
      </c>
      <c r="L2318" s="33">
        <v>0.57579861111111108</v>
      </c>
      <c r="M2318" s="10">
        <v>1</v>
      </c>
      <c r="N2318" s="10" t="s">
        <v>211</v>
      </c>
      <c r="O2318" s="10">
        <v>0.53300000000000003</v>
      </c>
      <c r="P2318" s="10">
        <v>4.9799999999999997E-2</v>
      </c>
      <c r="Q2318" s="10">
        <v>91.8</v>
      </c>
      <c r="R2318" s="10" t="s">
        <v>913</v>
      </c>
      <c r="S2318" s="34">
        <f t="shared" si="263"/>
        <v>91.8</v>
      </c>
      <c r="T2318" s="10" t="s">
        <v>1166</v>
      </c>
      <c r="U2318" s="34" t="str">
        <f t="shared" si="266"/>
        <v/>
      </c>
      <c r="V2318" s="31" t="str">
        <f>IF(H2318="CHK",VLOOKUP(I2318,QCCHK,3,),IF(H2318="GUP",VLOOKUP(E2318,QCGUP,2,),IF(AND(H2318="ATP",OR(I2318="TN",I2318="TDN",I2318="TNO2-3",I2318="NO2-3")),VLOOKUP(E2318,QCREC_N,2,),IF(AND(H2318="NIC",OR(I2318="TN",I2318="TDN",I2318="TNO2-3",I2318="NO2-3")),VLOOKUP(E2318,QCNIC_N,2,),IF(AND(H2318="UREA",OR(I2318="TN",I2318="TDN",I2318="TNO2-3",I2318="NO2-3")),VLOOKUP(E2318,QCUREA_N,2,),IF(H2318="PER",VLOOKUP(I2318,QCPER,MATCH(E2318,QCACTUAL!$J$25:$AA$25,0),),IF(H2318="SPK",VLOOKUP(I2318,QCSPK,3,),IF(AND(H2318="ATP",OR(I2318="TP",I2318="TDP")),VLOOKUP(E2318,QCATP_P,2,),""))))))))</f>
        <v/>
      </c>
      <c r="W2318" s="31" t="str">
        <f t="shared" si="267"/>
        <v>TRUE</v>
      </c>
      <c r="X2318" s="31" t="str">
        <f t="shared" si="262"/>
        <v/>
      </c>
      <c r="Y2318" s="10" t="s">
        <v>1144</v>
      </c>
      <c r="AL2318" s="10" t="str">
        <f t="shared" si="264"/>
        <v>FALSE</v>
      </c>
      <c r="AM2318" s="10" t="str">
        <f t="shared" si="264"/>
        <v>FALSE</v>
      </c>
      <c r="AN2318" s="10" t="str">
        <f t="shared" si="264"/>
        <v>FALSE</v>
      </c>
      <c r="AO2318" s="10" t="str">
        <f t="shared" si="265"/>
        <v>FALSE</v>
      </c>
      <c r="AP2318" s="10" t="str">
        <f t="shared" si="265"/>
        <v>FALSE</v>
      </c>
      <c r="AQ2318" s="10" t="b">
        <f>IF(AND(I2318="TP",S2318&lt;=150),VLOOKUP(AF2318,TPCalibEq150!$AZ$2:$BB$55,3,),IF(AND(I2318="TDP",S2318&lt;=150),VLOOKUP(AF2318,TPCalibEq150!$AZ$2:$BB$55,3,)))</f>
        <v>0</v>
      </c>
      <c r="AR2318" s="10" t="b">
        <f>IF(AND(I2318="TP",S2318&lt;=300),VLOOKUP(AF2318,TPCalibEq300!$AZ$2:$BB$55,3,),IF(AND(I2318="TDP",S2318&lt;=300),VLOOKUP(AF2318,TPCalibEq300!$AZ$2:$BB$55,3,)))</f>
        <v>0</v>
      </c>
      <c r="AS2318" s="10" t="b">
        <f>IF(AND(I2318="TP",S2318&lt;=500),VLOOKUP(AF2318,TPCalibEq500!$AZ$2:$BB$56,3,),IF(AND(I2318="TDP",S2318&lt;=500),VLOOKUP(AF2318,TPCalibEq500!$AZ$2:$BB$56,3,)))</f>
        <v>0</v>
      </c>
      <c r="AT2318" s="10" t="b">
        <f>IF(AND(I2318="TN",S2318&lt;=2800),VLOOKUP(AF2318,TNCalibEq2500!$AZ$2:$BB$56,3,),IF(AND(I2318="TDN",S2318&lt;=2800),VLOOKUP(AF2318,TNCalibEq2500!$AZ$2:$BB$56,3,)))</f>
        <v>0</v>
      </c>
      <c r="AU2318" s="10" t="b">
        <f>IF(I2318="TP",VLOOKUP(AF2318,TPCalibEqFull!$AZ$2:$BB$56,3),IF(I2318="TDP",VLOOKUP(AF2318,TPCalibEqFull!$AZ$2:$BB$56,3),IF(I2318="TDN",VLOOKUP(AF2318,TNCalibEqFull!$AZ$1:$BB$56,3),IF(I2318="TN",VLOOKUP(AF2318,TNCalibEqFull!$AZ$1:$BB$56,3),FALSE))))</f>
        <v>0</v>
      </c>
      <c r="AV2318" s="10" t="str">
        <f t="shared" si="268"/>
        <v>0208 12:06:20-ENN-0-FIL-1-SW-UKN</v>
      </c>
    </row>
    <row r="2319" spans="1:48" s="10" customFormat="1" x14ac:dyDescent="0.55000000000000004">
      <c r="A2319" s="32">
        <v>44965</v>
      </c>
      <c r="B2319" s="33">
        <v>0.50706018518518514</v>
      </c>
      <c r="C2319" s="10" t="s">
        <v>661</v>
      </c>
      <c r="D2319" s="10">
        <v>5</v>
      </c>
      <c r="E2319" s="10" t="s">
        <v>911</v>
      </c>
      <c r="F2319" s="10">
        <v>1</v>
      </c>
      <c r="G2319" s="10" t="s">
        <v>231</v>
      </c>
      <c r="H2319" s="10" t="s">
        <v>322</v>
      </c>
      <c r="I2319" s="10" t="s">
        <v>167</v>
      </c>
      <c r="J2319" s="10">
        <v>94</v>
      </c>
      <c r="K2319" s="12">
        <v>44966</v>
      </c>
      <c r="L2319" s="33">
        <v>0.57662037037037039</v>
      </c>
      <c r="M2319" s="10">
        <v>1</v>
      </c>
      <c r="N2319" s="10" t="s">
        <v>211</v>
      </c>
      <c r="O2319" s="10">
        <v>0.52600000000000002</v>
      </c>
      <c r="P2319" s="10">
        <v>4.9000000000000002E-2</v>
      </c>
      <c r="Q2319" s="10">
        <v>90.6</v>
      </c>
      <c r="R2319" s="10" t="s">
        <v>913</v>
      </c>
      <c r="S2319" s="34">
        <f t="shared" si="263"/>
        <v>90.6</v>
      </c>
      <c r="T2319" s="10" t="s">
        <v>1166</v>
      </c>
      <c r="U2319" s="34" t="str">
        <f t="shared" si="266"/>
        <v/>
      </c>
      <c r="V2319" s="31" t="str">
        <f>IF(H2319="CHK",VLOOKUP(I2319,QCCHK,3,),IF(H2319="GUP",VLOOKUP(E2319,QCGUP,2,),IF(AND(H2319="ATP",OR(I2319="TN",I2319="TDN",I2319="TNO2-3",I2319="NO2-3")),VLOOKUP(E2319,QCREC_N,2,),IF(AND(H2319="NIC",OR(I2319="TN",I2319="TDN",I2319="TNO2-3",I2319="NO2-3")),VLOOKUP(E2319,QCNIC_N,2,),IF(AND(H2319="UREA",OR(I2319="TN",I2319="TDN",I2319="TNO2-3",I2319="NO2-3")),VLOOKUP(E2319,QCUREA_N,2,),IF(H2319="PER",VLOOKUP(I2319,QCPER,MATCH(E2319,QCACTUAL!$J$25:$AA$25,0),),IF(H2319="SPK",VLOOKUP(I2319,QCSPK,3,),IF(AND(H2319="ATP",OR(I2319="TP",I2319="TDP")),VLOOKUP(E2319,QCATP_P,2,),""))))))))</f>
        <v/>
      </c>
      <c r="W2319" s="31" t="str">
        <f t="shared" si="267"/>
        <v>TRUE</v>
      </c>
      <c r="X2319" s="31" t="str">
        <f t="shared" si="262"/>
        <v/>
      </c>
      <c r="Y2319" s="10" t="s">
        <v>1144</v>
      </c>
      <c r="AL2319" s="10" t="str">
        <f t="shared" si="264"/>
        <v>FALSE</v>
      </c>
      <c r="AM2319" s="10" t="str">
        <f t="shared" si="264"/>
        <v>FALSE</v>
      </c>
      <c r="AN2319" s="10" t="str">
        <f t="shared" si="264"/>
        <v>FALSE</v>
      </c>
      <c r="AO2319" s="10" t="str">
        <f t="shared" si="265"/>
        <v>FALSE</v>
      </c>
      <c r="AP2319" s="10" t="str">
        <f t="shared" si="265"/>
        <v>FALSE</v>
      </c>
      <c r="AQ2319" s="10" t="b">
        <f>IF(AND(I2319="TP",S2319&lt;=150),VLOOKUP(AF2319,TPCalibEq150!$AZ$2:$BB$55,3,),IF(AND(I2319="TDP",S2319&lt;=150),VLOOKUP(AF2319,TPCalibEq150!$AZ$2:$BB$55,3,)))</f>
        <v>0</v>
      </c>
      <c r="AR2319" s="10" t="b">
        <f>IF(AND(I2319="TP",S2319&lt;=300),VLOOKUP(AF2319,TPCalibEq300!$AZ$2:$BB$55,3,),IF(AND(I2319="TDP",S2319&lt;=300),VLOOKUP(AF2319,TPCalibEq300!$AZ$2:$BB$55,3,)))</f>
        <v>0</v>
      </c>
      <c r="AS2319" s="10" t="b">
        <f>IF(AND(I2319="TP",S2319&lt;=500),VLOOKUP(AF2319,TPCalibEq500!$AZ$2:$BB$56,3,),IF(AND(I2319="TDP",S2319&lt;=500),VLOOKUP(AF2319,TPCalibEq500!$AZ$2:$BB$56,3,)))</f>
        <v>0</v>
      </c>
      <c r="AT2319" s="10" t="b">
        <f>IF(AND(I2319="TN",S2319&lt;=2800),VLOOKUP(AF2319,TNCalibEq2500!$AZ$2:$BB$56,3,),IF(AND(I2319="TDN",S2319&lt;=2800),VLOOKUP(AF2319,TNCalibEq2500!$AZ$2:$BB$56,3,)))</f>
        <v>0</v>
      </c>
      <c r="AU2319" s="10" t="b">
        <f>IF(I2319="TP",VLOOKUP(AF2319,TPCalibEqFull!$AZ$2:$BB$56,3),IF(I2319="TDP",VLOOKUP(AF2319,TPCalibEqFull!$AZ$2:$BB$56,3),IF(I2319="TDN",VLOOKUP(AF2319,TNCalibEqFull!$AZ$1:$BB$56,3),IF(I2319="TN",VLOOKUP(AF2319,TNCalibEqFull!$AZ$1:$BB$56,3),FALSE))))</f>
        <v>0</v>
      </c>
      <c r="AV2319" s="10" t="str">
        <f t="shared" si="268"/>
        <v>0208 12:10:10-ENN-5-FIL-1-SW-UKN</v>
      </c>
    </row>
    <row r="2320" spans="1:48" s="10" customFormat="1" x14ac:dyDescent="0.55000000000000004">
      <c r="A2320" s="32">
        <v>44965</v>
      </c>
      <c r="B2320" s="33">
        <v>0.50949074074074074</v>
      </c>
      <c r="C2320" s="10" t="s">
        <v>661</v>
      </c>
      <c r="D2320" s="10">
        <v>10</v>
      </c>
      <c r="E2320" s="10" t="s">
        <v>911</v>
      </c>
      <c r="F2320" s="10">
        <v>1</v>
      </c>
      <c r="G2320" s="10" t="s">
        <v>231</v>
      </c>
      <c r="H2320" s="10" t="s">
        <v>322</v>
      </c>
      <c r="I2320" s="10" t="s">
        <v>167</v>
      </c>
      <c r="J2320" s="10">
        <v>95</v>
      </c>
      <c r="K2320" s="12">
        <v>44966</v>
      </c>
      <c r="L2320" s="33">
        <v>0.5774421296296296</v>
      </c>
      <c r="M2320" s="10">
        <v>1</v>
      </c>
      <c r="N2320" s="10" t="s">
        <v>211</v>
      </c>
      <c r="O2320" s="10">
        <v>0.54400000000000004</v>
      </c>
      <c r="P2320" s="10">
        <v>5.0500000000000003E-2</v>
      </c>
      <c r="Q2320" s="10">
        <v>93.6</v>
      </c>
      <c r="R2320" s="10" t="s">
        <v>913</v>
      </c>
      <c r="S2320" s="34">
        <f t="shared" si="263"/>
        <v>93.6</v>
      </c>
      <c r="T2320" s="10" t="s">
        <v>1166</v>
      </c>
      <c r="U2320" s="34" t="str">
        <f t="shared" si="266"/>
        <v/>
      </c>
      <c r="V2320" s="31" t="str">
        <f>IF(H2320="CHK",VLOOKUP(I2320,QCCHK,3,),IF(H2320="GUP",VLOOKUP(E2320,QCGUP,2,),IF(AND(H2320="ATP",OR(I2320="TN",I2320="TDN",I2320="TNO2-3",I2320="NO2-3")),VLOOKUP(E2320,QCREC_N,2,),IF(AND(H2320="NIC",OR(I2320="TN",I2320="TDN",I2320="TNO2-3",I2320="NO2-3")),VLOOKUP(E2320,QCNIC_N,2,),IF(AND(H2320="UREA",OR(I2320="TN",I2320="TDN",I2320="TNO2-3",I2320="NO2-3")),VLOOKUP(E2320,QCUREA_N,2,),IF(H2320="PER",VLOOKUP(I2320,QCPER,MATCH(E2320,QCACTUAL!$J$25:$AA$25,0),),IF(H2320="SPK",VLOOKUP(I2320,QCSPK,3,),IF(AND(H2320="ATP",OR(I2320="TP",I2320="TDP")),VLOOKUP(E2320,QCATP_P,2,),""))))))))</f>
        <v/>
      </c>
      <c r="W2320" s="31" t="str">
        <f t="shared" si="267"/>
        <v>TRUE</v>
      </c>
      <c r="X2320" s="31" t="str">
        <f t="shared" si="262"/>
        <v/>
      </c>
      <c r="Y2320" s="10" t="s">
        <v>1144</v>
      </c>
      <c r="AL2320" s="10" t="str">
        <f t="shared" si="264"/>
        <v>FALSE</v>
      </c>
      <c r="AM2320" s="10" t="str">
        <f t="shared" si="264"/>
        <v>FALSE</v>
      </c>
      <c r="AN2320" s="10" t="str">
        <f t="shared" si="264"/>
        <v>FALSE</v>
      </c>
      <c r="AO2320" s="10" t="str">
        <f t="shared" si="265"/>
        <v>FALSE</v>
      </c>
      <c r="AP2320" s="10" t="str">
        <f t="shared" si="265"/>
        <v>FALSE</v>
      </c>
      <c r="AQ2320" s="10" t="b">
        <f>IF(AND(I2320="TP",S2320&lt;=150),VLOOKUP(AF2320,TPCalibEq150!$AZ$2:$BB$55,3,),IF(AND(I2320="TDP",S2320&lt;=150),VLOOKUP(AF2320,TPCalibEq150!$AZ$2:$BB$55,3,)))</f>
        <v>0</v>
      </c>
      <c r="AR2320" s="10" t="b">
        <f>IF(AND(I2320="TP",S2320&lt;=300),VLOOKUP(AF2320,TPCalibEq300!$AZ$2:$BB$55,3,),IF(AND(I2320="TDP",S2320&lt;=300),VLOOKUP(AF2320,TPCalibEq300!$AZ$2:$BB$55,3,)))</f>
        <v>0</v>
      </c>
      <c r="AS2320" s="10" t="b">
        <f>IF(AND(I2320="TP",S2320&lt;=500),VLOOKUP(AF2320,TPCalibEq500!$AZ$2:$BB$56,3,),IF(AND(I2320="TDP",S2320&lt;=500),VLOOKUP(AF2320,TPCalibEq500!$AZ$2:$BB$56,3,)))</f>
        <v>0</v>
      </c>
      <c r="AT2320" s="10" t="b">
        <f>IF(AND(I2320="TN",S2320&lt;=2800),VLOOKUP(AF2320,TNCalibEq2500!$AZ$2:$BB$56,3,),IF(AND(I2320="TDN",S2320&lt;=2800),VLOOKUP(AF2320,TNCalibEq2500!$AZ$2:$BB$56,3,)))</f>
        <v>0</v>
      </c>
      <c r="AU2320" s="10" t="b">
        <f>IF(I2320="TP",VLOOKUP(AF2320,TPCalibEqFull!$AZ$2:$BB$56,3),IF(I2320="TDP",VLOOKUP(AF2320,TPCalibEqFull!$AZ$2:$BB$56,3),IF(I2320="TDN",VLOOKUP(AF2320,TNCalibEqFull!$AZ$1:$BB$56,3),IF(I2320="TN",VLOOKUP(AF2320,TNCalibEqFull!$AZ$1:$BB$56,3),FALSE))))</f>
        <v>0</v>
      </c>
      <c r="AV2320" s="10" t="str">
        <f t="shared" si="268"/>
        <v>0208 12:13:40-ENN-10-FIL-1-SW-UKN</v>
      </c>
    </row>
    <row r="2321" spans="1:48" s="10" customFormat="1" x14ac:dyDescent="0.55000000000000004">
      <c r="A2321" s="32">
        <v>44965</v>
      </c>
      <c r="B2321" s="33">
        <v>0.51180555555555551</v>
      </c>
      <c r="C2321" s="10" t="s">
        <v>661</v>
      </c>
      <c r="D2321" s="10">
        <v>20</v>
      </c>
      <c r="E2321" s="10" t="s">
        <v>911</v>
      </c>
      <c r="F2321" s="10">
        <v>1</v>
      </c>
      <c r="G2321" s="10" t="s">
        <v>231</v>
      </c>
      <c r="H2321" s="10" t="s">
        <v>322</v>
      </c>
      <c r="I2321" s="10" t="s">
        <v>167</v>
      </c>
      <c r="J2321" s="10">
        <v>96</v>
      </c>
      <c r="K2321" s="12">
        <v>44966</v>
      </c>
      <c r="L2321" s="33">
        <v>0.57826388888888891</v>
      </c>
      <c r="M2321" s="10">
        <v>1</v>
      </c>
      <c r="N2321" s="10" t="s">
        <v>211</v>
      </c>
      <c r="O2321" s="10">
        <v>0.504</v>
      </c>
      <c r="P2321" s="10">
        <v>4.6800000000000001E-2</v>
      </c>
      <c r="Q2321" s="10">
        <v>86.7</v>
      </c>
      <c r="R2321" s="10" t="s">
        <v>913</v>
      </c>
      <c r="S2321" s="34">
        <f t="shared" si="263"/>
        <v>86.7</v>
      </c>
      <c r="T2321" s="10" t="s">
        <v>1166</v>
      </c>
      <c r="U2321" s="34" t="str">
        <f t="shared" si="266"/>
        <v/>
      </c>
      <c r="V2321" s="31" t="str">
        <f>IF(H2321="CHK",VLOOKUP(I2321,QCCHK,3,),IF(H2321="GUP",VLOOKUP(E2321,QCGUP,2,),IF(AND(H2321="ATP",OR(I2321="TN",I2321="TDN",I2321="TNO2-3",I2321="NO2-3")),VLOOKUP(E2321,QCREC_N,2,),IF(AND(H2321="NIC",OR(I2321="TN",I2321="TDN",I2321="TNO2-3",I2321="NO2-3")),VLOOKUP(E2321,QCNIC_N,2,),IF(AND(H2321="UREA",OR(I2321="TN",I2321="TDN",I2321="TNO2-3",I2321="NO2-3")),VLOOKUP(E2321,QCUREA_N,2,),IF(H2321="PER",VLOOKUP(I2321,QCPER,MATCH(E2321,QCACTUAL!$J$25:$AA$25,0),),IF(H2321="SPK",VLOOKUP(I2321,QCSPK,3,),IF(AND(H2321="ATP",OR(I2321="TP",I2321="TDP")),VLOOKUP(E2321,QCATP_P,2,),""))))))))</f>
        <v/>
      </c>
      <c r="W2321" s="31" t="str">
        <f t="shared" si="267"/>
        <v>TRUE</v>
      </c>
      <c r="X2321" s="31" t="str">
        <f t="shared" si="262"/>
        <v/>
      </c>
      <c r="Y2321" s="10" t="s">
        <v>1144</v>
      </c>
      <c r="AL2321" s="10" t="str">
        <f t="shared" si="264"/>
        <v>FALSE</v>
      </c>
      <c r="AM2321" s="10" t="str">
        <f t="shared" si="264"/>
        <v>FALSE</v>
      </c>
      <c r="AN2321" s="10" t="str">
        <f t="shared" si="264"/>
        <v>FALSE</v>
      </c>
      <c r="AO2321" s="10" t="str">
        <f t="shared" si="265"/>
        <v>FALSE</v>
      </c>
      <c r="AP2321" s="10" t="str">
        <f t="shared" si="265"/>
        <v>FALSE</v>
      </c>
      <c r="AQ2321" s="10" t="b">
        <f>IF(AND(I2321="TP",S2321&lt;=150),VLOOKUP(AF2321,TPCalibEq150!$AZ$2:$BB$55,3,),IF(AND(I2321="TDP",S2321&lt;=150),VLOOKUP(AF2321,TPCalibEq150!$AZ$2:$BB$55,3,)))</f>
        <v>0</v>
      </c>
      <c r="AR2321" s="10" t="b">
        <f>IF(AND(I2321="TP",S2321&lt;=300),VLOOKUP(AF2321,TPCalibEq300!$AZ$2:$BB$55,3,),IF(AND(I2321="TDP",S2321&lt;=300),VLOOKUP(AF2321,TPCalibEq300!$AZ$2:$BB$55,3,)))</f>
        <v>0</v>
      </c>
      <c r="AS2321" s="10" t="b">
        <f>IF(AND(I2321="TP",S2321&lt;=500),VLOOKUP(AF2321,TPCalibEq500!$AZ$2:$BB$56,3,),IF(AND(I2321="TDP",S2321&lt;=500),VLOOKUP(AF2321,TPCalibEq500!$AZ$2:$BB$56,3,)))</f>
        <v>0</v>
      </c>
      <c r="AT2321" s="10" t="b">
        <f>IF(AND(I2321="TN",S2321&lt;=2800),VLOOKUP(AF2321,TNCalibEq2500!$AZ$2:$BB$56,3,),IF(AND(I2321="TDN",S2321&lt;=2800),VLOOKUP(AF2321,TNCalibEq2500!$AZ$2:$BB$56,3,)))</f>
        <v>0</v>
      </c>
      <c r="AU2321" s="10" t="b">
        <f>IF(I2321="TP",VLOOKUP(AF2321,TPCalibEqFull!$AZ$2:$BB$56,3),IF(I2321="TDP",VLOOKUP(AF2321,TPCalibEqFull!$AZ$2:$BB$56,3),IF(I2321="TDN",VLOOKUP(AF2321,TNCalibEqFull!$AZ$1:$BB$56,3),IF(I2321="TN",VLOOKUP(AF2321,TNCalibEqFull!$AZ$1:$BB$56,3),FALSE))))</f>
        <v>0</v>
      </c>
      <c r="AV2321" s="10" t="str">
        <f t="shared" si="268"/>
        <v>0208 12:17:00-ENN-20-FIL-1-SW-UKN</v>
      </c>
    </row>
    <row r="2322" spans="1:48" s="10" customFormat="1" x14ac:dyDescent="0.55000000000000004">
      <c r="A2322" s="32">
        <v>44965</v>
      </c>
      <c r="B2322" s="33">
        <v>0.51412037037037039</v>
      </c>
      <c r="C2322" s="10" t="s">
        <v>661</v>
      </c>
      <c r="D2322" s="10">
        <v>23</v>
      </c>
      <c r="E2322" s="10" t="s">
        <v>911</v>
      </c>
      <c r="F2322" s="10">
        <v>1</v>
      </c>
      <c r="G2322" s="10" t="s">
        <v>231</v>
      </c>
      <c r="H2322" s="10" t="s">
        <v>322</v>
      </c>
      <c r="I2322" s="10" t="s">
        <v>167</v>
      </c>
      <c r="J2322" s="10">
        <v>97</v>
      </c>
      <c r="K2322" s="12">
        <v>44966</v>
      </c>
      <c r="L2322" s="33">
        <v>0.57907407407407407</v>
      </c>
      <c r="M2322" s="10">
        <v>1</v>
      </c>
      <c r="N2322" s="10" t="s">
        <v>211</v>
      </c>
      <c r="O2322" s="10">
        <v>0.501</v>
      </c>
      <c r="P2322" s="10">
        <v>4.6100000000000002E-2</v>
      </c>
      <c r="Q2322" s="10">
        <v>86.2</v>
      </c>
      <c r="R2322" s="10" t="s">
        <v>913</v>
      </c>
      <c r="S2322" s="34">
        <f t="shared" si="263"/>
        <v>86.2</v>
      </c>
      <c r="T2322" s="10" t="s">
        <v>1166</v>
      </c>
      <c r="U2322" s="34" t="str">
        <f t="shared" si="266"/>
        <v/>
      </c>
      <c r="V2322" s="31" t="str">
        <f>IF(H2322="CHK",VLOOKUP(I2322,QCCHK,3,),IF(H2322="GUP",VLOOKUP(E2322,QCGUP,2,),IF(AND(H2322="ATP",OR(I2322="TN",I2322="TDN",I2322="TNO2-3",I2322="NO2-3")),VLOOKUP(E2322,QCREC_N,2,),IF(AND(H2322="NIC",OR(I2322="TN",I2322="TDN",I2322="TNO2-3",I2322="NO2-3")),VLOOKUP(E2322,QCNIC_N,2,),IF(AND(H2322="UREA",OR(I2322="TN",I2322="TDN",I2322="TNO2-3",I2322="NO2-3")),VLOOKUP(E2322,QCUREA_N,2,),IF(H2322="PER",VLOOKUP(I2322,QCPER,MATCH(E2322,QCACTUAL!$J$25:$AA$25,0),),IF(H2322="SPK",VLOOKUP(I2322,QCSPK,3,),IF(AND(H2322="ATP",OR(I2322="TP",I2322="TDP")),VLOOKUP(E2322,QCATP_P,2,),""))))))))</f>
        <v/>
      </c>
      <c r="W2322" s="31" t="str">
        <f t="shared" si="267"/>
        <v>TRUE</v>
      </c>
      <c r="X2322" s="31" t="str">
        <f t="shared" si="262"/>
        <v/>
      </c>
      <c r="Y2322" s="10" t="s">
        <v>1144</v>
      </c>
      <c r="AL2322" s="10" t="str">
        <f t="shared" si="264"/>
        <v>FALSE</v>
      </c>
      <c r="AM2322" s="10" t="str">
        <f t="shared" si="264"/>
        <v>FALSE</v>
      </c>
      <c r="AN2322" s="10" t="str">
        <f t="shared" si="264"/>
        <v>FALSE</v>
      </c>
      <c r="AO2322" s="10" t="str">
        <f t="shared" si="265"/>
        <v>FALSE</v>
      </c>
      <c r="AP2322" s="10" t="str">
        <f t="shared" si="265"/>
        <v>FALSE</v>
      </c>
      <c r="AQ2322" s="10" t="b">
        <f>IF(AND(I2322="TP",S2322&lt;=150),VLOOKUP(AF2322,TPCalibEq150!$AZ$2:$BB$55,3,),IF(AND(I2322="TDP",S2322&lt;=150),VLOOKUP(AF2322,TPCalibEq150!$AZ$2:$BB$55,3,)))</f>
        <v>0</v>
      </c>
      <c r="AR2322" s="10" t="b">
        <f>IF(AND(I2322="TP",S2322&lt;=300),VLOOKUP(AF2322,TPCalibEq300!$AZ$2:$BB$55,3,),IF(AND(I2322="TDP",S2322&lt;=300),VLOOKUP(AF2322,TPCalibEq300!$AZ$2:$BB$55,3,)))</f>
        <v>0</v>
      </c>
      <c r="AS2322" s="10" t="b">
        <f>IF(AND(I2322="TP",S2322&lt;=500),VLOOKUP(AF2322,TPCalibEq500!$AZ$2:$BB$56,3,),IF(AND(I2322="TDP",S2322&lt;=500),VLOOKUP(AF2322,TPCalibEq500!$AZ$2:$BB$56,3,)))</f>
        <v>0</v>
      </c>
      <c r="AT2322" s="10" t="b">
        <f>IF(AND(I2322="TN",S2322&lt;=2800),VLOOKUP(AF2322,TNCalibEq2500!$AZ$2:$BB$56,3,),IF(AND(I2322="TDN",S2322&lt;=2800),VLOOKUP(AF2322,TNCalibEq2500!$AZ$2:$BB$56,3,)))</f>
        <v>0</v>
      </c>
      <c r="AU2322" s="10" t="b">
        <f>IF(I2322="TP",VLOOKUP(AF2322,TPCalibEqFull!$AZ$2:$BB$56,3),IF(I2322="TDP",VLOOKUP(AF2322,TPCalibEqFull!$AZ$2:$BB$56,3),IF(I2322="TDN",VLOOKUP(AF2322,TNCalibEqFull!$AZ$1:$BB$56,3),IF(I2322="TN",VLOOKUP(AF2322,TNCalibEqFull!$AZ$1:$BB$56,3),FALSE))))</f>
        <v>0</v>
      </c>
      <c r="AV2322" s="10" t="str">
        <f t="shared" si="268"/>
        <v>0208 12:20:20-ENN-23-FIL-1-SW-UKN</v>
      </c>
    </row>
    <row r="2323" spans="1:48" s="10" customFormat="1" x14ac:dyDescent="0.55000000000000004">
      <c r="A2323" s="32">
        <v>44965</v>
      </c>
      <c r="B2323" s="33">
        <v>0.43796296296296294</v>
      </c>
      <c r="C2323" s="10" t="s">
        <v>646</v>
      </c>
      <c r="D2323" s="10">
        <v>0</v>
      </c>
      <c r="E2323" s="10" t="s">
        <v>911</v>
      </c>
      <c r="F2323" s="10">
        <v>1</v>
      </c>
      <c r="G2323" s="10" t="s">
        <v>231</v>
      </c>
      <c r="H2323" s="10" t="s">
        <v>322</v>
      </c>
      <c r="I2323" s="10" t="s">
        <v>167</v>
      </c>
      <c r="J2323" s="10">
        <v>98</v>
      </c>
      <c r="K2323" s="12">
        <v>44966</v>
      </c>
      <c r="L2323" s="33">
        <v>0.57989583333333339</v>
      </c>
      <c r="M2323" s="10">
        <v>1</v>
      </c>
      <c r="N2323" s="10" t="s">
        <v>211</v>
      </c>
      <c r="O2323" s="10">
        <v>0.56599999999999995</v>
      </c>
      <c r="P2323" s="10">
        <v>5.2400000000000002E-2</v>
      </c>
      <c r="Q2323" s="10">
        <v>97.5</v>
      </c>
      <c r="R2323" s="10" t="s">
        <v>913</v>
      </c>
      <c r="S2323" s="34">
        <f t="shared" si="263"/>
        <v>97.5</v>
      </c>
      <c r="T2323" s="10" t="s">
        <v>1166</v>
      </c>
      <c r="U2323" s="34" t="str">
        <f t="shared" si="266"/>
        <v/>
      </c>
      <c r="V2323" s="31" t="str">
        <f>IF(H2323="CHK",VLOOKUP(I2323,QCCHK,3,),IF(H2323="GUP",VLOOKUP(E2323,QCGUP,2,),IF(AND(H2323="ATP",OR(I2323="TN",I2323="TDN",I2323="TNO2-3",I2323="NO2-3")),VLOOKUP(E2323,QCREC_N,2,),IF(AND(H2323="NIC",OR(I2323="TN",I2323="TDN",I2323="TNO2-3",I2323="NO2-3")),VLOOKUP(E2323,QCNIC_N,2,),IF(AND(H2323="UREA",OR(I2323="TN",I2323="TDN",I2323="TNO2-3",I2323="NO2-3")),VLOOKUP(E2323,QCUREA_N,2,),IF(H2323="PER",VLOOKUP(I2323,QCPER,MATCH(E2323,QCACTUAL!$J$25:$AA$25,0),),IF(H2323="SPK",VLOOKUP(I2323,QCSPK,3,),IF(AND(H2323="ATP",OR(I2323="TP",I2323="TDP")),VLOOKUP(E2323,QCATP_P,2,),""))))))))</f>
        <v/>
      </c>
      <c r="W2323" s="31" t="str">
        <f t="shared" si="267"/>
        <v>TRUE</v>
      </c>
      <c r="X2323" s="31" t="str">
        <f t="shared" si="262"/>
        <v/>
      </c>
      <c r="Y2323" s="10" t="s">
        <v>1144</v>
      </c>
      <c r="AL2323" s="10" t="str">
        <f t="shared" si="264"/>
        <v>FALSE</v>
      </c>
      <c r="AM2323" s="10" t="str">
        <f t="shared" si="264"/>
        <v>FALSE</v>
      </c>
      <c r="AN2323" s="10" t="str">
        <f t="shared" si="264"/>
        <v>FALSE</v>
      </c>
      <c r="AO2323" s="10" t="str">
        <f t="shared" si="265"/>
        <v>FALSE</v>
      </c>
      <c r="AP2323" s="10" t="str">
        <f t="shared" si="265"/>
        <v>FALSE</v>
      </c>
      <c r="AQ2323" s="10" t="b">
        <f>IF(AND(I2323="TP",S2323&lt;=150),VLOOKUP(AF2323,TPCalibEq150!$AZ$2:$BB$55,3,),IF(AND(I2323="TDP",S2323&lt;=150),VLOOKUP(AF2323,TPCalibEq150!$AZ$2:$BB$55,3,)))</f>
        <v>0</v>
      </c>
      <c r="AR2323" s="10" t="b">
        <f>IF(AND(I2323="TP",S2323&lt;=300),VLOOKUP(AF2323,TPCalibEq300!$AZ$2:$BB$55,3,),IF(AND(I2323="TDP",S2323&lt;=300),VLOOKUP(AF2323,TPCalibEq300!$AZ$2:$BB$55,3,)))</f>
        <v>0</v>
      </c>
      <c r="AS2323" s="10" t="b">
        <f>IF(AND(I2323="TP",S2323&lt;=500),VLOOKUP(AF2323,TPCalibEq500!$AZ$2:$BB$56,3,),IF(AND(I2323="TDP",S2323&lt;=500),VLOOKUP(AF2323,TPCalibEq500!$AZ$2:$BB$56,3,)))</f>
        <v>0</v>
      </c>
      <c r="AT2323" s="10" t="b">
        <f>IF(AND(I2323="TN",S2323&lt;=2800),VLOOKUP(AF2323,TNCalibEq2500!$AZ$2:$BB$56,3,),IF(AND(I2323="TDN",S2323&lt;=2800),VLOOKUP(AF2323,TNCalibEq2500!$AZ$2:$BB$56,3,)))</f>
        <v>0</v>
      </c>
      <c r="AU2323" s="10" t="b">
        <f>IF(I2323="TP",VLOOKUP(AF2323,TPCalibEqFull!$AZ$2:$BB$56,3),IF(I2323="TDP",VLOOKUP(AF2323,TPCalibEqFull!$AZ$2:$BB$56,3),IF(I2323="TDN",VLOOKUP(AF2323,TNCalibEqFull!$AZ$1:$BB$56,3),IF(I2323="TN",VLOOKUP(AF2323,TNCalibEqFull!$AZ$1:$BB$56,3),FALSE))))</f>
        <v>0</v>
      </c>
      <c r="AV2323" s="10" t="str">
        <f t="shared" si="268"/>
        <v>0208 10:30:40-EMB-0-FIL-1-SW-UKN</v>
      </c>
    </row>
    <row r="2324" spans="1:48" s="10" customFormat="1" x14ac:dyDescent="0.55000000000000004">
      <c r="A2324" s="32">
        <v>44965</v>
      </c>
      <c r="B2324" s="33">
        <v>0.43796296296296294</v>
      </c>
      <c r="C2324" s="10" t="s">
        <v>646</v>
      </c>
      <c r="D2324" s="10">
        <v>0</v>
      </c>
      <c r="E2324" s="10" t="s">
        <v>911</v>
      </c>
      <c r="F2324" s="10">
        <v>1</v>
      </c>
      <c r="G2324" s="10" t="s">
        <v>231</v>
      </c>
      <c r="H2324" s="10" t="s">
        <v>233</v>
      </c>
      <c r="I2324" s="10" t="s">
        <v>167</v>
      </c>
      <c r="J2324" s="10">
        <v>98</v>
      </c>
      <c r="K2324" s="12">
        <v>44966</v>
      </c>
      <c r="L2324" s="33">
        <v>0.58071759259259259</v>
      </c>
      <c r="M2324" s="10">
        <v>1</v>
      </c>
      <c r="N2324" s="10" t="s">
        <v>211</v>
      </c>
      <c r="O2324" s="10">
        <v>0.56299999999999994</v>
      </c>
      <c r="P2324" s="10">
        <v>5.21E-2</v>
      </c>
      <c r="Q2324" s="10">
        <v>96.9</v>
      </c>
      <c r="R2324" s="10" t="s">
        <v>913</v>
      </c>
      <c r="S2324" s="34">
        <f t="shared" si="263"/>
        <v>96.9</v>
      </c>
      <c r="T2324" s="10" t="s">
        <v>1166</v>
      </c>
      <c r="U2324" s="34">
        <f t="shared" si="266"/>
        <v>0.61728395061727814</v>
      </c>
      <c r="V2324" s="31" t="str">
        <f>IF(H2324="CHK",VLOOKUP(I2324,QCCHK,3,),IF(H2324="GUP",VLOOKUP(E2324,QCGUP,2,),IF(AND(H2324="ATP",OR(I2324="TN",I2324="TDN",I2324="TNO2-3",I2324="NO2-3")),VLOOKUP(E2324,QCREC_N,2,),IF(AND(H2324="NIC",OR(I2324="TN",I2324="TDN",I2324="TNO2-3",I2324="NO2-3")),VLOOKUP(E2324,QCNIC_N,2,),IF(AND(H2324="UREA",OR(I2324="TN",I2324="TDN",I2324="TNO2-3",I2324="NO2-3")),VLOOKUP(E2324,QCUREA_N,2,),IF(H2324="PER",VLOOKUP(I2324,QCPER,MATCH(E2324,QCACTUAL!$J$25:$AA$25,0),),IF(H2324="SPK",VLOOKUP(I2324,QCSPK,3,),IF(AND(H2324="ATP",OR(I2324="TP",I2324="TDP")),VLOOKUP(E2324,QCATP_P,2,),""))))))))</f>
        <v/>
      </c>
      <c r="W2324" s="31" t="str">
        <f t="shared" si="267"/>
        <v>TRUE</v>
      </c>
      <c r="X2324" s="31" t="str">
        <f t="shared" si="262"/>
        <v>((ABS(rep1-rep2))/((rep1+rep2)/2)*100</v>
      </c>
      <c r="Y2324" s="10" t="s">
        <v>1144</v>
      </c>
      <c r="AL2324" s="10" t="str">
        <f t="shared" si="264"/>
        <v>FALSE</v>
      </c>
      <c r="AM2324" s="10" t="str">
        <f t="shared" si="264"/>
        <v>FALSE</v>
      </c>
      <c r="AN2324" s="10" t="str">
        <f t="shared" si="264"/>
        <v>FALSE</v>
      </c>
      <c r="AO2324" s="10" t="str">
        <f t="shared" si="265"/>
        <v>FALSE</v>
      </c>
      <c r="AP2324" s="10" t="str">
        <f t="shared" si="265"/>
        <v>FALSE</v>
      </c>
      <c r="AQ2324" s="10" t="b">
        <f>IF(AND(I2324="TP",S2324&lt;=150),VLOOKUP(AF2324,TPCalibEq150!$AZ$2:$BB$55,3,),IF(AND(I2324="TDP",S2324&lt;=150),VLOOKUP(AF2324,TPCalibEq150!$AZ$2:$BB$55,3,)))</f>
        <v>0</v>
      </c>
      <c r="AR2324" s="10" t="b">
        <f>IF(AND(I2324="TP",S2324&lt;=300),VLOOKUP(AF2324,TPCalibEq300!$AZ$2:$BB$55,3,),IF(AND(I2324="TDP",S2324&lt;=300),VLOOKUP(AF2324,TPCalibEq300!$AZ$2:$BB$55,3,)))</f>
        <v>0</v>
      </c>
      <c r="AS2324" s="10" t="b">
        <f>IF(AND(I2324="TP",S2324&lt;=500),VLOOKUP(AF2324,TPCalibEq500!$AZ$2:$BB$56,3,),IF(AND(I2324="TDP",S2324&lt;=500),VLOOKUP(AF2324,TPCalibEq500!$AZ$2:$BB$56,3,)))</f>
        <v>0</v>
      </c>
      <c r="AT2324" s="10" t="b">
        <f>IF(AND(I2324="TN",S2324&lt;=2800),VLOOKUP(AF2324,TNCalibEq2500!$AZ$2:$BB$56,3,),IF(AND(I2324="TDN",S2324&lt;=2800),VLOOKUP(AF2324,TNCalibEq2500!$AZ$2:$BB$56,3,)))</f>
        <v>0</v>
      </c>
      <c r="AU2324" s="10" t="b">
        <f>IF(I2324="TP",VLOOKUP(AF2324,TPCalibEqFull!$AZ$2:$BB$56,3),IF(I2324="TDP",VLOOKUP(AF2324,TPCalibEqFull!$AZ$2:$BB$56,3),IF(I2324="TDN",VLOOKUP(AF2324,TNCalibEqFull!$AZ$1:$BB$56,3),IF(I2324="TN",VLOOKUP(AF2324,TNCalibEqFull!$AZ$1:$BB$56,3),FALSE))))</f>
        <v>0</v>
      </c>
      <c r="AV2324" s="10" t="str">
        <f t="shared" si="268"/>
        <v>0208 10:30:40-EMB-0-FIL-1-SW-DUP</v>
      </c>
    </row>
    <row r="2325" spans="1:48" s="10" customFormat="1" x14ac:dyDescent="0.55000000000000004">
      <c r="A2325" s="32">
        <v>44965</v>
      </c>
      <c r="B2325" s="33">
        <v>0.43796296296296294</v>
      </c>
      <c r="C2325" s="10" t="s">
        <v>646</v>
      </c>
      <c r="D2325" s="10">
        <v>0</v>
      </c>
      <c r="E2325" s="10" t="s">
        <v>911</v>
      </c>
      <c r="F2325" s="10">
        <v>1</v>
      </c>
      <c r="G2325" s="10" t="s">
        <v>231</v>
      </c>
      <c r="H2325" s="10" t="s">
        <v>314</v>
      </c>
      <c r="I2325" s="10" t="s">
        <v>167</v>
      </c>
      <c r="J2325" s="10">
        <v>130</v>
      </c>
      <c r="K2325" s="12">
        <v>44966</v>
      </c>
      <c r="L2325" s="33">
        <v>0.58152777777777775</v>
      </c>
      <c r="M2325" s="10">
        <v>1</v>
      </c>
      <c r="N2325" s="10" t="s">
        <v>211</v>
      </c>
      <c r="O2325" s="10">
        <v>1.55</v>
      </c>
      <c r="P2325" s="10">
        <v>0.14899999999999999</v>
      </c>
      <c r="Q2325" s="10">
        <v>269</v>
      </c>
      <c r="R2325" s="10" t="s">
        <v>913</v>
      </c>
      <c r="S2325" s="34">
        <f t="shared" si="263"/>
        <v>269</v>
      </c>
      <c r="T2325" s="10" t="s">
        <v>1166</v>
      </c>
      <c r="U2325" s="34">
        <f t="shared" si="266"/>
        <v>110.14399999999999</v>
      </c>
      <c r="V2325" s="31">
        <f>IF(H2325="CHK",VLOOKUP(I2325,QCCHK,3,),IF(H2325="GUP",VLOOKUP(E2325,QCGUP,2,),IF(AND(H2325="ATP",OR(I2325="TN",I2325="TDN",I2325="TNO2-3",I2325="NO2-3")),VLOOKUP(E2325,QCREC_N,2,),IF(AND(H2325="NIC",OR(I2325="TN",I2325="TDN",I2325="TNO2-3",I2325="NO2-3")),VLOOKUP(E2325,QCNIC_N,2,),IF(AND(H2325="UREA",OR(I2325="TN",I2325="TDN",I2325="TNO2-3",I2325="NO2-3")),VLOOKUP(E2325,QCUREA_N,2,),IF(H2325="PER",VLOOKUP(I2325,QCPER,MATCH(E2325,QCACTUAL!$J$25:$AA$25,0),),IF(H2325="SPK",VLOOKUP(I2325,QCSPK,3,),IF(AND(H2325="ATP",OR(I2325="TP",I2325="TDP")),VLOOKUP(E2325,QCATP_P,2,),""))))))))</f>
        <v>156.25</v>
      </c>
      <c r="W2325" s="31" t="str">
        <f t="shared" si="267"/>
        <v>TRUE</v>
      </c>
      <c r="X2325" s="31" t="str">
        <f t="shared" si="262"/>
        <v>([spikedunkn]-[unkn])/[spike]*100</v>
      </c>
      <c r="Y2325" s="10" t="s">
        <v>1144</v>
      </c>
      <c r="AL2325" s="10" t="str">
        <f t="shared" si="264"/>
        <v>FALSE</v>
      </c>
      <c r="AM2325" s="10" t="str">
        <f t="shared" si="264"/>
        <v>FALSE</v>
      </c>
      <c r="AN2325" s="10" t="str">
        <f t="shared" si="264"/>
        <v>FALSE</v>
      </c>
      <c r="AO2325" s="10" t="str">
        <f t="shared" si="265"/>
        <v>FALSE</v>
      </c>
      <c r="AP2325" s="10" t="str">
        <f t="shared" si="265"/>
        <v>FALSE</v>
      </c>
      <c r="AQ2325" s="10" t="b">
        <f>IF(AND(I2325="TP",S2325&lt;=150),VLOOKUP(AF2325,TPCalibEq150!$AZ$2:$BB$55,3,),IF(AND(I2325="TDP",S2325&lt;=150),VLOOKUP(AF2325,TPCalibEq150!$AZ$2:$BB$55,3,)))</f>
        <v>0</v>
      </c>
      <c r="AR2325" s="10" t="b">
        <f>IF(AND(I2325="TP",S2325&lt;=300),VLOOKUP(AF2325,TPCalibEq300!$AZ$2:$BB$55,3,),IF(AND(I2325="TDP",S2325&lt;=300),VLOOKUP(AF2325,TPCalibEq300!$AZ$2:$BB$55,3,)))</f>
        <v>0</v>
      </c>
      <c r="AS2325" s="10" t="b">
        <f>IF(AND(I2325="TP",S2325&lt;=500),VLOOKUP(AF2325,TPCalibEq500!$AZ$2:$BB$56,3,),IF(AND(I2325="TDP",S2325&lt;=500),VLOOKUP(AF2325,TPCalibEq500!$AZ$2:$BB$56,3,)))</f>
        <v>0</v>
      </c>
      <c r="AT2325" s="10" t="b">
        <f>IF(AND(I2325="TN",S2325&lt;=2800),VLOOKUP(AF2325,TNCalibEq2500!$AZ$2:$BB$56,3,),IF(AND(I2325="TDN",S2325&lt;=2800),VLOOKUP(AF2325,TNCalibEq2500!$AZ$2:$BB$56,3,)))</f>
        <v>0</v>
      </c>
      <c r="AU2325" s="10" t="b">
        <f>IF(I2325="TP",VLOOKUP(AF2325,TPCalibEqFull!$AZ$2:$BB$56,3),IF(I2325="TDP",VLOOKUP(AF2325,TPCalibEqFull!$AZ$2:$BB$56,3),IF(I2325="TDN",VLOOKUP(AF2325,TNCalibEqFull!$AZ$1:$BB$56,3),IF(I2325="TN",VLOOKUP(AF2325,TNCalibEqFull!$AZ$1:$BB$56,3),FALSE))))</f>
        <v>0</v>
      </c>
      <c r="AV2325" s="10" t="str">
        <f t="shared" si="268"/>
        <v>0208 10:30:40-EMB-0-FIL-1-SW-SPK</v>
      </c>
    </row>
    <row r="2326" spans="1:48" s="10" customFormat="1" x14ac:dyDescent="0.55000000000000004">
      <c r="A2326" s="32">
        <v>44966</v>
      </c>
      <c r="B2326" s="33">
        <v>0.375</v>
      </c>
      <c r="C2326" s="10" t="s">
        <v>70</v>
      </c>
      <c r="D2326" s="10" t="s">
        <v>71</v>
      </c>
      <c r="E2326" s="10" t="s">
        <v>901</v>
      </c>
      <c r="F2326" s="10">
        <v>1</v>
      </c>
      <c r="G2326" s="10" t="s">
        <v>73</v>
      </c>
      <c r="H2326" s="10" t="s">
        <v>207</v>
      </c>
      <c r="I2326" s="10" t="s">
        <v>285</v>
      </c>
      <c r="J2326" s="10">
        <v>199</v>
      </c>
      <c r="K2326" s="12">
        <v>44966</v>
      </c>
      <c r="L2326" s="33">
        <v>0.58236111111111111</v>
      </c>
      <c r="M2326" s="10">
        <v>1</v>
      </c>
      <c r="N2326" s="10" t="s">
        <v>211</v>
      </c>
      <c r="O2326" s="10">
        <v>0.42799999999999999</v>
      </c>
      <c r="P2326" s="10">
        <v>4.0300000000000002E-2</v>
      </c>
      <c r="Q2326" s="10">
        <v>73.599999999999994</v>
      </c>
      <c r="R2326" s="10" t="s">
        <v>913</v>
      </c>
      <c r="S2326" s="34">
        <f t="shared" si="263"/>
        <v>73.599999999999994</v>
      </c>
      <c r="T2326" s="10" t="s">
        <v>1166</v>
      </c>
      <c r="U2326" s="34">
        <f t="shared" si="266"/>
        <v>98.133333333333326</v>
      </c>
      <c r="V2326" s="31">
        <f>IF(H2326="CHK",VLOOKUP(I2326,QCCHK,3,),IF(H2326="GUP",VLOOKUP(E2326,QCGUP,2,),IF(AND(H2326="ATP",OR(I2326="TN",I2326="TDN",I2326="TNO2-3",I2326="NO2-3")),VLOOKUP(E2326,QCREC_N,2,),IF(AND(H2326="NIC",OR(I2326="TN",I2326="TDN",I2326="TNO2-3",I2326="NO2-3")),VLOOKUP(E2326,QCNIC_N,2,),IF(AND(H2326="UREA",OR(I2326="TN",I2326="TDN",I2326="TNO2-3",I2326="NO2-3")),VLOOKUP(E2326,QCUREA_N,2,),IF(H2326="PER",VLOOKUP(I2326,QCPER,MATCH(E2326,QCACTUAL!$J$25:$AA$25,0),),IF(H2326="SPK",VLOOKUP(I2326,QCSPK,3,),IF(AND(H2326="ATP",OR(I2326="TP",I2326="TDP")),VLOOKUP(E2326,QCATP_P,2,),""))))))))</f>
        <v>75</v>
      </c>
      <c r="W2326" s="31" t="str">
        <f t="shared" si="267"/>
        <v>TRUE</v>
      </c>
      <c r="X2326" s="31" t="str">
        <f t="shared" si="262"/>
        <v>[chk]/[actual]*100</v>
      </c>
      <c r="Y2326" s="10" t="s">
        <v>1144</v>
      </c>
      <c r="AL2326" s="10" t="str">
        <f t="shared" si="264"/>
        <v>FALSE</v>
      </c>
      <c r="AM2326" s="10" t="str">
        <f t="shared" si="264"/>
        <v>FALSE</v>
      </c>
      <c r="AN2326" s="10" t="str">
        <f t="shared" si="264"/>
        <v>FALSE</v>
      </c>
      <c r="AO2326" s="10" t="str">
        <f t="shared" si="265"/>
        <v>FALSE</v>
      </c>
      <c r="AP2326" s="10" t="str">
        <f t="shared" si="265"/>
        <v>FALSE</v>
      </c>
      <c r="AQ2326" s="10" t="b">
        <f>IF(AND(I2326="TP",S2326&lt;=150),VLOOKUP(AF2326,TPCalibEq150!$AZ$2:$BB$55,3,),IF(AND(I2326="TDP",S2326&lt;=150),VLOOKUP(AF2326,TPCalibEq150!$AZ$2:$BB$55,3,)))</f>
        <v>0</v>
      </c>
      <c r="AR2326" s="10" t="b">
        <f>IF(AND(I2326="TP",S2326&lt;=300),VLOOKUP(AF2326,TPCalibEq300!$AZ$2:$BB$55,3,),IF(AND(I2326="TDP",S2326&lt;=300),VLOOKUP(AF2326,TPCalibEq300!$AZ$2:$BB$55,3,)))</f>
        <v>0</v>
      </c>
      <c r="AS2326" s="10" t="b">
        <f>IF(AND(I2326="TP",S2326&lt;=500),VLOOKUP(AF2326,TPCalibEq500!$AZ$2:$BB$56,3,),IF(AND(I2326="TDP",S2326&lt;=500),VLOOKUP(AF2326,TPCalibEq500!$AZ$2:$BB$56,3,)))</f>
        <v>0</v>
      </c>
      <c r="AT2326" s="10" t="b">
        <f>IF(AND(I2326="TN",S2326&lt;=2800),VLOOKUP(AF2326,TNCalibEq2500!$AZ$2:$BB$56,3,),IF(AND(I2326="TDN",S2326&lt;=2800),VLOOKUP(AF2326,TNCalibEq2500!$AZ$2:$BB$56,3,)))</f>
        <v>0</v>
      </c>
      <c r="AU2326" s="10" t="b">
        <f>IF(I2326="TP",VLOOKUP(AF2326,TPCalibEqFull!$AZ$2:$BB$56,3),IF(I2326="TDP",VLOOKUP(AF2326,TPCalibEqFull!$AZ$2:$BB$56,3),IF(I2326="TDN",VLOOKUP(AF2326,TNCalibEqFull!$AZ$1:$BB$56,3),IF(I2326="TN",VLOOKUP(AF2326,TNCalibEqFull!$AZ$1:$BB$56,3),FALSE))))</f>
        <v>0</v>
      </c>
      <c r="AV2326" s="10" t="str">
        <f t="shared" si="268"/>
        <v>0209 09:00:00-QAC-STD-D-1-DI-CHK</v>
      </c>
    </row>
    <row r="2327" spans="1:48" s="10" customFormat="1" x14ac:dyDescent="0.55000000000000004">
      <c r="A2327" s="32">
        <v>44965</v>
      </c>
      <c r="B2327" s="33">
        <v>0.44027777777777777</v>
      </c>
      <c r="C2327" s="10" t="s">
        <v>646</v>
      </c>
      <c r="D2327" s="10">
        <v>5</v>
      </c>
      <c r="E2327" s="10" t="s">
        <v>911</v>
      </c>
      <c r="F2327" s="10">
        <v>1</v>
      </c>
      <c r="G2327" s="10" t="s">
        <v>231</v>
      </c>
      <c r="H2327" s="10" t="s">
        <v>322</v>
      </c>
      <c r="I2327" s="10" t="s">
        <v>167</v>
      </c>
      <c r="J2327" s="10">
        <v>99</v>
      </c>
      <c r="K2327" s="12">
        <v>44966</v>
      </c>
      <c r="L2327" s="33">
        <v>0.58317129629629627</v>
      </c>
      <c r="M2327" s="10">
        <v>1</v>
      </c>
      <c r="N2327" s="10" t="s">
        <v>211</v>
      </c>
      <c r="O2327" s="10">
        <v>0.54800000000000004</v>
      </c>
      <c r="P2327" s="10">
        <v>5.0900000000000001E-2</v>
      </c>
      <c r="Q2327" s="10">
        <v>94.3</v>
      </c>
      <c r="R2327" s="10" t="s">
        <v>913</v>
      </c>
      <c r="S2327" s="34">
        <f t="shared" si="263"/>
        <v>94.3</v>
      </c>
      <c r="T2327" s="10" t="s">
        <v>1166</v>
      </c>
      <c r="U2327" s="34" t="str">
        <f t="shared" si="266"/>
        <v/>
      </c>
      <c r="V2327" s="31" t="str">
        <f>IF(H2327="CHK",VLOOKUP(I2327,QCCHK,3,),IF(H2327="GUP",VLOOKUP(E2327,QCGUP,2,),IF(AND(H2327="ATP",OR(I2327="TN",I2327="TDN",I2327="TNO2-3",I2327="NO2-3")),VLOOKUP(E2327,QCREC_N,2,),IF(AND(H2327="NIC",OR(I2327="TN",I2327="TDN",I2327="TNO2-3",I2327="NO2-3")),VLOOKUP(E2327,QCNIC_N,2,),IF(AND(H2327="UREA",OR(I2327="TN",I2327="TDN",I2327="TNO2-3",I2327="NO2-3")),VLOOKUP(E2327,QCUREA_N,2,),IF(H2327="PER",VLOOKUP(I2327,QCPER,MATCH(E2327,QCACTUAL!$J$25:$AA$25,0),),IF(H2327="SPK",VLOOKUP(I2327,QCSPK,3,),IF(AND(H2327="ATP",OR(I2327="TP",I2327="TDP")),VLOOKUP(E2327,QCATP_P,2,),""))))))))</f>
        <v/>
      </c>
      <c r="W2327" s="31" t="str">
        <f t="shared" si="267"/>
        <v>TRUE</v>
      </c>
      <c r="X2327" s="31" t="str">
        <f t="shared" si="262"/>
        <v/>
      </c>
      <c r="Y2327" s="10" t="s">
        <v>1144</v>
      </c>
      <c r="AL2327" s="10" t="str">
        <f t="shared" si="264"/>
        <v>FALSE</v>
      </c>
      <c r="AM2327" s="10" t="str">
        <f t="shared" si="264"/>
        <v>FALSE</v>
      </c>
      <c r="AN2327" s="10" t="str">
        <f t="shared" si="264"/>
        <v>FALSE</v>
      </c>
      <c r="AO2327" s="10" t="str">
        <f t="shared" si="265"/>
        <v>FALSE</v>
      </c>
      <c r="AP2327" s="10" t="str">
        <f t="shared" si="265"/>
        <v>FALSE</v>
      </c>
      <c r="AQ2327" s="10" t="b">
        <f>IF(AND(I2327="TP",S2327&lt;=150),VLOOKUP(AF2327,TPCalibEq150!$AZ$2:$BB$55,3,),IF(AND(I2327="TDP",S2327&lt;=150),VLOOKUP(AF2327,TPCalibEq150!$AZ$2:$BB$55,3,)))</f>
        <v>0</v>
      </c>
      <c r="AR2327" s="10" t="b">
        <f>IF(AND(I2327="TP",S2327&lt;=300),VLOOKUP(AF2327,TPCalibEq300!$AZ$2:$BB$55,3,),IF(AND(I2327="TDP",S2327&lt;=300),VLOOKUP(AF2327,TPCalibEq300!$AZ$2:$BB$55,3,)))</f>
        <v>0</v>
      </c>
      <c r="AS2327" s="10" t="b">
        <f>IF(AND(I2327="TP",S2327&lt;=500),VLOOKUP(AF2327,TPCalibEq500!$AZ$2:$BB$56,3,),IF(AND(I2327="TDP",S2327&lt;=500),VLOOKUP(AF2327,TPCalibEq500!$AZ$2:$BB$56,3,)))</f>
        <v>0</v>
      </c>
      <c r="AT2327" s="10" t="b">
        <f>IF(AND(I2327="TN",S2327&lt;=2800),VLOOKUP(AF2327,TNCalibEq2500!$AZ$2:$BB$56,3,),IF(AND(I2327="TDN",S2327&lt;=2800),VLOOKUP(AF2327,TNCalibEq2500!$AZ$2:$BB$56,3,)))</f>
        <v>0</v>
      </c>
      <c r="AU2327" s="10" t="b">
        <f>IF(I2327="TP",VLOOKUP(AF2327,TPCalibEqFull!$AZ$2:$BB$56,3),IF(I2327="TDP",VLOOKUP(AF2327,TPCalibEqFull!$AZ$2:$BB$56,3),IF(I2327="TDN",VLOOKUP(AF2327,TNCalibEqFull!$AZ$1:$BB$56,3),IF(I2327="TN",VLOOKUP(AF2327,TNCalibEqFull!$AZ$1:$BB$56,3),FALSE))))</f>
        <v>0</v>
      </c>
      <c r="AV2327" s="10" t="str">
        <f t="shared" si="268"/>
        <v>0208 10:34:00-EMB-5-FIL-1-SW-UKN</v>
      </c>
    </row>
    <row r="2328" spans="1:48" s="10" customFormat="1" x14ac:dyDescent="0.55000000000000004">
      <c r="A2328" s="32">
        <v>44965</v>
      </c>
      <c r="B2328" s="33">
        <v>0.44259259259259259</v>
      </c>
      <c r="C2328" s="10" t="s">
        <v>646</v>
      </c>
      <c r="D2328" s="10">
        <v>10</v>
      </c>
      <c r="E2328" s="10" t="s">
        <v>911</v>
      </c>
      <c r="F2328" s="10">
        <v>1</v>
      </c>
      <c r="G2328" s="10" t="s">
        <v>231</v>
      </c>
      <c r="H2328" s="10" t="s">
        <v>322</v>
      </c>
      <c r="I2328" s="10" t="s">
        <v>167</v>
      </c>
      <c r="J2328" s="10">
        <v>100</v>
      </c>
      <c r="K2328" s="12">
        <v>44966</v>
      </c>
      <c r="L2328" s="33">
        <v>0.58398148148148155</v>
      </c>
      <c r="M2328" s="10">
        <v>1</v>
      </c>
      <c r="N2328" s="10" t="s">
        <v>211</v>
      </c>
      <c r="O2328" s="10">
        <v>0.56699999999999995</v>
      </c>
      <c r="P2328" s="10">
        <v>5.2299999999999999E-2</v>
      </c>
      <c r="Q2328" s="10">
        <v>97.7</v>
      </c>
      <c r="R2328" s="10" t="s">
        <v>913</v>
      </c>
      <c r="S2328" s="34">
        <f t="shared" si="263"/>
        <v>97.7</v>
      </c>
      <c r="T2328" s="10" t="s">
        <v>1166</v>
      </c>
      <c r="U2328" s="34" t="str">
        <f t="shared" si="266"/>
        <v/>
      </c>
      <c r="V2328" s="31" t="str">
        <f>IF(H2328="CHK",VLOOKUP(I2328,QCCHK,3,),IF(H2328="GUP",VLOOKUP(E2328,QCGUP,2,),IF(AND(H2328="ATP",OR(I2328="TN",I2328="TDN",I2328="TNO2-3",I2328="NO2-3")),VLOOKUP(E2328,QCREC_N,2,),IF(AND(H2328="NIC",OR(I2328="TN",I2328="TDN",I2328="TNO2-3",I2328="NO2-3")),VLOOKUP(E2328,QCNIC_N,2,),IF(AND(H2328="UREA",OR(I2328="TN",I2328="TDN",I2328="TNO2-3",I2328="NO2-3")),VLOOKUP(E2328,QCUREA_N,2,),IF(H2328="PER",VLOOKUP(I2328,QCPER,MATCH(E2328,QCACTUAL!$J$25:$AA$25,0),),IF(H2328="SPK",VLOOKUP(I2328,QCSPK,3,),IF(AND(H2328="ATP",OR(I2328="TP",I2328="TDP")),VLOOKUP(E2328,QCATP_P,2,),""))))))))</f>
        <v/>
      </c>
      <c r="W2328" s="31" t="str">
        <f t="shared" si="267"/>
        <v>TRUE</v>
      </c>
      <c r="X2328" s="31" t="str">
        <f t="shared" si="262"/>
        <v/>
      </c>
      <c r="Y2328" s="10" t="s">
        <v>1144</v>
      </c>
      <c r="AL2328" s="10" t="str">
        <f t="shared" si="264"/>
        <v>FALSE</v>
      </c>
      <c r="AM2328" s="10" t="str">
        <f t="shared" si="264"/>
        <v>FALSE</v>
      </c>
      <c r="AN2328" s="10" t="str">
        <f t="shared" si="264"/>
        <v>FALSE</v>
      </c>
      <c r="AO2328" s="10" t="str">
        <f t="shared" si="265"/>
        <v>FALSE</v>
      </c>
      <c r="AP2328" s="10" t="str">
        <f t="shared" si="265"/>
        <v>FALSE</v>
      </c>
      <c r="AQ2328" s="10" t="b">
        <f>IF(AND(I2328="TP",S2328&lt;=150),VLOOKUP(AF2328,TPCalibEq150!$AZ$2:$BB$55,3,),IF(AND(I2328="TDP",S2328&lt;=150),VLOOKUP(AF2328,TPCalibEq150!$AZ$2:$BB$55,3,)))</f>
        <v>0</v>
      </c>
      <c r="AR2328" s="10" t="b">
        <f>IF(AND(I2328="TP",S2328&lt;=300),VLOOKUP(AF2328,TPCalibEq300!$AZ$2:$BB$55,3,),IF(AND(I2328="TDP",S2328&lt;=300),VLOOKUP(AF2328,TPCalibEq300!$AZ$2:$BB$55,3,)))</f>
        <v>0</v>
      </c>
      <c r="AS2328" s="10" t="b">
        <f>IF(AND(I2328="TP",S2328&lt;=500),VLOOKUP(AF2328,TPCalibEq500!$AZ$2:$BB$56,3,),IF(AND(I2328="TDP",S2328&lt;=500),VLOOKUP(AF2328,TPCalibEq500!$AZ$2:$BB$56,3,)))</f>
        <v>0</v>
      </c>
      <c r="AT2328" s="10" t="b">
        <f>IF(AND(I2328="TN",S2328&lt;=2800),VLOOKUP(AF2328,TNCalibEq2500!$AZ$2:$BB$56,3,),IF(AND(I2328="TDN",S2328&lt;=2800),VLOOKUP(AF2328,TNCalibEq2500!$AZ$2:$BB$56,3,)))</f>
        <v>0</v>
      </c>
      <c r="AU2328" s="10" t="b">
        <f>IF(I2328="TP",VLOOKUP(AF2328,TPCalibEqFull!$AZ$2:$BB$56,3),IF(I2328="TDP",VLOOKUP(AF2328,TPCalibEqFull!$AZ$2:$BB$56,3),IF(I2328="TDN",VLOOKUP(AF2328,TNCalibEqFull!$AZ$1:$BB$56,3),IF(I2328="TN",VLOOKUP(AF2328,TNCalibEqFull!$AZ$1:$BB$56,3),FALSE))))</f>
        <v>0</v>
      </c>
      <c r="AV2328" s="10" t="str">
        <f t="shared" si="268"/>
        <v>0208 10:37:20-EMB-10-FIL-1-SW-UKN</v>
      </c>
    </row>
    <row r="2329" spans="1:48" s="10" customFormat="1" x14ac:dyDescent="0.55000000000000004">
      <c r="A2329" s="32">
        <v>44965</v>
      </c>
      <c r="B2329" s="33">
        <v>0.44490740740740736</v>
      </c>
      <c r="C2329" s="10" t="s">
        <v>646</v>
      </c>
      <c r="D2329" s="10">
        <v>20</v>
      </c>
      <c r="E2329" s="10" t="s">
        <v>911</v>
      </c>
      <c r="F2329" s="10">
        <v>1</v>
      </c>
      <c r="G2329" s="10" t="s">
        <v>231</v>
      </c>
      <c r="H2329" s="10" t="s">
        <v>322</v>
      </c>
      <c r="I2329" s="10" t="s">
        <v>167</v>
      </c>
      <c r="J2329" s="10">
        <v>101</v>
      </c>
      <c r="K2329" s="12">
        <v>44966</v>
      </c>
      <c r="L2329" s="33">
        <v>0.58479166666666671</v>
      </c>
      <c r="M2329" s="10">
        <v>1</v>
      </c>
      <c r="N2329" s="10" t="s">
        <v>211</v>
      </c>
      <c r="O2329" s="10">
        <v>0.55900000000000005</v>
      </c>
      <c r="P2329" s="10">
        <v>5.1799999999999999E-2</v>
      </c>
      <c r="Q2329" s="10">
        <v>96.3</v>
      </c>
      <c r="R2329" s="10" t="s">
        <v>913</v>
      </c>
      <c r="S2329" s="34">
        <f t="shared" si="263"/>
        <v>96.3</v>
      </c>
      <c r="T2329" s="10" t="s">
        <v>1166</v>
      </c>
      <c r="U2329" s="34" t="str">
        <f t="shared" si="266"/>
        <v/>
      </c>
      <c r="V2329" s="31" t="str">
        <f>IF(H2329="CHK",VLOOKUP(I2329,QCCHK,3,),IF(H2329="GUP",VLOOKUP(E2329,QCGUP,2,),IF(AND(H2329="ATP",OR(I2329="TN",I2329="TDN",I2329="TNO2-3",I2329="NO2-3")),VLOOKUP(E2329,QCREC_N,2,),IF(AND(H2329="NIC",OR(I2329="TN",I2329="TDN",I2329="TNO2-3",I2329="NO2-3")),VLOOKUP(E2329,QCNIC_N,2,),IF(AND(H2329="UREA",OR(I2329="TN",I2329="TDN",I2329="TNO2-3",I2329="NO2-3")),VLOOKUP(E2329,QCUREA_N,2,),IF(H2329="PER",VLOOKUP(I2329,QCPER,MATCH(E2329,QCACTUAL!$J$25:$AA$25,0),),IF(H2329="SPK",VLOOKUP(I2329,QCSPK,3,),IF(AND(H2329="ATP",OR(I2329="TP",I2329="TDP")),VLOOKUP(E2329,QCATP_P,2,),""))))))))</f>
        <v/>
      </c>
      <c r="W2329" s="31" t="str">
        <f t="shared" si="267"/>
        <v>TRUE</v>
      </c>
      <c r="X2329" s="31" t="str">
        <f t="shared" si="262"/>
        <v/>
      </c>
      <c r="Y2329" s="10" t="s">
        <v>1144</v>
      </c>
      <c r="AL2329" s="10" t="str">
        <f t="shared" si="264"/>
        <v>FALSE</v>
      </c>
      <c r="AM2329" s="10" t="str">
        <f t="shared" si="264"/>
        <v>FALSE</v>
      </c>
      <c r="AN2329" s="10" t="str">
        <f t="shared" si="264"/>
        <v>FALSE</v>
      </c>
      <c r="AO2329" s="10" t="str">
        <f t="shared" si="265"/>
        <v>FALSE</v>
      </c>
      <c r="AP2329" s="10" t="str">
        <f t="shared" si="265"/>
        <v>FALSE</v>
      </c>
      <c r="AQ2329" s="10" t="b">
        <f>IF(AND(I2329="TP",S2329&lt;=150),VLOOKUP(AF2329,TPCalibEq150!$AZ$2:$BB$55,3,),IF(AND(I2329="TDP",S2329&lt;=150),VLOOKUP(AF2329,TPCalibEq150!$AZ$2:$BB$55,3,)))</f>
        <v>0</v>
      </c>
      <c r="AR2329" s="10" t="b">
        <f>IF(AND(I2329="TP",S2329&lt;=300),VLOOKUP(AF2329,TPCalibEq300!$AZ$2:$BB$55,3,),IF(AND(I2329="TDP",S2329&lt;=300),VLOOKUP(AF2329,TPCalibEq300!$AZ$2:$BB$55,3,)))</f>
        <v>0</v>
      </c>
      <c r="AS2329" s="10" t="b">
        <f>IF(AND(I2329="TP",S2329&lt;=500),VLOOKUP(AF2329,TPCalibEq500!$AZ$2:$BB$56,3,),IF(AND(I2329="TDP",S2329&lt;=500),VLOOKUP(AF2329,TPCalibEq500!$AZ$2:$BB$56,3,)))</f>
        <v>0</v>
      </c>
      <c r="AT2329" s="10" t="b">
        <f>IF(AND(I2329="TN",S2329&lt;=2800),VLOOKUP(AF2329,TNCalibEq2500!$AZ$2:$BB$56,3,),IF(AND(I2329="TDN",S2329&lt;=2800),VLOOKUP(AF2329,TNCalibEq2500!$AZ$2:$BB$56,3,)))</f>
        <v>0</v>
      </c>
      <c r="AU2329" s="10" t="b">
        <f>IF(I2329="TP",VLOOKUP(AF2329,TPCalibEqFull!$AZ$2:$BB$56,3),IF(I2329="TDP",VLOOKUP(AF2329,TPCalibEqFull!$AZ$2:$BB$56,3),IF(I2329="TDN",VLOOKUP(AF2329,TNCalibEqFull!$AZ$1:$BB$56,3),IF(I2329="TN",VLOOKUP(AF2329,TNCalibEqFull!$AZ$1:$BB$56,3),FALSE))))</f>
        <v>0</v>
      </c>
      <c r="AV2329" s="10" t="str">
        <f t="shared" si="268"/>
        <v>0208 10:40:40-EMB-20-FIL-1-SW-UKN</v>
      </c>
    </row>
    <row r="2330" spans="1:48" s="10" customFormat="1" x14ac:dyDescent="0.55000000000000004">
      <c r="A2330" s="32">
        <v>44965</v>
      </c>
      <c r="B2330" s="33">
        <v>0.44780092592592591</v>
      </c>
      <c r="C2330" s="10" t="s">
        <v>646</v>
      </c>
      <c r="D2330" s="10">
        <v>69</v>
      </c>
      <c r="E2330" s="10" t="s">
        <v>911</v>
      </c>
      <c r="F2330" s="10">
        <v>1</v>
      </c>
      <c r="G2330" s="10" t="s">
        <v>231</v>
      </c>
      <c r="H2330" s="10" t="s">
        <v>322</v>
      </c>
      <c r="I2330" s="10" t="s">
        <v>167</v>
      </c>
      <c r="J2330" s="10">
        <v>102</v>
      </c>
      <c r="K2330" s="12">
        <v>44966</v>
      </c>
      <c r="L2330" s="33">
        <v>0.58560185185185187</v>
      </c>
      <c r="M2330" s="10">
        <v>1</v>
      </c>
      <c r="N2330" s="10" t="s">
        <v>211</v>
      </c>
      <c r="O2330" s="10">
        <v>0.47299999999999998</v>
      </c>
      <c r="P2330" s="10">
        <v>4.2900000000000001E-2</v>
      </c>
      <c r="Q2330" s="10">
        <v>81.400000000000006</v>
      </c>
      <c r="R2330" s="10" t="s">
        <v>913</v>
      </c>
      <c r="S2330" s="34">
        <f t="shared" si="263"/>
        <v>81.400000000000006</v>
      </c>
      <c r="T2330" s="10" t="s">
        <v>1166</v>
      </c>
      <c r="U2330" s="34" t="str">
        <f t="shared" si="266"/>
        <v/>
      </c>
      <c r="V2330" s="31" t="str">
        <f>IF(H2330="CHK",VLOOKUP(I2330,QCCHK,3,),IF(H2330="GUP",VLOOKUP(E2330,QCGUP,2,),IF(AND(H2330="ATP",OR(I2330="TN",I2330="TDN",I2330="TNO2-3",I2330="NO2-3")),VLOOKUP(E2330,QCREC_N,2,),IF(AND(H2330="NIC",OR(I2330="TN",I2330="TDN",I2330="TNO2-3",I2330="NO2-3")),VLOOKUP(E2330,QCNIC_N,2,),IF(AND(H2330="UREA",OR(I2330="TN",I2330="TDN",I2330="TNO2-3",I2330="NO2-3")),VLOOKUP(E2330,QCUREA_N,2,),IF(H2330="PER",VLOOKUP(I2330,QCPER,MATCH(E2330,QCACTUAL!$J$25:$AA$25,0),),IF(H2330="SPK",VLOOKUP(I2330,QCSPK,3,),IF(AND(H2330="ATP",OR(I2330="TP",I2330="TDP")),VLOOKUP(E2330,QCATP_P,2,),""))))))))</f>
        <v/>
      </c>
      <c r="W2330" s="31" t="str">
        <f t="shared" si="267"/>
        <v>TRUE</v>
      </c>
      <c r="X2330" s="31" t="str">
        <f t="shared" si="262"/>
        <v/>
      </c>
      <c r="Y2330" s="10" t="s">
        <v>1144</v>
      </c>
      <c r="AL2330" s="10" t="str">
        <f t="shared" si="264"/>
        <v>FALSE</v>
      </c>
      <c r="AM2330" s="10" t="str">
        <f t="shared" si="264"/>
        <v>FALSE</v>
      </c>
      <c r="AN2330" s="10" t="str">
        <f t="shared" si="264"/>
        <v>FALSE</v>
      </c>
      <c r="AO2330" s="10" t="str">
        <f t="shared" si="265"/>
        <v>FALSE</v>
      </c>
      <c r="AP2330" s="10" t="str">
        <f t="shared" si="265"/>
        <v>FALSE</v>
      </c>
      <c r="AQ2330" s="10" t="b">
        <f>IF(AND(I2330="TP",S2330&lt;=150),VLOOKUP(AF2330,TPCalibEq150!$AZ$2:$BB$55,3,),IF(AND(I2330="TDP",S2330&lt;=150),VLOOKUP(AF2330,TPCalibEq150!$AZ$2:$BB$55,3,)))</f>
        <v>0</v>
      </c>
      <c r="AR2330" s="10" t="b">
        <f>IF(AND(I2330="TP",S2330&lt;=300),VLOOKUP(AF2330,TPCalibEq300!$AZ$2:$BB$55,3,),IF(AND(I2330="TDP",S2330&lt;=300),VLOOKUP(AF2330,TPCalibEq300!$AZ$2:$BB$55,3,)))</f>
        <v>0</v>
      </c>
      <c r="AS2330" s="10" t="b">
        <f>IF(AND(I2330="TP",S2330&lt;=500),VLOOKUP(AF2330,TPCalibEq500!$AZ$2:$BB$56,3,),IF(AND(I2330="TDP",S2330&lt;=500),VLOOKUP(AF2330,TPCalibEq500!$AZ$2:$BB$56,3,)))</f>
        <v>0</v>
      </c>
      <c r="AT2330" s="10" t="b">
        <f>IF(AND(I2330="TN",S2330&lt;=2800),VLOOKUP(AF2330,TNCalibEq2500!$AZ$2:$BB$56,3,),IF(AND(I2330="TDN",S2330&lt;=2800),VLOOKUP(AF2330,TNCalibEq2500!$AZ$2:$BB$56,3,)))</f>
        <v>0</v>
      </c>
      <c r="AU2330" s="10" t="b">
        <f>IF(I2330="TP",VLOOKUP(AF2330,TPCalibEqFull!$AZ$2:$BB$56,3),IF(I2330="TDP",VLOOKUP(AF2330,TPCalibEqFull!$AZ$2:$BB$56,3),IF(I2330="TDN",VLOOKUP(AF2330,TNCalibEqFull!$AZ$1:$BB$56,3),IF(I2330="TN",VLOOKUP(AF2330,TNCalibEqFull!$AZ$1:$BB$56,3),FALSE))))</f>
        <v>0</v>
      </c>
      <c r="AV2330" s="10" t="str">
        <f t="shared" si="268"/>
        <v>0208 10:44:50-EMB-69-FIL-1-SW-UKN</v>
      </c>
    </row>
    <row r="2331" spans="1:48" s="10" customFormat="1" x14ac:dyDescent="0.55000000000000004">
      <c r="A2331" s="32">
        <v>44965</v>
      </c>
      <c r="B2331" s="33">
        <v>0.39953703703703702</v>
      </c>
      <c r="C2331" s="10" t="s">
        <v>287</v>
      </c>
      <c r="D2331" s="10">
        <v>0</v>
      </c>
      <c r="E2331" s="10" t="s">
        <v>911</v>
      </c>
      <c r="F2331" s="10">
        <v>1</v>
      </c>
      <c r="G2331" s="10" t="s">
        <v>231</v>
      </c>
      <c r="H2331" s="10" t="s">
        <v>322</v>
      </c>
      <c r="I2331" s="10" t="s">
        <v>167</v>
      </c>
      <c r="J2331" s="10">
        <v>103</v>
      </c>
      <c r="K2331" s="12">
        <v>44966</v>
      </c>
      <c r="L2331" s="33">
        <v>0.58642361111111108</v>
      </c>
      <c r="M2331" s="10">
        <v>1</v>
      </c>
      <c r="N2331" s="10" t="s">
        <v>211</v>
      </c>
      <c r="O2331" s="10">
        <v>0.55300000000000005</v>
      </c>
      <c r="P2331" s="10">
        <v>5.11E-2</v>
      </c>
      <c r="Q2331" s="10">
        <v>95.3</v>
      </c>
      <c r="R2331" s="10" t="s">
        <v>913</v>
      </c>
      <c r="S2331" s="34">
        <f t="shared" si="263"/>
        <v>95.3</v>
      </c>
      <c r="T2331" s="10" t="s">
        <v>1166</v>
      </c>
      <c r="U2331" s="34" t="str">
        <f t="shared" si="266"/>
        <v/>
      </c>
      <c r="V2331" s="31" t="str">
        <f>IF(H2331="CHK",VLOOKUP(I2331,QCCHK,3,),IF(H2331="GUP",VLOOKUP(E2331,QCGUP,2,),IF(AND(H2331="ATP",OR(I2331="TN",I2331="TDN",I2331="TNO2-3",I2331="NO2-3")),VLOOKUP(E2331,QCREC_N,2,),IF(AND(H2331="NIC",OR(I2331="TN",I2331="TDN",I2331="TNO2-3",I2331="NO2-3")),VLOOKUP(E2331,QCNIC_N,2,),IF(AND(H2331="UREA",OR(I2331="TN",I2331="TDN",I2331="TNO2-3",I2331="NO2-3")),VLOOKUP(E2331,QCUREA_N,2,),IF(H2331="PER",VLOOKUP(I2331,QCPER,MATCH(E2331,QCACTUAL!$J$25:$AA$25,0),),IF(H2331="SPK",VLOOKUP(I2331,QCSPK,3,),IF(AND(H2331="ATP",OR(I2331="TP",I2331="TDP")),VLOOKUP(E2331,QCATP_P,2,),""))))))))</f>
        <v/>
      </c>
      <c r="W2331" s="31" t="str">
        <f t="shared" si="267"/>
        <v>TRUE</v>
      </c>
      <c r="X2331" s="31" t="str">
        <f t="shared" si="262"/>
        <v/>
      </c>
      <c r="Y2331" s="10" t="s">
        <v>1144</v>
      </c>
      <c r="AL2331" s="10" t="str">
        <f t="shared" si="264"/>
        <v>FALSE</v>
      </c>
      <c r="AM2331" s="10" t="str">
        <f t="shared" si="264"/>
        <v>FALSE</v>
      </c>
      <c r="AN2331" s="10" t="str">
        <f t="shared" si="264"/>
        <v>FALSE</v>
      </c>
      <c r="AO2331" s="10" t="str">
        <f t="shared" si="265"/>
        <v>FALSE</v>
      </c>
      <c r="AP2331" s="10" t="str">
        <f t="shared" si="265"/>
        <v>FALSE</v>
      </c>
      <c r="AQ2331" s="10" t="b">
        <f>IF(AND(I2331="TP",S2331&lt;=150),VLOOKUP(AF2331,TPCalibEq150!$AZ$2:$BB$55,3,),IF(AND(I2331="TDP",S2331&lt;=150),VLOOKUP(AF2331,TPCalibEq150!$AZ$2:$BB$55,3,)))</f>
        <v>0</v>
      </c>
      <c r="AR2331" s="10" t="b">
        <f>IF(AND(I2331="TP",S2331&lt;=300),VLOOKUP(AF2331,TPCalibEq300!$AZ$2:$BB$55,3,),IF(AND(I2331="TDP",S2331&lt;=300),VLOOKUP(AF2331,TPCalibEq300!$AZ$2:$BB$55,3,)))</f>
        <v>0</v>
      </c>
      <c r="AS2331" s="10" t="b">
        <f>IF(AND(I2331="TP",S2331&lt;=500),VLOOKUP(AF2331,TPCalibEq500!$AZ$2:$BB$56,3,),IF(AND(I2331="TDP",S2331&lt;=500),VLOOKUP(AF2331,TPCalibEq500!$AZ$2:$BB$56,3,)))</f>
        <v>0</v>
      </c>
      <c r="AT2331" s="10" t="b">
        <f>IF(AND(I2331="TN",S2331&lt;=2800),VLOOKUP(AF2331,TNCalibEq2500!$AZ$2:$BB$56,3,),IF(AND(I2331="TDN",S2331&lt;=2800),VLOOKUP(AF2331,TNCalibEq2500!$AZ$2:$BB$56,3,)))</f>
        <v>0</v>
      </c>
      <c r="AU2331" s="10" t="b">
        <f>IF(I2331="TP",VLOOKUP(AF2331,TPCalibEqFull!$AZ$2:$BB$56,3),IF(I2331="TDP",VLOOKUP(AF2331,TPCalibEqFull!$AZ$2:$BB$56,3),IF(I2331="TDN",VLOOKUP(AF2331,TNCalibEqFull!$AZ$1:$BB$56,3),IF(I2331="TN",VLOOKUP(AF2331,TNCalibEqFull!$AZ$1:$BB$56,3),FALSE))))</f>
        <v>0</v>
      </c>
      <c r="AV2331" s="10" t="str">
        <f t="shared" si="268"/>
        <v>0208 09:35:20-EFL-0-FIL-1-SW-UKN</v>
      </c>
    </row>
    <row r="2332" spans="1:48" s="10" customFormat="1" x14ac:dyDescent="0.55000000000000004">
      <c r="A2332" s="32">
        <v>44965</v>
      </c>
      <c r="B2332" s="33">
        <v>0.40185185185185185</v>
      </c>
      <c r="C2332" s="10" t="s">
        <v>287</v>
      </c>
      <c r="D2332" s="10">
        <v>5</v>
      </c>
      <c r="E2332" s="10" t="s">
        <v>911</v>
      </c>
      <c r="F2332" s="10">
        <v>1</v>
      </c>
      <c r="G2332" s="10" t="s">
        <v>231</v>
      </c>
      <c r="H2332" s="10" t="s">
        <v>322</v>
      </c>
      <c r="I2332" s="10" t="s">
        <v>167</v>
      </c>
      <c r="J2332" s="10">
        <v>104</v>
      </c>
      <c r="K2332" s="12">
        <v>44966</v>
      </c>
      <c r="L2332" s="33">
        <v>0.58723379629629624</v>
      </c>
      <c r="M2332" s="10">
        <v>1</v>
      </c>
      <c r="N2332" s="10" t="s">
        <v>211</v>
      </c>
      <c r="O2332" s="10">
        <v>0.56200000000000006</v>
      </c>
      <c r="P2332" s="10">
        <v>5.1400000000000001E-2</v>
      </c>
      <c r="Q2332" s="10">
        <v>96.7</v>
      </c>
      <c r="R2332" s="10" t="s">
        <v>913</v>
      </c>
      <c r="S2332" s="34">
        <f t="shared" si="263"/>
        <v>96.7</v>
      </c>
      <c r="T2332" s="10" t="s">
        <v>1166</v>
      </c>
      <c r="U2332" s="34" t="str">
        <f t="shared" si="266"/>
        <v/>
      </c>
      <c r="V2332" s="31" t="str">
        <f>IF(H2332="CHK",VLOOKUP(I2332,QCCHK,3,),IF(H2332="GUP",VLOOKUP(E2332,QCGUP,2,),IF(AND(H2332="ATP",OR(I2332="TN",I2332="TDN",I2332="TNO2-3",I2332="NO2-3")),VLOOKUP(E2332,QCREC_N,2,),IF(AND(H2332="NIC",OR(I2332="TN",I2332="TDN",I2332="TNO2-3",I2332="NO2-3")),VLOOKUP(E2332,QCNIC_N,2,),IF(AND(H2332="UREA",OR(I2332="TN",I2332="TDN",I2332="TNO2-3",I2332="NO2-3")),VLOOKUP(E2332,QCUREA_N,2,),IF(H2332="PER",VLOOKUP(I2332,QCPER,MATCH(E2332,QCACTUAL!$J$25:$AA$25,0),),IF(H2332="SPK",VLOOKUP(I2332,QCSPK,3,),IF(AND(H2332="ATP",OR(I2332="TP",I2332="TDP")),VLOOKUP(E2332,QCATP_P,2,),""))))))))</f>
        <v/>
      </c>
      <c r="W2332" s="31" t="str">
        <f t="shared" si="267"/>
        <v>TRUE</v>
      </c>
      <c r="X2332" s="31" t="str">
        <f t="shared" si="262"/>
        <v/>
      </c>
      <c r="Y2332" s="10" t="s">
        <v>1144</v>
      </c>
      <c r="AL2332" s="10" t="str">
        <f t="shared" si="264"/>
        <v>FALSE</v>
      </c>
      <c r="AM2332" s="10" t="str">
        <f t="shared" si="264"/>
        <v>FALSE</v>
      </c>
      <c r="AN2332" s="10" t="str">
        <f t="shared" si="264"/>
        <v>FALSE</v>
      </c>
      <c r="AO2332" s="10" t="str">
        <f t="shared" si="265"/>
        <v>FALSE</v>
      </c>
      <c r="AP2332" s="10" t="str">
        <f t="shared" si="265"/>
        <v>FALSE</v>
      </c>
      <c r="AQ2332" s="10" t="b">
        <f>IF(AND(I2332="TP",S2332&lt;=150),VLOOKUP(AF2332,TPCalibEq150!$AZ$2:$BB$55,3,),IF(AND(I2332="TDP",S2332&lt;=150),VLOOKUP(AF2332,TPCalibEq150!$AZ$2:$BB$55,3,)))</f>
        <v>0</v>
      </c>
      <c r="AR2332" s="10" t="b">
        <f>IF(AND(I2332="TP",S2332&lt;=300),VLOOKUP(AF2332,TPCalibEq300!$AZ$2:$BB$55,3,),IF(AND(I2332="TDP",S2332&lt;=300),VLOOKUP(AF2332,TPCalibEq300!$AZ$2:$BB$55,3,)))</f>
        <v>0</v>
      </c>
      <c r="AS2332" s="10" t="b">
        <f>IF(AND(I2332="TP",S2332&lt;=500),VLOOKUP(AF2332,TPCalibEq500!$AZ$2:$BB$56,3,),IF(AND(I2332="TDP",S2332&lt;=500),VLOOKUP(AF2332,TPCalibEq500!$AZ$2:$BB$56,3,)))</f>
        <v>0</v>
      </c>
      <c r="AT2332" s="10" t="b">
        <f>IF(AND(I2332="TN",S2332&lt;=2800),VLOOKUP(AF2332,TNCalibEq2500!$AZ$2:$BB$56,3,),IF(AND(I2332="TDN",S2332&lt;=2800),VLOOKUP(AF2332,TNCalibEq2500!$AZ$2:$BB$56,3,)))</f>
        <v>0</v>
      </c>
      <c r="AU2332" s="10" t="b">
        <f>IF(I2332="TP",VLOOKUP(AF2332,TPCalibEqFull!$AZ$2:$BB$56,3),IF(I2332="TDP",VLOOKUP(AF2332,TPCalibEqFull!$AZ$2:$BB$56,3),IF(I2332="TDN",VLOOKUP(AF2332,TNCalibEqFull!$AZ$1:$BB$56,3),IF(I2332="TN",VLOOKUP(AF2332,TNCalibEqFull!$AZ$1:$BB$56,3),FALSE))))</f>
        <v>0</v>
      </c>
      <c r="AV2332" s="10" t="str">
        <f t="shared" si="268"/>
        <v>0208 09:38:40-EFL-5-FIL-1-SW-UKN</v>
      </c>
    </row>
    <row r="2333" spans="1:48" s="10" customFormat="1" x14ac:dyDescent="0.55000000000000004">
      <c r="A2333" s="32">
        <v>44965</v>
      </c>
      <c r="B2333" s="33">
        <v>0.40416666666666662</v>
      </c>
      <c r="C2333" s="10" t="s">
        <v>287</v>
      </c>
      <c r="D2333" s="10">
        <v>10</v>
      </c>
      <c r="E2333" s="10" t="s">
        <v>911</v>
      </c>
      <c r="F2333" s="10">
        <v>1</v>
      </c>
      <c r="G2333" s="10" t="s">
        <v>231</v>
      </c>
      <c r="H2333" s="10" t="s">
        <v>322</v>
      </c>
      <c r="I2333" s="10" t="s">
        <v>167</v>
      </c>
      <c r="J2333" s="10">
        <v>105</v>
      </c>
      <c r="K2333" s="12">
        <v>44966</v>
      </c>
      <c r="L2333" s="33">
        <v>0.58804398148148151</v>
      </c>
      <c r="M2333" s="10">
        <v>1</v>
      </c>
      <c r="N2333" s="10" t="s">
        <v>211</v>
      </c>
      <c r="O2333" s="10">
        <v>0.53600000000000003</v>
      </c>
      <c r="P2333" s="10">
        <v>4.9500000000000002E-2</v>
      </c>
      <c r="Q2333" s="10">
        <v>92.3</v>
      </c>
      <c r="R2333" s="10" t="s">
        <v>913</v>
      </c>
      <c r="S2333" s="34">
        <f t="shared" si="263"/>
        <v>92.3</v>
      </c>
      <c r="T2333" s="10" t="s">
        <v>1166</v>
      </c>
      <c r="U2333" s="34" t="str">
        <f t="shared" si="266"/>
        <v/>
      </c>
      <c r="V2333" s="31" t="str">
        <f>IF(H2333="CHK",VLOOKUP(I2333,QCCHK,3,),IF(H2333="GUP",VLOOKUP(E2333,QCGUP,2,),IF(AND(H2333="ATP",OR(I2333="TN",I2333="TDN",I2333="TNO2-3",I2333="NO2-3")),VLOOKUP(E2333,QCREC_N,2,),IF(AND(H2333="NIC",OR(I2333="TN",I2333="TDN",I2333="TNO2-3",I2333="NO2-3")),VLOOKUP(E2333,QCNIC_N,2,),IF(AND(H2333="UREA",OR(I2333="TN",I2333="TDN",I2333="TNO2-3",I2333="NO2-3")),VLOOKUP(E2333,QCUREA_N,2,),IF(H2333="PER",VLOOKUP(I2333,QCPER,MATCH(E2333,QCACTUAL!$J$25:$AA$25,0),),IF(H2333="SPK",VLOOKUP(I2333,QCSPK,3,),IF(AND(H2333="ATP",OR(I2333="TP",I2333="TDP")),VLOOKUP(E2333,QCATP_P,2,),""))))))))</f>
        <v/>
      </c>
      <c r="W2333" s="31" t="str">
        <f t="shared" si="267"/>
        <v>TRUE</v>
      </c>
      <c r="X2333" s="31" t="str">
        <f t="shared" si="262"/>
        <v/>
      </c>
      <c r="Y2333" s="10" t="s">
        <v>1144</v>
      </c>
      <c r="AL2333" s="10" t="str">
        <f t="shared" si="264"/>
        <v>FALSE</v>
      </c>
      <c r="AM2333" s="10" t="str">
        <f t="shared" si="264"/>
        <v>FALSE</v>
      </c>
      <c r="AN2333" s="10" t="str">
        <f t="shared" si="264"/>
        <v>FALSE</v>
      </c>
      <c r="AO2333" s="10" t="str">
        <f t="shared" si="265"/>
        <v>FALSE</v>
      </c>
      <c r="AP2333" s="10" t="str">
        <f t="shared" si="265"/>
        <v>FALSE</v>
      </c>
      <c r="AQ2333" s="10" t="b">
        <f>IF(AND(I2333="TP",S2333&lt;=150),VLOOKUP(AF2333,TPCalibEq150!$AZ$2:$BB$55,3,),IF(AND(I2333="TDP",S2333&lt;=150),VLOOKUP(AF2333,TPCalibEq150!$AZ$2:$BB$55,3,)))</f>
        <v>0</v>
      </c>
      <c r="AR2333" s="10" t="b">
        <f>IF(AND(I2333="TP",S2333&lt;=300),VLOOKUP(AF2333,TPCalibEq300!$AZ$2:$BB$55,3,),IF(AND(I2333="TDP",S2333&lt;=300),VLOOKUP(AF2333,TPCalibEq300!$AZ$2:$BB$55,3,)))</f>
        <v>0</v>
      </c>
      <c r="AS2333" s="10" t="b">
        <f>IF(AND(I2333="TP",S2333&lt;=500),VLOOKUP(AF2333,TPCalibEq500!$AZ$2:$BB$56,3,),IF(AND(I2333="TDP",S2333&lt;=500),VLOOKUP(AF2333,TPCalibEq500!$AZ$2:$BB$56,3,)))</f>
        <v>0</v>
      </c>
      <c r="AT2333" s="10" t="b">
        <f>IF(AND(I2333="TN",S2333&lt;=2800),VLOOKUP(AF2333,TNCalibEq2500!$AZ$2:$BB$56,3,),IF(AND(I2333="TDN",S2333&lt;=2800),VLOOKUP(AF2333,TNCalibEq2500!$AZ$2:$BB$56,3,)))</f>
        <v>0</v>
      </c>
      <c r="AU2333" s="10" t="b">
        <f>IF(I2333="TP",VLOOKUP(AF2333,TPCalibEqFull!$AZ$2:$BB$56,3),IF(I2333="TDP",VLOOKUP(AF2333,TPCalibEqFull!$AZ$2:$BB$56,3),IF(I2333="TDN",VLOOKUP(AF2333,TNCalibEqFull!$AZ$1:$BB$56,3),IF(I2333="TN",VLOOKUP(AF2333,TNCalibEqFull!$AZ$1:$BB$56,3),FALSE))))</f>
        <v>0</v>
      </c>
      <c r="AV2333" s="10" t="str">
        <f t="shared" si="268"/>
        <v>0208 09:42:00-EFL-10-FIL-1-SW-UKN</v>
      </c>
    </row>
    <row r="2334" spans="1:48" s="10" customFormat="1" x14ac:dyDescent="0.55000000000000004">
      <c r="A2334" s="32">
        <v>44965</v>
      </c>
      <c r="B2334" s="33">
        <v>0.4069444444444445</v>
      </c>
      <c r="C2334" s="10" t="s">
        <v>287</v>
      </c>
      <c r="D2334" s="10">
        <v>20</v>
      </c>
      <c r="E2334" s="10" t="s">
        <v>911</v>
      </c>
      <c r="F2334" s="10">
        <v>1</v>
      </c>
      <c r="G2334" s="10" t="s">
        <v>231</v>
      </c>
      <c r="H2334" s="10" t="s">
        <v>322</v>
      </c>
      <c r="I2334" s="10" t="s">
        <v>167</v>
      </c>
      <c r="J2334" s="10">
        <v>106</v>
      </c>
      <c r="K2334" s="12">
        <v>44966</v>
      </c>
      <c r="L2334" s="33">
        <v>0.58886574074074072</v>
      </c>
      <c r="M2334" s="10">
        <v>1</v>
      </c>
      <c r="N2334" s="10" t="s">
        <v>211</v>
      </c>
      <c r="O2334" s="10">
        <v>0.55400000000000005</v>
      </c>
      <c r="P2334" s="10">
        <v>5.0900000000000001E-2</v>
      </c>
      <c r="Q2334" s="10">
        <v>95.4</v>
      </c>
      <c r="R2334" s="10" t="s">
        <v>913</v>
      </c>
      <c r="S2334" s="34">
        <f t="shared" si="263"/>
        <v>95.4</v>
      </c>
      <c r="T2334" s="10" t="s">
        <v>1166</v>
      </c>
      <c r="U2334" s="34" t="str">
        <f t="shared" si="266"/>
        <v/>
      </c>
      <c r="V2334" s="31" t="str">
        <f>IF(H2334="CHK",VLOOKUP(I2334,QCCHK,3,),IF(H2334="GUP",VLOOKUP(E2334,QCGUP,2,),IF(AND(H2334="ATP",OR(I2334="TN",I2334="TDN",I2334="TNO2-3",I2334="NO2-3")),VLOOKUP(E2334,QCREC_N,2,),IF(AND(H2334="NIC",OR(I2334="TN",I2334="TDN",I2334="TNO2-3",I2334="NO2-3")),VLOOKUP(E2334,QCNIC_N,2,),IF(AND(H2334="UREA",OR(I2334="TN",I2334="TDN",I2334="TNO2-3",I2334="NO2-3")),VLOOKUP(E2334,QCUREA_N,2,),IF(H2334="PER",VLOOKUP(I2334,QCPER,MATCH(E2334,QCACTUAL!$J$25:$AA$25,0),),IF(H2334="SPK",VLOOKUP(I2334,QCSPK,3,),IF(AND(H2334="ATP",OR(I2334="TP",I2334="TDP")),VLOOKUP(E2334,QCATP_P,2,),""))))))))</f>
        <v/>
      </c>
      <c r="W2334" s="31" t="str">
        <f t="shared" si="267"/>
        <v>TRUE</v>
      </c>
      <c r="X2334" s="31" t="str">
        <f t="shared" si="262"/>
        <v/>
      </c>
      <c r="Y2334" s="10" t="s">
        <v>1144</v>
      </c>
      <c r="AL2334" s="10" t="str">
        <f t="shared" si="264"/>
        <v>FALSE</v>
      </c>
      <c r="AM2334" s="10" t="str">
        <f t="shared" si="264"/>
        <v>FALSE</v>
      </c>
      <c r="AN2334" s="10" t="str">
        <f t="shared" si="264"/>
        <v>FALSE</v>
      </c>
      <c r="AO2334" s="10" t="str">
        <f t="shared" si="265"/>
        <v>FALSE</v>
      </c>
      <c r="AP2334" s="10" t="str">
        <f t="shared" si="265"/>
        <v>FALSE</v>
      </c>
      <c r="AQ2334" s="10" t="b">
        <f>IF(AND(I2334="TP",S2334&lt;=150),VLOOKUP(AF2334,TPCalibEq150!$AZ$2:$BB$55,3,),IF(AND(I2334="TDP",S2334&lt;=150),VLOOKUP(AF2334,TPCalibEq150!$AZ$2:$BB$55,3,)))</f>
        <v>0</v>
      </c>
      <c r="AR2334" s="10" t="b">
        <f>IF(AND(I2334="TP",S2334&lt;=300),VLOOKUP(AF2334,TPCalibEq300!$AZ$2:$BB$55,3,),IF(AND(I2334="TDP",S2334&lt;=300),VLOOKUP(AF2334,TPCalibEq300!$AZ$2:$BB$55,3,)))</f>
        <v>0</v>
      </c>
      <c r="AS2334" s="10" t="b">
        <f>IF(AND(I2334="TP",S2334&lt;=500),VLOOKUP(AF2334,TPCalibEq500!$AZ$2:$BB$56,3,),IF(AND(I2334="TDP",S2334&lt;=500),VLOOKUP(AF2334,TPCalibEq500!$AZ$2:$BB$56,3,)))</f>
        <v>0</v>
      </c>
      <c r="AT2334" s="10" t="b">
        <f>IF(AND(I2334="TN",S2334&lt;=2800),VLOOKUP(AF2334,TNCalibEq2500!$AZ$2:$BB$56,3,),IF(AND(I2334="TDN",S2334&lt;=2800),VLOOKUP(AF2334,TNCalibEq2500!$AZ$2:$BB$56,3,)))</f>
        <v>0</v>
      </c>
      <c r="AU2334" s="10" t="b">
        <f>IF(I2334="TP",VLOOKUP(AF2334,TPCalibEqFull!$AZ$2:$BB$56,3),IF(I2334="TDP",VLOOKUP(AF2334,TPCalibEqFull!$AZ$2:$BB$56,3),IF(I2334="TDN",VLOOKUP(AF2334,TNCalibEqFull!$AZ$1:$BB$56,3),IF(I2334="TN",VLOOKUP(AF2334,TNCalibEqFull!$AZ$1:$BB$56,3),FALSE))))</f>
        <v>0</v>
      </c>
      <c r="AV2334" s="10" t="str">
        <f t="shared" si="268"/>
        <v>0208 09:46:00-EFL-20-FIL-1-SW-UKN</v>
      </c>
    </row>
    <row r="2335" spans="1:48" s="10" customFormat="1" x14ac:dyDescent="0.55000000000000004">
      <c r="A2335" s="32">
        <v>44965</v>
      </c>
      <c r="B2335" s="33">
        <v>0.4069444444444445</v>
      </c>
      <c r="C2335" s="10" t="s">
        <v>287</v>
      </c>
      <c r="D2335" s="10">
        <v>20</v>
      </c>
      <c r="E2335" s="10" t="s">
        <v>911</v>
      </c>
      <c r="F2335" s="10">
        <v>2</v>
      </c>
      <c r="G2335" s="10" t="s">
        <v>231</v>
      </c>
      <c r="H2335" s="10" t="s">
        <v>322</v>
      </c>
      <c r="I2335" s="10" t="s">
        <v>167</v>
      </c>
      <c r="J2335" s="10">
        <v>107</v>
      </c>
      <c r="K2335" s="12">
        <v>44966</v>
      </c>
      <c r="L2335" s="33">
        <v>0.58968750000000003</v>
      </c>
      <c r="M2335" s="10">
        <v>1</v>
      </c>
      <c r="N2335" s="10" t="s">
        <v>211</v>
      </c>
      <c r="O2335" s="10">
        <v>0.55000000000000004</v>
      </c>
      <c r="P2335" s="10">
        <v>5.0500000000000003E-2</v>
      </c>
      <c r="Q2335" s="10">
        <v>94.7</v>
      </c>
      <c r="R2335" s="10" t="s">
        <v>913</v>
      </c>
      <c r="S2335" s="34">
        <f t="shared" si="263"/>
        <v>94.7</v>
      </c>
      <c r="T2335" s="10" t="s">
        <v>1166</v>
      </c>
      <c r="U2335" s="34" t="str">
        <f t="shared" si="266"/>
        <v/>
      </c>
      <c r="V2335" s="31" t="str">
        <f>IF(H2335="CHK",VLOOKUP(I2335,QCCHK,3,),IF(H2335="GUP",VLOOKUP(E2335,QCGUP,2,),IF(AND(H2335="ATP",OR(I2335="TN",I2335="TDN",I2335="TNO2-3",I2335="NO2-3")),VLOOKUP(E2335,QCREC_N,2,),IF(AND(H2335="NIC",OR(I2335="TN",I2335="TDN",I2335="TNO2-3",I2335="NO2-3")),VLOOKUP(E2335,QCNIC_N,2,),IF(AND(H2335="UREA",OR(I2335="TN",I2335="TDN",I2335="TNO2-3",I2335="NO2-3")),VLOOKUP(E2335,QCUREA_N,2,),IF(H2335="PER",VLOOKUP(I2335,QCPER,MATCH(E2335,QCACTUAL!$J$25:$AA$25,0),),IF(H2335="SPK",VLOOKUP(I2335,QCSPK,3,),IF(AND(H2335="ATP",OR(I2335="TP",I2335="TDP")),VLOOKUP(E2335,QCATP_P,2,),""))))))))</f>
        <v/>
      </c>
      <c r="W2335" s="31" t="str">
        <f t="shared" si="267"/>
        <v>TRUE</v>
      </c>
      <c r="X2335" s="31" t="str">
        <f t="shared" si="262"/>
        <v/>
      </c>
      <c r="Y2335" s="10" t="s">
        <v>1144</v>
      </c>
      <c r="AL2335" s="10" t="str">
        <f t="shared" si="264"/>
        <v>FALSE</v>
      </c>
      <c r="AM2335" s="10" t="str">
        <f t="shared" si="264"/>
        <v>FALSE</v>
      </c>
      <c r="AN2335" s="10" t="str">
        <f t="shared" si="264"/>
        <v>FALSE</v>
      </c>
      <c r="AO2335" s="10" t="str">
        <f t="shared" si="265"/>
        <v>FALSE</v>
      </c>
      <c r="AP2335" s="10" t="str">
        <f t="shared" si="265"/>
        <v>FALSE</v>
      </c>
      <c r="AQ2335" s="10" t="b">
        <f>IF(AND(I2335="TP",S2335&lt;=150),VLOOKUP(AF2335,TPCalibEq150!$AZ$2:$BB$55,3,),IF(AND(I2335="TDP",S2335&lt;=150),VLOOKUP(AF2335,TPCalibEq150!$AZ$2:$BB$55,3,)))</f>
        <v>0</v>
      </c>
      <c r="AR2335" s="10" t="b">
        <f>IF(AND(I2335="TP",S2335&lt;=300),VLOOKUP(AF2335,TPCalibEq300!$AZ$2:$BB$55,3,),IF(AND(I2335="TDP",S2335&lt;=300),VLOOKUP(AF2335,TPCalibEq300!$AZ$2:$BB$55,3,)))</f>
        <v>0</v>
      </c>
      <c r="AS2335" s="10" t="b">
        <f>IF(AND(I2335="TP",S2335&lt;=500),VLOOKUP(AF2335,TPCalibEq500!$AZ$2:$BB$56,3,),IF(AND(I2335="TDP",S2335&lt;=500),VLOOKUP(AF2335,TPCalibEq500!$AZ$2:$BB$56,3,)))</f>
        <v>0</v>
      </c>
      <c r="AT2335" s="10" t="b">
        <f>IF(AND(I2335="TN",S2335&lt;=2800),VLOOKUP(AF2335,TNCalibEq2500!$AZ$2:$BB$56,3,),IF(AND(I2335="TDN",S2335&lt;=2800),VLOOKUP(AF2335,TNCalibEq2500!$AZ$2:$BB$56,3,)))</f>
        <v>0</v>
      </c>
      <c r="AU2335" s="10" t="b">
        <f>IF(I2335="TP",VLOOKUP(AF2335,TPCalibEqFull!$AZ$2:$BB$56,3),IF(I2335="TDP",VLOOKUP(AF2335,TPCalibEqFull!$AZ$2:$BB$56,3),IF(I2335="TDN",VLOOKUP(AF2335,TNCalibEqFull!$AZ$1:$BB$56,3),IF(I2335="TN",VLOOKUP(AF2335,TNCalibEqFull!$AZ$1:$BB$56,3),FALSE))))</f>
        <v>0</v>
      </c>
      <c r="AV2335" s="10" t="str">
        <f t="shared" si="268"/>
        <v>0208 09:46:00-EFL-20-FIL-2-SW-UKN</v>
      </c>
    </row>
    <row r="2336" spans="1:48" s="10" customFormat="1" x14ac:dyDescent="0.55000000000000004">
      <c r="A2336" s="32">
        <v>44965</v>
      </c>
      <c r="B2336" s="33">
        <v>0.41111111111111115</v>
      </c>
      <c r="C2336" s="10" t="s">
        <v>287</v>
      </c>
      <c r="D2336" s="10">
        <v>48</v>
      </c>
      <c r="E2336" s="10" t="s">
        <v>911</v>
      </c>
      <c r="F2336" s="10">
        <v>1</v>
      </c>
      <c r="G2336" s="10" t="s">
        <v>231</v>
      </c>
      <c r="H2336" s="10" t="s">
        <v>322</v>
      </c>
      <c r="I2336" s="10" t="s">
        <v>167</v>
      </c>
      <c r="J2336" s="10">
        <v>108</v>
      </c>
      <c r="K2336" s="12">
        <v>44966</v>
      </c>
      <c r="L2336" s="33">
        <v>0.59052083333333327</v>
      </c>
      <c r="M2336" s="10">
        <v>1</v>
      </c>
      <c r="N2336" s="10" t="s">
        <v>211</v>
      </c>
      <c r="O2336" s="10">
        <v>0.54900000000000004</v>
      </c>
      <c r="P2336" s="10">
        <v>5.0299999999999997E-2</v>
      </c>
      <c r="Q2336" s="10">
        <v>94.6</v>
      </c>
      <c r="R2336" s="10" t="s">
        <v>913</v>
      </c>
      <c r="S2336" s="34">
        <f t="shared" si="263"/>
        <v>94.6</v>
      </c>
      <c r="T2336" s="10" t="s">
        <v>1166</v>
      </c>
      <c r="U2336" s="34" t="str">
        <f t="shared" si="266"/>
        <v/>
      </c>
      <c r="V2336" s="31" t="str">
        <f>IF(H2336="CHK",VLOOKUP(I2336,QCCHK,3,),IF(H2336="GUP",VLOOKUP(E2336,QCGUP,2,),IF(AND(H2336="ATP",OR(I2336="TN",I2336="TDN",I2336="TNO2-3",I2336="NO2-3")),VLOOKUP(E2336,QCREC_N,2,),IF(AND(H2336="NIC",OR(I2336="TN",I2336="TDN",I2336="TNO2-3",I2336="NO2-3")),VLOOKUP(E2336,QCNIC_N,2,),IF(AND(H2336="UREA",OR(I2336="TN",I2336="TDN",I2336="TNO2-3",I2336="NO2-3")),VLOOKUP(E2336,QCUREA_N,2,),IF(H2336="PER",VLOOKUP(I2336,QCPER,MATCH(E2336,QCACTUAL!$J$25:$AA$25,0),),IF(H2336="SPK",VLOOKUP(I2336,QCSPK,3,),IF(AND(H2336="ATP",OR(I2336="TP",I2336="TDP")),VLOOKUP(E2336,QCATP_P,2,),""))))))))</f>
        <v/>
      </c>
      <c r="W2336" s="31" t="str">
        <f t="shared" si="267"/>
        <v>TRUE</v>
      </c>
      <c r="X2336" s="31" t="str">
        <f t="shared" si="262"/>
        <v/>
      </c>
      <c r="Y2336" s="10" t="s">
        <v>1144</v>
      </c>
      <c r="AL2336" s="10" t="str">
        <f t="shared" si="264"/>
        <v>FALSE</v>
      </c>
      <c r="AM2336" s="10" t="str">
        <f t="shared" si="264"/>
        <v>FALSE</v>
      </c>
      <c r="AN2336" s="10" t="str">
        <f t="shared" si="264"/>
        <v>FALSE</v>
      </c>
      <c r="AO2336" s="10" t="str">
        <f t="shared" si="265"/>
        <v>FALSE</v>
      </c>
      <c r="AP2336" s="10" t="str">
        <f t="shared" si="265"/>
        <v>FALSE</v>
      </c>
      <c r="AQ2336" s="10" t="b">
        <f>IF(AND(I2336="TP",S2336&lt;=150),VLOOKUP(AF2336,TPCalibEq150!$AZ$2:$BB$55,3,),IF(AND(I2336="TDP",S2336&lt;=150),VLOOKUP(AF2336,TPCalibEq150!$AZ$2:$BB$55,3,)))</f>
        <v>0</v>
      </c>
      <c r="AR2336" s="10" t="b">
        <f>IF(AND(I2336="TP",S2336&lt;=300),VLOOKUP(AF2336,TPCalibEq300!$AZ$2:$BB$55,3,),IF(AND(I2336="TDP",S2336&lt;=300),VLOOKUP(AF2336,TPCalibEq300!$AZ$2:$BB$55,3,)))</f>
        <v>0</v>
      </c>
      <c r="AS2336" s="10" t="b">
        <f>IF(AND(I2336="TP",S2336&lt;=500),VLOOKUP(AF2336,TPCalibEq500!$AZ$2:$BB$56,3,),IF(AND(I2336="TDP",S2336&lt;=500),VLOOKUP(AF2336,TPCalibEq500!$AZ$2:$BB$56,3,)))</f>
        <v>0</v>
      </c>
      <c r="AT2336" s="10" t="b">
        <f>IF(AND(I2336="TN",S2336&lt;=2800),VLOOKUP(AF2336,TNCalibEq2500!$AZ$2:$BB$56,3,),IF(AND(I2336="TDN",S2336&lt;=2800),VLOOKUP(AF2336,TNCalibEq2500!$AZ$2:$BB$56,3,)))</f>
        <v>0</v>
      </c>
      <c r="AU2336" s="10" t="b">
        <f>IF(I2336="TP",VLOOKUP(AF2336,TPCalibEqFull!$AZ$2:$BB$56,3),IF(I2336="TDP",VLOOKUP(AF2336,TPCalibEqFull!$AZ$2:$BB$56,3),IF(I2336="TDN",VLOOKUP(AF2336,TNCalibEqFull!$AZ$1:$BB$56,3),IF(I2336="TN",VLOOKUP(AF2336,TNCalibEqFull!$AZ$1:$BB$56,3),FALSE))))</f>
        <v>0</v>
      </c>
      <c r="AV2336" s="10" t="str">
        <f t="shared" si="268"/>
        <v>0208 09:52:00-EFL-48-FIL-1-SW-UKN</v>
      </c>
    </row>
    <row r="2337" spans="1:48" s="10" customFormat="1" x14ac:dyDescent="0.55000000000000004">
      <c r="A2337" s="32">
        <v>44965</v>
      </c>
      <c r="B2337" s="33">
        <v>0.41111111111111115</v>
      </c>
      <c r="C2337" s="10" t="s">
        <v>287</v>
      </c>
      <c r="D2337" s="10">
        <v>48</v>
      </c>
      <c r="E2337" s="10" t="s">
        <v>911</v>
      </c>
      <c r="F2337" s="10">
        <v>1</v>
      </c>
      <c r="G2337" s="10" t="s">
        <v>231</v>
      </c>
      <c r="H2337" s="10" t="s">
        <v>233</v>
      </c>
      <c r="I2337" s="10" t="s">
        <v>167</v>
      </c>
      <c r="J2337" s="10">
        <v>108</v>
      </c>
      <c r="K2337" s="12">
        <v>44966</v>
      </c>
      <c r="L2337" s="33">
        <v>0.59134259259259259</v>
      </c>
      <c r="M2337" s="10">
        <v>1</v>
      </c>
      <c r="N2337" s="10" t="s">
        <v>211</v>
      </c>
      <c r="O2337" s="10">
        <v>0.54800000000000004</v>
      </c>
      <c r="P2337" s="10">
        <v>4.99E-2</v>
      </c>
      <c r="Q2337" s="10">
        <v>94.3</v>
      </c>
      <c r="R2337" s="10" t="s">
        <v>913</v>
      </c>
      <c r="S2337" s="34">
        <f t="shared" si="263"/>
        <v>94.3</v>
      </c>
      <c r="T2337" s="10" t="s">
        <v>1166</v>
      </c>
      <c r="U2337" s="34">
        <f t="shared" si="266"/>
        <v>0.31762837480147932</v>
      </c>
      <c r="V2337" s="31" t="str">
        <f>IF(H2337="CHK",VLOOKUP(I2337,QCCHK,3,),IF(H2337="GUP",VLOOKUP(E2337,QCGUP,2,),IF(AND(H2337="ATP",OR(I2337="TN",I2337="TDN",I2337="TNO2-3",I2337="NO2-3")),VLOOKUP(E2337,QCREC_N,2,),IF(AND(H2337="NIC",OR(I2337="TN",I2337="TDN",I2337="TNO2-3",I2337="NO2-3")),VLOOKUP(E2337,QCNIC_N,2,),IF(AND(H2337="UREA",OR(I2337="TN",I2337="TDN",I2337="TNO2-3",I2337="NO2-3")),VLOOKUP(E2337,QCUREA_N,2,),IF(H2337="PER",VLOOKUP(I2337,QCPER,MATCH(E2337,QCACTUAL!$J$25:$AA$25,0),),IF(H2337="SPK",VLOOKUP(I2337,QCSPK,3,),IF(AND(H2337="ATP",OR(I2337="TP",I2337="TDP")),VLOOKUP(E2337,QCATP_P,2,),""))))))))</f>
        <v/>
      </c>
      <c r="W2337" s="31" t="str">
        <f t="shared" si="267"/>
        <v>TRUE</v>
      </c>
      <c r="X2337" s="31" t="str">
        <f t="shared" si="262"/>
        <v>((ABS(rep1-rep2))/((rep1+rep2)/2)*100</v>
      </c>
      <c r="Y2337" s="10" t="s">
        <v>1144</v>
      </c>
      <c r="AL2337" s="10" t="str">
        <f t="shared" si="264"/>
        <v>FALSE</v>
      </c>
      <c r="AM2337" s="10" t="str">
        <f t="shared" si="264"/>
        <v>FALSE</v>
      </c>
      <c r="AN2337" s="10" t="str">
        <f t="shared" si="264"/>
        <v>FALSE</v>
      </c>
      <c r="AO2337" s="10" t="str">
        <f t="shared" si="265"/>
        <v>FALSE</v>
      </c>
      <c r="AP2337" s="10" t="str">
        <f t="shared" si="265"/>
        <v>FALSE</v>
      </c>
      <c r="AQ2337" s="10" t="b">
        <f>IF(AND(I2337="TP",S2337&lt;=150),VLOOKUP(AF2337,TPCalibEq150!$AZ$2:$BB$55,3,),IF(AND(I2337="TDP",S2337&lt;=150),VLOOKUP(AF2337,TPCalibEq150!$AZ$2:$BB$55,3,)))</f>
        <v>0</v>
      </c>
      <c r="AR2337" s="10" t="b">
        <f>IF(AND(I2337="TP",S2337&lt;=300),VLOOKUP(AF2337,TPCalibEq300!$AZ$2:$BB$55,3,),IF(AND(I2337="TDP",S2337&lt;=300),VLOOKUP(AF2337,TPCalibEq300!$AZ$2:$BB$55,3,)))</f>
        <v>0</v>
      </c>
      <c r="AS2337" s="10" t="b">
        <f>IF(AND(I2337="TP",S2337&lt;=500),VLOOKUP(AF2337,TPCalibEq500!$AZ$2:$BB$56,3,),IF(AND(I2337="TDP",S2337&lt;=500),VLOOKUP(AF2337,TPCalibEq500!$AZ$2:$BB$56,3,)))</f>
        <v>0</v>
      </c>
      <c r="AT2337" s="10" t="b">
        <f>IF(AND(I2337="TN",S2337&lt;=2800),VLOOKUP(AF2337,TNCalibEq2500!$AZ$2:$BB$56,3,),IF(AND(I2337="TDN",S2337&lt;=2800),VLOOKUP(AF2337,TNCalibEq2500!$AZ$2:$BB$56,3,)))</f>
        <v>0</v>
      </c>
      <c r="AU2337" s="10" t="b">
        <f>IF(I2337="TP",VLOOKUP(AF2337,TPCalibEqFull!$AZ$2:$BB$56,3),IF(I2337="TDP",VLOOKUP(AF2337,TPCalibEqFull!$AZ$2:$BB$56,3),IF(I2337="TDN",VLOOKUP(AF2337,TNCalibEqFull!$AZ$1:$BB$56,3),IF(I2337="TN",VLOOKUP(AF2337,TNCalibEqFull!$AZ$1:$BB$56,3),FALSE))))</f>
        <v>0</v>
      </c>
      <c r="AV2337" s="10" t="str">
        <f t="shared" si="268"/>
        <v>0208 09:52:00-EFL-48-FIL-1-SW-DUP</v>
      </c>
    </row>
    <row r="2338" spans="1:48" s="10" customFormat="1" x14ac:dyDescent="0.55000000000000004">
      <c r="A2338" s="32">
        <v>44965</v>
      </c>
      <c r="B2338" s="33">
        <v>0.41111111111111115</v>
      </c>
      <c r="C2338" s="10" t="s">
        <v>287</v>
      </c>
      <c r="D2338" s="10">
        <v>48</v>
      </c>
      <c r="E2338" s="10" t="s">
        <v>911</v>
      </c>
      <c r="F2338" s="10">
        <v>1</v>
      </c>
      <c r="G2338" s="10" t="s">
        <v>231</v>
      </c>
      <c r="H2338" s="10" t="s">
        <v>314</v>
      </c>
      <c r="I2338" s="10" t="s">
        <v>167</v>
      </c>
      <c r="J2338" s="10">
        <v>131</v>
      </c>
      <c r="K2338" s="12">
        <v>44966</v>
      </c>
      <c r="L2338" s="33">
        <v>0.5921643518518519</v>
      </c>
      <c r="M2338" s="10">
        <v>1</v>
      </c>
      <c r="N2338" s="10" t="s">
        <v>211</v>
      </c>
      <c r="O2338" s="10">
        <v>1.52</v>
      </c>
      <c r="P2338" s="10">
        <v>0.14499999999999999</v>
      </c>
      <c r="Q2338" s="10">
        <v>263</v>
      </c>
      <c r="R2338" s="10" t="s">
        <v>913</v>
      </c>
      <c r="S2338" s="34">
        <f t="shared" si="263"/>
        <v>263</v>
      </c>
      <c r="T2338" s="10" t="s">
        <v>1166</v>
      </c>
      <c r="U2338" s="34">
        <f t="shared" si="266"/>
        <v>107.968</v>
      </c>
      <c r="V2338" s="31">
        <f>IF(H2338="CHK",VLOOKUP(I2338,QCCHK,3,),IF(H2338="GUP",VLOOKUP(E2338,QCGUP,2,),IF(AND(H2338="ATP",OR(I2338="TN",I2338="TDN",I2338="TNO2-3",I2338="NO2-3")),VLOOKUP(E2338,QCREC_N,2,),IF(AND(H2338="NIC",OR(I2338="TN",I2338="TDN",I2338="TNO2-3",I2338="NO2-3")),VLOOKUP(E2338,QCNIC_N,2,),IF(AND(H2338="UREA",OR(I2338="TN",I2338="TDN",I2338="TNO2-3",I2338="NO2-3")),VLOOKUP(E2338,QCUREA_N,2,),IF(H2338="PER",VLOOKUP(I2338,QCPER,MATCH(E2338,QCACTUAL!$J$25:$AA$25,0),),IF(H2338="SPK",VLOOKUP(I2338,QCSPK,3,),IF(AND(H2338="ATP",OR(I2338="TP",I2338="TDP")),VLOOKUP(E2338,QCATP_P,2,),""))))))))</f>
        <v>156.25</v>
      </c>
      <c r="W2338" s="31" t="str">
        <f t="shared" si="267"/>
        <v>TRUE</v>
      </c>
      <c r="X2338" s="31" t="str">
        <f t="shared" si="262"/>
        <v>([spikedunkn]-[unkn])/[spike]*100</v>
      </c>
      <c r="Y2338" s="10" t="s">
        <v>1144</v>
      </c>
      <c r="AL2338" s="10" t="str">
        <f t="shared" si="264"/>
        <v>FALSE</v>
      </c>
      <c r="AM2338" s="10" t="str">
        <f t="shared" si="264"/>
        <v>FALSE</v>
      </c>
      <c r="AN2338" s="10" t="str">
        <f t="shared" si="264"/>
        <v>FALSE</v>
      </c>
      <c r="AO2338" s="10" t="str">
        <f t="shared" si="265"/>
        <v>FALSE</v>
      </c>
      <c r="AP2338" s="10" t="str">
        <f t="shared" si="265"/>
        <v>FALSE</v>
      </c>
      <c r="AQ2338" s="10" t="b">
        <f>IF(AND(I2338="TP",S2338&lt;=150),VLOOKUP(AF2338,TPCalibEq150!$AZ$2:$BB$55,3,),IF(AND(I2338="TDP",S2338&lt;=150),VLOOKUP(AF2338,TPCalibEq150!$AZ$2:$BB$55,3,)))</f>
        <v>0</v>
      </c>
      <c r="AR2338" s="10" t="b">
        <f>IF(AND(I2338="TP",S2338&lt;=300),VLOOKUP(AF2338,TPCalibEq300!$AZ$2:$BB$55,3,),IF(AND(I2338="TDP",S2338&lt;=300),VLOOKUP(AF2338,TPCalibEq300!$AZ$2:$BB$55,3,)))</f>
        <v>0</v>
      </c>
      <c r="AS2338" s="10" t="b">
        <f>IF(AND(I2338="TP",S2338&lt;=500),VLOOKUP(AF2338,TPCalibEq500!$AZ$2:$BB$56,3,),IF(AND(I2338="TDP",S2338&lt;=500),VLOOKUP(AF2338,TPCalibEq500!$AZ$2:$BB$56,3,)))</f>
        <v>0</v>
      </c>
      <c r="AT2338" s="10" t="b">
        <f>IF(AND(I2338="TN",S2338&lt;=2800),VLOOKUP(AF2338,TNCalibEq2500!$AZ$2:$BB$56,3,),IF(AND(I2338="TDN",S2338&lt;=2800),VLOOKUP(AF2338,TNCalibEq2500!$AZ$2:$BB$56,3,)))</f>
        <v>0</v>
      </c>
      <c r="AU2338" s="10" t="b">
        <f>IF(I2338="TP",VLOOKUP(AF2338,TPCalibEqFull!$AZ$2:$BB$56,3),IF(I2338="TDP",VLOOKUP(AF2338,TPCalibEqFull!$AZ$2:$BB$56,3),IF(I2338="TDN",VLOOKUP(AF2338,TNCalibEqFull!$AZ$1:$BB$56,3),IF(I2338="TN",VLOOKUP(AF2338,TNCalibEqFull!$AZ$1:$BB$56,3),FALSE))))</f>
        <v>0</v>
      </c>
      <c r="AV2338" s="10" t="str">
        <f t="shared" si="268"/>
        <v>0208 09:52:00-EFL-48-FIL-1-SW-SPK</v>
      </c>
    </row>
    <row r="2339" spans="1:48" s="10" customFormat="1" x14ac:dyDescent="0.55000000000000004">
      <c r="A2339" s="32">
        <v>44966</v>
      </c>
      <c r="B2339" s="33">
        <v>0.375</v>
      </c>
      <c r="C2339" s="10" t="s">
        <v>70</v>
      </c>
      <c r="D2339" s="10" t="s">
        <v>71</v>
      </c>
      <c r="E2339" s="10" t="s">
        <v>901</v>
      </c>
      <c r="F2339" s="10">
        <v>1</v>
      </c>
      <c r="G2339" s="10" t="s">
        <v>73</v>
      </c>
      <c r="H2339" s="10" t="s">
        <v>207</v>
      </c>
      <c r="I2339" s="10" t="s">
        <v>285</v>
      </c>
      <c r="J2339" s="10">
        <v>199</v>
      </c>
      <c r="K2339" s="12">
        <v>44966</v>
      </c>
      <c r="L2339" s="33">
        <v>0.5929861111111111</v>
      </c>
      <c r="M2339" s="10">
        <v>1</v>
      </c>
      <c r="N2339" s="10" t="s">
        <v>211</v>
      </c>
      <c r="O2339" s="10">
        <v>0.433</v>
      </c>
      <c r="P2339" s="10">
        <v>4.0099999999999997E-2</v>
      </c>
      <c r="Q2339" s="10">
        <v>74.5</v>
      </c>
      <c r="R2339" s="10" t="s">
        <v>913</v>
      </c>
      <c r="S2339" s="34">
        <f t="shared" si="263"/>
        <v>74.5</v>
      </c>
      <c r="T2339" s="10" t="s">
        <v>1166</v>
      </c>
      <c r="U2339" s="34">
        <f t="shared" si="266"/>
        <v>99.333333333333329</v>
      </c>
      <c r="V2339" s="31">
        <f>IF(H2339="CHK",VLOOKUP(I2339,QCCHK,3,),IF(H2339="GUP",VLOOKUP(E2339,QCGUP,2,),IF(AND(H2339="ATP",OR(I2339="TN",I2339="TDN",I2339="TNO2-3",I2339="NO2-3")),VLOOKUP(E2339,QCREC_N,2,),IF(AND(H2339="NIC",OR(I2339="TN",I2339="TDN",I2339="TNO2-3",I2339="NO2-3")),VLOOKUP(E2339,QCNIC_N,2,),IF(AND(H2339="UREA",OR(I2339="TN",I2339="TDN",I2339="TNO2-3",I2339="NO2-3")),VLOOKUP(E2339,QCUREA_N,2,),IF(H2339="PER",VLOOKUP(I2339,QCPER,MATCH(E2339,QCACTUAL!$J$25:$AA$25,0),),IF(H2339="SPK",VLOOKUP(I2339,QCSPK,3,),IF(AND(H2339="ATP",OR(I2339="TP",I2339="TDP")),VLOOKUP(E2339,QCATP_P,2,),""))))))))</f>
        <v>75</v>
      </c>
      <c r="W2339" s="31" t="str">
        <f t="shared" si="267"/>
        <v>TRUE</v>
      </c>
      <c r="X2339" s="31" t="str">
        <f t="shared" si="262"/>
        <v>[chk]/[actual]*100</v>
      </c>
      <c r="Y2339" s="10" t="s">
        <v>1144</v>
      </c>
      <c r="AL2339" s="10" t="str">
        <f t="shared" si="264"/>
        <v>FALSE</v>
      </c>
      <c r="AM2339" s="10" t="str">
        <f t="shared" si="264"/>
        <v>FALSE</v>
      </c>
      <c r="AN2339" s="10" t="str">
        <f t="shared" si="264"/>
        <v>FALSE</v>
      </c>
      <c r="AO2339" s="10" t="str">
        <f t="shared" si="265"/>
        <v>FALSE</v>
      </c>
      <c r="AP2339" s="10" t="str">
        <f t="shared" si="265"/>
        <v>FALSE</v>
      </c>
      <c r="AQ2339" s="10" t="b">
        <f>IF(AND(I2339="TP",S2339&lt;=150),VLOOKUP(AF2339,TPCalibEq150!$AZ$2:$BB$55,3,),IF(AND(I2339="TDP",S2339&lt;=150),VLOOKUP(AF2339,TPCalibEq150!$AZ$2:$BB$55,3,)))</f>
        <v>0</v>
      </c>
      <c r="AR2339" s="10" t="b">
        <f>IF(AND(I2339="TP",S2339&lt;=300),VLOOKUP(AF2339,TPCalibEq300!$AZ$2:$BB$55,3,),IF(AND(I2339="TDP",S2339&lt;=300),VLOOKUP(AF2339,TPCalibEq300!$AZ$2:$BB$55,3,)))</f>
        <v>0</v>
      </c>
      <c r="AS2339" s="10" t="b">
        <f>IF(AND(I2339="TP",S2339&lt;=500),VLOOKUP(AF2339,TPCalibEq500!$AZ$2:$BB$56,3,),IF(AND(I2339="TDP",S2339&lt;=500),VLOOKUP(AF2339,TPCalibEq500!$AZ$2:$BB$56,3,)))</f>
        <v>0</v>
      </c>
      <c r="AT2339" s="10" t="b">
        <f>IF(AND(I2339="TN",S2339&lt;=2800),VLOOKUP(AF2339,TNCalibEq2500!$AZ$2:$BB$56,3,),IF(AND(I2339="TDN",S2339&lt;=2800),VLOOKUP(AF2339,TNCalibEq2500!$AZ$2:$BB$56,3,)))</f>
        <v>0</v>
      </c>
      <c r="AU2339" s="10" t="b">
        <f>IF(I2339="TP",VLOOKUP(AF2339,TPCalibEqFull!$AZ$2:$BB$56,3),IF(I2339="TDP",VLOOKUP(AF2339,TPCalibEqFull!$AZ$2:$BB$56,3),IF(I2339="TDN",VLOOKUP(AF2339,TNCalibEqFull!$AZ$1:$BB$56,3),IF(I2339="TN",VLOOKUP(AF2339,TNCalibEqFull!$AZ$1:$BB$56,3),FALSE))))</f>
        <v>0</v>
      </c>
      <c r="AV2339" s="10" t="str">
        <f t="shared" si="268"/>
        <v>0209 09:00:00-QAC-STD-D-1-DI-CHK</v>
      </c>
    </row>
    <row r="2340" spans="1:48" s="10" customFormat="1" x14ac:dyDescent="0.55000000000000004">
      <c r="A2340" s="32">
        <v>44965</v>
      </c>
      <c r="B2340" s="33">
        <v>0.37777777777777777</v>
      </c>
      <c r="C2340" s="10" t="s">
        <v>428</v>
      </c>
      <c r="D2340" s="10">
        <v>0</v>
      </c>
      <c r="E2340" s="10" t="s">
        <v>911</v>
      </c>
      <c r="F2340" s="10">
        <v>1</v>
      </c>
      <c r="G2340" s="10" t="s">
        <v>231</v>
      </c>
      <c r="H2340" s="10" t="s">
        <v>322</v>
      </c>
      <c r="I2340" s="10" t="s">
        <v>167</v>
      </c>
      <c r="J2340" s="10">
        <v>109</v>
      </c>
      <c r="K2340" s="12">
        <v>44966</v>
      </c>
      <c r="L2340" s="33">
        <v>0.59380787037037031</v>
      </c>
      <c r="M2340" s="10">
        <v>1</v>
      </c>
      <c r="N2340" s="10" t="s">
        <v>211</v>
      </c>
      <c r="O2340" s="10">
        <v>0.55800000000000005</v>
      </c>
      <c r="P2340" s="10">
        <v>5.1200000000000002E-2</v>
      </c>
      <c r="Q2340" s="10">
        <v>96.1</v>
      </c>
      <c r="R2340" s="10" t="s">
        <v>913</v>
      </c>
      <c r="S2340" s="34">
        <f t="shared" si="263"/>
        <v>96.1</v>
      </c>
      <c r="T2340" s="10" t="s">
        <v>1166</v>
      </c>
      <c r="U2340" s="34" t="str">
        <f t="shared" si="266"/>
        <v/>
      </c>
      <c r="V2340" s="31" t="str">
        <f>IF(H2340="CHK",VLOOKUP(I2340,QCCHK,3,),IF(H2340="GUP",VLOOKUP(E2340,QCGUP,2,),IF(AND(H2340="ATP",OR(I2340="TN",I2340="TDN",I2340="TNO2-3",I2340="NO2-3")),VLOOKUP(E2340,QCREC_N,2,),IF(AND(H2340="NIC",OR(I2340="TN",I2340="TDN",I2340="TNO2-3",I2340="NO2-3")),VLOOKUP(E2340,QCNIC_N,2,),IF(AND(H2340="UREA",OR(I2340="TN",I2340="TDN",I2340="TNO2-3",I2340="NO2-3")),VLOOKUP(E2340,QCUREA_N,2,),IF(H2340="PER",VLOOKUP(I2340,QCPER,MATCH(E2340,QCACTUAL!$J$25:$AA$25,0),),IF(H2340="SPK",VLOOKUP(I2340,QCSPK,3,),IF(AND(H2340="ATP",OR(I2340="TP",I2340="TDP")),VLOOKUP(E2340,QCATP_P,2,),""))))))))</f>
        <v/>
      </c>
      <c r="W2340" s="31" t="str">
        <f t="shared" si="267"/>
        <v>TRUE</v>
      </c>
      <c r="X2340" s="31" t="str">
        <f t="shared" si="262"/>
        <v/>
      </c>
      <c r="Y2340" s="10" t="s">
        <v>1144</v>
      </c>
      <c r="AL2340" s="10" t="str">
        <f t="shared" si="264"/>
        <v>FALSE</v>
      </c>
      <c r="AM2340" s="10" t="str">
        <f t="shared" si="264"/>
        <v>FALSE</v>
      </c>
      <c r="AN2340" s="10" t="str">
        <f t="shared" si="264"/>
        <v>FALSE</v>
      </c>
      <c r="AO2340" s="10" t="str">
        <f t="shared" si="265"/>
        <v>FALSE</v>
      </c>
      <c r="AP2340" s="10" t="str">
        <f t="shared" si="265"/>
        <v>FALSE</v>
      </c>
      <c r="AQ2340" s="10" t="b">
        <f>IF(AND(I2340="TP",S2340&lt;=150),VLOOKUP(AF2340,TPCalibEq150!$AZ$2:$BB$55,3,),IF(AND(I2340="TDP",S2340&lt;=150),VLOOKUP(AF2340,TPCalibEq150!$AZ$2:$BB$55,3,)))</f>
        <v>0</v>
      </c>
      <c r="AR2340" s="10" t="b">
        <f>IF(AND(I2340="TP",S2340&lt;=300),VLOOKUP(AF2340,TPCalibEq300!$AZ$2:$BB$55,3,),IF(AND(I2340="TDP",S2340&lt;=300),VLOOKUP(AF2340,TPCalibEq300!$AZ$2:$BB$55,3,)))</f>
        <v>0</v>
      </c>
      <c r="AS2340" s="10" t="b">
        <f>IF(AND(I2340="TP",S2340&lt;=500),VLOOKUP(AF2340,TPCalibEq500!$AZ$2:$BB$56,3,),IF(AND(I2340="TDP",S2340&lt;=500),VLOOKUP(AF2340,TPCalibEq500!$AZ$2:$BB$56,3,)))</f>
        <v>0</v>
      </c>
      <c r="AT2340" s="10" t="b">
        <f>IF(AND(I2340="TN",S2340&lt;=2800),VLOOKUP(AF2340,TNCalibEq2500!$AZ$2:$BB$56,3,),IF(AND(I2340="TDN",S2340&lt;=2800),VLOOKUP(AF2340,TNCalibEq2500!$AZ$2:$BB$56,3,)))</f>
        <v>0</v>
      </c>
      <c r="AU2340" s="10" t="b">
        <f>IF(I2340="TP",VLOOKUP(AF2340,TPCalibEqFull!$AZ$2:$BB$56,3),IF(I2340="TDP",VLOOKUP(AF2340,TPCalibEqFull!$AZ$2:$BB$56,3),IF(I2340="TDN",VLOOKUP(AF2340,TNCalibEqFull!$AZ$1:$BB$56,3),IF(I2340="TN",VLOOKUP(AF2340,TNCalibEqFull!$AZ$1:$BB$56,3),FALSE))))</f>
        <v>0</v>
      </c>
      <c r="AV2340" s="10" t="str">
        <f t="shared" si="268"/>
        <v>0208 09:04:00-EOF-0-FIL-1-SW-UKN</v>
      </c>
    </row>
    <row r="2341" spans="1:48" s="10" customFormat="1" x14ac:dyDescent="0.55000000000000004">
      <c r="A2341" s="32">
        <v>44965</v>
      </c>
      <c r="B2341" s="33">
        <v>0.37986111111111115</v>
      </c>
      <c r="C2341" s="10" t="s">
        <v>428</v>
      </c>
      <c r="D2341" s="10">
        <v>5</v>
      </c>
      <c r="E2341" s="10" t="s">
        <v>911</v>
      </c>
      <c r="F2341" s="10">
        <v>1</v>
      </c>
      <c r="G2341" s="10" t="s">
        <v>231</v>
      </c>
      <c r="H2341" s="10" t="s">
        <v>322</v>
      </c>
      <c r="I2341" s="10" t="s">
        <v>167</v>
      </c>
      <c r="J2341" s="10">
        <v>110</v>
      </c>
      <c r="K2341" s="12">
        <v>44966</v>
      </c>
      <c r="L2341" s="33">
        <v>0.59461805555555558</v>
      </c>
      <c r="M2341" s="10">
        <v>1</v>
      </c>
      <c r="N2341" s="10" t="s">
        <v>211</v>
      </c>
      <c r="O2341" s="10">
        <v>0.55400000000000005</v>
      </c>
      <c r="P2341" s="10">
        <v>5.11E-2</v>
      </c>
      <c r="Q2341" s="10">
        <v>95.3</v>
      </c>
      <c r="R2341" s="10" t="s">
        <v>913</v>
      </c>
      <c r="S2341" s="34">
        <f t="shared" si="263"/>
        <v>95.3</v>
      </c>
      <c r="T2341" s="10" t="s">
        <v>1166</v>
      </c>
      <c r="U2341" s="34" t="str">
        <f t="shared" si="266"/>
        <v/>
      </c>
      <c r="V2341" s="31" t="str">
        <f>IF(H2341="CHK",VLOOKUP(I2341,QCCHK,3,),IF(H2341="GUP",VLOOKUP(E2341,QCGUP,2,),IF(AND(H2341="ATP",OR(I2341="TN",I2341="TDN",I2341="TNO2-3",I2341="NO2-3")),VLOOKUP(E2341,QCREC_N,2,),IF(AND(H2341="NIC",OR(I2341="TN",I2341="TDN",I2341="TNO2-3",I2341="NO2-3")),VLOOKUP(E2341,QCNIC_N,2,),IF(AND(H2341="UREA",OR(I2341="TN",I2341="TDN",I2341="TNO2-3",I2341="NO2-3")),VLOOKUP(E2341,QCUREA_N,2,),IF(H2341="PER",VLOOKUP(I2341,QCPER,MATCH(E2341,QCACTUAL!$J$25:$AA$25,0),),IF(H2341="SPK",VLOOKUP(I2341,QCSPK,3,),IF(AND(H2341="ATP",OR(I2341="TP",I2341="TDP")),VLOOKUP(E2341,QCATP_P,2,),""))))))))</f>
        <v/>
      </c>
      <c r="W2341" s="31" t="str">
        <f t="shared" si="267"/>
        <v>TRUE</v>
      </c>
      <c r="X2341" s="31" t="str">
        <f t="shared" si="262"/>
        <v/>
      </c>
      <c r="Y2341" s="10" t="s">
        <v>1144</v>
      </c>
      <c r="AL2341" s="10" t="str">
        <f t="shared" si="264"/>
        <v>FALSE</v>
      </c>
      <c r="AM2341" s="10" t="str">
        <f t="shared" si="264"/>
        <v>FALSE</v>
      </c>
      <c r="AN2341" s="10" t="str">
        <f t="shared" si="264"/>
        <v>FALSE</v>
      </c>
      <c r="AO2341" s="10" t="str">
        <f t="shared" si="265"/>
        <v>FALSE</v>
      </c>
      <c r="AP2341" s="10" t="str">
        <f t="shared" si="265"/>
        <v>FALSE</v>
      </c>
      <c r="AQ2341" s="10" t="b">
        <f>IF(AND(I2341="TP",S2341&lt;=150),VLOOKUP(AF2341,TPCalibEq150!$AZ$2:$BB$55,3,),IF(AND(I2341="TDP",S2341&lt;=150),VLOOKUP(AF2341,TPCalibEq150!$AZ$2:$BB$55,3,)))</f>
        <v>0</v>
      </c>
      <c r="AR2341" s="10" t="b">
        <f>IF(AND(I2341="TP",S2341&lt;=300),VLOOKUP(AF2341,TPCalibEq300!$AZ$2:$BB$55,3,),IF(AND(I2341="TDP",S2341&lt;=300),VLOOKUP(AF2341,TPCalibEq300!$AZ$2:$BB$55,3,)))</f>
        <v>0</v>
      </c>
      <c r="AS2341" s="10" t="b">
        <f>IF(AND(I2341="TP",S2341&lt;=500),VLOOKUP(AF2341,TPCalibEq500!$AZ$2:$BB$56,3,),IF(AND(I2341="TDP",S2341&lt;=500),VLOOKUP(AF2341,TPCalibEq500!$AZ$2:$BB$56,3,)))</f>
        <v>0</v>
      </c>
      <c r="AT2341" s="10" t="b">
        <f>IF(AND(I2341="TN",S2341&lt;=2800),VLOOKUP(AF2341,TNCalibEq2500!$AZ$2:$BB$56,3,),IF(AND(I2341="TDN",S2341&lt;=2800),VLOOKUP(AF2341,TNCalibEq2500!$AZ$2:$BB$56,3,)))</f>
        <v>0</v>
      </c>
      <c r="AU2341" s="10" t="b">
        <f>IF(I2341="TP",VLOOKUP(AF2341,TPCalibEqFull!$AZ$2:$BB$56,3),IF(I2341="TDP",VLOOKUP(AF2341,TPCalibEqFull!$AZ$2:$BB$56,3),IF(I2341="TDN",VLOOKUP(AF2341,TNCalibEqFull!$AZ$1:$BB$56,3),IF(I2341="TN",VLOOKUP(AF2341,TNCalibEqFull!$AZ$1:$BB$56,3),FALSE))))</f>
        <v>0</v>
      </c>
      <c r="AV2341" s="10" t="str">
        <f t="shared" si="268"/>
        <v>0208 09:07:00-EOF-5-FIL-1-SW-UKN</v>
      </c>
    </row>
    <row r="2342" spans="1:48" s="10" customFormat="1" x14ac:dyDescent="0.55000000000000004">
      <c r="A2342" s="32">
        <v>44965</v>
      </c>
      <c r="B2342" s="33">
        <v>0.38263888888888892</v>
      </c>
      <c r="C2342" s="10" t="s">
        <v>428</v>
      </c>
      <c r="D2342" s="10">
        <v>10</v>
      </c>
      <c r="E2342" s="10" t="s">
        <v>911</v>
      </c>
      <c r="F2342" s="10">
        <v>1</v>
      </c>
      <c r="G2342" s="10" t="s">
        <v>231</v>
      </c>
      <c r="H2342" s="10" t="s">
        <v>322</v>
      </c>
      <c r="I2342" s="10" t="s">
        <v>167</v>
      </c>
      <c r="J2342" s="10">
        <v>111</v>
      </c>
      <c r="K2342" s="12">
        <v>44966</v>
      </c>
      <c r="L2342" s="33">
        <v>0.59543981481481478</v>
      </c>
      <c r="M2342" s="10">
        <v>1</v>
      </c>
      <c r="N2342" s="10" t="s">
        <v>211</v>
      </c>
      <c r="O2342" s="10">
        <v>0.56200000000000006</v>
      </c>
      <c r="P2342" s="10">
        <v>5.1900000000000002E-2</v>
      </c>
      <c r="Q2342" s="10">
        <v>96.8</v>
      </c>
      <c r="R2342" s="10" t="s">
        <v>913</v>
      </c>
      <c r="S2342" s="34">
        <f t="shared" si="263"/>
        <v>96.8</v>
      </c>
      <c r="T2342" s="10" t="s">
        <v>1166</v>
      </c>
      <c r="U2342" s="34" t="str">
        <f t="shared" si="266"/>
        <v/>
      </c>
      <c r="V2342" s="31" t="str">
        <f>IF(H2342="CHK",VLOOKUP(I2342,QCCHK,3,),IF(H2342="GUP",VLOOKUP(E2342,QCGUP,2,),IF(AND(H2342="ATP",OR(I2342="TN",I2342="TDN",I2342="TNO2-3",I2342="NO2-3")),VLOOKUP(E2342,QCREC_N,2,),IF(AND(H2342="NIC",OR(I2342="TN",I2342="TDN",I2342="TNO2-3",I2342="NO2-3")),VLOOKUP(E2342,QCNIC_N,2,),IF(AND(H2342="UREA",OR(I2342="TN",I2342="TDN",I2342="TNO2-3",I2342="NO2-3")),VLOOKUP(E2342,QCUREA_N,2,),IF(H2342="PER",VLOOKUP(I2342,QCPER,MATCH(E2342,QCACTUAL!$J$25:$AA$25,0),),IF(H2342="SPK",VLOOKUP(I2342,QCSPK,3,),IF(AND(H2342="ATP",OR(I2342="TP",I2342="TDP")),VLOOKUP(E2342,QCATP_P,2,),""))))))))</f>
        <v/>
      </c>
      <c r="W2342" s="31" t="str">
        <f t="shared" si="267"/>
        <v>TRUE</v>
      </c>
      <c r="X2342" s="31" t="str">
        <f t="shared" si="262"/>
        <v/>
      </c>
      <c r="Y2342" s="10" t="s">
        <v>1144</v>
      </c>
      <c r="AL2342" s="10" t="str">
        <f t="shared" si="264"/>
        <v>FALSE</v>
      </c>
      <c r="AM2342" s="10" t="str">
        <f t="shared" si="264"/>
        <v>FALSE</v>
      </c>
      <c r="AN2342" s="10" t="str">
        <f t="shared" si="264"/>
        <v>FALSE</v>
      </c>
      <c r="AO2342" s="10" t="str">
        <f t="shared" si="265"/>
        <v>FALSE</v>
      </c>
      <c r="AP2342" s="10" t="str">
        <f t="shared" si="265"/>
        <v>FALSE</v>
      </c>
      <c r="AQ2342" s="10" t="b">
        <f>IF(AND(I2342="TP",S2342&lt;=150),VLOOKUP(AF2342,TPCalibEq150!$AZ$2:$BB$55,3,),IF(AND(I2342="TDP",S2342&lt;=150),VLOOKUP(AF2342,TPCalibEq150!$AZ$2:$BB$55,3,)))</f>
        <v>0</v>
      </c>
      <c r="AR2342" s="10" t="b">
        <f>IF(AND(I2342="TP",S2342&lt;=300),VLOOKUP(AF2342,TPCalibEq300!$AZ$2:$BB$55,3,),IF(AND(I2342="TDP",S2342&lt;=300),VLOOKUP(AF2342,TPCalibEq300!$AZ$2:$BB$55,3,)))</f>
        <v>0</v>
      </c>
      <c r="AS2342" s="10" t="b">
        <f>IF(AND(I2342="TP",S2342&lt;=500),VLOOKUP(AF2342,TPCalibEq500!$AZ$2:$BB$56,3,),IF(AND(I2342="TDP",S2342&lt;=500),VLOOKUP(AF2342,TPCalibEq500!$AZ$2:$BB$56,3,)))</f>
        <v>0</v>
      </c>
      <c r="AT2342" s="10" t="b">
        <f>IF(AND(I2342="TN",S2342&lt;=2800),VLOOKUP(AF2342,TNCalibEq2500!$AZ$2:$BB$56,3,),IF(AND(I2342="TDN",S2342&lt;=2800),VLOOKUP(AF2342,TNCalibEq2500!$AZ$2:$BB$56,3,)))</f>
        <v>0</v>
      </c>
      <c r="AU2342" s="10" t="b">
        <f>IF(I2342="TP",VLOOKUP(AF2342,TPCalibEqFull!$AZ$2:$BB$56,3),IF(I2342="TDP",VLOOKUP(AF2342,TPCalibEqFull!$AZ$2:$BB$56,3),IF(I2342="TDN",VLOOKUP(AF2342,TNCalibEqFull!$AZ$1:$BB$56,3),IF(I2342="TN",VLOOKUP(AF2342,TNCalibEqFull!$AZ$1:$BB$56,3),FALSE))))</f>
        <v>0</v>
      </c>
      <c r="AV2342" s="10" t="str">
        <f t="shared" si="268"/>
        <v>0208 09:11:00-EOF-10-FIL-1-SW-UKN</v>
      </c>
    </row>
    <row r="2343" spans="1:48" s="10" customFormat="1" x14ac:dyDescent="0.55000000000000004">
      <c r="A2343" s="32">
        <v>44965</v>
      </c>
      <c r="B2343" s="33">
        <v>0.38472222222222219</v>
      </c>
      <c r="C2343" s="10" t="s">
        <v>428</v>
      </c>
      <c r="D2343" s="10">
        <v>20</v>
      </c>
      <c r="E2343" s="10" t="s">
        <v>911</v>
      </c>
      <c r="F2343" s="10">
        <v>1</v>
      </c>
      <c r="G2343" s="10" t="s">
        <v>231</v>
      </c>
      <c r="H2343" s="10" t="s">
        <v>322</v>
      </c>
      <c r="I2343" s="10" t="s">
        <v>167</v>
      </c>
      <c r="J2343" s="10">
        <v>112</v>
      </c>
      <c r="K2343" s="12">
        <v>44966</v>
      </c>
      <c r="L2343" s="33">
        <v>0.5962615740740741</v>
      </c>
      <c r="M2343" s="10">
        <v>1</v>
      </c>
      <c r="N2343" s="10" t="s">
        <v>211</v>
      </c>
      <c r="O2343" s="10">
        <v>0.57599999999999996</v>
      </c>
      <c r="P2343" s="10">
        <v>5.2299999999999999E-2</v>
      </c>
      <c r="Q2343" s="10">
        <v>99.3</v>
      </c>
      <c r="R2343" s="10" t="s">
        <v>913</v>
      </c>
      <c r="S2343" s="34">
        <f t="shared" si="263"/>
        <v>99.3</v>
      </c>
      <c r="T2343" s="10" t="s">
        <v>1166</v>
      </c>
      <c r="U2343" s="34" t="str">
        <f t="shared" si="266"/>
        <v/>
      </c>
      <c r="V2343" s="31" t="str">
        <f>IF(H2343="CHK",VLOOKUP(I2343,QCCHK,3,),IF(H2343="GUP",VLOOKUP(E2343,QCGUP,2,),IF(AND(H2343="ATP",OR(I2343="TN",I2343="TDN",I2343="TNO2-3",I2343="NO2-3")),VLOOKUP(E2343,QCREC_N,2,),IF(AND(H2343="NIC",OR(I2343="TN",I2343="TDN",I2343="TNO2-3",I2343="NO2-3")),VLOOKUP(E2343,QCNIC_N,2,),IF(AND(H2343="UREA",OR(I2343="TN",I2343="TDN",I2343="TNO2-3",I2343="NO2-3")),VLOOKUP(E2343,QCUREA_N,2,),IF(H2343="PER",VLOOKUP(I2343,QCPER,MATCH(E2343,QCACTUAL!$J$25:$AA$25,0),),IF(H2343="SPK",VLOOKUP(I2343,QCSPK,3,),IF(AND(H2343="ATP",OR(I2343="TP",I2343="TDP")),VLOOKUP(E2343,QCATP_P,2,),""))))))))</f>
        <v/>
      </c>
      <c r="W2343" s="31" t="str">
        <f t="shared" si="267"/>
        <v>TRUE</v>
      </c>
      <c r="X2343" s="31" t="str">
        <f t="shared" si="262"/>
        <v/>
      </c>
      <c r="Y2343" s="10" t="s">
        <v>1144</v>
      </c>
      <c r="AL2343" s="10" t="str">
        <f t="shared" si="264"/>
        <v>FALSE</v>
      </c>
      <c r="AM2343" s="10" t="str">
        <f t="shared" si="264"/>
        <v>FALSE</v>
      </c>
      <c r="AN2343" s="10" t="str">
        <f t="shared" si="264"/>
        <v>FALSE</v>
      </c>
      <c r="AO2343" s="10" t="str">
        <f t="shared" si="265"/>
        <v>FALSE</v>
      </c>
      <c r="AP2343" s="10" t="str">
        <f t="shared" si="265"/>
        <v>FALSE</v>
      </c>
      <c r="AQ2343" s="10" t="b">
        <f>IF(AND(I2343="TP",S2343&lt;=150),VLOOKUP(AF2343,TPCalibEq150!$AZ$2:$BB$55,3,),IF(AND(I2343="TDP",S2343&lt;=150),VLOOKUP(AF2343,TPCalibEq150!$AZ$2:$BB$55,3,)))</f>
        <v>0</v>
      </c>
      <c r="AR2343" s="10" t="b">
        <f>IF(AND(I2343="TP",S2343&lt;=300),VLOOKUP(AF2343,TPCalibEq300!$AZ$2:$BB$55,3,),IF(AND(I2343="TDP",S2343&lt;=300),VLOOKUP(AF2343,TPCalibEq300!$AZ$2:$BB$55,3,)))</f>
        <v>0</v>
      </c>
      <c r="AS2343" s="10" t="b">
        <f>IF(AND(I2343="TP",S2343&lt;=500),VLOOKUP(AF2343,TPCalibEq500!$AZ$2:$BB$56,3,),IF(AND(I2343="TDP",S2343&lt;=500),VLOOKUP(AF2343,TPCalibEq500!$AZ$2:$BB$56,3,)))</f>
        <v>0</v>
      </c>
      <c r="AT2343" s="10" t="b">
        <f>IF(AND(I2343="TN",S2343&lt;=2800),VLOOKUP(AF2343,TNCalibEq2500!$AZ$2:$BB$56,3,),IF(AND(I2343="TDN",S2343&lt;=2800),VLOOKUP(AF2343,TNCalibEq2500!$AZ$2:$BB$56,3,)))</f>
        <v>0</v>
      </c>
      <c r="AU2343" s="10" t="b">
        <f>IF(I2343="TP",VLOOKUP(AF2343,TPCalibEqFull!$AZ$2:$BB$56,3),IF(I2343="TDP",VLOOKUP(AF2343,TPCalibEqFull!$AZ$2:$BB$56,3),IF(I2343="TDN",VLOOKUP(AF2343,TNCalibEqFull!$AZ$1:$BB$56,3),IF(I2343="TN",VLOOKUP(AF2343,TNCalibEqFull!$AZ$1:$BB$56,3),FALSE))))</f>
        <v>0</v>
      </c>
      <c r="AV2343" s="10" t="str">
        <f t="shared" si="268"/>
        <v>0208 09:14:00-EOF-20-FIL-1-SW-UKN</v>
      </c>
    </row>
    <row r="2344" spans="1:48" s="10" customFormat="1" x14ac:dyDescent="0.55000000000000004">
      <c r="A2344" s="32">
        <v>44965</v>
      </c>
      <c r="B2344" s="33">
        <v>0.38877314814814817</v>
      </c>
      <c r="C2344" s="10" t="s">
        <v>428</v>
      </c>
      <c r="D2344" s="10">
        <v>80</v>
      </c>
      <c r="E2344" s="10" t="s">
        <v>911</v>
      </c>
      <c r="F2344" s="10">
        <v>1</v>
      </c>
      <c r="G2344" s="10" t="s">
        <v>231</v>
      </c>
      <c r="H2344" s="10" t="s">
        <v>322</v>
      </c>
      <c r="I2344" s="10" t="s">
        <v>167</v>
      </c>
      <c r="J2344" s="10">
        <v>113</v>
      </c>
      <c r="K2344" s="12">
        <v>44966</v>
      </c>
      <c r="L2344" s="33">
        <v>0.59707175925925926</v>
      </c>
      <c r="M2344" s="10">
        <v>1</v>
      </c>
      <c r="N2344" s="10" t="s">
        <v>211</v>
      </c>
      <c r="O2344" s="10">
        <v>0.53500000000000003</v>
      </c>
      <c r="P2344" s="10">
        <v>4.9000000000000002E-2</v>
      </c>
      <c r="Q2344" s="10">
        <v>92.1</v>
      </c>
      <c r="R2344" s="10" t="s">
        <v>913</v>
      </c>
      <c r="S2344" s="34">
        <f t="shared" si="263"/>
        <v>92.1</v>
      </c>
      <c r="T2344" s="10" t="s">
        <v>1166</v>
      </c>
      <c r="U2344" s="34" t="str">
        <f t="shared" si="266"/>
        <v/>
      </c>
      <c r="V2344" s="31" t="str">
        <f>IF(H2344="CHK",VLOOKUP(I2344,QCCHK,3,),IF(H2344="GUP",VLOOKUP(E2344,QCGUP,2,),IF(AND(H2344="ATP",OR(I2344="TN",I2344="TDN",I2344="TNO2-3",I2344="NO2-3")),VLOOKUP(E2344,QCREC_N,2,),IF(AND(H2344="NIC",OR(I2344="TN",I2344="TDN",I2344="TNO2-3",I2344="NO2-3")),VLOOKUP(E2344,QCNIC_N,2,),IF(AND(H2344="UREA",OR(I2344="TN",I2344="TDN",I2344="TNO2-3",I2344="NO2-3")),VLOOKUP(E2344,QCUREA_N,2,),IF(H2344="PER",VLOOKUP(I2344,QCPER,MATCH(E2344,QCACTUAL!$J$25:$AA$25,0),),IF(H2344="SPK",VLOOKUP(I2344,QCSPK,3,),IF(AND(H2344="ATP",OR(I2344="TP",I2344="TDP")),VLOOKUP(E2344,QCATP_P,2,),""))))))))</f>
        <v/>
      </c>
      <c r="W2344" s="31" t="str">
        <f t="shared" si="267"/>
        <v>TRUE</v>
      </c>
      <c r="X2344" s="31" t="str">
        <f t="shared" si="262"/>
        <v/>
      </c>
      <c r="Y2344" s="10" t="s">
        <v>1144</v>
      </c>
      <c r="AL2344" s="10" t="str">
        <f t="shared" si="264"/>
        <v>FALSE</v>
      </c>
      <c r="AM2344" s="10" t="str">
        <f t="shared" si="264"/>
        <v>FALSE</v>
      </c>
      <c r="AN2344" s="10" t="str">
        <f t="shared" si="264"/>
        <v>FALSE</v>
      </c>
      <c r="AO2344" s="10" t="str">
        <f t="shared" si="265"/>
        <v>FALSE</v>
      </c>
      <c r="AP2344" s="10" t="str">
        <f t="shared" si="265"/>
        <v>FALSE</v>
      </c>
      <c r="AQ2344" s="10" t="b">
        <f>IF(AND(I2344="TP",S2344&lt;=150),VLOOKUP(AF2344,TPCalibEq150!$AZ$2:$BB$55,3,),IF(AND(I2344="TDP",S2344&lt;=150),VLOOKUP(AF2344,TPCalibEq150!$AZ$2:$BB$55,3,)))</f>
        <v>0</v>
      </c>
      <c r="AR2344" s="10" t="b">
        <f>IF(AND(I2344="TP",S2344&lt;=300),VLOOKUP(AF2344,TPCalibEq300!$AZ$2:$BB$55,3,),IF(AND(I2344="TDP",S2344&lt;=300),VLOOKUP(AF2344,TPCalibEq300!$AZ$2:$BB$55,3,)))</f>
        <v>0</v>
      </c>
      <c r="AS2344" s="10" t="b">
        <f>IF(AND(I2344="TP",S2344&lt;=500),VLOOKUP(AF2344,TPCalibEq500!$AZ$2:$BB$56,3,),IF(AND(I2344="TDP",S2344&lt;=500),VLOOKUP(AF2344,TPCalibEq500!$AZ$2:$BB$56,3,)))</f>
        <v>0</v>
      </c>
      <c r="AT2344" s="10" t="b">
        <f>IF(AND(I2344="TN",S2344&lt;=2800),VLOOKUP(AF2344,TNCalibEq2500!$AZ$2:$BB$56,3,),IF(AND(I2344="TDN",S2344&lt;=2800),VLOOKUP(AF2344,TNCalibEq2500!$AZ$2:$BB$56,3,)))</f>
        <v>0</v>
      </c>
      <c r="AU2344" s="10" t="b">
        <f>IF(I2344="TP",VLOOKUP(AF2344,TPCalibEqFull!$AZ$2:$BB$56,3),IF(I2344="TDP",VLOOKUP(AF2344,TPCalibEqFull!$AZ$2:$BB$56,3),IF(I2344="TDN",VLOOKUP(AF2344,TNCalibEqFull!$AZ$1:$BB$56,3),IF(I2344="TN",VLOOKUP(AF2344,TNCalibEqFull!$AZ$1:$BB$56,3),FALSE))))</f>
        <v>0</v>
      </c>
      <c r="AV2344" s="10" t="str">
        <f t="shared" si="268"/>
        <v>0208 09:19:50-EOF-80-FIL-1-SW-UKN</v>
      </c>
    </row>
    <row r="2345" spans="1:48" s="10" customFormat="1" x14ac:dyDescent="0.55000000000000004">
      <c r="A2345" s="32">
        <v>44965</v>
      </c>
      <c r="B2345" s="33">
        <v>0.4201388888888889</v>
      </c>
      <c r="C2345" s="10" t="s">
        <v>611</v>
      </c>
      <c r="D2345" s="10">
        <v>0</v>
      </c>
      <c r="E2345" s="10" t="s">
        <v>911</v>
      </c>
      <c r="F2345" s="10">
        <v>1</v>
      </c>
      <c r="G2345" s="10" t="s">
        <v>231</v>
      </c>
      <c r="H2345" s="10" t="s">
        <v>322</v>
      </c>
      <c r="I2345" s="10" t="s">
        <v>167</v>
      </c>
      <c r="J2345" s="10">
        <v>114</v>
      </c>
      <c r="K2345" s="12">
        <v>44966</v>
      </c>
      <c r="L2345" s="33">
        <v>0.59788194444444442</v>
      </c>
      <c r="M2345" s="10">
        <v>1</v>
      </c>
      <c r="N2345" s="10" t="s">
        <v>211</v>
      </c>
      <c r="O2345" s="10">
        <v>7.4900000000000001E-3</v>
      </c>
      <c r="P2345" s="10">
        <v>2.7799999999999998E-2</v>
      </c>
      <c r="Q2345" s="10">
        <v>0.80400000000000005</v>
      </c>
      <c r="R2345" s="10" t="s">
        <v>913</v>
      </c>
      <c r="S2345" s="34">
        <f t="shared" si="263"/>
        <v>0.80400000000000005</v>
      </c>
      <c r="T2345" s="10" t="s">
        <v>1166</v>
      </c>
      <c r="U2345" s="34" t="str">
        <f t="shared" si="266"/>
        <v/>
      </c>
      <c r="V2345" s="31" t="str">
        <f>IF(H2345="CHK",VLOOKUP(I2345,QCCHK,3,),IF(H2345="GUP",VLOOKUP(E2345,QCGUP,2,),IF(AND(H2345="ATP",OR(I2345="TN",I2345="TDN",I2345="TNO2-3",I2345="NO2-3")),VLOOKUP(E2345,QCREC_N,2,),IF(AND(H2345="NIC",OR(I2345="TN",I2345="TDN",I2345="TNO2-3",I2345="NO2-3")),VLOOKUP(E2345,QCNIC_N,2,),IF(AND(H2345="UREA",OR(I2345="TN",I2345="TDN",I2345="TNO2-3",I2345="NO2-3")),VLOOKUP(E2345,QCUREA_N,2,),IF(H2345="PER",VLOOKUP(I2345,QCPER,MATCH(E2345,QCACTUAL!$J$25:$AA$25,0),),IF(H2345="SPK",VLOOKUP(I2345,QCSPK,3,),IF(AND(H2345="ATP",OR(I2345="TP",I2345="TDP")),VLOOKUP(E2345,QCATP_P,2,),""))))))))</f>
        <v/>
      </c>
      <c r="W2345" s="31" t="str">
        <f t="shared" si="267"/>
        <v>TRUE</v>
      </c>
      <c r="X2345" s="31" t="str">
        <f t="shared" si="262"/>
        <v/>
      </c>
      <c r="Y2345" s="10" t="s">
        <v>1144</v>
      </c>
      <c r="AL2345" s="10" t="str">
        <f t="shared" si="264"/>
        <v>FALSE</v>
      </c>
      <c r="AM2345" s="10" t="str">
        <f t="shared" si="264"/>
        <v>FALSE</v>
      </c>
      <c r="AN2345" s="10" t="str">
        <f t="shared" si="264"/>
        <v>FALSE</v>
      </c>
      <c r="AO2345" s="10" t="str">
        <f t="shared" si="265"/>
        <v>FALSE</v>
      </c>
      <c r="AP2345" s="10" t="str">
        <f t="shared" si="265"/>
        <v>FALSE</v>
      </c>
      <c r="AQ2345" s="10" t="b">
        <f>IF(AND(I2345="TP",S2345&lt;=150),VLOOKUP(AF2345,TPCalibEq150!$AZ$2:$BB$55,3,),IF(AND(I2345="TDP",S2345&lt;=150),VLOOKUP(AF2345,TPCalibEq150!$AZ$2:$BB$55,3,)))</f>
        <v>0</v>
      </c>
      <c r="AR2345" s="10" t="b">
        <f>IF(AND(I2345="TP",S2345&lt;=300),VLOOKUP(AF2345,TPCalibEq300!$AZ$2:$BB$55,3,),IF(AND(I2345="TDP",S2345&lt;=300),VLOOKUP(AF2345,TPCalibEq300!$AZ$2:$BB$55,3,)))</f>
        <v>0</v>
      </c>
      <c r="AS2345" s="10" t="b">
        <f>IF(AND(I2345="TP",S2345&lt;=500),VLOOKUP(AF2345,TPCalibEq500!$AZ$2:$BB$56,3,),IF(AND(I2345="TDP",S2345&lt;=500),VLOOKUP(AF2345,TPCalibEq500!$AZ$2:$BB$56,3,)))</f>
        <v>0</v>
      </c>
      <c r="AT2345" s="10" t="b">
        <f>IF(AND(I2345="TN",S2345&lt;=2800),VLOOKUP(AF2345,TNCalibEq2500!$AZ$2:$BB$56,3,),IF(AND(I2345="TDN",S2345&lt;=2800),VLOOKUP(AF2345,TNCalibEq2500!$AZ$2:$BB$56,3,)))</f>
        <v>0</v>
      </c>
      <c r="AU2345" s="10" t="b">
        <f>IF(I2345="TP",VLOOKUP(AF2345,TPCalibEqFull!$AZ$2:$BB$56,3),IF(I2345="TDP",VLOOKUP(AF2345,TPCalibEqFull!$AZ$2:$BB$56,3),IF(I2345="TDN",VLOOKUP(AF2345,TNCalibEqFull!$AZ$1:$BB$56,3),IF(I2345="TN",VLOOKUP(AF2345,TNCalibEqFull!$AZ$1:$BB$56,3),FALSE))))</f>
        <v>0</v>
      </c>
      <c r="AV2345" s="10" t="str">
        <f t="shared" si="268"/>
        <v>0208 10:05:00-BUO-0-FIL-1-SW-UKN</v>
      </c>
    </row>
    <row r="2346" spans="1:48" s="10" customFormat="1" x14ac:dyDescent="0.55000000000000004">
      <c r="A2346" s="32">
        <v>44965</v>
      </c>
      <c r="B2346" s="33">
        <v>0.42291666666666666</v>
      </c>
      <c r="C2346" s="10" t="s">
        <v>611</v>
      </c>
      <c r="D2346" s="10">
        <v>5</v>
      </c>
      <c r="E2346" s="10" t="s">
        <v>911</v>
      </c>
      <c r="F2346" s="10">
        <v>1</v>
      </c>
      <c r="G2346" s="10" t="s">
        <v>231</v>
      </c>
      <c r="H2346" s="10" t="s">
        <v>322</v>
      </c>
      <c r="I2346" s="10" t="s">
        <v>167</v>
      </c>
      <c r="J2346" s="10">
        <v>115</v>
      </c>
      <c r="K2346" s="12">
        <v>44966</v>
      </c>
      <c r="L2346" s="33">
        <v>0.59870370370370374</v>
      </c>
      <c r="M2346" s="10">
        <v>1</v>
      </c>
      <c r="N2346" s="10" t="s">
        <v>211</v>
      </c>
      <c r="O2346" s="10">
        <v>0.57399999999999995</v>
      </c>
      <c r="P2346" s="10">
        <v>5.3800000000000001E-2</v>
      </c>
      <c r="Q2346" s="10">
        <v>98.9</v>
      </c>
      <c r="R2346" s="10" t="s">
        <v>913</v>
      </c>
      <c r="S2346" s="34">
        <f t="shared" si="263"/>
        <v>98.9</v>
      </c>
      <c r="T2346" s="10" t="s">
        <v>1166</v>
      </c>
      <c r="U2346" s="34" t="str">
        <f t="shared" si="266"/>
        <v/>
      </c>
      <c r="V2346" s="31" t="str">
        <f>IF(H2346="CHK",VLOOKUP(I2346,QCCHK,3,),IF(H2346="GUP",VLOOKUP(E2346,QCGUP,2,),IF(AND(H2346="ATP",OR(I2346="TN",I2346="TDN",I2346="TNO2-3",I2346="NO2-3")),VLOOKUP(E2346,QCREC_N,2,),IF(AND(H2346="NIC",OR(I2346="TN",I2346="TDN",I2346="TNO2-3",I2346="NO2-3")),VLOOKUP(E2346,QCNIC_N,2,),IF(AND(H2346="UREA",OR(I2346="TN",I2346="TDN",I2346="TNO2-3",I2346="NO2-3")),VLOOKUP(E2346,QCUREA_N,2,),IF(H2346="PER",VLOOKUP(I2346,QCPER,MATCH(E2346,QCACTUAL!$J$25:$AA$25,0),),IF(H2346="SPK",VLOOKUP(I2346,QCSPK,3,),IF(AND(H2346="ATP",OR(I2346="TP",I2346="TDP")),VLOOKUP(E2346,QCATP_P,2,),""))))))))</f>
        <v/>
      </c>
      <c r="W2346" s="31" t="str">
        <f t="shared" si="267"/>
        <v>TRUE</v>
      </c>
      <c r="X2346" s="31" t="str">
        <f t="shared" si="262"/>
        <v/>
      </c>
      <c r="Y2346" s="10" t="s">
        <v>1144</v>
      </c>
      <c r="AL2346" s="10" t="str">
        <f t="shared" si="264"/>
        <v>FALSE</v>
      </c>
      <c r="AM2346" s="10" t="str">
        <f t="shared" si="264"/>
        <v>FALSE</v>
      </c>
      <c r="AN2346" s="10" t="str">
        <f t="shared" si="264"/>
        <v>FALSE</v>
      </c>
      <c r="AO2346" s="10" t="str">
        <f t="shared" si="265"/>
        <v>FALSE</v>
      </c>
      <c r="AP2346" s="10" t="str">
        <f t="shared" si="265"/>
        <v>FALSE</v>
      </c>
      <c r="AQ2346" s="10" t="b">
        <f>IF(AND(I2346="TP",S2346&lt;=150),VLOOKUP(AF2346,TPCalibEq150!$AZ$2:$BB$55,3,),IF(AND(I2346="TDP",S2346&lt;=150),VLOOKUP(AF2346,TPCalibEq150!$AZ$2:$BB$55,3,)))</f>
        <v>0</v>
      </c>
      <c r="AR2346" s="10" t="b">
        <f>IF(AND(I2346="TP",S2346&lt;=300),VLOOKUP(AF2346,TPCalibEq300!$AZ$2:$BB$55,3,),IF(AND(I2346="TDP",S2346&lt;=300),VLOOKUP(AF2346,TPCalibEq300!$AZ$2:$BB$55,3,)))</f>
        <v>0</v>
      </c>
      <c r="AS2346" s="10" t="b">
        <f>IF(AND(I2346="TP",S2346&lt;=500),VLOOKUP(AF2346,TPCalibEq500!$AZ$2:$BB$56,3,),IF(AND(I2346="TDP",S2346&lt;=500),VLOOKUP(AF2346,TPCalibEq500!$AZ$2:$BB$56,3,)))</f>
        <v>0</v>
      </c>
      <c r="AT2346" s="10" t="b">
        <f>IF(AND(I2346="TN",S2346&lt;=2800),VLOOKUP(AF2346,TNCalibEq2500!$AZ$2:$BB$56,3,),IF(AND(I2346="TDN",S2346&lt;=2800),VLOOKUP(AF2346,TNCalibEq2500!$AZ$2:$BB$56,3,)))</f>
        <v>0</v>
      </c>
      <c r="AU2346" s="10" t="b">
        <f>IF(I2346="TP",VLOOKUP(AF2346,TPCalibEqFull!$AZ$2:$BB$56,3),IF(I2346="TDP",VLOOKUP(AF2346,TPCalibEqFull!$AZ$2:$BB$56,3),IF(I2346="TDN",VLOOKUP(AF2346,TNCalibEqFull!$AZ$1:$BB$56,3),IF(I2346="TN",VLOOKUP(AF2346,TNCalibEqFull!$AZ$1:$BB$56,3),FALSE))))</f>
        <v>0</v>
      </c>
      <c r="AV2346" s="10" t="str">
        <f t="shared" si="268"/>
        <v>0208 10:09:00-BUO-5-FIL-1-SW-UKN</v>
      </c>
    </row>
    <row r="2347" spans="1:48" s="10" customFormat="1" x14ac:dyDescent="0.55000000000000004">
      <c r="A2347" s="32">
        <v>44965</v>
      </c>
      <c r="B2347" s="33">
        <v>0.42499999999999999</v>
      </c>
      <c r="C2347" s="10" t="s">
        <v>611</v>
      </c>
      <c r="D2347" s="10">
        <v>10</v>
      </c>
      <c r="E2347" s="10" t="s">
        <v>911</v>
      </c>
      <c r="F2347" s="10">
        <v>1</v>
      </c>
      <c r="G2347" s="10" t="s">
        <v>231</v>
      </c>
      <c r="H2347" s="10" t="s">
        <v>322</v>
      </c>
      <c r="I2347" s="10" t="s">
        <v>167</v>
      </c>
      <c r="J2347" s="10">
        <v>116</v>
      </c>
      <c r="K2347" s="12">
        <v>44966</v>
      </c>
      <c r="L2347" s="33">
        <v>0.5995138888888889</v>
      </c>
      <c r="M2347" s="10">
        <v>1</v>
      </c>
      <c r="N2347" s="10" t="s">
        <v>211</v>
      </c>
      <c r="O2347" s="10">
        <v>0.56000000000000005</v>
      </c>
      <c r="P2347" s="10">
        <v>5.21E-2</v>
      </c>
      <c r="Q2347" s="10">
        <v>96.4</v>
      </c>
      <c r="R2347" s="10" t="s">
        <v>913</v>
      </c>
      <c r="S2347" s="34">
        <f t="shared" si="263"/>
        <v>96.4</v>
      </c>
      <c r="T2347" s="10" t="s">
        <v>1166</v>
      </c>
      <c r="U2347" s="34" t="str">
        <f t="shared" si="266"/>
        <v/>
      </c>
      <c r="V2347" s="31" t="str">
        <f>IF(H2347="CHK",VLOOKUP(I2347,QCCHK,3,),IF(H2347="GUP",VLOOKUP(E2347,QCGUP,2,),IF(AND(H2347="ATP",OR(I2347="TN",I2347="TDN",I2347="TNO2-3",I2347="NO2-3")),VLOOKUP(E2347,QCREC_N,2,),IF(AND(H2347="NIC",OR(I2347="TN",I2347="TDN",I2347="TNO2-3",I2347="NO2-3")),VLOOKUP(E2347,QCNIC_N,2,),IF(AND(H2347="UREA",OR(I2347="TN",I2347="TDN",I2347="TNO2-3",I2347="NO2-3")),VLOOKUP(E2347,QCUREA_N,2,),IF(H2347="PER",VLOOKUP(I2347,QCPER,MATCH(E2347,QCACTUAL!$J$25:$AA$25,0),),IF(H2347="SPK",VLOOKUP(I2347,QCSPK,3,),IF(AND(H2347="ATP",OR(I2347="TP",I2347="TDP")),VLOOKUP(E2347,QCATP_P,2,),""))))))))</f>
        <v/>
      </c>
      <c r="W2347" s="31" t="str">
        <f t="shared" si="267"/>
        <v>TRUE</v>
      </c>
      <c r="X2347" s="31" t="str">
        <f t="shared" si="262"/>
        <v/>
      </c>
      <c r="Y2347" s="10" t="s">
        <v>1144</v>
      </c>
      <c r="AL2347" s="10" t="str">
        <f t="shared" si="264"/>
        <v>FALSE</v>
      </c>
      <c r="AM2347" s="10" t="str">
        <f t="shared" si="264"/>
        <v>FALSE</v>
      </c>
      <c r="AN2347" s="10" t="str">
        <f t="shared" si="264"/>
        <v>FALSE</v>
      </c>
      <c r="AO2347" s="10" t="str">
        <f t="shared" si="265"/>
        <v>FALSE</v>
      </c>
      <c r="AP2347" s="10" t="str">
        <f t="shared" si="265"/>
        <v>FALSE</v>
      </c>
      <c r="AQ2347" s="10" t="b">
        <f>IF(AND(I2347="TP",S2347&lt;=150),VLOOKUP(AF2347,TPCalibEq150!$AZ$2:$BB$55,3,),IF(AND(I2347="TDP",S2347&lt;=150),VLOOKUP(AF2347,TPCalibEq150!$AZ$2:$BB$55,3,)))</f>
        <v>0</v>
      </c>
      <c r="AR2347" s="10" t="b">
        <f>IF(AND(I2347="TP",S2347&lt;=300),VLOOKUP(AF2347,TPCalibEq300!$AZ$2:$BB$55,3,),IF(AND(I2347="TDP",S2347&lt;=300),VLOOKUP(AF2347,TPCalibEq300!$AZ$2:$BB$55,3,)))</f>
        <v>0</v>
      </c>
      <c r="AS2347" s="10" t="b">
        <f>IF(AND(I2347="TP",S2347&lt;=500),VLOOKUP(AF2347,TPCalibEq500!$AZ$2:$BB$56,3,),IF(AND(I2347="TDP",S2347&lt;=500),VLOOKUP(AF2347,TPCalibEq500!$AZ$2:$BB$56,3,)))</f>
        <v>0</v>
      </c>
      <c r="AT2347" s="10" t="b">
        <f>IF(AND(I2347="TN",S2347&lt;=2800),VLOOKUP(AF2347,TNCalibEq2500!$AZ$2:$BB$56,3,),IF(AND(I2347="TDN",S2347&lt;=2800),VLOOKUP(AF2347,TNCalibEq2500!$AZ$2:$BB$56,3,)))</f>
        <v>0</v>
      </c>
      <c r="AU2347" s="10" t="b">
        <f>IF(I2347="TP",VLOOKUP(AF2347,TPCalibEqFull!$AZ$2:$BB$56,3),IF(I2347="TDP",VLOOKUP(AF2347,TPCalibEqFull!$AZ$2:$BB$56,3),IF(I2347="TDN",VLOOKUP(AF2347,TNCalibEqFull!$AZ$1:$BB$56,3),IF(I2347="TN",VLOOKUP(AF2347,TNCalibEqFull!$AZ$1:$BB$56,3),FALSE))))</f>
        <v>0</v>
      </c>
      <c r="AV2347" s="10" t="str">
        <f t="shared" si="268"/>
        <v>0208 10:12:00-BUO-10-FIL-1-SW-UKN</v>
      </c>
    </row>
    <row r="2348" spans="1:48" s="10" customFormat="1" x14ac:dyDescent="0.55000000000000004">
      <c r="A2348" s="32">
        <v>44965</v>
      </c>
      <c r="B2348" s="33">
        <v>0.42777777777777781</v>
      </c>
      <c r="C2348" s="10" t="s">
        <v>611</v>
      </c>
      <c r="D2348" s="10">
        <v>20</v>
      </c>
      <c r="E2348" s="10" t="s">
        <v>911</v>
      </c>
      <c r="F2348" s="10">
        <v>1</v>
      </c>
      <c r="G2348" s="10" t="s">
        <v>231</v>
      </c>
      <c r="H2348" s="10" t="s">
        <v>322</v>
      </c>
      <c r="I2348" s="10" t="s">
        <v>167</v>
      </c>
      <c r="J2348" s="10">
        <v>117</v>
      </c>
      <c r="K2348" s="12">
        <v>44966</v>
      </c>
      <c r="L2348" s="33">
        <v>0.60032407407407407</v>
      </c>
      <c r="M2348" s="10">
        <v>1</v>
      </c>
      <c r="N2348" s="10" t="s">
        <v>211</v>
      </c>
      <c r="O2348" s="10">
        <v>0.56200000000000006</v>
      </c>
      <c r="P2348" s="10">
        <v>5.16E-2</v>
      </c>
      <c r="Q2348" s="10">
        <v>96.8</v>
      </c>
      <c r="R2348" s="10" t="s">
        <v>913</v>
      </c>
      <c r="S2348" s="34">
        <f t="shared" si="263"/>
        <v>96.8</v>
      </c>
      <c r="T2348" s="10" t="s">
        <v>1166</v>
      </c>
      <c r="U2348" s="34" t="str">
        <f t="shared" si="266"/>
        <v/>
      </c>
      <c r="V2348" s="31" t="str">
        <f>IF(H2348="CHK",VLOOKUP(I2348,QCCHK,3,),IF(H2348="GUP",VLOOKUP(E2348,QCGUP,2,),IF(AND(H2348="ATP",OR(I2348="TN",I2348="TDN",I2348="TNO2-3",I2348="NO2-3")),VLOOKUP(E2348,QCREC_N,2,),IF(AND(H2348="NIC",OR(I2348="TN",I2348="TDN",I2348="TNO2-3",I2348="NO2-3")),VLOOKUP(E2348,QCNIC_N,2,),IF(AND(H2348="UREA",OR(I2348="TN",I2348="TDN",I2348="TNO2-3",I2348="NO2-3")),VLOOKUP(E2348,QCUREA_N,2,),IF(H2348="PER",VLOOKUP(I2348,QCPER,MATCH(E2348,QCACTUAL!$J$25:$AA$25,0),),IF(H2348="SPK",VLOOKUP(I2348,QCSPK,3,),IF(AND(H2348="ATP",OR(I2348="TP",I2348="TDP")),VLOOKUP(E2348,QCATP_P,2,),""))))))))</f>
        <v/>
      </c>
      <c r="W2348" s="31" t="str">
        <f t="shared" si="267"/>
        <v>TRUE</v>
      </c>
      <c r="X2348" s="31" t="str">
        <f t="shared" si="262"/>
        <v/>
      </c>
      <c r="Y2348" s="10" t="s">
        <v>1144</v>
      </c>
      <c r="AL2348" s="10" t="str">
        <f t="shared" si="264"/>
        <v>FALSE</v>
      </c>
      <c r="AM2348" s="10" t="str">
        <f t="shared" si="264"/>
        <v>FALSE</v>
      </c>
      <c r="AN2348" s="10" t="str">
        <f t="shared" si="264"/>
        <v>FALSE</v>
      </c>
      <c r="AO2348" s="10" t="str">
        <f t="shared" si="265"/>
        <v>FALSE</v>
      </c>
      <c r="AP2348" s="10" t="str">
        <f t="shared" si="265"/>
        <v>FALSE</v>
      </c>
      <c r="AQ2348" s="10" t="b">
        <f>IF(AND(I2348="TP",S2348&lt;=150),VLOOKUP(AF2348,TPCalibEq150!$AZ$2:$BB$55,3,),IF(AND(I2348="TDP",S2348&lt;=150),VLOOKUP(AF2348,TPCalibEq150!$AZ$2:$BB$55,3,)))</f>
        <v>0</v>
      </c>
      <c r="AR2348" s="10" t="b">
        <f>IF(AND(I2348="TP",S2348&lt;=300),VLOOKUP(AF2348,TPCalibEq300!$AZ$2:$BB$55,3,),IF(AND(I2348="TDP",S2348&lt;=300),VLOOKUP(AF2348,TPCalibEq300!$AZ$2:$BB$55,3,)))</f>
        <v>0</v>
      </c>
      <c r="AS2348" s="10" t="b">
        <f>IF(AND(I2348="TP",S2348&lt;=500),VLOOKUP(AF2348,TPCalibEq500!$AZ$2:$BB$56,3,),IF(AND(I2348="TDP",S2348&lt;=500),VLOOKUP(AF2348,TPCalibEq500!$AZ$2:$BB$56,3,)))</f>
        <v>0</v>
      </c>
      <c r="AT2348" s="10" t="b">
        <f>IF(AND(I2348="TN",S2348&lt;=2800),VLOOKUP(AF2348,TNCalibEq2500!$AZ$2:$BB$56,3,),IF(AND(I2348="TDN",S2348&lt;=2800),VLOOKUP(AF2348,TNCalibEq2500!$AZ$2:$BB$56,3,)))</f>
        <v>0</v>
      </c>
      <c r="AU2348" s="10" t="b">
        <f>IF(I2348="TP",VLOOKUP(AF2348,TPCalibEqFull!$AZ$2:$BB$56,3),IF(I2348="TDP",VLOOKUP(AF2348,TPCalibEqFull!$AZ$2:$BB$56,3),IF(I2348="TDN",VLOOKUP(AF2348,TNCalibEqFull!$AZ$1:$BB$56,3),IF(I2348="TN",VLOOKUP(AF2348,TNCalibEqFull!$AZ$1:$BB$56,3),FALSE))))</f>
        <v>0</v>
      </c>
      <c r="AV2348" s="10" t="str">
        <f t="shared" si="268"/>
        <v>0208 10:16:00-BUO-20-FIL-1-SW-UKN</v>
      </c>
    </row>
    <row r="2349" spans="1:48" s="10" customFormat="1" x14ac:dyDescent="0.55000000000000004">
      <c r="A2349" s="32">
        <v>44965</v>
      </c>
      <c r="B2349" s="33">
        <v>0.43055555555555558</v>
      </c>
      <c r="C2349" s="10" t="s">
        <v>611</v>
      </c>
      <c r="D2349" s="10">
        <v>46</v>
      </c>
      <c r="E2349" s="10" t="s">
        <v>911</v>
      </c>
      <c r="F2349" s="10">
        <v>1</v>
      </c>
      <c r="G2349" s="10" t="s">
        <v>231</v>
      </c>
      <c r="H2349" s="10" t="s">
        <v>322</v>
      </c>
      <c r="I2349" s="10" t="s">
        <v>167</v>
      </c>
      <c r="J2349" s="10">
        <v>118</v>
      </c>
      <c r="K2349" s="12">
        <v>44966</v>
      </c>
      <c r="L2349" s="33">
        <v>0.60113425925925923</v>
      </c>
      <c r="M2349" s="10">
        <v>1</v>
      </c>
      <c r="N2349" s="10" t="s">
        <v>211</v>
      </c>
      <c r="O2349" s="10">
        <v>0.56599999999999995</v>
      </c>
      <c r="P2349" s="10">
        <v>5.2200000000000003E-2</v>
      </c>
      <c r="Q2349" s="10">
        <v>97.5</v>
      </c>
      <c r="R2349" s="10" t="s">
        <v>913</v>
      </c>
      <c r="S2349" s="34">
        <f t="shared" si="263"/>
        <v>97.5</v>
      </c>
      <c r="T2349" s="10" t="s">
        <v>1166</v>
      </c>
      <c r="U2349" s="34" t="str">
        <f t="shared" si="266"/>
        <v/>
      </c>
      <c r="V2349" s="31" t="str">
        <f>IF(H2349="CHK",VLOOKUP(I2349,QCCHK,3,),IF(H2349="GUP",VLOOKUP(E2349,QCGUP,2,),IF(AND(H2349="ATP",OR(I2349="TN",I2349="TDN",I2349="TNO2-3",I2349="NO2-3")),VLOOKUP(E2349,QCREC_N,2,),IF(AND(H2349="NIC",OR(I2349="TN",I2349="TDN",I2349="TNO2-3",I2349="NO2-3")),VLOOKUP(E2349,QCNIC_N,2,),IF(AND(H2349="UREA",OR(I2349="TN",I2349="TDN",I2349="TNO2-3",I2349="NO2-3")),VLOOKUP(E2349,QCUREA_N,2,),IF(H2349="PER",VLOOKUP(I2349,QCPER,MATCH(E2349,QCACTUAL!$J$25:$AA$25,0),),IF(H2349="SPK",VLOOKUP(I2349,QCSPK,3,),IF(AND(H2349="ATP",OR(I2349="TP",I2349="TDP")),VLOOKUP(E2349,QCATP_P,2,),""))))))))</f>
        <v/>
      </c>
      <c r="W2349" s="31" t="str">
        <f t="shared" si="267"/>
        <v>TRUE</v>
      </c>
      <c r="X2349" s="31" t="str">
        <f t="shared" si="262"/>
        <v/>
      </c>
      <c r="Y2349" s="10" t="s">
        <v>1144</v>
      </c>
      <c r="AL2349" s="10" t="str">
        <f t="shared" si="264"/>
        <v>FALSE</v>
      </c>
      <c r="AM2349" s="10" t="str">
        <f t="shared" si="264"/>
        <v>FALSE</v>
      </c>
      <c r="AN2349" s="10" t="str">
        <f t="shared" si="264"/>
        <v>FALSE</v>
      </c>
      <c r="AO2349" s="10" t="str">
        <f t="shared" si="265"/>
        <v>FALSE</v>
      </c>
      <c r="AP2349" s="10" t="str">
        <f t="shared" si="265"/>
        <v>FALSE</v>
      </c>
      <c r="AQ2349" s="10" t="b">
        <f>IF(AND(I2349="TP",S2349&lt;=150),VLOOKUP(AF2349,TPCalibEq150!$AZ$2:$BB$55,3,),IF(AND(I2349="TDP",S2349&lt;=150),VLOOKUP(AF2349,TPCalibEq150!$AZ$2:$BB$55,3,)))</f>
        <v>0</v>
      </c>
      <c r="AR2349" s="10" t="b">
        <f>IF(AND(I2349="TP",S2349&lt;=300),VLOOKUP(AF2349,TPCalibEq300!$AZ$2:$BB$55,3,),IF(AND(I2349="TDP",S2349&lt;=300),VLOOKUP(AF2349,TPCalibEq300!$AZ$2:$BB$55,3,)))</f>
        <v>0</v>
      </c>
      <c r="AS2349" s="10" t="b">
        <f>IF(AND(I2349="TP",S2349&lt;=500),VLOOKUP(AF2349,TPCalibEq500!$AZ$2:$BB$56,3,),IF(AND(I2349="TDP",S2349&lt;=500),VLOOKUP(AF2349,TPCalibEq500!$AZ$2:$BB$56,3,)))</f>
        <v>0</v>
      </c>
      <c r="AT2349" s="10" t="b">
        <f>IF(AND(I2349="TN",S2349&lt;=2800),VLOOKUP(AF2349,TNCalibEq2500!$AZ$2:$BB$56,3,),IF(AND(I2349="TDN",S2349&lt;=2800),VLOOKUP(AF2349,TNCalibEq2500!$AZ$2:$BB$56,3,)))</f>
        <v>0</v>
      </c>
      <c r="AU2349" s="10" t="b">
        <f>IF(I2349="TP",VLOOKUP(AF2349,TPCalibEqFull!$AZ$2:$BB$56,3),IF(I2349="TDP",VLOOKUP(AF2349,TPCalibEqFull!$AZ$2:$BB$56,3),IF(I2349="TDN",VLOOKUP(AF2349,TNCalibEqFull!$AZ$1:$BB$56,3),IF(I2349="TN",VLOOKUP(AF2349,TNCalibEqFull!$AZ$1:$BB$56,3),FALSE))))</f>
        <v>0</v>
      </c>
      <c r="AV2349" s="10" t="str">
        <f t="shared" si="268"/>
        <v>0208 10:20:00-BUO-46-FIL-1-SW-UKN</v>
      </c>
    </row>
    <row r="2350" spans="1:48" s="10" customFormat="1" x14ac:dyDescent="0.55000000000000004">
      <c r="A2350" s="32">
        <v>44965</v>
      </c>
      <c r="B2350" s="33">
        <v>0.43055555555555558</v>
      </c>
      <c r="C2350" s="10" t="s">
        <v>611</v>
      </c>
      <c r="D2350" s="10">
        <v>46</v>
      </c>
      <c r="E2350" s="10" t="s">
        <v>911</v>
      </c>
      <c r="F2350" s="10">
        <v>1</v>
      </c>
      <c r="G2350" s="10" t="s">
        <v>231</v>
      </c>
      <c r="H2350" s="10" t="s">
        <v>233</v>
      </c>
      <c r="I2350" s="10" t="s">
        <v>167</v>
      </c>
      <c r="J2350" s="10">
        <v>118</v>
      </c>
      <c r="K2350" s="12">
        <v>44966</v>
      </c>
      <c r="L2350" s="33">
        <v>0.60195601851851854</v>
      </c>
      <c r="M2350" s="10">
        <v>1</v>
      </c>
      <c r="N2350" s="10" t="s">
        <v>211</v>
      </c>
      <c r="O2350" s="10">
        <v>0.56499999999999995</v>
      </c>
      <c r="P2350" s="10">
        <v>5.21E-2</v>
      </c>
      <c r="Q2350" s="10">
        <v>97.3</v>
      </c>
      <c r="R2350" s="10" t="s">
        <v>913</v>
      </c>
      <c r="S2350" s="34">
        <f t="shared" si="263"/>
        <v>97.3</v>
      </c>
      <c r="T2350" s="10" t="s">
        <v>1166</v>
      </c>
      <c r="U2350" s="34">
        <f t="shared" si="266"/>
        <v>0.2053388090349105</v>
      </c>
      <c r="V2350" s="31" t="str">
        <f>IF(H2350="CHK",VLOOKUP(I2350,QCCHK,3,),IF(H2350="GUP",VLOOKUP(E2350,QCGUP,2,),IF(AND(H2350="ATP",OR(I2350="TN",I2350="TDN",I2350="TNO2-3",I2350="NO2-3")),VLOOKUP(E2350,QCREC_N,2,),IF(AND(H2350="NIC",OR(I2350="TN",I2350="TDN",I2350="TNO2-3",I2350="NO2-3")),VLOOKUP(E2350,QCNIC_N,2,),IF(AND(H2350="UREA",OR(I2350="TN",I2350="TDN",I2350="TNO2-3",I2350="NO2-3")),VLOOKUP(E2350,QCUREA_N,2,),IF(H2350="PER",VLOOKUP(I2350,QCPER,MATCH(E2350,QCACTUAL!$J$25:$AA$25,0),),IF(H2350="SPK",VLOOKUP(I2350,QCSPK,3,),IF(AND(H2350="ATP",OR(I2350="TP",I2350="TDP")),VLOOKUP(E2350,QCATP_P,2,),""))))))))</f>
        <v/>
      </c>
      <c r="W2350" s="31" t="str">
        <f t="shared" si="267"/>
        <v>TRUE</v>
      </c>
      <c r="X2350" s="31" t="str">
        <f t="shared" si="262"/>
        <v>((ABS(rep1-rep2))/((rep1+rep2)/2)*100</v>
      </c>
      <c r="Y2350" s="10" t="s">
        <v>1144</v>
      </c>
      <c r="AL2350" s="10" t="str">
        <f t="shared" si="264"/>
        <v>FALSE</v>
      </c>
      <c r="AM2350" s="10" t="str">
        <f t="shared" si="264"/>
        <v>FALSE</v>
      </c>
      <c r="AN2350" s="10" t="str">
        <f t="shared" si="264"/>
        <v>FALSE</v>
      </c>
      <c r="AO2350" s="10" t="str">
        <f t="shared" si="265"/>
        <v>FALSE</v>
      </c>
      <c r="AP2350" s="10" t="str">
        <f t="shared" si="265"/>
        <v>FALSE</v>
      </c>
      <c r="AQ2350" s="10" t="b">
        <f>IF(AND(I2350="TP",S2350&lt;=150),VLOOKUP(AF2350,TPCalibEq150!$AZ$2:$BB$55,3,),IF(AND(I2350="TDP",S2350&lt;=150),VLOOKUP(AF2350,TPCalibEq150!$AZ$2:$BB$55,3,)))</f>
        <v>0</v>
      </c>
      <c r="AR2350" s="10" t="b">
        <f>IF(AND(I2350="TP",S2350&lt;=300),VLOOKUP(AF2350,TPCalibEq300!$AZ$2:$BB$55,3,),IF(AND(I2350="TDP",S2350&lt;=300),VLOOKUP(AF2350,TPCalibEq300!$AZ$2:$BB$55,3,)))</f>
        <v>0</v>
      </c>
      <c r="AS2350" s="10" t="b">
        <f>IF(AND(I2350="TP",S2350&lt;=500),VLOOKUP(AF2350,TPCalibEq500!$AZ$2:$BB$56,3,),IF(AND(I2350="TDP",S2350&lt;=500),VLOOKUP(AF2350,TPCalibEq500!$AZ$2:$BB$56,3,)))</f>
        <v>0</v>
      </c>
      <c r="AT2350" s="10" t="b">
        <f>IF(AND(I2350="TN",S2350&lt;=2800),VLOOKUP(AF2350,TNCalibEq2500!$AZ$2:$BB$56,3,),IF(AND(I2350="TDN",S2350&lt;=2800),VLOOKUP(AF2350,TNCalibEq2500!$AZ$2:$BB$56,3,)))</f>
        <v>0</v>
      </c>
      <c r="AU2350" s="10" t="b">
        <f>IF(I2350="TP",VLOOKUP(AF2350,TPCalibEqFull!$AZ$2:$BB$56,3),IF(I2350="TDP",VLOOKUP(AF2350,TPCalibEqFull!$AZ$2:$BB$56,3),IF(I2350="TDN",VLOOKUP(AF2350,TNCalibEqFull!$AZ$1:$BB$56,3),IF(I2350="TN",VLOOKUP(AF2350,TNCalibEqFull!$AZ$1:$BB$56,3),FALSE))))</f>
        <v>0</v>
      </c>
      <c r="AV2350" s="10" t="str">
        <f t="shared" si="268"/>
        <v>0208 10:20:00-BUO-46-FIL-1-SW-DUP</v>
      </c>
    </row>
    <row r="2351" spans="1:48" s="10" customFormat="1" x14ac:dyDescent="0.55000000000000004">
      <c r="A2351" s="32">
        <v>44965</v>
      </c>
      <c r="B2351" s="33">
        <v>0.43055555555555558</v>
      </c>
      <c r="C2351" s="10" t="s">
        <v>611</v>
      </c>
      <c r="D2351" s="10">
        <v>46</v>
      </c>
      <c r="E2351" s="10" t="s">
        <v>911</v>
      </c>
      <c r="F2351" s="10">
        <v>1</v>
      </c>
      <c r="G2351" s="10" t="s">
        <v>231</v>
      </c>
      <c r="H2351" s="10" t="s">
        <v>314</v>
      </c>
      <c r="I2351" s="10" t="s">
        <v>167</v>
      </c>
      <c r="J2351" s="10">
        <v>132</v>
      </c>
      <c r="K2351" s="12">
        <v>44966</v>
      </c>
      <c r="L2351" s="33">
        <v>0.60276620370370371</v>
      </c>
      <c r="M2351" s="10">
        <v>1</v>
      </c>
      <c r="N2351" s="10" t="s">
        <v>211</v>
      </c>
      <c r="O2351" s="10">
        <v>1.51</v>
      </c>
      <c r="P2351" s="10">
        <v>0.14499999999999999</v>
      </c>
      <c r="Q2351" s="10">
        <v>261</v>
      </c>
      <c r="R2351" s="10" t="s">
        <v>913</v>
      </c>
      <c r="S2351" s="34">
        <f t="shared" si="263"/>
        <v>261</v>
      </c>
      <c r="T2351" s="10" t="s">
        <v>1166</v>
      </c>
      <c r="U2351" s="34">
        <f t="shared" si="266"/>
        <v>104.768</v>
      </c>
      <c r="V2351" s="31">
        <f>IF(H2351="CHK",VLOOKUP(I2351,QCCHK,3,),IF(H2351="GUP",VLOOKUP(E2351,QCGUP,2,),IF(AND(H2351="ATP",OR(I2351="TN",I2351="TDN",I2351="TNO2-3",I2351="NO2-3")),VLOOKUP(E2351,QCREC_N,2,),IF(AND(H2351="NIC",OR(I2351="TN",I2351="TDN",I2351="TNO2-3",I2351="NO2-3")),VLOOKUP(E2351,QCNIC_N,2,),IF(AND(H2351="UREA",OR(I2351="TN",I2351="TDN",I2351="TNO2-3",I2351="NO2-3")),VLOOKUP(E2351,QCUREA_N,2,),IF(H2351="PER",VLOOKUP(I2351,QCPER,MATCH(E2351,QCACTUAL!$J$25:$AA$25,0),),IF(H2351="SPK",VLOOKUP(I2351,QCSPK,3,),IF(AND(H2351="ATP",OR(I2351="TP",I2351="TDP")),VLOOKUP(E2351,QCATP_P,2,),""))))))))</f>
        <v>156.25</v>
      </c>
      <c r="W2351" s="31" t="str">
        <f t="shared" si="267"/>
        <v>TRUE</v>
      </c>
      <c r="X2351" s="31" t="str">
        <f t="shared" si="262"/>
        <v>([spikedunkn]-[unkn])/[spike]*100</v>
      </c>
      <c r="Y2351" s="10" t="s">
        <v>1144</v>
      </c>
      <c r="AL2351" s="10" t="str">
        <f t="shared" si="264"/>
        <v>FALSE</v>
      </c>
      <c r="AM2351" s="10" t="str">
        <f t="shared" si="264"/>
        <v>FALSE</v>
      </c>
      <c r="AN2351" s="10" t="str">
        <f t="shared" si="264"/>
        <v>FALSE</v>
      </c>
      <c r="AO2351" s="10" t="str">
        <f t="shared" si="265"/>
        <v>FALSE</v>
      </c>
      <c r="AP2351" s="10" t="str">
        <f t="shared" si="265"/>
        <v>FALSE</v>
      </c>
      <c r="AQ2351" s="10" t="b">
        <f>IF(AND(I2351="TP",S2351&lt;=150),VLOOKUP(AF2351,TPCalibEq150!$AZ$2:$BB$55,3,),IF(AND(I2351="TDP",S2351&lt;=150),VLOOKUP(AF2351,TPCalibEq150!$AZ$2:$BB$55,3,)))</f>
        <v>0</v>
      </c>
      <c r="AR2351" s="10" t="b">
        <f>IF(AND(I2351="TP",S2351&lt;=300),VLOOKUP(AF2351,TPCalibEq300!$AZ$2:$BB$55,3,),IF(AND(I2351="TDP",S2351&lt;=300),VLOOKUP(AF2351,TPCalibEq300!$AZ$2:$BB$55,3,)))</f>
        <v>0</v>
      </c>
      <c r="AS2351" s="10" t="b">
        <f>IF(AND(I2351="TP",S2351&lt;=500),VLOOKUP(AF2351,TPCalibEq500!$AZ$2:$BB$56,3,),IF(AND(I2351="TDP",S2351&lt;=500),VLOOKUP(AF2351,TPCalibEq500!$AZ$2:$BB$56,3,)))</f>
        <v>0</v>
      </c>
      <c r="AT2351" s="10" t="b">
        <f>IF(AND(I2351="TN",S2351&lt;=2800),VLOOKUP(AF2351,TNCalibEq2500!$AZ$2:$BB$56,3,),IF(AND(I2351="TDN",S2351&lt;=2800),VLOOKUP(AF2351,TNCalibEq2500!$AZ$2:$BB$56,3,)))</f>
        <v>0</v>
      </c>
      <c r="AU2351" s="10" t="b">
        <f>IF(I2351="TP",VLOOKUP(AF2351,TPCalibEqFull!$AZ$2:$BB$56,3),IF(I2351="TDP",VLOOKUP(AF2351,TPCalibEqFull!$AZ$2:$BB$56,3),IF(I2351="TDN",VLOOKUP(AF2351,TNCalibEqFull!$AZ$1:$BB$56,3),IF(I2351="TN",VLOOKUP(AF2351,TNCalibEqFull!$AZ$1:$BB$56,3),FALSE))))</f>
        <v>0</v>
      </c>
      <c r="AV2351" s="10" t="str">
        <f t="shared" si="268"/>
        <v>0208 10:20:00-BUO-46-FIL-1-SW-SPK</v>
      </c>
    </row>
    <row r="2352" spans="1:48" s="10" customFormat="1" x14ac:dyDescent="0.55000000000000004">
      <c r="A2352" s="32">
        <v>44966</v>
      </c>
      <c r="B2352" s="33">
        <v>0.375</v>
      </c>
      <c r="C2352" s="10" t="s">
        <v>70</v>
      </c>
      <c r="D2352" s="10" t="s">
        <v>71</v>
      </c>
      <c r="E2352" s="10" t="s">
        <v>901</v>
      </c>
      <c r="F2352" s="10">
        <v>1</v>
      </c>
      <c r="G2352" s="10" t="s">
        <v>73</v>
      </c>
      <c r="H2352" s="10" t="s">
        <v>207</v>
      </c>
      <c r="I2352" s="10" t="s">
        <v>285</v>
      </c>
      <c r="J2352" s="10">
        <v>200</v>
      </c>
      <c r="K2352" s="12">
        <v>44966</v>
      </c>
      <c r="L2352" s="33">
        <v>0.60359953703703706</v>
      </c>
      <c r="M2352" s="10">
        <v>1</v>
      </c>
      <c r="N2352" s="10" t="s">
        <v>211</v>
      </c>
      <c r="O2352" s="10">
        <v>0.432</v>
      </c>
      <c r="P2352" s="10">
        <v>4.07E-2</v>
      </c>
      <c r="Q2352" s="10">
        <v>74.3</v>
      </c>
      <c r="R2352" s="10" t="s">
        <v>913</v>
      </c>
      <c r="S2352" s="34">
        <f t="shared" si="263"/>
        <v>74.3</v>
      </c>
      <c r="T2352" s="10" t="s">
        <v>1166</v>
      </c>
      <c r="U2352" s="34">
        <f t="shared" si="266"/>
        <v>99.066666666666663</v>
      </c>
      <c r="V2352" s="31">
        <f>IF(H2352="CHK",VLOOKUP(I2352,QCCHK,3,),IF(H2352="GUP",VLOOKUP(E2352,QCGUP,2,),IF(AND(H2352="ATP",OR(I2352="TN",I2352="TDN",I2352="TNO2-3",I2352="NO2-3")),VLOOKUP(E2352,QCREC_N,2,),IF(AND(H2352="NIC",OR(I2352="TN",I2352="TDN",I2352="TNO2-3",I2352="NO2-3")),VLOOKUP(E2352,QCNIC_N,2,),IF(AND(H2352="UREA",OR(I2352="TN",I2352="TDN",I2352="TNO2-3",I2352="NO2-3")),VLOOKUP(E2352,QCUREA_N,2,),IF(H2352="PER",VLOOKUP(I2352,QCPER,MATCH(E2352,QCACTUAL!$J$25:$AA$25,0),),IF(H2352="SPK",VLOOKUP(I2352,QCSPK,3,),IF(AND(H2352="ATP",OR(I2352="TP",I2352="TDP")),VLOOKUP(E2352,QCATP_P,2,),""))))))))</f>
        <v>75</v>
      </c>
      <c r="W2352" s="31" t="str">
        <f t="shared" si="267"/>
        <v>TRUE</v>
      </c>
      <c r="X2352" s="31" t="str">
        <f t="shared" si="262"/>
        <v>[chk]/[actual]*100</v>
      </c>
      <c r="Y2352" s="10" t="s">
        <v>1144</v>
      </c>
      <c r="AL2352" s="10" t="str">
        <f t="shared" si="264"/>
        <v>FALSE</v>
      </c>
      <c r="AM2352" s="10" t="str">
        <f t="shared" si="264"/>
        <v>FALSE</v>
      </c>
      <c r="AN2352" s="10" t="str">
        <f t="shared" si="264"/>
        <v>FALSE</v>
      </c>
      <c r="AO2352" s="10" t="str">
        <f t="shared" si="265"/>
        <v>FALSE</v>
      </c>
      <c r="AP2352" s="10" t="str">
        <f t="shared" si="265"/>
        <v>FALSE</v>
      </c>
      <c r="AQ2352" s="10" t="b">
        <f>IF(AND(I2352="TP",S2352&lt;=150),VLOOKUP(AF2352,TPCalibEq150!$AZ$2:$BB$55,3,),IF(AND(I2352="TDP",S2352&lt;=150),VLOOKUP(AF2352,TPCalibEq150!$AZ$2:$BB$55,3,)))</f>
        <v>0</v>
      </c>
      <c r="AR2352" s="10" t="b">
        <f>IF(AND(I2352="TP",S2352&lt;=300),VLOOKUP(AF2352,TPCalibEq300!$AZ$2:$BB$55,3,),IF(AND(I2352="TDP",S2352&lt;=300),VLOOKUP(AF2352,TPCalibEq300!$AZ$2:$BB$55,3,)))</f>
        <v>0</v>
      </c>
      <c r="AS2352" s="10" t="b">
        <f>IF(AND(I2352="TP",S2352&lt;=500),VLOOKUP(AF2352,TPCalibEq500!$AZ$2:$BB$56,3,),IF(AND(I2352="TDP",S2352&lt;=500),VLOOKUP(AF2352,TPCalibEq500!$AZ$2:$BB$56,3,)))</f>
        <v>0</v>
      </c>
      <c r="AT2352" s="10" t="b">
        <f>IF(AND(I2352="TN",S2352&lt;=2800),VLOOKUP(AF2352,TNCalibEq2500!$AZ$2:$BB$56,3,),IF(AND(I2352="TDN",S2352&lt;=2800),VLOOKUP(AF2352,TNCalibEq2500!$AZ$2:$BB$56,3,)))</f>
        <v>0</v>
      </c>
      <c r="AU2352" s="10" t="b">
        <f>IF(I2352="TP",VLOOKUP(AF2352,TPCalibEqFull!$AZ$2:$BB$56,3),IF(I2352="TDP",VLOOKUP(AF2352,TPCalibEqFull!$AZ$2:$BB$56,3),IF(I2352="TDN",VLOOKUP(AF2352,TNCalibEqFull!$AZ$1:$BB$56,3),IF(I2352="TN",VLOOKUP(AF2352,TNCalibEqFull!$AZ$1:$BB$56,3),FALSE))))</f>
        <v>0</v>
      </c>
      <c r="AV2352" s="10" t="str">
        <f t="shared" si="268"/>
        <v>0209 09:00:00-QAC-STD-D-1-DI-CHK</v>
      </c>
    </row>
    <row r="2353" spans="1:48" s="10" customFormat="1" x14ac:dyDescent="0.55000000000000004">
      <c r="A2353" s="32">
        <v>44964</v>
      </c>
      <c r="B2353" s="33">
        <v>0.22777777777777777</v>
      </c>
      <c r="C2353" s="10" t="s">
        <v>912</v>
      </c>
      <c r="D2353" s="10">
        <v>0</v>
      </c>
      <c r="E2353" s="10" t="s">
        <v>911</v>
      </c>
      <c r="F2353" s="10">
        <v>1</v>
      </c>
      <c r="G2353" s="10" t="s">
        <v>231</v>
      </c>
      <c r="H2353" s="10" t="s">
        <v>314</v>
      </c>
      <c r="I2353" s="10" t="s">
        <v>167</v>
      </c>
      <c r="J2353" s="10">
        <v>126</v>
      </c>
      <c r="K2353" s="12">
        <v>44966</v>
      </c>
      <c r="L2353" s="33">
        <v>0.60440972222222222</v>
      </c>
      <c r="M2353" s="10">
        <v>1</v>
      </c>
      <c r="N2353" s="10" t="s">
        <v>211</v>
      </c>
      <c r="O2353" s="10">
        <v>1.01</v>
      </c>
      <c r="P2353" s="10">
        <v>9.4600000000000004E-2</v>
      </c>
      <c r="Q2353" s="10">
        <v>175</v>
      </c>
      <c r="R2353" s="10" t="s">
        <v>913</v>
      </c>
      <c r="S2353" s="34">
        <f t="shared" si="263"/>
        <v>175</v>
      </c>
      <c r="T2353" s="10" t="s">
        <v>1166</v>
      </c>
      <c r="U2353" s="34">
        <f t="shared" si="266"/>
        <v>64.448000000000008</v>
      </c>
      <c r="V2353" s="31">
        <f>IF(H2353="CHK",VLOOKUP(I2353,QCCHK,3,),IF(H2353="GUP",VLOOKUP(E2353,QCGUP,2,),IF(AND(H2353="ATP",OR(I2353="TN",I2353="TDN",I2353="TNO2-3",I2353="NO2-3")),VLOOKUP(E2353,QCREC_N,2,),IF(AND(H2353="NIC",OR(I2353="TN",I2353="TDN",I2353="TNO2-3",I2353="NO2-3")),VLOOKUP(E2353,QCNIC_N,2,),IF(AND(H2353="UREA",OR(I2353="TN",I2353="TDN",I2353="TNO2-3",I2353="NO2-3")),VLOOKUP(E2353,QCUREA_N,2,),IF(H2353="PER",VLOOKUP(I2353,QCPER,MATCH(E2353,QCACTUAL!$J$25:$AA$25,0),),IF(H2353="SPK",VLOOKUP(I2353,QCSPK,3,),IF(AND(H2353="ATP",OR(I2353="TP",I2353="TDP")),VLOOKUP(E2353,QCATP_P,2,),""))))))))</f>
        <v>156.25</v>
      </c>
      <c r="W2353" s="31" t="str">
        <f t="shared" si="267"/>
        <v>FALSE</v>
      </c>
      <c r="X2353" s="31" t="str">
        <f t="shared" si="262"/>
        <v>([spikedunkn]-[unkn])/[spike]*100</v>
      </c>
      <c r="Y2353" s="10" t="s">
        <v>1144</v>
      </c>
      <c r="Z2353" s="10" t="s">
        <v>910</v>
      </c>
      <c r="AL2353" s="10" t="str">
        <f t="shared" si="264"/>
        <v>FALSE</v>
      </c>
      <c r="AM2353" s="10" t="str">
        <f t="shared" si="264"/>
        <v>FALSE</v>
      </c>
      <c r="AN2353" s="10" t="str">
        <f t="shared" si="264"/>
        <v>FALSE</v>
      </c>
      <c r="AO2353" s="10" t="str">
        <f t="shared" si="265"/>
        <v>FALSE</v>
      </c>
      <c r="AP2353" s="10" t="str">
        <f t="shared" si="265"/>
        <v>FALSE</v>
      </c>
      <c r="AQ2353" s="10" t="b">
        <f>IF(AND(I2353="TP",S2353&lt;=150),VLOOKUP(AF2353,TPCalibEq150!$AZ$2:$BB$55,3,),IF(AND(I2353="TDP",S2353&lt;=150),VLOOKUP(AF2353,TPCalibEq150!$AZ$2:$BB$55,3,)))</f>
        <v>0</v>
      </c>
      <c r="AR2353" s="10" t="b">
        <f>IF(AND(I2353="TP",S2353&lt;=300),VLOOKUP(AF2353,TPCalibEq300!$AZ$2:$BB$55,3,),IF(AND(I2353="TDP",S2353&lt;=300),VLOOKUP(AF2353,TPCalibEq300!$AZ$2:$BB$55,3,)))</f>
        <v>0</v>
      </c>
      <c r="AS2353" s="10" t="b">
        <f>IF(AND(I2353="TP",S2353&lt;=500),VLOOKUP(AF2353,TPCalibEq500!$AZ$2:$BB$56,3,),IF(AND(I2353="TDP",S2353&lt;=500),VLOOKUP(AF2353,TPCalibEq500!$AZ$2:$BB$56,3,)))</f>
        <v>0</v>
      </c>
      <c r="AT2353" s="10" t="b">
        <f>IF(AND(I2353="TN",S2353&lt;=2800),VLOOKUP(AF2353,TNCalibEq2500!$AZ$2:$BB$56,3,),IF(AND(I2353="TDN",S2353&lt;=2800),VLOOKUP(AF2353,TNCalibEq2500!$AZ$2:$BB$56,3,)))</f>
        <v>0</v>
      </c>
      <c r="AU2353" s="10" t="b">
        <f>IF(I2353="TP",VLOOKUP(AF2353,TPCalibEqFull!$AZ$2:$BB$56,3),IF(I2353="TDP",VLOOKUP(AF2353,TPCalibEqFull!$AZ$2:$BB$56,3),IF(I2353="TDN",VLOOKUP(AF2353,TNCalibEqFull!$AZ$1:$BB$56,3),IF(I2353="TN",VLOOKUP(AF2353,TNCalibEqFull!$AZ$1:$BB$56,3),FALSE))))</f>
        <v>0</v>
      </c>
      <c r="AV2353" s="10" t="str">
        <f t="shared" si="268"/>
        <v>0207 05:28:00-HST -0-FIL-1-SW-SPK</v>
      </c>
    </row>
    <row r="2354" spans="1:48" s="10" customFormat="1" x14ac:dyDescent="0.55000000000000004">
      <c r="A2354" s="32">
        <v>44963</v>
      </c>
      <c r="B2354" s="33">
        <v>0.4604166666666667</v>
      </c>
      <c r="C2354" s="10" t="s">
        <v>613</v>
      </c>
      <c r="D2354" s="10">
        <v>0</v>
      </c>
      <c r="E2354" s="10" t="s">
        <v>911</v>
      </c>
      <c r="F2354" s="10">
        <v>2</v>
      </c>
      <c r="G2354" s="10" t="s">
        <v>231</v>
      </c>
      <c r="H2354" s="10" t="s">
        <v>314</v>
      </c>
      <c r="I2354" s="10" t="s">
        <v>167</v>
      </c>
      <c r="J2354" s="10">
        <v>127</v>
      </c>
      <c r="K2354" s="12">
        <v>44966</v>
      </c>
      <c r="L2354" s="33">
        <v>0.60523148148148154</v>
      </c>
      <c r="M2354" s="10">
        <v>1</v>
      </c>
      <c r="N2354" s="10" t="s">
        <v>211</v>
      </c>
      <c r="O2354" s="10">
        <v>1.1100000000000001</v>
      </c>
      <c r="P2354" s="10">
        <v>0.104</v>
      </c>
      <c r="Q2354" s="10">
        <v>191</v>
      </c>
      <c r="R2354" s="10" t="s">
        <v>913</v>
      </c>
      <c r="S2354" s="34">
        <f t="shared" si="263"/>
        <v>191</v>
      </c>
      <c r="T2354" s="10" t="s">
        <v>1166</v>
      </c>
      <c r="U2354" s="34">
        <f t="shared" si="266"/>
        <v>10.24</v>
      </c>
      <c r="V2354" s="31">
        <f>IF(H2354="CHK",VLOOKUP(I2354,QCCHK,3,),IF(H2354="GUP",VLOOKUP(E2354,QCGUP,2,),IF(AND(H2354="ATP",OR(I2354="TN",I2354="TDN",I2354="TNO2-3",I2354="NO2-3")),VLOOKUP(E2354,QCREC_N,2,),IF(AND(H2354="NIC",OR(I2354="TN",I2354="TDN",I2354="TNO2-3",I2354="NO2-3")),VLOOKUP(E2354,QCNIC_N,2,),IF(AND(H2354="UREA",OR(I2354="TN",I2354="TDN",I2354="TNO2-3",I2354="NO2-3")),VLOOKUP(E2354,QCUREA_N,2,),IF(H2354="PER",VLOOKUP(I2354,QCPER,MATCH(E2354,QCACTUAL!$J$25:$AA$25,0),),IF(H2354="SPK",VLOOKUP(I2354,QCSPK,3,),IF(AND(H2354="ATP",OR(I2354="TP",I2354="TDP")),VLOOKUP(E2354,QCATP_P,2,),""))))))))</f>
        <v>156.25</v>
      </c>
      <c r="W2354" s="31" t="str">
        <f t="shared" si="267"/>
        <v>FALSE</v>
      </c>
      <c r="X2354" s="31" t="str">
        <f t="shared" si="262"/>
        <v>([spikedunkn]-[unkn])/[spike]*100</v>
      </c>
      <c r="Y2354" s="10" t="s">
        <v>1144</v>
      </c>
      <c r="Z2354" s="10" t="s">
        <v>910</v>
      </c>
      <c r="AL2354" s="10" t="str">
        <f t="shared" si="264"/>
        <v>FALSE</v>
      </c>
      <c r="AM2354" s="10" t="str">
        <f t="shared" si="264"/>
        <v>FALSE</v>
      </c>
      <c r="AN2354" s="10" t="str">
        <f t="shared" si="264"/>
        <v>FALSE</v>
      </c>
      <c r="AO2354" s="10" t="str">
        <f t="shared" si="265"/>
        <v>FALSE</v>
      </c>
      <c r="AP2354" s="10" t="str">
        <f t="shared" si="265"/>
        <v>FALSE</v>
      </c>
      <c r="AQ2354" s="10" t="b">
        <f>IF(AND(I2354="TP",S2354&lt;=150),VLOOKUP(AF2354,TPCalibEq150!$AZ$2:$BB$55,3,),IF(AND(I2354="TDP",S2354&lt;=150),VLOOKUP(AF2354,TPCalibEq150!$AZ$2:$BB$55,3,)))</f>
        <v>0</v>
      </c>
      <c r="AR2354" s="10" t="b">
        <f>IF(AND(I2354="TP",S2354&lt;=300),VLOOKUP(AF2354,TPCalibEq300!$AZ$2:$BB$55,3,),IF(AND(I2354="TDP",S2354&lt;=300),VLOOKUP(AF2354,TPCalibEq300!$AZ$2:$BB$55,3,)))</f>
        <v>0</v>
      </c>
      <c r="AS2354" s="10" t="b">
        <f>IF(AND(I2354="TP",S2354&lt;=500),VLOOKUP(AF2354,TPCalibEq500!$AZ$2:$BB$56,3,),IF(AND(I2354="TDP",S2354&lt;=500),VLOOKUP(AF2354,TPCalibEq500!$AZ$2:$BB$56,3,)))</f>
        <v>0</v>
      </c>
      <c r="AT2354" s="10" t="b">
        <f>IF(AND(I2354="TN",S2354&lt;=2800),VLOOKUP(AF2354,TNCalibEq2500!$AZ$2:$BB$56,3,),IF(AND(I2354="TDN",S2354&lt;=2800),VLOOKUP(AF2354,TNCalibEq2500!$AZ$2:$BB$56,3,)))</f>
        <v>0</v>
      </c>
      <c r="AU2354" s="10" t="b">
        <f>IF(I2354="TP",VLOOKUP(AF2354,TPCalibEqFull!$AZ$2:$BB$56,3),IF(I2354="TDP",VLOOKUP(AF2354,TPCalibEqFull!$AZ$2:$BB$56,3),IF(I2354="TDN",VLOOKUP(AF2354,TNCalibEqFull!$AZ$1:$BB$56,3),IF(I2354="TN",VLOOKUP(AF2354,TNCalibEqFull!$AZ$1:$BB$56,3),FALSE))))</f>
        <v>0</v>
      </c>
      <c r="AV2354" s="10" t="str">
        <f t="shared" si="268"/>
        <v>0206 11:03:00-FVC-0-FIL-2-SW-SPK</v>
      </c>
    </row>
    <row r="2355" spans="1:48" s="10" customFormat="1" x14ac:dyDescent="0.55000000000000004">
      <c r="A2355" s="32">
        <v>44963</v>
      </c>
      <c r="B2355" s="33">
        <v>0.33749999999999997</v>
      </c>
      <c r="C2355" s="10" t="s">
        <v>998</v>
      </c>
      <c r="D2355" s="10">
        <v>0</v>
      </c>
      <c r="E2355" s="10" t="s">
        <v>190</v>
      </c>
      <c r="F2355" s="10">
        <v>1</v>
      </c>
      <c r="G2355" s="10" t="s">
        <v>231</v>
      </c>
      <c r="H2355" s="10" t="s">
        <v>322</v>
      </c>
      <c r="I2355" s="10" t="s">
        <v>285</v>
      </c>
      <c r="J2355" s="10">
        <v>11</v>
      </c>
      <c r="K2355" s="12">
        <v>44966</v>
      </c>
      <c r="L2355" s="33">
        <v>0.6060416666666667</v>
      </c>
      <c r="M2355" s="10">
        <v>1</v>
      </c>
      <c r="N2355" s="10" t="s">
        <v>211</v>
      </c>
      <c r="O2355" s="10">
        <v>9.98E-2</v>
      </c>
      <c r="P2355" s="10">
        <v>9.0399999999999994E-3</v>
      </c>
      <c r="Q2355" s="10">
        <v>16.8</v>
      </c>
      <c r="R2355" s="10" t="s">
        <v>913</v>
      </c>
      <c r="S2355" s="34">
        <f t="shared" si="263"/>
        <v>16.8</v>
      </c>
      <c r="T2355" s="10" t="s">
        <v>1166</v>
      </c>
      <c r="U2355" s="34" t="str">
        <f t="shared" si="266"/>
        <v/>
      </c>
      <c r="V2355" s="31" t="str">
        <f>IF(H2355="CHK",VLOOKUP(I2355,QCCHK,3,),IF(H2355="GUP",VLOOKUP(E2355,QCGUP,2,),IF(AND(H2355="ATP",OR(I2355="TN",I2355="TDN",I2355="TNO2-3",I2355="NO2-3")),VLOOKUP(E2355,QCREC_N,2,),IF(AND(H2355="NIC",OR(I2355="TN",I2355="TDN",I2355="TNO2-3",I2355="NO2-3")),VLOOKUP(E2355,QCNIC_N,2,),IF(AND(H2355="UREA",OR(I2355="TN",I2355="TDN",I2355="TNO2-3",I2355="NO2-3")),VLOOKUP(E2355,QCUREA_N,2,),IF(H2355="PER",VLOOKUP(I2355,QCPER,MATCH(E2355,QCACTUAL!$J$25:$AA$25,0),),IF(H2355="SPK",VLOOKUP(I2355,QCSPK,3,),IF(AND(H2355="ATP",OR(I2355="TP",I2355="TDP")),VLOOKUP(E2355,QCATP_P,2,),""))))))))</f>
        <v/>
      </c>
      <c r="W2355" s="31" t="str">
        <f t="shared" si="267"/>
        <v>TRUE</v>
      </c>
      <c r="X2355" s="31" t="str">
        <f t="shared" si="262"/>
        <v/>
      </c>
      <c r="Y2355" s="10" t="s">
        <v>1144</v>
      </c>
      <c r="Z2355" s="10" t="s">
        <v>910</v>
      </c>
      <c r="AL2355" s="10" t="str">
        <f t="shared" si="264"/>
        <v>FALSE</v>
      </c>
      <c r="AM2355" s="10" t="str">
        <f t="shared" si="264"/>
        <v>FALSE</v>
      </c>
      <c r="AN2355" s="10" t="str">
        <f t="shared" si="264"/>
        <v>FALSE</v>
      </c>
      <c r="AO2355" s="10" t="str">
        <f t="shared" si="265"/>
        <v>FALSE</v>
      </c>
      <c r="AP2355" s="10" t="str">
        <f t="shared" si="265"/>
        <v>FALSE</v>
      </c>
      <c r="AQ2355" s="10" t="b">
        <f>IF(AND(I2355="TP",S2355&lt;=150),VLOOKUP(AF2355,TPCalibEq150!$AZ$2:$BB$55,3,),IF(AND(I2355="TDP",S2355&lt;=150),VLOOKUP(AF2355,TPCalibEq150!$AZ$2:$BB$55,3,)))</f>
        <v>0</v>
      </c>
      <c r="AR2355" s="10" t="b">
        <f>IF(AND(I2355="TP",S2355&lt;=300),VLOOKUP(AF2355,TPCalibEq300!$AZ$2:$BB$55,3,),IF(AND(I2355="TDP",S2355&lt;=300),VLOOKUP(AF2355,TPCalibEq300!$AZ$2:$BB$55,3,)))</f>
        <v>0</v>
      </c>
      <c r="AS2355" s="10" t="b">
        <f>IF(AND(I2355="TP",S2355&lt;=500),VLOOKUP(AF2355,TPCalibEq500!$AZ$2:$BB$56,3,),IF(AND(I2355="TDP",S2355&lt;=500),VLOOKUP(AF2355,TPCalibEq500!$AZ$2:$BB$56,3,)))</f>
        <v>0</v>
      </c>
      <c r="AT2355" s="10" t="b">
        <f>IF(AND(I2355="TN",S2355&lt;=2800),VLOOKUP(AF2355,TNCalibEq2500!$AZ$2:$BB$56,3,),IF(AND(I2355="TDN",S2355&lt;=2800),VLOOKUP(AF2355,TNCalibEq2500!$AZ$2:$BB$56,3,)))</f>
        <v>0</v>
      </c>
      <c r="AU2355" s="10" t="b">
        <f>IF(I2355="TP",VLOOKUP(AF2355,TPCalibEqFull!$AZ$2:$BB$56,3),IF(I2355="TDP",VLOOKUP(AF2355,TPCalibEqFull!$AZ$2:$BB$56,3),IF(I2355="TDN",VLOOKUP(AF2355,TNCalibEqFull!$AZ$1:$BB$56,3),IF(I2355="TN",VLOOKUP(AF2355,TNCalibEqFull!$AZ$1:$BB$56,3),FALSE))))</f>
        <v>0</v>
      </c>
      <c r="AV2355" s="10" t="str">
        <f t="shared" si="268"/>
        <v>0206 08:06:00-ELW-0-C-1-SW-UKN</v>
      </c>
    </row>
    <row r="2356" spans="1:48" s="10" customFormat="1" x14ac:dyDescent="0.55000000000000004">
      <c r="A2356" s="32">
        <v>44966</v>
      </c>
      <c r="B2356" s="33">
        <v>0.375</v>
      </c>
      <c r="C2356" s="10" t="s">
        <v>70</v>
      </c>
      <c r="D2356" s="10" t="s">
        <v>71</v>
      </c>
      <c r="E2356" s="10" t="s">
        <v>901</v>
      </c>
      <c r="F2356" s="10">
        <v>1</v>
      </c>
      <c r="G2356" s="10" t="s">
        <v>73</v>
      </c>
      <c r="H2356" s="10" t="s">
        <v>207</v>
      </c>
      <c r="I2356" s="10" t="s">
        <v>285</v>
      </c>
      <c r="J2356" s="10">
        <v>200</v>
      </c>
      <c r="K2356" s="12">
        <v>44966</v>
      </c>
      <c r="L2356" s="33">
        <v>0.61667824074074074</v>
      </c>
      <c r="M2356" s="10">
        <v>1</v>
      </c>
      <c r="N2356" s="10" t="s">
        <v>211</v>
      </c>
      <c r="O2356" s="10">
        <v>0.42799999999999999</v>
      </c>
      <c r="P2356" s="10">
        <v>3.9699999999999999E-2</v>
      </c>
      <c r="Q2356" s="10">
        <v>73.599999999999994</v>
      </c>
      <c r="R2356" s="10" t="s">
        <v>913</v>
      </c>
      <c r="S2356" s="34">
        <f t="shared" si="263"/>
        <v>73.599999999999994</v>
      </c>
      <c r="T2356" s="10" t="s">
        <v>1166</v>
      </c>
      <c r="U2356" s="34">
        <f t="shared" si="266"/>
        <v>98.133333333333326</v>
      </c>
      <c r="V2356" s="31">
        <f>IF(H2356="CHK",VLOOKUP(I2356,QCCHK,3,),IF(H2356="GUP",VLOOKUP(E2356,QCGUP,2,),IF(AND(H2356="ATP",OR(I2356="TN",I2356="TDN",I2356="TNO2-3",I2356="NO2-3")),VLOOKUP(E2356,QCREC_N,2,),IF(AND(H2356="NIC",OR(I2356="TN",I2356="TDN",I2356="TNO2-3",I2356="NO2-3")),VLOOKUP(E2356,QCNIC_N,2,),IF(AND(H2356="UREA",OR(I2356="TN",I2356="TDN",I2356="TNO2-3",I2356="NO2-3")),VLOOKUP(E2356,QCUREA_N,2,),IF(H2356="PER",VLOOKUP(I2356,QCPER,MATCH(E2356,QCACTUAL!$J$25:$AA$25,0),),IF(H2356="SPK",VLOOKUP(I2356,QCSPK,3,),IF(AND(H2356="ATP",OR(I2356="TP",I2356="TDP")),VLOOKUP(E2356,QCATP_P,2,),""))))))))</f>
        <v>75</v>
      </c>
      <c r="W2356" s="31" t="str">
        <f t="shared" si="267"/>
        <v>TRUE</v>
      </c>
      <c r="X2356" s="31" t="str">
        <f t="shared" si="262"/>
        <v>[chk]/[actual]*100</v>
      </c>
      <c r="Y2356" s="10" t="s">
        <v>1144</v>
      </c>
      <c r="AL2356" s="10" t="str">
        <f t="shared" si="264"/>
        <v>FALSE</v>
      </c>
      <c r="AM2356" s="10" t="str">
        <f t="shared" si="264"/>
        <v>FALSE</v>
      </c>
      <c r="AN2356" s="10" t="str">
        <f t="shared" si="264"/>
        <v>FALSE</v>
      </c>
      <c r="AO2356" s="10" t="str">
        <f t="shared" si="265"/>
        <v>FALSE</v>
      </c>
      <c r="AP2356" s="10" t="str">
        <f t="shared" si="265"/>
        <v>FALSE</v>
      </c>
      <c r="AQ2356" s="10" t="b">
        <f>IF(AND(I2356="TP",S2356&lt;=150),VLOOKUP(AF2356,TPCalibEq150!$AZ$2:$BB$55,3,),IF(AND(I2356="TDP",S2356&lt;=150),VLOOKUP(AF2356,TPCalibEq150!$AZ$2:$BB$55,3,)))</f>
        <v>0</v>
      </c>
      <c r="AR2356" s="10" t="b">
        <f>IF(AND(I2356="TP",S2356&lt;=300),VLOOKUP(AF2356,TPCalibEq300!$AZ$2:$BB$55,3,),IF(AND(I2356="TDP",S2356&lt;=300),VLOOKUP(AF2356,TPCalibEq300!$AZ$2:$BB$55,3,)))</f>
        <v>0</v>
      </c>
      <c r="AS2356" s="10" t="b">
        <f>IF(AND(I2356="TP",S2356&lt;=500),VLOOKUP(AF2356,TPCalibEq500!$AZ$2:$BB$56,3,),IF(AND(I2356="TDP",S2356&lt;=500),VLOOKUP(AF2356,TPCalibEq500!$AZ$2:$BB$56,3,)))</f>
        <v>0</v>
      </c>
      <c r="AT2356" s="10" t="b">
        <f>IF(AND(I2356="TN",S2356&lt;=2800),VLOOKUP(AF2356,TNCalibEq2500!$AZ$2:$BB$56,3,),IF(AND(I2356="TDN",S2356&lt;=2800),VLOOKUP(AF2356,TNCalibEq2500!$AZ$2:$BB$56,3,)))</f>
        <v>0</v>
      </c>
      <c r="AU2356" s="10" t="b">
        <f>IF(I2356="TP",VLOOKUP(AF2356,TPCalibEqFull!$AZ$2:$BB$56,3),IF(I2356="TDP",VLOOKUP(AF2356,TPCalibEqFull!$AZ$2:$BB$56,3),IF(I2356="TDN",VLOOKUP(AF2356,TNCalibEqFull!$AZ$1:$BB$56,3),IF(I2356="TN",VLOOKUP(AF2356,TNCalibEqFull!$AZ$1:$BB$56,3),FALSE))))</f>
        <v>0</v>
      </c>
      <c r="AV2356" s="10" t="str">
        <f t="shared" si="268"/>
        <v>0209 09:00:00-QAC-STD-D-1-DI-CHK</v>
      </c>
    </row>
    <row r="2357" spans="1:48" s="10" customFormat="1" x14ac:dyDescent="0.55000000000000004">
      <c r="A2357" s="32">
        <v>44966</v>
      </c>
      <c r="B2357" s="33">
        <v>0.375</v>
      </c>
      <c r="C2357" s="10" t="s">
        <v>70</v>
      </c>
      <c r="D2357" s="10" t="s">
        <v>71</v>
      </c>
      <c r="E2357" s="10" t="s">
        <v>72</v>
      </c>
      <c r="F2357" s="10">
        <v>1</v>
      </c>
      <c r="G2357" s="10" t="s">
        <v>73</v>
      </c>
      <c r="H2357" s="10" t="s">
        <v>74</v>
      </c>
      <c r="I2357" s="10" t="s">
        <v>256</v>
      </c>
      <c r="J2357" s="10">
        <v>181</v>
      </c>
      <c r="K2357" s="12">
        <v>44966</v>
      </c>
      <c r="L2357" s="33">
        <v>0.44186342592592592</v>
      </c>
      <c r="M2357" s="10">
        <v>1</v>
      </c>
      <c r="N2357" s="10" t="s">
        <v>169</v>
      </c>
      <c r="O2357" s="10">
        <v>3.9100000000000003E-2</v>
      </c>
      <c r="P2357" s="10">
        <v>1.72E-3</v>
      </c>
      <c r="Q2357" s="10">
        <v>0</v>
      </c>
      <c r="R2357" s="10" t="s">
        <v>77</v>
      </c>
      <c r="S2357" s="34">
        <f t="shared" si="263"/>
        <v>0</v>
      </c>
      <c r="T2357" s="10" t="s">
        <v>914</v>
      </c>
      <c r="U2357" s="34" t="str">
        <f t="shared" si="266"/>
        <v/>
      </c>
      <c r="V2357" s="31" t="str">
        <f>IF(H2357="CHK",VLOOKUP(I2357,QCCHK,3,),IF(H2357="GUP",VLOOKUP(E2357,QCGUP,2,),IF(AND(H2357="ATP",OR(I2357="TN",I2357="TDN",I2357="TNO2-3",I2357="NO2-3")),VLOOKUP(E2357,QCREC_N,2,),IF(AND(H2357="NIC",OR(I2357="TN",I2357="TDN",I2357="TNO2-3",I2357="NO2-3")),VLOOKUP(E2357,QCNIC_N,2,),IF(AND(H2357="UREA",OR(I2357="TN",I2357="TDN",I2357="TNO2-3",I2357="NO2-3")),VLOOKUP(E2357,QCUREA_N,2,),IF(H2357="PER",VLOOKUP(I2357,QCPER,MATCH(E2357,QCACTUAL!$J$25:$AA$25,0),),IF(H2357="SPK",VLOOKUP(I2357,QCSPK,3,),IF(AND(H2357="ATP",OR(I2357="TP",I2357="TDP")),VLOOKUP(E2357,QCATP_P,2,),""))))))))</f>
        <v/>
      </c>
      <c r="W2357" s="31" t="str">
        <f t="shared" si="267"/>
        <v>TRUE</v>
      </c>
      <c r="X2357" s="31" t="str">
        <f t="shared" si="262"/>
        <v/>
      </c>
      <c r="Y2357" s="10" t="s">
        <v>1144</v>
      </c>
      <c r="AL2357" s="10" t="str">
        <f t="shared" si="264"/>
        <v>FALSE</v>
      </c>
      <c r="AM2357" s="10" t="str">
        <f t="shared" si="264"/>
        <v>FALSE</v>
      </c>
      <c r="AN2357" s="10" t="str">
        <f t="shared" si="264"/>
        <v>FALSE</v>
      </c>
      <c r="AO2357" s="10" t="str">
        <f t="shared" si="265"/>
        <v>FALSE</v>
      </c>
      <c r="AP2357" s="10" t="str">
        <f t="shared" si="265"/>
        <v>FALSE</v>
      </c>
      <c r="AQ2357" s="10" t="b">
        <f>IF(AND(I2357="TP",S2357&lt;=150),VLOOKUP(AF2357,TPCalibEq150!$AZ$2:$BB$55,3,),IF(AND(I2357="TDP",S2357&lt;=150),VLOOKUP(AF2357,TPCalibEq150!$AZ$2:$BB$55,3,)))</f>
        <v>0</v>
      </c>
      <c r="AR2357" s="10" t="b">
        <f>IF(AND(I2357="TP",S2357&lt;=300),VLOOKUP(AF2357,TPCalibEq300!$AZ$2:$BB$55,3,),IF(AND(I2357="TDP",S2357&lt;=300),VLOOKUP(AF2357,TPCalibEq300!$AZ$2:$BB$55,3,)))</f>
        <v>0</v>
      </c>
      <c r="AS2357" s="10" t="b">
        <f>IF(AND(I2357="TP",S2357&lt;=500),VLOOKUP(AF2357,TPCalibEq500!$AZ$2:$BB$56,3,),IF(AND(I2357="TDP",S2357&lt;=500),VLOOKUP(AF2357,TPCalibEq500!$AZ$2:$BB$56,3,)))</f>
        <v>0</v>
      </c>
      <c r="AT2357" s="10" t="b">
        <f>IF(AND(I2357="TN",S2357&lt;=2800),VLOOKUP(AF2357,TNCalibEq2500!$AZ$2:$BB$56,3,),IF(AND(I2357="TDN",S2357&lt;=2800),VLOOKUP(AF2357,TNCalibEq2500!$AZ$2:$BB$56,3,)))</f>
        <v>0</v>
      </c>
      <c r="AU2357" s="10" t="b">
        <f>IF(I2357="TP",VLOOKUP(AF2357,TPCalibEqFull!$AZ$2:$BB$56,3),IF(I2357="TDP",VLOOKUP(AF2357,TPCalibEqFull!$AZ$2:$BB$56,3),IF(I2357="TDN",VLOOKUP(AF2357,TNCalibEqFull!$AZ$1:$BB$56,3),IF(I2357="TN",VLOOKUP(AF2357,TNCalibEqFull!$AZ$1:$BB$56,3),FALSE))))</f>
        <v>0</v>
      </c>
      <c r="AV2357" s="10" t="str">
        <f t="shared" si="268"/>
        <v>0209 09:00:00-QAC-STD-H-1-DI-CAL</v>
      </c>
    </row>
    <row r="2358" spans="1:48" s="10" customFormat="1" x14ac:dyDescent="0.55000000000000004">
      <c r="A2358" s="32">
        <v>44966</v>
      </c>
      <c r="B2358" s="33">
        <v>0.375</v>
      </c>
      <c r="C2358" s="10" t="s">
        <v>70</v>
      </c>
      <c r="D2358" s="10" t="s">
        <v>71</v>
      </c>
      <c r="E2358" s="10" t="s">
        <v>908</v>
      </c>
      <c r="F2358" s="10">
        <v>1</v>
      </c>
      <c r="G2358" s="10" t="s">
        <v>73</v>
      </c>
      <c r="H2358" s="10" t="s">
        <v>74</v>
      </c>
      <c r="I2358" s="10" t="s">
        <v>256</v>
      </c>
      <c r="J2358" s="10">
        <v>182</v>
      </c>
      <c r="K2358" s="12">
        <v>44966</v>
      </c>
      <c r="L2358" s="33">
        <v>0.44271990740740735</v>
      </c>
      <c r="M2358" s="10">
        <v>1</v>
      </c>
      <c r="N2358" s="10" t="s">
        <v>169</v>
      </c>
      <c r="O2358" s="10">
        <v>0.19600000000000001</v>
      </c>
      <c r="P2358" s="10">
        <v>8.5900000000000004E-3</v>
      </c>
      <c r="Q2358" s="10">
        <v>20</v>
      </c>
      <c r="R2358" s="10" t="s">
        <v>77</v>
      </c>
      <c r="S2358" s="34">
        <f t="shared" si="263"/>
        <v>20</v>
      </c>
      <c r="T2358" s="10" t="s">
        <v>1167</v>
      </c>
      <c r="U2358" s="34" t="str">
        <f t="shared" si="266"/>
        <v/>
      </c>
      <c r="V2358" s="31" t="str">
        <f>IF(H2358="CHK",VLOOKUP(I2358,QCCHK,3,),IF(H2358="GUP",VLOOKUP(E2358,QCGUP,2,),IF(AND(H2358="ATP",OR(I2358="TN",I2358="TDN",I2358="TNO2-3",I2358="NO2-3")),VLOOKUP(E2358,QCREC_N,2,),IF(AND(H2358="NIC",OR(I2358="TN",I2358="TDN",I2358="TNO2-3",I2358="NO2-3")),VLOOKUP(E2358,QCNIC_N,2,),IF(AND(H2358="UREA",OR(I2358="TN",I2358="TDN",I2358="TNO2-3",I2358="NO2-3")),VLOOKUP(E2358,QCUREA_N,2,),IF(H2358="PER",VLOOKUP(I2358,QCPER,MATCH(E2358,QCACTUAL!$J$25:$AA$25,0),),IF(H2358="SPK",VLOOKUP(I2358,QCSPK,3,),IF(AND(H2358="ATP",OR(I2358="TP",I2358="TDP")),VLOOKUP(E2358,QCATP_P,2,),""))))))))</f>
        <v/>
      </c>
      <c r="W2358" s="31" t="str">
        <f t="shared" si="267"/>
        <v>TRUE</v>
      </c>
      <c r="X2358" s="31" t="str">
        <f t="shared" si="262"/>
        <v/>
      </c>
      <c r="Y2358" s="10" t="s">
        <v>1144</v>
      </c>
      <c r="AL2358" s="10" t="str">
        <f t="shared" si="264"/>
        <v>FALSE</v>
      </c>
      <c r="AM2358" s="10" t="str">
        <f t="shared" si="264"/>
        <v>FALSE</v>
      </c>
      <c r="AN2358" s="10" t="str">
        <f t="shared" si="264"/>
        <v>FALSE</v>
      </c>
      <c r="AO2358" s="10" t="str">
        <f t="shared" si="265"/>
        <v>FALSE</v>
      </c>
      <c r="AP2358" s="10" t="str">
        <f t="shared" si="265"/>
        <v>FALSE</v>
      </c>
      <c r="AQ2358" s="10" t="b">
        <f>IF(AND(I2358="TP",S2358&lt;=150),VLOOKUP(AF2358,TPCalibEq150!$AZ$2:$BB$55,3,),IF(AND(I2358="TDP",S2358&lt;=150),VLOOKUP(AF2358,TPCalibEq150!$AZ$2:$BB$55,3,)))</f>
        <v>0</v>
      </c>
      <c r="AR2358" s="10" t="b">
        <f>IF(AND(I2358="TP",S2358&lt;=300),VLOOKUP(AF2358,TPCalibEq300!$AZ$2:$BB$55,3,),IF(AND(I2358="TDP",S2358&lt;=300),VLOOKUP(AF2358,TPCalibEq300!$AZ$2:$BB$55,3,)))</f>
        <v>0</v>
      </c>
      <c r="AS2358" s="10" t="b">
        <f>IF(AND(I2358="TP",S2358&lt;=500),VLOOKUP(AF2358,TPCalibEq500!$AZ$2:$BB$56,3,),IF(AND(I2358="TDP",S2358&lt;=500),VLOOKUP(AF2358,TPCalibEq500!$AZ$2:$BB$56,3,)))</f>
        <v>0</v>
      </c>
      <c r="AT2358" s="10" t="b">
        <f>IF(AND(I2358="TN",S2358&lt;=2800),VLOOKUP(AF2358,TNCalibEq2500!$AZ$2:$BB$56,3,),IF(AND(I2358="TDN",S2358&lt;=2800),VLOOKUP(AF2358,TNCalibEq2500!$AZ$2:$BB$56,3,)))</f>
        <v>0</v>
      </c>
      <c r="AU2358" s="10" t="b">
        <f>IF(I2358="TP",VLOOKUP(AF2358,TPCalibEqFull!$AZ$2:$BB$56,3),IF(I2358="TDP",VLOOKUP(AF2358,TPCalibEqFull!$AZ$2:$BB$56,3),IF(I2358="TDN",VLOOKUP(AF2358,TNCalibEqFull!$AZ$1:$BB$56,3),IF(I2358="TN",VLOOKUP(AF2358,TNCalibEqFull!$AZ$1:$BB$56,3),FALSE))))</f>
        <v>0</v>
      </c>
      <c r="AV2358" s="10" t="str">
        <f t="shared" si="268"/>
        <v>0209 09:00:00-QAC-STD-G-1-DI-CAL</v>
      </c>
    </row>
    <row r="2359" spans="1:48" s="10" customFormat="1" x14ac:dyDescent="0.55000000000000004">
      <c r="A2359" s="32">
        <v>44966</v>
      </c>
      <c r="B2359" s="33">
        <v>0.375</v>
      </c>
      <c r="C2359" s="10" t="s">
        <v>70</v>
      </c>
      <c r="D2359" s="10" t="s">
        <v>71</v>
      </c>
      <c r="E2359" s="10" t="s">
        <v>550</v>
      </c>
      <c r="F2359" s="10">
        <v>1</v>
      </c>
      <c r="G2359" s="10" t="s">
        <v>73</v>
      </c>
      <c r="H2359" s="10" t="s">
        <v>74</v>
      </c>
      <c r="I2359" s="10" t="s">
        <v>256</v>
      </c>
      <c r="J2359" s="10">
        <v>183</v>
      </c>
      <c r="K2359" s="12">
        <v>44966</v>
      </c>
      <c r="L2359" s="33">
        <v>0.4435648148148148</v>
      </c>
      <c r="M2359" s="10">
        <v>1</v>
      </c>
      <c r="N2359" s="10" t="s">
        <v>169</v>
      </c>
      <c r="O2359" s="10">
        <v>0.50800000000000001</v>
      </c>
      <c r="P2359" s="10">
        <v>2.35E-2</v>
      </c>
      <c r="Q2359" s="10">
        <v>60</v>
      </c>
      <c r="R2359" s="10" t="s">
        <v>77</v>
      </c>
      <c r="S2359" s="34">
        <f t="shared" si="263"/>
        <v>60</v>
      </c>
      <c r="T2359" s="10" t="s">
        <v>1168</v>
      </c>
      <c r="U2359" s="34" t="str">
        <f t="shared" si="266"/>
        <v/>
      </c>
      <c r="V2359" s="31" t="str">
        <f>IF(H2359="CHK",VLOOKUP(I2359,QCCHK,3,),IF(H2359="GUP",VLOOKUP(E2359,QCGUP,2,),IF(AND(H2359="ATP",OR(I2359="TN",I2359="TDN",I2359="TNO2-3",I2359="NO2-3")),VLOOKUP(E2359,QCREC_N,2,),IF(AND(H2359="NIC",OR(I2359="TN",I2359="TDN",I2359="TNO2-3",I2359="NO2-3")),VLOOKUP(E2359,QCNIC_N,2,),IF(AND(H2359="UREA",OR(I2359="TN",I2359="TDN",I2359="TNO2-3",I2359="NO2-3")),VLOOKUP(E2359,QCUREA_N,2,),IF(H2359="PER",VLOOKUP(I2359,QCPER,MATCH(E2359,QCACTUAL!$J$25:$AA$25,0),),IF(H2359="SPK",VLOOKUP(I2359,QCSPK,3,),IF(AND(H2359="ATP",OR(I2359="TP",I2359="TDP")),VLOOKUP(E2359,QCATP_P,2,),""))))))))</f>
        <v/>
      </c>
      <c r="W2359" s="31" t="str">
        <f t="shared" si="267"/>
        <v>TRUE</v>
      </c>
      <c r="X2359" s="31" t="str">
        <f t="shared" si="262"/>
        <v/>
      </c>
      <c r="Y2359" s="10" t="s">
        <v>1144</v>
      </c>
      <c r="AL2359" s="10" t="str">
        <f t="shared" si="264"/>
        <v>FALSE</v>
      </c>
      <c r="AM2359" s="10" t="str">
        <f t="shared" si="264"/>
        <v>FALSE</v>
      </c>
      <c r="AN2359" s="10" t="str">
        <f t="shared" si="264"/>
        <v>FALSE</v>
      </c>
      <c r="AO2359" s="10" t="str">
        <f t="shared" si="265"/>
        <v>FALSE</v>
      </c>
      <c r="AP2359" s="10" t="str">
        <f t="shared" si="265"/>
        <v>FALSE</v>
      </c>
      <c r="AQ2359" s="10" t="b">
        <f>IF(AND(I2359="TP",S2359&lt;=150),VLOOKUP(AF2359,TPCalibEq150!$AZ$2:$BB$55,3,),IF(AND(I2359="TDP",S2359&lt;=150),VLOOKUP(AF2359,TPCalibEq150!$AZ$2:$BB$55,3,)))</f>
        <v>0</v>
      </c>
      <c r="AR2359" s="10" t="b">
        <f>IF(AND(I2359="TP",S2359&lt;=300),VLOOKUP(AF2359,TPCalibEq300!$AZ$2:$BB$55,3,),IF(AND(I2359="TDP",S2359&lt;=300),VLOOKUP(AF2359,TPCalibEq300!$AZ$2:$BB$55,3,)))</f>
        <v>0</v>
      </c>
      <c r="AS2359" s="10" t="b">
        <f>IF(AND(I2359="TP",S2359&lt;=500),VLOOKUP(AF2359,TPCalibEq500!$AZ$2:$BB$56,3,),IF(AND(I2359="TDP",S2359&lt;=500),VLOOKUP(AF2359,TPCalibEq500!$AZ$2:$BB$56,3,)))</f>
        <v>0</v>
      </c>
      <c r="AT2359" s="10" t="b">
        <f>IF(AND(I2359="TN",S2359&lt;=2800),VLOOKUP(AF2359,TNCalibEq2500!$AZ$2:$BB$56,3,),IF(AND(I2359="TDN",S2359&lt;=2800),VLOOKUP(AF2359,TNCalibEq2500!$AZ$2:$BB$56,3,)))</f>
        <v>0</v>
      </c>
      <c r="AU2359" s="10" t="b">
        <f>IF(I2359="TP",VLOOKUP(AF2359,TPCalibEqFull!$AZ$2:$BB$56,3),IF(I2359="TDP",VLOOKUP(AF2359,TPCalibEqFull!$AZ$2:$BB$56,3),IF(I2359="TDN",VLOOKUP(AF2359,TNCalibEqFull!$AZ$1:$BB$56,3),IF(I2359="TN",VLOOKUP(AF2359,TNCalibEqFull!$AZ$1:$BB$56,3),FALSE))))</f>
        <v>0</v>
      </c>
      <c r="AV2359" s="10" t="str">
        <f t="shared" si="268"/>
        <v>0209 09:00:00-QAC-STD-F-1-DI-CAL</v>
      </c>
    </row>
    <row r="2360" spans="1:48" s="10" customFormat="1" x14ac:dyDescent="0.55000000000000004">
      <c r="A2360" s="32">
        <v>44966</v>
      </c>
      <c r="B2360" s="33">
        <v>0.375</v>
      </c>
      <c r="C2360" s="10" t="s">
        <v>70</v>
      </c>
      <c r="D2360" s="10" t="s">
        <v>71</v>
      </c>
      <c r="E2360" s="10" t="s">
        <v>909</v>
      </c>
      <c r="F2360" s="10">
        <v>1</v>
      </c>
      <c r="G2360" s="10" t="s">
        <v>73</v>
      </c>
      <c r="H2360" s="10" t="s">
        <v>74</v>
      </c>
      <c r="I2360" s="10" t="s">
        <v>256</v>
      </c>
      <c r="J2360" s="10">
        <v>184</v>
      </c>
      <c r="K2360" s="12">
        <v>44966</v>
      </c>
      <c r="L2360" s="33">
        <v>0.44437499999999996</v>
      </c>
      <c r="M2360" s="10">
        <v>1</v>
      </c>
      <c r="N2360" s="10" t="s">
        <v>169</v>
      </c>
      <c r="O2360" s="10">
        <v>0.67</v>
      </c>
      <c r="P2360" s="10">
        <v>3.1199999999999999E-2</v>
      </c>
      <c r="Q2360" s="10">
        <v>80</v>
      </c>
      <c r="R2360" s="10" t="s">
        <v>77</v>
      </c>
      <c r="S2360" s="34">
        <f t="shared" si="263"/>
        <v>80</v>
      </c>
      <c r="T2360" s="10" t="s">
        <v>1169</v>
      </c>
      <c r="U2360" s="34" t="str">
        <f t="shared" si="266"/>
        <v/>
      </c>
      <c r="V2360" s="31" t="str">
        <f>IF(H2360="CHK",VLOOKUP(I2360,QCCHK,3,),IF(H2360="GUP",VLOOKUP(E2360,QCGUP,2,),IF(AND(H2360="ATP",OR(I2360="TN",I2360="TDN",I2360="TNO2-3",I2360="NO2-3")),VLOOKUP(E2360,QCREC_N,2,),IF(AND(H2360="NIC",OR(I2360="TN",I2360="TDN",I2360="TNO2-3",I2360="NO2-3")),VLOOKUP(E2360,QCNIC_N,2,),IF(AND(H2360="UREA",OR(I2360="TN",I2360="TDN",I2360="TNO2-3",I2360="NO2-3")),VLOOKUP(E2360,QCUREA_N,2,),IF(H2360="PER",VLOOKUP(I2360,QCPER,MATCH(E2360,QCACTUAL!$J$25:$AA$25,0),),IF(H2360="SPK",VLOOKUP(I2360,QCSPK,3,),IF(AND(H2360="ATP",OR(I2360="TP",I2360="TDP")),VLOOKUP(E2360,QCATP_P,2,),""))))))))</f>
        <v/>
      </c>
      <c r="W2360" s="31" t="str">
        <f t="shared" si="267"/>
        <v>TRUE</v>
      </c>
      <c r="X2360" s="31" t="str">
        <f t="shared" si="262"/>
        <v/>
      </c>
      <c r="Y2360" s="10" t="s">
        <v>1144</v>
      </c>
      <c r="AL2360" s="10" t="str">
        <f t="shared" si="264"/>
        <v>FALSE</v>
      </c>
      <c r="AM2360" s="10" t="str">
        <f t="shared" si="264"/>
        <v>FALSE</v>
      </c>
      <c r="AN2360" s="10" t="str">
        <f t="shared" si="264"/>
        <v>FALSE</v>
      </c>
      <c r="AO2360" s="10" t="str">
        <f t="shared" si="265"/>
        <v>FALSE</v>
      </c>
      <c r="AP2360" s="10" t="str">
        <f t="shared" si="265"/>
        <v>FALSE</v>
      </c>
      <c r="AQ2360" s="10" t="b">
        <f>IF(AND(I2360="TP",S2360&lt;=150),VLOOKUP(AF2360,TPCalibEq150!$AZ$2:$BB$55,3,),IF(AND(I2360="TDP",S2360&lt;=150),VLOOKUP(AF2360,TPCalibEq150!$AZ$2:$BB$55,3,)))</f>
        <v>0</v>
      </c>
      <c r="AR2360" s="10" t="b">
        <f>IF(AND(I2360="TP",S2360&lt;=300),VLOOKUP(AF2360,TPCalibEq300!$AZ$2:$BB$55,3,),IF(AND(I2360="TDP",S2360&lt;=300),VLOOKUP(AF2360,TPCalibEq300!$AZ$2:$BB$55,3,)))</f>
        <v>0</v>
      </c>
      <c r="AS2360" s="10" t="b">
        <f>IF(AND(I2360="TP",S2360&lt;=500),VLOOKUP(AF2360,TPCalibEq500!$AZ$2:$BB$56,3,),IF(AND(I2360="TDP",S2360&lt;=500),VLOOKUP(AF2360,TPCalibEq500!$AZ$2:$BB$56,3,)))</f>
        <v>0</v>
      </c>
      <c r="AT2360" s="10" t="b">
        <f>IF(AND(I2360="TN",S2360&lt;=2800),VLOOKUP(AF2360,TNCalibEq2500!$AZ$2:$BB$56,3,),IF(AND(I2360="TDN",S2360&lt;=2800),VLOOKUP(AF2360,TNCalibEq2500!$AZ$2:$BB$56,3,)))</f>
        <v>0</v>
      </c>
      <c r="AU2360" s="10" t="b">
        <f>IF(I2360="TP",VLOOKUP(AF2360,TPCalibEqFull!$AZ$2:$BB$56,3),IF(I2360="TDP",VLOOKUP(AF2360,TPCalibEqFull!$AZ$2:$BB$56,3),IF(I2360="TDN",VLOOKUP(AF2360,TNCalibEqFull!$AZ$1:$BB$56,3),IF(I2360="TN",VLOOKUP(AF2360,TNCalibEqFull!$AZ$1:$BB$56,3),FALSE))))</f>
        <v>0</v>
      </c>
      <c r="AV2360" s="10" t="str">
        <f t="shared" si="268"/>
        <v>0209 09:00:00-QAC-STD-E-1-DI-CAL</v>
      </c>
    </row>
    <row r="2361" spans="1:48" s="10" customFormat="1" x14ac:dyDescent="0.55000000000000004">
      <c r="A2361" s="32">
        <v>44966</v>
      </c>
      <c r="B2361" s="33">
        <v>0.375</v>
      </c>
      <c r="C2361" s="10" t="s">
        <v>70</v>
      </c>
      <c r="D2361" s="10" t="s">
        <v>71</v>
      </c>
      <c r="E2361" s="10" t="s">
        <v>901</v>
      </c>
      <c r="F2361" s="10">
        <v>1</v>
      </c>
      <c r="G2361" s="10" t="s">
        <v>73</v>
      </c>
      <c r="H2361" s="10" t="s">
        <v>74</v>
      </c>
      <c r="I2361" s="10" t="s">
        <v>256</v>
      </c>
      <c r="J2361" s="10">
        <v>185</v>
      </c>
      <c r="K2361" s="12">
        <v>44966</v>
      </c>
      <c r="L2361" s="33">
        <v>0.44520833333333337</v>
      </c>
      <c r="M2361" s="10">
        <v>1</v>
      </c>
      <c r="N2361" s="10" t="s">
        <v>169</v>
      </c>
      <c r="O2361" s="10">
        <v>3.8699999999999998E-2</v>
      </c>
      <c r="P2361" s="10">
        <v>1.7700000000000001E-3</v>
      </c>
      <c r="Q2361" s="10">
        <v>300</v>
      </c>
      <c r="R2361" s="10" t="s">
        <v>77</v>
      </c>
      <c r="S2361" s="34">
        <f t="shared" si="263"/>
        <v>300</v>
      </c>
      <c r="T2361" s="10" t="s">
        <v>1170</v>
      </c>
      <c r="U2361" s="34" t="str">
        <f t="shared" si="266"/>
        <v/>
      </c>
      <c r="V2361" s="31" t="str">
        <f>IF(H2361="CHK",VLOOKUP(I2361,QCCHK,3,),IF(H2361="GUP",VLOOKUP(E2361,QCGUP,2,),IF(AND(H2361="ATP",OR(I2361="TN",I2361="TDN",I2361="TNO2-3",I2361="NO2-3")),VLOOKUP(E2361,QCREC_N,2,),IF(AND(H2361="NIC",OR(I2361="TN",I2361="TDN",I2361="TNO2-3",I2361="NO2-3")),VLOOKUP(E2361,QCNIC_N,2,),IF(AND(H2361="UREA",OR(I2361="TN",I2361="TDN",I2361="TNO2-3",I2361="NO2-3")),VLOOKUP(E2361,QCUREA_N,2,),IF(H2361="PER",VLOOKUP(I2361,QCPER,MATCH(E2361,QCACTUAL!$J$25:$AA$25,0),),IF(H2361="SPK",VLOOKUP(I2361,QCSPK,3,),IF(AND(H2361="ATP",OR(I2361="TP",I2361="TDP")),VLOOKUP(E2361,QCATP_P,2,),""))))))))</f>
        <v/>
      </c>
      <c r="W2361" s="31" t="str">
        <f t="shared" si="267"/>
        <v>TRUE</v>
      </c>
      <c r="X2361" s="31" t="str">
        <f t="shared" si="262"/>
        <v/>
      </c>
      <c r="Y2361" s="10" t="s">
        <v>1144</v>
      </c>
      <c r="AL2361" s="10" t="str">
        <f t="shared" si="264"/>
        <v>FALSE</v>
      </c>
      <c r="AM2361" s="10" t="str">
        <f t="shared" si="264"/>
        <v>FALSE</v>
      </c>
      <c r="AN2361" s="10" t="str">
        <f t="shared" si="264"/>
        <v>FALSE</v>
      </c>
      <c r="AO2361" s="10" t="str">
        <f t="shared" si="265"/>
        <v>FALSE</v>
      </c>
      <c r="AP2361" s="10" t="str">
        <f t="shared" si="265"/>
        <v>FALSE</v>
      </c>
      <c r="AQ2361" s="10" t="b">
        <f>IF(AND(I2361="TP",S2361&lt;=150),VLOOKUP(AF2361,TPCalibEq150!$AZ$2:$BB$55,3,),IF(AND(I2361="TDP",S2361&lt;=150),VLOOKUP(AF2361,TPCalibEq150!$AZ$2:$BB$55,3,)))</f>
        <v>0</v>
      </c>
      <c r="AR2361" s="10" t="b">
        <f>IF(AND(I2361="TP",S2361&lt;=300),VLOOKUP(AF2361,TPCalibEq300!$AZ$2:$BB$55,3,),IF(AND(I2361="TDP",S2361&lt;=300),VLOOKUP(AF2361,TPCalibEq300!$AZ$2:$BB$55,3,)))</f>
        <v>0</v>
      </c>
      <c r="AS2361" s="10" t="b">
        <f>IF(AND(I2361="TP",S2361&lt;=500),VLOOKUP(AF2361,TPCalibEq500!$AZ$2:$BB$56,3,),IF(AND(I2361="TDP",S2361&lt;=500),VLOOKUP(AF2361,TPCalibEq500!$AZ$2:$BB$56,3,)))</f>
        <v>0</v>
      </c>
      <c r="AT2361" s="10" t="b">
        <f>IF(AND(I2361="TN",S2361&lt;=2800),VLOOKUP(AF2361,TNCalibEq2500!$AZ$2:$BB$56,3,),IF(AND(I2361="TDN",S2361&lt;=2800),VLOOKUP(AF2361,TNCalibEq2500!$AZ$2:$BB$56,3,)))</f>
        <v>0</v>
      </c>
      <c r="AU2361" s="10" t="b">
        <f>IF(I2361="TP",VLOOKUP(AF2361,TPCalibEqFull!$AZ$2:$BB$56,3),IF(I2361="TDP",VLOOKUP(AF2361,TPCalibEqFull!$AZ$2:$BB$56,3),IF(I2361="TDN",VLOOKUP(AF2361,TNCalibEqFull!$AZ$1:$BB$56,3),IF(I2361="TN",VLOOKUP(AF2361,TNCalibEqFull!$AZ$1:$BB$56,3),FALSE))))</f>
        <v>0</v>
      </c>
      <c r="AV2361" s="10" t="str">
        <f t="shared" si="268"/>
        <v>0209 09:00:00-QAC-STD-D-1-DI-CAL</v>
      </c>
    </row>
    <row r="2362" spans="1:48" s="10" customFormat="1" x14ac:dyDescent="0.55000000000000004">
      <c r="A2362" s="32">
        <v>44966</v>
      </c>
      <c r="B2362" s="33">
        <v>0.375</v>
      </c>
      <c r="C2362" s="10" t="s">
        <v>70</v>
      </c>
      <c r="D2362" s="10" t="s">
        <v>71</v>
      </c>
      <c r="E2362" s="10" t="s">
        <v>190</v>
      </c>
      <c r="F2362" s="10">
        <v>1</v>
      </c>
      <c r="G2362" s="10" t="s">
        <v>73</v>
      </c>
      <c r="H2362" s="10" t="s">
        <v>74</v>
      </c>
      <c r="I2362" s="10" t="s">
        <v>256</v>
      </c>
      <c r="J2362" s="10">
        <v>186</v>
      </c>
      <c r="K2362" s="12">
        <v>44966</v>
      </c>
      <c r="L2362" s="33">
        <v>0.44603009259259258</v>
      </c>
      <c r="M2362" s="10">
        <v>1</v>
      </c>
      <c r="N2362" s="10" t="s">
        <v>169</v>
      </c>
      <c r="O2362" s="10">
        <v>4.91</v>
      </c>
      <c r="P2362" s="10">
        <v>0.23200000000000001</v>
      </c>
      <c r="Q2362" s="10">
        <v>600</v>
      </c>
      <c r="R2362" s="10" t="s">
        <v>77</v>
      </c>
      <c r="S2362" s="34">
        <f t="shared" si="263"/>
        <v>600</v>
      </c>
      <c r="T2362" s="10" t="s">
        <v>1171</v>
      </c>
      <c r="U2362" s="34" t="str">
        <f t="shared" si="266"/>
        <v/>
      </c>
      <c r="V2362" s="31" t="str">
        <f>IF(H2362="CHK",VLOOKUP(I2362,QCCHK,3,),IF(H2362="GUP",VLOOKUP(E2362,QCGUP,2,),IF(AND(H2362="ATP",OR(I2362="TN",I2362="TDN",I2362="TNO2-3",I2362="NO2-3")),VLOOKUP(E2362,QCREC_N,2,),IF(AND(H2362="NIC",OR(I2362="TN",I2362="TDN",I2362="TNO2-3",I2362="NO2-3")),VLOOKUP(E2362,QCNIC_N,2,),IF(AND(H2362="UREA",OR(I2362="TN",I2362="TDN",I2362="TNO2-3",I2362="NO2-3")),VLOOKUP(E2362,QCUREA_N,2,),IF(H2362="PER",VLOOKUP(I2362,QCPER,MATCH(E2362,QCACTUAL!$J$25:$AA$25,0),),IF(H2362="SPK",VLOOKUP(I2362,QCSPK,3,),IF(AND(H2362="ATP",OR(I2362="TP",I2362="TDP")),VLOOKUP(E2362,QCATP_P,2,),""))))))))</f>
        <v/>
      </c>
      <c r="W2362" s="31" t="str">
        <f t="shared" si="267"/>
        <v>TRUE</v>
      </c>
      <c r="X2362" s="31" t="str">
        <f t="shared" si="262"/>
        <v/>
      </c>
      <c r="Y2362" s="10" t="s">
        <v>1144</v>
      </c>
      <c r="AL2362" s="10" t="str">
        <f t="shared" si="264"/>
        <v>FALSE</v>
      </c>
      <c r="AM2362" s="10" t="str">
        <f t="shared" si="264"/>
        <v>FALSE</v>
      </c>
      <c r="AN2362" s="10" t="str">
        <f t="shared" si="264"/>
        <v>FALSE</v>
      </c>
      <c r="AO2362" s="10" t="str">
        <f t="shared" si="265"/>
        <v>FALSE</v>
      </c>
      <c r="AP2362" s="10" t="str">
        <f t="shared" si="265"/>
        <v>FALSE</v>
      </c>
      <c r="AQ2362" s="10" t="b">
        <f>IF(AND(I2362="TP",S2362&lt;=150),VLOOKUP(AF2362,TPCalibEq150!$AZ$2:$BB$55,3,),IF(AND(I2362="TDP",S2362&lt;=150),VLOOKUP(AF2362,TPCalibEq150!$AZ$2:$BB$55,3,)))</f>
        <v>0</v>
      </c>
      <c r="AR2362" s="10" t="b">
        <f>IF(AND(I2362="TP",S2362&lt;=300),VLOOKUP(AF2362,TPCalibEq300!$AZ$2:$BB$55,3,),IF(AND(I2362="TDP",S2362&lt;=300),VLOOKUP(AF2362,TPCalibEq300!$AZ$2:$BB$55,3,)))</f>
        <v>0</v>
      </c>
      <c r="AS2362" s="10" t="b">
        <f>IF(AND(I2362="TP",S2362&lt;=500),VLOOKUP(AF2362,TPCalibEq500!$AZ$2:$BB$56,3,),IF(AND(I2362="TDP",S2362&lt;=500),VLOOKUP(AF2362,TPCalibEq500!$AZ$2:$BB$56,3,)))</f>
        <v>0</v>
      </c>
      <c r="AT2362" s="10" t="b">
        <f>IF(AND(I2362="TN",S2362&lt;=2800),VLOOKUP(AF2362,TNCalibEq2500!$AZ$2:$BB$56,3,),IF(AND(I2362="TDN",S2362&lt;=2800),VLOOKUP(AF2362,TNCalibEq2500!$AZ$2:$BB$56,3,)))</f>
        <v>0</v>
      </c>
      <c r="AU2362" s="10" t="b">
        <f>IF(I2362="TP",VLOOKUP(AF2362,TPCalibEqFull!$AZ$2:$BB$56,3),IF(I2362="TDP",VLOOKUP(AF2362,TPCalibEqFull!$AZ$2:$BB$56,3),IF(I2362="TDN",VLOOKUP(AF2362,TNCalibEqFull!$AZ$1:$BB$56,3),IF(I2362="TN",VLOOKUP(AF2362,TNCalibEqFull!$AZ$1:$BB$56,3),FALSE))))</f>
        <v>0</v>
      </c>
      <c r="AV2362" s="10" t="str">
        <f t="shared" si="268"/>
        <v>0209 09:00:00-QAC-STD-C-1-DI-CAL</v>
      </c>
    </row>
    <row r="2363" spans="1:48" s="10" customFormat="1" x14ac:dyDescent="0.55000000000000004">
      <c r="A2363" s="32">
        <v>44966</v>
      </c>
      <c r="B2363" s="33">
        <v>0.375</v>
      </c>
      <c r="C2363" s="10" t="s">
        <v>70</v>
      </c>
      <c r="D2363" s="10" t="s">
        <v>71</v>
      </c>
      <c r="E2363" s="10" t="s">
        <v>583</v>
      </c>
      <c r="F2363" s="10">
        <v>1</v>
      </c>
      <c r="G2363" s="10" t="s">
        <v>73</v>
      </c>
      <c r="H2363" s="10" t="s">
        <v>74</v>
      </c>
      <c r="I2363" s="10" t="s">
        <v>256</v>
      </c>
      <c r="J2363" s="10">
        <v>187</v>
      </c>
      <c r="K2363" s="12">
        <v>44966</v>
      </c>
      <c r="L2363" s="33">
        <v>0.44686342592592593</v>
      </c>
      <c r="M2363" s="10">
        <v>1</v>
      </c>
      <c r="N2363" s="10" t="s">
        <v>169</v>
      </c>
      <c r="O2363" s="10">
        <v>9.81</v>
      </c>
      <c r="P2363" s="10">
        <v>0.46500000000000002</v>
      </c>
      <c r="Q2363" s="10">
        <v>1200</v>
      </c>
      <c r="R2363" s="10" t="s">
        <v>77</v>
      </c>
      <c r="S2363" s="34">
        <f t="shared" si="263"/>
        <v>1200</v>
      </c>
      <c r="T2363" s="10" t="s">
        <v>1172</v>
      </c>
      <c r="U2363" s="34" t="str">
        <f t="shared" si="266"/>
        <v/>
      </c>
      <c r="V2363" s="31" t="str">
        <f>IF(H2363="CHK",VLOOKUP(I2363,QCCHK,3,),IF(H2363="GUP",VLOOKUP(E2363,QCGUP,2,),IF(AND(H2363="ATP",OR(I2363="TN",I2363="TDN",I2363="TNO2-3",I2363="NO2-3")),VLOOKUP(E2363,QCREC_N,2,),IF(AND(H2363="NIC",OR(I2363="TN",I2363="TDN",I2363="TNO2-3",I2363="NO2-3")),VLOOKUP(E2363,QCNIC_N,2,),IF(AND(H2363="UREA",OR(I2363="TN",I2363="TDN",I2363="TNO2-3",I2363="NO2-3")),VLOOKUP(E2363,QCUREA_N,2,),IF(H2363="PER",VLOOKUP(I2363,QCPER,MATCH(E2363,QCACTUAL!$J$25:$AA$25,0),),IF(H2363="SPK",VLOOKUP(I2363,QCSPK,3,),IF(AND(H2363="ATP",OR(I2363="TP",I2363="TDP")),VLOOKUP(E2363,QCATP_P,2,),""))))))))</f>
        <v/>
      </c>
      <c r="W2363" s="31" t="str">
        <f t="shared" si="267"/>
        <v>TRUE</v>
      </c>
      <c r="X2363" s="31" t="str">
        <f t="shared" si="262"/>
        <v/>
      </c>
      <c r="Y2363" s="10" t="s">
        <v>1144</v>
      </c>
      <c r="AL2363" s="10" t="str">
        <f t="shared" si="264"/>
        <v>FALSE</v>
      </c>
      <c r="AM2363" s="10" t="str">
        <f t="shared" si="264"/>
        <v>FALSE</v>
      </c>
      <c r="AN2363" s="10" t="str">
        <f t="shared" si="264"/>
        <v>FALSE</v>
      </c>
      <c r="AO2363" s="10" t="str">
        <f t="shared" si="265"/>
        <v>FALSE</v>
      </c>
      <c r="AP2363" s="10" t="str">
        <f t="shared" si="265"/>
        <v>FALSE</v>
      </c>
      <c r="AQ2363" s="10" t="b">
        <f>IF(AND(I2363="TP",S2363&lt;=150),VLOOKUP(AF2363,TPCalibEq150!$AZ$2:$BB$55,3,),IF(AND(I2363="TDP",S2363&lt;=150),VLOOKUP(AF2363,TPCalibEq150!$AZ$2:$BB$55,3,)))</f>
        <v>0</v>
      </c>
      <c r="AR2363" s="10" t="b">
        <f>IF(AND(I2363="TP",S2363&lt;=300),VLOOKUP(AF2363,TPCalibEq300!$AZ$2:$BB$55,3,),IF(AND(I2363="TDP",S2363&lt;=300),VLOOKUP(AF2363,TPCalibEq300!$AZ$2:$BB$55,3,)))</f>
        <v>0</v>
      </c>
      <c r="AS2363" s="10" t="b">
        <f>IF(AND(I2363="TP",S2363&lt;=500),VLOOKUP(AF2363,TPCalibEq500!$AZ$2:$BB$56,3,),IF(AND(I2363="TDP",S2363&lt;=500),VLOOKUP(AF2363,TPCalibEq500!$AZ$2:$BB$56,3,)))</f>
        <v>0</v>
      </c>
      <c r="AT2363" s="10" t="b">
        <f>IF(AND(I2363="TN",S2363&lt;=2800),VLOOKUP(AF2363,TNCalibEq2500!$AZ$2:$BB$56,3,),IF(AND(I2363="TDN",S2363&lt;=2800),VLOOKUP(AF2363,TNCalibEq2500!$AZ$2:$BB$56,3,)))</f>
        <v>0</v>
      </c>
      <c r="AU2363" s="10" t="b">
        <f>IF(I2363="TP",VLOOKUP(AF2363,TPCalibEqFull!$AZ$2:$BB$56,3),IF(I2363="TDP",VLOOKUP(AF2363,TPCalibEqFull!$AZ$2:$BB$56,3),IF(I2363="TDN",VLOOKUP(AF2363,TNCalibEqFull!$AZ$1:$BB$56,3),IF(I2363="TN",VLOOKUP(AF2363,TNCalibEqFull!$AZ$1:$BB$56,3),FALSE))))</f>
        <v>0</v>
      </c>
      <c r="AV2363" s="10" t="str">
        <f t="shared" si="268"/>
        <v>0209 09:00:00-QAC-STD-B-1-DI-CAL</v>
      </c>
    </row>
    <row r="2364" spans="1:48" s="10" customFormat="1" x14ac:dyDescent="0.55000000000000004">
      <c r="A2364" s="32">
        <v>44966</v>
      </c>
      <c r="B2364" s="33">
        <v>0.375</v>
      </c>
      <c r="C2364" s="10" t="s">
        <v>70</v>
      </c>
      <c r="D2364" s="10" t="s">
        <v>71</v>
      </c>
      <c r="E2364" s="10" t="s">
        <v>866</v>
      </c>
      <c r="F2364" s="10">
        <v>1</v>
      </c>
      <c r="G2364" s="10" t="s">
        <v>73</v>
      </c>
      <c r="H2364" s="10" t="s">
        <v>74</v>
      </c>
      <c r="I2364" s="10" t="s">
        <v>256</v>
      </c>
      <c r="J2364" s="10">
        <v>188</v>
      </c>
      <c r="K2364" s="12">
        <v>44966</v>
      </c>
      <c r="L2364" s="33">
        <v>0.44768518518518513</v>
      </c>
      <c r="M2364" s="10">
        <v>1</v>
      </c>
      <c r="N2364" s="10" t="s">
        <v>169</v>
      </c>
      <c r="O2364" s="10">
        <v>16.100000000000001</v>
      </c>
      <c r="P2364" s="10">
        <v>0.76200000000000001</v>
      </c>
      <c r="Q2364" s="10">
        <v>2000</v>
      </c>
      <c r="R2364" s="10" t="s">
        <v>77</v>
      </c>
      <c r="S2364" s="34">
        <f t="shared" si="263"/>
        <v>2000</v>
      </c>
      <c r="T2364" s="10" t="s">
        <v>1173</v>
      </c>
      <c r="U2364" s="34" t="str">
        <f t="shared" si="266"/>
        <v/>
      </c>
      <c r="V2364" s="31" t="str">
        <f>IF(H2364="CHK",VLOOKUP(I2364,QCCHK,3,),IF(H2364="GUP",VLOOKUP(E2364,QCGUP,2,),IF(AND(H2364="ATP",OR(I2364="TN",I2364="TDN",I2364="TNO2-3",I2364="NO2-3")),VLOOKUP(E2364,QCREC_N,2,),IF(AND(H2364="NIC",OR(I2364="TN",I2364="TDN",I2364="TNO2-3",I2364="NO2-3")),VLOOKUP(E2364,QCNIC_N,2,),IF(AND(H2364="UREA",OR(I2364="TN",I2364="TDN",I2364="TNO2-3",I2364="NO2-3")),VLOOKUP(E2364,QCUREA_N,2,),IF(H2364="PER",VLOOKUP(I2364,QCPER,MATCH(E2364,QCACTUAL!$J$25:$AA$25,0),),IF(H2364="SPK",VLOOKUP(I2364,QCSPK,3,),IF(AND(H2364="ATP",OR(I2364="TP",I2364="TDP")),VLOOKUP(E2364,QCATP_P,2,),""))))))))</f>
        <v/>
      </c>
      <c r="W2364" s="31" t="str">
        <f t="shared" si="267"/>
        <v>TRUE</v>
      </c>
      <c r="X2364" s="31" t="str">
        <f t="shared" si="262"/>
        <v/>
      </c>
      <c r="Y2364" s="10" t="s">
        <v>1144</v>
      </c>
      <c r="AL2364" s="10" t="str">
        <f t="shared" si="264"/>
        <v>FALSE</v>
      </c>
      <c r="AM2364" s="10" t="str">
        <f t="shared" si="264"/>
        <v>FALSE</v>
      </c>
      <c r="AN2364" s="10" t="str">
        <f t="shared" si="264"/>
        <v>FALSE</v>
      </c>
      <c r="AO2364" s="10" t="str">
        <f t="shared" si="265"/>
        <v>FALSE</v>
      </c>
      <c r="AP2364" s="10" t="str">
        <f t="shared" si="265"/>
        <v>FALSE</v>
      </c>
      <c r="AQ2364" s="10" t="b">
        <f>IF(AND(I2364="TP",S2364&lt;=150),VLOOKUP(AF2364,TPCalibEq150!$AZ$2:$BB$55,3,),IF(AND(I2364="TDP",S2364&lt;=150),VLOOKUP(AF2364,TPCalibEq150!$AZ$2:$BB$55,3,)))</f>
        <v>0</v>
      </c>
      <c r="AR2364" s="10" t="b">
        <f>IF(AND(I2364="TP",S2364&lt;=300),VLOOKUP(AF2364,TPCalibEq300!$AZ$2:$BB$55,3,),IF(AND(I2364="TDP",S2364&lt;=300),VLOOKUP(AF2364,TPCalibEq300!$AZ$2:$BB$55,3,)))</f>
        <v>0</v>
      </c>
      <c r="AS2364" s="10" t="b">
        <f>IF(AND(I2364="TP",S2364&lt;=500),VLOOKUP(AF2364,TPCalibEq500!$AZ$2:$BB$56,3,),IF(AND(I2364="TDP",S2364&lt;=500),VLOOKUP(AF2364,TPCalibEq500!$AZ$2:$BB$56,3,)))</f>
        <v>0</v>
      </c>
      <c r="AT2364" s="10" t="b">
        <f>IF(AND(I2364="TN",S2364&lt;=2800),VLOOKUP(AF2364,TNCalibEq2500!$AZ$2:$BB$56,3,),IF(AND(I2364="TDN",S2364&lt;=2800),VLOOKUP(AF2364,TNCalibEq2500!$AZ$2:$BB$56,3,)))</f>
        <v>0</v>
      </c>
      <c r="AU2364" s="10" t="b">
        <f>IF(I2364="TP",VLOOKUP(AF2364,TPCalibEqFull!$AZ$2:$BB$56,3),IF(I2364="TDP",VLOOKUP(AF2364,TPCalibEqFull!$AZ$2:$BB$56,3),IF(I2364="TDN",VLOOKUP(AF2364,TNCalibEqFull!$AZ$1:$BB$56,3),IF(I2364="TN",VLOOKUP(AF2364,TNCalibEqFull!$AZ$1:$BB$56,3),FALSE))))</f>
        <v>0</v>
      </c>
      <c r="AV2364" s="10" t="str">
        <f t="shared" si="268"/>
        <v>0209 09:00:00-QAC-STD-A-1-DI-CAL</v>
      </c>
    </row>
    <row r="2365" spans="1:48" s="10" customFormat="1" x14ac:dyDescent="0.55000000000000004">
      <c r="A2365" s="32">
        <v>44966</v>
      </c>
      <c r="B2365" s="33">
        <v>0.375</v>
      </c>
      <c r="C2365" s="10" t="s">
        <v>70</v>
      </c>
      <c r="D2365" s="10" t="s">
        <v>71</v>
      </c>
      <c r="E2365" s="10" t="s">
        <v>72</v>
      </c>
      <c r="F2365" s="10">
        <v>1</v>
      </c>
      <c r="G2365" s="10" t="s">
        <v>73</v>
      </c>
      <c r="H2365" s="10" t="s">
        <v>74</v>
      </c>
      <c r="I2365" s="10" t="s">
        <v>256</v>
      </c>
      <c r="J2365" s="10">
        <v>181</v>
      </c>
      <c r="K2365" s="12">
        <v>44966</v>
      </c>
      <c r="L2365" s="33">
        <v>0.44931712962962966</v>
      </c>
      <c r="M2365" s="10">
        <v>1</v>
      </c>
      <c r="N2365" s="10" t="s">
        <v>169</v>
      </c>
      <c r="O2365" s="10">
        <v>1.8100000000000002E-2</v>
      </c>
      <c r="P2365" s="10">
        <v>1.3500000000000001E-3</v>
      </c>
      <c r="Q2365" s="10">
        <v>0</v>
      </c>
      <c r="R2365" s="10" t="s">
        <v>77</v>
      </c>
      <c r="S2365" s="34">
        <f t="shared" si="263"/>
        <v>0</v>
      </c>
      <c r="T2365" s="10" t="s">
        <v>1174</v>
      </c>
      <c r="U2365" s="34" t="str">
        <f t="shared" si="266"/>
        <v/>
      </c>
      <c r="V2365" s="31" t="str">
        <f>IF(H2365="CHK",VLOOKUP(I2365,QCCHK,3,),IF(H2365="GUP",VLOOKUP(E2365,QCGUP,2,),IF(AND(H2365="ATP",OR(I2365="TN",I2365="TDN",I2365="TNO2-3",I2365="NO2-3")),VLOOKUP(E2365,QCREC_N,2,),IF(AND(H2365="NIC",OR(I2365="TN",I2365="TDN",I2365="TNO2-3",I2365="NO2-3")),VLOOKUP(E2365,QCNIC_N,2,),IF(AND(H2365="UREA",OR(I2365="TN",I2365="TDN",I2365="TNO2-3",I2365="NO2-3")),VLOOKUP(E2365,QCUREA_N,2,),IF(H2365="PER",VLOOKUP(I2365,QCPER,MATCH(E2365,QCACTUAL!$J$25:$AA$25,0),),IF(H2365="SPK",VLOOKUP(I2365,QCSPK,3,),IF(AND(H2365="ATP",OR(I2365="TP",I2365="TDP")),VLOOKUP(E2365,QCATP_P,2,),""))))))))</f>
        <v/>
      </c>
      <c r="W2365" s="31" t="str">
        <f t="shared" si="267"/>
        <v>TRUE</v>
      </c>
      <c r="X2365" s="31" t="str">
        <f t="shared" si="262"/>
        <v/>
      </c>
      <c r="Y2365" s="10" t="s">
        <v>1144</v>
      </c>
      <c r="AL2365" s="10" t="str">
        <f t="shared" si="264"/>
        <v>FALSE</v>
      </c>
      <c r="AM2365" s="10" t="str">
        <f t="shared" si="264"/>
        <v>FALSE</v>
      </c>
      <c r="AN2365" s="10" t="str">
        <f t="shared" si="264"/>
        <v>FALSE</v>
      </c>
      <c r="AO2365" s="10" t="str">
        <f t="shared" si="265"/>
        <v>FALSE</v>
      </c>
      <c r="AP2365" s="10" t="str">
        <f t="shared" si="265"/>
        <v>FALSE</v>
      </c>
      <c r="AQ2365" s="10" t="b">
        <f>IF(AND(I2365="TP",S2365&lt;=150),VLOOKUP(AF2365,TPCalibEq150!$AZ$2:$BB$55,3,),IF(AND(I2365="TDP",S2365&lt;=150),VLOOKUP(AF2365,TPCalibEq150!$AZ$2:$BB$55,3,)))</f>
        <v>0</v>
      </c>
      <c r="AR2365" s="10" t="b">
        <f>IF(AND(I2365="TP",S2365&lt;=300),VLOOKUP(AF2365,TPCalibEq300!$AZ$2:$BB$55,3,),IF(AND(I2365="TDP",S2365&lt;=300),VLOOKUP(AF2365,TPCalibEq300!$AZ$2:$BB$55,3,)))</f>
        <v>0</v>
      </c>
      <c r="AS2365" s="10" t="b">
        <f>IF(AND(I2365="TP",S2365&lt;=500),VLOOKUP(AF2365,TPCalibEq500!$AZ$2:$BB$56,3,),IF(AND(I2365="TDP",S2365&lt;=500),VLOOKUP(AF2365,TPCalibEq500!$AZ$2:$BB$56,3,)))</f>
        <v>0</v>
      </c>
      <c r="AT2365" s="10" t="b">
        <f>IF(AND(I2365="TN",S2365&lt;=2800),VLOOKUP(AF2365,TNCalibEq2500!$AZ$2:$BB$56,3,),IF(AND(I2365="TDN",S2365&lt;=2800),VLOOKUP(AF2365,TNCalibEq2500!$AZ$2:$BB$56,3,)))</f>
        <v>0</v>
      </c>
      <c r="AU2365" s="10" t="b">
        <f>IF(I2365="TP",VLOOKUP(AF2365,TPCalibEqFull!$AZ$2:$BB$56,3),IF(I2365="TDP",VLOOKUP(AF2365,TPCalibEqFull!$AZ$2:$BB$56,3),IF(I2365="TDN",VLOOKUP(AF2365,TNCalibEqFull!$AZ$1:$BB$56,3),IF(I2365="TN",VLOOKUP(AF2365,TNCalibEqFull!$AZ$1:$BB$56,3),FALSE))))</f>
        <v>0</v>
      </c>
      <c r="AV2365" s="10" t="str">
        <f t="shared" si="268"/>
        <v>0209 09:00:00-QAC-STD-H-1-DI-CAL</v>
      </c>
    </row>
    <row r="2366" spans="1:48" s="10" customFormat="1" x14ac:dyDescent="0.55000000000000004">
      <c r="A2366" s="32">
        <v>44966</v>
      </c>
      <c r="B2366" s="33">
        <v>0.375</v>
      </c>
      <c r="C2366" s="10" t="s">
        <v>70</v>
      </c>
      <c r="D2366" s="10" t="s">
        <v>71</v>
      </c>
      <c r="E2366" s="10" t="s">
        <v>901</v>
      </c>
      <c r="F2366" s="10">
        <v>1</v>
      </c>
      <c r="G2366" s="10" t="s">
        <v>73</v>
      </c>
      <c r="H2366" s="10" t="s">
        <v>74</v>
      </c>
      <c r="I2366" s="10" t="s">
        <v>256</v>
      </c>
      <c r="J2366" s="10">
        <v>185</v>
      </c>
      <c r="K2366" s="12">
        <v>44966</v>
      </c>
      <c r="L2366" s="33">
        <v>0.45013888888888887</v>
      </c>
      <c r="M2366" s="10">
        <v>1</v>
      </c>
      <c r="N2366" s="10" t="s">
        <v>169</v>
      </c>
      <c r="O2366" s="10">
        <v>3.1199999999999999E-2</v>
      </c>
      <c r="P2366" s="10">
        <v>1.3799999999999999E-3</v>
      </c>
      <c r="Q2366" s="10">
        <v>300</v>
      </c>
      <c r="R2366" s="10" t="s">
        <v>77</v>
      </c>
      <c r="S2366" s="34">
        <f t="shared" si="263"/>
        <v>300</v>
      </c>
      <c r="T2366" s="10" t="s">
        <v>1175</v>
      </c>
      <c r="U2366" s="34" t="str">
        <f t="shared" si="266"/>
        <v/>
      </c>
      <c r="V2366" s="31" t="str">
        <f>IF(H2366="CHK",VLOOKUP(I2366,QCCHK,3,),IF(H2366="GUP",VLOOKUP(E2366,QCGUP,2,),IF(AND(H2366="ATP",OR(I2366="TN",I2366="TDN",I2366="TNO2-3",I2366="NO2-3")),VLOOKUP(E2366,QCREC_N,2,),IF(AND(H2366="NIC",OR(I2366="TN",I2366="TDN",I2366="TNO2-3",I2366="NO2-3")),VLOOKUP(E2366,QCNIC_N,2,),IF(AND(H2366="UREA",OR(I2366="TN",I2366="TDN",I2366="TNO2-3",I2366="NO2-3")),VLOOKUP(E2366,QCUREA_N,2,),IF(H2366="PER",VLOOKUP(I2366,QCPER,MATCH(E2366,QCACTUAL!$J$25:$AA$25,0),),IF(H2366="SPK",VLOOKUP(I2366,QCSPK,3,),IF(AND(H2366="ATP",OR(I2366="TP",I2366="TDP")),VLOOKUP(E2366,QCATP_P,2,),""))))))))</f>
        <v/>
      </c>
      <c r="W2366" s="31" t="str">
        <f t="shared" si="267"/>
        <v>TRUE</v>
      </c>
      <c r="X2366" s="31" t="str">
        <f t="shared" si="262"/>
        <v/>
      </c>
      <c r="Y2366" s="10" t="s">
        <v>1144</v>
      </c>
      <c r="AL2366" s="10" t="str">
        <f t="shared" si="264"/>
        <v>FALSE</v>
      </c>
      <c r="AM2366" s="10" t="str">
        <f t="shared" si="264"/>
        <v>FALSE</v>
      </c>
      <c r="AN2366" s="10" t="str">
        <f t="shared" si="264"/>
        <v>FALSE</v>
      </c>
      <c r="AO2366" s="10" t="str">
        <f t="shared" si="265"/>
        <v>FALSE</v>
      </c>
      <c r="AP2366" s="10" t="str">
        <f t="shared" si="265"/>
        <v>FALSE</v>
      </c>
      <c r="AQ2366" s="10" t="b">
        <f>IF(AND(I2366="TP",S2366&lt;=150),VLOOKUP(AF2366,TPCalibEq150!$AZ$2:$BB$55,3,),IF(AND(I2366="TDP",S2366&lt;=150),VLOOKUP(AF2366,TPCalibEq150!$AZ$2:$BB$55,3,)))</f>
        <v>0</v>
      </c>
      <c r="AR2366" s="10" t="b">
        <f>IF(AND(I2366="TP",S2366&lt;=300),VLOOKUP(AF2366,TPCalibEq300!$AZ$2:$BB$55,3,),IF(AND(I2366="TDP",S2366&lt;=300),VLOOKUP(AF2366,TPCalibEq300!$AZ$2:$BB$55,3,)))</f>
        <v>0</v>
      </c>
      <c r="AS2366" s="10" t="b">
        <f>IF(AND(I2366="TP",S2366&lt;=500),VLOOKUP(AF2366,TPCalibEq500!$AZ$2:$BB$56,3,),IF(AND(I2366="TDP",S2366&lt;=500),VLOOKUP(AF2366,TPCalibEq500!$AZ$2:$BB$56,3,)))</f>
        <v>0</v>
      </c>
      <c r="AT2366" s="10" t="b">
        <f>IF(AND(I2366="TN",S2366&lt;=2800),VLOOKUP(AF2366,TNCalibEq2500!$AZ$2:$BB$56,3,),IF(AND(I2366="TDN",S2366&lt;=2800),VLOOKUP(AF2366,TNCalibEq2500!$AZ$2:$BB$56,3,)))</f>
        <v>0</v>
      </c>
      <c r="AU2366" s="10" t="b">
        <f>IF(I2366="TP",VLOOKUP(AF2366,TPCalibEqFull!$AZ$2:$BB$56,3),IF(I2366="TDP",VLOOKUP(AF2366,TPCalibEqFull!$AZ$2:$BB$56,3),IF(I2366="TDN",VLOOKUP(AF2366,TNCalibEqFull!$AZ$1:$BB$56,3),IF(I2366="TN",VLOOKUP(AF2366,TNCalibEqFull!$AZ$1:$BB$56,3),FALSE))))</f>
        <v>0</v>
      </c>
      <c r="AV2366" s="10" t="str">
        <f t="shared" si="268"/>
        <v>0209 09:00:00-QAC-STD-D-1-DI-CAL</v>
      </c>
    </row>
    <row r="2367" spans="1:48" s="10" customFormat="1" x14ac:dyDescent="0.55000000000000004">
      <c r="A2367" s="32">
        <v>44966</v>
      </c>
      <c r="B2367" s="33">
        <v>0.375</v>
      </c>
      <c r="C2367" s="10" t="s">
        <v>70</v>
      </c>
      <c r="D2367" s="10" t="s">
        <v>71</v>
      </c>
      <c r="E2367" s="10" t="s">
        <v>901</v>
      </c>
      <c r="F2367" s="10">
        <v>1</v>
      </c>
      <c r="G2367" s="10" t="s">
        <v>73</v>
      </c>
      <c r="H2367" s="10" t="s">
        <v>74</v>
      </c>
      <c r="I2367" s="10" t="s">
        <v>256</v>
      </c>
      <c r="J2367" s="10">
        <v>185</v>
      </c>
      <c r="K2367" s="12">
        <v>44966</v>
      </c>
      <c r="L2367" s="33">
        <v>0.45341435185185186</v>
      </c>
      <c r="M2367" s="10">
        <v>1</v>
      </c>
      <c r="N2367" s="10" t="s">
        <v>169</v>
      </c>
      <c r="O2367" s="10">
        <v>3.0300000000000001E-2</v>
      </c>
      <c r="P2367" s="10">
        <v>1.1800000000000001E-3</v>
      </c>
      <c r="Q2367" s="10">
        <v>300</v>
      </c>
      <c r="R2367" s="10" t="s">
        <v>77</v>
      </c>
      <c r="S2367" s="34">
        <f t="shared" si="263"/>
        <v>300</v>
      </c>
      <c r="T2367" s="10" t="s">
        <v>1175</v>
      </c>
      <c r="U2367" s="34" t="str">
        <f t="shared" si="266"/>
        <v/>
      </c>
      <c r="V2367" s="31" t="str">
        <f>IF(H2367="CHK",VLOOKUP(I2367,QCCHK,3,),IF(H2367="GUP",VLOOKUP(E2367,QCGUP,2,),IF(AND(H2367="ATP",OR(I2367="TN",I2367="TDN",I2367="TNO2-3",I2367="NO2-3")),VLOOKUP(E2367,QCREC_N,2,),IF(AND(H2367="NIC",OR(I2367="TN",I2367="TDN",I2367="TNO2-3",I2367="NO2-3")),VLOOKUP(E2367,QCNIC_N,2,),IF(AND(H2367="UREA",OR(I2367="TN",I2367="TDN",I2367="TNO2-3",I2367="NO2-3")),VLOOKUP(E2367,QCUREA_N,2,),IF(H2367="PER",VLOOKUP(I2367,QCPER,MATCH(E2367,QCACTUAL!$J$25:$AA$25,0),),IF(H2367="SPK",VLOOKUP(I2367,QCSPK,3,),IF(AND(H2367="ATP",OR(I2367="TP",I2367="TDP")),VLOOKUP(E2367,QCATP_P,2,),""))))))))</f>
        <v/>
      </c>
      <c r="W2367" s="31" t="str">
        <f t="shared" si="267"/>
        <v>TRUE</v>
      </c>
      <c r="X2367" s="31" t="str">
        <f t="shared" ref="X2367:X2430" si="269">IF(ISNA(VLOOKUP(H2367,QCEQUATIONS,2,)),"",(VLOOKUP(H2367,QCEQUATIONS,2,)))</f>
        <v/>
      </c>
      <c r="Y2367" s="10" t="s">
        <v>1144</v>
      </c>
      <c r="AL2367" s="10" t="str">
        <f t="shared" si="264"/>
        <v>FALSE</v>
      </c>
      <c r="AM2367" s="10" t="str">
        <f t="shared" si="264"/>
        <v>FALSE</v>
      </c>
      <c r="AN2367" s="10" t="str">
        <f t="shared" si="264"/>
        <v>FALSE</v>
      </c>
      <c r="AO2367" s="10" t="str">
        <f t="shared" si="265"/>
        <v>FALSE</v>
      </c>
      <c r="AP2367" s="10" t="str">
        <f t="shared" si="265"/>
        <v>FALSE</v>
      </c>
      <c r="AQ2367" s="10" t="b">
        <f>IF(AND(I2367="TP",S2367&lt;=150),VLOOKUP(AF2367,TPCalibEq150!$AZ$2:$BB$55,3,),IF(AND(I2367="TDP",S2367&lt;=150),VLOOKUP(AF2367,TPCalibEq150!$AZ$2:$BB$55,3,)))</f>
        <v>0</v>
      </c>
      <c r="AR2367" s="10" t="b">
        <f>IF(AND(I2367="TP",S2367&lt;=300),VLOOKUP(AF2367,TPCalibEq300!$AZ$2:$BB$55,3,),IF(AND(I2367="TDP",S2367&lt;=300),VLOOKUP(AF2367,TPCalibEq300!$AZ$2:$BB$55,3,)))</f>
        <v>0</v>
      </c>
      <c r="AS2367" s="10" t="b">
        <f>IF(AND(I2367="TP",S2367&lt;=500),VLOOKUP(AF2367,TPCalibEq500!$AZ$2:$BB$56,3,),IF(AND(I2367="TDP",S2367&lt;=500),VLOOKUP(AF2367,TPCalibEq500!$AZ$2:$BB$56,3,)))</f>
        <v>0</v>
      </c>
      <c r="AT2367" s="10" t="b">
        <f>IF(AND(I2367="TN",S2367&lt;=2800),VLOOKUP(AF2367,TNCalibEq2500!$AZ$2:$BB$56,3,),IF(AND(I2367="TDN",S2367&lt;=2800),VLOOKUP(AF2367,TNCalibEq2500!$AZ$2:$BB$56,3,)))</f>
        <v>0</v>
      </c>
      <c r="AU2367" s="10" t="b">
        <f>IF(I2367="TP",VLOOKUP(AF2367,TPCalibEqFull!$AZ$2:$BB$56,3),IF(I2367="TDP",VLOOKUP(AF2367,TPCalibEqFull!$AZ$2:$BB$56,3),IF(I2367="TDN",VLOOKUP(AF2367,TNCalibEqFull!$AZ$1:$BB$56,3),IF(I2367="TN",VLOOKUP(AF2367,TNCalibEqFull!$AZ$1:$BB$56,3),FALSE))))</f>
        <v>0</v>
      </c>
      <c r="AV2367" s="10" t="str">
        <f t="shared" si="268"/>
        <v>0209 09:00:00-QAC-STD-D-1-DI-CAL</v>
      </c>
    </row>
    <row r="2368" spans="1:48" s="10" customFormat="1" x14ac:dyDescent="0.55000000000000004">
      <c r="A2368" s="32">
        <v>44966</v>
      </c>
      <c r="B2368" s="33">
        <v>0.375</v>
      </c>
      <c r="C2368" s="10" t="s">
        <v>70</v>
      </c>
      <c r="D2368" s="10" t="s">
        <v>71</v>
      </c>
      <c r="E2368" s="10" t="s">
        <v>901</v>
      </c>
      <c r="F2368" s="10">
        <v>1</v>
      </c>
      <c r="G2368" s="10" t="s">
        <v>73</v>
      </c>
      <c r="H2368" s="10" t="s">
        <v>74</v>
      </c>
      <c r="I2368" s="10" t="s">
        <v>256</v>
      </c>
      <c r="J2368" s="10">
        <v>195</v>
      </c>
      <c r="K2368" s="12">
        <v>44966</v>
      </c>
      <c r="L2368" s="33">
        <v>0.45505787037037032</v>
      </c>
      <c r="M2368" s="10">
        <v>1</v>
      </c>
      <c r="N2368" s="10" t="s">
        <v>169</v>
      </c>
      <c r="O2368" s="10">
        <v>2.2599999999999998</v>
      </c>
      <c r="P2368" s="10">
        <v>0.106</v>
      </c>
      <c r="Q2368" s="10">
        <v>321</v>
      </c>
      <c r="R2368" s="10" t="s">
        <v>77</v>
      </c>
      <c r="S2368" s="34">
        <f t="shared" ref="S2368:S2431" si="270">IF(OR(AND(I2368&lt;&gt;"TP", I2368&lt;&gt;"TDP",I2368&lt;&gt;"TN", I2368&lt;&gt;"TDN"),H2368="CAL"), Q2368*M2368, IF(OR(AND(I2368="TN", Q2368&gt;2500), AND(I2368="TDN", Q2368&gt;2500)),MAX(Q2368, AK2368)*M2368, IF(OR(AND(I2368="TN", Q2368&lt;=2500), AND(I2368="TDN", Q2368&lt;=2500)),MAX(Q2368, AJ2368,AK2368)*M2368, IF(OR(AND(I2368="TP",Q2368&gt;500), AND(I2368="TDP", Q2368&gt;500)),MAX(Q2368,AK2368)*M2368,IF(OR(AND(I2368="TP",Q2368&lt;=150), AND(I2368="TDP", Q2368&lt;=150)),MAX(Q2368,AG2368:AI2368,AK2368)*M2368,IF(OR(AND(I2368="TP",Q2368&lt;=300), AND(I2368="TDP", Q2368&lt;=300)),MAX(Q2368,AH2368,AI2368,AK2368)*M2368,IF(OR(AND(I2368="TP",Q2368&lt;=500), AND(I2368="TDP", Q2368&lt;=500)),MAX(Q2368,AI2368,AK2368)*M2368,"")))))))</f>
        <v>321</v>
      </c>
      <c r="T2368" s="10" t="s">
        <v>1175</v>
      </c>
      <c r="U2368" s="34" t="str">
        <f t="shared" si="266"/>
        <v/>
      </c>
      <c r="V2368" s="31" t="str">
        <f>IF(H2368="CHK",VLOOKUP(I2368,QCCHK,3,),IF(H2368="GUP",VLOOKUP(E2368,QCGUP,2,),IF(AND(H2368="ATP",OR(I2368="TN",I2368="TDN",I2368="TNO2-3",I2368="NO2-3")),VLOOKUP(E2368,QCREC_N,2,),IF(AND(H2368="NIC",OR(I2368="TN",I2368="TDN",I2368="TNO2-3",I2368="NO2-3")),VLOOKUP(E2368,QCNIC_N,2,),IF(AND(H2368="UREA",OR(I2368="TN",I2368="TDN",I2368="TNO2-3",I2368="NO2-3")),VLOOKUP(E2368,QCUREA_N,2,),IF(H2368="PER",VLOOKUP(I2368,QCPER,MATCH(E2368,QCACTUAL!$J$25:$AA$25,0),),IF(H2368="SPK",VLOOKUP(I2368,QCSPK,3,),IF(AND(H2368="ATP",OR(I2368="TP",I2368="TDP")),VLOOKUP(E2368,QCATP_P,2,),""))))))))</f>
        <v/>
      </c>
      <c r="W2368" s="31" t="str">
        <f t="shared" si="267"/>
        <v>TRUE</v>
      </c>
      <c r="X2368" s="31" t="str">
        <f t="shared" si="269"/>
        <v/>
      </c>
      <c r="Y2368" s="10" t="s">
        <v>1144</v>
      </c>
      <c r="AL2368" s="10" t="str">
        <f t="shared" si="264"/>
        <v>FALSE</v>
      </c>
      <c r="AM2368" s="10" t="str">
        <f t="shared" si="264"/>
        <v>FALSE</v>
      </c>
      <c r="AN2368" s="10" t="str">
        <f t="shared" si="264"/>
        <v>FALSE</v>
      </c>
      <c r="AO2368" s="10" t="str">
        <f t="shared" si="265"/>
        <v>FALSE</v>
      </c>
      <c r="AP2368" s="10" t="str">
        <f t="shared" si="265"/>
        <v>FALSE</v>
      </c>
      <c r="AQ2368" s="10" t="b">
        <f>IF(AND(I2368="TP",S2368&lt;=150),VLOOKUP(AF2368,TPCalibEq150!$AZ$2:$BB$55,3,),IF(AND(I2368="TDP",S2368&lt;=150),VLOOKUP(AF2368,TPCalibEq150!$AZ$2:$BB$55,3,)))</f>
        <v>0</v>
      </c>
      <c r="AR2368" s="10" t="b">
        <f>IF(AND(I2368="TP",S2368&lt;=300),VLOOKUP(AF2368,TPCalibEq300!$AZ$2:$BB$55,3,),IF(AND(I2368="TDP",S2368&lt;=300),VLOOKUP(AF2368,TPCalibEq300!$AZ$2:$BB$55,3,)))</f>
        <v>0</v>
      </c>
      <c r="AS2368" s="10" t="b">
        <f>IF(AND(I2368="TP",S2368&lt;=500),VLOOKUP(AF2368,TPCalibEq500!$AZ$2:$BB$56,3,),IF(AND(I2368="TDP",S2368&lt;=500),VLOOKUP(AF2368,TPCalibEq500!$AZ$2:$BB$56,3,)))</f>
        <v>0</v>
      </c>
      <c r="AT2368" s="10" t="b">
        <f>IF(AND(I2368="TN",S2368&lt;=2800),VLOOKUP(AF2368,TNCalibEq2500!$AZ$2:$BB$56,3,),IF(AND(I2368="TDN",S2368&lt;=2800),VLOOKUP(AF2368,TNCalibEq2500!$AZ$2:$BB$56,3,)))</f>
        <v>0</v>
      </c>
      <c r="AU2368" s="10" t="b">
        <f>IF(I2368="TP",VLOOKUP(AF2368,TPCalibEqFull!$AZ$2:$BB$56,3),IF(I2368="TDP",VLOOKUP(AF2368,TPCalibEqFull!$AZ$2:$BB$56,3),IF(I2368="TDN",VLOOKUP(AF2368,TNCalibEqFull!$AZ$1:$BB$56,3),IF(I2368="TN",VLOOKUP(AF2368,TNCalibEqFull!$AZ$1:$BB$56,3),FALSE))))</f>
        <v>0</v>
      </c>
      <c r="AV2368" s="10" t="str">
        <f t="shared" si="268"/>
        <v>0209 09:00:00-QAC-STD-D-1-DI-CAL</v>
      </c>
    </row>
    <row r="2369" spans="1:48" s="10" customFormat="1" x14ac:dyDescent="0.55000000000000004">
      <c r="A2369" s="32">
        <v>44966</v>
      </c>
      <c r="B2369" s="33">
        <v>0.375</v>
      </c>
      <c r="C2369" s="10" t="s">
        <v>70</v>
      </c>
      <c r="D2369" s="10" t="s">
        <v>71</v>
      </c>
      <c r="E2369" s="10" t="s">
        <v>901</v>
      </c>
      <c r="F2369" s="10">
        <v>1</v>
      </c>
      <c r="G2369" s="10" t="s">
        <v>73</v>
      </c>
      <c r="H2369" s="10" t="s">
        <v>74</v>
      </c>
      <c r="I2369" s="10" t="s">
        <v>256</v>
      </c>
      <c r="J2369" s="10">
        <v>195</v>
      </c>
      <c r="K2369" s="12">
        <v>44966</v>
      </c>
      <c r="L2369" s="33">
        <v>0.45847222222222223</v>
      </c>
      <c r="M2369" s="10">
        <v>1</v>
      </c>
      <c r="N2369" s="10" t="s">
        <v>169</v>
      </c>
      <c r="O2369" s="10">
        <v>2.2599999999999998</v>
      </c>
      <c r="P2369" s="10">
        <v>0.107</v>
      </c>
      <c r="Q2369" s="10">
        <v>300</v>
      </c>
      <c r="R2369" s="10" t="s">
        <v>77</v>
      </c>
      <c r="S2369" s="34">
        <f t="shared" si="270"/>
        <v>300</v>
      </c>
      <c r="T2369" s="10" t="s">
        <v>1176</v>
      </c>
      <c r="U2369" s="34" t="str">
        <f t="shared" si="266"/>
        <v/>
      </c>
      <c r="V2369" s="31" t="str">
        <f>IF(H2369="CHK",VLOOKUP(I2369,QCCHK,3,),IF(H2369="GUP",VLOOKUP(E2369,QCGUP,2,),IF(AND(H2369="ATP",OR(I2369="TN",I2369="TDN",I2369="TNO2-3",I2369="NO2-3")),VLOOKUP(E2369,QCREC_N,2,),IF(AND(H2369="NIC",OR(I2369="TN",I2369="TDN",I2369="TNO2-3",I2369="NO2-3")),VLOOKUP(E2369,QCNIC_N,2,),IF(AND(H2369="UREA",OR(I2369="TN",I2369="TDN",I2369="TNO2-3",I2369="NO2-3")),VLOOKUP(E2369,QCUREA_N,2,),IF(H2369="PER",VLOOKUP(I2369,QCPER,MATCH(E2369,QCACTUAL!$J$25:$AA$25,0),),IF(H2369="SPK",VLOOKUP(I2369,QCSPK,3,),IF(AND(H2369="ATP",OR(I2369="TP",I2369="TDP")),VLOOKUP(E2369,QCATP_P,2,),""))))))))</f>
        <v/>
      </c>
      <c r="W2369" s="31" t="str">
        <f t="shared" si="267"/>
        <v>TRUE</v>
      </c>
      <c r="X2369" s="31" t="str">
        <f t="shared" si="269"/>
        <v/>
      </c>
      <c r="Y2369" s="10" t="s">
        <v>1144</v>
      </c>
      <c r="AL2369" s="10" t="str">
        <f t="shared" ref="AL2369:AN2432" si="271">IF($O2369="", "", IF(AQ2369&lt;&gt;"", SUBSTITUTE(SUBSTITUTE(AQ2369, "x", "*"&amp;$O2369&amp;"^", 1), "x", "*"&amp;$O2369, 1), ""))</f>
        <v>FALSE</v>
      </c>
      <c r="AM2369" s="10" t="str">
        <f t="shared" si="271"/>
        <v>FALSE</v>
      </c>
      <c r="AN2369" s="10" t="str">
        <f t="shared" si="271"/>
        <v>FALSE</v>
      </c>
      <c r="AO2369" s="10" t="str">
        <f t="shared" ref="AO2369:AP2432" si="272">IF($O2369="", "FALSE", IF(AT2369&lt;&gt;"FALSE", SUBSTITUTE(SUBSTITUTE(AT2369, "x", "*"&amp;$O2369&amp;"^", 1), "x", "*"&amp;$O2369, 1), ""))</f>
        <v>FALSE</v>
      </c>
      <c r="AP2369" s="10" t="str">
        <f t="shared" si="272"/>
        <v>FALSE</v>
      </c>
      <c r="AQ2369" s="10" t="b">
        <f>IF(AND(I2369="TP",S2369&lt;=150),VLOOKUP(AF2369,TPCalibEq150!$AZ$2:$BB$55,3,),IF(AND(I2369="TDP",S2369&lt;=150),VLOOKUP(AF2369,TPCalibEq150!$AZ$2:$BB$55,3,)))</f>
        <v>0</v>
      </c>
      <c r="AR2369" s="10" t="b">
        <f>IF(AND(I2369="TP",S2369&lt;=300),VLOOKUP(AF2369,TPCalibEq300!$AZ$2:$BB$55,3,),IF(AND(I2369="TDP",S2369&lt;=300),VLOOKUP(AF2369,TPCalibEq300!$AZ$2:$BB$55,3,)))</f>
        <v>0</v>
      </c>
      <c r="AS2369" s="10" t="b">
        <f>IF(AND(I2369="TP",S2369&lt;=500),VLOOKUP(AF2369,TPCalibEq500!$AZ$2:$BB$56,3,),IF(AND(I2369="TDP",S2369&lt;=500),VLOOKUP(AF2369,TPCalibEq500!$AZ$2:$BB$56,3,)))</f>
        <v>0</v>
      </c>
      <c r="AT2369" s="10" t="b">
        <f>IF(AND(I2369="TN",S2369&lt;=2800),VLOOKUP(AF2369,TNCalibEq2500!$AZ$2:$BB$56,3,),IF(AND(I2369="TDN",S2369&lt;=2800),VLOOKUP(AF2369,TNCalibEq2500!$AZ$2:$BB$56,3,)))</f>
        <v>0</v>
      </c>
      <c r="AU2369" s="10" t="b">
        <f>IF(I2369="TP",VLOOKUP(AF2369,TPCalibEqFull!$AZ$2:$BB$56,3),IF(I2369="TDP",VLOOKUP(AF2369,TPCalibEqFull!$AZ$2:$BB$56,3),IF(I2369="TDN",VLOOKUP(AF2369,TNCalibEqFull!$AZ$1:$BB$56,3),IF(I2369="TN",VLOOKUP(AF2369,TNCalibEqFull!$AZ$1:$BB$56,3),FALSE))))</f>
        <v>0</v>
      </c>
      <c r="AV2369" s="10" t="str">
        <f t="shared" si="268"/>
        <v>0209 09:00:00-QAC-STD-D-1-DI-CAL</v>
      </c>
    </row>
    <row r="2370" spans="1:48" s="10" customFormat="1" x14ac:dyDescent="0.55000000000000004">
      <c r="A2370" s="32">
        <v>44966</v>
      </c>
      <c r="B2370" s="33">
        <v>0.375</v>
      </c>
      <c r="C2370" s="10" t="s">
        <v>70</v>
      </c>
      <c r="D2370" s="10" t="s">
        <v>241</v>
      </c>
      <c r="E2370" s="10" t="s">
        <v>866</v>
      </c>
      <c r="F2370" s="10">
        <v>1</v>
      </c>
      <c r="G2370" s="10" t="s">
        <v>73</v>
      </c>
      <c r="H2370" s="10" t="s">
        <v>283</v>
      </c>
      <c r="I2370" s="10" t="s">
        <v>256</v>
      </c>
      <c r="J2370" s="10">
        <v>198</v>
      </c>
      <c r="K2370" s="12">
        <v>44966</v>
      </c>
      <c r="L2370" s="33">
        <v>0.46219907407407407</v>
      </c>
      <c r="M2370" s="10">
        <v>1</v>
      </c>
      <c r="N2370" s="10" t="s">
        <v>169</v>
      </c>
      <c r="O2370" s="10">
        <v>-1.0200000000000001E-2</v>
      </c>
      <c r="P2370" s="10">
        <v>-1.1900000000000001E-3</v>
      </c>
      <c r="Q2370" s="10">
        <v>-1.7</v>
      </c>
      <c r="R2370" s="10" t="s">
        <v>77</v>
      </c>
      <c r="S2370" s="34">
        <f t="shared" si="270"/>
        <v>-1.7</v>
      </c>
      <c r="T2370" s="10" t="s">
        <v>1176</v>
      </c>
      <c r="U2370" s="34">
        <f t="shared" ref="U2370:U2433" si="273">IF(OR(H2370="CHK",H2370="ATP",H2370="GUP",H2370="PER", H2370="NIC", H2370="UREA"),(S2370/V2370*100),IF(H2370="DUP",((ABS(S2370-S2369))/((S2369+S2370)/2))*100,IF(H2370="SPK",((S2370-S2369)/V2370*100),IF(OR(H2370="LAB",H2370="FLD",H2370="ESF"),S2370,""))))</f>
        <v>-1.7</v>
      </c>
      <c r="V2370" s="31" t="str">
        <f>IF(H2370="CHK",VLOOKUP(I2370,QCCHK,3,),IF(H2370="GUP",VLOOKUP(E2370,QCGUP,2,),IF(AND(H2370="ATP",OR(I2370="TN",I2370="TDN",I2370="TNO2-3",I2370="NO2-3")),VLOOKUP(E2370,QCREC_N,2,),IF(AND(H2370="NIC",OR(I2370="TN",I2370="TDN",I2370="TNO2-3",I2370="NO2-3")),VLOOKUP(E2370,QCNIC_N,2,),IF(AND(H2370="UREA",OR(I2370="TN",I2370="TDN",I2370="TNO2-3",I2370="NO2-3")),VLOOKUP(E2370,QCUREA_N,2,),IF(H2370="PER",VLOOKUP(I2370,QCPER,MATCH(E2370,QCACTUAL!$J$25:$AA$25,0),),IF(H2370="SPK",VLOOKUP(I2370,QCSPK,3,),IF(AND(H2370="ATP",OR(I2370="TP",I2370="TDP")),VLOOKUP(E2370,QCATP_P,2,),""))))))))</f>
        <v/>
      </c>
      <c r="W2370" s="31" t="str">
        <f t="shared" ref="W2370:W2433" si="274">IF(AND(OR(H2370="PER",H2370="ATP",H2370="GUP",H2370="CHK",H2370="SPK", H2370="NIC"),OR(U2370&gt;125,U2370&lt;75)),"FALSE",IF(AND(H2370="DUP",OR(U2370&gt;25, U2370&lt;-25)),"FALSE",IF(AND(OR(H2370="LAB",H2370="FLD",H2370="ESF"),U2370&gt;15),"FALSE","TRUE")))</f>
        <v>TRUE</v>
      </c>
      <c r="X2370" s="31" t="str">
        <f t="shared" si="269"/>
        <v>nominal concentration</v>
      </c>
      <c r="Y2370" s="10" t="s">
        <v>1144</v>
      </c>
      <c r="AL2370" s="10" t="str">
        <f t="shared" si="271"/>
        <v>FALSE</v>
      </c>
      <c r="AM2370" s="10" t="str">
        <f t="shared" si="271"/>
        <v>FALSE</v>
      </c>
      <c r="AN2370" s="10" t="str">
        <f t="shared" si="271"/>
        <v>FALSE</v>
      </c>
      <c r="AO2370" s="10" t="str">
        <f t="shared" si="272"/>
        <v>FALSE</v>
      </c>
      <c r="AP2370" s="10" t="str">
        <f t="shared" si="272"/>
        <v>FALSE</v>
      </c>
      <c r="AQ2370" s="10" t="b">
        <f>IF(AND(I2370="TP",S2370&lt;=150),VLOOKUP(AF2370,TPCalibEq150!$AZ$2:$BB$55,3,),IF(AND(I2370="TDP",S2370&lt;=150),VLOOKUP(AF2370,TPCalibEq150!$AZ$2:$BB$55,3,)))</f>
        <v>0</v>
      </c>
      <c r="AR2370" s="10" t="b">
        <f>IF(AND(I2370="TP",S2370&lt;=300),VLOOKUP(AF2370,TPCalibEq300!$AZ$2:$BB$55,3,),IF(AND(I2370="TDP",S2370&lt;=300),VLOOKUP(AF2370,TPCalibEq300!$AZ$2:$BB$55,3,)))</f>
        <v>0</v>
      </c>
      <c r="AS2370" s="10" t="b">
        <f>IF(AND(I2370="TP",S2370&lt;=500),VLOOKUP(AF2370,TPCalibEq500!$AZ$2:$BB$56,3,),IF(AND(I2370="TDP",S2370&lt;=500),VLOOKUP(AF2370,TPCalibEq500!$AZ$2:$BB$56,3,)))</f>
        <v>0</v>
      </c>
      <c r="AT2370" s="10" t="b">
        <f>IF(AND(I2370="TN",S2370&lt;=2800),VLOOKUP(AF2370,TNCalibEq2500!$AZ$2:$BB$56,3,),IF(AND(I2370="TDN",S2370&lt;=2800),VLOOKUP(AF2370,TNCalibEq2500!$AZ$2:$BB$56,3,)))</f>
        <v>0</v>
      </c>
      <c r="AU2370" s="10" t="b">
        <f>IF(I2370="TP",VLOOKUP(AF2370,TPCalibEqFull!$AZ$2:$BB$56,3),IF(I2370="TDP",VLOOKUP(AF2370,TPCalibEqFull!$AZ$2:$BB$56,3),IF(I2370="TDN",VLOOKUP(AF2370,TNCalibEqFull!$AZ$1:$BB$56,3),IF(I2370="TN",VLOOKUP(AF2370,TNCalibEqFull!$AZ$1:$BB$56,3),FALSE))))</f>
        <v>0</v>
      </c>
      <c r="AV2370" s="10" t="str">
        <f t="shared" ref="AV2370:AV2433" si="275">TEXT(A2370, "MMDD")&amp;" "&amp;TEXT(B2370, "HH:MM:SS")&amp;"-"&amp;C2370&amp;"-"&amp;D2370&amp;"-"&amp;E2370&amp;"-"&amp;F2370&amp;"-"&amp;G2370&amp;"-"&amp;H2370</f>
        <v>0209 09:00:00-QAC-BLK-A-1-DI-LAB</v>
      </c>
    </row>
    <row r="2371" spans="1:48" s="10" customFormat="1" x14ac:dyDescent="0.55000000000000004">
      <c r="A2371" s="32">
        <v>44966</v>
      </c>
      <c r="B2371" s="33">
        <v>0.375</v>
      </c>
      <c r="C2371" s="10" t="s">
        <v>70</v>
      </c>
      <c r="D2371" s="10" t="s">
        <v>241</v>
      </c>
      <c r="E2371" s="10" t="s">
        <v>866</v>
      </c>
      <c r="F2371" s="10">
        <v>1</v>
      </c>
      <c r="G2371" s="10" t="s">
        <v>73</v>
      </c>
      <c r="H2371" s="10" t="s">
        <v>314</v>
      </c>
      <c r="I2371" s="10" t="s">
        <v>256</v>
      </c>
      <c r="J2371" s="10">
        <v>225</v>
      </c>
      <c r="K2371" s="12">
        <v>44966</v>
      </c>
      <c r="L2371" s="33">
        <v>0.46304398148148151</v>
      </c>
      <c r="M2371" s="10">
        <v>1</v>
      </c>
      <c r="N2371" s="10" t="s">
        <v>169</v>
      </c>
      <c r="O2371" s="10">
        <v>4.99</v>
      </c>
      <c r="P2371" s="10">
        <v>0.23499999999999999</v>
      </c>
      <c r="Q2371" s="10">
        <v>616</v>
      </c>
      <c r="R2371" s="10" t="s">
        <v>77</v>
      </c>
      <c r="S2371" s="34">
        <f t="shared" si="270"/>
        <v>616</v>
      </c>
      <c r="T2371" s="10" t="s">
        <v>1176</v>
      </c>
      <c r="U2371" s="34">
        <f t="shared" si="273"/>
        <v>98.832000000000008</v>
      </c>
      <c r="V2371" s="31">
        <f>IF(H2371="CHK",VLOOKUP(I2371,QCCHK,3,),IF(H2371="GUP",VLOOKUP(E2371,QCGUP,2,),IF(AND(H2371="ATP",OR(I2371="TN",I2371="TDN",I2371="TNO2-3",I2371="NO2-3")),VLOOKUP(E2371,QCREC_N,2,),IF(AND(H2371="NIC",OR(I2371="TN",I2371="TDN",I2371="TNO2-3",I2371="NO2-3")),VLOOKUP(E2371,QCNIC_N,2,),IF(AND(H2371="UREA",OR(I2371="TN",I2371="TDN",I2371="TNO2-3",I2371="NO2-3")),VLOOKUP(E2371,QCUREA_N,2,),IF(H2371="PER",VLOOKUP(I2371,QCPER,MATCH(E2371,QCACTUAL!$J$25:$AA$25,0),),IF(H2371="SPK",VLOOKUP(I2371,QCSPK,3,),IF(AND(H2371="ATP",OR(I2371="TP",I2371="TDP")),VLOOKUP(E2371,QCATP_P,2,),""))))))))</f>
        <v>625</v>
      </c>
      <c r="W2371" s="31" t="str">
        <f t="shared" si="274"/>
        <v>TRUE</v>
      </c>
      <c r="X2371" s="31" t="str">
        <f t="shared" si="269"/>
        <v>([spikedunkn]-[unkn])/[spike]*100</v>
      </c>
      <c r="Y2371" s="10" t="s">
        <v>1144</v>
      </c>
      <c r="AL2371" s="10" t="str">
        <f t="shared" si="271"/>
        <v>FALSE</v>
      </c>
      <c r="AM2371" s="10" t="str">
        <f t="shared" si="271"/>
        <v>FALSE</v>
      </c>
      <c r="AN2371" s="10" t="str">
        <f t="shared" si="271"/>
        <v>FALSE</v>
      </c>
      <c r="AO2371" s="10" t="str">
        <f t="shared" si="272"/>
        <v>FALSE</v>
      </c>
      <c r="AP2371" s="10" t="str">
        <f t="shared" si="272"/>
        <v>FALSE</v>
      </c>
      <c r="AQ2371" s="10" t="b">
        <f>IF(AND(I2371="TP",S2371&lt;=150),VLOOKUP(AF2371,TPCalibEq150!$AZ$2:$BB$55,3,),IF(AND(I2371="TDP",S2371&lt;=150),VLOOKUP(AF2371,TPCalibEq150!$AZ$2:$BB$55,3,)))</f>
        <v>0</v>
      </c>
      <c r="AR2371" s="10" t="b">
        <f>IF(AND(I2371="TP",S2371&lt;=300),VLOOKUP(AF2371,TPCalibEq300!$AZ$2:$BB$55,3,),IF(AND(I2371="TDP",S2371&lt;=300),VLOOKUP(AF2371,TPCalibEq300!$AZ$2:$BB$55,3,)))</f>
        <v>0</v>
      </c>
      <c r="AS2371" s="10" t="b">
        <f>IF(AND(I2371="TP",S2371&lt;=500),VLOOKUP(AF2371,TPCalibEq500!$AZ$2:$BB$56,3,),IF(AND(I2371="TDP",S2371&lt;=500),VLOOKUP(AF2371,TPCalibEq500!$AZ$2:$BB$56,3,)))</f>
        <v>0</v>
      </c>
      <c r="AT2371" s="10" t="b">
        <f>IF(AND(I2371="TN",S2371&lt;=2800),VLOOKUP(AF2371,TNCalibEq2500!$AZ$2:$BB$56,3,),IF(AND(I2371="TDN",S2371&lt;=2800),VLOOKUP(AF2371,TNCalibEq2500!$AZ$2:$BB$56,3,)))</f>
        <v>0</v>
      </c>
      <c r="AU2371" s="10" t="b">
        <f>IF(I2371="TP",VLOOKUP(AF2371,TPCalibEqFull!$AZ$2:$BB$56,3),IF(I2371="TDP",VLOOKUP(AF2371,TPCalibEqFull!$AZ$2:$BB$56,3),IF(I2371="TDN",VLOOKUP(AF2371,TNCalibEqFull!$AZ$1:$BB$56,3),IF(I2371="TN",VLOOKUP(AF2371,TNCalibEqFull!$AZ$1:$BB$56,3),FALSE))))</f>
        <v>0</v>
      </c>
      <c r="AV2371" s="10" t="str">
        <f t="shared" si="275"/>
        <v>0209 09:00:00-QAC-BLK-A-1-DI-SPK</v>
      </c>
    </row>
    <row r="2372" spans="1:48" s="10" customFormat="1" x14ac:dyDescent="0.55000000000000004">
      <c r="A2372" s="32">
        <v>44966</v>
      </c>
      <c r="B2372" s="33">
        <v>0.375</v>
      </c>
      <c r="C2372" s="10" t="s">
        <v>70</v>
      </c>
      <c r="D2372" s="10" t="s">
        <v>71</v>
      </c>
      <c r="E2372" s="10" t="s">
        <v>316</v>
      </c>
      <c r="F2372" s="10">
        <v>1</v>
      </c>
      <c r="G2372" s="10" t="s">
        <v>73</v>
      </c>
      <c r="H2372" s="10" t="s">
        <v>74</v>
      </c>
      <c r="I2372" s="10" t="s">
        <v>256</v>
      </c>
      <c r="J2372" s="10">
        <v>189</v>
      </c>
      <c r="K2372" s="12">
        <v>44966</v>
      </c>
      <c r="L2372" s="33">
        <v>0.46552083333333333</v>
      </c>
      <c r="M2372" s="10">
        <v>1</v>
      </c>
      <c r="N2372" s="10" t="s">
        <v>169</v>
      </c>
      <c r="O2372" s="10">
        <v>10.3</v>
      </c>
      <c r="P2372" s="10">
        <v>0.48199999999999998</v>
      </c>
      <c r="Q2372" s="10">
        <v>1270</v>
      </c>
      <c r="R2372" s="10" t="s">
        <v>77</v>
      </c>
      <c r="S2372" s="34">
        <f t="shared" si="270"/>
        <v>1270</v>
      </c>
      <c r="T2372" s="10" t="s">
        <v>1176</v>
      </c>
      <c r="U2372" s="34" t="str">
        <f t="shared" si="273"/>
        <v/>
      </c>
      <c r="V2372" s="31" t="str">
        <f>IF(H2372="CHK",VLOOKUP(I2372,QCCHK,3,),IF(H2372="GUP",VLOOKUP(E2372,QCGUP,2,),IF(AND(H2372="ATP",OR(I2372="TN",I2372="TDN",I2372="TNO2-3",I2372="NO2-3")),VLOOKUP(E2372,QCREC_N,2,),IF(AND(H2372="NIC",OR(I2372="TN",I2372="TDN",I2372="TNO2-3",I2372="NO2-3")),VLOOKUP(E2372,QCNIC_N,2,),IF(AND(H2372="UREA",OR(I2372="TN",I2372="TDN",I2372="TNO2-3",I2372="NO2-3")),VLOOKUP(E2372,QCUREA_N,2,),IF(H2372="PER",VLOOKUP(I2372,QCPER,MATCH(E2372,QCACTUAL!$J$25:$AA$25,0),),IF(H2372="SPK",VLOOKUP(I2372,QCSPK,3,),IF(AND(H2372="ATP",OR(I2372="TP",I2372="TDP")),VLOOKUP(E2372,QCATP_P,2,),""))))))))</f>
        <v/>
      </c>
      <c r="W2372" s="31" t="str">
        <f t="shared" si="274"/>
        <v>TRUE</v>
      </c>
      <c r="X2372" s="31" t="str">
        <f t="shared" si="269"/>
        <v/>
      </c>
      <c r="Y2372" s="10" t="s">
        <v>1144</v>
      </c>
      <c r="AL2372" s="10" t="str">
        <f t="shared" si="271"/>
        <v>FALSE</v>
      </c>
      <c r="AM2372" s="10" t="str">
        <f t="shared" si="271"/>
        <v>FALSE</v>
      </c>
      <c r="AN2372" s="10" t="str">
        <f t="shared" si="271"/>
        <v>FALSE</v>
      </c>
      <c r="AO2372" s="10" t="str">
        <f t="shared" si="272"/>
        <v>FALSE</v>
      </c>
      <c r="AP2372" s="10" t="str">
        <f t="shared" si="272"/>
        <v>FALSE</v>
      </c>
      <c r="AQ2372" s="10" t="b">
        <f>IF(AND(I2372="TP",S2372&lt;=150),VLOOKUP(AF2372,TPCalibEq150!$AZ$2:$BB$55,3,),IF(AND(I2372="TDP",S2372&lt;=150),VLOOKUP(AF2372,TPCalibEq150!$AZ$2:$BB$55,3,)))</f>
        <v>0</v>
      </c>
      <c r="AR2372" s="10" t="b">
        <f>IF(AND(I2372="TP",S2372&lt;=300),VLOOKUP(AF2372,TPCalibEq300!$AZ$2:$BB$55,3,),IF(AND(I2372="TDP",S2372&lt;=300),VLOOKUP(AF2372,TPCalibEq300!$AZ$2:$BB$55,3,)))</f>
        <v>0</v>
      </c>
      <c r="AS2372" s="10" t="b">
        <f>IF(AND(I2372="TP",S2372&lt;=500),VLOOKUP(AF2372,TPCalibEq500!$AZ$2:$BB$56,3,),IF(AND(I2372="TDP",S2372&lt;=500),VLOOKUP(AF2372,TPCalibEq500!$AZ$2:$BB$56,3,)))</f>
        <v>0</v>
      </c>
      <c r="AT2372" s="10" t="b">
        <f>IF(AND(I2372="TN",S2372&lt;=2800),VLOOKUP(AF2372,TNCalibEq2500!$AZ$2:$BB$56,3,),IF(AND(I2372="TDN",S2372&lt;=2800),VLOOKUP(AF2372,TNCalibEq2500!$AZ$2:$BB$56,3,)))</f>
        <v>0</v>
      </c>
      <c r="AU2372" s="10" t="b">
        <f>IF(I2372="TP",VLOOKUP(AF2372,TPCalibEqFull!$AZ$2:$BB$56,3),IF(I2372="TDP",VLOOKUP(AF2372,TPCalibEqFull!$AZ$2:$BB$56,3),IF(I2372="TDN",VLOOKUP(AF2372,TNCalibEqFull!$AZ$1:$BB$56,3),IF(I2372="TN",VLOOKUP(AF2372,TNCalibEqFull!$AZ$1:$BB$56,3),FALSE))))</f>
        <v>0</v>
      </c>
      <c r="AV2372" s="10" t="str">
        <f t="shared" si="275"/>
        <v>0209 09:00:00-QAC-STD-NO2-1-DI-CAL</v>
      </c>
    </row>
    <row r="2373" spans="1:48" s="10" customFormat="1" x14ac:dyDescent="0.55000000000000004">
      <c r="A2373" s="32">
        <v>44963</v>
      </c>
      <c r="B2373" s="33">
        <v>0.25</v>
      </c>
      <c r="C2373" s="10" t="s">
        <v>70</v>
      </c>
      <c r="D2373" s="10" t="s">
        <v>241</v>
      </c>
      <c r="E2373" s="10" t="s">
        <v>866</v>
      </c>
      <c r="F2373" s="10">
        <v>1</v>
      </c>
      <c r="G2373" s="10" t="s">
        <v>73</v>
      </c>
      <c r="H2373" s="10" t="s">
        <v>264</v>
      </c>
      <c r="I2373" s="10" t="s">
        <v>256</v>
      </c>
      <c r="J2373" s="10">
        <v>133</v>
      </c>
      <c r="K2373" s="12">
        <v>44966</v>
      </c>
      <c r="L2373" s="33">
        <v>0.46714120370370371</v>
      </c>
      <c r="M2373" s="10">
        <v>1</v>
      </c>
      <c r="N2373" s="10" t="s">
        <v>169</v>
      </c>
      <c r="O2373" s="10">
        <v>1.37E-2</v>
      </c>
      <c r="P2373" s="10">
        <v>1.3600000000000001E-3</v>
      </c>
      <c r="Q2373" s="10">
        <v>1.25</v>
      </c>
      <c r="R2373" s="10" t="s">
        <v>77</v>
      </c>
      <c r="S2373" s="34">
        <f t="shared" si="270"/>
        <v>1.25</v>
      </c>
      <c r="T2373" s="10" t="s">
        <v>1176</v>
      </c>
      <c r="U2373" s="34">
        <f t="shared" si="273"/>
        <v>1.25</v>
      </c>
      <c r="V2373" s="31" t="str">
        <f>IF(H2373="CHK",VLOOKUP(I2373,QCCHK,3,),IF(H2373="GUP",VLOOKUP(E2373,QCGUP,2,),IF(AND(H2373="ATP",OR(I2373="TN",I2373="TDN",I2373="TNO2-3",I2373="NO2-3")),VLOOKUP(E2373,QCREC_N,2,),IF(AND(H2373="NIC",OR(I2373="TN",I2373="TDN",I2373="TNO2-3",I2373="NO2-3")),VLOOKUP(E2373,QCNIC_N,2,),IF(AND(H2373="UREA",OR(I2373="TN",I2373="TDN",I2373="TNO2-3",I2373="NO2-3")),VLOOKUP(E2373,QCUREA_N,2,),IF(H2373="PER",VLOOKUP(I2373,QCPER,MATCH(E2373,QCACTUAL!$J$25:$AA$25,0),),IF(H2373="SPK",VLOOKUP(I2373,QCSPK,3,),IF(AND(H2373="ATP",OR(I2373="TP",I2373="TDP")),VLOOKUP(E2373,QCATP_P,2,),""))))))))</f>
        <v/>
      </c>
      <c r="W2373" s="31" t="str">
        <f t="shared" si="274"/>
        <v>TRUE</v>
      </c>
      <c r="X2373" s="31" t="str">
        <f t="shared" si="269"/>
        <v>nominal concentration</v>
      </c>
      <c r="Y2373" s="10" t="s">
        <v>1144</v>
      </c>
      <c r="Z2373" s="10" t="s">
        <v>910</v>
      </c>
      <c r="AL2373" s="10" t="str">
        <f t="shared" si="271"/>
        <v>FALSE</v>
      </c>
      <c r="AM2373" s="10" t="str">
        <f t="shared" si="271"/>
        <v>FALSE</v>
      </c>
      <c r="AN2373" s="10" t="str">
        <f t="shared" si="271"/>
        <v>FALSE</v>
      </c>
      <c r="AO2373" s="10" t="str">
        <f t="shared" si="272"/>
        <v>FALSE</v>
      </c>
      <c r="AP2373" s="10" t="str">
        <f t="shared" si="272"/>
        <v>FALSE</v>
      </c>
      <c r="AQ2373" s="10" t="b">
        <f>IF(AND(I2373="TP",S2373&lt;=150),VLOOKUP(AF2373,TPCalibEq150!$AZ$2:$BB$55,3,),IF(AND(I2373="TDP",S2373&lt;=150),VLOOKUP(AF2373,TPCalibEq150!$AZ$2:$BB$55,3,)))</f>
        <v>0</v>
      </c>
      <c r="AR2373" s="10" t="b">
        <f>IF(AND(I2373="TP",S2373&lt;=300),VLOOKUP(AF2373,TPCalibEq300!$AZ$2:$BB$55,3,),IF(AND(I2373="TDP",S2373&lt;=300),VLOOKUP(AF2373,TPCalibEq300!$AZ$2:$BB$55,3,)))</f>
        <v>0</v>
      </c>
      <c r="AS2373" s="10" t="b">
        <f>IF(AND(I2373="TP",S2373&lt;=500),VLOOKUP(AF2373,TPCalibEq500!$AZ$2:$BB$56,3,),IF(AND(I2373="TDP",S2373&lt;=500),VLOOKUP(AF2373,TPCalibEq500!$AZ$2:$BB$56,3,)))</f>
        <v>0</v>
      </c>
      <c r="AT2373" s="10" t="b">
        <f>IF(AND(I2373="TN",S2373&lt;=2800),VLOOKUP(AF2373,TNCalibEq2500!$AZ$2:$BB$56,3,),IF(AND(I2373="TDN",S2373&lt;=2800),VLOOKUP(AF2373,TNCalibEq2500!$AZ$2:$BB$56,3,)))</f>
        <v>0</v>
      </c>
      <c r="AU2373" s="10" t="b">
        <f>IF(I2373="TP",VLOOKUP(AF2373,TPCalibEqFull!$AZ$2:$BB$56,3),IF(I2373="TDP",VLOOKUP(AF2373,TPCalibEqFull!$AZ$2:$BB$56,3),IF(I2373="TDN",VLOOKUP(AF2373,TNCalibEqFull!$AZ$1:$BB$56,3),IF(I2373="TN",VLOOKUP(AF2373,TNCalibEqFull!$AZ$1:$BB$56,3),FALSE))))</f>
        <v>0</v>
      </c>
      <c r="AV2373" s="10" t="str">
        <f t="shared" si="275"/>
        <v>0206 06:00:00-QAC-BLK-A-1-DI-FLD</v>
      </c>
    </row>
    <row r="2374" spans="1:48" s="10" customFormat="1" x14ac:dyDescent="0.55000000000000004">
      <c r="A2374" s="32">
        <v>44965</v>
      </c>
      <c r="B2374" s="33">
        <v>0.25</v>
      </c>
      <c r="C2374" s="10" t="s">
        <v>70</v>
      </c>
      <c r="D2374" s="10" t="s">
        <v>241</v>
      </c>
      <c r="E2374" s="10">
        <v>800</v>
      </c>
      <c r="F2374" s="10">
        <v>1</v>
      </c>
      <c r="G2374" s="10" t="s">
        <v>73</v>
      </c>
      <c r="H2374" s="10" t="s">
        <v>264</v>
      </c>
      <c r="I2374" s="10" t="s">
        <v>256</v>
      </c>
      <c r="J2374" s="10">
        <v>134</v>
      </c>
      <c r="K2374" s="12">
        <v>44966</v>
      </c>
      <c r="L2374" s="33">
        <v>0.46796296296296297</v>
      </c>
      <c r="M2374" s="10">
        <v>1</v>
      </c>
      <c r="N2374" s="10" t="s">
        <v>169</v>
      </c>
      <c r="O2374" s="10">
        <v>2.6200000000000001E-2</v>
      </c>
      <c r="P2374" s="10">
        <v>1.25E-3</v>
      </c>
      <c r="Q2374" s="10">
        <v>2.79</v>
      </c>
      <c r="R2374" s="10" t="s">
        <v>77</v>
      </c>
      <c r="S2374" s="34">
        <f t="shared" si="270"/>
        <v>2.79</v>
      </c>
      <c r="T2374" s="10" t="s">
        <v>1176</v>
      </c>
      <c r="U2374" s="34">
        <f t="shared" si="273"/>
        <v>2.79</v>
      </c>
      <c r="V2374" s="31" t="str">
        <f>IF(H2374="CHK",VLOOKUP(I2374,QCCHK,3,),IF(H2374="GUP",VLOOKUP(E2374,QCGUP,2,),IF(AND(H2374="ATP",OR(I2374="TN",I2374="TDN",I2374="TNO2-3",I2374="NO2-3")),VLOOKUP(E2374,QCREC_N,2,),IF(AND(H2374="NIC",OR(I2374="TN",I2374="TDN",I2374="TNO2-3",I2374="NO2-3")),VLOOKUP(E2374,QCNIC_N,2,),IF(AND(H2374="UREA",OR(I2374="TN",I2374="TDN",I2374="TNO2-3",I2374="NO2-3")),VLOOKUP(E2374,QCUREA_N,2,),IF(H2374="PER",VLOOKUP(I2374,QCPER,MATCH(E2374,QCACTUAL!$J$25:$AA$25,0),),IF(H2374="SPK",VLOOKUP(I2374,QCSPK,3,),IF(AND(H2374="ATP",OR(I2374="TP",I2374="TDP")),VLOOKUP(E2374,QCATP_P,2,),""))))))))</f>
        <v/>
      </c>
      <c r="W2374" s="31" t="str">
        <f t="shared" si="274"/>
        <v>TRUE</v>
      </c>
      <c r="X2374" s="31" t="str">
        <f t="shared" si="269"/>
        <v>nominal concentration</v>
      </c>
      <c r="Y2374" s="10" t="s">
        <v>1144</v>
      </c>
      <c r="AL2374" s="10" t="str">
        <f t="shared" si="271"/>
        <v>FALSE</v>
      </c>
      <c r="AM2374" s="10" t="str">
        <f t="shared" si="271"/>
        <v>FALSE</v>
      </c>
      <c r="AN2374" s="10" t="str">
        <f t="shared" si="271"/>
        <v>FALSE</v>
      </c>
      <c r="AO2374" s="10" t="str">
        <f t="shared" si="272"/>
        <v>FALSE</v>
      </c>
      <c r="AP2374" s="10" t="str">
        <f t="shared" si="272"/>
        <v>FALSE</v>
      </c>
      <c r="AQ2374" s="10" t="b">
        <f>IF(AND(I2374="TP",S2374&lt;=150),VLOOKUP(AF2374,TPCalibEq150!$AZ$2:$BB$55,3,),IF(AND(I2374="TDP",S2374&lt;=150),VLOOKUP(AF2374,TPCalibEq150!$AZ$2:$BB$55,3,)))</f>
        <v>0</v>
      </c>
      <c r="AR2374" s="10" t="b">
        <f>IF(AND(I2374="TP",S2374&lt;=300),VLOOKUP(AF2374,TPCalibEq300!$AZ$2:$BB$55,3,),IF(AND(I2374="TDP",S2374&lt;=300),VLOOKUP(AF2374,TPCalibEq300!$AZ$2:$BB$55,3,)))</f>
        <v>0</v>
      </c>
      <c r="AS2374" s="10" t="b">
        <f>IF(AND(I2374="TP",S2374&lt;=500),VLOOKUP(AF2374,TPCalibEq500!$AZ$2:$BB$56,3,),IF(AND(I2374="TDP",S2374&lt;=500),VLOOKUP(AF2374,TPCalibEq500!$AZ$2:$BB$56,3,)))</f>
        <v>0</v>
      </c>
      <c r="AT2374" s="10" t="b">
        <f>IF(AND(I2374="TN",S2374&lt;=2800),VLOOKUP(AF2374,TNCalibEq2500!$AZ$2:$BB$56,3,),IF(AND(I2374="TDN",S2374&lt;=2800),VLOOKUP(AF2374,TNCalibEq2500!$AZ$2:$BB$56,3,)))</f>
        <v>0</v>
      </c>
      <c r="AU2374" s="10" t="b">
        <f>IF(I2374="TP",VLOOKUP(AF2374,TPCalibEqFull!$AZ$2:$BB$56,3),IF(I2374="TDP",VLOOKUP(AF2374,TPCalibEqFull!$AZ$2:$BB$56,3),IF(I2374="TDN",VLOOKUP(AF2374,TNCalibEqFull!$AZ$1:$BB$56,3),IF(I2374="TN",VLOOKUP(AF2374,TNCalibEqFull!$AZ$1:$BB$56,3),FALSE))))</f>
        <v>0</v>
      </c>
      <c r="AV2374" s="10" t="str">
        <f t="shared" si="275"/>
        <v>0208 06:00:00-QAC-BLK-800-1-DI-FLD</v>
      </c>
    </row>
    <row r="2375" spans="1:48" s="10" customFormat="1" x14ac:dyDescent="0.55000000000000004">
      <c r="A2375" s="32">
        <v>44964</v>
      </c>
      <c r="B2375" s="33">
        <v>0.30208333333333331</v>
      </c>
      <c r="C2375" s="10" t="s">
        <v>70</v>
      </c>
      <c r="D2375" s="10" t="s">
        <v>241</v>
      </c>
      <c r="E2375" s="10" t="s">
        <v>866</v>
      </c>
      <c r="F2375" s="10">
        <v>1</v>
      </c>
      <c r="G2375" s="10" t="s">
        <v>73</v>
      </c>
      <c r="H2375" s="10" t="s">
        <v>245</v>
      </c>
      <c r="I2375" s="10" t="s">
        <v>256</v>
      </c>
      <c r="J2375" s="10">
        <v>135</v>
      </c>
      <c r="K2375" s="12">
        <v>44966</v>
      </c>
      <c r="L2375" s="33">
        <v>0.46878472222222217</v>
      </c>
      <c r="M2375" s="10">
        <v>1</v>
      </c>
      <c r="N2375" s="10" t="s">
        <v>169</v>
      </c>
      <c r="O2375" s="10">
        <v>2.5000000000000001E-2</v>
      </c>
      <c r="P2375" s="10">
        <v>1.23E-3</v>
      </c>
      <c r="Q2375" s="10">
        <v>2.65</v>
      </c>
      <c r="R2375" s="10" t="s">
        <v>77</v>
      </c>
      <c r="S2375" s="34">
        <f t="shared" si="270"/>
        <v>2.65</v>
      </c>
      <c r="T2375" s="10" t="s">
        <v>1176</v>
      </c>
      <c r="U2375" s="34">
        <f t="shared" si="273"/>
        <v>2.65</v>
      </c>
      <c r="V2375" s="31" t="str">
        <f>IF(H2375="CHK",VLOOKUP(I2375,QCCHK,3,),IF(H2375="GUP",VLOOKUP(E2375,QCGUP,2,),IF(AND(H2375="ATP",OR(I2375="TN",I2375="TDN",I2375="TNO2-3",I2375="NO2-3")),VLOOKUP(E2375,QCREC_N,2,),IF(AND(H2375="NIC",OR(I2375="TN",I2375="TDN",I2375="TNO2-3",I2375="NO2-3")),VLOOKUP(E2375,QCNIC_N,2,),IF(AND(H2375="UREA",OR(I2375="TN",I2375="TDN",I2375="TNO2-3",I2375="NO2-3")),VLOOKUP(E2375,QCUREA_N,2,),IF(H2375="PER",VLOOKUP(I2375,QCPER,MATCH(E2375,QCACTUAL!$J$25:$AA$25,0),),IF(H2375="SPK",VLOOKUP(I2375,QCSPK,3,),IF(AND(H2375="ATP",OR(I2375="TP",I2375="TDP")),VLOOKUP(E2375,QCATP_P,2,),""))))))))</f>
        <v/>
      </c>
      <c r="W2375" s="31" t="str">
        <f t="shared" si="274"/>
        <v>TRUE</v>
      </c>
      <c r="X2375" s="31" t="str">
        <f t="shared" si="269"/>
        <v>nominal concentration</v>
      </c>
      <c r="Y2375" s="10" t="s">
        <v>1144</v>
      </c>
      <c r="Z2375" s="10" t="s">
        <v>910</v>
      </c>
      <c r="AL2375" s="10" t="str">
        <f t="shared" si="271"/>
        <v>FALSE</v>
      </c>
      <c r="AM2375" s="10" t="str">
        <f t="shared" si="271"/>
        <v>FALSE</v>
      </c>
      <c r="AN2375" s="10" t="str">
        <f t="shared" si="271"/>
        <v>FALSE</v>
      </c>
      <c r="AO2375" s="10" t="str">
        <f t="shared" si="272"/>
        <v>FALSE</v>
      </c>
      <c r="AP2375" s="10" t="str">
        <f t="shared" si="272"/>
        <v>FALSE</v>
      </c>
      <c r="AQ2375" s="10" t="b">
        <f>IF(AND(I2375="TP",S2375&lt;=150),VLOOKUP(AF2375,TPCalibEq150!$AZ$2:$BB$55,3,),IF(AND(I2375="TDP",S2375&lt;=150),VLOOKUP(AF2375,TPCalibEq150!$AZ$2:$BB$55,3,)))</f>
        <v>0</v>
      </c>
      <c r="AR2375" s="10" t="b">
        <f>IF(AND(I2375="TP",S2375&lt;=300),VLOOKUP(AF2375,TPCalibEq300!$AZ$2:$BB$55,3,),IF(AND(I2375="TDP",S2375&lt;=300),VLOOKUP(AF2375,TPCalibEq300!$AZ$2:$BB$55,3,)))</f>
        <v>0</v>
      </c>
      <c r="AS2375" s="10" t="b">
        <f>IF(AND(I2375="TP",S2375&lt;=500),VLOOKUP(AF2375,TPCalibEq500!$AZ$2:$BB$56,3,),IF(AND(I2375="TDP",S2375&lt;=500),VLOOKUP(AF2375,TPCalibEq500!$AZ$2:$BB$56,3,)))</f>
        <v>0</v>
      </c>
      <c r="AT2375" s="10" t="b">
        <f>IF(AND(I2375="TN",S2375&lt;=2800),VLOOKUP(AF2375,TNCalibEq2500!$AZ$2:$BB$56,3,),IF(AND(I2375="TDN",S2375&lt;=2800),VLOOKUP(AF2375,TNCalibEq2500!$AZ$2:$BB$56,3,)))</f>
        <v>0</v>
      </c>
      <c r="AU2375" s="10" t="b">
        <f>IF(I2375="TP",VLOOKUP(AF2375,TPCalibEqFull!$AZ$2:$BB$56,3),IF(I2375="TDP",VLOOKUP(AF2375,TPCalibEqFull!$AZ$2:$BB$56,3),IF(I2375="TDN",VLOOKUP(AF2375,TNCalibEqFull!$AZ$1:$BB$56,3),IF(I2375="TN",VLOOKUP(AF2375,TNCalibEqFull!$AZ$1:$BB$56,3),FALSE))))</f>
        <v>0</v>
      </c>
      <c r="AV2375" s="10" t="str">
        <f t="shared" si="275"/>
        <v>0207 07:15:00-QAC-BLK-A-1-DI-ESF</v>
      </c>
    </row>
    <row r="2376" spans="1:48" s="10" customFormat="1" x14ac:dyDescent="0.55000000000000004">
      <c r="A2376" s="32">
        <v>44963</v>
      </c>
      <c r="B2376" s="33">
        <v>0</v>
      </c>
      <c r="C2376" s="10" t="s">
        <v>70</v>
      </c>
      <c r="D2376" s="10" t="s">
        <v>241</v>
      </c>
      <c r="E2376" s="10" t="s">
        <v>911</v>
      </c>
      <c r="F2376" s="10">
        <v>1</v>
      </c>
      <c r="G2376" s="10" t="s">
        <v>73</v>
      </c>
      <c r="H2376" s="10" t="s">
        <v>264</v>
      </c>
      <c r="I2376" s="10" t="s">
        <v>209</v>
      </c>
      <c r="J2376" s="10">
        <v>136</v>
      </c>
      <c r="K2376" s="12">
        <v>44966</v>
      </c>
      <c r="L2376" s="33">
        <v>0.46960648148148149</v>
      </c>
      <c r="M2376" s="10">
        <v>1</v>
      </c>
      <c r="N2376" s="10" t="s">
        <v>169</v>
      </c>
      <c r="O2376" s="10">
        <v>3.7999999999999999E-2</v>
      </c>
      <c r="P2376" s="10">
        <v>1.47E-3</v>
      </c>
      <c r="Q2376" s="10">
        <v>4.26</v>
      </c>
      <c r="R2376" s="10" t="s">
        <v>77</v>
      </c>
      <c r="S2376" s="34">
        <f t="shared" si="270"/>
        <v>4.26</v>
      </c>
      <c r="T2376" s="10" t="s">
        <v>1176</v>
      </c>
      <c r="U2376" s="34">
        <f t="shared" si="273"/>
        <v>4.26</v>
      </c>
      <c r="V2376" s="31" t="str">
        <f>IF(H2376="CHK",VLOOKUP(I2376,QCCHK,3,),IF(H2376="GUP",VLOOKUP(E2376,QCGUP,2,),IF(AND(H2376="ATP",OR(I2376="TN",I2376="TDN",I2376="TNO2-3",I2376="NO2-3")),VLOOKUP(E2376,QCREC_N,2,),IF(AND(H2376="NIC",OR(I2376="TN",I2376="TDN",I2376="TNO2-3",I2376="NO2-3")),VLOOKUP(E2376,QCNIC_N,2,),IF(AND(H2376="UREA",OR(I2376="TN",I2376="TDN",I2376="TNO2-3",I2376="NO2-3")),VLOOKUP(E2376,QCUREA_N,2,),IF(H2376="PER",VLOOKUP(I2376,QCPER,MATCH(E2376,QCACTUAL!$J$25:$AA$25,0),),IF(H2376="SPK",VLOOKUP(I2376,QCSPK,3,),IF(AND(H2376="ATP",OR(I2376="TP",I2376="TDP")),VLOOKUP(E2376,QCATP_P,2,),""))))))))</f>
        <v/>
      </c>
      <c r="W2376" s="31" t="str">
        <f t="shared" si="274"/>
        <v>TRUE</v>
      </c>
      <c r="X2376" s="31" t="str">
        <f t="shared" si="269"/>
        <v>nominal concentration</v>
      </c>
      <c r="Y2376" s="10" t="s">
        <v>1144</v>
      </c>
      <c r="Z2376" s="10" t="s">
        <v>910</v>
      </c>
      <c r="AL2376" s="10" t="str">
        <f t="shared" si="271"/>
        <v>FALSE</v>
      </c>
      <c r="AM2376" s="10" t="str">
        <f t="shared" si="271"/>
        <v>FALSE</v>
      </c>
      <c r="AN2376" s="10" t="str">
        <f t="shared" si="271"/>
        <v>FALSE</v>
      </c>
      <c r="AO2376" s="10" t="str">
        <f t="shared" si="272"/>
        <v>FALSE</v>
      </c>
      <c r="AP2376" s="10" t="str">
        <f t="shared" si="272"/>
        <v>FALSE</v>
      </c>
      <c r="AQ2376" s="10" t="b">
        <f>IF(AND(I2376="TP",S2376&lt;=150),VLOOKUP(AF2376,TPCalibEq150!$AZ$2:$BB$55,3,),IF(AND(I2376="TDP",S2376&lt;=150),VLOOKUP(AF2376,TPCalibEq150!$AZ$2:$BB$55,3,)))</f>
        <v>0</v>
      </c>
      <c r="AR2376" s="10" t="b">
        <f>IF(AND(I2376="TP",S2376&lt;=300),VLOOKUP(AF2376,TPCalibEq300!$AZ$2:$BB$55,3,),IF(AND(I2376="TDP",S2376&lt;=300),VLOOKUP(AF2376,TPCalibEq300!$AZ$2:$BB$55,3,)))</f>
        <v>0</v>
      </c>
      <c r="AS2376" s="10" t="b">
        <f>IF(AND(I2376="TP",S2376&lt;=500),VLOOKUP(AF2376,TPCalibEq500!$AZ$2:$BB$56,3,),IF(AND(I2376="TDP",S2376&lt;=500),VLOOKUP(AF2376,TPCalibEq500!$AZ$2:$BB$56,3,)))</f>
        <v>0</v>
      </c>
      <c r="AT2376" s="10" t="b">
        <f>IF(AND(I2376="TN",S2376&lt;=2800),VLOOKUP(AF2376,TNCalibEq2500!$AZ$2:$BB$56,3,),IF(AND(I2376="TDN",S2376&lt;=2800),VLOOKUP(AF2376,TNCalibEq2500!$AZ$2:$BB$56,3,)))</f>
        <v>0</v>
      </c>
      <c r="AU2376" s="10" t="b">
        <f>IF(I2376="TP",VLOOKUP(AF2376,TPCalibEqFull!$AZ$2:$BB$56,3),IF(I2376="TDP",VLOOKUP(AF2376,TPCalibEqFull!$AZ$2:$BB$56,3),IF(I2376="TDN",VLOOKUP(AF2376,TNCalibEqFull!$AZ$1:$BB$56,3),IF(I2376="TN",VLOOKUP(AF2376,TNCalibEqFull!$AZ$1:$BB$56,3),FALSE))))</f>
        <v>0</v>
      </c>
      <c r="AV2376" s="10" t="str">
        <f t="shared" si="275"/>
        <v>0206 00:00:00-QAC-BLK-FIL-1-DI-FLD</v>
      </c>
    </row>
    <row r="2377" spans="1:48" s="10" customFormat="1" x14ac:dyDescent="0.55000000000000004">
      <c r="A2377" s="32">
        <v>44965</v>
      </c>
      <c r="B2377" s="33">
        <v>0.25</v>
      </c>
      <c r="C2377" s="10" t="s">
        <v>70</v>
      </c>
      <c r="D2377" s="10" t="s">
        <v>241</v>
      </c>
      <c r="E2377" s="10" t="s">
        <v>911</v>
      </c>
      <c r="F2377" s="10">
        <v>1</v>
      </c>
      <c r="G2377" s="10" t="s">
        <v>73</v>
      </c>
      <c r="H2377" s="10" t="s">
        <v>264</v>
      </c>
      <c r="I2377" s="10" t="s">
        <v>209</v>
      </c>
      <c r="J2377" s="10">
        <v>137</v>
      </c>
      <c r="K2377" s="12">
        <v>44966</v>
      </c>
      <c r="L2377" s="33">
        <v>0.47042824074074074</v>
      </c>
      <c r="M2377" s="10">
        <v>1</v>
      </c>
      <c r="N2377" s="10" t="s">
        <v>169</v>
      </c>
      <c r="O2377" s="10">
        <v>5.3600000000000002E-2</v>
      </c>
      <c r="P2377" s="10">
        <v>2.3E-3</v>
      </c>
      <c r="Q2377" s="10">
        <v>6.19</v>
      </c>
      <c r="R2377" s="10" t="s">
        <v>77</v>
      </c>
      <c r="S2377" s="34">
        <f t="shared" si="270"/>
        <v>6.19</v>
      </c>
      <c r="T2377" s="10" t="s">
        <v>1176</v>
      </c>
      <c r="U2377" s="34">
        <f t="shared" si="273"/>
        <v>6.19</v>
      </c>
      <c r="V2377" s="31" t="str">
        <f>IF(H2377="CHK",VLOOKUP(I2377,QCCHK,3,),IF(H2377="GUP",VLOOKUP(E2377,QCGUP,2,),IF(AND(H2377="ATP",OR(I2377="TN",I2377="TDN",I2377="TNO2-3",I2377="NO2-3")),VLOOKUP(E2377,QCREC_N,2,),IF(AND(H2377="NIC",OR(I2377="TN",I2377="TDN",I2377="TNO2-3",I2377="NO2-3")),VLOOKUP(E2377,QCNIC_N,2,),IF(AND(H2377="UREA",OR(I2377="TN",I2377="TDN",I2377="TNO2-3",I2377="NO2-3")),VLOOKUP(E2377,QCUREA_N,2,),IF(H2377="PER",VLOOKUP(I2377,QCPER,MATCH(E2377,QCACTUAL!$J$25:$AA$25,0),),IF(H2377="SPK",VLOOKUP(I2377,QCSPK,3,),IF(AND(H2377="ATP",OR(I2377="TP",I2377="TDP")),VLOOKUP(E2377,QCATP_P,2,),""))))))))</f>
        <v/>
      </c>
      <c r="W2377" s="31" t="str">
        <f t="shared" si="274"/>
        <v>TRUE</v>
      </c>
      <c r="X2377" s="31" t="str">
        <f t="shared" si="269"/>
        <v>nominal concentration</v>
      </c>
      <c r="Y2377" s="10" t="s">
        <v>1144</v>
      </c>
      <c r="AL2377" s="10" t="str">
        <f t="shared" si="271"/>
        <v>FALSE</v>
      </c>
      <c r="AM2377" s="10" t="str">
        <f t="shared" si="271"/>
        <v>FALSE</v>
      </c>
      <c r="AN2377" s="10" t="str">
        <f t="shared" si="271"/>
        <v>FALSE</v>
      </c>
      <c r="AO2377" s="10" t="str">
        <f t="shared" si="272"/>
        <v>FALSE</v>
      </c>
      <c r="AP2377" s="10" t="str">
        <f t="shared" si="272"/>
        <v>FALSE</v>
      </c>
      <c r="AQ2377" s="10" t="b">
        <f>IF(AND(I2377="TP",S2377&lt;=150),VLOOKUP(AF2377,TPCalibEq150!$AZ$2:$BB$55,3,),IF(AND(I2377="TDP",S2377&lt;=150),VLOOKUP(AF2377,TPCalibEq150!$AZ$2:$BB$55,3,)))</f>
        <v>0</v>
      </c>
      <c r="AR2377" s="10" t="b">
        <f>IF(AND(I2377="TP",S2377&lt;=300),VLOOKUP(AF2377,TPCalibEq300!$AZ$2:$BB$55,3,),IF(AND(I2377="TDP",S2377&lt;=300),VLOOKUP(AF2377,TPCalibEq300!$AZ$2:$BB$55,3,)))</f>
        <v>0</v>
      </c>
      <c r="AS2377" s="10" t="b">
        <f>IF(AND(I2377="TP",S2377&lt;=500),VLOOKUP(AF2377,TPCalibEq500!$AZ$2:$BB$56,3,),IF(AND(I2377="TDP",S2377&lt;=500),VLOOKUP(AF2377,TPCalibEq500!$AZ$2:$BB$56,3,)))</f>
        <v>0</v>
      </c>
      <c r="AT2377" s="10" t="b">
        <f>IF(AND(I2377="TN",S2377&lt;=2800),VLOOKUP(AF2377,TNCalibEq2500!$AZ$2:$BB$56,3,),IF(AND(I2377="TDN",S2377&lt;=2800),VLOOKUP(AF2377,TNCalibEq2500!$AZ$2:$BB$56,3,)))</f>
        <v>0</v>
      </c>
      <c r="AU2377" s="10" t="b">
        <f>IF(I2377="TP",VLOOKUP(AF2377,TPCalibEqFull!$AZ$2:$BB$56,3),IF(I2377="TDP",VLOOKUP(AF2377,TPCalibEqFull!$AZ$2:$BB$56,3),IF(I2377="TDN",VLOOKUP(AF2377,TNCalibEqFull!$AZ$1:$BB$56,3),IF(I2377="TN",VLOOKUP(AF2377,TNCalibEqFull!$AZ$1:$BB$56,3),FALSE))))</f>
        <v>0</v>
      </c>
      <c r="AV2377" s="10" t="str">
        <f t="shared" si="275"/>
        <v>0208 06:00:00-QAC-BLK-FIL-1-DI-FLD</v>
      </c>
    </row>
    <row r="2378" spans="1:48" s="10" customFormat="1" x14ac:dyDescent="0.55000000000000004">
      <c r="A2378" s="32">
        <v>44964</v>
      </c>
      <c r="B2378" s="33">
        <v>0.30208333333333331</v>
      </c>
      <c r="C2378" s="10" t="s">
        <v>70</v>
      </c>
      <c r="D2378" s="10" t="s">
        <v>241</v>
      </c>
      <c r="E2378" s="10" t="s">
        <v>911</v>
      </c>
      <c r="F2378" s="10">
        <v>1</v>
      </c>
      <c r="G2378" s="10" t="s">
        <v>73</v>
      </c>
      <c r="H2378" s="10" t="s">
        <v>245</v>
      </c>
      <c r="I2378" s="10" t="s">
        <v>209</v>
      </c>
      <c r="J2378" s="10">
        <v>138</v>
      </c>
      <c r="K2378" s="12">
        <v>44966</v>
      </c>
      <c r="L2378" s="33">
        <v>0.47126157407407404</v>
      </c>
      <c r="M2378" s="10">
        <v>1</v>
      </c>
      <c r="N2378" s="10" t="s">
        <v>169</v>
      </c>
      <c r="O2378" s="10">
        <v>3.2000000000000001E-2</v>
      </c>
      <c r="P2378" s="10">
        <v>1.47E-3</v>
      </c>
      <c r="Q2378" s="10">
        <v>3.52</v>
      </c>
      <c r="R2378" s="10" t="s">
        <v>77</v>
      </c>
      <c r="S2378" s="34">
        <f t="shared" si="270"/>
        <v>3.52</v>
      </c>
      <c r="T2378" s="10" t="s">
        <v>1176</v>
      </c>
      <c r="U2378" s="34">
        <f t="shared" si="273"/>
        <v>3.52</v>
      </c>
      <c r="V2378" s="31" t="str">
        <f>IF(H2378="CHK",VLOOKUP(I2378,QCCHK,3,),IF(H2378="GUP",VLOOKUP(E2378,QCGUP,2,),IF(AND(H2378="ATP",OR(I2378="TN",I2378="TDN",I2378="TNO2-3",I2378="NO2-3")),VLOOKUP(E2378,QCREC_N,2,),IF(AND(H2378="NIC",OR(I2378="TN",I2378="TDN",I2378="TNO2-3",I2378="NO2-3")),VLOOKUP(E2378,QCNIC_N,2,),IF(AND(H2378="UREA",OR(I2378="TN",I2378="TDN",I2378="TNO2-3",I2378="NO2-3")),VLOOKUP(E2378,QCUREA_N,2,),IF(H2378="PER",VLOOKUP(I2378,QCPER,MATCH(E2378,QCACTUAL!$J$25:$AA$25,0),),IF(H2378="SPK",VLOOKUP(I2378,QCSPK,3,),IF(AND(H2378="ATP",OR(I2378="TP",I2378="TDP")),VLOOKUP(E2378,QCATP_P,2,),""))))))))</f>
        <v/>
      </c>
      <c r="W2378" s="31" t="str">
        <f t="shared" si="274"/>
        <v>TRUE</v>
      </c>
      <c r="X2378" s="31" t="str">
        <f t="shared" si="269"/>
        <v>nominal concentration</v>
      </c>
      <c r="Y2378" s="10" t="s">
        <v>1144</v>
      </c>
      <c r="Z2378" s="10" t="s">
        <v>910</v>
      </c>
      <c r="AL2378" s="10" t="str">
        <f t="shared" si="271"/>
        <v>FALSE</v>
      </c>
      <c r="AM2378" s="10" t="str">
        <f t="shared" si="271"/>
        <v>FALSE</v>
      </c>
      <c r="AN2378" s="10" t="str">
        <f t="shared" si="271"/>
        <v>FALSE</v>
      </c>
      <c r="AO2378" s="10" t="str">
        <f t="shared" si="272"/>
        <v>FALSE</v>
      </c>
      <c r="AP2378" s="10" t="str">
        <f t="shared" si="272"/>
        <v>FALSE</v>
      </c>
      <c r="AQ2378" s="10" t="b">
        <f>IF(AND(I2378="TP",S2378&lt;=150),VLOOKUP(AF2378,TPCalibEq150!$AZ$2:$BB$55,3,),IF(AND(I2378="TDP",S2378&lt;=150),VLOOKUP(AF2378,TPCalibEq150!$AZ$2:$BB$55,3,)))</f>
        <v>0</v>
      </c>
      <c r="AR2378" s="10" t="b">
        <f>IF(AND(I2378="TP",S2378&lt;=300),VLOOKUP(AF2378,TPCalibEq300!$AZ$2:$BB$55,3,),IF(AND(I2378="TDP",S2378&lt;=300),VLOOKUP(AF2378,TPCalibEq300!$AZ$2:$BB$55,3,)))</f>
        <v>0</v>
      </c>
      <c r="AS2378" s="10" t="b">
        <f>IF(AND(I2378="TP",S2378&lt;=500),VLOOKUP(AF2378,TPCalibEq500!$AZ$2:$BB$56,3,),IF(AND(I2378="TDP",S2378&lt;=500),VLOOKUP(AF2378,TPCalibEq500!$AZ$2:$BB$56,3,)))</f>
        <v>0</v>
      </c>
      <c r="AT2378" s="10" t="b">
        <f>IF(AND(I2378="TN",S2378&lt;=2800),VLOOKUP(AF2378,TNCalibEq2500!$AZ$2:$BB$56,3,),IF(AND(I2378="TDN",S2378&lt;=2800),VLOOKUP(AF2378,TNCalibEq2500!$AZ$2:$BB$56,3,)))</f>
        <v>0</v>
      </c>
      <c r="AU2378" s="10" t="b">
        <f>IF(I2378="TP",VLOOKUP(AF2378,TPCalibEqFull!$AZ$2:$BB$56,3),IF(I2378="TDP",VLOOKUP(AF2378,TPCalibEqFull!$AZ$2:$BB$56,3),IF(I2378="TDN",VLOOKUP(AF2378,TNCalibEqFull!$AZ$1:$BB$56,3),IF(I2378="TN",VLOOKUP(AF2378,TNCalibEqFull!$AZ$1:$BB$56,3),FALSE))))</f>
        <v>0</v>
      </c>
      <c r="AV2378" s="10" t="str">
        <f t="shared" si="275"/>
        <v>0207 07:15:00-QAC-BLK-FIL-1-DI-ESF</v>
      </c>
    </row>
    <row r="2379" spans="1:48" s="10" customFormat="1" x14ac:dyDescent="0.55000000000000004">
      <c r="A2379" s="32">
        <v>44966</v>
      </c>
      <c r="B2379" s="33">
        <v>0.375</v>
      </c>
      <c r="C2379" s="10" t="s">
        <v>70</v>
      </c>
      <c r="D2379" s="10" t="s">
        <v>71</v>
      </c>
      <c r="E2379" s="10" t="s">
        <v>901</v>
      </c>
      <c r="F2379" s="10">
        <v>1</v>
      </c>
      <c r="G2379" s="10" t="s">
        <v>73</v>
      </c>
      <c r="H2379" s="10" t="s">
        <v>207</v>
      </c>
      <c r="I2379" s="10" t="s">
        <v>256</v>
      </c>
      <c r="J2379" s="10">
        <v>199</v>
      </c>
      <c r="K2379" s="12">
        <v>44966</v>
      </c>
      <c r="L2379" s="33">
        <v>0.47208333333333335</v>
      </c>
      <c r="M2379" s="10">
        <v>1</v>
      </c>
      <c r="N2379" s="10" t="s">
        <v>169</v>
      </c>
      <c r="O2379" s="10">
        <v>2.23</v>
      </c>
      <c r="P2379" s="10">
        <v>0.105</v>
      </c>
      <c r="Q2379" s="10">
        <v>275</v>
      </c>
      <c r="R2379" s="10" t="s">
        <v>77</v>
      </c>
      <c r="S2379" s="34">
        <f t="shared" si="270"/>
        <v>275</v>
      </c>
      <c r="T2379" s="10" t="s">
        <v>1176</v>
      </c>
      <c r="U2379" s="34">
        <f t="shared" si="273"/>
        <v>91.666666666666657</v>
      </c>
      <c r="V2379" s="31">
        <f>IF(H2379="CHK",VLOOKUP(I2379,QCCHK,3,),IF(H2379="GUP",VLOOKUP(E2379,QCGUP,2,),IF(AND(H2379="ATP",OR(I2379="TN",I2379="TDN",I2379="TNO2-3",I2379="NO2-3")),VLOOKUP(E2379,QCREC_N,2,),IF(AND(H2379="NIC",OR(I2379="TN",I2379="TDN",I2379="TNO2-3",I2379="NO2-3")),VLOOKUP(E2379,QCNIC_N,2,),IF(AND(H2379="UREA",OR(I2379="TN",I2379="TDN",I2379="TNO2-3",I2379="NO2-3")),VLOOKUP(E2379,QCUREA_N,2,),IF(H2379="PER",VLOOKUP(I2379,QCPER,MATCH(E2379,QCACTUAL!$J$25:$AA$25,0),),IF(H2379="SPK",VLOOKUP(I2379,QCSPK,3,),IF(AND(H2379="ATP",OR(I2379="TP",I2379="TDP")),VLOOKUP(E2379,QCATP_P,2,),""))))))))</f>
        <v>300</v>
      </c>
      <c r="W2379" s="31" t="str">
        <f t="shared" si="274"/>
        <v>TRUE</v>
      </c>
      <c r="X2379" s="31" t="str">
        <f t="shared" si="269"/>
        <v>[chk]/[actual]*100</v>
      </c>
      <c r="Y2379" s="10" t="s">
        <v>1144</v>
      </c>
      <c r="AL2379" s="10" t="str">
        <f t="shared" si="271"/>
        <v>FALSE</v>
      </c>
      <c r="AM2379" s="10" t="str">
        <f t="shared" si="271"/>
        <v>FALSE</v>
      </c>
      <c r="AN2379" s="10" t="str">
        <f t="shared" si="271"/>
        <v>FALSE</v>
      </c>
      <c r="AO2379" s="10" t="str">
        <f t="shared" si="272"/>
        <v>FALSE</v>
      </c>
      <c r="AP2379" s="10" t="str">
        <f t="shared" si="272"/>
        <v>FALSE</v>
      </c>
      <c r="AQ2379" s="10" t="b">
        <f>IF(AND(I2379="TP",S2379&lt;=150),VLOOKUP(AF2379,TPCalibEq150!$AZ$2:$BB$55,3,),IF(AND(I2379="TDP",S2379&lt;=150),VLOOKUP(AF2379,TPCalibEq150!$AZ$2:$BB$55,3,)))</f>
        <v>0</v>
      </c>
      <c r="AR2379" s="10" t="b">
        <f>IF(AND(I2379="TP",S2379&lt;=300),VLOOKUP(AF2379,TPCalibEq300!$AZ$2:$BB$55,3,),IF(AND(I2379="TDP",S2379&lt;=300),VLOOKUP(AF2379,TPCalibEq300!$AZ$2:$BB$55,3,)))</f>
        <v>0</v>
      </c>
      <c r="AS2379" s="10" t="b">
        <f>IF(AND(I2379="TP",S2379&lt;=500),VLOOKUP(AF2379,TPCalibEq500!$AZ$2:$BB$56,3,),IF(AND(I2379="TDP",S2379&lt;=500),VLOOKUP(AF2379,TPCalibEq500!$AZ$2:$BB$56,3,)))</f>
        <v>0</v>
      </c>
      <c r="AT2379" s="10" t="b">
        <f>IF(AND(I2379="TN",S2379&lt;=2800),VLOOKUP(AF2379,TNCalibEq2500!$AZ$2:$BB$56,3,),IF(AND(I2379="TDN",S2379&lt;=2800),VLOOKUP(AF2379,TNCalibEq2500!$AZ$2:$BB$56,3,)))</f>
        <v>0</v>
      </c>
      <c r="AU2379" s="10" t="b">
        <f>IF(I2379="TP",VLOOKUP(AF2379,TPCalibEqFull!$AZ$2:$BB$56,3),IF(I2379="TDP",VLOOKUP(AF2379,TPCalibEqFull!$AZ$2:$BB$56,3),IF(I2379="TDN",VLOOKUP(AF2379,TNCalibEqFull!$AZ$1:$BB$56,3),IF(I2379="TN",VLOOKUP(AF2379,TNCalibEqFull!$AZ$1:$BB$56,3),FALSE))))</f>
        <v>0</v>
      </c>
      <c r="AV2379" s="10" t="str">
        <f t="shared" si="275"/>
        <v>0209 09:00:00-QAC-STD-D-1-DI-CHK</v>
      </c>
    </row>
    <row r="2380" spans="1:48" s="10" customFormat="1" x14ac:dyDescent="0.55000000000000004">
      <c r="A2380" s="32">
        <v>44958</v>
      </c>
      <c r="B2380" s="33">
        <v>0.50138888888888888</v>
      </c>
      <c r="C2380" s="10" t="s">
        <v>279</v>
      </c>
      <c r="D2380" s="10">
        <v>0</v>
      </c>
      <c r="E2380" s="10" t="s">
        <v>190</v>
      </c>
      <c r="F2380" s="10">
        <v>1</v>
      </c>
      <c r="G2380" s="10" t="s">
        <v>231</v>
      </c>
      <c r="H2380" s="10" t="s">
        <v>322</v>
      </c>
      <c r="I2380" s="10" t="s">
        <v>256</v>
      </c>
      <c r="J2380" s="10">
        <v>1</v>
      </c>
      <c r="K2380" s="12">
        <v>44966</v>
      </c>
      <c r="L2380" s="33">
        <v>0.47290509259259261</v>
      </c>
      <c r="M2380" s="10">
        <v>1</v>
      </c>
      <c r="N2380" s="10" t="s">
        <v>169</v>
      </c>
      <c r="O2380" s="10">
        <v>9.49</v>
      </c>
      <c r="P2380" s="10">
        <v>0.439</v>
      </c>
      <c r="Q2380" s="10">
        <v>1170</v>
      </c>
      <c r="R2380" s="10" t="s">
        <v>77</v>
      </c>
      <c r="S2380" s="34">
        <f t="shared" si="270"/>
        <v>1170</v>
      </c>
      <c r="T2380" s="10" t="s">
        <v>1176</v>
      </c>
      <c r="U2380" s="34" t="str">
        <f t="shared" si="273"/>
        <v/>
      </c>
      <c r="V2380" s="31" t="str">
        <f>IF(H2380="CHK",VLOOKUP(I2380,QCCHK,3,),IF(H2380="GUP",VLOOKUP(E2380,QCGUP,2,),IF(AND(H2380="ATP",OR(I2380="TN",I2380="TDN",I2380="TNO2-3",I2380="NO2-3")),VLOOKUP(E2380,QCREC_N,2,),IF(AND(H2380="NIC",OR(I2380="TN",I2380="TDN",I2380="TNO2-3",I2380="NO2-3")),VLOOKUP(E2380,QCNIC_N,2,),IF(AND(H2380="UREA",OR(I2380="TN",I2380="TDN",I2380="TNO2-3",I2380="NO2-3")),VLOOKUP(E2380,QCUREA_N,2,),IF(H2380="PER",VLOOKUP(I2380,QCPER,MATCH(E2380,QCACTUAL!$J$25:$AA$25,0),),IF(H2380="SPK",VLOOKUP(I2380,QCSPK,3,),IF(AND(H2380="ATP",OR(I2380="TP",I2380="TDP")),VLOOKUP(E2380,QCATP_P,2,),""))))))))</f>
        <v/>
      </c>
      <c r="W2380" s="31" t="str">
        <f t="shared" si="274"/>
        <v>TRUE</v>
      </c>
      <c r="X2380" s="31" t="str">
        <f t="shared" si="269"/>
        <v/>
      </c>
      <c r="Y2380" s="10" t="s">
        <v>1144</v>
      </c>
      <c r="Z2380" s="10" t="s">
        <v>910</v>
      </c>
      <c r="AL2380" s="10" t="str">
        <f t="shared" si="271"/>
        <v>FALSE</v>
      </c>
      <c r="AM2380" s="10" t="str">
        <f t="shared" si="271"/>
        <v>FALSE</v>
      </c>
      <c r="AN2380" s="10" t="str">
        <f t="shared" si="271"/>
        <v>FALSE</v>
      </c>
      <c r="AO2380" s="10" t="str">
        <f t="shared" si="272"/>
        <v>FALSE</v>
      </c>
      <c r="AP2380" s="10" t="str">
        <f t="shared" si="272"/>
        <v>FALSE</v>
      </c>
      <c r="AQ2380" s="10" t="b">
        <f>IF(AND(I2380="TP",S2380&lt;=150),VLOOKUP(AF2380,TPCalibEq150!$AZ$2:$BB$55,3,),IF(AND(I2380="TDP",S2380&lt;=150),VLOOKUP(AF2380,TPCalibEq150!$AZ$2:$BB$55,3,)))</f>
        <v>0</v>
      </c>
      <c r="AR2380" s="10" t="b">
        <f>IF(AND(I2380="TP",S2380&lt;=300),VLOOKUP(AF2380,TPCalibEq300!$AZ$2:$BB$55,3,),IF(AND(I2380="TDP",S2380&lt;=300),VLOOKUP(AF2380,TPCalibEq300!$AZ$2:$BB$55,3,)))</f>
        <v>0</v>
      </c>
      <c r="AS2380" s="10" t="b">
        <f>IF(AND(I2380="TP",S2380&lt;=500),VLOOKUP(AF2380,TPCalibEq500!$AZ$2:$BB$56,3,),IF(AND(I2380="TDP",S2380&lt;=500),VLOOKUP(AF2380,TPCalibEq500!$AZ$2:$BB$56,3,)))</f>
        <v>0</v>
      </c>
      <c r="AT2380" s="10" t="b">
        <f>IF(AND(I2380="TN",S2380&lt;=2800),VLOOKUP(AF2380,TNCalibEq2500!$AZ$2:$BB$56,3,),IF(AND(I2380="TDN",S2380&lt;=2800),VLOOKUP(AF2380,TNCalibEq2500!$AZ$2:$BB$56,3,)))</f>
        <v>0</v>
      </c>
      <c r="AU2380" s="10" t="b">
        <f>IF(I2380="TP",VLOOKUP(AF2380,TPCalibEqFull!$AZ$2:$BB$56,3),IF(I2380="TDP",VLOOKUP(AF2380,TPCalibEqFull!$AZ$2:$BB$56,3),IF(I2380="TDN",VLOOKUP(AF2380,TNCalibEqFull!$AZ$1:$BB$56,3),IF(I2380="TN",VLOOKUP(AF2380,TNCalibEqFull!$AZ$1:$BB$56,3),FALSE))))</f>
        <v>0</v>
      </c>
      <c r="AV2380" s="10" t="str">
        <f t="shared" si="275"/>
        <v>0201 12:02:00-EFK-0-C-1-SW-UKN</v>
      </c>
    </row>
    <row r="2381" spans="1:48" s="10" customFormat="1" x14ac:dyDescent="0.55000000000000004">
      <c r="A2381" s="32">
        <v>44958</v>
      </c>
      <c r="B2381" s="33">
        <v>0.50347222222222221</v>
      </c>
      <c r="C2381" s="10" t="s">
        <v>333</v>
      </c>
      <c r="D2381" s="10">
        <v>0</v>
      </c>
      <c r="E2381" s="10" t="s">
        <v>190</v>
      </c>
      <c r="F2381" s="10">
        <v>1</v>
      </c>
      <c r="G2381" s="10" t="s">
        <v>231</v>
      </c>
      <c r="H2381" s="10" t="s">
        <v>322</v>
      </c>
      <c r="I2381" s="10" t="s">
        <v>256</v>
      </c>
      <c r="J2381" s="10">
        <v>2</v>
      </c>
      <c r="K2381" s="12">
        <v>44966</v>
      </c>
      <c r="L2381" s="33">
        <v>0.47372685185185182</v>
      </c>
      <c r="M2381" s="10">
        <v>1</v>
      </c>
      <c r="N2381" s="10" t="s">
        <v>169</v>
      </c>
      <c r="O2381" s="10">
        <v>11.9</v>
      </c>
      <c r="P2381" s="10">
        <v>0.54700000000000004</v>
      </c>
      <c r="Q2381" s="10">
        <v>1470</v>
      </c>
      <c r="R2381" s="10" t="s">
        <v>77</v>
      </c>
      <c r="S2381" s="34">
        <f t="shared" si="270"/>
        <v>1470</v>
      </c>
      <c r="T2381" s="10" t="s">
        <v>1176</v>
      </c>
      <c r="U2381" s="34" t="str">
        <f t="shared" si="273"/>
        <v/>
      </c>
      <c r="V2381" s="31" t="str">
        <f>IF(H2381="CHK",VLOOKUP(I2381,QCCHK,3,),IF(H2381="GUP",VLOOKUP(E2381,QCGUP,2,),IF(AND(H2381="ATP",OR(I2381="TN",I2381="TDN",I2381="TNO2-3",I2381="NO2-3")),VLOOKUP(E2381,QCREC_N,2,),IF(AND(H2381="NIC",OR(I2381="TN",I2381="TDN",I2381="TNO2-3",I2381="NO2-3")),VLOOKUP(E2381,QCNIC_N,2,),IF(AND(H2381="UREA",OR(I2381="TN",I2381="TDN",I2381="TNO2-3",I2381="NO2-3")),VLOOKUP(E2381,QCUREA_N,2,),IF(H2381="PER",VLOOKUP(I2381,QCPER,MATCH(E2381,QCACTUAL!$J$25:$AA$25,0),),IF(H2381="SPK",VLOOKUP(I2381,QCSPK,3,),IF(AND(H2381="ATP",OR(I2381="TP",I2381="TDP")),VLOOKUP(E2381,QCATP_P,2,),""))))))))</f>
        <v/>
      </c>
      <c r="W2381" s="31" t="str">
        <f t="shared" si="274"/>
        <v>TRUE</v>
      </c>
      <c r="X2381" s="31" t="str">
        <f t="shared" si="269"/>
        <v/>
      </c>
      <c r="Y2381" s="10" t="s">
        <v>1144</v>
      </c>
      <c r="Z2381" s="10" t="s">
        <v>910</v>
      </c>
      <c r="AL2381" s="10" t="str">
        <f t="shared" si="271"/>
        <v>FALSE</v>
      </c>
      <c r="AM2381" s="10" t="str">
        <f t="shared" si="271"/>
        <v>FALSE</v>
      </c>
      <c r="AN2381" s="10" t="str">
        <f t="shared" si="271"/>
        <v>FALSE</v>
      </c>
      <c r="AO2381" s="10" t="str">
        <f t="shared" si="272"/>
        <v>FALSE</v>
      </c>
      <c r="AP2381" s="10" t="str">
        <f t="shared" si="272"/>
        <v>FALSE</v>
      </c>
      <c r="AQ2381" s="10" t="b">
        <f>IF(AND(I2381="TP",S2381&lt;=150),VLOOKUP(AF2381,TPCalibEq150!$AZ$2:$BB$55,3,),IF(AND(I2381="TDP",S2381&lt;=150),VLOOKUP(AF2381,TPCalibEq150!$AZ$2:$BB$55,3,)))</f>
        <v>0</v>
      </c>
      <c r="AR2381" s="10" t="b">
        <f>IF(AND(I2381="TP",S2381&lt;=300),VLOOKUP(AF2381,TPCalibEq300!$AZ$2:$BB$55,3,),IF(AND(I2381="TDP",S2381&lt;=300),VLOOKUP(AF2381,TPCalibEq300!$AZ$2:$BB$55,3,)))</f>
        <v>0</v>
      </c>
      <c r="AS2381" s="10" t="b">
        <f>IF(AND(I2381="TP",S2381&lt;=500),VLOOKUP(AF2381,TPCalibEq500!$AZ$2:$BB$56,3,),IF(AND(I2381="TDP",S2381&lt;=500),VLOOKUP(AF2381,TPCalibEq500!$AZ$2:$BB$56,3,)))</f>
        <v>0</v>
      </c>
      <c r="AT2381" s="10" t="b">
        <f>IF(AND(I2381="TN",S2381&lt;=2800),VLOOKUP(AF2381,TNCalibEq2500!$AZ$2:$BB$56,3,),IF(AND(I2381="TDN",S2381&lt;=2800),VLOOKUP(AF2381,TNCalibEq2500!$AZ$2:$BB$56,3,)))</f>
        <v>0</v>
      </c>
      <c r="AU2381" s="10" t="b">
        <f>IF(I2381="TP",VLOOKUP(AF2381,TPCalibEqFull!$AZ$2:$BB$56,3),IF(I2381="TDP",VLOOKUP(AF2381,TPCalibEqFull!$AZ$2:$BB$56,3),IF(I2381="TDN",VLOOKUP(AF2381,TNCalibEqFull!$AZ$1:$BB$56,3),IF(I2381="TN",VLOOKUP(AF2381,TNCalibEqFull!$AZ$1:$BB$56,3),FALSE))))</f>
        <v>0</v>
      </c>
      <c r="AV2381" s="10" t="str">
        <f t="shared" si="275"/>
        <v>0201 12:05:00-HST-0-C-1-SW-UKN</v>
      </c>
    </row>
    <row r="2382" spans="1:48" s="10" customFormat="1" x14ac:dyDescent="0.55000000000000004">
      <c r="A2382" s="32">
        <v>44959</v>
      </c>
      <c r="B2382" s="33">
        <v>0.58194444444444449</v>
      </c>
      <c r="C2382" s="10" t="s">
        <v>279</v>
      </c>
      <c r="D2382" s="10">
        <v>0</v>
      </c>
      <c r="E2382" s="10" t="s">
        <v>190</v>
      </c>
      <c r="F2382" s="10">
        <v>1</v>
      </c>
      <c r="G2382" s="10" t="s">
        <v>231</v>
      </c>
      <c r="H2382" s="10" t="s">
        <v>322</v>
      </c>
      <c r="I2382" s="10" t="s">
        <v>256</v>
      </c>
      <c r="J2382" s="10">
        <v>3</v>
      </c>
      <c r="K2382" s="12">
        <v>44966</v>
      </c>
      <c r="L2382" s="33">
        <v>0.47456018518518522</v>
      </c>
      <c r="M2382" s="10">
        <v>1</v>
      </c>
      <c r="N2382" s="10" t="s">
        <v>169</v>
      </c>
      <c r="O2382" s="10">
        <v>11.8</v>
      </c>
      <c r="P2382" s="10">
        <v>0.54200000000000004</v>
      </c>
      <c r="Q2382" s="10">
        <v>1450</v>
      </c>
      <c r="R2382" s="10" t="s">
        <v>77</v>
      </c>
      <c r="S2382" s="34">
        <f t="shared" si="270"/>
        <v>1450</v>
      </c>
      <c r="T2382" s="10" t="s">
        <v>1176</v>
      </c>
      <c r="U2382" s="34" t="str">
        <f t="shared" si="273"/>
        <v/>
      </c>
      <c r="V2382" s="31" t="str">
        <f>IF(H2382="CHK",VLOOKUP(I2382,QCCHK,3,),IF(H2382="GUP",VLOOKUP(E2382,QCGUP,2,),IF(AND(H2382="ATP",OR(I2382="TN",I2382="TDN",I2382="TNO2-3",I2382="NO2-3")),VLOOKUP(E2382,QCREC_N,2,),IF(AND(H2382="NIC",OR(I2382="TN",I2382="TDN",I2382="TNO2-3",I2382="NO2-3")),VLOOKUP(E2382,QCNIC_N,2,),IF(AND(H2382="UREA",OR(I2382="TN",I2382="TDN",I2382="TNO2-3",I2382="NO2-3")),VLOOKUP(E2382,QCUREA_N,2,),IF(H2382="PER",VLOOKUP(I2382,QCPER,MATCH(E2382,QCACTUAL!$J$25:$AA$25,0),),IF(H2382="SPK",VLOOKUP(I2382,QCSPK,3,),IF(AND(H2382="ATP",OR(I2382="TP",I2382="TDP")),VLOOKUP(E2382,QCATP_P,2,),""))))))))</f>
        <v/>
      </c>
      <c r="W2382" s="31" t="str">
        <f t="shared" si="274"/>
        <v>TRUE</v>
      </c>
      <c r="X2382" s="31" t="str">
        <f t="shared" si="269"/>
        <v/>
      </c>
      <c r="Y2382" s="10" t="s">
        <v>1144</v>
      </c>
      <c r="Z2382" s="10" t="s">
        <v>910</v>
      </c>
      <c r="AL2382" s="10" t="str">
        <f t="shared" si="271"/>
        <v>FALSE</v>
      </c>
      <c r="AM2382" s="10" t="str">
        <f t="shared" si="271"/>
        <v>FALSE</v>
      </c>
      <c r="AN2382" s="10" t="str">
        <f t="shared" si="271"/>
        <v>FALSE</v>
      </c>
      <c r="AO2382" s="10" t="str">
        <f t="shared" si="272"/>
        <v>FALSE</v>
      </c>
      <c r="AP2382" s="10" t="str">
        <f t="shared" si="272"/>
        <v>FALSE</v>
      </c>
      <c r="AQ2382" s="10" t="b">
        <f>IF(AND(I2382="TP",S2382&lt;=150),VLOOKUP(AF2382,TPCalibEq150!$AZ$2:$BB$55,3,),IF(AND(I2382="TDP",S2382&lt;=150),VLOOKUP(AF2382,TPCalibEq150!$AZ$2:$BB$55,3,)))</f>
        <v>0</v>
      </c>
      <c r="AR2382" s="10" t="b">
        <f>IF(AND(I2382="TP",S2382&lt;=300),VLOOKUP(AF2382,TPCalibEq300!$AZ$2:$BB$55,3,),IF(AND(I2382="TDP",S2382&lt;=300),VLOOKUP(AF2382,TPCalibEq300!$AZ$2:$BB$55,3,)))</f>
        <v>0</v>
      </c>
      <c r="AS2382" s="10" t="b">
        <f>IF(AND(I2382="TP",S2382&lt;=500),VLOOKUP(AF2382,TPCalibEq500!$AZ$2:$BB$56,3,),IF(AND(I2382="TDP",S2382&lt;=500),VLOOKUP(AF2382,TPCalibEq500!$AZ$2:$BB$56,3,)))</f>
        <v>0</v>
      </c>
      <c r="AT2382" s="10" t="b">
        <f>IF(AND(I2382="TN",S2382&lt;=2800),VLOOKUP(AF2382,TNCalibEq2500!$AZ$2:$BB$56,3,),IF(AND(I2382="TDN",S2382&lt;=2800),VLOOKUP(AF2382,TNCalibEq2500!$AZ$2:$BB$56,3,)))</f>
        <v>0</v>
      </c>
      <c r="AU2382" s="10" t="b">
        <f>IF(I2382="TP",VLOOKUP(AF2382,TPCalibEqFull!$AZ$2:$BB$56,3),IF(I2382="TDP",VLOOKUP(AF2382,TPCalibEqFull!$AZ$2:$BB$56,3),IF(I2382="TDN",VLOOKUP(AF2382,TNCalibEqFull!$AZ$1:$BB$56,3),IF(I2382="TN",VLOOKUP(AF2382,TNCalibEqFull!$AZ$1:$BB$56,3),FALSE))))</f>
        <v>0</v>
      </c>
      <c r="AV2382" s="10" t="str">
        <f t="shared" si="275"/>
        <v>0202 13:58:00-EFK-0-C-1-SW-UKN</v>
      </c>
    </row>
    <row r="2383" spans="1:48" s="10" customFormat="1" x14ac:dyDescent="0.55000000000000004">
      <c r="A2383" s="32">
        <v>44959</v>
      </c>
      <c r="B2383" s="33">
        <v>0.56944444444444442</v>
      </c>
      <c r="C2383" s="10" t="s">
        <v>333</v>
      </c>
      <c r="D2383" s="10">
        <v>0</v>
      </c>
      <c r="E2383" s="10" t="s">
        <v>190</v>
      </c>
      <c r="F2383" s="10">
        <v>1</v>
      </c>
      <c r="G2383" s="10" t="s">
        <v>231</v>
      </c>
      <c r="H2383" s="10" t="s">
        <v>322</v>
      </c>
      <c r="I2383" s="10" t="s">
        <v>256</v>
      </c>
      <c r="J2383" s="10">
        <v>4</v>
      </c>
      <c r="K2383" s="12">
        <v>44966</v>
      </c>
      <c r="L2383" s="33">
        <v>0.47538194444444448</v>
      </c>
      <c r="M2383" s="10">
        <v>1</v>
      </c>
      <c r="N2383" s="10" t="s">
        <v>169</v>
      </c>
      <c r="O2383" s="10">
        <v>12.9</v>
      </c>
      <c r="P2383" s="10">
        <v>0.59199999999999997</v>
      </c>
      <c r="Q2383" s="10">
        <v>1590</v>
      </c>
      <c r="R2383" s="10" t="s">
        <v>77</v>
      </c>
      <c r="S2383" s="34">
        <f t="shared" si="270"/>
        <v>1590</v>
      </c>
      <c r="T2383" s="10" t="s">
        <v>1176</v>
      </c>
      <c r="U2383" s="34" t="str">
        <f t="shared" si="273"/>
        <v/>
      </c>
      <c r="V2383" s="31" t="str">
        <f>IF(H2383="CHK",VLOOKUP(I2383,QCCHK,3,),IF(H2383="GUP",VLOOKUP(E2383,QCGUP,2,),IF(AND(H2383="ATP",OR(I2383="TN",I2383="TDN",I2383="TNO2-3",I2383="NO2-3")),VLOOKUP(E2383,QCREC_N,2,),IF(AND(H2383="NIC",OR(I2383="TN",I2383="TDN",I2383="TNO2-3",I2383="NO2-3")),VLOOKUP(E2383,QCNIC_N,2,),IF(AND(H2383="UREA",OR(I2383="TN",I2383="TDN",I2383="TNO2-3",I2383="NO2-3")),VLOOKUP(E2383,QCUREA_N,2,),IF(H2383="PER",VLOOKUP(I2383,QCPER,MATCH(E2383,QCACTUAL!$J$25:$AA$25,0),),IF(H2383="SPK",VLOOKUP(I2383,QCSPK,3,),IF(AND(H2383="ATP",OR(I2383="TP",I2383="TDP")),VLOOKUP(E2383,QCATP_P,2,),""))))))))</f>
        <v/>
      </c>
      <c r="W2383" s="31" t="str">
        <f t="shared" si="274"/>
        <v>TRUE</v>
      </c>
      <c r="X2383" s="31" t="str">
        <f t="shared" si="269"/>
        <v/>
      </c>
      <c r="Y2383" s="10" t="s">
        <v>1144</v>
      </c>
      <c r="Z2383" s="10" t="s">
        <v>910</v>
      </c>
      <c r="AL2383" s="10" t="str">
        <f t="shared" si="271"/>
        <v>FALSE</v>
      </c>
      <c r="AM2383" s="10" t="str">
        <f t="shared" si="271"/>
        <v>FALSE</v>
      </c>
      <c r="AN2383" s="10" t="str">
        <f t="shared" si="271"/>
        <v>FALSE</v>
      </c>
      <c r="AO2383" s="10" t="str">
        <f t="shared" si="272"/>
        <v>FALSE</v>
      </c>
      <c r="AP2383" s="10" t="str">
        <f t="shared" si="272"/>
        <v>FALSE</v>
      </c>
      <c r="AQ2383" s="10" t="b">
        <f>IF(AND(I2383="TP",S2383&lt;=150),VLOOKUP(AF2383,TPCalibEq150!$AZ$2:$BB$55,3,),IF(AND(I2383="TDP",S2383&lt;=150),VLOOKUP(AF2383,TPCalibEq150!$AZ$2:$BB$55,3,)))</f>
        <v>0</v>
      </c>
      <c r="AR2383" s="10" t="b">
        <f>IF(AND(I2383="TP",S2383&lt;=300),VLOOKUP(AF2383,TPCalibEq300!$AZ$2:$BB$55,3,),IF(AND(I2383="TDP",S2383&lt;=300),VLOOKUP(AF2383,TPCalibEq300!$AZ$2:$BB$55,3,)))</f>
        <v>0</v>
      </c>
      <c r="AS2383" s="10" t="b">
        <f>IF(AND(I2383="TP",S2383&lt;=500),VLOOKUP(AF2383,TPCalibEq500!$AZ$2:$BB$56,3,),IF(AND(I2383="TDP",S2383&lt;=500),VLOOKUP(AF2383,TPCalibEq500!$AZ$2:$BB$56,3,)))</f>
        <v>0</v>
      </c>
      <c r="AT2383" s="10" t="b">
        <f>IF(AND(I2383="TN",S2383&lt;=2800),VLOOKUP(AF2383,TNCalibEq2500!$AZ$2:$BB$56,3,),IF(AND(I2383="TDN",S2383&lt;=2800),VLOOKUP(AF2383,TNCalibEq2500!$AZ$2:$BB$56,3,)))</f>
        <v>0</v>
      </c>
      <c r="AU2383" s="10" t="b">
        <f>IF(I2383="TP",VLOOKUP(AF2383,TPCalibEqFull!$AZ$2:$BB$56,3),IF(I2383="TDP",VLOOKUP(AF2383,TPCalibEqFull!$AZ$2:$BB$56,3),IF(I2383="TDN",VLOOKUP(AF2383,TNCalibEqFull!$AZ$1:$BB$56,3),IF(I2383="TN",VLOOKUP(AF2383,TNCalibEqFull!$AZ$1:$BB$56,3),FALSE))))</f>
        <v>0</v>
      </c>
      <c r="AV2383" s="10" t="str">
        <f t="shared" si="275"/>
        <v>0202 13:40:00-HST-0-C-1-SW-UKN</v>
      </c>
    </row>
    <row r="2384" spans="1:48" s="10" customFormat="1" x14ac:dyDescent="0.55000000000000004">
      <c r="A2384" s="32">
        <v>44960</v>
      </c>
      <c r="B2384" s="33">
        <v>0.45208333333333334</v>
      </c>
      <c r="C2384" s="10" t="s">
        <v>279</v>
      </c>
      <c r="D2384" s="10">
        <v>0</v>
      </c>
      <c r="E2384" s="10" t="s">
        <v>190</v>
      </c>
      <c r="F2384" s="10">
        <v>1</v>
      </c>
      <c r="G2384" s="10" t="s">
        <v>231</v>
      </c>
      <c r="H2384" s="10" t="s">
        <v>322</v>
      </c>
      <c r="I2384" s="10" t="s">
        <v>256</v>
      </c>
      <c r="J2384" s="10">
        <v>5</v>
      </c>
      <c r="K2384" s="12">
        <v>44966</v>
      </c>
      <c r="L2384" s="33">
        <v>0.47619212962962965</v>
      </c>
      <c r="M2384" s="10">
        <v>1</v>
      </c>
      <c r="N2384" s="10" t="s">
        <v>169</v>
      </c>
      <c r="O2384" s="10">
        <v>15.1</v>
      </c>
      <c r="P2384" s="10">
        <v>0.69899999999999995</v>
      </c>
      <c r="Q2384" s="10">
        <v>1870</v>
      </c>
      <c r="R2384" s="10" t="s">
        <v>77</v>
      </c>
      <c r="S2384" s="34">
        <f t="shared" si="270"/>
        <v>1870</v>
      </c>
      <c r="T2384" s="10" t="s">
        <v>1176</v>
      </c>
      <c r="U2384" s="34" t="str">
        <f t="shared" si="273"/>
        <v/>
      </c>
      <c r="V2384" s="31" t="str">
        <f>IF(H2384="CHK",VLOOKUP(I2384,QCCHK,3,),IF(H2384="GUP",VLOOKUP(E2384,QCGUP,2,),IF(AND(H2384="ATP",OR(I2384="TN",I2384="TDN",I2384="TNO2-3",I2384="NO2-3")),VLOOKUP(E2384,QCREC_N,2,),IF(AND(H2384="NIC",OR(I2384="TN",I2384="TDN",I2384="TNO2-3",I2384="NO2-3")),VLOOKUP(E2384,QCNIC_N,2,),IF(AND(H2384="UREA",OR(I2384="TN",I2384="TDN",I2384="TNO2-3",I2384="NO2-3")),VLOOKUP(E2384,QCUREA_N,2,),IF(H2384="PER",VLOOKUP(I2384,QCPER,MATCH(E2384,QCACTUAL!$J$25:$AA$25,0),),IF(H2384="SPK",VLOOKUP(I2384,QCSPK,3,),IF(AND(H2384="ATP",OR(I2384="TP",I2384="TDP")),VLOOKUP(E2384,QCATP_P,2,),""))))))))</f>
        <v/>
      </c>
      <c r="W2384" s="31" t="str">
        <f t="shared" si="274"/>
        <v>TRUE</v>
      </c>
      <c r="X2384" s="31" t="str">
        <f t="shared" si="269"/>
        <v/>
      </c>
      <c r="Y2384" s="10" t="s">
        <v>1144</v>
      </c>
      <c r="Z2384" s="10" t="s">
        <v>910</v>
      </c>
      <c r="AL2384" s="10" t="str">
        <f t="shared" si="271"/>
        <v>FALSE</v>
      </c>
      <c r="AM2384" s="10" t="str">
        <f t="shared" si="271"/>
        <v>FALSE</v>
      </c>
      <c r="AN2384" s="10" t="str">
        <f t="shared" si="271"/>
        <v>FALSE</v>
      </c>
      <c r="AO2384" s="10" t="str">
        <f t="shared" si="272"/>
        <v>FALSE</v>
      </c>
      <c r="AP2384" s="10" t="str">
        <f t="shared" si="272"/>
        <v>FALSE</v>
      </c>
      <c r="AQ2384" s="10" t="b">
        <f>IF(AND(I2384="TP",S2384&lt;=150),VLOOKUP(AF2384,TPCalibEq150!$AZ$2:$BB$55,3,),IF(AND(I2384="TDP",S2384&lt;=150),VLOOKUP(AF2384,TPCalibEq150!$AZ$2:$BB$55,3,)))</f>
        <v>0</v>
      </c>
      <c r="AR2384" s="10" t="b">
        <f>IF(AND(I2384="TP",S2384&lt;=300),VLOOKUP(AF2384,TPCalibEq300!$AZ$2:$BB$55,3,),IF(AND(I2384="TDP",S2384&lt;=300),VLOOKUP(AF2384,TPCalibEq300!$AZ$2:$BB$55,3,)))</f>
        <v>0</v>
      </c>
      <c r="AS2384" s="10" t="b">
        <f>IF(AND(I2384="TP",S2384&lt;=500),VLOOKUP(AF2384,TPCalibEq500!$AZ$2:$BB$56,3,),IF(AND(I2384="TDP",S2384&lt;=500),VLOOKUP(AF2384,TPCalibEq500!$AZ$2:$BB$56,3,)))</f>
        <v>0</v>
      </c>
      <c r="AT2384" s="10" t="b">
        <f>IF(AND(I2384="TN",S2384&lt;=2800),VLOOKUP(AF2384,TNCalibEq2500!$AZ$2:$BB$56,3,),IF(AND(I2384="TDN",S2384&lt;=2800),VLOOKUP(AF2384,TNCalibEq2500!$AZ$2:$BB$56,3,)))</f>
        <v>0</v>
      </c>
      <c r="AU2384" s="10" t="b">
        <f>IF(I2384="TP",VLOOKUP(AF2384,TPCalibEqFull!$AZ$2:$BB$56,3),IF(I2384="TDP",VLOOKUP(AF2384,TPCalibEqFull!$AZ$2:$BB$56,3),IF(I2384="TDN",VLOOKUP(AF2384,TNCalibEqFull!$AZ$1:$BB$56,3),IF(I2384="TN",VLOOKUP(AF2384,TNCalibEqFull!$AZ$1:$BB$56,3),FALSE))))</f>
        <v>0</v>
      </c>
      <c r="AV2384" s="10" t="str">
        <f t="shared" si="275"/>
        <v>0203 10:51:00-EFK-0-C-1-SW-UKN</v>
      </c>
    </row>
    <row r="2385" spans="1:48" s="10" customFormat="1" x14ac:dyDescent="0.55000000000000004">
      <c r="A2385" s="32">
        <v>44960</v>
      </c>
      <c r="B2385" s="33">
        <v>0.45416666666666666</v>
      </c>
      <c r="C2385" s="10" t="s">
        <v>333</v>
      </c>
      <c r="D2385" s="10">
        <v>0</v>
      </c>
      <c r="E2385" s="10" t="s">
        <v>190</v>
      </c>
      <c r="F2385" s="10">
        <v>1</v>
      </c>
      <c r="G2385" s="10" t="s">
        <v>231</v>
      </c>
      <c r="H2385" s="10" t="s">
        <v>322</v>
      </c>
      <c r="I2385" s="10" t="s">
        <v>256</v>
      </c>
      <c r="J2385" s="10">
        <v>6</v>
      </c>
      <c r="K2385" s="12">
        <v>44966</v>
      </c>
      <c r="L2385" s="33">
        <v>0.4770138888888889</v>
      </c>
      <c r="M2385" s="10">
        <v>1</v>
      </c>
      <c r="N2385" s="10" t="s">
        <v>169</v>
      </c>
      <c r="O2385" s="10">
        <v>10.5</v>
      </c>
      <c r="P2385" s="10">
        <v>0.48299999999999998</v>
      </c>
      <c r="Q2385" s="10">
        <v>1300</v>
      </c>
      <c r="R2385" s="10" t="s">
        <v>77</v>
      </c>
      <c r="S2385" s="34">
        <f t="shared" si="270"/>
        <v>1300</v>
      </c>
      <c r="T2385" s="10" t="s">
        <v>1176</v>
      </c>
      <c r="U2385" s="34" t="str">
        <f t="shared" si="273"/>
        <v/>
      </c>
      <c r="V2385" s="31" t="str">
        <f>IF(H2385="CHK",VLOOKUP(I2385,QCCHK,3,),IF(H2385="GUP",VLOOKUP(E2385,QCGUP,2,),IF(AND(H2385="ATP",OR(I2385="TN",I2385="TDN",I2385="TNO2-3",I2385="NO2-3")),VLOOKUP(E2385,QCREC_N,2,),IF(AND(H2385="NIC",OR(I2385="TN",I2385="TDN",I2385="TNO2-3",I2385="NO2-3")),VLOOKUP(E2385,QCNIC_N,2,),IF(AND(H2385="UREA",OR(I2385="TN",I2385="TDN",I2385="TNO2-3",I2385="NO2-3")),VLOOKUP(E2385,QCUREA_N,2,),IF(H2385="PER",VLOOKUP(I2385,QCPER,MATCH(E2385,QCACTUAL!$J$25:$AA$25,0),),IF(H2385="SPK",VLOOKUP(I2385,QCSPK,3,),IF(AND(H2385="ATP",OR(I2385="TP",I2385="TDP")),VLOOKUP(E2385,QCATP_P,2,),""))))))))</f>
        <v/>
      </c>
      <c r="W2385" s="31" t="str">
        <f t="shared" si="274"/>
        <v>TRUE</v>
      </c>
      <c r="X2385" s="31" t="str">
        <f t="shared" si="269"/>
        <v/>
      </c>
      <c r="Y2385" s="10" t="s">
        <v>1144</v>
      </c>
      <c r="Z2385" s="10" t="s">
        <v>910</v>
      </c>
      <c r="AL2385" s="10" t="str">
        <f t="shared" si="271"/>
        <v>FALSE</v>
      </c>
      <c r="AM2385" s="10" t="str">
        <f t="shared" si="271"/>
        <v>FALSE</v>
      </c>
      <c r="AN2385" s="10" t="str">
        <f t="shared" si="271"/>
        <v>FALSE</v>
      </c>
      <c r="AO2385" s="10" t="str">
        <f t="shared" si="272"/>
        <v>FALSE</v>
      </c>
      <c r="AP2385" s="10" t="str">
        <f t="shared" si="272"/>
        <v>FALSE</v>
      </c>
      <c r="AQ2385" s="10" t="b">
        <f>IF(AND(I2385="TP",S2385&lt;=150),VLOOKUP(AF2385,TPCalibEq150!$AZ$2:$BB$55,3,),IF(AND(I2385="TDP",S2385&lt;=150),VLOOKUP(AF2385,TPCalibEq150!$AZ$2:$BB$55,3,)))</f>
        <v>0</v>
      </c>
      <c r="AR2385" s="10" t="b">
        <f>IF(AND(I2385="TP",S2385&lt;=300),VLOOKUP(AF2385,TPCalibEq300!$AZ$2:$BB$55,3,),IF(AND(I2385="TDP",S2385&lt;=300),VLOOKUP(AF2385,TPCalibEq300!$AZ$2:$BB$55,3,)))</f>
        <v>0</v>
      </c>
      <c r="AS2385" s="10" t="b">
        <f>IF(AND(I2385="TP",S2385&lt;=500),VLOOKUP(AF2385,TPCalibEq500!$AZ$2:$BB$56,3,),IF(AND(I2385="TDP",S2385&lt;=500),VLOOKUP(AF2385,TPCalibEq500!$AZ$2:$BB$56,3,)))</f>
        <v>0</v>
      </c>
      <c r="AT2385" s="10" t="b">
        <f>IF(AND(I2385="TN",S2385&lt;=2800),VLOOKUP(AF2385,TNCalibEq2500!$AZ$2:$BB$56,3,),IF(AND(I2385="TDN",S2385&lt;=2800),VLOOKUP(AF2385,TNCalibEq2500!$AZ$2:$BB$56,3,)))</f>
        <v>0</v>
      </c>
      <c r="AU2385" s="10" t="b">
        <f>IF(I2385="TP",VLOOKUP(AF2385,TPCalibEqFull!$AZ$2:$BB$56,3),IF(I2385="TDP",VLOOKUP(AF2385,TPCalibEqFull!$AZ$2:$BB$56,3),IF(I2385="TDN",VLOOKUP(AF2385,TNCalibEqFull!$AZ$1:$BB$56,3),IF(I2385="TN",VLOOKUP(AF2385,TNCalibEqFull!$AZ$1:$BB$56,3),FALSE))))</f>
        <v>0</v>
      </c>
      <c r="AV2385" s="10" t="str">
        <f t="shared" si="275"/>
        <v>0203 10:54:00-HST-0-C-1-SW-UKN</v>
      </c>
    </row>
    <row r="2386" spans="1:48" s="10" customFormat="1" x14ac:dyDescent="0.55000000000000004">
      <c r="A2386" s="32">
        <v>44963</v>
      </c>
      <c r="B2386" s="33">
        <v>0.31666666666666665</v>
      </c>
      <c r="C2386" s="10" t="s">
        <v>279</v>
      </c>
      <c r="D2386" s="10">
        <v>0</v>
      </c>
      <c r="E2386" s="10" t="s">
        <v>190</v>
      </c>
      <c r="F2386" s="10">
        <v>1</v>
      </c>
      <c r="G2386" s="10" t="s">
        <v>231</v>
      </c>
      <c r="H2386" s="10" t="s">
        <v>322</v>
      </c>
      <c r="I2386" s="10" t="s">
        <v>256</v>
      </c>
      <c r="J2386" s="10">
        <v>7</v>
      </c>
      <c r="K2386" s="12">
        <v>44966</v>
      </c>
      <c r="L2386" s="33">
        <v>0.47783564814814811</v>
      </c>
      <c r="M2386" s="10">
        <v>1</v>
      </c>
      <c r="N2386" s="10" t="s">
        <v>169</v>
      </c>
      <c r="O2386" s="10">
        <v>14.2</v>
      </c>
      <c r="P2386" s="10">
        <v>0.65200000000000002</v>
      </c>
      <c r="Q2386" s="10">
        <v>1750</v>
      </c>
      <c r="R2386" s="10" t="s">
        <v>77</v>
      </c>
      <c r="S2386" s="34">
        <f t="shared" si="270"/>
        <v>1750</v>
      </c>
      <c r="T2386" s="10" t="s">
        <v>1176</v>
      </c>
      <c r="U2386" s="34" t="str">
        <f t="shared" si="273"/>
        <v/>
      </c>
      <c r="V2386" s="31" t="str">
        <f>IF(H2386="CHK",VLOOKUP(I2386,QCCHK,3,),IF(H2386="GUP",VLOOKUP(E2386,QCGUP,2,),IF(AND(H2386="ATP",OR(I2386="TN",I2386="TDN",I2386="TNO2-3",I2386="NO2-3")),VLOOKUP(E2386,QCREC_N,2,),IF(AND(H2386="NIC",OR(I2386="TN",I2386="TDN",I2386="TNO2-3",I2386="NO2-3")),VLOOKUP(E2386,QCNIC_N,2,),IF(AND(H2386="UREA",OR(I2386="TN",I2386="TDN",I2386="TNO2-3",I2386="NO2-3")),VLOOKUP(E2386,QCUREA_N,2,),IF(H2386="PER",VLOOKUP(I2386,QCPER,MATCH(E2386,QCACTUAL!$J$25:$AA$25,0),),IF(H2386="SPK",VLOOKUP(I2386,QCSPK,3,),IF(AND(H2386="ATP",OR(I2386="TP",I2386="TDP")),VLOOKUP(E2386,QCATP_P,2,),""))))))))</f>
        <v/>
      </c>
      <c r="W2386" s="31" t="str">
        <f t="shared" si="274"/>
        <v>TRUE</v>
      </c>
      <c r="X2386" s="31" t="str">
        <f t="shared" si="269"/>
        <v/>
      </c>
      <c r="Y2386" s="10" t="s">
        <v>1144</v>
      </c>
      <c r="Z2386" s="10" t="s">
        <v>910</v>
      </c>
      <c r="AL2386" s="10" t="str">
        <f t="shared" si="271"/>
        <v>FALSE</v>
      </c>
      <c r="AM2386" s="10" t="str">
        <f t="shared" si="271"/>
        <v>FALSE</v>
      </c>
      <c r="AN2386" s="10" t="str">
        <f t="shared" si="271"/>
        <v>FALSE</v>
      </c>
      <c r="AO2386" s="10" t="str">
        <f t="shared" si="272"/>
        <v>FALSE</v>
      </c>
      <c r="AP2386" s="10" t="str">
        <f t="shared" si="272"/>
        <v>FALSE</v>
      </c>
      <c r="AQ2386" s="10" t="b">
        <f>IF(AND(I2386="TP",S2386&lt;=150),VLOOKUP(AF2386,TPCalibEq150!$AZ$2:$BB$55,3,),IF(AND(I2386="TDP",S2386&lt;=150),VLOOKUP(AF2386,TPCalibEq150!$AZ$2:$BB$55,3,)))</f>
        <v>0</v>
      </c>
      <c r="AR2386" s="10" t="b">
        <f>IF(AND(I2386="TP",S2386&lt;=300),VLOOKUP(AF2386,TPCalibEq300!$AZ$2:$BB$55,3,),IF(AND(I2386="TDP",S2386&lt;=300),VLOOKUP(AF2386,TPCalibEq300!$AZ$2:$BB$55,3,)))</f>
        <v>0</v>
      </c>
      <c r="AS2386" s="10" t="b">
        <f>IF(AND(I2386="TP",S2386&lt;=500),VLOOKUP(AF2386,TPCalibEq500!$AZ$2:$BB$56,3,),IF(AND(I2386="TDP",S2386&lt;=500),VLOOKUP(AF2386,TPCalibEq500!$AZ$2:$BB$56,3,)))</f>
        <v>0</v>
      </c>
      <c r="AT2386" s="10" t="b">
        <f>IF(AND(I2386="TN",S2386&lt;=2800),VLOOKUP(AF2386,TNCalibEq2500!$AZ$2:$BB$56,3,),IF(AND(I2386="TDN",S2386&lt;=2800),VLOOKUP(AF2386,TNCalibEq2500!$AZ$2:$BB$56,3,)))</f>
        <v>0</v>
      </c>
      <c r="AU2386" s="10" t="b">
        <f>IF(I2386="TP",VLOOKUP(AF2386,TPCalibEqFull!$AZ$2:$BB$56,3),IF(I2386="TDP",VLOOKUP(AF2386,TPCalibEqFull!$AZ$2:$BB$56,3),IF(I2386="TDN",VLOOKUP(AF2386,TNCalibEqFull!$AZ$1:$BB$56,3),IF(I2386="TN",VLOOKUP(AF2386,TNCalibEqFull!$AZ$1:$BB$56,3),FALSE))))</f>
        <v>0</v>
      </c>
      <c r="AV2386" s="10" t="str">
        <f t="shared" si="275"/>
        <v>0206 07:36:00-EFK-0-C-1-SW-UKN</v>
      </c>
    </row>
    <row r="2387" spans="1:48" s="10" customFormat="1" x14ac:dyDescent="0.55000000000000004">
      <c r="A2387" s="32">
        <v>44963</v>
      </c>
      <c r="B2387" s="33">
        <v>0.27986111111111112</v>
      </c>
      <c r="C2387" s="10" t="s">
        <v>333</v>
      </c>
      <c r="D2387" s="10">
        <v>0</v>
      </c>
      <c r="E2387" s="10" t="s">
        <v>190</v>
      </c>
      <c r="F2387" s="10">
        <v>1</v>
      </c>
      <c r="G2387" s="10" t="s">
        <v>231</v>
      </c>
      <c r="H2387" s="10" t="s">
        <v>322</v>
      </c>
      <c r="I2387" s="10" t="s">
        <v>256</v>
      </c>
      <c r="J2387" s="10">
        <v>8</v>
      </c>
      <c r="K2387" s="12">
        <v>44966</v>
      </c>
      <c r="L2387" s="33">
        <v>0.47864583333333338</v>
      </c>
      <c r="M2387" s="10">
        <v>1</v>
      </c>
      <c r="N2387" s="10" t="s">
        <v>169</v>
      </c>
      <c r="O2387" s="10">
        <v>12.4</v>
      </c>
      <c r="P2387" s="10">
        <v>0.57299999999999995</v>
      </c>
      <c r="Q2387" s="10">
        <v>1530</v>
      </c>
      <c r="R2387" s="10" t="s">
        <v>77</v>
      </c>
      <c r="S2387" s="34">
        <f t="shared" si="270"/>
        <v>1530</v>
      </c>
      <c r="T2387" s="10" t="s">
        <v>1176</v>
      </c>
      <c r="U2387" s="34" t="str">
        <f t="shared" si="273"/>
        <v/>
      </c>
      <c r="V2387" s="31" t="str">
        <f>IF(H2387="CHK",VLOOKUP(I2387,QCCHK,3,),IF(H2387="GUP",VLOOKUP(E2387,QCGUP,2,),IF(AND(H2387="ATP",OR(I2387="TN",I2387="TDN",I2387="TNO2-3",I2387="NO2-3")),VLOOKUP(E2387,QCREC_N,2,),IF(AND(H2387="NIC",OR(I2387="TN",I2387="TDN",I2387="TNO2-3",I2387="NO2-3")),VLOOKUP(E2387,QCNIC_N,2,),IF(AND(H2387="UREA",OR(I2387="TN",I2387="TDN",I2387="TNO2-3",I2387="NO2-3")),VLOOKUP(E2387,QCUREA_N,2,),IF(H2387="PER",VLOOKUP(I2387,QCPER,MATCH(E2387,QCACTUAL!$J$25:$AA$25,0),),IF(H2387="SPK",VLOOKUP(I2387,QCSPK,3,),IF(AND(H2387="ATP",OR(I2387="TP",I2387="TDP")),VLOOKUP(E2387,QCATP_P,2,),""))))))))</f>
        <v/>
      </c>
      <c r="W2387" s="31" t="str">
        <f t="shared" si="274"/>
        <v>TRUE</v>
      </c>
      <c r="X2387" s="31" t="str">
        <f t="shared" si="269"/>
        <v/>
      </c>
      <c r="Y2387" s="10" t="s">
        <v>1144</v>
      </c>
      <c r="Z2387" s="10" t="s">
        <v>910</v>
      </c>
      <c r="AL2387" s="10" t="str">
        <f t="shared" si="271"/>
        <v>FALSE</v>
      </c>
      <c r="AM2387" s="10" t="str">
        <f t="shared" si="271"/>
        <v>FALSE</v>
      </c>
      <c r="AN2387" s="10" t="str">
        <f t="shared" si="271"/>
        <v>FALSE</v>
      </c>
      <c r="AO2387" s="10" t="str">
        <f t="shared" si="272"/>
        <v>FALSE</v>
      </c>
      <c r="AP2387" s="10" t="str">
        <f t="shared" si="272"/>
        <v>FALSE</v>
      </c>
      <c r="AQ2387" s="10" t="b">
        <f>IF(AND(I2387="TP",S2387&lt;=150),VLOOKUP(AF2387,TPCalibEq150!$AZ$2:$BB$55,3,),IF(AND(I2387="TDP",S2387&lt;=150),VLOOKUP(AF2387,TPCalibEq150!$AZ$2:$BB$55,3,)))</f>
        <v>0</v>
      </c>
      <c r="AR2387" s="10" t="b">
        <f>IF(AND(I2387="TP",S2387&lt;=300),VLOOKUP(AF2387,TPCalibEq300!$AZ$2:$BB$55,3,),IF(AND(I2387="TDP",S2387&lt;=300),VLOOKUP(AF2387,TPCalibEq300!$AZ$2:$BB$55,3,)))</f>
        <v>0</v>
      </c>
      <c r="AS2387" s="10" t="b">
        <f>IF(AND(I2387="TP",S2387&lt;=500),VLOOKUP(AF2387,TPCalibEq500!$AZ$2:$BB$56,3,),IF(AND(I2387="TDP",S2387&lt;=500),VLOOKUP(AF2387,TPCalibEq500!$AZ$2:$BB$56,3,)))</f>
        <v>0</v>
      </c>
      <c r="AT2387" s="10" t="b">
        <f>IF(AND(I2387="TN",S2387&lt;=2800),VLOOKUP(AF2387,TNCalibEq2500!$AZ$2:$BB$56,3,),IF(AND(I2387="TDN",S2387&lt;=2800),VLOOKUP(AF2387,TNCalibEq2500!$AZ$2:$BB$56,3,)))</f>
        <v>0</v>
      </c>
      <c r="AU2387" s="10" t="b">
        <f>IF(I2387="TP",VLOOKUP(AF2387,TPCalibEqFull!$AZ$2:$BB$56,3),IF(I2387="TDP",VLOOKUP(AF2387,TPCalibEqFull!$AZ$2:$BB$56,3),IF(I2387="TDN",VLOOKUP(AF2387,TNCalibEqFull!$AZ$1:$BB$56,3),IF(I2387="TN",VLOOKUP(AF2387,TNCalibEqFull!$AZ$1:$BB$56,3),FALSE))))</f>
        <v>0</v>
      </c>
      <c r="AV2387" s="10" t="str">
        <f t="shared" si="275"/>
        <v>0206 06:43:00-HST-0-C-1-SW-UKN</v>
      </c>
    </row>
    <row r="2388" spans="1:48" s="10" customFormat="1" x14ac:dyDescent="0.55000000000000004">
      <c r="A2388" s="32">
        <v>44964</v>
      </c>
      <c r="B2388" s="33">
        <v>0.22291666666666665</v>
      </c>
      <c r="C2388" s="10" t="s">
        <v>279</v>
      </c>
      <c r="D2388" s="10">
        <v>0</v>
      </c>
      <c r="E2388" s="10" t="s">
        <v>190</v>
      </c>
      <c r="F2388" s="10">
        <v>1</v>
      </c>
      <c r="G2388" s="10" t="s">
        <v>231</v>
      </c>
      <c r="H2388" s="10" t="s">
        <v>322</v>
      </c>
      <c r="I2388" s="10" t="s">
        <v>256</v>
      </c>
      <c r="J2388" s="10">
        <v>9</v>
      </c>
      <c r="K2388" s="12">
        <v>44966</v>
      </c>
      <c r="L2388" s="33">
        <v>0.47945601851851855</v>
      </c>
      <c r="M2388" s="10">
        <v>1</v>
      </c>
      <c r="N2388" s="10" t="s">
        <v>169</v>
      </c>
      <c r="O2388" s="10">
        <v>11.4</v>
      </c>
      <c r="P2388" s="10">
        <v>0.52700000000000002</v>
      </c>
      <c r="Q2388" s="10">
        <v>1410</v>
      </c>
      <c r="R2388" s="10" t="s">
        <v>77</v>
      </c>
      <c r="S2388" s="34">
        <f t="shared" si="270"/>
        <v>1410</v>
      </c>
      <c r="T2388" s="10" t="s">
        <v>1176</v>
      </c>
      <c r="U2388" s="34" t="str">
        <f t="shared" si="273"/>
        <v/>
      </c>
      <c r="V2388" s="31" t="str">
        <f>IF(H2388="CHK",VLOOKUP(I2388,QCCHK,3,),IF(H2388="GUP",VLOOKUP(E2388,QCGUP,2,),IF(AND(H2388="ATP",OR(I2388="TN",I2388="TDN",I2388="TNO2-3",I2388="NO2-3")),VLOOKUP(E2388,QCREC_N,2,),IF(AND(H2388="NIC",OR(I2388="TN",I2388="TDN",I2388="TNO2-3",I2388="NO2-3")),VLOOKUP(E2388,QCNIC_N,2,),IF(AND(H2388="UREA",OR(I2388="TN",I2388="TDN",I2388="TNO2-3",I2388="NO2-3")),VLOOKUP(E2388,QCUREA_N,2,),IF(H2388="PER",VLOOKUP(I2388,QCPER,MATCH(E2388,QCACTUAL!$J$25:$AA$25,0),),IF(H2388="SPK",VLOOKUP(I2388,QCSPK,3,),IF(AND(H2388="ATP",OR(I2388="TP",I2388="TDP")),VLOOKUP(E2388,QCATP_P,2,),""))))))))</f>
        <v/>
      </c>
      <c r="W2388" s="31" t="str">
        <f t="shared" si="274"/>
        <v>TRUE</v>
      </c>
      <c r="X2388" s="31" t="str">
        <f t="shared" si="269"/>
        <v/>
      </c>
      <c r="Y2388" s="10" t="s">
        <v>1144</v>
      </c>
      <c r="Z2388" s="10" t="s">
        <v>910</v>
      </c>
      <c r="AL2388" s="10" t="str">
        <f t="shared" si="271"/>
        <v>FALSE</v>
      </c>
      <c r="AM2388" s="10" t="str">
        <f t="shared" si="271"/>
        <v>FALSE</v>
      </c>
      <c r="AN2388" s="10" t="str">
        <f t="shared" si="271"/>
        <v>FALSE</v>
      </c>
      <c r="AO2388" s="10" t="str">
        <f t="shared" si="272"/>
        <v>FALSE</v>
      </c>
      <c r="AP2388" s="10" t="str">
        <f t="shared" si="272"/>
        <v>FALSE</v>
      </c>
      <c r="AQ2388" s="10" t="b">
        <f>IF(AND(I2388="TP",S2388&lt;=150),VLOOKUP(AF2388,TPCalibEq150!$AZ$2:$BB$55,3,),IF(AND(I2388="TDP",S2388&lt;=150),VLOOKUP(AF2388,TPCalibEq150!$AZ$2:$BB$55,3,)))</f>
        <v>0</v>
      </c>
      <c r="AR2388" s="10" t="b">
        <f>IF(AND(I2388="TP",S2388&lt;=300),VLOOKUP(AF2388,TPCalibEq300!$AZ$2:$BB$55,3,),IF(AND(I2388="TDP",S2388&lt;=300),VLOOKUP(AF2388,TPCalibEq300!$AZ$2:$BB$55,3,)))</f>
        <v>0</v>
      </c>
      <c r="AS2388" s="10" t="b">
        <f>IF(AND(I2388="TP",S2388&lt;=500),VLOOKUP(AF2388,TPCalibEq500!$AZ$2:$BB$56,3,),IF(AND(I2388="TDP",S2388&lt;=500),VLOOKUP(AF2388,TPCalibEq500!$AZ$2:$BB$56,3,)))</f>
        <v>0</v>
      </c>
      <c r="AT2388" s="10" t="b">
        <f>IF(AND(I2388="TN",S2388&lt;=2800),VLOOKUP(AF2388,TNCalibEq2500!$AZ$2:$BB$56,3,),IF(AND(I2388="TDN",S2388&lt;=2800),VLOOKUP(AF2388,TNCalibEq2500!$AZ$2:$BB$56,3,)))</f>
        <v>0</v>
      </c>
      <c r="AU2388" s="10" t="b">
        <f>IF(I2388="TP",VLOOKUP(AF2388,TPCalibEqFull!$AZ$2:$BB$56,3),IF(I2388="TDP",VLOOKUP(AF2388,TPCalibEqFull!$AZ$2:$BB$56,3),IF(I2388="TDN",VLOOKUP(AF2388,TNCalibEqFull!$AZ$1:$BB$56,3),IF(I2388="TN",VLOOKUP(AF2388,TNCalibEqFull!$AZ$1:$BB$56,3),FALSE))))</f>
        <v>0</v>
      </c>
      <c r="AV2388" s="10" t="str">
        <f t="shared" si="275"/>
        <v>0207 05:21:00-EFK-0-C-1-SW-UKN</v>
      </c>
    </row>
    <row r="2389" spans="1:48" s="10" customFormat="1" x14ac:dyDescent="0.55000000000000004">
      <c r="A2389" s="32">
        <v>44964</v>
      </c>
      <c r="B2389" s="33">
        <v>0.22777777777777777</v>
      </c>
      <c r="C2389" s="10" t="s">
        <v>333</v>
      </c>
      <c r="D2389" s="10">
        <v>0</v>
      </c>
      <c r="E2389" s="10" t="s">
        <v>190</v>
      </c>
      <c r="F2389" s="10">
        <v>1</v>
      </c>
      <c r="G2389" s="10" t="s">
        <v>231</v>
      </c>
      <c r="H2389" s="10" t="s">
        <v>322</v>
      </c>
      <c r="I2389" s="10" t="s">
        <v>256</v>
      </c>
      <c r="J2389" s="10">
        <v>10</v>
      </c>
      <c r="K2389" s="12">
        <v>44966</v>
      </c>
      <c r="L2389" s="33">
        <v>0.4802777777777778</v>
      </c>
      <c r="M2389" s="10">
        <v>1</v>
      </c>
      <c r="N2389" s="10" t="s">
        <v>169</v>
      </c>
      <c r="O2389" s="10">
        <v>11.4</v>
      </c>
      <c r="P2389" s="10">
        <v>0.52400000000000002</v>
      </c>
      <c r="Q2389" s="10">
        <v>1400</v>
      </c>
      <c r="R2389" s="10" t="s">
        <v>77</v>
      </c>
      <c r="S2389" s="34">
        <f t="shared" si="270"/>
        <v>1400</v>
      </c>
      <c r="T2389" s="10" t="s">
        <v>1176</v>
      </c>
      <c r="U2389" s="34" t="str">
        <f t="shared" si="273"/>
        <v/>
      </c>
      <c r="V2389" s="31" t="str">
        <f>IF(H2389="CHK",VLOOKUP(I2389,QCCHK,3,),IF(H2389="GUP",VLOOKUP(E2389,QCGUP,2,),IF(AND(H2389="ATP",OR(I2389="TN",I2389="TDN",I2389="TNO2-3",I2389="NO2-3")),VLOOKUP(E2389,QCREC_N,2,),IF(AND(H2389="NIC",OR(I2389="TN",I2389="TDN",I2389="TNO2-3",I2389="NO2-3")),VLOOKUP(E2389,QCNIC_N,2,),IF(AND(H2389="UREA",OR(I2389="TN",I2389="TDN",I2389="TNO2-3",I2389="NO2-3")),VLOOKUP(E2389,QCUREA_N,2,),IF(H2389="PER",VLOOKUP(I2389,QCPER,MATCH(E2389,QCACTUAL!$J$25:$AA$25,0),),IF(H2389="SPK",VLOOKUP(I2389,QCSPK,3,),IF(AND(H2389="ATP",OR(I2389="TP",I2389="TDP")),VLOOKUP(E2389,QCATP_P,2,),""))))))))</f>
        <v/>
      </c>
      <c r="W2389" s="31" t="str">
        <f t="shared" si="274"/>
        <v>TRUE</v>
      </c>
      <c r="X2389" s="31" t="str">
        <f t="shared" si="269"/>
        <v/>
      </c>
      <c r="Y2389" s="10" t="s">
        <v>1144</v>
      </c>
      <c r="Z2389" s="10" t="s">
        <v>910</v>
      </c>
      <c r="AL2389" s="10" t="str">
        <f t="shared" si="271"/>
        <v>FALSE</v>
      </c>
      <c r="AM2389" s="10" t="str">
        <f t="shared" si="271"/>
        <v>FALSE</v>
      </c>
      <c r="AN2389" s="10" t="str">
        <f t="shared" si="271"/>
        <v>FALSE</v>
      </c>
      <c r="AO2389" s="10" t="str">
        <f t="shared" si="272"/>
        <v>FALSE</v>
      </c>
      <c r="AP2389" s="10" t="str">
        <f t="shared" si="272"/>
        <v>FALSE</v>
      </c>
      <c r="AQ2389" s="10" t="b">
        <f>IF(AND(I2389="TP",S2389&lt;=150),VLOOKUP(AF2389,TPCalibEq150!$AZ$2:$BB$55,3,),IF(AND(I2389="TDP",S2389&lt;=150),VLOOKUP(AF2389,TPCalibEq150!$AZ$2:$BB$55,3,)))</f>
        <v>0</v>
      </c>
      <c r="AR2389" s="10" t="b">
        <f>IF(AND(I2389="TP",S2389&lt;=300),VLOOKUP(AF2389,TPCalibEq300!$AZ$2:$BB$55,3,),IF(AND(I2389="TDP",S2389&lt;=300),VLOOKUP(AF2389,TPCalibEq300!$AZ$2:$BB$55,3,)))</f>
        <v>0</v>
      </c>
      <c r="AS2389" s="10" t="b">
        <f>IF(AND(I2389="TP",S2389&lt;=500),VLOOKUP(AF2389,TPCalibEq500!$AZ$2:$BB$56,3,),IF(AND(I2389="TDP",S2389&lt;=500),VLOOKUP(AF2389,TPCalibEq500!$AZ$2:$BB$56,3,)))</f>
        <v>0</v>
      </c>
      <c r="AT2389" s="10" t="b">
        <f>IF(AND(I2389="TN",S2389&lt;=2800),VLOOKUP(AF2389,TNCalibEq2500!$AZ$2:$BB$56,3,),IF(AND(I2389="TDN",S2389&lt;=2800),VLOOKUP(AF2389,TNCalibEq2500!$AZ$2:$BB$56,3,)))</f>
        <v>0</v>
      </c>
      <c r="AU2389" s="10" t="b">
        <f>IF(I2389="TP",VLOOKUP(AF2389,TPCalibEqFull!$AZ$2:$BB$56,3),IF(I2389="TDP",VLOOKUP(AF2389,TPCalibEqFull!$AZ$2:$BB$56,3),IF(I2389="TDN",VLOOKUP(AF2389,TNCalibEqFull!$AZ$1:$BB$56,3),IF(I2389="TN",VLOOKUP(AF2389,TNCalibEqFull!$AZ$1:$BB$56,3),FALSE))))</f>
        <v>0</v>
      </c>
      <c r="AV2389" s="10" t="str">
        <f t="shared" si="275"/>
        <v>0207 05:28:00-HST-0-C-1-SW-UKN</v>
      </c>
    </row>
    <row r="2390" spans="1:48" s="10" customFormat="1" x14ac:dyDescent="0.55000000000000004">
      <c r="A2390" s="32">
        <v>44964</v>
      </c>
      <c r="B2390" s="33">
        <v>0.22777777777777777</v>
      </c>
      <c r="C2390" s="10" t="s">
        <v>333</v>
      </c>
      <c r="D2390" s="10">
        <v>0</v>
      </c>
      <c r="E2390" s="10" t="s">
        <v>190</v>
      </c>
      <c r="F2390" s="10">
        <v>1</v>
      </c>
      <c r="G2390" s="10" t="s">
        <v>231</v>
      </c>
      <c r="H2390" s="10" t="s">
        <v>233</v>
      </c>
      <c r="I2390" s="10" t="s">
        <v>256</v>
      </c>
      <c r="J2390" s="10">
        <v>10</v>
      </c>
      <c r="K2390" s="12">
        <v>44966</v>
      </c>
      <c r="L2390" s="33">
        <v>0.48108796296296297</v>
      </c>
      <c r="M2390" s="10">
        <v>1</v>
      </c>
      <c r="N2390" s="10" t="s">
        <v>169</v>
      </c>
      <c r="O2390" s="10">
        <v>3.29</v>
      </c>
      <c r="P2390" s="10">
        <v>0.152</v>
      </c>
      <c r="Q2390" s="10">
        <v>406</v>
      </c>
      <c r="R2390" s="10" t="s">
        <v>77</v>
      </c>
      <c r="S2390" s="34">
        <f t="shared" si="270"/>
        <v>406</v>
      </c>
      <c r="T2390" s="10" t="s">
        <v>1176</v>
      </c>
      <c r="U2390" s="34">
        <f t="shared" si="273"/>
        <v>110.07751937984496</v>
      </c>
      <c r="V2390" s="31" t="str">
        <f>IF(H2390="CHK",VLOOKUP(I2390,QCCHK,3,),IF(H2390="GUP",VLOOKUP(E2390,QCGUP,2,),IF(AND(H2390="ATP",OR(I2390="TN",I2390="TDN",I2390="TNO2-3",I2390="NO2-3")),VLOOKUP(E2390,QCREC_N,2,),IF(AND(H2390="NIC",OR(I2390="TN",I2390="TDN",I2390="TNO2-3",I2390="NO2-3")),VLOOKUP(E2390,QCNIC_N,2,),IF(AND(H2390="UREA",OR(I2390="TN",I2390="TDN",I2390="TNO2-3",I2390="NO2-3")),VLOOKUP(E2390,QCUREA_N,2,),IF(H2390="PER",VLOOKUP(I2390,QCPER,MATCH(E2390,QCACTUAL!$J$25:$AA$25,0),),IF(H2390="SPK",VLOOKUP(I2390,QCSPK,3,),IF(AND(H2390="ATP",OR(I2390="TP",I2390="TDP")),VLOOKUP(E2390,QCATP_P,2,),""))))))))</f>
        <v/>
      </c>
      <c r="W2390" s="31" t="str">
        <f t="shared" si="274"/>
        <v>FALSE</v>
      </c>
      <c r="X2390" s="31" t="str">
        <f t="shared" si="269"/>
        <v>((ABS(rep1-rep2))/((rep1+rep2)/2)*100</v>
      </c>
      <c r="Y2390" s="10" t="s">
        <v>1144</v>
      </c>
      <c r="Z2390" s="10" t="s">
        <v>910</v>
      </c>
      <c r="AL2390" s="10" t="str">
        <f t="shared" si="271"/>
        <v>FALSE</v>
      </c>
      <c r="AM2390" s="10" t="str">
        <f t="shared" si="271"/>
        <v>FALSE</v>
      </c>
      <c r="AN2390" s="10" t="str">
        <f t="shared" si="271"/>
        <v>FALSE</v>
      </c>
      <c r="AO2390" s="10" t="str">
        <f t="shared" si="272"/>
        <v>FALSE</v>
      </c>
      <c r="AP2390" s="10" t="str">
        <f t="shared" si="272"/>
        <v>FALSE</v>
      </c>
      <c r="AQ2390" s="10" t="b">
        <f>IF(AND(I2390="TP",S2390&lt;=150),VLOOKUP(AF2390,TPCalibEq150!$AZ$2:$BB$55,3,),IF(AND(I2390="TDP",S2390&lt;=150),VLOOKUP(AF2390,TPCalibEq150!$AZ$2:$BB$55,3,)))</f>
        <v>0</v>
      </c>
      <c r="AR2390" s="10" t="b">
        <f>IF(AND(I2390="TP",S2390&lt;=300),VLOOKUP(AF2390,TPCalibEq300!$AZ$2:$BB$55,3,),IF(AND(I2390="TDP",S2390&lt;=300),VLOOKUP(AF2390,TPCalibEq300!$AZ$2:$BB$55,3,)))</f>
        <v>0</v>
      </c>
      <c r="AS2390" s="10" t="b">
        <f>IF(AND(I2390="TP",S2390&lt;=500),VLOOKUP(AF2390,TPCalibEq500!$AZ$2:$BB$56,3,),IF(AND(I2390="TDP",S2390&lt;=500),VLOOKUP(AF2390,TPCalibEq500!$AZ$2:$BB$56,3,)))</f>
        <v>0</v>
      </c>
      <c r="AT2390" s="10" t="b">
        <f>IF(AND(I2390="TN",S2390&lt;=2800),VLOOKUP(AF2390,TNCalibEq2500!$AZ$2:$BB$56,3,),IF(AND(I2390="TDN",S2390&lt;=2800),VLOOKUP(AF2390,TNCalibEq2500!$AZ$2:$BB$56,3,)))</f>
        <v>0</v>
      </c>
      <c r="AU2390" s="10" t="b">
        <f>IF(I2390="TP",VLOOKUP(AF2390,TPCalibEqFull!$AZ$2:$BB$56,3),IF(I2390="TDP",VLOOKUP(AF2390,TPCalibEqFull!$AZ$2:$BB$56,3),IF(I2390="TDN",VLOOKUP(AF2390,TNCalibEqFull!$AZ$1:$BB$56,3),IF(I2390="TN",VLOOKUP(AF2390,TNCalibEqFull!$AZ$1:$BB$56,3),FALSE))))</f>
        <v>0</v>
      </c>
      <c r="AV2390" s="10" t="str">
        <f t="shared" si="275"/>
        <v>0207 05:28:00-HST-0-C-1-SW-DUP</v>
      </c>
    </row>
    <row r="2391" spans="1:48" s="10" customFormat="1" x14ac:dyDescent="0.55000000000000004">
      <c r="A2391" s="32">
        <v>44964</v>
      </c>
      <c r="B2391" s="33">
        <v>0.22777777777777777</v>
      </c>
      <c r="C2391" s="10" t="s">
        <v>912</v>
      </c>
      <c r="D2391" s="10">
        <v>0</v>
      </c>
      <c r="E2391" s="10" t="s">
        <v>190</v>
      </c>
      <c r="F2391" s="10">
        <v>1</v>
      </c>
      <c r="G2391" s="10" t="s">
        <v>231</v>
      </c>
      <c r="H2391" s="10" t="s">
        <v>314</v>
      </c>
      <c r="I2391" s="10" t="s">
        <v>256</v>
      </c>
      <c r="J2391" s="10">
        <v>119</v>
      </c>
      <c r="K2391" s="12">
        <v>44966</v>
      </c>
      <c r="L2391" s="33">
        <v>0.48189814814814813</v>
      </c>
      <c r="M2391" s="10">
        <v>1</v>
      </c>
      <c r="N2391" s="10" t="s">
        <v>169</v>
      </c>
      <c r="O2391" s="10">
        <v>10.8</v>
      </c>
      <c r="P2391" s="10">
        <v>0.501</v>
      </c>
      <c r="Q2391" s="10">
        <v>1340</v>
      </c>
      <c r="R2391" s="10" t="s">
        <v>77</v>
      </c>
      <c r="S2391" s="34">
        <f t="shared" si="270"/>
        <v>1340</v>
      </c>
      <c r="T2391" s="10" t="s">
        <v>1176</v>
      </c>
      <c r="U2391" s="34">
        <f t="shared" si="273"/>
        <v>149.44</v>
      </c>
      <c r="V2391" s="31">
        <f>IF(H2391="CHK",VLOOKUP(I2391,QCCHK,3,),IF(H2391="GUP",VLOOKUP(E2391,QCGUP,2,),IF(AND(H2391="ATP",OR(I2391="TN",I2391="TDN",I2391="TNO2-3",I2391="NO2-3")),VLOOKUP(E2391,QCREC_N,2,),IF(AND(H2391="NIC",OR(I2391="TN",I2391="TDN",I2391="TNO2-3",I2391="NO2-3")),VLOOKUP(E2391,QCNIC_N,2,),IF(AND(H2391="UREA",OR(I2391="TN",I2391="TDN",I2391="TNO2-3",I2391="NO2-3")),VLOOKUP(E2391,QCUREA_N,2,),IF(H2391="PER",VLOOKUP(I2391,QCPER,MATCH(E2391,QCACTUAL!$J$25:$AA$25,0),),IF(H2391="SPK",VLOOKUP(I2391,QCSPK,3,),IF(AND(H2391="ATP",OR(I2391="TP",I2391="TDP")),VLOOKUP(E2391,QCATP_P,2,),""))))))))</f>
        <v>625</v>
      </c>
      <c r="W2391" s="31" t="str">
        <f t="shared" si="274"/>
        <v>FALSE</v>
      </c>
      <c r="X2391" s="31" t="str">
        <f t="shared" si="269"/>
        <v>([spikedunkn]-[unkn])/[spike]*100</v>
      </c>
      <c r="Y2391" s="10" t="s">
        <v>1144</v>
      </c>
      <c r="Z2391" s="10" t="s">
        <v>910</v>
      </c>
      <c r="AL2391" s="10" t="str">
        <f t="shared" si="271"/>
        <v>FALSE</v>
      </c>
      <c r="AM2391" s="10" t="str">
        <f t="shared" si="271"/>
        <v>FALSE</v>
      </c>
      <c r="AN2391" s="10" t="str">
        <f t="shared" si="271"/>
        <v>FALSE</v>
      </c>
      <c r="AO2391" s="10" t="str">
        <f t="shared" si="272"/>
        <v>FALSE</v>
      </c>
      <c r="AP2391" s="10" t="str">
        <f t="shared" si="272"/>
        <v>FALSE</v>
      </c>
      <c r="AQ2391" s="10" t="b">
        <f>IF(AND(I2391="TP",S2391&lt;=150),VLOOKUP(AF2391,TPCalibEq150!$AZ$2:$BB$55,3,),IF(AND(I2391="TDP",S2391&lt;=150),VLOOKUP(AF2391,TPCalibEq150!$AZ$2:$BB$55,3,)))</f>
        <v>0</v>
      </c>
      <c r="AR2391" s="10" t="b">
        <f>IF(AND(I2391="TP",S2391&lt;=300),VLOOKUP(AF2391,TPCalibEq300!$AZ$2:$BB$55,3,),IF(AND(I2391="TDP",S2391&lt;=300),VLOOKUP(AF2391,TPCalibEq300!$AZ$2:$BB$55,3,)))</f>
        <v>0</v>
      </c>
      <c r="AS2391" s="10" t="b">
        <f>IF(AND(I2391="TP",S2391&lt;=500),VLOOKUP(AF2391,TPCalibEq500!$AZ$2:$BB$56,3,),IF(AND(I2391="TDP",S2391&lt;=500),VLOOKUP(AF2391,TPCalibEq500!$AZ$2:$BB$56,3,)))</f>
        <v>0</v>
      </c>
      <c r="AT2391" s="10" t="b">
        <f>IF(AND(I2391="TN",S2391&lt;=2800),VLOOKUP(AF2391,TNCalibEq2500!$AZ$2:$BB$56,3,),IF(AND(I2391="TDN",S2391&lt;=2800),VLOOKUP(AF2391,TNCalibEq2500!$AZ$2:$BB$56,3,)))</f>
        <v>0</v>
      </c>
      <c r="AU2391" s="10" t="b">
        <f>IF(I2391="TP",VLOOKUP(AF2391,TPCalibEqFull!$AZ$2:$BB$56,3),IF(I2391="TDP",VLOOKUP(AF2391,TPCalibEqFull!$AZ$2:$BB$56,3),IF(I2391="TDN",VLOOKUP(AF2391,TNCalibEqFull!$AZ$1:$BB$56,3),IF(I2391="TN",VLOOKUP(AF2391,TNCalibEqFull!$AZ$1:$BB$56,3),FALSE))))</f>
        <v>0</v>
      </c>
      <c r="AV2391" s="10" t="str">
        <f t="shared" si="275"/>
        <v>0207 05:28:00-HST -0-C-1-SW-SPK</v>
      </c>
    </row>
    <row r="2392" spans="1:48" s="10" customFormat="1" x14ac:dyDescent="0.55000000000000004">
      <c r="A2392" s="32">
        <v>44966</v>
      </c>
      <c r="B2392" s="33">
        <v>0.375</v>
      </c>
      <c r="C2392" s="10" t="s">
        <v>70</v>
      </c>
      <c r="D2392" s="10" t="s">
        <v>71</v>
      </c>
      <c r="E2392" s="10" t="s">
        <v>901</v>
      </c>
      <c r="F2392" s="10">
        <v>1</v>
      </c>
      <c r="G2392" s="10" t="s">
        <v>73</v>
      </c>
      <c r="H2392" s="10" t="s">
        <v>207</v>
      </c>
      <c r="I2392" s="10" t="s">
        <v>256</v>
      </c>
      <c r="J2392" s="10">
        <v>199</v>
      </c>
      <c r="K2392" s="12">
        <v>44966</v>
      </c>
      <c r="L2392" s="33">
        <v>0.48271990740740739</v>
      </c>
      <c r="M2392" s="10">
        <v>1</v>
      </c>
      <c r="N2392" s="10" t="s">
        <v>169</v>
      </c>
      <c r="O2392" s="10">
        <v>2.21</v>
      </c>
      <c r="P2392" s="10">
        <v>0.105</v>
      </c>
      <c r="Q2392" s="10">
        <v>273</v>
      </c>
      <c r="R2392" s="10" t="s">
        <v>77</v>
      </c>
      <c r="S2392" s="34">
        <f t="shared" si="270"/>
        <v>273</v>
      </c>
      <c r="T2392" s="10" t="s">
        <v>1176</v>
      </c>
      <c r="U2392" s="34">
        <f t="shared" si="273"/>
        <v>91</v>
      </c>
      <c r="V2392" s="31">
        <f>IF(H2392="CHK",VLOOKUP(I2392,QCCHK,3,),IF(H2392="GUP",VLOOKUP(E2392,QCGUP,2,),IF(AND(H2392="ATP",OR(I2392="TN",I2392="TDN",I2392="TNO2-3",I2392="NO2-3")),VLOOKUP(E2392,QCREC_N,2,),IF(AND(H2392="NIC",OR(I2392="TN",I2392="TDN",I2392="TNO2-3",I2392="NO2-3")),VLOOKUP(E2392,QCNIC_N,2,),IF(AND(H2392="UREA",OR(I2392="TN",I2392="TDN",I2392="TNO2-3",I2392="NO2-3")),VLOOKUP(E2392,QCUREA_N,2,),IF(H2392="PER",VLOOKUP(I2392,QCPER,MATCH(E2392,QCACTUAL!$J$25:$AA$25,0),),IF(H2392="SPK",VLOOKUP(I2392,QCSPK,3,),IF(AND(H2392="ATP",OR(I2392="TP",I2392="TDP")),VLOOKUP(E2392,QCATP_P,2,),""))))))))</f>
        <v>300</v>
      </c>
      <c r="W2392" s="31" t="str">
        <f t="shared" si="274"/>
        <v>TRUE</v>
      </c>
      <c r="X2392" s="31" t="str">
        <f t="shared" si="269"/>
        <v>[chk]/[actual]*100</v>
      </c>
      <c r="Y2392" s="10" t="s">
        <v>1144</v>
      </c>
      <c r="AL2392" s="10" t="str">
        <f t="shared" si="271"/>
        <v>FALSE</v>
      </c>
      <c r="AM2392" s="10" t="str">
        <f t="shared" si="271"/>
        <v>FALSE</v>
      </c>
      <c r="AN2392" s="10" t="str">
        <f t="shared" si="271"/>
        <v>FALSE</v>
      </c>
      <c r="AO2392" s="10" t="str">
        <f t="shared" si="272"/>
        <v>FALSE</v>
      </c>
      <c r="AP2392" s="10" t="str">
        <f t="shared" si="272"/>
        <v>FALSE</v>
      </c>
      <c r="AQ2392" s="10" t="b">
        <f>IF(AND(I2392="TP",S2392&lt;=150),VLOOKUP(AF2392,TPCalibEq150!$AZ$2:$BB$55,3,),IF(AND(I2392="TDP",S2392&lt;=150),VLOOKUP(AF2392,TPCalibEq150!$AZ$2:$BB$55,3,)))</f>
        <v>0</v>
      </c>
      <c r="AR2392" s="10" t="b">
        <f>IF(AND(I2392="TP",S2392&lt;=300),VLOOKUP(AF2392,TPCalibEq300!$AZ$2:$BB$55,3,),IF(AND(I2392="TDP",S2392&lt;=300),VLOOKUP(AF2392,TPCalibEq300!$AZ$2:$BB$55,3,)))</f>
        <v>0</v>
      </c>
      <c r="AS2392" s="10" t="b">
        <f>IF(AND(I2392="TP",S2392&lt;=500),VLOOKUP(AF2392,TPCalibEq500!$AZ$2:$BB$56,3,),IF(AND(I2392="TDP",S2392&lt;=500),VLOOKUP(AF2392,TPCalibEq500!$AZ$2:$BB$56,3,)))</f>
        <v>0</v>
      </c>
      <c r="AT2392" s="10" t="b">
        <f>IF(AND(I2392="TN",S2392&lt;=2800),VLOOKUP(AF2392,TNCalibEq2500!$AZ$2:$BB$56,3,),IF(AND(I2392="TDN",S2392&lt;=2800),VLOOKUP(AF2392,TNCalibEq2500!$AZ$2:$BB$56,3,)))</f>
        <v>0</v>
      </c>
      <c r="AU2392" s="10" t="b">
        <f>IF(I2392="TP",VLOOKUP(AF2392,TPCalibEqFull!$AZ$2:$BB$56,3),IF(I2392="TDP",VLOOKUP(AF2392,TPCalibEqFull!$AZ$2:$BB$56,3),IF(I2392="TDN",VLOOKUP(AF2392,TNCalibEqFull!$AZ$1:$BB$56,3),IF(I2392="TN",VLOOKUP(AF2392,TNCalibEqFull!$AZ$1:$BB$56,3),FALSE))))</f>
        <v>0</v>
      </c>
      <c r="AV2392" s="10" t="str">
        <f t="shared" si="275"/>
        <v>0209 09:00:00-QAC-STD-D-1-DI-CHK</v>
      </c>
    </row>
    <row r="2393" spans="1:48" s="10" customFormat="1" x14ac:dyDescent="0.55000000000000004">
      <c r="A2393" s="32">
        <v>44963</v>
      </c>
      <c r="B2393" s="33">
        <v>0.33749999999999997</v>
      </c>
      <c r="C2393" s="10" t="s">
        <v>998</v>
      </c>
      <c r="D2393" s="10">
        <v>0</v>
      </c>
      <c r="E2393" s="10" t="s">
        <v>190</v>
      </c>
      <c r="F2393" s="10">
        <v>1</v>
      </c>
      <c r="G2393" s="10" t="s">
        <v>231</v>
      </c>
      <c r="H2393" s="10" t="s">
        <v>322</v>
      </c>
      <c r="I2393" s="10" t="s">
        <v>256</v>
      </c>
      <c r="J2393" s="10">
        <v>11</v>
      </c>
      <c r="K2393" s="12">
        <v>44966</v>
      </c>
      <c r="L2393" s="33">
        <v>0.48353009259259255</v>
      </c>
      <c r="M2393" s="10">
        <v>1</v>
      </c>
      <c r="N2393" s="10" t="s">
        <v>169</v>
      </c>
      <c r="O2393" s="10">
        <v>19.600000000000001</v>
      </c>
      <c r="P2393" s="10">
        <v>0.90200000000000002</v>
      </c>
      <c r="Q2393" s="10">
        <v>2420</v>
      </c>
      <c r="R2393" s="10" t="s">
        <v>77</v>
      </c>
      <c r="S2393" s="34">
        <f t="shared" si="270"/>
        <v>2420</v>
      </c>
      <c r="T2393" s="10" t="s">
        <v>1176</v>
      </c>
      <c r="U2393" s="34" t="str">
        <f t="shared" si="273"/>
        <v/>
      </c>
      <c r="V2393" s="31" t="str">
        <f>IF(H2393="CHK",VLOOKUP(I2393,QCCHK,3,),IF(H2393="GUP",VLOOKUP(E2393,QCGUP,2,),IF(AND(H2393="ATP",OR(I2393="TN",I2393="TDN",I2393="TNO2-3",I2393="NO2-3")),VLOOKUP(E2393,QCREC_N,2,),IF(AND(H2393="NIC",OR(I2393="TN",I2393="TDN",I2393="TNO2-3",I2393="NO2-3")),VLOOKUP(E2393,QCNIC_N,2,),IF(AND(H2393="UREA",OR(I2393="TN",I2393="TDN",I2393="TNO2-3",I2393="NO2-3")),VLOOKUP(E2393,QCUREA_N,2,),IF(H2393="PER",VLOOKUP(I2393,QCPER,MATCH(E2393,QCACTUAL!$J$25:$AA$25,0),),IF(H2393="SPK",VLOOKUP(I2393,QCSPK,3,),IF(AND(H2393="ATP",OR(I2393="TP",I2393="TDP")),VLOOKUP(E2393,QCATP_P,2,),""))))))))</f>
        <v/>
      </c>
      <c r="W2393" s="31" t="str">
        <f t="shared" si="274"/>
        <v>TRUE</v>
      </c>
      <c r="X2393" s="31" t="str">
        <f t="shared" si="269"/>
        <v/>
      </c>
      <c r="Y2393" s="10" t="s">
        <v>1144</v>
      </c>
      <c r="Z2393" s="10" t="s">
        <v>1177</v>
      </c>
      <c r="AL2393" s="10" t="str">
        <f t="shared" si="271"/>
        <v>FALSE</v>
      </c>
      <c r="AM2393" s="10" t="str">
        <f t="shared" si="271"/>
        <v>FALSE</v>
      </c>
      <c r="AN2393" s="10" t="str">
        <f t="shared" si="271"/>
        <v>FALSE</v>
      </c>
      <c r="AO2393" s="10" t="str">
        <f t="shared" si="272"/>
        <v>FALSE</v>
      </c>
      <c r="AP2393" s="10" t="str">
        <f t="shared" si="272"/>
        <v>FALSE</v>
      </c>
      <c r="AQ2393" s="10" t="b">
        <f>IF(AND(I2393="TP",S2393&lt;=150),VLOOKUP(AF2393,TPCalibEq150!$AZ$2:$BB$55,3,),IF(AND(I2393="TDP",S2393&lt;=150),VLOOKUP(AF2393,TPCalibEq150!$AZ$2:$BB$55,3,)))</f>
        <v>0</v>
      </c>
      <c r="AR2393" s="10" t="b">
        <f>IF(AND(I2393="TP",S2393&lt;=300),VLOOKUP(AF2393,TPCalibEq300!$AZ$2:$BB$55,3,),IF(AND(I2393="TDP",S2393&lt;=300),VLOOKUP(AF2393,TPCalibEq300!$AZ$2:$BB$55,3,)))</f>
        <v>0</v>
      </c>
      <c r="AS2393" s="10" t="b">
        <f>IF(AND(I2393="TP",S2393&lt;=500),VLOOKUP(AF2393,TPCalibEq500!$AZ$2:$BB$56,3,),IF(AND(I2393="TDP",S2393&lt;=500),VLOOKUP(AF2393,TPCalibEq500!$AZ$2:$BB$56,3,)))</f>
        <v>0</v>
      </c>
      <c r="AT2393" s="10" t="b">
        <f>IF(AND(I2393="TN",S2393&lt;=2800),VLOOKUP(AF2393,TNCalibEq2500!$AZ$2:$BB$56,3,),IF(AND(I2393="TDN",S2393&lt;=2800),VLOOKUP(AF2393,TNCalibEq2500!$AZ$2:$BB$56,3,)))</f>
        <v>0</v>
      </c>
      <c r="AU2393" s="10" t="b">
        <f>IF(I2393="TP",VLOOKUP(AF2393,TPCalibEqFull!$AZ$2:$BB$56,3),IF(I2393="TDP",VLOOKUP(AF2393,TPCalibEqFull!$AZ$2:$BB$56,3),IF(I2393="TDN",VLOOKUP(AF2393,TNCalibEqFull!$AZ$1:$BB$56,3),IF(I2393="TN",VLOOKUP(AF2393,TNCalibEqFull!$AZ$1:$BB$56,3),FALSE))))</f>
        <v>0</v>
      </c>
      <c r="AV2393" s="10" t="str">
        <f t="shared" si="275"/>
        <v>0206 08:06:00-ELW-0-C-1-SW-UKN</v>
      </c>
    </row>
    <row r="2394" spans="1:48" s="10" customFormat="1" x14ac:dyDescent="0.55000000000000004">
      <c r="A2394" s="32">
        <v>44963</v>
      </c>
      <c r="B2394" s="33">
        <v>0.34930555555555554</v>
      </c>
      <c r="C2394" s="10" t="s">
        <v>260</v>
      </c>
      <c r="D2394" s="10">
        <v>0</v>
      </c>
      <c r="E2394" s="10" t="s">
        <v>190</v>
      </c>
      <c r="F2394" s="10">
        <v>1</v>
      </c>
      <c r="G2394" s="10" t="s">
        <v>231</v>
      </c>
      <c r="H2394" s="10" t="s">
        <v>322</v>
      </c>
      <c r="I2394" s="10" t="s">
        <v>256</v>
      </c>
      <c r="J2394" s="10">
        <v>12</v>
      </c>
      <c r="K2394" s="12">
        <v>44966</v>
      </c>
      <c r="L2394" s="33">
        <v>0.48434027777777783</v>
      </c>
      <c r="M2394" s="10">
        <v>1</v>
      </c>
      <c r="N2394" s="10" t="s">
        <v>169</v>
      </c>
      <c r="O2394" s="10">
        <v>19.5</v>
      </c>
      <c r="P2394" s="10">
        <v>0.89900000000000002</v>
      </c>
      <c r="Q2394" s="10">
        <v>2410</v>
      </c>
      <c r="R2394" s="10" t="s">
        <v>77</v>
      </c>
      <c r="S2394" s="34">
        <f t="shared" si="270"/>
        <v>2410</v>
      </c>
      <c r="T2394" s="10" t="s">
        <v>1176</v>
      </c>
      <c r="U2394" s="34" t="str">
        <f t="shared" si="273"/>
        <v/>
      </c>
      <c r="V2394" s="31" t="str">
        <f>IF(H2394="CHK",VLOOKUP(I2394,QCCHK,3,),IF(H2394="GUP",VLOOKUP(E2394,QCGUP,2,),IF(AND(H2394="ATP",OR(I2394="TN",I2394="TDN",I2394="TNO2-3",I2394="NO2-3")),VLOOKUP(E2394,QCREC_N,2,),IF(AND(H2394="NIC",OR(I2394="TN",I2394="TDN",I2394="TNO2-3",I2394="NO2-3")),VLOOKUP(E2394,QCNIC_N,2,),IF(AND(H2394="UREA",OR(I2394="TN",I2394="TDN",I2394="TNO2-3",I2394="NO2-3")),VLOOKUP(E2394,QCUREA_N,2,),IF(H2394="PER",VLOOKUP(I2394,QCPER,MATCH(E2394,QCACTUAL!$J$25:$AA$25,0),),IF(H2394="SPK",VLOOKUP(I2394,QCSPK,3,),IF(AND(H2394="ATP",OR(I2394="TP",I2394="TDP")),VLOOKUP(E2394,QCATP_P,2,),""))))))))</f>
        <v/>
      </c>
      <c r="W2394" s="31" t="str">
        <f t="shared" si="274"/>
        <v>TRUE</v>
      </c>
      <c r="X2394" s="31" t="str">
        <f t="shared" si="269"/>
        <v/>
      </c>
      <c r="Y2394" s="10" t="s">
        <v>1144</v>
      </c>
      <c r="Z2394" s="10" t="s">
        <v>1177</v>
      </c>
      <c r="AL2394" s="10" t="str">
        <f t="shared" si="271"/>
        <v>FALSE</v>
      </c>
      <c r="AM2394" s="10" t="str">
        <f t="shared" si="271"/>
        <v>FALSE</v>
      </c>
      <c r="AN2394" s="10" t="str">
        <f t="shared" si="271"/>
        <v>FALSE</v>
      </c>
      <c r="AO2394" s="10" t="str">
        <f t="shared" si="272"/>
        <v>FALSE</v>
      </c>
      <c r="AP2394" s="10" t="str">
        <f t="shared" si="272"/>
        <v>FALSE</v>
      </c>
      <c r="AQ2394" s="10" t="b">
        <f>IF(AND(I2394="TP",S2394&lt;=150),VLOOKUP(AF2394,TPCalibEq150!$AZ$2:$BB$55,3,),IF(AND(I2394="TDP",S2394&lt;=150),VLOOKUP(AF2394,TPCalibEq150!$AZ$2:$BB$55,3,)))</f>
        <v>0</v>
      </c>
      <c r="AR2394" s="10" t="b">
        <f>IF(AND(I2394="TP",S2394&lt;=300),VLOOKUP(AF2394,TPCalibEq300!$AZ$2:$BB$55,3,),IF(AND(I2394="TDP",S2394&lt;=300),VLOOKUP(AF2394,TPCalibEq300!$AZ$2:$BB$55,3,)))</f>
        <v>0</v>
      </c>
      <c r="AS2394" s="10" t="b">
        <f>IF(AND(I2394="TP",S2394&lt;=500),VLOOKUP(AF2394,TPCalibEq500!$AZ$2:$BB$56,3,),IF(AND(I2394="TDP",S2394&lt;=500),VLOOKUP(AF2394,TPCalibEq500!$AZ$2:$BB$56,3,)))</f>
        <v>0</v>
      </c>
      <c r="AT2394" s="10" t="b">
        <f>IF(AND(I2394="TN",S2394&lt;=2800),VLOOKUP(AF2394,TNCalibEq2500!$AZ$2:$BB$56,3,),IF(AND(I2394="TDN",S2394&lt;=2800),VLOOKUP(AF2394,TNCalibEq2500!$AZ$2:$BB$56,3,)))</f>
        <v>0</v>
      </c>
      <c r="AU2394" s="10" t="b">
        <f>IF(I2394="TP",VLOOKUP(AF2394,TPCalibEqFull!$AZ$2:$BB$56,3),IF(I2394="TDP",VLOOKUP(AF2394,TPCalibEqFull!$AZ$2:$BB$56,3),IF(I2394="TDN",VLOOKUP(AF2394,TNCalibEqFull!$AZ$1:$BB$56,3),IF(I2394="TN",VLOOKUP(AF2394,TNCalibEqFull!$AZ$1:$BB$56,3),FALSE))))</f>
        <v>0</v>
      </c>
      <c r="AV2394" s="10" t="str">
        <f t="shared" si="275"/>
        <v>0206 08:23:00-EFC-0-C-1-SW-UKN</v>
      </c>
    </row>
    <row r="2395" spans="1:48" s="10" customFormat="1" x14ac:dyDescent="0.55000000000000004">
      <c r="A2395" s="32">
        <v>44963</v>
      </c>
      <c r="B2395" s="33">
        <v>0.3611111111111111</v>
      </c>
      <c r="C2395" s="10" t="s">
        <v>543</v>
      </c>
      <c r="D2395" s="10">
        <v>0</v>
      </c>
      <c r="E2395" s="10" t="s">
        <v>190</v>
      </c>
      <c r="F2395" s="10">
        <v>1</v>
      </c>
      <c r="G2395" s="10" t="s">
        <v>231</v>
      </c>
      <c r="H2395" s="10" t="s">
        <v>322</v>
      </c>
      <c r="I2395" s="10" t="s">
        <v>256</v>
      </c>
      <c r="J2395" s="10">
        <v>13</v>
      </c>
      <c r="K2395" s="12">
        <v>44966</v>
      </c>
      <c r="L2395" s="33">
        <v>0.48516203703703703</v>
      </c>
      <c r="M2395" s="10">
        <v>1</v>
      </c>
      <c r="N2395" s="10" t="s">
        <v>169</v>
      </c>
      <c r="O2395" s="10">
        <v>1.99</v>
      </c>
      <c r="P2395" s="10">
        <v>9.2700000000000005E-2</v>
      </c>
      <c r="Q2395" s="10">
        <v>246</v>
      </c>
      <c r="R2395" s="10" t="s">
        <v>77</v>
      </c>
      <c r="S2395" s="34">
        <f t="shared" si="270"/>
        <v>246</v>
      </c>
      <c r="T2395" s="10" t="s">
        <v>1176</v>
      </c>
      <c r="U2395" s="34" t="str">
        <f t="shared" si="273"/>
        <v/>
      </c>
      <c r="V2395" s="31" t="str">
        <f>IF(H2395="CHK",VLOOKUP(I2395,QCCHK,3,),IF(H2395="GUP",VLOOKUP(E2395,QCGUP,2,),IF(AND(H2395="ATP",OR(I2395="TN",I2395="TDN",I2395="TNO2-3",I2395="NO2-3")),VLOOKUP(E2395,QCREC_N,2,),IF(AND(H2395="NIC",OR(I2395="TN",I2395="TDN",I2395="TNO2-3",I2395="NO2-3")),VLOOKUP(E2395,QCNIC_N,2,),IF(AND(H2395="UREA",OR(I2395="TN",I2395="TDN",I2395="TNO2-3",I2395="NO2-3")),VLOOKUP(E2395,QCUREA_N,2,),IF(H2395="PER",VLOOKUP(I2395,QCPER,MATCH(E2395,QCACTUAL!$J$25:$AA$25,0),),IF(H2395="SPK",VLOOKUP(I2395,QCSPK,3,),IF(AND(H2395="ATP",OR(I2395="TP",I2395="TDP")),VLOOKUP(E2395,QCATP_P,2,),""))))))))</f>
        <v/>
      </c>
      <c r="W2395" s="31" t="str">
        <f t="shared" si="274"/>
        <v>TRUE</v>
      </c>
      <c r="X2395" s="31" t="str">
        <f t="shared" si="269"/>
        <v/>
      </c>
      <c r="Y2395" s="10" t="s">
        <v>1144</v>
      </c>
      <c r="Z2395" s="10" t="s">
        <v>910</v>
      </c>
      <c r="AL2395" s="10" t="str">
        <f t="shared" si="271"/>
        <v>FALSE</v>
      </c>
      <c r="AM2395" s="10" t="str">
        <f t="shared" si="271"/>
        <v>FALSE</v>
      </c>
      <c r="AN2395" s="10" t="str">
        <f t="shared" si="271"/>
        <v>FALSE</v>
      </c>
      <c r="AO2395" s="10" t="str">
        <f t="shared" si="272"/>
        <v>FALSE</v>
      </c>
      <c r="AP2395" s="10" t="str">
        <f t="shared" si="272"/>
        <v>FALSE</v>
      </c>
      <c r="AQ2395" s="10" t="b">
        <f>IF(AND(I2395="TP",S2395&lt;=150),VLOOKUP(AF2395,TPCalibEq150!$AZ$2:$BB$55,3,),IF(AND(I2395="TDP",S2395&lt;=150),VLOOKUP(AF2395,TPCalibEq150!$AZ$2:$BB$55,3,)))</f>
        <v>0</v>
      </c>
      <c r="AR2395" s="10" t="b">
        <f>IF(AND(I2395="TP",S2395&lt;=300),VLOOKUP(AF2395,TPCalibEq300!$AZ$2:$BB$55,3,),IF(AND(I2395="TDP",S2395&lt;=300),VLOOKUP(AF2395,TPCalibEq300!$AZ$2:$BB$55,3,)))</f>
        <v>0</v>
      </c>
      <c r="AS2395" s="10" t="b">
        <f>IF(AND(I2395="TP",S2395&lt;=500),VLOOKUP(AF2395,TPCalibEq500!$AZ$2:$BB$56,3,),IF(AND(I2395="TDP",S2395&lt;=500),VLOOKUP(AF2395,TPCalibEq500!$AZ$2:$BB$56,3,)))</f>
        <v>0</v>
      </c>
      <c r="AT2395" s="10" t="b">
        <f>IF(AND(I2395="TN",S2395&lt;=2800),VLOOKUP(AF2395,TNCalibEq2500!$AZ$2:$BB$56,3,),IF(AND(I2395="TDN",S2395&lt;=2800),VLOOKUP(AF2395,TNCalibEq2500!$AZ$2:$BB$56,3,)))</f>
        <v>0</v>
      </c>
      <c r="AU2395" s="10" t="b">
        <f>IF(I2395="TP",VLOOKUP(AF2395,TPCalibEqFull!$AZ$2:$BB$56,3),IF(I2395="TDP",VLOOKUP(AF2395,TPCalibEqFull!$AZ$2:$BB$56,3),IF(I2395="TDN",VLOOKUP(AF2395,TNCalibEqFull!$AZ$1:$BB$56,3),IF(I2395="TN",VLOOKUP(AF2395,TNCalibEqFull!$AZ$1:$BB$56,3),FALSE))))</f>
        <v>0</v>
      </c>
      <c r="AV2395" s="10" t="str">
        <f t="shared" si="275"/>
        <v>0206 08:40:00-SAR-0-C-1-SW-UKN</v>
      </c>
    </row>
    <row r="2396" spans="1:48" s="10" customFormat="1" x14ac:dyDescent="0.55000000000000004">
      <c r="A2396" s="32">
        <v>44963</v>
      </c>
      <c r="B2396" s="33">
        <v>0.37916666666666665</v>
      </c>
      <c r="C2396" s="10" t="s">
        <v>361</v>
      </c>
      <c r="D2396" s="10">
        <v>0</v>
      </c>
      <c r="E2396" s="10" t="s">
        <v>190</v>
      </c>
      <c r="F2396" s="10">
        <v>1</v>
      </c>
      <c r="G2396" s="10" t="s">
        <v>231</v>
      </c>
      <c r="H2396" s="10" t="s">
        <v>322</v>
      </c>
      <c r="I2396" s="10" t="s">
        <v>256</v>
      </c>
      <c r="J2396" s="10">
        <v>14</v>
      </c>
      <c r="K2396" s="12">
        <v>44966</v>
      </c>
      <c r="L2396" s="33">
        <v>0.48596064814814816</v>
      </c>
      <c r="M2396" s="10">
        <v>1</v>
      </c>
      <c r="N2396" s="10" t="s">
        <v>169</v>
      </c>
      <c r="O2396" s="10">
        <v>2.5</v>
      </c>
      <c r="P2396" s="10">
        <v>0.114</v>
      </c>
      <c r="Q2396" s="10">
        <v>308</v>
      </c>
      <c r="R2396" s="10" t="s">
        <v>77</v>
      </c>
      <c r="S2396" s="34">
        <f t="shared" si="270"/>
        <v>308</v>
      </c>
      <c r="T2396" s="10" t="s">
        <v>1176</v>
      </c>
      <c r="U2396" s="34" t="str">
        <f t="shared" si="273"/>
        <v/>
      </c>
      <c r="V2396" s="31" t="str">
        <f>IF(H2396="CHK",VLOOKUP(I2396,QCCHK,3,),IF(H2396="GUP",VLOOKUP(E2396,QCGUP,2,),IF(AND(H2396="ATP",OR(I2396="TN",I2396="TDN",I2396="TNO2-3",I2396="NO2-3")),VLOOKUP(E2396,QCREC_N,2,),IF(AND(H2396="NIC",OR(I2396="TN",I2396="TDN",I2396="TNO2-3",I2396="NO2-3")),VLOOKUP(E2396,QCNIC_N,2,),IF(AND(H2396="UREA",OR(I2396="TN",I2396="TDN",I2396="TNO2-3",I2396="NO2-3")),VLOOKUP(E2396,QCUREA_N,2,),IF(H2396="PER",VLOOKUP(I2396,QCPER,MATCH(E2396,QCACTUAL!$J$25:$AA$25,0),),IF(H2396="SPK",VLOOKUP(I2396,QCSPK,3,),IF(AND(H2396="ATP",OR(I2396="TP",I2396="TDP")),VLOOKUP(E2396,QCATP_P,2,),""))))))))</f>
        <v/>
      </c>
      <c r="W2396" s="31" t="str">
        <f t="shared" si="274"/>
        <v>TRUE</v>
      </c>
      <c r="X2396" s="31" t="str">
        <f t="shared" si="269"/>
        <v/>
      </c>
      <c r="Y2396" s="10" t="s">
        <v>1144</v>
      </c>
      <c r="Z2396" s="10" t="s">
        <v>910</v>
      </c>
      <c r="AL2396" s="10" t="str">
        <f t="shared" si="271"/>
        <v>FALSE</v>
      </c>
      <c r="AM2396" s="10" t="str">
        <f t="shared" si="271"/>
        <v>FALSE</v>
      </c>
      <c r="AN2396" s="10" t="str">
        <f t="shared" si="271"/>
        <v>FALSE</v>
      </c>
      <c r="AO2396" s="10" t="str">
        <f t="shared" si="272"/>
        <v>FALSE</v>
      </c>
      <c r="AP2396" s="10" t="str">
        <f t="shared" si="272"/>
        <v>FALSE</v>
      </c>
      <c r="AQ2396" s="10" t="b">
        <f>IF(AND(I2396="TP",S2396&lt;=150),VLOOKUP(AF2396,TPCalibEq150!$AZ$2:$BB$55,3,),IF(AND(I2396="TDP",S2396&lt;=150),VLOOKUP(AF2396,TPCalibEq150!$AZ$2:$BB$55,3,)))</f>
        <v>0</v>
      </c>
      <c r="AR2396" s="10" t="b">
        <f>IF(AND(I2396="TP",S2396&lt;=300),VLOOKUP(AF2396,TPCalibEq300!$AZ$2:$BB$55,3,),IF(AND(I2396="TDP",S2396&lt;=300),VLOOKUP(AF2396,TPCalibEq300!$AZ$2:$BB$55,3,)))</f>
        <v>0</v>
      </c>
      <c r="AS2396" s="10" t="b">
        <f>IF(AND(I2396="TP",S2396&lt;=500),VLOOKUP(AF2396,TPCalibEq500!$AZ$2:$BB$56,3,),IF(AND(I2396="TDP",S2396&lt;=500),VLOOKUP(AF2396,TPCalibEq500!$AZ$2:$BB$56,3,)))</f>
        <v>0</v>
      </c>
      <c r="AT2396" s="10" t="b">
        <f>IF(AND(I2396="TN",S2396&lt;=2800),VLOOKUP(AF2396,TNCalibEq2500!$AZ$2:$BB$56,3,),IF(AND(I2396="TDN",S2396&lt;=2800),VLOOKUP(AF2396,TNCalibEq2500!$AZ$2:$BB$56,3,)))</f>
        <v>0</v>
      </c>
      <c r="AU2396" s="10" t="b">
        <f>IF(I2396="TP",VLOOKUP(AF2396,TPCalibEqFull!$AZ$2:$BB$56,3),IF(I2396="TDP",VLOOKUP(AF2396,TPCalibEqFull!$AZ$2:$BB$56,3),IF(I2396="TDN",VLOOKUP(AF2396,TNCalibEqFull!$AZ$1:$BB$56,3),IF(I2396="TN",VLOOKUP(AF2396,TNCalibEqFull!$AZ$1:$BB$56,3),FALSE))))</f>
        <v>0</v>
      </c>
      <c r="AV2396" s="10" t="str">
        <f t="shared" si="275"/>
        <v>0206 09:06:00-USR-0-C-1-SW-UKN</v>
      </c>
    </row>
    <row r="2397" spans="1:48" s="10" customFormat="1" x14ac:dyDescent="0.55000000000000004">
      <c r="A2397" s="32">
        <v>44963</v>
      </c>
      <c r="B2397" s="33">
        <v>0.39305555555555555</v>
      </c>
      <c r="C2397" s="10" t="s">
        <v>351</v>
      </c>
      <c r="D2397" s="10">
        <v>0</v>
      </c>
      <c r="E2397" s="10" t="s">
        <v>190</v>
      </c>
      <c r="F2397" s="10">
        <v>1</v>
      </c>
      <c r="G2397" s="10" t="s">
        <v>231</v>
      </c>
      <c r="H2397" s="10" t="s">
        <v>322</v>
      </c>
      <c r="I2397" s="10" t="s">
        <v>256</v>
      </c>
      <c r="J2397" s="10">
        <v>15</v>
      </c>
      <c r="K2397" s="12">
        <v>44966</v>
      </c>
      <c r="L2397" s="33">
        <v>0.48677083333333332</v>
      </c>
      <c r="M2397" s="10">
        <v>1</v>
      </c>
      <c r="N2397" s="10" t="s">
        <v>169</v>
      </c>
      <c r="O2397" s="10">
        <v>11</v>
      </c>
      <c r="P2397" s="10">
        <v>0.50600000000000001</v>
      </c>
      <c r="Q2397" s="10">
        <v>1360</v>
      </c>
      <c r="R2397" s="10" t="s">
        <v>77</v>
      </c>
      <c r="S2397" s="34">
        <f t="shared" si="270"/>
        <v>1360</v>
      </c>
      <c r="T2397" s="10" t="s">
        <v>1176</v>
      </c>
      <c r="U2397" s="34" t="str">
        <f t="shared" si="273"/>
        <v/>
      </c>
      <c r="V2397" s="31" t="str">
        <f>IF(H2397="CHK",VLOOKUP(I2397,QCCHK,3,),IF(H2397="GUP",VLOOKUP(E2397,QCGUP,2,),IF(AND(H2397="ATP",OR(I2397="TN",I2397="TDN",I2397="TNO2-3",I2397="NO2-3")),VLOOKUP(E2397,QCREC_N,2,),IF(AND(H2397="NIC",OR(I2397="TN",I2397="TDN",I2397="TNO2-3",I2397="NO2-3")),VLOOKUP(E2397,QCNIC_N,2,),IF(AND(H2397="UREA",OR(I2397="TN",I2397="TDN",I2397="TNO2-3",I2397="NO2-3")),VLOOKUP(E2397,QCUREA_N,2,),IF(H2397="PER",VLOOKUP(I2397,QCPER,MATCH(E2397,QCACTUAL!$J$25:$AA$25,0),),IF(H2397="SPK",VLOOKUP(I2397,QCSPK,3,),IF(AND(H2397="ATP",OR(I2397="TP",I2397="TDP")),VLOOKUP(E2397,QCATP_P,2,),""))))))))</f>
        <v/>
      </c>
      <c r="W2397" s="31" t="str">
        <f t="shared" si="274"/>
        <v>TRUE</v>
      </c>
      <c r="X2397" s="31" t="str">
        <f t="shared" si="269"/>
        <v/>
      </c>
      <c r="Y2397" s="10" t="s">
        <v>1144</v>
      </c>
      <c r="Z2397" s="10" t="s">
        <v>910</v>
      </c>
      <c r="AL2397" s="10" t="str">
        <f t="shared" si="271"/>
        <v>FALSE</v>
      </c>
      <c r="AM2397" s="10" t="str">
        <f t="shared" si="271"/>
        <v>FALSE</v>
      </c>
      <c r="AN2397" s="10" t="str">
        <f t="shared" si="271"/>
        <v>FALSE</v>
      </c>
      <c r="AO2397" s="10" t="str">
        <f t="shared" si="272"/>
        <v>FALSE</v>
      </c>
      <c r="AP2397" s="10" t="str">
        <f t="shared" si="272"/>
        <v>FALSE</v>
      </c>
      <c r="AQ2397" s="10" t="b">
        <f>IF(AND(I2397="TP",S2397&lt;=150),VLOOKUP(AF2397,TPCalibEq150!$AZ$2:$BB$55,3,),IF(AND(I2397="TDP",S2397&lt;=150),VLOOKUP(AF2397,TPCalibEq150!$AZ$2:$BB$55,3,)))</f>
        <v>0</v>
      </c>
      <c r="AR2397" s="10" t="b">
        <f>IF(AND(I2397="TP",S2397&lt;=300),VLOOKUP(AF2397,TPCalibEq300!$AZ$2:$BB$55,3,),IF(AND(I2397="TDP",S2397&lt;=300),VLOOKUP(AF2397,TPCalibEq300!$AZ$2:$BB$55,3,)))</f>
        <v>0</v>
      </c>
      <c r="AS2397" s="10" t="b">
        <f>IF(AND(I2397="TP",S2397&lt;=500),VLOOKUP(AF2397,TPCalibEq500!$AZ$2:$BB$56,3,),IF(AND(I2397="TDP",S2397&lt;=500),VLOOKUP(AF2397,TPCalibEq500!$AZ$2:$BB$56,3,)))</f>
        <v>0</v>
      </c>
      <c r="AT2397" s="10" t="b">
        <f>IF(AND(I2397="TN",S2397&lt;=2800),VLOOKUP(AF2397,TNCalibEq2500!$AZ$2:$BB$56,3,),IF(AND(I2397="TDN",S2397&lt;=2800),VLOOKUP(AF2397,TNCalibEq2500!$AZ$2:$BB$56,3,)))</f>
        <v>0</v>
      </c>
      <c r="AU2397" s="10" t="b">
        <f>IF(I2397="TP",VLOOKUP(AF2397,TPCalibEqFull!$AZ$2:$BB$56,3),IF(I2397="TDP",VLOOKUP(AF2397,TPCalibEqFull!$AZ$2:$BB$56,3),IF(I2397="TDN",VLOOKUP(AF2397,TNCalibEqFull!$AZ$1:$BB$56,3),IF(I2397="TN",VLOOKUP(AF2397,TNCalibEqFull!$AZ$1:$BB$56,3),FALSE))))</f>
        <v>0</v>
      </c>
      <c r="AV2397" s="10" t="str">
        <f t="shared" si="275"/>
        <v>0206 09:26:00-SHC-0-C-1-SW-UKN</v>
      </c>
    </row>
    <row r="2398" spans="1:48" s="10" customFormat="1" x14ac:dyDescent="0.55000000000000004">
      <c r="A2398" s="32">
        <v>44963</v>
      </c>
      <c r="B2398" s="33">
        <v>0.4055555555555555</v>
      </c>
      <c r="C2398" s="10" t="s">
        <v>355</v>
      </c>
      <c r="D2398" s="10">
        <v>0</v>
      </c>
      <c r="E2398" s="10" t="s">
        <v>190</v>
      </c>
      <c r="F2398" s="10">
        <v>1</v>
      </c>
      <c r="G2398" s="10" t="s">
        <v>231</v>
      </c>
      <c r="H2398" s="10" t="s">
        <v>322</v>
      </c>
      <c r="I2398" s="10" t="s">
        <v>256</v>
      </c>
      <c r="J2398" s="10">
        <v>16</v>
      </c>
      <c r="K2398" s="12">
        <v>44966</v>
      </c>
      <c r="L2398" s="33">
        <v>0.48759259259259258</v>
      </c>
      <c r="M2398" s="10">
        <v>1</v>
      </c>
      <c r="N2398" s="10" t="s">
        <v>169</v>
      </c>
      <c r="O2398" s="10">
        <v>3.71</v>
      </c>
      <c r="P2398" s="10">
        <v>0.17100000000000001</v>
      </c>
      <c r="Q2398" s="10">
        <v>457</v>
      </c>
      <c r="R2398" s="10" t="s">
        <v>77</v>
      </c>
      <c r="S2398" s="34">
        <f t="shared" si="270"/>
        <v>457</v>
      </c>
      <c r="T2398" s="10" t="s">
        <v>1176</v>
      </c>
      <c r="U2398" s="34" t="str">
        <f t="shared" si="273"/>
        <v/>
      </c>
      <c r="V2398" s="31" t="str">
        <f>IF(H2398="CHK",VLOOKUP(I2398,QCCHK,3,),IF(H2398="GUP",VLOOKUP(E2398,QCGUP,2,),IF(AND(H2398="ATP",OR(I2398="TN",I2398="TDN",I2398="TNO2-3",I2398="NO2-3")),VLOOKUP(E2398,QCREC_N,2,),IF(AND(H2398="NIC",OR(I2398="TN",I2398="TDN",I2398="TNO2-3",I2398="NO2-3")),VLOOKUP(E2398,QCNIC_N,2,),IF(AND(H2398="UREA",OR(I2398="TN",I2398="TDN",I2398="TNO2-3",I2398="NO2-3")),VLOOKUP(E2398,QCUREA_N,2,),IF(H2398="PER",VLOOKUP(I2398,QCPER,MATCH(E2398,QCACTUAL!$J$25:$AA$25,0),),IF(H2398="SPK",VLOOKUP(I2398,QCSPK,3,),IF(AND(H2398="ATP",OR(I2398="TP",I2398="TDP")),VLOOKUP(E2398,QCATP_P,2,),""))))))))</f>
        <v/>
      </c>
      <c r="W2398" s="31" t="str">
        <f t="shared" si="274"/>
        <v>TRUE</v>
      </c>
      <c r="X2398" s="31" t="str">
        <f t="shared" si="269"/>
        <v/>
      </c>
      <c r="Y2398" s="10" t="s">
        <v>1144</v>
      </c>
      <c r="Z2398" s="10" t="s">
        <v>910</v>
      </c>
      <c r="AL2398" s="10" t="str">
        <f t="shared" si="271"/>
        <v>FALSE</v>
      </c>
      <c r="AM2398" s="10" t="str">
        <f t="shared" si="271"/>
        <v>FALSE</v>
      </c>
      <c r="AN2398" s="10" t="str">
        <f t="shared" si="271"/>
        <v>FALSE</v>
      </c>
      <c r="AO2398" s="10" t="str">
        <f t="shared" si="272"/>
        <v>FALSE</v>
      </c>
      <c r="AP2398" s="10" t="str">
        <f t="shared" si="272"/>
        <v>FALSE</v>
      </c>
      <c r="AQ2398" s="10" t="b">
        <f>IF(AND(I2398="TP",S2398&lt;=150),VLOOKUP(AF2398,TPCalibEq150!$AZ$2:$BB$55,3,),IF(AND(I2398="TDP",S2398&lt;=150),VLOOKUP(AF2398,TPCalibEq150!$AZ$2:$BB$55,3,)))</f>
        <v>0</v>
      </c>
      <c r="AR2398" s="10" t="b">
        <f>IF(AND(I2398="TP",S2398&lt;=300),VLOOKUP(AF2398,TPCalibEq300!$AZ$2:$BB$55,3,),IF(AND(I2398="TDP",S2398&lt;=300),VLOOKUP(AF2398,TPCalibEq300!$AZ$2:$BB$55,3,)))</f>
        <v>0</v>
      </c>
      <c r="AS2398" s="10" t="b">
        <f>IF(AND(I2398="TP",S2398&lt;=500),VLOOKUP(AF2398,TPCalibEq500!$AZ$2:$BB$56,3,),IF(AND(I2398="TDP",S2398&lt;=500),VLOOKUP(AF2398,TPCalibEq500!$AZ$2:$BB$56,3,)))</f>
        <v>0</v>
      </c>
      <c r="AT2398" s="10" t="b">
        <f>IF(AND(I2398="TN",S2398&lt;=2800),VLOOKUP(AF2398,TNCalibEq2500!$AZ$2:$BB$56,3,),IF(AND(I2398="TDN",S2398&lt;=2800),VLOOKUP(AF2398,TNCalibEq2500!$AZ$2:$BB$56,3,)))</f>
        <v>0</v>
      </c>
      <c r="AU2398" s="10" t="b">
        <f>IF(I2398="TP",VLOOKUP(AF2398,TPCalibEqFull!$AZ$2:$BB$56,3),IF(I2398="TDP",VLOOKUP(AF2398,TPCalibEqFull!$AZ$2:$BB$56,3),IF(I2398="TDN",VLOOKUP(AF2398,TNCalibEqFull!$AZ$1:$BB$56,3),IF(I2398="TN",VLOOKUP(AF2398,TNCalibEqFull!$AZ$1:$BB$56,3),FALSE))))</f>
        <v>0</v>
      </c>
      <c r="AV2398" s="10" t="str">
        <f t="shared" si="275"/>
        <v>0206 09:44:00-SLT-0-C-1-SW-UKN</v>
      </c>
    </row>
    <row r="2399" spans="1:48" s="10" customFormat="1" x14ac:dyDescent="0.55000000000000004">
      <c r="A2399" s="32">
        <v>44963</v>
      </c>
      <c r="B2399" s="33">
        <v>0.4236111111111111</v>
      </c>
      <c r="C2399" s="10" t="s">
        <v>310</v>
      </c>
      <c r="D2399" s="10">
        <v>0</v>
      </c>
      <c r="E2399" s="10">
        <v>580</v>
      </c>
      <c r="F2399" s="10">
        <v>1</v>
      </c>
      <c r="G2399" s="10" t="s">
        <v>231</v>
      </c>
      <c r="H2399" s="10" t="s">
        <v>322</v>
      </c>
      <c r="I2399" s="10" t="s">
        <v>256</v>
      </c>
      <c r="J2399" s="10">
        <v>17</v>
      </c>
      <c r="K2399" s="12">
        <v>44966</v>
      </c>
      <c r="L2399" s="33">
        <v>0.48841435185185184</v>
      </c>
      <c r="M2399" s="10">
        <v>1</v>
      </c>
      <c r="N2399" s="10" t="s">
        <v>169</v>
      </c>
      <c r="O2399" s="10">
        <v>16.399999999999999</v>
      </c>
      <c r="P2399" s="10">
        <v>0.753</v>
      </c>
      <c r="Q2399" s="10">
        <v>2020</v>
      </c>
      <c r="R2399" s="10" t="s">
        <v>77</v>
      </c>
      <c r="S2399" s="34">
        <f t="shared" si="270"/>
        <v>2020</v>
      </c>
      <c r="T2399" s="10" t="s">
        <v>1176</v>
      </c>
      <c r="U2399" s="34" t="str">
        <f t="shared" si="273"/>
        <v/>
      </c>
      <c r="V2399" s="31" t="str">
        <f>IF(H2399="CHK",VLOOKUP(I2399,QCCHK,3,),IF(H2399="GUP",VLOOKUP(E2399,QCGUP,2,),IF(AND(H2399="ATP",OR(I2399="TN",I2399="TDN",I2399="TNO2-3",I2399="NO2-3")),VLOOKUP(E2399,QCREC_N,2,),IF(AND(H2399="NIC",OR(I2399="TN",I2399="TDN",I2399="TNO2-3",I2399="NO2-3")),VLOOKUP(E2399,QCNIC_N,2,),IF(AND(H2399="UREA",OR(I2399="TN",I2399="TDN",I2399="TNO2-3",I2399="NO2-3")),VLOOKUP(E2399,QCUREA_N,2,),IF(H2399="PER",VLOOKUP(I2399,QCPER,MATCH(E2399,QCACTUAL!$J$25:$AA$25,0),),IF(H2399="SPK",VLOOKUP(I2399,QCSPK,3,),IF(AND(H2399="ATP",OR(I2399="TP",I2399="TDP")),VLOOKUP(E2399,QCATP_P,2,),""))))))))</f>
        <v/>
      </c>
      <c r="W2399" s="31" t="str">
        <f t="shared" si="274"/>
        <v>TRUE</v>
      </c>
      <c r="X2399" s="31" t="str">
        <f t="shared" si="269"/>
        <v/>
      </c>
      <c r="Y2399" s="10" t="s">
        <v>1144</v>
      </c>
      <c r="Z2399" s="10" t="s">
        <v>910</v>
      </c>
      <c r="AL2399" s="10" t="str">
        <f t="shared" si="271"/>
        <v>FALSE</v>
      </c>
      <c r="AM2399" s="10" t="str">
        <f t="shared" si="271"/>
        <v>FALSE</v>
      </c>
      <c r="AN2399" s="10" t="str">
        <f t="shared" si="271"/>
        <v>FALSE</v>
      </c>
      <c r="AO2399" s="10" t="str">
        <f t="shared" si="272"/>
        <v>FALSE</v>
      </c>
      <c r="AP2399" s="10" t="str">
        <f t="shared" si="272"/>
        <v>FALSE</v>
      </c>
      <c r="AQ2399" s="10" t="b">
        <f>IF(AND(I2399="TP",S2399&lt;=150),VLOOKUP(AF2399,TPCalibEq150!$AZ$2:$BB$55,3,),IF(AND(I2399="TDP",S2399&lt;=150),VLOOKUP(AF2399,TPCalibEq150!$AZ$2:$BB$55,3,)))</f>
        <v>0</v>
      </c>
      <c r="AR2399" s="10" t="b">
        <f>IF(AND(I2399="TP",S2399&lt;=300),VLOOKUP(AF2399,TPCalibEq300!$AZ$2:$BB$55,3,),IF(AND(I2399="TDP",S2399&lt;=300),VLOOKUP(AF2399,TPCalibEq300!$AZ$2:$BB$55,3,)))</f>
        <v>0</v>
      </c>
      <c r="AS2399" s="10" t="b">
        <f>IF(AND(I2399="TP",S2399&lt;=500),VLOOKUP(AF2399,TPCalibEq500!$AZ$2:$BB$56,3,),IF(AND(I2399="TDP",S2399&lt;=500),VLOOKUP(AF2399,TPCalibEq500!$AZ$2:$BB$56,3,)))</f>
        <v>0</v>
      </c>
      <c r="AT2399" s="10" t="b">
        <f>IF(AND(I2399="TN",S2399&lt;=2800),VLOOKUP(AF2399,TNCalibEq2500!$AZ$2:$BB$56,3,),IF(AND(I2399="TDN",S2399&lt;=2800),VLOOKUP(AF2399,TNCalibEq2500!$AZ$2:$BB$56,3,)))</f>
        <v>0</v>
      </c>
      <c r="AU2399" s="10" t="b">
        <f>IF(I2399="TP",VLOOKUP(AF2399,TPCalibEqFull!$AZ$2:$BB$56,3),IF(I2399="TDP",VLOOKUP(AF2399,TPCalibEqFull!$AZ$2:$BB$56,3),IF(I2399="TDN",VLOOKUP(AF2399,TNCalibEqFull!$AZ$1:$BB$56,3),IF(I2399="TN",VLOOKUP(AF2399,TNCalibEqFull!$AZ$1:$BB$56,3),FALSE))))</f>
        <v>0</v>
      </c>
      <c r="AV2399" s="10" t="str">
        <f t="shared" si="275"/>
        <v>0206 10:10:00-ELI-0-580-1-SW-UKN</v>
      </c>
    </row>
    <row r="2400" spans="1:48" s="10" customFormat="1" x14ac:dyDescent="0.55000000000000004">
      <c r="A2400" s="32">
        <v>44963</v>
      </c>
      <c r="B2400" s="33">
        <v>0.44930555555555557</v>
      </c>
      <c r="C2400" s="10" t="s">
        <v>999</v>
      </c>
      <c r="D2400" s="10">
        <v>0</v>
      </c>
      <c r="E2400" s="10" t="s">
        <v>190</v>
      </c>
      <c r="F2400" s="10">
        <v>1</v>
      </c>
      <c r="G2400" s="10" t="s">
        <v>231</v>
      </c>
      <c r="H2400" s="10" t="s">
        <v>322</v>
      </c>
      <c r="I2400" s="10" t="s">
        <v>256</v>
      </c>
      <c r="J2400" s="10">
        <v>18</v>
      </c>
      <c r="K2400" s="12">
        <v>44966</v>
      </c>
      <c r="L2400" s="33">
        <v>0.48923611111111115</v>
      </c>
      <c r="M2400" s="10">
        <v>1</v>
      </c>
      <c r="N2400" s="10" t="s">
        <v>169</v>
      </c>
      <c r="O2400" s="10">
        <v>15.3</v>
      </c>
      <c r="P2400" s="10">
        <v>0.70599999999999996</v>
      </c>
      <c r="Q2400" s="10">
        <v>1890</v>
      </c>
      <c r="R2400" s="10" t="s">
        <v>77</v>
      </c>
      <c r="S2400" s="34">
        <f t="shared" si="270"/>
        <v>1890</v>
      </c>
      <c r="T2400" s="10" t="s">
        <v>1176</v>
      </c>
      <c r="U2400" s="34" t="str">
        <f t="shared" si="273"/>
        <v/>
      </c>
      <c r="V2400" s="31" t="str">
        <f>IF(H2400="CHK",VLOOKUP(I2400,QCCHK,3,),IF(H2400="GUP",VLOOKUP(E2400,QCGUP,2,),IF(AND(H2400="ATP",OR(I2400="TN",I2400="TDN",I2400="TNO2-3",I2400="NO2-3")),VLOOKUP(E2400,QCREC_N,2,),IF(AND(H2400="NIC",OR(I2400="TN",I2400="TDN",I2400="TNO2-3",I2400="NO2-3")),VLOOKUP(E2400,QCNIC_N,2,),IF(AND(H2400="UREA",OR(I2400="TN",I2400="TDN",I2400="TNO2-3",I2400="NO2-3")),VLOOKUP(E2400,QCUREA_N,2,),IF(H2400="PER",VLOOKUP(I2400,QCPER,MATCH(E2400,QCACTUAL!$J$25:$AA$25,0),),IF(H2400="SPK",VLOOKUP(I2400,QCSPK,3,),IF(AND(H2400="ATP",OR(I2400="TP",I2400="TDP")),VLOOKUP(E2400,QCATP_P,2,),""))))))))</f>
        <v/>
      </c>
      <c r="W2400" s="31" t="str">
        <f t="shared" si="274"/>
        <v>TRUE</v>
      </c>
      <c r="X2400" s="31" t="str">
        <f t="shared" si="269"/>
        <v/>
      </c>
      <c r="Y2400" s="10" t="s">
        <v>1144</v>
      </c>
      <c r="Z2400" s="10" t="s">
        <v>910</v>
      </c>
      <c r="AL2400" s="10" t="str">
        <f t="shared" si="271"/>
        <v>FALSE</v>
      </c>
      <c r="AM2400" s="10" t="str">
        <f t="shared" si="271"/>
        <v>FALSE</v>
      </c>
      <c r="AN2400" s="10" t="str">
        <f t="shared" si="271"/>
        <v>FALSE</v>
      </c>
      <c r="AO2400" s="10" t="str">
        <f t="shared" si="272"/>
        <v>FALSE</v>
      </c>
      <c r="AP2400" s="10" t="str">
        <f t="shared" si="272"/>
        <v>FALSE</v>
      </c>
      <c r="AQ2400" s="10" t="b">
        <f>IF(AND(I2400="TP",S2400&lt;=150),VLOOKUP(AF2400,TPCalibEq150!$AZ$2:$BB$55,3,),IF(AND(I2400="TDP",S2400&lt;=150),VLOOKUP(AF2400,TPCalibEq150!$AZ$2:$BB$55,3,)))</f>
        <v>0</v>
      </c>
      <c r="AR2400" s="10" t="b">
        <f>IF(AND(I2400="TP",S2400&lt;=300),VLOOKUP(AF2400,TPCalibEq300!$AZ$2:$BB$55,3,),IF(AND(I2400="TDP",S2400&lt;=300),VLOOKUP(AF2400,TPCalibEq300!$AZ$2:$BB$55,3,)))</f>
        <v>0</v>
      </c>
      <c r="AS2400" s="10" t="b">
        <f>IF(AND(I2400="TP",S2400&lt;=500),VLOOKUP(AF2400,TPCalibEq500!$AZ$2:$BB$56,3,),IF(AND(I2400="TDP",S2400&lt;=500),VLOOKUP(AF2400,TPCalibEq500!$AZ$2:$BB$56,3,)))</f>
        <v>0</v>
      </c>
      <c r="AT2400" s="10" t="b">
        <f>IF(AND(I2400="TN",S2400&lt;=2800),VLOOKUP(AF2400,TNCalibEq2500!$AZ$2:$BB$56,3,),IF(AND(I2400="TDN",S2400&lt;=2800),VLOOKUP(AF2400,TNCalibEq2500!$AZ$2:$BB$56,3,)))</f>
        <v>0</v>
      </c>
      <c r="AU2400" s="10" t="b">
        <f>IF(I2400="TP",VLOOKUP(AF2400,TPCalibEqFull!$AZ$2:$BB$56,3),IF(I2400="TDP",VLOOKUP(AF2400,TPCalibEqFull!$AZ$2:$BB$56,3),IF(I2400="TDN",VLOOKUP(AF2400,TNCalibEqFull!$AZ$1:$BB$56,3),IF(I2400="TN",VLOOKUP(AF2400,TNCalibEqFull!$AZ$1:$BB$56,3),FALSE))))</f>
        <v>0</v>
      </c>
      <c r="AV2400" s="10" t="str">
        <f t="shared" si="275"/>
        <v>0206 10:47:00-EAW-0-C-1-SW-UKN</v>
      </c>
    </row>
    <row r="2401" spans="1:48" s="10" customFormat="1" x14ac:dyDescent="0.55000000000000004">
      <c r="A2401" s="32">
        <v>44963</v>
      </c>
      <c r="B2401" s="33">
        <v>0.4604166666666667</v>
      </c>
      <c r="C2401" s="10" t="s">
        <v>613</v>
      </c>
      <c r="D2401" s="10">
        <v>0</v>
      </c>
      <c r="E2401" s="10" t="s">
        <v>190</v>
      </c>
      <c r="F2401" s="10">
        <v>1</v>
      </c>
      <c r="G2401" s="10" t="s">
        <v>231</v>
      </c>
      <c r="H2401" s="10" t="s">
        <v>322</v>
      </c>
      <c r="I2401" s="10" t="s">
        <v>256</v>
      </c>
      <c r="J2401" s="10">
        <v>19</v>
      </c>
      <c r="K2401" s="12">
        <v>44966</v>
      </c>
      <c r="L2401" s="33">
        <v>0.49005787037037035</v>
      </c>
      <c r="M2401" s="10">
        <v>1</v>
      </c>
      <c r="N2401" s="10" t="s">
        <v>169</v>
      </c>
      <c r="O2401" s="10">
        <v>2.82</v>
      </c>
      <c r="P2401" s="10">
        <v>0.13100000000000001</v>
      </c>
      <c r="Q2401" s="10">
        <v>348</v>
      </c>
      <c r="R2401" s="10" t="s">
        <v>77</v>
      </c>
      <c r="S2401" s="34">
        <f t="shared" si="270"/>
        <v>348</v>
      </c>
      <c r="T2401" s="10" t="s">
        <v>1176</v>
      </c>
      <c r="U2401" s="34" t="str">
        <f t="shared" si="273"/>
        <v/>
      </c>
      <c r="V2401" s="31" t="str">
        <f>IF(H2401="CHK",VLOOKUP(I2401,QCCHK,3,),IF(H2401="GUP",VLOOKUP(E2401,QCGUP,2,),IF(AND(H2401="ATP",OR(I2401="TN",I2401="TDN",I2401="TNO2-3",I2401="NO2-3")),VLOOKUP(E2401,QCREC_N,2,),IF(AND(H2401="NIC",OR(I2401="TN",I2401="TDN",I2401="TNO2-3",I2401="NO2-3")),VLOOKUP(E2401,QCNIC_N,2,),IF(AND(H2401="UREA",OR(I2401="TN",I2401="TDN",I2401="TNO2-3",I2401="NO2-3")),VLOOKUP(E2401,QCUREA_N,2,),IF(H2401="PER",VLOOKUP(I2401,QCPER,MATCH(E2401,QCACTUAL!$J$25:$AA$25,0),),IF(H2401="SPK",VLOOKUP(I2401,QCSPK,3,),IF(AND(H2401="ATP",OR(I2401="TP",I2401="TDP")),VLOOKUP(E2401,QCATP_P,2,),""))))))))</f>
        <v/>
      </c>
      <c r="W2401" s="31" t="str">
        <f t="shared" si="274"/>
        <v>TRUE</v>
      </c>
      <c r="X2401" s="31" t="str">
        <f t="shared" si="269"/>
        <v/>
      </c>
      <c r="Y2401" s="10" t="s">
        <v>1144</v>
      </c>
      <c r="Z2401" s="10" t="s">
        <v>910</v>
      </c>
      <c r="AL2401" s="10" t="str">
        <f t="shared" si="271"/>
        <v>FALSE</v>
      </c>
      <c r="AM2401" s="10" t="str">
        <f t="shared" si="271"/>
        <v>FALSE</v>
      </c>
      <c r="AN2401" s="10" t="str">
        <f t="shared" si="271"/>
        <v>FALSE</v>
      </c>
      <c r="AO2401" s="10" t="str">
        <f t="shared" si="272"/>
        <v>FALSE</v>
      </c>
      <c r="AP2401" s="10" t="str">
        <f t="shared" si="272"/>
        <v>FALSE</v>
      </c>
      <c r="AQ2401" s="10" t="b">
        <f>IF(AND(I2401="TP",S2401&lt;=150),VLOOKUP(AF2401,TPCalibEq150!$AZ$2:$BB$55,3,),IF(AND(I2401="TDP",S2401&lt;=150),VLOOKUP(AF2401,TPCalibEq150!$AZ$2:$BB$55,3,)))</f>
        <v>0</v>
      </c>
      <c r="AR2401" s="10" t="b">
        <f>IF(AND(I2401="TP",S2401&lt;=300),VLOOKUP(AF2401,TPCalibEq300!$AZ$2:$BB$55,3,),IF(AND(I2401="TDP",S2401&lt;=300),VLOOKUP(AF2401,TPCalibEq300!$AZ$2:$BB$55,3,)))</f>
        <v>0</v>
      </c>
      <c r="AS2401" s="10" t="b">
        <f>IF(AND(I2401="TP",S2401&lt;=500),VLOOKUP(AF2401,TPCalibEq500!$AZ$2:$BB$56,3,),IF(AND(I2401="TDP",S2401&lt;=500),VLOOKUP(AF2401,TPCalibEq500!$AZ$2:$BB$56,3,)))</f>
        <v>0</v>
      </c>
      <c r="AT2401" s="10" t="b">
        <f>IF(AND(I2401="TN",S2401&lt;=2800),VLOOKUP(AF2401,TNCalibEq2500!$AZ$2:$BB$56,3,),IF(AND(I2401="TDN",S2401&lt;=2800),VLOOKUP(AF2401,TNCalibEq2500!$AZ$2:$BB$56,3,)))</f>
        <v>0</v>
      </c>
      <c r="AU2401" s="10" t="b">
        <f>IF(I2401="TP",VLOOKUP(AF2401,TPCalibEqFull!$AZ$2:$BB$56,3),IF(I2401="TDP",VLOOKUP(AF2401,TPCalibEqFull!$AZ$2:$BB$56,3),IF(I2401="TDN",VLOOKUP(AF2401,TNCalibEqFull!$AZ$1:$BB$56,3),IF(I2401="TN",VLOOKUP(AF2401,TNCalibEqFull!$AZ$1:$BB$56,3),FALSE))))</f>
        <v>0</v>
      </c>
      <c r="AV2401" s="10" t="str">
        <f t="shared" si="275"/>
        <v>0206 11:03:00-FVC-0-C-1-SW-UKN</v>
      </c>
    </row>
    <row r="2402" spans="1:48" s="10" customFormat="1" x14ac:dyDescent="0.55000000000000004">
      <c r="A2402" s="32">
        <v>44963</v>
      </c>
      <c r="B2402" s="33">
        <v>0.4604166666666667</v>
      </c>
      <c r="C2402" s="10" t="s">
        <v>613</v>
      </c>
      <c r="D2402" s="10">
        <v>0</v>
      </c>
      <c r="E2402" s="10" t="s">
        <v>190</v>
      </c>
      <c r="F2402" s="10">
        <v>2</v>
      </c>
      <c r="G2402" s="10" t="s">
        <v>231</v>
      </c>
      <c r="H2402" s="10" t="s">
        <v>322</v>
      </c>
      <c r="I2402" s="10" t="s">
        <v>256</v>
      </c>
      <c r="J2402" s="10">
        <v>20</v>
      </c>
      <c r="K2402" s="12">
        <v>44966</v>
      </c>
      <c r="L2402" s="33">
        <v>0.49087962962962961</v>
      </c>
      <c r="M2402" s="10">
        <v>1</v>
      </c>
      <c r="N2402" s="10" t="s">
        <v>169</v>
      </c>
      <c r="O2402" s="10">
        <v>2.94</v>
      </c>
      <c r="P2402" s="10">
        <v>0.13400000000000001</v>
      </c>
      <c r="Q2402" s="10">
        <v>363</v>
      </c>
      <c r="R2402" s="10" t="s">
        <v>77</v>
      </c>
      <c r="S2402" s="34">
        <f t="shared" si="270"/>
        <v>363</v>
      </c>
      <c r="T2402" s="10" t="s">
        <v>1176</v>
      </c>
      <c r="U2402" s="34" t="str">
        <f t="shared" si="273"/>
        <v/>
      </c>
      <c r="V2402" s="31" t="str">
        <f>IF(H2402="CHK",VLOOKUP(I2402,QCCHK,3,),IF(H2402="GUP",VLOOKUP(E2402,QCGUP,2,),IF(AND(H2402="ATP",OR(I2402="TN",I2402="TDN",I2402="TNO2-3",I2402="NO2-3")),VLOOKUP(E2402,QCREC_N,2,),IF(AND(H2402="NIC",OR(I2402="TN",I2402="TDN",I2402="TNO2-3",I2402="NO2-3")),VLOOKUP(E2402,QCNIC_N,2,),IF(AND(H2402="UREA",OR(I2402="TN",I2402="TDN",I2402="TNO2-3",I2402="NO2-3")),VLOOKUP(E2402,QCUREA_N,2,),IF(H2402="PER",VLOOKUP(I2402,QCPER,MATCH(E2402,QCACTUAL!$J$25:$AA$25,0),),IF(H2402="SPK",VLOOKUP(I2402,QCSPK,3,),IF(AND(H2402="ATP",OR(I2402="TP",I2402="TDP")),VLOOKUP(E2402,QCATP_P,2,),""))))))))</f>
        <v/>
      </c>
      <c r="W2402" s="31" t="str">
        <f t="shared" si="274"/>
        <v>TRUE</v>
      </c>
      <c r="X2402" s="31" t="str">
        <f t="shared" si="269"/>
        <v/>
      </c>
      <c r="Y2402" s="10" t="s">
        <v>1144</v>
      </c>
      <c r="Z2402" s="10" t="s">
        <v>910</v>
      </c>
      <c r="AL2402" s="10" t="str">
        <f t="shared" si="271"/>
        <v>FALSE</v>
      </c>
      <c r="AM2402" s="10" t="str">
        <f t="shared" si="271"/>
        <v>FALSE</v>
      </c>
      <c r="AN2402" s="10" t="str">
        <f t="shared" si="271"/>
        <v>FALSE</v>
      </c>
      <c r="AO2402" s="10" t="str">
        <f t="shared" si="272"/>
        <v>FALSE</v>
      </c>
      <c r="AP2402" s="10" t="str">
        <f t="shared" si="272"/>
        <v>FALSE</v>
      </c>
      <c r="AQ2402" s="10" t="b">
        <f>IF(AND(I2402="TP",S2402&lt;=150),VLOOKUP(AF2402,TPCalibEq150!$AZ$2:$BB$55,3,),IF(AND(I2402="TDP",S2402&lt;=150),VLOOKUP(AF2402,TPCalibEq150!$AZ$2:$BB$55,3,)))</f>
        <v>0</v>
      </c>
      <c r="AR2402" s="10" t="b">
        <f>IF(AND(I2402="TP",S2402&lt;=300),VLOOKUP(AF2402,TPCalibEq300!$AZ$2:$BB$55,3,),IF(AND(I2402="TDP",S2402&lt;=300),VLOOKUP(AF2402,TPCalibEq300!$AZ$2:$BB$55,3,)))</f>
        <v>0</v>
      </c>
      <c r="AS2402" s="10" t="b">
        <f>IF(AND(I2402="TP",S2402&lt;=500),VLOOKUP(AF2402,TPCalibEq500!$AZ$2:$BB$56,3,),IF(AND(I2402="TDP",S2402&lt;=500),VLOOKUP(AF2402,TPCalibEq500!$AZ$2:$BB$56,3,)))</f>
        <v>0</v>
      </c>
      <c r="AT2402" s="10" t="b">
        <f>IF(AND(I2402="TN",S2402&lt;=2800),VLOOKUP(AF2402,TNCalibEq2500!$AZ$2:$BB$56,3,),IF(AND(I2402="TDN",S2402&lt;=2800),VLOOKUP(AF2402,TNCalibEq2500!$AZ$2:$BB$56,3,)))</f>
        <v>0</v>
      </c>
      <c r="AU2402" s="10" t="b">
        <f>IF(I2402="TP",VLOOKUP(AF2402,TPCalibEqFull!$AZ$2:$BB$56,3),IF(I2402="TDP",VLOOKUP(AF2402,TPCalibEqFull!$AZ$2:$BB$56,3),IF(I2402="TDN",VLOOKUP(AF2402,TNCalibEqFull!$AZ$1:$BB$56,3),IF(I2402="TN",VLOOKUP(AF2402,TNCalibEqFull!$AZ$1:$BB$56,3),FALSE))))</f>
        <v>0</v>
      </c>
      <c r="AV2402" s="10" t="str">
        <f t="shared" si="275"/>
        <v>0206 11:03:00-FVC-0-C-2-SW-UKN</v>
      </c>
    </row>
    <row r="2403" spans="1:48" s="10" customFormat="1" x14ac:dyDescent="0.55000000000000004">
      <c r="A2403" s="32">
        <v>44963</v>
      </c>
      <c r="B2403" s="33">
        <v>0.4604166666666667</v>
      </c>
      <c r="C2403" s="10" t="s">
        <v>613</v>
      </c>
      <c r="D2403" s="10">
        <v>0</v>
      </c>
      <c r="E2403" s="10" t="s">
        <v>190</v>
      </c>
      <c r="F2403" s="10">
        <v>2</v>
      </c>
      <c r="G2403" s="10" t="s">
        <v>231</v>
      </c>
      <c r="H2403" s="10" t="s">
        <v>233</v>
      </c>
      <c r="I2403" s="10" t="s">
        <v>256</v>
      </c>
      <c r="J2403" s="10">
        <v>20</v>
      </c>
      <c r="K2403" s="12">
        <v>44966</v>
      </c>
      <c r="L2403" s="33">
        <v>0.49168981481481483</v>
      </c>
      <c r="M2403" s="10">
        <v>1</v>
      </c>
      <c r="N2403" s="10" t="s">
        <v>169</v>
      </c>
      <c r="O2403" s="10">
        <v>0.8</v>
      </c>
      <c r="P2403" s="10">
        <v>3.7100000000000001E-2</v>
      </c>
      <c r="Q2403" s="10">
        <v>98.4</v>
      </c>
      <c r="R2403" s="10" t="s">
        <v>77</v>
      </c>
      <c r="S2403" s="34">
        <f t="shared" si="270"/>
        <v>98.4</v>
      </c>
      <c r="T2403" s="10" t="s">
        <v>1176</v>
      </c>
      <c r="U2403" s="34">
        <f t="shared" si="273"/>
        <v>114.69440832249676</v>
      </c>
      <c r="V2403" s="31" t="str">
        <f>IF(H2403="CHK",VLOOKUP(I2403,QCCHK,3,),IF(H2403="GUP",VLOOKUP(E2403,QCGUP,2,),IF(AND(H2403="ATP",OR(I2403="TN",I2403="TDN",I2403="TNO2-3",I2403="NO2-3")),VLOOKUP(E2403,QCREC_N,2,),IF(AND(H2403="NIC",OR(I2403="TN",I2403="TDN",I2403="TNO2-3",I2403="NO2-3")),VLOOKUP(E2403,QCNIC_N,2,),IF(AND(H2403="UREA",OR(I2403="TN",I2403="TDN",I2403="TNO2-3",I2403="NO2-3")),VLOOKUP(E2403,QCUREA_N,2,),IF(H2403="PER",VLOOKUP(I2403,QCPER,MATCH(E2403,QCACTUAL!$J$25:$AA$25,0),),IF(H2403="SPK",VLOOKUP(I2403,QCSPK,3,),IF(AND(H2403="ATP",OR(I2403="TP",I2403="TDP")),VLOOKUP(E2403,QCATP_P,2,),""))))))))</f>
        <v/>
      </c>
      <c r="W2403" s="31" t="str">
        <f t="shared" si="274"/>
        <v>FALSE</v>
      </c>
      <c r="X2403" s="31" t="str">
        <f t="shared" si="269"/>
        <v>((ABS(rep1-rep2))/((rep1+rep2)/2)*100</v>
      </c>
      <c r="Y2403" s="10" t="s">
        <v>1144</v>
      </c>
      <c r="Z2403" s="10" t="s">
        <v>910</v>
      </c>
      <c r="AL2403" s="10" t="str">
        <f t="shared" si="271"/>
        <v>FALSE</v>
      </c>
      <c r="AM2403" s="10" t="str">
        <f t="shared" si="271"/>
        <v>FALSE</v>
      </c>
      <c r="AN2403" s="10" t="str">
        <f t="shared" si="271"/>
        <v>FALSE</v>
      </c>
      <c r="AO2403" s="10" t="str">
        <f t="shared" si="272"/>
        <v>FALSE</v>
      </c>
      <c r="AP2403" s="10" t="str">
        <f t="shared" si="272"/>
        <v>FALSE</v>
      </c>
      <c r="AQ2403" s="10" t="b">
        <f>IF(AND(I2403="TP",S2403&lt;=150),VLOOKUP(AF2403,TPCalibEq150!$AZ$2:$BB$55,3,),IF(AND(I2403="TDP",S2403&lt;=150),VLOOKUP(AF2403,TPCalibEq150!$AZ$2:$BB$55,3,)))</f>
        <v>0</v>
      </c>
      <c r="AR2403" s="10" t="b">
        <f>IF(AND(I2403="TP",S2403&lt;=300),VLOOKUP(AF2403,TPCalibEq300!$AZ$2:$BB$55,3,),IF(AND(I2403="TDP",S2403&lt;=300),VLOOKUP(AF2403,TPCalibEq300!$AZ$2:$BB$55,3,)))</f>
        <v>0</v>
      </c>
      <c r="AS2403" s="10" t="b">
        <f>IF(AND(I2403="TP",S2403&lt;=500),VLOOKUP(AF2403,TPCalibEq500!$AZ$2:$BB$56,3,),IF(AND(I2403="TDP",S2403&lt;=500),VLOOKUP(AF2403,TPCalibEq500!$AZ$2:$BB$56,3,)))</f>
        <v>0</v>
      </c>
      <c r="AT2403" s="10" t="b">
        <f>IF(AND(I2403="TN",S2403&lt;=2800),VLOOKUP(AF2403,TNCalibEq2500!$AZ$2:$BB$56,3,),IF(AND(I2403="TDN",S2403&lt;=2800),VLOOKUP(AF2403,TNCalibEq2500!$AZ$2:$BB$56,3,)))</f>
        <v>0</v>
      </c>
      <c r="AU2403" s="10" t="b">
        <f>IF(I2403="TP",VLOOKUP(AF2403,TPCalibEqFull!$AZ$2:$BB$56,3),IF(I2403="TDP",VLOOKUP(AF2403,TPCalibEqFull!$AZ$2:$BB$56,3),IF(I2403="TDN",VLOOKUP(AF2403,TNCalibEqFull!$AZ$1:$BB$56,3),IF(I2403="TN",VLOOKUP(AF2403,TNCalibEqFull!$AZ$1:$BB$56,3),FALSE))))</f>
        <v>0</v>
      </c>
      <c r="AV2403" s="10" t="str">
        <f t="shared" si="275"/>
        <v>0206 11:03:00-FVC-0-C-2-SW-DUP</v>
      </c>
    </row>
    <row r="2404" spans="1:48" s="10" customFormat="1" x14ac:dyDescent="0.55000000000000004">
      <c r="A2404" s="32">
        <v>44963</v>
      </c>
      <c r="B2404" s="33">
        <v>0.4604166666666667</v>
      </c>
      <c r="C2404" s="10" t="s">
        <v>613</v>
      </c>
      <c r="D2404" s="10">
        <v>0</v>
      </c>
      <c r="E2404" s="10" t="s">
        <v>190</v>
      </c>
      <c r="F2404" s="10">
        <v>2</v>
      </c>
      <c r="G2404" s="10" t="s">
        <v>231</v>
      </c>
      <c r="H2404" s="10" t="s">
        <v>314</v>
      </c>
      <c r="I2404" s="10" t="s">
        <v>256</v>
      </c>
      <c r="J2404" s="10">
        <v>120</v>
      </c>
      <c r="K2404" s="12">
        <v>44966</v>
      </c>
      <c r="L2404" s="33">
        <v>0.49251157407407403</v>
      </c>
      <c r="M2404" s="10">
        <v>1</v>
      </c>
      <c r="N2404" s="10" t="s">
        <v>169</v>
      </c>
      <c r="O2404" s="10">
        <v>5.79</v>
      </c>
      <c r="P2404" s="10">
        <v>0.26700000000000002</v>
      </c>
      <c r="Q2404" s="10">
        <v>715</v>
      </c>
      <c r="R2404" s="10" t="s">
        <v>77</v>
      </c>
      <c r="S2404" s="34">
        <f t="shared" si="270"/>
        <v>715</v>
      </c>
      <c r="T2404" s="10" t="s">
        <v>1176</v>
      </c>
      <c r="U2404" s="34">
        <f t="shared" si="273"/>
        <v>98.656000000000006</v>
      </c>
      <c r="V2404" s="31">
        <f>IF(H2404="CHK",VLOOKUP(I2404,QCCHK,3,),IF(H2404="GUP",VLOOKUP(E2404,QCGUP,2,),IF(AND(H2404="ATP",OR(I2404="TN",I2404="TDN",I2404="TNO2-3",I2404="NO2-3")),VLOOKUP(E2404,QCREC_N,2,),IF(AND(H2404="NIC",OR(I2404="TN",I2404="TDN",I2404="TNO2-3",I2404="NO2-3")),VLOOKUP(E2404,QCNIC_N,2,),IF(AND(H2404="UREA",OR(I2404="TN",I2404="TDN",I2404="TNO2-3",I2404="NO2-3")),VLOOKUP(E2404,QCUREA_N,2,),IF(H2404="PER",VLOOKUP(I2404,QCPER,MATCH(E2404,QCACTUAL!$J$25:$AA$25,0),),IF(H2404="SPK",VLOOKUP(I2404,QCSPK,3,),IF(AND(H2404="ATP",OR(I2404="TP",I2404="TDP")),VLOOKUP(E2404,QCATP_P,2,),""))))))))</f>
        <v>625</v>
      </c>
      <c r="W2404" s="31" t="str">
        <f t="shared" si="274"/>
        <v>TRUE</v>
      </c>
      <c r="X2404" s="31" t="str">
        <f t="shared" si="269"/>
        <v>([spikedunkn]-[unkn])/[spike]*100</v>
      </c>
      <c r="Y2404" s="10" t="s">
        <v>1144</v>
      </c>
      <c r="Z2404" s="10" t="s">
        <v>910</v>
      </c>
      <c r="AL2404" s="10" t="str">
        <f t="shared" si="271"/>
        <v>FALSE</v>
      </c>
      <c r="AM2404" s="10" t="str">
        <f t="shared" si="271"/>
        <v>FALSE</v>
      </c>
      <c r="AN2404" s="10" t="str">
        <f t="shared" si="271"/>
        <v>FALSE</v>
      </c>
      <c r="AO2404" s="10" t="str">
        <f t="shared" si="272"/>
        <v>FALSE</v>
      </c>
      <c r="AP2404" s="10" t="str">
        <f t="shared" si="272"/>
        <v>FALSE</v>
      </c>
      <c r="AQ2404" s="10" t="b">
        <f>IF(AND(I2404="TP",S2404&lt;=150),VLOOKUP(AF2404,TPCalibEq150!$AZ$2:$BB$55,3,),IF(AND(I2404="TDP",S2404&lt;=150),VLOOKUP(AF2404,TPCalibEq150!$AZ$2:$BB$55,3,)))</f>
        <v>0</v>
      </c>
      <c r="AR2404" s="10" t="b">
        <f>IF(AND(I2404="TP",S2404&lt;=300),VLOOKUP(AF2404,TPCalibEq300!$AZ$2:$BB$55,3,),IF(AND(I2404="TDP",S2404&lt;=300),VLOOKUP(AF2404,TPCalibEq300!$AZ$2:$BB$55,3,)))</f>
        <v>0</v>
      </c>
      <c r="AS2404" s="10" t="b">
        <f>IF(AND(I2404="TP",S2404&lt;=500),VLOOKUP(AF2404,TPCalibEq500!$AZ$2:$BB$56,3,),IF(AND(I2404="TDP",S2404&lt;=500),VLOOKUP(AF2404,TPCalibEq500!$AZ$2:$BB$56,3,)))</f>
        <v>0</v>
      </c>
      <c r="AT2404" s="10" t="b">
        <f>IF(AND(I2404="TN",S2404&lt;=2800),VLOOKUP(AF2404,TNCalibEq2500!$AZ$2:$BB$56,3,),IF(AND(I2404="TDN",S2404&lt;=2800),VLOOKUP(AF2404,TNCalibEq2500!$AZ$2:$BB$56,3,)))</f>
        <v>0</v>
      </c>
      <c r="AU2404" s="10" t="b">
        <f>IF(I2404="TP",VLOOKUP(AF2404,TPCalibEqFull!$AZ$2:$BB$56,3),IF(I2404="TDP",VLOOKUP(AF2404,TPCalibEqFull!$AZ$2:$BB$56,3),IF(I2404="TDN",VLOOKUP(AF2404,TNCalibEqFull!$AZ$1:$BB$56,3),IF(I2404="TN",VLOOKUP(AF2404,TNCalibEqFull!$AZ$1:$BB$56,3),FALSE))))</f>
        <v>0</v>
      </c>
      <c r="AV2404" s="10" t="str">
        <f t="shared" si="275"/>
        <v>0206 11:03:00-FVC-0-C-2-SW-SPK</v>
      </c>
    </row>
    <row r="2405" spans="1:48" s="10" customFormat="1" x14ac:dyDescent="0.55000000000000004">
      <c r="A2405" s="32">
        <v>44966</v>
      </c>
      <c r="B2405" s="33">
        <v>0.375</v>
      </c>
      <c r="C2405" s="10" t="s">
        <v>70</v>
      </c>
      <c r="D2405" s="10" t="s">
        <v>71</v>
      </c>
      <c r="E2405" s="10" t="s">
        <v>901</v>
      </c>
      <c r="F2405" s="10">
        <v>1</v>
      </c>
      <c r="G2405" s="10" t="s">
        <v>73</v>
      </c>
      <c r="H2405" s="10" t="s">
        <v>207</v>
      </c>
      <c r="I2405" s="10" t="s">
        <v>256</v>
      </c>
      <c r="J2405" s="10">
        <v>200</v>
      </c>
      <c r="K2405" s="12">
        <v>44966</v>
      </c>
      <c r="L2405" s="33">
        <v>0.49333333333333335</v>
      </c>
      <c r="M2405" s="10">
        <v>1</v>
      </c>
      <c r="N2405" s="10" t="s">
        <v>169</v>
      </c>
      <c r="O2405" s="10">
        <v>2.23</v>
      </c>
      <c r="P2405" s="10">
        <v>0.105</v>
      </c>
      <c r="Q2405" s="10">
        <v>274</v>
      </c>
      <c r="R2405" s="10" t="s">
        <v>77</v>
      </c>
      <c r="S2405" s="34">
        <f t="shared" si="270"/>
        <v>274</v>
      </c>
      <c r="T2405" s="10" t="s">
        <v>1176</v>
      </c>
      <c r="U2405" s="34">
        <f t="shared" si="273"/>
        <v>91.333333333333329</v>
      </c>
      <c r="V2405" s="31">
        <f>IF(H2405="CHK",VLOOKUP(I2405,QCCHK,3,),IF(H2405="GUP",VLOOKUP(E2405,QCGUP,2,),IF(AND(H2405="ATP",OR(I2405="TN",I2405="TDN",I2405="TNO2-3",I2405="NO2-3")),VLOOKUP(E2405,QCREC_N,2,),IF(AND(H2405="NIC",OR(I2405="TN",I2405="TDN",I2405="TNO2-3",I2405="NO2-3")),VLOOKUP(E2405,QCNIC_N,2,),IF(AND(H2405="UREA",OR(I2405="TN",I2405="TDN",I2405="TNO2-3",I2405="NO2-3")),VLOOKUP(E2405,QCUREA_N,2,),IF(H2405="PER",VLOOKUP(I2405,QCPER,MATCH(E2405,QCACTUAL!$J$25:$AA$25,0),),IF(H2405="SPK",VLOOKUP(I2405,QCSPK,3,),IF(AND(H2405="ATP",OR(I2405="TP",I2405="TDP")),VLOOKUP(E2405,QCATP_P,2,),""))))))))</f>
        <v>300</v>
      </c>
      <c r="W2405" s="31" t="str">
        <f t="shared" si="274"/>
        <v>TRUE</v>
      </c>
      <c r="X2405" s="31" t="str">
        <f t="shared" si="269"/>
        <v>[chk]/[actual]*100</v>
      </c>
      <c r="Y2405" s="10" t="s">
        <v>1144</v>
      </c>
      <c r="AL2405" s="10" t="str">
        <f t="shared" si="271"/>
        <v>FALSE</v>
      </c>
      <c r="AM2405" s="10" t="str">
        <f t="shared" si="271"/>
        <v>FALSE</v>
      </c>
      <c r="AN2405" s="10" t="str">
        <f t="shared" si="271"/>
        <v>FALSE</v>
      </c>
      <c r="AO2405" s="10" t="str">
        <f t="shared" si="272"/>
        <v>FALSE</v>
      </c>
      <c r="AP2405" s="10" t="str">
        <f t="shared" si="272"/>
        <v>FALSE</v>
      </c>
      <c r="AQ2405" s="10" t="b">
        <f>IF(AND(I2405="TP",S2405&lt;=150),VLOOKUP(AF2405,TPCalibEq150!$AZ$2:$BB$55,3,),IF(AND(I2405="TDP",S2405&lt;=150),VLOOKUP(AF2405,TPCalibEq150!$AZ$2:$BB$55,3,)))</f>
        <v>0</v>
      </c>
      <c r="AR2405" s="10" t="b">
        <f>IF(AND(I2405="TP",S2405&lt;=300),VLOOKUP(AF2405,TPCalibEq300!$AZ$2:$BB$55,3,),IF(AND(I2405="TDP",S2405&lt;=300),VLOOKUP(AF2405,TPCalibEq300!$AZ$2:$BB$55,3,)))</f>
        <v>0</v>
      </c>
      <c r="AS2405" s="10" t="b">
        <f>IF(AND(I2405="TP",S2405&lt;=500),VLOOKUP(AF2405,TPCalibEq500!$AZ$2:$BB$56,3,),IF(AND(I2405="TDP",S2405&lt;=500),VLOOKUP(AF2405,TPCalibEq500!$AZ$2:$BB$56,3,)))</f>
        <v>0</v>
      </c>
      <c r="AT2405" s="10" t="b">
        <f>IF(AND(I2405="TN",S2405&lt;=2800),VLOOKUP(AF2405,TNCalibEq2500!$AZ$2:$BB$56,3,),IF(AND(I2405="TDN",S2405&lt;=2800),VLOOKUP(AF2405,TNCalibEq2500!$AZ$2:$BB$56,3,)))</f>
        <v>0</v>
      </c>
      <c r="AU2405" s="10" t="b">
        <f>IF(I2405="TP",VLOOKUP(AF2405,TPCalibEqFull!$AZ$2:$BB$56,3),IF(I2405="TDP",VLOOKUP(AF2405,TPCalibEqFull!$AZ$2:$BB$56,3),IF(I2405="TDN",VLOOKUP(AF2405,TNCalibEqFull!$AZ$1:$BB$56,3),IF(I2405="TN",VLOOKUP(AF2405,TNCalibEqFull!$AZ$1:$BB$56,3),FALSE))))</f>
        <v>0</v>
      </c>
      <c r="AV2405" s="10" t="str">
        <f t="shared" si="275"/>
        <v>0209 09:00:00-QAC-STD-D-1-DI-CHK</v>
      </c>
    </row>
    <row r="2406" spans="1:48" s="10" customFormat="1" x14ac:dyDescent="0.55000000000000004">
      <c r="A2406" s="32">
        <v>44963</v>
      </c>
      <c r="B2406" s="33">
        <v>0.46875</v>
      </c>
      <c r="C2406" s="10" t="s">
        <v>250</v>
      </c>
      <c r="D2406" s="10">
        <v>0</v>
      </c>
      <c r="E2406" s="10" t="s">
        <v>190</v>
      </c>
      <c r="F2406" s="10">
        <v>1</v>
      </c>
      <c r="G2406" s="10" t="s">
        <v>231</v>
      </c>
      <c r="H2406" s="10" t="s">
        <v>322</v>
      </c>
      <c r="I2406" s="10" t="s">
        <v>256</v>
      </c>
      <c r="J2406" s="10">
        <v>21</v>
      </c>
      <c r="K2406" s="12">
        <v>44966</v>
      </c>
      <c r="L2406" s="33">
        <v>0.4941550925925926</v>
      </c>
      <c r="M2406" s="10">
        <v>1</v>
      </c>
      <c r="N2406" s="10" t="s">
        <v>169</v>
      </c>
      <c r="O2406" s="10">
        <v>17.100000000000001</v>
      </c>
      <c r="P2406" s="10">
        <v>0.78500000000000003</v>
      </c>
      <c r="Q2406" s="10">
        <v>2110</v>
      </c>
      <c r="R2406" s="10" t="s">
        <v>77</v>
      </c>
      <c r="S2406" s="34">
        <f t="shared" si="270"/>
        <v>2110</v>
      </c>
      <c r="T2406" s="10" t="s">
        <v>1176</v>
      </c>
      <c r="U2406" s="34" t="str">
        <f t="shared" si="273"/>
        <v/>
      </c>
      <c r="V2406" s="31" t="str">
        <f>IF(H2406="CHK",VLOOKUP(I2406,QCCHK,3,),IF(H2406="GUP",VLOOKUP(E2406,QCGUP,2,),IF(AND(H2406="ATP",OR(I2406="TN",I2406="TDN",I2406="TNO2-3",I2406="NO2-3")),VLOOKUP(E2406,QCREC_N,2,),IF(AND(H2406="NIC",OR(I2406="TN",I2406="TDN",I2406="TNO2-3",I2406="NO2-3")),VLOOKUP(E2406,QCNIC_N,2,),IF(AND(H2406="UREA",OR(I2406="TN",I2406="TDN",I2406="TNO2-3",I2406="NO2-3")),VLOOKUP(E2406,QCUREA_N,2,),IF(H2406="PER",VLOOKUP(I2406,QCPER,MATCH(E2406,QCACTUAL!$J$25:$AA$25,0),),IF(H2406="SPK",VLOOKUP(I2406,QCSPK,3,),IF(AND(H2406="ATP",OR(I2406="TP",I2406="TDP")),VLOOKUP(E2406,QCATP_P,2,),""))))))))</f>
        <v/>
      </c>
      <c r="W2406" s="31" t="str">
        <f t="shared" si="274"/>
        <v>TRUE</v>
      </c>
      <c r="X2406" s="31" t="str">
        <f t="shared" si="269"/>
        <v/>
      </c>
      <c r="Y2406" s="10" t="s">
        <v>1144</v>
      </c>
      <c r="Z2406" s="10" t="s">
        <v>910</v>
      </c>
      <c r="AL2406" s="10" t="str">
        <f t="shared" si="271"/>
        <v>FALSE</v>
      </c>
      <c r="AM2406" s="10" t="str">
        <f t="shared" si="271"/>
        <v>FALSE</v>
      </c>
      <c r="AN2406" s="10" t="str">
        <f t="shared" si="271"/>
        <v>FALSE</v>
      </c>
      <c r="AO2406" s="10" t="str">
        <f t="shared" si="272"/>
        <v>FALSE</v>
      </c>
      <c r="AP2406" s="10" t="str">
        <f t="shared" si="272"/>
        <v>FALSE</v>
      </c>
      <c r="AQ2406" s="10" t="b">
        <f>IF(AND(I2406="TP",S2406&lt;=150),VLOOKUP(AF2406,TPCalibEq150!$AZ$2:$BB$55,3,),IF(AND(I2406="TDP",S2406&lt;=150),VLOOKUP(AF2406,TPCalibEq150!$AZ$2:$BB$55,3,)))</f>
        <v>0</v>
      </c>
      <c r="AR2406" s="10" t="b">
        <f>IF(AND(I2406="TP",S2406&lt;=300),VLOOKUP(AF2406,TPCalibEq300!$AZ$2:$BB$55,3,),IF(AND(I2406="TDP",S2406&lt;=300),VLOOKUP(AF2406,TPCalibEq300!$AZ$2:$BB$55,3,)))</f>
        <v>0</v>
      </c>
      <c r="AS2406" s="10" t="b">
        <f>IF(AND(I2406="TP",S2406&lt;=500),VLOOKUP(AF2406,TPCalibEq500!$AZ$2:$BB$56,3,),IF(AND(I2406="TDP",S2406&lt;=500),VLOOKUP(AF2406,TPCalibEq500!$AZ$2:$BB$56,3,)))</f>
        <v>0</v>
      </c>
      <c r="AT2406" s="10" t="b">
        <f>IF(AND(I2406="TN",S2406&lt;=2800),VLOOKUP(AF2406,TNCalibEq2500!$AZ$2:$BB$56,3,),IF(AND(I2406="TDN",S2406&lt;=2800),VLOOKUP(AF2406,TNCalibEq2500!$AZ$2:$BB$56,3,)))</f>
        <v>0</v>
      </c>
      <c r="AU2406" s="10" t="b">
        <f>IF(I2406="TP",VLOOKUP(AF2406,TPCalibEqFull!$AZ$2:$BB$56,3),IF(I2406="TDP",VLOOKUP(AF2406,TPCalibEqFull!$AZ$2:$BB$56,3),IF(I2406="TDN",VLOOKUP(AF2406,TNCalibEqFull!$AZ$1:$BB$56,3),IF(I2406="TN",VLOOKUP(AF2406,TNCalibEqFull!$AZ$1:$BB$56,3),FALSE))))</f>
        <v>0</v>
      </c>
      <c r="AV2406" s="10" t="str">
        <f t="shared" si="275"/>
        <v>0206 11:15:00-EFB-0-C-1-SW-UKN</v>
      </c>
    </row>
    <row r="2407" spans="1:48" s="10" customFormat="1" x14ac:dyDescent="0.55000000000000004">
      <c r="A2407" s="32">
        <v>44963</v>
      </c>
      <c r="B2407" s="33">
        <v>0.47916666666666669</v>
      </c>
      <c r="C2407" s="10" t="s">
        <v>326</v>
      </c>
      <c r="D2407" s="10">
        <v>0</v>
      </c>
      <c r="E2407" s="10" t="s">
        <v>190</v>
      </c>
      <c r="F2407" s="10">
        <v>1</v>
      </c>
      <c r="G2407" s="10" t="s">
        <v>231</v>
      </c>
      <c r="H2407" s="10" t="s">
        <v>322</v>
      </c>
      <c r="I2407" s="10" t="s">
        <v>256</v>
      </c>
      <c r="J2407" s="10">
        <v>22</v>
      </c>
      <c r="K2407" s="12">
        <v>44966</v>
      </c>
      <c r="L2407" s="33">
        <v>0.49496527777777777</v>
      </c>
      <c r="M2407" s="10">
        <v>1</v>
      </c>
      <c r="N2407" s="10" t="s">
        <v>169</v>
      </c>
      <c r="O2407" s="10">
        <v>6.03</v>
      </c>
      <c r="P2407" s="10">
        <v>0.27800000000000002</v>
      </c>
      <c r="Q2407" s="10">
        <v>744</v>
      </c>
      <c r="R2407" s="10" t="s">
        <v>77</v>
      </c>
      <c r="S2407" s="34">
        <f t="shared" si="270"/>
        <v>744</v>
      </c>
      <c r="T2407" s="10" t="s">
        <v>1176</v>
      </c>
      <c r="U2407" s="34" t="str">
        <f t="shared" si="273"/>
        <v/>
      </c>
      <c r="V2407" s="31" t="str">
        <f>IF(H2407="CHK",VLOOKUP(I2407,QCCHK,3,),IF(H2407="GUP",VLOOKUP(E2407,QCGUP,2,),IF(AND(H2407="ATP",OR(I2407="TN",I2407="TDN",I2407="TNO2-3",I2407="NO2-3")),VLOOKUP(E2407,QCREC_N,2,),IF(AND(H2407="NIC",OR(I2407="TN",I2407="TDN",I2407="TNO2-3",I2407="NO2-3")),VLOOKUP(E2407,QCNIC_N,2,),IF(AND(H2407="UREA",OR(I2407="TN",I2407="TDN",I2407="TNO2-3",I2407="NO2-3")),VLOOKUP(E2407,QCUREA_N,2,),IF(H2407="PER",VLOOKUP(I2407,QCPER,MATCH(E2407,QCACTUAL!$J$25:$AA$25,0),),IF(H2407="SPK",VLOOKUP(I2407,QCSPK,3,),IF(AND(H2407="ATP",OR(I2407="TP",I2407="TDP")),VLOOKUP(E2407,QCATP_P,2,),""))))))))</f>
        <v/>
      </c>
      <c r="W2407" s="31" t="str">
        <f t="shared" si="274"/>
        <v>TRUE</v>
      </c>
      <c r="X2407" s="31" t="str">
        <f t="shared" si="269"/>
        <v/>
      </c>
      <c r="Y2407" s="10" t="s">
        <v>1144</v>
      </c>
      <c r="Z2407" s="10" t="s">
        <v>910</v>
      </c>
      <c r="AL2407" s="10" t="str">
        <f t="shared" si="271"/>
        <v>FALSE</v>
      </c>
      <c r="AM2407" s="10" t="str">
        <f t="shared" si="271"/>
        <v>FALSE</v>
      </c>
      <c r="AN2407" s="10" t="str">
        <f t="shared" si="271"/>
        <v>FALSE</v>
      </c>
      <c r="AO2407" s="10" t="str">
        <f t="shared" si="272"/>
        <v>FALSE</v>
      </c>
      <c r="AP2407" s="10" t="str">
        <f t="shared" si="272"/>
        <v>FALSE</v>
      </c>
      <c r="AQ2407" s="10" t="b">
        <f>IF(AND(I2407="TP",S2407&lt;=150),VLOOKUP(AF2407,TPCalibEq150!$AZ$2:$BB$55,3,),IF(AND(I2407="TDP",S2407&lt;=150),VLOOKUP(AF2407,TPCalibEq150!$AZ$2:$BB$55,3,)))</f>
        <v>0</v>
      </c>
      <c r="AR2407" s="10" t="b">
        <f>IF(AND(I2407="TP",S2407&lt;=300),VLOOKUP(AF2407,TPCalibEq300!$AZ$2:$BB$55,3,),IF(AND(I2407="TDP",S2407&lt;=300),VLOOKUP(AF2407,TPCalibEq300!$AZ$2:$BB$55,3,)))</f>
        <v>0</v>
      </c>
      <c r="AS2407" s="10" t="b">
        <f>IF(AND(I2407="TP",S2407&lt;=500),VLOOKUP(AF2407,TPCalibEq500!$AZ$2:$BB$56,3,),IF(AND(I2407="TDP",S2407&lt;=500),VLOOKUP(AF2407,TPCalibEq500!$AZ$2:$BB$56,3,)))</f>
        <v>0</v>
      </c>
      <c r="AT2407" s="10" t="b">
        <f>IF(AND(I2407="TN",S2407&lt;=2800),VLOOKUP(AF2407,TNCalibEq2500!$AZ$2:$BB$56,3,),IF(AND(I2407="TDN",S2407&lt;=2800),VLOOKUP(AF2407,TNCalibEq2500!$AZ$2:$BB$56,3,)))</f>
        <v>0</v>
      </c>
      <c r="AU2407" s="10" t="b">
        <f>IF(I2407="TP",VLOOKUP(AF2407,TPCalibEqFull!$AZ$2:$BB$56,3),IF(I2407="TDP",VLOOKUP(AF2407,TPCalibEqFull!$AZ$2:$BB$56,3),IF(I2407="TDN",VLOOKUP(AF2407,TNCalibEqFull!$AZ$1:$BB$56,3),IF(I2407="TN",VLOOKUP(AF2407,TNCalibEqFull!$AZ$1:$BB$56,3),FALSE))))</f>
        <v>0</v>
      </c>
      <c r="AV2407" s="10" t="str">
        <f t="shared" si="275"/>
        <v>0206 11:30:00-GRR-0-C-1-SW-UKN</v>
      </c>
    </row>
    <row r="2408" spans="1:48" s="10" customFormat="1" x14ac:dyDescent="0.55000000000000004">
      <c r="A2408" s="32">
        <v>44963</v>
      </c>
      <c r="B2408" s="33">
        <v>0.4909722222222222</v>
      </c>
      <c r="C2408" s="10" t="s">
        <v>416</v>
      </c>
      <c r="D2408" s="10">
        <v>0</v>
      </c>
      <c r="E2408" s="10" t="s">
        <v>190</v>
      </c>
      <c r="F2408" s="10">
        <v>1</v>
      </c>
      <c r="G2408" s="10" t="s">
        <v>231</v>
      </c>
      <c r="H2408" s="10" t="s">
        <v>322</v>
      </c>
      <c r="I2408" s="10" t="s">
        <v>256</v>
      </c>
      <c r="J2408" s="10">
        <v>23</v>
      </c>
      <c r="K2408" s="12">
        <v>44966</v>
      </c>
      <c r="L2408" s="33">
        <v>0.49578703703703703</v>
      </c>
      <c r="M2408" s="10">
        <v>1</v>
      </c>
      <c r="N2408" s="10" t="s">
        <v>169</v>
      </c>
      <c r="O2408" s="10">
        <v>3.27</v>
      </c>
      <c r="P2408" s="10">
        <v>0.15</v>
      </c>
      <c r="Q2408" s="10">
        <v>404</v>
      </c>
      <c r="R2408" s="10" t="s">
        <v>77</v>
      </c>
      <c r="S2408" s="34">
        <f t="shared" si="270"/>
        <v>404</v>
      </c>
      <c r="T2408" s="10" t="s">
        <v>1176</v>
      </c>
      <c r="U2408" s="34" t="str">
        <f t="shared" si="273"/>
        <v/>
      </c>
      <c r="V2408" s="31" t="str">
        <f>IF(H2408="CHK",VLOOKUP(I2408,QCCHK,3,),IF(H2408="GUP",VLOOKUP(E2408,QCGUP,2,),IF(AND(H2408="ATP",OR(I2408="TN",I2408="TDN",I2408="TNO2-3",I2408="NO2-3")),VLOOKUP(E2408,QCREC_N,2,),IF(AND(H2408="NIC",OR(I2408="TN",I2408="TDN",I2408="TNO2-3",I2408="NO2-3")),VLOOKUP(E2408,QCNIC_N,2,),IF(AND(H2408="UREA",OR(I2408="TN",I2408="TDN",I2408="TNO2-3",I2408="NO2-3")),VLOOKUP(E2408,QCUREA_N,2,),IF(H2408="PER",VLOOKUP(I2408,QCPER,MATCH(E2408,QCACTUAL!$J$25:$AA$25,0),),IF(H2408="SPK",VLOOKUP(I2408,QCSPK,3,),IF(AND(H2408="ATP",OR(I2408="TP",I2408="TDP")),VLOOKUP(E2408,QCATP_P,2,),""))))))))</f>
        <v/>
      </c>
      <c r="W2408" s="31" t="str">
        <f t="shared" si="274"/>
        <v>TRUE</v>
      </c>
      <c r="X2408" s="31" t="str">
        <f t="shared" si="269"/>
        <v/>
      </c>
      <c r="Y2408" s="10" t="s">
        <v>1144</v>
      </c>
      <c r="Z2408" s="10" t="s">
        <v>910</v>
      </c>
      <c r="AL2408" s="10" t="str">
        <f t="shared" si="271"/>
        <v>FALSE</v>
      </c>
      <c r="AM2408" s="10" t="str">
        <f t="shared" si="271"/>
        <v>FALSE</v>
      </c>
      <c r="AN2408" s="10" t="str">
        <f t="shared" si="271"/>
        <v>FALSE</v>
      </c>
      <c r="AO2408" s="10" t="str">
        <f t="shared" si="272"/>
        <v>FALSE</v>
      </c>
      <c r="AP2408" s="10" t="str">
        <f t="shared" si="272"/>
        <v>FALSE</v>
      </c>
      <c r="AQ2408" s="10" t="b">
        <f>IF(AND(I2408="TP",S2408&lt;=150),VLOOKUP(AF2408,TPCalibEq150!$AZ$2:$BB$55,3,),IF(AND(I2408="TDP",S2408&lt;=150),VLOOKUP(AF2408,TPCalibEq150!$AZ$2:$BB$55,3,)))</f>
        <v>0</v>
      </c>
      <c r="AR2408" s="10" t="b">
        <f>IF(AND(I2408="TP",S2408&lt;=300),VLOOKUP(AF2408,TPCalibEq300!$AZ$2:$BB$55,3,),IF(AND(I2408="TDP",S2408&lt;=300),VLOOKUP(AF2408,TPCalibEq300!$AZ$2:$BB$55,3,)))</f>
        <v>0</v>
      </c>
      <c r="AS2408" s="10" t="b">
        <f>IF(AND(I2408="TP",S2408&lt;=500),VLOOKUP(AF2408,TPCalibEq500!$AZ$2:$BB$56,3,),IF(AND(I2408="TDP",S2408&lt;=500),VLOOKUP(AF2408,TPCalibEq500!$AZ$2:$BB$56,3,)))</f>
        <v>0</v>
      </c>
      <c r="AT2408" s="10" t="b">
        <f>IF(AND(I2408="TN",S2408&lt;=2800),VLOOKUP(AF2408,TNCalibEq2500!$AZ$2:$BB$56,3,),IF(AND(I2408="TDN",S2408&lt;=2800),VLOOKUP(AF2408,TNCalibEq2500!$AZ$2:$BB$56,3,)))</f>
        <v>0</v>
      </c>
      <c r="AU2408" s="10" t="b">
        <f>IF(I2408="TP",VLOOKUP(AF2408,TPCalibEqFull!$AZ$2:$BB$56,3),IF(I2408="TDP",VLOOKUP(AF2408,TPCalibEqFull!$AZ$2:$BB$56,3),IF(I2408="TDN",VLOOKUP(AF2408,TNCalibEqFull!$AZ$1:$BB$56,3),IF(I2408="TN",VLOOKUP(AF2408,TNCalibEqFull!$AZ$1:$BB$56,3),FALSE))))</f>
        <v>0</v>
      </c>
      <c r="AV2408" s="10" t="str">
        <f t="shared" si="275"/>
        <v>0206 11:47:00-CWL-0-C-1-SW-UKN</v>
      </c>
    </row>
    <row r="2409" spans="1:48" s="10" customFormat="1" x14ac:dyDescent="0.55000000000000004">
      <c r="A2409" s="32">
        <v>44963</v>
      </c>
      <c r="B2409" s="33">
        <v>0.61875000000000002</v>
      </c>
      <c r="C2409" s="10" t="s">
        <v>408</v>
      </c>
      <c r="D2409" s="10">
        <v>0</v>
      </c>
      <c r="E2409" s="10">
        <v>560</v>
      </c>
      <c r="F2409" s="10">
        <v>1</v>
      </c>
      <c r="G2409" s="10" t="s">
        <v>231</v>
      </c>
      <c r="H2409" s="10" t="s">
        <v>322</v>
      </c>
      <c r="I2409" s="10" t="s">
        <v>256</v>
      </c>
      <c r="J2409" s="10">
        <v>24</v>
      </c>
      <c r="K2409" s="12">
        <v>44966</v>
      </c>
      <c r="L2409" s="33">
        <v>0.49659722222222219</v>
      </c>
      <c r="M2409" s="10">
        <v>1</v>
      </c>
      <c r="N2409" s="10" t="s">
        <v>169</v>
      </c>
      <c r="O2409" s="10">
        <v>1.85</v>
      </c>
      <c r="P2409" s="10">
        <v>8.5300000000000001E-2</v>
      </c>
      <c r="Q2409" s="10">
        <v>228</v>
      </c>
      <c r="R2409" s="10" t="s">
        <v>77</v>
      </c>
      <c r="S2409" s="34">
        <f t="shared" si="270"/>
        <v>228</v>
      </c>
      <c r="T2409" s="10" t="s">
        <v>1176</v>
      </c>
      <c r="U2409" s="34" t="str">
        <f t="shared" si="273"/>
        <v/>
      </c>
      <c r="V2409" s="31" t="str">
        <f>IF(H2409="CHK",VLOOKUP(I2409,QCCHK,3,),IF(H2409="GUP",VLOOKUP(E2409,QCGUP,2,),IF(AND(H2409="ATP",OR(I2409="TN",I2409="TDN",I2409="TNO2-3",I2409="NO2-3")),VLOOKUP(E2409,QCREC_N,2,),IF(AND(H2409="NIC",OR(I2409="TN",I2409="TDN",I2409="TNO2-3",I2409="NO2-3")),VLOOKUP(E2409,QCNIC_N,2,),IF(AND(H2409="UREA",OR(I2409="TN",I2409="TDN",I2409="TNO2-3",I2409="NO2-3")),VLOOKUP(E2409,QCUREA_N,2,),IF(H2409="PER",VLOOKUP(I2409,QCPER,MATCH(E2409,QCACTUAL!$J$25:$AA$25,0),),IF(H2409="SPK",VLOOKUP(I2409,QCSPK,3,),IF(AND(H2409="ATP",OR(I2409="TP",I2409="TDP")),VLOOKUP(E2409,QCATP_P,2,),""))))))))</f>
        <v/>
      </c>
      <c r="W2409" s="31" t="str">
        <f t="shared" si="274"/>
        <v>TRUE</v>
      </c>
      <c r="X2409" s="31" t="str">
        <f t="shared" si="269"/>
        <v/>
      </c>
      <c r="Y2409" s="10" t="s">
        <v>1144</v>
      </c>
      <c r="Z2409" s="10" t="s">
        <v>910</v>
      </c>
      <c r="AL2409" s="10" t="str">
        <f t="shared" si="271"/>
        <v>FALSE</v>
      </c>
      <c r="AM2409" s="10" t="str">
        <f t="shared" si="271"/>
        <v>FALSE</v>
      </c>
      <c r="AN2409" s="10" t="str">
        <f t="shared" si="271"/>
        <v>FALSE</v>
      </c>
      <c r="AO2409" s="10" t="str">
        <f t="shared" si="272"/>
        <v>FALSE</v>
      </c>
      <c r="AP2409" s="10" t="str">
        <f t="shared" si="272"/>
        <v>FALSE</v>
      </c>
      <c r="AQ2409" s="10" t="b">
        <f>IF(AND(I2409="TP",S2409&lt;=150),VLOOKUP(AF2409,TPCalibEq150!$AZ$2:$BB$55,3,),IF(AND(I2409="TDP",S2409&lt;=150),VLOOKUP(AF2409,TPCalibEq150!$AZ$2:$BB$55,3,)))</f>
        <v>0</v>
      </c>
      <c r="AR2409" s="10" t="b">
        <f>IF(AND(I2409="TP",S2409&lt;=300),VLOOKUP(AF2409,TPCalibEq300!$AZ$2:$BB$55,3,),IF(AND(I2409="TDP",S2409&lt;=300),VLOOKUP(AF2409,TPCalibEq300!$AZ$2:$BB$55,3,)))</f>
        <v>0</v>
      </c>
      <c r="AS2409" s="10" t="b">
        <f>IF(AND(I2409="TP",S2409&lt;=500),VLOOKUP(AF2409,TPCalibEq500!$AZ$2:$BB$56,3,),IF(AND(I2409="TDP",S2409&lt;=500),VLOOKUP(AF2409,TPCalibEq500!$AZ$2:$BB$56,3,)))</f>
        <v>0</v>
      </c>
      <c r="AT2409" s="10" t="b">
        <f>IF(AND(I2409="TN",S2409&lt;=2800),VLOOKUP(AF2409,TNCalibEq2500!$AZ$2:$BB$56,3,),IF(AND(I2409="TDN",S2409&lt;=2800),VLOOKUP(AF2409,TNCalibEq2500!$AZ$2:$BB$56,3,)))</f>
        <v>0</v>
      </c>
      <c r="AU2409" s="10" t="b">
        <f>IF(I2409="TP",VLOOKUP(AF2409,TPCalibEqFull!$AZ$2:$BB$56,3),IF(I2409="TDP",VLOOKUP(AF2409,TPCalibEqFull!$AZ$2:$BB$56,3),IF(I2409="TDN",VLOOKUP(AF2409,TNCalibEqFull!$AZ$1:$BB$56,3),IF(I2409="TN",VLOOKUP(AF2409,TNCalibEqFull!$AZ$1:$BB$56,3),FALSE))))</f>
        <v>0</v>
      </c>
      <c r="AV2409" s="10" t="str">
        <f t="shared" si="275"/>
        <v>0206 14:51:00-CLC-0-560-1-SW-UKN</v>
      </c>
    </row>
    <row r="2410" spans="1:48" s="10" customFormat="1" x14ac:dyDescent="0.55000000000000004">
      <c r="A2410" s="32">
        <v>44963</v>
      </c>
      <c r="B2410" s="33">
        <v>0.59722222222222221</v>
      </c>
      <c r="C2410" s="10" t="s">
        <v>214</v>
      </c>
      <c r="D2410" s="10">
        <v>0</v>
      </c>
      <c r="E2410" s="10">
        <v>610</v>
      </c>
      <c r="F2410" s="10">
        <v>1</v>
      </c>
      <c r="G2410" s="10" t="s">
        <v>231</v>
      </c>
      <c r="H2410" s="10" t="s">
        <v>322</v>
      </c>
      <c r="I2410" s="10" t="s">
        <v>256</v>
      </c>
      <c r="J2410" s="10">
        <v>25</v>
      </c>
      <c r="K2410" s="12">
        <v>44966</v>
      </c>
      <c r="L2410" s="33">
        <v>0.49740740740740735</v>
      </c>
      <c r="M2410" s="10">
        <v>1</v>
      </c>
      <c r="N2410" s="10" t="s">
        <v>169</v>
      </c>
      <c r="O2410" s="10">
        <v>7.27</v>
      </c>
      <c r="P2410" s="10">
        <v>0.33500000000000002</v>
      </c>
      <c r="Q2410" s="10">
        <v>898</v>
      </c>
      <c r="R2410" s="10" t="s">
        <v>77</v>
      </c>
      <c r="S2410" s="34">
        <f t="shared" si="270"/>
        <v>898</v>
      </c>
      <c r="T2410" s="10" t="s">
        <v>1176</v>
      </c>
      <c r="U2410" s="34" t="str">
        <f t="shared" si="273"/>
        <v/>
      </c>
      <c r="V2410" s="31" t="str">
        <f>IF(H2410="CHK",VLOOKUP(I2410,QCCHK,3,),IF(H2410="GUP",VLOOKUP(E2410,QCGUP,2,),IF(AND(H2410="ATP",OR(I2410="TN",I2410="TDN",I2410="TNO2-3",I2410="NO2-3")),VLOOKUP(E2410,QCREC_N,2,),IF(AND(H2410="NIC",OR(I2410="TN",I2410="TDN",I2410="TNO2-3",I2410="NO2-3")),VLOOKUP(E2410,QCNIC_N,2,),IF(AND(H2410="UREA",OR(I2410="TN",I2410="TDN",I2410="TNO2-3",I2410="NO2-3")),VLOOKUP(E2410,QCUREA_N,2,),IF(H2410="PER",VLOOKUP(I2410,QCPER,MATCH(E2410,QCACTUAL!$J$25:$AA$25,0),),IF(H2410="SPK",VLOOKUP(I2410,QCSPK,3,),IF(AND(H2410="ATP",OR(I2410="TP",I2410="TDP")),VLOOKUP(E2410,QCATP_P,2,),""))))))))</f>
        <v/>
      </c>
      <c r="W2410" s="31" t="str">
        <f t="shared" si="274"/>
        <v>TRUE</v>
      </c>
      <c r="X2410" s="31" t="str">
        <f t="shared" si="269"/>
        <v/>
      </c>
      <c r="Y2410" s="10" t="s">
        <v>1144</v>
      </c>
      <c r="Z2410" s="10" t="s">
        <v>910</v>
      </c>
      <c r="AL2410" s="10" t="str">
        <f t="shared" si="271"/>
        <v>FALSE</v>
      </c>
      <c r="AM2410" s="10" t="str">
        <f t="shared" si="271"/>
        <v>FALSE</v>
      </c>
      <c r="AN2410" s="10" t="str">
        <f t="shared" si="271"/>
        <v>FALSE</v>
      </c>
      <c r="AO2410" s="10" t="str">
        <f t="shared" si="272"/>
        <v>FALSE</v>
      </c>
      <c r="AP2410" s="10" t="str">
        <f t="shared" si="272"/>
        <v>FALSE</v>
      </c>
      <c r="AQ2410" s="10" t="b">
        <f>IF(AND(I2410="TP",S2410&lt;=150),VLOOKUP(AF2410,TPCalibEq150!$AZ$2:$BB$55,3,),IF(AND(I2410="TDP",S2410&lt;=150),VLOOKUP(AF2410,TPCalibEq150!$AZ$2:$BB$55,3,)))</f>
        <v>0</v>
      </c>
      <c r="AR2410" s="10" t="b">
        <f>IF(AND(I2410="TP",S2410&lt;=300),VLOOKUP(AF2410,TPCalibEq300!$AZ$2:$BB$55,3,),IF(AND(I2410="TDP",S2410&lt;=300),VLOOKUP(AF2410,TPCalibEq300!$AZ$2:$BB$55,3,)))</f>
        <v>0</v>
      </c>
      <c r="AS2410" s="10" t="b">
        <f>IF(AND(I2410="TP",S2410&lt;=500),VLOOKUP(AF2410,TPCalibEq500!$AZ$2:$BB$56,3,),IF(AND(I2410="TDP",S2410&lt;=500),VLOOKUP(AF2410,TPCalibEq500!$AZ$2:$BB$56,3,)))</f>
        <v>0</v>
      </c>
      <c r="AT2410" s="10" t="b">
        <f>IF(AND(I2410="TN",S2410&lt;=2800),VLOOKUP(AF2410,TNCalibEq2500!$AZ$2:$BB$56,3,),IF(AND(I2410="TDN",S2410&lt;=2800),VLOOKUP(AF2410,TNCalibEq2500!$AZ$2:$BB$56,3,)))</f>
        <v>0</v>
      </c>
      <c r="AU2410" s="10" t="b">
        <f>IF(I2410="TP",VLOOKUP(AF2410,TPCalibEqFull!$AZ$2:$BB$56,3),IF(I2410="TDP",VLOOKUP(AF2410,TPCalibEqFull!$AZ$2:$BB$56,3),IF(I2410="TDN",VLOOKUP(AF2410,TNCalibEqFull!$AZ$1:$BB$56,3),IF(I2410="TN",VLOOKUP(AF2410,TNCalibEqFull!$AZ$1:$BB$56,3),FALSE))))</f>
        <v>0</v>
      </c>
      <c r="AV2410" s="10" t="str">
        <f t="shared" si="275"/>
        <v>0206 14:20:00-DAM-0-610-1-SW-UKN</v>
      </c>
    </row>
    <row r="2411" spans="1:48" s="10" customFormat="1" x14ac:dyDescent="0.55000000000000004">
      <c r="A2411" s="32">
        <v>44963</v>
      </c>
      <c r="B2411" s="33">
        <v>0.59722222222222221</v>
      </c>
      <c r="C2411" s="10" t="s">
        <v>214</v>
      </c>
      <c r="D2411" s="10">
        <v>0</v>
      </c>
      <c r="E2411" s="10" t="s">
        <v>190</v>
      </c>
      <c r="F2411" s="10">
        <v>1</v>
      </c>
      <c r="G2411" s="10" t="s">
        <v>231</v>
      </c>
      <c r="H2411" s="10" t="s">
        <v>233</v>
      </c>
      <c r="I2411" s="10" t="s">
        <v>256</v>
      </c>
      <c r="J2411" s="10">
        <v>25</v>
      </c>
      <c r="K2411" s="12">
        <v>44966</v>
      </c>
      <c r="L2411" s="33">
        <v>0.49822916666666667</v>
      </c>
      <c r="M2411" s="10">
        <v>1</v>
      </c>
      <c r="N2411" s="10" t="s">
        <v>169</v>
      </c>
      <c r="O2411" s="10">
        <v>3.38</v>
      </c>
      <c r="P2411" s="10">
        <v>0.157</v>
      </c>
      <c r="Q2411" s="10">
        <v>417</v>
      </c>
      <c r="R2411" s="10" t="s">
        <v>77</v>
      </c>
      <c r="S2411" s="34">
        <f t="shared" si="270"/>
        <v>417</v>
      </c>
      <c r="T2411" s="10" t="s">
        <v>1176</v>
      </c>
      <c r="U2411" s="34">
        <f t="shared" si="273"/>
        <v>73.155893536121681</v>
      </c>
      <c r="V2411" s="31" t="str">
        <f>IF(H2411="CHK",VLOOKUP(I2411,QCCHK,3,),IF(H2411="GUP",VLOOKUP(E2411,QCGUP,2,),IF(AND(H2411="ATP",OR(I2411="TN",I2411="TDN",I2411="TNO2-3",I2411="NO2-3")),VLOOKUP(E2411,QCREC_N,2,),IF(AND(H2411="NIC",OR(I2411="TN",I2411="TDN",I2411="TNO2-3",I2411="NO2-3")),VLOOKUP(E2411,QCNIC_N,2,),IF(AND(H2411="UREA",OR(I2411="TN",I2411="TDN",I2411="TNO2-3",I2411="NO2-3")),VLOOKUP(E2411,QCUREA_N,2,),IF(H2411="PER",VLOOKUP(I2411,QCPER,MATCH(E2411,QCACTUAL!$J$25:$AA$25,0),),IF(H2411="SPK",VLOOKUP(I2411,QCSPK,3,),IF(AND(H2411="ATP",OR(I2411="TP",I2411="TDP")),VLOOKUP(E2411,QCATP_P,2,),""))))))))</f>
        <v/>
      </c>
      <c r="W2411" s="31" t="str">
        <f t="shared" si="274"/>
        <v>FALSE</v>
      </c>
      <c r="X2411" s="31" t="str">
        <f t="shared" si="269"/>
        <v>((ABS(rep1-rep2))/((rep1+rep2)/2)*100</v>
      </c>
      <c r="Y2411" s="10" t="s">
        <v>1144</v>
      </c>
      <c r="Z2411" s="10" t="s">
        <v>910</v>
      </c>
      <c r="AL2411" s="10" t="str">
        <f t="shared" si="271"/>
        <v>FALSE</v>
      </c>
      <c r="AM2411" s="10" t="str">
        <f t="shared" si="271"/>
        <v>FALSE</v>
      </c>
      <c r="AN2411" s="10" t="str">
        <f t="shared" si="271"/>
        <v>FALSE</v>
      </c>
      <c r="AO2411" s="10" t="str">
        <f t="shared" si="272"/>
        <v>FALSE</v>
      </c>
      <c r="AP2411" s="10" t="str">
        <f t="shared" si="272"/>
        <v>FALSE</v>
      </c>
      <c r="AQ2411" s="10" t="b">
        <f>IF(AND(I2411="TP",S2411&lt;=150),VLOOKUP(AF2411,TPCalibEq150!$AZ$2:$BB$55,3,),IF(AND(I2411="TDP",S2411&lt;=150),VLOOKUP(AF2411,TPCalibEq150!$AZ$2:$BB$55,3,)))</f>
        <v>0</v>
      </c>
      <c r="AR2411" s="10" t="b">
        <f>IF(AND(I2411="TP",S2411&lt;=300),VLOOKUP(AF2411,TPCalibEq300!$AZ$2:$BB$55,3,),IF(AND(I2411="TDP",S2411&lt;=300),VLOOKUP(AF2411,TPCalibEq300!$AZ$2:$BB$55,3,)))</f>
        <v>0</v>
      </c>
      <c r="AS2411" s="10" t="b">
        <f>IF(AND(I2411="TP",S2411&lt;=500),VLOOKUP(AF2411,TPCalibEq500!$AZ$2:$BB$56,3,),IF(AND(I2411="TDP",S2411&lt;=500),VLOOKUP(AF2411,TPCalibEq500!$AZ$2:$BB$56,3,)))</f>
        <v>0</v>
      </c>
      <c r="AT2411" s="10" t="b">
        <f>IF(AND(I2411="TN",S2411&lt;=2800),VLOOKUP(AF2411,TNCalibEq2500!$AZ$2:$BB$56,3,),IF(AND(I2411="TDN",S2411&lt;=2800),VLOOKUP(AF2411,TNCalibEq2500!$AZ$2:$BB$56,3,)))</f>
        <v>0</v>
      </c>
      <c r="AU2411" s="10" t="b">
        <f>IF(I2411="TP",VLOOKUP(AF2411,TPCalibEqFull!$AZ$2:$BB$56,3),IF(I2411="TDP",VLOOKUP(AF2411,TPCalibEqFull!$AZ$2:$BB$56,3),IF(I2411="TDN",VLOOKUP(AF2411,TNCalibEqFull!$AZ$1:$BB$56,3),IF(I2411="TN",VLOOKUP(AF2411,TNCalibEqFull!$AZ$1:$BB$56,3),FALSE))))</f>
        <v>0</v>
      </c>
      <c r="AV2411" s="10" t="str">
        <f t="shared" si="275"/>
        <v>0206 14:20:00-DAM-0-C-1-SW-DUP</v>
      </c>
    </row>
    <row r="2412" spans="1:48" s="10" customFormat="1" x14ac:dyDescent="0.55000000000000004">
      <c r="A2412" s="32">
        <v>44963</v>
      </c>
      <c r="B2412" s="33">
        <v>0.59722222222222221</v>
      </c>
      <c r="C2412" s="10" t="s">
        <v>214</v>
      </c>
      <c r="D2412" s="10">
        <v>0</v>
      </c>
      <c r="E2412" s="10" t="s">
        <v>190</v>
      </c>
      <c r="F2412" s="10">
        <v>1</v>
      </c>
      <c r="G2412" s="10" t="s">
        <v>231</v>
      </c>
      <c r="H2412" s="10" t="s">
        <v>314</v>
      </c>
      <c r="I2412" s="10" t="s">
        <v>256</v>
      </c>
      <c r="J2412" s="10">
        <v>114</v>
      </c>
      <c r="K2412" s="12">
        <v>44966</v>
      </c>
      <c r="L2412" s="33">
        <v>0.49903935185185189</v>
      </c>
      <c r="M2412" s="10">
        <v>1</v>
      </c>
      <c r="N2412" s="10" t="s">
        <v>169</v>
      </c>
      <c r="O2412" s="10">
        <v>5.14</v>
      </c>
      <c r="P2412" s="10">
        <v>0.23599999999999999</v>
      </c>
      <c r="Q2412" s="10">
        <v>634</v>
      </c>
      <c r="R2412" s="10" t="s">
        <v>77</v>
      </c>
      <c r="S2412" s="34">
        <f t="shared" si="270"/>
        <v>634</v>
      </c>
      <c r="T2412" s="10" t="s">
        <v>1176</v>
      </c>
      <c r="U2412" s="34">
        <f t="shared" si="273"/>
        <v>34.72</v>
      </c>
      <c r="V2412" s="31">
        <f>IF(H2412="CHK",VLOOKUP(I2412,QCCHK,3,),IF(H2412="GUP",VLOOKUP(E2412,QCGUP,2,),IF(AND(H2412="ATP",OR(I2412="TN",I2412="TDN",I2412="TNO2-3",I2412="NO2-3")),VLOOKUP(E2412,QCREC_N,2,),IF(AND(H2412="NIC",OR(I2412="TN",I2412="TDN",I2412="TNO2-3",I2412="NO2-3")),VLOOKUP(E2412,QCNIC_N,2,),IF(AND(H2412="UREA",OR(I2412="TN",I2412="TDN",I2412="TNO2-3",I2412="NO2-3")),VLOOKUP(E2412,QCUREA_N,2,),IF(H2412="PER",VLOOKUP(I2412,QCPER,MATCH(E2412,QCACTUAL!$J$25:$AA$25,0),),IF(H2412="SPK",VLOOKUP(I2412,QCSPK,3,),IF(AND(H2412="ATP",OR(I2412="TP",I2412="TDP")),VLOOKUP(E2412,QCATP_P,2,),""))))))))</f>
        <v>625</v>
      </c>
      <c r="W2412" s="31" t="str">
        <f t="shared" si="274"/>
        <v>FALSE</v>
      </c>
      <c r="X2412" s="31" t="str">
        <f t="shared" si="269"/>
        <v>([spikedunkn]-[unkn])/[spike]*100</v>
      </c>
      <c r="Y2412" s="10" t="s">
        <v>1144</v>
      </c>
      <c r="Z2412" s="10" t="s">
        <v>910</v>
      </c>
      <c r="AL2412" s="10" t="str">
        <f t="shared" si="271"/>
        <v>FALSE</v>
      </c>
      <c r="AM2412" s="10" t="str">
        <f t="shared" si="271"/>
        <v>FALSE</v>
      </c>
      <c r="AN2412" s="10" t="str">
        <f t="shared" si="271"/>
        <v>FALSE</v>
      </c>
      <c r="AO2412" s="10" t="str">
        <f t="shared" si="272"/>
        <v>FALSE</v>
      </c>
      <c r="AP2412" s="10" t="str">
        <f t="shared" si="272"/>
        <v>FALSE</v>
      </c>
      <c r="AQ2412" s="10" t="b">
        <f>IF(AND(I2412="TP",S2412&lt;=150),VLOOKUP(AF2412,TPCalibEq150!$AZ$2:$BB$55,3,),IF(AND(I2412="TDP",S2412&lt;=150),VLOOKUP(AF2412,TPCalibEq150!$AZ$2:$BB$55,3,)))</f>
        <v>0</v>
      </c>
      <c r="AR2412" s="10" t="b">
        <f>IF(AND(I2412="TP",S2412&lt;=300),VLOOKUP(AF2412,TPCalibEq300!$AZ$2:$BB$55,3,),IF(AND(I2412="TDP",S2412&lt;=300),VLOOKUP(AF2412,TPCalibEq300!$AZ$2:$BB$55,3,)))</f>
        <v>0</v>
      </c>
      <c r="AS2412" s="10" t="b">
        <f>IF(AND(I2412="TP",S2412&lt;=500),VLOOKUP(AF2412,TPCalibEq500!$AZ$2:$BB$56,3,),IF(AND(I2412="TDP",S2412&lt;=500),VLOOKUP(AF2412,TPCalibEq500!$AZ$2:$BB$56,3,)))</f>
        <v>0</v>
      </c>
      <c r="AT2412" s="10" t="b">
        <f>IF(AND(I2412="TN",S2412&lt;=2800),VLOOKUP(AF2412,TNCalibEq2500!$AZ$2:$BB$56,3,),IF(AND(I2412="TDN",S2412&lt;=2800),VLOOKUP(AF2412,TNCalibEq2500!$AZ$2:$BB$56,3,)))</f>
        <v>0</v>
      </c>
      <c r="AU2412" s="10" t="b">
        <f>IF(I2412="TP",VLOOKUP(AF2412,TPCalibEqFull!$AZ$2:$BB$56,3),IF(I2412="TDP",VLOOKUP(AF2412,TPCalibEqFull!$AZ$2:$BB$56,3),IF(I2412="TDN",VLOOKUP(AF2412,TNCalibEqFull!$AZ$1:$BB$56,3),IF(I2412="TN",VLOOKUP(AF2412,TNCalibEqFull!$AZ$1:$BB$56,3),FALSE))))</f>
        <v>0</v>
      </c>
      <c r="AV2412" s="10" t="str">
        <f t="shared" si="275"/>
        <v>0206 14:20:00-DAM-0-C-1-SW-SPK</v>
      </c>
    </row>
    <row r="2413" spans="1:48" s="10" customFormat="1" x14ac:dyDescent="0.55000000000000004">
      <c r="A2413" s="32">
        <v>44966</v>
      </c>
      <c r="B2413" s="33">
        <v>0.375</v>
      </c>
      <c r="C2413" s="10" t="s">
        <v>70</v>
      </c>
      <c r="D2413" s="10" t="s">
        <v>71</v>
      </c>
      <c r="E2413" s="10" t="s">
        <v>901</v>
      </c>
      <c r="F2413" s="10">
        <v>1</v>
      </c>
      <c r="G2413" s="10" t="s">
        <v>73</v>
      </c>
      <c r="H2413" s="10" t="s">
        <v>207</v>
      </c>
      <c r="I2413" s="10" t="s">
        <v>256</v>
      </c>
      <c r="J2413" s="10">
        <v>200</v>
      </c>
      <c r="K2413" s="12">
        <v>44966</v>
      </c>
      <c r="L2413" s="33">
        <v>0.49986111111111109</v>
      </c>
      <c r="M2413" s="10">
        <v>1</v>
      </c>
      <c r="N2413" s="10" t="s">
        <v>169</v>
      </c>
      <c r="O2413" s="10">
        <v>2.21</v>
      </c>
      <c r="P2413" s="10">
        <v>0.105</v>
      </c>
      <c r="Q2413" s="10">
        <v>273</v>
      </c>
      <c r="R2413" s="10" t="s">
        <v>77</v>
      </c>
      <c r="S2413" s="34">
        <f t="shared" si="270"/>
        <v>273</v>
      </c>
      <c r="T2413" s="10" t="s">
        <v>1176</v>
      </c>
      <c r="U2413" s="34">
        <f t="shared" si="273"/>
        <v>91</v>
      </c>
      <c r="V2413" s="31">
        <f>IF(H2413="CHK",VLOOKUP(I2413,QCCHK,3,),IF(H2413="GUP",VLOOKUP(E2413,QCGUP,2,),IF(AND(H2413="ATP",OR(I2413="TN",I2413="TDN",I2413="TNO2-3",I2413="NO2-3")),VLOOKUP(E2413,QCREC_N,2,),IF(AND(H2413="NIC",OR(I2413="TN",I2413="TDN",I2413="TNO2-3",I2413="NO2-3")),VLOOKUP(E2413,QCNIC_N,2,),IF(AND(H2413="UREA",OR(I2413="TN",I2413="TDN",I2413="TNO2-3",I2413="NO2-3")),VLOOKUP(E2413,QCUREA_N,2,),IF(H2413="PER",VLOOKUP(I2413,QCPER,MATCH(E2413,QCACTUAL!$J$25:$AA$25,0),),IF(H2413="SPK",VLOOKUP(I2413,QCSPK,3,),IF(AND(H2413="ATP",OR(I2413="TP",I2413="TDP")),VLOOKUP(E2413,QCATP_P,2,),""))))))))</f>
        <v>300</v>
      </c>
      <c r="W2413" s="31" t="str">
        <f t="shared" si="274"/>
        <v>TRUE</v>
      </c>
      <c r="X2413" s="31" t="str">
        <f t="shared" si="269"/>
        <v>[chk]/[actual]*100</v>
      </c>
      <c r="Y2413" s="10" t="s">
        <v>1144</v>
      </c>
      <c r="AL2413" s="10" t="str">
        <f t="shared" si="271"/>
        <v>FALSE</v>
      </c>
      <c r="AM2413" s="10" t="str">
        <f t="shared" si="271"/>
        <v>FALSE</v>
      </c>
      <c r="AN2413" s="10" t="str">
        <f t="shared" si="271"/>
        <v>FALSE</v>
      </c>
      <c r="AO2413" s="10" t="str">
        <f t="shared" si="272"/>
        <v>FALSE</v>
      </c>
      <c r="AP2413" s="10" t="str">
        <f t="shared" si="272"/>
        <v>FALSE</v>
      </c>
      <c r="AQ2413" s="10" t="b">
        <f>IF(AND(I2413="TP",S2413&lt;=150),VLOOKUP(AF2413,TPCalibEq150!$AZ$2:$BB$55,3,),IF(AND(I2413="TDP",S2413&lt;=150),VLOOKUP(AF2413,TPCalibEq150!$AZ$2:$BB$55,3,)))</f>
        <v>0</v>
      </c>
      <c r="AR2413" s="10" t="b">
        <f>IF(AND(I2413="TP",S2413&lt;=300),VLOOKUP(AF2413,TPCalibEq300!$AZ$2:$BB$55,3,),IF(AND(I2413="TDP",S2413&lt;=300),VLOOKUP(AF2413,TPCalibEq300!$AZ$2:$BB$55,3,)))</f>
        <v>0</v>
      </c>
      <c r="AS2413" s="10" t="b">
        <f>IF(AND(I2413="TP",S2413&lt;=500),VLOOKUP(AF2413,TPCalibEq500!$AZ$2:$BB$56,3,),IF(AND(I2413="TDP",S2413&lt;=500),VLOOKUP(AF2413,TPCalibEq500!$AZ$2:$BB$56,3,)))</f>
        <v>0</v>
      </c>
      <c r="AT2413" s="10" t="b">
        <f>IF(AND(I2413="TN",S2413&lt;=2800),VLOOKUP(AF2413,TNCalibEq2500!$AZ$2:$BB$56,3,),IF(AND(I2413="TDN",S2413&lt;=2800),VLOOKUP(AF2413,TNCalibEq2500!$AZ$2:$BB$56,3,)))</f>
        <v>0</v>
      </c>
      <c r="AU2413" s="10" t="b">
        <f>IF(I2413="TP",VLOOKUP(AF2413,TPCalibEqFull!$AZ$2:$BB$56,3),IF(I2413="TDP",VLOOKUP(AF2413,TPCalibEqFull!$AZ$2:$BB$56,3),IF(I2413="TDN",VLOOKUP(AF2413,TNCalibEqFull!$AZ$1:$BB$56,3),IF(I2413="TN",VLOOKUP(AF2413,TNCalibEqFull!$AZ$1:$BB$56,3),FALSE))))</f>
        <v>0</v>
      </c>
      <c r="AV2413" s="10" t="str">
        <f t="shared" si="275"/>
        <v>0209 09:00:00-QAC-STD-D-1-DI-CHK</v>
      </c>
    </row>
    <row r="2414" spans="1:48" s="10" customFormat="1" x14ac:dyDescent="0.55000000000000004">
      <c r="A2414" s="32">
        <v>44965</v>
      </c>
      <c r="B2414" s="33">
        <v>0.47164351851851855</v>
      </c>
      <c r="C2414" s="10" t="s">
        <v>431</v>
      </c>
      <c r="D2414" s="10">
        <v>0</v>
      </c>
      <c r="E2414" s="10">
        <v>500</v>
      </c>
      <c r="F2414" s="10">
        <v>1</v>
      </c>
      <c r="G2414" s="10" t="s">
        <v>231</v>
      </c>
      <c r="H2414" s="10" t="s">
        <v>322</v>
      </c>
      <c r="I2414" s="10" t="s">
        <v>256</v>
      </c>
      <c r="J2414" s="10">
        <v>26</v>
      </c>
      <c r="K2414" s="12">
        <v>44966</v>
      </c>
      <c r="L2414" s="33">
        <v>0.50067129629629636</v>
      </c>
      <c r="M2414" s="10">
        <v>1</v>
      </c>
      <c r="N2414" s="10" t="s">
        <v>169</v>
      </c>
      <c r="O2414" s="10">
        <v>9.0399999999999991</v>
      </c>
      <c r="P2414" s="10">
        <v>0.41699999999999998</v>
      </c>
      <c r="Q2414" s="10">
        <v>1120</v>
      </c>
      <c r="R2414" s="10" t="s">
        <v>77</v>
      </c>
      <c r="S2414" s="34">
        <f t="shared" si="270"/>
        <v>1120</v>
      </c>
      <c r="T2414" s="10" t="s">
        <v>1176</v>
      </c>
      <c r="U2414" s="34" t="str">
        <f t="shared" si="273"/>
        <v/>
      </c>
      <c r="V2414" s="31" t="str">
        <f>IF(H2414="CHK",VLOOKUP(I2414,QCCHK,3,),IF(H2414="GUP",VLOOKUP(E2414,QCGUP,2,),IF(AND(H2414="ATP",OR(I2414="TN",I2414="TDN",I2414="TNO2-3",I2414="NO2-3")),VLOOKUP(E2414,QCREC_N,2,),IF(AND(H2414="NIC",OR(I2414="TN",I2414="TDN",I2414="TNO2-3",I2414="NO2-3")),VLOOKUP(E2414,QCNIC_N,2,),IF(AND(H2414="UREA",OR(I2414="TN",I2414="TDN",I2414="TNO2-3",I2414="NO2-3")),VLOOKUP(E2414,QCUREA_N,2,),IF(H2414="PER",VLOOKUP(I2414,QCPER,MATCH(E2414,QCACTUAL!$J$25:$AA$25,0),),IF(H2414="SPK",VLOOKUP(I2414,QCSPK,3,),IF(AND(H2414="ATP",OR(I2414="TP",I2414="TDP")),VLOOKUP(E2414,QCATP_P,2,),""))))))))</f>
        <v/>
      </c>
      <c r="W2414" s="31" t="str">
        <f t="shared" si="274"/>
        <v>TRUE</v>
      </c>
      <c r="X2414" s="31" t="str">
        <f t="shared" si="269"/>
        <v/>
      </c>
      <c r="Y2414" s="10" t="s">
        <v>1144</v>
      </c>
      <c r="AL2414" s="10" t="str">
        <f t="shared" si="271"/>
        <v>FALSE</v>
      </c>
      <c r="AM2414" s="10" t="str">
        <f t="shared" si="271"/>
        <v>FALSE</v>
      </c>
      <c r="AN2414" s="10" t="str">
        <f t="shared" si="271"/>
        <v>FALSE</v>
      </c>
      <c r="AO2414" s="10" t="str">
        <f t="shared" si="272"/>
        <v>FALSE</v>
      </c>
      <c r="AP2414" s="10" t="str">
        <f t="shared" si="272"/>
        <v>FALSE</v>
      </c>
      <c r="AQ2414" s="10" t="b">
        <f>IF(AND(I2414="TP",S2414&lt;=150),VLOOKUP(AF2414,TPCalibEq150!$AZ$2:$BB$55,3,),IF(AND(I2414="TDP",S2414&lt;=150),VLOOKUP(AF2414,TPCalibEq150!$AZ$2:$BB$55,3,)))</f>
        <v>0</v>
      </c>
      <c r="AR2414" s="10" t="b">
        <f>IF(AND(I2414="TP",S2414&lt;=300),VLOOKUP(AF2414,TPCalibEq300!$AZ$2:$BB$55,3,),IF(AND(I2414="TDP",S2414&lt;=300),VLOOKUP(AF2414,TPCalibEq300!$AZ$2:$BB$55,3,)))</f>
        <v>0</v>
      </c>
      <c r="AS2414" s="10" t="b">
        <f>IF(AND(I2414="TP",S2414&lt;=500),VLOOKUP(AF2414,TPCalibEq500!$AZ$2:$BB$56,3,),IF(AND(I2414="TDP",S2414&lt;=500),VLOOKUP(AF2414,TPCalibEq500!$AZ$2:$BB$56,3,)))</f>
        <v>0</v>
      </c>
      <c r="AT2414" s="10" t="b">
        <f>IF(AND(I2414="TN",S2414&lt;=2800),VLOOKUP(AF2414,TNCalibEq2500!$AZ$2:$BB$56,3,),IF(AND(I2414="TDN",S2414&lt;=2800),VLOOKUP(AF2414,TNCalibEq2500!$AZ$2:$BB$56,3,)))</f>
        <v>0</v>
      </c>
      <c r="AU2414" s="10" t="b">
        <f>IF(I2414="TP",VLOOKUP(AF2414,TPCalibEqFull!$AZ$2:$BB$56,3),IF(I2414="TDP",VLOOKUP(AF2414,TPCalibEqFull!$AZ$2:$BB$56,3),IF(I2414="TDN",VLOOKUP(AF2414,TNCalibEqFull!$AZ$1:$BB$56,3),IF(I2414="TN",VLOOKUP(AF2414,TNCalibEqFull!$AZ$1:$BB$56,3),FALSE))))</f>
        <v>0</v>
      </c>
      <c r="AV2414" s="10" t="str">
        <f t="shared" si="275"/>
        <v>0208 11:19:10-EUS-0-500-1-SW-UKN</v>
      </c>
    </row>
    <row r="2415" spans="1:48" s="10" customFormat="1" x14ac:dyDescent="0.55000000000000004">
      <c r="A2415" s="32">
        <v>44965</v>
      </c>
      <c r="B2415" s="33">
        <v>0.47395833333333331</v>
      </c>
      <c r="C2415" s="10" t="s">
        <v>431</v>
      </c>
      <c r="D2415" s="10">
        <v>5</v>
      </c>
      <c r="E2415" s="10" t="s">
        <v>190</v>
      </c>
      <c r="F2415" s="10">
        <v>1</v>
      </c>
      <c r="G2415" s="10" t="s">
        <v>231</v>
      </c>
      <c r="H2415" s="10" t="s">
        <v>322</v>
      </c>
      <c r="I2415" s="10" t="s">
        <v>256</v>
      </c>
      <c r="J2415" s="10">
        <v>27</v>
      </c>
      <c r="K2415" s="12">
        <v>44966</v>
      </c>
      <c r="L2415" s="33">
        <v>0.50148148148148153</v>
      </c>
      <c r="M2415" s="10">
        <v>1</v>
      </c>
      <c r="N2415" s="10" t="s">
        <v>169</v>
      </c>
      <c r="O2415" s="10">
        <v>9.08</v>
      </c>
      <c r="P2415" s="10">
        <v>0.42</v>
      </c>
      <c r="Q2415" s="10">
        <v>1120</v>
      </c>
      <c r="R2415" s="10" t="s">
        <v>77</v>
      </c>
      <c r="S2415" s="34">
        <f t="shared" si="270"/>
        <v>1120</v>
      </c>
      <c r="T2415" s="10" t="s">
        <v>1176</v>
      </c>
      <c r="U2415" s="34" t="str">
        <f t="shared" si="273"/>
        <v/>
      </c>
      <c r="V2415" s="31" t="str">
        <f>IF(H2415="CHK",VLOOKUP(I2415,QCCHK,3,),IF(H2415="GUP",VLOOKUP(E2415,QCGUP,2,),IF(AND(H2415="ATP",OR(I2415="TN",I2415="TDN",I2415="TNO2-3",I2415="NO2-3")),VLOOKUP(E2415,QCREC_N,2,),IF(AND(H2415="NIC",OR(I2415="TN",I2415="TDN",I2415="TNO2-3",I2415="NO2-3")),VLOOKUP(E2415,QCNIC_N,2,),IF(AND(H2415="UREA",OR(I2415="TN",I2415="TDN",I2415="TNO2-3",I2415="NO2-3")),VLOOKUP(E2415,QCUREA_N,2,),IF(H2415="PER",VLOOKUP(I2415,QCPER,MATCH(E2415,QCACTUAL!$J$25:$AA$25,0),),IF(H2415="SPK",VLOOKUP(I2415,QCSPK,3,),IF(AND(H2415="ATP",OR(I2415="TP",I2415="TDP")),VLOOKUP(E2415,QCATP_P,2,),""))))))))</f>
        <v/>
      </c>
      <c r="W2415" s="31" t="str">
        <f t="shared" si="274"/>
        <v>TRUE</v>
      </c>
      <c r="X2415" s="31" t="str">
        <f t="shared" si="269"/>
        <v/>
      </c>
      <c r="Y2415" s="10" t="s">
        <v>1144</v>
      </c>
      <c r="AL2415" s="10" t="str">
        <f t="shared" si="271"/>
        <v>FALSE</v>
      </c>
      <c r="AM2415" s="10" t="str">
        <f t="shared" si="271"/>
        <v>FALSE</v>
      </c>
      <c r="AN2415" s="10" t="str">
        <f t="shared" si="271"/>
        <v>FALSE</v>
      </c>
      <c r="AO2415" s="10" t="str">
        <f t="shared" si="272"/>
        <v>FALSE</v>
      </c>
      <c r="AP2415" s="10" t="str">
        <f t="shared" si="272"/>
        <v>FALSE</v>
      </c>
      <c r="AQ2415" s="10" t="b">
        <f>IF(AND(I2415="TP",S2415&lt;=150),VLOOKUP(AF2415,TPCalibEq150!$AZ$2:$BB$55,3,),IF(AND(I2415="TDP",S2415&lt;=150),VLOOKUP(AF2415,TPCalibEq150!$AZ$2:$BB$55,3,)))</f>
        <v>0</v>
      </c>
      <c r="AR2415" s="10" t="b">
        <f>IF(AND(I2415="TP",S2415&lt;=300),VLOOKUP(AF2415,TPCalibEq300!$AZ$2:$BB$55,3,),IF(AND(I2415="TDP",S2415&lt;=300),VLOOKUP(AF2415,TPCalibEq300!$AZ$2:$BB$55,3,)))</f>
        <v>0</v>
      </c>
      <c r="AS2415" s="10" t="b">
        <f>IF(AND(I2415="TP",S2415&lt;=500),VLOOKUP(AF2415,TPCalibEq500!$AZ$2:$BB$56,3,),IF(AND(I2415="TDP",S2415&lt;=500),VLOOKUP(AF2415,TPCalibEq500!$AZ$2:$BB$56,3,)))</f>
        <v>0</v>
      </c>
      <c r="AT2415" s="10" t="b">
        <f>IF(AND(I2415="TN",S2415&lt;=2800),VLOOKUP(AF2415,TNCalibEq2500!$AZ$2:$BB$56,3,),IF(AND(I2415="TDN",S2415&lt;=2800),VLOOKUP(AF2415,TNCalibEq2500!$AZ$2:$BB$56,3,)))</f>
        <v>0</v>
      </c>
      <c r="AU2415" s="10" t="b">
        <f>IF(I2415="TP",VLOOKUP(AF2415,TPCalibEqFull!$AZ$2:$BB$56,3),IF(I2415="TDP",VLOOKUP(AF2415,TPCalibEqFull!$AZ$2:$BB$56,3),IF(I2415="TDN",VLOOKUP(AF2415,TNCalibEqFull!$AZ$1:$BB$56,3),IF(I2415="TN",VLOOKUP(AF2415,TNCalibEqFull!$AZ$1:$BB$56,3),FALSE))))</f>
        <v>0</v>
      </c>
      <c r="AV2415" s="10" t="str">
        <f t="shared" si="275"/>
        <v>0208 11:22:30-EUS-5-C-1-SW-UKN</v>
      </c>
    </row>
    <row r="2416" spans="1:48" s="10" customFormat="1" x14ac:dyDescent="0.55000000000000004">
      <c r="A2416" s="32">
        <v>44965</v>
      </c>
      <c r="B2416" s="33">
        <v>0.46828703703703706</v>
      </c>
      <c r="C2416" s="10" t="s">
        <v>618</v>
      </c>
      <c r="D2416" s="10">
        <v>0</v>
      </c>
      <c r="E2416" s="10">
        <v>700</v>
      </c>
      <c r="F2416" s="10">
        <v>1</v>
      </c>
      <c r="G2416" s="10" t="s">
        <v>231</v>
      </c>
      <c r="H2416" s="10" t="s">
        <v>322</v>
      </c>
      <c r="I2416" s="10" t="s">
        <v>256</v>
      </c>
      <c r="J2416" s="10">
        <v>28</v>
      </c>
      <c r="K2416" s="12">
        <v>44966</v>
      </c>
      <c r="L2416" s="33">
        <v>0.50229166666666669</v>
      </c>
      <c r="M2416" s="10">
        <v>1</v>
      </c>
      <c r="N2416" s="10" t="s">
        <v>169</v>
      </c>
      <c r="O2416" s="10">
        <v>5.04</v>
      </c>
      <c r="P2416" s="10">
        <v>0.23400000000000001</v>
      </c>
      <c r="Q2416" s="10">
        <v>622</v>
      </c>
      <c r="R2416" s="10" t="s">
        <v>77</v>
      </c>
      <c r="S2416" s="34">
        <f t="shared" si="270"/>
        <v>622</v>
      </c>
      <c r="T2416" s="10" t="s">
        <v>1176</v>
      </c>
      <c r="U2416" s="34" t="str">
        <f t="shared" si="273"/>
        <v/>
      </c>
      <c r="V2416" s="31" t="str">
        <f>IF(H2416="CHK",VLOOKUP(I2416,QCCHK,3,),IF(H2416="GUP",VLOOKUP(E2416,QCGUP,2,),IF(AND(H2416="ATP",OR(I2416="TN",I2416="TDN",I2416="TNO2-3",I2416="NO2-3")),VLOOKUP(E2416,QCREC_N,2,),IF(AND(H2416="NIC",OR(I2416="TN",I2416="TDN",I2416="TNO2-3",I2416="NO2-3")),VLOOKUP(E2416,QCNIC_N,2,),IF(AND(H2416="UREA",OR(I2416="TN",I2416="TDN",I2416="TNO2-3",I2416="NO2-3")),VLOOKUP(E2416,QCUREA_N,2,),IF(H2416="PER",VLOOKUP(I2416,QCPER,MATCH(E2416,QCACTUAL!$J$25:$AA$25,0),),IF(H2416="SPK",VLOOKUP(I2416,QCSPK,3,),IF(AND(H2416="ATP",OR(I2416="TP",I2416="TDP")),VLOOKUP(E2416,QCATP_P,2,),""))))))))</f>
        <v/>
      </c>
      <c r="W2416" s="31" t="str">
        <f t="shared" si="274"/>
        <v>TRUE</v>
      </c>
      <c r="X2416" s="31" t="str">
        <f t="shared" si="269"/>
        <v/>
      </c>
      <c r="Y2416" s="10" t="s">
        <v>1144</v>
      </c>
      <c r="AL2416" s="10" t="str">
        <f t="shared" si="271"/>
        <v>FALSE</v>
      </c>
      <c r="AM2416" s="10" t="str">
        <f t="shared" si="271"/>
        <v>FALSE</v>
      </c>
      <c r="AN2416" s="10" t="str">
        <f t="shared" si="271"/>
        <v>FALSE</v>
      </c>
      <c r="AO2416" s="10" t="str">
        <f t="shared" si="272"/>
        <v>FALSE</v>
      </c>
      <c r="AP2416" s="10" t="str">
        <f t="shared" si="272"/>
        <v>FALSE</v>
      </c>
      <c r="AQ2416" s="10" t="b">
        <f>IF(AND(I2416="TP",S2416&lt;=150),VLOOKUP(AF2416,TPCalibEq150!$AZ$2:$BB$55,3,),IF(AND(I2416="TDP",S2416&lt;=150),VLOOKUP(AF2416,TPCalibEq150!$AZ$2:$BB$55,3,)))</f>
        <v>0</v>
      </c>
      <c r="AR2416" s="10" t="b">
        <f>IF(AND(I2416="TP",S2416&lt;=300),VLOOKUP(AF2416,TPCalibEq300!$AZ$2:$BB$55,3,),IF(AND(I2416="TDP",S2416&lt;=300),VLOOKUP(AF2416,TPCalibEq300!$AZ$2:$BB$55,3,)))</f>
        <v>0</v>
      </c>
      <c r="AS2416" s="10" t="b">
        <f>IF(AND(I2416="TP",S2416&lt;=500),VLOOKUP(AF2416,TPCalibEq500!$AZ$2:$BB$56,3,),IF(AND(I2416="TDP",S2416&lt;=500),VLOOKUP(AF2416,TPCalibEq500!$AZ$2:$BB$56,3,)))</f>
        <v>0</v>
      </c>
      <c r="AT2416" s="10" t="b">
        <f>IF(AND(I2416="TN",S2416&lt;=2800),VLOOKUP(AF2416,TNCalibEq2500!$AZ$2:$BB$56,3,),IF(AND(I2416="TDN",S2416&lt;=2800),VLOOKUP(AF2416,TNCalibEq2500!$AZ$2:$BB$56,3,)))</f>
        <v>0</v>
      </c>
      <c r="AU2416" s="10" t="b">
        <f>IF(I2416="TP",VLOOKUP(AF2416,TPCalibEqFull!$AZ$2:$BB$56,3),IF(I2416="TDP",VLOOKUP(AF2416,TPCalibEqFull!$AZ$2:$BB$56,3),IF(I2416="TDN",VLOOKUP(AF2416,TNCalibEqFull!$AZ$1:$BB$56,3),IF(I2416="TN",VLOOKUP(AF2416,TNCalibEqFull!$AZ$1:$BB$56,3),FALSE))))</f>
        <v>0</v>
      </c>
      <c r="AV2416" s="10" t="str">
        <f t="shared" si="275"/>
        <v>0208 11:14:20-ECP-0-700-1-SW-UKN</v>
      </c>
    </row>
    <row r="2417" spans="1:48" s="10" customFormat="1" x14ac:dyDescent="0.55000000000000004">
      <c r="A2417" s="32">
        <v>44965</v>
      </c>
      <c r="B2417" s="33">
        <v>0.46828703703703706</v>
      </c>
      <c r="C2417" s="10" t="s">
        <v>618</v>
      </c>
      <c r="D2417" s="10">
        <v>0</v>
      </c>
      <c r="E2417" s="10">
        <v>700</v>
      </c>
      <c r="F2417" s="10">
        <v>2</v>
      </c>
      <c r="G2417" s="10" t="s">
        <v>231</v>
      </c>
      <c r="H2417" s="10" t="s">
        <v>322</v>
      </c>
      <c r="I2417" s="10" t="s">
        <v>256</v>
      </c>
      <c r="J2417" s="10">
        <v>29</v>
      </c>
      <c r="K2417" s="12">
        <v>44966</v>
      </c>
      <c r="L2417" s="33">
        <v>0.50310185185185186</v>
      </c>
      <c r="M2417" s="10">
        <v>1</v>
      </c>
      <c r="N2417" s="10" t="s">
        <v>169</v>
      </c>
      <c r="O2417" s="10">
        <v>5.07</v>
      </c>
      <c r="P2417" s="10">
        <v>0.23499999999999999</v>
      </c>
      <c r="Q2417" s="10">
        <v>626</v>
      </c>
      <c r="R2417" s="10" t="s">
        <v>77</v>
      </c>
      <c r="S2417" s="34">
        <f t="shared" si="270"/>
        <v>626</v>
      </c>
      <c r="T2417" s="10" t="s">
        <v>1176</v>
      </c>
      <c r="U2417" s="34" t="str">
        <f t="shared" si="273"/>
        <v/>
      </c>
      <c r="V2417" s="31" t="str">
        <f>IF(H2417="CHK",VLOOKUP(I2417,QCCHK,3,),IF(H2417="GUP",VLOOKUP(E2417,QCGUP,2,),IF(AND(H2417="ATP",OR(I2417="TN",I2417="TDN",I2417="TNO2-3",I2417="NO2-3")),VLOOKUP(E2417,QCREC_N,2,),IF(AND(H2417="NIC",OR(I2417="TN",I2417="TDN",I2417="TNO2-3",I2417="NO2-3")),VLOOKUP(E2417,QCNIC_N,2,),IF(AND(H2417="UREA",OR(I2417="TN",I2417="TDN",I2417="TNO2-3",I2417="NO2-3")),VLOOKUP(E2417,QCUREA_N,2,),IF(H2417="PER",VLOOKUP(I2417,QCPER,MATCH(E2417,QCACTUAL!$J$25:$AA$25,0),),IF(H2417="SPK",VLOOKUP(I2417,QCSPK,3,),IF(AND(H2417="ATP",OR(I2417="TP",I2417="TDP")),VLOOKUP(E2417,QCATP_P,2,),""))))))))</f>
        <v/>
      </c>
      <c r="W2417" s="31" t="str">
        <f t="shared" si="274"/>
        <v>TRUE</v>
      </c>
      <c r="X2417" s="31" t="str">
        <f t="shared" si="269"/>
        <v/>
      </c>
      <c r="Y2417" s="10" t="s">
        <v>1144</v>
      </c>
      <c r="AL2417" s="10" t="str">
        <f t="shared" si="271"/>
        <v>FALSE</v>
      </c>
      <c r="AM2417" s="10" t="str">
        <f t="shared" si="271"/>
        <v>FALSE</v>
      </c>
      <c r="AN2417" s="10" t="str">
        <f t="shared" si="271"/>
        <v>FALSE</v>
      </c>
      <c r="AO2417" s="10" t="str">
        <f t="shared" si="272"/>
        <v>FALSE</v>
      </c>
      <c r="AP2417" s="10" t="str">
        <f t="shared" si="272"/>
        <v>FALSE</v>
      </c>
      <c r="AQ2417" s="10" t="b">
        <f>IF(AND(I2417="TP",S2417&lt;=150),VLOOKUP(AF2417,TPCalibEq150!$AZ$2:$BB$55,3,),IF(AND(I2417="TDP",S2417&lt;=150),VLOOKUP(AF2417,TPCalibEq150!$AZ$2:$BB$55,3,)))</f>
        <v>0</v>
      </c>
      <c r="AR2417" s="10" t="b">
        <f>IF(AND(I2417="TP",S2417&lt;=300),VLOOKUP(AF2417,TPCalibEq300!$AZ$2:$BB$55,3,),IF(AND(I2417="TDP",S2417&lt;=300),VLOOKUP(AF2417,TPCalibEq300!$AZ$2:$BB$55,3,)))</f>
        <v>0</v>
      </c>
      <c r="AS2417" s="10" t="b">
        <f>IF(AND(I2417="TP",S2417&lt;=500),VLOOKUP(AF2417,TPCalibEq500!$AZ$2:$BB$56,3,),IF(AND(I2417="TDP",S2417&lt;=500),VLOOKUP(AF2417,TPCalibEq500!$AZ$2:$BB$56,3,)))</f>
        <v>0</v>
      </c>
      <c r="AT2417" s="10" t="b">
        <f>IF(AND(I2417="TN",S2417&lt;=2800),VLOOKUP(AF2417,TNCalibEq2500!$AZ$2:$BB$56,3,),IF(AND(I2417="TDN",S2417&lt;=2800),VLOOKUP(AF2417,TNCalibEq2500!$AZ$2:$BB$56,3,)))</f>
        <v>0</v>
      </c>
      <c r="AU2417" s="10" t="b">
        <f>IF(I2417="TP",VLOOKUP(AF2417,TPCalibEqFull!$AZ$2:$BB$56,3),IF(I2417="TDP",VLOOKUP(AF2417,TPCalibEqFull!$AZ$2:$BB$56,3),IF(I2417="TDN",VLOOKUP(AF2417,TNCalibEqFull!$AZ$1:$BB$56,3),IF(I2417="TN",VLOOKUP(AF2417,TNCalibEqFull!$AZ$1:$BB$56,3),FALSE))))</f>
        <v>0</v>
      </c>
      <c r="AV2417" s="10" t="str">
        <f t="shared" si="275"/>
        <v>0208 11:14:20-ECP-0-700-2-SW-UKN</v>
      </c>
    </row>
    <row r="2418" spans="1:48" s="10" customFormat="1" x14ac:dyDescent="0.55000000000000004">
      <c r="A2418" s="32">
        <v>44965</v>
      </c>
      <c r="B2418" s="33">
        <v>0.46828703703703706</v>
      </c>
      <c r="C2418" s="10" t="s">
        <v>618</v>
      </c>
      <c r="D2418" s="10">
        <v>0</v>
      </c>
      <c r="E2418" s="10">
        <v>700</v>
      </c>
      <c r="F2418" s="10">
        <v>2</v>
      </c>
      <c r="G2418" s="10" t="s">
        <v>231</v>
      </c>
      <c r="H2418" s="10" t="s">
        <v>233</v>
      </c>
      <c r="I2418" s="10" t="s">
        <v>256</v>
      </c>
      <c r="J2418" s="10">
        <v>29</v>
      </c>
      <c r="K2418" s="12">
        <v>44966</v>
      </c>
      <c r="L2418" s="33">
        <v>0.50391203703703702</v>
      </c>
      <c r="M2418" s="10">
        <v>1</v>
      </c>
      <c r="N2418" s="10" t="s">
        <v>169</v>
      </c>
      <c r="O2418" s="10">
        <v>5.05</v>
      </c>
      <c r="P2418" s="10">
        <v>0.23300000000000001</v>
      </c>
      <c r="Q2418" s="10">
        <v>623</v>
      </c>
      <c r="R2418" s="10" t="s">
        <v>77</v>
      </c>
      <c r="S2418" s="34">
        <f t="shared" si="270"/>
        <v>623</v>
      </c>
      <c r="T2418" s="10" t="s">
        <v>1176</v>
      </c>
      <c r="U2418" s="34">
        <f t="shared" si="273"/>
        <v>0.48038430744595673</v>
      </c>
      <c r="V2418" s="31" t="str">
        <f>IF(H2418="CHK",VLOOKUP(I2418,QCCHK,3,),IF(H2418="GUP",VLOOKUP(E2418,QCGUP,2,),IF(AND(H2418="ATP",OR(I2418="TN",I2418="TDN",I2418="TNO2-3",I2418="NO2-3")),VLOOKUP(E2418,QCREC_N,2,),IF(AND(H2418="NIC",OR(I2418="TN",I2418="TDN",I2418="TNO2-3",I2418="NO2-3")),VLOOKUP(E2418,QCNIC_N,2,),IF(AND(H2418="UREA",OR(I2418="TN",I2418="TDN",I2418="TNO2-3",I2418="NO2-3")),VLOOKUP(E2418,QCUREA_N,2,),IF(H2418="PER",VLOOKUP(I2418,QCPER,MATCH(E2418,QCACTUAL!$J$25:$AA$25,0),),IF(H2418="SPK",VLOOKUP(I2418,QCSPK,3,),IF(AND(H2418="ATP",OR(I2418="TP",I2418="TDP")),VLOOKUP(E2418,QCATP_P,2,),""))))))))</f>
        <v/>
      </c>
      <c r="W2418" s="31" t="str">
        <f t="shared" si="274"/>
        <v>TRUE</v>
      </c>
      <c r="X2418" s="31" t="str">
        <f t="shared" si="269"/>
        <v>((ABS(rep1-rep2))/((rep1+rep2)/2)*100</v>
      </c>
      <c r="Y2418" s="10" t="s">
        <v>1144</v>
      </c>
      <c r="AL2418" s="10" t="str">
        <f t="shared" si="271"/>
        <v>FALSE</v>
      </c>
      <c r="AM2418" s="10" t="str">
        <f t="shared" si="271"/>
        <v>FALSE</v>
      </c>
      <c r="AN2418" s="10" t="str">
        <f t="shared" si="271"/>
        <v>FALSE</v>
      </c>
      <c r="AO2418" s="10" t="str">
        <f t="shared" si="272"/>
        <v>FALSE</v>
      </c>
      <c r="AP2418" s="10" t="str">
        <f t="shared" si="272"/>
        <v>FALSE</v>
      </c>
      <c r="AQ2418" s="10" t="b">
        <f>IF(AND(I2418="TP",S2418&lt;=150),VLOOKUP(AF2418,TPCalibEq150!$AZ$2:$BB$55,3,),IF(AND(I2418="TDP",S2418&lt;=150),VLOOKUP(AF2418,TPCalibEq150!$AZ$2:$BB$55,3,)))</f>
        <v>0</v>
      </c>
      <c r="AR2418" s="10" t="b">
        <f>IF(AND(I2418="TP",S2418&lt;=300),VLOOKUP(AF2418,TPCalibEq300!$AZ$2:$BB$55,3,),IF(AND(I2418="TDP",S2418&lt;=300),VLOOKUP(AF2418,TPCalibEq300!$AZ$2:$BB$55,3,)))</f>
        <v>0</v>
      </c>
      <c r="AS2418" s="10" t="b">
        <f>IF(AND(I2418="TP",S2418&lt;=500),VLOOKUP(AF2418,TPCalibEq500!$AZ$2:$BB$56,3,),IF(AND(I2418="TDP",S2418&lt;=500),VLOOKUP(AF2418,TPCalibEq500!$AZ$2:$BB$56,3,)))</f>
        <v>0</v>
      </c>
      <c r="AT2418" s="10" t="b">
        <f>IF(AND(I2418="TN",S2418&lt;=2800),VLOOKUP(AF2418,TNCalibEq2500!$AZ$2:$BB$56,3,),IF(AND(I2418="TDN",S2418&lt;=2800),VLOOKUP(AF2418,TNCalibEq2500!$AZ$2:$BB$56,3,)))</f>
        <v>0</v>
      </c>
      <c r="AU2418" s="10" t="b">
        <f>IF(I2418="TP",VLOOKUP(AF2418,TPCalibEqFull!$AZ$2:$BB$56,3),IF(I2418="TDP",VLOOKUP(AF2418,TPCalibEqFull!$AZ$2:$BB$56,3),IF(I2418="TDN",VLOOKUP(AF2418,TNCalibEqFull!$AZ$1:$BB$56,3),IF(I2418="TN",VLOOKUP(AF2418,TNCalibEqFull!$AZ$1:$BB$56,3),FALSE))))</f>
        <v>0</v>
      </c>
      <c r="AV2418" s="10" t="str">
        <f t="shared" si="275"/>
        <v>0208 11:14:20-ECP-0-700-2-SW-DUP</v>
      </c>
    </row>
    <row r="2419" spans="1:48" s="10" customFormat="1" x14ac:dyDescent="0.55000000000000004">
      <c r="A2419" s="32">
        <v>44965</v>
      </c>
      <c r="B2419" s="33">
        <v>0.46828703703703706</v>
      </c>
      <c r="C2419" s="10" t="s">
        <v>618</v>
      </c>
      <c r="D2419" s="10">
        <v>0</v>
      </c>
      <c r="E2419" s="10">
        <v>700</v>
      </c>
      <c r="F2419" s="10">
        <v>2</v>
      </c>
      <c r="G2419" s="10" t="s">
        <v>231</v>
      </c>
      <c r="H2419" s="10" t="s">
        <v>314</v>
      </c>
      <c r="I2419" s="10" t="s">
        <v>256</v>
      </c>
      <c r="J2419" s="10">
        <v>122</v>
      </c>
      <c r="K2419" s="12">
        <v>44966</v>
      </c>
      <c r="L2419" s="33">
        <v>0.50473379629629633</v>
      </c>
      <c r="M2419" s="10">
        <v>1</v>
      </c>
      <c r="N2419" s="10" t="s">
        <v>169</v>
      </c>
      <c r="O2419" s="10">
        <v>10.5</v>
      </c>
      <c r="P2419" s="10">
        <v>0.48799999999999999</v>
      </c>
      <c r="Q2419" s="10">
        <v>1300</v>
      </c>
      <c r="R2419" s="10" t="s">
        <v>77</v>
      </c>
      <c r="S2419" s="34">
        <f t="shared" si="270"/>
        <v>1300</v>
      </c>
      <c r="T2419" s="10" t="s">
        <v>1176</v>
      </c>
      <c r="U2419" s="34">
        <f t="shared" si="273"/>
        <v>108.32</v>
      </c>
      <c r="V2419" s="31">
        <f>IF(H2419="CHK",VLOOKUP(I2419,QCCHK,3,),IF(H2419="GUP",VLOOKUP(E2419,QCGUP,2,),IF(AND(H2419="ATP",OR(I2419="TN",I2419="TDN",I2419="TNO2-3",I2419="NO2-3")),VLOOKUP(E2419,QCREC_N,2,),IF(AND(H2419="NIC",OR(I2419="TN",I2419="TDN",I2419="TNO2-3",I2419="NO2-3")),VLOOKUP(E2419,QCNIC_N,2,),IF(AND(H2419="UREA",OR(I2419="TN",I2419="TDN",I2419="TNO2-3",I2419="NO2-3")),VLOOKUP(E2419,QCUREA_N,2,),IF(H2419="PER",VLOOKUP(I2419,QCPER,MATCH(E2419,QCACTUAL!$J$25:$AA$25,0),),IF(H2419="SPK",VLOOKUP(I2419,QCSPK,3,),IF(AND(H2419="ATP",OR(I2419="TP",I2419="TDP")),VLOOKUP(E2419,QCATP_P,2,),""))))))))</f>
        <v>625</v>
      </c>
      <c r="W2419" s="31" t="str">
        <f t="shared" si="274"/>
        <v>TRUE</v>
      </c>
      <c r="X2419" s="31" t="str">
        <f t="shared" si="269"/>
        <v>([spikedunkn]-[unkn])/[spike]*100</v>
      </c>
      <c r="Y2419" s="10" t="s">
        <v>1144</v>
      </c>
      <c r="AL2419" s="10" t="str">
        <f t="shared" si="271"/>
        <v>FALSE</v>
      </c>
      <c r="AM2419" s="10" t="str">
        <f t="shared" si="271"/>
        <v>FALSE</v>
      </c>
      <c r="AN2419" s="10" t="str">
        <f t="shared" si="271"/>
        <v>FALSE</v>
      </c>
      <c r="AO2419" s="10" t="str">
        <f t="shared" si="272"/>
        <v>FALSE</v>
      </c>
      <c r="AP2419" s="10" t="str">
        <f t="shared" si="272"/>
        <v>FALSE</v>
      </c>
      <c r="AQ2419" s="10" t="b">
        <f>IF(AND(I2419="TP",S2419&lt;=150),VLOOKUP(AF2419,TPCalibEq150!$AZ$2:$BB$55,3,),IF(AND(I2419="TDP",S2419&lt;=150),VLOOKUP(AF2419,TPCalibEq150!$AZ$2:$BB$55,3,)))</f>
        <v>0</v>
      </c>
      <c r="AR2419" s="10" t="b">
        <f>IF(AND(I2419="TP",S2419&lt;=300),VLOOKUP(AF2419,TPCalibEq300!$AZ$2:$BB$55,3,),IF(AND(I2419="TDP",S2419&lt;=300),VLOOKUP(AF2419,TPCalibEq300!$AZ$2:$BB$55,3,)))</f>
        <v>0</v>
      </c>
      <c r="AS2419" s="10" t="b">
        <f>IF(AND(I2419="TP",S2419&lt;=500),VLOOKUP(AF2419,TPCalibEq500!$AZ$2:$BB$56,3,),IF(AND(I2419="TDP",S2419&lt;=500),VLOOKUP(AF2419,TPCalibEq500!$AZ$2:$BB$56,3,)))</f>
        <v>0</v>
      </c>
      <c r="AT2419" s="10" t="b">
        <f>IF(AND(I2419="TN",S2419&lt;=2800),VLOOKUP(AF2419,TNCalibEq2500!$AZ$2:$BB$56,3,),IF(AND(I2419="TDN",S2419&lt;=2800),VLOOKUP(AF2419,TNCalibEq2500!$AZ$2:$BB$56,3,)))</f>
        <v>0</v>
      </c>
      <c r="AU2419" s="10" t="b">
        <f>IF(I2419="TP",VLOOKUP(AF2419,TPCalibEqFull!$AZ$2:$BB$56,3),IF(I2419="TDP",VLOOKUP(AF2419,TPCalibEqFull!$AZ$2:$BB$56,3),IF(I2419="TDN",VLOOKUP(AF2419,TNCalibEqFull!$AZ$1:$BB$56,3),IF(I2419="TN",VLOOKUP(AF2419,TNCalibEqFull!$AZ$1:$BB$56,3),FALSE))))</f>
        <v>0</v>
      </c>
      <c r="AV2419" s="10" t="str">
        <f t="shared" si="275"/>
        <v>0208 11:14:20-ECP-0-700-2-SW-SPK</v>
      </c>
    </row>
    <row r="2420" spans="1:48" s="10" customFormat="1" x14ac:dyDescent="0.55000000000000004">
      <c r="A2420" s="32">
        <v>44966</v>
      </c>
      <c r="B2420" s="33">
        <v>0.375</v>
      </c>
      <c r="C2420" s="10" t="s">
        <v>70</v>
      </c>
      <c r="D2420" s="10" t="s">
        <v>71</v>
      </c>
      <c r="E2420" s="10" t="s">
        <v>901</v>
      </c>
      <c r="F2420" s="10">
        <v>1</v>
      </c>
      <c r="G2420" s="10" t="s">
        <v>73</v>
      </c>
      <c r="H2420" s="10" t="s">
        <v>207</v>
      </c>
      <c r="I2420" s="10" t="s">
        <v>256</v>
      </c>
      <c r="J2420" s="10">
        <v>200</v>
      </c>
      <c r="K2420" s="12">
        <v>44966</v>
      </c>
      <c r="L2420" s="33">
        <v>0.50555555555555554</v>
      </c>
      <c r="M2420" s="10">
        <v>1</v>
      </c>
      <c r="N2420" s="10" t="s">
        <v>169</v>
      </c>
      <c r="O2420" s="10">
        <v>2.25</v>
      </c>
      <c r="P2420" s="10">
        <v>0.106</v>
      </c>
      <c r="Q2420" s="10">
        <v>277</v>
      </c>
      <c r="R2420" s="10" t="s">
        <v>77</v>
      </c>
      <c r="S2420" s="34">
        <f t="shared" si="270"/>
        <v>277</v>
      </c>
      <c r="T2420" s="10" t="s">
        <v>1176</v>
      </c>
      <c r="U2420" s="34">
        <f t="shared" si="273"/>
        <v>92.333333333333329</v>
      </c>
      <c r="V2420" s="31">
        <f>IF(H2420="CHK",VLOOKUP(I2420,QCCHK,3,),IF(H2420="GUP",VLOOKUP(E2420,QCGUP,2,),IF(AND(H2420="ATP",OR(I2420="TN",I2420="TDN",I2420="TNO2-3",I2420="NO2-3")),VLOOKUP(E2420,QCREC_N,2,),IF(AND(H2420="NIC",OR(I2420="TN",I2420="TDN",I2420="TNO2-3",I2420="NO2-3")),VLOOKUP(E2420,QCNIC_N,2,),IF(AND(H2420="UREA",OR(I2420="TN",I2420="TDN",I2420="TNO2-3",I2420="NO2-3")),VLOOKUP(E2420,QCUREA_N,2,),IF(H2420="PER",VLOOKUP(I2420,QCPER,MATCH(E2420,QCACTUAL!$J$25:$AA$25,0),),IF(H2420="SPK",VLOOKUP(I2420,QCSPK,3,),IF(AND(H2420="ATP",OR(I2420="TP",I2420="TDP")),VLOOKUP(E2420,QCATP_P,2,),""))))))))</f>
        <v>300</v>
      </c>
      <c r="W2420" s="31" t="str">
        <f t="shared" si="274"/>
        <v>TRUE</v>
      </c>
      <c r="X2420" s="31" t="str">
        <f t="shared" si="269"/>
        <v>[chk]/[actual]*100</v>
      </c>
      <c r="Y2420" s="10" t="s">
        <v>1144</v>
      </c>
      <c r="AL2420" s="10" t="str">
        <f t="shared" si="271"/>
        <v>FALSE</v>
      </c>
      <c r="AM2420" s="10" t="str">
        <f t="shared" si="271"/>
        <v>FALSE</v>
      </c>
      <c r="AN2420" s="10" t="str">
        <f t="shared" si="271"/>
        <v>FALSE</v>
      </c>
      <c r="AO2420" s="10" t="str">
        <f t="shared" si="272"/>
        <v>FALSE</v>
      </c>
      <c r="AP2420" s="10" t="str">
        <f t="shared" si="272"/>
        <v>FALSE</v>
      </c>
      <c r="AQ2420" s="10" t="b">
        <f>IF(AND(I2420="TP",S2420&lt;=150),VLOOKUP(AF2420,TPCalibEq150!$AZ$2:$BB$55,3,),IF(AND(I2420="TDP",S2420&lt;=150),VLOOKUP(AF2420,TPCalibEq150!$AZ$2:$BB$55,3,)))</f>
        <v>0</v>
      </c>
      <c r="AR2420" s="10" t="b">
        <f>IF(AND(I2420="TP",S2420&lt;=300),VLOOKUP(AF2420,TPCalibEq300!$AZ$2:$BB$55,3,),IF(AND(I2420="TDP",S2420&lt;=300),VLOOKUP(AF2420,TPCalibEq300!$AZ$2:$BB$55,3,)))</f>
        <v>0</v>
      </c>
      <c r="AS2420" s="10" t="b">
        <f>IF(AND(I2420="TP",S2420&lt;=500),VLOOKUP(AF2420,TPCalibEq500!$AZ$2:$BB$56,3,),IF(AND(I2420="TDP",S2420&lt;=500),VLOOKUP(AF2420,TPCalibEq500!$AZ$2:$BB$56,3,)))</f>
        <v>0</v>
      </c>
      <c r="AT2420" s="10" t="b">
        <f>IF(AND(I2420="TN",S2420&lt;=2800),VLOOKUP(AF2420,TNCalibEq2500!$AZ$2:$BB$56,3,),IF(AND(I2420="TDN",S2420&lt;=2800),VLOOKUP(AF2420,TNCalibEq2500!$AZ$2:$BB$56,3,)))</f>
        <v>0</v>
      </c>
      <c r="AU2420" s="10" t="b">
        <f>IF(I2420="TP",VLOOKUP(AF2420,TPCalibEqFull!$AZ$2:$BB$56,3),IF(I2420="TDP",VLOOKUP(AF2420,TPCalibEqFull!$AZ$2:$BB$56,3),IF(I2420="TDN",VLOOKUP(AF2420,TNCalibEqFull!$AZ$1:$BB$56,3),IF(I2420="TN",VLOOKUP(AF2420,TNCalibEqFull!$AZ$1:$BB$56,3),FALSE))))</f>
        <v>0</v>
      </c>
      <c r="AV2420" s="10" t="str">
        <f t="shared" si="275"/>
        <v>0209 09:00:00-QAC-STD-D-1-DI-CHK</v>
      </c>
    </row>
    <row r="2421" spans="1:48" s="10" customFormat="1" x14ac:dyDescent="0.55000000000000004">
      <c r="A2421" s="32">
        <v>44965</v>
      </c>
      <c r="B2421" s="33">
        <v>0.49027777777777781</v>
      </c>
      <c r="C2421" s="10" t="s">
        <v>618</v>
      </c>
      <c r="D2421" s="10">
        <v>5</v>
      </c>
      <c r="E2421" s="10">
        <v>660</v>
      </c>
      <c r="F2421" s="10">
        <v>1</v>
      </c>
      <c r="G2421" s="10" t="s">
        <v>231</v>
      </c>
      <c r="H2421" s="10" t="s">
        <v>322</v>
      </c>
      <c r="I2421" s="10" t="s">
        <v>256</v>
      </c>
      <c r="J2421" s="10">
        <v>30</v>
      </c>
      <c r="K2421" s="12">
        <v>44966</v>
      </c>
      <c r="L2421" s="33">
        <v>0.50636574074074081</v>
      </c>
      <c r="M2421" s="10">
        <v>1</v>
      </c>
      <c r="N2421" s="10" t="s">
        <v>169</v>
      </c>
      <c r="O2421" s="10">
        <v>5.0599999999999996</v>
      </c>
      <c r="P2421" s="10">
        <v>0.23400000000000001</v>
      </c>
      <c r="Q2421" s="10">
        <v>624</v>
      </c>
      <c r="R2421" s="10" t="s">
        <v>77</v>
      </c>
      <c r="S2421" s="34">
        <f t="shared" si="270"/>
        <v>624</v>
      </c>
      <c r="T2421" s="10" t="s">
        <v>1176</v>
      </c>
      <c r="U2421" s="34" t="str">
        <f t="shared" si="273"/>
        <v/>
      </c>
      <c r="V2421" s="31" t="str">
        <f>IF(H2421="CHK",VLOOKUP(I2421,QCCHK,3,),IF(H2421="GUP",VLOOKUP(E2421,QCGUP,2,),IF(AND(H2421="ATP",OR(I2421="TN",I2421="TDN",I2421="TNO2-3",I2421="NO2-3")),VLOOKUP(E2421,QCREC_N,2,),IF(AND(H2421="NIC",OR(I2421="TN",I2421="TDN",I2421="TNO2-3",I2421="NO2-3")),VLOOKUP(E2421,QCNIC_N,2,),IF(AND(H2421="UREA",OR(I2421="TN",I2421="TDN",I2421="TNO2-3",I2421="NO2-3")),VLOOKUP(E2421,QCUREA_N,2,),IF(H2421="PER",VLOOKUP(I2421,QCPER,MATCH(E2421,QCACTUAL!$J$25:$AA$25,0),),IF(H2421="SPK",VLOOKUP(I2421,QCSPK,3,),IF(AND(H2421="ATP",OR(I2421="TP",I2421="TDP")),VLOOKUP(E2421,QCATP_P,2,),""))))))))</f>
        <v/>
      </c>
      <c r="W2421" s="31" t="str">
        <f t="shared" si="274"/>
        <v>TRUE</v>
      </c>
      <c r="X2421" s="31" t="str">
        <f t="shared" si="269"/>
        <v/>
      </c>
      <c r="Y2421" s="10" t="s">
        <v>1144</v>
      </c>
      <c r="AL2421" s="10" t="str">
        <f t="shared" si="271"/>
        <v>FALSE</v>
      </c>
      <c r="AM2421" s="10" t="str">
        <f t="shared" si="271"/>
        <v>FALSE</v>
      </c>
      <c r="AN2421" s="10" t="str">
        <f t="shared" si="271"/>
        <v>FALSE</v>
      </c>
      <c r="AO2421" s="10" t="str">
        <f t="shared" si="272"/>
        <v>FALSE</v>
      </c>
      <c r="AP2421" s="10" t="str">
        <f t="shared" si="272"/>
        <v>FALSE</v>
      </c>
      <c r="AQ2421" s="10" t="b">
        <f>IF(AND(I2421="TP",S2421&lt;=150),VLOOKUP(AF2421,TPCalibEq150!$AZ$2:$BB$55,3,),IF(AND(I2421="TDP",S2421&lt;=150),VLOOKUP(AF2421,TPCalibEq150!$AZ$2:$BB$55,3,)))</f>
        <v>0</v>
      </c>
      <c r="AR2421" s="10" t="b">
        <f>IF(AND(I2421="TP",S2421&lt;=300),VLOOKUP(AF2421,TPCalibEq300!$AZ$2:$BB$55,3,),IF(AND(I2421="TDP",S2421&lt;=300),VLOOKUP(AF2421,TPCalibEq300!$AZ$2:$BB$55,3,)))</f>
        <v>0</v>
      </c>
      <c r="AS2421" s="10" t="b">
        <f>IF(AND(I2421="TP",S2421&lt;=500),VLOOKUP(AF2421,TPCalibEq500!$AZ$2:$BB$56,3,),IF(AND(I2421="TDP",S2421&lt;=500),VLOOKUP(AF2421,TPCalibEq500!$AZ$2:$BB$56,3,)))</f>
        <v>0</v>
      </c>
      <c r="AT2421" s="10" t="b">
        <f>IF(AND(I2421="TN",S2421&lt;=2800),VLOOKUP(AF2421,TNCalibEq2500!$AZ$2:$BB$56,3,),IF(AND(I2421="TDN",S2421&lt;=2800),VLOOKUP(AF2421,TNCalibEq2500!$AZ$2:$BB$56,3,)))</f>
        <v>0</v>
      </c>
      <c r="AU2421" s="10" t="b">
        <f>IF(I2421="TP",VLOOKUP(AF2421,TPCalibEqFull!$AZ$2:$BB$56,3),IF(I2421="TDP",VLOOKUP(AF2421,TPCalibEqFull!$AZ$2:$BB$56,3),IF(I2421="TDN",VLOOKUP(AF2421,TNCalibEqFull!$AZ$1:$BB$56,3),IF(I2421="TN",VLOOKUP(AF2421,TNCalibEqFull!$AZ$1:$BB$56,3),FALSE))))</f>
        <v>0</v>
      </c>
      <c r="AV2421" s="10" t="str">
        <f t="shared" si="275"/>
        <v>0208 11:46:00-ECP-5-660-1-SW-UKN</v>
      </c>
    </row>
    <row r="2422" spans="1:48" s="10" customFormat="1" x14ac:dyDescent="0.55000000000000004">
      <c r="A2422" s="32">
        <v>44965</v>
      </c>
      <c r="B2422" s="33">
        <v>0.4927083333333333</v>
      </c>
      <c r="C2422" s="10" t="s">
        <v>618</v>
      </c>
      <c r="D2422" s="10">
        <v>10</v>
      </c>
      <c r="E2422" s="10">
        <v>700</v>
      </c>
      <c r="F2422" s="10">
        <v>1</v>
      </c>
      <c r="G2422" s="10" t="s">
        <v>231</v>
      </c>
      <c r="H2422" s="10" t="s">
        <v>322</v>
      </c>
      <c r="I2422" s="10" t="s">
        <v>256</v>
      </c>
      <c r="J2422" s="10">
        <v>31</v>
      </c>
      <c r="K2422" s="12">
        <v>44966</v>
      </c>
      <c r="L2422" s="33">
        <v>0.50718750000000001</v>
      </c>
      <c r="M2422" s="10">
        <v>1</v>
      </c>
      <c r="N2422" s="10" t="s">
        <v>169</v>
      </c>
      <c r="O2422" s="10">
        <v>5.03</v>
      </c>
      <c r="P2422" s="10">
        <v>0.23300000000000001</v>
      </c>
      <c r="Q2422" s="10">
        <v>620</v>
      </c>
      <c r="R2422" s="10" t="s">
        <v>77</v>
      </c>
      <c r="S2422" s="34">
        <f t="shared" si="270"/>
        <v>620</v>
      </c>
      <c r="T2422" s="10" t="s">
        <v>1176</v>
      </c>
      <c r="U2422" s="34" t="str">
        <f t="shared" si="273"/>
        <v/>
      </c>
      <c r="V2422" s="31" t="str">
        <f>IF(H2422="CHK",VLOOKUP(I2422,QCCHK,3,),IF(H2422="GUP",VLOOKUP(E2422,QCGUP,2,),IF(AND(H2422="ATP",OR(I2422="TN",I2422="TDN",I2422="TNO2-3",I2422="NO2-3")),VLOOKUP(E2422,QCREC_N,2,),IF(AND(H2422="NIC",OR(I2422="TN",I2422="TDN",I2422="TNO2-3",I2422="NO2-3")),VLOOKUP(E2422,QCNIC_N,2,),IF(AND(H2422="UREA",OR(I2422="TN",I2422="TDN",I2422="TNO2-3",I2422="NO2-3")),VLOOKUP(E2422,QCUREA_N,2,),IF(H2422="PER",VLOOKUP(I2422,QCPER,MATCH(E2422,QCACTUAL!$J$25:$AA$25,0),),IF(H2422="SPK",VLOOKUP(I2422,QCSPK,3,),IF(AND(H2422="ATP",OR(I2422="TP",I2422="TDP")),VLOOKUP(E2422,QCATP_P,2,),""))))))))</f>
        <v/>
      </c>
      <c r="W2422" s="31" t="str">
        <f t="shared" si="274"/>
        <v>TRUE</v>
      </c>
      <c r="X2422" s="31" t="str">
        <f t="shared" si="269"/>
        <v/>
      </c>
      <c r="Y2422" s="10" t="s">
        <v>1144</v>
      </c>
      <c r="AL2422" s="10" t="str">
        <f t="shared" si="271"/>
        <v>FALSE</v>
      </c>
      <c r="AM2422" s="10" t="str">
        <f t="shared" si="271"/>
        <v>FALSE</v>
      </c>
      <c r="AN2422" s="10" t="str">
        <f t="shared" si="271"/>
        <v>FALSE</v>
      </c>
      <c r="AO2422" s="10" t="str">
        <f t="shared" si="272"/>
        <v>FALSE</v>
      </c>
      <c r="AP2422" s="10" t="str">
        <f t="shared" si="272"/>
        <v>FALSE</v>
      </c>
      <c r="AQ2422" s="10" t="b">
        <f>IF(AND(I2422="TP",S2422&lt;=150),VLOOKUP(AF2422,TPCalibEq150!$AZ$2:$BB$55,3,),IF(AND(I2422="TDP",S2422&lt;=150),VLOOKUP(AF2422,TPCalibEq150!$AZ$2:$BB$55,3,)))</f>
        <v>0</v>
      </c>
      <c r="AR2422" s="10" t="b">
        <f>IF(AND(I2422="TP",S2422&lt;=300),VLOOKUP(AF2422,TPCalibEq300!$AZ$2:$BB$55,3,),IF(AND(I2422="TDP",S2422&lt;=300),VLOOKUP(AF2422,TPCalibEq300!$AZ$2:$BB$55,3,)))</f>
        <v>0</v>
      </c>
      <c r="AS2422" s="10" t="b">
        <f>IF(AND(I2422="TP",S2422&lt;=500),VLOOKUP(AF2422,TPCalibEq500!$AZ$2:$BB$56,3,),IF(AND(I2422="TDP",S2422&lt;=500),VLOOKUP(AF2422,TPCalibEq500!$AZ$2:$BB$56,3,)))</f>
        <v>0</v>
      </c>
      <c r="AT2422" s="10" t="b">
        <f>IF(AND(I2422="TN",S2422&lt;=2800),VLOOKUP(AF2422,TNCalibEq2500!$AZ$2:$BB$56,3,),IF(AND(I2422="TDN",S2422&lt;=2800),VLOOKUP(AF2422,TNCalibEq2500!$AZ$2:$BB$56,3,)))</f>
        <v>0</v>
      </c>
      <c r="AU2422" s="10" t="b">
        <f>IF(I2422="TP",VLOOKUP(AF2422,TPCalibEqFull!$AZ$2:$BB$56,3),IF(I2422="TDP",VLOOKUP(AF2422,TPCalibEqFull!$AZ$2:$BB$56,3),IF(I2422="TDN",VLOOKUP(AF2422,TNCalibEqFull!$AZ$1:$BB$56,3),IF(I2422="TN",VLOOKUP(AF2422,TNCalibEqFull!$AZ$1:$BB$56,3),FALSE))))</f>
        <v>0</v>
      </c>
      <c r="AV2422" s="10" t="str">
        <f t="shared" si="275"/>
        <v>0208 11:49:30-ECP-10-700-1-SW-UKN</v>
      </c>
    </row>
    <row r="2423" spans="1:48" s="10" customFormat="1" x14ac:dyDescent="0.55000000000000004">
      <c r="A2423" s="32">
        <v>44965</v>
      </c>
      <c r="B2423" s="33">
        <v>0.49502314814814818</v>
      </c>
      <c r="C2423" s="10" t="s">
        <v>618</v>
      </c>
      <c r="D2423" s="10">
        <v>20</v>
      </c>
      <c r="E2423" s="10" t="s">
        <v>190</v>
      </c>
      <c r="F2423" s="10">
        <v>1</v>
      </c>
      <c r="G2423" s="10" t="s">
        <v>231</v>
      </c>
      <c r="H2423" s="10" t="s">
        <v>322</v>
      </c>
      <c r="I2423" s="10" t="s">
        <v>256</v>
      </c>
      <c r="J2423" s="10">
        <v>32</v>
      </c>
      <c r="K2423" s="12">
        <v>44966</v>
      </c>
      <c r="L2423" s="33">
        <v>0.50800925925925922</v>
      </c>
      <c r="M2423" s="10">
        <v>1</v>
      </c>
      <c r="N2423" s="10" t="s">
        <v>169</v>
      </c>
      <c r="O2423" s="10">
        <v>4.5599999999999996</v>
      </c>
      <c r="P2423" s="10">
        <v>0.21099999999999999</v>
      </c>
      <c r="Q2423" s="10">
        <v>563</v>
      </c>
      <c r="R2423" s="10" t="s">
        <v>77</v>
      </c>
      <c r="S2423" s="34">
        <f t="shared" si="270"/>
        <v>563</v>
      </c>
      <c r="T2423" s="10" t="s">
        <v>1176</v>
      </c>
      <c r="U2423" s="34" t="str">
        <f t="shared" si="273"/>
        <v/>
      </c>
      <c r="V2423" s="31" t="str">
        <f>IF(H2423="CHK",VLOOKUP(I2423,QCCHK,3,),IF(H2423="GUP",VLOOKUP(E2423,QCGUP,2,),IF(AND(H2423="ATP",OR(I2423="TN",I2423="TDN",I2423="TNO2-3",I2423="NO2-3")),VLOOKUP(E2423,QCREC_N,2,),IF(AND(H2423="NIC",OR(I2423="TN",I2423="TDN",I2423="TNO2-3",I2423="NO2-3")),VLOOKUP(E2423,QCNIC_N,2,),IF(AND(H2423="UREA",OR(I2423="TN",I2423="TDN",I2423="TNO2-3",I2423="NO2-3")),VLOOKUP(E2423,QCUREA_N,2,),IF(H2423="PER",VLOOKUP(I2423,QCPER,MATCH(E2423,QCACTUAL!$J$25:$AA$25,0),),IF(H2423="SPK",VLOOKUP(I2423,QCSPK,3,),IF(AND(H2423="ATP",OR(I2423="TP",I2423="TDP")),VLOOKUP(E2423,QCATP_P,2,),""))))))))</f>
        <v/>
      </c>
      <c r="W2423" s="31" t="str">
        <f t="shared" si="274"/>
        <v>TRUE</v>
      </c>
      <c r="X2423" s="31" t="str">
        <f t="shared" si="269"/>
        <v/>
      </c>
      <c r="Y2423" s="10" t="s">
        <v>1144</v>
      </c>
      <c r="AL2423" s="10" t="str">
        <f t="shared" si="271"/>
        <v>FALSE</v>
      </c>
      <c r="AM2423" s="10" t="str">
        <f t="shared" si="271"/>
        <v>FALSE</v>
      </c>
      <c r="AN2423" s="10" t="str">
        <f t="shared" si="271"/>
        <v>FALSE</v>
      </c>
      <c r="AO2423" s="10" t="str">
        <f t="shared" si="272"/>
        <v>FALSE</v>
      </c>
      <c r="AP2423" s="10" t="str">
        <f t="shared" si="272"/>
        <v>FALSE</v>
      </c>
      <c r="AQ2423" s="10" t="b">
        <f>IF(AND(I2423="TP",S2423&lt;=150),VLOOKUP(AF2423,TPCalibEq150!$AZ$2:$BB$55,3,),IF(AND(I2423="TDP",S2423&lt;=150),VLOOKUP(AF2423,TPCalibEq150!$AZ$2:$BB$55,3,)))</f>
        <v>0</v>
      </c>
      <c r="AR2423" s="10" t="b">
        <f>IF(AND(I2423="TP",S2423&lt;=300),VLOOKUP(AF2423,TPCalibEq300!$AZ$2:$BB$55,3,),IF(AND(I2423="TDP",S2423&lt;=300),VLOOKUP(AF2423,TPCalibEq300!$AZ$2:$BB$55,3,)))</f>
        <v>0</v>
      </c>
      <c r="AS2423" s="10" t="b">
        <f>IF(AND(I2423="TP",S2423&lt;=500),VLOOKUP(AF2423,TPCalibEq500!$AZ$2:$BB$56,3,),IF(AND(I2423="TDP",S2423&lt;=500),VLOOKUP(AF2423,TPCalibEq500!$AZ$2:$BB$56,3,)))</f>
        <v>0</v>
      </c>
      <c r="AT2423" s="10" t="b">
        <f>IF(AND(I2423="TN",S2423&lt;=2800),VLOOKUP(AF2423,TNCalibEq2500!$AZ$2:$BB$56,3,),IF(AND(I2423="TDN",S2423&lt;=2800),VLOOKUP(AF2423,TNCalibEq2500!$AZ$2:$BB$56,3,)))</f>
        <v>0</v>
      </c>
      <c r="AU2423" s="10" t="b">
        <f>IF(I2423="TP",VLOOKUP(AF2423,TPCalibEqFull!$AZ$2:$BB$56,3),IF(I2423="TDP",VLOOKUP(AF2423,TPCalibEqFull!$AZ$2:$BB$56,3),IF(I2423="TDN",VLOOKUP(AF2423,TNCalibEqFull!$AZ$1:$BB$56,3),IF(I2423="TN",VLOOKUP(AF2423,TNCalibEqFull!$AZ$1:$BB$56,3),FALSE))))</f>
        <v>0</v>
      </c>
      <c r="AV2423" s="10" t="str">
        <f t="shared" si="275"/>
        <v>0208 11:52:50-ECP-20-C-1-SW-UKN</v>
      </c>
    </row>
    <row r="2424" spans="1:48" s="10" customFormat="1" x14ac:dyDescent="0.55000000000000004">
      <c r="A2424" s="32">
        <v>44965</v>
      </c>
      <c r="B2424" s="33">
        <v>0.49745370370370368</v>
      </c>
      <c r="C2424" s="10" t="s">
        <v>618</v>
      </c>
      <c r="D2424" s="10">
        <v>33</v>
      </c>
      <c r="E2424" s="10" t="s">
        <v>190</v>
      </c>
      <c r="F2424" s="10">
        <v>1</v>
      </c>
      <c r="G2424" s="10" t="s">
        <v>231</v>
      </c>
      <c r="H2424" s="10" t="s">
        <v>322</v>
      </c>
      <c r="I2424" s="10" t="s">
        <v>256</v>
      </c>
      <c r="J2424" s="10">
        <v>33</v>
      </c>
      <c r="K2424" s="12">
        <v>44966</v>
      </c>
      <c r="L2424" s="33">
        <v>0.50883101851851853</v>
      </c>
      <c r="M2424" s="10">
        <v>1</v>
      </c>
      <c r="N2424" s="10" t="s">
        <v>169</v>
      </c>
      <c r="O2424" s="10">
        <v>3.52</v>
      </c>
      <c r="P2424" s="10">
        <v>0.16300000000000001</v>
      </c>
      <c r="Q2424" s="10">
        <v>434</v>
      </c>
      <c r="R2424" s="10" t="s">
        <v>77</v>
      </c>
      <c r="S2424" s="34">
        <f t="shared" si="270"/>
        <v>434</v>
      </c>
      <c r="T2424" s="10" t="s">
        <v>1176</v>
      </c>
      <c r="U2424" s="34" t="str">
        <f t="shared" si="273"/>
        <v/>
      </c>
      <c r="V2424" s="31" t="str">
        <f>IF(H2424="CHK",VLOOKUP(I2424,QCCHK,3,),IF(H2424="GUP",VLOOKUP(E2424,QCGUP,2,),IF(AND(H2424="ATP",OR(I2424="TN",I2424="TDN",I2424="TNO2-3",I2424="NO2-3")),VLOOKUP(E2424,QCREC_N,2,),IF(AND(H2424="NIC",OR(I2424="TN",I2424="TDN",I2424="TNO2-3",I2424="NO2-3")),VLOOKUP(E2424,QCNIC_N,2,),IF(AND(H2424="UREA",OR(I2424="TN",I2424="TDN",I2424="TNO2-3",I2424="NO2-3")),VLOOKUP(E2424,QCUREA_N,2,),IF(H2424="PER",VLOOKUP(I2424,QCPER,MATCH(E2424,QCACTUAL!$J$25:$AA$25,0),),IF(H2424="SPK",VLOOKUP(I2424,QCSPK,3,),IF(AND(H2424="ATP",OR(I2424="TP",I2424="TDP")),VLOOKUP(E2424,QCATP_P,2,),""))))))))</f>
        <v/>
      </c>
      <c r="W2424" s="31" t="str">
        <f t="shared" si="274"/>
        <v>TRUE</v>
      </c>
      <c r="X2424" s="31" t="str">
        <f t="shared" si="269"/>
        <v/>
      </c>
      <c r="Y2424" s="10" t="s">
        <v>1144</v>
      </c>
      <c r="AL2424" s="10" t="str">
        <f t="shared" si="271"/>
        <v>FALSE</v>
      </c>
      <c r="AM2424" s="10" t="str">
        <f t="shared" si="271"/>
        <v>FALSE</v>
      </c>
      <c r="AN2424" s="10" t="str">
        <f t="shared" si="271"/>
        <v>FALSE</v>
      </c>
      <c r="AO2424" s="10" t="str">
        <f t="shared" si="272"/>
        <v>FALSE</v>
      </c>
      <c r="AP2424" s="10" t="str">
        <f t="shared" si="272"/>
        <v>FALSE</v>
      </c>
      <c r="AQ2424" s="10" t="b">
        <f>IF(AND(I2424="TP",S2424&lt;=150),VLOOKUP(AF2424,TPCalibEq150!$AZ$2:$BB$55,3,),IF(AND(I2424="TDP",S2424&lt;=150),VLOOKUP(AF2424,TPCalibEq150!$AZ$2:$BB$55,3,)))</f>
        <v>0</v>
      </c>
      <c r="AR2424" s="10" t="b">
        <f>IF(AND(I2424="TP",S2424&lt;=300),VLOOKUP(AF2424,TPCalibEq300!$AZ$2:$BB$55,3,),IF(AND(I2424="TDP",S2424&lt;=300),VLOOKUP(AF2424,TPCalibEq300!$AZ$2:$BB$55,3,)))</f>
        <v>0</v>
      </c>
      <c r="AS2424" s="10" t="b">
        <f>IF(AND(I2424="TP",S2424&lt;=500),VLOOKUP(AF2424,TPCalibEq500!$AZ$2:$BB$56,3,),IF(AND(I2424="TDP",S2424&lt;=500),VLOOKUP(AF2424,TPCalibEq500!$AZ$2:$BB$56,3,)))</f>
        <v>0</v>
      </c>
      <c r="AT2424" s="10" t="b">
        <f>IF(AND(I2424="TN",S2424&lt;=2800),VLOOKUP(AF2424,TNCalibEq2500!$AZ$2:$BB$56,3,),IF(AND(I2424="TDN",S2424&lt;=2800),VLOOKUP(AF2424,TNCalibEq2500!$AZ$2:$BB$56,3,)))</f>
        <v>0</v>
      </c>
      <c r="AU2424" s="10" t="b">
        <f>IF(I2424="TP",VLOOKUP(AF2424,TPCalibEqFull!$AZ$2:$BB$56,3),IF(I2424="TDP",VLOOKUP(AF2424,TPCalibEqFull!$AZ$2:$BB$56,3),IF(I2424="TDN",VLOOKUP(AF2424,TNCalibEqFull!$AZ$1:$BB$56,3),IF(I2424="TN",VLOOKUP(AF2424,TNCalibEqFull!$AZ$1:$BB$56,3),FALSE))))</f>
        <v>0</v>
      </c>
      <c r="AV2424" s="10" t="str">
        <f t="shared" si="275"/>
        <v>0208 11:56:20-ECP-33-C-1-SW-UKN</v>
      </c>
    </row>
    <row r="2425" spans="1:48" s="10" customFormat="1" x14ac:dyDescent="0.55000000000000004">
      <c r="A2425" s="32">
        <v>44965</v>
      </c>
      <c r="B2425" s="33">
        <v>0.50439814814814821</v>
      </c>
      <c r="C2425" s="10" t="s">
        <v>661</v>
      </c>
      <c r="D2425" s="10">
        <v>0</v>
      </c>
      <c r="E2425" s="10">
        <v>660</v>
      </c>
      <c r="F2425" s="10">
        <v>1</v>
      </c>
      <c r="G2425" s="10" t="s">
        <v>231</v>
      </c>
      <c r="H2425" s="10" t="s">
        <v>322</v>
      </c>
      <c r="I2425" s="10" t="s">
        <v>256</v>
      </c>
      <c r="J2425" s="10">
        <v>34</v>
      </c>
      <c r="K2425" s="12">
        <v>44966</v>
      </c>
      <c r="L2425" s="33">
        <v>0.50965277777777784</v>
      </c>
      <c r="M2425" s="10">
        <v>1</v>
      </c>
      <c r="N2425" s="10" t="s">
        <v>169</v>
      </c>
      <c r="O2425" s="10">
        <v>4.93</v>
      </c>
      <c r="P2425" s="10">
        <v>0.22700000000000001</v>
      </c>
      <c r="Q2425" s="10">
        <v>608</v>
      </c>
      <c r="R2425" s="10" t="s">
        <v>77</v>
      </c>
      <c r="S2425" s="34">
        <f t="shared" si="270"/>
        <v>608</v>
      </c>
      <c r="T2425" s="10" t="s">
        <v>1176</v>
      </c>
      <c r="U2425" s="34" t="str">
        <f t="shared" si="273"/>
        <v/>
      </c>
      <c r="V2425" s="31" t="str">
        <f>IF(H2425="CHK",VLOOKUP(I2425,QCCHK,3,),IF(H2425="GUP",VLOOKUP(E2425,QCGUP,2,),IF(AND(H2425="ATP",OR(I2425="TN",I2425="TDN",I2425="TNO2-3",I2425="NO2-3")),VLOOKUP(E2425,QCREC_N,2,),IF(AND(H2425="NIC",OR(I2425="TN",I2425="TDN",I2425="TNO2-3",I2425="NO2-3")),VLOOKUP(E2425,QCNIC_N,2,),IF(AND(H2425="UREA",OR(I2425="TN",I2425="TDN",I2425="TNO2-3",I2425="NO2-3")),VLOOKUP(E2425,QCUREA_N,2,),IF(H2425="PER",VLOOKUP(I2425,QCPER,MATCH(E2425,QCACTUAL!$J$25:$AA$25,0),),IF(H2425="SPK",VLOOKUP(I2425,QCSPK,3,),IF(AND(H2425="ATP",OR(I2425="TP",I2425="TDP")),VLOOKUP(E2425,QCATP_P,2,),""))))))))</f>
        <v/>
      </c>
      <c r="W2425" s="31" t="str">
        <f t="shared" si="274"/>
        <v>TRUE</v>
      </c>
      <c r="X2425" s="31" t="str">
        <f t="shared" si="269"/>
        <v/>
      </c>
      <c r="Y2425" s="10" t="s">
        <v>1144</v>
      </c>
      <c r="AL2425" s="10" t="str">
        <f t="shared" si="271"/>
        <v>FALSE</v>
      </c>
      <c r="AM2425" s="10" t="str">
        <f t="shared" si="271"/>
        <v>FALSE</v>
      </c>
      <c r="AN2425" s="10" t="str">
        <f t="shared" si="271"/>
        <v>FALSE</v>
      </c>
      <c r="AO2425" s="10" t="str">
        <f t="shared" si="272"/>
        <v>FALSE</v>
      </c>
      <c r="AP2425" s="10" t="str">
        <f t="shared" si="272"/>
        <v>FALSE</v>
      </c>
      <c r="AQ2425" s="10" t="b">
        <f>IF(AND(I2425="TP",S2425&lt;=150),VLOOKUP(AF2425,TPCalibEq150!$AZ$2:$BB$55,3,),IF(AND(I2425="TDP",S2425&lt;=150),VLOOKUP(AF2425,TPCalibEq150!$AZ$2:$BB$55,3,)))</f>
        <v>0</v>
      </c>
      <c r="AR2425" s="10" t="b">
        <f>IF(AND(I2425="TP",S2425&lt;=300),VLOOKUP(AF2425,TPCalibEq300!$AZ$2:$BB$55,3,),IF(AND(I2425="TDP",S2425&lt;=300),VLOOKUP(AF2425,TPCalibEq300!$AZ$2:$BB$55,3,)))</f>
        <v>0</v>
      </c>
      <c r="AS2425" s="10" t="b">
        <f>IF(AND(I2425="TP",S2425&lt;=500),VLOOKUP(AF2425,TPCalibEq500!$AZ$2:$BB$56,3,),IF(AND(I2425="TDP",S2425&lt;=500),VLOOKUP(AF2425,TPCalibEq500!$AZ$2:$BB$56,3,)))</f>
        <v>0</v>
      </c>
      <c r="AT2425" s="10" t="b">
        <f>IF(AND(I2425="TN",S2425&lt;=2800),VLOOKUP(AF2425,TNCalibEq2500!$AZ$2:$BB$56,3,),IF(AND(I2425="TDN",S2425&lt;=2800),VLOOKUP(AF2425,TNCalibEq2500!$AZ$2:$BB$56,3,)))</f>
        <v>0</v>
      </c>
      <c r="AU2425" s="10" t="b">
        <f>IF(I2425="TP",VLOOKUP(AF2425,TPCalibEqFull!$AZ$2:$BB$56,3),IF(I2425="TDP",VLOOKUP(AF2425,TPCalibEqFull!$AZ$2:$BB$56,3),IF(I2425="TDN",VLOOKUP(AF2425,TNCalibEqFull!$AZ$1:$BB$56,3),IF(I2425="TN",VLOOKUP(AF2425,TNCalibEqFull!$AZ$1:$BB$56,3),FALSE))))</f>
        <v>0</v>
      </c>
      <c r="AV2425" s="10" t="str">
        <f t="shared" si="275"/>
        <v>0208 12:06:20-ENN-0-660-1-SW-UKN</v>
      </c>
    </row>
    <row r="2426" spans="1:48" s="10" customFormat="1" x14ac:dyDescent="0.55000000000000004">
      <c r="A2426" s="32">
        <v>44965</v>
      </c>
      <c r="B2426" s="33">
        <v>0.50706018518518514</v>
      </c>
      <c r="C2426" s="10" t="s">
        <v>661</v>
      </c>
      <c r="D2426" s="10">
        <v>5</v>
      </c>
      <c r="E2426" s="10">
        <v>700</v>
      </c>
      <c r="F2426" s="10">
        <v>1</v>
      </c>
      <c r="G2426" s="10" t="s">
        <v>231</v>
      </c>
      <c r="H2426" s="10" t="s">
        <v>322</v>
      </c>
      <c r="I2426" s="10" t="s">
        <v>256</v>
      </c>
      <c r="J2426" s="10">
        <v>35</v>
      </c>
      <c r="K2426" s="12">
        <v>44966</v>
      </c>
      <c r="L2426" s="33">
        <v>0.51047453703703705</v>
      </c>
      <c r="M2426" s="10">
        <v>1</v>
      </c>
      <c r="N2426" s="10" t="s">
        <v>169</v>
      </c>
      <c r="O2426" s="10">
        <v>4.88</v>
      </c>
      <c r="P2426" s="10">
        <v>0.22600000000000001</v>
      </c>
      <c r="Q2426" s="10">
        <v>602</v>
      </c>
      <c r="R2426" s="10" t="s">
        <v>77</v>
      </c>
      <c r="S2426" s="34">
        <f t="shared" si="270"/>
        <v>602</v>
      </c>
      <c r="T2426" s="10" t="s">
        <v>1176</v>
      </c>
      <c r="U2426" s="34" t="str">
        <f t="shared" si="273"/>
        <v/>
      </c>
      <c r="V2426" s="31" t="str">
        <f>IF(H2426="CHK",VLOOKUP(I2426,QCCHK,3,),IF(H2426="GUP",VLOOKUP(E2426,QCGUP,2,),IF(AND(H2426="ATP",OR(I2426="TN",I2426="TDN",I2426="TNO2-3",I2426="NO2-3")),VLOOKUP(E2426,QCREC_N,2,),IF(AND(H2426="NIC",OR(I2426="TN",I2426="TDN",I2426="TNO2-3",I2426="NO2-3")),VLOOKUP(E2426,QCNIC_N,2,),IF(AND(H2426="UREA",OR(I2426="TN",I2426="TDN",I2426="TNO2-3",I2426="NO2-3")),VLOOKUP(E2426,QCUREA_N,2,),IF(H2426="PER",VLOOKUP(I2426,QCPER,MATCH(E2426,QCACTUAL!$J$25:$AA$25,0),),IF(H2426="SPK",VLOOKUP(I2426,QCSPK,3,),IF(AND(H2426="ATP",OR(I2426="TP",I2426="TDP")),VLOOKUP(E2426,QCATP_P,2,),""))))))))</f>
        <v/>
      </c>
      <c r="W2426" s="31" t="str">
        <f t="shared" si="274"/>
        <v>TRUE</v>
      </c>
      <c r="X2426" s="31" t="str">
        <f t="shared" si="269"/>
        <v/>
      </c>
      <c r="Y2426" s="10" t="s">
        <v>1144</v>
      </c>
      <c r="AL2426" s="10" t="str">
        <f t="shared" si="271"/>
        <v>FALSE</v>
      </c>
      <c r="AM2426" s="10" t="str">
        <f t="shared" si="271"/>
        <v>FALSE</v>
      </c>
      <c r="AN2426" s="10" t="str">
        <f t="shared" si="271"/>
        <v>FALSE</v>
      </c>
      <c r="AO2426" s="10" t="str">
        <f t="shared" si="272"/>
        <v>FALSE</v>
      </c>
      <c r="AP2426" s="10" t="str">
        <f t="shared" si="272"/>
        <v>FALSE</v>
      </c>
      <c r="AQ2426" s="10" t="b">
        <f>IF(AND(I2426="TP",S2426&lt;=150),VLOOKUP(AF2426,TPCalibEq150!$AZ$2:$BB$55,3,),IF(AND(I2426="TDP",S2426&lt;=150),VLOOKUP(AF2426,TPCalibEq150!$AZ$2:$BB$55,3,)))</f>
        <v>0</v>
      </c>
      <c r="AR2426" s="10" t="b">
        <f>IF(AND(I2426="TP",S2426&lt;=300),VLOOKUP(AF2426,TPCalibEq300!$AZ$2:$BB$55,3,),IF(AND(I2426="TDP",S2426&lt;=300),VLOOKUP(AF2426,TPCalibEq300!$AZ$2:$BB$55,3,)))</f>
        <v>0</v>
      </c>
      <c r="AS2426" s="10" t="b">
        <f>IF(AND(I2426="TP",S2426&lt;=500),VLOOKUP(AF2426,TPCalibEq500!$AZ$2:$BB$56,3,),IF(AND(I2426="TDP",S2426&lt;=500),VLOOKUP(AF2426,TPCalibEq500!$AZ$2:$BB$56,3,)))</f>
        <v>0</v>
      </c>
      <c r="AT2426" s="10" t="b">
        <f>IF(AND(I2426="TN",S2426&lt;=2800),VLOOKUP(AF2426,TNCalibEq2500!$AZ$2:$BB$56,3,),IF(AND(I2426="TDN",S2426&lt;=2800),VLOOKUP(AF2426,TNCalibEq2500!$AZ$2:$BB$56,3,)))</f>
        <v>0</v>
      </c>
      <c r="AU2426" s="10" t="b">
        <f>IF(I2426="TP",VLOOKUP(AF2426,TPCalibEqFull!$AZ$2:$BB$56,3),IF(I2426="TDP",VLOOKUP(AF2426,TPCalibEqFull!$AZ$2:$BB$56,3),IF(I2426="TDN",VLOOKUP(AF2426,TNCalibEqFull!$AZ$1:$BB$56,3),IF(I2426="TN",VLOOKUP(AF2426,TNCalibEqFull!$AZ$1:$BB$56,3),FALSE))))</f>
        <v>0</v>
      </c>
      <c r="AV2426" s="10" t="str">
        <f t="shared" si="275"/>
        <v>0208 12:10:10-ENN-5-700-1-SW-UKN</v>
      </c>
    </row>
    <row r="2427" spans="1:48" s="10" customFormat="1" x14ac:dyDescent="0.55000000000000004">
      <c r="A2427" s="32">
        <v>44965</v>
      </c>
      <c r="B2427" s="33">
        <v>0.50949074074074074</v>
      </c>
      <c r="C2427" s="10" t="s">
        <v>661</v>
      </c>
      <c r="D2427" s="10">
        <v>10</v>
      </c>
      <c r="E2427" s="10">
        <v>700</v>
      </c>
      <c r="F2427" s="10">
        <v>1</v>
      </c>
      <c r="G2427" s="10" t="s">
        <v>231</v>
      </c>
      <c r="H2427" s="10" t="s">
        <v>322</v>
      </c>
      <c r="I2427" s="10" t="s">
        <v>256</v>
      </c>
      <c r="J2427" s="10">
        <v>36</v>
      </c>
      <c r="K2427" s="12">
        <v>44966</v>
      </c>
      <c r="L2427" s="33">
        <v>0.51129629629629625</v>
      </c>
      <c r="M2427" s="10">
        <v>1</v>
      </c>
      <c r="N2427" s="10" t="s">
        <v>169</v>
      </c>
      <c r="O2427" s="10">
        <v>4.92</v>
      </c>
      <c r="P2427" s="10">
        <v>0.22800000000000001</v>
      </c>
      <c r="Q2427" s="10">
        <v>607</v>
      </c>
      <c r="R2427" s="10" t="s">
        <v>77</v>
      </c>
      <c r="S2427" s="34">
        <f t="shared" si="270"/>
        <v>607</v>
      </c>
      <c r="T2427" s="10" t="s">
        <v>1176</v>
      </c>
      <c r="U2427" s="34" t="str">
        <f t="shared" si="273"/>
        <v/>
      </c>
      <c r="V2427" s="31" t="str">
        <f>IF(H2427="CHK",VLOOKUP(I2427,QCCHK,3,),IF(H2427="GUP",VLOOKUP(E2427,QCGUP,2,),IF(AND(H2427="ATP",OR(I2427="TN",I2427="TDN",I2427="TNO2-3",I2427="NO2-3")),VLOOKUP(E2427,QCREC_N,2,),IF(AND(H2427="NIC",OR(I2427="TN",I2427="TDN",I2427="TNO2-3",I2427="NO2-3")),VLOOKUP(E2427,QCNIC_N,2,),IF(AND(H2427="UREA",OR(I2427="TN",I2427="TDN",I2427="TNO2-3",I2427="NO2-3")),VLOOKUP(E2427,QCUREA_N,2,),IF(H2427="PER",VLOOKUP(I2427,QCPER,MATCH(E2427,QCACTUAL!$J$25:$AA$25,0),),IF(H2427="SPK",VLOOKUP(I2427,QCSPK,3,),IF(AND(H2427="ATP",OR(I2427="TP",I2427="TDP")),VLOOKUP(E2427,QCATP_P,2,),""))))))))</f>
        <v/>
      </c>
      <c r="W2427" s="31" t="str">
        <f t="shared" si="274"/>
        <v>TRUE</v>
      </c>
      <c r="X2427" s="31" t="str">
        <f t="shared" si="269"/>
        <v/>
      </c>
      <c r="Y2427" s="10" t="s">
        <v>1144</v>
      </c>
      <c r="AL2427" s="10" t="str">
        <f t="shared" si="271"/>
        <v>FALSE</v>
      </c>
      <c r="AM2427" s="10" t="str">
        <f t="shared" si="271"/>
        <v>FALSE</v>
      </c>
      <c r="AN2427" s="10" t="str">
        <f t="shared" si="271"/>
        <v>FALSE</v>
      </c>
      <c r="AO2427" s="10" t="str">
        <f t="shared" si="272"/>
        <v>FALSE</v>
      </c>
      <c r="AP2427" s="10" t="str">
        <f t="shared" si="272"/>
        <v>FALSE</v>
      </c>
      <c r="AQ2427" s="10" t="b">
        <f>IF(AND(I2427="TP",S2427&lt;=150),VLOOKUP(AF2427,TPCalibEq150!$AZ$2:$BB$55,3,),IF(AND(I2427="TDP",S2427&lt;=150),VLOOKUP(AF2427,TPCalibEq150!$AZ$2:$BB$55,3,)))</f>
        <v>0</v>
      </c>
      <c r="AR2427" s="10" t="b">
        <f>IF(AND(I2427="TP",S2427&lt;=300),VLOOKUP(AF2427,TPCalibEq300!$AZ$2:$BB$55,3,),IF(AND(I2427="TDP",S2427&lt;=300),VLOOKUP(AF2427,TPCalibEq300!$AZ$2:$BB$55,3,)))</f>
        <v>0</v>
      </c>
      <c r="AS2427" s="10" t="b">
        <f>IF(AND(I2427="TP",S2427&lt;=500),VLOOKUP(AF2427,TPCalibEq500!$AZ$2:$BB$56,3,),IF(AND(I2427="TDP",S2427&lt;=500),VLOOKUP(AF2427,TPCalibEq500!$AZ$2:$BB$56,3,)))</f>
        <v>0</v>
      </c>
      <c r="AT2427" s="10" t="b">
        <f>IF(AND(I2427="TN",S2427&lt;=2800),VLOOKUP(AF2427,TNCalibEq2500!$AZ$2:$BB$56,3,),IF(AND(I2427="TDN",S2427&lt;=2800),VLOOKUP(AF2427,TNCalibEq2500!$AZ$2:$BB$56,3,)))</f>
        <v>0</v>
      </c>
      <c r="AU2427" s="10" t="b">
        <f>IF(I2427="TP",VLOOKUP(AF2427,TPCalibEqFull!$AZ$2:$BB$56,3),IF(I2427="TDP",VLOOKUP(AF2427,TPCalibEqFull!$AZ$2:$BB$56,3),IF(I2427="TDN",VLOOKUP(AF2427,TNCalibEqFull!$AZ$1:$BB$56,3),IF(I2427="TN",VLOOKUP(AF2427,TNCalibEqFull!$AZ$1:$BB$56,3),FALSE))))</f>
        <v>0</v>
      </c>
      <c r="AV2427" s="10" t="str">
        <f t="shared" si="275"/>
        <v>0208 12:13:40-ENN-10-700-1-SW-UKN</v>
      </c>
    </row>
    <row r="2428" spans="1:48" s="10" customFormat="1" x14ac:dyDescent="0.55000000000000004">
      <c r="A2428" s="32">
        <v>44965</v>
      </c>
      <c r="B2428" s="33">
        <v>0.51180555555555551</v>
      </c>
      <c r="C2428" s="10" t="s">
        <v>661</v>
      </c>
      <c r="D2428" s="10">
        <v>20</v>
      </c>
      <c r="E2428" s="10" t="s">
        <v>190</v>
      </c>
      <c r="F2428" s="10">
        <v>1</v>
      </c>
      <c r="G2428" s="10" t="s">
        <v>231</v>
      </c>
      <c r="H2428" s="10" t="s">
        <v>322</v>
      </c>
      <c r="I2428" s="10" t="s">
        <v>256</v>
      </c>
      <c r="J2428" s="10">
        <v>37</v>
      </c>
      <c r="K2428" s="12">
        <v>44966</v>
      </c>
      <c r="L2428" s="33">
        <v>0.51210648148148141</v>
      </c>
      <c r="M2428" s="10">
        <v>1</v>
      </c>
      <c r="N2428" s="10" t="s">
        <v>169</v>
      </c>
      <c r="O2428" s="10">
        <v>5.09</v>
      </c>
      <c r="P2428" s="10">
        <v>0.23400000000000001</v>
      </c>
      <c r="Q2428" s="10">
        <v>628</v>
      </c>
      <c r="R2428" s="10" t="s">
        <v>77</v>
      </c>
      <c r="S2428" s="34">
        <f t="shared" si="270"/>
        <v>628</v>
      </c>
      <c r="T2428" s="10" t="s">
        <v>1176</v>
      </c>
      <c r="U2428" s="34" t="str">
        <f t="shared" si="273"/>
        <v/>
      </c>
      <c r="V2428" s="31" t="str">
        <f>IF(H2428="CHK",VLOOKUP(I2428,QCCHK,3,),IF(H2428="GUP",VLOOKUP(E2428,QCGUP,2,),IF(AND(H2428="ATP",OR(I2428="TN",I2428="TDN",I2428="TNO2-3",I2428="NO2-3")),VLOOKUP(E2428,QCREC_N,2,),IF(AND(H2428="NIC",OR(I2428="TN",I2428="TDN",I2428="TNO2-3",I2428="NO2-3")),VLOOKUP(E2428,QCNIC_N,2,),IF(AND(H2428="UREA",OR(I2428="TN",I2428="TDN",I2428="TNO2-3",I2428="NO2-3")),VLOOKUP(E2428,QCUREA_N,2,),IF(H2428="PER",VLOOKUP(I2428,QCPER,MATCH(E2428,QCACTUAL!$J$25:$AA$25,0),),IF(H2428="SPK",VLOOKUP(I2428,QCSPK,3,),IF(AND(H2428="ATP",OR(I2428="TP",I2428="TDP")),VLOOKUP(E2428,QCATP_P,2,),""))))))))</f>
        <v/>
      </c>
      <c r="W2428" s="31" t="str">
        <f t="shared" si="274"/>
        <v>TRUE</v>
      </c>
      <c r="X2428" s="31" t="str">
        <f t="shared" si="269"/>
        <v/>
      </c>
      <c r="Y2428" s="10" t="s">
        <v>1144</v>
      </c>
      <c r="AL2428" s="10" t="str">
        <f t="shared" si="271"/>
        <v>FALSE</v>
      </c>
      <c r="AM2428" s="10" t="str">
        <f t="shared" si="271"/>
        <v>FALSE</v>
      </c>
      <c r="AN2428" s="10" t="str">
        <f t="shared" si="271"/>
        <v>FALSE</v>
      </c>
      <c r="AO2428" s="10" t="str">
        <f t="shared" si="272"/>
        <v>FALSE</v>
      </c>
      <c r="AP2428" s="10" t="str">
        <f t="shared" si="272"/>
        <v>FALSE</v>
      </c>
      <c r="AQ2428" s="10" t="b">
        <f>IF(AND(I2428="TP",S2428&lt;=150),VLOOKUP(AF2428,TPCalibEq150!$AZ$2:$BB$55,3,),IF(AND(I2428="TDP",S2428&lt;=150),VLOOKUP(AF2428,TPCalibEq150!$AZ$2:$BB$55,3,)))</f>
        <v>0</v>
      </c>
      <c r="AR2428" s="10" t="b">
        <f>IF(AND(I2428="TP",S2428&lt;=300),VLOOKUP(AF2428,TPCalibEq300!$AZ$2:$BB$55,3,),IF(AND(I2428="TDP",S2428&lt;=300),VLOOKUP(AF2428,TPCalibEq300!$AZ$2:$BB$55,3,)))</f>
        <v>0</v>
      </c>
      <c r="AS2428" s="10" t="b">
        <f>IF(AND(I2428="TP",S2428&lt;=500),VLOOKUP(AF2428,TPCalibEq500!$AZ$2:$BB$56,3,),IF(AND(I2428="TDP",S2428&lt;=500),VLOOKUP(AF2428,TPCalibEq500!$AZ$2:$BB$56,3,)))</f>
        <v>0</v>
      </c>
      <c r="AT2428" s="10" t="b">
        <f>IF(AND(I2428="TN",S2428&lt;=2800),VLOOKUP(AF2428,TNCalibEq2500!$AZ$2:$BB$56,3,),IF(AND(I2428="TDN",S2428&lt;=2800),VLOOKUP(AF2428,TNCalibEq2500!$AZ$2:$BB$56,3,)))</f>
        <v>0</v>
      </c>
      <c r="AU2428" s="10" t="b">
        <f>IF(I2428="TP",VLOOKUP(AF2428,TPCalibEqFull!$AZ$2:$BB$56,3),IF(I2428="TDP",VLOOKUP(AF2428,TPCalibEqFull!$AZ$2:$BB$56,3),IF(I2428="TDN",VLOOKUP(AF2428,TNCalibEqFull!$AZ$1:$BB$56,3),IF(I2428="TN",VLOOKUP(AF2428,TNCalibEqFull!$AZ$1:$BB$56,3),FALSE))))</f>
        <v>0</v>
      </c>
      <c r="AV2428" s="10" t="str">
        <f t="shared" si="275"/>
        <v>0208 12:17:00-ENN-20-C-1-SW-UKN</v>
      </c>
    </row>
    <row r="2429" spans="1:48" s="10" customFormat="1" x14ac:dyDescent="0.55000000000000004">
      <c r="A2429" s="32">
        <v>44965</v>
      </c>
      <c r="B2429" s="33">
        <v>0.51412037037037039</v>
      </c>
      <c r="C2429" s="10" t="s">
        <v>661</v>
      </c>
      <c r="D2429" s="10">
        <v>23</v>
      </c>
      <c r="E2429" s="10" t="s">
        <v>190</v>
      </c>
      <c r="F2429" s="10">
        <v>1</v>
      </c>
      <c r="G2429" s="10" t="s">
        <v>231</v>
      </c>
      <c r="H2429" s="10" t="s">
        <v>322</v>
      </c>
      <c r="I2429" s="10" t="s">
        <v>256</v>
      </c>
      <c r="J2429" s="10">
        <v>38</v>
      </c>
      <c r="K2429" s="12">
        <v>44966</v>
      </c>
      <c r="L2429" s="33">
        <v>0.51292824074074073</v>
      </c>
      <c r="M2429" s="10">
        <v>1</v>
      </c>
      <c r="N2429" s="10" t="s">
        <v>169</v>
      </c>
      <c r="O2429" s="10">
        <v>5.29</v>
      </c>
      <c r="P2429" s="10">
        <v>0.245</v>
      </c>
      <c r="Q2429" s="10">
        <v>652</v>
      </c>
      <c r="R2429" s="10" t="s">
        <v>77</v>
      </c>
      <c r="S2429" s="34">
        <f t="shared" si="270"/>
        <v>652</v>
      </c>
      <c r="T2429" s="10" t="s">
        <v>1176</v>
      </c>
      <c r="U2429" s="34" t="str">
        <f t="shared" si="273"/>
        <v/>
      </c>
      <c r="V2429" s="31" t="str">
        <f>IF(H2429="CHK",VLOOKUP(I2429,QCCHK,3,),IF(H2429="GUP",VLOOKUP(E2429,QCGUP,2,),IF(AND(H2429="ATP",OR(I2429="TN",I2429="TDN",I2429="TNO2-3",I2429="NO2-3")),VLOOKUP(E2429,QCREC_N,2,),IF(AND(H2429="NIC",OR(I2429="TN",I2429="TDN",I2429="TNO2-3",I2429="NO2-3")),VLOOKUP(E2429,QCNIC_N,2,),IF(AND(H2429="UREA",OR(I2429="TN",I2429="TDN",I2429="TNO2-3",I2429="NO2-3")),VLOOKUP(E2429,QCUREA_N,2,),IF(H2429="PER",VLOOKUP(I2429,QCPER,MATCH(E2429,QCACTUAL!$J$25:$AA$25,0),),IF(H2429="SPK",VLOOKUP(I2429,QCSPK,3,),IF(AND(H2429="ATP",OR(I2429="TP",I2429="TDP")),VLOOKUP(E2429,QCATP_P,2,),""))))))))</f>
        <v/>
      </c>
      <c r="W2429" s="31" t="str">
        <f t="shared" si="274"/>
        <v>TRUE</v>
      </c>
      <c r="X2429" s="31" t="str">
        <f t="shared" si="269"/>
        <v/>
      </c>
      <c r="Y2429" s="10" t="s">
        <v>1144</v>
      </c>
      <c r="AL2429" s="10" t="str">
        <f t="shared" si="271"/>
        <v>FALSE</v>
      </c>
      <c r="AM2429" s="10" t="str">
        <f t="shared" si="271"/>
        <v>FALSE</v>
      </c>
      <c r="AN2429" s="10" t="str">
        <f t="shared" si="271"/>
        <v>FALSE</v>
      </c>
      <c r="AO2429" s="10" t="str">
        <f t="shared" si="272"/>
        <v>FALSE</v>
      </c>
      <c r="AP2429" s="10" t="str">
        <f t="shared" si="272"/>
        <v>FALSE</v>
      </c>
      <c r="AQ2429" s="10" t="b">
        <f>IF(AND(I2429="TP",S2429&lt;=150),VLOOKUP(AF2429,TPCalibEq150!$AZ$2:$BB$55,3,),IF(AND(I2429="TDP",S2429&lt;=150),VLOOKUP(AF2429,TPCalibEq150!$AZ$2:$BB$55,3,)))</f>
        <v>0</v>
      </c>
      <c r="AR2429" s="10" t="b">
        <f>IF(AND(I2429="TP",S2429&lt;=300),VLOOKUP(AF2429,TPCalibEq300!$AZ$2:$BB$55,3,),IF(AND(I2429="TDP",S2429&lt;=300),VLOOKUP(AF2429,TPCalibEq300!$AZ$2:$BB$55,3,)))</f>
        <v>0</v>
      </c>
      <c r="AS2429" s="10" t="b">
        <f>IF(AND(I2429="TP",S2429&lt;=500),VLOOKUP(AF2429,TPCalibEq500!$AZ$2:$BB$56,3,),IF(AND(I2429="TDP",S2429&lt;=500),VLOOKUP(AF2429,TPCalibEq500!$AZ$2:$BB$56,3,)))</f>
        <v>0</v>
      </c>
      <c r="AT2429" s="10" t="b">
        <f>IF(AND(I2429="TN",S2429&lt;=2800),VLOOKUP(AF2429,TNCalibEq2500!$AZ$2:$BB$56,3,),IF(AND(I2429="TDN",S2429&lt;=2800),VLOOKUP(AF2429,TNCalibEq2500!$AZ$2:$BB$56,3,)))</f>
        <v>0</v>
      </c>
      <c r="AU2429" s="10" t="b">
        <f>IF(I2429="TP",VLOOKUP(AF2429,TPCalibEqFull!$AZ$2:$BB$56,3),IF(I2429="TDP",VLOOKUP(AF2429,TPCalibEqFull!$AZ$2:$BB$56,3),IF(I2429="TDN",VLOOKUP(AF2429,TNCalibEqFull!$AZ$1:$BB$56,3),IF(I2429="TN",VLOOKUP(AF2429,TNCalibEqFull!$AZ$1:$BB$56,3),FALSE))))</f>
        <v>0</v>
      </c>
      <c r="AV2429" s="10" t="str">
        <f t="shared" si="275"/>
        <v>0208 12:20:20-ENN-23-C-1-SW-UKN</v>
      </c>
    </row>
    <row r="2430" spans="1:48" s="10" customFormat="1" x14ac:dyDescent="0.55000000000000004">
      <c r="A2430" s="32">
        <v>44965</v>
      </c>
      <c r="B2430" s="33">
        <v>0.43796296296296294</v>
      </c>
      <c r="C2430" s="10" t="s">
        <v>646</v>
      </c>
      <c r="D2430" s="10">
        <v>0</v>
      </c>
      <c r="E2430" s="10">
        <v>800</v>
      </c>
      <c r="F2430" s="10">
        <v>1</v>
      </c>
      <c r="G2430" s="10" t="s">
        <v>231</v>
      </c>
      <c r="H2430" s="10" t="s">
        <v>322</v>
      </c>
      <c r="I2430" s="10" t="s">
        <v>256</v>
      </c>
      <c r="J2430" s="10">
        <v>39</v>
      </c>
      <c r="K2430" s="12">
        <v>44966</v>
      </c>
      <c r="L2430" s="33">
        <v>0.513738425925926</v>
      </c>
      <c r="M2430" s="10">
        <v>1</v>
      </c>
      <c r="N2430" s="10" t="s">
        <v>169</v>
      </c>
      <c r="O2430" s="10">
        <v>5.19</v>
      </c>
      <c r="P2430" s="10">
        <v>0.23899999999999999</v>
      </c>
      <c r="Q2430" s="10">
        <v>640</v>
      </c>
      <c r="R2430" s="10" t="s">
        <v>77</v>
      </c>
      <c r="S2430" s="34">
        <f t="shared" si="270"/>
        <v>640</v>
      </c>
      <c r="T2430" s="10" t="s">
        <v>1176</v>
      </c>
      <c r="U2430" s="34" t="str">
        <f t="shared" si="273"/>
        <v/>
      </c>
      <c r="V2430" s="31" t="str">
        <f>IF(H2430="CHK",VLOOKUP(I2430,QCCHK,3,),IF(H2430="GUP",VLOOKUP(E2430,QCGUP,2,),IF(AND(H2430="ATP",OR(I2430="TN",I2430="TDN",I2430="TNO2-3",I2430="NO2-3")),VLOOKUP(E2430,QCREC_N,2,),IF(AND(H2430="NIC",OR(I2430="TN",I2430="TDN",I2430="TNO2-3",I2430="NO2-3")),VLOOKUP(E2430,QCNIC_N,2,),IF(AND(H2430="UREA",OR(I2430="TN",I2430="TDN",I2430="TNO2-3",I2430="NO2-3")),VLOOKUP(E2430,QCUREA_N,2,),IF(H2430="PER",VLOOKUP(I2430,QCPER,MATCH(E2430,QCACTUAL!$J$25:$AA$25,0),),IF(H2430="SPK",VLOOKUP(I2430,QCSPK,3,),IF(AND(H2430="ATP",OR(I2430="TP",I2430="TDP")),VLOOKUP(E2430,QCATP_P,2,),""))))))))</f>
        <v/>
      </c>
      <c r="W2430" s="31" t="str">
        <f t="shared" si="274"/>
        <v>TRUE</v>
      </c>
      <c r="X2430" s="31" t="str">
        <f t="shared" si="269"/>
        <v/>
      </c>
      <c r="Y2430" s="10" t="s">
        <v>1144</v>
      </c>
      <c r="AL2430" s="10" t="str">
        <f t="shared" si="271"/>
        <v>FALSE</v>
      </c>
      <c r="AM2430" s="10" t="str">
        <f t="shared" si="271"/>
        <v>FALSE</v>
      </c>
      <c r="AN2430" s="10" t="str">
        <f t="shared" si="271"/>
        <v>FALSE</v>
      </c>
      <c r="AO2430" s="10" t="str">
        <f t="shared" si="272"/>
        <v>FALSE</v>
      </c>
      <c r="AP2430" s="10" t="str">
        <f t="shared" si="272"/>
        <v>FALSE</v>
      </c>
      <c r="AQ2430" s="10" t="b">
        <f>IF(AND(I2430="TP",S2430&lt;=150),VLOOKUP(AF2430,TPCalibEq150!$AZ$2:$BB$55,3,),IF(AND(I2430="TDP",S2430&lt;=150),VLOOKUP(AF2430,TPCalibEq150!$AZ$2:$BB$55,3,)))</f>
        <v>0</v>
      </c>
      <c r="AR2430" s="10" t="b">
        <f>IF(AND(I2430="TP",S2430&lt;=300),VLOOKUP(AF2430,TPCalibEq300!$AZ$2:$BB$55,3,),IF(AND(I2430="TDP",S2430&lt;=300),VLOOKUP(AF2430,TPCalibEq300!$AZ$2:$BB$55,3,)))</f>
        <v>0</v>
      </c>
      <c r="AS2430" s="10" t="b">
        <f>IF(AND(I2430="TP",S2430&lt;=500),VLOOKUP(AF2430,TPCalibEq500!$AZ$2:$BB$56,3,),IF(AND(I2430="TDP",S2430&lt;=500),VLOOKUP(AF2430,TPCalibEq500!$AZ$2:$BB$56,3,)))</f>
        <v>0</v>
      </c>
      <c r="AT2430" s="10" t="b">
        <f>IF(AND(I2430="TN",S2430&lt;=2800),VLOOKUP(AF2430,TNCalibEq2500!$AZ$2:$BB$56,3,),IF(AND(I2430="TDN",S2430&lt;=2800),VLOOKUP(AF2430,TNCalibEq2500!$AZ$2:$BB$56,3,)))</f>
        <v>0</v>
      </c>
      <c r="AU2430" s="10" t="b">
        <f>IF(I2430="TP",VLOOKUP(AF2430,TPCalibEqFull!$AZ$2:$BB$56,3),IF(I2430="TDP",VLOOKUP(AF2430,TPCalibEqFull!$AZ$2:$BB$56,3),IF(I2430="TDN",VLOOKUP(AF2430,TNCalibEqFull!$AZ$1:$BB$56,3),IF(I2430="TN",VLOOKUP(AF2430,TNCalibEqFull!$AZ$1:$BB$56,3),FALSE))))</f>
        <v>0</v>
      </c>
      <c r="AV2430" s="10" t="str">
        <f t="shared" si="275"/>
        <v>0208 10:30:40-EMB-0-800-1-SW-UKN</v>
      </c>
    </row>
    <row r="2431" spans="1:48" s="10" customFormat="1" x14ac:dyDescent="0.55000000000000004">
      <c r="A2431" s="32">
        <v>44965</v>
      </c>
      <c r="B2431" s="33">
        <v>0.43796296296296294</v>
      </c>
      <c r="C2431" s="10" t="s">
        <v>646</v>
      </c>
      <c r="D2431" s="10">
        <v>0</v>
      </c>
      <c r="E2431" s="10">
        <v>800</v>
      </c>
      <c r="F2431" s="10">
        <v>1</v>
      </c>
      <c r="G2431" s="10" t="s">
        <v>231</v>
      </c>
      <c r="H2431" s="10" t="s">
        <v>233</v>
      </c>
      <c r="I2431" s="10" t="s">
        <v>256</v>
      </c>
      <c r="J2431" s="10">
        <v>39</v>
      </c>
      <c r="K2431" s="12">
        <v>44966</v>
      </c>
      <c r="L2431" s="33">
        <v>0.51454861111111116</v>
      </c>
      <c r="M2431" s="10">
        <v>1</v>
      </c>
      <c r="N2431" s="10" t="s">
        <v>169</v>
      </c>
      <c r="O2431" s="10">
        <v>5.19</v>
      </c>
      <c r="P2431" s="10">
        <v>0.24099999999999999</v>
      </c>
      <c r="Q2431" s="10">
        <v>641</v>
      </c>
      <c r="R2431" s="10" t="s">
        <v>77</v>
      </c>
      <c r="S2431" s="34">
        <f t="shared" si="270"/>
        <v>641</v>
      </c>
      <c r="T2431" s="10" t="s">
        <v>1176</v>
      </c>
      <c r="U2431" s="34">
        <f t="shared" si="273"/>
        <v>0.156128024980484</v>
      </c>
      <c r="V2431" s="31" t="str">
        <f>IF(H2431="CHK",VLOOKUP(I2431,QCCHK,3,),IF(H2431="GUP",VLOOKUP(E2431,QCGUP,2,),IF(AND(H2431="ATP",OR(I2431="TN",I2431="TDN",I2431="TNO2-3",I2431="NO2-3")),VLOOKUP(E2431,QCREC_N,2,),IF(AND(H2431="NIC",OR(I2431="TN",I2431="TDN",I2431="TNO2-3",I2431="NO2-3")),VLOOKUP(E2431,QCNIC_N,2,),IF(AND(H2431="UREA",OR(I2431="TN",I2431="TDN",I2431="TNO2-3",I2431="NO2-3")),VLOOKUP(E2431,QCUREA_N,2,),IF(H2431="PER",VLOOKUP(I2431,QCPER,MATCH(E2431,QCACTUAL!$J$25:$AA$25,0),),IF(H2431="SPK",VLOOKUP(I2431,QCSPK,3,),IF(AND(H2431="ATP",OR(I2431="TP",I2431="TDP")),VLOOKUP(E2431,QCATP_P,2,),""))))))))</f>
        <v/>
      </c>
      <c r="W2431" s="31" t="str">
        <f t="shared" si="274"/>
        <v>TRUE</v>
      </c>
      <c r="X2431" s="31" t="str">
        <f t="shared" ref="X2431:X2494" si="276">IF(ISNA(VLOOKUP(H2431,QCEQUATIONS,2,)),"",(VLOOKUP(H2431,QCEQUATIONS,2,)))</f>
        <v>((ABS(rep1-rep2))/((rep1+rep2)/2)*100</v>
      </c>
      <c r="Y2431" s="10" t="s">
        <v>1144</v>
      </c>
      <c r="AL2431" s="10" t="str">
        <f t="shared" si="271"/>
        <v>FALSE</v>
      </c>
      <c r="AM2431" s="10" t="str">
        <f t="shared" si="271"/>
        <v>FALSE</v>
      </c>
      <c r="AN2431" s="10" t="str">
        <f t="shared" si="271"/>
        <v>FALSE</v>
      </c>
      <c r="AO2431" s="10" t="str">
        <f t="shared" si="272"/>
        <v>FALSE</v>
      </c>
      <c r="AP2431" s="10" t="str">
        <f t="shared" si="272"/>
        <v>FALSE</v>
      </c>
      <c r="AQ2431" s="10" t="b">
        <f>IF(AND(I2431="TP",S2431&lt;=150),VLOOKUP(AF2431,TPCalibEq150!$AZ$2:$BB$55,3,),IF(AND(I2431="TDP",S2431&lt;=150),VLOOKUP(AF2431,TPCalibEq150!$AZ$2:$BB$55,3,)))</f>
        <v>0</v>
      </c>
      <c r="AR2431" s="10" t="b">
        <f>IF(AND(I2431="TP",S2431&lt;=300),VLOOKUP(AF2431,TPCalibEq300!$AZ$2:$BB$55,3,),IF(AND(I2431="TDP",S2431&lt;=300),VLOOKUP(AF2431,TPCalibEq300!$AZ$2:$BB$55,3,)))</f>
        <v>0</v>
      </c>
      <c r="AS2431" s="10" t="b">
        <f>IF(AND(I2431="TP",S2431&lt;=500),VLOOKUP(AF2431,TPCalibEq500!$AZ$2:$BB$56,3,),IF(AND(I2431="TDP",S2431&lt;=500),VLOOKUP(AF2431,TPCalibEq500!$AZ$2:$BB$56,3,)))</f>
        <v>0</v>
      </c>
      <c r="AT2431" s="10" t="b">
        <f>IF(AND(I2431="TN",S2431&lt;=2800),VLOOKUP(AF2431,TNCalibEq2500!$AZ$2:$BB$56,3,),IF(AND(I2431="TDN",S2431&lt;=2800),VLOOKUP(AF2431,TNCalibEq2500!$AZ$2:$BB$56,3,)))</f>
        <v>0</v>
      </c>
      <c r="AU2431" s="10" t="b">
        <f>IF(I2431="TP",VLOOKUP(AF2431,TPCalibEqFull!$AZ$2:$BB$56,3),IF(I2431="TDP",VLOOKUP(AF2431,TPCalibEqFull!$AZ$2:$BB$56,3),IF(I2431="TDN",VLOOKUP(AF2431,TNCalibEqFull!$AZ$1:$BB$56,3),IF(I2431="TN",VLOOKUP(AF2431,TNCalibEqFull!$AZ$1:$BB$56,3),FALSE))))</f>
        <v>0</v>
      </c>
      <c r="AV2431" s="10" t="str">
        <f t="shared" si="275"/>
        <v>0208 10:30:40-EMB-0-800-1-SW-DUP</v>
      </c>
    </row>
    <row r="2432" spans="1:48" s="10" customFormat="1" x14ac:dyDescent="0.55000000000000004">
      <c r="A2432" s="32">
        <v>44965</v>
      </c>
      <c r="B2432" s="33">
        <v>0.43796296296296294</v>
      </c>
      <c r="C2432" s="10" t="s">
        <v>646</v>
      </c>
      <c r="D2432" s="10">
        <v>0</v>
      </c>
      <c r="E2432" s="10">
        <v>800</v>
      </c>
      <c r="F2432" s="10">
        <v>1</v>
      </c>
      <c r="G2432" s="10" t="s">
        <v>231</v>
      </c>
      <c r="H2432" s="10" t="s">
        <v>314</v>
      </c>
      <c r="I2432" s="10" t="s">
        <v>256</v>
      </c>
      <c r="J2432" s="10">
        <v>123</v>
      </c>
      <c r="K2432" s="12">
        <v>44966</v>
      </c>
      <c r="L2432" s="33">
        <v>0.51537037037037037</v>
      </c>
      <c r="M2432" s="10">
        <v>1</v>
      </c>
      <c r="N2432" s="10" t="s">
        <v>169</v>
      </c>
      <c r="O2432" s="10">
        <v>10.1</v>
      </c>
      <c r="P2432" s="10">
        <v>0.46700000000000003</v>
      </c>
      <c r="Q2432" s="10">
        <v>1240</v>
      </c>
      <c r="R2432" s="10" t="s">
        <v>77</v>
      </c>
      <c r="S2432" s="34">
        <f t="shared" ref="S2432:S2495" si="277">IF(OR(AND(I2432&lt;&gt;"TP", I2432&lt;&gt;"TDP",I2432&lt;&gt;"TN", I2432&lt;&gt;"TDN"),H2432="CAL"), Q2432*M2432, IF(OR(AND(I2432="TN", Q2432&gt;2500), AND(I2432="TDN", Q2432&gt;2500)),MAX(Q2432, AK2432)*M2432, IF(OR(AND(I2432="TN", Q2432&lt;=2500), AND(I2432="TDN", Q2432&lt;=2500)),MAX(Q2432, AJ2432,AK2432)*M2432, IF(OR(AND(I2432="TP",Q2432&gt;500), AND(I2432="TDP", Q2432&gt;500)),MAX(Q2432,AK2432)*M2432,IF(OR(AND(I2432="TP",Q2432&lt;=150), AND(I2432="TDP", Q2432&lt;=150)),MAX(Q2432,AG2432:AI2432,AK2432)*M2432,IF(OR(AND(I2432="TP",Q2432&lt;=300), AND(I2432="TDP", Q2432&lt;=300)),MAX(Q2432,AH2432,AI2432,AK2432)*M2432,IF(OR(AND(I2432="TP",Q2432&lt;=500), AND(I2432="TDP", Q2432&lt;=500)),MAX(Q2432,AI2432,AK2432)*M2432,"")))))))</f>
        <v>1240</v>
      </c>
      <c r="T2432" s="10" t="s">
        <v>1176</v>
      </c>
      <c r="U2432" s="34">
        <f t="shared" si="273"/>
        <v>95.84</v>
      </c>
      <c r="V2432" s="31">
        <f>IF(H2432="CHK",VLOOKUP(I2432,QCCHK,3,),IF(H2432="GUP",VLOOKUP(E2432,QCGUP,2,),IF(AND(H2432="ATP",OR(I2432="TN",I2432="TDN",I2432="TNO2-3",I2432="NO2-3")),VLOOKUP(E2432,QCREC_N,2,),IF(AND(H2432="NIC",OR(I2432="TN",I2432="TDN",I2432="TNO2-3",I2432="NO2-3")),VLOOKUP(E2432,QCNIC_N,2,),IF(AND(H2432="UREA",OR(I2432="TN",I2432="TDN",I2432="TNO2-3",I2432="NO2-3")),VLOOKUP(E2432,QCUREA_N,2,),IF(H2432="PER",VLOOKUP(I2432,QCPER,MATCH(E2432,QCACTUAL!$J$25:$AA$25,0),),IF(H2432="SPK",VLOOKUP(I2432,QCSPK,3,),IF(AND(H2432="ATP",OR(I2432="TP",I2432="TDP")),VLOOKUP(E2432,QCATP_P,2,),""))))))))</f>
        <v>625</v>
      </c>
      <c r="W2432" s="31" t="str">
        <f t="shared" si="274"/>
        <v>TRUE</v>
      </c>
      <c r="X2432" s="31" t="str">
        <f t="shared" si="276"/>
        <v>([spikedunkn]-[unkn])/[spike]*100</v>
      </c>
      <c r="Y2432" s="10" t="s">
        <v>1144</v>
      </c>
      <c r="AL2432" s="10" t="str">
        <f t="shared" si="271"/>
        <v>FALSE</v>
      </c>
      <c r="AM2432" s="10" t="str">
        <f t="shared" si="271"/>
        <v>FALSE</v>
      </c>
      <c r="AN2432" s="10" t="str">
        <f t="shared" si="271"/>
        <v>FALSE</v>
      </c>
      <c r="AO2432" s="10" t="str">
        <f t="shared" si="272"/>
        <v>FALSE</v>
      </c>
      <c r="AP2432" s="10" t="str">
        <f t="shared" si="272"/>
        <v>FALSE</v>
      </c>
      <c r="AQ2432" s="10" t="b">
        <f>IF(AND(I2432="TP",S2432&lt;=150),VLOOKUP(AF2432,TPCalibEq150!$AZ$2:$BB$55,3,),IF(AND(I2432="TDP",S2432&lt;=150),VLOOKUP(AF2432,TPCalibEq150!$AZ$2:$BB$55,3,)))</f>
        <v>0</v>
      </c>
      <c r="AR2432" s="10" t="b">
        <f>IF(AND(I2432="TP",S2432&lt;=300),VLOOKUP(AF2432,TPCalibEq300!$AZ$2:$BB$55,3,),IF(AND(I2432="TDP",S2432&lt;=300),VLOOKUP(AF2432,TPCalibEq300!$AZ$2:$BB$55,3,)))</f>
        <v>0</v>
      </c>
      <c r="AS2432" s="10" t="b">
        <f>IF(AND(I2432="TP",S2432&lt;=500),VLOOKUP(AF2432,TPCalibEq500!$AZ$2:$BB$56,3,),IF(AND(I2432="TDP",S2432&lt;=500),VLOOKUP(AF2432,TPCalibEq500!$AZ$2:$BB$56,3,)))</f>
        <v>0</v>
      </c>
      <c r="AT2432" s="10" t="b">
        <f>IF(AND(I2432="TN",S2432&lt;=2800),VLOOKUP(AF2432,TNCalibEq2500!$AZ$2:$BB$56,3,),IF(AND(I2432="TDN",S2432&lt;=2800),VLOOKUP(AF2432,TNCalibEq2500!$AZ$2:$BB$56,3,)))</f>
        <v>0</v>
      </c>
      <c r="AU2432" s="10" t="b">
        <f>IF(I2432="TP",VLOOKUP(AF2432,TPCalibEqFull!$AZ$2:$BB$56,3),IF(I2432="TDP",VLOOKUP(AF2432,TPCalibEqFull!$AZ$2:$BB$56,3),IF(I2432="TDN",VLOOKUP(AF2432,TNCalibEqFull!$AZ$1:$BB$56,3),IF(I2432="TN",VLOOKUP(AF2432,TNCalibEqFull!$AZ$1:$BB$56,3),FALSE))))</f>
        <v>0</v>
      </c>
      <c r="AV2432" s="10" t="str">
        <f t="shared" si="275"/>
        <v>0208 10:30:40-EMB-0-800-1-SW-SPK</v>
      </c>
    </row>
    <row r="2433" spans="1:48" s="10" customFormat="1" x14ac:dyDescent="0.55000000000000004">
      <c r="A2433" s="32">
        <v>44966</v>
      </c>
      <c r="B2433" s="33">
        <v>0.375</v>
      </c>
      <c r="C2433" s="10" t="s">
        <v>70</v>
      </c>
      <c r="D2433" s="10" t="s">
        <v>71</v>
      </c>
      <c r="E2433" s="10" t="s">
        <v>901</v>
      </c>
      <c r="F2433" s="10">
        <v>1</v>
      </c>
      <c r="G2433" s="10" t="s">
        <v>73</v>
      </c>
      <c r="H2433" s="10" t="s">
        <v>207</v>
      </c>
      <c r="I2433" s="10" t="s">
        <v>256</v>
      </c>
      <c r="J2433" s="10">
        <v>200</v>
      </c>
      <c r="K2433" s="12">
        <v>44966</v>
      </c>
      <c r="L2433" s="33">
        <v>0.51620370370370372</v>
      </c>
      <c r="M2433" s="10">
        <v>1</v>
      </c>
      <c r="N2433" s="10" t="s">
        <v>169</v>
      </c>
      <c r="O2433" s="10">
        <v>2.23</v>
      </c>
      <c r="P2433" s="10">
        <v>0.106</v>
      </c>
      <c r="Q2433" s="10">
        <v>276</v>
      </c>
      <c r="R2433" s="10" t="s">
        <v>77</v>
      </c>
      <c r="S2433" s="34">
        <f t="shared" si="277"/>
        <v>276</v>
      </c>
      <c r="T2433" s="10" t="s">
        <v>1176</v>
      </c>
      <c r="U2433" s="34">
        <f t="shared" si="273"/>
        <v>92</v>
      </c>
      <c r="V2433" s="31">
        <f>IF(H2433="CHK",VLOOKUP(I2433,QCCHK,3,),IF(H2433="GUP",VLOOKUP(E2433,QCGUP,2,),IF(AND(H2433="ATP",OR(I2433="TN",I2433="TDN",I2433="TNO2-3",I2433="NO2-3")),VLOOKUP(E2433,QCREC_N,2,),IF(AND(H2433="NIC",OR(I2433="TN",I2433="TDN",I2433="TNO2-3",I2433="NO2-3")),VLOOKUP(E2433,QCNIC_N,2,),IF(AND(H2433="UREA",OR(I2433="TN",I2433="TDN",I2433="TNO2-3",I2433="NO2-3")),VLOOKUP(E2433,QCUREA_N,2,),IF(H2433="PER",VLOOKUP(I2433,QCPER,MATCH(E2433,QCACTUAL!$J$25:$AA$25,0),),IF(H2433="SPK",VLOOKUP(I2433,QCSPK,3,),IF(AND(H2433="ATP",OR(I2433="TP",I2433="TDP")),VLOOKUP(E2433,QCATP_P,2,),""))))))))</f>
        <v>300</v>
      </c>
      <c r="W2433" s="31" t="str">
        <f t="shared" si="274"/>
        <v>TRUE</v>
      </c>
      <c r="X2433" s="31" t="str">
        <f t="shared" si="276"/>
        <v>[chk]/[actual]*100</v>
      </c>
      <c r="Y2433" s="10" t="s">
        <v>1144</v>
      </c>
      <c r="AL2433" s="10" t="str">
        <f t="shared" ref="AL2433:AN2496" si="278">IF($O2433="", "", IF(AQ2433&lt;&gt;"", SUBSTITUTE(SUBSTITUTE(AQ2433, "x", "*"&amp;$O2433&amp;"^", 1), "x", "*"&amp;$O2433, 1), ""))</f>
        <v>FALSE</v>
      </c>
      <c r="AM2433" s="10" t="str">
        <f t="shared" si="278"/>
        <v>FALSE</v>
      </c>
      <c r="AN2433" s="10" t="str">
        <f t="shared" si="278"/>
        <v>FALSE</v>
      </c>
      <c r="AO2433" s="10" t="str">
        <f t="shared" ref="AO2433:AP2496" si="279">IF($O2433="", "FALSE", IF(AT2433&lt;&gt;"FALSE", SUBSTITUTE(SUBSTITUTE(AT2433, "x", "*"&amp;$O2433&amp;"^", 1), "x", "*"&amp;$O2433, 1), ""))</f>
        <v>FALSE</v>
      </c>
      <c r="AP2433" s="10" t="str">
        <f t="shared" si="279"/>
        <v>FALSE</v>
      </c>
      <c r="AQ2433" s="10" t="b">
        <f>IF(AND(I2433="TP",S2433&lt;=150),VLOOKUP(AF2433,TPCalibEq150!$AZ$2:$BB$55,3,),IF(AND(I2433="TDP",S2433&lt;=150),VLOOKUP(AF2433,TPCalibEq150!$AZ$2:$BB$55,3,)))</f>
        <v>0</v>
      </c>
      <c r="AR2433" s="10" t="b">
        <f>IF(AND(I2433="TP",S2433&lt;=300),VLOOKUP(AF2433,TPCalibEq300!$AZ$2:$BB$55,3,),IF(AND(I2433="TDP",S2433&lt;=300),VLOOKUP(AF2433,TPCalibEq300!$AZ$2:$BB$55,3,)))</f>
        <v>0</v>
      </c>
      <c r="AS2433" s="10" t="b">
        <f>IF(AND(I2433="TP",S2433&lt;=500),VLOOKUP(AF2433,TPCalibEq500!$AZ$2:$BB$56,3,),IF(AND(I2433="TDP",S2433&lt;=500),VLOOKUP(AF2433,TPCalibEq500!$AZ$2:$BB$56,3,)))</f>
        <v>0</v>
      </c>
      <c r="AT2433" s="10" t="b">
        <f>IF(AND(I2433="TN",S2433&lt;=2800),VLOOKUP(AF2433,TNCalibEq2500!$AZ$2:$BB$56,3,),IF(AND(I2433="TDN",S2433&lt;=2800),VLOOKUP(AF2433,TNCalibEq2500!$AZ$2:$BB$56,3,)))</f>
        <v>0</v>
      </c>
      <c r="AU2433" s="10" t="b">
        <f>IF(I2433="TP",VLOOKUP(AF2433,TPCalibEqFull!$AZ$2:$BB$56,3),IF(I2433="TDP",VLOOKUP(AF2433,TPCalibEqFull!$AZ$2:$BB$56,3),IF(I2433="TDN",VLOOKUP(AF2433,TNCalibEqFull!$AZ$1:$BB$56,3),IF(I2433="TN",VLOOKUP(AF2433,TNCalibEqFull!$AZ$1:$BB$56,3),FALSE))))</f>
        <v>0</v>
      </c>
      <c r="AV2433" s="10" t="str">
        <f t="shared" si="275"/>
        <v>0209 09:00:00-QAC-STD-D-1-DI-CHK</v>
      </c>
    </row>
    <row r="2434" spans="1:48" s="10" customFormat="1" x14ac:dyDescent="0.55000000000000004">
      <c r="A2434" s="32">
        <v>44965</v>
      </c>
      <c r="B2434" s="33">
        <v>0.44027777777777777</v>
      </c>
      <c r="C2434" s="10" t="s">
        <v>646</v>
      </c>
      <c r="D2434" s="10">
        <v>5</v>
      </c>
      <c r="E2434" s="10">
        <v>800</v>
      </c>
      <c r="F2434" s="10">
        <v>1</v>
      </c>
      <c r="G2434" s="10" t="s">
        <v>231</v>
      </c>
      <c r="H2434" s="10" t="s">
        <v>322</v>
      </c>
      <c r="I2434" s="10" t="s">
        <v>256</v>
      </c>
      <c r="J2434" s="10">
        <v>40</v>
      </c>
      <c r="K2434" s="12">
        <v>44966</v>
      </c>
      <c r="L2434" s="33">
        <v>0.51701388888888888</v>
      </c>
      <c r="M2434" s="10">
        <v>1</v>
      </c>
      <c r="N2434" s="10" t="s">
        <v>169</v>
      </c>
      <c r="O2434" s="10">
        <v>5.13</v>
      </c>
      <c r="P2434" s="10">
        <v>0.23699999999999999</v>
      </c>
      <c r="Q2434" s="10">
        <v>633</v>
      </c>
      <c r="R2434" s="10" t="s">
        <v>77</v>
      </c>
      <c r="S2434" s="34">
        <f t="shared" si="277"/>
        <v>633</v>
      </c>
      <c r="T2434" s="10" t="s">
        <v>1176</v>
      </c>
      <c r="U2434" s="34" t="str">
        <f t="shared" ref="U2434:U2497" si="280">IF(OR(H2434="CHK",H2434="ATP",H2434="GUP",H2434="PER", H2434="NIC", H2434="UREA"),(S2434/V2434*100),IF(H2434="DUP",((ABS(S2434-S2433))/((S2433+S2434)/2))*100,IF(H2434="SPK",((S2434-S2433)/V2434*100),IF(OR(H2434="LAB",H2434="FLD",H2434="ESF"),S2434,""))))</f>
        <v/>
      </c>
      <c r="V2434" s="31" t="str">
        <f>IF(H2434="CHK",VLOOKUP(I2434,QCCHK,3,),IF(H2434="GUP",VLOOKUP(E2434,QCGUP,2,),IF(AND(H2434="ATP",OR(I2434="TN",I2434="TDN",I2434="TNO2-3",I2434="NO2-3")),VLOOKUP(E2434,QCREC_N,2,),IF(AND(H2434="NIC",OR(I2434="TN",I2434="TDN",I2434="TNO2-3",I2434="NO2-3")),VLOOKUP(E2434,QCNIC_N,2,),IF(AND(H2434="UREA",OR(I2434="TN",I2434="TDN",I2434="TNO2-3",I2434="NO2-3")),VLOOKUP(E2434,QCUREA_N,2,),IF(H2434="PER",VLOOKUP(I2434,QCPER,MATCH(E2434,QCACTUAL!$J$25:$AA$25,0),),IF(H2434="SPK",VLOOKUP(I2434,QCSPK,3,),IF(AND(H2434="ATP",OR(I2434="TP",I2434="TDP")),VLOOKUP(E2434,QCATP_P,2,),""))))))))</f>
        <v/>
      </c>
      <c r="W2434" s="31" t="str">
        <f t="shared" ref="W2434:W2497" si="281">IF(AND(OR(H2434="PER",H2434="ATP",H2434="GUP",H2434="CHK",H2434="SPK", H2434="NIC"),OR(U2434&gt;125,U2434&lt;75)),"FALSE",IF(AND(H2434="DUP",OR(U2434&gt;25, U2434&lt;-25)),"FALSE",IF(AND(OR(H2434="LAB",H2434="FLD",H2434="ESF"),U2434&gt;15),"FALSE","TRUE")))</f>
        <v>TRUE</v>
      </c>
      <c r="X2434" s="31" t="str">
        <f t="shared" si="276"/>
        <v/>
      </c>
      <c r="Y2434" s="10" t="s">
        <v>1144</v>
      </c>
      <c r="AL2434" s="10" t="str">
        <f t="shared" si="278"/>
        <v>FALSE</v>
      </c>
      <c r="AM2434" s="10" t="str">
        <f t="shared" si="278"/>
        <v>FALSE</v>
      </c>
      <c r="AN2434" s="10" t="str">
        <f t="shared" si="278"/>
        <v>FALSE</v>
      </c>
      <c r="AO2434" s="10" t="str">
        <f t="shared" si="279"/>
        <v>FALSE</v>
      </c>
      <c r="AP2434" s="10" t="str">
        <f t="shared" si="279"/>
        <v>FALSE</v>
      </c>
      <c r="AQ2434" s="10" t="b">
        <f>IF(AND(I2434="TP",S2434&lt;=150),VLOOKUP(AF2434,TPCalibEq150!$AZ$2:$BB$55,3,),IF(AND(I2434="TDP",S2434&lt;=150),VLOOKUP(AF2434,TPCalibEq150!$AZ$2:$BB$55,3,)))</f>
        <v>0</v>
      </c>
      <c r="AR2434" s="10" t="b">
        <f>IF(AND(I2434="TP",S2434&lt;=300),VLOOKUP(AF2434,TPCalibEq300!$AZ$2:$BB$55,3,),IF(AND(I2434="TDP",S2434&lt;=300),VLOOKUP(AF2434,TPCalibEq300!$AZ$2:$BB$55,3,)))</f>
        <v>0</v>
      </c>
      <c r="AS2434" s="10" t="b">
        <f>IF(AND(I2434="TP",S2434&lt;=500),VLOOKUP(AF2434,TPCalibEq500!$AZ$2:$BB$56,3,),IF(AND(I2434="TDP",S2434&lt;=500),VLOOKUP(AF2434,TPCalibEq500!$AZ$2:$BB$56,3,)))</f>
        <v>0</v>
      </c>
      <c r="AT2434" s="10" t="b">
        <f>IF(AND(I2434="TN",S2434&lt;=2800),VLOOKUP(AF2434,TNCalibEq2500!$AZ$2:$BB$56,3,),IF(AND(I2434="TDN",S2434&lt;=2800),VLOOKUP(AF2434,TNCalibEq2500!$AZ$2:$BB$56,3,)))</f>
        <v>0</v>
      </c>
      <c r="AU2434" s="10" t="b">
        <f>IF(I2434="TP",VLOOKUP(AF2434,TPCalibEqFull!$AZ$2:$BB$56,3),IF(I2434="TDP",VLOOKUP(AF2434,TPCalibEqFull!$AZ$2:$BB$56,3),IF(I2434="TDN",VLOOKUP(AF2434,TNCalibEqFull!$AZ$1:$BB$56,3),IF(I2434="TN",VLOOKUP(AF2434,TNCalibEqFull!$AZ$1:$BB$56,3),FALSE))))</f>
        <v>0</v>
      </c>
      <c r="AV2434" s="10" t="str">
        <f t="shared" ref="AV2434:AV2497" si="282">TEXT(A2434, "MMDD")&amp;" "&amp;TEXT(B2434, "HH:MM:SS")&amp;"-"&amp;C2434&amp;"-"&amp;D2434&amp;"-"&amp;E2434&amp;"-"&amp;F2434&amp;"-"&amp;G2434&amp;"-"&amp;H2434</f>
        <v>0208 10:34:00-EMB-5-800-1-SW-UKN</v>
      </c>
    </row>
    <row r="2435" spans="1:48" s="10" customFormat="1" x14ac:dyDescent="0.55000000000000004">
      <c r="A2435" s="32">
        <v>44965</v>
      </c>
      <c r="B2435" s="33">
        <v>0.44259259259259259</v>
      </c>
      <c r="C2435" s="10" t="s">
        <v>646</v>
      </c>
      <c r="D2435" s="10">
        <v>10</v>
      </c>
      <c r="E2435" s="10">
        <v>800</v>
      </c>
      <c r="F2435" s="10">
        <v>1</v>
      </c>
      <c r="G2435" s="10" t="s">
        <v>231</v>
      </c>
      <c r="H2435" s="10" t="s">
        <v>322</v>
      </c>
      <c r="I2435" s="10" t="s">
        <v>256</v>
      </c>
      <c r="J2435" s="10">
        <v>41</v>
      </c>
      <c r="K2435" s="12">
        <v>44966</v>
      </c>
      <c r="L2435" s="33">
        <v>0.51782407407407405</v>
      </c>
      <c r="M2435" s="10">
        <v>1</v>
      </c>
      <c r="N2435" s="10" t="s">
        <v>169</v>
      </c>
      <c r="O2435" s="10">
        <v>5.12</v>
      </c>
      <c r="P2435" s="10">
        <v>0.23699999999999999</v>
      </c>
      <c r="Q2435" s="10">
        <v>631</v>
      </c>
      <c r="R2435" s="10" t="s">
        <v>77</v>
      </c>
      <c r="S2435" s="34">
        <f t="shared" si="277"/>
        <v>631</v>
      </c>
      <c r="T2435" s="10" t="s">
        <v>1176</v>
      </c>
      <c r="U2435" s="34" t="str">
        <f t="shared" si="280"/>
        <v/>
      </c>
      <c r="V2435" s="31" t="str">
        <f>IF(H2435="CHK",VLOOKUP(I2435,QCCHK,3,),IF(H2435="GUP",VLOOKUP(E2435,QCGUP,2,),IF(AND(H2435="ATP",OR(I2435="TN",I2435="TDN",I2435="TNO2-3",I2435="NO2-3")),VLOOKUP(E2435,QCREC_N,2,),IF(AND(H2435="NIC",OR(I2435="TN",I2435="TDN",I2435="TNO2-3",I2435="NO2-3")),VLOOKUP(E2435,QCNIC_N,2,),IF(AND(H2435="UREA",OR(I2435="TN",I2435="TDN",I2435="TNO2-3",I2435="NO2-3")),VLOOKUP(E2435,QCUREA_N,2,),IF(H2435="PER",VLOOKUP(I2435,QCPER,MATCH(E2435,QCACTUAL!$J$25:$AA$25,0),),IF(H2435="SPK",VLOOKUP(I2435,QCSPK,3,),IF(AND(H2435="ATP",OR(I2435="TP",I2435="TDP")),VLOOKUP(E2435,QCATP_P,2,),""))))))))</f>
        <v/>
      </c>
      <c r="W2435" s="31" t="str">
        <f t="shared" si="281"/>
        <v>TRUE</v>
      </c>
      <c r="X2435" s="31" t="str">
        <f t="shared" si="276"/>
        <v/>
      </c>
      <c r="Y2435" s="10" t="s">
        <v>1144</v>
      </c>
      <c r="AL2435" s="10" t="str">
        <f t="shared" si="278"/>
        <v>FALSE</v>
      </c>
      <c r="AM2435" s="10" t="str">
        <f t="shared" si="278"/>
        <v>FALSE</v>
      </c>
      <c r="AN2435" s="10" t="str">
        <f t="shared" si="278"/>
        <v>FALSE</v>
      </c>
      <c r="AO2435" s="10" t="str">
        <f t="shared" si="279"/>
        <v>FALSE</v>
      </c>
      <c r="AP2435" s="10" t="str">
        <f t="shared" si="279"/>
        <v>FALSE</v>
      </c>
      <c r="AQ2435" s="10" t="b">
        <f>IF(AND(I2435="TP",S2435&lt;=150),VLOOKUP(AF2435,TPCalibEq150!$AZ$2:$BB$55,3,),IF(AND(I2435="TDP",S2435&lt;=150),VLOOKUP(AF2435,TPCalibEq150!$AZ$2:$BB$55,3,)))</f>
        <v>0</v>
      </c>
      <c r="AR2435" s="10" t="b">
        <f>IF(AND(I2435="TP",S2435&lt;=300),VLOOKUP(AF2435,TPCalibEq300!$AZ$2:$BB$55,3,),IF(AND(I2435="TDP",S2435&lt;=300),VLOOKUP(AF2435,TPCalibEq300!$AZ$2:$BB$55,3,)))</f>
        <v>0</v>
      </c>
      <c r="AS2435" s="10" t="b">
        <f>IF(AND(I2435="TP",S2435&lt;=500),VLOOKUP(AF2435,TPCalibEq500!$AZ$2:$BB$56,3,),IF(AND(I2435="TDP",S2435&lt;=500),VLOOKUP(AF2435,TPCalibEq500!$AZ$2:$BB$56,3,)))</f>
        <v>0</v>
      </c>
      <c r="AT2435" s="10" t="b">
        <f>IF(AND(I2435="TN",S2435&lt;=2800),VLOOKUP(AF2435,TNCalibEq2500!$AZ$2:$BB$56,3,),IF(AND(I2435="TDN",S2435&lt;=2800),VLOOKUP(AF2435,TNCalibEq2500!$AZ$2:$BB$56,3,)))</f>
        <v>0</v>
      </c>
      <c r="AU2435" s="10" t="b">
        <f>IF(I2435="TP",VLOOKUP(AF2435,TPCalibEqFull!$AZ$2:$BB$56,3),IF(I2435="TDP",VLOOKUP(AF2435,TPCalibEqFull!$AZ$2:$BB$56,3),IF(I2435="TDN",VLOOKUP(AF2435,TNCalibEqFull!$AZ$1:$BB$56,3),IF(I2435="TN",VLOOKUP(AF2435,TNCalibEqFull!$AZ$1:$BB$56,3),FALSE))))</f>
        <v>0</v>
      </c>
      <c r="AV2435" s="10" t="str">
        <f t="shared" si="282"/>
        <v>0208 10:37:20-EMB-10-800-1-SW-UKN</v>
      </c>
    </row>
    <row r="2436" spans="1:48" s="10" customFormat="1" x14ac:dyDescent="0.55000000000000004">
      <c r="A2436" s="32">
        <v>44965</v>
      </c>
      <c r="B2436" s="33">
        <v>0.44490740740740736</v>
      </c>
      <c r="C2436" s="10" t="s">
        <v>646</v>
      </c>
      <c r="D2436" s="10">
        <v>20</v>
      </c>
      <c r="E2436" s="10" t="s">
        <v>190</v>
      </c>
      <c r="F2436" s="10">
        <v>1</v>
      </c>
      <c r="G2436" s="10" t="s">
        <v>231</v>
      </c>
      <c r="H2436" s="10" t="s">
        <v>322</v>
      </c>
      <c r="I2436" s="10" t="s">
        <v>256</v>
      </c>
      <c r="J2436" s="10">
        <v>42</v>
      </c>
      <c r="K2436" s="12">
        <v>44966</v>
      </c>
      <c r="L2436" s="33">
        <v>0.51863425925925932</v>
      </c>
      <c r="M2436" s="10">
        <v>1</v>
      </c>
      <c r="N2436" s="10" t="s">
        <v>169</v>
      </c>
      <c r="O2436" s="10">
        <v>5.14</v>
      </c>
      <c r="P2436" s="10">
        <v>0.23899999999999999</v>
      </c>
      <c r="Q2436" s="10">
        <v>635</v>
      </c>
      <c r="R2436" s="10" t="s">
        <v>77</v>
      </c>
      <c r="S2436" s="34">
        <f t="shared" si="277"/>
        <v>635</v>
      </c>
      <c r="T2436" s="10" t="s">
        <v>1176</v>
      </c>
      <c r="U2436" s="34" t="str">
        <f t="shared" si="280"/>
        <v/>
      </c>
      <c r="V2436" s="31" t="str">
        <f>IF(H2436="CHK",VLOOKUP(I2436,QCCHK,3,),IF(H2436="GUP",VLOOKUP(E2436,QCGUP,2,),IF(AND(H2436="ATP",OR(I2436="TN",I2436="TDN",I2436="TNO2-3",I2436="NO2-3")),VLOOKUP(E2436,QCREC_N,2,),IF(AND(H2436="NIC",OR(I2436="TN",I2436="TDN",I2436="TNO2-3",I2436="NO2-3")),VLOOKUP(E2436,QCNIC_N,2,),IF(AND(H2436="UREA",OR(I2436="TN",I2436="TDN",I2436="TNO2-3",I2436="NO2-3")),VLOOKUP(E2436,QCUREA_N,2,),IF(H2436="PER",VLOOKUP(I2436,QCPER,MATCH(E2436,QCACTUAL!$J$25:$AA$25,0),),IF(H2436="SPK",VLOOKUP(I2436,QCSPK,3,),IF(AND(H2436="ATP",OR(I2436="TP",I2436="TDP")),VLOOKUP(E2436,QCATP_P,2,),""))))))))</f>
        <v/>
      </c>
      <c r="W2436" s="31" t="str">
        <f t="shared" si="281"/>
        <v>TRUE</v>
      </c>
      <c r="X2436" s="31" t="str">
        <f t="shared" si="276"/>
        <v/>
      </c>
      <c r="Y2436" s="10" t="s">
        <v>1144</v>
      </c>
      <c r="AL2436" s="10" t="str">
        <f t="shared" si="278"/>
        <v>FALSE</v>
      </c>
      <c r="AM2436" s="10" t="str">
        <f t="shared" si="278"/>
        <v>FALSE</v>
      </c>
      <c r="AN2436" s="10" t="str">
        <f t="shared" si="278"/>
        <v>FALSE</v>
      </c>
      <c r="AO2436" s="10" t="str">
        <f t="shared" si="279"/>
        <v>FALSE</v>
      </c>
      <c r="AP2436" s="10" t="str">
        <f t="shared" si="279"/>
        <v>FALSE</v>
      </c>
      <c r="AQ2436" s="10" t="b">
        <f>IF(AND(I2436="TP",S2436&lt;=150),VLOOKUP(AF2436,TPCalibEq150!$AZ$2:$BB$55,3,),IF(AND(I2436="TDP",S2436&lt;=150),VLOOKUP(AF2436,TPCalibEq150!$AZ$2:$BB$55,3,)))</f>
        <v>0</v>
      </c>
      <c r="AR2436" s="10" t="b">
        <f>IF(AND(I2436="TP",S2436&lt;=300),VLOOKUP(AF2436,TPCalibEq300!$AZ$2:$BB$55,3,),IF(AND(I2436="TDP",S2436&lt;=300),VLOOKUP(AF2436,TPCalibEq300!$AZ$2:$BB$55,3,)))</f>
        <v>0</v>
      </c>
      <c r="AS2436" s="10" t="b">
        <f>IF(AND(I2436="TP",S2436&lt;=500),VLOOKUP(AF2436,TPCalibEq500!$AZ$2:$BB$56,3,),IF(AND(I2436="TDP",S2436&lt;=500),VLOOKUP(AF2436,TPCalibEq500!$AZ$2:$BB$56,3,)))</f>
        <v>0</v>
      </c>
      <c r="AT2436" s="10" t="b">
        <f>IF(AND(I2436="TN",S2436&lt;=2800),VLOOKUP(AF2436,TNCalibEq2500!$AZ$2:$BB$56,3,),IF(AND(I2436="TDN",S2436&lt;=2800),VLOOKUP(AF2436,TNCalibEq2500!$AZ$2:$BB$56,3,)))</f>
        <v>0</v>
      </c>
      <c r="AU2436" s="10" t="b">
        <f>IF(I2436="TP",VLOOKUP(AF2436,TPCalibEqFull!$AZ$2:$BB$56,3),IF(I2436="TDP",VLOOKUP(AF2436,TPCalibEqFull!$AZ$2:$BB$56,3),IF(I2436="TDN",VLOOKUP(AF2436,TNCalibEqFull!$AZ$1:$BB$56,3),IF(I2436="TN",VLOOKUP(AF2436,TNCalibEqFull!$AZ$1:$BB$56,3),FALSE))))</f>
        <v>0</v>
      </c>
      <c r="AV2436" s="10" t="str">
        <f t="shared" si="282"/>
        <v>0208 10:40:40-EMB-20-C-1-SW-UKN</v>
      </c>
    </row>
    <row r="2437" spans="1:48" s="10" customFormat="1" x14ac:dyDescent="0.55000000000000004">
      <c r="A2437" s="32">
        <v>44965</v>
      </c>
      <c r="B2437" s="33">
        <v>0.44780092592592591</v>
      </c>
      <c r="C2437" s="10" t="s">
        <v>646</v>
      </c>
      <c r="D2437" s="10">
        <v>69</v>
      </c>
      <c r="E2437" s="10" t="s">
        <v>190</v>
      </c>
      <c r="F2437" s="10">
        <v>1</v>
      </c>
      <c r="G2437" s="10" t="s">
        <v>231</v>
      </c>
      <c r="H2437" s="10" t="s">
        <v>322</v>
      </c>
      <c r="I2437" s="10" t="s">
        <v>256</v>
      </c>
      <c r="J2437" s="10">
        <v>43</v>
      </c>
      <c r="K2437" s="12">
        <v>44966</v>
      </c>
      <c r="L2437" s="33">
        <v>0.51944444444444449</v>
      </c>
      <c r="M2437" s="10">
        <v>1</v>
      </c>
      <c r="N2437" s="10" t="s">
        <v>169</v>
      </c>
      <c r="O2437" s="10">
        <v>5.85</v>
      </c>
      <c r="P2437" s="10">
        <v>0.26900000000000002</v>
      </c>
      <c r="Q2437" s="10">
        <v>722</v>
      </c>
      <c r="R2437" s="10" t="s">
        <v>77</v>
      </c>
      <c r="S2437" s="34">
        <f t="shared" si="277"/>
        <v>722</v>
      </c>
      <c r="T2437" s="10" t="s">
        <v>1176</v>
      </c>
      <c r="U2437" s="34" t="str">
        <f t="shared" si="280"/>
        <v/>
      </c>
      <c r="V2437" s="31" t="str">
        <f>IF(H2437="CHK",VLOOKUP(I2437,QCCHK,3,),IF(H2437="GUP",VLOOKUP(E2437,QCGUP,2,),IF(AND(H2437="ATP",OR(I2437="TN",I2437="TDN",I2437="TNO2-3",I2437="NO2-3")),VLOOKUP(E2437,QCREC_N,2,),IF(AND(H2437="NIC",OR(I2437="TN",I2437="TDN",I2437="TNO2-3",I2437="NO2-3")),VLOOKUP(E2437,QCNIC_N,2,),IF(AND(H2437="UREA",OR(I2437="TN",I2437="TDN",I2437="TNO2-3",I2437="NO2-3")),VLOOKUP(E2437,QCUREA_N,2,),IF(H2437="PER",VLOOKUP(I2437,QCPER,MATCH(E2437,QCACTUAL!$J$25:$AA$25,0),),IF(H2437="SPK",VLOOKUP(I2437,QCSPK,3,),IF(AND(H2437="ATP",OR(I2437="TP",I2437="TDP")),VLOOKUP(E2437,QCATP_P,2,),""))))))))</f>
        <v/>
      </c>
      <c r="W2437" s="31" t="str">
        <f t="shared" si="281"/>
        <v>TRUE</v>
      </c>
      <c r="X2437" s="31" t="str">
        <f t="shared" si="276"/>
        <v/>
      </c>
      <c r="Y2437" s="10" t="s">
        <v>1144</v>
      </c>
      <c r="AL2437" s="10" t="str">
        <f t="shared" si="278"/>
        <v>FALSE</v>
      </c>
      <c r="AM2437" s="10" t="str">
        <f t="shared" si="278"/>
        <v>FALSE</v>
      </c>
      <c r="AN2437" s="10" t="str">
        <f t="shared" si="278"/>
        <v>FALSE</v>
      </c>
      <c r="AO2437" s="10" t="str">
        <f t="shared" si="279"/>
        <v>FALSE</v>
      </c>
      <c r="AP2437" s="10" t="str">
        <f t="shared" si="279"/>
        <v>FALSE</v>
      </c>
      <c r="AQ2437" s="10" t="b">
        <f>IF(AND(I2437="TP",S2437&lt;=150),VLOOKUP(AF2437,TPCalibEq150!$AZ$2:$BB$55,3,),IF(AND(I2437="TDP",S2437&lt;=150),VLOOKUP(AF2437,TPCalibEq150!$AZ$2:$BB$55,3,)))</f>
        <v>0</v>
      </c>
      <c r="AR2437" s="10" t="b">
        <f>IF(AND(I2437="TP",S2437&lt;=300),VLOOKUP(AF2437,TPCalibEq300!$AZ$2:$BB$55,3,),IF(AND(I2437="TDP",S2437&lt;=300),VLOOKUP(AF2437,TPCalibEq300!$AZ$2:$BB$55,3,)))</f>
        <v>0</v>
      </c>
      <c r="AS2437" s="10" t="b">
        <f>IF(AND(I2437="TP",S2437&lt;=500),VLOOKUP(AF2437,TPCalibEq500!$AZ$2:$BB$56,3,),IF(AND(I2437="TDP",S2437&lt;=500),VLOOKUP(AF2437,TPCalibEq500!$AZ$2:$BB$56,3,)))</f>
        <v>0</v>
      </c>
      <c r="AT2437" s="10" t="b">
        <f>IF(AND(I2437="TN",S2437&lt;=2800),VLOOKUP(AF2437,TNCalibEq2500!$AZ$2:$BB$56,3,),IF(AND(I2437="TDN",S2437&lt;=2800),VLOOKUP(AF2437,TNCalibEq2500!$AZ$2:$BB$56,3,)))</f>
        <v>0</v>
      </c>
      <c r="AU2437" s="10" t="b">
        <f>IF(I2437="TP",VLOOKUP(AF2437,TPCalibEqFull!$AZ$2:$BB$56,3),IF(I2437="TDP",VLOOKUP(AF2437,TPCalibEqFull!$AZ$2:$BB$56,3),IF(I2437="TDN",VLOOKUP(AF2437,TNCalibEqFull!$AZ$1:$BB$56,3),IF(I2437="TN",VLOOKUP(AF2437,TNCalibEqFull!$AZ$1:$BB$56,3),FALSE))))</f>
        <v>0</v>
      </c>
      <c r="AV2437" s="10" t="str">
        <f t="shared" si="282"/>
        <v>0208 10:44:50-EMB-69-C-1-SW-UKN</v>
      </c>
    </row>
    <row r="2438" spans="1:48" s="10" customFormat="1" x14ac:dyDescent="0.55000000000000004">
      <c r="A2438" s="32">
        <v>44965</v>
      </c>
      <c r="B2438" s="33">
        <v>0.39953703703703702</v>
      </c>
      <c r="C2438" s="10" t="s">
        <v>287</v>
      </c>
      <c r="D2438" s="10">
        <v>0</v>
      </c>
      <c r="E2438" s="10">
        <v>800</v>
      </c>
      <c r="F2438" s="10">
        <v>1</v>
      </c>
      <c r="G2438" s="10" t="s">
        <v>231</v>
      </c>
      <c r="H2438" s="10" t="s">
        <v>322</v>
      </c>
      <c r="I2438" s="10" t="s">
        <v>256</v>
      </c>
      <c r="J2438" s="10">
        <v>44</v>
      </c>
      <c r="K2438" s="12">
        <v>44966</v>
      </c>
      <c r="L2438" s="33">
        <v>0.52025462962962965</v>
      </c>
      <c r="M2438" s="10">
        <v>1</v>
      </c>
      <c r="N2438" s="10" t="s">
        <v>169</v>
      </c>
      <c r="O2438" s="10">
        <v>5.0999999999999996</v>
      </c>
      <c r="P2438" s="10">
        <v>0.23699999999999999</v>
      </c>
      <c r="Q2438" s="10">
        <v>630</v>
      </c>
      <c r="R2438" s="10" t="s">
        <v>77</v>
      </c>
      <c r="S2438" s="34">
        <f t="shared" si="277"/>
        <v>630</v>
      </c>
      <c r="T2438" s="10" t="s">
        <v>1176</v>
      </c>
      <c r="U2438" s="34" t="str">
        <f t="shared" si="280"/>
        <v/>
      </c>
      <c r="V2438" s="31" t="str">
        <f>IF(H2438="CHK",VLOOKUP(I2438,QCCHK,3,),IF(H2438="GUP",VLOOKUP(E2438,QCGUP,2,),IF(AND(H2438="ATP",OR(I2438="TN",I2438="TDN",I2438="TNO2-3",I2438="NO2-3")),VLOOKUP(E2438,QCREC_N,2,),IF(AND(H2438="NIC",OR(I2438="TN",I2438="TDN",I2438="TNO2-3",I2438="NO2-3")),VLOOKUP(E2438,QCNIC_N,2,),IF(AND(H2438="UREA",OR(I2438="TN",I2438="TDN",I2438="TNO2-3",I2438="NO2-3")),VLOOKUP(E2438,QCUREA_N,2,),IF(H2438="PER",VLOOKUP(I2438,QCPER,MATCH(E2438,QCACTUAL!$J$25:$AA$25,0),),IF(H2438="SPK",VLOOKUP(I2438,QCSPK,3,),IF(AND(H2438="ATP",OR(I2438="TP",I2438="TDP")),VLOOKUP(E2438,QCATP_P,2,),""))))))))</f>
        <v/>
      </c>
      <c r="W2438" s="31" t="str">
        <f t="shared" si="281"/>
        <v>TRUE</v>
      </c>
      <c r="X2438" s="31" t="str">
        <f t="shared" si="276"/>
        <v/>
      </c>
      <c r="Y2438" s="10" t="s">
        <v>1144</v>
      </c>
      <c r="AL2438" s="10" t="str">
        <f t="shared" si="278"/>
        <v>FALSE</v>
      </c>
      <c r="AM2438" s="10" t="str">
        <f t="shared" si="278"/>
        <v>FALSE</v>
      </c>
      <c r="AN2438" s="10" t="str">
        <f t="shared" si="278"/>
        <v>FALSE</v>
      </c>
      <c r="AO2438" s="10" t="str">
        <f t="shared" si="279"/>
        <v>FALSE</v>
      </c>
      <c r="AP2438" s="10" t="str">
        <f t="shared" si="279"/>
        <v>FALSE</v>
      </c>
      <c r="AQ2438" s="10" t="b">
        <f>IF(AND(I2438="TP",S2438&lt;=150),VLOOKUP(AF2438,TPCalibEq150!$AZ$2:$BB$55,3,),IF(AND(I2438="TDP",S2438&lt;=150),VLOOKUP(AF2438,TPCalibEq150!$AZ$2:$BB$55,3,)))</f>
        <v>0</v>
      </c>
      <c r="AR2438" s="10" t="b">
        <f>IF(AND(I2438="TP",S2438&lt;=300),VLOOKUP(AF2438,TPCalibEq300!$AZ$2:$BB$55,3,),IF(AND(I2438="TDP",S2438&lt;=300),VLOOKUP(AF2438,TPCalibEq300!$AZ$2:$BB$55,3,)))</f>
        <v>0</v>
      </c>
      <c r="AS2438" s="10" t="b">
        <f>IF(AND(I2438="TP",S2438&lt;=500),VLOOKUP(AF2438,TPCalibEq500!$AZ$2:$BB$56,3,),IF(AND(I2438="TDP",S2438&lt;=500),VLOOKUP(AF2438,TPCalibEq500!$AZ$2:$BB$56,3,)))</f>
        <v>0</v>
      </c>
      <c r="AT2438" s="10" t="b">
        <f>IF(AND(I2438="TN",S2438&lt;=2800),VLOOKUP(AF2438,TNCalibEq2500!$AZ$2:$BB$56,3,),IF(AND(I2438="TDN",S2438&lt;=2800),VLOOKUP(AF2438,TNCalibEq2500!$AZ$2:$BB$56,3,)))</f>
        <v>0</v>
      </c>
      <c r="AU2438" s="10" t="b">
        <f>IF(I2438="TP",VLOOKUP(AF2438,TPCalibEqFull!$AZ$2:$BB$56,3),IF(I2438="TDP",VLOOKUP(AF2438,TPCalibEqFull!$AZ$2:$BB$56,3),IF(I2438="TDN",VLOOKUP(AF2438,TNCalibEqFull!$AZ$1:$BB$56,3),IF(I2438="TN",VLOOKUP(AF2438,TNCalibEqFull!$AZ$1:$BB$56,3),FALSE))))</f>
        <v>0</v>
      </c>
      <c r="AV2438" s="10" t="str">
        <f t="shared" si="282"/>
        <v>0208 09:35:20-EFL-0-800-1-SW-UKN</v>
      </c>
    </row>
    <row r="2439" spans="1:48" s="10" customFormat="1" x14ac:dyDescent="0.55000000000000004">
      <c r="A2439" s="32">
        <v>44965</v>
      </c>
      <c r="B2439" s="33">
        <v>0.40185185185185185</v>
      </c>
      <c r="C2439" s="10" t="s">
        <v>287</v>
      </c>
      <c r="D2439" s="10">
        <v>5</v>
      </c>
      <c r="E2439" s="10">
        <v>800</v>
      </c>
      <c r="F2439" s="10">
        <v>1</v>
      </c>
      <c r="G2439" s="10" t="s">
        <v>231</v>
      </c>
      <c r="H2439" s="10" t="s">
        <v>322</v>
      </c>
      <c r="I2439" s="10" t="s">
        <v>256</v>
      </c>
      <c r="J2439" s="10">
        <v>45</v>
      </c>
      <c r="K2439" s="12">
        <v>44966</v>
      </c>
      <c r="L2439" s="33">
        <v>0.52105324074074078</v>
      </c>
      <c r="M2439" s="10">
        <v>1</v>
      </c>
      <c r="N2439" s="10" t="s">
        <v>169</v>
      </c>
      <c r="O2439" s="10">
        <v>5.1100000000000003</v>
      </c>
      <c r="P2439" s="10">
        <v>0.23699999999999999</v>
      </c>
      <c r="Q2439" s="10">
        <v>630</v>
      </c>
      <c r="R2439" s="10" t="s">
        <v>77</v>
      </c>
      <c r="S2439" s="34">
        <f t="shared" si="277"/>
        <v>630</v>
      </c>
      <c r="T2439" s="10" t="s">
        <v>1176</v>
      </c>
      <c r="U2439" s="34" t="str">
        <f t="shared" si="280"/>
        <v/>
      </c>
      <c r="V2439" s="31" t="str">
        <f>IF(H2439="CHK",VLOOKUP(I2439,QCCHK,3,),IF(H2439="GUP",VLOOKUP(E2439,QCGUP,2,),IF(AND(H2439="ATP",OR(I2439="TN",I2439="TDN",I2439="TNO2-3",I2439="NO2-3")),VLOOKUP(E2439,QCREC_N,2,),IF(AND(H2439="NIC",OR(I2439="TN",I2439="TDN",I2439="TNO2-3",I2439="NO2-3")),VLOOKUP(E2439,QCNIC_N,2,),IF(AND(H2439="UREA",OR(I2439="TN",I2439="TDN",I2439="TNO2-3",I2439="NO2-3")),VLOOKUP(E2439,QCUREA_N,2,),IF(H2439="PER",VLOOKUP(I2439,QCPER,MATCH(E2439,QCACTUAL!$J$25:$AA$25,0),),IF(H2439="SPK",VLOOKUP(I2439,QCSPK,3,),IF(AND(H2439="ATP",OR(I2439="TP",I2439="TDP")),VLOOKUP(E2439,QCATP_P,2,),""))))))))</f>
        <v/>
      </c>
      <c r="W2439" s="31" t="str">
        <f t="shared" si="281"/>
        <v>TRUE</v>
      </c>
      <c r="X2439" s="31" t="str">
        <f t="shared" si="276"/>
        <v/>
      </c>
      <c r="Y2439" s="10" t="s">
        <v>1144</v>
      </c>
      <c r="AL2439" s="10" t="str">
        <f t="shared" si="278"/>
        <v>FALSE</v>
      </c>
      <c r="AM2439" s="10" t="str">
        <f t="shared" si="278"/>
        <v>FALSE</v>
      </c>
      <c r="AN2439" s="10" t="str">
        <f t="shared" si="278"/>
        <v>FALSE</v>
      </c>
      <c r="AO2439" s="10" t="str">
        <f t="shared" si="279"/>
        <v>FALSE</v>
      </c>
      <c r="AP2439" s="10" t="str">
        <f t="shared" si="279"/>
        <v>FALSE</v>
      </c>
      <c r="AQ2439" s="10" t="b">
        <f>IF(AND(I2439="TP",S2439&lt;=150),VLOOKUP(AF2439,TPCalibEq150!$AZ$2:$BB$55,3,),IF(AND(I2439="TDP",S2439&lt;=150),VLOOKUP(AF2439,TPCalibEq150!$AZ$2:$BB$55,3,)))</f>
        <v>0</v>
      </c>
      <c r="AR2439" s="10" t="b">
        <f>IF(AND(I2439="TP",S2439&lt;=300),VLOOKUP(AF2439,TPCalibEq300!$AZ$2:$BB$55,3,),IF(AND(I2439="TDP",S2439&lt;=300),VLOOKUP(AF2439,TPCalibEq300!$AZ$2:$BB$55,3,)))</f>
        <v>0</v>
      </c>
      <c r="AS2439" s="10" t="b">
        <f>IF(AND(I2439="TP",S2439&lt;=500),VLOOKUP(AF2439,TPCalibEq500!$AZ$2:$BB$56,3,),IF(AND(I2439="TDP",S2439&lt;=500),VLOOKUP(AF2439,TPCalibEq500!$AZ$2:$BB$56,3,)))</f>
        <v>0</v>
      </c>
      <c r="AT2439" s="10" t="b">
        <f>IF(AND(I2439="TN",S2439&lt;=2800),VLOOKUP(AF2439,TNCalibEq2500!$AZ$2:$BB$56,3,),IF(AND(I2439="TDN",S2439&lt;=2800),VLOOKUP(AF2439,TNCalibEq2500!$AZ$2:$BB$56,3,)))</f>
        <v>0</v>
      </c>
      <c r="AU2439" s="10" t="b">
        <f>IF(I2439="TP",VLOOKUP(AF2439,TPCalibEqFull!$AZ$2:$BB$56,3),IF(I2439="TDP",VLOOKUP(AF2439,TPCalibEqFull!$AZ$2:$BB$56,3),IF(I2439="TDN",VLOOKUP(AF2439,TNCalibEqFull!$AZ$1:$BB$56,3),IF(I2439="TN",VLOOKUP(AF2439,TNCalibEqFull!$AZ$1:$BB$56,3),FALSE))))</f>
        <v>0</v>
      </c>
      <c r="AV2439" s="10" t="str">
        <f t="shared" si="282"/>
        <v>0208 09:38:40-EFL-5-800-1-SW-UKN</v>
      </c>
    </row>
    <row r="2440" spans="1:48" s="10" customFormat="1" x14ac:dyDescent="0.55000000000000004">
      <c r="A2440" s="32">
        <v>44965</v>
      </c>
      <c r="B2440" s="33">
        <v>0.40416666666666662</v>
      </c>
      <c r="C2440" s="10" t="s">
        <v>287</v>
      </c>
      <c r="D2440" s="10">
        <v>10</v>
      </c>
      <c r="E2440" s="10">
        <v>800</v>
      </c>
      <c r="F2440" s="10">
        <v>1</v>
      </c>
      <c r="G2440" s="10" t="s">
        <v>231</v>
      </c>
      <c r="H2440" s="10" t="s">
        <v>322</v>
      </c>
      <c r="I2440" s="10" t="s">
        <v>256</v>
      </c>
      <c r="J2440" s="10">
        <v>46</v>
      </c>
      <c r="K2440" s="12">
        <v>44966</v>
      </c>
      <c r="L2440" s="33">
        <v>0.52187499999999998</v>
      </c>
      <c r="M2440" s="10">
        <v>1</v>
      </c>
      <c r="N2440" s="10" t="s">
        <v>169</v>
      </c>
      <c r="O2440" s="10">
        <v>5.09</v>
      </c>
      <c r="P2440" s="10">
        <v>0.23599999999999999</v>
      </c>
      <c r="Q2440" s="10">
        <v>629</v>
      </c>
      <c r="R2440" s="10" t="s">
        <v>77</v>
      </c>
      <c r="S2440" s="34">
        <f t="shared" si="277"/>
        <v>629</v>
      </c>
      <c r="T2440" s="10" t="s">
        <v>1176</v>
      </c>
      <c r="U2440" s="34" t="str">
        <f t="shared" si="280"/>
        <v/>
      </c>
      <c r="V2440" s="31" t="str">
        <f>IF(H2440="CHK",VLOOKUP(I2440,QCCHK,3,),IF(H2440="GUP",VLOOKUP(E2440,QCGUP,2,),IF(AND(H2440="ATP",OR(I2440="TN",I2440="TDN",I2440="TNO2-3",I2440="NO2-3")),VLOOKUP(E2440,QCREC_N,2,),IF(AND(H2440="NIC",OR(I2440="TN",I2440="TDN",I2440="TNO2-3",I2440="NO2-3")),VLOOKUP(E2440,QCNIC_N,2,),IF(AND(H2440="UREA",OR(I2440="TN",I2440="TDN",I2440="TNO2-3",I2440="NO2-3")),VLOOKUP(E2440,QCUREA_N,2,),IF(H2440="PER",VLOOKUP(I2440,QCPER,MATCH(E2440,QCACTUAL!$J$25:$AA$25,0),),IF(H2440="SPK",VLOOKUP(I2440,QCSPK,3,),IF(AND(H2440="ATP",OR(I2440="TP",I2440="TDP")),VLOOKUP(E2440,QCATP_P,2,),""))))))))</f>
        <v/>
      </c>
      <c r="W2440" s="31" t="str">
        <f t="shared" si="281"/>
        <v>TRUE</v>
      </c>
      <c r="X2440" s="31" t="str">
        <f t="shared" si="276"/>
        <v/>
      </c>
      <c r="Y2440" s="10" t="s">
        <v>1144</v>
      </c>
      <c r="AL2440" s="10" t="str">
        <f t="shared" si="278"/>
        <v>FALSE</v>
      </c>
      <c r="AM2440" s="10" t="str">
        <f t="shared" si="278"/>
        <v>FALSE</v>
      </c>
      <c r="AN2440" s="10" t="str">
        <f t="shared" si="278"/>
        <v>FALSE</v>
      </c>
      <c r="AO2440" s="10" t="str">
        <f t="shared" si="279"/>
        <v>FALSE</v>
      </c>
      <c r="AP2440" s="10" t="str">
        <f t="shared" si="279"/>
        <v>FALSE</v>
      </c>
      <c r="AQ2440" s="10" t="b">
        <f>IF(AND(I2440="TP",S2440&lt;=150),VLOOKUP(AF2440,TPCalibEq150!$AZ$2:$BB$55,3,),IF(AND(I2440="TDP",S2440&lt;=150),VLOOKUP(AF2440,TPCalibEq150!$AZ$2:$BB$55,3,)))</f>
        <v>0</v>
      </c>
      <c r="AR2440" s="10" t="b">
        <f>IF(AND(I2440="TP",S2440&lt;=300),VLOOKUP(AF2440,TPCalibEq300!$AZ$2:$BB$55,3,),IF(AND(I2440="TDP",S2440&lt;=300),VLOOKUP(AF2440,TPCalibEq300!$AZ$2:$BB$55,3,)))</f>
        <v>0</v>
      </c>
      <c r="AS2440" s="10" t="b">
        <f>IF(AND(I2440="TP",S2440&lt;=500),VLOOKUP(AF2440,TPCalibEq500!$AZ$2:$BB$56,3,),IF(AND(I2440="TDP",S2440&lt;=500),VLOOKUP(AF2440,TPCalibEq500!$AZ$2:$BB$56,3,)))</f>
        <v>0</v>
      </c>
      <c r="AT2440" s="10" t="b">
        <f>IF(AND(I2440="TN",S2440&lt;=2800),VLOOKUP(AF2440,TNCalibEq2500!$AZ$2:$BB$56,3,),IF(AND(I2440="TDN",S2440&lt;=2800),VLOOKUP(AF2440,TNCalibEq2500!$AZ$2:$BB$56,3,)))</f>
        <v>0</v>
      </c>
      <c r="AU2440" s="10" t="b">
        <f>IF(I2440="TP",VLOOKUP(AF2440,TPCalibEqFull!$AZ$2:$BB$56,3),IF(I2440="TDP",VLOOKUP(AF2440,TPCalibEqFull!$AZ$2:$BB$56,3),IF(I2440="TDN",VLOOKUP(AF2440,TNCalibEqFull!$AZ$1:$BB$56,3),IF(I2440="TN",VLOOKUP(AF2440,TNCalibEqFull!$AZ$1:$BB$56,3),FALSE))))</f>
        <v>0</v>
      </c>
      <c r="AV2440" s="10" t="str">
        <f t="shared" si="282"/>
        <v>0208 09:42:00-EFL-10-800-1-SW-UKN</v>
      </c>
    </row>
    <row r="2441" spans="1:48" s="10" customFormat="1" x14ac:dyDescent="0.55000000000000004">
      <c r="A2441" s="32">
        <v>44965</v>
      </c>
      <c r="B2441" s="33">
        <v>0.4069444444444445</v>
      </c>
      <c r="C2441" s="10" t="s">
        <v>287</v>
      </c>
      <c r="D2441" s="10">
        <v>20</v>
      </c>
      <c r="E2441" s="10">
        <v>800</v>
      </c>
      <c r="F2441" s="10">
        <v>1</v>
      </c>
      <c r="G2441" s="10" t="s">
        <v>231</v>
      </c>
      <c r="H2441" s="10" t="s">
        <v>322</v>
      </c>
      <c r="I2441" s="10" t="s">
        <v>256</v>
      </c>
      <c r="J2441" s="10">
        <v>47</v>
      </c>
      <c r="K2441" s="12">
        <v>44966</v>
      </c>
      <c r="L2441" s="33">
        <v>0.52270833333333333</v>
      </c>
      <c r="M2441" s="10">
        <v>1</v>
      </c>
      <c r="N2441" s="10" t="s">
        <v>169</v>
      </c>
      <c r="O2441" s="10">
        <v>5.1100000000000003</v>
      </c>
      <c r="P2441" s="10">
        <v>0.23699999999999999</v>
      </c>
      <c r="Q2441" s="10">
        <v>631</v>
      </c>
      <c r="R2441" s="10" t="s">
        <v>77</v>
      </c>
      <c r="S2441" s="34">
        <f t="shared" si="277"/>
        <v>631</v>
      </c>
      <c r="T2441" s="10" t="s">
        <v>1176</v>
      </c>
      <c r="U2441" s="34" t="str">
        <f t="shared" si="280"/>
        <v/>
      </c>
      <c r="V2441" s="31" t="str">
        <f>IF(H2441="CHK",VLOOKUP(I2441,QCCHK,3,),IF(H2441="GUP",VLOOKUP(E2441,QCGUP,2,),IF(AND(H2441="ATP",OR(I2441="TN",I2441="TDN",I2441="TNO2-3",I2441="NO2-3")),VLOOKUP(E2441,QCREC_N,2,),IF(AND(H2441="NIC",OR(I2441="TN",I2441="TDN",I2441="TNO2-3",I2441="NO2-3")),VLOOKUP(E2441,QCNIC_N,2,),IF(AND(H2441="UREA",OR(I2441="TN",I2441="TDN",I2441="TNO2-3",I2441="NO2-3")),VLOOKUP(E2441,QCUREA_N,2,),IF(H2441="PER",VLOOKUP(I2441,QCPER,MATCH(E2441,QCACTUAL!$J$25:$AA$25,0),),IF(H2441="SPK",VLOOKUP(I2441,QCSPK,3,),IF(AND(H2441="ATP",OR(I2441="TP",I2441="TDP")),VLOOKUP(E2441,QCATP_P,2,),""))))))))</f>
        <v/>
      </c>
      <c r="W2441" s="31" t="str">
        <f t="shared" si="281"/>
        <v>TRUE</v>
      </c>
      <c r="X2441" s="31" t="str">
        <f t="shared" si="276"/>
        <v/>
      </c>
      <c r="Y2441" s="10" t="s">
        <v>1144</v>
      </c>
      <c r="AL2441" s="10" t="str">
        <f t="shared" si="278"/>
        <v>FALSE</v>
      </c>
      <c r="AM2441" s="10" t="str">
        <f t="shared" si="278"/>
        <v>FALSE</v>
      </c>
      <c r="AN2441" s="10" t="str">
        <f t="shared" si="278"/>
        <v>FALSE</v>
      </c>
      <c r="AO2441" s="10" t="str">
        <f t="shared" si="279"/>
        <v>FALSE</v>
      </c>
      <c r="AP2441" s="10" t="str">
        <f t="shared" si="279"/>
        <v>FALSE</v>
      </c>
      <c r="AQ2441" s="10" t="b">
        <f>IF(AND(I2441="TP",S2441&lt;=150),VLOOKUP(AF2441,TPCalibEq150!$AZ$2:$BB$55,3,),IF(AND(I2441="TDP",S2441&lt;=150),VLOOKUP(AF2441,TPCalibEq150!$AZ$2:$BB$55,3,)))</f>
        <v>0</v>
      </c>
      <c r="AR2441" s="10" t="b">
        <f>IF(AND(I2441="TP",S2441&lt;=300),VLOOKUP(AF2441,TPCalibEq300!$AZ$2:$BB$55,3,),IF(AND(I2441="TDP",S2441&lt;=300),VLOOKUP(AF2441,TPCalibEq300!$AZ$2:$BB$55,3,)))</f>
        <v>0</v>
      </c>
      <c r="AS2441" s="10" t="b">
        <f>IF(AND(I2441="TP",S2441&lt;=500),VLOOKUP(AF2441,TPCalibEq500!$AZ$2:$BB$56,3,),IF(AND(I2441="TDP",S2441&lt;=500),VLOOKUP(AF2441,TPCalibEq500!$AZ$2:$BB$56,3,)))</f>
        <v>0</v>
      </c>
      <c r="AT2441" s="10" t="b">
        <f>IF(AND(I2441="TN",S2441&lt;=2800),VLOOKUP(AF2441,TNCalibEq2500!$AZ$2:$BB$56,3,),IF(AND(I2441="TDN",S2441&lt;=2800),VLOOKUP(AF2441,TNCalibEq2500!$AZ$2:$BB$56,3,)))</f>
        <v>0</v>
      </c>
      <c r="AU2441" s="10" t="b">
        <f>IF(I2441="TP",VLOOKUP(AF2441,TPCalibEqFull!$AZ$2:$BB$56,3),IF(I2441="TDP",VLOOKUP(AF2441,TPCalibEqFull!$AZ$2:$BB$56,3),IF(I2441="TDN",VLOOKUP(AF2441,TNCalibEqFull!$AZ$1:$BB$56,3),IF(I2441="TN",VLOOKUP(AF2441,TNCalibEqFull!$AZ$1:$BB$56,3),FALSE))))</f>
        <v>0</v>
      </c>
      <c r="AV2441" s="10" t="str">
        <f t="shared" si="282"/>
        <v>0208 09:46:00-EFL-20-800-1-SW-UKN</v>
      </c>
    </row>
    <row r="2442" spans="1:48" s="10" customFormat="1" x14ac:dyDescent="0.55000000000000004">
      <c r="A2442" s="32">
        <v>44965</v>
      </c>
      <c r="B2442" s="33">
        <v>0.4069444444444445</v>
      </c>
      <c r="C2442" s="10" t="s">
        <v>287</v>
      </c>
      <c r="D2442" s="10">
        <v>20</v>
      </c>
      <c r="E2442" s="10">
        <v>800</v>
      </c>
      <c r="F2442" s="10">
        <v>2</v>
      </c>
      <c r="G2442" s="10" t="s">
        <v>231</v>
      </c>
      <c r="H2442" s="10" t="s">
        <v>322</v>
      </c>
      <c r="I2442" s="10" t="s">
        <v>256</v>
      </c>
      <c r="J2442" s="10">
        <v>48</v>
      </c>
      <c r="K2442" s="12">
        <v>44966</v>
      </c>
      <c r="L2442" s="33">
        <v>0.52353009259259264</v>
      </c>
      <c r="M2442" s="10">
        <v>1</v>
      </c>
      <c r="N2442" s="10" t="s">
        <v>169</v>
      </c>
      <c r="O2442" s="10">
        <v>5.12</v>
      </c>
      <c r="P2442" s="10">
        <v>0.23699999999999999</v>
      </c>
      <c r="Q2442" s="10">
        <v>632</v>
      </c>
      <c r="R2442" s="10" t="s">
        <v>77</v>
      </c>
      <c r="S2442" s="34">
        <f t="shared" si="277"/>
        <v>632</v>
      </c>
      <c r="T2442" s="10" t="s">
        <v>1176</v>
      </c>
      <c r="U2442" s="34" t="str">
        <f t="shared" si="280"/>
        <v/>
      </c>
      <c r="V2442" s="31" t="str">
        <f>IF(H2442="CHK",VLOOKUP(I2442,QCCHK,3,),IF(H2442="GUP",VLOOKUP(E2442,QCGUP,2,),IF(AND(H2442="ATP",OR(I2442="TN",I2442="TDN",I2442="TNO2-3",I2442="NO2-3")),VLOOKUP(E2442,QCREC_N,2,),IF(AND(H2442="NIC",OR(I2442="TN",I2442="TDN",I2442="TNO2-3",I2442="NO2-3")),VLOOKUP(E2442,QCNIC_N,2,),IF(AND(H2442="UREA",OR(I2442="TN",I2442="TDN",I2442="TNO2-3",I2442="NO2-3")),VLOOKUP(E2442,QCUREA_N,2,),IF(H2442="PER",VLOOKUP(I2442,QCPER,MATCH(E2442,QCACTUAL!$J$25:$AA$25,0),),IF(H2442="SPK",VLOOKUP(I2442,QCSPK,3,),IF(AND(H2442="ATP",OR(I2442="TP",I2442="TDP")),VLOOKUP(E2442,QCATP_P,2,),""))))))))</f>
        <v/>
      </c>
      <c r="W2442" s="31" t="str">
        <f t="shared" si="281"/>
        <v>TRUE</v>
      </c>
      <c r="X2442" s="31" t="str">
        <f t="shared" si="276"/>
        <v/>
      </c>
      <c r="Y2442" s="10" t="s">
        <v>1144</v>
      </c>
      <c r="AL2442" s="10" t="str">
        <f t="shared" si="278"/>
        <v>FALSE</v>
      </c>
      <c r="AM2442" s="10" t="str">
        <f t="shared" si="278"/>
        <v>FALSE</v>
      </c>
      <c r="AN2442" s="10" t="str">
        <f t="shared" si="278"/>
        <v>FALSE</v>
      </c>
      <c r="AO2442" s="10" t="str">
        <f t="shared" si="279"/>
        <v>FALSE</v>
      </c>
      <c r="AP2442" s="10" t="str">
        <f t="shared" si="279"/>
        <v>FALSE</v>
      </c>
      <c r="AQ2442" s="10" t="b">
        <f>IF(AND(I2442="TP",S2442&lt;=150),VLOOKUP(AF2442,TPCalibEq150!$AZ$2:$BB$55,3,),IF(AND(I2442="TDP",S2442&lt;=150),VLOOKUP(AF2442,TPCalibEq150!$AZ$2:$BB$55,3,)))</f>
        <v>0</v>
      </c>
      <c r="AR2442" s="10" t="b">
        <f>IF(AND(I2442="TP",S2442&lt;=300),VLOOKUP(AF2442,TPCalibEq300!$AZ$2:$BB$55,3,),IF(AND(I2442="TDP",S2442&lt;=300),VLOOKUP(AF2442,TPCalibEq300!$AZ$2:$BB$55,3,)))</f>
        <v>0</v>
      </c>
      <c r="AS2442" s="10" t="b">
        <f>IF(AND(I2442="TP",S2442&lt;=500),VLOOKUP(AF2442,TPCalibEq500!$AZ$2:$BB$56,3,),IF(AND(I2442="TDP",S2442&lt;=500),VLOOKUP(AF2442,TPCalibEq500!$AZ$2:$BB$56,3,)))</f>
        <v>0</v>
      </c>
      <c r="AT2442" s="10" t="b">
        <f>IF(AND(I2442="TN",S2442&lt;=2800),VLOOKUP(AF2442,TNCalibEq2500!$AZ$2:$BB$56,3,),IF(AND(I2442="TDN",S2442&lt;=2800),VLOOKUP(AF2442,TNCalibEq2500!$AZ$2:$BB$56,3,)))</f>
        <v>0</v>
      </c>
      <c r="AU2442" s="10" t="b">
        <f>IF(I2442="TP",VLOOKUP(AF2442,TPCalibEqFull!$AZ$2:$BB$56,3),IF(I2442="TDP",VLOOKUP(AF2442,TPCalibEqFull!$AZ$2:$BB$56,3),IF(I2442="TDN",VLOOKUP(AF2442,TNCalibEqFull!$AZ$1:$BB$56,3),IF(I2442="TN",VLOOKUP(AF2442,TNCalibEqFull!$AZ$1:$BB$56,3),FALSE))))</f>
        <v>0</v>
      </c>
      <c r="AV2442" s="10" t="str">
        <f t="shared" si="282"/>
        <v>0208 09:46:00-EFL-20-800-2-SW-UKN</v>
      </c>
    </row>
    <row r="2443" spans="1:48" s="10" customFormat="1" x14ac:dyDescent="0.55000000000000004">
      <c r="A2443" s="32">
        <v>44965</v>
      </c>
      <c r="B2443" s="33">
        <v>0.41111111111111115</v>
      </c>
      <c r="C2443" s="10" t="s">
        <v>287</v>
      </c>
      <c r="D2443" s="10">
        <v>48</v>
      </c>
      <c r="E2443" s="10" t="s">
        <v>190</v>
      </c>
      <c r="F2443" s="10">
        <v>1</v>
      </c>
      <c r="G2443" s="10" t="s">
        <v>231</v>
      </c>
      <c r="H2443" s="10" t="s">
        <v>322</v>
      </c>
      <c r="I2443" s="10" t="s">
        <v>256</v>
      </c>
      <c r="J2443" s="10">
        <v>49</v>
      </c>
      <c r="K2443" s="12">
        <v>44966</v>
      </c>
      <c r="L2443" s="33">
        <v>0.52435185185185185</v>
      </c>
      <c r="M2443" s="10">
        <v>1</v>
      </c>
      <c r="N2443" s="10" t="s">
        <v>169</v>
      </c>
      <c r="O2443" s="10">
        <v>5.12</v>
      </c>
      <c r="P2443" s="10">
        <v>0.23599999999999999</v>
      </c>
      <c r="Q2443" s="10">
        <v>631</v>
      </c>
      <c r="R2443" s="10" t="s">
        <v>77</v>
      </c>
      <c r="S2443" s="34">
        <f t="shared" si="277"/>
        <v>631</v>
      </c>
      <c r="T2443" s="10" t="s">
        <v>1176</v>
      </c>
      <c r="U2443" s="34" t="str">
        <f t="shared" si="280"/>
        <v/>
      </c>
      <c r="V2443" s="31" t="str">
        <f>IF(H2443="CHK",VLOOKUP(I2443,QCCHK,3,),IF(H2443="GUP",VLOOKUP(E2443,QCGUP,2,),IF(AND(H2443="ATP",OR(I2443="TN",I2443="TDN",I2443="TNO2-3",I2443="NO2-3")),VLOOKUP(E2443,QCREC_N,2,),IF(AND(H2443="NIC",OR(I2443="TN",I2443="TDN",I2443="TNO2-3",I2443="NO2-3")),VLOOKUP(E2443,QCNIC_N,2,),IF(AND(H2443="UREA",OR(I2443="TN",I2443="TDN",I2443="TNO2-3",I2443="NO2-3")),VLOOKUP(E2443,QCUREA_N,2,),IF(H2443="PER",VLOOKUP(I2443,QCPER,MATCH(E2443,QCACTUAL!$J$25:$AA$25,0),),IF(H2443="SPK",VLOOKUP(I2443,QCSPK,3,),IF(AND(H2443="ATP",OR(I2443="TP",I2443="TDP")),VLOOKUP(E2443,QCATP_P,2,),""))))))))</f>
        <v/>
      </c>
      <c r="W2443" s="31" t="str">
        <f t="shared" si="281"/>
        <v>TRUE</v>
      </c>
      <c r="X2443" s="31" t="str">
        <f t="shared" si="276"/>
        <v/>
      </c>
      <c r="Y2443" s="10" t="s">
        <v>1144</v>
      </c>
      <c r="AL2443" s="10" t="str">
        <f t="shared" si="278"/>
        <v>FALSE</v>
      </c>
      <c r="AM2443" s="10" t="str">
        <f t="shared" si="278"/>
        <v>FALSE</v>
      </c>
      <c r="AN2443" s="10" t="str">
        <f t="shared" si="278"/>
        <v>FALSE</v>
      </c>
      <c r="AO2443" s="10" t="str">
        <f t="shared" si="279"/>
        <v>FALSE</v>
      </c>
      <c r="AP2443" s="10" t="str">
        <f t="shared" si="279"/>
        <v>FALSE</v>
      </c>
      <c r="AQ2443" s="10" t="b">
        <f>IF(AND(I2443="TP",S2443&lt;=150),VLOOKUP(AF2443,TPCalibEq150!$AZ$2:$BB$55,3,),IF(AND(I2443="TDP",S2443&lt;=150),VLOOKUP(AF2443,TPCalibEq150!$AZ$2:$BB$55,3,)))</f>
        <v>0</v>
      </c>
      <c r="AR2443" s="10" t="b">
        <f>IF(AND(I2443="TP",S2443&lt;=300),VLOOKUP(AF2443,TPCalibEq300!$AZ$2:$BB$55,3,),IF(AND(I2443="TDP",S2443&lt;=300),VLOOKUP(AF2443,TPCalibEq300!$AZ$2:$BB$55,3,)))</f>
        <v>0</v>
      </c>
      <c r="AS2443" s="10" t="b">
        <f>IF(AND(I2443="TP",S2443&lt;=500),VLOOKUP(AF2443,TPCalibEq500!$AZ$2:$BB$56,3,),IF(AND(I2443="TDP",S2443&lt;=500),VLOOKUP(AF2443,TPCalibEq500!$AZ$2:$BB$56,3,)))</f>
        <v>0</v>
      </c>
      <c r="AT2443" s="10" t="b">
        <f>IF(AND(I2443="TN",S2443&lt;=2800),VLOOKUP(AF2443,TNCalibEq2500!$AZ$2:$BB$56,3,),IF(AND(I2443="TDN",S2443&lt;=2800),VLOOKUP(AF2443,TNCalibEq2500!$AZ$2:$BB$56,3,)))</f>
        <v>0</v>
      </c>
      <c r="AU2443" s="10" t="b">
        <f>IF(I2443="TP",VLOOKUP(AF2443,TPCalibEqFull!$AZ$2:$BB$56,3),IF(I2443="TDP",VLOOKUP(AF2443,TPCalibEqFull!$AZ$2:$BB$56,3),IF(I2443="TDN",VLOOKUP(AF2443,TNCalibEqFull!$AZ$1:$BB$56,3),IF(I2443="TN",VLOOKUP(AF2443,TNCalibEqFull!$AZ$1:$BB$56,3),FALSE))))</f>
        <v>0</v>
      </c>
      <c r="AV2443" s="10" t="str">
        <f t="shared" si="282"/>
        <v>0208 09:52:00-EFL-48-C-1-SW-UKN</v>
      </c>
    </row>
    <row r="2444" spans="1:48" s="10" customFormat="1" x14ac:dyDescent="0.55000000000000004">
      <c r="A2444" s="32">
        <v>44965</v>
      </c>
      <c r="B2444" s="33">
        <v>0.41111111111111115</v>
      </c>
      <c r="C2444" s="10" t="s">
        <v>287</v>
      </c>
      <c r="D2444" s="10">
        <v>48</v>
      </c>
      <c r="E2444" s="10" t="s">
        <v>190</v>
      </c>
      <c r="F2444" s="10">
        <v>1</v>
      </c>
      <c r="G2444" s="10" t="s">
        <v>231</v>
      </c>
      <c r="H2444" s="10" t="s">
        <v>233</v>
      </c>
      <c r="I2444" s="10" t="s">
        <v>256</v>
      </c>
      <c r="J2444" s="10">
        <v>49</v>
      </c>
      <c r="K2444" s="12">
        <v>44966</v>
      </c>
      <c r="L2444" s="33">
        <v>0.52517361111111105</v>
      </c>
      <c r="M2444" s="10">
        <v>1</v>
      </c>
      <c r="N2444" s="10" t="s">
        <v>169</v>
      </c>
      <c r="O2444" s="10">
        <v>5.07</v>
      </c>
      <c r="P2444" s="10">
        <v>0.23499999999999999</v>
      </c>
      <c r="Q2444" s="10">
        <v>626</v>
      </c>
      <c r="R2444" s="10" t="s">
        <v>77</v>
      </c>
      <c r="S2444" s="34">
        <f t="shared" si="277"/>
        <v>626</v>
      </c>
      <c r="T2444" s="10" t="s">
        <v>1176</v>
      </c>
      <c r="U2444" s="34">
        <f t="shared" si="280"/>
        <v>0.79554494828957845</v>
      </c>
      <c r="V2444" s="31" t="str">
        <f>IF(H2444="CHK",VLOOKUP(I2444,QCCHK,3,),IF(H2444="GUP",VLOOKUP(E2444,QCGUP,2,),IF(AND(H2444="ATP",OR(I2444="TN",I2444="TDN",I2444="TNO2-3",I2444="NO2-3")),VLOOKUP(E2444,QCREC_N,2,),IF(AND(H2444="NIC",OR(I2444="TN",I2444="TDN",I2444="TNO2-3",I2444="NO2-3")),VLOOKUP(E2444,QCNIC_N,2,),IF(AND(H2444="UREA",OR(I2444="TN",I2444="TDN",I2444="TNO2-3",I2444="NO2-3")),VLOOKUP(E2444,QCUREA_N,2,),IF(H2444="PER",VLOOKUP(I2444,QCPER,MATCH(E2444,QCACTUAL!$J$25:$AA$25,0),),IF(H2444="SPK",VLOOKUP(I2444,QCSPK,3,),IF(AND(H2444="ATP",OR(I2444="TP",I2444="TDP")),VLOOKUP(E2444,QCATP_P,2,),""))))))))</f>
        <v/>
      </c>
      <c r="W2444" s="31" t="str">
        <f t="shared" si="281"/>
        <v>TRUE</v>
      </c>
      <c r="X2444" s="31" t="str">
        <f t="shared" si="276"/>
        <v>((ABS(rep1-rep2))/((rep1+rep2)/2)*100</v>
      </c>
      <c r="Y2444" s="10" t="s">
        <v>1144</v>
      </c>
      <c r="AL2444" s="10" t="str">
        <f t="shared" si="278"/>
        <v>FALSE</v>
      </c>
      <c r="AM2444" s="10" t="str">
        <f t="shared" si="278"/>
        <v>FALSE</v>
      </c>
      <c r="AN2444" s="10" t="str">
        <f t="shared" si="278"/>
        <v>FALSE</v>
      </c>
      <c r="AO2444" s="10" t="str">
        <f t="shared" si="279"/>
        <v>FALSE</v>
      </c>
      <c r="AP2444" s="10" t="str">
        <f t="shared" si="279"/>
        <v>FALSE</v>
      </c>
      <c r="AQ2444" s="10" t="b">
        <f>IF(AND(I2444="TP",S2444&lt;=150),VLOOKUP(AF2444,TPCalibEq150!$AZ$2:$BB$55,3,),IF(AND(I2444="TDP",S2444&lt;=150),VLOOKUP(AF2444,TPCalibEq150!$AZ$2:$BB$55,3,)))</f>
        <v>0</v>
      </c>
      <c r="AR2444" s="10" t="b">
        <f>IF(AND(I2444="TP",S2444&lt;=300),VLOOKUP(AF2444,TPCalibEq300!$AZ$2:$BB$55,3,),IF(AND(I2444="TDP",S2444&lt;=300),VLOOKUP(AF2444,TPCalibEq300!$AZ$2:$BB$55,3,)))</f>
        <v>0</v>
      </c>
      <c r="AS2444" s="10" t="b">
        <f>IF(AND(I2444="TP",S2444&lt;=500),VLOOKUP(AF2444,TPCalibEq500!$AZ$2:$BB$56,3,),IF(AND(I2444="TDP",S2444&lt;=500),VLOOKUP(AF2444,TPCalibEq500!$AZ$2:$BB$56,3,)))</f>
        <v>0</v>
      </c>
      <c r="AT2444" s="10" t="b">
        <f>IF(AND(I2444="TN",S2444&lt;=2800),VLOOKUP(AF2444,TNCalibEq2500!$AZ$2:$BB$56,3,),IF(AND(I2444="TDN",S2444&lt;=2800),VLOOKUP(AF2444,TNCalibEq2500!$AZ$2:$BB$56,3,)))</f>
        <v>0</v>
      </c>
      <c r="AU2444" s="10" t="b">
        <f>IF(I2444="TP",VLOOKUP(AF2444,TPCalibEqFull!$AZ$2:$BB$56,3),IF(I2444="TDP",VLOOKUP(AF2444,TPCalibEqFull!$AZ$2:$BB$56,3),IF(I2444="TDN",VLOOKUP(AF2444,TNCalibEqFull!$AZ$1:$BB$56,3),IF(I2444="TN",VLOOKUP(AF2444,TNCalibEqFull!$AZ$1:$BB$56,3),FALSE))))</f>
        <v>0</v>
      </c>
      <c r="AV2444" s="10" t="str">
        <f t="shared" si="282"/>
        <v>0208 09:52:00-EFL-48-C-1-SW-DUP</v>
      </c>
    </row>
    <row r="2445" spans="1:48" s="10" customFormat="1" x14ac:dyDescent="0.55000000000000004">
      <c r="A2445" s="32">
        <v>44965</v>
      </c>
      <c r="B2445" s="33">
        <v>0.41111111111111115</v>
      </c>
      <c r="C2445" s="10" t="s">
        <v>287</v>
      </c>
      <c r="D2445" s="10">
        <v>48</v>
      </c>
      <c r="E2445" s="10" t="s">
        <v>190</v>
      </c>
      <c r="F2445" s="10">
        <v>1</v>
      </c>
      <c r="G2445" s="10" t="s">
        <v>231</v>
      </c>
      <c r="H2445" s="10" t="s">
        <v>314</v>
      </c>
      <c r="I2445" s="10" t="s">
        <v>256</v>
      </c>
      <c r="J2445" s="10">
        <v>124</v>
      </c>
      <c r="K2445" s="12">
        <v>44966</v>
      </c>
      <c r="L2445" s="33">
        <v>0.52598379629629632</v>
      </c>
      <c r="M2445" s="10">
        <v>1</v>
      </c>
      <c r="N2445" s="10" t="s">
        <v>169</v>
      </c>
      <c r="O2445" s="10">
        <v>10.199999999999999</v>
      </c>
      <c r="P2445" s="10">
        <v>0.47399999999999998</v>
      </c>
      <c r="Q2445" s="10">
        <v>1260</v>
      </c>
      <c r="R2445" s="10" t="s">
        <v>77</v>
      </c>
      <c r="S2445" s="34">
        <f t="shared" si="277"/>
        <v>1260</v>
      </c>
      <c r="T2445" s="10" t="s">
        <v>1176</v>
      </c>
      <c r="U2445" s="34">
        <f t="shared" si="280"/>
        <v>101.44</v>
      </c>
      <c r="V2445" s="31">
        <f>IF(H2445="CHK",VLOOKUP(I2445,QCCHK,3,),IF(H2445="GUP",VLOOKUP(E2445,QCGUP,2,),IF(AND(H2445="ATP",OR(I2445="TN",I2445="TDN",I2445="TNO2-3",I2445="NO2-3")),VLOOKUP(E2445,QCREC_N,2,),IF(AND(H2445="NIC",OR(I2445="TN",I2445="TDN",I2445="TNO2-3",I2445="NO2-3")),VLOOKUP(E2445,QCNIC_N,2,),IF(AND(H2445="UREA",OR(I2445="TN",I2445="TDN",I2445="TNO2-3",I2445="NO2-3")),VLOOKUP(E2445,QCUREA_N,2,),IF(H2445="PER",VLOOKUP(I2445,QCPER,MATCH(E2445,QCACTUAL!$J$25:$AA$25,0),),IF(H2445="SPK",VLOOKUP(I2445,QCSPK,3,),IF(AND(H2445="ATP",OR(I2445="TP",I2445="TDP")),VLOOKUP(E2445,QCATP_P,2,),""))))))))</f>
        <v>625</v>
      </c>
      <c r="W2445" s="31" t="str">
        <f t="shared" si="281"/>
        <v>TRUE</v>
      </c>
      <c r="X2445" s="31" t="str">
        <f t="shared" si="276"/>
        <v>([spikedunkn]-[unkn])/[spike]*100</v>
      </c>
      <c r="Y2445" s="10" t="s">
        <v>1144</v>
      </c>
      <c r="AL2445" s="10" t="str">
        <f t="shared" si="278"/>
        <v>FALSE</v>
      </c>
      <c r="AM2445" s="10" t="str">
        <f t="shared" si="278"/>
        <v>FALSE</v>
      </c>
      <c r="AN2445" s="10" t="str">
        <f t="shared" si="278"/>
        <v>FALSE</v>
      </c>
      <c r="AO2445" s="10" t="str">
        <f t="shared" si="279"/>
        <v>FALSE</v>
      </c>
      <c r="AP2445" s="10" t="str">
        <f t="shared" si="279"/>
        <v>FALSE</v>
      </c>
      <c r="AQ2445" s="10" t="b">
        <f>IF(AND(I2445="TP",S2445&lt;=150),VLOOKUP(AF2445,TPCalibEq150!$AZ$2:$BB$55,3,),IF(AND(I2445="TDP",S2445&lt;=150),VLOOKUP(AF2445,TPCalibEq150!$AZ$2:$BB$55,3,)))</f>
        <v>0</v>
      </c>
      <c r="AR2445" s="10" t="b">
        <f>IF(AND(I2445="TP",S2445&lt;=300),VLOOKUP(AF2445,TPCalibEq300!$AZ$2:$BB$55,3,),IF(AND(I2445="TDP",S2445&lt;=300),VLOOKUP(AF2445,TPCalibEq300!$AZ$2:$BB$55,3,)))</f>
        <v>0</v>
      </c>
      <c r="AS2445" s="10" t="b">
        <f>IF(AND(I2445="TP",S2445&lt;=500),VLOOKUP(AF2445,TPCalibEq500!$AZ$2:$BB$56,3,),IF(AND(I2445="TDP",S2445&lt;=500),VLOOKUP(AF2445,TPCalibEq500!$AZ$2:$BB$56,3,)))</f>
        <v>0</v>
      </c>
      <c r="AT2445" s="10" t="b">
        <f>IF(AND(I2445="TN",S2445&lt;=2800),VLOOKUP(AF2445,TNCalibEq2500!$AZ$2:$BB$56,3,),IF(AND(I2445="TDN",S2445&lt;=2800),VLOOKUP(AF2445,TNCalibEq2500!$AZ$2:$BB$56,3,)))</f>
        <v>0</v>
      </c>
      <c r="AU2445" s="10" t="b">
        <f>IF(I2445="TP",VLOOKUP(AF2445,TPCalibEqFull!$AZ$2:$BB$56,3),IF(I2445="TDP",VLOOKUP(AF2445,TPCalibEqFull!$AZ$2:$BB$56,3),IF(I2445="TDN",VLOOKUP(AF2445,TNCalibEqFull!$AZ$1:$BB$56,3),IF(I2445="TN",VLOOKUP(AF2445,TNCalibEqFull!$AZ$1:$BB$56,3),FALSE))))</f>
        <v>0</v>
      </c>
      <c r="AV2445" s="10" t="str">
        <f t="shared" si="282"/>
        <v>0208 09:52:00-EFL-48-C-1-SW-SPK</v>
      </c>
    </row>
    <row r="2446" spans="1:48" s="10" customFormat="1" x14ac:dyDescent="0.55000000000000004">
      <c r="A2446" s="32">
        <v>44966</v>
      </c>
      <c r="B2446" s="33">
        <v>0.375</v>
      </c>
      <c r="C2446" s="10" t="s">
        <v>70</v>
      </c>
      <c r="D2446" s="10" t="s">
        <v>71</v>
      </c>
      <c r="E2446" s="10" t="s">
        <v>901</v>
      </c>
      <c r="F2446" s="10">
        <v>1</v>
      </c>
      <c r="G2446" s="10" t="s">
        <v>73</v>
      </c>
      <c r="H2446" s="10" t="s">
        <v>207</v>
      </c>
      <c r="I2446" s="10" t="s">
        <v>256</v>
      </c>
      <c r="J2446" s="10">
        <v>201</v>
      </c>
      <c r="K2446" s="12">
        <v>44966</v>
      </c>
      <c r="L2446" s="33">
        <v>0.52681712962962968</v>
      </c>
      <c r="M2446" s="10">
        <v>1</v>
      </c>
      <c r="N2446" s="10" t="s">
        <v>169</v>
      </c>
      <c r="O2446" s="10">
        <v>2.2400000000000002</v>
      </c>
      <c r="P2446" s="10">
        <v>0.106</v>
      </c>
      <c r="Q2446" s="10">
        <v>277</v>
      </c>
      <c r="R2446" s="10" t="s">
        <v>77</v>
      </c>
      <c r="S2446" s="34">
        <f t="shared" si="277"/>
        <v>277</v>
      </c>
      <c r="T2446" s="10" t="s">
        <v>1176</v>
      </c>
      <c r="U2446" s="34">
        <f t="shared" si="280"/>
        <v>92.333333333333329</v>
      </c>
      <c r="V2446" s="31">
        <f>IF(H2446="CHK",VLOOKUP(I2446,QCCHK,3,),IF(H2446="GUP",VLOOKUP(E2446,QCGUP,2,),IF(AND(H2446="ATP",OR(I2446="TN",I2446="TDN",I2446="TNO2-3",I2446="NO2-3")),VLOOKUP(E2446,QCREC_N,2,),IF(AND(H2446="NIC",OR(I2446="TN",I2446="TDN",I2446="TNO2-3",I2446="NO2-3")),VLOOKUP(E2446,QCNIC_N,2,),IF(AND(H2446="UREA",OR(I2446="TN",I2446="TDN",I2446="TNO2-3",I2446="NO2-3")),VLOOKUP(E2446,QCUREA_N,2,),IF(H2446="PER",VLOOKUP(I2446,QCPER,MATCH(E2446,QCACTUAL!$J$25:$AA$25,0),),IF(H2446="SPK",VLOOKUP(I2446,QCSPK,3,),IF(AND(H2446="ATP",OR(I2446="TP",I2446="TDP")),VLOOKUP(E2446,QCATP_P,2,),""))))))))</f>
        <v>300</v>
      </c>
      <c r="W2446" s="31" t="str">
        <f t="shared" si="281"/>
        <v>TRUE</v>
      </c>
      <c r="X2446" s="31" t="str">
        <f t="shared" si="276"/>
        <v>[chk]/[actual]*100</v>
      </c>
      <c r="Y2446" s="10" t="s">
        <v>1144</v>
      </c>
      <c r="AL2446" s="10" t="str">
        <f t="shared" si="278"/>
        <v>FALSE</v>
      </c>
      <c r="AM2446" s="10" t="str">
        <f t="shared" si="278"/>
        <v>FALSE</v>
      </c>
      <c r="AN2446" s="10" t="str">
        <f t="shared" si="278"/>
        <v>FALSE</v>
      </c>
      <c r="AO2446" s="10" t="str">
        <f t="shared" si="279"/>
        <v>FALSE</v>
      </c>
      <c r="AP2446" s="10" t="str">
        <f t="shared" si="279"/>
        <v>FALSE</v>
      </c>
      <c r="AQ2446" s="10" t="b">
        <f>IF(AND(I2446="TP",S2446&lt;=150),VLOOKUP(AF2446,TPCalibEq150!$AZ$2:$BB$55,3,),IF(AND(I2446="TDP",S2446&lt;=150),VLOOKUP(AF2446,TPCalibEq150!$AZ$2:$BB$55,3,)))</f>
        <v>0</v>
      </c>
      <c r="AR2446" s="10" t="b">
        <f>IF(AND(I2446="TP",S2446&lt;=300),VLOOKUP(AF2446,TPCalibEq300!$AZ$2:$BB$55,3,),IF(AND(I2446="TDP",S2446&lt;=300),VLOOKUP(AF2446,TPCalibEq300!$AZ$2:$BB$55,3,)))</f>
        <v>0</v>
      </c>
      <c r="AS2446" s="10" t="b">
        <f>IF(AND(I2446="TP",S2446&lt;=500),VLOOKUP(AF2446,TPCalibEq500!$AZ$2:$BB$56,3,),IF(AND(I2446="TDP",S2446&lt;=500),VLOOKUP(AF2446,TPCalibEq500!$AZ$2:$BB$56,3,)))</f>
        <v>0</v>
      </c>
      <c r="AT2446" s="10" t="b">
        <f>IF(AND(I2446="TN",S2446&lt;=2800),VLOOKUP(AF2446,TNCalibEq2500!$AZ$2:$BB$56,3,),IF(AND(I2446="TDN",S2446&lt;=2800),VLOOKUP(AF2446,TNCalibEq2500!$AZ$2:$BB$56,3,)))</f>
        <v>0</v>
      </c>
      <c r="AU2446" s="10" t="b">
        <f>IF(I2446="TP",VLOOKUP(AF2446,TPCalibEqFull!$AZ$2:$BB$56,3),IF(I2446="TDP",VLOOKUP(AF2446,TPCalibEqFull!$AZ$2:$BB$56,3),IF(I2446="TDN",VLOOKUP(AF2446,TNCalibEqFull!$AZ$1:$BB$56,3),IF(I2446="TN",VLOOKUP(AF2446,TNCalibEqFull!$AZ$1:$BB$56,3),FALSE))))</f>
        <v>0</v>
      </c>
      <c r="AV2446" s="10" t="str">
        <f t="shared" si="282"/>
        <v>0209 09:00:00-QAC-STD-D-1-DI-CHK</v>
      </c>
    </row>
    <row r="2447" spans="1:48" s="10" customFormat="1" x14ac:dyDescent="0.55000000000000004">
      <c r="A2447" s="32">
        <v>44965</v>
      </c>
      <c r="B2447" s="33">
        <v>0.37777777777777777</v>
      </c>
      <c r="C2447" s="10" t="s">
        <v>428</v>
      </c>
      <c r="D2447" s="10">
        <v>0</v>
      </c>
      <c r="E2447" s="10">
        <v>800</v>
      </c>
      <c r="F2447" s="10">
        <v>1</v>
      </c>
      <c r="G2447" s="10" t="s">
        <v>231</v>
      </c>
      <c r="H2447" s="10" t="s">
        <v>322</v>
      </c>
      <c r="I2447" s="10" t="s">
        <v>256</v>
      </c>
      <c r="J2447" s="10">
        <v>50</v>
      </c>
      <c r="K2447" s="12">
        <v>44966</v>
      </c>
      <c r="L2447" s="33">
        <v>0.52762731481481484</v>
      </c>
      <c r="M2447" s="10">
        <v>1</v>
      </c>
      <c r="N2447" s="10" t="s">
        <v>169</v>
      </c>
      <c r="O2447" s="10">
        <v>5.12</v>
      </c>
      <c r="P2447" s="10">
        <v>0.23699999999999999</v>
      </c>
      <c r="Q2447" s="10">
        <v>632</v>
      </c>
      <c r="R2447" s="10" t="s">
        <v>77</v>
      </c>
      <c r="S2447" s="34">
        <f t="shared" si="277"/>
        <v>632</v>
      </c>
      <c r="T2447" s="10" t="s">
        <v>1176</v>
      </c>
      <c r="U2447" s="34" t="str">
        <f t="shared" si="280"/>
        <v/>
      </c>
      <c r="V2447" s="31" t="str">
        <f>IF(H2447="CHK",VLOOKUP(I2447,QCCHK,3,),IF(H2447="GUP",VLOOKUP(E2447,QCGUP,2,),IF(AND(H2447="ATP",OR(I2447="TN",I2447="TDN",I2447="TNO2-3",I2447="NO2-3")),VLOOKUP(E2447,QCREC_N,2,),IF(AND(H2447="NIC",OR(I2447="TN",I2447="TDN",I2447="TNO2-3",I2447="NO2-3")),VLOOKUP(E2447,QCNIC_N,2,),IF(AND(H2447="UREA",OR(I2447="TN",I2447="TDN",I2447="TNO2-3",I2447="NO2-3")),VLOOKUP(E2447,QCUREA_N,2,),IF(H2447="PER",VLOOKUP(I2447,QCPER,MATCH(E2447,QCACTUAL!$J$25:$AA$25,0),),IF(H2447="SPK",VLOOKUP(I2447,QCSPK,3,),IF(AND(H2447="ATP",OR(I2447="TP",I2447="TDP")),VLOOKUP(E2447,QCATP_P,2,),""))))))))</f>
        <v/>
      </c>
      <c r="W2447" s="31" t="str">
        <f t="shared" si="281"/>
        <v>TRUE</v>
      </c>
      <c r="X2447" s="31" t="str">
        <f t="shared" si="276"/>
        <v/>
      </c>
      <c r="Y2447" s="10" t="s">
        <v>1144</v>
      </c>
      <c r="AL2447" s="10" t="str">
        <f t="shared" si="278"/>
        <v>FALSE</v>
      </c>
      <c r="AM2447" s="10" t="str">
        <f t="shared" si="278"/>
        <v>FALSE</v>
      </c>
      <c r="AN2447" s="10" t="str">
        <f t="shared" si="278"/>
        <v>FALSE</v>
      </c>
      <c r="AO2447" s="10" t="str">
        <f t="shared" si="279"/>
        <v>FALSE</v>
      </c>
      <c r="AP2447" s="10" t="str">
        <f t="shared" si="279"/>
        <v>FALSE</v>
      </c>
      <c r="AQ2447" s="10" t="b">
        <f>IF(AND(I2447="TP",S2447&lt;=150),VLOOKUP(AF2447,TPCalibEq150!$AZ$2:$BB$55,3,),IF(AND(I2447="TDP",S2447&lt;=150),VLOOKUP(AF2447,TPCalibEq150!$AZ$2:$BB$55,3,)))</f>
        <v>0</v>
      </c>
      <c r="AR2447" s="10" t="b">
        <f>IF(AND(I2447="TP",S2447&lt;=300),VLOOKUP(AF2447,TPCalibEq300!$AZ$2:$BB$55,3,),IF(AND(I2447="TDP",S2447&lt;=300),VLOOKUP(AF2447,TPCalibEq300!$AZ$2:$BB$55,3,)))</f>
        <v>0</v>
      </c>
      <c r="AS2447" s="10" t="b">
        <f>IF(AND(I2447="TP",S2447&lt;=500),VLOOKUP(AF2447,TPCalibEq500!$AZ$2:$BB$56,3,),IF(AND(I2447="TDP",S2447&lt;=500),VLOOKUP(AF2447,TPCalibEq500!$AZ$2:$BB$56,3,)))</f>
        <v>0</v>
      </c>
      <c r="AT2447" s="10" t="b">
        <f>IF(AND(I2447="TN",S2447&lt;=2800),VLOOKUP(AF2447,TNCalibEq2500!$AZ$2:$BB$56,3,),IF(AND(I2447="TDN",S2447&lt;=2800),VLOOKUP(AF2447,TNCalibEq2500!$AZ$2:$BB$56,3,)))</f>
        <v>0</v>
      </c>
      <c r="AU2447" s="10" t="b">
        <f>IF(I2447="TP",VLOOKUP(AF2447,TPCalibEqFull!$AZ$2:$BB$56,3),IF(I2447="TDP",VLOOKUP(AF2447,TPCalibEqFull!$AZ$2:$BB$56,3),IF(I2447="TDN",VLOOKUP(AF2447,TNCalibEqFull!$AZ$1:$BB$56,3),IF(I2447="TN",VLOOKUP(AF2447,TNCalibEqFull!$AZ$1:$BB$56,3),FALSE))))</f>
        <v>0</v>
      </c>
      <c r="AV2447" s="10" t="str">
        <f t="shared" si="282"/>
        <v>0208 09:04:00-EOF-0-800-1-SW-UKN</v>
      </c>
    </row>
    <row r="2448" spans="1:48" s="10" customFormat="1" x14ac:dyDescent="0.55000000000000004">
      <c r="A2448" s="32">
        <v>44965</v>
      </c>
      <c r="B2448" s="33">
        <v>0.37986111111111115</v>
      </c>
      <c r="C2448" s="10" t="s">
        <v>428</v>
      </c>
      <c r="D2448" s="10">
        <v>5</v>
      </c>
      <c r="E2448" s="10">
        <v>800</v>
      </c>
      <c r="F2448" s="10">
        <v>1</v>
      </c>
      <c r="G2448" s="10" t="s">
        <v>231</v>
      </c>
      <c r="H2448" s="10" t="s">
        <v>322</v>
      </c>
      <c r="I2448" s="10" t="s">
        <v>256</v>
      </c>
      <c r="J2448" s="10">
        <v>51</v>
      </c>
      <c r="K2448" s="12">
        <v>44966</v>
      </c>
      <c r="L2448" s="33">
        <v>0.52844907407407404</v>
      </c>
      <c r="M2448" s="10">
        <v>1</v>
      </c>
      <c r="N2448" s="10" t="s">
        <v>169</v>
      </c>
      <c r="O2448" s="10">
        <v>5.05</v>
      </c>
      <c r="P2448" s="10">
        <v>0.23499999999999999</v>
      </c>
      <c r="Q2448" s="10">
        <v>623</v>
      </c>
      <c r="R2448" s="10" t="s">
        <v>77</v>
      </c>
      <c r="S2448" s="34">
        <f t="shared" si="277"/>
        <v>623</v>
      </c>
      <c r="T2448" s="10" t="s">
        <v>1176</v>
      </c>
      <c r="U2448" s="34" t="str">
        <f t="shared" si="280"/>
        <v/>
      </c>
      <c r="V2448" s="31" t="str">
        <f>IF(H2448="CHK",VLOOKUP(I2448,QCCHK,3,),IF(H2448="GUP",VLOOKUP(E2448,QCGUP,2,),IF(AND(H2448="ATP",OR(I2448="TN",I2448="TDN",I2448="TNO2-3",I2448="NO2-3")),VLOOKUP(E2448,QCREC_N,2,),IF(AND(H2448="NIC",OR(I2448="TN",I2448="TDN",I2448="TNO2-3",I2448="NO2-3")),VLOOKUP(E2448,QCNIC_N,2,),IF(AND(H2448="UREA",OR(I2448="TN",I2448="TDN",I2448="TNO2-3",I2448="NO2-3")),VLOOKUP(E2448,QCUREA_N,2,),IF(H2448="PER",VLOOKUP(I2448,QCPER,MATCH(E2448,QCACTUAL!$J$25:$AA$25,0),),IF(H2448="SPK",VLOOKUP(I2448,QCSPK,3,),IF(AND(H2448="ATP",OR(I2448="TP",I2448="TDP")),VLOOKUP(E2448,QCATP_P,2,),""))))))))</f>
        <v/>
      </c>
      <c r="W2448" s="31" t="str">
        <f t="shared" si="281"/>
        <v>TRUE</v>
      </c>
      <c r="X2448" s="31" t="str">
        <f t="shared" si="276"/>
        <v/>
      </c>
      <c r="Y2448" s="10" t="s">
        <v>1144</v>
      </c>
      <c r="AL2448" s="10" t="str">
        <f t="shared" si="278"/>
        <v>FALSE</v>
      </c>
      <c r="AM2448" s="10" t="str">
        <f t="shared" si="278"/>
        <v>FALSE</v>
      </c>
      <c r="AN2448" s="10" t="str">
        <f t="shared" si="278"/>
        <v>FALSE</v>
      </c>
      <c r="AO2448" s="10" t="str">
        <f t="shared" si="279"/>
        <v>FALSE</v>
      </c>
      <c r="AP2448" s="10" t="str">
        <f t="shared" si="279"/>
        <v>FALSE</v>
      </c>
      <c r="AQ2448" s="10" t="b">
        <f>IF(AND(I2448="TP",S2448&lt;=150),VLOOKUP(AF2448,TPCalibEq150!$AZ$2:$BB$55,3,),IF(AND(I2448="TDP",S2448&lt;=150),VLOOKUP(AF2448,TPCalibEq150!$AZ$2:$BB$55,3,)))</f>
        <v>0</v>
      </c>
      <c r="AR2448" s="10" t="b">
        <f>IF(AND(I2448="TP",S2448&lt;=300),VLOOKUP(AF2448,TPCalibEq300!$AZ$2:$BB$55,3,),IF(AND(I2448="TDP",S2448&lt;=300),VLOOKUP(AF2448,TPCalibEq300!$AZ$2:$BB$55,3,)))</f>
        <v>0</v>
      </c>
      <c r="AS2448" s="10" t="b">
        <f>IF(AND(I2448="TP",S2448&lt;=500),VLOOKUP(AF2448,TPCalibEq500!$AZ$2:$BB$56,3,),IF(AND(I2448="TDP",S2448&lt;=500),VLOOKUP(AF2448,TPCalibEq500!$AZ$2:$BB$56,3,)))</f>
        <v>0</v>
      </c>
      <c r="AT2448" s="10" t="b">
        <f>IF(AND(I2448="TN",S2448&lt;=2800),VLOOKUP(AF2448,TNCalibEq2500!$AZ$2:$BB$56,3,),IF(AND(I2448="TDN",S2448&lt;=2800),VLOOKUP(AF2448,TNCalibEq2500!$AZ$2:$BB$56,3,)))</f>
        <v>0</v>
      </c>
      <c r="AU2448" s="10" t="b">
        <f>IF(I2448="TP",VLOOKUP(AF2448,TPCalibEqFull!$AZ$2:$BB$56,3),IF(I2448="TDP",VLOOKUP(AF2448,TPCalibEqFull!$AZ$2:$BB$56,3),IF(I2448="TDN",VLOOKUP(AF2448,TNCalibEqFull!$AZ$1:$BB$56,3),IF(I2448="TN",VLOOKUP(AF2448,TNCalibEqFull!$AZ$1:$BB$56,3),FALSE))))</f>
        <v>0</v>
      </c>
      <c r="AV2448" s="10" t="str">
        <f t="shared" si="282"/>
        <v>0208 09:07:00-EOF-5-800-1-SW-UKN</v>
      </c>
    </row>
    <row r="2449" spans="1:48" s="10" customFormat="1" x14ac:dyDescent="0.55000000000000004">
      <c r="A2449" s="32">
        <v>44965</v>
      </c>
      <c r="B2449" s="33">
        <v>0.38263888888888892</v>
      </c>
      <c r="C2449" s="10" t="s">
        <v>428</v>
      </c>
      <c r="D2449" s="10">
        <v>10</v>
      </c>
      <c r="E2449" s="10">
        <v>800</v>
      </c>
      <c r="F2449" s="10">
        <v>1</v>
      </c>
      <c r="G2449" s="10" t="s">
        <v>231</v>
      </c>
      <c r="H2449" s="10" t="s">
        <v>322</v>
      </c>
      <c r="I2449" s="10" t="s">
        <v>256</v>
      </c>
      <c r="J2449" s="10">
        <v>52</v>
      </c>
      <c r="K2449" s="12">
        <v>44966</v>
      </c>
      <c r="L2449" s="33">
        <v>0.52927083333333336</v>
      </c>
      <c r="M2449" s="10">
        <v>1</v>
      </c>
      <c r="N2449" s="10" t="s">
        <v>169</v>
      </c>
      <c r="O2449" s="10">
        <v>5.13</v>
      </c>
      <c r="P2449" s="10">
        <v>0.23699999999999999</v>
      </c>
      <c r="Q2449" s="10">
        <v>633</v>
      </c>
      <c r="R2449" s="10" t="s">
        <v>77</v>
      </c>
      <c r="S2449" s="34">
        <f t="shared" si="277"/>
        <v>633</v>
      </c>
      <c r="T2449" s="10" t="s">
        <v>1176</v>
      </c>
      <c r="U2449" s="34" t="str">
        <f t="shared" si="280"/>
        <v/>
      </c>
      <c r="V2449" s="31" t="str">
        <f>IF(H2449="CHK",VLOOKUP(I2449,QCCHK,3,),IF(H2449="GUP",VLOOKUP(E2449,QCGUP,2,),IF(AND(H2449="ATP",OR(I2449="TN",I2449="TDN",I2449="TNO2-3",I2449="NO2-3")),VLOOKUP(E2449,QCREC_N,2,),IF(AND(H2449="NIC",OR(I2449="TN",I2449="TDN",I2449="TNO2-3",I2449="NO2-3")),VLOOKUP(E2449,QCNIC_N,2,),IF(AND(H2449="UREA",OR(I2449="TN",I2449="TDN",I2449="TNO2-3",I2449="NO2-3")),VLOOKUP(E2449,QCUREA_N,2,),IF(H2449="PER",VLOOKUP(I2449,QCPER,MATCH(E2449,QCACTUAL!$J$25:$AA$25,0),),IF(H2449="SPK",VLOOKUP(I2449,QCSPK,3,),IF(AND(H2449="ATP",OR(I2449="TP",I2449="TDP")),VLOOKUP(E2449,QCATP_P,2,),""))))))))</f>
        <v/>
      </c>
      <c r="W2449" s="31" t="str">
        <f t="shared" si="281"/>
        <v>TRUE</v>
      </c>
      <c r="X2449" s="31" t="str">
        <f t="shared" si="276"/>
        <v/>
      </c>
      <c r="Y2449" s="10" t="s">
        <v>1144</v>
      </c>
      <c r="AL2449" s="10" t="str">
        <f t="shared" si="278"/>
        <v>FALSE</v>
      </c>
      <c r="AM2449" s="10" t="str">
        <f t="shared" si="278"/>
        <v>FALSE</v>
      </c>
      <c r="AN2449" s="10" t="str">
        <f t="shared" si="278"/>
        <v>FALSE</v>
      </c>
      <c r="AO2449" s="10" t="str">
        <f t="shared" si="279"/>
        <v>FALSE</v>
      </c>
      <c r="AP2449" s="10" t="str">
        <f t="shared" si="279"/>
        <v>FALSE</v>
      </c>
      <c r="AQ2449" s="10" t="b">
        <f>IF(AND(I2449="TP",S2449&lt;=150),VLOOKUP(AF2449,TPCalibEq150!$AZ$2:$BB$55,3,),IF(AND(I2449="TDP",S2449&lt;=150),VLOOKUP(AF2449,TPCalibEq150!$AZ$2:$BB$55,3,)))</f>
        <v>0</v>
      </c>
      <c r="AR2449" s="10" t="b">
        <f>IF(AND(I2449="TP",S2449&lt;=300),VLOOKUP(AF2449,TPCalibEq300!$AZ$2:$BB$55,3,),IF(AND(I2449="TDP",S2449&lt;=300),VLOOKUP(AF2449,TPCalibEq300!$AZ$2:$BB$55,3,)))</f>
        <v>0</v>
      </c>
      <c r="AS2449" s="10" t="b">
        <f>IF(AND(I2449="TP",S2449&lt;=500),VLOOKUP(AF2449,TPCalibEq500!$AZ$2:$BB$56,3,),IF(AND(I2449="TDP",S2449&lt;=500),VLOOKUP(AF2449,TPCalibEq500!$AZ$2:$BB$56,3,)))</f>
        <v>0</v>
      </c>
      <c r="AT2449" s="10" t="b">
        <f>IF(AND(I2449="TN",S2449&lt;=2800),VLOOKUP(AF2449,TNCalibEq2500!$AZ$2:$BB$56,3,),IF(AND(I2449="TDN",S2449&lt;=2800),VLOOKUP(AF2449,TNCalibEq2500!$AZ$2:$BB$56,3,)))</f>
        <v>0</v>
      </c>
      <c r="AU2449" s="10" t="b">
        <f>IF(I2449="TP",VLOOKUP(AF2449,TPCalibEqFull!$AZ$2:$BB$56,3),IF(I2449="TDP",VLOOKUP(AF2449,TPCalibEqFull!$AZ$2:$BB$56,3),IF(I2449="TDN",VLOOKUP(AF2449,TNCalibEqFull!$AZ$1:$BB$56,3),IF(I2449="TN",VLOOKUP(AF2449,TNCalibEqFull!$AZ$1:$BB$56,3),FALSE))))</f>
        <v>0</v>
      </c>
      <c r="AV2449" s="10" t="str">
        <f t="shared" si="282"/>
        <v>0208 09:11:00-EOF-10-800-1-SW-UKN</v>
      </c>
    </row>
    <row r="2450" spans="1:48" s="10" customFormat="1" x14ac:dyDescent="0.55000000000000004">
      <c r="A2450" s="32">
        <v>44965</v>
      </c>
      <c r="B2450" s="33">
        <v>0.38472222222222219</v>
      </c>
      <c r="C2450" s="10" t="s">
        <v>428</v>
      </c>
      <c r="D2450" s="10">
        <v>20</v>
      </c>
      <c r="E2450" s="10" t="s">
        <v>190</v>
      </c>
      <c r="F2450" s="10">
        <v>1</v>
      </c>
      <c r="G2450" s="10" t="s">
        <v>231</v>
      </c>
      <c r="H2450" s="10" t="s">
        <v>322</v>
      </c>
      <c r="I2450" s="10" t="s">
        <v>256</v>
      </c>
      <c r="J2450" s="10">
        <v>53</v>
      </c>
      <c r="K2450" s="12">
        <v>44966</v>
      </c>
      <c r="L2450" s="33">
        <v>0.53008101851851852</v>
      </c>
      <c r="M2450" s="10">
        <v>1</v>
      </c>
      <c r="N2450" s="10" t="s">
        <v>169</v>
      </c>
      <c r="O2450" s="10">
        <v>5.0599999999999996</v>
      </c>
      <c r="P2450" s="10">
        <v>0.23499999999999999</v>
      </c>
      <c r="Q2450" s="10">
        <v>625</v>
      </c>
      <c r="R2450" s="10" t="s">
        <v>77</v>
      </c>
      <c r="S2450" s="34">
        <f t="shared" si="277"/>
        <v>625</v>
      </c>
      <c r="T2450" s="10" t="s">
        <v>1176</v>
      </c>
      <c r="U2450" s="34" t="str">
        <f t="shared" si="280"/>
        <v/>
      </c>
      <c r="V2450" s="31" t="str">
        <f>IF(H2450="CHK",VLOOKUP(I2450,QCCHK,3,),IF(H2450="GUP",VLOOKUP(E2450,QCGUP,2,),IF(AND(H2450="ATP",OR(I2450="TN",I2450="TDN",I2450="TNO2-3",I2450="NO2-3")),VLOOKUP(E2450,QCREC_N,2,),IF(AND(H2450="NIC",OR(I2450="TN",I2450="TDN",I2450="TNO2-3",I2450="NO2-3")),VLOOKUP(E2450,QCNIC_N,2,),IF(AND(H2450="UREA",OR(I2450="TN",I2450="TDN",I2450="TNO2-3",I2450="NO2-3")),VLOOKUP(E2450,QCUREA_N,2,),IF(H2450="PER",VLOOKUP(I2450,QCPER,MATCH(E2450,QCACTUAL!$J$25:$AA$25,0),),IF(H2450="SPK",VLOOKUP(I2450,QCSPK,3,),IF(AND(H2450="ATP",OR(I2450="TP",I2450="TDP")),VLOOKUP(E2450,QCATP_P,2,),""))))))))</f>
        <v/>
      </c>
      <c r="W2450" s="31" t="str">
        <f t="shared" si="281"/>
        <v>TRUE</v>
      </c>
      <c r="X2450" s="31" t="str">
        <f t="shared" si="276"/>
        <v/>
      </c>
      <c r="Y2450" s="10" t="s">
        <v>1144</v>
      </c>
      <c r="AL2450" s="10" t="str">
        <f t="shared" si="278"/>
        <v>FALSE</v>
      </c>
      <c r="AM2450" s="10" t="str">
        <f t="shared" si="278"/>
        <v>FALSE</v>
      </c>
      <c r="AN2450" s="10" t="str">
        <f t="shared" si="278"/>
        <v>FALSE</v>
      </c>
      <c r="AO2450" s="10" t="str">
        <f t="shared" si="279"/>
        <v>FALSE</v>
      </c>
      <c r="AP2450" s="10" t="str">
        <f t="shared" si="279"/>
        <v>FALSE</v>
      </c>
      <c r="AQ2450" s="10" t="b">
        <f>IF(AND(I2450="TP",S2450&lt;=150),VLOOKUP(AF2450,TPCalibEq150!$AZ$2:$BB$55,3,),IF(AND(I2450="TDP",S2450&lt;=150),VLOOKUP(AF2450,TPCalibEq150!$AZ$2:$BB$55,3,)))</f>
        <v>0</v>
      </c>
      <c r="AR2450" s="10" t="b">
        <f>IF(AND(I2450="TP",S2450&lt;=300),VLOOKUP(AF2450,TPCalibEq300!$AZ$2:$BB$55,3,),IF(AND(I2450="TDP",S2450&lt;=300),VLOOKUP(AF2450,TPCalibEq300!$AZ$2:$BB$55,3,)))</f>
        <v>0</v>
      </c>
      <c r="AS2450" s="10" t="b">
        <f>IF(AND(I2450="TP",S2450&lt;=500),VLOOKUP(AF2450,TPCalibEq500!$AZ$2:$BB$56,3,),IF(AND(I2450="TDP",S2450&lt;=500),VLOOKUP(AF2450,TPCalibEq500!$AZ$2:$BB$56,3,)))</f>
        <v>0</v>
      </c>
      <c r="AT2450" s="10" t="b">
        <f>IF(AND(I2450="TN",S2450&lt;=2800),VLOOKUP(AF2450,TNCalibEq2500!$AZ$2:$BB$56,3,),IF(AND(I2450="TDN",S2450&lt;=2800),VLOOKUP(AF2450,TNCalibEq2500!$AZ$2:$BB$56,3,)))</f>
        <v>0</v>
      </c>
      <c r="AU2450" s="10" t="b">
        <f>IF(I2450="TP",VLOOKUP(AF2450,TPCalibEqFull!$AZ$2:$BB$56,3),IF(I2450="TDP",VLOOKUP(AF2450,TPCalibEqFull!$AZ$2:$BB$56,3),IF(I2450="TDN",VLOOKUP(AF2450,TNCalibEqFull!$AZ$1:$BB$56,3),IF(I2450="TN",VLOOKUP(AF2450,TNCalibEqFull!$AZ$1:$BB$56,3),FALSE))))</f>
        <v>0</v>
      </c>
      <c r="AV2450" s="10" t="str">
        <f t="shared" si="282"/>
        <v>0208 09:14:00-EOF-20-C-1-SW-UKN</v>
      </c>
    </row>
    <row r="2451" spans="1:48" s="10" customFormat="1" x14ac:dyDescent="0.55000000000000004">
      <c r="A2451" s="32">
        <v>44965</v>
      </c>
      <c r="B2451" s="33">
        <v>0.38877314814814817</v>
      </c>
      <c r="C2451" s="10" t="s">
        <v>428</v>
      </c>
      <c r="D2451" s="10">
        <v>80</v>
      </c>
      <c r="E2451" s="10" t="s">
        <v>190</v>
      </c>
      <c r="F2451" s="10">
        <v>1</v>
      </c>
      <c r="G2451" s="10" t="s">
        <v>231</v>
      </c>
      <c r="H2451" s="10" t="s">
        <v>322</v>
      </c>
      <c r="I2451" s="10" t="s">
        <v>256</v>
      </c>
      <c r="J2451" s="10">
        <v>54</v>
      </c>
      <c r="K2451" s="12">
        <v>44966</v>
      </c>
      <c r="L2451" s="33">
        <v>0.53089120370370368</v>
      </c>
      <c r="M2451" s="10">
        <v>1</v>
      </c>
      <c r="N2451" s="10" t="s">
        <v>169</v>
      </c>
      <c r="O2451" s="10">
        <v>5.28</v>
      </c>
      <c r="P2451" s="10">
        <v>0.245</v>
      </c>
      <c r="Q2451" s="10">
        <v>651</v>
      </c>
      <c r="R2451" s="10" t="s">
        <v>77</v>
      </c>
      <c r="S2451" s="34">
        <f t="shared" si="277"/>
        <v>651</v>
      </c>
      <c r="T2451" s="10" t="s">
        <v>1176</v>
      </c>
      <c r="U2451" s="34" t="str">
        <f t="shared" si="280"/>
        <v/>
      </c>
      <c r="V2451" s="31" t="str">
        <f>IF(H2451="CHK",VLOOKUP(I2451,QCCHK,3,),IF(H2451="GUP",VLOOKUP(E2451,QCGUP,2,),IF(AND(H2451="ATP",OR(I2451="TN",I2451="TDN",I2451="TNO2-3",I2451="NO2-3")),VLOOKUP(E2451,QCREC_N,2,),IF(AND(H2451="NIC",OR(I2451="TN",I2451="TDN",I2451="TNO2-3",I2451="NO2-3")),VLOOKUP(E2451,QCNIC_N,2,),IF(AND(H2451="UREA",OR(I2451="TN",I2451="TDN",I2451="TNO2-3",I2451="NO2-3")),VLOOKUP(E2451,QCUREA_N,2,),IF(H2451="PER",VLOOKUP(I2451,QCPER,MATCH(E2451,QCACTUAL!$J$25:$AA$25,0),),IF(H2451="SPK",VLOOKUP(I2451,QCSPK,3,),IF(AND(H2451="ATP",OR(I2451="TP",I2451="TDP")),VLOOKUP(E2451,QCATP_P,2,),""))))))))</f>
        <v/>
      </c>
      <c r="W2451" s="31" t="str">
        <f t="shared" si="281"/>
        <v>TRUE</v>
      </c>
      <c r="X2451" s="31" t="str">
        <f t="shared" si="276"/>
        <v/>
      </c>
      <c r="Y2451" s="10" t="s">
        <v>1144</v>
      </c>
      <c r="AL2451" s="10" t="str">
        <f t="shared" si="278"/>
        <v>FALSE</v>
      </c>
      <c r="AM2451" s="10" t="str">
        <f t="shared" si="278"/>
        <v>FALSE</v>
      </c>
      <c r="AN2451" s="10" t="str">
        <f t="shared" si="278"/>
        <v>FALSE</v>
      </c>
      <c r="AO2451" s="10" t="str">
        <f t="shared" si="279"/>
        <v>FALSE</v>
      </c>
      <c r="AP2451" s="10" t="str">
        <f t="shared" si="279"/>
        <v>FALSE</v>
      </c>
      <c r="AQ2451" s="10" t="b">
        <f>IF(AND(I2451="TP",S2451&lt;=150),VLOOKUP(AF2451,TPCalibEq150!$AZ$2:$BB$55,3,),IF(AND(I2451="TDP",S2451&lt;=150),VLOOKUP(AF2451,TPCalibEq150!$AZ$2:$BB$55,3,)))</f>
        <v>0</v>
      </c>
      <c r="AR2451" s="10" t="b">
        <f>IF(AND(I2451="TP",S2451&lt;=300),VLOOKUP(AF2451,TPCalibEq300!$AZ$2:$BB$55,3,),IF(AND(I2451="TDP",S2451&lt;=300),VLOOKUP(AF2451,TPCalibEq300!$AZ$2:$BB$55,3,)))</f>
        <v>0</v>
      </c>
      <c r="AS2451" s="10" t="b">
        <f>IF(AND(I2451="TP",S2451&lt;=500),VLOOKUP(AF2451,TPCalibEq500!$AZ$2:$BB$56,3,),IF(AND(I2451="TDP",S2451&lt;=500),VLOOKUP(AF2451,TPCalibEq500!$AZ$2:$BB$56,3,)))</f>
        <v>0</v>
      </c>
      <c r="AT2451" s="10" t="b">
        <f>IF(AND(I2451="TN",S2451&lt;=2800),VLOOKUP(AF2451,TNCalibEq2500!$AZ$2:$BB$56,3,),IF(AND(I2451="TDN",S2451&lt;=2800),VLOOKUP(AF2451,TNCalibEq2500!$AZ$2:$BB$56,3,)))</f>
        <v>0</v>
      </c>
      <c r="AU2451" s="10" t="b">
        <f>IF(I2451="TP",VLOOKUP(AF2451,TPCalibEqFull!$AZ$2:$BB$56,3),IF(I2451="TDP",VLOOKUP(AF2451,TPCalibEqFull!$AZ$2:$BB$56,3),IF(I2451="TDN",VLOOKUP(AF2451,TNCalibEqFull!$AZ$1:$BB$56,3),IF(I2451="TN",VLOOKUP(AF2451,TNCalibEqFull!$AZ$1:$BB$56,3),FALSE))))</f>
        <v>0</v>
      </c>
      <c r="AV2451" s="10" t="str">
        <f t="shared" si="282"/>
        <v>0208 09:19:50-EOF-80-C-1-SW-UKN</v>
      </c>
    </row>
    <row r="2452" spans="1:48" s="10" customFormat="1" x14ac:dyDescent="0.55000000000000004">
      <c r="A2452" s="32">
        <v>44965</v>
      </c>
      <c r="B2452" s="33">
        <v>0.4201388888888889</v>
      </c>
      <c r="C2452" s="10" t="s">
        <v>611</v>
      </c>
      <c r="D2452" s="10">
        <v>0</v>
      </c>
      <c r="E2452" s="10">
        <v>800</v>
      </c>
      <c r="F2452" s="10">
        <v>1</v>
      </c>
      <c r="G2452" s="10" t="s">
        <v>231</v>
      </c>
      <c r="H2452" s="10" t="s">
        <v>322</v>
      </c>
      <c r="I2452" s="10" t="s">
        <v>256</v>
      </c>
      <c r="J2452" s="10">
        <v>55</v>
      </c>
      <c r="K2452" s="12">
        <v>44966</v>
      </c>
      <c r="L2452" s="33">
        <v>0.53170138888888896</v>
      </c>
      <c r="M2452" s="10">
        <v>1</v>
      </c>
      <c r="N2452" s="10" t="s">
        <v>169</v>
      </c>
      <c r="O2452" s="10">
        <v>5.1100000000000003</v>
      </c>
      <c r="P2452" s="10">
        <v>0.23699999999999999</v>
      </c>
      <c r="Q2452" s="10">
        <v>631</v>
      </c>
      <c r="R2452" s="10" t="s">
        <v>77</v>
      </c>
      <c r="S2452" s="34">
        <f t="shared" si="277"/>
        <v>631</v>
      </c>
      <c r="T2452" s="10" t="s">
        <v>1176</v>
      </c>
      <c r="U2452" s="34" t="str">
        <f t="shared" si="280"/>
        <v/>
      </c>
      <c r="V2452" s="31" t="str">
        <f>IF(H2452="CHK",VLOOKUP(I2452,QCCHK,3,),IF(H2452="GUP",VLOOKUP(E2452,QCGUP,2,),IF(AND(H2452="ATP",OR(I2452="TN",I2452="TDN",I2452="TNO2-3",I2452="NO2-3")),VLOOKUP(E2452,QCREC_N,2,),IF(AND(H2452="NIC",OR(I2452="TN",I2452="TDN",I2452="TNO2-3",I2452="NO2-3")),VLOOKUP(E2452,QCNIC_N,2,),IF(AND(H2452="UREA",OR(I2452="TN",I2452="TDN",I2452="TNO2-3",I2452="NO2-3")),VLOOKUP(E2452,QCUREA_N,2,),IF(H2452="PER",VLOOKUP(I2452,QCPER,MATCH(E2452,QCACTUAL!$J$25:$AA$25,0),),IF(H2452="SPK",VLOOKUP(I2452,QCSPK,3,),IF(AND(H2452="ATP",OR(I2452="TP",I2452="TDP")),VLOOKUP(E2452,QCATP_P,2,),""))))))))</f>
        <v/>
      </c>
      <c r="W2452" s="31" t="str">
        <f t="shared" si="281"/>
        <v>TRUE</v>
      </c>
      <c r="X2452" s="31" t="str">
        <f t="shared" si="276"/>
        <v/>
      </c>
      <c r="Y2452" s="10" t="s">
        <v>1144</v>
      </c>
      <c r="AL2452" s="10" t="str">
        <f t="shared" si="278"/>
        <v>FALSE</v>
      </c>
      <c r="AM2452" s="10" t="str">
        <f t="shared" si="278"/>
        <v>FALSE</v>
      </c>
      <c r="AN2452" s="10" t="str">
        <f t="shared" si="278"/>
        <v>FALSE</v>
      </c>
      <c r="AO2452" s="10" t="str">
        <f t="shared" si="279"/>
        <v>FALSE</v>
      </c>
      <c r="AP2452" s="10" t="str">
        <f t="shared" si="279"/>
        <v>FALSE</v>
      </c>
      <c r="AQ2452" s="10" t="b">
        <f>IF(AND(I2452="TP",S2452&lt;=150),VLOOKUP(AF2452,TPCalibEq150!$AZ$2:$BB$55,3,),IF(AND(I2452="TDP",S2452&lt;=150),VLOOKUP(AF2452,TPCalibEq150!$AZ$2:$BB$55,3,)))</f>
        <v>0</v>
      </c>
      <c r="AR2452" s="10" t="b">
        <f>IF(AND(I2452="TP",S2452&lt;=300),VLOOKUP(AF2452,TPCalibEq300!$AZ$2:$BB$55,3,),IF(AND(I2452="TDP",S2452&lt;=300),VLOOKUP(AF2452,TPCalibEq300!$AZ$2:$BB$55,3,)))</f>
        <v>0</v>
      </c>
      <c r="AS2452" s="10" t="b">
        <f>IF(AND(I2452="TP",S2452&lt;=500),VLOOKUP(AF2452,TPCalibEq500!$AZ$2:$BB$56,3,),IF(AND(I2452="TDP",S2452&lt;=500),VLOOKUP(AF2452,TPCalibEq500!$AZ$2:$BB$56,3,)))</f>
        <v>0</v>
      </c>
      <c r="AT2452" s="10" t="b">
        <f>IF(AND(I2452="TN",S2452&lt;=2800),VLOOKUP(AF2452,TNCalibEq2500!$AZ$2:$BB$56,3,),IF(AND(I2452="TDN",S2452&lt;=2800),VLOOKUP(AF2452,TNCalibEq2500!$AZ$2:$BB$56,3,)))</f>
        <v>0</v>
      </c>
      <c r="AU2452" s="10" t="b">
        <f>IF(I2452="TP",VLOOKUP(AF2452,TPCalibEqFull!$AZ$2:$BB$56,3),IF(I2452="TDP",VLOOKUP(AF2452,TPCalibEqFull!$AZ$2:$BB$56,3),IF(I2452="TDN",VLOOKUP(AF2452,TNCalibEqFull!$AZ$1:$BB$56,3),IF(I2452="TN",VLOOKUP(AF2452,TNCalibEqFull!$AZ$1:$BB$56,3),FALSE))))</f>
        <v>0</v>
      </c>
      <c r="AV2452" s="10" t="str">
        <f t="shared" si="282"/>
        <v>0208 10:05:00-BUO-0-800-1-SW-UKN</v>
      </c>
    </row>
    <row r="2453" spans="1:48" s="10" customFormat="1" x14ac:dyDescent="0.55000000000000004">
      <c r="A2453" s="32">
        <v>44965</v>
      </c>
      <c r="B2453" s="33">
        <v>0.42291666666666666</v>
      </c>
      <c r="C2453" s="10" t="s">
        <v>611</v>
      </c>
      <c r="D2453" s="10">
        <v>5</v>
      </c>
      <c r="E2453" s="10">
        <v>800</v>
      </c>
      <c r="F2453" s="10">
        <v>1</v>
      </c>
      <c r="G2453" s="10" t="s">
        <v>231</v>
      </c>
      <c r="H2453" s="10" t="s">
        <v>322</v>
      </c>
      <c r="I2453" s="10" t="s">
        <v>256</v>
      </c>
      <c r="J2453" s="10">
        <v>56</v>
      </c>
      <c r="K2453" s="12">
        <v>44966</v>
      </c>
      <c r="L2453" s="33">
        <v>0.53252314814814816</v>
      </c>
      <c r="M2453" s="10">
        <v>1</v>
      </c>
      <c r="N2453" s="10" t="s">
        <v>169</v>
      </c>
      <c r="O2453" s="10">
        <v>5.14</v>
      </c>
      <c r="P2453" s="10">
        <v>0.23799999999999999</v>
      </c>
      <c r="Q2453" s="10">
        <v>634</v>
      </c>
      <c r="R2453" s="10" t="s">
        <v>77</v>
      </c>
      <c r="S2453" s="34">
        <f t="shared" si="277"/>
        <v>634</v>
      </c>
      <c r="T2453" s="10" t="s">
        <v>1176</v>
      </c>
      <c r="U2453" s="34" t="str">
        <f t="shared" si="280"/>
        <v/>
      </c>
      <c r="V2453" s="31" t="str">
        <f>IF(H2453="CHK",VLOOKUP(I2453,QCCHK,3,),IF(H2453="GUP",VLOOKUP(E2453,QCGUP,2,),IF(AND(H2453="ATP",OR(I2453="TN",I2453="TDN",I2453="TNO2-3",I2453="NO2-3")),VLOOKUP(E2453,QCREC_N,2,),IF(AND(H2453="NIC",OR(I2453="TN",I2453="TDN",I2453="TNO2-3",I2453="NO2-3")),VLOOKUP(E2453,QCNIC_N,2,),IF(AND(H2453="UREA",OR(I2453="TN",I2453="TDN",I2453="TNO2-3",I2453="NO2-3")),VLOOKUP(E2453,QCUREA_N,2,),IF(H2453="PER",VLOOKUP(I2453,QCPER,MATCH(E2453,QCACTUAL!$J$25:$AA$25,0),),IF(H2453="SPK",VLOOKUP(I2453,QCSPK,3,),IF(AND(H2453="ATP",OR(I2453="TP",I2453="TDP")),VLOOKUP(E2453,QCATP_P,2,),""))))))))</f>
        <v/>
      </c>
      <c r="W2453" s="31" t="str">
        <f t="shared" si="281"/>
        <v>TRUE</v>
      </c>
      <c r="X2453" s="31" t="str">
        <f t="shared" si="276"/>
        <v/>
      </c>
      <c r="Y2453" s="10" t="s">
        <v>1144</v>
      </c>
      <c r="AL2453" s="10" t="str">
        <f t="shared" si="278"/>
        <v>FALSE</v>
      </c>
      <c r="AM2453" s="10" t="str">
        <f t="shared" si="278"/>
        <v>FALSE</v>
      </c>
      <c r="AN2453" s="10" t="str">
        <f t="shared" si="278"/>
        <v>FALSE</v>
      </c>
      <c r="AO2453" s="10" t="str">
        <f t="shared" si="279"/>
        <v>FALSE</v>
      </c>
      <c r="AP2453" s="10" t="str">
        <f t="shared" si="279"/>
        <v>FALSE</v>
      </c>
      <c r="AQ2453" s="10" t="b">
        <f>IF(AND(I2453="TP",S2453&lt;=150),VLOOKUP(AF2453,TPCalibEq150!$AZ$2:$BB$55,3,),IF(AND(I2453="TDP",S2453&lt;=150),VLOOKUP(AF2453,TPCalibEq150!$AZ$2:$BB$55,3,)))</f>
        <v>0</v>
      </c>
      <c r="AR2453" s="10" t="b">
        <f>IF(AND(I2453="TP",S2453&lt;=300),VLOOKUP(AF2453,TPCalibEq300!$AZ$2:$BB$55,3,),IF(AND(I2453="TDP",S2453&lt;=300),VLOOKUP(AF2453,TPCalibEq300!$AZ$2:$BB$55,3,)))</f>
        <v>0</v>
      </c>
      <c r="AS2453" s="10" t="b">
        <f>IF(AND(I2453="TP",S2453&lt;=500),VLOOKUP(AF2453,TPCalibEq500!$AZ$2:$BB$56,3,),IF(AND(I2453="TDP",S2453&lt;=500),VLOOKUP(AF2453,TPCalibEq500!$AZ$2:$BB$56,3,)))</f>
        <v>0</v>
      </c>
      <c r="AT2453" s="10" t="b">
        <f>IF(AND(I2453="TN",S2453&lt;=2800),VLOOKUP(AF2453,TNCalibEq2500!$AZ$2:$BB$56,3,),IF(AND(I2453="TDN",S2453&lt;=2800),VLOOKUP(AF2453,TNCalibEq2500!$AZ$2:$BB$56,3,)))</f>
        <v>0</v>
      </c>
      <c r="AU2453" s="10" t="b">
        <f>IF(I2453="TP",VLOOKUP(AF2453,TPCalibEqFull!$AZ$2:$BB$56,3),IF(I2453="TDP",VLOOKUP(AF2453,TPCalibEqFull!$AZ$2:$BB$56,3),IF(I2453="TDN",VLOOKUP(AF2453,TNCalibEqFull!$AZ$1:$BB$56,3),IF(I2453="TN",VLOOKUP(AF2453,TNCalibEqFull!$AZ$1:$BB$56,3),FALSE))))</f>
        <v>0</v>
      </c>
      <c r="AV2453" s="10" t="str">
        <f t="shared" si="282"/>
        <v>0208 10:09:00-BUO-5-800-1-SW-UKN</v>
      </c>
    </row>
    <row r="2454" spans="1:48" s="10" customFormat="1" x14ac:dyDescent="0.55000000000000004">
      <c r="A2454" s="32">
        <v>44965</v>
      </c>
      <c r="B2454" s="33">
        <v>0.42499999999999999</v>
      </c>
      <c r="C2454" s="10" t="s">
        <v>611</v>
      </c>
      <c r="D2454" s="10">
        <v>10</v>
      </c>
      <c r="E2454" s="10">
        <v>800</v>
      </c>
      <c r="F2454" s="10">
        <v>1</v>
      </c>
      <c r="G2454" s="10" t="s">
        <v>231</v>
      </c>
      <c r="H2454" s="10" t="s">
        <v>322</v>
      </c>
      <c r="I2454" s="10" t="s">
        <v>256</v>
      </c>
      <c r="J2454" s="10">
        <v>57</v>
      </c>
      <c r="K2454" s="12">
        <v>44966</v>
      </c>
      <c r="L2454" s="33">
        <v>0.53333333333333333</v>
      </c>
      <c r="M2454" s="10">
        <v>1</v>
      </c>
      <c r="N2454" s="10" t="s">
        <v>169</v>
      </c>
      <c r="O2454" s="10">
        <v>5.14</v>
      </c>
      <c r="P2454" s="10">
        <v>0.23899999999999999</v>
      </c>
      <c r="Q2454" s="10">
        <v>634</v>
      </c>
      <c r="R2454" s="10" t="s">
        <v>77</v>
      </c>
      <c r="S2454" s="34">
        <f t="shared" si="277"/>
        <v>634</v>
      </c>
      <c r="T2454" s="10" t="s">
        <v>1176</v>
      </c>
      <c r="U2454" s="34" t="str">
        <f t="shared" si="280"/>
        <v/>
      </c>
      <c r="V2454" s="31" t="str">
        <f>IF(H2454="CHK",VLOOKUP(I2454,QCCHK,3,),IF(H2454="GUP",VLOOKUP(E2454,QCGUP,2,),IF(AND(H2454="ATP",OR(I2454="TN",I2454="TDN",I2454="TNO2-3",I2454="NO2-3")),VLOOKUP(E2454,QCREC_N,2,),IF(AND(H2454="NIC",OR(I2454="TN",I2454="TDN",I2454="TNO2-3",I2454="NO2-3")),VLOOKUP(E2454,QCNIC_N,2,),IF(AND(H2454="UREA",OR(I2454="TN",I2454="TDN",I2454="TNO2-3",I2454="NO2-3")),VLOOKUP(E2454,QCUREA_N,2,),IF(H2454="PER",VLOOKUP(I2454,QCPER,MATCH(E2454,QCACTUAL!$J$25:$AA$25,0),),IF(H2454="SPK",VLOOKUP(I2454,QCSPK,3,),IF(AND(H2454="ATP",OR(I2454="TP",I2454="TDP")),VLOOKUP(E2454,QCATP_P,2,),""))))))))</f>
        <v/>
      </c>
      <c r="W2454" s="31" t="str">
        <f t="shared" si="281"/>
        <v>TRUE</v>
      </c>
      <c r="X2454" s="31" t="str">
        <f t="shared" si="276"/>
        <v/>
      </c>
      <c r="Y2454" s="10" t="s">
        <v>1144</v>
      </c>
      <c r="AL2454" s="10" t="str">
        <f t="shared" si="278"/>
        <v>FALSE</v>
      </c>
      <c r="AM2454" s="10" t="str">
        <f t="shared" si="278"/>
        <v>FALSE</v>
      </c>
      <c r="AN2454" s="10" t="str">
        <f t="shared" si="278"/>
        <v>FALSE</v>
      </c>
      <c r="AO2454" s="10" t="str">
        <f t="shared" si="279"/>
        <v>FALSE</v>
      </c>
      <c r="AP2454" s="10" t="str">
        <f t="shared" si="279"/>
        <v>FALSE</v>
      </c>
      <c r="AQ2454" s="10" t="b">
        <f>IF(AND(I2454="TP",S2454&lt;=150),VLOOKUP(AF2454,TPCalibEq150!$AZ$2:$BB$55,3,),IF(AND(I2454="TDP",S2454&lt;=150),VLOOKUP(AF2454,TPCalibEq150!$AZ$2:$BB$55,3,)))</f>
        <v>0</v>
      </c>
      <c r="AR2454" s="10" t="b">
        <f>IF(AND(I2454="TP",S2454&lt;=300),VLOOKUP(AF2454,TPCalibEq300!$AZ$2:$BB$55,3,),IF(AND(I2454="TDP",S2454&lt;=300),VLOOKUP(AF2454,TPCalibEq300!$AZ$2:$BB$55,3,)))</f>
        <v>0</v>
      </c>
      <c r="AS2454" s="10" t="b">
        <f>IF(AND(I2454="TP",S2454&lt;=500),VLOOKUP(AF2454,TPCalibEq500!$AZ$2:$BB$56,3,),IF(AND(I2454="TDP",S2454&lt;=500),VLOOKUP(AF2454,TPCalibEq500!$AZ$2:$BB$56,3,)))</f>
        <v>0</v>
      </c>
      <c r="AT2454" s="10" t="b">
        <f>IF(AND(I2454="TN",S2454&lt;=2800),VLOOKUP(AF2454,TNCalibEq2500!$AZ$2:$BB$56,3,),IF(AND(I2454="TDN",S2454&lt;=2800),VLOOKUP(AF2454,TNCalibEq2500!$AZ$2:$BB$56,3,)))</f>
        <v>0</v>
      </c>
      <c r="AU2454" s="10" t="b">
        <f>IF(I2454="TP",VLOOKUP(AF2454,TPCalibEqFull!$AZ$2:$BB$56,3),IF(I2454="TDP",VLOOKUP(AF2454,TPCalibEqFull!$AZ$2:$BB$56,3),IF(I2454="TDN",VLOOKUP(AF2454,TNCalibEqFull!$AZ$1:$BB$56,3),IF(I2454="TN",VLOOKUP(AF2454,TNCalibEqFull!$AZ$1:$BB$56,3),FALSE))))</f>
        <v>0</v>
      </c>
      <c r="AV2454" s="10" t="str">
        <f t="shared" si="282"/>
        <v>0208 10:12:00-BUO-10-800-1-SW-UKN</v>
      </c>
    </row>
    <row r="2455" spans="1:48" s="10" customFormat="1" x14ac:dyDescent="0.55000000000000004">
      <c r="A2455" s="32">
        <v>44965</v>
      </c>
      <c r="B2455" s="33">
        <v>0.42777777777777781</v>
      </c>
      <c r="C2455" s="10" t="s">
        <v>611</v>
      </c>
      <c r="D2455" s="10">
        <v>20</v>
      </c>
      <c r="E2455" s="10" t="s">
        <v>190</v>
      </c>
      <c r="F2455" s="10">
        <v>1</v>
      </c>
      <c r="G2455" s="10" t="s">
        <v>231</v>
      </c>
      <c r="H2455" s="10" t="s">
        <v>322</v>
      </c>
      <c r="I2455" s="10" t="s">
        <v>256</v>
      </c>
      <c r="J2455" s="10">
        <v>58</v>
      </c>
      <c r="K2455" s="12">
        <v>44966</v>
      </c>
      <c r="L2455" s="33">
        <v>0.53414351851851849</v>
      </c>
      <c r="M2455" s="10">
        <v>1</v>
      </c>
      <c r="N2455" s="10" t="s">
        <v>169</v>
      </c>
      <c r="O2455" s="10">
        <v>5.13</v>
      </c>
      <c r="P2455" s="10">
        <v>0.23699999999999999</v>
      </c>
      <c r="Q2455" s="10">
        <v>633</v>
      </c>
      <c r="R2455" s="10" t="s">
        <v>77</v>
      </c>
      <c r="S2455" s="34">
        <f t="shared" si="277"/>
        <v>633</v>
      </c>
      <c r="T2455" s="10" t="s">
        <v>1176</v>
      </c>
      <c r="U2455" s="34" t="str">
        <f t="shared" si="280"/>
        <v/>
      </c>
      <c r="V2455" s="31" t="str">
        <f>IF(H2455="CHK",VLOOKUP(I2455,QCCHK,3,),IF(H2455="GUP",VLOOKUP(E2455,QCGUP,2,),IF(AND(H2455="ATP",OR(I2455="TN",I2455="TDN",I2455="TNO2-3",I2455="NO2-3")),VLOOKUP(E2455,QCREC_N,2,),IF(AND(H2455="NIC",OR(I2455="TN",I2455="TDN",I2455="TNO2-3",I2455="NO2-3")),VLOOKUP(E2455,QCNIC_N,2,),IF(AND(H2455="UREA",OR(I2455="TN",I2455="TDN",I2455="TNO2-3",I2455="NO2-3")),VLOOKUP(E2455,QCUREA_N,2,),IF(H2455="PER",VLOOKUP(I2455,QCPER,MATCH(E2455,QCACTUAL!$J$25:$AA$25,0),),IF(H2455="SPK",VLOOKUP(I2455,QCSPK,3,),IF(AND(H2455="ATP",OR(I2455="TP",I2455="TDP")),VLOOKUP(E2455,QCATP_P,2,),""))))))))</f>
        <v/>
      </c>
      <c r="W2455" s="31" t="str">
        <f t="shared" si="281"/>
        <v>TRUE</v>
      </c>
      <c r="X2455" s="31" t="str">
        <f t="shared" si="276"/>
        <v/>
      </c>
      <c r="Y2455" s="10" t="s">
        <v>1144</v>
      </c>
      <c r="AL2455" s="10" t="str">
        <f t="shared" si="278"/>
        <v>FALSE</v>
      </c>
      <c r="AM2455" s="10" t="str">
        <f t="shared" si="278"/>
        <v>FALSE</v>
      </c>
      <c r="AN2455" s="10" t="str">
        <f t="shared" si="278"/>
        <v>FALSE</v>
      </c>
      <c r="AO2455" s="10" t="str">
        <f t="shared" si="279"/>
        <v>FALSE</v>
      </c>
      <c r="AP2455" s="10" t="str">
        <f t="shared" si="279"/>
        <v>FALSE</v>
      </c>
      <c r="AQ2455" s="10" t="b">
        <f>IF(AND(I2455="TP",S2455&lt;=150),VLOOKUP(AF2455,TPCalibEq150!$AZ$2:$BB$55,3,),IF(AND(I2455="TDP",S2455&lt;=150),VLOOKUP(AF2455,TPCalibEq150!$AZ$2:$BB$55,3,)))</f>
        <v>0</v>
      </c>
      <c r="AR2455" s="10" t="b">
        <f>IF(AND(I2455="TP",S2455&lt;=300),VLOOKUP(AF2455,TPCalibEq300!$AZ$2:$BB$55,3,),IF(AND(I2455="TDP",S2455&lt;=300),VLOOKUP(AF2455,TPCalibEq300!$AZ$2:$BB$55,3,)))</f>
        <v>0</v>
      </c>
      <c r="AS2455" s="10" t="b">
        <f>IF(AND(I2455="TP",S2455&lt;=500),VLOOKUP(AF2455,TPCalibEq500!$AZ$2:$BB$56,3,),IF(AND(I2455="TDP",S2455&lt;=500),VLOOKUP(AF2455,TPCalibEq500!$AZ$2:$BB$56,3,)))</f>
        <v>0</v>
      </c>
      <c r="AT2455" s="10" t="b">
        <f>IF(AND(I2455="TN",S2455&lt;=2800),VLOOKUP(AF2455,TNCalibEq2500!$AZ$2:$BB$56,3,),IF(AND(I2455="TDN",S2455&lt;=2800),VLOOKUP(AF2455,TNCalibEq2500!$AZ$2:$BB$56,3,)))</f>
        <v>0</v>
      </c>
      <c r="AU2455" s="10" t="b">
        <f>IF(I2455="TP",VLOOKUP(AF2455,TPCalibEqFull!$AZ$2:$BB$56,3),IF(I2455="TDP",VLOOKUP(AF2455,TPCalibEqFull!$AZ$2:$BB$56,3),IF(I2455="TDN",VLOOKUP(AF2455,TNCalibEqFull!$AZ$1:$BB$56,3),IF(I2455="TN",VLOOKUP(AF2455,TNCalibEqFull!$AZ$1:$BB$56,3),FALSE))))</f>
        <v>0</v>
      </c>
      <c r="AV2455" s="10" t="str">
        <f t="shared" si="282"/>
        <v>0208 10:16:00-BUO-20-C-1-SW-UKN</v>
      </c>
    </row>
    <row r="2456" spans="1:48" s="10" customFormat="1" x14ac:dyDescent="0.55000000000000004">
      <c r="A2456" s="32">
        <v>44965</v>
      </c>
      <c r="B2456" s="33">
        <v>0.43055555555555558</v>
      </c>
      <c r="C2456" s="10" t="s">
        <v>611</v>
      </c>
      <c r="D2456" s="10">
        <v>46</v>
      </c>
      <c r="E2456" s="10" t="s">
        <v>190</v>
      </c>
      <c r="F2456" s="10">
        <v>1</v>
      </c>
      <c r="G2456" s="10" t="s">
        <v>231</v>
      </c>
      <c r="H2456" s="10" t="s">
        <v>322</v>
      </c>
      <c r="I2456" s="10" t="s">
        <v>256</v>
      </c>
      <c r="J2456" s="10">
        <v>59</v>
      </c>
      <c r="K2456" s="12">
        <v>44966</v>
      </c>
      <c r="L2456" s="33">
        <v>0.53495370370370365</v>
      </c>
      <c r="M2456" s="10">
        <v>1</v>
      </c>
      <c r="N2456" s="10" t="s">
        <v>169</v>
      </c>
      <c r="O2456" s="10">
        <v>5.13</v>
      </c>
      <c r="P2456" s="10">
        <v>0.23799999999999999</v>
      </c>
      <c r="Q2456" s="10">
        <v>633</v>
      </c>
      <c r="R2456" s="10" t="s">
        <v>77</v>
      </c>
      <c r="S2456" s="34">
        <f t="shared" si="277"/>
        <v>633</v>
      </c>
      <c r="T2456" s="10" t="s">
        <v>1176</v>
      </c>
      <c r="U2456" s="34" t="str">
        <f t="shared" si="280"/>
        <v/>
      </c>
      <c r="V2456" s="31" t="str">
        <f>IF(H2456="CHK",VLOOKUP(I2456,QCCHK,3,),IF(H2456="GUP",VLOOKUP(E2456,QCGUP,2,),IF(AND(H2456="ATP",OR(I2456="TN",I2456="TDN",I2456="TNO2-3",I2456="NO2-3")),VLOOKUP(E2456,QCREC_N,2,),IF(AND(H2456="NIC",OR(I2456="TN",I2456="TDN",I2456="TNO2-3",I2456="NO2-3")),VLOOKUP(E2456,QCNIC_N,2,),IF(AND(H2456="UREA",OR(I2456="TN",I2456="TDN",I2456="TNO2-3",I2456="NO2-3")),VLOOKUP(E2456,QCUREA_N,2,),IF(H2456="PER",VLOOKUP(I2456,QCPER,MATCH(E2456,QCACTUAL!$J$25:$AA$25,0),),IF(H2456="SPK",VLOOKUP(I2456,QCSPK,3,),IF(AND(H2456="ATP",OR(I2456="TP",I2456="TDP")),VLOOKUP(E2456,QCATP_P,2,),""))))))))</f>
        <v/>
      </c>
      <c r="W2456" s="31" t="str">
        <f t="shared" si="281"/>
        <v>TRUE</v>
      </c>
      <c r="X2456" s="31" t="str">
        <f t="shared" si="276"/>
        <v/>
      </c>
      <c r="Y2456" s="10" t="s">
        <v>1144</v>
      </c>
      <c r="AL2456" s="10" t="str">
        <f t="shared" si="278"/>
        <v>FALSE</v>
      </c>
      <c r="AM2456" s="10" t="str">
        <f t="shared" si="278"/>
        <v>FALSE</v>
      </c>
      <c r="AN2456" s="10" t="str">
        <f t="shared" si="278"/>
        <v>FALSE</v>
      </c>
      <c r="AO2456" s="10" t="str">
        <f t="shared" si="279"/>
        <v>FALSE</v>
      </c>
      <c r="AP2456" s="10" t="str">
        <f t="shared" si="279"/>
        <v>FALSE</v>
      </c>
      <c r="AQ2456" s="10" t="b">
        <f>IF(AND(I2456="TP",S2456&lt;=150),VLOOKUP(AF2456,TPCalibEq150!$AZ$2:$BB$55,3,),IF(AND(I2456="TDP",S2456&lt;=150),VLOOKUP(AF2456,TPCalibEq150!$AZ$2:$BB$55,3,)))</f>
        <v>0</v>
      </c>
      <c r="AR2456" s="10" t="b">
        <f>IF(AND(I2456="TP",S2456&lt;=300),VLOOKUP(AF2456,TPCalibEq300!$AZ$2:$BB$55,3,),IF(AND(I2456="TDP",S2456&lt;=300),VLOOKUP(AF2456,TPCalibEq300!$AZ$2:$BB$55,3,)))</f>
        <v>0</v>
      </c>
      <c r="AS2456" s="10" t="b">
        <f>IF(AND(I2456="TP",S2456&lt;=500),VLOOKUP(AF2456,TPCalibEq500!$AZ$2:$BB$56,3,),IF(AND(I2456="TDP",S2456&lt;=500),VLOOKUP(AF2456,TPCalibEq500!$AZ$2:$BB$56,3,)))</f>
        <v>0</v>
      </c>
      <c r="AT2456" s="10" t="b">
        <f>IF(AND(I2456="TN",S2456&lt;=2800),VLOOKUP(AF2456,TNCalibEq2500!$AZ$2:$BB$56,3,),IF(AND(I2456="TDN",S2456&lt;=2800),VLOOKUP(AF2456,TNCalibEq2500!$AZ$2:$BB$56,3,)))</f>
        <v>0</v>
      </c>
      <c r="AU2456" s="10" t="b">
        <f>IF(I2456="TP",VLOOKUP(AF2456,TPCalibEqFull!$AZ$2:$BB$56,3),IF(I2456="TDP",VLOOKUP(AF2456,TPCalibEqFull!$AZ$2:$BB$56,3),IF(I2456="TDN",VLOOKUP(AF2456,TNCalibEqFull!$AZ$1:$BB$56,3),IF(I2456="TN",VLOOKUP(AF2456,TNCalibEqFull!$AZ$1:$BB$56,3),FALSE))))</f>
        <v>0</v>
      </c>
      <c r="AV2456" s="10" t="str">
        <f t="shared" si="282"/>
        <v>0208 10:20:00-BUO-46-C-1-SW-UKN</v>
      </c>
    </row>
    <row r="2457" spans="1:48" s="10" customFormat="1" x14ac:dyDescent="0.55000000000000004">
      <c r="A2457" s="32">
        <v>44965</v>
      </c>
      <c r="B2457" s="33">
        <v>0.43055555555555558</v>
      </c>
      <c r="C2457" s="10" t="s">
        <v>611</v>
      </c>
      <c r="D2457" s="10">
        <v>46</v>
      </c>
      <c r="E2457" s="10" t="s">
        <v>190</v>
      </c>
      <c r="F2457" s="10">
        <v>1</v>
      </c>
      <c r="G2457" s="10" t="s">
        <v>231</v>
      </c>
      <c r="H2457" s="10" t="s">
        <v>233</v>
      </c>
      <c r="I2457" s="10" t="s">
        <v>256</v>
      </c>
      <c r="J2457" s="10">
        <v>59</v>
      </c>
      <c r="K2457" s="12">
        <v>44966</v>
      </c>
      <c r="L2457" s="33">
        <v>0.53575231481481478</v>
      </c>
      <c r="M2457" s="10">
        <v>1</v>
      </c>
      <c r="N2457" s="10" t="s">
        <v>169</v>
      </c>
      <c r="O2457" s="10">
        <v>5.1100000000000003</v>
      </c>
      <c r="P2457" s="10">
        <v>0.23699999999999999</v>
      </c>
      <c r="Q2457" s="10">
        <v>631</v>
      </c>
      <c r="R2457" s="10" t="s">
        <v>77</v>
      </c>
      <c r="S2457" s="34">
        <f t="shared" si="277"/>
        <v>631</v>
      </c>
      <c r="T2457" s="10" t="s">
        <v>1176</v>
      </c>
      <c r="U2457" s="34">
        <f t="shared" si="280"/>
        <v>0.31645569620253167</v>
      </c>
      <c r="V2457" s="31" t="str">
        <f>IF(H2457="CHK",VLOOKUP(I2457,QCCHK,3,),IF(H2457="GUP",VLOOKUP(E2457,QCGUP,2,),IF(AND(H2457="ATP",OR(I2457="TN",I2457="TDN",I2457="TNO2-3",I2457="NO2-3")),VLOOKUP(E2457,QCREC_N,2,),IF(AND(H2457="NIC",OR(I2457="TN",I2457="TDN",I2457="TNO2-3",I2457="NO2-3")),VLOOKUP(E2457,QCNIC_N,2,),IF(AND(H2457="UREA",OR(I2457="TN",I2457="TDN",I2457="TNO2-3",I2457="NO2-3")),VLOOKUP(E2457,QCUREA_N,2,),IF(H2457="PER",VLOOKUP(I2457,QCPER,MATCH(E2457,QCACTUAL!$J$25:$AA$25,0),),IF(H2457="SPK",VLOOKUP(I2457,QCSPK,3,),IF(AND(H2457="ATP",OR(I2457="TP",I2457="TDP")),VLOOKUP(E2457,QCATP_P,2,),""))))))))</f>
        <v/>
      </c>
      <c r="W2457" s="31" t="str">
        <f t="shared" si="281"/>
        <v>TRUE</v>
      </c>
      <c r="X2457" s="31" t="str">
        <f t="shared" si="276"/>
        <v>((ABS(rep1-rep2))/((rep1+rep2)/2)*100</v>
      </c>
      <c r="Y2457" s="10" t="s">
        <v>1144</v>
      </c>
      <c r="AL2457" s="10" t="str">
        <f t="shared" si="278"/>
        <v>FALSE</v>
      </c>
      <c r="AM2457" s="10" t="str">
        <f t="shared" si="278"/>
        <v>FALSE</v>
      </c>
      <c r="AN2457" s="10" t="str">
        <f t="shared" si="278"/>
        <v>FALSE</v>
      </c>
      <c r="AO2457" s="10" t="str">
        <f t="shared" si="279"/>
        <v>FALSE</v>
      </c>
      <c r="AP2457" s="10" t="str">
        <f t="shared" si="279"/>
        <v>FALSE</v>
      </c>
      <c r="AQ2457" s="10" t="b">
        <f>IF(AND(I2457="TP",S2457&lt;=150),VLOOKUP(AF2457,TPCalibEq150!$AZ$2:$BB$55,3,),IF(AND(I2457="TDP",S2457&lt;=150),VLOOKUP(AF2457,TPCalibEq150!$AZ$2:$BB$55,3,)))</f>
        <v>0</v>
      </c>
      <c r="AR2457" s="10" t="b">
        <f>IF(AND(I2457="TP",S2457&lt;=300),VLOOKUP(AF2457,TPCalibEq300!$AZ$2:$BB$55,3,),IF(AND(I2457="TDP",S2457&lt;=300),VLOOKUP(AF2457,TPCalibEq300!$AZ$2:$BB$55,3,)))</f>
        <v>0</v>
      </c>
      <c r="AS2457" s="10" t="b">
        <f>IF(AND(I2457="TP",S2457&lt;=500),VLOOKUP(AF2457,TPCalibEq500!$AZ$2:$BB$56,3,),IF(AND(I2457="TDP",S2457&lt;=500),VLOOKUP(AF2457,TPCalibEq500!$AZ$2:$BB$56,3,)))</f>
        <v>0</v>
      </c>
      <c r="AT2457" s="10" t="b">
        <f>IF(AND(I2457="TN",S2457&lt;=2800),VLOOKUP(AF2457,TNCalibEq2500!$AZ$2:$BB$56,3,),IF(AND(I2457="TDN",S2457&lt;=2800),VLOOKUP(AF2457,TNCalibEq2500!$AZ$2:$BB$56,3,)))</f>
        <v>0</v>
      </c>
      <c r="AU2457" s="10" t="b">
        <f>IF(I2457="TP",VLOOKUP(AF2457,TPCalibEqFull!$AZ$2:$BB$56,3),IF(I2457="TDP",VLOOKUP(AF2457,TPCalibEqFull!$AZ$2:$BB$56,3),IF(I2457="TDN",VLOOKUP(AF2457,TNCalibEqFull!$AZ$1:$BB$56,3),IF(I2457="TN",VLOOKUP(AF2457,TNCalibEqFull!$AZ$1:$BB$56,3),FALSE))))</f>
        <v>0</v>
      </c>
      <c r="AV2457" s="10" t="str">
        <f t="shared" si="282"/>
        <v>0208 10:20:00-BUO-46-C-1-SW-DUP</v>
      </c>
    </row>
    <row r="2458" spans="1:48" s="10" customFormat="1" x14ac:dyDescent="0.55000000000000004">
      <c r="A2458" s="32">
        <v>44965</v>
      </c>
      <c r="B2458" s="33">
        <v>0.43055555555555558</v>
      </c>
      <c r="C2458" s="10" t="s">
        <v>611</v>
      </c>
      <c r="D2458" s="10">
        <v>46</v>
      </c>
      <c r="E2458" s="10" t="s">
        <v>190</v>
      </c>
      <c r="F2458" s="10">
        <v>1</v>
      </c>
      <c r="G2458" s="10" t="s">
        <v>231</v>
      </c>
      <c r="H2458" s="10" t="s">
        <v>314</v>
      </c>
      <c r="I2458" s="10" t="s">
        <v>256</v>
      </c>
      <c r="J2458" s="10">
        <v>125</v>
      </c>
      <c r="K2458" s="12">
        <v>44966</v>
      </c>
      <c r="L2458" s="33">
        <v>0.53657407407407409</v>
      </c>
      <c r="M2458" s="10">
        <v>1</v>
      </c>
      <c r="N2458" s="10" t="s">
        <v>169</v>
      </c>
      <c r="O2458" s="10">
        <v>9.94</v>
      </c>
      <c r="P2458" s="10">
        <v>0.46200000000000002</v>
      </c>
      <c r="Q2458" s="10">
        <v>1230</v>
      </c>
      <c r="R2458" s="10" t="s">
        <v>77</v>
      </c>
      <c r="S2458" s="34">
        <f t="shared" si="277"/>
        <v>1230</v>
      </c>
      <c r="T2458" s="10" t="s">
        <v>1176</v>
      </c>
      <c r="U2458" s="34">
        <f t="shared" si="280"/>
        <v>95.84</v>
      </c>
      <c r="V2458" s="31">
        <f>IF(H2458="CHK",VLOOKUP(I2458,QCCHK,3,),IF(H2458="GUP",VLOOKUP(E2458,QCGUP,2,),IF(AND(H2458="ATP",OR(I2458="TN",I2458="TDN",I2458="TNO2-3",I2458="NO2-3")),VLOOKUP(E2458,QCREC_N,2,),IF(AND(H2458="NIC",OR(I2458="TN",I2458="TDN",I2458="TNO2-3",I2458="NO2-3")),VLOOKUP(E2458,QCNIC_N,2,),IF(AND(H2458="UREA",OR(I2458="TN",I2458="TDN",I2458="TNO2-3",I2458="NO2-3")),VLOOKUP(E2458,QCUREA_N,2,),IF(H2458="PER",VLOOKUP(I2458,QCPER,MATCH(E2458,QCACTUAL!$J$25:$AA$25,0),),IF(H2458="SPK",VLOOKUP(I2458,QCSPK,3,),IF(AND(H2458="ATP",OR(I2458="TP",I2458="TDP")),VLOOKUP(E2458,QCATP_P,2,),""))))))))</f>
        <v>625</v>
      </c>
      <c r="W2458" s="31" t="str">
        <f t="shared" si="281"/>
        <v>TRUE</v>
      </c>
      <c r="X2458" s="31" t="str">
        <f t="shared" si="276"/>
        <v>([spikedunkn]-[unkn])/[spike]*100</v>
      </c>
      <c r="Y2458" s="10" t="s">
        <v>1144</v>
      </c>
      <c r="AL2458" s="10" t="str">
        <f t="shared" si="278"/>
        <v>FALSE</v>
      </c>
      <c r="AM2458" s="10" t="str">
        <f t="shared" si="278"/>
        <v>FALSE</v>
      </c>
      <c r="AN2458" s="10" t="str">
        <f t="shared" si="278"/>
        <v>FALSE</v>
      </c>
      <c r="AO2458" s="10" t="str">
        <f t="shared" si="279"/>
        <v>FALSE</v>
      </c>
      <c r="AP2458" s="10" t="str">
        <f t="shared" si="279"/>
        <v>FALSE</v>
      </c>
      <c r="AQ2458" s="10" t="b">
        <f>IF(AND(I2458="TP",S2458&lt;=150),VLOOKUP(AF2458,TPCalibEq150!$AZ$2:$BB$55,3,),IF(AND(I2458="TDP",S2458&lt;=150),VLOOKUP(AF2458,TPCalibEq150!$AZ$2:$BB$55,3,)))</f>
        <v>0</v>
      </c>
      <c r="AR2458" s="10" t="b">
        <f>IF(AND(I2458="TP",S2458&lt;=300),VLOOKUP(AF2458,TPCalibEq300!$AZ$2:$BB$55,3,),IF(AND(I2458="TDP",S2458&lt;=300),VLOOKUP(AF2458,TPCalibEq300!$AZ$2:$BB$55,3,)))</f>
        <v>0</v>
      </c>
      <c r="AS2458" s="10" t="b">
        <f>IF(AND(I2458="TP",S2458&lt;=500),VLOOKUP(AF2458,TPCalibEq500!$AZ$2:$BB$56,3,),IF(AND(I2458="TDP",S2458&lt;=500),VLOOKUP(AF2458,TPCalibEq500!$AZ$2:$BB$56,3,)))</f>
        <v>0</v>
      </c>
      <c r="AT2458" s="10" t="b">
        <f>IF(AND(I2458="TN",S2458&lt;=2800),VLOOKUP(AF2458,TNCalibEq2500!$AZ$2:$BB$56,3,),IF(AND(I2458="TDN",S2458&lt;=2800),VLOOKUP(AF2458,TNCalibEq2500!$AZ$2:$BB$56,3,)))</f>
        <v>0</v>
      </c>
      <c r="AU2458" s="10" t="b">
        <f>IF(I2458="TP",VLOOKUP(AF2458,TPCalibEqFull!$AZ$2:$BB$56,3),IF(I2458="TDP",VLOOKUP(AF2458,TPCalibEqFull!$AZ$2:$BB$56,3),IF(I2458="TDN",VLOOKUP(AF2458,TNCalibEqFull!$AZ$1:$BB$56,3),IF(I2458="TN",VLOOKUP(AF2458,TNCalibEqFull!$AZ$1:$BB$56,3),FALSE))))</f>
        <v>0</v>
      </c>
      <c r="AV2458" s="10" t="str">
        <f t="shared" si="282"/>
        <v>0208 10:20:00-BUO-46-C-1-SW-SPK</v>
      </c>
    </row>
    <row r="2459" spans="1:48" s="10" customFormat="1" x14ac:dyDescent="0.55000000000000004">
      <c r="A2459" s="32">
        <v>44966</v>
      </c>
      <c r="B2459" s="33">
        <v>0.375</v>
      </c>
      <c r="C2459" s="10" t="s">
        <v>70</v>
      </c>
      <c r="D2459" s="10" t="s">
        <v>71</v>
      </c>
      <c r="E2459" s="10" t="s">
        <v>901</v>
      </c>
      <c r="F2459" s="10">
        <v>1</v>
      </c>
      <c r="G2459" s="10" t="s">
        <v>73</v>
      </c>
      <c r="H2459" s="10" t="s">
        <v>207</v>
      </c>
      <c r="I2459" s="10" t="s">
        <v>256</v>
      </c>
      <c r="J2459" s="10">
        <v>201</v>
      </c>
      <c r="K2459" s="12">
        <v>44966</v>
      </c>
      <c r="L2459" s="33">
        <v>0.53739583333333341</v>
      </c>
      <c r="M2459" s="10">
        <v>1</v>
      </c>
      <c r="N2459" s="10" t="s">
        <v>169</v>
      </c>
      <c r="O2459" s="10">
        <v>2.2200000000000002</v>
      </c>
      <c r="P2459" s="10">
        <v>0.105</v>
      </c>
      <c r="Q2459" s="10">
        <v>274</v>
      </c>
      <c r="R2459" s="10" t="s">
        <v>77</v>
      </c>
      <c r="S2459" s="34">
        <f t="shared" si="277"/>
        <v>274</v>
      </c>
      <c r="T2459" s="10" t="s">
        <v>1176</v>
      </c>
      <c r="U2459" s="34">
        <f t="shared" si="280"/>
        <v>91.333333333333329</v>
      </c>
      <c r="V2459" s="31">
        <f>IF(H2459="CHK",VLOOKUP(I2459,QCCHK,3,),IF(H2459="GUP",VLOOKUP(E2459,QCGUP,2,),IF(AND(H2459="ATP",OR(I2459="TN",I2459="TDN",I2459="TNO2-3",I2459="NO2-3")),VLOOKUP(E2459,QCREC_N,2,),IF(AND(H2459="NIC",OR(I2459="TN",I2459="TDN",I2459="TNO2-3",I2459="NO2-3")),VLOOKUP(E2459,QCNIC_N,2,),IF(AND(H2459="UREA",OR(I2459="TN",I2459="TDN",I2459="TNO2-3",I2459="NO2-3")),VLOOKUP(E2459,QCUREA_N,2,),IF(H2459="PER",VLOOKUP(I2459,QCPER,MATCH(E2459,QCACTUAL!$J$25:$AA$25,0),),IF(H2459="SPK",VLOOKUP(I2459,QCSPK,3,),IF(AND(H2459="ATP",OR(I2459="TP",I2459="TDP")),VLOOKUP(E2459,QCATP_P,2,),""))))))))</f>
        <v>300</v>
      </c>
      <c r="W2459" s="31" t="str">
        <f t="shared" si="281"/>
        <v>TRUE</v>
      </c>
      <c r="X2459" s="31" t="str">
        <f t="shared" si="276"/>
        <v>[chk]/[actual]*100</v>
      </c>
      <c r="Y2459" s="10" t="s">
        <v>1144</v>
      </c>
      <c r="AL2459" s="10" t="str">
        <f t="shared" si="278"/>
        <v>FALSE</v>
      </c>
      <c r="AM2459" s="10" t="str">
        <f t="shared" si="278"/>
        <v>FALSE</v>
      </c>
      <c r="AN2459" s="10" t="str">
        <f t="shared" si="278"/>
        <v>FALSE</v>
      </c>
      <c r="AO2459" s="10" t="str">
        <f t="shared" si="279"/>
        <v>FALSE</v>
      </c>
      <c r="AP2459" s="10" t="str">
        <f t="shared" si="279"/>
        <v>FALSE</v>
      </c>
      <c r="AQ2459" s="10" t="b">
        <f>IF(AND(I2459="TP",S2459&lt;=150),VLOOKUP(AF2459,TPCalibEq150!$AZ$2:$BB$55,3,),IF(AND(I2459="TDP",S2459&lt;=150),VLOOKUP(AF2459,TPCalibEq150!$AZ$2:$BB$55,3,)))</f>
        <v>0</v>
      </c>
      <c r="AR2459" s="10" t="b">
        <f>IF(AND(I2459="TP",S2459&lt;=300),VLOOKUP(AF2459,TPCalibEq300!$AZ$2:$BB$55,3,),IF(AND(I2459="TDP",S2459&lt;=300),VLOOKUP(AF2459,TPCalibEq300!$AZ$2:$BB$55,3,)))</f>
        <v>0</v>
      </c>
      <c r="AS2459" s="10" t="b">
        <f>IF(AND(I2459="TP",S2459&lt;=500),VLOOKUP(AF2459,TPCalibEq500!$AZ$2:$BB$56,3,),IF(AND(I2459="TDP",S2459&lt;=500),VLOOKUP(AF2459,TPCalibEq500!$AZ$2:$BB$56,3,)))</f>
        <v>0</v>
      </c>
      <c r="AT2459" s="10" t="b">
        <f>IF(AND(I2459="TN",S2459&lt;=2800),VLOOKUP(AF2459,TNCalibEq2500!$AZ$2:$BB$56,3,),IF(AND(I2459="TDN",S2459&lt;=2800),VLOOKUP(AF2459,TNCalibEq2500!$AZ$2:$BB$56,3,)))</f>
        <v>0</v>
      </c>
      <c r="AU2459" s="10" t="b">
        <f>IF(I2459="TP",VLOOKUP(AF2459,TPCalibEqFull!$AZ$2:$BB$56,3),IF(I2459="TDP",VLOOKUP(AF2459,TPCalibEqFull!$AZ$2:$BB$56,3),IF(I2459="TDN",VLOOKUP(AF2459,TNCalibEqFull!$AZ$1:$BB$56,3),IF(I2459="TN",VLOOKUP(AF2459,TNCalibEqFull!$AZ$1:$BB$56,3),FALSE))))</f>
        <v>0</v>
      </c>
      <c r="AV2459" s="10" t="str">
        <f t="shared" si="282"/>
        <v>0209 09:00:00-QAC-STD-D-1-DI-CHK</v>
      </c>
    </row>
    <row r="2460" spans="1:48" s="10" customFormat="1" x14ac:dyDescent="0.55000000000000004">
      <c r="A2460" s="32">
        <v>44958</v>
      </c>
      <c r="B2460" s="33">
        <v>0.50138888888888888</v>
      </c>
      <c r="C2460" s="10" t="s">
        <v>279</v>
      </c>
      <c r="D2460" s="10">
        <v>0</v>
      </c>
      <c r="E2460" s="10" t="s">
        <v>911</v>
      </c>
      <c r="F2460" s="10">
        <v>1</v>
      </c>
      <c r="G2460" s="10" t="s">
        <v>231</v>
      </c>
      <c r="H2460" s="10" t="s">
        <v>322</v>
      </c>
      <c r="I2460" s="10" t="s">
        <v>209</v>
      </c>
      <c r="J2460" s="10">
        <v>60</v>
      </c>
      <c r="K2460" s="12">
        <v>44966</v>
      </c>
      <c r="L2460" s="33">
        <v>0.53820601851851857</v>
      </c>
      <c r="M2460" s="10">
        <v>1</v>
      </c>
      <c r="N2460" s="10" t="s">
        <v>169</v>
      </c>
      <c r="O2460" s="10">
        <v>9.4499999999999993</v>
      </c>
      <c r="P2460" s="10">
        <v>0.438</v>
      </c>
      <c r="Q2460" s="10">
        <v>1170</v>
      </c>
      <c r="R2460" s="10" t="s">
        <v>77</v>
      </c>
      <c r="S2460" s="34">
        <f t="shared" si="277"/>
        <v>1170</v>
      </c>
      <c r="T2460" s="10" t="s">
        <v>1176</v>
      </c>
      <c r="U2460" s="34" t="str">
        <f t="shared" si="280"/>
        <v/>
      </c>
      <c r="V2460" s="31" t="str">
        <f>IF(H2460="CHK",VLOOKUP(I2460,QCCHK,3,),IF(H2460="GUP",VLOOKUP(E2460,QCGUP,2,),IF(AND(H2460="ATP",OR(I2460="TN",I2460="TDN",I2460="TNO2-3",I2460="NO2-3")),VLOOKUP(E2460,QCREC_N,2,),IF(AND(H2460="NIC",OR(I2460="TN",I2460="TDN",I2460="TNO2-3",I2460="NO2-3")),VLOOKUP(E2460,QCNIC_N,2,),IF(AND(H2460="UREA",OR(I2460="TN",I2460="TDN",I2460="TNO2-3",I2460="NO2-3")),VLOOKUP(E2460,QCUREA_N,2,),IF(H2460="PER",VLOOKUP(I2460,QCPER,MATCH(E2460,QCACTUAL!$J$25:$AA$25,0),),IF(H2460="SPK",VLOOKUP(I2460,QCSPK,3,),IF(AND(H2460="ATP",OR(I2460="TP",I2460="TDP")),VLOOKUP(E2460,QCATP_P,2,),""))))))))</f>
        <v/>
      </c>
      <c r="W2460" s="31" t="str">
        <f t="shared" si="281"/>
        <v>TRUE</v>
      </c>
      <c r="X2460" s="31" t="str">
        <f t="shared" si="276"/>
        <v/>
      </c>
      <c r="Y2460" s="10" t="s">
        <v>1144</v>
      </c>
      <c r="Z2460" s="10" t="s">
        <v>910</v>
      </c>
      <c r="AL2460" s="10" t="str">
        <f t="shared" si="278"/>
        <v>FALSE</v>
      </c>
      <c r="AM2460" s="10" t="str">
        <f t="shared" si="278"/>
        <v>FALSE</v>
      </c>
      <c r="AN2460" s="10" t="str">
        <f t="shared" si="278"/>
        <v>FALSE</v>
      </c>
      <c r="AO2460" s="10" t="str">
        <f t="shared" si="279"/>
        <v>FALSE</v>
      </c>
      <c r="AP2460" s="10" t="str">
        <f t="shared" si="279"/>
        <v>FALSE</v>
      </c>
      <c r="AQ2460" s="10" t="b">
        <f>IF(AND(I2460="TP",S2460&lt;=150),VLOOKUP(AF2460,TPCalibEq150!$AZ$2:$BB$55,3,),IF(AND(I2460="TDP",S2460&lt;=150),VLOOKUP(AF2460,TPCalibEq150!$AZ$2:$BB$55,3,)))</f>
        <v>0</v>
      </c>
      <c r="AR2460" s="10" t="b">
        <f>IF(AND(I2460="TP",S2460&lt;=300),VLOOKUP(AF2460,TPCalibEq300!$AZ$2:$BB$55,3,),IF(AND(I2460="TDP",S2460&lt;=300),VLOOKUP(AF2460,TPCalibEq300!$AZ$2:$BB$55,3,)))</f>
        <v>0</v>
      </c>
      <c r="AS2460" s="10" t="b">
        <f>IF(AND(I2460="TP",S2460&lt;=500),VLOOKUP(AF2460,TPCalibEq500!$AZ$2:$BB$56,3,),IF(AND(I2460="TDP",S2460&lt;=500),VLOOKUP(AF2460,TPCalibEq500!$AZ$2:$BB$56,3,)))</f>
        <v>0</v>
      </c>
      <c r="AT2460" s="10" t="b">
        <f>IF(AND(I2460="TN",S2460&lt;=2800),VLOOKUP(AF2460,TNCalibEq2500!$AZ$2:$BB$56,3,),IF(AND(I2460="TDN",S2460&lt;=2800),VLOOKUP(AF2460,TNCalibEq2500!$AZ$2:$BB$56,3,)))</f>
        <v>0</v>
      </c>
      <c r="AU2460" s="10" t="b">
        <f>IF(I2460="TP",VLOOKUP(AF2460,TPCalibEqFull!$AZ$2:$BB$56,3),IF(I2460="TDP",VLOOKUP(AF2460,TPCalibEqFull!$AZ$2:$BB$56,3),IF(I2460="TDN",VLOOKUP(AF2460,TNCalibEqFull!$AZ$1:$BB$56,3),IF(I2460="TN",VLOOKUP(AF2460,TNCalibEqFull!$AZ$1:$BB$56,3),FALSE))))</f>
        <v>0</v>
      </c>
      <c r="AV2460" s="10" t="str">
        <f t="shared" si="282"/>
        <v>0201 12:02:00-EFK-0-FIL-1-SW-UKN</v>
      </c>
    </row>
    <row r="2461" spans="1:48" s="10" customFormat="1" x14ac:dyDescent="0.55000000000000004">
      <c r="A2461" s="32">
        <v>44958</v>
      </c>
      <c r="B2461" s="33">
        <v>0.50347222222222221</v>
      </c>
      <c r="C2461" s="10" t="s">
        <v>333</v>
      </c>
      <c r="D2461" s="10">
        <v>0</v>
      </c>
      <c r="E2461" s="10" t="s">
        <v>911</v>
      </c>
      <c r="F2461" s="10">
        <v>1</v>
      </c>
      <c r="G2461" s="10" t="s">
        <v>231</v>
      </c>
      <c r="H2461" s="10" t="s">
        <v>322</v>
      </c>
      <c r="I2461" s="10" t="s">
        <v>209</v>
      </c>
      <c r="J2461" s="10">
        <v>61</v>
      </c>
      <c r="K2461" s="12">
        <v>44966</v>
      </c>
      <c r="L2461" s="33">
        <v>0.53903935185185181</v>
      </c>
      <c r="M2461" s="10">
        <v>1</v>
      </c>
      <c r="N2461" s="10" t="s">
        <v>169</v>
      </c>
      <c r="O2461" s="10">
        <v>9.8000000000000007</v>
      </c>
      <c r="P2461" s="10">
        <v>0.45200000000000001</v>
      </c>
      <c r="Q2461" s="10">
        <v>1210</v>
      </c>
      <c r="R2461" s="10" t="s">
        <v>77</v>
      </c>
      <c r="S2461" s="34">
        <f t="shared" si="277"/>
        <v>1210</v>
      </c>
      <c r="T2461" s="10" t="s">
        <v>1176</v>
      </c>
      <c r="U2461" s="34" t="str">
        <f t="shared" si="280"/>
        <v/>
      </c>
      <c r="V2461" s="31" t="str">
        <f>IF(H2461="CHK",VLOOKUP(I2461,QCCHK,3,),IF(H2461="GUP",VLOOKUP(E2461,QCGUP,2,),IF(AND(H2461="ATP",OR(I2461="TN",I2461="TDN",I2461="TNO2-3",I2461="NO2-3")),VLOOKUP(E2461,QCREC_N,2,),IF(AND(H2461="NIC",OR(I2461="TN",I2461="TDN",I2461="TNO2-3",I2461="NO2-3")),VLOOKUP(E2461,QCNIC_N,2,),IF(AND(H2461="UREA",OR(I2461="TN",I2461="TDN",I2461="TNO2-3",I2461="NO2-3")),VLOOKUP(E2461,QCUREA_N,2,),IF(H2461="PER",VLOOKUP(I2461,QCPER,MATCH(E2461,QCACTUAL!$J$25:$AA$25,0),),IF(H2461="SPK",VLOOKUP(I2461,QCSPK,3,),IF(AND(H2461="ATP",OR(I2461="TP",I2461="TDP")),VLOOKUP(E2461,QCATP_P,2,),""))))))))</f>
        <v/>
      </c>
      <c r="W2461" s="31" t="str">
        <f t="shared" si="281"/>
        <v>TRUE</v>
      </c>
      <c r="X2461" s="31" t="str">
        <f t="shared" si="276"/>
        <v/>
      </c>
      <c r="Y2461" s="10" t="s">
        <v>1144</v>
      </c>
      <c r="Z2461" s="10" t="s">
        <v>910</v>
      </c>
      <c r="AL2461" s="10" t="str">
        <f t="shared" si="278"/>
        <v>FALSE</v>
      </c>
      <c r="AM2461" s="10" t="str">
        <f t="shared" si="278"/>
        <v>FALSE</v>
      </c>
      <c r="AN2461" s="10" t="str">
        <f t="shared" si="278"/>
        <v>FALSE</v>
      </c>
      <c r="AO2461" s="10" t="str">
        <f t="shared" si="279"/>
        <v>FALSE</v>
      </c>
      <c r="AP2461" s="10" t="str">
        <f t="shared" si="279"/>
        <v>FALSE</v>
      </c>
      <c r="AQ2461" s="10" t="b">
        <f>IF(AND(I2461="TP",S2461&lt;=150),VLOOKUP(AF2461,TPCalibEq150!$AZ$2:$BB$55,3,),IF(AND(I2461="TDP",S2461&lt;=150),VLOOKUP(AF2461,TPCalibEq150!$AZ$2:$BB$55,3,)))</f>
        <v>0</v>
      </c>
      <c r="AR2461" s="10" t="b">
        <f>IF(AND(I2461="TP",S2461&lt;=300),VLOOKUP(AF2461,TPCalibEq300!$AZ$2:$BB$55,3,),IF(AND(I2461="TDP",S2461&lt;=300),VLOOKUP(AF2461,TPCalibEq300!$AZ$2:$BB$55,3,)))</f>
        <v>0</v>
      </c>
      <c r="AS2461" s="10" t="b">
        <f>IF(AND(I2461="TP",S2461&lt;=500),VLOOKUP(AF2461,TPCalibEq500!$AZ$2:$BB$56,3,),IF(AND(I2461="TDP",S2461&lt;=500),VLOOKUP(AF2461,TPCalibEq500!$AZ$2:$BB$56,3,)))</f>
        <v>0</v>
      </c>
      <c r="AT2461" s="10" t="b">
        <f>IF(AND(I2461="TN",S2461&lt;=2800),VLOOKUP(AF2461,TNCalibEq2500!$AZ$2:$BB$56,3,),IF(AND(I2461="TDN",S2461&lt;=2800),VLOOKUP(AF2461,TNCalibEq2500!$AZ$2:$BB$56,3,)))</f>
        <v>0</v>
      </c>
      <c r="AU2461" s="10" t="b">
        <f>IF(I2461="TP",VLOOKUP(AF2461,TPCalibEqFull!$AZ$2:$BB$56,3),IF(I2461="TDP",VLOOKUP(AF2461,TPCalibEqFull!$AZ$2:$BB$56,3),IF(I2461="TDN",VLOOKUP(AF2461,TNCalibEqFull!$AZ$1:$BB$56,3),IF(I2461="TN",VLOOKUP(AF2461,TNCalibEqFull!$AZ$1:$BB$56,3),FALSE))))</f>
        <v>0</v>
      </c>
      <c r="AV2461" s="10" t="str">
        <f t="shared" si="282"/>
        <v>0201 12:05:00-HST-0-FIL-1-SW-UKN</v>
      </c>
    </row>
    <row r="2462" spans="1:48" s="10" customFormat="1" x14ac:dyDescent="0.55000000000000004">
      <c r="A2462" s="32">
        <v>44959</v>
      </c>
      <c r="B2462" s="33">
        <v>0.58194444444444449</v>
      </c>
      <c r="C2462" s="10" t="s">
        <v>279</v>
      </c>
      <c r="D2462" s="10">
        <v>0</v>
      </c>
      <c r="E2462" s="10" t="s">
        <v>911</v>
      </c>
      <c r="F2462" s="10">
        <v>1</v>
      </c>
      <c r="G2462" s="10" t="s">
        <v>231</v>
      </c>
      <c r="H2462" s="10" t="s">
        <v>322</v>
      </c>
      <c r="I2462" s="10" t="s">
        <v>209</v>
      </c>
      <c r="J2462" s="10">
        <v>62</v>
      </c>
      <c r="K2462" s="12">
        <v>44966</v>
      </c>
      <c r="L2462" s="33">
        <v>0.53986111111111112</v>
      </c>
      <c r="M2462" s="10">
        <v>1</v>
      </c>
      <c r="N2462" s="10" t="s">
        <v>169</v>
      </c>
      <c r="O2462" s="10">
        <v>12.3</v>
      </c>
      <c r="P2462" s="10">
        <v>0.56999999999999995</v>
      </c>
      <c r="Q2462" s="10">
        <v>1520</v>
      </c>
      <c r="R2462" s="10" t="s">
        <v>77</v>
      </c>
      <c r="S2462" s="34">
        <f t="shared" si="277"/>
        <v>1520</v>
      </c>
      <c r="T2462" s="10" t="s">
        <v>1176</v>
      </c>
      <c r="U2462" s="34" t="str">
        <f t="shared" si="280"/>
        <v/>
      </c>
      <c r="V2462" s="31" t="str">
        <f>IF(H2462="CHK",VLOOKUP(I2462,QCCHK,3,),IF(H2462="GUP",VLOOKUP(E2462,QCGUP,2,),IF(AND(H2462="ATP",OR(I2462="TN",I2462="TDN",I2462="TNO2-3",I2462="NO2-3")),VLOOKUP(E2462,QCREC_N,2,),IF(AND(H2462="NIC",OR(I2462="TN",I2462="TDN",I2462="TNO2-3",I2462="NO2-3")),VLOOKUP(E2462,QCNIC_N,2,),IF(AND(H2462="UREA",OR(I2462="TN",I2462="TDN",I2462="TNO2-3",I2462="NO2-3")),VLOOKUP(E2462,QCUREA_N,2,),IF(H2462="PER",VLOOKUP(I2462,QCPER,MATCH(E2462,QCACTUAL!$J$25:$AA$25,0),),IF(H2462="SPK",VLOOKUP(I2462,QCSPK,3,),IF(AND(H2462="ATP",OR(I2462="TP",I2462="TDP")),VLOOKUP(E2462,QCATP_P,2,),""))))))))</f>
        <v/>
      </c>
      <c r="W2462" s="31" t="str">
        <f t="shared" si="281"/>
        <v>TRUE</v>
      </c>
      <c r="X2462" s="31" t="str">
        <f t="shared" si="276"/>
        <v/>
      </c>
      <c r="Y2462" s="10" t="s">
        <v>1144</v>
      </c>
      <c r="Z2462" s="10" t="s">
        <v>910</v>
      </c>
      <c r="AL2462" s="10" t="str">
        <f t="shared" si="278"/>
        <v>FALSE</v>
      </c>
      <c r="AM2462" s="10" t="str">
        <f t="shared" si="278"/>
        <v>FALSE</v>
      </c>
      <c r="AN2462" s="10" t="str">
        <f t="shared" si="278"/>
        <v>FALSE</v>
      </c>
      <c r="AO2462" s="10" t="str">
        <f t="shared" si="279"/>
        <v>FALSE</v>
      </c>
      <c r="AP2462" s="10" t="str">
        <f t="shared" si="279"/>
        <v>FALSE</v>
      </c>
      <c r="AQ2462" s="10" t="b">
        <f>IF(AND(I2462="TP",S2462&lt;=150),VLOOKUP(AF2462,TPCalibEq150!$AZ$2:$BB$55,3,),IF(AND(I2462="TDP",S2462&lt;=150),VLOOKUP(AF2462,TPCalibEq150!$AZ$2:$BB$55,3,)))</f>
        <v>0</v>
      </c>
      <c r="AR2462" s="10" t="b">
        <f>IF(AND(I2462="TP",S2462&lt;=300),VLOOKUP(AF2462,TPCalibEq300!$AZ$2:$BB$55,3,),IF(AND(I2462="TDP",S2462&lt;=300),VLOOKUP(AF2462,TPCalibEq300!$AZ$2:$BB$55,3,)))</f>
        <v>0</v>
      </c>
      <c r="AS2462" s="10" t="b">
        <f>IF(AND(I2462="TP",S2462&lt;=500),VLOOKUP(AF2462,TPCalibEq500!$AZ$2:$BB$56,3,),IF(AND(I2462="TDP",S2462&lt;=500),VLOOKUP(AF2462,TPCalibEq500!$AZ$2:$BB$56,3,)))</f>
        <v>0</v>
      </c>
      <c r="AT2462" s="10" t="b">
        <f>IF(AND(I2462="TN",S2462&lt;=2800),VLOOKUP(AF2462,TNCalibEq2500!$AZ$2:$BB$56,3,),IF(AND(I2462="TDN",S2462&lt;=2800),VLOOKUP(AF2462,TNCalibEq2500!$AZ$2:$BB$56,3,)))</f>
        <v>0</v>
      </c>
      <c r="AU2462" s="10" t="b">
        <f>IF(I2462="TP",VLOOKUP(AF2462,TPCalibEqFull!$AZ$2:$BB$56,3),IF(I2462="TDP",VLOOKUP(AF2462,TPCalibEqFull!$AZ$2:$BB$56,3),IF(I2462="TDN",VLOOKUP(AF2462,TNCalibEqFull!$AZ$1:$BB$56,3),IF(I2462="TN",VLOOKUP(AF2462,TNCalibEqFull!$AZ$1:$BB$56,3),FALSE))))</f>
        <v>0</v>
      </c>
      <c r="AV2462" s="10" t="str">
        <f t="shared" si="282"/>
        <v>0202 13:58:00-EFK-0-FIL-1-SW-UKN</v>
      </c>
    </row>
    <row r="2463" spans="1:48" s="10" customFormat="1" x14ac:dyDescent="0.55000000000000004">
      <c r="A2463" s="32">
        <v>44959</v>
      </c>
      <c r="B2463" s="33">
        <v>0.56944444444444442</v>
      </c>
      <c r="C2463" s="10" t="s">
        <v>333</v>
      </c>
      <c r="D2463" s="10">
        <v>0</v>
      </c>
      <c r="E2463" s="10" t="s">
        <v>911</v>
      </c>
      <c r="F2463" s="10">
        <v>1</v>
      </c>
      <c r="G2463" s="10" t="s">
        <v>231</v>
      </c>
      <c r="H2463" s="10" t="s">
        <v>322</v>
      </c>
      <c r="I2463" s="10" t="s">
        <v>209</v>
      </c>
      <c r="J2463" s="10">
        <v>63</v>
      </c>
      <c r="K2463" s="12">
        <v>44966</v>
      </c>
      <c r="L2463" s="33">
        <v>0.54068287037037044</v>
      </c>
      <c r="M2463" s="10">
        <v>1</v>
      </c>
      <c r="N2463" s="10" t="s">
        <v>169</v>
      </c>
      <c r="O2463" s="10">
        <v>13.1</v>
      </c>
      <c r="P2463" s="10">
        <v>0.60299999999999998</v>
      </c>
      <c r="Q2463" s="10">
        <v>1620</v>
      </c>
      <c r="R2463" s="10" t="s">
        <v>77</v>
      </c>
      <c r="S2463" s="34">
        <f t="shared" si="277"/>
        <v>1620</v>
      </c>
      <c r="T2463" s="10" t="s">
        <v>1176</v>
      </c>
      <c r="U2463" s="34" t="str">
        <f t="shared" si="280"/>
        <v/>
      </c>
      <c r="V2463" s="31" t="str">
        <f>IF(H2463="CHK",VLOOKUP(I2463,QCCHK,3,),IF(H2463="GUP",VLOOKUP(E2463,QCGUP,2,),IF(AND(H2463="ATP",OR(I2463="TN",I2463="TDN",I2463="TNO2-3",I2463="NO2-3")),VLOOKUP(E2463,QCREC_N,2,),IF(AND(H2463="NIC",OR(I2463="TN",I2463="TDN",I2463="TNO2-3",I2463="NO2-3")),VLOOKUP(E2463,QCNIC_N,2,),IF(AND(H2463="UREA",OR(I2463="TN",I2463="TDN",I2463="TNO2-3",I2463="NO2-3")),VLOOKUP(E2463,QCUREA_N,2,),IF(H2463="PER",VLOOKUP(I2463,QCPER,MATCH(E2463,QCACTUAL!$J$25:$AA$25,0),),IF(H2463="SPK",VLOOKUP(I2463,QCSPK,3,),IF(AND(H2463="ATP",OR(I2463="TP",I2463="TDP")),VLOOKUP(E2463,QCATP_P,2,),""))))))))</f>
        <v/>
      </c>
      <c r="W2463" s="31" t="str">
        <f t="shared" si="281"/>
        <v>TRUE</v>
      </c>
      <c r="X2463" s="31" t="str">
        <f t="shared" si="276"/>
        <v/>
      </c>
      <c r="Y2463" s="10" t="s">
        <v>1144</v>
      </c>
      <c r="Z2463" s="10" t="s">
        <v>910</v>
      </c>
      <c r="AL2463" s="10" t="str">
        <f t="shared" si="278"/>
        <v>FALSE</v>
      </c>
      <c r="AM2463" s="10" t="str">
        <f t="shared" si="278"/>
        <v>FALSE</v>
      </c>
      <c r="AN2463" s="10" t="str">
        <f t="shared" si="278"/>
        <v>FALSE</v>
      </c>
      <c r="AO2463" s="10" t="str">
        <f t="shared" si="279"/>
        <v>FALSE</v>
      </c>
      <c r="AP2463" s="10" t="str">
        <f t="shared" si="279"/>
        <v>FALSE</v>
      </c>
      <c r="AQ2463" s="10" t="b">
        <f>IF(AND(I2463="TP",S2463&lt;=150),VLOOKUP(AF2463,TPCalibEq150!$AZ$2:$BB$55,3,),IF(AND(I2463="TDP",S2463&lt;=150),VLOOKUP(AF2463,TPCalibEq150!$AZ$2:$BB$55,3,)))</f>
        <v>0</v>
      </c>
      <c r="AR2463" s="10" t="b">
        <f>IF(AND(I2463="TP",S2463&lt;=300),VLOOKUP(AF2463,TPCalibEq300!$AZ$2:$BB$55,3,),IF(AND(I2463="TDP",S2463&lt;=300),VLOOKUP(AF2463,TPCalibEq300!$AZ$2:$BB$55,3,)))</f>
        <v>0</v>
      </c>
      <c r="AS2463" s="10" t="b">
        <f>IF(AND(I2463="TP",S2463&lt;=500),VLOOKUP(AF2463,TPCalibEq500!$AZ$2:$BB$56,3,),IF(AND(I2463="TDP",S2463&lt;=500),VLOOKUP(AF2463,TPCalibEq500!$AZ$2:$BB$56,3,)))</f>
        <v>0</v>
      </c>
      <c r="AT2463" s="10" t="b">
        <f>IF(AND(I2463="TN",S2463&lt;=2800),VLOOKUP(AF2463,TNCalibEq2500!$AZ$2:$BB$56,3,),IF(AND(I2463="TDN",S2463&lt;=2800),VLOOKUP(AF2463,TNCalibEq2500!$AZ$2:$BB$56,3,)))</f>
        <v>0</v>
      </c>
      <c r="AU2463" s="10" t="b">
        <f>IF(I2463="TP",VLOOKUP(AF2463,TPCalibEqFull!$AZ$2:$BB$56,3),IF(I2463="TDP",VLOOKUP(AF2463,TPCalibEqFull!$AZ$2:$BB$56,3),IF(I2463="TDN",VLOOKUP(AF2463,TNCalibEqFull!$AZ$1:$BB$56,3),IF(I2463="TN",VLOOKUP(AF2463,TNCalibEqFull!$AZ$1:$BB$56,3),FALSE))))</f>
        <v>0</v>
      </c>
      <c r="AV2463" s="10" t="str">
        <f t="shared" si="282"/>
        <v>0202 13:40:00-HST-0-FIL-1-SW-UKN</v>
      </c>
    </row>
    <row r="2464" spans="1:48" s="10" customFormat="1" x14ac:dyDescent="0.55000000000000004">
      <c r="A2464" s="32">
        <v>44960</v>
      </c>
      <c r="B2464" s="33">
        <v>0.45208333333333334</v>
      </c>
      <c r="C2464" s="10" t="s">
        <v>279</v>
      </c>
      <c r="D2464" s="10">
        <v>0</v>
      </c>
      <c r="E2464" s="10" t="s">
        <v>911</v>
      </c>
      <c r="F2464" s="10">
        <v>1</v>
      </c>
      <c r="G2464" s="10" t="s">
        <v>231</v>
      </c>
      <c r="H2464" s="10" t="s">
        <v>322</v>
      </c>
      <c r="I2464" s="10" t="s">
        <v>209</v>
      </c>
      <c r="J2464" s="10">
        <v>64</v>
      </c>
      <c r="K2464" s="12">
        <v>44966</v>
      </c>
      <c r="L2464" s="33">
        <v>0.54150462962962964</v>
      </c>
      <c r="M2464" s="10">
        <v>1</v>
      </c>
      <c r="N2464" s="10" t="s">
        <v>169</v>
      </c>
      <c r="O2464" s="10">
        <v>12.9</v>
      </c>
      <c r="P2464" s="10">
        <v>0.59299999999999997</v>
      </c>
      <c r="Q2464" s="10">
        <v>1590</v>
      </c>
      <c r="R2464" s="10" t="s">
        <v>77</v>
      </c>
      <c r="S2464" s="34">
        <f t="shared" si="277"/>
        <v>1590</v>
      </c>
      <c r="T2464" s="10" t="s">
        <v>1176</v>
      </c>
      <c r="U2464" s="34" t="str">
        <f t="shared" si="280"/>
        <v/>
      </c>
      <c r="V2464" s="31" t="str">
        <f>IF(H2464="CHK",VLOOKUP(I2464,QCCHK,3,),IF(H2464="GUP",VLOOKUP(E2464,QCGUP,2,),IF(AND(H2464="ATP",OR(I2464="TN",I2464="TDN",I2464="TNO2-3",I2464="NO2-3")),VLOOKUP(E2464,QCREC_N,2,),IF(AND(H2464="NIC",OR(I2464="TN",I2464="TDN",I2464="TNO2-3",I2464="NO2-3")),VLOOKUP(E2464,QCNIC_N,2,),IF(AND(H2464="UREA",OR(I2464="TN",I2464="TDN",I2464="TNO2-3",I2464="NO2-3")),VLOOKUP(E2464,QCUREA_N,2,),IF(H2464="PER",VLOOKUP(I2464,QCPER,MATCH(E2464,QCACTUAL!$J$25:$AA$25,0),),IF(H2464="SPK",VLOOKUP(I2464,QCSPK,3,),IF(AND(H2464="ATP",OR(I2464="TP",I2464="TDP")),VLOOKUP(E2464,QCATP_P,2,),""))))))))</f>
        <v/>
      </c>
      <c r="W2464" s="31" t="str">
        <f t="shared" si="281"/>
        <v>TRUE</v>
      </c>
      <c r="X2464" s="31" t="str">
        <f t="shared" si="276"/>
        <v/>
      </c>
      <c r="Y2464" s="10" t="s">
        <v>1144</v>
      </c>
      <c r="Z2464" s="10" t="s">
        <v>910</v>
      </c>
      <c r="AL2464" s="10" t="str">
        <f t="shared" si="278"/>
        <v>FALSE</v>
      </c>
      <c r="AM2464" s="10" t="str">
        <f t="shared" si="278"/>
        <v>FALSE</v>
      </c>
      <c r="AN2464" s="10" t="str">
        <f t="shared" si="278"/>
        <v>FALSE</v>
      </c>
      <c r="AO2464" s="10" t="str">
        <f t="shared" si="279"/>
        <v>FALSE</v>
      </c>
      <c r="AP2464" s="10" t="str">
        <f t="shared" si="279"/>
        <v>FALSE</v>
      </c>
      <c r="AQ2464" s="10" t="b">
        <f>IF(AND(I2464="TP",S2464&lt;=150),VLOOKUP(AF2464,TPCalibEq150!$AZ$2:$BB$55,3,),IF(AND(I2464="TDP",S2464&lt;=150),VLOOKUP(AF2464,TPCalibEq150!$AZ$2:$BB$55,3,)))</f>
        <v>0</v>
      </c>
      <c r="AR2464" s="10" t="b">
        <f>IF(AND(I2464="TP",S2464&lt;=300),VLOOKUP(AF2464,TPCalibEq300!$AZ$2:$BB$55,3,),IF(AND(I2464="TDP",S2464&lt;=300),VLOOKUP(AF2464,TPCalibEq300!$AZ$2:$BB$55,3,)))</f>
        <v>0</v>
      </c>
      <c r="AS2464" s="10" t="b">
        <f>IF(AND(I2464="TP",S2464&lt;=500),VLOOKUP(AF2464,TPCalibEq500!$AZ$2:$BB$56,3,),IF(AND(I2464="TDP",S2464&lt;=500),VLOOKUP(AF2464,TPCalibEq500!$AZ$2:$BB$56,3,)))</f>
        <v>0</v>
      </c>
      <c r="AT2464" s="10" t="b">
        <f>IF(AND(I2464="TN",S2464&lt;=2800),VLOOKUP(AF2464,TNCalibEq2500!$AZ$2:$BB$56,3,),IF(AND(I2464="TDN",S2464&lt;=2800),VLOOKUP(AF2464,TNCalibEq2500!$AZ$2:$BB$56,3,)))</f>
        <v>0</v>
      </c>
      <c r="AU2464" s="10" t="b">
        <f>IF(I2464="TP",VLOOKUP(AF2464,TPCalibEqFull!$AZ$2:$BB$56,3),IF(I2464="TDP",VLOOKUP(AF2464,TPCalibEqFull!$AZ$2:$BB$56,3),IF(I2464="TDN",VLOOKUP(AF2464,TNCalibEqFull!$AZ$1:$BB$56,3),IF(I2464="TN",VLOOKUP(AF2464,TNCalibEqFull!$AZ$1:$BB$56,3),FALSE))))</f>
        <v>0</v>
      </c>
      <c r="AV2464" s="10" t="str">
        <f t="shared" si="282"/>
        <v>0203 10:51:00-EFK-0-FIL-1-SW-UKN</v>
      </c>
    </row>
    <row r="2465" spans="1:48" s="10" customFormat="1" x14ac:dyDescent="0.55000000000000004">
      <c r="A2465" s="32">
        <v>44960</v>
      </c>
      <c r="B2465" s="33">
        <v>0.45416666666666666</v>
      </c>
      <c r="C2465" s="10" t="s">
        <v>333</v>
      </c>
      <c r="D2465" s="10">
        <v>0</v>
      </c>
      <c r="E2465" s="10" t="s">
        <v>911</v>
      </c>
      <c r="F2465" s="10">
        <v>1</v>
      </c>
      <c r="G2465" s="10" t="s">
        <v>231</v>
      </c>
      <c r="H2465" s="10" t="s">
        <v>322</v>
      </c>
      <c r="I2465" s="10" t="s">
        <v>209</v>
      </c>
      <c r="J2465" s="10">
        <v>65</v>
      </c>
      <c r="K2465" s="12">
        <v>44966</v>
      </c>
      <c r="L2465" s="33">
        <v>0.54232638888888884</v>
      </c>
      <c r="M2465" s="10">
        <v>1</v>
      </c>
      <c r="N2465" s="10" t="s">
        <v>169</v>
      </c>
      <c r="O2465" s="10">
        <v>8.9</v>
      </c>
      <c r="P2465" s="10">
        <v>0.41099999999999998</v>
      </c>
      <c r="Q2465" s="10">
        <v>1100</v>
      </c>
      <c r="R2465" s="10" t="s">
        <v>77</v>
      </c>
      <c r="S2465" s="34">
        <f t="shared" si="277"/>
        <v>1100</v>
      </c>
      <c r="T2465" s="10" t="s">
        <v>1176</v>
      </c>
      <c r="U2465" s="34" t="str">
        <f t="shared" si="280"/>
        <v/>
      </c>
      <c r="V2465" s="31" t="str">
        <f>IF(H2465="CHK",VLOOKUP(I2465,QCCHK,3,),IF(H2465="GUP",VLOOKUP(E2465,QCGUP,2,),IF(AND(H2465="ATP",OR(I2465="TN",I2465="TDN",I2465="TNO2-3",I2465="NO2-3")),VLOOKUP(E2465,QCREC_N,2,),IF(AND(H2465="NIC",OR(I2465="TN",I2465="TDN",I2465="TNO2-3",I2465="NO2-3")),VLOOKUP(E2465,QCNIC_N,2,),IF(AND(H2465="UREA",OR(I2465="TN",I2465="TDN",I2465="TNO2-3",I2465="NO2-3")),VLOOKUP(E2465,QCUREA_N,2,),IF(H2465="PER",VLOOKUP(I2465,QCPER,MATCH(E2465,QCACTUAL!$J$25:$AA$25,0),),IF(H2465="SPK",VLOOKUP(I2465,QCSPK,3,),IF(AND(H2465="ATP",OR(I2465="TP",I2465="TDP")),VLOOKUP(E2465,QCATP_P,2,),""))))))))</f>
        <v/>
      </c>
      <c r="W2465" s="31" t="str">
        <f t="shared" si="281"/>
        <v>TRUE</v>
      </c>
      <c r="X2465" s="31" t="str">
        <f t="shared" si="276"/>
        <v/>
      </c>
      <c r="Y2465" s="10" t="s">
        <v>1144</v>
      </c>
      <c r="Z2465" s="10" t="s">
        <v>910</v>
      </c>
      <c r="AL2465" s="10" t="str">
        <f t="shared" si="278"/>
        <v>FALSE</v>
      </c>
      <c r="AM2465" s="10" t="str">
        <f t="shared" si="278"/>
        <v>FALSE</v>
      </c>
      <c r="AN2465" s="10" t="str">
        <f t="shared" si="278"/>
        <v>FALSE</v>
      </c>
      <c r="AO2465" s="10" t="str">
        <f t="shared" si="279"/>
        <v>FALSE</v>
      </c>
      <c r="AP2465" s="10" t="str">
        <f t="shared" si="279"/>
        <v>FALSE</v>
      </c>
      <c r="AQ2465" s="10" t="b">
        <f>IF(AND(I2465="TP",S2465&lt;=150),VLOOKUP(AF2465,TPCalibEq150!$AZ$2:$BB$55,3,),IF(AND(I2465="TDP",S2465&lt;=150),VLOOKUP(AF2465,TPCalibEq150!$AZ$2:$BB$55,3,)))</f>
        <v>0</v>
      </c>
      <c r="AR2465" s="10" t="b">
        <f>IF(AND(I2465="TP",S2465&lt;=300),VLOOKUP(AF2465,TPCalibEq300!$AZ$2:$BB$55,3,),IF(AND(I2465="TDP",S2465&lt;=300),VLOOKUP(AF2465,TPCalibEq300!$AZ$2:$BB$55,3,)))</f>
        <v>0</v>
      </c>
      <c r="AS2465" s="10" t="b">
        <f>IF(AND(I2465="TP",S2465&lt;=500),VLOOKUP(AF2465,TPCalibEq500!$AZ$2:$BB$56,3,),IF(AND(I2465="TDP",S2465&lt;=500),VLOOKUP(AF2465,TPCalibEq500!$AZ$2:$BB$56,3,)))</f>
        <v>0</v>
      </c>
      <c r="AT2465" s="10" t="b">
        <f>IF(AND(I2465="TN",S2465&lt;=2800),VLOOKUP(AF2465,TNCalibEq2500!$AZ$2:$BB$56,3,),IF(AND(I2465="TDN",S2465&lt;=2800),VLOOKUP(AF2465,TNCalibEq2500!$AZ$2:$BB$56,3,)))</f>
        <v>0</v>
      </c>
      <c r="AU2465" s="10" t="b">
        <f>IF(I2465="TP",VLOOKUP(AF2465,TPCalibEqFull!$AZ$2:$BB$56,3),IF(I2465="TDP",VLOOKUP(AF2465,TPCalibEqFull!$AZ$2:$BB$56,3),IF(I2465="TDN",VLOOKUP(AF2465,TNCalibEqFull!$AZ$1:$BB$56,3),IF(I2465="TN",VLOOKUP(AF2465,TNCalibEqFull!$AZ$1:$BB$56,3),FALSE))))</f>
        <v>0</v>
      </c>
      <c r="AV2465" s="10" t="str">
        <f t="shared" si="282"/>
        <v>0203 10:54:00-HST-0-FIL-1-SW-UKN</v>
      </c>
    </row>
    <row r="2466" spans="1:48" s="10" customFormat="1" x14ac:dyDescent="0.55000000000000004">
      <c r="A2466" s="32">
        <v>44963</v>
      </c>
      <c r="B2466" s="33">
        <v>0.31666666666666665</v>
      </c>
      <c r="C2466" s="10" t="s">
        <v>279</v>
      </c>
      <c r="D2466" s="10">
        <v>0</v>
      </c>
      <c r="E2466" s="10" t="s">
        <v>911</v>
      </c>
      <c r="F2466" s="10">
        <v>1</v>
      </c>
      <c r="G2466" s="10" t="s">
        <v>231</v>
      </c>
      <c r="H2466" s="10" t="s">
        <v>322</v>
      </c>
      <c r="I2466" s="10" t="s">
        <v>209</v>
      </c>
      <c r="J2466" s="10">
        <v>66</v>
      </c>
      <c r="K2466" s="12">
        <v>44966</v>
      </c>
      <c r="L2466" s="33">
        <v>0.54313657407407401</v>
      </c>
      <c r="M2466" s="10">
        <v>1</v>
      </c>
      <c r="N2466" s="10" t="s">
        <v>169</v>
      </c>
      <c r="O2466" s="10">
        <v>12.4</v>
      </c>
      <c r="P2466" s="10">
        <v>0.57299999999999995</v>
      </c>
      <c r="Q2466" s="10">
        <v>1530</v>
      </c>
      <c r="R2466" s="10" t="s">
        <v>77</v>
      </c>
      <c r="S2466" s="34">
        <f t="shared" si="277"/>
        <v>1530</v>
      </c>
      <c r="T2466" s="10" t="s">
        <v>1176</v>
      </c>
      <c r="U2466" s="34" t="str">
        <f t="shared" si="280"/>
        <v/>
      </c>
      <c r="V2466" s="31" t="str">
        <f>IF(H2466="CHK",VLOOKUP(I2466,QCCHK,3,),IF(H2466="GUP",VLOOKUP(E2466,QCGUP,2,),IF(AND(H2466="ATP",OR(I2466="TN",I2466="TDN",I2466="TNO2-3",I2466="NO2-3")),VLOOKUP(E2466,QCREC_N,2,),IF(AND(H2466="NIC",OR(I2466="TN",I2466="TDN",I2466="TNO2-3",I2466="NO2-3")),VLOOKUP(E2466,QCNIC_N,2,),IF(AND(H2466="UREA",OR(I2466="TN",I2466="TDN",I2466="TNO2-3",I2466="NO2-3")),VLOOKUP(E2466,QCUREA_N,2,),IF(H2466="PER",VLOOKUP(I2466,QCPER,MATCH(E2466,QCACTUAL!$J$25:$AA$25,0),),IF(H2466="SPK",VLOOKUP(I2466,QCSPK,3,),IF(AND(H2466="ATP",OR(I2466="TP",I2466="TDP")),VLOOKUP(E2466,QCATP_P,2,),""))))))))</f>
        <v/>
      </c>
      <c r="W2466" s="31" t="str">
        <f t="shared" si="281"/>
        <v>TRUE</v>
      </c>
      <c r="X2466" s="31" t="str">
        <f t="shared" si="276"/>
        <v/>
      </c>
      <c r="Y2466" s="10" t="s">
        <v>1144</v>
      </c>
      <c r="Z2466" s="10" t="s">
        <v>910</v>
      </c>
      <c r="AL2466" s="10" t="str">
        <f t="shared" si="278"/>
        <v>FALSE</v>
      </c>
      <c r="AM2466" s="10" t="str">
        <f t="shared" si="278"/>
        <v>FALSE</v>
      </c>
      <c r="AN2466" s="10" t="str">
        <f t="shared" si="278"/>
        <v>FALSE</v>
      </c>
      <c r="AO2466" s="10" t="str">
        <f t="shared" si="279"/>
        <v>FALSE</v>
      </c>
      <c r="AP2466" s="10" t="str">
        <f t="shared" si="279"/>
        <v>FALSE</v>
      </c>
      <c r="AQ2466" s="10" t="b">
        <f>IF(AND(I2466="TP",S2466&lt;=150),VLOOKUP(AF2466,TPCalibEq150!$AZ$2:$BB$55,3,),IF(AND(I2466="TDP",S2466&lt;=150),VLOOKUP(AF2466,TPCalibEq150!$AZ$2:$BB$55,3,)))</f>
        <v>0</v>
      </c>
      <c r="AR2466" s="10" t="b">
        <f>IF(AND(I2466="TP",S2466&lt;=300),VLOOKUP(AF2466,TPCalibEq300!$AZ$2:$BB$55,3,),IF(AND(I2466="TDP",S2466&lt;=300),VLOOKUP(AF2466,TPCalibEq300!$AZ$2:$BB$55,3,)))</f>
        <v>0</v>
      </c>
      <c r="AS2466" s="10" t="b">
        <f>IF(AND(I2466="TP",S2466&lt;=500),VLOOKUP(AF2466,TPCalibEq500!$AZ$2:$BB$56,3,),IF(AND(I2466="TDP",S2466&lt;=500),VLOOKUP(AF2466,TPCalibEq500!$AZ$2:$BB$56,3,)))</f>
        <v>0</v>
      </c>
      <c r="AT2466" s="10" t="b">
        <f>IF(AND(I2466="TN",S2466&lt;=2800),VLOOKUP(AF2466,TNCalibEq2500!$AZ$2:$BB$56,3,),IF(AND(I2466="TDN",S2466&lt;=2800),VLOOKUP(AF2466,TNCalibEq2500!$AZ$2:$BB$56,3,)))</f>
        <v>0</v>
      </c>
      <c r="AU2466" s="10" t="b">
        <f>IF(I2466="TP",VLOOKUP(AF2466,TPCalibEqFull!$AZ$2:$BB$56,3),IF(I2466="TDP",VLOOKUP(AF2466,TPCalibEqFull!$AZ$2:$BB$56,3),IF(I2466="TDN",VLOOKUP(AF2466,TNCalibEqFull!$AZ$1:$BB$56,3),IF(I2466="TN",VLOOKUP(AF2466,TNCalibEqFull!$AZ$1:$BB$56,3),FALSE))))</f>
        <v>0</v>
      </c>
      <c r="AV2466" s="10" t="str">
        <f t="shared" si="282"/>
        <v>0206 07:36:00-EFK-0-FIL-1-SW-UKN</v>
      </c>
    </row>
    <row r="2467" spans="1:48" s="10" customFormat="1" x14ac:dyDescent="0.55000000000000004">
      <c r="A2467" s="32">
        <v>44963</v>
      </c>
      <c r="B2467" s="33">
        <v>0.27986111111111112</v>
      </c>
      <c r="C2467" s="10" t="s">
        <v>333</v>
      </c>
      <c r="D2467" s="10">
        <v>0</v>
      </c>
      <c r="E2467" s="10" t="s">
        <v>911</v>
      </c>
      <c r="F2467" s="10">
        <v>1</v>
      </c>
      <c r="G2467" s="10" t="s">
        <v>231</v>
      </c>
      <c r="H2467" s="10" t="s">
        <v>322</v>
      </c>
      <c r="I2467" s="10" t="s">
        <v>209</v>
      </c>
      <c r="J2467" s="10">
        <v>67</v>
      </c>
      <c r="K2467" s="12">
        <v>44966</v>
      </c>
      <c r="L2467" s="33">
        <v>0.54395833333333332</v>
      </c>
      <c r="M2467" s="10">
        <v>1</v>
      </c>
      <c r="N2467" s="10" t="s">
        <v>169</v>
      </c>
      <c r="O2467" s="10">
        <v>12.4</v>
      </c>
      <c r="P2467" s="10">
        <v>0.57299999999999995</v>
      </c>
      <c r="Q2467" s="10">
        <v>1540</v>
      </c>
      <c r="R2467" s="10" t="s">
        <v>77</v>
      </c>
      <c r="S2467" s="34">
        <f t="shared" si="277"/>
        <v>1540</v>
      </c>
      <c r="T2467" s="10" t="s">
        <v>1176</v>
      </c>
      <c r="U2467" s="34" t="str">
        <f t="shared" si="280"/>
        <v/>
      </c>
      <c r="V2467" s="31" t="str">
        <f>IF(H2467="CHK",VLOOKUP(I2467,QCCHK,3,),IF(H2467="GUP",VLOOKUP(E2467,QCGUP,2,),IF(AND(H2467="ATP",OR(I2467="TN",I2467="TDN",I2467="TNO2-3",I2467="NO2-3")),VLOOKUP(E2467,QCREC_N,2,),IF(AND(H2467="NIC",OR(I2467="TN",I2467="TDN",I2467="TNO2-3",I2467="NO2-3")),VLOOKUP(E2467,QCNIC_N,2,),IF(AND(H2467="UREA",OR(I2467="TN",I2467="TDN",I2467="TNO2-3",I2467="NO2-3")),VLOOKUP(E2467,QCUREA_N,2,),IF(H2467="PER",VLOOKUP(I2467,QCPER,MATCH(E2467,QCACTUAL!$J$25:$AA$25,0),),IF(H2467="SPK",VLOOKUP(I2467,QCSPK,3,),IF(AND(H2467="ATP",OR(I2467="TP",I2467="TDP")),VLOOKUP(E2467,QCATP_P,2,),""))))))))</f>
        <v/>
      </c>
      <c r="W2467" s="31" t="str">
        <f t="shared" si="281"/>
        <v>TRUE</v>
      </c>
      <c r="X2467" s="31" t="str">
        <f t="shared" si="276"/>
        <v/>
      </c>
      <c r="Y2467" s="10" t="s">
        <v>1144</v>
      </c>
      <c r="Z2467" s="10" t="s">
        <v>910</v>
      </c>
      <c r="AL2467" s="10" t="str">
        <f t="shared" si="278"/>
        <v>FALSE</v>
      </c>
      <c r="AM2467" s="10" t="str">
        <f t="shared" si="278"/>
        <v>FALSE</v>
      </c>
      <c r="AN2467" s="10" t="str">
        <f t="shared" si="278"/>
        <v>FALSE</v>
      </c>
      <c r="AO2467" s="10" t="str">
        <f t="shared" si="279"/>
        <v>FALSE</v>
      </c>
      <c r="AP2467" s="10" t="str">
        <f t="shared" si="279"/>
        <v>FALSE</v>
      </c>
      <c r="AQ2467" s="10" t="b">
        <f>IF(AND(I2467="TP",S2467&lt;=150),VLOOKUP(AF2467,TPCalibEq150!$AZ$2:$BB$55,3,),IF(AND(I2467="TDP",S2467&lt;=150),VLOOKUP(AF2467,TPCalibEq150!$AZ$2:$BB$55,3,)))</f>
        <v>0</v>
      </c>
      <c r="AR2467" s="10" t="b">
        <f>IF(AND(I2467="TP",S2467&lt;=300),VLOOKUP(AF2467,TPCalibEq300!$AZ$2:$BB$55,3,),IF(AND(I2467="TDP",S2467&lt;=300),VLOOKUP(AF2467,TPCalibEq300!$AZ$2:$BB$55,3,)))</f>
        <v>0</v>
      </c>
      <c r="AS2467" s="10" t="b">
        <f>IF(AND(I2467="TP",S2467&lt;=500),VLOOKUP(AF2467,TPCalibEq500!$AZ$2:$BB$56,3,),IF(AND(I2467="TDP",S2467&lt;=500),VLOOKUP(AF2467,TPCalibEq500!$AZ$2:$BB$56,3,)))</f>
        <v>0</v>
      </c>
      <c r="AT2467" s="10" t="b">
        <f>IF(AND(I2467="TN",S2467&lt;=2800),VLOOKUP(AF2467,TNCalibEq2500!$AZ$2:$BB$56,3,),IF(AND(I2467="TDN",S2467&lt;=2800),VLOOKUP(AF2467,TNCalibEq2500!$AZ$2:$BB$56,3,)))</f>
        <v>0</v>
      </c>
      <c r="AU2467" s="10" t="b">
        <f>IF(I2467="TP",VLOOKUP(AF2467,TPCalibEqFull!$AZ$2:$BB$56,3),IF(I2467="TDP",VLOOKUP(AF2467,TPCalibEqFull!$AZ$2:$BB$56,3),IF(I2467="TDN",VLOOKUP(AF2467,TNCalibEqFull!$AZ$1:$BB$56,3),IF(I2467="TN",VLOOKUP(AF2467,TNCalibEqFull!$AZ$1:$BB$56,3),FALSE))))</f>
        <v>0</v>
      </c>
      <c r="AV2467" s="10" t="str">
        <f t="shared" si="282"/>
        <v>0206 06:43:00-HST-0-FIL-1-SW-UKN</v>
      </c>
    </row>
    <row r="2468" spans="1:48" s="10" customFormat="1" x14ac:dyDescent="0.55000000000000004">
      <c r="A2468" s="32">
        <v>44964</v>
      </c>
      <c r="B2468" s="33">
        <v>0.22291666666666665</v>
      </c>
      <c r="C2468" s="10" t="s">
        <v>279</v>
      </c>
      <c r="D2468" s="10">
        <v>0</v>
      </c>
      <c r="E2468" s="10" t="s">
        <v>911</v>
      </c>
      <c r="F2468" s="10">
        <v>1</v>
      </c>
      <c r="G2468" s="10" t="s">
        <v>231</v>
      </c>
      <c r="H2468" s="10" t="s">
        <v>322</v>
      </c>
      <c r="I2468" s="10" t="s">
        <v>209</v>
      </c>
      <c r="J2468" s="10">
        <v>68</v>
      </c>
      <c r="K2468" s="12">
        <v>44966</v>
      </c>
      <c r="L2468" s="33">
        <v>0.54478009259259264</v>
      </c>
      <c r="M2468" s="10">
        <v>1</v>
      </c>
      <c r="N2468" s="10" t="s">
        <v>169</v>
      </c>
      <c r="O2468" s="10">
        <v>10.6</v>
      </c>
      <c r="P2468" s="10">
        <v>0.49099999999999999</v>
      </c>
      <c r="Q2468" s="10">
        <v>1310</v>
      </c>
      <c r="R2468" s="10" t="s">
        <v>77</v>
      </c>
      <c r="S2468" s="34">
        <f t="shared" si="277"/>
        <v>1310</v>
      </c>
      <c r="T2468" s="10" t="s">
        <v>1176</v>
      </c>
      <c r="U2468" s="34" t="str">
        <f t="shared" si="280"/>
        <v/>
      </c>
      <c r="V2468" s="31" t="str">
        <f>IF(H2468="CHK",VLOOKUP(I2468,QCCHK,3,),IF(H2468="GUP",VLOOKUP(E2468,QCGUP,2,),IF(AND(H2468="ATP",OR(I2468="TN",I2468="TDN",I2468="TNO2-3",I2468="NO2-3")),VLOOKUP(E2468,QCREC_N,2,),IF(AND(H2468="NIC",OR(I2468="TN",I2468="TDN",I2468="TNO2-3",I2468="NO2-3")),VLOOKUP(E2468,QCNIC_N,2,),IF(AND(H2468="UREA",OR(I2468="TN",I2468="TDN",I2468="TNO2-3",I2468="NO2-3")),VLOOKUP(E2468,QCUREA_N,2,),IF(H2468="PER",VLOOKUP(I2468,QCPER,MATCH(E2468,QCACTUAL!$J$25:$AA$25,0),),IF(H2468="SPK",VLOOKUP(I2468,QCSPK,3,),IF(AND(H2468="ATP",OR(I2468="TP",I2468="TDP")),VLOOKUP(E2468,QCATP_P,2,),""))))))))</f>
        <v/>
      </c>
      <c r="W2468" s="31" t="str">
        <f t="shared" si="281"/>
        <v>TRUE</v>
      </c>
      <c r="X2468" s="31" t="str">
        <f t="shared" si="276"/>
        <v/>
      </c>
      <c r="Y2468" s="10" t="s">
        <v>1144</v>
      </c>
      <c r="Z2468" s="10" t="s">
        <v>910</v>
      </c>
      <c r="AL2468" s="10" t="str">
        <f t="shared" si="278"/>
        <v>FALSE</v>
      </c>
      <c r="AM2468" s="10" t="str">
        <f t="shared" si="278"/>
        <v>FALSE</v>
      </c>
      <c r="AN2468" s="10" t="str">
        <f t="shared" si="278"/>
        <v>FALSE</v>
      </c>
      <c r="AO2468" s="10" t="str">
        <f t="shared" si="279"/>
        <v>FALSE</v>
      </c>
      <c r="AP2468" s="10" t="str">
        <f t="shared" si="279"/>
        <v>FALSE</v>
      </c>
      <c r="AQ2468" s="10" t="b">
        <f>IF(AND(I2468="TP",S2468&lt;=150),VLOOKUP(AF2468,TPCalibEq150!$AZ$2:$BB$55,3,),IF(AND(I2468="TDP",S2468&lt;=150),VLOOKUP(AF2468,TPCalibEq150!$AZ$2:$BB$55,3,)))</f>
        <v>0</v>
      </c>
      <c r="AR2468" s="10" t="b">
        <f>IF(AND(I2468="TP",S2468&lt;=300),VLOOKUP(AF2468,TPCalibEq300!$AZ$2:$BB$55,3,),IF(AND(I2468="TDP",S2468&lt;=300),VLOOKUP(AF2468,TPCalibEq300!$AZ$2:$BB$55,3,)))</f>
        <v>0</v>
      </c>
      <c r="AS2468" s="10" t="b">
        <f>IF(AND(I2468="TP",S2468&lt;=500),VLOOKUP(AF2468,TPCalibEq500!$AZ$2:$BB$56,3,),IF(AND(I2468="TDP",S2468&lt;=500),VLOOKUP(AF2468,TPCalibEq500!$AZ$2:$BB$56,3,)))</f>
        <v>0</v>
      </c>
      <c r="AT2468" s="10" t="b">
        <f>IF(AND(I2468="TN",S2468&lt;=2800),VLOOKUP(AF2468,TNCalibEq2500!$AZ$2:$BB$56,3,),IF(AND(I2468="TDN",S2468&lt;=2800),VLOOKUP(AF2468,TNCalibEq2500!$AZ$2:$BB$56,3,)))</f>
        <v>0</v>
      </c>
      <c r="AU2468" s="10" t="b">
        <f>IF(I2468="TP",VLOOKUP(AF2468,TPCalibEqFull!$AZ$2:$BB$56,3),IF(I2468="TDP",VLOOKUP(AF2468,TPCalibEqFull!$AZ$2:$BB$56,3),IF(I2468="TDN",VLOOKUP(AF2468,TNCalibEqFull!$AZ$1:$BB$56,3),IF(I2468="TN",VLOOKUP(AF2468,TNCalibEqFull!$AZ$1:$BB$56,3),FALSE))))</f>
        <v>0</v>
      </c>
      <c r="AV2468" s="10" t="str">
        <f t="shared" si="282"/>
        <v>0207 05:21:00-EFK-0-FIL-1-SW-UKN</v>
      </c>
    </row>
    <row r="2469" spans="1:48" s="10" customFormat="1" x14ac:dyDescent="0.55000000000000004">
      <c r="A2469" s="32">
        <v>44964</v>
      </c>
      <c r="B2469" s="33">
        <v>0.22777777777777777</v>
      </c>
      <c r="C2469" s="10" t="s">
        <v>333</v>
      </c>
      <c r="D2469" s="10">
        <v>0</v>
      </c>
      <c r="E2469" s="10" t="s">
        <v>911</v>
      </c>
      <c r="F2469" s="10">
        <v>1</v>
      </c>
      <c r="G2469" s="10" t="s">
        <v>231</v>
      </c>
      <c r="H2469" s="10" t="s">
        <v>322</v>
      </c>
      <c r="I2469" s="10" t="s">
        <v>209</v>
      </c>
      <c r="J2469" s="10">
        <v>69</v>
      </c>
      <c r="K2469" s="12">
        <v>44966</v>
      </c>
      <c r="L2469" s="33">
        <v>0.5455902777777778</v>
      </c>
      <c r="M2469" s="10">
        <v>1</v>
      </c>
      <c r="N2469" s="10" t="s">
        <v>169</v>
      </c>
      <c r="O2469" s="10">
        <v>10.8</v>
      </c>
      <c r="P2469" s="10">
        <v>0.498</v>
      </c>
      <c r="Q2469" s="10">
        <v>1340</v>
      </c>
      <c r="R2469" s="10" t="s">
        <v>77</v>
      </c>
      <c r="S2469" s="34">
        <f t="shared" si="277"/>
        <v>1340</v>
      </c>
      <c r="T2469" s="10" t="s">
        <v>1176</v>
      </c>
      <c r="U2469" s="34" t="str">
        <f t="shared" si="280"/>
        <v/>
      </c>
      <c r="V2469" s="31" t="str">
        <f>IF(H2469="CHK",VLOOKUP(I2469,QCCHK,3,),IF(H2469="GUP",VLOOKUP(E2469,QCGUP,2,),IF(AND(H2469="ATP",OR(I2469="TN",I2469="TDN",I2469="TNO2-3",I2469="NO2-3")),VLOOKUP(E2469,QCREC_N,2,),IF(AND(H2469="NIC",OR(I2469="TN",I2469="TDN",I2469="TNO2-3",I2469="NO2-3")),VLOOKUP(E2469,QCNIC_N,2,),IF(AND(H2469="UREA",OR(I2469="TN",I2469="TDN",I2469="TNO2-3",I2469="NO2-3")),VLOOKUP(E2469,QCUREA_N,2,),IF(H2469="PER",VLOOKUP(I2469,QCPER,MATCH(E2469,QCACTUAL!$J$25:$AA$25,0),),IF(H2469="SPK",VLOOKUP(I2469,QCSPK,3,),IF(AND(H2469="ATP",OR(I2469="TP",I2469="TDP")),VLOOKUP(E2469,QCATP_P,2,),""))))))))</f>
        <v/>
      </c>
      <c r="W2469" s="31" t="str">
        <f t="shared" si="281"/>
        <v>TRUE</v>
      </c>
      <c r="X2469" s="31" t="str">
        <f t="shared" si="276"/>
        <v/>
      </c>
      <c r="Y2469" s="10" t="s">
        <v>1144</v>
      </c>
      <c r="Z2469" s="10" t="s">
        <v>910</v>
      </c>
      <c r="AL2469" s="10" t="str">
        <f t="shared" si="278"/>
        <v>FALSE</v>
      </c>
      <c r="AM2469" s="10" t="str">
        <f t="shared" si="278"/>
        <v>FALSE</v>
      </c>
      <c r="AN2469" s="10" t="str">
        <f t="shared" si="278"/>
        <v>FALSE</v>
      </c>
      <c r="AO2469" s="10" t="str">
        <f t="shared" si="279"/>
        <v>FALSE</v>
      </c>
      <c r="AP2469" s="10" t="str">
        <f t="shared" si="279"/>
        <v>FALSE</v>
      </c>
      <c r="AQ2469" s="10" t="b">
        <f>IF(AND(I2469="TP",S2469&lt;=150),VLOOKUP(AF2469,TPCalibEq150!$AZ$2:$BB$55,3,),IF(AND(I2469="TDP",S2469&lt;=150),VLOOKUP(AF2469,TPCalibEq150!$AZ$2:$BB$55,3,)))</f>
        <v>0</v>
      </c>
      <c r="AR2469" s="10" t="b">
        <f>IF(AND(I2469="TP",S2469&lt;=300),VLOOKUP(AF2469,TPCalibEq300!$AZ$2:$BB$55,3,),IF(AND(I2469="TDP",S2469&lt;=300),VLOOKUP(AF2469,TPCalibEq300!$AZ$2:$BB$55,3,)))</f>
        <v>0</v>
      </c>
      <c r="AS2469" s="10" t="b">
        <f>IF(AND(I2469="TP",S2469&lt;=500),VLOOKUP(AF2469,TPCalibEq500!$AZ$2:$BB$56,3,),IF(AND(I2469="TDP",S2469&lt;=500),VLOOKUP(AF2469,TPCalibEq500!$AZ$2:$BB$56,3,)))</f>
        <v>0</v>
      </c>
      <c r="AT2469" s="10" t="b">
        <f>IF(AND(I2469="TN",S2469&lt;=2800),VLOOKUP(AF2469,TNCalibEq2500!$AZ$2:$BB$56,3,),IF(AND(I2469="TDN",S2469&lt;=2800),VLOOKUP(AF2469,TNCalibEq2500!$AZ$2:$BB$56,3,)))</f>
        <v>0</v>
      </c>
      <c r="AU2469" s="10" t="b">
        <f>IF(I2469="TP",VLOOKUP(AF2469,TPCalibEqFull!$AZ$2:$BB$56,3),IF(I2469="TDP",VLOOKUP(AF2469,TPCalibEqFull!$AZ$2:$BB$56,3),IF(I2469="TDN",VLOOKUP(AF2469,TNCalibEqFull!$AZ$1:$BB$56,3),IF(I2469="TN",VLOOKUP(AF2469,TNCalibEqFull!$AZ$1:$BB$56,3),FALSE))))</f>
        <v>0</v>
      </c>
      <c r="AV2469" s="10" t="str">
        <f t="shared" si="282"/>
        <v>0207 05:28:00-HST-0-FIL-1-SW-UKN</v>
      </c>
    </row>
    <row r="2470" spans="1:48" s="10" customFormat="1" x14ac:dyDescent="0.55000000000000004">
      <c r="A2470" s="32">
        <v>44964</v>
      </c>
      <c r="B2470" s="33">
        <v>0.22777777777777777</v>
      </c>
      <c r="C2470" s="10" t="s">
        <v>333</v>
      </c>
      <c r="D2470" s="10">
        <v>0</v>
      </c>
      <c r="E2470" s="10" t="s">
        <v>911</v>
      </c>
      <c r="F2470" s="10">
        <v>1</v>
      </c>
      <c r="G2470" s="10" t="s">
        <v>231</v>
      </c>
      <c r="H2470" s="10" t="s">
        <v>233</v>
      </c>
      <c r="I2470" s="10" t="s">
        <v>209</v>
      </c>
      <c r="J2470" s="10">
        <v>69</v>
      </c>
      <c r="K2470" s="12">
        <v>44966</v>
      </c>
      <c r="L2470" s="33">
        <v>0.54640046296296296</v>
      </c>
      <c r="M2470" s="10">
        <v>1</v>
      </c>
      <c r="N2470" s="10" t="s">
        <v>169</v>
      </c>
      <c r="O2470" s="10">
        <v>3.77</v>
      </c>
      <c r="P2470" s="10">
        <v>0.17399999999999999</v>
      </c>
      <c r="Q2470" s="10">
        <v>465</v>
      </c>
      <c r="R2470" s="10" t="s">
        <v>77</v>
      </c>
      <c r="S2470" s="34">
        <f t="shared" si="277"/>
        <v>465</v>
      </c>
      <c r="T2470" s="10" t="s">
        <v>1176</v>
      </c>
      <c r="U2470" s="34">
        <f t="shared" si="280"/>
        <v>96.95290858725761</v>
      </c>
      <c r="V2470" s="31" t="str">
        <f>IF(H2470="CHK",VLOOKUP(I2470,QCCHK,3,),IF(H2470="GUP",VLOOKUP(E2470,QCGUP,2,),IF(AND(H2470="ATP",OR(I2470="TN",I2470="TDN",I2470="TNO2-3",I2470="NO2-3")),VLOOKUP(E2470,QCREC_N,2,),IF(AND(H2470="NIC",OR(I2470="TN",I2470="TDN",I2470="TNO2-3",I2470="NO2-3")),VLOOKUP(E2470,QCNIC_N,2,),IF(AND(H2470="UREA",OR(I2470="TN",I2470="TDN",I2470="TNO2-3",I2470="NO2-3")),VLOOKUP(E2470,QCUREA_N,2,),IF(H2470="PER",VLOOKUP(I2470,QCPER,MATCH(E2470,QCACTUAL!$J$25:$AA$25,0),),IF(H2470="SPK",VLOOKUP(I2470,QCSPK,3,),IF(AND(H2470="ATP",OR(I2470="TP",I2470="TDP")),VLOOKUP(E2470,QCATP_P,2,),""))))))))</f>
        <v/>
      </c>
      <c r="W2470" s="31" t="str">
        <f t="shared" si="281"/>
        <v>FALSE</v>
      </c>
      <c r="X2470" s="31" t="str">
        <f t="shared" si="276"/>
        <v>((ABS(rep1-rep2))/((rep1+rep2)/2)*100</v>
      </c>
      <c r="Y2470" s="10" t="s">
        <v>1144</v>
      </c>
      <c r="Z2470" s="10" t="s">
        <v>910</v>
      </c>
      <c r="AL2470" s="10" t="str">
        <f t="shared" si="278"/>
        <v>FALSE</v>
      </c>
      <c r="AM2470" s="10" t="str">
        <f t="shared" si="278"/>
        <v>FALSE</v>
      </c>
      <c r="AN2470" s="10" t="str">
        <f t="shared" si="278"/>
        <v>FALSE</v>
      </c>
      <c r="AO2470" s="10" t="str">
        <f t="shared" si="279"/>
        <v>FALSE</v>
      </c>
      <c r="AP2470" s="10" t="str">
        <f t="shared" si="279"/>
        <v>FALSE</v>
      </c>
      <c r="AQ2470" s="10" t="b">
        <f>IF(AND(I2470="TP",S2470&lt;=150),VLOOKUP(AF2470,TPCalibEq150!$AZ$2:$BB$55,3,),IF(AND(I2470="TDP",S2470&lt;=150),VLOOKUP(AF2470,TPCalibEq150!$AZ$2:$BB$55,3,)))</f>
        <v>0</v>
      </c>
      <c r="AR2470" s="10" t="b">
        <f>IF(AND(I2470="TP",S2470&lt;=300),VLOOKUP(AF2470,TPCalibEq300!$AZ$2:$BB$55,3,),IF(AND(I2470="TDP",S2470&lt;=300),VLOOKUP(AF2470,TPCalibEq300!$AZ$2:$BB$55,3,)))</f>
        <v>0</v>
      </c>
      <c r="AS2470" s="10" t="b">
        <f>IF(AND(I2470="TP",S2470&lt;=500),VLOOKUP(AF2470,TPCalibEq500!$AZ$2:$BB$56,3,),IF(AND(I2470="TDP",S2470&lt;=500),VLOOKUP(AF2470,TPCalibEq500!$AZ$2:$BB$56,3,)))</f>
        <v>0</v>
      </c>
      <c r="AT2470" s="10" t="b">
        <f>IF(AND(I2470="TN",S2470&lt;=2800),VLOOKUP(AF2470,TNCalibEq2500!$AZ$2:$BB$56,3,),IF(AND(I2470="TDN",S2470&lt;=2800),VLOOKUP(AF2470,TNCalibEq2500!$AZ$2:$BB$56,3,)))</f>
        <v>0</v>
      </c>
      <c r="AU2470" s="10" t="b">
        <f>IF(I2470="TP",VLOOKUP(AF2470,TPCalibEqFull!$AZ$2:$BB$56,3),IF(I2470="TDP",VLOOKUP(AF2470,TPCalibEqFull!$AZ$2:$BB$56,3),IF(I2470="TDN",VLOOKUP(AF2470,TNCalibEqFull!$AZ$1:$BB$56,3),IF(I2470="TN",VLOOKUP(AF2470,TNCalibEqFull!$AZ$1:$BB$56,3),FALSE))))</f>
        <v>0</v>
      </c>
      <c r="AV2470" s="10" t="str">
        <f t="shared" si="282"/>
        <v>0207 05:28:00-HST-0-FIL-1-SW-DUP</v>
      </c>
    </row>
    <row r="2471" spans="1:48" s="10" customFormat="1" x14ac:dyDescent="0.55000000000000004">
      <c r="A2471" s="32">
        <v>44964</v>
      </c>
      <c r="B2471" s="33">
        <v>0.22777777777777777</v>
      </c>
      <c r="C2471" s="10" t="s">
        <v>912</v>
      </c>
      <c r="D2471" s="10">
        <v>0</v>
      </c>
      <c r="E2471" s="10" t="s">
        <v>911</v>
      </c>
      <c r="F2471" s="10">
        <v>1</v>
      </c>
      <c r="G2471" s="10" t="s">
        <v>231</v>
      </c>
      <c r="H2471" s="10" t="s">
        <v>314</v>
      </c>
      <c r="I2471" s="10" t="s">
        <v>209</v>
      </c>
      <c r="J2471" s="10">
        <v>36</v>
      </c>
      <c r="K2471" s="12">
        <v>44966</v>
      </c>
      <c r="L2471" s="33">
        <v>0.54722222222222217</v>
      </c>
      <c r="M2471" s="10">
        <v>1</v>
      </c>
      <c r="N2471" s="10" t="s">
        <v>169</v>
      </c>
      <c r="O2471" s="10">
        <v>0.89100000000000001</v>
      </c>
      <c r="P2471" s="10">
        <v>0.10100000000000001</v>
      </c>
      <c r="Q2471" s="10">
        <v>110</v>
      </c>
      <c r="R2471" s="10" t="s">
        <v>77</v>
      </c>
      <c r="S2471" s="34">
        <f t="shared" si="277"/>
        <v>110</v>
      </c>
      <c r="T2471" s="10" t="s">
        <v>1176</v>
      </c>
      <c r="U2471" s="34">
        <f t="shared" si="280"/>
        <v>-56.8</v>
      </c>
      <c r="V2471" s="31">
        <f>IF(H2471="CHK",VLOOKUP(I2471,QCCHK,3,),IF(H2471="GUP",VLOOKUP(E2471,QCGUP,2,),IF(AND(H2471="ATP",OR(I2471="TN",I2471="TDN",I2471="TNO2-3",I2471="NO2-3")),VLOOKUP(E2471,QCREC_N,2,),IF(AND(H2471="NIC",OR(I2471="TN",I2471="TDN",I2471="TNO2-3",I2471="NO2-3")),VLOOKUP(E2471,QCNIC_N,2,),IF(AND(H2471="UREA",OR(I2471="TN",I2471="TDN",I2471="TNO2-3",I2471="NO2-3")),VLOOKUP(E2471,QCUREA_N,2,),IF(H2471="PER",VLOOKUP(I2471,QCPER,MATCH(E2471,QCACTUAL!$J$25:$AA$25,0),),IF(H2471="SPK",VLOOKUP(I2471,QCSPK,3,),IF(AND(H2471="ATP",OR(I2471="TP",I2471="TDP")),VLOOKUP(E2471,QCATP_P,2,),""))))))))</f>
        <v>625</v>
      </c>
      <c r="W2471" s="31" t="str">
        <f t="shared" si="281"/>
        <v>FALSE</v>
      </c>
      <c r="X2471" s="31" t="str">
        <f t="shared" si="276"/>
        <v>([spikedunkn]-[unkn])/[spike]*100</v>
      </c>
      <c r="Y2471" s="10" t="s">
        <v>1144</v>
      </c>
      <c r="Z2471" s="10" t="s">
        <v>910</v>
      </c>
      <c r="AL2471" s="10" t="str">
        <f t="shared" si="278"/>
        <v>FALSE</v>
      </c>
      <c r="AM2471" s="10" t="str">
        <f t="shared" si="278"/>
        <v>FALSE</v>
      </c>
      <c r="AN2471" s="10" t="str">
        <f t="shared" si="278"/>
        <v>FALSE</v>
      </c>
      <c r="AO2471" s="10" t="str">
        <f t="shared" si="279"/>
        <v>FALSE</v>
      </c>
      <c r="AP2471" s="10" t="str">
        <f t="shared" si="279"/>
        <v>FALSE</v>
      </c>
      <c r="AQ2471" s="10" t="b">
        <f>IF(AND(I2471="TP",S2471&lt;=150),VLOOKUP(AF2471,TPCalibEq150!$AZ$2:$BB$55,3,),IF(AND(I2471="TDP",S2471&lt;=150),VLOOKUP(AF2471,TPCalibEq150!$AZ$2:$BB$55,3,)))</f>
        <v>0</v>
      </c>
      <c r="AR2471" s="10" t="b">
        <f>IF(AND(I2471="TP",S2471&lt;=300),VLOOKUP(AF2471,TPCalibEq300!$AZ$2:$BB$55,3,),IF(AND(I2471="TDP",S2471&lt;=300),VLOOKUP(AF2471,TPCalibEq300!$AZ$2:$BB$55,3,)))</f>
        <v>0</v>
      </c>
      <c r="AS2471" s="10" t="b">
        <f>IF(AND(I2471="TP",S2471&lt;=500),VLOOKUP(AF2471,TPCalibEq500!$AZ$2:$BB$56,3,),IF(AND(I2471="TDP",S2471&lt;=500),VLOOKUP(AF2471,TPCalibEq500!$AZ$2:$BB$56,3,)))</f>
        <v>0</v>
      </c>
      <c r="AT2471" s="10" t="b">
        <f>IF(AND(I2471="TN",S2471&lt;=2800),VLOOKUP(AF2471,TNCalibEq2500!$AZ$2:$BB$56,3,),IF(AND(I2471="TDN",S2471&lt;=2800),VLOOKUP(AF2471,TNCalibEq2500!$AZ$2:$BB$56,3,)))</f>
        <v>0</v>
      </c>
      <c r="AU2471" s="10" t="b">
        <f>IF(I2471="TP",VLOOKUP(AF2471,TPCalibEqFull!$AZ$2:$BB$56,3),IF(I2471="TDP",VLOOKUP(AF2471,TPCalibEqFull!$AZ$2:$BB$56,3),IF(I2471="TDN",VLOOKUP(AF2471,TNCalibEqFull!$AZ$1:$BB$56,3),IF(I2471="TN",VLOOKUP(AF2471,TNCalibEqFull!$AZ$1:$BB$56,3),FALSE))))</f>
        <v>0</v>
      </c>
      <c r="AV2471" s="10" t="str">
        <f t="shared" si="282"/>
        <v>0207 05:28:00-HST -0-FIL-1-SW-SPK</v>
      </c>
    </row>
    <row r="2472" spans="1:48" s="10" customFormat="1" x14ac:dyDescent="0.55000000000000004">
      <c r="A2472" s="32">
        <v>44966</v>
      </c>
      <c r="B2472" s="33">
        <v>0.375</v>
      </c>
      <c r="C2472" s="10" t="s">
        <v>70</v>
      </c>
      <c r="D2472" s="10" t="s">
        <v>71</v>
      </c>
      <c r="E2472" s="10" t="s">
        <v>901</v>
      </c>
      <c r="F2472" s="10">
        <v>1</v>
      </c>
      <c r="G2472" s="10" t="s">
        <v>73</v>
      </c>
      <c r="H2472" s="10" t="s">
        <v>207</v>
      </c>
      <c r="I2472" s="10" t="s">
        <v>256</v>
      </c>
      <c r="J2472" s="10">
        <v>202</v>
      </c>
      <c r="K2472" s="12">
        <v>44966</v>
      </c>
      <c r="L2472" s="33">
        <v>0.54804398148148148</v>
      </c>
      <c r="M2472" s="10">
        <v>1</v>
      </c>
      <c r="N2472" s="10" t="s">
        <v>169</v>
      </c>
      <c r="O2472" s="10">
        <v>2.2599999999999998</v>
      </c>
      <c r="P2472" s="10">
        <v>0.112</v>
      </c>
      <c r="Q2472" s="10">
        <v>279</v>
      </c>
      <c r="R2472" s="10" t="s">
        <v>77</v>
      </c>
      <c r="S2472" s="34">
        <f t="shared" si="277"/>
        <v>279</v>
      </c>
      <c r="T2472" s="10" t="s">
        <v>1176</v>
      </c>
      <c r="U2472" s="34">
        <f t="shared" si="280"/>
        <v>93</v>
      </c>
      <c r="V2472" s="31">
        <f>IF(H2472="CHK",VLOOKUP(I2472,QCCHK,3,),IF(H2472="GUP",VLOOKUP(E2472,QCGUP,2,),IF(AND(H2472="ATP",OR(I2472="TN",I2472="TDN",I2472="TNO2-3",I2472="NO2-3")),VLOOKUP(E2472,QCREC_N,2,),IF(AND(H2472="NIC",OR(I2472="TN",I2472="TDN",I2472="TNO2-3",I2472="NO2-3")),VLOOKUP(E2472,QCNIC_N,2,),IF(AND(H2472="UREA",OR(I2472="TN",I2472="TDN",I2472="TNO2-3",I2472="NO2-3")),VLOOKUP(E2472,QCUREA_N,2,),IF(H2472="PER",VLOOKUP(I2472,QCPER,MATCH(E2472,QCACTUAL!$J$25:$AA$25,0),),IF(H2472="SPK",VLOOKUP(I2472,QCSPK,3,),IF(AND(H2472="ATP",OR(I2472="TP",I2472="TDP")),VLOOKUP(E2472,QCATP_P,2,),""))))))))</f>
        <v>300</v>
      </c>
      <c r="W2472" s="31" t="str">
        <f t="shared" si="281"/>
        <v>TRUE</v>
      </c>
      <c r="X2472" s="31" t="str">
        <f t="shared" si="276"/>
        <v>[chk]/[actual]*100</v>
      </c>
      <c r="Y2472" s="10" t="s">
        <v>1144</v>
      </c>
      <c r="AL2472" s="10" t="str">
        <f t="shared" si="278"/>
        <v>FALSE</v>
      </c>
      <c r="AM2472" s="10" t="str">
        <f t="shared" si="278"/>
        <v>FALSE</v>
      </c>
      <c r="AN2472" s="10" t="str">
        <f t="shared" si="278"/>
        <v>FALSE</v>
      </c>
      <c r="AO2472" s="10" t="str">
        <f t="shared" si="279"/>
        <v>FALSE</v>
      </c>
      <c r="AP2472" s="10" t="str">
        <f t="shared" si="279"/>
        <v>FALSE</v>
      </c>
      <c r="AQ2472" s="10" t="b">
        <f>IF(AND(I2472="TP",S2472&lt;=150),VLOOKUP(AF2472,TPCalibEq150!$AZ$2:$BB$55,3,),IF(AND(I2472="TDP",S2472&lt;=150),VLOOKUP(AF2472,TPCalibEq150!$AZ$2:$BB$55,3,)))</f>
        <v>0</v>
      </c>
      <c r="AR2472" s="10" t="b">
        <f>IF(AND(I2472="TP",S2472&lt;=300),VLOOKUP(AF2472,TPCalibEq300!$AZ$2:$BB$55,3,),IF(AND(I2472="TDP",S2472&lt;=300),VLOOKUP(AF2472,TPCalibEq300!$AZ$2:$BB$55,3,)))</f>
        <v>0</v>
      </c>
      <c r="AS2472" s="10" t="b">
        <f>IF(AND(I2472="TP",S2472&lt;=500),VLOOKUP(AF2472,TPCalibEq500!$AZ$2:$BB$56,3,),IF(AND(I2472="TDP",S2472&lt;=500),VLOOKUP(AF2472,TPCalibEq500!$AZ$2:$BB$56,3,)))</f>
        <v>0</v>
      </c>
      <c r="AT2472" s="10" t="b">
        <f>IF(AND(I2472="TN",S2472&lt;=2800),VLOOKUP(AF2472,TNCalibEq2500!$AZ$2:$BB$56,3,),IF(AND(I2472="TDN",S2472&lt;=2800),VLOOKUP(AF2472,TNCalibEq2500!$AZ$2:$BB$56,3,)))</f>
        <v>0</v>
      </c>
      <c r="AU2472" s="10" t="b">
        <f>IF(I2472="TP",VLOOKUP(AF2472,TPCalibEqFull!$AZ$2:$BB$56,3),IF(I2472="TDP",VLOOKUP(AF2472,TPCalibEqFull!$AZ$2:$BB$56,3),IF(I2472="TDN",VLOOKUP(AF2472,TNCalibEqFull!$AZ$1:$BB$56,3),IF(I2472="TN",VLOOKUP(AF2472,TNCalibEqFull!$AZ$1:$BB$56,3),FALSE))))</f>
        <v>0</v>
      </c>
      <c r="AV2472" s="10" t="str">
        <f t="shared" si="282"/>
        <v>0209 09:00:00-QAC-STD-D-1-DI-CHK</v>
      </c>
    </row>
    <row r="2473" spans="1:48" s="10" customFormat="1" x14ac:dyDescent="0.55000000000000004">
      <c r="A2473" s="32">
        <v>44963</v>
      </c>
      <c r="B2473" s="33">
        <v>0.33749999999999997</v>
      </c>
      <c r="C2473" s="10" t="s">
        <v>998</v>
      </c>
      <c r="D2473" s="10">
        <v>0</v>
      </c>
      <c r="E2473" s="10" t="s">
        <v>911</v>
      </c>
      <c r="F2473" s="10">
        <v>1</v>
      </c>
      <c r="G2473" s="10" t="s">
        <v>231</v>
      </c>
      <c r="H2473" s="10" t="s">
        <v>322</v>
      </c>
      <c r="I2473" s="10" t="s">
        <v>209</v>
      </c>
      <c r="J2473" s="10">
        <v>70</v>
      </c>
      <c r="K2473" s="12">
        <v>44966</v>
      </c>
      <c r="L2473" s="33">
        <v>0.54885416666666664</v>
      </c>
      <c r="M2473" s="10">
        <v>1</v>
      </c>
      <c r="N2473" s="10" t="s">
        <v>169</v>
      </c>
      <c r="O2473" s="10">
        <v>19.3</v>
      </c>
      <c r="P2473" s="10">
        <v>0.93100000000000005</v>
      </c>
      <c r="Q2473" s="10">
        <v>2380</v>
      </c>
      <c r="R2473" s="10" t="s">
        <v>77</v>
      </c>
      <c r="S2473" s="34">
        <f t="shared" si="277"/>
        <v>2380</v>
      </c>
      <c r="T2473" s="10" t="s">
        <v>1176</v>
      </c>
      <c r="U2473" s="34" t="str">
        <f t="shared" si="280"/>
        <v/>
      </c>
      <c r="V2473" s="31" t="str">
        <f>IF(H2473="CHK",VLOOKUP(I2473,QCCHK,3,),IF(H2473="GUP",VLOOKUP(E2473,QCGUP,2,),IF(AND(H2473="ATP",OR(I2473="TN",I2473="TDN",I2473="TNO2-3",I2473="NO2-3")),VLOOKUP(E2473,QCREC_N,2,),IF(AND(H2473="NIC",OR(I2473="TN",I2473="TDN",I2473="TNO2-3",I2473="NO2-3")),VLOOKUP(E2473,QCNIC_N,2,),IF(AND(H2473="UREA",OR(I2473="TN",I2473="TDN",I2473="TNO2-3",I2473="NO2-3")),VLOOKUP(E2473,QCUREA_N,2,),IF(H2473="PER",VLOOKUP(I2473,QCPER,MATCH(E2473,QCACTUAL!$J$25:$AA$25,0),),IF(H2473="SPK",VLOOKUP(I2473,QCSPK,3,),IF(AND(H2473="ATP",OR(I2473="TP",I2473="TDP")),VLOOKUP(E2473,QCATP_P,2,),""))))))))</f>
        <v/>
      </c>
      <c r="W2473" s="31" t="str">
        <f t="shared" si="281"/>
        <v>TRUE</v>
      </c>
      <c r="X2473" s="31" t="str">
        <f t="shared" si="276"/>
        <v/>
      </c>
      <c r="Y2473" s="10" t="s">
        <v>1144</v>
      </c>
      <c r="Z2473" s="10" t="s">
        <v>1177</v>
      </c>
      <c r="AL2473" s="10" t="str">
        <f t="shared" si="278"/>
        <v>FALSE</v>
      </c>
      <c r="AM2473" s="10" t="str">
        <f t="shared" si="278"/>
        <v>FALSE</v>
      </c>
      <c r="AN2473" s="10" t="str">
        <f t="shared" si="278"/>
        <v>FALSE</v>
      </c>
      <c r="AO2473" s="10" t="str">
        <f t="shared" si="279"/>
        <v>FALSE</v>
      </c>
      <c r="AP2473" s="10" t="str">
        <f t="shared" si="279"/>
        <v>FALSE</v>
      </c>
      <c r="AQ2473" s="10" t="b">
        <f>IF(AND(I2473="TP",S2473&lt;=150),VLOOKUP(AF2473,TPCalibEq150!$AZ$2:$BB$55,3,),IF(AND(I2473="TDP",S2473&lt;=150),VLOOKUP(AF2473,TPCalibEq150!$AZ$2:$BB$55,3,)))</f>
        <v>0</v>
      </c>
      <c r="AR2473" s="10" t="b">
        <f>IF(AND(I2473="TP",S2473&lt;=300),VLOOKUP(AF2473,TPCalibEq300!$AZ$2:$BB$55,3,),IF(AND(I2473="TDP",S2473&lt;=300),VLOOKUP(AF2473,TPCalibEq300!$AZ$2:$BB$55,3,)))</f>
        <v>0</v>
      </c>
      <c r="AS2473" s="10" t="b">
        <f>IF(AND(I2473="TP",S2473&lt;=500),VLOOKUP(AF2473,TPCalibEq500!$AZ$2:$BB$56,3,),IF(AND(I2473="TDP",S2473&lt;=500),VLOOKUP(AF2473,TPCalibEq500!$AZ$2:$BB$56,3,)))</f>
        <v>0</v>
      </c>
      <c r="AT2473" s="10" t="b">
        <f>IF(AND(I2473="TN",S2473&lt;=2800),VLOOKUP(AF2473,TNCalibEq2500!$AZ$2:$BB$56,3,),IF(AND(I2473="TDN",S2473&lt;=2800),VLOOKUP(AF2473,TNCalibEq2500!$AZ$2:$BB$56,3,)))</f>
        <v>0</v>
      </c>
      <c r="AU2473" s="10" t="b">
        <f>IF(I2473="TP",VLOOKUP(AF2473,TPCalibEqFull!$AZ$2:$BB$56,3),IF(I2473="TDP",VLOOKUP(AF2473,TPCalibEqFull!$AZ$2:$BB$56,3),IF(I2473="TDN",VLOOKUP(AF2473,TNCalibEqFull!$AZ$1:$BB$56,3),IF(I2473="TN",VLOOKUP(AF2473,TNCalibEqFull!$AZ$1:$BB$56,3),FALSE))))</f>
        <v>0</v>
      </c>
      <c r="AV2473" s="10" t="str">
        <f t="shared" si="282"/>
        <v>0206 08:06:00-ELW-0-FIL-1-SW-UKN</v>
      </c>
    </row>
    <row r="2474" spans="1:48" s="10" customFormat="1" x14ac:dyDescent="0.55000000000000004">
      <c r="A2474" s="32">
        <v>44963</v>
      </c>
      <c r="B2474" s="33">
        <v>0.34930555555555554</v>
      </c>
      <c r="C2474" s="10" t="s">
        <v>260</v>
      </c>
      <c r="D2474" s="10">
        <v>0</v>
      </c>
      <c r="E2474" s="10" t="s">
        <v>911</v>
      </c>
      <c r="F2474" s="10">
        <v>1</v>
      </c>
      <c r="G2474" s="10" t="s">
        <v>231</v>
      </c>
      <c r="H2474" s="10" t="s">
        <v>322</v>
      </c>
      <c r="I2474" s="10" t="s">
        <v>209</v>
      </c>
      <c r="J2474" s="10">
        <v>71</v>
      </c>
      <c r="K2474" s="12">
        <v>44966</v>
      </c>
      <c r="L2474" s="33">
        <v>0.54966435185185192</v>
      </c>
      <c r="M2474" s="10">
        <v>1</v>
      </c>
      <c r="N2474" s="10" t="s">
        <v>169</v>
      </c>
      <c r="O2474" s="10">
        <v>23.9</v>
      </c>
      <c r="P2474" s="10">
        <v>1.1499999999999999</v>
      </c>
      <c r="Q2474" s="10">
        <v>2950</v>
      </c>
      <c r="R2474" s="10" t="s">
        <v>77</v>
      </c>
      <c r="S2474" s="34">
        <f t="shared" si="277"/>
        <v>2950</v>
      </c>
      <c r="T2474" s="10" t="s">
        <v>1176</v>
      </c>
      <c r="U2474" s="34" t="str">
        <f t="shared" si="280"/>
        <v/>
      </c>
      <c r="V2474" s="31" t="str">
        <f>IF(H2474="CHK",VLOOKUP(I2474,QCCHK,3,),IF(H2474="GUP",VLOOKUP(E2474,QCGUP,2,),IF(AND(H2474="ATP",OR(I2474="TN",I2474="TDN",I2474="TNO2-3",I2474="NO2-3")),VLOOKUP(E2474,QCREC_N,2,),IF(AND(H2474="NIC",OR(I2474="TN",I2474="TDN",I2474="TNO2-3",I2474="NO2-3")),VLOOKUP(E2474,QCNIC_N,2,),IF(AND(H2474="UREA",OR(I2474="TN",I2474="TDN",I2474="TNO2-3",I2474="NO2-3")),VLOOKUP(E2474,QCUREA_N,2,),IF(H2474="PER",VLOOKUP(I2474,QCPER,MATCH(E2474,QCACTUAL!$J$25:$AA$25,0),),IF(H2474="SPK",VLOOKUP(I2474,QCSPK,3,),IF(AND(H2474="ATP",OR(I2474="TP",I2474="TDP")),VLOOKUP(E2474,QCATP_P,2,),""))))))))</f>
        <v/>
      </c>
      <c r="W2474" s="31" t="str">
        <f t="shared" si="281"/>
        <v>TRUE</v>
      </c>
      <c r="X2474" s="31" t="str">
        <f t="shared" si="276"/>
        <v/>
      </c>
      <c r="Y2474" s="10" t="s">
        <v>1144</v>
      </c>
      <c r="Z2474" s="10" t="s">
        <v>1177</v>
      </c>
      <c r="AL2474" s="10" t="str">
        <f t="shared" si="278"/>
        <v>FALSE</v>
      </c>
      <c r="AM2474" s="10" t="str">
        <f t="shared" si="278"/>
        <v>FALSE</v>
      </c>
      <c r="AN2474" s="10" t="str">
        <f t="shared" si="278"/>
        <v>FALSE</v>
      </c>
      <c r="AO2474" s="10" t="str">
        <f t="shared" si="279"/>
        <v>FALSE</v>
      </c>
      <c r="AP2474" s="10" t="str">
        <f t="shared" si="279"/>
        <v>FALSE</v>
      </c>
      <c r="AQ2474" s="10" t="b">
        <f>IF(AND(I2474="TP",S2474&lt;=150),VLOOKUP(AF2474,TPCalibEq150!$AZ$2:$BB$55,3,),IF(AND(I2474="TDP",S2474&lt;=150),VLOOKUP(AF2474,TPCalibEq150!$AZ$2:$BB$55,3,)))</f>
        <v>0</v>
      </c>
      <c r="AR2474" s="10" t="b">
        <f>IF(AND(I2474="TP",S2474&lt;=300),VLOOKUP(AF2474,TPCalibEq300!$AZ$2:$BB$55,3,),IF(AND(I2474="TDP",S2474&lt;=300),VLOOKUP(AF2474,TPCalibEq300!$AZ$2:$BB$55,3,)))</f>
        <v>0</v>
      </c>
      <c r="AS2474" s="10" t="b">
        <f>IF(AND(I2474="TP",S2474&lt;=500),VLOOKUP(AF2474,TPCalibEq500!$AZ$2:$BB$56,3,),IF(AND(I2474="TDP",S2474&lt;=500),VLOOKUP(AF2474,TPCalibEq500!$AZ$2:$BB$56,3,)))</f>
        <v>0</v>
      </c>
      <c r="AT2474" s="10" t="b">
        <f>IF(AND(I2474="TN",S2474&lt;=2800),VLOOKUP(AF2474,TNCalibEq2500!$AZ$2:$BB$56,3,),IF(AND(I2474="TDN",S2474&lt;=2800),VLOOKUP(AF2474,TNCalibEq2500!$AZ$2:$BB$56,3,)))</f>
        <v>0</v>
      </c>
      <c r="AU2474" s="10" t="b">
        <f>IF(I2474="TP",VLOOKUP(AF2474,TPCalibEqFull!$AZ$2:$BB$56,3),IF(I2474="TDP",VLOOKUP(AF2474,TPCalibEqFull!$AZ$2:$BB$56,3),IF(I2474="TDN",VLOOKUP(AF2474,TNCalibEqFull!$AZ$1:$BB$56,3),IF(I2474="TN",VLOOKUP(AF2474,TNCalibEqFull!$AZ$1:$BB$56,3),FALSE))))</f>
        <v>0</v>
      </c>
      <c r="AV2474" s="10" t="str">
        <f t="shared" si="282"/>
        <v>0206 08:23:00-EFC-0-FIL-1-SW-UKN</v>
      </c>
    </row>
    <row r="2475" spans="1:48" s="10" customFormat="1" x14ac:dyDescent="0.55000000000000004">
      <c r="A2475" s="32">
        <v>44963</v>
      </c>
      <c r="B2475" s="33">
        <v>0.3611111111111111</v>
      </c>
      <c r="C2475" s="10" t="s">
        <v>543</v>
      </c>
      <c r="D2475" s="10">
        <v>0</v>
      </c>
      <c r="E2475" s="10" t="s">
        <v>911</v>
      </c>
      <c r="F2475" s="10">
        <v>1</v>
      </c>
      <c r="G2475" s="10" t="s">
        <v>231</v>
      </c>
      <c r="H2475" s="10" t="s">
        <v>322</v>
      </c>
      <c r="I2475" s="10" t="s">
        <v>209</v>
      </c>
      <c r="J2475" s="10">
        <v>72</v>
      </c>
      <c r="K2475" s="12">
        <v>44966</v>
      </c>
      <c r="L2475" s="33">
        <v>0.55047453703703708</v>
      </c>
      <c r="M2475" s="10">
        <v>1</v>
      </c>
      <c r="N2475" s="10" t="s">
        <v>169</v>
      </c>
      <c r="O2475" s="10">
        <v>2.21</v>
      </c>
      <c r="P2475" s="10">
        <v>0.105</v>
      </c>
      <c r="Q2475" s="10">
        <v>272</v>
      </c>
      <c r="R2475" s="10" t="s">
        <v>77</v>
      </c>
      <c r="S2475" s="34">
        <f t="shared" si="277"/>
        <v>272</v>
      </c>
      <c r="T2475" s="10" t="s">
        <v>1176</v>
      </c>
      <c r="U2475" s="34" t="str">
        <f t="shared" si="280"/>
        <v/>
      </c>
      <c r="V2475" s="31" t="str">
        <f>IF(H2475="CHK",VLOOKUP(I2475,QCCHK,3,),IF(H2475="GUP",VLOOKUP(E2475,QCGUP,2,),IF(AND(H2475="ATP",OR(I2475="TN",I2475="TDN",I2475="TNO2-3",I2475="NO2-3")),VLOOKUP(E2475,QCREC_N,2,),IF(AND(H2475="NIC",OR(I2475="TN",I2475="TDN",I2475="TNO2-3",I2475="NO2-3")),VLOOKUP(E2475,QCNIC_N,2,),IF(AND(H2475="UREA",OR(I2475="TN",I2475="TDN",I2475="TNO2-3",I2475="NO2-3")),VLOOKUP(E2475,QCUREA_N,2,),IF(H2475="PER",VLOOKUP(I2475,QCPER,MATCH(E2475,QCACTUAL!$J$25:$AA$25,0),),IF(H2475="SPK",VLOOKUP(I2475,QCSPK,3,),IF(AND(H2475="ATP",OR(I2475="TP",I2475="TDP")),VLOOKUP(E2475,QCATP_P,2,),""))))))))</f>
        <v/>
      </c>
      <c r="W2475" s="31" t="str">
        <f t="shared" si="281"/>
        <v>TRUE</v>
      </c>
      <c r="X2475" s="31" t="str">
        <f t="shared" si="276"/>
        <v/>
      </c>
      <c r="Y2475" s="10" t="s">
        <v>1144</v>
      </c>
      <c r="Z2475" s="10" t="s">
        <v>910</v>
      </c>
      <c r="AL2475" s="10" t="str">
        <f t="shared" si="278"/>
        <v>FALSE</v>
      </c>
      <c r="AM2475" s="10" t="str">
        <f t="shared" si="278"/>
        <v>FALSE</v>
      </c>
      <c r="AN2475" s="10" t="str">
        <f t="shared" si="278"/>
        <v>FALSE</v>
      </c>
      <c r="AO2475" s="10" t="str">
        <f t="shared" si="279"/>
        <v>FALSE</v>
      </c>
      <c r="AP2475" s="10" t="str">
        <f t="shared" si="279"/>
        <v>FALSE</v>
      </c>
      <c r="AQ2475" s="10" t="b">
        <f>IF(AND(I2475="TP",S2475&lt;=150),VLOOKUP(AF2475,TPCalibEq150!$AZ$2:$BB$55,3,),IF(AND(I2475="TDP",S2475&lt;=150),VLOOKUP(AF2475,TPCalibEq150!$AZ$2:$BB$55,3,)))</f>
        <v>0</v>
      </c>
      <c r="AR2475" s="10" t="b">
        <f>IF(AND(I2475="TP",S2475&lt;=300),VLOOKUP(AF2475,TPCalibEq300!$AZ$2:$BB$55,3,),IF(AND(I2475="TDP",S2475&lt;=300),VLOOKUP(AF2475,TPCalibEq300!$AZ$2:$BB$55,3,)))</f>
        <v>0</v>
      </c>
      <c r="AS2475" s="10" t="b">
        <f>IF(AND(I2475="TP",S2475&lt;=500),VLOOKUP(AF2475,TPCalibEq500!$AZ$2:$BB$56,3,),IF(AND(I2475="TDP",S2475&lt;=500),VLOOKUP(AF2475,TPCalibEq500!$AZ$2:$BB$56,3,)))</f>
        <v>0</v>
      </c>
      <c r="AT2475" s="10" t="b">
        <f>IF(AND(I2475="TN",S2475&lt;=2800),VLOOKUP(AF2475,TNCalibEq2500!$AZ$2:$BB$56,3,),IF(AND(I2475="TDN",S2475&lt;=2800),VLOOKUP(AF2475,TNCalibEq2500!$AZ$2:$BB$56,3,)))</f>
        <v>0</v>
      </c>
      <c r="AU2475" s="10" t="b">
        <f>IF(I2475="TP",VLOOKUP(AF2475,TPCalibEqFull!$AZ$2:$BB$56,3),IF(I2475="TDP",VLOOKUP(AF2475,TPCalibEqFull!$AZ$2:$BB$56,3),IF(I2475="TDN",VLOOKUP(AF2475,TNCalibEqFull!$AZ$1:$BB$56,3),IF(I2475="TN",VLOOKUP(AF2475,TNCalibEqFull!$AZ$1:$BB$56,3),FALSE))))</f>
        <v>0</v>
      </c>
      <c r="AV2475" s="10" t="str">
        <f t="shared" si="282"/>
        <v>0206 08:40:00-SAR-0-FIL-1-SW-UKN</v>
      </c>
    </row>
    <row r="2476" spans="1:48" s="10" customFormat="1" x14ac:dyDescent="0.55000000000000004">
      <c r="A2476" s="32">
        <v>44963</v>
      </c>
      <c r="B2476" s="33">
        <v>0.37916666666666665</v>
      </c>
      <c r="C2476" s="10" t="s">
        <v>361</v>
      </c>
      <c r="D2476" s="10">
        <v>0</v>
      </c>
      <c r="E2476" s="10" t="s">
        <v>911</v>
      </c>
      <c r="F2476" s="10">
        <v>1</v>
      </c>
      <c r="G2476" s="10" t="s">
        <v>231</v>
      </c>
      <c r="H2476" s="10" t="s">
        <v>322</v>
      </c>
      <c r="I2476" s="10" t="s">
        <v>209</v>
      </c>
      <c r="J2476" s="10">
        <v>73</v>
      </c>
      <c r="K2476" s="12">
        <v>44966</v>
      </c>
      <c r="L2476" s="33">
        <v>0.55128472222222225</v>
      </c>
      <c r="M2476" s="10">
        <v>1</v>
      </c>
      <c r="N2476" s="10" t="s">
        <v>169</v>
      </c>
      <c r="O2476" s="10">
        <v>2.65</v>
      </c>
      <c r="P2476" s="10">
        <v>0.122</v>
      </c>
      <c r="Q2476" s="10">
        <v>326</v>
      </c>
      <c r="R2476" s="10" t="s">
        <v>77</v>
      </c>
      <c r="S2476" s="34">
        <f t="shared" si="277"/>
        <v>326</v>
      </c>
      <c r="T2476" s="10" t="s">
        <v>1176</v>
      </c>
      <c r="U2476" s="34" t="str">
        <f t="shared" si="280"/>
        <v/>
      </c>
      <c r="V2476" s="31" t="str">
        <f>IF(H2476="CHK",VLOOKUP(I2476,QCCHK,3,),IF(H2476="GUP",VLOOKUP(E2476,QCGUP,2,),IF(AND(H2476="ATP",OR(I2476="TN",I2476="TDN",I2476="TNO2-3",I2476="NO2-3")),VLOOKUP(E2476,QCREC_N,2,),IF(AND(H2476="NIC",OR(I2476="TN",I2476="TDN",I2476="TNO2-3",I2476="NO2-3")),VLOOKUP(E2476,QCNIC_N,2,),IF(AND(H2476="UREA",OR(I2476="TN",I2476="TDN",I2476="TNO2-3",I2476="NO2-3")),VLOOKUP(E2476,QCUREA_N,2,),IF(H2476="PER",VLOOKUP(I2476,QCPER,MATCH(E2476,QCACTUAL!$J$25:$AA$25,0),),IF(H2476="SPK",VLOOKUP(I2476,QCSPK,3,),IF(AND(H2476="ATP",OR(I2476="TP",I2476="TDP")),VLOOKUP(E2476,QCATP_P,2,),""))))))))</f>
        <v/>
      </c>
      <c r="W2476" s="31" t="str">
        <f t="shared" si="281"/>
        <v>TRUE</v>
      </c>
      <c r="X2476" s="31" t="str">
        <f t="shared" si="276"/>
        <v/>
      </c>
      <c r="Y2476" s="10" t="s">
        <v>1144</v>
      </c>
      <c r="Z2476" s="10" t="s">
        <v>910</v>
      </c>
      <c r="AL2476" s="10" t="str">
        <f t="shared" si="278"/>
        <v>FALSE</v>
      </c>
      <c r="AM2476" s="10" t="str">
        <f t="shared" si="278"/>
        <v>FALSE</v>
      </c>
      <c r="AN2476" s="10" t="str">
        <f t="shared" si="278"/>
        <v>FALSE</v>
      </c>
      <c r="AO2476" s="10" t="str">
        <f t="shared" si="279"/>
        <v>FALSE</v>
      </c>
      <c r="AP2476" s="10" t="str">
        <f t="shared" si="279"/>
        <v>FALSE</v>
      </c>
      <c r="AQ2476" s="10" t="b">
        <f>IF(AND(I2476="TP",S2476&lt;=150),VLOOKUP(AF2476,TPCalibEq150!$AZ$2:$BB$55,3,),IF(AND(I2476="TDP",S2476&lt;=150),VLOOKUP(AF2476,TPCalibEq150!$AZ$2:$BB$55,3,)))</f>
        <v>0</v>
      </c>
      <c r="AR2476" s="10" t="b">
        <f>IF(AND(I2476="TP",S2476&lt;=300),VLOOKUP(AF2476,TPCalibEq300!$AZ$2:$BB$55,3,),IF(AND(I2476="TDP",S2476&lt;=300),VLOOKUP(AF2476,TPCalibEq300!$AZ$2:$BB$55,3,)))</f>
        <v>0</v>
      </c>
      <c r="AS2476" s="10" t="b">
        <f>IF(AND(I2476="TP",S2476&lt;=500),VLOOKUP(AF2476,TPCalibEq500!$AZ$2:$BB$56,3,),IF(AND(I2476="TDP",S2476&lt;=500),VLOOKUP(AF2476,TPCalibEq500!$AZ$2:$BB$56,3,)))</f>
        <v>0</v>
      </c>
      <c r="AT2476" s="10" t="b">
        <f>IF(AND(I2476="TN",S2476&lt;=2800),VLOOKUP(AF2476,TNCalibEq2500!$AZ$2:$BB$56,3,),IF(AND(I2476="TDN",S2476&lt;=2800),VLOOKUP(AF2476,TNCalibEq2500!$AZ$2:$BB$56,3,)))</f>
        <v>0</v>
      </c>
      <c r="AU2476" s="10" t="b">
        <f>IF(I2476="TP",VLOOKUP(AF2476,TPCalibEqFull!$AZ$2:$BB$56,3),IF(I2476="TDP",VLOOKUP(AF2476,TPCalibEqFull!$AZ$2:$BB$56,3),IF(I2476="TDN",VLOOKUP(AF2476,TNCalibEqFull!$AZ$1:$BB$56,3),IF(I2476="TN",VLOOKUP(AF2476,TNCalibEqFull!$AZ$1:$BB$56,3),FALSE))))</f>
        <v>0</v>
      </c>
      <c r="AV2476" s="10" t="str">
        <f t="shared" si="282"/>
        <v>0206 09:06:00-USR-0-FIL-1-SW-UKN</v>
      </c>
    </row>
    <row r="2477" spans="1:48" s="10" customFormat="1" x14ac:dyDescent="0.55000000000000004">
      <c r="A2477" s="32">
        <v>44963</v>
      </c>
      <c r="B2477" s="33">
        <v>0.39305555555555555</v>
      </c>
      <c r="C2477" s="10" t="s">
        <v>351</v>
      </c>
      <c r="D2477" s="10">
        <v>0</v>
      </c>
      <c r="E2477" s="10" t="s">
        <v>911</v>
      </c>
      <c r="F2477" s="10">
        <v>1</v>
      </c>
      <c r="G2477" s="10" t="s">
        <v>231</v>
      </c>
      <c r="H2477" s="10" t="s">
        <v>322</v>
      </c>
      <c r="I2477" s="10" t="s">
        <v>209</v>
      </c>
      <c r="J2477" s="10">
        <v>74</v>
      </c>
      <c r="K2477" s="12">
        <v>44966</v>
      </c>
      <c r="L2477" s="33">
        <v>0.55210648148148145</v>
      </c>
      <c r="M2477" s="10">
        <v>1</v>
      </c>
      <c r="N2477" s="10" t="s">
        <v>169</v>
      </c>
      <c r="O2477" s="10">
        <v>9.75</v>
      </c>
      <c r="P2477" s="10">
        <v>0.45300000000000001</v>
      </c>
      <c r="Q2477" s="10">
        <v>1200</v>
      </c>
      <c r="R2477" s="10" t="s">
        <v>77</v>
      </c>
      <c r="S2477" s="34">
        <f t="shared" si="277"/>
        <v>1200</v>
      </c>
      <c r="T2477" s="10" t="s">
        <v>1176</v>
      </c>
      <c r="U2477" s="34" t="str">
        <f t="shared" si="280"/>
        <v/>
      </c>
      <c r="V2477" s="31" t="str">
        <f>IF(H2477="CHK",VLOOKUP(I2477,QCCHK,3,),IF(H2477="GUP",VLOOKUP(E2477,QCGUP,2,),IF(AND(H2477="ATP",OR(I2477="TN",I2477="TDN",I2477="TNO2-3",I2477="NO2-3")),VLOOKUP(E2477,QCREC_N,2,),IF(AND(H2477="NIC",OR(I2477="TN",I2477="TDN",I2477="TNO2-3",I2477="NO2-3")),VLOOKUP(E2477,QCNIC_N,2,),IF(AND(H2477="UREA",OR(I2477="TN",I2477="TDN",I2477="TNO2-3",I2477="NO2-3")),VLOOKUP(E2477,QCUREA_N,2,),IF(H2477="PER",VLOOKUP(I2477,QCPER,MATCH(E2477,QCACTUAL!$J$25:$AA$25,0),),IF(H2477="SPK",VLOOKUP(I2477,QCSPK,3,),IF(AND(H2477="ATP",OR(I2477="TP",I2477="TDP")),VLOOKUP(E2477,QCATP_P,2,),""))))))))</f>
        <v/>
      </c>
      <c r="W2477" s="31" t="str">
        <f t="shared" si="281"/>
        <v>TRUE</v>
      </c>
      <c r="X2477" s="31" t="str">
        <f t="shared" si="276"/>
        <v/>
      </c>
      <c r="Y2477" s="10" t="s">
        <v>1144</v>
      </c>
      <c r="Z2477" s="10" t="s">
        <v>910</v>
      </c>
      <c r="AL2477" s="10" t="str">
        <f t="shared" si="278"/>
        <v>FALSE</v>
      </c>
      <c r="AM2477" s="10" t="str">
        <f t="shared" si="278"/>
        <v>FALSE</v>
      </c>
      <c r="AN2477" s="10" t="str">
        <f t="shared" si="278"/>
        <v>FALSE</v>
      </c>
      <c r="AO2477" s="10" t="str">
        <f t="shared" si="279"/>
        <v>FALSE</v>
      </c>
      <c r="AP2477" s="10" t="str">
        <f t="shared" si="279"/>
        <v>FALSE</v>
      </c>
      <c r="AQ2477" s="10" t="b">
        <f>IF(AND(I2477="TP",S2477&lt;=150),VLOOKUP(AF2477,TPCalibEq150!$AZ$2:$BB$55,3,),IF(AND(I2477="TDP",S2477&lt;=150),VLOOKUP(AF2477,TPCalibEq150!$AZ$2:$BB$55,3,)))</f>
        <v>0</v>
      </c>
      <c r="AR2477" s="10" t="b">
        <f>IF(AND(I2477="TP",S2477&lt;=300),VLOOKUP(AF2477,TPCalibEq300!$AZ$2:$BB$55,3,),IF(AND(I2477="TDP",S2477&lt;=300),VLOOKUP(AF2477,TPCalibEq300!$AZ$2:$BB$55,3,)))</f>
        <v>0</v>
      </c>
      <c r="AS2477" s="10" t="b">
        <f>IF(AND(I2477="TP",S2477&lt;=500),VLOOKUP(AF2477,TPCalibEq500!$AZ$2:$BB$56,3,),IF(AND(I2477="TDP",S2477&lt;=500),VLOOKUP(AF2477,TPCalibEq500!$AZ$2:$BB$56,3,)))</f>
        <v>0</v>
      </c>
      <c r="AT2477" s="10" t="b">
        <f>IF(AND(I2477="TN",S2477&lt;=2800),VLOOKUP(AF2477,TNCalibEq2500!$AZ$2:$BB$56,3,),IF(AND(I2477="TDN",S2477&lt;=2800),VLOOKUP(AF2477,TNCalibEq2500!$AZ$2:$BB$56,3,)))</f>
        <v>0</v>
      </c>
      <c r="AU2477" s="10" t="b">
        <f>IF(I2477="TP",VLOOKUP(AF2477,TPCalibEqFull!$AZ$2:$BB$56,3),IF(I2477="TDP",VLOOKUP(AF2477,TPCalibEqFull!$AZ$2:$BB$56,3),IF(I2477="TDN",VLOOKUP(AF2477,TNCalibEqFull!$AZ$1:$BB$56,3),IF(I2477="TN",VLOOKUP(AF2477,TNCalibEqFull!$AZ$1:$BB$56,3),FALSE))))</f>
        <v>0</v>
      </c>
      <c r="AV2477" s="10" t="str">
        <f t="shared" si="282"/>
        <v>0206 09:26:00-SHC-0-FIL-1-SW-UKN</v>
      </c>
    </row>
    <row r="2478" spans="1:48" s="10" customFormat="1" x14ac:dyDescent="0.55000000000000004">
      <c r="A2478" s="32">
        <v>44963</v>
      </c>
      <c r="B2478" s="33">
        <v>0.4055555555555555</v>
      </c>
      <c r="C2478" s="10" t="s">
        <v>355</v>
      </c>
      <c r="D2478" s="10">
        <v>0</v>
      </c>
      <c r="E2478" s="10" t="s">
        <v>911</v>
      </c>
      <c r="F2478" s="10">
        <v>1</v>
      </c>
      <c r="G2478" s="10" t="s">
        <v>231</v>
      </c>
      <c r="H2478" s="10" t="s">
        <v>322</v>
      </c>
      <c r="I2478" s="10" t="s">
        <v>209</v>
      </c>
      <c r="J2478" s="10">
        <v>75</v>
      </c>
      <c r="K2478" s="12">
        <v>44966</v>
      </c>
      <c r="L2478" s="33">
        <v>0.55290509259259257</v>
      </c>
      <c r="M2478" s="10">
        <v>1</v>
      </c>
      <c r="N2478" s="10" t="s">
        <v>169</v>
      </c>
      <c r="O2478" s="10">
        <v>4.46</v>
      </c>
      <c r="P2478" s="10">
        <v>0.20699999999999999</v>
      </c>
      <c r="Q2478" s="10">
        <v>550</v>
      </c>
      <c r="R2478" s="10" t="s">
        <v>77</v>
      </c>
      <c r="S2478" s="34">
        <f t="shared" si="277"/>
        <v>550</v>
      </c>
      <c r="T2478" s="10" t="s">
        <v>1176</v>
      </c>
      <c r="U2478" s="34" t="str">
        <f t="shared" si="280"/>
        <v/>
      </c>
      <c r="V2478" s="31" t="str">
        <f>IF(H2478="CHK",VLOOKUP(I2478,QCCHK,3,),IF(H2478="GUP",VLOOKUP(E2478,QCGUP,2,),IF(AND(H2478="ATP",OR(I2478="TN",I2478="TDN",I2478="TNO2-3",I2478="NO2-3")),VLOOKUP(E2478,QCREC_N,2,),IF(AND(H2478="NIC",OR(I2478="TN",I2478="TDN",I2478="TNO2-3",I2478="NO2-3")),VLOOKUP(E2478,QCNIC_N,2,),IF(AND(H2478="UREA",OR(I2478="TN",I2478="TDN",I2478="TNO2-3",I2478="NO2-3")),VLOOKUP(E2478,QCUREA_N,2,),IF(H2478="PER",VLOOKUP(I2478,QCPER,MATCH(E2478,QCACTUAL!$J$25:$AA$25,0),),IF(H2478="SPK",VLOOKUP(I2478,QCSPK,3,),IF(AND(H2478="ATP",OR(I2478="TP",I2478="TDP")),VLOOKUP(E2478,QCATP_P,2,),""))))))))</f>
        <v/>
      </c>
      <c r="W2478" s="31" t="str">
        <f t="shared" si="281"/>
        <v>TRUE</v>
      </c>
      <c r="X2478" s="31" t="str">
        <f t="shared" si="276"/>
        <v/>
      </c>
      <c r="Y2478" s="10" t="s">
        <v>1144</v>
      </c>
      <c r="Z2478" s="10" t="s">
        <v>910</v>
      </c>
      <c r="AL2478" s="10" t="str">
        <f t="shared" si="278"/>
        <v>FALSE</v>
      </c>
      <c r="AM2478" s="10" t="str">
        <f t="shared" si="278"/>
        <v>FALSE</v>
      </c>
      <c r="AN2478" s="10" t="str">
        <f t="shared" si="278"/>
        <v>FALSE</v>
      </c>
      <c r="AO2478" s="10" t="str">
        <f t="shared" si="279"/>
        <v>FALSE</v>
      </c>
      <c r="AP2478" s="10" t="str">
        <f t="shared" si="279"/>
        <v>FALSE</v>
      </c>
      <c r="AQ2478" s="10" t="b">
        <f>IF(AND(I2478="TP",S2478&lt;=150),VLOOKUP(AF2478,TPCalibEq150!$AZ$2:$BB$55,3,),IF(AND(I2478="TDP",S2478&lt;=150),VLOOKUP(AF2478,TPCalibEq150!$AZ$2:$BB$55,3,)))</f>
        <v>0</v>
      </c>
      <c r="AR2478" s="10" t="b">
        <f>IF(AND(I2478="TP",S2478&lt;=300),VLOOKUP(AF2478,TPCalibEq300!$AZ$2:$BB$55,3,),IF(AND(I2478="TDP",S2478&lt;=300),VLOOKUP(AF2478,TPCalibEq300!$AZ$2:$BB$55,3,)))</f>
        <v>0</v>
      </c>
      <c r="AS2478" s="10" t="b">
        <f>IF(AND(I2478="TP",S2478&lt;=500),VLOOKUP(AF2478,TPCalibEq500!$AZ$2:$BB$56,3,),IF(AND(I2478="TDP",S2478&lt;=500),VLOOKUP(AF2478,TPCalibEq500!$AZ$2:$BB$56,3,)))</f>
        <v>0</v>
      </c>
      <c r="AT2478" s="10" t="b">
        <f>IF(AND(I2478="TN",S2478&lt;=2800),VLOOKUP(AF2478,TNCalibEq2500!$AZ$2:$BB$56,3,),IF(AND(I2478="TDN",S2478&lt;=2800),VLOOKUP(AF2478,TNCalibEq2500!$AZ$2:$BB$56,3,)))</f>
        <v>0</v>
      </c>
      <c r="AU2478" s="10" t="b">
        <f>IF(I2478="TP",VLOOKUP(AF2478,TPCalibEqFull!$AZ$2:$BB$56,3),IF(I2478="TDP",VLOOKUP(AF2478,TPCalibEqFull!$AZ$2:$BB$56,3),IF(I2478="TDN",VLOOKUP(AF2478,TNCalibEqFull!$AZ$1:$BB$56,3),IF(I2478="TN",VLOOKUP(AF2478,TNCalibEqFull!$AZ$1:$BB$56,3),FALSE))))</f>
        <v>0</v>
      </c>
      <c r="AV2478" s="10" t="str">
        <f t="shared" si="282"/>
        <v>0206 09:44:00-SLT-0-FIL-1-SW-UKN</v>
      </c>
    </row>
    <row r="2479" spans="1:48" s="10" customFormat="1" x14ac:dyDescent="0.55000000000000004">
      <c r="A2479" s="32">
        <v>44963</v>
      </c>
      <c r="B2479" s="33">
        <v>0.4236111111111111</v>
      </c>
      <c r="C2479" s="10" t="s">
        <v>310</v>
      </c>
      <c r="D2479" s="10">
        <v>0</v>
      </c>
      <c r="E2479" s="10" t="s">
        <v>911</v>
      </c>
      <c r="F2479" s="10">
        <v>1</v>
      </c>
      <c r="G2479" s="10" t="s">
        <v>231</v>
      </c>
      <c r="H2479" s="10" t="s">
        <v>322</v>
      </c>
      <c r="I2479" s="10" t="s">
        <v>209</v>
      </c>
      <c r="J2479" s="10">
        <v>76</v>
      </c>
      <c r="K2479" s="12">
        <v>44966</v>
      </c>
      <c r="L2479" s="33">
        <v>0.55372685185185189</v>
      </c>
      <c r="M2479" s="10">
        <v>1</v>
      </c>
      <c r="N2479" s="10" t="s">
        <v>169</v>
      </c>
      <c r="O2479" s="10">
        <v>12.6</v>
      </c>
      <c r="P2479" s="10">
        <v>0.58399999999999996</v>
      </c>
      <c r="Q2479" s="10">
        <v>1550</v>
      </c>
      <c r="R2479" s="10" t="s">
        <v>77</v>
      </c>
      <c r="S2479" s="34">
        <f t="shared" si="277"/>
        <v>1550</v>
      </c>
      <c r="T2479" s="10" t="s">
        <v>1176</v>
      </c>
      <c r="U2479" s="34" t="str">
        <f t="shared" si="280"/>
        <v/>
      </c>
      <c r="V2479" s="31" t="str">
        <f>IF(H2479="CHK",VLOOKUP(I2479,QCCHK,3,),IF(H2479="GUP",VLOOKUP(E2479,QCGUP,2,),IF(AND(H2479="ATP",OR(I2479="TN",I2479="TDN",I2479="TNO2-3",I2479="NO2-3")),VLOOKUP(E2479,QCREC_N,2,),IF(AND(H2479="NIC",OR(I2479="TN",I2479="TDN",I2479="TNO2-3",I2479="NO2-3")),VLOOKUP(E2479,QCNIC_N,2,),IF(AND(H2479="UREA",OR(I2479="TN",I2479="TDN",I2479="TNO2-3",I2479="NO2-3")),VLOOKUP(E2479,QCUREA_N,2,),IF(H2479="PER",VLOOKUP(I2479,QCPER,MATCH(E2479,QCACTUAL!$J$25:$AA$25,0),),IF(H2479="SPK",VLOOKUP(I2479,QCSPK,3,),IF(AND(H2479="ATP",OR(I2479="TP",I2479="TDP")),VLOOKUP(E2479,QCATP_P,2,),""))))))))</f>
        <v/>
      </c>
      <c r="W2479" s="31" t="str">
        <f t="shared" si="281"/>
        <v>TRUE</v>
      </c>
      <c r="X2479" s="31" t="str">
        <f t="shared" si="276"/>
        <v/>
      </c>
      <c r="Y2479" s="10" t="s">
        <v>1144</v>
      </c>
      <c r="Z2479" s="10" t="s">
        <v>910</v>
      </c>
      <c r="AL2479" s="10" t="str">
        <f t="shared" si="278"/>
        <v>FALSE</v>
      </c>
      <c r="AM2479" s="10" t="str">
        <f t="shared" si="278"/>
        <v>FALSE</v>
      </c>
      <c r="AN2479" s="10" t="str">
        <f t="shared" si="278"/>
        <v>FALSE</v>
      </c>
      <c r="AO2479" s="10" t="str">
        <f t="shared" si="279"/>
        <v>FALSE</v>
      </c>
      <c r="AP2479" s="10" t="str">
        <f t="shared" si="279"/>
        <v>FALSE</v>
      </c>
      <c r="AQ2479" s="10" t="b">
        <f>IF(AND(I2479="TP",S2479&lt;=150),VLOOKUP(AF2479,TPCalibEq150!$AZ$2:$BB$55,3,),IF(AND(I2479="TDP",S2479&lt;=150),VLOOKUP(AF2479,TPCalibEq150!$AZ$2:$BB$55,3,)))</f>
        <v>0</v>
      </c>
      <c r="AR2479" s="10" t="b">
        <f>IF(AND(I2479="TP",S2479&lt;=300),VLOOKUP(AF2479,TPCalibEq300!$AZ$2:$BB$55,3,),IF(AND(I2479="TDP",S2479&lt;=300),VLOOKUP(AF2479,TPCalibEq300!$AZ$2:$BB$55,3,)))</f>
        <v>0</v>
      </c>
      <c r="AS2479" s="10" t="b">
        <f>IF(AND(I2479="TP",S2479&lt;=500),VLOOKUP(AF2479,TPCalibEq500!$AZ$2:$BB$56,3,),IF(AND(I2479="TDP",S2479&lt;=500),VLOOKUP(AF2479,TPCalibEq500!$AZ$2:$BB$56,3,)))</f>
        <v>0</v>
      </c>
      <c r="AT2479" s="10" t="b">
        <f>IF(AND(I2479="TN",S2479&lt;=2800),VLOOKUP(AF2479,TNCalibEq2500!$AZ$2:$BB$56,3,),IF(AND(I2479="TDN",S2479&lt;=2800),VLOOKUP(AF2479,TNCalibEq2500!$AZ$2:$BB$56,3,)))</f>
        <v>0</v>
      </c>
      <c r="AU2479" s="10" t="b">
        <f>IF(I2479="TP",VLOOKUP(AF2479,TPCalibEqFull!$AZ$2:$BB$56,3),IF(I2479="TDP",VLOOKUP(AF2479,TPCalibEqFull!$AZ$2:$BB$56,3),IF(I2479="TDN",VLOOKUP(AF2479,TNCalibEqFull!$AZ$1:$BB$56,3),IF(I2479="TN",VLOOKUP(AF2479,TNCalibEqFull!$AZ$1:$BB$56,3),FALSE))))</f>
        <v>0</v>
      </c>
      <c r="AV2479" s="10" t="str">
        <f t="shared" si="282"/>
        <v>0206 10:10:00-ELI-0-FIL-1-SW-UKN</v>
      </c>
    </row>
    <row r="2480" spans="1:48" s="10" customFormat="1" x14ac:dyDescent="0.55000000000000004">
      <c r="A2480" s="32">
        <v>44963</v>
      </c>
      <c r="B2480" s="33">
        <v>0.44930555555555557</v>
      </c>
      <c r="C2480" s="10" t="s">
        <v>999</v>
      </c>
      <c r="D2480" s="10">
        <v>0</v>
      </c>
      <c r="E2480" s="10" t="s">
        <v>911</v>
      </c>
      <c r="F2480" s="10">
        <v>1</v>
      </c>
      <c r="G2480" s="10" t="s">
        <v>231</v>
      </c>
      <c r="H2480" s="10" t="s">
        <v>322</v>
      </c>
      <c r="I2480" s="10" t="s">
        <v>209</v>
      </c>
      <c r="J2480" s="10">
        <v>77</v>
      </c>
      <c r="K2480" s="12">
        <v>44966</v>
      </c>
      <c r="L2480" s="33">
        <v>0.55456018518518524</v>
      </c>
      <c r="M2480" s="10">
        <v>1</v>
      </c>
      <c r="N2480" s="10" t="s">
        <v>169</v>
      </c>
      <c r="O2480" s="10">
        <v>14.5</v>
      </c>
      <c r="P2480" s="10">
        <v>0.67400000000000004</v>
      </c>
      <c r="Q2480" s="10">
        <v>1790</v>
      </c>
      <c r="R2480" s="10" t="s">
        <v>77</v>
      </c>
      <c r="S2480" s="34">
        <f t="shared" si="277"/>
        <v>1790</v>
      </c>
      <c r="T2480" s="10" t="s">
        <v>1176</v>
      </c>
      <c r="U2480" s="34" t="str">
        <f t="shared" si="280"/>
        <v/>
      </c>
      <c r="V2480" s="31" t="str">
        <f>IF(H2480="CHK",VLOOKUP(I2480,QCCHK,3,),IF(H2480="GUP",VLOOKUP(E2480,QCGUP,2,),IF(AND(H2480="ATP",OR(I2480="TN",I2480="TDN",I2480="TNO2-3",I2480="NO2-3")),VLOOKUP(E2480,QCREC_N,2,),IF(AND(H2480="NIC",OR(I2480="TN",I2480="TDN",I2480="TNO2-3",I2480="NO2-3")),VLOOKUP(E2480,QCNIC_N,2,),IF(AND(H2480="UREA",OR(I2480="TN",I2480="TDN",I2480="TNO2-3",I2480="NO2-3")),VLOOKUP(E2480,QCUREA_N,2,),IF(H2480="PER",VLOOKUP(I2480,QCPER,MATCH(E2480,QCACTUAL!$J$25:$AA$25,0),),IF(H2480="SPK",VLOOKUP(I2480,QCSPK,3,),IF(AND(H2480="ATP",OR(I2480="TP",I2480="TDP")),VLOOKUP(E2480,QCATP_P,2,),""))))))))</f>
        <v/>
      </c>
      <c r="W2480" s="31" t="str">
        <f t="shared" si="281"/>
        <v>TRUE</v>
      </c>
      <c r="X2480" s="31" t="str">
        <f t="shared" si="276"/>
        <v/>
      </c>
      <c r="Y2480" s="10" t="s">
        <v>1144</v>
      </c>
      <c r="Z2480" s="10" t="s">
        <v>910</v>
      </c>
      <c r="AL2480" s="10" t="str">
        <f t="shared" si="278"/>
        <v>FALSE</v>
      </c>
      <c r="AM2480" s="10" t="str">
        <f t="shared" si="278"/>
        <v>FALSE</v>
      </c>
      <c r="AN2480" s="10" t="str">
        <f t="shared" si="278"/>
        <v>FALSE</v>
      </c>
      <c r="AO2480" s="10" t="str">
        <f t="shared" si="279"/>
        <v>FALSE</v>
      </c>
      <c r="AP2480" s="10" t="str">
        <f t="shared" si="279"/>
        <v>FALSE</v>
      </c>
      <c r="AQ2480" s="10" t="b">
        <f>IF(AND(I2480="TP",S2480&lt;=150),VLOOKUP(AF2480,TPCalibEq150!$AZ$2:$BB$55,3,),IF(AND(I2480="TDP",S2480&lt;=150),VLOOKUP(AF2480,TPCalibEq150!$AZ$2:$BB$55,3,)))</f>
        <v>0</v>
      </c>
      <c r="AR2480" s="10" t="b">
        <f>IF(AND(I2480="TP",S2480&lt;=300),VLOOKUP(AF2480,TPCalibEq300!$AZ$2:$BB$55,3,),IF(AND(I2480="TDP",S2480&lt;=300),VLOOKUP(AF2480,TPCalibEq300!$AZ$2:$BB$55,3,)))</f>
        <v>0</v>
      </c>
      <c r="AS2480" s="10" t="b">
        <f>IF(AND(I2480="TP",S2480&lt;=500),VLOOKUP(AF2480,TPCalibEq500!$AZ$2:$BB$56,3,),IF(AND(I2480="TDP",S2480&lt;=500),VLOOKUP(AF2480,TPCalibEq500!$AZ$2:$BB$56,3,)))</f>
        <v>0</v>
      </c>
      <c r="AT2480" s="10" t="b">
        <f>IF(AND(I2480="TN",S2480&lt;=2800),VLOOKUP(AF2480,TNCalibEq2500!$AZ$2:$BB$56,3,),IF(AND(I2480="TDN",S2480&lt;=2800),VLOOKUP(AF2480,TNCalibEq2500!$AZ$2:$BB$56,3,)))</f>
        <v>0</v>
      </c>
      <c r="AU2480" s="10" t="b">
        <f>IF(I2480="TP",VLOOKUP(AF2480,TPCalibEqFull!$AZ$2:$BB$56,3),IF(I2480="TDP",VLOOKUP(AF2480,TPCalibEqFull!$AZ$2:$BB$56,3),IF(I2480="TDN",VLOOKUP(AF2480,TNCalibEqFull!$AZ$1:$BB$56,3),IF(I2480="TN",VLOOKUP(AF2480,TNCalibEqFull!$AZ$1:$BB$56,3),FALSE))))</f>
        <v>0</v>
      </c>
      <c r="AV2480" s="10" t="str">
        <f t="shared" si="282"/>
        <v>0206 10:47:00-EAW-0-FIL-1-SW-UKN</v>
      </c>
    </row>
    <row r="2481" spans="1:48" s="10" customFormat="1" x14ac:dyDescent="0.55000000000000004">
      <c r="A2481" s="32">
        <v>44963</v>
      </c>
      <c r="B2481" s="33">
        <v>0.4604166666666667</v>
      </c>
      <c r="C2481" s="10" t="s">
        <v>613</v>
      </c>
      <c r="D2481" s="10">
        <v>0</v>
      </c>
      <c r="E2481" s="10" t="s">
        <v>911</v>
      </c>
      <c r="F2481" s="10">
        <v>1</v>
      </c>
      <c r="G2481" s="10" t="s">
        <v>231</v>
      </c>
      <c r="H2481" s="10" t="s">
        <v>322</v>
      </c>
      <c r="I2481" s="10" t="s">
        <v>209</v>
      </c>
      <c r="J2481" s="10">
        <v>78</v>
      </c>
      <c r="K2481" s="12">
        <v>44966</v>
      </c>
      <c r="L2481" s="33">
        <v>0.55538194444444444</v>
      </c>
      <c r="M2481" s="10">
        <v>1</v>
      </c>
      <c r="N2481" s="10" t="s">
        <v>169</v>
      </c>
      <c r="O2481" s="10">
        <v>2.93</v>
      </c>
      <c r="P2481" s="10">
        <v>0.13600000000000001</v>
      </c>
      <c r="Q2481" s="10">
        <v>362</v>
      </c>
      <c r="R2481" s="10" t="s">
        <v>77</v>
      </c>
      <c r="S2481" s="34">
        <f t="shared" si="277"/>
        <v>362</v>
      </c>
      <c r="T2481" s="10" t="s">
        <v>1176</v>
      </c>
      <c r="U2481" s="34" t="str">
        <f t="shared" si="280"/>
        <v/>
      </c>
      <c r="V2481" s="31" t="str">
        <f>IF(H2481="CHK",VLOOKUP(I2481,QCCHK,3,),IF(H2481="GUP",VLOOKUP(E2481,QCGUP,2,),IF(AND(H2481="ATP",OR(I2481="TN",I2481="TDN",I2481="TNO2-3",I2481="NO2-3")),VLOOKUP(E2481,QCREC_N,2,),IF(AND(H2481="NIC",OR(I2481="TN",I2481="TDN",I2481="TNO2-3",I2481="NO2-3")),VLOOKUP(E2481,QCNIC_N,2,),IF(AND(H2481="UREA",OR(I2481="TN",I2481="TDN",I2481="TNO2-3",I2481="NO2-3")),VLOOKUP(E2481,QCUREA_N,2,),IF(H2481="PER",VLOOKUP(I2481,QCPER,MATCH(E2481,QCACTUAL!$J$25:$AA$25,0),),IF(H2481="SPK",VLOOKUP(I2481,QCSPK,3,),IF(AND(H2481="ATP",OR(I2481="TP",I2481="TDP")),VLOOKUP(E2481,QCATP_P,2,),""))))))))</f>
        <v/>
      </c>
      <c r="W2481" s="31" t="str">
        <f t="shared" si="281"/>
        <v>TRUE</v>
      </c>
      <c r="X2481" s="31" t="str">
        <f t="shared" si="276"/>
        <v/>
      </c>
      <c r="Y2481" s="10" t="s">
        <v>1144</v>
      </c>
      <c r="Z2481" s="10" t="s">
        <v>910</v>
      </c>
      <c r="AL2481" s="10" t="str">
        <f t="shared" si="278"/>
        <v>FALSE</v>
      </c>
      <c r="AM2481" s="10" t="str">
        <f t="shared" si="278"/>
        <v>FALSE</v>
      </c>
      <c r="AN2481" s="10" t="str">
        <f t="shared" si="278"/>
        <v>FALSE</v>
      </c>
      <c r="AO2481" s="10" t="str">
        <f t="shared" si="279"/>
        <v>FALSE</v>
      </c>
      <c r="AP2481" s="10" t="str">
        <f t="shared" si="279"/>
        <v>FALSE</v>
      </c>
      <c r="AQ2481" s="10" t="b">
        <f>IF(AND(I2481="TP",S2481&lt;=150),VLOOKUP(AF2481,TPCalibEq150!$AZ$2:$BB$55,3,),IF(AND(I2481="TDP",S2481&lt;=150),VLOOKUP(AF2481,TPCalibEq150!$AZ$2:$BB$55,3,)))</f>
        <v>0</v>
      </c>
      <c r="AR2481" s="10" t="b">
        <f>IF(AND(I2481="TP",S2481&lt;=300),VLOOKUP(AF2481,TPCalibEq300!$AZ$2:$BB$55,3,),IF(AND(I2481="TDP",S2481&lt;=300),VLOOKUP(AF2481,TPCalibEq300!$AZ$2:$BB$55,3,)))</f>
        <v>0</v>
      </c>
      <c r="AS2481" s="10" t="b">
        <f>IF(AND(I2481="TP",S2481&lt;=500),VLOOKUP(AF2481,TPCalibEq500!$AZ$2:$BB$56,3,),IF(AND(I2481="TDP",S2481&lt;=500),VLOOKUP(AF2481,TPCalibEq500!$AZ$2:$BB$56,3,)))</f>
        <v>0</v>
      </c>
      <c r="AT2481" s="10" t="b">
        <f>IF(AND(I2481="TN",S2481&lt;=2800),VLOOKUP(AF2481,TNCalibEq2500!$AZ$2:$BB$56,3,),IF(AND(I2481="TDN",S2481&lt;=2800),VLOOKUP(AF2481,TNCalibEq2500!$AZ$2:$BB$56,3,)))</f>
        <v>0</v>
      </c>
      <c r="AU2481" s="10" t="b">
        <f>IF(I2481="TP",VLOOKUP(AF2481,TPCalibEqFull!$AZ$2:$BB$56,3),IF(I2481="TDP",VLOOKUP(AF2481,TPCalibEqFull!$AZ$2:$BB$56,3),IF(I2481="TDN",VLOOKUP(AF2481,TNCalibEqFull!$AZ$1:$BB$56,3),IF(I2481="TN",VLOOKUP(AF2481,TNCalibEqFull!$AZ$1:$BB$56,3),FALSE))))</f>
        <v>0</v>
      </c>
      <c r="AV2481" s="10" t="str">
        <f t="shared" si="282"/>
        <v>0206 11:03:00-FVC-0-FIL-1-SW-UKN</v>
      </c>
    </row>
    <row r="2482" spans="1:48" s="10" customFormat="1" x14ac:dyDescent="0.55000000000000004">
      <c r="A2482" s="32">
        <v>44963</v>
      </c>
      <c r="B2482" s="33">
        <v>0.4604166666666667</v>
      </c>
      <c r="C2482" s="10" t="s">
        <v>613</v>
      </c>
      <c r="D2482" s="10">
        <v>0</v>
      </c>
      <c r="E2482" s="10" t="s">
        <v>911</v>
      </c>
      <c r="F2482" s="10">
        <v>2</v>
      </c>
      <c r="G2482" s="10" t="s">
        <v>231</v>
      </c>
      <c r="H2482" s="10" t="s">
        <v>322</v>
      </c>
      <c r="I2482" s="10" t="s">
        <v>209</v>
      </c>
      <c r="J2482" s="10">
        <v>79</v>
      </c>
      <c r="K2482" s="12">
        <v>44966</v>
      </c>
      <c r="L2482" s="33">
        <v>0.55620370370370364</v>
      </c>
      <c r="M2482" s="10">
        <v>1</v>
      </c>
      <c r="N2482" s="10" t="s">
        <v>169</v>
      </c>
      <c r="O2482" s="10">
        <v>2.9</v>
      </c>
      <c r="P2482" s="10">
        <v>0.13300000000000001</v>
      </c>
      <c r="Q2482" s="10">
        <v>357</v>
      </c>
      <c r="R2482" s="10" t="s">
        <v>77</v>
      </c>
      <c r="S2482" s="34">
        <f t="shared" si="277"/>
        <v>357</v>
      </c>
      <c r="T2482" s="10" t="s">
        <v>1176</v>
      </c>
      <c r="U2482" s="34" t="str">
        <f t="shared" si="280"/>
        <v/>
      </c>
      <c r="V2482" s="31" t="str">
        <f>IF(H2482="CHK",VLOOKUP(I2482,QCCHK,3,),IF(H2482="GUP",VLOOKUP(E2482,QCGUP,2,),IF(AND(H2482="ATP",OR(I2482="TN",I2482="TDN",I2482="TNO2-3",I2482="NO2-3")),VLOOKUP(E2482,QCREC_N,2,),IF(AND(H2482="NIC",OR(I2482="TN",I2482="TDN",I2482="TNO2-3",I2482="NO2-3")),VLOOKUP(E2482,QCNIC_N,2,),IF(AND(H2482="UREA",OR(I2482="TN",I2482="TDN",I2482="TNO2-3",I2482="NO2-3")),VLOOKUP(E2482,QCUREA_N,2,),IF(H2482="PER",VLOOKUP(I2482,QCPER,MATCH(E2482,QCACTUAL!$J$25:$AA$25,0),),IF(H2482="SPK",VLOOKUP(I2482,QCSPK,3,),IF(AND(H2482="ATP",OR(I2482="TP",I2482="TDP")),VLOOKUP(E2482,QCATP_P,2,),""))))))))</f>
        <v/>
      </c>
      <c r="W2482" s="31" t="str">
        <f t="shared" si="281"/>
        <v>TRUE</v>
      </c>
      <c r="X2482" s="31" t="str">
        <f t="shared" si="276"/>
        <v/>
      </c>
      <c r="Y2482" s="10" t="s">
        <v>1144</v>
      </c>
      <c r="Z2482" s="10" t="s">
        <v>910</v>
      </c>
      <c r="AL2482" s="10" t="str">
        <f t="shared" si="278"/>
        <v>FALSE</v>
      </c>
      <c r="AM2482" s="10" t="str">
        <f t="shared" si="278"/>
        <v>FALSE</v>
      </c>
      <c r="AN2482" s="10" t="str">
        <f t="shared" si="278"/>
        <v>FALSE</v>
      </c>
      <c r="AO2482" s="10" t="str">
        <f t="shared" si="279"/>
        <v>FALSE</v>
      </c>
      <c r="AP2482" s="10" t="str">
        <f t="shared" si="279"/>
        <v>FALSE</v>
      </c>
      <c r="AQ2482" s="10" t="b">
        <f>IF(AND(I2482="TP",S2482&lt;=150),VLOOKUP(AF2482,TPCalibEq150!$AZ$2:$BB$55,3,),IF(AND(I2482="TDP",S2482&lt;=150),VLOOKUP(AF2482,TPCalibEq150!$AZ$2:$BB$55,3,)))</f>
        <v>0</v>
      </c>
      <c r="AR2482" s="10" t="b">
        <f>IF(AND(I2482="TP",S2482&lt;=300),VLOOKUP(AF2482,TPCalibEq300!$AZ$2:$BB$55,3,),IF(AND(I2482="TDP",S2482&lt;=300),VLOOKUP(AF2482,TPCalibEq300!$AZ$2:$BB$55,3,)))</f>
        <v>0</v>
      </c>
      <c r="AS2482" s="10" t="b">
        <f>IF(AND(I2482="TP",S2482&lt;=500),VLOOKUP(AF2482,TPCalibEq500!$AZ$2:$BB$56,3,),IF(AND(I2482="TDP",S2482&lt;=500),VLOOKUP(AF2482,TPCalibEq500!$AZ$2:$BB$56,3,)))</f>
        <v>0</v>
      </c>
      <c r="AT2482" s="10" t="b">
        <f>IF(AND(I2482="TN",S2482&lt;=2800),VLOOKUP(AF2482,TNCalibEq2500!$AZ$2:$BB$56,3,),IF(AND(I2482="TDN",S2482&lt;=2800),VLOOKUP(AF2482,TNCalibEq2500!$AZ$2:$BB$56,3,)))</f>
        <v>0</v>
      </c>
      <c r="AU2482" s="10" t="b">
        <f>IF(I2482="TP",VLOOKUP(AF2482,TPCalibEqFull!$AZ$2:$BB$56,3),IF(I2482="TDP",VLOOKUP(AF2482,TPCalibEqFull!$AZ$2:$BB$56,3),IF(I2482="TDN",VLOOKUP(AF2482,TNCalibEqFull!$AZ$1:$BB$56,3),IF(I2482="TN",VLOOKUP(AF2482,TNCalibEqFull!$AZ$1:$BB$56,3),FALSE))))</f>
        <v>0</v>
      </c>
      <c r="AV2482" s="10" t="str">
        <f t="shared" si="282"/>
        <v>0206 11:03:00-FVC-0-FIL-2-SW-UKN</v>
      </c>
    </row>
    <row r="2483" spans="1:48" s="10" customFormat="1" x14ac:dyDescent="0.55000000000000004">
      <c r="A2483" s="32">
        <v>44963</v>
      </c>
      <c r="B2483" s="33">
        <v>0.4604166666666667</v>
      </c>
      <c r="C2483" s="10" t="s">
        <v>613</v>
      </c>
      <c r="D2483" s="10">
        <v>0</v>
      </c>
      <c r="E2483" s="10" t="s">
        <v>911</v>
      </c>
      <c r="F2483" s="10">
        <v>2</v>
      </c>
      <c r="G2483" s="10" t="s">
        <v>231</v>
      </c>
      <c r="H2483" s="10" t="s">
        <v>233</v>
      </c>
      <c r="I2483" s="10" t="s">
        <v>209</v>
      </c>
      <c r="J2483" s="10">
        <v>79</v>
      </c>
      <c r="K2483" s="12">
        <v>44966</v>
      </c>
      <c r="L2483" s="33">
        <v>0.55701388888888892</v>
      </c>
      <c r="M2483" s="10">
        <v>1</v>
      </c>
      <c r="N2483" s="10" t="s">
        <v>169</v>
      </c>
      <c r="O2483" s="10">
        <v>0.86799999999999999</v>
      </c>
      <c r="P2483" s="10">
        <v>4.0899999999999999E-2</v>
      </c>
      <c r="Q2483" s="10">
        <v>107</v>
      </c>
      <c r="R2483" s="10" t="s">
        <v>77</v>
      </c>
      <c r="S2483" s="34">
        <f t="shared" si="277"/>
        <v>107</v>
      </c>
      <c r="T2483" s="10" t="s">
        <v>1176</v>
      </c>
      <c r="U2483" s="34">
        <f t="shared" si="280"/>
        <v>107.75862068965519</v>
      </c>
      <c r="V2483" s="31" t="str">
        <f>IF(H2483="CHK",VLOOKUP(I2483,QCCHK,3,),IF(H2483="GUP",VLOOKUP(E2483,QCGUP,2,),IF(AND(H2483="ATP",OR(I2483="TN",I2483="TDN",I2483="TNO2-3",I2483="NO2-3")),VLOOKUP(E2483,QCREC_N,2,),IF(AND(H2483="NIC",OR(I2483="TN",I2483="TDN",I2483="TNO2-3",I2483="NO2-3")),VLOOKUP(E2483,QCNIC_N,2,),IF(AND(H2483="UREA",OR(I2483="TN",I2483="TDN",I2483="TNO2-3",I2483="NO2-3")),VLOOKUP(E2483,QCUREA_N,2,),IF(H2483="PER",VLOOKUP(I2483,QCPER,MATCH(E2483,QCACTUAL!$J$25:$AA$25,0),),IF(H2483="SPK",VLOOKUP(I2483,QCSPK,3,),IF(AND(H2483="ATP",OR(I2483="TP",I2483="TDP")),VLOOKUP(E2483,QCATP_P,2,),""))))))))</f>
        <v/>
      </c>
      <c r="W2483" s="31" t="str">
        <f t="shared" si="281"/>
        <v>FALSE</v>
      </c>
      <c r="X2483" s="31" t="str">
        <f t="shared" si="276"/>
        <v>((ABS(rep1-rep2))/((rep1+rep2)/2)*100</v>
      </c>
      <c r="Y2483" s="10" t="s">
        <v>1144</v>
      </c>
      <c r="Z2483" s="10" t="s">
        <v>910</v>
      </c>
      <c r="AL2483" s="10" t="str">
        <f t="shared" si="278"/>
        <v>FALSE</v>
      </c>
      <c r="AM2483" s="10" t="str">
        <f t="shared" si="278"/>
        <v>FALSE</v>
      </c>
      <c r="AN2483" s="10" t="str">
        <f t="shared" si="278"/>
        <v>FALSE</v>
      </c>
      <c r="AO2483" s="10" t="str">
        <f t="shared" si="279"/>
        <v>FALSE</v>
      </c>
      <c r="AP2483" s="10" t="str">
        <f t="shared" si="279"/>
        <v>FALSE</v>
      </c>
      <c r="AQ2483" s="10" t="b">
        <f>IF(AND(I2483="TP",S2483&lt;=150),VLOOKUP(AF2483,TPCalibEq150!$AZ$2:$BB$55,3,),IF(AND(I2483="TDP",S2483&lt;=150),VLOOKUP(AF2483,TPCalibEq150!$AZ$2:$BB$55,3,)))</f>
        <v>0</v>
      </c>
      <c r="AR2483" s="10" t="b">
        <f>IF(AND(I2483="TP",S2483&lt;=300),VLOOKUP(AF2483,TPCalibEq300!$AZ$2:$BB$55,3,),IF(AND(I2483="TDP",S2483&lt;=300),VLOOKUP(AF2483,TPCalibEq300!$AZ$2:$BB$55,3,)))</f>
        <v>0</v>
      </c>
      <c r="AS2483" s="10" t="b">
        <f>IF(AND(I2483="TP",S2483&lt;=500),VLOOKUP(AF2483,TPCalibEq500!$AZ$2:$BB$56,3,),IF(AND(I2483="TDP",S2483&lt;=500),VLOOKUP(AF2483,TPCalibEq500!$AZ$2:$BB$56,3,)))</f>
        <v>0</v>
      </c>
      <c r="AT2483" s="10" t="b">
        <f>IF(AND(I2483="TN",S2483&lt;=2800),VLOOKUP(AF2483,TNCalibEq2500!$AZ$2:$BB$56,3,),IF(AND(I2483="TDN",S2483&lt;=2800),VLOOKUP(AF2483,TNCalibEq2500!$AZ$2:$BB$56,3,)))</f>
        <v>0</v>
      </c>
      <c r="AU2483" s="10" t="b">
        <f>IF(I2483="TP",VLOOKUP(AF2483,TPCalibEqFull!$AZ$2:$BB$56,3),IF(I2483="TDP",VLOOKUP(AF2483,TPCalibEqFull!$AZ$2:$BB$56,3),IF(I2483="TDN",VLOOKUP(AF2483,TNCalibEqFull!$AZ$1:$BB$56,3),IF(I2483="TN",VLOOKUP(AF2483,TNCalibEqFull!$AZ$1:$BB$56,3),FALSE))))</f>
        <v>0</v>
      </c>
      <c r="AV2483" s="10" t="str">
        <f t="shared" si="282"/>
        <v>0206 11:03:00-FVC-0-FIL-2-SW-DUP</v>
      </c>
    </row>
    <row r="2484" spans="1:48" s="10" customFormat="1" x14ac:dyDescent="0.55000000000000004">
      <c r="A2484" s="32">
        <v>44963</v>
      </c>
      <c r="B2484" s="33">
        <v>0.4604166666666667</v>
      </c>
      <c r="C2484" s="10" t="s">
        <v>613</v>
      </c>
      <c r="D2484" s="10">
        <v>0</v>
      </c>
      <c r="E2484" s="10" t="s">
        <v>911</v>
      </c>
      <c r="F2484" s="10">
        <v>2</v>
      </c>
      <c r="G2484" s="10" t="s">
        <v>231</v>
      </c>
      <c r="H2484" s="10" t="s">
        <v>314</v>
      </c>
      <c r="I2484" s="10" t="s">
        <v>209</v>
      </c>
      <c r="J2484" s="10">
        <v>37</v>
      </c>
      <c r="K2484" s="12">
        <v>44966</v>
      </c>
      <c r="L2484" s="33">
        <v>0.55783564814814812</v>
      </c>
      <c r="M2484" s="10">
        <v>1</v>
      </c>
      <c r="N2484" s="10" t="s">
        <v>169</v>
      </c>
      <c r="O2484" s="10">
        <v>0.51300000000000001</v>
      </c>
      <c r="P2484" s="10">
        <v>1.7399999999999999E-2</v>
      </c>
      <c r="Q2484" s="10">
        <v>62.9</v>
      </c>
      <c r="R2484" s="10" t="s">
        <v>77</v>
      </c>
      <c r="S2484" s="34">
        <f t="shared" si="277"/>
        <v>62.9</v>
      </c>
      <c r="T2484" s="10" t="s">
        <v>1176</v>
      </c>
      <c r="U2484" s="34">
        <f t="shared" si="280"/>
        <v>-7.056</v>
      </c>
      <c r="V2484" s="31">
        <f>IF(H2484="CHK",VLOOKUP(I2484,QCCHK,3,),IF(H2484="GUP",VLOOKUP(E2484,QCGUP,2,),IF(AND(H2484="ATP",OR(I2484="TN",I2484="TDN",I2484="TNO2-3",I2484="NO2-3")),VLOOKUP(E2484,QCREC_N,2,),IF(AND(H2484="NIC",OR(I2484="TN",I2484="TDN",I2484="TNO2-3",I2484="NO2-3")),VLOOKUP(E2484,QCNIC_N,2,),IF(AND(H2484="UREA",OR(I2484="TN",I2484="TDN",I2484="TNO2-3",I2484="NO2-3")),VLOOKUP(E2484,QCUREA_N,2,),IF(H2484="PER",VLOOKUP(I2484,QCPER,MATCH(E2484,QCACTUAL!$J$25:$AA$25,0),),IF(H2484="SPK",VLOOKUP(I2484,QCSPK,3,),IF(AND(H2484="ATP",OR(I2484="TP",I2484="TDP")),VLOOKUP(E2484,QCATP_P,2,),""))))))))</f>
        <v>625</v>
      </c>
      <c r="W2484" s="31" t="str">
        <f t="shared" si="281"/>
        <v>FALSE</v>
      </c>
      <c r="X2484" s="31" t="str">
        <f t="shared" si="276"/>
        <v>([spikedunkn]-[unkn])/[spike]*100</v>
      </c>
      <c r="Y2484" s="10" t="s">
        <v>1144</v>
      </c>
      <c r="Z2484" s="10" t="s">
        <v>910</v>
      </c>
      <c r="AL2484" s="10" t="str">
        <f t="shared" si="278"/>
        <v>FALSE</v>
      </c>
      <c r="AM2484" s="10" t="str">
        <f t="shared" si="278"/>
        <v>FALSE</v>
      </c>
      <c r="AN2484" s="10" t="str">
        <f t="shared" si="278"/>
        <v>FALSE</v>
      </c>
      <c r="AO2484" s="10" t="str">
        <f t="shared" si="279"/>
        <v>FALSE</v>
      </c>
      <c r="AP2484" s="10" t="str">
        <f t="shared" si="279"/>
        <v>FALSE</v>
      </c>
      <c r="AQ2484" s="10" t="b">
        <f>IF(AND(I2484="TP",S2484&lt;=150),VLOOKUP(AF2484,TPCalibEq150!$AZ$2:$BB$55,3,),IF(AND(I2484="TDP",S2484&lt;=150),VLOOKUP(AF2484,TPCalibEq150!$AZ$2:$BB$55,3,)))</f>
        <v>0</v>
      </c>
      <c r="AR2484" s="10" t="b">
        <f>IF(AND(I2484="TP",S2484&lt;=300),VLOOKUP(AF2484,TPCalibEq300!$AZ$2:$BB$55,3,),IF(AND(I2484="TDP",S2484&lt;=300),VLOOKUP(AF2484,TPCalibEq300!$AZ$2:$BB$55,3,)))</f>
        <v>0</v>
      </c>
      <c r="AS2484" s="10" t="b">
        <f>IF(AND(I2484="TP",S2484&lt;=500),VLOOKUP(AF2484,TPCalibEq500!$AZ$2:$BB$56,3,),IF(AND(I2484="TDP",S2484&lt;=500),VLOOKUP(AF2484,TPCalibEq500!$AZ$2:$BB$56,3,)))</f>
        <v>0</v>
      </c>
      <c r="AT2484" s="10" t="b">
        <f>IF(AND(I2484="TN",S2484&lt;=2800),VLOOKUP(AF2484,TNCalibEq2500!$AZ$2:$BB$56,3,),IF(AND(I2484="TDN",S2484&lt;=2800),VLOOKUP(AF2484,TNCalibEq2500!$AZ$2:$BB$56,3,)))</f>
        <v>0</v>
      </c>
      <c r="AU2484" s="10" t="b">
        <f>IF(I2484="TP",VLOOKUP(AF2484,TPCalibEqFull!$AZ$2:$BB$56,3),IF(I2484="TDP",VLOOKUP(AF2484,TPCalibEqFull!$AZ$2:$BB$56,3),IF(I2484="TDN",VLOOKUP(AF2484,TNCalibEqFull!$AZ$1:$BB$56,3),IF(I2484="TN",VLOOKUP(AF2484,TNCalibEqFull!$AZ$1:$BB$56,3),FALSE))))</f>
        <v>0</v>
      </c>
      <c r="AV2484" s="10" t="str">
        <f t="shared" si="282"/>
        <v>0206 11:03:00-FVC-0-FIL-2-SW-SPK</v>
      </c>
    </row>
    <row r="2485" spans="1:48" s="10" customFormat="1" x14ac:dyDescent="0.55000000000000004">
      <c r="A2485" s="32">
        <v>44963</v>
      </c>
      <c r="B2485" s="33">
        <v>0.4604166666666667</v>
      </c>
      <c r="C2485" s="10" t="s">
        <v>613</v>
      </c>
      <c r="D2485" s="10">
        <v>0</v>
      </c>
      <c r="E2485" s="10" t="s">
        <v>911</v>
      </c>
      <c r="F2485" s="10">
        <v>2</v>
      </c>
      <c r="G2485" s="10" t="s">
        <v>231</v>
      </c>
      <c r="H2485" s="10" t="s">
        <v>314</v>
      </c>
      <c r="I2485" s="10" t="s">
        <v>209</v>
      </c>
      <c r="J2485" s="10">
        <v>113</v>
      </c>
      <c r="K2485" s="12">
        <v>44966</v>
      </c>
      <c r="L2485" s="33">
        <v>0.55865740740740744</v>
      </c>
      <c r="M2485" s="10">
        <v>1</v>
      </c>
      <c r="N2485" s="10" t="s">
        <v>169</v>
      </c>
      <c r="O2485" s="10">
        <v>5.24</v>
      </c>
      <c r="P2485" s="10">
        <v>0.254</v>
      </c>
      <c r="Q2485" s="10">
        <v>647</v>
      </c>
      <c r="R2485" s="10" t="s">
        <v>77</v>
      </c>
      <c r="S2485" s="34">
        <f t="shared" si="277"/>
        <v>647</v>
      </c>
      <c r="T2485" s="10" t="s">
        <v>1176</v>
      </c>
      <c r="U2485" s="34">
        <f t="shared" si="280"/>
        <v>93.456000000000003</v>
      </c>
      <c r="V2485" s="31">
        <f>IF(H2485="CHK",VLOOKUP(I2485,QCCHK,3,),IF(H2485="GUP",VLOOKUP(E2485,QCGUP,2,),IF(AND(H2485="ATP",OR(I2485="TN",I2485="TDN",I2485="TNO2-3",I2485="NO2-3")),VLOOKUP(E2485,QCREC_N,2,),IF(AND(H2485="NIC",OR(I2485="TN",I2485="TDN",I2485="TNO2-3",I2485="NO2-3")),VLOOKUP(E2485,QCNIC_N,2,),IF(AND(H2485="UREA",OR(I2485="TN",I2485="TDN",I2485="TNO2-3",I2485="NO2-3")),VLOOKUP(E2485,QCUREA_N,2,),IF(H2485="PER",VLOOKUP(I2485,QCPER,MATCH(E2485,QCACTUAL!$J$25:$AA$25,0),),IF(H2485="SPK",VLOOKUP(I2485,QCSPK,3,),IF(AND(H2485="ATP",OR(I2485="TP",I2485="TDP")),VLOOKUP(E2485,QCATP_P,2,),""))))))))</f>
        <v>625</v>
      </c>
      <c r="W2485" s="31" t="str">
        <f t="shared" si="281"/>
        <v>TRUE</v>
      </c>
      <c r="X2485" s="31" t="str">
        <f t="shared" si="276"/>
        <v>([spikedunkn]-[unkn])/[spike]*100</v>
      </c>
      <c r="Y2485" s="10" t="s">
        <v>1144</v>
      </c>
      <c r="Z2485" s="10" t="s">
        <v>910</v>
      </c>
      <c r="AL2485" s="10" t="str">
        <f t="shared" si="278"/>
        <v>FALSE</v>
      </c>
      <c r="AM2485" s="10" t="str">
        <f t="shared" si="278"/>
        <v>FALSE</v>
      </c>
      <c r="AN2485" s="10" t="str">
        <f t="shared" si="278"/>
        <v>FALSE</v>
      </c>
      <c r="AO2485" s="10" t="str">
        <f t="shared" si="279"/>
        <v>FALSE</v>
      </c>
      <c r="AP2485" s="10" t="str">
        <f t="shared" si="279"/>
        <v>FALSE</v>
      </c>
      <c r="AQ2485" s="10" t="b">
        <f>IF(AND(I2485="TP",S2485&lt;=150),VLOOKUP(AF2485,TPCalibEq150!$AZ$2:$BB$55,3,),IF(AND(I2485="TDP",S2485&lt;=150),VLOOKUP(AF2485,TPCalibEq150!$AZ$2:$BB$55,3,)))</f>
        <v>0</v>
      </c>
      <c r="AR2485" s="10" t="b">
        <f>IF(AND(I2485="TP",S2485&lt;=300),VLOOKUP(AF2485,TPCalibEq300!$AZ$2:$BB$55,3,),IF(AND(I2485="TDP",S2485&lt;=300),VLOOKUP(AF2485,TPCalibEq300!$AZ$2:$BB$55,3,)))</f>
        <v>0</v>
      </c>
      <c r="AS2485" s="10" t="b">
        <f>IF(AND(I2485="TP",S2485&lt;=500),VLOOKUP(AF2485,TPCalibEq500!$AZ$2:$BB$56,3,),IF(AND(I2485="TDP",S2485&lt;=500),VLOOKUP(AF2485,TPCalibEq500!$AZ$2:$BB$56,3,)))</f>
        <v>0</v>
      </c>
      <c r="AT2485" s="10" t="b">
        <f>IF(AND(I2485="TN",S2485&lt;=2800),VLOOKUP(AF2485,TNCalibEq2500!$AZ$2:$BB$56,3,),IF(AND(I2485="TDN",S2485&lt;=2800),VLOOKUP(AF2485,TNCalibEq2500!$AZ$2:$BB$56,3,)))</f>
        <v>0</v>
      </c>
      <c r="AU2485" s="10" t="b">
        <f>IF(I2485="TP",VLOOKUP(AF2485,TPCalibEqFull!$AZ$2:$BB$56,3),IF(I2485="TDP",VLOOKUP(AF2485,TPCalibEqFull!$AZ$2:$BB$56,3),IF(I2485="TDN",VLOOKUP(AF2485,TNCalibEqFull!$AZ$1:$BB$56,3),IF(I2485="TN",VLOOKUP(AF2485,TNCalibEqFull!$AZ$1:$BB$56,3),FALSE))))</f>
        <v>0</v>
      </c>
      <c r="AV2485" s="10" t="str">
        <f t="shared" si="282"/>
        <v>0206 11:03:00-FVC-0-FIL-2-SW-SPK</v>
      </c>
    </row>
    <row r="2486" spans="1:48" s="10" customFormat="1" x14ac:dyDescent="0.55000000000000004">
      <c r="A2486" s="32">
        <v>44966</v>
      </c>
      <c r="B2486" s="33">
        <v>0.375</v>
      </c>
      <c r="C2486" s="10" t="s">
        <v>70</v>
      </c>
      <c r="D2486" s="10" t="s">
        <v>71</v>
      </c>
      <c r="E2486" s="10" t="s">
        <v>901</v>
      </c>
      <c r="F2486" s="10">
        <v>1</v>
      </c>
      <c r="G2486" s="10" t="s">
        <v>73</v>
      </c>
      <c r="H2486" s="10" t="s">
        <v>207</v>
      </c>
      <c r="I2486" s="10" t="s">
        <v>256</v>
      </c>
      <c r="J2486" s="10">
        <v>202</v>
      </c>
      <c r="K2486" s="12">
        <v>44966</v>
      </c>
      <c r="L2486" s="33">
        <v>0.55947916666666664</v>
      </c>
      <c r="M2486" s="10">
        <v>1</v>
      </c>
      <c r="N2486" s="10" t="s">
        <v>169</v>
      </c>
      <c r="O2486" s="10">
        <v>2.2400000000000002</v>
      </c>
      <c r="P2486" s="10">
        <v>0.111</v>
      </c>
      <c r="Q2486" s="10">
        <v>276</v>
      </c>
      <c r="R2486" s="10" t="s">
        <v>77</v>
      </c>
      <c r="S2486" s="34">
        <f t="shared" si="277"/>
        <v>276</v>
      </c>
      <c r="T2486" s="10" t="s">
        <v>1176</v>
      </c>
      <c r="U2486" s="34">
        <f t="shared" si="280"/>
        <v>92</v>
      </c>
      <c r="V2486" s="31">
        <f>IF(H2486="CHK",VLOOKUP(I2486,QCCHK,3,),IF(H2486="GUP",VLOOKUP(E2486,QCGUP,2,),IF(AND(H2486="ATP",OR(I2486="TN",I2486="TDN",I2486="TNO2-3",I2486="NO2-3")),VLOOKUP(E2486,QCREC_N,2,),IF(AND(H2486="NIC",OR(I2486="TN",I2486="TDN",I2486="TNO2-3",I2486="NO2-3")),VLOOKUP(E2486,QCNIC_N,2,),IF(AND(H2486="UREA",OR(I2486="TN",I2486="TDN",I2486="TNO2-3",I2486="NO2-3")),VLOOKUP(E2486,QCUREA_N,2,),IF(H2486="PER",VLOOKUP(I2486,QCPER,MATCH(E2486,QCACTUAL!$J$25:$AA$25,0),),IF(H2486="SPK",VLOOKUP(I2486,QCSPK,3,),IF(AND(H2486="ATP",OR(I2486="TP",I2486="TDP")),VLOOKUP(E2486,QCATP_P,2,),""))))))))</f>
        <v>300</v>
      </c>
      <c r="W2486" s="31" t="str">
        <f t="shared" si="281"/>
        <v>TRUE</v>
      </c>
      <c r="X2486" s="31" t="str">
        <f t="shared" si="276"/>
        <v>[chk]/[actual]*100</v>
      </c>
      <c r="Y2486" s="10" t="s">
        <v>1144</v>
      </c>
      <c r="AL2486" s="10" t="str">
        <f t="shared" si="278"/>
        <v>FALSE</v>
      </c>
      <c r="AM2486" s="10" t="str">
        <f t="shared" si="278"/>
        <v>FALSE</v>
      </c>
      <c r="AN2486" s="10" t="str">
        <f t="shared" si="278"/>
        <v>FALSE</v>
      </c>
      <c r="AO2486" s="10" t="str">
        <f t="shared" si="279"/>
        <v>FALSE</v>
      </c>
      <c r="AP2486" s="10" t="str">
        <f t="shared" si="279"/>
        <v>FALSE</v>
      </c>
      <c r="AQ2486" s="10" t="b">
        <f>IF(AND(I2486="TP",S2486&lt;=150),VLOOKUP(AF2486,TPCalibEq150!$AZ$2:$BB$55,3,),IF(AND(I2486="TDP",S2486&lt;=150),VLOOKUP(AF2486,TPCalibEq150!$AZ$2:$BB$55,3,)))</f>
        <v>0</v>
      </c>
      <c r="AR2486" s="10" t="b">
        <f>IF(AND(I2486="TP",S2486&lt;=300),VLOOKUP(AF2486,TPCalibEq300!$AZ$2:$BB$55,3,),IF(AND(I2486="TDP",S2486&lt;=300),VLOOKUP(AF2486,TPCalibEq300!$AZ$2:$BB$55,3,)))</f>
        <v>0</v>
      </c>
      <c r="AS2486" s="10" t="b">
        <f>IF(AND(I2486="TP",S2486&lt;=500),VLOOKUP(AF2486,TPCalibEq500!$AZ$2:$BB$56,3,),IF(AND(I2486="TDP",S2486&lt;=500),VLOOKUP(AF2486,TPCalibEq500!$AZ$2:$BB$56,3,)))</f>
        <v>0</v>
      </c>
      <c r="AT2486" s="10" t="b">
        <f>IF(AND(I2486="TN",S2486&lt;=2800),VLOOKUP(AF2486,TNCalibEq2500!$AZ$2:$BB$56,3,),IF(AND(I2486="TDN",S2486&lt;=2800),VLOOKUP(AF2486,TNCalibEq2500!$AZ$2:$BB$56,3,)))</f>
        <v>0</v>
      </c>
      <c r="AU2486" s="10" t="b">
        <f>IF(I2486="TP",VLOOKUP(AF2486,TPCalibEqFull!$AZ$2:$BB$56,3),IF(I2486="TDP",VLOOKUP(AF2486,TPCalibEqFull!$AZ$2:$BB$56,3),IF(I2486="TDN",VLOOKUP(AF2486,TNCalibEqFull!$AZ$1:$BB$56,3),IF(I2486="TN",VLOOKUP(AF2486,TNCalibEqFull!$AZ$1:$BB$56,3),FALSE))))</f>
        <v>0</v>
      </c>
      <c r="AV2486" s="10" t="str">
        <f t="shared" si="282"/>
        <v>0209 09:00:00-QAC-STD-D-1-DI-CHK</v>
      </c>
    </row>
    <row r="2487" spans="1:48" s="10" customFormat="1" x14ac:dyDescent="0.55000000000000004">
      <c r="A2487" s="32">
        <v>44963</v>
      </c>
      <c r="B2487" s="33">
        <v>0.46875</v>
      </c>
      <c r="C2487" s="10" t="s">
        <v>250</v>
      </c>
      <c r="D2487" s="10">
        <v>0</v>
      </c>
      <c r="E2487" s="10" t="s">
        <v>911</v>
      </c>
      <c r="F2487" s="10">
        <v>1</v>
      </c>
      <c r="G2487" s="10" t="s">
        <v>231</v>
      </c>
      <c r="H2487" s="10" t="s">
        <v>322</v>
      </c>
      <c r="I2487" s="10" t="s">
        <v>209</v>
      </c>
      <c r="J2487" s="10">
        <v>80</v>
      </c>
      <c r="K2487" s="12">
        <v>44966</v>
      </c>
      <c r="L2487" s="33">
        <v>0.56030092592592595</v>
      </c>
      <c r="M2487" s="10">
        <v>1</v>
      </c>
      <c r="N2487" s="10" t="s">
        <v>169</v>
      </c>
      <c r="O2487" s="10">
        <v>17.600000000000001</v>
      </c>
      <c r="P2487" s="10">
        <v>0.83599999999999997</v>
      </c>
      <c r="Q2487" s="10">
        <v>2170</v>
      </c>
      <c r="R2487" s="10" t="s">
        <v>77</v>
      </c>
      <c r="S2487" s="34">
        <f t="shared" si="277"/>
        <v>2170</v>
      </c>
      <c r="T2487" s="10" t="s">
        <v>1176</v>
      </c>
      <c r="U2487" s="34" t="str">
        <f t="shared" si="280"/>
        <v/>
      </c>
      <c r="V2487" s="31" t="str">
        <f>IF(H2487="CHK",VLOOKUP(I2487,QCCHK,3,),IF(H2487="GUP",VLOOKUP(E2487,QCGUP,2,),IF(AND(H2487="ATP",OR(I2487="TN",I2487="TDN",I2487="TNO2-3",I2487="NO2-3")),VLOOKUP(E2487,QCREC_N,2,),IF(AND(H2487="NIC",OR(I2487="TN",I2487="TDN",I2487="TNO2-3",I2487="NO2-3")),VLOOKUP(E2487,QCNIC_N,2,),IF(AND(H2487="UREA",OR(I2487="TN",I2487="TDN",I2487="TNO2-3",I2487="NO2-3")),VLOOKUP(E2487,QCUREA_N,2,),IF(H2487="PER",VLOOKUP(I2487,QCPER,MATCH(E2487,QCACTUAL!$J$25:$AA$25,0),),IF(H2487="SPK",VLOOKUP(I2487,QCSPK,3,),IF(AND(H2487="ATP",OR(I2487="TP",I2487="TDP")),VLOOKUP(E2487,QCATP_P,2,),""))))))))</f>
        <v/>
      </c>
      <c r="W2487" s="31" t="str">
        <f t="shared" si="281"/>
        <v>TRUE</v>
      </c>
      <c r="X2487" s="31" t="str">
        <f t="shared" si="276"/>
        <v/>
      </c>
      <c r="Y2487" s="10" t="s">
        <v>1144</v>
      </c>
      <c r="Z2487" s="10" t="s">
        <v>910</v>
      </c>
      <c r="AL2487" s="10" t="str">
        <f t="shared" si="278"/>
        <v>FALSE</v>
      </c>
      <c r="AM2487" s="10" t="str">
        <f t="shared" si="278"/>
        <v>FALSE</v>
      </c>
      <c r="AN2487" s="10" t="str">
        <f t="shared" si="278"/>
        <v>FALSE</v>
      </c>
      <c r="AO2487" s="10" t="str">
        <f t="shared" si="279"/>
        <v>FALSE</v>
      </c>
      <c r="AP2487" s="10" t="str">
        <f t="shared" si="279"/>
        <v>FALSE</v>
      </c>
      <c r="AQ2487" s="10" t="b">
        <f>IF(AND(I2487="TP",S2487&lt;=150),VLOOKUP(AF2487,TPCalibEq150!$AZ$2:$BB$55,3,),IF(AND(I2487="TDP",S2487&lt;=150),VLOOKUP(AF2487,TPCalibEq150!$AZ$2:$BB$55,3,)))</f>
        <v>0</v>
      </c>
      <c r="AR2487" s="10" t="b">
        <f>IF(AND(I2487="TP",S2487&lt;=300),VLOOKUP(AF2487,TPCalibEq300!$AZ$2:$BB$55,3,),IF(AND(I2487="TDP",S2487&lt;=300),VLOOKUP(AF2487,TPCalibEq300!$AZ$2:$BB$55,3,)))</f>
        <v>0</v>
      </c>
      <c r="AS2487" s="10" t="b">
        <f>IF(AND(I2487="TP",S2487&lt;=500),VLOOKUP(AF2487,TPCalibEq500!$AZ$2:$BB$56,3,),IF(AND(I2487="TDP",S2487&lt;=500),VLOOKUP(AF2487,TPCalibEq500!$AZ$2:$BB$56,3,)))</f>
        <v>0</v>
      </c>
      <c r="AT2487" s="10" t="b">
        <f>IF(AND(I2487="TN",S2487&lt;=2800),VLOOKUP(AF2487,TNCalibEq2500!$AZ$2:$BB$56,3,),IF(AND(I2487="TDN",S2487&lt;=2800),VLOOKUP(AF2487,TNCalibEq2500!$AZ$2:$BB$56,3,)))</f>
        <v>0</v>
      </c>
      <c r="AU2487" s="10" t="b">
        <f>IF(I2487="TP",VLOOKUP(AF2487,TPCalibEqFull!$AZ$2:$BB$56,3),IF(I2487="TDP",VLOOKUP(AF2487,TPCalibEqFull!$AZ$2:$BB$56,3),IF(I2487="TDN",VLOOKUP(AF2487,TNCalibEqFull!$AZ$1:$BB$56,3),IF(I2487="TN",VLOOKUP(AF2487,TNCalibEqFull!$AZ$1:$BB$56,3),FALSE))))</f>
        <v>0</v>
      </c>
      <c r="AV2487" s="10" t="str">
        <f t="shared" si="282"/>
        <v>0206 11:15:00-EFB-0-FIL-1-SW-UKN</v>
      </c>
    </row>
    <row r="2488" spans="1:48" s="10" customFormat="1" x14ac:dyDescent="0.55000000000000004">
      <c r="A2488" s="32">
        <v>44963</v>
      </c>
      <c r="B2488" s="33">
        <v>0.47916666666666669</v>
      </c>
      <c r="C2488" s="10" t="s">
        <v>326</v>
      </c>
      <c r="D2488" s="10">
        <v>0</v>
      </c>
      <c r="E2488" s="10" t="s">
        <v>911</v>
      </c>
      <c r="F2488" s="10">
        <v>1</v>
      </c>
      <c r="G2488" s="10" t="s">
        <v>231</v>
      </c>
      <c r="H2488" s="10" t="s">
        <v>322</v>
      </c>
      <c r="I2488" s="10" t="s">
        <v>209</v>
      </c>
      <c r="J2488" s="10">
        <v>81</v>
      </c>
      <c r="K2488" s="12">
        <v>44966</v>
      </c>
      <c r="L2488" s="33">
        <v>0.56111111111111112</v>
      </c>
      <c r="M2488" s="10">
        <v>1</v>
      </c>
      <c r="N2488" s="10" t="s">
        <v>169</v>
      </c>
      <c r="O2488" s="10">
        <v>6.62</v>
      </c>
      <c r="P2488" s="10">
        <v>0.313</v>
      </c>
      <c r="Q2488" s="10">
        <v>817</v>
      </c>
      <c r="R2488" s="10" t="s">
        <v>77</v>
      </c>
      <c r="S2488" s="34">
        <f t="shared" si="277"/>
        <v>817</v>
      </c>
      <c r="T2488" s="10" t="s">
        <v>1176</v>
      </c>
      <c r="U2488" s="34" t="str">
        <f t="shared" si="280"/>
        <v/>
      </c>
      <c r="V2488" s="31" t="str">
        <f>IF(H2488="CHK",VLOOKUP(I2488,QCCHK,3,),IF(H2488="GUP",VLOOKUP(E2488,QCGUP,2,),IF(AND(H2488="ATP",OR(I2488="TN",I2488="TDN",I2488="TNO2-3",I2488="NO2-3")),VLOOKUP(E2488,QCREC_N,2,),IF(AND(H2488="NIC",OR(I2488="TN",I2488="TDN",I2488="TNO2-3",I2488="NO2-3")),VLOOKUP(E2488,QCNIC_N,2,),IF(AND(H2488="UREA",OR(I2488="TN",I2488="TDN",I2488="TNO2-3",I2488="NO2-3")),VLOOKUP(E2488,QCUREA_N,2,),IF(H2488="PER",VLOOKUP(I2488,QCPER,MATCH(E2488,QCACTUAL!$J$25:$AA$25,0),),IF(H2488="SPK",VLOOKUP(I2488,QCSPK,3,),IF(AND(H2488="ATP",OR(I2488="TP",I2488="TDP")),VLOOKUP(E2488,QCATP_P,2,),""))))))))</f>
        <v/>
      </c>
      <c r="W2488" s="31" t="str">
        <f t="shared" si="281"/>
        <v>TRUE</v>
      </c>
      <c r="X2488" s="31" t="str">
        <f t="shared" si="276"/>
        <v/>
      </c>
      <c r="Y2488" s="10" t="s">
        <v>1144</v>
      </c>
      <c r="Z2488" s="10" t="s">
        <v>910</v>
      </c>
      <c r="AL2488" s="10" t="str">
        <f t="shared" si="278"/>
        <v>FALSE</v>
      </c>
      <c r="AM2488" s="10" t="str">
        <f t="shared" si="278"/>
        <v>FALSE</v>
      </c>
      <c r="AN2488" s="10" t="str">
        <f t="shared" si="278"/>
        <v>FALSE</v>
      </c>
      <c r="AO2488" s="10" t="str">
        <f t="shared" si="279"/>
        <v>FALSE</v>
      </c>
      <c r="AP2488" s="10" t="str">
        <f t="shared" si="279"/>
        <v>FALSE</v>
      </c>
      <c r="AQ2488" s="10" t="b">
        <f>IF(AND(I2488="TP",S2488&lt;=150),VLOOKUP(AF2488,TPCalibEq150!$AZ$2:$BB$55,3,),IF(AND(I2488="TDP",S2488&lt;=150),VLOOKUP(AF2488,TPCalibEq150!$AZ$2:$BB$55,3,)))</f>
        <v>0</v>
      </c>
      <c r="AR2488" s="10" t="b">
        <f>IF(AND(I2488="TP",S2488&lt;=300),VLOOKUP(AF2488,TPCalibEq300!$AZ$2:$BB$55,3,),IF(AND(I2488="TDP",S2488&lt;=300),VLOOKUP(AF2488,TPCalibEq300!$AZ$2:$BB$55,3,)))</f>
        <v>0</v>
      </c>
      <c r="AS2488" s="10" t="b">
        <f>IF(AND(I2488="TP",S2488&lt;=500),VLOOKUP(AF2488,TPCalibEq500!$AZ$2:$BB$56,3,),IF(AND(I2488="TDP",S2488&lt;=500),VLOOKUP(AF2488,TPCalibEq500!$AZ$2:$BB$56,3,)))</f>
        <v>0</v>
      </c>
      <c r="AT2488" s="10" t="b">
        <f>IF(AND(I2488="TN",S2488&lt;=2800),VLOOKUP(AF2488,TNCalibEq2500!$AZ$2:$BB$56,3,),IF(AND(I2488="TDN",S2488&lt;=2800),VLOOKUP(AF2488,TNCalibEq2500!$AZ$2:$BB$56,3,)))</f>
        <v>0</v>
      </c>
      <c r="AU2488" s="10" t="b">
        <f>IF(I2488="TP",VLOOKUP(AF2488,TPCalibEqFull!$AZ$2:$BB$56,3),IF(I2488="TDP",VLOOKUP(AF2488,TPCalibEqFull!$AZ$2:$BB$56,3),IF(I2488="TDN",VLOOKUP(AF2488,TNCalibEqFull!$AZ$1:$BB$56,3),IF(I2488="TN",VLOOKUP(AF2488,TNCalibEqFull!$AZ$1:$BB$56,3),FALSE))))</f>
        <v>0</v>
      </c>
      <c r="AV2488" s="10" t="str">
        <f t="shared" si="282"/>
        <v>0206 11:30:00-GRR-0-FIL-1-SW-UKN</v>
      </c>
    </row>
    <row r="2489" spans="1:48" s="10" customFormat="1" x14ac:dyDescent="0.55000000000000004">
      <c r="A2489" s="32">
        <v>44963</v>
      </c>
      <c r="B2489" s="33">
        <v>0.4909722222222222</v>
      </c>
      <c r="C2489" s="10" t="s">
        <v>416</v>
      </c>
      <c r="D2489" s="10">
        <v>0</v>
      </c>
      <c r="E2489" s="10" t="s">
        <v>911</v>
      </c>
      <c r="F2489" s="10">
        <v>1</v>
      </c>
      <c r="G2489" s="10" t="s">
        <v>231</v>
      </c>
      <c r="H2489" s="10" t="s">
        <v>322</v>
      </c>
      <c r="I2489" s="10" t="s">
        <v>209</v>
      </c>
      <c r="J2489" s="10">
        <v>82</v>
      </c>
      <c r="K2489" s="12">
        <v>44966</v>
      </c>
      <c r="L2489" s="33">
        <v>0.56193287037037043</v>
      </c>
      <c r="M2489" s="10">
        <v>1</v>
      </c>
      <c r="N2489" s="10" t="s">
        <v>169</v>
      </c>
      <c r="O2489" s="10">
        <v>3.59</v>
      </c>
      <c r="P2489" s="10">
        <v>0.16900000000000001</v>
      </c>
      <c r="Q2489" s="10">
        <v>443</v>
      </c>
      <c r="R2489" s="10" t="s">
        <v>77</v>
      </c>
      <c r="S2489" s="34">
        <f t="shared" si="277"/>
        <v>443</v>
      </c>
      <c r="T2489" s="10" t="s">
        <v>1176</v>
      </c>
      <c r="U2489" s="34" t="str">
        <f t="shared" si="280"/>
        <v/>
      </c>
      <c r="V2489" s="31" t="str">
        <f>IF(H2489="CHK",VLOOKUP(I2489,QCCHK,3,),IF(H2489="GUP",VLOOKUP(E2489,QCGUP,2,),IF(AND(H2489="ATP",OR(I2489="TN",I2489="TDN",I2489="TNO2-3",I2489="NO2-3")),VLOOKUP(E2489,QCREC_N,2,),IF(AND(H2489="NIC",OR(I2489="TN",I2489="TDN",I2489="TNO2-3",I2489="NO2-3")),VLOOKUP(E2489,QCNIC_N,2,),IF(AND(H2489="UREA",OR(I2489="TN",I2489="TDN",I2489="TNO2-3",I2489="NO2-3")),VLOOKUP(E2489,QCUREA_N,2,),IF(H2489="PER",VLOOKUP(I2489,QCPER,MATCH(E2489,QCACTUAL!$J$25:$AA$25,0),),IF(H2489="SPK",VLOOKUP(I2489,QCSPK,3,),IF(AND(H2489="ATP",OR(I2489="TP",I2489="TDP")),VLOOKUP(E2489,QCATP_P,2,),""))))))))</f>
        <v/>
      </c>
      <c r="W2489" s="31" t="str">
        <f t="shared" si="281"/>
        <v>TRUE</v>
      </c>
      <c r="X2489" s="31" t="str">
        <f t="shared" si="276"/>
        <v/>
      </c>
      <c r="Y2489" s="10" t="s">
        <v>1144</v>
      </c>
      <c r="Z2489" s="10" t="s">
        <v>910</v>
      </c>
      <c r="AL2489" s="10" t="str">
        <f t="shared" si="278"/>
        <v>FALSE</v>
      </c>
      <c r="AM2489" s="10" t="str">
        <f t="shared" si="278"/>
        <v>FALSE</v>
      </c>
      <c r="AN2489" s="10" t="str">
        <f t="shared" si="278"/>
        <v>FALSE</v>
      </c>
      <c r="AO2489" s="10" t="str">
        <f t="shared" si="279"/>
        <v>FALSE</v>
      </c>
      <c r="AP2489" s="10" t="str">
        <f t="shared" si="279"/>
        <v>FALSE</v>
      </c>
      <c r="AQ2489" s="10" t="b">
        <f>IF(AND(I2489="TP",S2489&lt;=150),VLOOKUP(AF2489,TPCalibEq150!$AZ$2:$BB$55,3,),IF(AND(I2489="TDP",S2489&lt;=150),VLOOKUP(AF2489,TPCalibEq150!$AZ$2:$BB$55,3,)))</f>
        <v>0</v>
      </c>
      <c r="AR2489" s="10" t="b">
        <f>IF(AND(I2489="TP",S2489&lt;=300),VLOOKUP(AF2489,TPCalibEq300!$AZ$2:$BB$55,3,),IF(AND(I2489="TDP",S2489&lt;=300),VLOOKUP(AF2489,TPCalibEq300!$AZ$2:$BB$55,3,)))</f>
        <v>0</v>
      </c>
      <c r="AS2489" s="10" t="b">
        <f>IF(AND(I2489="TP",S2489&lt;=500),VLOOKUP(AF2489,TPCalibEq500!$AZ$2:$BB$56,3,),IF(AND(I2489="TDP",S2489&lt;=500),VLOOKUP(AF2489,TPCalibEq500!$AZ$2:$BB$56,3,)))</f>
        <v>0</v>
      </c>
      <c r="AT2489" s="10" t="b">
        <f>IF(AND(I2489="TN",S2489&lt;=2800),VLOOKUP(AF2489,TNCalibEq2500!$AZ$2:$BB$56,3,),IF(AND(I2489="TDN",S2489&lt;=2800),VLOOKUP(AF2489,TNCalibEq2500!$AZ$2:$BB$56,3,)))</f>
        <v>0</v>
      </c>
      <c r="AU2489" s="10" t="b">
        <f>IF(I2489="TP",VLOOKUP(AF2489,TPCalibEqFull!$AZ$2:$BB$56,3),IF(I2489="TDP",VLOOKUP(AF2489,TPCalibEqFull!$AZ$2:$BB$56,3),IF(I2489="TDN",VLOOKUP(AF2489,TNCalibEqFull!$AZ$1:$BB$56,3),IF(I2489="TN",VLOOKUP(AF2489,TNCalibEqFull!$AZ$1:$BB$56,3),FALSE))))</f>
        <v>0</v>
      </c>
      <c r="AV2489" s="10" t="str">
        <f t="shared" si="282"/>
        <v>0206 11:47:00-CWL-0-FIL-1-SW-UKN</v>
      </c>
    </row>
    <row r="2490" spans="1:48" s="10" customFormat="1" x14ac:dyDescent="0.55000000000000004">
      <c r="A2490" s="32">
        <v>44963</v>
      </c>
      <c r="B2490" s="33">
        <v>0.61875000000000002</v>
      </c>
      <c r="C2490" s="10" t="s">
        <v>408</v>
      </c>
      <c r="D2490" s="10">
        <v>0</v>
      </c>
      <c r="E2490" s="10" t="s">
        <v>911</v>
      </c>
      <c r="F2490" s="10">
        <v>1</v>
      </c>
      <c r="G2490" s="10" t="s">
        <v>231</v>
      </c>
      <c r="H2490" s="10" t="s">
        <v>322</v>
      </c>
      <c r="I2490" s="10" t="s">
        <v>209</v>
      </c>
      <c r="J2490" s="10">
        <v>83</v>
      </c>
      <c r="K2490" s="12">
        <v>44966</v>
      </c>
      <c r="L2490" s="33">
        <v>0.56275462962962963</v>
      </c>
      <c r="M2490" s="10">
        <v>1</v>
      </c>
      <c r="N2490" s="10" t="s">
        <v>169</v>
      </c>
      <c r="O2490" s="10">
        <v>2.16</v>
      </c>
      <c r="P2490" s="10">
        <v>9.9699999999999997E-2</v>
      </c>
      <c r="Q2490" s="10">
        <v>266</v>
      </c>
      <c r="R2490" s="10" t="s">
        <v>77</v>
      </c>
      <c r="S2490" s="34">
        <f t="shared" si="277"/>
        <v>266</v>
      </c>
      <c r="T2490" s="10" t="s">
        <v>1176</v>
      </c>
      <c r="U2490" s="34" t="str">
        <f t="shared" si="280"/>
        <v/>
      </c>
      <c r="V2490" s="31" t="str">
        <f>IF(H2490="CHK",VLOOKUP(I2490,QCCHK,3,),IF(H2490="GUP",VLOOKUP(E2490,QCGUP,2,),IF(AND(H2490="ATP",OR(I2490="TN",I2490="TDN",I2490="TNO2-3",I2490="NO2-3")),VLOOKUP(E2490,QCREC_N,2,),IF(AND(H2490="NIC",OR(I2490="TN",I2490="TDN",I2490="TNO2-3",I2490="NO2-3")),VLOOKUP(E2490,QCNIC_N,2,),IF(AND(H2490="UREA",OR(I2490="TN",I2490="TDN",I2490="TNO2-3",I2490="NO2-3")),VLOOKUP(E2490,QCUREA_N,2,),IF(H2490="PER",VLOOKUP(I2490,QCPER,MATCH(E2490,QCACTUAL!$J$25:$AA$25,0),),IF(H2490="SPK",VLOOKUP(I2490,QCSPK,3,),IF(AND(H2490="ATP",OR(I2490="TP",I2490="TDP")),VLOOKUP(E2490,QCATP_P,2,),""))))))))</f>
        <v/>
      </c>
      <c r="W2490" s="31" t="str">
        <f t="shared" si="281"/>
        <v>TRUE</v>
      </c>
      <c r="X2490" s="31" t="str">
        <f t="shared" si="276"/>
        <v/>
      </c>
      <c r="Y2490" s="10" t="s">
        <v>1144</v>
      </c>
      <c r="Z2490" s="10" t="s">
        <v>910</v>
      </c>
      <c r="AL2490" s="10" t="str">
        <f t="shared" si="278"/>
        <v>FALSE</v>
      </c>
      <c r="AM2490" s="10" t="str">
        <f t="shared" si="278"/>
        <v>FALSE</v>
      </c>
      <c r="AN2490" s="10" t="str">
        <f t="shared" si="278"/>
        <v>FALSE</v>
      </c>
      <c r="AO2490" s="10" t="str">
        <f t="shared" si="279"/>
        <v>FALSE</v>
      </c>
      <c r="AP2490" s="10" t="str">
        <f t="shared" si="279"/>
        <v>FALSE</v>
      </c>
      <c r="AQ2490" s="10" t="b">
        <f>IF(AND(I2490="TP",S2490&lt;=150),VLOOKUP(AF2490,TPCalibEq150!$AZ$2:$BB$55,3,),IF(AND(I2490="TDP",S2490&lt;=150),VLOOKUP(AF2490,TPCalibEq150!$AZ$2:$BB$55,3,)))</f>
        <v>0</v>
      </c>
      <c r="AR2490" s="10" t="b">
        <f>IF(AND(I2490="TP",S2490&lt;=300),VLOOKUP(AF2490,TPCalibEq300!$AZ$2:$BB$55,3,),IF(AND(I2490="TDP",S2490&lt;=300),VLOOKUP(AF2490,TPCalibEq300!$AZ$2:$BB$55,3,)))</f>
        <v>0</v>
      </c>
      <c r="AS2490" s="10" t="b">
        <f>IF(AND(I2490="TP",S2490&lt;=500),VLOOKUP(AF2490,TPCalibEq500!$AZ$2:$BB$56,3,),IF(AND(I2490="TDP",S2490&lt;=500),VLOOKUP(AF2490,TPCalibEq500!$AZ$2:$BB$56,3,)))</f>
        <v>0</v>
      </c>
      <c r="AT2490" s="10" t="b">
        <f>IF(AND(I2490="TN",S2490&lt;=2800),VLOOKUP(AF2490,TNCalibEq2500!$AZ$2:$BB$56,3,),IF(AND(I2490="TDN",S2490&lt;=2800),VLOOKUP(AF2490,TNCalibEq2500!$AZ$2:$BB$56,3,)))</f>
        <v>0</v>
      </c>
      <c r="AU2490" s="10" t="b">
        <f>IF(I2490="TP",VLOOKUP(AF2490,TPCalibEqFull!$AZ$2:$BB$56,3),IF(I2490="TDP",VLOOKUP(AF2490,TPCalibEqFull!$AZ$2:$BB$56,3),IF(I2490="TDN",VLOOKUP(AF2490,TNCalibEqFull!$AZ$1:$BB$56,3),IF(I2490="TN",VLOOKUP(AF2490,TNCalibEqFull!$AZ$1:$BB$56,3),FALSE))))</f>
        <v>0</v>
      </c>
      <c r="AV2490" s="10" t="str">
        <f t="shared" si="282"/>
        <v>0206 14:51:00-CLC-0-FIL-1-SW-UKN</v>
      </c>
    </row>
    <row r="2491" spans="1:48" s="10" customFormat="1" x14ac:dyDescent="0.55000000000000004">
      <c r="A2491" s="32">
        <v>44963</v>
      </c>
      <c r="B2491" s="33">
        <v>0.59722222222222221</v>
      </c>
      <c r="C2491" s="10" t="s">
        <v>214</v>
      </c>
      <c r="D2491" s="10">
        <v>0</v>
      </c>
      <c r="E2491" s="10" t="s">
        <v>911</v>
      </c>
      <c r="F2491" s="10">
        <v>1</v>
      </c>
      <c r="G2491" s="10" t="s">
        <v>231</v>
      </c>
      <c r="H2491" s="10" t="s">
        <v>322</v>
      </c>
      <c r="I2491" s="10" t="s">
        <v>209</v>
      </c>
      <c r="J2491" s="10">
        <v>84</v>
      </c>
      <c r="K2491" s="12">
        <v>44966</v>
      </c>
      <c r="L2491" s="33">
        <v>0.5635648148148148</v>
      </c>
      <c r="M2491" s="10">
        <v>1</v>
      </c>
      <c r="N2491" s="10" t="s">
        <v>169</v>
      </c>
      <c r="O2491" s="10">
        <v>8.39</v>
      </c>
      <c r="P2491" s="10">
        <v>0.38900000000000001</v>
      </c>
      <c r="Q2491" s="10">
        <v>1040</v>
      </c>
      <c r="R2491" s="10" t="s">
        <v>77</v>
      </c>
      <c r="S2491" s="34">
        <f t="shared" si="277"/>
        <v>1040</v>
      </c>
      <c r="T2491" s="10" t="s">
        <v>1176</v>
      </c>
      <c r="U2491" s="34" t="str">
        <f t="shared" si="280"/>
        <v/>
      </c>
      <c r="V2491" s="31" t="str">
        <f>IF(H2491="CHK",VLOOKUP(I2491,QCCHK,3,),IF(H2491="GUP",VLOOKUP(E2491,QCGUP,2,),IF(AND(H2491="ATP",OR(I2491="TN",I2491="TDN",I2491="TNO2-3",I2491="NO2-3")),VLOOKUP(E2491,QCREC_N,2,),IF(AND(H2491="NIC",OR(I2491="TN",I2491="TDN",I2491="TNO2-3",I2491="NO2-3")),VLOOKUP(E2491,QCNIC_N,2,),IF(AND(H2491="UREA",OR(I2491="TN",I2491="TDN",I2491="TNO2-3",I2491="NO2-3")),VLOOKUP(E2491,QCUREA_N,2,),IF(H2491="PER",VLOOKUP(I2491,QCPER,MATCH(E2491,QCACTUAL!$J$25:$AA$25,0),),IF(H2491="SPK",VLOOKUP(I2491,QCSPK,3,),IF(AND(H2491="ATP",OR(I2491="TP",I2491="TDP")),VLOOKUP(E2491,QCATP_P,2,),""))))))))</f>
        <v/>
      </c>
      <c r="W2491" s="31" t="str">
        <f t="shared" si="281"/>
        <v>TRUE</v>
      </c>
      <c r="X2491" s="31" t="str">
        <f t="shared" si="276"/>
        <v/>
      </c>
      <c r="Y2491" s="10" t="s">
        <v>1144</v>
      </c>
      <c r="Z2491" s="10" t="s">
        <v>910</v>
      </c>
      <c r="AL2491" s="10" t="str">
        <f t="shared" si="278"/>
        <v>FALSE</v>
      </c>
      <c r="AM2491" s="10" t="str">
        <f t="shared" si="278"/>
        <v>FALSE</v>
      </c>
      <c r="AN2491" s="10" t="str">
        <f t="shared" si="278"/>
        <v>FALSE</v>
      </c>
      <c r="AO2491" s="10" t="str">
        <f t="shared" si="279"/>
        <v>FALSE</v>
      </c>
      <c r="AP2491" s="10" t="str">
        <f t="shared" si="279"/>
        <v>FALSE</v>
      </c>
      <c r="AQ2491" s="10" t="b">
        <f>IF(AND(I2491="TP",S2491&lt;=150),VLOOKUP(AF2491,TPCalibEq150!$AZ$2:$BB$55,3,),IF(AND(I2491="TDP",S2491&lt;=150),VLOOKUP(AF2491,TPCalibEq150!$AZ$2:$BB$55,3,)))</f>
        <v>0</v>
      </c>
      <c r="AR2491" s="10" t="b">
        <f>IF(AND(I2491="TP",S2491&lt;=300),VLOOKUP(AF2491,TPCalibEq300!$AZ$2:$BB$55,3,),IF(AND(I2491="TDP",S2491&lt;=300),VLOOKUP(AF2491,TPCalibEq300!$AZ$2:$BB$55,3,)))</f>
        <v>0</v>
      </c>
      <c r="AS2491" s="10" t="b">
        <f>IF(AND(I2491="TP",S2491&lt;=500),VLOOKUP(AF2491,TPCalibEq500!$AZ$2:$BB$56,3,),IF(AND(I2491="TDP",S2491&lt;=500),VLOOKUP(AF2491,TPCalibEq500!$AZ$2:$BB$56,3,)))</f>
        <v>0</v>
      </c>
      <c r="AT2491" s="10" t="b">
        <f>IF(AND(I2491="TN",S2491&lt;=2800),VLOOKUP(AF2491,TNCalibEq2500!$AZ$2:$BB$56,3,),IF(AND(I2491="TDN",S2491&lt;=2800),VLOOKUP(AF2491,TNCalibEq2500!$AZ$2:$BB$56,3,)))</f>
        <v>0</v>
      </c>
      <c r="AU2491" s="10" t="b">
        <f>IF(I2491="TP",VLOOKUP(AF2491,TPCalibEqFull!$AZ$2:$BB$56,3),IF(I2491="TDP",VLOOKUP(AF2491,TPCalibEqFull!$AZ$2:$BB$56,3),IF(I2491="TDN",VLOOKUP(AF2491,TNCalibEqFull!$AZ$1:$BB$56,3),IF(I2491="TN",VLOOKUP(AF2491,TNCalibEqFull!$AZ$1:$BB$56,3),FALSE))))</f>
        <v>0</v>
      </c>
      <c r="AV2491" s="10" t="str">
        <f t="shared" si="282"/>
        <v>0206 14:20:00-DAM-0-FIL-1-SW-UKN</v>
      </c>
    </row>
    <row r="2492" spans="1:48" s="10" customFormat="1" x14ac:dyDescent="0.55000000000000004">
      <c r="A2492" s="32">
        <v>44963</v>
      </c>
      <c r="B2492" s="33">
        <v>0.59722222222222221</v>
      </c>
      <c r="C2492" s="10" t="s">
        <v>214</v>
      </c>
      <c r="D2492" s="10">
        <v>0</v>
      </c>
      <c r="E2492" s="10" t="s">
        <v>911</v>
      </c>
      <c r="F2492" s="10">
        <v>1</v>
      </c>
      <c r="G2492" s="10" t="s">
        <v>231</v>
      </c>
      <c r="H2492" s="10" t="s">
        <v>233</v>
      </c>
      <c r="I2492" s="10" t="s">
        <v>209</v>
      </c>
      <c r="J2492" s="10">
        <v>84</v>
      </c>
      <c r="K2492" s="12">
        <v>44966</v>
      </c>
      <c r="L2492" s="33">
        <v>0.56437499999999996</v>
      </c>
      <c r="M2492" s="10">
        <v>1</v>
      </c>
      <c r="N2492" s="10" t="s">
        <v>169</v>
      </c>
      <c r="O2492" s="10">
        <v>3.51</v>
      </c>
      <c r="P2492" s="10">
        <v>0.16300000000000001</v>
      </c>
      <c r="Q2492" s="10">
        <v>433</v>
      </c>
      <c r="R2492" s="10" t="s">
        <v>77</v>
      </c>
      <c r="S2492" s="34">
        <f t="shared" si="277"/>
        <v>433</v>
      </c>
      <c r="T2492" s="10" t="s">
        <v>1176</v>
      </c>
      <c r="U2492" s="34">
        <f t="shared" si="280"/>
        <v>82.416836388323148</v>
      </c>
      <c r="V2492" s="31" t="str">
        <f>IF(H2492="CHK",VLOOKUP(I2492,QCCHK,3,),IF(H2492="GUP",VLOOKUP(E2492,QCGUP,2,),IF(AND(H2492="ATP",OR(I2492="TN",I2492="TDN",I2492="TNO2-3",I2492="NO2-3")),VLOOKUP(E2492,QCREC_N,2,),IF(AND(H2492="NIC",OR(I2492="TN",I2492="TDN",I2492="TNO2-3",I2492="NO2-3")),VLOOKUP(E2492,QCNIC_N,2,),IF(AND(H2492="UREA",OR(I2492="TN",I2492="TDN",I2492="TNO2-3",I2492="NO2-3")),VLOOKUP(E2492,QCUREA_N,2,),IF(H2492="PER",VLOOKUP(I2492,QCPER,MATCH(E2492,QCACTUAL!$J$25:$AA$25,0),),IF(H2492="SPK",VLOOKUP(I2492,QCSPK,3,),IF(AND(H2492="ATP",OR(I2492="TP",I2492="TDP")),VLOOKUP(E2492,QCATP_P,2,),""))))))))</f>
        <v/>
      </c>
      <c r="W2492" s="31" t="str">
        <f t="shared" si="281"/>
        <v>FALSE</v>
      </c>
      <c r="X2492" s="31" t="str">
        <f t="shared" si="276"/>
        <v>((ABS(rep1-rep2))/((rep1+rep2)/2)*100</v>
      </c>
      <c r="Y2492" s="10" t="s">
        <v>1144</v>
      </c>
      <c r="Z2492" s="10" t="s">
        <v>910</v>
      </c>
      <c r="AL2492" s="10" t="str">
        <f t="shared" si="278"/>
        <v>FALSE</v>
      </c>
      <c r="AM2492" s="10" t="str">
        <f t="shared" si="278"/>
        <v>FALSE</v>
      </c>
      <c r="AN2492" s="10" t="str">
        <f t="shared" si="278"/>
        <v>FALSE</v>
      </c>
      <c r="AO2492" s="10" t="str">
        <f t="shared" si="279"/>
        <v>FALSE</v>
      </c>
      <c r="AP2492" s="10" t="str">
        <f t="shared" si="279"/>
        <v>FALSE</v>
      </c>
      <c r="AQ2492" s="10" t="b">
        <f>IF(AND(I2492="TP",S2492&lt;=150),VLOOKUP(AF2492,TPCalibEq150!$AZ$2:$BB$55,3,),IF(AND(I2492="TDP",S2492&lt;=150),VLOOKUP(AF2492,TPCalibEq150!$AZ$2:$BB$55,3,)))</f>
        <v>0</v>
      </c>
      <c r="AR2492" s="10" t="b">
        <f>IF(AND(I2492="TP",S2492&lt;=300),VLOOKUP(AF2492,TPCalibEq300!$AZ$2:$BB$55,3,),IF(AND(I2492="TDP",S2492&lt;=300),VLOOKUP(AF2492,TPCalibEq300!$AZ$2:$BB$55,3,)))</f>
        <v>0</v>
      </c>
      <c r="AS2492" s="10" t="b">
        <f>IF(AND(I2492="TP",S2492&lt;=500),VLOOKUP(AF2492,TPCalibEq500!$AZ$2:$BB$56,3,),IF(AND(I2492="TDP",S2492&lt;=500),VLOOKUP(AF2492,TPCalibEq500!$AZ$2:$BB$56,3,)))</f>
        <v>0</v>
      </c>
      <c r="AT2492" s="10" t="b">
        <f>IF(AND(I2492="TN",S2492&lt;=2800),VLOOKUP(AF2492,TNCalibEq2500!$AZ$2:$BB$56,3,),IF(AND(I2492="TDN",S2492&lt;=2800),VLOOKUP(AF2492,TNCalibEq2500!$AZ$2:$BB$56,3,)))</f>
        <v>0</v>
      </c>
      <c r="AU2492" s="10" t="b">
        <f>IF(I2492="TP",VLOOKUP(AF2492,TPCalibEqFull!$AZ$2:$BB$56,3),IF(I2492="TDP",VLOOKUP(AF2492,TPCalibEqFull!$AZ$2:$BB$56,3),IF(I2492="TDN",VLOOKUP(AF2492,TNCalibEqFull!$AZ$1:$BB$56,3),IF(I2492="TN",VLOOKUP(AF2492,TNCalibEqFull!$AZ$1:$BB$56,3),FALSE))))</f>
        <v>0</v>
      </c>
      <c r="AV2492" s="10" t="str">
        <f t="shared" si="282"/>
        <v>0206 14:20:00-DAM-0-FIL-1-SW-DUP</v>
      </c>
    </row>
    <row r="2493" spans="1:48" s="10" customFormat="1" x14ac:dyDescent="0.55000000000000004">
      <c r="A2493" s="32">
        <v>44963</v>
      </c>
      <c r="B2493" s="33">
        <v>0.59722222222222221</v>
      </c>
      <c r="C2493" s="10" t="s">
        <v>214</v>
      </c>
      <c r="D2493" s="10">
        <v>0</v>
      </c>
      <c r="E2493" s="10" t="s">
        <v>911</v>
      </c>
      <c r="F2493" s="10">
        <v>1</v>
      </c>
      <c r="G2493" s="10" t="s">
        <v>231</v>
      </c>
      <c r="H2493" s="10" t="s">
        <v>314</v>
      </c>
      <c r="I2493" s="10" t="s">
        <v>209</v>
      </c>
      <c r="J2493" s="10">
        <v>114</v>
      </c>
      <c r="K2493" s="12">
        <v>44966</v>
      </c>
      <c r="L2493" s="33">
        <v>0.56518518518518512</v>
      </c>
      <c r="M2493" s="10">
        <v>1</v>
      </c>
      <c r="N2493" s="10" t="s">
        <v>169</v>
      </c>
      <c r="O2493" s="10">
        <v>5.05</v>
      </c>
      <c r="P2493" s="10">
        <v>0.23400000000000001</v>
      </c>
      <c r="Q2493" s="10">
        <v>624</v>
      </c>
      <c r="R2493" s="10" t="s">
        <v>77</v>
      </c>
      <c r="S2493" s="34">
        <f t="shared" si="277"/>
        <v>624</v>
      </c>
      <c r="T2493" s="10" t="s">
        <v>1176</v>
      </c>
      <c r="U2493" s="34">
        <f t="shared" si="280"/>
        <v>30.56</v>
      </c>
      <c r="V2493" s="31">
        <f>IF(H2493="CHK",VLOOKUP(I2493,QCCHK,3,),IF(H2493="GUP",VLOOKUP(E2493,QCGUP,2,),IF(AND(H2493="ATP",OR(I2493="TN",I2493="TDN",I2493="TNO2-3",I2493="NO2-3")),VLOOKUP(E2493,QCREC_N,2,),IF(AND(H2493="NIC",OR(I2493="TN",I2493="TDN",I2493="TNO2-3",I2493="NO2-3")),VLOOKUP(E2493,QCNIC_N,2,),IF(AND(H2493="UREA",OR(I2493="TN",I2493="TDN",I2493="TNO2-3",I2493="NO2-3")),VLOOKUP(E2493,QCUREA_N,2,),IF(H2493="PER",VLOOKUP(I2493,QCPER,MATCH(E2493,QCACTUAL!$J$25:$AA$25,0),),IF(H2493="SPK",VLOOKUP(I2493,QCSPK,3,),IF(AND(H2493="ATP",OR(I2493="TP",I2493="TDP")),VLOOKUP(E2493,QCATP_P,2,),""))))))))</f>
        <v>625</v>
      </c>
      <c r="W2493" s="31" t="str">
        <f t="shared" si="281"/>
        <v>FALSE</v>
      </c>
      <c r="X2493" s="31" t="str">
        <f t="shared" si="276"/>
        <v>([spikedunkn]-[unkn])/[spike]*100</v>
      </c>
      <c r="Y2493" s="10" t="s">
        <v>1144</v>
      </c>
      <c r="Z2493" s="10" t="s">
        <v>910</v>
      </c>
      <c r="AL2493" s="10" t="str">
        <f t="shared" si="278"/>
        <v>FALSE</v>
      </c>
      <c r="AM2493" s="10" t="str">
        <f t="shared" si="278"/>
        <v>FALSE</v>
      </c>
      <c r="AN2493" s="10" t="str">
        <f t="shared" si="278"/>
        <v>FALSE</v>
      </c>
      <c r="AO2493" s="10" t="str">
        <f t="shared" si="279"/>
        <v>FALSE</v>
      </c>
      <c r="AP2493" s="10" t="str">
        <f t="shared" si="279"/>
        <v>FALSE</v>
      </c>
      <c r="AQ2493" s="10" t="b">
        <f>IF(AND(I2493="TP",S2493&lt;=150),VLOOKUP(AF2493,TPCalibEq150!$AZ$2:$BB$55,3,),IF(AND(I2493="TDP",S2493&lt;=150),VLOOKUP(AF2493,TPCalibEq150!$AZ$2:$BB$55,3,)))</f>
        <v>0</v>
      </c>
      <c r="AR2493" s="10" t="b">
        <f>IF(AND(I2493="TP",S2493&lt;=300),VLOOKUP(AF2493,TPCalibEq300!$AZ$2:$BB$55,3,),IF(AND(I2493="TDP",S2493&lt;=300),VLOOKUP(AF2493,TPCalibEq300!$AZ$2:$BB$55,3,)))</f>
        <v>0</v>
      </c>
      <c r="AS2493" s="10" t="b">
        <f>IF(AND(I2493="TP",S2493&lt;=500),VLOOKUP(AF2493,TPCalibEq500!$AZ$2:$BB$56,3,),IF(AND(I2493="TDP",S2493&lt;=500),VLOOKUP(AF2493,TPCalibEq500!$AZ$2:$BB$56,3,)))</f>
        <v>0</v>
      </c>
      <c r="AT2493" s="10" t="b">
        <f>IF(AND(I2493="TN",S2493&lt;=2800),VLOOKUP(AF2493,TNCalibEq2500!$AZ$2:$BB$56,3,),IF(AND(I2493="TDN",S2493&lt;=2800),VLOOKUP(AF2493,TNCalibEq2500!$AZ$2:$BB$56,3,)))</f>
        <v>0</v>
      </c>
      <c r="AU2493" s="10" t="b">
        <f>IF(I2493="TP",VLOOKUP(AF2493,TPCalibEqFull!$AZ$2:$BB$56,3),IF(I2493="TDP",VLOOKUP(AF2493,TPCalibEqFull!$AZ$2:$BB$56,3),IF(I2493="TDN",VLOOKUP(AF2493,TNCalibEqFull!$AZ$1:$BB$56,3),IF(I2493="TN",VLOOKUP(AF2493,TNCalibEqFull!$AZ$1:$BB$56,3),FALSE))))</f>
        <v>0</v>
      </c>
      <c r="AV2493" s="10" t="str">
        <f t="shared" si="282"/>
        <v>0206 14:20:00-DAM-0-FIL-1-SW-SPK</v>
      </c>
    </row>
    <row r="2494" spans="1:48" s="10" customFormat="1" x14ac:dyDescent="0.55000000000000004">
      <c r="A2494" s="32">
        <v>44966</v>
      </c>
      <c r="B2494" s="33">
        <v>0.375</v>
      </c>
      <c r="C2494" s="10" t="s">
        <v>70</v>
      </c>
      <c r="D2494" s="10" t="s">
        <v>71</v>
      </c>
      <c r="E2494" s="10" t="s">
        <v>901</v>
      </c>
      <c r="F2494" s="10">
        <v>1</v>
      </c>
      <c r="G2494" s="10" t="s">
        <v>73</v>
      </c>
      <c r="H2494" s="10" t="s">
        <v>207</v>
      </c>
      <c r="I2494" s="10" t="s">
        <v>256</v>
      </c>
      <c r="J2494" s="10">
        <v>203</v>
      </c>
      <c r="K2494" s="12">
        <v>44966</v>
      </c>
      <c r="L2494" s="33">
        <v>0.56601851851851859</v>
      </c>
      <c r="M2494" s="10">
        <v>1</v>
      </c>
      <c r="N2494" s="10" t="s">
        <v>169</v>
      </c>
      <c r="O2494" s="10">
        <v>2.2000000000000002</v>
      </c>
      <c r="P2494" s="10">
        <v>0.104</v>
      </c>
      <c r="Q2494" s="10">
        <v>271</v>
      </c>
      <c r="R2494" s="10" t="s">
        <v>77</v>
      </c>
      <c r="S2494" s="34">
        <f t="shared" si="277"/>
        <v>271</v>
      </c>
      <c r="T2494" s="10" t="s">
        <v>1176</v>
      </c>
      <c r="U2494" s="34">
        <f t="shared" si="280"/>
        <v>90.333333333333329</v>
      </c>
      <c r="V2494" s="31">
        <f>IF(H2494="CHK",VLOOKUP(I2494,QCCHK,3,),IF(H2494="GUP",VLOOKUP(E2494,QCGUP,2,),IF(AND(H2494="ATP",OR(I2494="TN",I2494="TDN",I2494="TNO2-3",I2494="NO2-3")),VLOOKUP(E2494,QCREC_N,2,),IF(AND(H2494="NIC",OR(I2494="TN",I2494="TDN",I2494="TNO2-3",I2494="NO2-3")),VLOOKUP(E2494,QCNIC_N,2,),IF(AND(H2494="UREA",OR(I2494="TN",I2494="TDN",I2494="TNO2-3",I2494="NO2-3")),VLOOKUP(E2494,QCUREA_N,2,),IF(H2494="PER",VLOOKUP(I2494,QCPER,MATCH(E2494,QCACTUAL!$J$25:$AA$25,0),),IF(H2494="SPK",VLOOKUP(I2494,QCSPK,3,),IF(AND(H2494="ATP",OR(I2494="TP",I2494="TDP")),VLOOKUP(E2494,QCATP_P,2,),""))))))))</f>
        <v>300</v>
      </c>
      <c r="W2494" s="31" t="str">
        <f t="shared" si="281"/>
        <v>TRUE</v>
      </c>
      <c r="X2494" s="31" t="str">
        <f t="shared" si="276"/>
        <v>[chk]/[actual]*100</v>
      </c>
      <c r="Y2494" s="10" t="s">
        <v>1144</v>
      </c>
      <c r="AL2494" s="10" t="str">
        <f t="shared" si="278"/>
        <v>FALSE</v>
      </c>
      <c r="AM2494" s="10" t="str">
        <f t="shared" si="278"/>
        <v>FALSE</v>
      </c>
      <c r="AN2494" s="10" t="str">
        <f t="shared" si="278"/>
        <v>FALSE</v>
      </c>
      <c r="AO2494" s="10" t="str">
        <f t="shared" si="279"/>
        <v>FALSE</v>
      </c>
      <c r="AP2494" s="10" t="str">
        <f t="shared" si="279"/>
        <v>FALSE</v>
      </c>
      <c r="AQ2494" s="10" t="b">
        <f>IF(AND(I2494="TP",S2494&lt;=150),VLOOKUP(AF2494,TPCalibEq150!$AZ$2:$BB$55,3,),IF(AND(I2494="TDP",S2494&lt;=150),VLOOKUP(AF2494,TPCalibEq150!$AZ$2:$BB$55,3,)))</f>
        <v>0</v>
      </c>
      <c r="AR2494" s="10" t="b">
        <f>IF(AND(I2494="TP",S2494&lt;=300),VLOOKUP(AF2494,TPCalibEq300!$AZ$2:$BB$55,3,),IF(AND(I2494="TDP",S2494&lt;=300),VLOOKUP(AF2494,TPCalibEq300!$AZ$2:$BB$55,3,)))</f>
        <v>0</v>
      </c>
      <c r="AS2494" s="10" t="b">
        <f>IF(AND(I2494="TP",S2494&lt;=500),VLOOKUP(AF2494,TPCalibEq500!$AZ$2:$BB$56,3,),IF(AND(I2494="TDP",S2494&lt;=500),VLOOKUP(AF2494,TPCalibEq500!$AZ$2:$BB$56,3,)))</f>
        <v>0</v>
      </c>
      <c r="AT2494" s="10" t="b">
        <f>IF(AND(I2494="TN",S2494&lt;=2800),VLOOKUP(AF2494,TNCalibEq2500!$AZ$2:$BB$56,3,),IF(AND(I2494="TDN",S2494&lt;=2800),VLOOKUP(AF2494,TNCalibEq2500!$AZ$2:$BB$56,3,)))</f>
        <v>0</v>
      </c>
      <c r="AU2494" s="10" t="b">
        <f>IF(I2494="TP",VLOOKUP(AF2494,TPCalibEqFull!$AZ$2:$BB$56,3),IF(I2494="TDP",VLOOKUP(AF2494,TPCalibEqFull!$AZ$2:$BB$56,3),IF(I2494="TDN",VLOOKUP(AF2494,TNCalibEqFull!$AZ$1:$BB$56,3),IF(I2494="TN",VLOOKUP(AF2494,TNCalibEqFull!$AZ$1:$BB$56,3),FALSE))))</f>
        <v>0</v>
      </c>
      <c r="AV2494" s="10" t="str">
        <f t="shared" si="282"/>
        <v>0209 09:00:00-QAC-STD-D-1-DI-CHK</v>
      </c>
    </row>
    <row r="2495" spans="1:48" s="10" customFormat="1" x14ac:dyDescent="0.55000000000000004">
      <c r="A2495" s="32">
        <v>44965</v>
      </c>
      <c r="B2495" s="33">
        <v>0.47164351851851855</v>
      </c>
      <c r="C2495" s="10" t="s">
        <v>431</v>
      </c>
      <c r="D2495" s="10">
        <v>0</v>
      </c>
      <c r="E2495" s="10" t="s">
        <v>911</v>
      </c>
      <c r="F2495" s="10">
        <v>1</v>
      </c>
      <c r="G2495" s="10" t="s">
        <v>231</v>
      </c>
      <c r="H2495" s="10" t="s">
        <v>322</v>
      </c>
      <c r="I2495" s="10" t="s">
        <v>209</v>
      </c>
      <c r="J2495" s="10">
        <v>85</v>
      </c>
      <c r="K2495" s="12">
        <v>44966</v>
      </c>
      <c r="L2495" s="33">
        <v>0.56682870370370375</v>
      </c>
      <c r="M2495" s="10">
        <v>1</v>
      </c>
      <c r="N2495" s="10" t="s">
        <v>169</v>
      </c>
      <c r="O2495" s="10">
        <v>8.68</v>
      </c>
      <c r="P2495" s="10">
        <v>0.39800000000000002</v>
      </c>
      <c r="Q2495" s="10">
        <v>1070</v>
      </c>
      <c r="R2495" s="10" t="s">
        <v>77</v>
      </c>
      <c r="S2495" s="34">
        <f t="shared" si="277"/>
        <v>1070</v>
      </c>
      <c r="T2495" s="10" t="s">
        <v>1176</v>
      </c>
      <c r="U2495" s="34" t="str">
        <f t="shared" si="280"/>
        <v/>
      </c>
      <c r="V2495" s="31" t="str">
        <f>IF(H2495="CHK",VLOOKUP(I2495,QCCHK,3,),IF(H2495="GUP",VLOOKUP(E2495,QCGUP,2,),IF(AND(H2495="ATP",OR(I2495="TN",I2495="TDN",I2495="TNO2-3",I2495="NO2-3")),VLOOKUP(E2495,QCREC_N,2,),IF(AND(H2495="NIC",OR(I2495="TN",I2495="TDN",I2495="TNO2-3",I2495="NO2-3")),VLOOKUP(E2495,QCNIC_N,2,),IF(AND(H2495="UREA",OR(I2495="TN",I2495="TDN",I2495="TNO2-3",I2495="NO2-3")),VLOOKUP(E2495,QCUREA_N,2,),IF(H2495="PER",VLOOKUP(I2495,QCPER,MATCH(E2495,QCACTUAL!$J$25:$AA$25,0),),IF(H2495="SPK",VLOOKUP(I2495,QCSPK,3,),IF(AND(H2495="ATP",OR(I2495="TP",I2495="TDP")),VLOOKUP(E2495,QCATP_P,2,),""))))))))</f>
        <v/>
      </c>
      <c r="W2495" s="31" t="str">
        <f t="shared" si="281"/>
        <v>TRUE</v>
      </c>
      <c r="X2495" s="31" t="str">
        <f t="shared" ref="X2495:X2558" si="283">IF(ISNA(VLOOKUP(H2495,QCEQUATIONS,2,)),"",(VLOOKUP(H2495,QCEQUATIONS,2,)))</f>
        <v/>
      </c>
      <c r="Y2495" s="10" t="s">
        <v>1144</v>
      </c>
      <c r="AL2495" s="10" t="str">
        <f t="shared" si="278"/>
        <v>FALSE</v>
      </c>
      <c r="AM2495" s="10" t="str">
        <f t="shared" si="278"/>
        <v>FALSE</v>
      </c>
      <c r="AN2495" s="10" t="str">
        <f t="shared" si="278"/>
        <v>FALSE</v>
      </c>
      <c r="AO2495" s="10" t="str">
        <f t="shared" si="279"/>
        <v>FALSE</v>
      </c>
      <c r="AP2495" s="10" t="str">
        <f t="shared" si="279"/>
        <v>FALSE</v>
      </c>
      <c r="AQ2495" s="10" t="b">
        <f>IF(AND(I2495="TP",S2495&lt;=150),VLOOKUP(AF2495,TPCalibEq150!$AZ$2:$BB$55,3,),IF(AND(I2495="TDP",S2495&lt;=150),VLOOKUP(AF2495,TPCalibEq150!$AZ$2:$BB$55,3,)))</f>
        <v>0</v>
      </c>
      <c r="AR2495" s="10" t="b">
        <f>IF(AND(I2495="TP",S2495&lt;=300),VLOOKUP(AF2495,TPCalibEq300!$AZ$2:$BB$55,3,),IF(AND(I2495="TDP",S2495&lt;=300),VLOOKUP(AF2495,TPCalibEq300!$AZ$2:$BB$55,3,)))</f>
        <v>0</v>
      </c>
      <c r="AS2495" s="10" t="b">
        <f>IF(AND(I2495="TP",S2495&lt;=500),VLOOKUP(AF2495,TPCalibEq500!$AZ$2:$BB$56,3,),IF(AND(I2495="TDP",S2495&lt;=500),VLOOKUP(AF2495,TPCalibEq500!$AZ$2:$BB$56,3,)))</f>
        <v>0</v>
      </c>
      <c r="AT2495" s="10" t="b">
        <f>IF(AND(I2495="TN",S2495&lt;=2800),VLOOKUP(AF2495,TNCalibEq2500!$AZ$2:$BB$56,3,),IF(AND(I2495="TDN",S2495&lt;=2800),VLOOKUP(AF2495,TNCalibEq2500!$AZ$2:$BB$56,3,)))</f>
        <v>0</v>
      </c>
      <c r="AU2495" s="10" t="b">
        <f>IF(I2495="TP",VLOOKUP(AF2495,TPCalibEqFull!$AZ$2:$BB$56,3),IF(I2495="TDP",VLOOKUP(AF2495,TPCalibEqFull!$AZ$2:$BB$56,3),IF(I2495="TDN",VLOOKUP(AF2495,TNCalibEqFull!$AZ$1:$BB$56,3),IF(I2495="TN",VLOOKUP(AF2495,TNCalibEqFull!$AZ$1:$BB$56,3),FALSE))))</f>
        <v>0</v>
      </c>
      <c r="AV2495" s="10" t="str">
        <f t="shared" si="282"/>
        <v>0208 11:19:10-EUS-0-FIL-1-SW-UKN</v>
      </c>
    </row>
    <row r="2496" spans="1:48" s="10" customFormat="1" x14ac:dyDescent="0.55000000000000004">
      <c r="A2496" s="32">
        <v>44965</v>
      </c>
      <c r="B2496" s="33">
        <v>0.47395833333333331</v>
      </c>
      <c r="C2496" s="10" t="s">
        <v>431</v>
      </c>
      <c r="D2496" s="10">
        <v>5</v>
      </c>
      <c r="E2496" s="10" t="s">
        <v>911</v>
      </c>
      <c r="F2496" s="10">
        <v>1</v>
      </c>
      <c r="G2496" s="10" t="s">
        <v>231</v>
      </c>
      <c r="H2496" s="10" t="s">
        <v>322</v>
      </c>
      <c r="I2496" s="10" t="s">
        <v>209</v>
      </c>
      <c r="J2496" s="10">
        <v>86</v>
      </c>
      <c r="K2496" s="12">
        <v>44966</v>
      </c>
      <c r="L2496" s="33">
        <v>0.56763888888888892</v>
      </c>
      <c r="M2496" s="10">
        <v>1</v>
      </c>
      <c r="N2496" s="10" t="s">
        <v>169</v>
      </c>
      <c r="O2496" s="10">
        <v>8.68</v>
      </c>
      <c r="P2496" s="10">
        <v>0.39900000000000002</v>
      </c>
      <c r="Q2496" s="10">
        <v>1070</v>
      </c>
      <c r="R2496" s="10" t="s">
        <v>77</v>
      </c>
      <c r="S2496" s="34">
        <f t="shared" ref="S2496:S2559" si="284">IF(OR(AND(I2496&lt;&gt;"TP", I2496&lt;&gt;"TDP",I2496&lt;&gt;"TN", I2496&lt;&gt;"TDN"),H2496="CAL"), Q2496*M2496, IF(OR(AND(I2496="TN", Q2496&gt;2500), AND(I2496="TDN", Q2496&gt;2500)),MAX(Q2496, AK2496)*M2496, IF(OR(AND(I2496="TN", Q2496&lt;=2500), AND(I2496="TDN", Q2496&lt;=2500)),MAX(Q2496, AJ2496,AK2496)*M2496, IF(OR(AND(I2496="TP",Q2496&gt;500), AND(I2496="TDP", Q2496&gt;500)),MAX(Q2496,AK2496)*M2496,IF(OR(AND(I2496="TP",Q2496&lt;=150), AND(I2496="TDP", Q2496&lt;=150)),MAX(Q2496,AG2496:AI2496,AK2496)*M2496,IF(OR(AND(I2496="TP",Q2496&lt;=300), AND(I2496="TDP", Q2496&lt;=300)),MAX(Q2496,AH2496,AI2496,AK2496)*M2496,IF(OR(AND(I2496="TP",Q2496&lt;=500), AND(I2496="TDP", Q2496&lt;=500)),MAX(Q2496,AI2496,AK2496)*M2496,"")))))))</f>
        <v>1070</v>
      </c>
      <c r="T2496" s="10" t="s">
        <v>1176</v>
      </c>
      <c r="U2496" s="34" t="str">
        <f t="shared" si="280"/>
        <v/>
      </c>
      <c r="V2496" s="31" t="str">
        <f>IF(H2496="CHK",VLOOKUP(I2496,QCCHK,3,),IF(H2496="GUP",VLOOKUP(E2496,QCGUP,2,),IF(AND(H2496="ATP",OR(I2496="TN",I2496="TDN",I2496="TNO2-3",I2496="NO2-3")),VLOOKUP(E2496,QCREC_N,2,),IF(AND(H2496="NIC",OR(I2496="TN",I2496="TDN",I2496="TNO2-3",I2496="NO2-3")),VLOOKUP(E2496,QCNIC_N,2,),IF(AND(H2496="UREA",OR(I2496="TN",I2496="TDN",I2496="TNO2-3",I2496="NO2-3")),VLOOKUP(E2496,QCUREA_N,2,),IF(H2496="PER",VLOOKUP(I2496,QCPER,MATCH(E2496,QCACTUAL!$J$25:$AA$25,0),),IF(H2496="SPK",VLOOKUP(I2496,QCSPK,3,),IF(AND(H2496="ATP",OR(I2496="TP",I2496="TDP")),VLOOKUP(E2496,QCATP_P,2,),""))))))))</f>
        <v/>
      </c>
      <c r="W2496" s="31" t="str">
        <f t="shared" si="281"/>
        <v>TRUE</v>
      </c>
      <c r="X2496" s="31" t="str">
        <f t="shared" si="283"/>
        <v/>
      </c>
      <c r="Y2496" s="10" t="s">
        <v>1144</v>
      </c>
      <c r="AL2496" s="10" t="str">
        <f t="shared" si="278"/>
        <v>FALSE</v>
      </c>
      <c r="AM2496" s="10" t="str">
        <f t="shared" si="278"/>
        <v>FALSE</v>
      </c>
      <c r="AN2496" s="10" t="str">
        <f t="shared" si="278"/>
        <v>FALSE</v>
      </c>
      <c r="AO2496" s="10" t="str">
        <f t="shared" si="279"/>
        <v>FALSE</v>
      </c>
      <c r="AP2496" s="10" t="str">
        <f t="shared" si="279"/>
        <v>FALSE</v>
      </c>
      <c r="AQ2496" s="10" t="b">
        <f>IF(AND(I2496="TP",S2496&lt;=150),VLOOKUP(AF2496,TPCalibEq150!$AZ$2:$BB$55,3,),IF(AND(I2496="TDP",S2496&lt;=150),VLOOKUP(AF2496,TPCalibEq150!$AZ$2:$BB$55,3,)))</f>
        <v>0</v>
      </c>
      <c r="AR2496" s="10" t="b">
        <f>IF(AND(I2496="TP",S2496&lt;=300),VLOOKUP(AF2496,TPCalibEq300!$AZ$2:$BB$55,3,),IF(AND(I2496="TDP",S2496&lt;=300),VLOOKUP(AF2496,TPCalibEq300!$AZ$2:$BB$55,3,)))</f>
        <v>0</v>
      </c>
      <c r="AS2496" s="10" t="b">
        <f>IF(AND(I2496="TP",S2496&lt;=500),VLOOKUP(AF2496,TPCalibEq500!$AZ$2:$BB$56,3,),IF(AND(I2496="TDP",S2496&lt;=500),VLOOKUP(AF2496,TPCalibEq500!$AZ$2:$BB$56,3,)))</f>
        <v>0</v>
      </c>
      <c r="AT2496" s="10" t="b">
        <f>IF(AND(I2496="TN",S2496&lt;=2800),VLOOKUP(AF2496,TNCalibEq2500!$AZ$2:$BB$56,3,),IF(AND(I2496="TDN",S2496&lt;=2800),VLOOKUP(AF2496,TNCalibEq2500!$AZ$2:$BB$56,3,)))</f>
        <v>0</v>
      </c>
      <c r="AU2496" s="10" t="b">
        <f>IF(I2496="TP",VLOOKUP(AF2496,TPCalibEqFull!$AZ$2:$BB$56,3),IF(I2496="TDP",VLOOKUP(AF2496,TPCalibEqFull!$AZ$2:$BB$56,3),IF(I2496="TDN",VLOOKUP(AF2496,TNCalibEqFull!$AZ$1:$BB$56,3),IF(I2496="TN",VLOOKUP(AF2496,TNCalibEqFull!$AZ$1:$BB$56,3),FALSE))))</f>
        <v>0</v>
      </c>
      <c r="AV2496" s="10" t="str">
        <f t="shared" si="282"/>
        <v>0208 11:22:30-EUS-5-FIL-1-SW-UKN</v>
      </c>
    </row>
    <row r="2497" spans="1:48" s="10" customFormat="1" x14ac:dyDescent="0.55000000000000004">
      <c r="A2497" s="32">
        <v>44965</v>
      </c>
      <c r="B2497" s="33">
        <v>0.46828703703703706</v>
      </c>
      <c r="C2497" s="10" t="s">
        <v>618</v>
      </c>
      <c r="D2497" s="10">
        <v>0</v>
      </c>
      <c r="E2497" s="10" t="s">
        <v>911</v>
      </c>
      <c r="F2497" s="10">
        <v>1</v>
      </c>
      <c r="G2497" s="10" t="s">
        <v>231</v>
      </c>
      <c r="H2497" s="10" t="s">
        <v>322</v>
      </c>
      <c r="I2497" s="10" t="s">
        <v>209</v>
      </c>
      <c r="J2497" s="10">
        <v>87</v>
      </c>
      <c r="K2497" s="12">
        <v>44966</v>
      </c>
      <c r="L2497" s="33">
        <v>0.56843750000000004</v>
      </c>
      <c r="M2497" s="10">
        <v>1</v>
      </c>
      <c r="N2497" s="10" t="s">
        <v>169</v>
      </c>
      <c r="O2497" s="10">
        <v>4.7300000000000004</v>
      </c>
      <c r="P2497" s="10">
        <v>0.218</v>
      </c>
      <c r="Q2497" s="10">
        <v>584</v>
      </c>
      <c r="R2497" s="10" t="s">
        <v>77</v>
      </c>
      <c r="S2497" s="34">
        <f t="shared" si="284"/>
        <v>584</v>
      </c>
      <c r="T2497" s="10" t="s">
        <v>1176</v>
      </c>
      <c r="U2497" s="34" t="str">
        <f t="shared" si="280"/>
        <v/>
      </c>
      <c r="V2497" s="31" t="str">
        <f>IF(H2497="CHK",VLOOKUP(I2497,QCCHK,3,),IF(H2497="GUP",VLOOKUP(E2497,QCGUP,2,),IF(AND(H2497="ATP",OR(I2497="TN",I2497="TDN",I2497="TNO2-3",I2497="NO2-3")),VLOOKUP(E2497,QCREC_N,2,),IF(AND(H2497="NIC",OR(I2497="TN",I2497="TDN",I2497="TNO2-3",I2497="NO2-3")),VLOOKUP(E2497,QCNIC_N,2,),IF(AND(H2497="UREA",OR(I2497="TN",I2497="TDN",I2497="TNO2-3",I2497="NO2-3")),VLOOKUP(E2497,QCUREA_N,2,),IF(H2497="PER",VLOOKUP(I2497,QCPER,MATCH(E2497,QCACTUAL!$J$25:$AA$25,0),),IF(H2497="SPK",VLOOKUP(I2497,QCSPK,3,),IF(AND(H2497="ATP",OR(I2497="TP",I2497="TDP")),VLOOKUP(E2497,QCATP_P,2,),""))))))))</f>
        <v/>
      </c>
      <c r="W2497" s="31" t="str">
        <f t="shared" si="281"/>
        <v>TRUE</v>
      </c>
      <c r="X2497" s="31" t="str">
        <f t="shared" si="283"/>
        <v/>
      </c>
      <c r="Y2497" s="10" t="s">
        <v>1144</v>
      </c>
      <c r="AL2497" s="10" t="str">
        <f t="shared" ref="AL2497:AN2544" si="285">IF($O2497="", "", IF(AQ2497&lt;&gt;"", SUBSTITUTE(SUBSTITUTE(AQ2497, "x", "*"&amp;$O2497&amp;"^", 1), "x", "*"&amp;$O2497, 1), ""))</f>
        <v>FALSE</v>
      </c>
      <c r="AM2497" s="10" t="str">
        <f t="shared" si="285"/>
        <v>FALSE</v>
      </c>
      <c r="AN2497" s="10" t="str">
        <f t="shared" si="285"/>
        <v>FALSE</v>
      </c>
      <c r="AO2497" s="10" t="str">
        <f t="shared" ref="AO2497:AP2544" si="286">IF($O2497="", "FALSE", IF(AT2497&lt;&gt;"FALSE", SUBSTITUTE(SUBSTITUTE(AT2497, "x", "*"&amp;$O2497&amp;"^", 1), "x", "*"&amp;$O2497, 1), ""))</f>
        <v>FALSE</v>
      </c>
      <c r="AP2497" s="10" t="str">
        <f t="shared" si="286"/>
        <v>FALSE</v>
      </c>
      <c r="AQ2497" s="10" t="b">
        <f>IF(AND(I2497="TP",S2497&lt;=150),VLOOKUP(AF2497,TPCalibEq150!$AZ$2:$BB$55,3,),IF(AND(I2497="TDP",S2497&lt;=150),VLOOKUP(AF2497,TPCalibEq150!$AZ$2:$BB$55,3,)))</f>
        <v>0</v>
      </c>
      <c r="AR2497" s="10" t="b">
        <f>IF(AND(I2497="TP",S2497&lt;=300),VLOOKUP(AF2497,TPCalibEq300!$AZ$2:$BB$55,3,),IF(AND(I2497="TDP",S2497&lt;=300),VLOOKUP(AF2497,TPCalibEq300!$AZ$2:$BB$55,3,)))</f>
        <v>0</v>
      </c>
      <c r="AS2497" s="10" t="b">
        <f>IF(AND(I2497="TP",S2497&lt;=500),VLOOKUP(AF2497,TPCalibEq500!$AZ$2:$BB$56,3,),IF(AND(I2497="TDP",S2497&lt;=500),VLOOKUP(AF2497,TPCalibEq500!$AZ$2:$BB$56,3,)))</f>
        <v>0</v>
      </c>
      <c r="AT2497" s="10" t="b">
        <f>IF(AND(I2497="TN",S2497&lt;=2800),VLOOKUP(AF2497,TNCalibEq2500!$AZ$2:$BB$56,3,),IF(AND(I2497="TDN",S2497&lt;=2800),VLOOKUP(AF2497,TNCalibEq2500!$AZ$2:$BB$56,3,)))</f>
        <v>0</v>
      </c>
      <c r="AU2497" s="10" t="b">
        <f>IF(I2497="TP",VLOOKUP(AF2497,TPCalibEqFull!$AZ$2:$BB$56,3),IF(I2497="TDP",VLOOKUP(AF2497,TPCalibEqFull!$AZ$2:$BB$56,3),IF(I2497="TDN",VLOOKUP(AF2497,TNCalibEqFull!$AZ$1:$BB$56,3),IF(I2497="TN",VLOOKUP(AF2497,TNCalibEqFull!$AZ$1:$BB$56,3),FALSE))))</f>
        <v>0</v>
      </c>
      <c r="AV2497" s="10" t="str">
        <f t="shared" si="282"/>
        <v>0208 11:14:20-ECP-0-FIL-1-SW-UKN</v>
      </c>
    </row>
    <row r="2498" spans="1:48" s="10" customFormat="1" x14ac:dyDescent="0.55000000000000004">
      <c r="A2498" s="32">
        <v>44965</v>
      </c>
      <c r="B2498" s="33">
        <v>0.46828703703703706</v>
      </c>
      <c r="C2498" s="10" t="s">
        <v>618</v>
      </c>
      <c r="D2498" s="10">
        <v>0</v>
      </c>
      <c r="E2498" s="10" t="s">
        <v>911</v>
      </c>
      <c r="F2498" s="10">
        <v>2</v>
      </c>
      <c r="G2498" s="10" t="s">
        <v>231</v>
      </c>
      <c r="H2498" s="10" t="s">
        <v>322</v>
      </c>
      <c r="I2498" s="10" t="s">
        <v>209</v>
      </c>
      <c r="J2498" s="10">
        <v>88</v>
      </c>
      <c r="K2498" s="12">
        <v>44966</v>
      </c>
      <c r="L2498" s="33">
        <v>0.56925925925925924</v>
      </c>
      <c r="M2498" s="10">
        <v>1</v>
      </c>
      <c r="N2498" s="10" t="s">
        <v>169</v>
      </c>
      <c r="O2498" s="10">
        <v>4.87</v>
      </c>
      <c r="P2498" s="10">
        <v>0.22500000000000001</v>
      </c>
      <c r="Q2498" s="10">
        <v>601</v>
      </c>
      <c r="R2498" s="10" t="s">
        <v>77</v>
      </c>
      <c r="S2498" s="34">
        <f t="shared" si="284"/>
        <v>601</v>
      </c>
      <c r="T2498" s="10" t="s">
        <v>1176</v>
      </c>
      <c r="U2498" s="34" t="str">
        <f t="shared" ref="U2498:U2561" si="287">IF(OR(H2498="CHK",H2498="ATP",H2498="GUP",H2498="PER", H2498="NIC", H2498="UREA"),(S2498/V2498*100),IF(H2498="DUP",((ABS(S2498-S2497))/((S2497+S2498)/2))*100,IF(H2498="SPK",((S2498-S2497)/V2498*100),IF(OR(H2498="LAB",H2498="FLD",H2498="ESF"),S2498,""))))</f>
        <v/>
      </c>
      <c r="V2498" s="31" t="str">
        <f>IF(H2498="CHK",VLOOKUP(I2498,QCCHK,3,),IF(H2498="GUP",VLOOKUP(E2498,QCGUP,2,),IF(AND(H2498="ATP",OR(I2498="TN",I2498="TDN",I2498="TNO2-3",I2498="NO2-3")),VLOOKUP(E2498,QCREC_N,2,),IF(AND(H2498="NIC",OR(I2498="TN",I2498="TDN",I2498="TNO2-3",I2498="NO2-3")),VLOOKUP(E2498,QCNIC_N,2,),IF(AND(H2498="UREA",OR(I2498="TN",I2498="TDN",I2498="TNO2-3",I2498="NO2-3")),VLOOKUP(E2498,QCUREA_N,2,),IF(H2498="PER",VLOOKUP(I2498,QCPER,MATCH(E2498,QCACTUAL!$J$25:$AA$25,0),),IF(H2498="SPK",VLOOKUP(I2498,QCSPK,3,),IF(AND(H2498="ATP",OR(I2498="TP",I2498="TDP")),VLOOKUP(E2498,QCATP_P,2,),""))))))))</f>
        <v/>
      </c>
      <c r="W2498" s="31" t="str">
        <f t="shared" ref="W2498:W2561" si="288">IF(AND(OR(H2498="PER",H2498="ATP",H2498="GUP",H2498="CHK",H2498="SPK", H2498="NIC"),OR(U2498&gt;125,U2498&lt;75)),"FALSE",IF(AND(H2498="DUP",OR(U2498&gt;25, U2498&lt;-25)),"FALSE",IF(AND(OR(H2498="LAB",H2498="FLD",H2498="ESF"),U2498&gt;15),"FALSE","TRUE")))</f>
        <v>TRUE</v>
      </c>
      <c r="X2498" s="31" t="str">
        <f t="shared" si="283"/>
        <v/>
      </c>
      <c r="Y2498" s="10" t="s">
        <v>1144</v>
      </c>
      <c r="AL2498" s="10" t="str">
        <f t="shared" si="285"/>
        <v>FALSE</v>
      </c>
      <c r="AM2498" s="10" t="str">
        <f t="shared" si="285"/>
        <v>FALSE</v>
      </c>
      <c r="AN2498" s="10" t="str">
        <f t="shared" si="285"/>
        <v>FALSE</v>
      </c>
      <c r="AO2498" s="10" t="str">
        <f t="shared" si="286"/>
        <v>FALSE</v>
      </c>
      <c r="AP2498" s="10" t="str">
        <f t="shared" si="286"/>
        <v>FALSE</v>
      </c>
      <c r="AQ2498" s="10" t="b">
        <f>IF(AND(I2498="TP",S2498&lt;=150),VLOOKUP(AF2498,TPCalibEq150!$AZ$2:$BB$55,3,),IF(AND(I2498="TDP",S2498&lt;=150),VLOOKUP(AF2498,TPCalibEq150!$AZ$2:$BB$55,3,)))</f>
        <v>0</v>
      </c>
      <c r="AR2498" s="10" t="b">
        <f>IF(AND(I2498="TP",S2498&lt;=300),VLOOKUP(AF2498,TPCalibEq300!$AZ$2:$BB$55,3,),IF(AND(I2498="TDP",S2498&lt;=300),VLOOKUP(AF2498,TPCalibEq300!$AZ$2:$BB$55,3,)))</f>
        <v>0</v>
      </c>
      <c r="AS2498" s="10" t="b">
        <f>IF(AND(I2498="TP",S2498&lt;=500),VLOOKUP(AF2498,TPCalibEq500!$AZ$2:$BB$56,3,),IF(AND(I2498="TDP",S2498&lt;=500),VLOOKUP(AF2498,TPCalibEq500!$AZ$2:$BB$56,3,)))</f>
        <v>0</v>
      </c>
      <c r="AT2498" s="10" t="b">
        <f>IF(AND(I2498="TN",S2498&lt;=2800),VLOOKUP(AF2498,TNCalibEq2500!$AZ$2:$BB$56,3,),IF(AND(I2498="TDN",S2498&lt;=2800),VLOOKUP(AF2498,TNCalibEq2500!$AZ$2:$BB$56,3,)))</f>
        <v>0</v>
      </c>
      <c r="AU2498" s="10" t="b">
        <f>IF(I2498="TP",VLOOKUP(AF2498,TPCalibEqFull!$AZ$2:$BB$56,3),IF(I2498="TDP",VLOOKUP(AF2498,TPCalibEqFull!$AZ$2:$BB$56,3),IF(I2498="TDN",VLOOKUP(AF2498,TNCalibEqFull!$AZ$1:$BB$56,3),IF(I2498="TN",VLOOKUP(AF2498,TNCalibEqFull!$AZ$1:$BB$56,3),FALSE))))</f>
        <v>0</v>
      </c>
      <c r="AV2498" s="10" t="str">
        <f t="shared" ref="AV2498:AV2561" si="289">TEXT(A2498, "MMDD")&amp;" "&amp;TEXT(B2498, "HH:MM:SS")&amp;"-"&amp;C2498&amp;"-"&amp;D2498&amp;"-"&amp;E2498&amp;"-"&amp;F2498&amp;"-"&amp;G2498&amp;"-"&amp;H2498</f>
        <v>0208 11:14:20-ECP-0-FIL-2-SW-UKN</v>
      </c>
    </row>
    <row r="2499" spans="1:48" s="10" customFormat="1" x14ac:dyDescent="0.55000000000000004">
      <c r="A2499" s="32">
        <v>44965</v>
      </c>
      <c r="B2499" s="33">
        <v>0.46828703703703706</v>
      </c>
      <c r="C2499" s="10" t="s">
        <v>618</v>
      </c>
      <c r="D2499" s="10">
        <v>0</v>
      </c>
      <c r="E2499" s="10" t="s">
        <v>911</v>
      </c>
      <c r="F2499" s="10">
        <v>2</v>
      </c>
      <c r="G2499" s="10" t="s">
        <v>231</v>
      </c>
      <c r="H2499" s="10" t="s">
        <v>233</v>
      </c>
      <c r="I2499" s="10" t="s">
        <v>209</v>
      </c>
      <c r="J2499" s="10">
        <v>88</v>
      </c>
      <c r="K2499" s="12">
        <v>44966</v>
      </c>
      <c r="L2499" s="33">
        <v>0.57006944444444441</v>
      </c>
      <c r="M2499" s="10">
        <v>1</v>
      </c>
      <c r="N2499" s="10" t="s">
        <v>169</v>
      </c>
      <c r="O2499" s="10">
        <v>4.8499999999999996</v>
      </c>
      <c r="P2499" s="10">
        <v>0.223</v>
      </c>
      <c r="Q2499" s="10">
        <v>598</v>
      </c>
      <c r="R2499" s="10" t="s">
        <v>77</v>
      </c>
      <c r="S2499" s="34">
        <f t="shared" si="284"/>
        <v>598</v>
      </c>
      <c r="T2499" s="10" t="s">
        <v>1176</v>
      </c>
      <c r="U2499" s="34">
        <f t="shared" si="287"/>
        <v>0.50041701417848206</v>
      </c>
      <c r="V2499" s="31" t="str">
        <f>IF(H2499="CHK",VLOOKUP(I2499,QCCHK,3,),IF(H2499="GUP",VLOOKUP(E2499,QCGUP,2,),IF(AND(H2499="ATP",OR(I2499="TN",I2499="TDN",I2499="TNO2-3",I2499="NO2-3")),VLOOKUP(E2499,QCREC_N,2,),IF(AND(H2499="NIC",OR(I2499="TN",I2499="TDN",I2499="TNO2-3",I2499="NO2-3")),VLOOKUP(E2499,QCNIC_N,2,),IF(AND(H2499="UREA",OR(I2499="TN",I2499="TDN",I2499="TNO2-3",I2499="NO2-3")),VLOOKUP(E2499,QCUREA_N,2,),IF(H2499="PER",VLOOKUP(I2499,QCPER,MATCH(E2499,QCACTUAL!$J$25:$AA$25,0),),IF(H2499="SPK",VLOOKUP(I2499,QCSPK,3,),IF(AND(H2499="ATP",OR(I2499="TP",I2499="TDP")),VLOOKUP(E2499,QCATP_P,2,),""))))))))</f>
        <v/>
      </c>
      <c r="W2499" s="31" t="str">
        <f t="shared" si="288"/>
        <v>TRUE</v>
      </c>
      <c r="X2499" s="31" t="str">
        <f t="shared" si="283"/>
        <v>((ABS(rep1-rep2))/((rep1+rep2)/2)*100</v>
      </c>
      <c r="Y2499" s="10" t="s">
        <v>1144</v>
      </c>
      <c r="AL2499" s="10" t="str">
        <f t="shared" si="285"/>
        <v>FALSE</v>
      </c>
      <c r="AM2499" s="10" t="str">
        <f t="shared" si="285"/>
        <v>FALSE</v>
      </c>
      <c r="AN2499" s="10" t="str">
        <f t="shared" si="285"/>
        <v>FALSE</v>
      </c>
      <c r="AO2499" s="10" t="str">
        <f t="shared" si="286"/>
        <v>FALSE</v>
      </c>
      <c r="AP2499" s="10" t="str">
        <f t="shared" si="286"/>
        <v>FALSE</v>
      </c>
      <c r="AQ2499" s="10" t="b">
        <f>IF(AND(I2499="TP",S2499&lt;=150),VLOOKUP(AF2499,TPCalibEq150!$AZ$2:$BB$55,3,),IF(AND(I2499="TDP",S2499&lt;=150),VLOOKUP(AF2499,TPCalibEq150!$AZ$2:$BB$55,3,)))</f>
        <v>0</v>
      </c>
      <c r="AR2499" s="10" t="b">
        <f>IF(AND(I2499="TP",S2499&lt;=300),VLOOKUP(AF2499,TPCalibEq300!$AZ$2:$BB$55,3,),IF(AND(I2499="TDP",S2499&lt;=300),VLOOKUP(AF2499,TPCalibEq300!$AZ$2:$BB$55,3,)))</f>
        <v>0</v>
      </c>
      <c r="AS2499" s="10" t="b">
        <f>IF(AND(I2499="TP",S2499&lt;=500),VLOOKUP(AF2499,TPCalibEq500!$AZ$2:$BB$56,3,),IF(AND(I2499="TDP",S2499&lt;=500),VLOOKUP(AF2499,TPCalibEq500!$AZ$2:$BB$56,3,)))</f>
        <v>0</v>
      </c>
      <c r="AT2499" s="10" t="b">
        <f>IF(AND(I2499="TN",S2499&lt;=2800),VLOOKUP(AF2499,TNCalibEq2500!$AZ$2:$BB$56,3,),IF(AND(I2499="TDN",S2499&lt;=2800),VLOOKUP(AF2499,TNCalibEq2500!$AZ$2:$BB$56,3,)))</f>
        <v>0</v>
      </c>
      <c r="AU2499" s="10" t="b">
        <f>IF(I2499="TP",VLOOKUP(AF2499,TPCalibEqFull!$AZ$2:$BB$56,3),IF(I2499="TDP",VLOOKUP(AF2499,TPCalibEqFull!$AZ$2:$BB$56,3),IF(I2499="TDN",VLOOKUP(AF2499,TNCalibEqFull!$AZ$1:$BB$56,3),IF(I2499="TN",VLOOKUP(AF2499,TNCalibEqFull!$AZ$1:$BB$56,3),FALSE))))</f>
        <v>0</v>
      </c>
      <c r="AV2499" s="10" t="str">
        <f t="shared" si="289"/>
        <v>0208 11:14:20-ECP-0-FIL-2-SW-DUP</v>
      </c>
    </row>
    <row r="2500" spans="1:48" s="10" customFormat="1" x14ac:dyDescent="0.55000000000000004">
      <c r="A2500" s="32">
        <v>44965</v>
      </c>
      <c r="B2500" s="33">
        <v>0.46828703703703706</v>
      </c>
      <c r="C2500" s="10" t="s">
        <v>618</v>
      </c>
      <c r="D2500" s="10">
        <v>0</v>
      </c>
      <c r="E2500" s="10" t="s">
        <v>911</v>
      </c>
      <c r="F2500" s="10">
        <v>2</v>
      </c>
      <c r="G2500" s="10" t="s">
        <v>231</v>
      </c>
      <c r="H2500" s="10" t="s">
        <v>314</v>
      </c>
      <c r="I2500" s="10" t="s">
        <v>209</v>
      </c>
      <c r="J2500" s="10">
        <v>129</v>
      </c>
      <c r="K2500" s="12">
        <v>44966</v>
      </c>
      <c r="L2500" s="33">
        <v>0.57089120370370372</v>
      </c>
      <c r="M2500" s="10">
        <v>1</v>
      </c>
      <c r="N2500" s="10" t="s">
        <v>169</v>
      </c>
      <c r="O2500" s="10">
        <v>9.89</v>
      </c>
      <c r="P2500" s="10">
        <v>0.45800000000000002</v>
      </c>
      <c r="Q2500" s="10">
        <v>1220</v>
      </c>
      <c r="R2500" s="10" t="s">
        <v>77</v>
      </c>
      <c r="S2500" s="34">
        <f t="shared" si="284"/>
        <v>1220</v>
      </c>
      <c r="T2500" s="10" t="s">
        <v>1176</v>
      </c>
      <c r="U2500" s="34">
        <f t="shared" si="287"/>
        <v>99.52</v>
      </c>
      <c r="V2500" s="31">
        <f>IF(H2500="CHK",VLOOKUP(I2500,QCCHK,3,),IF(H2500="GUP",VLOOKUP(E2500,QCGUP,2,),IF(AND(H2500="ATP",OR(I2500="TN",I2500="TDN",I2500="TNO2-3",I2500="NO2-3")),VLOOKUP(E2500,QCREC_N,2,),IF(AND(H2500="NIC",OR(I2500="TN",I2500="TDN",I2500="TNO2-3",I2500="NO2-3")),VLOOKUP(E2500,QCNIC_N,2,),IF(AND(H2500="UREA",OR(I2500="TN",I2500="TDN",I2500="TNO2-3",I2500="NO2-3")),VLOOKUP(E2500,QCUREA_N,2,),IF(H2500="PER",VLOOKUP(I2500,QCPER,MATCH(E2500,QCACTUAL!$J$25:$AA$25,0),),IF(H2500="SPK",VLOOKUP(I2500,QCSPK,3,),IF(AND(H2500="ATP",OR(I2500="TP",I2500="TDP")),VLOOKUP(E2500,QCATP_P,2,),""))))))))</f>
        <v>625</v>
      </c>
      <c r="W2500" s="31" t="str">
        <f t="shared" si="288"/>
        <v>TRUE</v>
      </c>
      <c r="X2500" s="31" t="str">
        <f t="shared" si="283"/>
        <v>([spikedunkn]-[unkn])/[spike]*100</v>
      </c>
      <c r="Y2500" s="10" t="s">
        <v>1144</v>
      </c>
      <c r="AL2500" s="10" t="str">
        <f t="shared" si="285"/>
        <v>FALSE</v>
      </c>
      <c r="AM2500" s="10" t="str">
        <f t="shared" si="285"/>
        <v>FALSE</v>
      </c>
      <c r="AN2500" s="10" t="str">
        <f t="shared" si="285"/>
        <v>FALSE</v>
      </c>
      <c r="AO2500" s="10" t="str">
        <f t="shared" si="286"/>
        <v>FALSE</v>
      </c>
      <c r="AP2500" s="10" t="str">
        <f t="shared" si="286"/>
        <v>FALSE</v>
      </c>
      <c r="AQ2500" s="10" t="b">
        <f>IF(AND(I2500="TP",S2500&lt;=150),VLOOKUP(AF2500,TPCalibEq150!$AZ$2:$BB$55,3,),IF(AND(I2500="TDP",S2500&lt;=150),VLOOKUP(AF2500,TPCalibEq150!$AZ$2:$BB$55,3,)))</f>
        <v>0</v>
      </c>
      <c r="AR2500" s="10" t="b">
        <f>IF(AND(I2500="TP",S2500&lt;=300),VLOOKUP(AF2500,TPCalibEq300!$AZ$2:$BB$55,3,),IF(AND(I2500="TDP",S2500&lt;=300),VLOOKUP(AF2500,TPCalibEq300!$AZ$2:$BB$55,3,)))</f>
        <v>0</v>
      </c>
      <c r="AS2500" s="10" t="b">
        <f>IF(AND(I2500="TP",S2500&lt;=500),VLOOKUP(AF2500,TPCalibEq500!$AZ$2:$BB$56,3,),IF(AND(I2500="TDP",S2500&lt;=500),VLOOKUP(AF2500,TPCalibEq500!$AZ$2:$BB$56,3,)))</f>
        <v>0</v>
      </c>
      <c r="AT2500" s="10" t="b">
        <f>IF(AND(I2500="TN",S2500&lt;=2800),VLOOKUP(AF2500,TNCalibEq2500!$AZ$2:$BB$56,3,),IF(AND(I2500="TDN",S2500&lt;=2800),VLOOKUP(AF2500,TNCalibEq2500!$AZ$2:$BB$56,3,)))</f>
        <v>0</v>
      </c>
      <c r="AU2500" s="10" t="b">
        <f>IF(I2500="TP",VLOOKUP(AF2500,TPCalibEqFull!$AZ$2:$BB$56,3),IF(I2500="TDP",VLOOKUP(AF2500,TPCalibEqFull!$AZ$2:$BB$56,3),IF(I2500="TDN",VLOOKUP(AF2500,TNCalibEqFull!$AZ$1:$BB$56,3),IF(I2500="TN",VLOOKUP(AF2500,TNCalibEqFull!$AZ$1:$BB$56,3),FALSE))))</f>
        <v>0</v>
      </c>
      <c r="AV2500" s="10" t="str">
        <f t="shared" si="289"/>
        <v>0208 11:14:20-ECP-0-FIL-2-SW-SPK</v>
      </c>
    </row>
    <row r="2501" spans="1:48" s="10" customFormat="1" x14ac:dyDescent="0.55000000000000004">
      <c r="A2501" s="32">
        <v>44966</v>
      </c>
      <c r="B2501" s="33">
        <v>0.375</v>
      </c>
      <c r="C2501" s="10" t="s">
        <v>70</v>
      </c>
      <c r="D2501" s="10" t="s">
        <v>71</v>
      </c>
      <c r="E2501" s="10" t="s">
        <v>901</v>
      </c>
      <c r="F2501" s="10">
        <v>1</v>
      </c>
      <c r="G2501" s="10" t="s">
        <v>73</v>
      </c>
      <c r="H2501" s="10" t="s">
        <v>207</v>
      </c>
      <c r="I2501" s="10" t="s">
        <v>256</v>
      </c>
      <c r="J2501" s="10">
        <v>203</v>
      </c>
      <c r="K2501" s="12">
        <v>44966</v>
      </c>
      <c r="L2501" s="33">
        <v>0.57171296296296303</v>
      </c>
      <c r="M2501" s="10">
        <v>1</v>
      </c>
      <c r="N2501" s="10" t="s">
        <v>169</v>
      </c>
      <c r="O2501" s="10">
        <v>2.1800000000000002</v>
      </c>
      <c r="P2501" s="10">
        <v>0.10299999999999999</v>
      </c>
      <c r="Q2501" s="10">
        <v>269</v>
      </c>
      <c r="R2501" s="10" t="s">
        <v>77</v>
      </c>
      <c r="S2501" s="34">
        <f t="shared" si="284"/>
        <v>269</v>
      </c>
      <c r="T2501" s="10" t="s">
        <v>1176</v>
      </c>
      <c r="U2501" s="34">
        <f t="shared" si="287"/>
        <v>89.666666666666657</v>
      </c>
      <c r="V2501" s="31">
        <f>IF(H2501="CHK",VLOOKUP(I2501,QCCHK,3,),IF(H2501="GUP",VLOOKUP(E2501,QCGUP,2,),IF(AND(H2501="ATP",OR(I2501="TN",I2501="TDN",I2501="TNO2-3",I2501="NO2-3")),VLOOKUP(E2501,QCREC_N,2,),IF(AND(H2501="NIC",OR(I2501="TN",I2501="TDN",I2501="TNO2-3",I2501="NO2-3")),VLOOKUP(E2501,QCNIC_N,2,),IF(AND(H2501="UREA",OR(I2501="TN",I2501="TDN",I2501="TNO2-3",I2501="NO2-3")),VLOOKUP(E2501,QCUREA_N,2,),IF(H2501="PER",VLOOKUP(I2501,QCPER,MATCH(E2501,QCACTUAL!$J$25:$AA$25,0),),IF(H2501="SPK",VLOOKUP(I2501,QCSPK,3,),IF(AND(H2501="ATP",OR(I2501="TP",I2501="TDP")),VLOOKUP(E2501,QCATP_P,2,),""))))))))</f>
        <v>300</v>
      </c>
      <c r="W2501" s="31" t="str">
        <f t="shared" si="288"/>
        <v>TRUE</v>
      </c>
      <c r="X2501" s="31" t="str">
        <f t="shared" si="283"/>
        <v>[chk]/[actual]*100</v>
      </c>
      <c r="Y2501" s="10" t="s">
        <v>1144</v>
      </c>
      <c r="AL2501" s="10" t="str">
        <f t="shared" si="285"/>
        <v>FALSE</v>
      </c>
      <c r="AM2501" s="10" t="str">
        <f t="shared" si="285"/>
        <v>FALSE</v>
      </c>
      <c r="AN2501" s="10" t="str">
        <f t="shared" si="285"/>
        <v>FALSE</v>
      </c>
      <c r="AO2501" s="10" t="str">
        <f t="shared" si="286"/>
        <v>FALSE</v>
      </c>
      <c r="AP2501" s="10" t="str">
        <f t="shared" si="286"/>
        <v>FALSE</v>
      </c>
      <c r="AQ2501" s="10" t="b">
        <f>IF(AND(I2501="TP",S2501&lt;=150),VLOOKUP(AF2501,TPCalibEq150!$AZ$2:$BB$55,3,),IF(AND(I2501="TDP",S2501&lt;=150),VLOOKUP(AF2501,TPCalibEq150!$AZ$2:$BB$55,3,)))</f>
        <v>0</v>
      </c>
      <c r="AR2501" s="10" t="b">
        <f>IF(AND(I2501="TP",S2501&lt;=300),VLOOKUP(AF2501,TPCalibEq300!$AZ$2:$BB$55,3,),IF(AND(I2501="TDP",S2501&lt;=300),VLOOKUP(AF2501,TPCalibEq300!$AZ$2:$BB$55,3,)))</f>
        <v>0</v>
      </c>
      <c r="AS2501" s="10" t="b">
        <f>IF(AND(I2501="TP",S2501&lt;=500),VLOOKUP(AF2501,TPCalibEq500!$AZ$2:$BB$56,3,),IF(AND(I2501="TDP",S2501&lt;=500),VLOOKUP(AF2501,TPCalibEq500!$AZ$2:$BB$56,3,)))</f>
        <v>0</v>
      </c>
      <c r="AT2501" s="10" t="b">
        <f>IF(AND(I2501="TN",S2501&lt;=2800),VLOOKUP(AF2501,TNCalibEq2500!$AZ$2:$BB$56,3,),IF(AND(I2501="TDN",S2501&lt;=2800),VLOOKUP(AF2501,TNCalibEq2500!$AZ$2:$BB$56,3,)))</f>
        <v>0</v>
      </c>
      <c r="AU2501" s="10" t="b">
        <f>IF(I2501="TP",VLOOKUP(AF2501,TPCalibEqFull!$AZ$2:$BB$56,3),IF(I2501="TDP",VLOOKUP(AF2501,TPCalibEqFull!$AZ$2:$BB$56,3),IF(I2501="TDN",VLOOKUP(AF2501,TNCalibEqFull!$AZ$1:$BB$56,3),IF(I2501="TN",VLOOKUP(AF2501,TNCalibEqFull!$AZ$1:$BB$56,3),FALSE))))</f>
        <v>0</v>
      </c>
      <c r="AV2501" s="10" t="str">
        <f t="shared" si="289"/>
        <v>0209 09:00:00-QAC-STD-D-1-DI-CHK</v>
      </c>
    </row>
    <row r="2502" spans="1:48" s="10" customFormat="1" x14ac:dyDescent="0.55000000000000004">
      <c r="A2502" s="32">
        <v>44965</v>
      </c>
      <c r="B2502" s="33">
        <v>0.49027777777777781</v>
      </c>
      <c r="C2502" s="10" t="s">
        <v>618</v>
      </c>
      <c r="D2502" s="10">
        <v>5</v>
      </c>
      <c r="E2502" s="10" t="s">
        <v>911</v>
      </c>
      <c r="F2502" s="10">
        <v>1</v>
      </c>
      <c r="G2502" s="10" t="s">
        <v>231</v>
      </c>
      <c r="H2502" s="10" t="s">
        <v>322</v>
      </c>
      <c r="I2502" s="10" t="s">
        <v>209</v>
      </c>
      <c r="J2502" s="10">
        <v>89</v>
      </c>
      <c r="K2502" s="12">
        <v>44966</v>
      </c>
      <c r="L2502" s="33">
        <v>0.5725231481481482</v>
      </c>
      <c r="M2502" s="10">
        <v>1</v>
      </c>
      <c r="N2502" s="10" t="s">
        <v>169</v>
      </c>
      <c r="O2502" s="10">
        <v>4.68</v>
      </c>
      <c r="P2502" s="10">
        <v>0.216</v>
      </c>
      <c r="Q2502" s="10">
        <v>577</v>
      </c>
      <c r="R2502" s="10" t="s">
        <v>77</v>
      </c>
      <c r="S2502" s="34">
        <f t="shared" si="284"/>
        <v>577</v>
      </c>
      <c r="T2502" s="10" t="s">
        <v>1176</v>
      </c>
      <c r="U2502" s="34" t="str">
        <f t="shared" si="287"/>
        <v/>
      </c>
      <c r="V2502" s="31" t="str">
        <f>IF(H2502="CHK",VLOOKUP(I2502,QCCHK,3,),IF(H2502="GUP",VLOOKUP(E2502,QCGUP,2,),IF(AND(H2502="ATP",OR(I2502="TN",I2502="TDN",I2502="TNO2-3",I2502="NO2-3")),VLOOKUP(E2502,QCREC_N,2,),IF(AND(H2502="NIC",OR(I2502="TN",I2502="TDN",I2502="TNO2-3",I2502="NO2-3")),VLOOKUP(E2502,QCNIC_N,2,),IF(AND(H2502="UREA",OR(I2502="TN",I2502="TDN",I2502="TNO2-3",I2502="NO2-3")),VLOOKUP(E2502,QCUREA_N,2,),IF(H2502="PER",VLOOKUP(I2502,QCPER,MATCH(E2502,QCACTUAL!$J$25:$AA$25,0),),IF(H2502="SPK",VLOOKUP(I2502,QCSPK,3,),IF(AND(H2502="ATP",OR(I2502="TP",I2502="TDP")),VLOOKUP(E2502,QCATP_P,2,),""))))))))</f>
        <v/>
      </c>
      <c r="W2502" s="31" t="str">
        <f t="shared" si="288"/>
        <v>TRUE</v>
      </c>
      <c r="X2502" s="31" t="str">
        <f t="shared" si="283"/>
        <v/>
      </c>
      <c r="Y2502" s="10" t="s">
        <v>1144</v>
      </c>
      <c r="AL2502" s="10" t="str">
        <f t="shared" si="285"/>
        <v>FALSE</v>
      </c>
      <c r="AM2502" s="10" t="str">
        <f t="shared" si="285"/>
        <v>FALSE</v>
      </c>
      <c r="AN2502" s="10" t="str">
        <f t="shared" si="285"/>
        <v>FALSE</v>
      </c>
      <c r="AO2502" s="10" t="str">
        <f t="shared" si="286"/>
        <v>FALSE</v>
      </c>
      <c r="AP2502" s="10" t="str">
        <f t="shared" si="286"/>
        <v>FALSE</v>
      </c>
      <c r="AQ2502" s="10" t="b">
        <f>IF(AND(I2502="TP",S2502&lt;=150),VLOOKUP(AF2502,TPCalibEq150!$AZ$2:$BB$55,3,),IF(AND(I2502="TDP",S2502&lt;=150),VLOOKUP(AF2502,TPCalibEq150!$AZ$2:$BB$55,3,)))</f>
        <v>0</v>
      </c>
      <c r="AR2502" s="10" t="b">
        <f>IF(AND(I2502="TP",S2502&lt;=300),VLOOKUP(AF2502,TPCalibEq300!$AZ$2:$BB$55,3,),IF(AND(I2502="TDP",S2502&lt;=300),VLOOKUP(AF2502,TPCalibEq300!$AZ$2:$BB$55,3,)))</f>
        <v>0</v>
      </c>
      <c r="AS2502" s="10" t="b">
        <f>IF(AND(I2502="TP",S2502&lt;=500),VLOOKUP(AF2502,TPCalibEq500!$AZ$2:$BB$56,3,),IF(AND(I2502="TDP",S2502&lt;=500),VLOOKUP(AF2502,TPCalibEq500!$AZ$2:$BB$56,3,)))</f>
        <v>0</v>
      </c>
      <c r="AT2502" s="10" t="b">
        <f>IF(AND(I2502="TN",S2502&lt;=2800),VLOOKUP(AF2502,TNCalibEq2500!$AZ$2:$BB$56,3,),IF(AND(I2502="TDN",S2502&lt;=2800),VLOOKUP(AF2502,TNCalibEq2500!$AZ$2:$BB$56,3,)))</f>
        <v>0</v>
      </c>
      <c r="AU2502" s="10" t="b">
        <f>IF(I2502="TP",VLOOKUP(AF2502,TPCalibEqFull!$AZ$2:$BB$56,3),IF(I2502="TDP",VLOOKUP(AF2502,TPCalibEqFull!$AZ$2:$BB$56,3),IF(I2502="TDN",VLOOKUP(AF2502,TNCalibEqFull!$AZ$1:$BB$56,3),IF(I2502="TN",VLOOKUP(AF2502,TNCalibEqFull!$AZ$1:$BB$56,3),FALSE))))</f>
        <v>0</v>
      </c>
      <c r="AV2502" s="10" t="str">
        <f t="shared" si="289"/>
        <v>0208 11:46:00-ECP-5-FIL-1-SW-UKN</v>
      </c>
    </row>
    <row r="2503" spans="1:48" s="10" customFormat="1" x14ac:dyDescent="0.55000000000000004">
      <c r="A2503" s="32">
        <v>44965</v>
      </c>
      <c r="B2503" s="33">
        <v>0.4927083333333333</v>
      </c>
      <c r="C2503" s="10" t="s">
        <v>618</v>
      </c>
      <c r="D2503" s="10">
        <v>10</v>
      </c>
      <c r="E2503" s="10" t="s">
        <v>911</v>
      </c>
      <c r="F2503" s="10">
        <v>1</v>
      </c>
      <c r="G2503" s="10" t="s">
        <v>231</v>
      </c>
      <c r="H2503" s="10" t="s">
        <v>322</v>
      </c>
      <c r="I2503" s="10" t="s">
        <v>209</v>
      </c>
      <c r="J2503" s="10">
        <v>90</v>
      </c>
      <c r="K2503" s="12">
        <v>44966</v>
      </c>
      <c r="L2503" s="33">
        <v>0.57333333333333336</v>
      </c>
      <c r="M2503" s="10">
        <v>1</v>
      </c>
      <c r="N2503" s="10" t="s">
        <v>169</v>
      </c>
      <c r="O2503" s="10">
        <v>4.7699999999999996</v>
      </c>
      <c r="P2503" s="10">
        <v>0.221</v>
      </c>
      <c r="Q2503" s="10">
        <v>588</v>
      </c>
      <c r="R2503" s="10" t="s">
        <v>77</v>
      </c>
      <c r="S2503" s="34">
        <f t="shared" si="284"/>
        <v>588</v>
      </c>
      <c r="T2503" s="10" t="s">
        <v>1176</v>
      </c>
      <c r="U2503" s="34" t="str">
        <f t="shared" si="287"/>
        <v/>
      </c>
      <c r="V2503" s="31" t="str">
        <f>IF(H2503="CHK",VLOOKUP(I2503,QCCHK,3,),IF(H2503="GUP",VLOOKUP(E2503,QCGUP,2,),IF(AND(H2503="ATP",OR(I2503="TN",I2503="TDN",I2503="TNO2-3",I2503="NO2-3")),VLOOKUP(E2503,QCREC_N,2,),IF(AND(H2503="NIC",OR(I2503="TN",I2503="TDN",I2503="TNO2-3",I2503="NO2-3")),VLOOKUP(E2503,QCNIC_N,2,),IF(AND(H2503="UREA",OR(I2503="TN",I2503="TDN",I2503="TNO2-3",I2503="NO2-3")),VLOOKUP(E2503,QCUREA_N,2,),IF(H2503="PER",VLOOKUP(I2503,QCPER,MATCH(E2503,QCACTUAL!$J$25:$AA$25,0),),IF(H2503="SPK",VLOOKUP(I2503,QCSPK,3,),IF(AND(H2503="ATP",OR(I2503="TP",I2503="TDP")),VLOOKUP(E2503,QCATP_P,2,),""))))))))</f>
        <v/>
      </c>
      <c r="W2503" s="31" t="str">
        <f t="shared" si="288"/>
        <v>TRUE</v>
      </c>
      <c r="X2503" s="31" t="str">
        <f t="shared" si="283"/>
        <v/>
      </c>
      <c r="Y2503" s="10" t="s">
        <v>1144</v>
      </c>
      <c r="AL2503" s="10" t="str">
        <f t="shared" si="285"/>
        <v>FALSE</v>
      </c>
      <c r="AM2503" s="10" t="str">
        <f t="shared" si="285"/>
        <v>FALSE</v>
      </c>
      <c r="AN2503" s="10" t="str">
        <f t="shared" si="285"/>
        <v>FALSE</v>
      </c>
      <c r="AO2503" s="10" t="str">
        <f t="shared" si="286"/>
        <v>FALSE</v>
      </c>
      <c r="AP2503" s="10" t="str">
        <f t="shared" si="286"/>
        <v>FALSE</v>
      </c>
      <c r="AQ2503" s="10" t="b">
        <f>IF(AND(I2503="TP",S2503&lt;=150),VLOOKUP(AF2503,TPCalibEq150!$AZ$2:$BB$55,3,),IF(AND(I2503="TDP",S2503&lt;=150),VLOOKUP(AF2503,TPCalibEq150!$AZ$2:$BB$55,3,)))</f>
        <v>0</v>
      </c>
      <c r="AR2503" s="10" t="b">
        <f>IF(AND(I2503="TP",S2503&lt;=300),VLOOKUP(AF2503,TPCalibEq300!$AZ$2:$BB$55,3,),IF(AND(I2503="TDP",S2503&lt;=300),VLOOKUP(AF2503,TPCalibEq300!$AZ$2:$BB$55,3,)))</f>
        <v>0</v>
      </c>
      <c r="AS2503" s="10" t="b">
        <f>IF(AND(I2503="TP",S2503&lt;=500),VLOOKUP(AF2503,TPCalibEq500!$AZ$2:$BB$56,3,),IF(AND(I2503="TDP",S2503&lt;=500),VLOOKUP(AF2503,TPCalibEq500!$AZ$2:$BB$56,3,)))</f>
        <v>0</v>
      </c>
      <c r="AT2503" s="10" t="b">
        <f>IF(AND(I2503="TN",S2503&lt;=2800),VLOOKUP(AF2503,TNCalibEq2500!$AZ$2:$BB$56,3,),IF(AND(I2503="TDN",S2503&lt;=2800),VLOOKUP(AF2503,TNCalibEq2500!$AZ$2:$BB$56,3,)))</f>
        <v>0</v>
      </c>
      <c r="AU2503" s="10" t="b">
        <f>IF(I2503="TP",VLOOKUP(AF2503,TPCalibEqFull!$AZ$2:$BB$56,3),IF(I2503="TDP",VLOOKUP(AF2503,TPCalibEqFull!$AZ$2:$BB$56,3),IF(I2503="TDN",VLOOKUP(AF2503,TNCalibEqFull!$AZ$1:$BB$56,3),IF(I2503="TN",VLOOKUP(AF2503,TNCalibEqFull!$AZ$1:$BB$56,3),FALSE))))</f>
        <v>0</v>
      </c>
      <c r="AV2503" s="10" t="str">
        <f t="shared" si="289"/>
        <v>0208 11:49:30-ECP-10-FIL-1-SW-UKN</v>
      </c>
    </row>
    <row r="2504" spans="1:48" s="10" customFormat="1" x14ac:dyDescent="0.55000000000000004">
      <c r="A2504" s="32">
        <v>44965</v>
      </c>
      <c r="B2504" s="33">
        <v>0.49502314814814818</v>
      </c>
      <c r="C2504" s="10" t="s">
        <v>618</v>
      </c>
      <c r="D2504" s="10">
        <v>20</v>
      </c>
      <c r="E2504" s="10" t="s">
        <v>911</v>
      </c>
      <c r="F2504" s="10">
        <v>1</v>
      </c>
      <c r="G2504" s="10" t="s">
        <v>231</v>
      </c>
      <c r="H2504" s="10" t="s">
        <v>322</v>
      </c>
      <c r="I2504" s="10" t="s">
        <v>209</v>
      </c>
      <c r="J2504" s="10">
        <v>91</v>
      </c>
      <c r="K2504" s="12">
        <v>44966</v>
      </c>
      <c r="L2504" s="33">
        <v>0.57415509259259256</v>
      </c>
      <c r="M2504" s="10">
        <v>1</v>
      </c>
      <c r="N2504" s="10" t="s">
        <v>169</v>
      </c>
      <c r="O2504" s="10">
        <v>4.43</v>
      </c>
      <c r="P2504" s="10">
        <v>0.20300000000000001</v>
      </c>
      <c r="Q2504" s="10">
        <v>547</v>
      </c>
      <c r="R2504" s="10" t="s">
        <v>77</v>
      </c>
      <c r="S2504" s="34">
        <f t="shared" si="284"/>
        <v>547</v>
      </c>
      <c r="T2504" s="10" t="s">
        <v>1176</v>
      </c>
      <c r="U2504" s="34" t="str">
        <f t="shared" si="287"/>
        <v/>
      </c>
      <c r="V2504" s="31" t="str">
        <f>IF(H2504="CHK",VLOOKUP(I2504,QCCHK,3,),IF(H2504="GUP",VLOOKUP(E2504,QCGUP,2,),IF(AND(H2504="ATP",OR(I2504="TN",I2504="TDN",I2504="TNO2-3",I2504="NO2-3")),VLOOKUP(E2504,QCREC_N,2,),IF(AND(H2504="NIC",OR(I2504="TN",I2504="TDN",I2504="TNO2-3",I2504="NO2-3")),VLOOKUP(E2504,QCNIC_N,2,),IF(AND(H2504="UREA",OR(I2504="TN",I2504="TDN",I2504="TNO2-3",I2504="NO2-3")),VLOOKUP(E2504,QCUREA_N,2,),IF(H2504="PER",VLOOKUP(I2504,QCPER,MATCH(E2504,QCACTUAL!$J$25:$AA$25,0),),IF(H2504="SPK",VLOOKUP(I2504,QCSPK,3,),IF(AND(H2504="ATP",OR(I2504="TP",I2504="TDP")),VLOOKUP(E2504,QCATP_P,2,),""))))))))</f>
        <v/>
      </c>
      <c r="W2504" s="31" t="str">
        <f t="shared" si="288"/>
        <v>TRUE</v>
      </c>
      <c r="X2504" s="31" t="str">
        <f t="shared" si="283"/>
        <v/>
      </c>
      <c r="Y2504" s="10" t="s">
        <v>1144</v>
      </c>
      <c r="AL2504" s="10" t="str">
        <f t="shared" si="285"/>
        <v>FALSE</v>
      </c>
      <c r="AM2504" s="10" t="str">
        <f t="shared" si="285"/>
        <v>FALSE</v>
      </c>
      <c r="AN2504" s="10" t="str">
        <f t="shared" si="285"/>
        <v>FALSE</v>
      </c>
      <c r="AO2504" s="10" t="str">
        <f t="shared" si="286"/>
        <v>FALSE</v>
      </c>
      <c r="AP2504" s="10" t="str">
        <f t="shared" si="286"/>
        <v>FALSE</v>
      </c>
      <c r="AQ2504" s="10" t="b">
        <f>IF(AND(I2504="TP",S2504&lt;=150),VLOOKUP(AF2504,TPCalibEq150!$AZ$2:$BB$55,3,),IF(AND(I2504="TDP",S2504&lt;=150),VLOOKUP(AF2504,TPCalibEq150!$AZ$2:$BB$55,3,)))</f>
        <v>0</v>
      </c>
      <c r="AR2504" s="10" t="b">
        <f>IF(AND(I2504="TP",S2504&lt;=300),VLOOKUP(AF2504,TPCalibEq300!$AZ$2:$BB$55,3,),IF(AND(I2504="TDP",S2504&lt;=300),VLOOKUP(AF2504,TPCalibEq300!$AZ$2:$BB$55,3,)))</f>
        <v>0</v>
      </c>
      <c r="AS2504" s="10" t="b">
        <f>IF(AND(I2504="TP",S2504&lt;=500),VLOOKUP(AF2504,TPCalibEq500!$AZ$2:$BB$56,3,),IF(AND(I2504="TDP",S2504&lt;=500),VLOOKUP(AF2504,TPCalibEq500!$AZ$2:$BB$56,3,)))</f>
        <v>0</v>
      </c>
      <c r="AT2504" s="10" t="b">
        <f>IF(AND(I2504="TN",S2504&lt;=2800),VLOOKUP(AF2504,TNCalibEq2500!$AZ$2:$BB$56,3,),IF(AND(I2504="TDN",S2504&lt;=2800),VLOOKUP(AF2504,TNCalibEq2500!$AZ$2:$BB$56,3,)))</f>
        <v>0</v>
      </c>
      <c r="AU2504" s="10" t="b">
        <f>IF(I2504="TP",VLOOKUP(AF2504,TPCalibEqFull!$AZ$2:$BB$56,3),IF(I2504="TDP",VLOOKUP(AF2504,TPCalibEqFull!$AZ$2:$BB$56,3),IF(I2504="TDN",VLOOKUP(AF2504,TNCalibEqFull!$AZ$1:$BB$56,3),IF(I2504="TN",VLOOKUP(AF2504,TNCalibEqFull!$AZ$1:$BB$56,3),FALSE))))</f>
        <v>0</v>
      </c>
      <c r="AV2504" s="10" t="str">
        <f t="shared" si="289"/>
        <v>0208 11:52:50-ECP-20-FIL-1-SW-UKN</v>
      </c>
    </row>
    <row r="2505" spans="1:48" s="10" customFormat="1" x14ac:dyDescent="0.55000000000000004">
      <c r="A2505" s="32">
        <v>44965</v>
      </c>
      <c r="B2505" s="33">
        <v>0.49745370370370368</v>
      </c>
      <c r="C2505" s="10" t="s">
        <v>618</v>
      </c>
      <c r="D2505" s="10">
        <v>33</v>
      </c>
      <c r="E2505" s="10" t="s">
        <v>911</v>
      </c>
      <c r="F2505" s="10">
        <v>1</v>
      </c>
      <c r="G2505" s="10" t="s">
        <v>231</v>
      </c>
      <c r="H2505" s="10" t="s">
        <v>322</v>
      </c>
      <c r="I2505" s="10" t="s">
        <v>209</v>
      </c>
      <c r="J2505" s="10">
        <v>92</v>
      </c>
      <c r="K2505" s="12">
        <v>44966</v>
      </c>
      <c r="L2505" s="33">
        <v>0.57497685185185188</v>
      </c>
      <c r="M2505" s="10">
        <v>1</v>
      </c>
      <c r="N2505" s="10" t="s">
        <v>169</v>
      </c>
      <c r="O2505" s="10">
        <v>3.25</v>
      </c>
      <c r="P2505" s="10">
        <v>0.15</v>
      </c>
      <c r="Q2505" s="10">
        <v>401</v>
      </c>
      <c r="R2505" s="10" t="s">
        <v>77</v>
      </c>
      <c r="S2505" s="34">
        <f t="shared" si="284"/>
        <v>401</v>
      </c>
      <c r="T2505" s="10" t="s">
        <v>1176</v>
      </c>
      <c r="U2505" s="34" t="str">
        <f t="shared" si="287"/>
        <v/>
      </c>
      <c r="V2505" s="31" t="str">
        <f>IF(H2505="CHK",VLOOKUP(I2505,QCCHK,3,),IF(H2505="GUP",VLOOKUP(E2505,QCGUP,2,),IF(AND(H2505="ATP",OR(I2505="TN",I2505="TDN",I2505="TNO2-3",I2505="NO2-3")),VLOOKUP(E2505,QCREC_N,2,),IF(AND(H2505="NIC",OR(I2505="TN",I2505="TDN",I2505="TNO2-3",I2505="NO2-3")),VLOOKUP(E2505,QCNIC_N,2,),IF(AND(H2505="UREA",OR(I2505="TN",I2505="TDN",I2505="TNO2-3",I2505="NO2-3")),VLOOKUP(E2505,QCUREA_N,2,),IF(H2505="PER",VLOOKUP(I2505,QCPER,MATCH(E2505,QCACTUAL!$J$25:$AA$25,0),),IF(H2505="SPK",VLOOKUP(I2505,QCSPK,3,),IF(AND(H2505="ATP",OR(I2505="TP",I2505="TDP")),VLOOKUP(E2505,QCATP_P,2,),""))))))))</f>
        <v/>
      </c>
      <c r="W2505" s="31" t="str">
        <f t="shared" si="288"/>
        <v>TRUE</v>
      </c>
      <c r="X2505" s="31" t="str">
        <f t="shared" si="283"/>
        <v/>
      </c>
      <c r="Y2505" s="10" t="s">
        <v>1144</v>
      </c>
      <c r="AL2505" s="10" t="str">
        <f t="shared" si="285"/>
        <v>FALSE</v>
      </c>
      <c r="AM2505" s="10" t="str">
        <f t="shared" si="285"/>
        <v>FALSE</v>
      </c>
      <c r="AN2505" s="10" t="str">
        <f t="shared" si="285"/>
        <v>FALSE</v>
      </c>
      <c r="AO2505" s="10" t="str">
        <f t="shared" si="286"/>
        <v>FALSE</v>
      </c>
      <c r="AP2505" s="10" t="str">
        <f t="shared" si="286"/>
        <v>FALSE</v>
      </c>
      <c r="AQ2505" s="10" t="b">
        <f>IF(AND(I2505="TP",S2505&lt;=150),VLOOKUP(AF2505,TPCalibEq150!$AZ$2:$BB$55,3,),IF(AND(I2505="TDP",S2505&lt;=150),VLOOKUP(AF2505,TPCalibEq150!$AZ$2:$BB$55,3,)))</f>
        <v>0</v>
      </c>
      <c r="AR2505" s="10" t="b">
        <f>IF(AND(I2505="TP",S2505&lt;=300),VLOOKUP(AF2505,TPCalibEq300!$AZ$2:$BB$55,3,),IF(AND(I2505="TDP",S2505&lt;=300),VLOOKUP(AF2505,TPCalibEq300!$AZ$2:$BB$55,3,)))</f>
        <v>0</v>
      </c>
      <c r="AS2505" s="10" t="b">
        <f>IF(AND(I2505="TP",S2505&lt;=500),VLOOKUP(AF2505,TPCalibEq500!$AZ$2:$BB$56,3,),IF(AND(I2505="TDP",S2505&lt;=500),VLOOKUP(AF2505,TPCalibEq500!$AZ$2:$BB$56,3,)))</f>
        <v>0</v>
      </c>
      <c r="AT2505" s="10" t="b">
        <f>IF(AND(I2505="TN",S2505&lt;=2800),VLOOKUP(AF2505,TNCalibEq2500!$AZ$2:$BB$56,3,),IF(AND(I2505="TDN",S2505&lt;=2800),VLOOKUP(AF2505,TNCalibEq2500!$AZ$2:$BB$56,3,)))</f>
        <v>0</v>
      </c>
      <c r="AU2505" s="10" t="b">
        <f>IF(I2505="TP",VLOOKUP(AF2505,TPCalibEqFull!$AZ$2:$BB$56,3),IF(I2505="TDP",VLOOKUP(AF2505,TPCalibEqFull!$AZ$2:$BB$56,3),IF(I2505="TDN",VLOOKUP(AF2505,TNCalibEqFull!$AZ$1:$BB$56,3),IF(I2505="TN",VLOOKUP(AF2505,TNCalibEqFull!$AZ$1:$BB$56,3),FALSE))))</f>
        <v>0</v>
      </c>
      <c r="AV2505" s="10" t="str">
        <f t="shared" si="289"/>
        <v>0208 11:56:20-ECP-33-FIL-1-SW-UKN</v>
      </c>
    </row>
    <row r="2506" spans="1:48" s="10" customFormat="1" x14ac:dyDescent="0.55000000000000004">
      <c r="A2506" s="32">
        <v>44965</v>
      </c>
      <c r="B2506" s="33">
        <v>0.50439814814814821</v>
      </c>
      <c r="C2506" s="10" t="s">
        <v>661</v>
      </c>
      <c r="D2506" s="10">
        <v>0</v>
      </c>
      <c r="E2506" s="10" t="s">
        <v>911</v>
      </c>
      <c r="F2506" s="10">
        <v>1</v>
      </c>
      <c r="G2506" s="10" t="s">
        <v>231</v>
      </c>
      <c r="H2506" s="10" t="s">
        <v>322</v>
      </c>
      <c r="I2506" s="10" t="s">
        <v>209</v>
      </c>
      <c r="J2506" s="10">
        <v>93</v>
      </c>
      <c r="K2506" s="12">
        <v>44966</v>
      </c>
      <c r="L2506" s="33">
        <v>0.57579861111111108</v>
      </c>
      <c r="M2506" s="10">
        <v>1</v>
      </c>
      <c r="N2506" s="10" t="s">
        <v>169</v>
      </c>
      <c r="O2506" s="10">
        <v>4.71</v>
      </c>
      <c r="P2506" s="10">
        <v>0.217</v>
      </c>
      <c r="Q2506" s="10">
        <v>582</v>
      </c>
      <c r="R2506" s="10" t="s">
        <v>77</v>
      </c>
      <c r="S2506" s="34">
        <f t="shared" si="284"/>
        <v>582</v>
      </c>
      <c r="T2506" s="10" t="s">
        <v>1176</v>
      </c>
      <c r="U2506" s="34" t="str">
        <f t="shared" si="287"/>
        <v/>
      </c>
      <c r="V2506" s="31" t="str">
        <f>IF(H2506="CHK",VLOOKUP(I2506,QCCHK,3,),IF(H2506="GUP",VLOOKUP(E2506,QCGUP,2,),IF(AND(H2506="ATP",OR(I2506="TN",I2506="TDN",I2506="TNO2-3",I2506="NO2-3")),VLOOKUP(E2506,QCREC_N,2,),IF(AND(H2506="NIC",OR(I2506="TN",I2506="TDN",I2506="TNO2-3",I2506="NO2-3")),VLOOKUP(E2506,QCNIC_N,2,),IF(AND(H2506="UREA",OR(I2506="TN",I2506="TDN",I2506="TNO2-3",I2506="NO2-3")),VLOOKUP(E2506,QCUREA_N,2,),IF(H2506="PER",VLOOKUP(I2506,QCPER,MATCH(E2506,QCACTUAL!$J$25:$AA$25,0),),IF(H2506="SPK",VLOOKUP(I2506,QCSPK,3,),IF(AND(H2506="ATP",OR(I2506="TP",I2506="TDP")),VLOOKUP(E2506,QCATP_P,2,),""))))))))</f>
        <v/>
      </c>
      <c r="W2506" s="31" t="str">
        <f t="shared" si="288"/>
        <v>TRUE</v>
      </c>
      <c r="X2506" s="31" t="str">
        <f t="shared" si="283"/>
        <v/>
      </c>
      <c r="Y2506" s="10" t="s">
        <v>1144</v>
      </c>
      <c r="AL2506" s="10" t="str">
        <f t="shared" si="285"/>
        <v>FALSE</v>
      </c>
      <c r="AM2506" s="10" t="str">
        <f t="shared" si="285"/>
        <v>FALSE</v>
      </c>
      <c r="AN2506" s="10" t="str">
        <f t="shared" si="285"/>
        <v>FALSE</v>
      </c>
      <c r="AO2506" s="10" t="str">
        <f t="shared" si="286"/>
        <v>FALSE</v>
      </c>
      <c r="AP2506" s="10" t="str">
        <f t="shared" si="286"/>
        <v>FALSE</v>
      </c>
      <c r="AQ2506" s="10" t="b">
        <f>IF(AND(I2506="TP",S2506&lt;=150),VLOOKUP(AF2506,TPCalibEq150!$AZ$2:$BB$55,3,),IF(AND(I2506="TDP",S2506&lt;=150),VLOOKUP(AF2506,TPCalibEq150!$AZ$2:$BB$55,3,)))</f>
        <v>0</v>
      </c>
      <c r="AR2506" s="10" t="b">
        <f>IF(AND(I2506="TP",S2506&lt;=300),VLOOKUP(AF2506,TPCalibEq300!$AZ$2:$BB$55,3,),IF(AND(I2506="TDP",S2506&lt;=300),VLOOKUP(AF2506,TPCalibEq300!$AZ$2:$BB$55,3,)))</f>
        <v>0</v>
      </c>
      <c r="AS2506" s="10" t="b">
        <f>IF(AND(I2506="TP",S2506&lt;=500),VLOOKUP(AF2506,TPCalibEq500!$AZ$2:$BB$56,3,),IF(AND(I2506="TDP",S2506&lt;=500),VLOOKUP(AF2506,TPCalibEq500!$AZ$2:$BB$56,3,)))</f>
        <v>0</v>
      </c>
      <c r="AT2506" s="10" t="b">
        <f>IF(AND(I2506="TN",S2506&lt;=2800),VLOOKUP(AF2506,TNCalibEq2500!$AZ$2:$BB$56,3,),IF(AND(I2506="TDN",S2506&lt;=2800),VLOOKUP(AF2506,TNCalibEq2500!$AZ$2:$BB$56,3,)))</f>
        <v>0</v>
      </c>
      <c r="AU2506" s="10" t="b">
        <f>IF(I2506="TP",VLOOKUP(AF2506,TPCalibEqFull!$AZ$2:$BB$56,3),IF(I2506="TDP",VLOOKUP(AF2506,TPCalibEqFull!$AZ$2:$BB$56,3),IF(I2506="TDN",VLOOKUP(AF2506,TNCalibEqFull!$AZ$1:$BB$56,3),IF(I2506="TN",VLOOKUP(AF2506,TNCalibEqFull!$AZ$1:$BB$56,3),FALSE))))</f>
        <v>0</v>
      </c>
      <c r="AV2506" s="10" t="str">
        <f t="shared" si="289"/>
        <v>0208 12:06:20-ENN-0-FIL-1-SW-UKN</v>
      </c>
    </row>
    <row r="2507" spans="1:48" s="10" customFormat="1" x14ac:dyDescent="0.55000000000000004">
      <c r="A2507" s="32">
        <v>44965</v>
      </c>
      <c r="B2507" s="33">
        <v>0.50706018518518514</v>
      </c>
      <c r="C2507" s="10" t="s">
        <v>661</v>
      </c>
      <c r="D2507" s="10">
        <v>5</v>
      </c>
      <c r="E2507" s="10" t="s">
        <v>911</v>
      </c>
      <c r="F2507" s="10">
        <v>1</v>
      </c>
      <c r="G2507" s="10" t="s">
        <v>231</v>
      </c>
      <c r="H2507" s="10" t="s">
        <v>322</v>
      </c>
      <c r="I2507" s="10" t="s">
        <v>209</v>
      </c>
      <c r="J2507" s="10">
        <v>94</v>
      </c>
      <c r="K2507" s="12">
        <v>44966</v>
      </c>
      <c r="L2507" s="33">
        <v>0.57662037037037039</v>
      </c>
      <c r="M2507" s="10">
        <v>1</v>
      </c>
      <c r="N2507" s="10" t="s">
        <v>169</v>
      </c>
      <c r="O2507" s="10">
        <v>4.6500000000000004</v>
      </c>
      <c r="P2507" s="10">
        <v>0.214</v>
      </c>
      <c r="Q2507" s="10">
        <v>573</v>
      </c>
      <c r="R2507" s="10" t="s">
        <v>77</v>
      </c>
      <c r="S2507" s="34">
        <f t="shared" si="284"/>
        <v>573</v>
      </c>
      <c r="T2507" s="10" t="s">
        <v>1176</v>
      </c>
      <c r="U2507" s="34" t="str">
        <f t="shared" si="287"/>
        <v/>
      </c>
      <c r="V2507" s="31" t="str">
        <f>IF(H2507="CHK",VLOOKUP(I2507,QCCHK,3,),IF(H2507="GUP",VLOOKUP(E2507,QCGUP,2,),IF(AND(H2507="ATP",OR(I2507="TN",I2507="TDN",I2507="TNO2-3",I2507="NO2-3")),VLOOKUP(E2507,QCREC_N,2,),IF(AND(H2507="NIC",OR(I2507="TN",I2507="TDN",I2507="TNO2-3",I2507="NO2-3")),VLOOKUP(E2507,QCNIC_N,2,),IF(AND(H2507="UREA",OR(I2507="TN",I2507="TDN",I2507="TNO2-3",I2507="NO2-3")),VLOOKUP(E2507,QCUREA_N,2,),IF(H2507="PER",VLOOKUP(I2507,QCPER,MATCH(E2507,QCACTUAL!$J$25:$AA$25,0),),IF(H2507="SPK",VLOOKUP(I2507,QCSPK,3,),IF(AND(H2507="ATP",OR(I2507="TP",I2507="TDP")),VLOOKUP(E2507,QCATP_P,2,),""))))))))</f>
        <v/>
      </c>
      <c r="W2507" s="31" t="str">
        <f t="shared" si="288"/>
        <v>TRUE</v>
      </c>
      <c r="X2507" s="31" t="str">
        <f t="shared" si="283"/>
        <v/>
      </c>
      <c r="Y2507" s="10" t="s">
        <v>1144</v>
      </c>
      <c r="AL2507" s="10" t="str">
        <f t="shared" si="285"/>
        <v>FALSE</v>
      </c>
      <c r="AM2507" s="10" t="str">
        <f t="shared" si="285"/>
        <v>FALSE</v>
      </c>
      <c r="AN2507" s="10" t="str">
        <f t="shared" si="285"/>
        <v>FALSE</v>
      </c>
      <c r="AO2507" s="10" t="str">
        <f t="shared" si="286"/>
        <v>FALSE</v>
      </c>
      <c r="AP2507" s="10" t="str">
        <f t="shared" si="286"/>
        <v>FALSE</v>
      </c>
      <c r="AQ2507" s="10" t="b">
        <f>IF(AND(I2507="TP",S2507&lt;=150),VLOOKUP(AF2507,TPCalibEq150!$AZ$2:$BB$55,3,),IF(AND(I2507="TDP",S2507&lt;=150),VLOOKUP(AF2507,TPCalibEq150!$AZ$2:$BB$55,3,)))</f>
        <v>0</v>
      </c>
      <c r="AR2507" s="10" t="b">
        <f>IF(AND(I2507="TP",S2507&lt;=300),VLOOKUP(AF2507,TPCalibEq300!$AZ$2:$BB$55,3,),IF(AND(I2507="TDP",S2507&lt;=300),VLOOKUP(AF2507,TPCalibEq300!$AZ$2:$BB$55,3,)))</f>
        <v>0</v>
      </c>
      <c r="AS2507" s="10" t="b">
        <f>IF(AND(I2507="TP",S2507&lt;=500),VLOOKUP(AF2507,TPCalibEq500!$AZ$2:$BB$56,3,),IF(AND(I2507="TDP",S2507&lt;=500),VLOOKUP(AF2507,TPCalibEq500!$AZ$2:$BB$56,3,)))</f>
        <v>0</v>
      </c>
      <c r="AT2507" s="10" t="b">
        <f>IF(AND(I2507="TN",S2507&lt;=2800),VLOOKUP(AF2507,TNCalibEq2500!$AZ$2:$BB$56,3,),IF(AND(I2507="TDN",S2507&lt;=2800),VLOOKUP(AF2507,TNCalibEq2500!$AZ$2:$BB$56,3,)))</f>
        <v>0</v>
      </c>
      <c r="AU2507" s="10" t="b">
        <f>IF(I2507="TP",VLOOKUP(AF2507,TPCalibEqFull!$AZ$2:$BB$56,3),IF(I2507="TDP",VLOOKUP(AF2507,TPCalibEqFull!$AZ$2:$BB$56,3),IF(I2507="TDN",VLOOKUP(AF2507,TNCalibEqFull!$AZ$1:$BB$56,3),IF(I2507="TN",VLOOKUP(AF2507,TNCalibEqFull!$AZ$1:$BB$56,3),FALSE))))</f>
        <v>0</v>
      </c>
      <c r="AV2507" s="10" t="str">
        <f t="shared" si="289"/>
        <v>0208 12:10:10-ENN-5-FIL-1-SW-UKN</v>
      </c>
    </row>
    <row r="2508" spans="1:48" s="10" customFormat="1" x14ac:dyDescent="0.55000000000000004">
      <c r="A2508" s="32">
        <v>44965</v>
      </c>
      <c r="B2508" s="33">
        <v>0.50949074074074074</v>
      </c>
      <c r="C2508" s="10" t="s">
        <v>661</v>
      </c>
      <c r="D2508" s="10">
        <v>10</v>
      </c>
      <c r="E2508" s="10" t="s">
        <v>911</v>
      </c>
      <c r="F2508" s="10">
        <v>1</v>
      </c>
      <c r="G2508" s="10" t="s">
        <v>231</v>
      </c>
      <c r="H2508" s="10" t="s">
        <v>322</v>
      </c>
      <c r="I2508" s="10" t="s">
        <v>209</v>
      </c>
      <c r="J2508" s="10">
        <v>95</v>
      </c>
      <c r="K2508" s="12">
        <v>44966</v>
      </c>
      <c r="L2508" s="33">
        <v>0.5774421296296296</v>
      </c>
      <c r="M2508" s="10">
        <v>1</v>
      </c>
      <c r="N2508" s="10" t="s">
        <v>169</v>
      </c>
      <c r="O2508" s="10">
        <v>4.75</v>
      </c>
      <c r="P2508" s="10">
        <v>0.219</v>
      </c>
      <c r="Q2508" s="10">
        <v>586</v>
      </c>
      <c r="R2508" s="10" t="s">
        <v>77</v>
      </c>
      <c r="S2508" s="34">
        <f t="shared" si="284"/>
        <v>586</v>
      </c>
      <c r="T2508" s="10" t="s">
        <v>1176</v>
      </c>
      <c r="U2508" s="34" t="str">
        <f t="shared" si="287"/>
        <v/>
      </c>
      <c r="V2508" s="31" t="str">
        <f>IF(H2508="CHK",VLOOKUP(I2508,QCCHK,3,),IF(H2508="GUP",VLOOKUP(E2508,QCGUP,2,),IF(AND(H2508="ATP",OR(I2508="TN",I2508="TDN",I2508="TNO2-3",I2508="NO2-3")),VLOOKUP(E2508,QCREC_N,2,),IF(AND(H2508="NIC",OR(I2508="TN",I2508="TDN",I2508="TNO2-3",I2508="NO2-3")),VLOOKUP(E2508,QCNIC_N,2,),IF(AND(H2508="UREA",OR(I2508="TN",I2508="TDN",I2508="TNO2-3",I2508="NO2-3")),VLOOKUP(E2508,QCUREA_N,2,),IF(H2508="PER",VLOOKUP(I2508,QCPER,MATCH(E2508,QCACTUAL!$J$25:$AA$25,0),),IF(H2508="SPK",VLOOKUP(I2508,QCSPK,3,),IF(AND(H2508="ATP",OR(I2508="TP",I2508="TDP")),VLOOKUP(E2508,QCATP_P,2,),""))))))))</f>
        <v/>
      </c>
      <c r="W2508" s="31" t="str">
        <f t="shared" si="288"/>
        <v>TRUE</v>
      </c>
      <c r="X2508" s="31" t="str">
        <f t="shared" si="283"/>
        <v/>
      </c>
      <c r="Y2508" s="10" t="s">
        <v>1144</v>
      </c>
      <c r="AL2508" s="10" t="str">
        <f t="shared" si="285"/>
        <v>FALSE</v>
      </c>
      <c r="AM2508" s="10" t="str">
        <f t="shared" si="285"/>
        <v>FALSE</v>
      </c>
      <c r="AN2508" s="10" t="str">
        <f t="shared" si="285"/>
        <v>FALSE</v>
      </c>
      <c r="AO2508" s="10" t="str">
        <f t="shared" si="286"/>
        <v>FALSE</v>
      </c>
      <c r="AP2508" s="10" t="str">
        <f t="shared" si="286"/>
        <v>FALSE</v>
      </c>
      <c r="AQ2508" s="10" t="b">
        <f>IF(AND(I2508="TP",S2508&lt;=150),VLOOKUP(AF2508,TPCalibEq150!$AZ$2:$BB$55,3,),IF(AND(I2508="TDP",S2508&lt;=150),VLOOKUP(AF2508,TPCalibEq150!$AZ$2:$BB$55,3,)))</f>
        <v>0</v>
      </c>
      <c r="AR2508" s="10" t="b">
        <f>IF(AND(I2508="TP",S2508&lt;=300),VLOOKUP(AF2508,TPCalibEq300!$AZ$2:$BB$55,3,),IF(AND(I2508="TDP",S2508&lt;=300),VLOOKUP(AF2508,TPCalibEq300!$AZ$2:$BB$55,3,)))</f>
        <v>0</v>
      </c>
      <c r="AS2508" s="10" t="b">
        <f>IF(AND(I2508="TP",S2508&lt;=500),VLOOKUP(AF2508,TPCalibEq500!$AZ$2:$BB$56,3,),IF(AND(I2508="TDP",S2508&lt;=500),VLOOKUP(AF2508,TPCalibEq500!$AZ$2:$BB$56,3,)))</f>
        <v>0</v>
      </c>
      <c r="AT2508" s="10" t="b">
        <f>IF(AND(I2508="TN",S2508&lt;=2800),VLOOKUP(AF2508,TNCalibEq2500!$AZ$2:$BB$56,3,),IF(AND(I2508="TDN",S2508&lt;=2800),VLOOKUP(AF2508,TNCalibEq2500!$AZ$2:$BB$56,3,)))</f>
        <v>0</v>
      </c>
      <c r="AU2508" s="10" t="b">
        <f>IF(I2508="TP",VLOOKUP(AF2508,TPCalibEqFull!$AZ$2:$BB$56,3),IF(I2508="TDP",VLOOKUP(AF2508,TPCalibEqFull!$AZ$2:$BB$56,3),IF(I2508="TDN",VLOOKUP(AF2508,TNCalibEqFull!$AZ$1:$BB$56,3),IF(I2508="TN",VLOOKUP(AF2508,TNCalibEqFull!$AZ$1:$BB$56,3),FALSE))))</f>
        <v>0</v>
      </c>
      <c r="AV2508" s="10" t="str">
        <f t="shared" si="289"/>
        <v>0208 12:13:40-ENN-10-FIL-1-SW-UKN</v>
      </c>
    </row>
    <row r="2509" spans="1:48" s="10" customFormat="1" x14ac:dyDescent="0.55000000000000004">
      <c r="A2509" s="32">
        <v>44965</v>
      </c>
      <c r="B2509" s="33">
        <v>0.51180555555555551</v>
      </c>
      <c r="C2509" s="10" t="s">
        <v>661</v>
      </c>
      <c r="D2509" s="10">
        <v>20</v>
      </c>
      <c r="E2509" s="10" t="s">
        <v>911</v>
      </c>
      <c r="F2509" s="10">
        <v>1</v>
      </c>
      <c r="G2509" s="10" t="s">
        <v>231</v>
      </c>
      <c r="H2509" s="10" t="s">
        <v>322</v>
      </c>
      <c r="I2509" s="10" t="s">
        <v>209</v>
      </c>
      <c r="J2509" s="10">
        <v>96</v>
      </c>
      <c r="K2509" s="12">
        <v>44966</v>
      </c>
      <c r="L2509" s="33">
        <v>0.57826388888888891</v>
      </c>
      <c r="M2509" s="10">
        <v>1</v>
      </c>
      <c r="N2509" s="10" t="s">
        <v>169</v>
      </c>
      <c r="O2509" s="10">
        <v>4.74</v>
      </c>
      <c r="P2509" s="10">
        <v>0.219</v>
      </c>
      <c r="Q2509" s="10">
        <v>585</v>
      </c>
      <c r="R2509" s="10" t="s">
        <v>77</v>
      </c>
      <c r="S2509" s="34">
        <f t="shared" si="284"/>
        <v>585</v>
      </c>
      <c r="T2509" s="10" t="s">
        <v>1176</v>
      </c>
      <c r="U2509" s="34" t="str">
        <f t="shared" si="287"/>
        <v/>
      </c>
      <c r="V2509" s="31" t="str">
        <f>IF(H2509="CHK",VLOOKUP(I2509,QCCHK,3,),IF(H2509="GUP",VLOOKUP(E2509,QCGUP,2,),IF(AND(H2509="ATP",OR(I2509="TN",I2509="TDN",I2509="TNO2-3",I2509="NO2-3")),VLOOKUP(E2509,QCREC_N,2,),IF(AND(H2509="NIC",OR(I2509="TN",I2509="TDN",I2509="TNO2-3",I2509="NO2-3")),VLOOKUP(E2509,QCNIC_N,2,),IF(AND(H2509="UREA",OR(I2509="TN",I2509="TDN",I2509="TNO2-3",I2509="NO2-3")),VLOOKUP(E2509,QCUREA_N,2,),IF(H2509="PER",VLOOKUP(I2509,QCPER,MATCH(E2509,QCACTUAL!$J$25:$AA$25,0),),IF(H2509="SPK",VLOOKUP(I2509,QCSPK,3,),IF(AND(H2509="ATP",OR(I2509="TP",I2509="TDP")),VLOOKUP(E2509,QCATP_P,2,),""))))))))</f>
        <v/>
      </c>
      <c r="W2509" s="31" t="str">
        <f t="shared" si="288"/>
        <v>TRUE</v>
      </c>
      <c r="X2509" s="31" t="str">
        <f t="shared" si="283"/>
        <v/>
      </c>
      <c r="Y2509" s="10" t="s">
        <v>1144</v>
      </c>
      <c r="AL2509" s="10" t="str">
        <f t="shared" si="285"/>
        <v>FALSE</v>
      </c>
      <c r="AM2509" s="10" t="str">
        <f t="shared" si="285"/>
        <v>FALSE</v>
      </c>
      <c r="AN2509" s="10" t="str">
        <f t="shared" si="285"/>
        <v>FALSE</v>
      </c>
      <c r="AO2509" s="10" t="str">
        <f t="shared" si="286"/>
        <v>FALSE</v>
      </c>
      <c r="AP2509" s="10" t="str">
        <f t="shared" si="286"/>
        <v>FALSE</v>
      </c>
      <c r="AQ2509" s="10" t="b">
        <f>IF(AND(I2509="TP",S2509&lt;=150),VLOOKUP(AF2509,TPCalibEq150!$AZ$2:$BB$55,3,),IF(AND(I2509="TDP",S2509&lt;=150),VLOOKUP(AF2509,TPCalibEq150!$AZ$2:$BB$55,3,)))</f>
        <v>0</v>
      </c>
      <c r="AR2509" s="10" t="b">
        <f>IF(AND(I2509="TP",S2509&lt;=300),VLOOKUP(AF2509,TPCalibEq300!$AZ$2:$BB$55,3,),IF(AND(I2509="TDP",S2509&lt;=300),VLOOKUP(AF2509,TPCalibEq300!$AZ$2:$BB$55,3,)))</f>
        <v>0</v>
      </c>
      <c r="AS2509" s="10" t="b">
        <f>IF(AND(I2509="TP",S2509&lt;=500),VLOOKUP(AF2509,TPCalibEq500!$AZ$2:$BB$56,3,),IF(AND(I2509="TDP",S2509&lt;=500),VLOOKUP(AF2509,TPCalibEq500!$AZ$2:$BB$56,3,)))</f>
        <v>0</v>
      </c>
      <c r="AT2509" s="10" t="b">
        <f>IF(AND(I2509="TN",S2509&lt;=2800),VLOOKUP(AF2509,TNCalibEq2500!$AZ$2:$BB$56,3,),IF(AND(I2509="TDN",S2509&lt;=2800),VLOOKUP(AF2509,TNCalibEq2500!$AZ$2:$BB$56,3,)))</f>
        <v>0</v>
      </c>
      <c r="AU2509" s="10" t="b">
        <f>IF(I2509="TP",VLOOKUP(AF2509,TPCalibEqFull!$AZ$2:$BB$56,3),IF(I2509="TDP",VLOOKUP(AF2509,TPCalibEqFull!$AZ$2:$BB$56,3),IF(I2509="TDN",VLOOKUP(AF2509,TNCalibEqFull!$AZ$1:$BB$56,3),IF(I2509="TN",VLOOKUP(AF2509,TNCalibEqFull!$AZ$1:$BB$56,3),FALSE))))</f>
        <v>0</v>
      </c>
      <c r="AV2509" s="10" t="str">
        <f t="shared" si="289"/>
        <v>0208 12:17:00-ENN-20-FIL-1-SW-UKN</v>
      </c>
    </row>
    <row r="2510" spans="1:48" s="10" customFormat="1" x14ac:dyDescent="0.55000000000000004">
      <c r="A2510" s="32">
        <v>44965</v>
      </c>
      <c r="B2510" s="33">
        <v>0.51412037037037039</v>
      </c>
      <c r="C2510" s="10" t="s">
        <v>661</v>
      </c>
      <c r="D2510" s="10">
        <v>23</v>
      </c>
      <c r="E2510" s="10" t="s">
        <v>911</v>
      </c>
      <c r="F2510" s="10">
        <v>1</v>
      </c>
      <c r="G2510" s="10" t="s">
        <v>231</v>
      </c>
      <c r="H2510" s="10" t="s">
        <v>322</v>
      </c>
      <c r="I2510" s="10" t="s">
        <v>209</v>
      </c>
      <c r="J2510" s="10">
        <v>97</v>
      </c>
      <c r="K2510" s="12">
        <v>44966</v>
      </c>
      <c r="L2510" s="33">
        <v>0.57907407407407407</v>
      </c>
      <c r="M2510" s="10">
        <v>1</v>
      </c>
      <c r="N2510" s="10" t="s">
        <v>169</v>
      </c>
      <c r="O2510" s="10">
        <v>5.0599999999999996</v>
      </c>
      <c r="P2510" s="10">
        <v>0.23400000000000001</v>
      </c>
      <c r="Q2510" s="10">
        <v>624</v>
      </c>
      <c r="R2510" s="10" t="s">
        <v>77</v>
      </c>
      <c r="S2510" s="34">
        <f t="shared" si="284"/>
        <v>624</v>
      </c>
      <c r="T2510" s="10" t="s">
        <v>1176</v>
      </c>
      <c r="U2510" s="34" t="str">
        <f t="shared" si="287"/>
        <v/>
      </c>
      <c r="V2510" s="31" t="str">
        <f>IF(H2510="CHK",VLOOKUP(I2510,QCCHK,3,),IF(H2510="GUP",VLOOKUP(E2510,QCGUP,2,),IF(AND(H2510="ATP",OR(I2510="TN",I2510="TDN",I2510="TNO2-3",I2510="NO2-3")),VLOOKUP(E2510,QCREC_N,2,),IF(AND(H2510="NIC",OR(I2510="TN",I2510="TDN",I2510="TNO2-3",I2510="NO2-3")),VLOOKUP(E2510,QCNIC_N,2,),IF(AND(H2510="UREA",OR(I2510="TN",I2510="TDN",I2510="TNO2-3",I2510="NO2-3")),VLOOKUP(E2510,QCUREA_N,2,),IF(H2510="PER",VLOOKUP(I2510,QCPER,MATCH(E2510,QCACTUAL!$J$25:$AA$25,0),),IF(H2510="SPK",VLOOKUP(I2510,QCSPK,3,),IF(AND(H2510="ATP",OR(I2510="TP",I2510="TDP")),VLOOKUP(E2510,QCATP_P,2,),""))))))))</f>
        <v/>
      </c>
      <c r="W2510" s="31" t="str">
        <f t="shared" si="288"/>
        <v>TRUE</v>
      </c>
      <c r="X2510" s="31" t="str">
        <f t="shared" si="283"/>
        <v/>
      </c>
      <c r="Y2510" s="10" t="s">
        <v>1144</v>
      </c>
      <c r="AL2510" s="10" t="str">
        <f t="shared" si="285"/>
        <v>FALSE</v>
      </c>
      <c r="AM2510" s="10" t="str">
        <f t="shared" si="285"/>
        <v>FALSE</v>
      </c>
      <c r="AN2510" s="10" t="str">
        <f t="shared" si="285"/>
        <v>FALSE</v>
      </c>
      <c r="AO2510" s="10" t="str">
        <f t="shared" si="286"/>
        <v>FALSE</v>
      </c>
      <c r="AP2510" s="10" t="str">
        <f t="shared" si="286"/>
        <v>FALSE</v>
      </c>
      <c r="AQ2510" s="10" t="b">
        <f>IF(AND(I2510="TP",S2510&lt;=150),VLOOKUP(AF2510,TPCalibEq150!$AZ$2:$BB$55,3,),IF(AND(I2510="TDP",S2510&lt;=150),VLOOKUP(AF2510,TPCalibEq150!$AZ$2:$BB$55,3,)))</f>
        <v>0</v>
      </c>
      <c r="AR2510" s="10" t="b">
        <f>IF(AND(I2510="TP",S2510&lt;=300),VLOOKUP(AF2510,TPCalibEq300!$AZ$2:$BB$55,3,),IF(AND(I2510="TDP",S2510&lt;=300),VLOOKUP(AF2510,TPCalibEq300!$AZ$2:$BB$55,3,)))</f>
        <v>0</v>
      </c>
      <c r="AS2510" s="10" t="b">
        <f>IF(AND(I2510="TP",S2510&lt;=500),VLOOKUP(AF2510,TPCalibEq500!$AZ$2:$BB$56,3,),IF(AND(I2510="TDP",S2510&lt;=500),VLOOKUP(AF2510,TPCalibEq500!$AZ$2:$BB$56,3,)))</f>
        <v>0</v>
      </c>
      <c r="AT2510" s="10" t="b">
        <f>IF(AND(I2510="TN",S2510&lt;=2800),VLOOKUP(AF2510,TNCalibEq2500!$AZ$2:$BB$56,3,),IF(AND(I2510="TDN",S2510&lt;=2800),VLOOKUP(AF2510,TNCalibEq2500!$AZ$2:$BB$56,3,)))</f>
        <v>0</v>
      </c>
      <c r="AU2510" s="10" t="b">
        <f>IF(I2510="TP",VLOOKUP(AF2510,TPCalibEqFull!$AZ$2:$BB$56,3),IF(I2510="TDP",VLOOKUP(AF2510,TPCalibEqFull!$AZ$2:$BB$56,3),IF(I2510="TDN",VLOOKUP(AF2510,TNCalibEqFull!$AZ$1:$BB$56,3),IF(I2510="TN",VLOOKUP(AF2510,TNCalibEqFull!$AZ$1:$BB$56,3),FALSE))))</f>
        <v>0</v>
      </c>
      <c r="AV2510" s="10" t="str">
        <f t="shared" si="289"/>
        <v>0208 12:20:20-ENN-23-FIL-1-SW-UKN</v>
      </c>
    </row>
    <row r="2511" spans="1:48" s="10" customFormat="1" x14ac:dyDescent="0.55000000000000004">
      <c r="A2511" s="32">
        <v>44965</v>
      </c>
      <c r="B2511" s="33">
        <v>0.43796296296296294</v>
      </c>
      <c r="C2511" s="10" t="s">
        <v>646</v>
      </c>
      <c r="D2511" s="10">
        <v>0</v>
      </c>
      <c r="E2511" s="10" t="s">
        <v>911</v>
      </c>
      <c r="F2511" s="10">
        <v>1</v>
      </c>
      <c r="G2511" s="10" t="s">
        <v>231</v>
      </c>
      <c r="H2511" s="10" t="s">
        <v>322</v>
      </c>
      <c r="I2511" s="10" t="s">
        <v>209</v>
      </c>
      <c r="J2511" s="10">
        <v>98</v>
      </c>
      <c r="K2511" s="12">
        <v>44966</v>
      </c>
      <c r="L2511" s="33">
        <v>0.57989583333333339</v>
      </c>
      <c r="M2511" s="10">
        <v>1</v>
      </c>
      <c r="N2511" s="10" t="s">
        <v>169</v>
      </c>
      <c r="O2511" s="10">
        <v>5.05</v>
      </c>
      <c r="P2511" s="10">
        <v>0.23300000000000001</v>
      </c>
      <c r="Q2511" s="10">
        <v>623</v>
      </c>
      <c r="R2511" s="10" t="s">
        <v>77</v>
      </c>
      <c r="S2511" s="34">
        <f t="shared" si="284"/>
        <v>623</v>
      </c>
      <c r="T2511" s="10" t="s">
        <v>1176</v>
      </c>
      <c r="U2511" s="34" t="str">
        <f t="shared" si="287"/>
        <v/>
      </c>
      <c r="V2511" s="31" t="str">
        <f>IF(H2511="CHK",VLOOKUP(I2511,QCCHK,3,),IF(H2511="GUP",VLOOKUP(E2511,QCGUP,2,),IF(AND(H2511="ATP",OR(I2511="TN",I2511="TDN",I2511="TNO2-3",I2511="NO2-3")),VLOOKUP(E2511,QCREC_N,2,),IF(AND(H2511="NIC",OR(I2511="TN",I2511="TDN",I2511="TNO2-3",I2511="NO2-3")),VLOOKUP(E2511,QCNIC_N,2,),IF(AND(H2511="UREA",OR(I2511="TN",I2511="TDN",I2511="TNO2-3",I2511="NO2-3")),VLOOKUP(E2511,QCUREA_N,2,),IF(H2511="PER",VLOOKUP(I2511,QCPER,MATCH(E2511,QCACTUAL!$J$25:$AA$25,0),),IF(H2511="SPK",VLOOKUP(I2511,QCSPK,3,),IF(AND(H2511="ATP",OR(I2511="TP",I2511="TDP")),VLOOKUP(E2511,QCATP_P,2,),""))))))))</f>
        <v/>
      </c>
      <c r="W2511" s="31" t="str">
        <f t="shared" si="288"/>
        <v>TRUE</v>
      </c>
      <c r="X2511" s="31" t="str">
        <f t="shared" si="283"/>
        <v/>
      </c>
      <c r="Y2511" s="10" t="s">
        <v>1144</v>
      </c>
      <c r="AL2511" s="10" t="str">
        <f t="shared" si="285"/>
        <v>FALSE</v>
      </c>
      <c r="AM2511" s="10" t="str">
        <f t="shared" si="285"/>
        <v>FALSE</v>
      </c>
      <c r="AN2511" s="10" t="str">
        <f t="shared" si="285"/>
        <v>FALSE</v>
      </c>
      <c r="AO2511" s="10" t="str">
        <f t="shared" si="286"/>
        <v>FALSE</v>
      </c>
      <c r="AP2511" s="10" t="str">
        <f t="shared" si="286"/>
        <v>FALSE</v>
      </c>
      <c r="AQ2511" s="10" t="b">
        <f>IF(AND(I2511="TP",S2511&lt;=150),VLOOKUP(AF2511,TPCalibEq150!$AZ$2:$BB$55,3,),IF(AND(I2511="TDP",S2511&lt;=150),VLOOKUP(AF2511,TPCalibEq150!$AZ$2:$BB$55,3,)))</f>
        <v>0</v>
      </c>
      <c r="AR2511" s="10" t="b">
        <f>IF(AND(I2511="TP",S2511&lt;=300),VLOOKUP(AF2511,TPCalibEq300!$AZ$2:$BB$55,3,),IF(AND(I2511="TDP",S2511&lt;=300),VLOOKUP(AF2511,TPCalibEq300!$AZ$2:$BB$55,3,)))</f>
        <v>0</v>
      </c>
      <c r="AS2511" s="10" t="b">
        <f>IF(AND(I2511="TP",S2511&lt;=500),VLOOKUP(AF2511,TPCalibEq500!$AZ$2:$BB$56,3,),IF(AND(I2511="TDP",S2511&lt;=500),VLOOKUP(AF2511,TPCalibEq500!$AZ$2:$BB$56,3,)))</f>
        <v>0</v>
      </c>
      <c r="AT2511" s="10" t="b">
        <f>IF(AND(I2511="TN",S2511&lt;=2800),VLOOKUP(AF2511,TNCalibEq2500!$AZ$2:$BB$56,3,),IF(AND(I2511="TDN",S2511&lt;=2800),VLOOKUP(AF2511,TNCalibEq2500!$AZ$2:$BB$56,3,)))</f>
        <v>0</v>
      </c>
      <c r="AU2511" s="10" t="b">
        <f>IF(I2511="TP",VLOOKUP(AF2511,TPCalibEqFull!$AZ$2:$BB$56,3),IF(I2511="TDP",VLOOKUP(AF2511,TPCalibEqFull!$AZ$2:$BB$56,3),IF(I2511="TDN",VLOOKUP(AF2511,TNCalibEqFull!$AZ$1:$BB$56,3),IF(I2511="TN",VLOOKUP(AF2511,TNCalibEqFull!$AZ$1:$BB$56,3),FALSE))))</f>
        <v>0</v>
      </c>
      <c r="AV2511" s="10" t="str">
        <f t="shared" si="289"/>
        <v>0208 10:30:40-EMB-0-FIL-1-SW-UKN</v>
      </c>
    </row>
    <row r="2512" spans="1:48" s="10" customFormat="1" x14ac:dyDescent="0.55000000000000004">
      <c r="A2512" s="32">
        <v>44965</v>
      </c>
      <c r="B2512" s="33">
        <v>0.43796296296296294</v>
      </c>
      <c r="C2512" s="10" t="s">
        <v>646</v>
      </c>
      <c r="D2512" s="10">
        <v>0</v>
      </c>
      <c r="E2512" s="10" t="s">
        <v>911</v>
      </c>
      <c r="F2512" s="10">
        <v>1</v>
      </c>
      <c r="G2512" s="10" t="s">
        <v>231</v>
      </c>
      <c r="H2512" s="10" t="s">
        <v>233</v>
      </c>
      <c r="I2512" s="10" t="s">
        <v>209</v>
      </c>
      <c r="J2512" s="10">
        <v>98</v>
      </c>
      <c r="K2512" s="12">
        <v>44966</v>
      </c>
      <c r="L2512" s="33">
        <v>0.58071759259259259</v>
      </c>
      <c r="M2512" s="10">
        <v>1</v>
      </c>
      <c r="N2512" s="10" t="s">
        <v>169</v>
      </c>
      <c r="O2512" s="10">
        <v>5.0199999999999996</v>
      </c>
      <c r="P2512" s="10">
        <v>0.23300000000000001</v>
      </c>
      <c r="Q2512" s="10">
        <v>620</v>
      </c>
      <c r="R2512" s="10" t="s">
        <v>77</v>
      </c>
      <c r="S2512" s="34">
        <f t="shared" si="284"/>
        <v>620</v>
      </c>
      <c r="T2512" s="10" t="s">
        <v>1176</v>
      </c>
      <c r="U2512" s="34">
        <f t="shared" si="287"/>
        <v>0.48270313757039418</v>
      </c>
      <c r="V2512" s="31" t="str">
        <f>IF(H2512="CHK",VLOOKUP(I2512,QCCHK,3,),IF(H2512="GUP",VLOOKUP(E2512,QCGUP,2,),IF(AND(H2512="ATP",OR(I2512="TN",I2512="TDN",I2512="TNO2-3",I2512="NO2-3")),VLOOKUP(E2512,QCREC_N,2,),IF(AND(H2512="NIC",OR(I2512="TN",I2512="TDN",I2512="TNO2-3",I2512="NO2-3")),VLOOKUP(E2512,QCNIC_N,2,),IF(AND(H2512="UREA",OR(I2512="TN",I2512="TDN",I2512="TNO2-3",I2512="NO2-3")),VLOOKUP(E2512,QCUREA_N,2,),IF(H2512="PER",VLOOKUP(I2512,QCPER,MATCH(E2512,QCACTUAL!$J$25:$AA$25,0),),IF(H2512="SPK",VLOOKUP(I2512,QCSPK,3,),IF(AND(H2512="ATP",OR(I2512="TP",I2512="TDP")),VLOOKUP(E2512,QCATP_P,2,),""))))))))</f>
        <v/>
      </c>
      <c r="W2512" s="31" t="str">
        <f t="shared" si="288"/>
        <v>TRUE</v>
      </c>
      <c r="X2512" s="31" t="str">
        <f t="shared" si="283"/>
        <v>((ABS(rep1-rep2))/((rep1+rep2)/2)*100</v>
      </c>
      <c r="Y2512" s="10" t="s">
        <v>1144</v>
      </c>
      <c r="AL2512" s="10" t="str">
        <f t="shared" si="285"/>
        <v>FALSE</v>
      </c>
      <c r="AM2512" s="10" t="str">
        <f t="shared" si="285"/>
        <v>FALSE</v>
      </c>
      <c r="AN2512" s="10" t="str">
        <f t="shared" si="285"/>
        <v>FALSE</v>
      </c>
      <c r="AO2512" s="10" t="str">
        <f t="shared" si="286"/>
        <v>FALSE</v>
      </c>
      <c r="AP2512" s="10" t="str">
        <f t="shared" si="286"/>
        <v>FALSE</v>
      </c>
      <c r="AQ2512" s="10" t="b">
        <f>IF(AND(I2512="TP",S2512&lt;=150),VLOOKUP(AF2512,TPCalibEq150!$AZ$2:$BB$55,3,),IF(AND(I2512="TDP",S2512&lt;=150),VLOOKUP(AF2512,TPCalibEq150!$AZ$2:$BB$55,3,)))</f>
        <v>0</v>
      </c>
      <c r="AR2512" s="10" t="b">
        <f>IF(AND(I2512="TP",S2512&lt;=300),VLOOKUP(AF2512,TPCalibEq300!$AZ$2:$BB$55,3,),IF(AND(I2512="TDP",S2512&lt;=300),VLOOKUP(AF2512,TPCalibEq300!$AZ$2:$BB$55,3,)))</f>
        <v>0</v>
      </c>
      <c r="AS2512" s="10" t="b">
        <f>IF(AND(I2512="TP",S2512&lt;=500),VLOOKUP(AF2512,TPCalibEq500!$AZ$2:$BB$56,3,),IF(AND(I2512="TDP",S2512&lt;=500),VLOOKUP(AF2512,TPCalibEq500!$AZ$2:$BB$56,3,)))</f>
        <v>0</v>
      </c>
      <c r="AT2512" s="10" t="b">
        <f>IF(AND(I2512="TN",S2512&lt;=2800),VLOOKUP(AF2512,TNCalibEq2500!$AZ$2:$BB$56,3,),IF(AND(I2512="TDN",S2512&lt;=2800),VLOOKUP(AF2512,TNCalibEq2500!$AZ$2:$BB$56,3,)))</f>
        <v>0</v>
      </c>
      <c r="AU2512" s="10" t="b">
        <f>IF(I2512="TP",VLOOKUP(AF2512,TPCalibEqFull!$AZ$2:$BB$56,3),IF(I2512="TDP",VLOOKUP(AF2512,TPCalibEqFull!$AZ$2:$BB$56,3),IF(I2512="TDN",VLOOKUP(AF2512,TNCalibEqFull!$AZ$1:$BB$56,3),IF(I2512="TN",VLOOKUP(AF2512,TNCalibEqFull!$AZ$1:$BB$56,3),FALSE))))</f>
        <v>0</v>
      </c>
      <c r="AV2512" s="10" t="str">
        <f t="shared" si="289"/>
        <v>0208 10:30:40-EMB-0-FIL-1-SW-DUP</v>
      </c>
    </row>
    <row r="2513" spans="1:48" s="10" customFormat="1" x14ac:dyDescent="0.55000000000000004">
      <c r="A2513" s="32">
        <v>44965</v>
      </c>
      <c r="B2513" s="33">
        <v>0.43796296296296294</v>
      </c>
      <c r="C2513" s="10" t="s">
        <v>646</v>
      </c>
      <c r="D2513" s="10">
        <v>0</v>
      </c>
      <c r="E2513" s="10" t="s">
        <v>911</v>
      </c>
      <c r="F2513" s="10">
        <v>1</v>
      </c>
      <c r="G2513" s="10" t="s">
        <v>231</v>
      </c>
      <c r="H2513" s="10" t="s">
        <v>314</v>
      </c>
      <c r="I2513" s="10" t="s">
        <v>209</v>
      </c>
      <c r="J2513" s="10">
        <v>130</v>
      </c>
      <c r="K2513" s="12">
        <v>44966</v>
      </c>
      <c r="L2513" s="33">
        <v>0.58152777777777775</v>
      </c>
      <c r="M2513" s="10">
        <v>1</v>
      </c>
      <c r="N2513" s="10" t="s">
        <v>169</v>
      </c>
      <c r="O2513" s="10">
        <v>10.1</v>
      </c>
      <c r="P2513" s="10">
        <v>0.46800000000000003</v>
      </c>
      <c r="Q2513" s="10">
        <v>1250</v>
      </c>
      <c r="R2513" s="10" t="s">
        <v>77</v>
      </c>
      <c r="S2513" s="34">
        <f t="shared" si="284"/>
        <v>1250</v>
      </c>
      <c r="T2513" s="10" t="s">
        <v>1176</v>
      </c>
      <c r="U2513" s="34">
        <f t="shared" si="287"/>
        <v>100.8</v>
      </c>
      <c r="V2513" s="31">
        <f>IF(H2513="CHK",VLOOKUP(I2513,QCCHK,3,),IF(H2513="GUP",VLOOKUP(E2513,QCGUP,2,),IF(AND(H2513="ATP",OR(I2513="TN",I2513="TDN",I2513="TNO2-3",I2513="NO2-3")),VLOOKUP(E2513,QCREC_N,2,),IF(AND(H2513="NIC",OR(I2513="TN",I2513="TDN",I2513="TNO2-3",I2513="NO2-3")),VLOOKUP(E2513,QCNIC_N,2,),IF(AND(H2513="UREA",OR(I2513="TN",I2513="TDN",I2513="TNO2-3",I2513="NO2-3")),VLOOKUP(E2513,QCUREA_N,2,),IF(H2513="PER",VLOOKUP(I2513,QCPER,MATCH(E2513,QCACTUAL!$J$25:$AA$25,0),),IF(H2513="SPK",VLOOKUP(I2513,QCSPK,3,),IF(AND(H2513="ATP",OR(I2513="TP",I2513="TDP")),VLOOKUP(E2513,QCATP_P,2,),""))))))))</f>
        <v>625</v>
      </c>
      <c r="W2513" s="31" t="str">
        <f t="shared" si="288"/>
        <v>TRUE</v>
      </c>
      <c r="X2513" s="31" t="str">
        <f t="shared" si="283"/>
        <v>([spikedunkn]-[unkn])/[spike]*100</v>
      </c>
      <c r="Y2513" s="10" t="s">
        <v>1144</v>
      </c>
      <c r="AL2513" s="10" t="str">
        <f t="shared" si="285"/>
        <v>FALSE</v>
      </c>
      <c r="AM2513" s="10" t="str">
        <f t="shared" si="285"/>
        <v>FALSE</v>
      </c>
      <c r="AN2513" s="10" t="str">
        <f t="shared" si="285"/>
        <v>FALSE</v>
      </c>
      <c r="AO2513" s="10" t="str">
        <f t="shared" si="286"/>
        <v>FALSE</v>
      </c>
      <c r="AP2513" s="10" t="str">
        <f t="shared" si="286"/>
        <v>FALSE</v>
      </c>
      <c r="AQ2513" s="10" t="b">
        <f>IF(AND(I2513="TP",S2513&lt;=150),VLOOKUP(AF2513,TPCalibEq150!$AZ$2:$BB$55,3,),IF(AND(I2513="TDP",S2513&lt;=150),VLOOKUP(AF2513,TPCalibEq150!$AZ$2:$BB$55,3,)))</f>
        <v>0</v>
      </c>
      <c r="AR2513" s="10" t="b">
        <f>IF(AND(I2513="TP",S2513&lt;=300),VLOOKUP(AF2513,TPCalibEq300!$AZ$2:$BB$55,3,),IF(AND(I2513="TDP",S2513&lt;=300),VLOOKUP(AF2513,TPCalibEq300!$AZ$2:$BB$55,3,)))</f>
        <v>0</v>
      </c>
      <c r="AS2513" s="10" t="b">
        <f>IF(AND(I2513="TP",S2513&lt;=500),VLOOKUP(AF2513,TPCalibEq500!$AZ$2:$BB$56,3,),IF(AND(I2513="TDP",S2513&lt;=500),VLOOKUP(AF2513,TPCalibEq500!$AZ$2:$BB$56,3,)))</f>
        <v>0</v>
      </c>
      <c r="AT2513" s="10" t="b">
        <f>IF(AND(I2513="TN",S2513&lt;=2800),VLOOKUP(AF2513,TNCalibEq2500!$AZ$2:$BB$56,3,),IF(AND(I2513="TDN",S2513&lt;=2800),VLOOKUP(AF2513,TNCalibEq2500!$AZ$2:$BB$56,3,)))</f>
        <v>0</v>
      </c>
      <c r="AU2513" s="10" t="b">
        <f>IF(I2513="TP",VLOOKUP(AF2513,TPCalibEqFull!$AZ$2:$BB$56,3),IF(I2513="TDP",VLOOKUP(AF2513,TPCalibEqFull!$AZ$2:$BB$56,3),IF(I2513="TDN",VLOOKUP(AF2513,TNCalibEqFull!$AZ$1:$BB$56,3),IF(I2513="TN",VLOOKUP(AF2513,TNCalibEqFull!$AZ$1:$BB$56,3),FALSE))))</f>
        <v>0</v>
      </c>
      <c r="AV2513" s="10" t="str">
        <f t="shared" si="289"/>
        <v>0208 10:30:40-EMB-0-FIL-1-SW-SPK</v>
      </c>
    </row>
    <row r="2514" spans="1:48" s="10" customFormat="1" x14ac:dyDescent="0.55000000000000004">
      <c r="A2514" s="32">
        <v>44966</v>
      </c>
      <c r="B2514" s="33">
        <v>0.375</v>
      </c>
      <c r="C2514" s="10" t="s">
        <v>70</v>
      </c>
      <c r="D2514" s="10" t="s">
        <v>71</v>
      </c>
      <c r="E2514" s="10" t="s">
        <v>901</v>
      </c>
      <c r="F2514" s="10">
        <v>1</v>
      </c>
      <c r="G2514" s="10" t="s">
        <v>73</v>
      </c>
      <c r="H2514" s="10" t="s">
        <v>207</v>
      </c>
      <c r="I2514" s="10" t="s">
        <v>256</v>
      </c>
      <c r="J2514" s="10">
        <v>199</v>
      </c>
      <c r="K2514" s="12">
        <v>44966</v>
      </c>
      <c r="L2514" s="33">
        <v>0.58236111111111111</v>
      </c>
      <c r="M2514" s="10">
        <v>1</v>
      </c>
      <c r="N2514" s="10" t="s">
        <v>169</v>
      </c>
      <c r="O2514" s="10">
        <v>2.1800000000000002</v>
      </c>
      <c r="P2514" s="10">
        <v>0.104</v>
      </c>
      <c r="Q2514" s="10">
        <v>268</v>
      </c>
      <c r="R2514" s="10" t="s">
        <v>77</v>
      </c>
      <c r="S2514" s="34">
        <f t="shared" si="284"/>
        <v>268</v>
      </c>
      <c r="T2514" s="10" t="s">
        <v>1176</v>
      </c>
      <c r="U2514" s="34">
        <f t="shared" si="287"/>
        <v>89.333333333333329</v>
      </c>
      <c r="V2514" s="31">
        <f>IF(H2514="CHK",VLOOKUP(I2514,QCCHK,3,),IF(H2514="GUP",VLOOKUP(E2514,QCGUP,2,),IF(AND(H2514="ATP",OR(I2514="TN",I2514="TDN",I2514="TNO2-3",I2514="NO2-3")),VLOOKUP(E2514,QCREC_N,2,),IF(AND(H2514="NIC",OR(I2514="TN",I2514="TDN",I2514="TNO2-3",I2514="NO2-3")),VLOOKUP(E2514,QCNIC_N,2,),IF(AND(H2514="UREA",OR(I2514="TN",I2514="TDN",I2514="TNO2-3",I2514="NO2-3")),VLOOKUP(E2514,QCUREA_N,2,),IF(H2514="PER",VLOOKUP(I2514,QCPER,MATCH(E2514,QCACTUAL!$J$25:$AA$25,0),),IF(H2514="SPK",VLOOKUP(I2514,QCSPK,3,),IF(AND(H2514="ATP",OR(I2514="TP",I2514="TDP")),VLOOKUP(E2514,QCATP_P,2,),""))))))))</f>
        <v>300</v>
      </c>
      <c r="W2514" s="31" t="str">
        <f t="shared" si="288"/>
        <v>TRUE</v>
      </c>
      <c r="X2514" s="31" t="str">
        <f t="shared" si="283"/>
        <v>[chk]/[actual]*100</v>
      </c>
      <c r="Y2514" s="10" t="s">
        <v>1144</v>
      </c>
      <c r="AL2514" s="10" t="str">
        <f t="shared" si="285"/>
        <v>FALSE</v>
      </c>
      <c r="AM2514" s="10" t="str">
        <f t="shared" si="285"/>
        <v>FALSE</v>
      </c>
      <c r="AN2514" s="10" t="str">
        <f t="shared" si="285"/>
        <v>FALSE</v>
      </c>
      <c r="AO2514" s="10" t="str">
        <f t="shared" si="286"/>
        <v>FALSE</v>
      </c>
      <c r="AP2514" s="10" t="str">
        <f t="shared" si="286"/>
        <v>FALSE</v>
      </c>
      <c r="AQ2514" s="10" t="b">
        <f>IF(AND(I2514="TP",S2514&lt;=150),VLOOKUP(AF2514,TPCalibEq150!$AZ$2:$BB$55,3,),IF(AND(I2514="TDP",S2514&lt;=150),VLOOKUP(AF2514,TPCalibEq150!$AZ$2:$BB$55,3,)))</f>
        <v>0</v>
      </c>
      <c r="AR2514" s="10" t="b">
        <f>IF(AND(I2514="TP",S2514&lt;=300),VLOOKUP(AF2514,TPCalibEq300!$AZ$2:$BB$55,3,),IF(AND(I2514="TDP",S2514&lt;=300),VLOOKUP(AF2514,TPCalibEq300!$AZ$2:$BB$55,3,)))</f>
        <v>0</v>
      </c>
      <c r="AS2514" s="10" t="b">
        <f>IF(AND(I2514="TP",S2514&lt;=500),VLOOKUP(AF2514,TPCalibEq500!$AZ$2:$BB$56,3,),IF(AND(I2514="TDP",S2514&lt;=500),VLOOKUP(AF2514,TPCalibEq500!$AZ$2:$BB$56,3,)))</f>
        <v>0</v>
      </c>
      <c r="AT2514" s="10" t="b">
        <f>IF(AND(I2514="TN",S2514&lt;=2800),VLOOKUP(AF2514,TNCalibEq2500!$AZ$2:$BB$56,3,),IF(AND(I2514="TDN",S2514&lt;=2800),VLOOKUP(AF2514,TNCalibEq2500!$AZ$2:$BB$56,3,)))</f>
        <v>0</v>
      </c>
      <c r="AU2514" s="10" t="b">
        <f>IF(I2514="TP",VLOOKUP(AF2514,TPCalibEqFull!$AZ$2:$BB$56,3),IF(I2514="TDP",VLOOKUP(AF2514,TPCalibEqFull!$AZ$2:$BB$56,3),IF(I2514="TDN",VLOOKUP(AF2514,TNCalibEqFull!$AZ$1:$BB$56,3),IF(I2514="TN",VLOOKUP(AF2514,TNCalibEqFull!$AZ$1:$BB$56,3),FALSE))))</f>
        <v>0</v>
      </c>
      <c r="AV2514" s="10" t="str">
        <f t="shared" si="289"/>
        <v>0209 09:00:00-QAC-STD-D-1-DI-CHK</v>
      </c>
    </row>
    <row r="2515" spans="1:48" s="10" customFormat="1" x14ac:dyDescent="0.55000000000000004">
      <c r="A2515" s="32">
        <v>44965</v>
      </c>
      <c r="B2515" s="33">
        <v>0.44027777777777777</v>
      </c>
      <c r="C2515" s="10" t="s">
        <v>646</v>
      </c>
      <c r="D2515" s="10">
        <v>5</v>
      </c>
      <c r="E2515" s="10" t="s">
        <v>911</v>
      </c>
      <c r="F2515" s="10">
        <v>1</v>
      </c>
      <c r="G2515" s="10" t="s">
        <v>231</v>
      </c>
      <c r="H2515" s="10" t="s">
        <v>322</v>
      </c>
      <c r="I2515" s="10" t="s">
        <v>209</v>
      </c>
      <c r="J2515" s="10">
        <v>99</v>
      </c>
      <c r="K2515" s="12">
        <v>44966</v>
      </c>
      <c r="L2515" s="33">
        <v>0.58317129629629627</v>
      </c>
      <c r="M2515" s="10">
        <v>1</v>
      </c>
      <c r="N2515" s="10" t="s">
        <v>169</v>
      </c>
      <c r="O2515" s="10">
        <v>4.9800000000000004</v>
      </c>
      <c r="P2515" s="10">
        <v>0.22900000000000001</v>
      </c>
      <c r="Q2515" s="10">
        <v>614</v>
      </c>
      <c r="R2515" s="10" t="s">
        <v>77</v>
      </c>
      <c r="S2515" s="34">
        <f t="shared" si="284"/>
        <v>614</v>
      </c>
      <c r="T2515" s="10" t="s">
        <v>1176</v>
      </c>
      <c r="U2515" s="34" t="str">
        <f t="shared" si="287"/>
        <v/>
      </c>
      <c r="V2515" s="31" t="str">
        <f>IF(H2515="CHK",VLOOKUP(I2515,QCCHK,3,),IF(H2515="GUP",VLOOKUP(E2515,QCGUP,2,),IF(AND(H2515="ATP",OR(I2515="TN",I2515="TDN",I2515="TNO2-3",I2515="NO2-3")),VLOOKUP(E2515,QCREC_N,2,),IF(AND(H2515="NIC",OR(I2515="TN",I2515="TDN",I2515="TNO2-3",I2515="NO2-3")),VLOOKUP(E2515,QCNIC_N,2,),IF(AND(H2515="UREA",OR(I2515="TN",I2515="TDN",I2515="TNO2-3",I2515="NO2-3")),VLOOKUP(E2515,QCUREA_N,2,),IF(H2515="PER",VLOOKUP(I2515,QCPER,MATCH(E2515,QCACTUAL!$J$25:$AA$25,0),),IF(H2515="SPK",VLOOKUP(I2515,QCSPK,3,),IF(AND(H2515="ATP",OR(I2515="TP",I2515="TDP")),VLOOKUP(E2515,QCATP_P,2,),""))))))))</f>
        <v/>
      </c>
      <c r="W2515" s="31" t="str">
        <f t="shared" si="288"/>
        <v>TRUE</v>
      </c>
      <c r="X2515" s="31" t="str">
        <f t="shared" si="283"/>
        <v/>
      </c>
      <c r="Y2515" s="10" t="s">
        <v>1144</v>
      </c>
      <c r="AL2515" s="10" t="str">
        <f t="shared" si="285"/>
        <v>FALSE</v>
      </c>
      <c r="AM2515" s="10" t="str">
        <f t="shared" si="285"/>
        <v>FALSE</v>
      </c>
      <c r="AN2515" s="10" t="str">
        <f t="shared" si="285"/>
        <v>FALSE</v>
      </c>
      <c r="AO2515" s="10" t="str">
        <f t="shared" si="286"/>
        <v>FALSE</v>
      </c>
      <c r="AP2515" s="10" t="str">
        <f t="shared" si="286"/>
        <v>FALSE</v>
      </c>
      <c r="AQ2515" s="10" t="b">
        <f>IF(AND(I2515="TP",S2515&lt;=150),VLOOKUP(AF2515,TPCalibEq150!$AZ$2:$BB$55,3,),IF(AND(I2515="TDP",S2515&lt;=150),VLOOKUP(AF2515,TPCalibEq150!$AZ$2:$BB$55,3,)))</f>
        <v>0</v>
      </c>
      <c r="AR2515" s="10" t="b">
        <f>IF(AND(I2515="TP",S2515&lt;=300),VLOOKUP(AF2515,TPCalibEq300!$AZ$2:$BB$55,3,),IF(AND(I2515="TDP",S2515&lt;=300),VLOOKUP(AF2515,TPCalibEq300!$AZ$2:$BB$55,3,)))</f>
        <v>0</v>
      </c>
      <c r="AS2515" s="10" t="b">
        <f>IF(AND(I2515="TP",S2515&lt;=500),VLOOKUP(AF2515,TPCalibEq500!$AZ$2:$BB$56,3,),IF(AND(I2515="TDP",S2515&lt;=500),VLOOKUP(AF2515,TPCalibEq500!$AZ$2:$BB$56,3,)))</f>
        <v>0</v>
      </c>
      <c r="AT2515" s="10" t="b">
        <f>IF(AND(I2515="TN",S2515&lt;=2800),VLOOKUP(AF2515,TNCalibEq2500!$AZ$2:$BB$56,3,),IF(AND(I2515="TDN",S2515&lt;=2800),VLOOKUP(AF2515,TNCalibEq2500!$AZ$2:$BB$56,3,)))</f>
        <v>0</v>
      </c>
      <c r="AU2515" s="10" t="b">
        <f>IF(I2515="TP",VLOOKUP(AF2515,TPCalibEqFull!$AZ$2:$BB$56,3),IF(I2515="TDP",VLOOKUP(AF2515,TPCalibEqFull!$AZ$2:$BB$56,3),IF(I2515="TDN",VLOOKUP(AF2515,TNCalibEqFull!$AZ$1:$BB$56,3),IF(I2515="TN",VLOOKUP(AF2515,TNCalibEqFull!$AZ$1:$BB$56,3),FALSE))))</f>
        <v>0</v>
      </c>
      <c r="AV2515" s="10" t="str">
        <f t="shared" si="289"/>
        <v>0208 10:34:00-EMB-5-FIL-1-SW-UKN</v>
      </c>
    </row>
    <row r="2516" spans="1:48" s="10" customFormat="1" x14ac:dyDescent="0.55000000000000004">
      <c r="A2516" s="32">
        <v>44965</v>
      </c>
      <c r="B2516" s="33">
        <v>0.44259259259259259</v>
      </c>
      <c r="C2516" s="10" t="s">
        <v>646</v>
      </c>
      <c r="D2516" s="10">
        <v>10</v>
      </c>
      <c r="E2516" s="10" t="s">
        <v>911</v>
      </c>
      <c r="F2516" s="10">
        <v>1</v>
      </c>
      <c r="G2516" s="10" t="s">
        <v>231</v>
      </c>
      <c r="H2516" s="10" t="s">
        <v>322</v>
      </c>
      <c r="I2516" s="10" t="s">
        <v>209</v>
      </c>
      <c r="J2516" s="10">
        <v>100</v>
      </c>
      <c r="K2516" s="12">
        <v>44966</v>
      </c>
      <c r="L2516" s="33">
        <v>0.58398148148148155</v>
      </c>
      <c r="M2516" s="10">
        <v>1</v>
      </c>
      <c r="N2516" s="10" t="s">
        <v>169</v>
      </c>
      <c r="O2516" s="10">
        <v>4.9400000000000004</v>
      </c>
      <c r="P2516" s="10">
        <v>0.22800000000000001</v>
      </c>
      <c r="Q2516" s="10">
        <v>610</v>
      </c>
      <c r="R2516" s="10" t="s">
        <v>77</v>
      </c>
      <c r="S2516" s="34">
        <f t="shared" si="284"/>
        <v>610</v>
      </c>
      <c r="T2516" s="10" t="s">
        <v>1176</v>
      </c>
      <c r="U2516" s="34" t="str">
        <f t="shared" si="287"/>
        <v/>
      </c>
      <c r="V2516" s="31" t="str">
        <f>IF(H2516="CHK",VLOOKUP(I2516,QCCHK,3,),IF(H2516="GUP",VLOOKUP(E2516,QCGUP,2,),IF(AND(H2516="ATP",OR(I2516="TN",I2516="TDN",I2516="TNO2-3",I2516="NO2-3")),VLOOKUP(E2516,QCREC_N,2,),IF(AND(H2516="NIC",OR(I2516="TN",I2516="TDN",I2516="TNO2-3",I2516="NO2-3")),VLOOKUP(E2516,QCNIC_N,2,),IF(AND(H2516="UREA",OR(I2516="TN",I2516="TDN",I2516="TNO2-3",I2516="NO2-3")),VLOOKUP(E2516,QCUREA_N,2,),IF(H2516="PER",VLOOKUP(I2516,QCPER,MATCH(E2516,QCACTUAL!$J$25:$AA$25,0),),IF(H2516="SPK",VLOOKUP(I2516,QCSPK,3,),IF(AND(H2516="ATP",OR(I2516="TP",I2516="TDP")),VLOOKUP(E2516,QCATP_P,2,),""))))))))</f>
        <v/>
      </c>
      <c r="W2516" s="31" t="str">
        <f t="shared" si="288"/>
        <v>TRUE</v>
      </c>
      <c r="X2516" s="31" t="str">
        <f t="shared" si="283"/>
        <v/>
      </c>
      <c r="Y2516" s="10" t="s">
        <v>1144</v>
      </c>
      <c r="AL2516" s="10" t="str">
        <f t="shared" si="285"/>
        <v>FALSE</v>
      </c>
      <c r="AM2516" s="10" t="str">
        <f t="shared" si="285"/>
        <v>FALSE</v>
      </c>
      <c r="AN2516" s="10" t="str">
        <f t="shared" si="285"/>
        <v>FALSE</v>
      </c>
      <c r="AO2516" s="10" t="str">
        <f t="shared" si="286"/>
        <v>FALSE</v>
      </c>
      <c r="AP2516" s="10" t="str">
        <f t="shared" si="286"/>
        <v>FALSE</v>
      </c>
      <c r="AQ2516" s="10" t="b">
        <f>IF(AND(I2516="TP",S2516&lt;=150),VLOOKUP(AF2516,TPCalibEq150!$AZ$2:$BB$55,3,),IF(AND(I2516="TDP",S2516&lt;=150),VLOOKUP(AF2516,TPCalibEq150!$AZ$2:$BB$55,3,)))</f>
        <v>0</v>
      </c>
      <c r="AR2516" s="10" t="b">
        <f>IF(AND(I2516="TP",S2516&lt;=300),VLOOKUP(AF2516,TPCalibEq300!$AZ$2:$BB$55,3,),IF(AND(I2516="TDP",S2516&lt;=300),VLOOKUP(AF2516,TPCalibEq300!$AZ$2:$BB$55,3,)))</f>
        <v>0</v>
      </c>
      <c r="AS2516" s="10" t="b">
        <f>IF(AND(I2516="TP",S2516&lt;=500),VLOOKUP(AF2516,TPCalibEq500!$AZ$2:$BB$56,3,),IF(AND(I2516="TDP",S2516&lt;=500),VLOOKUP(AF2516,TPCalibEq500!$AZ$2:$BB$56,3,)))</f>
        <v>0</v>
      </c>
      <c r="AT2516" s="10" t="b">
        <f>IF(AND(I2516="TN",S2516&lt;=2800),VLOOKUP(AF2516,TNCalibEq2500!$AZ$2:$BB$56,3,),IF(AND(I2516="TDN",S2516&lt;=2800),VLOOKUP(AF2516,TNCalibEq2500!$AZ$2:$BB$56,3,)))</f>
        <v>0</v>
      </c>
      <c r="AU2516" s="10" t="b">
        <f>IF(I2516="TP",VLOOKUP(AF2516,TPCalibEqFull!$AZ$2:$BB$56,3),IF(I2516="TDP",VLOOKUP(AF2516,TPCalibEqFull!$AZ$2:$BB$56,3),IF(I2516="TDN",VLOOKUP(AF2516,TNCalibEqFull!$AZ$1:$BB$56,3),IF(I2516="TN",VLOOKUP(AF2516,TNCalibEqFull!$AZ$1:$BB$56,3),FALSE))))</f>
        <v>0</v>
      </c>
      <c r="AV2516" s="10" t="str">
        <f t="shared" si="289"/>
        <v>0208 10:37:20-EMB-10-FIL-1-SW-UKN</v>
      </c>
    </row>
    <row r="2517" spans="1:48" s="10" customFormat="1" x14ac:dyDescent="0.55000000000000004">
      <c r="A2517" s="32">
        <v>44965</v>
      </c>
      <c r="B2517" s="33">
        <v>0.44490740740740736</v>
      </c>
      <c r="C2517" s="10" t="s">
        <v>646</v>
      </c>
      <c r="D2517" s="10">
        <v>20</v>
      </c>
      <c r="E2517" s="10" t="s">
        <v>911</v>
      </c>
      <c r="F2517" s="10">
        <v>1</v>
      </c>
      <c r="G2517" s="10" t="s">
        <v>231</v>
      </c>
      <c r="H2517" s="10" t="s">
        <v>322</v>
      </c>
      <c r="I2517" s="10" t="s">
        <v>209</v>
      </c>
      <c r="J2517" s="10">
        <v>101</v>
      </c>
      <c r="K2517" s="12">
        <v>44966</v>
      </c>
      <c r="L2517" s="33">
        <v>0.58479166666666671</v>
      </c>
      <c r="M2517" s="10">
        <v>1</v>
      </c>
      <c r="N2517" s="10" t="s">
        <v>169</v>
      </c>
      <c r="O2517" s="10">
        <v>4.8899999999999997</v>
      </c>
      <c r="P2517" s="10">
        <v>0.22600000000000001</v>
      </c>
      <c r="Q2517" s="10">
        <v>604</v>
      </c>
      <c r="R2517" s="10" t="s">
        <v>77</v>
      </c>
      <c r="S2517" s="34">
        <f t="shared" si="284"/>
        <v>604</v>
      </c>
      <c r="T2517" s="10" t="s">
        <v>1176</v>
      </c>
      <c r="U2517" s="34" t="str">
        <f t="shared" si="287"/>
        <v/>
      </c>
      <c r="V2517" s="31" t="str">
        <f>IF(H2517="CHK",VLOOKUP(I2517,QCCHK,3,),IF(H2517="GUP",VLOOKUP(E2517,QCGUP,2,),IF(AND(H2517="ATP",OR(I2517="TN",I2517="TDN",I2517="TNO2-3",I2517="NO2-3")),VLOOKUP(E2517,QCREC_N,2,),IF(AND(H2517="NIC",OR(I2517="TN",I2517="TDN",I2517="TNO2-3",I2517="NO2-3")),VLOOKUP(E2517,QCNIC_N,2,),IF(AND(H2517="UREA",OR(I2517="TN",I2517="TDN",I2517="TNO2-3",I2517="NO2-3")),VLOOKUP(E2517,QCUREA_N,2,),IF(H2517="PER",VLOOKUP(I2517,QCPER,MATCH(E2517,QCACTUAL!$J$25:$AA$25,0),),IF(H2517="SPK",VLOOKUP(I2517,QCSPK,3,),IF(AND(H2517="ATP",OR(I2517="TP",I2517="TDP")),VLOOKUP(E2517,QCATP_P,2,),""))))))))</f>
        <v/>
      </c>
      <c r="W2517" s="31" t="str">
        <f t="shared" si="288"/>
        <v>TRUE</v>
      </c>
      <c r="X2517" s="31" t="str">
        <f t="shared" si="283"/>
        <v/>
      </c>
      <c r="Y2517" s="10" t="s">
        <v>1144</v>
      </c>
      <c r="AL2517" s="10" t="str">
        <f t="shared" si="285"/>
        <v>FALSE</v>
      </c>
      <c r="AM2517" s="10" t="str">
        <f t="shared" si="285"/>
        <v>FALSE</v>
      </c>
      <c r="AN2517" s="10" t="str">
        <f t="shared" si="285"/>
        <v>FALSE</v>
      </c>
      <c r="AO2517" s="10" t="str">
        <f t="shared" si="286"/>
        <v>FALSE</v>
      </c>
      <c r="AP2517" s="10" t="str">
        <f t="shared" si="286"/>
        <v>FALSE</v>
      </c>
      <c r="AQ2517" s="10" t="b">
        <f>IF(AND(I2517="TP",S2517&lt;=150),VLOOKUP(AF2517,TPCalibEq150!$AZ$2:$BB$55,3,),IF(AND(I2517="TDP",S2517&lt;=150),VLOOKUP(AF2517,TPCalibEq150!$AZ$2:$BB$55,3,)))</f>
        <v>0</v>
      </c>
      <c r="AR2517" s="10" t="b">
        <f>IF(AND(I2517="TP",S2517&lt;=300),VLOOKUP(AF2517,TPCalibEq300!$AZ$2:$BB$55,3,),IF(AND(I2517="TDP",S2517&lt;=300),VLOOKUP(AF2517,TPCalibEq300!$AZ$2:$BB$55,3,)))</f>
        <v>0</v>
      </c>
      <c r="AS2517" s="10" t="b">
        <f>IF(AND(I2517="TP",S2517&lt;=500),VLOOKUP(AF2517,TPCalibEq500!$AZ$2:$BB$56,3,),IF(AND(I2517="TDP",S2517&lt;=500),VLOOKUP(AF2517,TPCalibEq500!$AZ$2:$BB$56,3,)))</f>
        <v>0</v>
      </c>
      <c r="AT2517" s="10" t="b">
        <f>IF(AND(I2517="TN",S2517&lt;=2800),VLOOKUP(AF2517,TNCalibEq2500!$AZ$2:$BB$56,3,),IF(AND(I2517="TDN",S2517&lt;=2800),VLOOKUP(AF2517,TNCalibEq2500!$AZ$2:$BB$56,3,)))</f>
        <v>0</v>
      </c>
      <c r="AU2517" s="10" t="b">
        <f>IF(I2517="TP",VLOOKUP(AF2517,TPCalibEqFull!$AZ$2:$BB$56,3),IF(I2517="TDP",VLOOKUP(AF2517,TPCalibEqFull!$AZ$2:$BB$56,3),IF(I2517="TDN",VLOOKUP(AF2517,TNCalibEqFull!$AZ$1:$BB$56,3),IF(I2517="TN",VLOOKUP(AF2517,TNCalibEqFull!$AZ$1:$BB$56,3),FALSE))))</f>
        <v>0</v>
      </c>
      <c r="AV2517" s="10" t="str">
        <f t="shared" si="289"/>
        <v>0208 10:40:40-EMB-20-FIL-1-SW-UKN</v>
      </c>
    </row>
    <row r="2518" spans="1:48" s="10" customFormat="1" x14ac:dyDescent="0.55000000000000004">
      <c r="A2518" s="32">
        <v>44965</v>
      </c>
      <c r="B2518" s="33">
        <v>0.44780092592592591</v>
      </c>
      <c r="C2518" s="10" t="s">
        <v>646</v>
      </c>
      <c r="D2518" s="10">
        <v>69</v>
      </c>
      <c r="E2518" s="10" t="s">
        <v>911</v>
      </c>
      <c r="F2518" s="10">
        <v>1</v>
      </c>
      <c r="G2518" s="10" t="s">
        <v>231</v>
      </c>
      <c r="H2518" s="10" t="s">
        <v>322</v>
      </c>
      <c r="I2518" s="10" t="s">
        <v>209</v>
      </c>
      <c r="J2518" s="10">
        <v>102</v>
      </c>
      <c r="K2518" s="12">
        <v>44966</v>
      </c>
      <c r="L2518" s="33">
        <v>0.58560185185185187</v>
      </c>
      <c r="M2518" s="10">
        <v>1</v>
      </c>
      <c r="N2518" s="10" t="s">
        <v>169</v>
      </c>
      <c r="O2518" s="10">
        <v>5.54</v>
      </c>
      <c r="P2518" s="10">
        <v>0.25600000000000001</v>
      </c>
      <c r="Q2518" s="10">
        <v>683</v>
      </c>
      <c r="R2518" s="10" t="s">
        <v>77</v>
      </c>
      <c r="S2518" s="34">
        <f t="shared" si="284"/>
        <v>683</v>
      </c>
      <c r="T2518" s="10" t="s">
        <v>1176</v>
      </c>
      <c r="U2518" s="34" t="str">
        <f t="shared" si="287"/>
        <v/>
      </c>
      <c r="V2518" s="31" t="str">
        <f>IF(H2518="CHK",VLOOKUP(I2518,QCCHK,3,),IF(H2518="GUP",VLOOKUP(E2518,QCGUP,2,),IF(AND(H2518="ATP",OR(I2518="TN",I2518="TDN",I2518="TNO2-3",I2518="NO2-3")),VLOOKUP(E2518,QCREC_N,2,),IF(AND(H2518="NIC",OR(I2518="TN",I2518="TDN",I2518="TNO2-3",I2518="NO2-3")),VLOOKUP(E2518,QCNIC_N,2,),IF(AND(H2518="UREA",OR(I2518="TN",I2518="TDN",I2518="TNO2-3",I2518="NO2-3")),VLOOKUP(E2518,QCUREA_N,2,),IF(H2518="PER",VLOOKUP(I2518,QCPER,MATCH(E2518,QCACTUAL!$J$25:$AA$25,0),),IF(H2518="SPK",VLOOKUP(I2518,QCSPK,3,),IF(AND(H2518="ATP",OR(I2518="TP",I2518="TDP")),VLOOKUP(E2518,QCATP_P,2,),""))))))))</f>
        <v/>
      </c>
      <c r="W2518" s="31" t="str">
        <f t="shared" si="288"/>
        <v>TRUE</v>
      </c>
      <c r="X2518" s="31" t="str">
        <f t="shared" si="283"/>
        <v/>
      </c>
      <c r="Y2518" s="10" t="s">
        <v>1144</v>
      </c>
      <c r="AL2518" s="10" t="str">
        <f t="shared" si="285"/>
        <v>FALSE</v>
      </c>
      <c r="AM2518" s="10" t="str">
        <f t="shared" si="285"/>
        <v>FALSE</v>
      </c>
      <c r="AN2518" s="10" t="str">
        <f t="shared" si="285"/>
        <v>FALSE</v>
      </c>
      <c r="AO2518" s="10" t="str">
        <f t="shared" si="286"/>
        <v>FALSE</v>
      </c>
      <c r="AP2518" s="10" t="str">
        <f t="shared" si="286"/>
        <v>FALSE</v>
      </c>
      <c r="AQ2518" s="10" t="b">
        <f>IF(AND(I2518="TP",S2518&lt;=150),VLOOKUP(AF2518,TPCalibEq150!$AZ$2:$BB$55,3,),IF(AND(I2518="TDP",S2518&lt;=150),VLOOKUP(AF2518,TPCalibEq150!$AZ$2:$BB$55,3,)))</f>
        <v>0</v>
      </c>
      <c r="AR2518" s="10" t="b">
        <f>IF(AND(I2518="TP",S2518&lt;=300),VLOOKUP(AF2518,TPCalibEq300!$AZ$2:$BB$55,3,),IF(AND(I2518="TDP",S2518&lt;=300),VLOOKUP(AF2518,TPCalibEq300!$AZ$2:$BB$55,3,)))</f>
        <v>0</v>
      </c>
      <c r="AS2518" s="10" t="b">
        <f>IF(AND(I2518="TP",S2518&lt;=500),VLOOKUP(AF2518,TPCalibEq500!$AZ$2:$BB$56,3,),IF(AND(I2518="TDP",S2518&lt;=500),VLOOKUP(AF2518,TPCalibEq500!$AZ$2:$BB$56,3,)))</f>
        <v>0</v>
      </c>
      <c r="AT2518" s="10" t="b">
        <f>IF(AND(I2518="TN",S2518&lt;=2800),VLOOKUP(AF2518,TNCalibEq2500!$AZ$2:$BB$56,3,),IF(AND(I2518="TDN",S2518&lt;=2800),VLOOKUP(AF2518,TNCalibEq2500!$AZ$2:$BB$56,3,)))</f>
        <v>0</v>
      </c>
      <c r="AU2518" s="10" t="b">
        <f>IF(I2518="TP",VLOOKUP(AF2518,TPCalibEqFull!$AZ$2:$BB$56,3),IF(I2518="TDP",VLOOKUP(AF2518,TPCalibEqFull!$AZ$2:$BB$56,3),IF(I2518="TDN",VLOOKUP(AF2518,TNCalibEqFull!$AZ$1:$BB$56,3),IF(I2518="TN",VLOOKUP(AF2518,TNCalibEqFull!$AZ$1:$BB$56,3),FALSE))))</f>
        <v>0</v>
      </c>
      <c r="AV2518" s="10" t="str">
        <f t="shared" si="289"/>
        <v>0208 10:44:50-EMB-69-FIL-1-SW-UKN</v>
      </c>
    </row>
    <row r="2519" spans="1:48" s="10" customFormat="1" x14ac:dyDescent="0.55000000000000004">
      <c r="A2519" s="32">
        <v>44965</v>
      </c>
      <c r="B2519" s="33">
        <v>0.39953703703703702</v>
      </c>
      <c r="C2519" s="10" t="s">
        <v>287</v>
      </c>
      <c r="D2519" s="10">
        <v>0</v>
      </c>
      <c r="E2519" s="10" t="s">
        <v>911</v>
      </c>
      <c r="F2519" s="10">
        <v>1</v>
      </c>
      <c r="G2519" s="10" t="s">
        <v>231</v>
      </c>
      <c r="H2519" s="10" t="s">
        <v>322</v>
      </c>
      <c r="I2519" s="10" t="s">
        <v>209</v>
      </c>
      <c r="J2519" s="10">
        <v>103</v>
      </c>
      <c r="K2519" s="12">
        <v>44966</v>
      </c>
      <c r="L2519" s="33">
        <v>0.58642361111111108</v>
      </c>
      <c r="M2519" s="10">
        <v>1</v>
      </c>
      <c r="N2519" s="10" t="s">
        <v>169</v>
      </c>
      <c r="O2519" s="10">
        <v>4.9000000000000004</v>
      </c>
      <c r="P2519" s="10">
        <v>0.22800000000000001</v>
      </c>
      <c r="Q2519" s="10">
        <v>605</v>
      </c>
      <c r="R2519" s="10" t="s">
        <v>77</v>
      </c>
      <c r="S2519" s="34">
        <f t="shared" si="284"/>
        <v>605</v>
      </c>
      <c r="T2519" s="10" t="s">
        <v>1176</v>
      </c>
      <c r="U2519" s="34" t="str">
        <f t="shared" si="287"/>
        <v/>
      </c>
      <c r="V2519" s="31" t="str">
        <f>IF(H2519="CHK",VLOOKUP(I2519,QCCHK,3,),IF(H2519="GUP",VLOOKUP(E2519,QCGUP,2,),IF(AND(H2519="ATP",OR(I2519="TN",I2519="TDN",I2519="TNO2-3",I2519="NO2-3")),VLOOKUP(E2519,QCREC_N,2,),IF(AND(H2519="NIC",OR(I2519="TN",I2519="TDN",I2519="TNO2-3",I2519="NO2-3")),VLOOKUP(E2519,QCNIC_N,2,),IF(AND(H2519="UREA",OR(I2519="TN",I2519="TDN",I2519="TNO2-3",I2519="NO2-3")),VLOOKUP(E2519,QCUREA_N,2,),IF(H2519="PER",VLOOKUP(I2519,QCPER,MATCH(E2519,QCACTUAL!$J$25:$AA$25,0),),IF(H2519="SPK",VLOOKUP(I2519,QCSPK,3,),IF(AND(H2519="ATP",OR(I2519="TP",I2519="TDP")),VLOOKUP(E2519,QCATP_P,2,),""))))))))</f>
        <v/>
      </c>
      <c r="W2519" s="31" t="str">
        <f t="shared" si="288"/>
        <v>TRUE</v>
      </c>
      <c r="X2519" s="31" t="str">
        <f t="shared" si="283"/>
        <v/>
      </c>
      <c r="Y2519" s="10" t="s">
        <v>1144</v>
      </c>
      <c r="AL2519" s="10" t="str">
        <f t="shared" si="285"/>
        <v>FALSE</v>
      </c>
      <c r="AM2519" s="10" t="str">
        <f t="shared" si="285"/>
        <v>FALSE</v>
      </c>
      <c r="AN2519" s="10" t="str">
        <f t="shared" si="285"/>
        <v>FALSE</v>
      </c>
      <c r="AO2519" s="10" t="str">
        <f t="shared" si="286"/>
        <v>FALSE</v>
      </c>
      <c r="AP2519" s="10" t="str">
        <f t="shared" si="286"/>
        <v>FALSE</v>
      </c>
      <c r="AQ2519" s="10" t="b">
        <f>IF(AND(I2519="TP",S2519&lt;=150),VLOOKUP(AF2519,TPCalibEq150!$AZ$2:$BB$55,3,),IF(AND(I2519="TDP",S2519&lt;=150),VLOOKUP(AF2519,TPCalibEq150!$AZ$2:$BB$55,3,)))</f>
        <v>0</v>
      </c>
      <c r="AR2519" s="10" t="b">
        <f>IF(AND(I2519="TP",S2519&lt;=300),VLOOKUP(AF2519,TPCalibEq300!$AZ$2:$BB$55,3,),IF(AND(I2519="TDP",S2519&lt;=300),VLOOKUP(AF2519,TPCalibEq300!$AZ$2:$BB$55,3,)))</f>
        <v>0</v>
      </c>
      <c r="AS2519" s="10" t="b">
        <f>IF(AND(I2519="TP",S2519&lt;=500),VLOOKUP(AF2519,TPCalibEq500!$AZ$2:$BB$56,3,),IF(AND(I2519="TDP",S2519&lt;=500),VLOOKUP(AF2519,TPCalibEq500!$AZ$2:$BB$56,3,)))</f>
        <v>0</v>
      </c>
      <c r="AT2519" s="10" t="b">
        <f>IF(AND(I2519="TN",S2519&lt;=2800),VLOOKUP(AF2519,TNCalibEq2500!$AZ$2:$BB$56,3,),IF(AND(I2519="TDN",S2519&lt;=2800),VLOOKUP(AF2519,TNCalibEq2500!$AZ$2:$BB$56,3,)))</f>
        <v>0</v>
      </c>
      <c r="AU2519" s="10" t="b">
        <f>IF(I2519="TP",VLOOKUP(AF2519,TPCalibEqFull!$AZ$2:$BB$56,3),IF(I2519="TDP",VLOOKUP(AF2519,TPCalibEqFull!$AZ$2:$BB$56,3),IF(I2519="TDN",VLOOKUP(AF2519,TNCalibEqFull!$AZ$1:$BB$56,3),IF(I2519="TN",VLOOKUP(AF2519,TNCalibEqFull!$AZ$1:$BB$56,3),FALSE))))</f>
        <v>0</v>
      </c>
      <c r="AV2519" s="10" t="str">
        <f t="shared" si="289"/>
        <v>0208 09:35:20-EFL-0-FIL-1-SW-UKN</v>
      </c>
    </row>
    <row r="2520" spans="1:48" s="10" customFormat="1" x14ac:dyDescent="0.55000000000000004">
      <c r="A2520" s="32">
        <v>44965</v>
      </c>
      <c r="B2520" s="33">
        <v>0.40185185185185185</v>
      </c>
      <c r="C2520" s="10" t="s">
        <v>287</v>
      </c>
      <c r="D2520" s="10">
        <v>5</v>
      </c>
      <c r="E2520" s="10" t="s">
        <v>911</v>
      </c>
      <c r="F2520" s="10">
        <v>1</v>
      </c>
      <c r="G2520" s="10" t="s">
        <v>231</v>
      </c>
      <c r="H2520" s="10" t="s">
        <v>322</v>
      </c>
      <c r="I2520" s="10" t="s">
        <v>209</v>
      </c>
      <c r="J2520" s="10">
        <v>104</v>
      </c>
      <c r="K2520" s="12">
        <v>44966</v>
      </c>
      <c r="L2520" s="33">
        <v>0.58723379629629624</v>
      </c>
      <c r="M2520" s="10">
        <v>1</v>
      </c>
      <c r="N2520" s="10" t="s">
        <v>169</v>
      </c>
      <c r="O2520" s="10">
        <v>4.95</v>
      </c>
      <c r="P2520" s="10">
        <v>0.22900000000000001</v>
      </c>
      <c r="Q2520" s="10">
        <v>610</v>
      </c>
      <c r="R2520" s="10" t="s">
        <v>77</v>
      </c>
      <c r="S2520" s="34">
        <f t="shared" si="284"/>
        <v>610</v>
      </c>
      <c r="T2520" s="10" t="s">
        <v>1176</v>
      </c>
      <c r="U2520" s="34" t="str">
        <f t="shared" si="287"/>
        <v/>
      </c>
      <c r="V2520" s="31" t="str">
        <f>IF(H2520="CHK",VLOOKUP(I2520,QCCHK,3,),IF(H2520="GUP",VLOOKUP(E2520,QCGUP,2,),IF(AND(H2520="ATP",OR(I2520="TN",I2520="TDN",I2520="TNO2-3",I2520="NO2-3")),VLOOKUP(E2520,QCREC_N,2,),IF(AND(H2520="NIC",OR(I2520="TN",I2520="TDN",I2520="TNO2-3",I2520="NO2-3")),VLOOKUP(E2520,QCNIC_N,2,),IF(AND(H2520="UREA",OR(I2520="TN",I2520="TDN",I2520="TNO2-3",I2520="NO2-3")),VLOOKUP(E2520,QCUREA_N,2,),IF(H2520="PER",VLOOKUP(I2520,QCPER,MATCH(E2520,QCACTUAL!$J$25:$AA$25,0),),IF(H2520="SPK",VLOOKUP(I2520,QCSPK,3,),IF(AND(H2520="ATP",OR(I2520="TP",I2520="TDP")),VLOOKUP(E2520,QCATP_P,2,),""))))))))</f>
        <v/>
      </c>
      <c r="W2520" s="31" t="str">
        <f t="shared" si="288"/>
        <v>TRUE</v>
      </c>
      <c r="X2520" s="31" t="str">
        <f t="shared" si="283"/>
        <v/>
      </c>
      <c r="Y2520" s="10" t="s">
        <v>1144</v>
      </c>
      <c r="AL2520" s="10" t="str">
        <f t="shared" si="285"/>
        <v>FALSE</v>
      </c>
      <c r="AM2520" s="10" t="str">
        <f t="shared" si="285"/>
        <v>FALSE</v>
      </c>
      <c r="AN2520" s="10" t="str">
        <f t="shared" si="285"/>
        <v>FALSE</v>
      </c>
      <c r="AO2520" s="10" t="str">
        <f t="shared" si="286"/>
        <v>FALSE</v>
      </c>
      <c r="AP2520" s="10" t="str">
        <f t="shared" si="286"/>
        <v>FALSE</v>
      </c>
      <c r="AQ2520" s="10" t="b">
        <f>IF(AND(I2520="TP",S2520&lt;=150),VLOOKUP(AF2520,TPCalibEq150!$AZ$2:$BB$55,3,),IF(AND(I2520="TDP",S2520&lt;=150),VLOOKUP(AF2520,TPCalibEq150!$AZ$2:$BB$55,3,)))</f>
        <v>0</v>
      </c>
      <c r="AR2520" s="10" t="b">
        <f>IF(AND(I2520="TP",S2520&lt;=300),VLOOKUP(AF2520,TPCalibEq300!$AZ$2:$BB$55,3,),IF(AND(I2520="TDP",S2520&lt;=300),VLOOKUP(AF2520,TPCalibEq300!$AZ$2:$BB$55,3,)))</f>
        <v>0</v>
      </c>
      <c r="AS2520" s="10" t="b">
        <f>IF(AND(I2520="TP",S2520&lt;=500),VLOOKUP(AF2520,TPCalibEq500!$AZ$2:$BB$56,3,),IF(AND(I2520="TDP",S2520&lt;=500),VLOOKUP(AF2520,TPCalibEq500!$AZ$2:$BB$56,3,)))</f>
        <v>0</v>
      </c>
      <c r="AT2520" s="10" t="b">
        <f>IF(AND(I2520="TN",S2520&lt;=2800),VLOOKUP(AF2520,TNCalibEq2500!$AZ$2:$BB$56,3,),IF(AND(I2520="TDN",S2520&lt;=2800),VLOOKUP(AF2520,TNCalibEq2500!$AZ$2:$BB$56,3,)))</f>
        <v>0</v>
      </c>
      <c r="AU2520" s="10" t="b">
        <f>IF(I2520="TP",VLOOKUP(AF2520,TPCalibEqFull!$AZ$2:$BB$56,3),IF(I2520="TDP",VLOOKUP(AF2520,TPCalibEqFull!$AZ$2:$BB$56,3),IF(I2520="TDN",VLOOKUP(AF2520,TNCalibEqFull!$AZ$1:$BB$56,3),IF(I2520="TN",VLOOKUP(AF2520,TNCalibEqFull!$AZ$1:$BB$56,3),FALSE))))</f>
        <v>0</v>
      </c>
      <c r="AV2520" s="10" t="str">
        <f t="shared" si="289"/>
        <v>0208 09:38:40-EFL-5-FIL-1-SW-UKN</v>
      </c>
    </row>
    <row r="2521" spans="1:48" s="10" customFormat="1" x14ac:dyDescent="0.55000000000000004">
      <c r="A2521" s="32">
        <v>44965</v>
      </c>
      <c r="B2521" s="33">
        <v>0.40416666666666662</v>
      </c>
      <c r="C2521" s="10" t="s">
        <v>287</v>
      </c>
      <c r="D2521" s="10">
        <v>10</v>
      </c>
      <c r="E2521" s="10" t="s">
        <v>911</v>
      </c>
      <c r="F2521" s="10">
        <v>1</v>
      </c>
      <c r="G2521" s="10" t="s">
        <v>231</v>
      </c>
      <c r="H2521" s="10" t="s">
        <v>322</v>
      </c>
      <c r="I2521" s="10" t="s">
        <v>209</v>
      </c>
      <c r="J2521" s="10">
        <v>105</v>
      </c>
      <c r="K2521" s="12">
        <v>44966</v>
      </c>
      <c r="L2521" s="33">
        <v>0.58804398148148151</v>
      </c>
      <c r="M2521" s="10">
        <v>1</v>
      </c>
      <c r="N2521" s="10" t="s">
        <v>169</v>
      </c>
      <c r="O2521" s="10">
        <v>4.74</v>
      </c>
      <c r="P2521" s="10">
        <v>0.22</v>
      </c>
      <c r="Q2521" s="10">
        <v>585</v>
      </c>
      <c r="R2521" s="10" t="s">
        <v>77</v>
      </c>
      <c r="S2521" s="34">
        <f t="shared" si="284"/>
        <v>585</v>
      </c>
      <c r="T2521" s="10" t="s">
        <v>1176</v>
      </c>
      <c r="U2521" s="34" t="str">
        <f t="shared" si="287"/>
        <v/>
      </c>
      <c r="V2521" s="31" t="str">
        <f>IF(H2521="CHK",VLOOKUP(I2521,QCCHK,3,),IF(H2521="GUP",VLOOKUP(E2521,QCGUP,2,),IF(AND(H2521="ATP",OR(I2521="TN",I2521="TDN",I2521="TNO2-3",I2521="NO2-3")),VLOOKUP(E2521,QCREC_N,2,),IF(AND(H2521="NIC",OR(I2521="TN",I2521="TDN",I2521="TNO2-3",I2521="NO2-3")),VLOOKUP(E2521,QCNIC_N,2,),IF(AND(H2521="UREA",OR(I2521="TN",I2521="TDN",I2521="TNO2-3",I2521="NO2-3")),VLOOKUP(E2521,QCUREA_N,2,),IF(H2521="PER",VLOOKUP(I2521,QCPER,MATCH(E2521,QCACTUAL!$J$25:$AA$25,0),),IF(H2521="SPK",VLOOKUP(I2521,QCSPK,3,),IF(AND(H2521="ATP",OR(I2521="TP",I2521="TDP")),VLOOKUP(E2521,QCATP_P,2,),""))))))))</f>
        <v/>
      </c>
      <c r="W2521" s="31" t="str">
        <f t="shared" si="288"/>
        <v>TRUE</v>
      </c>
      <c r="X2521" s="31" t="str">
        <f t="shared" si="283"/>
        <v/>
      </c>
      <c r="Y2521" s="10" t="s">
        <v>1144</v>
      </c>
      <c r="AL2521" s="10" t="str">
        <f t="shared" si="285"/>
        <v>FALSE</v>
      </c>
      <c r="AM2521" s="10" t="str">
        <f t="shared" si="285"/>
        <v>FALSE</v>
      </c>
      <c r="AN2521" s="10" t="str">
        <f t="shared" si="285"/>
        <v>FALSE</v>
      </c>
      <c r="AO2521" s="10" t="str">
        <f t="shared" si="286"/>
        <v>FALSE</v>
      </c>
      <c r="AP2521" s="10" t="str">
        <f t="shared" si="286"/>
        <v>FALSE</v>
      </c>
      <c r="AQ2521" s="10" t="b">
        <f>IF(AND(I2521="TP",S2521&lt;=150),VLOOKUP(AF2521,TPCalibEq150!$AZ$2:$BB$55,3,),IF(AND(I2521="TDP",S2521&lt;=150),VLOOKUP(AF2521,TPCalibEq150!$AZ$2:$BB$55,3,)))</f>
        <v>0</v>
      </c>
      <c r="AR2521" s="10" t="b">
        <f>IF(AND(I2521="TP",S2521&lt;=300),VLOOKUP(AF2521,TPCalibEq300!$AZ$2:$BB$55,3,),IF(AND(I2521="TDP",S2521&lt;=300),VLOOKUP(AF2521,TPCalibEq300!$AZ$2:$BB$55,3,)))</f>
        <v>0</v>
      </c>
      <c r="AS2521" s="10" t="b">
        <f>IF(AND(I2521="TP",S2521&lt;=500),VLOOKUP(AF2521,TPCalibEq500!$AZ$2:$BB$56,3,),IF(AND(I2521="TDP",S2521&lt;=500),VLOOKUP(AF2521,TPCalibEq500!$AZ$2:$BB$56,3,)))</f>
        <v>0</v>
      </c>
      <c r="AT2521" s="10" t="b">
        <f>IF(AND(I2521="TN",S2521&lt;=2800),VLOOKUP(AF2521,TNCalibEq2500!$AZ$2:$BB$56,3,),IF(AND(I2521="TDN",S2521&lt;=2800),VLOOKUP(AF2521,TNCalibEq2500!$AZ$2:$BB$56,3,)))</f>
        <v>0</v>
      </c>
      <c r="AU2521" s="10" t="b">
        <f>IF(I2521="TP",VLOOKUP(AF2521,TPCalibEqFull!$AZ$2:$BB$56,3),IF(I2521="TDP",VLOOKUP(AF2521,TPCalibEqFull!$AZ$2:$BB$56,3),IF(I2521="TDN",VLOOKUP(AF2521,TNCalibEqFull!$AZ$1:$BB$56,3),IF(I2521="TN",VLOOKUP(AF2521,TNCalibEqFull!$AZ$1:$BB$56,3),FALSE))))</f>
        <v>0</v>
      </c>
      <c r="AV2521" s="10" t="str">
        <f t="shared" si="289"/>
        <v>0208 09:42:00-EFL-10-FIL-1-SW-UKN</v>
      </c>
    </row>
    <row r="2522" spans="1:48" s="10" customFormat="1" x14ac:dyDescent="0.55000000000000004">
      <c r="A2522" s="32">
        <v>44965</v>
      </c>
      <c r="B2522" s="33">
        <v>0.4069444444444445</v>
      </c>
      <c r="C2522" s="10" t="s">
        <v>287</v>
      </c>
      <c r="D2522" s="10">
        <v>20</v>
      </c>
      <c r="E2522" s="10" t="s">
        <v>911</v>
      </c>
      <c r="F2522" s="10">
        <v>1</v>
      </c>
      <c r="G2522" s="10" t="s">
        <v>231</v>
      </c>
      <c r="H2522" s="10" t="s">
        <v>322</v>
      </c>
      <c r="I2522" s="10" t="s">
        <v>209</v>
      </c>
      <c r="J2522" s="10">
        <v>106</v>
      </c>
      <c r="K2522" s="12">
        <v>44966</v>
      </c>
      <c r="L2522" s="33">
        <v>0.58886574074074072</v>
      </c>
      <c r="M2522" s="10">
        <v>1</v>
      </c>
      <c r="N2522" s="10" t="s">
        <v>169</v>
      </c>
      <c r="O2522" s="10">
        <v>4.7699999999999996</v>
      </c>
      <c r="P2522" s="10">
        <v>0.221</v>
      </c>
      <c r="Q2522" s="10">
        <v>588</v>
      </c>
      <c r="R2522" s="10" t="s">
        <v>77</v>
      </c>
      <c r="S2522" s="34">
        <f t="shared" si="284"/>
        <v>588</v>
      </c>
      <c r="T2522" s="10" t="s">
        <v>1176</v>
      </c>
      <c r="U2522" s="34" t="str">
        <f t="shared" si="287"/>
        <v/>
      </c>
      <c r="V2522" s="31" t="str">
        <f>IF(H2522="CHK",VLOOKUP(I2522,QCCHK,3,),IF(H2522="GUP",VLOOKUP(E2522,QCGUP,2,),IF(AND(H2522="ATP",OR(I2522="TN",I2522="TDN",I2522="TNO2-3",I2522="NO2-3")),VLOOKUP(E2522,QCREC_N,2,),IF(AND(H2522="NIC",OR(I2522="TN",I2522="TDN",I2522="TNO2-3",I2522="NO2-3")),VLOOKUP(E2522,QCNIC_N,2,),IF(AND(H2522="UREA",OR(I2522="TN",I2522="TDN",I2522="TNO2-3",I2522="NO2-3")),VLOOKUP(E2522,QCUREA_N,2,),IF(H2522="PER",VLOOKUP(I2522,QCPER,MATCH(E2522,QCACTUAL!$J$25:$AA$25,0),),IF(H2522="SPK",VLOOKUP(I2522,QCSPK,3,),IF(AND(H2522="ATP",OR(I2522="TP",I2522="TDP")),VLOOKUP(E2522,QCATP_P,2,),""))))))))</f>
        <v/>
      </c>
      <c r="W2522" s="31" t="str">
        <f t="shared" si="288"/>
        <v>TRUE</v>
      </c>
      <c r="X2522" s="31" t="str">
        <f t="shared" si="283"/>
        <v/>
      </c>
      <c r="Y2522" s="10" t="s">
        <v>1144</v>
      </c>
      <c r="AL2522" s="10" t="str">
        <f t="shared" si="285"/>
        <v>FALSE</v>
      </c>
      <c r="AM2522" s="10" t="str">
        <f t="shared" si="285"/>
        <v>FALSE</v>
      </c>
      <c r="AN2522" s="10" t="str">
        <f t="shared" si="285"/>
        <v>FALSE</v>
      </c>
      <c r="AO2522" s="10" t="str">
        <f t="shared" si="286"/>
        <v>FALSE</v>
      </c>
      <c r="AP2522" s="10" t="str">
        <f t="shared" si="286"/>
        <v>FALSE</v>
      </c>
      <c r="AQ2522" s="10" t="b">
        <f>IF(AND(I2522="TP",S2522&lt;=150),VLOOKUP(AF2522,TPCalibEq150!$AZ$2:$BB$55,3,),IF(AND(I2522="TDP",S2522&lt;=150),VLOOKUP(AF2522,TPCalibEq150!$AZ$2:$BB$55,3,)))</f>
        <v>0</v>
      </c>
      <c r="AR2522" s="10" t="b">
        <f>IF(AND(I2522="TP",S2522&lt;=300),VLOOKUP(AF2522,TPCalibEq300!$AZ$2:$BB$55,3,),IF(AND(I2522="TDP",S2522&lt;=300),VLOOKUP(AF2522,TPCalibEq300!$AZ$2:$BB$55,3,)))</f>
        <v>0</v>
      </c>
      <c r="AS2522" s="10" t="b">
        <f>IF(AND(I2522="TP",S2522&lt;=500),VLOOKUP(AF2522,TPCalibEq500!$AZ$2:$BB$56,3,),IF(AND(I2522="TDP",S2522&lt;=500),VLOOKUP(AF2522,TPCalibEq500!$AZ$2:$BB$56,3,)))</f>
        <v>0</v>
      </c>
      <c r="AT2522" s="10" t="b">
        <f>IF(AND(I2522="TN",S2522&lt;=2800),VLOOKUP(AF2522,TNCalibEq2500!$AZ$2:$BB$56,3,),IF(AND(I2522="TDN",S2522&lt;=2800),VLOOKUP(AF2522,TNCalibEq2500!$AZ$2:$BB$56,3,)))</f>
        <v>0</v>
      </c>
      <c r="AU2522" s="10" t="b">
        <f>IF(I2522="TP",VLOOKUP(AF2522,TPCalibEqFull!$AZ$2:$BB$56,3),IF(I2522="TDP",VLOOKUP(AF2522,TPCalibEqFull!$AZ$2:$BB$56,3),IF(I2522="TDN",VLOOKUP(AF2522,TNCalibEqFull!$AZ$1:$BB$56,3),IF(I2522="TN",VLOOKUP(AF2522,TNCalibEqFull!$AZ$1:$BB$56,3),FALSE))))</f>
        <v>0</v>
      </c>
      <c r="AV2522" s="10" t="str">
        <f t="shared" si="289"/>
        <v>0208 09:46:00-EFL-20-FIL-1-SW-UKN</v>
      </c>
    </row>
    <row r="2523" spans="1:48" s="10" customFormat="1" x14ac:dyDescent="0.55000000000000004">
      <c r="A2523" s="32">
        <v>44965</v>
      </c>
      <c r="B2523" s="33">
        <v>0.4069444444444445</v>
      </c>
      <c r="C2523" s="10" t="s">
        <v>287</v>
      </c>
      <c r="D2523" s="10">
        <v>20</v>
      </c>
      <c r="E2523" s="10" t="s">
        <v>911</v>
      </c>
      <c r="F2523" s="10">
        <v>2</v>
      </c>
      <c r="G2523" s="10" t="s">
        <v>231</v>
      </c>
      <c r="H2523" s="10" t="s">
        <v>322</v>
      </c>
      <c r="I2523" s="10" t="s">
        <v>209</v>
      </c>
      <c r="J2523" s="10">
        <v>107</v>
      </c>
      <c r="K2523" s="12">
        <v>44966</v>
      </c>
      <c r="L2523" s="33">
        <v>0.58968750000000003</v>
      </c>
      <c r="M2523" s="10">
        <v>1</v>
      </c>
      <c r="N2523" s="10" t="s">
        <v>169</v>
      </c>
      <c r="O2523" s="10">
        <v>4.79</v>
      </c>
      <c r="P2523" s="10">
        <v>0.223</v>
      </c>
      <c r="Q2523" s="10">
        <v>591</v>
      </c>
      <c r="R2523" s="10" t="s">
        <v>77</v>
      </c>
      <c r="S2523" s="34">
        <f t="shared" si="284"/>
        <v>591</v>
      </c>
      <c r="T2523" s="10" t="s">
        <v>1176</v>
      </c>
      <c r="U2523" s="34" t="str">
        <f t="shared" si="287"/>
        <v/>
      </c>
      <c r="V2523" s="31" t="str">
        <f>IF(H2523="CHK",VLOOKUP(I2523,QCCHK,3,),IF(H2523="GUP",VLOOKUP(E2523,QCGUP,2,),IF(AND(H2523="ATP",OR(I2523="TN",I2523="TDN",I2523="TNO2-3",I2523="NO2-3")),VLOOKUP(E2523,QCREC_N,2,),IF(AND(H2523="NIC",OR(I2523="TN",I2523="TDN",I2523="TNO2-3",I2523="NO2-3")),VLOOKUP(E2523,QCNIC_N,2,),IF(AND(H2523="UREA",OR(I2523="TN",I2523="TDN",I2523="TNO2-3",I2523="NO2-3")),VLOOKUP(E2523,QCUREA_N,2,),IF(H2523="PER",VLOOKUP(I2523,QCPER,MATCH(E2523,QCACTUAL!$J$25:$AA$25,0),),IF(H2523="SPK",VLOOKUP(I2523,QCSPK,3,),IF(AND(H2523="ATP",OR(I2523="TP",I2523="TDP")),VLOOKUP(E2523,QCATP_P,2,),""))))))))</f>
        <v/>
      </c>
      <c r="W2523" s="31" t="str">
        <f t="shared" si="288"/>
        <v>TRUE</v>
      </c>
      <c r="X2523" s="31" t="str">
        <f t="shared" si="283"/>
        <v/>
      </c>
      <c r="Y2523" s="10" t="s">
        <v>1144</v>
      </c>
      <c r="AL2523" s="10" t="str">
        <f t="shared" si="285"/>
        <v>FALSE</v>
      </c>
      <c r="AM2523" s="10" t="str">
        <f t="shared" si="285"/>
        <v>FALSE</v>
      </c>
      <c r="AN2523" s="10" t="str">
        <f t="shared" si="285"/>
        <v>FALSE</v>
      </c>
      <c r="AO2523" s="10" t="str">
        <f t="shared" si="286"/>
        <v>FALSE</v>
      </c>
      <c r="AP2523" s="10" t="str">
        <f t="shared" si="286"/>
        <v>FALSE</v>
      </c>
      <c r="AQ2523" s="10" t="b">
        <f>IF(AND(I2523="TP",S2523&lt;=150),VLOOKUP(AF2523,TPCalibEq150!$AZ$2:$BB$55,3,),IF(AND(I2523="TDP",S2523&lt;=150),VLOOKUP(AF2523,TPCalibEq150!$AZ$2:$BB$55,3,)))</f>
        <v>0</v>
      </c>
      <c r="AR2523" s="10" t="b">
        <f>IF(AND(I2523="TP",S2523&lt;=300),VLOOKUP(AF2523,TPCalibEq300!$AZ$2:$BB$55,3,),IF(AND(I2523="TDP",S2523&lt;=300),VLOOKUP(AF2523,TPCalibEq300!$AZ$2:$BB$55,3,)))</f>
        <v>0</v>
      </c>
      <c r="AS2523" s="10" t="b">
        <f>IF(AND(I2523="TP",S2523&lt;=500),VLOOKUP(AF2523,TPCalibEq500!$AZ$2:$BB$56,3,),IF(AND(I2523="TDP",S2523&lt;=500),VLOOKUP(AF2523,TPCalibEq500!$AZ$2:$BB$56,3,)))</f>
        <v>0</v>
      </c>
      <c r="AT2523" s="10" t="b">
        <f>IF(AND(I2523="TN",S2523&lt;=2800),VLOOKUP(AF2523,TNCalibEq2500!$AZ$2:$BB$56,3,),IF(AND(I2523="TDN",S2523&lt;=2800),VLOOKUP(AF2523,TNCalibEq2500!$AZ$2:$BB$56,3,)))</f>
        <v>0</v>
      </c>
      <c r="AU2523" s="10" t="b">
        <f>IF(I2523="TP",VLOOKUP(AF2523,TPCalibEqFull!$AZ$2:$BB$56,3),IF(I2523="TDP",VLOOKUP(AF2523,TPCalibEqFull!$AZ$2:$BB$56,3),IF(I2523="TDN",VLOOKUP(AF2523,TNCalibEqFull!$AZ$1:$BB$56,3),IF(I2523="TN",VLOOKUP(AF2523,TNCalibEqFull!$AZ$1:$BB$56,3),FALSE))))</f>
        <v>0</v>
      </c>
      <c r="AV2523" s="10" t="str">
        <f t="shared" si="289"/>
        <v>0208 09:46:00-EFL-20-FIL-2-SW-UKN</v>
      </c>
    </row>
    <row r="2524" spans="1:48" s="10" customFormat="1" x14ac:dyDescent="0.55000000000000004">
      <c r="A2524" s="32">
        <v>44965</v>
      </c>
      <c r="B2524" s="33">
        <v>0.41111111111111115</v>
      </c>
      <c r="C2524" s="10" t="s">
        <v>287</v>
      </c>
      <c r="D2524" s="10">
        <v>48</v>
      </c>
      <c r="E2524" s="10" t="s">
        <v>911</v>
      </c>
      <c r="F2524" s="10">
        <v>1</v>
      </c>
      <c r="G2524" s="10" t="s">
        <v>231</v>
      </c>
      <c r="H2524" s="10" t="s">
        <v>322</v>
      </c>
      <c r="I2524" s="10" t="s">
        <v>209</v>
      </c>
      <c r="J2524" s="10">
        <v>108</v>
      </c>
      <c r="K2524" s="12">
        <v>44966</v>
      </c>
      <c r="L2524" s="33">
        <v>0.59052083333333327</v>
      </c>
      <c r="M2524" s="10">
        <v>1</v>
      </c>
      <c r="N2524" s="10" t="s">
        <v>169</v>
      </c>
      <c r="O2524" s="10">
        <v>4.9000000000000004</v>
      </c>
      <c r="P2524" s="10">
        <v>0.22700000000000001</v>
      </c>
      <c r="Q2524" s="10">
        <v>605</v>
      </c>
      <c r="R2524" s="10" t="s">
        <v>77</v>
      </c>
      <c r="S2524" s="34">
        <f t="shared" si="284"/>
        <v>605</v>
      </c>
      <c r="T2524" s="10" t="s">
        <v>1176</v>
      </c>
      <c r="U2524" s="34" t="str">
        <f t="shared" si="287"/>
        <v/>
      </c>
      <c r="V2524" s="31" t="str">
        <f>IF(H2524="CHK",VLOOKUP(I2524,QCCHK,3,),IF(H2524="GUP",VLOOKUP(E2524,QCGUP,2,),IF(AND(H2524="ATP",OR(I2524="TN",I2524="TDN",I2524="TNO2-3",I2524="NO2-3")),VLOOKUP(E2524,QCREC_N,2,),IF(AND(H2524="NIC",OR(I2524="TN",I2524="TDN",I2524="TNO2-3",I2524="NO2-3")),VLOOKUP(E2524,QCNIC_N,2,),IF(AND(H2524="UREA",OR(I2524="TN",I2524="TDN",I2524="TNO2-3",I2524="NO2-3")),VLOOKUP(E2524,QCUREA_N,2,),IF(H2524="PER",VLOOKUP(I2524,QCPER,MATCH(E2524,QCACTUAL!$J$25:$AA$25,0),),IF(H2524="SPK",VLOOKUP(I2524,QCSPK,3,),IF(AND(H2524="ATP",OR(I2524="TP",I2524="TDP")),VLOOKUP(E2524,QCATP_P,2,),""))))))))</f>
        <v/>
      </c>
      <c r="W2524" s="31" t="str">
        <f t="shared" si="288"/>
        <v>TRUE</v>
      </c>
      <c r="X2524" s="31" t="str">
        <f t="shared" si="283"/>
        <v/>
      </c>
      <c r="Y2524" s="10" t="s">
        <v>1144</v>
      </c>
      <c r="AL2524" s="10" t="str">
        <f t="shared" si="285"/>
        <v>FALSE</v>
      </c>
      <c r="AM2524" s="10" t="str">
        <f t="shared" si="285"/>
        <v>FALSE</v>
      </c>
      <c r="AN2524" s="10" t="str">
        <f t="shared" si="285"/>
        <v>FALSE</v>
      </c>
      <c r="AO2524" s="10" t="str">
        <f t="shared" si="286"/>
        <v>FALSE</v>
      </c>
      <c r="AP2524" s="10" t="str">
        <f t="shared" si="286"/>
        <v>FALSE</v>
      </c>
      <c r="AQ2524" s="10" t="b">
        <f>IF(AND(I2524="TP",S2524&lt;=150),VLOOKUP(AF2524,TPCalibEq150!$AZ$2:$BB$55,3,),IF(AND(I2524="TDP",S2524&lt;=150),VLOOKUP(AF2524,TPCalibEq150!$AZ$2:$BB$55,3,)))</f>
        <v>0</v>
      </c>
      <c r="AR2524" s="10" t="b">
        <f>IF(AND(I2524="TP",S2524&lt;=300),VLOOKUP(AF2524,TPCalibEq300!$AZ$2:$BB$55,3,),IF(AND(I2524="TDP",S2524&lt;=300),VLOOKUP(AF2524,TPCalibEq300!$AZ$2:$BB$55,3,)))</f>
        <v>0</v>
      </c>
      <c r="AS2524" s="10" t="b">
        <f>IF(AND(I2524="TP",S2524&lt;=500),VLOOKUP(AF2524,TPCalibEq500!$AZ$2:$BB$56,3,),IF(AND(I2524="TDP",S2524&lt;=500),VLOOKUP(AF2524,TPCalibEq500!$AZ$2:$BB$56,3,)))</f>
        <v>0</v>
      </c>
      <c r="AT2524" s="10" t="b">
        <f>IF(AND(I2524="TN",S2524&lt;=2800),VLOOKUP(AF2524,TNCalibEq2500!$AZ$2:$BB$56,3,),IF(AND(I2524="TDN",S2524&lt;=2800),VLOOKUP(AF2524,TNCalibEq2500!$AZ$2:$BB$56,3,)))</f>
        <v>0</v>
      </c>
      <c r="AU2524" s="10" t="b">
        <f>IF(I2524="TP",VLOOKUP(AF2524,TPCalibEqFull!$AZ$2:$BB$56,3),IF(I2524="TDP",VLOOKUP(AF2524,TPCalibEqFull!$AZ$2:$BB$56,3),IF(I2524="TDN",VLOOKUP(AF2524,TNCalibEqFull!$AZ$1:$BB$56,3),IF(I2524="TN",VLOOKUP(AF2524,TNCalibEqFull!$AZ$1:$BB$56,3),FALSE))))</f>
        <v>0</v>
      </c>
      <c r="AV2524" s="10" t="str">
        <f t="shared" si="289"/>
        <v>0208 09:52:00-EFL-48-FIL-1-SW-UKN</v>
      </c>
    </row>
    <row r="2525" spans="1:48" s="10" customFormat="1" x14ac:dyDescent="0.55000000000000004">
      <c r="A2525" s="32">
        <v>44965</v>
      </c>
      <c r="B2525" s="33">
        <v>0.41111111111111115</v>
      </c>
      <c r="C2525" s="10" t="s">
        <v>287</v>
      </c>
      <c r="D2525" s="10">
        <v>48</v>
      </c>
      <c r="E2525" s="10" t="s">
        <v>911</v>
      </c>
      <c r="F2525" s="10">
        <v>1</v>
      </c>
      <c r="G2525" s="10" t="s">
        <v>231</v>
      </c>
      <c r="H2525" s="10" t="s">
        <v>233</v>
      </c>
      <c r="I2525" s="10" t="s">
        <v>209</v>
      </c>
      <c r="J2525" s="10">
        <v>108</v>
      </c>
      <c r="K2525" s="12">
        <v>44966</v>
      </c>
      <c r="L2525" s="33">
        <v>0.59134259259259259</v>
      </c>
      <c r="M2525" s="10">
        <v>1</v>
      </c>
      <c r="N2525" s="10" t="s">
        <v>169</v>
      </c>
      <c r="O2525" s="10">
        <v>4.8600000000000003</v>
      </c>
      <c r="P2525" s="10">
        <v>0.22500000000000001</v>
      </c>
      <c r="Q2525" s="10">
        <v>599</v>
      </c>
      <c r="R2525" s="10" t="s">
        <v>77</v>
      </c>
      <c r="S2525" s="34">
        <f t="shared" si="284"/>
        <v>599</v>
      </c>
      <c r="T2525" s="10" t="s">
        <v>1176</v>
      </c>
      <c r="U2525" s="34">
        <f t="shared" si="287"/>
        <v>0.99667774086378735</v>
      </c>
      <c r="V2525" s="31" t="str">
        <f>IF(H2525="CHK",VLOOKUP(I2525,QCCHK,3,),IF(H2525="GUP",VLOOKUP(E2525,QCGUP,2,),IF(AND(H2525="ATP",OR(I2525="TN",I2525="TDN",I2525="TNO2-3",I2525="NO2-3")),VLOOKUP(E2525,QCREC_N,2,),IF(AND(H2525="NIC",OR(I2525="TN",I2525="TDN",I2525="TNO2-3",I2525="NO2-3")),VLOOKUP(E2525,QCNIC_N,2,),IF(AND(H2525="UREA",OR(I2525="TN",I2525="TDN",I2525="TNO2-3",I2525="NO2-3")),VLOOKUP(E2525,QCUREA_N,2,),IF(H2525="PER",VLOOKUP(I2525,QCPER,MATCH(E2525,QCACTUAL!$J$25:$AA$25,0),),IF(H2525="SPK",VLOOKUP(I2525,QCSPK,3,),IF(AND(H2525="ATP",OR(I2525="TP",I2525="TDP")),VLOOKUP(E2525,QCATP_P,2,),""))))))))</f>
        <v/>
      </c>
      <c r="W2525" s="31" t="str">
        <f t="shared" si="288"/>
        <v>TRUE</v>
      </c>
      <c r="X2525" s="31" t="str">
        <f t="shared" si="283"/>
        <v>((ABS(rep1-rep2))/((rep1+rep2)/2)*100</v>
      </c>
      <c r="Y2525" s="10" t="s">
        <v>1144</v>
      </c>
      <c r="AL2525" s="10" t="str">
        <f t="shared" si="285"/>
        <v>FALSE</v>
      </c>
      <c r="AM2525" s="10" t="str">
        <f t="shared" si="285"/>
        <v>FALSE</v>
      </c>
      <c r="AN2525" s="10" t="str">
        <f t="shared" si="285"/>
        <v>FALSE</v>
      </c>
      <c r="AO2525" s="10" t="str">
        <f t="shared" si="286"/>
        <v>FALSE</v>
      </c>
      <c r="AP2525" s="10" t="str">
        <f t="shared" si="286"/>
        <v>FALSE</v>
      </c>
      <c r="AQ2525" s="10" t="b">
        <f>IF(AND(I2525="TP",S2525&lt;=150),VLOOKUP(AF2525,TPCalibEq150!$AZ$2:$BB$55,3,),IF(AND(I2525="TDP",S2525&lt;=150),VLOOKUP(AF2525,TPCalibEq150!$AZ$2:$BB$55,3,)))</f>
        <v>0</v>
      </c>
      <c r="AR2525" s="10" t="b">
        <f>IF(AND(I2525="TP",S2525&lt;=300),VLOOKUP(AF2525,TPCalibEq300!$AZ$2:$BB$55,3,),IF(AND(I2525="TDP",S2525&lt;=300),VLOOKUP(AF2525,TPCalibEq300!$AZ$2:$BB$55,3,)))</f>
        <v>0</v>
      </c>
      <c r="AS2525" s="10" t="b">
        <f>IF(AND(I2525="TP",S2525&lt;=500),VLOOKUP(AF2525,TPCalibEq500!$AZ$2:$BB$56,3,),IF(AND(I2525="TDP",S2525&lt;=500),VLOOKUP(AF2525,TPCalibEq500!$AZ$2:$BB$56,3,)))</f>
        <v>0</v>
      </c>
      <c r="AT2525" s="10" t="b">
        <f>IF(AND(I2525="TN",S2525&lt;=2800),VLOOKUP(AF2525,TNCalibEq2500!$AZ$2:$BB$56,3,),IF(AND(I2525="TDN",S2525&lt;=2800),VLOOKUP(AF2525,TNCalibEq2500!$AZ$2:$BB$56,3,)))</f>
        <v>0</v>
      </c>
      <c r="AU2525" s="10" t="b">
        <f>IF(I2525="TP",VLOOKUP(AF2525,TPCalibEqFull!$AZ$2:$BB$56,3),IF(I2525="TDP",VLOOKUP(AF2525,TPCalibEqFull!$AZ$2:$BB$56,3),IF(I2525="TDN",VLOOKUP(AF2525,TNCalibEqFull!$AZ$1:$BB$56,3),IF(I2525="TN",VLOOKUP(AF2525,TNCalibEqFull!$AZ$1:$BB$56,3),FALSE))))</f>
        <v>0</v>
      </c>
      <c r="AV2525" s="10" t="str">
        <f t="shared" si="289"/>
        <v>0208 09:52:00-EFL-48-FIL-1-SW-DUP</v>
      </c>
    </row>
    <row r="2526" spans="1:48" s="10" customFormat="1" x14ac:dyDescent="0.55000000000000004">
      <c r="A2526" s="32">
        <v>44965</v>
      </c>
      <c r="B2526" s="33">
        <v>0.41111111111111115</v>
      </c>
      <c r="C2526" s="10" t="s">
        <v>287</v>
      </c>
      <c r="D2526" s="10">
        <v>48</v>
      </c>
      <c r="E2526" s="10" t="s">
        <v>911</v>
      </c>
      <c r="F2526" s="10">
        <v>1</v>
      </c>
      <c r="G2526" s="10" t="s">
        <v>231</v>
      </c>
      <c r="H2526" s="10" t="s">
        <v>314</v>
      </c>
      <c r="I2526" s="10" t="s">
        <v>209</v>
      </c>
      <c r="J2526" s="10">
        <v>131</v>
      </c>
      <c r="K2526" s="12">
        <v>44966</v>
      </c>
      <c r="L2526" s="33">
        <v>0.5921643518518519</v>
      </c>
      <c r="M2526" s="10">
        <v>1</v>
      </c>
      <c r="N2526" s="10" t="s">
        <v>169</v>
      </c>
      <c r="O2526" s="10">
        <v>9.85</v>
      </c>
      <c r="P2526" s="10">
        <v>0.45700000000000002</v>
      </c>
      <c r="Q2526" s="10">
        <v>1220</v>
      </c>
      <c r="R2526" s="10" t="s">
        <v>77</v>
      </c>
      <c r="S2526" s="34">
        <f t="shared" si="284"/>
        <v>1220</v>
      </c>
      <c r="T2526" s="10" t="s">
        <v>1176</v>
      </c>
      <c r="U2526" s="34">
        <f t="shared" si="287"/>
        <v>99.36</v>
      </c>
      <c r="V2526" s="31">
        <f>IF(H2526="CHK",VLOOKUP(I2526,QCCHK,3,),IF(H2526="GUP",VLOOKUP(E2526,QCGUP,2,),IF(AND(H2526="ATP",OR(I2526="TN",I2526="TDN",I2526="TNO2-3",I2526="NO2-3")),VLOOKUP(E2526,QCREC_N,2,),IF(AND(H2526="NIC",OR(I2526="TN",I2526="TDN",I2526="TNO2-3",I2526="NO2-3")),VLOOKUP(E2526,QCNIC_N,2,),IF(AND(H2526="UREA",OR(I2526="TN",I2526="TDN",I2526="TNO2-3",I2526="NO2-3")),VLOOKUP(E2526,QCUREA_N,2,),IF(H2526="PER",VLOOKUP(I2526,QCPER,MATCH(E2526,QCACTUAL!$J$25:$AA$25,0),),IF(H2526="SPK",VLOOKUP(I2526,QCSPK,3,),IF(AND(H2526="ATP",OR(I2526="TP",I2526="TDP")),VLOOKUP(E2526,QCATP_P,2,),""))))))))</f>
        <v>625</v>
      </c>
      <c r="W2526" s="31" t="str">
        <f t="shared" si="288"/>
        <v>TRUE</v>
      </c>
      <c r="X2526" s="31" t="str">
        <f t="shared" si="283"/>
        <v>([spikedunkn]-[unkn])/[spike]*100</v>
      </c>
      <c r="Y2526" s="10" t="s">
        <v>1144</v>
      </c>
      <c r="AL2526" s="10" t="str">
        <f t="shared" si="285"/>
        <v>FALSE</v>
      </c>
      <c r="AM2526" s="10" t="str">
        <f t="shared" si="285"/>
        <v>FALSE</v>
      </c>
      <c r="AN2526" s="10" t="str">
        <f t="shared" si="285"/>
        <v>FALSE</v>
      </c>
      <c r="AO2526" s="10" t="str">
        <f t="shared" si="286"/>
        <v>FALSE</v>
      </c>
      <c r="AP2526" s="10" t="str">
        <f t="shared" si="286"/>
        <v>FALSE</v>
      </c>
      <c r="AQ2526" s="10" t="b">
        <f>IF(AND(I2526="TP",S2526&lt;=150),VLOOKUP(AF2526,TPCalibEq150!$AZ$2:$BB$55,3,),IF(AND(I2526="TDP",S2526&lt;=150),VLOOKUP(AF2526,TPCalibEq150!$AZ$2:$BB$55,3,)))</f>
        <v>0</v>
      </c>
      <c r="AR2526" s="10" t="b">
        <f>IF(AND(I2526="TP",S2526&lt;=300),VLOOKUP(AF2526,TPCalibEq300!$AZ$2:$BB$55,3,),IF(AND(I2526="TDP",S2526&lt;=300),VLOOKUP(AF2526,TPCalibEq300!$AZ$2:$BB$55,3,)))</f>
        <v>0</v>
      </c>
      <c r="AS2526" s="10" t="b">
        <f>IF(AND(I2526="TP",S2526&lt;=500),VLOOKUP(AF2526,TPCalibEq500!$AZ$2:$BB$56,3,),IF(AND(I2526="TDP",S2526&lt;=500),VLOOKUP(AF2526,TPCalibEq500!$AZ$2:$BB$56,3,)))</f>
        <v>0</v>
      </c>
      <c r="AT2526" s="10" t="b">
        <f>IF(AND(I2526="TN",S2526&lt;=2800),VLOOKUP(AF2526,TNCalibEq2500!$AZ$2:$BB$56,3,),IF(AND(I2526="TDN",S2526&lt;=2800),VLOOKUP(AF2526,TNCalibEq2500!$AZ$2:$BB$56,3,)))</f>
        <v>0</v>
      </c>
      <c r="AU2526" s="10" t="b">
        <f>IF(I2526="TP",VLOOKUP(AF2526,TPCalibEqFull!$AZ$2:$BB$56,3),IF(I2526="TDP",VLOOKUP(AF2526,TPCalibEqFull!$AZ$2:$BB$56,3),IF(I2526="TDN",VLOOKUP(AF2526,TNCalibEqFull!$AZ$1:$BB$56,3),IF(I2526="TN",VLOOKUP(AF2526,TNCalibEqFull!$AZ$1:$BB$56,3),FALSE))))</f>
        <v>0</v>
      </c>
      <c r="AV2526" s="10" t="str">
        <f t="shared" si="289"/>
        <v>0208 09:52:00-EFL-48-FIL-1-SW-SPK</v>
      </c>
    </row>
    <row r="2527" spans="1:48" s="10" customFormat="1" x14ac:dyDescent="0.55000000000000004">
      <c r="A2527" s="32">
        <v>44966</v>
      </c>
      <c r="B2527" s="33">
        <v>0.375</v>
      </c>
      <c r="C2527" s="10" t="s">
        <v>70</v>
      </c>
      <c r="D2527" s="10" t="s">
        <v>71</v>
      </c>
      <c r="E2527" s="10" t="s">
        <v>901</v>
      </c>
      <c r="F2527" s="10">
        <v>1</v>
      </c>
      <c r="G2527" s="10" t="s">
        <v>73</v>
      </c>
      <c r="H2527" s="10" t="s">
        <v>207</v>
      </c>
      <c r="I2527" s="10" t="s">
        <v>256</v>
      </c>
      <c r="J2527" s="10">
        <v>199</v>
      </c>
      <c r="K2527" s="12">
        <v>44966</v>
      </c>
      <c r="L2527" s="33">
        <v>0.5929861111111111</v>
      </c>
      <c r="M2527" s="10">
        <v>1</v>
      </c>
      <c r="N2527" s="10" t="s">
        <v>169</v>
      </c>
      <c r="O2527" s="10">
        <v>2.13</v>
      </c>
      <c r="P2527" s="10">
        <v>0.10100000000000001</v>
      </c>
      <c r="Q2527" s="10">
        <v>262</v>
      </c>
      <c r="R2527" s="10" t="s">
        <v>77</v>
      </c>
      <c r="S2527" s="34">
        <f t="shared" si="284"/>
        <v>262</v>
      </c>
      <c r="T2527" s="10" t="s">
        <v>1176</v>
      </c>
      <c r="U2527" s="34">
        <f t="shared" si="287"/>
        <v>87.333333333333329</v>
      </c>
      <c r="V2527" s="31">
        <f>IF(H2527="CHK",VLOOKUP(I2527,QCCHK,3,),IF(H2527="GUP",VLOOKUP(E2527,QCGUP,2,),IF(AND(H2527="ATP",OR(I2527="TN",I2527="TDN",I2527="TNO2-3",I2527="NO2-3")),VLOOKUP(E2527,QCREC_N,2,),IF(AND(H2527="NIC",OR(I2527="TN",I2527="TDN",I2527="TNO2-3",I2527="NO2-3")),VLOOKUP(E2527,QCNIC_N,2,),IF(AND(H2527="UREA",OR(I2527="TN",I2527="TDN",I2527="TNO2-3",I2527="NO2-3")),VLOOKUP(E2527,QCUREA_N,2,),IF(H2527="PER",VLOOKUP(I2527,QCPER,MATCH(E2527,QCACTUAL!$J$25:$AA$25,0),),IF(H2527="SPK",VLOOKUP(I2527,QCSPK,3,),IF(AND(H2527="ATP",OR(I2527="TP",I2527="TDP")),VLOOKUP(E2527,QCATP_P,2,),""))))))))</f>
        <v>300</v>
      </c>
      <c r="W2527" s="31" t="str">
        <f t="shared" si="288"/>
        <v>TRUE</v>
      </c>
      <c r="X2527" s="31" t="str">
        <f t="shared" si="283"/>
        <v>[chk]/[actual]*100</v>
      </c>
      <c r="Y2527" s="10" t="s">
        <v>1144</v>
      </c>
      <c r="AL2527" s="10" t="str">
        <f t="shared" si="285"/>
        <v>FALSE</v>
      </c>
      <c r="AM2527" s="10" t="str">
        <f t="shared" si="285"/>
        <v>FALSE</v>
      </c>
      <c r="AN2527" s="10" t="str">
        <f t="shared" si="285"/>
        <v>FALSE</v>
      </c>
      <c r="AO2527" s="10" t="str">
        <f t="shared" si="286"/>
        <v>FALSE</v>
      </c>
      <c r="AP2527" s="10" t="str">
        <f t="shared" si="286"/>
        <v>FALSE</v>
      </c>
      <c r="AQ2527" s="10" t="b">
        <f>IF(AND(I2527="TP",S2527&lt;=150),VLOOKUP(AF2527,TPCalibEq150!$AZ$2:$BB$55,3,),IF(AND(I2527="TDP",S2527&lt;=150),VLOOKUP(AF2527,TPCalibEq150!$AZ$2:$BB$55,3,)))</f>
        <v>0</v>
      </c>
      <c r="AR2527" s="10" t="b">
        <f>IF(AND(I2527="TP",S2527&lt;=300),VLOOKUP(AF2527,TPCalibEq300!$AZ$2:$BB$55,3,),IF(AND(I2527="TDP",S2527&lt;=300),VLOOKUP(AF2527,TPCalibEq300!$AZ$2:$BB$55,3,)))</f>
        <v>0</v>
      </c>
      <c r="AS2527" s="10" t="b">
        <f>IF(AND(I2527="TP",S2527&lt;=500),VLOOKUP(AF2527,TPCalibEq500!$AZ$2:$BB$56,3,),IF(AND(I2527="TDP",S2527&lt;=500),VLOOKUP(AF2527,TPCalibEq500!$AZ$2:$BB$56,3,)))</f>
        <v>0</v>
      </c>
      <c r="AT2527" s="10" t="b">
        <f>IF(AND(I2527="TN",S2527&lt;=2800),VLOOKUP(AF2527,TNCalibEq2500!$AZ$2:$BB$56,3,),IF(AND(I2527="TDN",S2527&lt;=2800),VLOOKUP(AF2527,TNCalibEq2500!$AZ$2:$BB$56,3,)))</f>
        <v>0</v>
      </c>
      <c r="AU2527" s="10" t="b">
        <f>IF(I2527="TP",VLOOKUP(AF2527,TPCalibEqFull!$AZ$2:$BB$56,3),IF(I2527="TDP",VLOOKUP(AF2527,TPCalibEqFull!$AZ$2:$BB$56,3),IF(I2527="TDN",VLOOKUP(AF2527,TNCalibEqFull!$AZ$1:$BB$56,3),IF(I2527="TN",VLOOKUP(AF2527,TNCalibEqFull!$AZ$1:$BB$56,3),FALSE))))</f>
        <v>0</v>
      </c>
      <c r="AV2527" s="10" t="str">
        <f t="shared" si="289"/>
        <v>0209 09:00:00-QAC-STD-D-1-DI-CHK</v>
      </c>
    </row>
    <row r="2528" spans="1:48" s="10" customFormat="1" x14ac:dyDescent="0.55000000000000004">
      <c r="A2528" s="32">
        <v>44965</v>
      </c>
      <c r="B2528" s="33">
        <v>0.37777777777777777</v>
      </c>
      <c r="C2528" s="10" t="s">
        <v>428</v>
      </c>
      <c r="D2528" s="10">
        <v>0</v>
      </c>
      <c r="E2528" s="10" t="s">
        <v>911</v>
      </c>
      <c r="F2528" s="10">
        <v>1</v>
      </c>
      <c r="G2528" s="10" t="s">
        <v>231</v>
      </c>
      <c r="H2528" s="10" t="s">
        <v>322</v>
      </c>
      <c r="I2528" s="10" t="s">
        <v>209</v>
      </c>
      <c r="J2528" s="10">
        <v>109</v>
      </c>
      <c r="K2528" s="12">
        <v>44966</v>
      </c>
      <c r="L2528" s="33">
        <v>0.59380787037037031</v>
      </c>
      <c r="M2528" s="10">
        <v>1</v>
      </c>
      <c r="N2528" s="10" t="s">
        <v>169</v>
      </c>
      <c r="O2528" s="10">
        <v>4.78</v>
      </c>
      <c r="P2528" s="10">
        <v>0.222</v>
      </c>
      <c r="Q2528" s="10">
        <v>590</v>
      </c>
      <c r="R2528" s="10" t="s">
        <v>77</v>
      </c>
      <c r="S2528" s="34">
        <f t="shared" si="284"/>
        <v>590</v>
      </c>
      <c r="T2528" s="10" t="s">
        <v>1176</v>
      </c>
      <c r="U2528" s="34" t="str">
        <f t="shared" si="287"/>
        <v/>
      </c>
      <c r="V2528" s="31" t="str">
        <f>IF(H2528="CHK",VLOOKUP(I2528,QCCHK,3,),IF(H2528="GUP",VLOOKUP(E2528,QCGUP,2,),IF(AND(H2528="ATP",OR(I2528="TN",I2528="TDN",I2528="TNO2-3",I2528="NO2-3")),VLOOKUP(E2528,QCREC_N,2,),IF(AND(H2528="NIC",OR(I2528="TN",I2528="TDN",I2528="TNO2-3",I2528="NO2-3")),VLOOKUP(E2528,QCNIC_N,2,),IF(AND(H2528="UREA",OR(I2528="TN",I2528="TDN",I2528="TNO2-3",I2528="NO2-3")),VLOOKUP(E2528,QCUREA_N,2,),IF(H2528="PER",VLOOKUP(I2528,QCPER,MATCH(E2528,QCACTUAL!$J$25:$AA$25,0),),IF(H2528="SPK",VLOOKUP(I2528,QCSPK,3,),IF(AND(H2528="ATP",OR(I2528="TP",I2528="TDP")),VLOOKUP(E2528,QCATP_P,2,),""))))))))</f>
        <v/>
      </c>
      <c r="W2528" s="31" t="str">
        <f t="shared" si="288"/>
        <v>TRUE</v>
      </c>
      <c r="X2528" s="31" t="str">
        <f t="shared" si="283"/>
        <v/>
      </c>
      <c r="Y2528" s="10" t="s">
        <v>1144</v>
      </c>
      <c r="AL2528" s="10" t="str">
        <f t="shared" si="285"/>
        <v>FALSE</v>
      </c>
      <c r="AM2528" s="10" t="str">
        <f t="shared" si="285"/>
        <v>FALSE</v>
      </c>
      <c r="AN2528" s="10" t="str">
        <f t="shared" si="285"/>
        <v>FALSE</v>
      </c>
      <c r="AO2528" s="10" t="str">
        <f t="shared" si="286"/>
        <v>FALSE</v>
      </c>
      <c r="AP2528" s="10" t="str">
        <f t="shared" si="286"/>
        <v>FALSE</v>
      </c>
      <c r="AQ2528" s="10" t="b">
        <f>IF(AND(I2528="TP",S2528&lt;=150),VLOOKUP(AF2528,TPCalibEq150!$AZ$2:$BB$55,3,),IF(AND(I2528="TDP",S2528&lt;=150),VLOOKUP(AF2528,TPCalibEq150!$AZ$2:$BB$55,3,)))</f>
        <v>0</v>
      </c>
      <c r="AR2528" s="10" t="b">
        <f>IF(AND(I2528="TP",S2528&lt;=300),VLOOKUP(AF2528,TPCalibEq300!$AZ$2:$BB$55,3,),IF(AND(I2528="TDP",S2528&lt;=300),VLOOKUP(AF2528,TPCalibEq300!$AZ$2:$BB$55,3,)))</f>
        <v>0</v>
      </c>
      <c r="AS2528" s="10" t="b">
        <f>IF(AND(I2528="TP",S2528&lt;=500),VLOOKUP(AF2528,TPCalibEq500!$AZ$2:$BB$56,3,),IF(AND(I2528="TDP",S2528&lt;=500),VLOOKUP(AF2528,TPCalibEq500!$AZ$2:$BB$56,3,)))</f>
        <v>0</v>
      </c>
      <c r="AT2528" s="10" t="b">
        <f>IF(AND(I2528="TN",S2528&lt;=2800),VLOOKUP(AF2528,TNCalibEq2500!$AZ$2:$BB$56,3,),IF(AND(I2528="TDN",S2528&lt;=2800),VLOOKUP(AF2528,TNCalibEq2500!$AZ$2:$BB$56,3,)))</f>
        <v>0</v>
      </c>
      <c r="AU2528" s="10" t="b">
        <f>IF(I2528="TP",VLOOKUP(AF2528,TPCalibEqFull!$AZ$2:$BB$56,3),IF(I2528="TDP",VLOOKUP(AF2528,TPCalibEqFull!$AZ$2:$BB$56,3),IF(I2528="TDN",VLOOKUP(AF2528,TNCalibEqFull!$AZ$1:$BB$56,3),IF(I2528="TN",VLOOKUP(AF2528,TNCalibEqFull!$AZ$1:$BB$56,3),FALSE))))</f>
        <v>0</v>
      </c>
      <c r="AV2528" s="10" t="str">
        <f t="shared" si="289"/>
        <v>0208 09:04:00-EOF-0-FIL-1-SW-UKN</v>
      </c>
    </row>
    <row r="2529" spans="1:48" s="10" customFormat="1" x14ac:dyDescent="0.55000000000000004">
      <c r="A2529" s="32">
        <v>44965</v>
      </c>
      <c r="B2529" s="33">
        <v>0.37986111111111115</v>
      </c>
      <c r="C2529" s="10" t="s">
        <v>428</v>
      </c>
      <c r="D2529" s="10">
        <v>5</v>
      </c>
      <c r="E2529" s="10" t="s">
        <v>911</v>
      </c>
      <c r="F2529" s="10">
        <v>1</v>
      </c>
      <c r="G2529" s="10" t="s">
        <v>231</v>
      </c>
      <c r="H2529" s="10" t="s">
        <v>322</v>
      </c>
      <c r="I2529" s="10" t="s">
        <v>209</v>
      </c>
      <c r="J2529" s="10">
        <v>110</v>
      </c>
      <c r="K2529" s="12">
        <v>44966</v>
      </c>
      <c r="L2529" s="33">
        <v>0.59461805555555558</v>
      </c>
      <c r="M2529" s="10">
        <v>1</v>
      </c>
      <c r="N2529" s="10" t="s">
        <v>169</v>
      </c>
      <c r="O2529" s="10">
        <v>4.83</v>
      </c>
      <c r="P2529" s="10">
        <v>0.224</v>
      </c>
      <c r="Q2529" s="10">
        <v>596</v>
      </c>
      <c r="R2529" s="10" t="s">
        <v>77</v>
      </c>
      <c r="S2529" s="34">
        <f t="shared" si="284"/>
        <v>596</v>
      </c>
      <c r="T2529" s="10" t="s">
        <v>1176</v>
      </c>
      <c r="U2529" s="34" t="str">
        <f t="shared" si="287"/>
        <v/>
      </c>
      <c r="V2529" s="31" t="str">
        <f>IF(H2529="CHK",VLOOKUP(I2529,QCCHK,3,),IF(H2529="GUP",VLOOKUP(E2529,QCGUP,2,),IF(AND(H2529="ATP",OR(I2529="TN",I2529="TDN",I2529="TNO2-3",I2529="NO2-3")),VLOOKUP(E2529,QCREC_N,2,),IF(AND(H2529="NIC",OR(I2529="TN",I2529="TDN",I2529="TNO2-3",I2529="NO2-3")),VLOOKUP(E2529,QCNIC_N,2,),IF(AND(H2529="UREA",OR(I2529="TN",I2529="TDN",I2529="TNO2-3",I2529="NO2-3")),VLOOKUP(E2529,QCUREA_N,2,),IF(H2529="PER",VLOOKUP(I2529,QCPER,MATCH(E2529,QCACTUAL!$J$25:$AA$25,0),),IF(H2529="SPK",VLOOKUP(I2529,QCSPK,3,),IF(AND(H2529="ATP",OR(I2529="TP",I2529="TDP")),VLOOKUP(E2529,QCATP_P,2,),""))))))))</f>
        <v/>
      </c>
      <c r="W2529" s="31" t="str">
        <f t="shared" si="288"/>
        <v>TRUE</v>
      </c>
      <c r="X2529" s="31" t="str">
        <f t="shared" si="283"/>
        <v/>
      </c>
      <c r="Y2529" s="10" t="s">
        <v>1144</v>
      </c>
      <c r="AL2529" s="10" t="str">
        <f t="shared" si="285"/>
        <v>FALSE</v>
      </c>
      <c r="AM2529" s="10" t="str">
        <f t="shared" si="285"/>
        <v>FALSE</v>
      </c>
      <c r="AN2529" s="10" t="str">
        <f t="shared" si="285"/>
        <v>FALSE</v>
      </c>
      <c r="AO2529" s="10" t="str">
        <f t="shared" si="286"/>
        <v>FALSE</v>
      </c>
      <c r="AP2529" s="10" t="str">
        <f t="shared" si="286"/>
        <v>FALSE</v>
      </c>
      <c r="AQ2529" s="10" t="b">
        <f>IF(AND(I2529="TP",S2529&lt;=150),VLOOKUP(AF2529,TPCalibEq150!$AZ$2:$BB$55,3,),IF(AND(I2529="TDP",S2529&lt;=150),VLOOKUP(AF2529,TPCalibEq150!$AZ$2:$BB$55,3,)))</f>
        <v>0</v>
      </c>
      <c r="AR2529" s="10" t="b">
        <f>IF(AND(I2529="TP",S2529&lt;=300),VLOOKUP(AF2529,TPCalibEq300!$AZ$2:$BB$55,3,),IF(AND(I2529="TDP",S2529&lt;=300),VLOOKUP(AF2529,TPCalibEq300!$AZ$2:$BB$55,3,)))</f>
        <v>0</v>
      </c>
      <c r="AS2529" s="10" t="b">
        <f>IF(AND(I2529="TP",S2529&lt;=500),VLOOKUP(AF2529,TPCalibEq500!$AZ$2:$BB$56,3,),IF(AND(I2529="TDP",S2529&lt;=500),VLOOKUP(AF2529,TPCalibEq500!$AZ$2:$BB$56,3,)))</f>
        <v>0</v>
      </c>
      <c r="AT2529" s="10" t="b">
        <f>IF(AND(I2529="TN",S2529&lt;=2800),VLOOKUP(AF2529,TNCalibEq2500!$AZ$2:$BB$56,3,),IF(AND(I2529="TDN",S2529&lt;=2800),VLOOKUP(AF2529,TNCalibEq2500!$AZ$2:$BB$56,3,)))</f>
        <v>0</v>
      </c>
      <c r="AU2529" s="10" t="b">
        <f>IF(I2529="TP",VLOOKUP(AF2529,TPCalibEqFull!$AZ$2:$BB$56,3),IF(I2529="TDP",VLOOKUP(AF2529,TPCalibEqFull!$AZ$2:$BB$56,3),IF(I2529="TDN",VLOOKUP(AF2529,TNCalibEqFull!$AZ$1:$BB$56,3),IF(I2529="TN",VLOOKUP(AF2529,TNCalibEqFull!$AZ$1:$BB$56,3),FALSE))))</f>
        <v>0</v>
      </c>
      <c r="AV2529" s="10" t="str">
        <f t="shared" si="289"/>
        <v>0208 09:07:00-EOF-5-FIL-1-SW-UKN</v>
      </c>
    </row>
    <row r="2530" spans="1:48" s="10" customFormat="1" x14ac:dyDescent="0.55000000000000004">
      <c r="A2530" s="32">
        <v>44965</v>
      </c>
      <c r="B2530" s="33">
        <v>0.38263888888888892</v>
      </c>
      <c r="C2530" s="10" t="s">
        <v>428</v>
      </c>
      <c r="D2530" s="10">
        <v>10</v>
      </c>
      <c r="E2530" s="10" t="s">
        <v>911</v>
      </c>
      <c r="F2530" s="10">
        <v>1</v>
      </c>
      <c r="G2530" s="10" t="s">
        <v>231</v>
      </c>
      <c r="H2530" s="10" t="s">
        <v>322</v>
      </c>
      <c r="I2530" s="10" t="s">
        <v>209</v>
      </c>
      <c r="J2530" s="10">
        <v>111</v>
      </c>
      <c r="K2530" s="12">
        <v>44966</v>
      </c>
      <c r="L2530" s="33">
        <v>0.59543981481481478</v>
      </c>
      <c r="M2530" s="10">
        <v>1</v>
      </c>
      <c r="N2530" s="10" t="s">
        <v>169</v>
      </c>
      <c r="O2530" s="10">
        <v>4.8</v>
      </c>
      <c r="P2530" s="10">
        <v>0.224</v>
      </c>
      <c r="Q2530" s="10">
        <v>592</v>
      </c>
      <c r="R2530" s="10" t="s">
        <v>77</v>
      </c>
      <c r="S2530" s="34">
        <f t="shared" si="284"/>
        <v>592</v>
      </c>
      <c r="T2530" s="10" t="s">
        <v>1176</v>
      </c>
      <c r="U2530" s="34" t="str">
        <f t="shared" si="287"/>
        <v/>
      </c>
      <c r="V2530" s="31" t="str">
        <f>IF(H2530="CHK",VLOOKUP(I2530,QCCHK,3,),IF(H2530="GUP",VLOOKUP(E2530,QCGUP,2,),IF(AND(H2530="ATP",OR(I2530="TN",I2530="TDN",I2530="TNO2-3",I2530="NO2-3")),VLOOKUP(E2530,QCREC_N,2,),IF(AND(H2530="NIC",OR(I2530="TN",I2530="TDN",I2530="TNO2-3",I2530="NO2-3")),VLOOKUP(E2530,QCNIC_N,2,),IF(AND(H2530="UREA",OR(I2530="TN",I2530="TDN",I2530="TNO2-3",I2530="NO2-3")),VLOOKUP(E2530,QCUREA_N,2,),IF(H2530="PER",VLOOKUP(I2530,QCPER,MATCH(E2530,QCACTUAL!$J$25:$AA$25,0),),IF(H2530="SPK",VLOOKUP(I2530,QCSPK,3,),IF(AND(H2530="ATP",OR(I2530="TP",I2530="TDP")),VLOOKUP(E2530,QCATP_P,2,),""))))))))</f>
        <v/>
      </c>
      <c r="W2530" s="31" t="str">
        <f t="shared" si="288"/>
        <v>TRUE</v>
      </c>
      <c r="X2530" s="31" t="str">
        <f t="shared" si="283"/>
        <v/>
      </c>
      <c r="Y2530" s="10" t="s">
        <v>1144</v>
      </c>
      <c r="AL2530" s="10" t="str">
        <f t="shared" si="285"/>
        <v>FALSE</v>
      </c>
      <c r="AM2530" s="10" t="str">
        <f t="shared" si="285"/>
        <v>FALSE</v>
      </c>
      <c r="AN2530" s="10" t="str">
        <f t="shared" si="285"/>
        <v>FALSE</v>
      </c>
      <c r="AO2530" s="10" t="str">
        <f t="shared" si="286"/>
        <v>FALSE</v>
      </c>
      <c r="AP2530" s="10" t="str">
        <f t="shared" si="286"/>
        <v>FALSE</v>
      </c>
      <c r="AQ2530" s="10" t="b">
        <f>IF(AND(I2530="TP",S2530&lt;=150),VLOOKUP(AF2530,TPCalibEq150!$AZ$2:$BB$55,3,),IF(AND(I2530="TDP",S2530&lt;=150),VLOOKUP(AF2530,TPCalibEq150!$AZ$2:$BB$55,3,)))</f>
        <v>0</v>
      </c>
      <c r="AR2530" s="10" t="b">
        <f>IF(AND(I2530="TP",S2530&lt;=300),VLOOKUP(AF2530,TPCalibEq300!$AZ$2:$BB$55,3,),IF(AND(I2530="TDP",S2530&lt;=300),VLOOKUP(AF2530,TPCalibEq300!$AZ$2:$BB$55,3,)))</f>
        <v>0</v>
      </c>
      <c r="AS2530" s="10" t="b">
        <f>IF(AND(I2530="TP",S2530&lt;=500),VLOOKUP(AF2530,TPCalibEq500!$AZ$2:$BB$56,3,),IF(AND(I2530="TDP",S2530&lt;=500),VLOOKUP(AF2530,TPCalibEq500!$AZ$2:$BB$56,3,)))</f>
        <v>0</v>
      </c>
      <c r="AT2530" s="10" t="b">
        <f>IF(AND(I2530="TN",S2530&lt;=2800),VLOOKUP(AF2530,TNCalibEq2500!$AZ$2:$BB$56,3,),IF(AND(I2530="TDN",S2530&lt;=2800),VLOOKUP(AF2530,TNCalibEq2500!$AZ$2:$BB$56,3,)))</f>
        <v>0</v>
      </c>
      <c r="AU2530" s="10" t="b">
        <f>IF(I2530="TP",VLOOKUP(AF2530,TPCalibEqFull!$AZ$2:$BB$56,3),IF(I2530="TDP",VLOOKUP(AF2530,TPCalibEqFull!$AZ$2:$BB$56,3),IF(I2530="TDN",VLOOKUP(AF2530,TNCalibEqFull!$AZ$1:$BB$56,3),IF(I2530="TN",VLOOKUP(AF2530,TNCalibEqFull!$AZ$1:$BB$56,3),FALSE))))</f>
        <v>0</v>
      </c>
      <c r="AV2530" s="10" t="str">
        <f t="shared" si="289"/>
        <v>0208 09:11:00-EOF-10-FIL-1-SW-UKN</v>
      </c>
    </row>
    <row r="2531" spans="1:48" s="10" customFormat="1" x14ac:dyDescent="0.55000000000000004">
      <c r="A2531" s="32">
        <v>44965</v>
      </c>
      <c r="B2531" s="33">
        <v>0.38472222222222219</v>
      </c>
      <c r="C2531" s="10" t="s">
        <v>428</v>
      </c>
      <c r="D2531" s="10">
        <v>20</v>
      </c>
      <c r="E2531" s="10" t="s">
        <v>911</v>
      </c>
      <c r="F2531" s="10">
        <v>1</v>
      </c>
      <c r="G2531" s="10" t="s">
        <v>231</v>
      </c>
      <c r="H2531" s="10" t="s">
        <v>322</v>
      </c>
      <c r="I2531" s="10" t="s">
        <v>209</v>
      </c>
      <c r="J2531" s="10">
        <v>112</v>
      </c>
      <c r="K2531" s="12">
        <v>44966</v>
      </c>
      <c r="L2531" s="33">
        <v>0.5962615740740741</v>
      </c>
      <c r="M2531" s="10">
        <v>1</v>
      </c>
      <c r="N2531" s="10" t="s">
        <v>169</v>
      </c>
      <c r="O2531" s="10">
        <v>4.8600000000000003</v>
      </c>
      <c r="P2531" s="10">
        <v>0.22600000000000001</v>
      </c>
      <c r="Q2531" s="10">
        <v>600</v>
      </c>
      <c r="R2531" s="10" t="s">
        <v>77</v>
      </c>
      <c r="S2531" s="34">
        <f t="shared" si="284"/>
        <v>600</v>
      </c>
      <c r="T2531" s="10" t="s">
        <v>1176</v>
      </c>
      <c r="U2531" s="34" t="str">
        <f t="shared" si="287"/>
        <v/>
      </c>
      <c r="V2531" s="31" t="str">
        <f>IF(H2531="CHK",VLOOKUP(I2531,QCCHK,3,),IF(H2531="GUP",VLOOKUP(E2531,QCGUP,2,),IF(AND(H2531="ATP",OR(I2531="TN",I2531="TDN",I2531="TNO2-3",I2531="NO2-3")),VLOOKUP(E2531,QCREC_N,2,),IF(AND(H2531="NIC",OR(I2531="TN",I2531="TDN",I2531="TNO2-3",I2531="NO2-3")),VLOOKUP(E2531,QCNIC_N,2,),IF(AND(H2531="UREA",OR(I2531="TN",I2531="TDN",I2531="TNO2-3",I2531="NO2-3")),VLOOKUP(E2531,QCUREA_N,2,),IF(H2531="PER",VLOOKUP(I2531,QCPER,MATCH(E2531,QCACTUAL!$J$25:$AA$25,0),),IF(H2531="SPK",VLOOKUP(I2531,QCSPK,3,),IF(AND(H2531="ATP",OR(I2531="TP",I2531="TDP")),VLOOKUP(E2531,QCATP_P,2,),""))))))))</f>
        <v/>
      </c>
      <c r="W2531" s="31" t="str">
        <f t="shared" si="288"/>
        <v>TRUE</v>
      </c>
      <c r="X2531" s="31" t="str">
        <f t="shared" si="283"/>
        <v/>
      </c>
      <c r="Y2531" s="10" t="s">
        <v>1144</v>
      </c>
      <c r="AL2531" s="10" t="str">
        <f t="shared" si="285"/>
        <v>FALSE</v>
      </c>
      <c r="AM2531" s="10" t="str">
        <f t="shared" si="285"/>
        <v>FALSE</v>
      </c>
      <c r="AN2531" s="10" t="str">
        <f t="shared" si="285"/>
        <v>FALSE</v>
      </c>
      <c r="AO2531" s="10" t="str">
        <f t="shared" si="286"/>
        <v>FALSE</v>
      </c>
      <c r="AP2531" s="10" t="str">
        <f t="shared" si="286"/>
        <v>FALSE</v>
      </c>
      <c r="AQ2531" s="10" t="b">
        <f>IF(AND(I2531="TP",S2531&lt;=150),VLOOKUP(AF2531,TPCalibEq150!$AZ$2:$BB$55,3,),IF(AND(I2531="TDP",S2531&lt;=150),VLOOKUP(AF2531,TPCalibEq150!$AZ$2:$BB$55,3,)))</f>
        <v>0</v>
      </c>
      <c r="AR2531" s="10" t="b">
        <f>IF(AND(I2531="TP",S2531&lt;=300),VLOOKUP(AF2531,TPCalibEq300!$AZ$2:$BB$55,3,),IF(AND(I2531="TDP",S2531&lt;=300),VLOOKUP(AF2531,TPCalibEq300!$AZ$2:$BB$55,3,)))</f>
        <v>0</v>
      </c>
      <c r="AS2531" s="10" t="b">
        <f>IF(AND(I2531="TP",S2531&lt;=500),VLOOKUP(AF2531,TPCalibEq500!$AZ$2:$BB$56,3,),IF(AND(I2531="TDP",S2531&lt;=500),VLOOKUP(AF2531,TPCalibEq500!$AZ$2:$BB$56,3,)))</f>
        <v>0</v>
      </c>
      <c r="AT2531" s="10" t="b">
        <f>IF(AND(I2531="TN",S2531&lt;=2800),VLOOKUP(AF2531,TNCalibEq2500!$AZ$2:$BB$56,3,),IF(AND(I2531="TDN",S2531&lt;=2800),VLOOKUP(AF2531,TNCalibEq2500!$AZ$2:$BB$56,3,)))</f>
        <v>0</v>
      </c>
      <c r="AU2531" s="10" t="b">
        <f>IF(I2531="TP",VLOOKUP(AF2531,TPCalibEqFull!$AZ$2:$BB$56,3),IF(I2531="TDP",VLOOKUP(AF2531,TPCalibEqFull!$AZ$2:$BB$56,3),IF(I2531="TDN",VLOOKUP(AF2531,TNCalibEqFull!$AZ$1:$BB$56,3),IF(I2531="TN",VLOOKUP(AF2531,TNCalibEqFull!$AZ$1:$BB$56,3),FALSE))))</f>
        <v>0</v>
      </c>
      <c r="AV2531" s="10" t="str">
        <f t="shared" si="289"/>
        <v>0208 09:14:00-EOF-20-FIL-1-SW-UKN</v>
      </c>
    </row>
    <row r="2532" spans="1:48" s="10" customFormat="1" x14ac:dyDescent="0.55000000000000004">
      <c r="A2532" s="32">
        <v>44965</v>
      </c>
      <c r="B2532" s="33">
        <v>0.38877314814814817</v>
      </c>
      <c r="C2532" s="10" t="s">
        <v>428</v>
      </c>
      <c r="D2532" s="10">
        <v>80</v>
      </c>
      <c r="E2532" s="10" t="s">
        <v>911</v>
      </c>
      <c r="F2532" s="10">
        <v>1</v>
      </c>
      <c r="G2532" s="10" t="s">
        <v>231</v>
      </c>
      <c r="H2532" s="10" t="s">
        <v>322</v>
      </c>
      <c r="I2532" s="10" t="s">
        <v>209</v>
      </c>
      <c r="J2532" s="10">
        <v>113</v>
      </c>
      <c r="K2532" s="12">
        <v>44966</v>
      </c>
      <c r="L2532" s="33">
        <v>0.59707175925925926</v>
      </c>
      <c r="M2532" s="10">
        <v>1</v>
      </c>
      <c r="N2532" s="10" t="s">
        <v>169</v>
      </c>
      <c r="O2532" s="10">
        <v>5</v>
      </c>
      <c r="P2532" s="10">
        <v>0.23</v>
      </c>
      <c r="Q2532" s="10">
        <v>618</v>
      </c>
      <c r="R2532" s="10" t="s">
        <v>77</v>
      </c>
      <c r="S2532" s="34">
        <f t="shared" si="284"/>
        <v>618</v>
      </c>
      <c r="T2532" s="10" t="s">
        <v>1176</v>
      </c>
      <c r="U2532" s="34" t="str">
        <f t="shared" si="287"/>
        <v/>
      </c>
      <c r="V2532" s="31" t="str">
        <f>IF(H2532="CHK",VLOOKUP(I2532,QCCHK,3,),IF(H2532="GUP",VLOOKUP(E2532,QCGUP,2,),IF(AND(H2532="ATP",OR(I2532="TN",I2532="TDN",I2532="TNO2-3",I2532="NO2-3")),VLOOKUP(E2532,QCREC_N,2,),IF(AND(H2532="NIC",OR(I2532="TN",I2532="TDN",I2532="TNO2-3",I2532="NO2-3")),VLOOKUP(E2532,QCNIC_N,2,),IF(AND(H2532="UREA",OR(I2532="TN",I2532="TDN",I2532="TNO2-3",I2532="NO2-3")),VLOOKUP(E2532,QCUREA_N,2,),IF(H2532="PER",VLOOKUP(I2532,QCPER,MATCH(E2532,QCACTUAL!$J$25:$AA$25,0),),IF(H2532="SPK",VLOOKUP(I2532,QCSPK,3,),IF(AND(H2532="ATP",OR(I2532="TP",I2532="TDP")),VLOOKUP(E2532,QCATP_P,2,),""))))))))</f>
        <v/>
      </c>
      <c r="W2532" s="31" t="str">
        <f t="shared" si="288"/>
        <v>TRUE</v>
      </c>
      <c r="X2532" s="31" t="str">
        <f t="shared" si="283"/>
        <v/>
      </c>
      <c r="Y2532" s="10" t="s">
        <v>1144</v>
      </c>
      <c r="AL2532" s="10" t="str">
        <f t="shared" si="285"/>
        <v>FALSE</v>
      </c>
      <c r="AM2532" s="10" t="str">
        <f t="shared" si="285"/>
        <v>FALSE</v>
      </c>
      <c r="AN2532" s="10" t="str">
        <f t="shared" si="285"/>
        <v>FALSE</v>
      </c>
      <c r="AO2532" s="10" t="str">
        <f t="shared" si="286"/>
        <v>FALSE</v>
      </c>
      <c r="AP2532" s="10" t="str">
        <f t="shared" si="286"/>
        <v>FALSE</v>
      </c>
      <c r="AQ2532" s="10" t="b">
        <f>IF(AND(I2532="TP",S2532&lt;=150),VLOOKUP(AF2532,TPCalibEq150!$AZ$2:$BB$55,3,),IF(AND(I2532="TDP",S2532&lt;=150),VLOOKUP(AF2532,TPCalibEq150!$AZ$2:$BB$55,3,)))</f>
        <v>0</v>
      </c>
      <c r="AR2532" s="10" t="b">
        <f>IF(AND(I2532="TP",S2532&lt;=300),VLOOKUP(AF2532,TPCalibEq300!$AZ$2:$BB$55,3,),IF(AND(I2532="TDP",S2532&lt;=300),VLOOKUP(AF2532,TPCalibEq300!$AZ$2:$BB$55,3,)))</f>
        <v>0</v>
      </c>
      <c r="AS2532" s="10" t="b">
        <f>IF(AND(I2532="TP",S2532&lt;=500),VLOOKUP(AF2532,TPCalibEq500!$AZ$2:$BB$56,3,),IF(AND(I2532="TDP",S2532&lt;=500),VLOOKUP(AF2532,TPCalibEq500!$AZ$2:$BB$56,3,)))</f>
        <v>0</v>
      </c>
      <c r="AT2532" s="10" t="b">
        <f>IF(AND(I2532="TN",S2532&lt;=2800),VLOOKUP(AF2532,TNCalibEq2500!$AZ$2:$BB$56,3,),IF(AND(I2532="TDN",S2532&lt;=2800),VLOOKUP(AF2532,TNCalibEq2500!$AZ$2:$BB$56,3,)))</f>
        <v>0</v>
      </c>
      <c r="AU2532" s="10" t="b">
        <f>IF(I2532="TP",VLOOKUP(AF2532,TPCalibEqFull!$AZ$2:$BB$56,3),IF(I2532="TDP",VLOOKUP(AF2532,TPCalibEqFull!$AZ$2:$BB$56,3),IF(I2532="TDN",VLOOKUP(AF2532,TNCalibEqFull!$AZ$1:$BB$56,3),IF(I2532="TN",VLOOKUP(AF2532,TNCalibEqFull!$AZ$1:$BB$56,3),FALSE))))</f>
        <v>0</v>
      </c>
      <c r="AV2532" s="10" t="str">
        <f t="shared" si="289"/>
        <v>0208 09:19:50-EOF-80-FIL-1-SW-UKN</v>
      </c>
    </row>
    <row r="2533" spans="1:48" s="10" customFormat="1" x14ac:dyDescent="0.55000000000000004">
      <c r="A2533" s="32">
        <v>44965</v>
      </c>
      <c r="B2533" s="33">
        <v>0.4201388888888889</v>
      </c>
      <c r="C2533" s="10" t="s">
        <v>611</v>
      </c>
      <c r="D2533" s="10">
        <v>0</v>
      </c>
      <c r="E2533" s="10" t="s">
        <v>911</v>
      </c>
      <c r="F2533" s="10">
        <v>1</v>
      </c>
      <c r="G2533" s="10" t="s">
        <v>231</v>
      </c>
      <c r="H2533" s="10" t="s">
        <v>322</v>
      </c>
      <c r="I2533" s="10" t="s">
        <v>209</v>
      </c>
      <c r="J2533" s="10">
        <v>114</v>
      </c>
      <c r="K2533" s="12">
        <v>44966</v>
      </c>
      <c r="L2533" s="33">
        <v>0.59788194444444442</v>
      </c>
      <c r="M2533" s="10">
        <v>1</v>
      </c>
      <c r="N2533" s="10" t="s">
        <v>169</v>
      </c>
      <c r="O2533" s="10">
        <v>0.871</v>
      </c>
      <c r="P2533" s="10">
        <v>3.7900000000000003E-2</v>
      </c>
      <c r="Q2533" s="10">
        <v>107</v>
      </c>
      <c r="R2533" s="10" t="s">
        <v>77</v>
      </c>
      <c r="S2533" s="34">
        <f t="shared" si="284"/>
        <v>107</v>
      </c>
      <c r="T2533" s="10" t="s">
        <v>1176</v>
      </c>
      <c r="U2533" s="34" t="str">
        <f t="shared" si="287"/>
        <v/>
      </c>
      <c r="V2533" s="31" t="str">
        <f>IF(H2533="CHK",VLOOKUP(I2533,QCCHK,3,),IF(H2533="GUP",VLOOKUP(E2533,QCGUP,2,),IF(AND(H2533="ATP",OR(I2533="TN",I2533="TDN",I2533="TNO2-3",I2533="NO2-3")),VLOOKUP(E2533,QCREC_N,2,),IF(AND(H2533="NIC",OR(I2533="TN",I2533="TDN",I2533="TNO2-3",I2533="NO2-3")),VLOOKUP(E2533,QCNIC_N,2,),IF(AND(H2533="UREA",OR(I2533="TN",I2533="TDN",I2533="TNO2-3",I2533="NO2-3")),VLOOKUP(E2533,QCUREA_N,2,),IF(H2533="PER",VLOOKUP(I2533,QCPER,MATCH(E2533,QCACTUAL!$J$25:$AA$25,0),),IF(H2533="SPK",VLOOKUP(I2533,QCSPK,3,),IF(AND(H2533="ATP",OR(I2533="TP",I2533="TDP")),VLOOKUP(E2533,QCATP_P,2,),""))))))))</f>
        <v/>
      </c>
      <c r="W2533" s="31" t="str">
        <f t="shared" si="288"/>
        <v>TRUE</v>
      </c>
      <c r="X2533" s="31" t="str">
        <f t="shared" si="283"/>
        <v/>
      </c>
      <c r="Y2533" s="10" t="s">
        <v>1144</v>
      </c>
      <c r="AL2533" s="10" t="str">
        <f t="shared" si="285"/>
        <v>FALSE</v>
      </c>
      <c r="AM2533" s="10" t="str">
        <f t="shared" si="285"/>
        <v>FALSE</v>
      </c>
      <c r="AN2533" s="10" t="str">
        <f t="shared" si="285"/>
        <v>FALSE</v>
      </c>
      <c r="AO2533" s="10" t="str">
        <f t="shared" si="286"/>
        <v>FALSE</v>
      </c>
      <c r="AP2533" s="10" t="str">
        <f t="shared" si="286"/>
        <v>FALSE</v>
      </c>
      <c r="AQ2533" s="10" t="b">
        <f>IF(AND(I2533="TP",S2533&lt;=150),VLOOKUP(AF2533,TPCalibEq150!$AZ$2:$BB$55,3,),IF(AND(I2533="TDP",S2533&lt;=150),VLOOKUP(AF2533,TPCalibEq150!$AZ$2:$BB$55,3,)))</f>
        <v>0</v>
      </c>
      <c r="AR2533" s="10" t="b">
        <f>IF(AND(I2533="TP",S2533&lt;=300),VLOOKUP(AF2533,TPCalibEq300!$AZ$2:$BB$55,3,),IF(AND(I2533="TDP",S2533&lt;=300),VLOOKUP(AF2533,TPCalibEq300!$AZ$2:$BB$55,3,)))</f>
        <v>0</v>
      </c>
      <c r="AS2533" s="10" t="b">
        <f>IF(AND(I2533="TP",S2533&lt;=500),VLOOKUP(AF2533,TPCalibEq500!$AZ$2:$BB$56,3,),IF(AND(I2533="TDP",S2533&lt;=500),VLOOKUP(AF2533,TPCalibEq500!$AZ$2:$BB$56,3,)))</f>
        <v>0</v>
      </c>
      <c r="AT2533" s="10" t="b">
        <f>IF(AND(I2533="TN",S2533&lt;=2800),VLOOKUP(AF2533,TNCalibEq2500!$AZ$2:$BB$56,3,),IF(AND(I2533="TDN",S2533&lt;=2800),VLOOKUP(AF2533,TNCalibEq2500!$AZ$2:$BB$56,3,)))</f>
        <v>0</v>
      </c>
      <c r="AU2533" s="10" t="b">
        <f>IF(I2533="TP",VLOOKUP(AF2533,TPCalibEqFull!$AZ$2:$BB$56,3),IF(I2533="TDP",VLOOKUP(AF2533,TPCalibEqFull!$AZ$2:$BB$56,3),IF(I2533="TDN",VLOOKUP(AF2533,TNCalibEqFull!$AZ$1:$BB$56,3),IF(I2533="TN",VLOOKUP(AF2533,TNCalibEqFull!$AZ$1:$BB$56,3),FALSE))))</f>
        <v>0</v>
      </c>
      <c r="AV2533" s="10" t="str">
        <f t="shared" si="289"/>
        <v>0208 10:05:00-BUO-0-FIL-1-SW-UKN</v>
      </c>
    </row>
    <row r="2534" spans="1:48" s="10" customFormat="1" x14ac:dyDescent="0.55000000000000004">
      <c r="A2534" s="32">
        <v>44965</v>
      </c>
      <c r="B2534" s="33">
        <v>0.42291666666666666</v>
      </c>
      <c r="C2534" s="10" t="s">
        <v>611</v>
      </c>
      <c r="D2534" s="10">
        <v>5</v>
      </c>
      <c r="E2534" s="10" t="s">
        <v>911</v>
      </c>
      <c r="F2534" s="10">
        <v>1</v>
      </c>
      <c r="G2534" s="10" t="s">
        <v>231</v>
      </c>
      <c r="H2534" s="10" t="s">
        <v>322</v>
      </c>
      <c r="I2534" s="10" t="s">
        <v>209</v>
      </c>
      <c r="J2534" s="10">
        <v>115</v>
      </c>
      <c r="K2534" s="12">
        <v>44966</v>
      </c>
      <c r="L2534" s="33">
        <v>0.59870370370370374</v>
      </c>
      <c r="M2534" s="10">
        <v>1</v>
      </c>
      <c r="N2534" s="10" t="s">
        <v>169</v>
      </c>
      <c r="O2534" s="10">
        <v>5.17</v>
      </c>
      <c r="P2534" s="10">
        <v>0.254</v>
      </c>
      <c r="Q2534" s="10">
        <v>638</v>
      </c>
      <c r="R2534" s="10" t="s">
        <v>77</v>
      </c>
      <c r="S2534" s="34">
        <f t="shared" si="284"/>
        <v>638</v>
      </c>
      <c r="T2534" s="10" t="s">
        <v>1176</v>
      </c>
      <c r="U2534" s="34" t="str">
        <f t="shared" si="287"/>
        <v/>
      </c>
      <c r="V2534" s="31" t="str">
        <f>IF(H2534="CHK",VLOOKUP(I2534,QCCHK,3,),IF(H2534="GUP",VLOOKUP(E2534,QCGUP,2,),IF(AND(H2534="ATP",OR(I2534="TN",I2534="TDN",I2534="TNO2-3",I2534="NO2-3")),VLOOKUP(E2534,QCREC_N,2,),IF(AND(H2534="NIC",OR(I2534="TN",I2534="TDN",I2534="TNO2-3",I2534="NO2-3")),VLOOKUP(E2534,QCNIC_N,2,),IF(AND(H2534="UREA",OR(I2534="TN",I2534="TDN",I2534="TNO2-3",I2534="NO2-3")),VLOOKUP(E2534,QCUREA_N,2,),IF(H2534="PER",VLOOKUP(I2534,QCPER,MATCH(E2534,QCACTUAL!$J$25:$AA$25,0),),IF(H2534="SPK",VLOOKUP(I2534,QCSPK,3,),IF(AND(H2534="ATP",OR(I2534="TP",I2534="TDP")),VLOOKUP(E2534,QCATP_P,2,),""))))))))</f>
        <v/>
      </c>
      <c r="W2534" s="31" t="str">
        <f t="shared" si="288"/>
        <v>TRUE</v>
      </c>
      <c r="X2534" s="31" t="str">
        <f t="shared" si="283"/>
        <v/>
      </c>
      <c r="Y2534" s="10" t="s">
        <v>1144</v>
      </c>
      <c r="AL2534" s="10" t="str">
        <f t="shared" si="285"/>
        <v>FALSE</v>
      </c>
      <c r="AM2534" s="10" t="str">
        <f t="shared" si="285"/>
        <v>FALSE</v>
      </c>
      <c r="AN2534" s="10" t="str">
        <f t="shared" si="285"/>
        <v>FALSE</v>
      </c>
      <c r="AO2534" s="10" t="str">
        <f t="shared" si="286"/>
        <v>FALSE</v>
      </c>
      <c r="AP2534" s="10" t="str">
        <f t="shared" si="286"/>
        <v>FALSE</v>
      </c>
      <c r="AQ2534" s="10" t="b">
        <f>IF(AND(I2534="TP",S2534&lt;=150),VLOOKUP(AF2534,TPCalibEq150!$AZ$2:$BB$55,3,),IF(AND(I2534="TDP",S2534&lt;=150),VLOOKUP(AF2534,TPCalibEq150!$AZ$2:$BB$55,3,)))</f>
        <v>0</v>
      </c>
      <c r="AR2534" s="10" t="b">
        <f>IF(AND(I2534="TP",S2534&lt;=300),VLOOKUP(AF2534,TPCalibEq300!$AZ$2:$BB$55,3,),IF(AND(I2534="TDP",S2534&lt;=300),VLOOKUP(AF2534,TPCalibEq300!$AZ$2:$BB$55,3,)))</f>
        <v>0</v>
      </c>
      <c r="AS2534" s="10" t="b">
        <f>IF(AND(I2534="TP",S2534&lt;=500),VLOOKUP(AF2534,TPCalibEq500!$AZ$2:$BB$56,3,),IF(AND(I2534="TDP",S2534&lt;=500),VLOOKUP(AF2534,TPCalibEq500!$AZ$2:$BB$56,3,)))</f>
        <v>0</v>
      </c>
      <c r="AT2534" s="10" t="b">
        <f>IF(AND(I2534="TN",S2534&lt;=2800),VLOOKUP(AF2534,TNCalibEq2500!$AZ$2:$BB$56,3,),IF(AND(I2534="TDN",S2534&lt;=2800),VLOOKUP(AF2534,TNCalibEq2500!$AZ$2:$BB$56,3,)))</f>
        <v>0</v>
      </c>
      <c r="AU2534" s="10" t="b">
        <f>IF(I2534="TP",VLOOKUP(AF2534,TPCalibEqFull!$AZ$2:$BB$56,3),IF(I2534="TDP",VLOOKUP(AF2534,TPCalibEqFull!$AZ$2:$BB$56,3),IF(I2534="TDN",VLOOKUP(AF2534,TNCalibEqFull!$AZ$1:$BB$56,3),IF(I2534="TN",VLOOKUP(AF2534,TNCalibEqFull!$AZ$1:$BB$56,3),FALSE))))</f>
        <v>0</v>
      </c>
      <c r="AV2534" s="10" t="str">
        <f t="shared" si="289"/>
        <v>0208 10:09:00-BUO-5-FIL-1-SW-UKN</v>
      </c>
    </row>
    <row r="2535" spans="1:48" s="10" customFormat="1" x14ac:dyDescent="0.55000000000000004">
      <c r="A2535" s="32">
        <v>44965</v>
      </c>
      <c r="B2535" s="33">
        <v>0.42499999999999999</v>
      </c>
      <c r="C2535" s="10" t="s">
        <v>611</v>
      </c>
      <c r="D2535" s="10">
        <v>10</v>
      </c>
      <c r="E2535" s="10" t="s">
        <v>911</v>
      </c>
      <c r="F2535" s="10">
        <v>1</v>
      </c>
      <c r="G2535" s="10" t="s">
        <v>231</v>
      </c>
      <c r="H2535" s="10" t="s">
        <v>322</v>
      </c>
      <c r="I2535" s="10" t="s">
        <v>209</v>
      </c>
      <c r="J2535" s="10">
        <v>116</v>
      </c>
      <c r="K2535" s="12">
        <v>44966</v>
      </c>
      <c r="L2535" s="33">
        <v>0.5995138888888889</v>
      </c>
      <c r="M2535" s="10">
        <v>1</v>
      </c>
      <c r="N2535" s="10" t="s">
        <v>169</v>
      </c>
      <c r="O2535" s="10">
        <v>5.03</v>
      </c>
      <c r="P2535" s="10">
        <v>0.248</v>
      </c>
      <c r="Q2535" s="10">
        <v>621</v>
      </c>
      <c r="R2535" s="10" t="s">
        <v>77</v>
      </c>
      <c r="S2535" s="34">
        <f t="shared" si="284"/>
        <v>621</v>
      </c>
      <c r="T2535" s="10" t="s">
        <v>1176</v>
      </c>
      <c r="U2535" s="34" t="str">
        <f t="shared" si="287"/>
        <v/>
      </c>
      <c r="V2535" s="31" t="str">
        <f>IF(H2535="CHK",VLOOKUP(I2535,QCCHK,3,),IF(H2535="GUP",VLOOKUP(E2535,QCGUP,2,),IF(AND(H2535="ATP",OR(I2535="TN",I2535="TDN",I2535="TNO2-3",I2535="NO2-3")),VLOOKUP(E2535,QCREC_N,2,),IF(AND(H2535="NIC",OR(I2535="TN",I2535="TDN",I2535="TNO2-3",I2535="NO2-3")),VLOOKUP(E2535,QCNIC_N,2,),IF(AND(H2535="UREA",OR(I2535="TN",I2535="TDN",I2535="TNO2-3",I2535="NO2-3")),VLOOKUP(E2535,QCUREA_N,2,),IF(H2535="PER",VLOOKUP(I2535,QCPER,MATCH(E2535,QCACTUAL!$J$25:$AA$25,0),),IF(H2535="SPK",VLOOKUP(I2535,QCSPK,3,),IF(AND(H2535="ATP",OR(I2535="TP",I2535="TDP")),VLOOKUP(E2535,QCATP_P,2,),""))))))))</f>
        <v/>
      </c>
      <c r="W2535" s="31" t="str">
        <f t="shared" si="288"/>
        <v>TRUE</v>
      </c>
      <c r="X2535" s="31" t="str">
        <f t="shared" si="283"/>
        <v/>
      </c>
      <c r="Y2535" s="10" t="s">
        <v>1144</v>
      </c>
      <c r="AL2535" s="10" t="str">
        <f t="shared" si="285"/>
        <v>FALSE</v>
      </c>
      <c r="AM2535" s="10" t="str">
        <f t="shared" si="285"/>
        <v>FALSE</v>
      </c>
      <c r="AN2535" s="10" t="str">
        <f t="shared" si="285"/>
        <v>FALSE</v>
      </c>
      <c r="AO2535" s="10" t="str">
        <f t="shared" si="286"/>
        <v>FALSE</v>
      </c>
      <c r="AP2535" s="10" t="str">
        <f t="shared" si="286"/>
        <v>FALSE</v>
      </c>
      <c r="AQ2535" s="10" t="b">
        <f>IF(AND(I2535="TP",S2535&lt;=150),VLOOKUP(AF2535,TPCalibEq150!$AZ$2:$BB$55,3,),IF(AND(I2535="TDP",S2535&lt;=150),VLOOKUP(AF2535,TPCalibEq150!$AZ$2:$BB$55,3,)))</f>
        <v>0</v>
      </c>
      <c r="AR2535" s="10" t="b">
        <f>IF(AND(I2535="TP",S2535&lt;=300),VLOOKUP(AF2535,TPCalibEq300!$AZ$2:$BB$55,3,),IF(AND(I2535="TDP",S2535&lt;=300),VLOOKUP(AF2535,TPCalibEq300!$AZ$2:$BB$55,3,)))</f>
        <v>0</v>
      </c>
      <c r="AS2535" s="10" t="b">
        <f>IF(AND(I2535="TP",S2535&lt;=500),VLOOKUP(AF2535,TPCalibEq500!$AZ$2:$BB$56,3,),IF(AND(I2535="TDP",S2535&lt;=500),VLOOKUP(AF2535,TPCalibEq500!$AZ$2:$BB$56,3,)))</f>
        <v>0</v>
      </c>
      <c r="AT2535" s="10" t="b">
        <f>IF(AND(I2535="TN",S2535&lt;=2800),VLOOKUP(AF2535,TNCalibEq2500!$AZ$2:$BB$56,3,),IF(AND(I2535="TDN",S2535&lt;=2800),VLOOKUP(AF2535,TNCalibEq2500!$AZ$2:$BB$56,3,)))</f>
        <v>0</v>
      </c>
      <c r="AU2535" s="10" t="b">
        <f>IF(I2535="TP",VLOOKUP(AF2535,TPCalibEqFull!$AZ$2:$BB$56,3),IF(I2535="TDP",VLOOKUP(AF2535,TPCalibEqFull!$AZ$2:$BB$56,3),IF(I2535="TDN",VLOOKUP(AF2535,TNCalibEqFull!$AZ$1:$BB$56,3),IF(I2535="TN",VLOOKUP(AF2535,TNCalibEqFull!$AZ$1:$BB$56,3),FALSE))))</f>
        <v>0</v>
      </c>
      <c r="AV2535" s="10" t="str">
        <f t="shared" si="289"/>
        <v>0208 10:12:00-BUO-10-FIL-1-SW-UKN</v>
      </c>
    </row>
    <row r="2536" spans="1:48" s="10" customFormat="1" x14ac:dyDescent="0.55000000000000004">
      <c r="A2536" s="32">
        <v>44965</v>
      </c>
      <c r="B2536" s="33">
        <v>0.42777777777777781</v>
      </c>
      <c r="C2536" s="10" t="s">
        <v>611</v>
      </c>
      <c r="D2536" s="10">
        <v>20</v>
      </c>
      <c r="E2536" s="10" t="s">
        <v>911</v>
      </c>
      <c r="F2536" s="10">
        <v>1</v>
      </c>
      <c r="G2536" s="10" t="s">
        <v>231</v>
      </c>
      <c r="H2536" s="10" t="s">
        <v>322</v>
      </c>
      <c r="I2536" s="10" t="s">
        <v>209</v>
      </c>
      <c r="J2536" s="10">
        <v>117</v>
      </c>
      <c r="K2536" s="12">
        <v>44966</v>
      </c>
      <c r="L2536" s="33">
        <v>0.60032407407407407</v>
      </c>
      <c r="M2536" s="10">
        <v>1</v>
      </c>
      <c r="N2536" s="10" t="s">
        <v>169</v>
      </c>
      <c r="O2536" s="10">
        <v>5.03</v>
      </c>
      <c r="P2536" s="10">
        <v>0.247</v>
      </c>
      <c r="Q2536" s="10">
        <v>620</v>
      </c>
      <c r="R2536" s="10" t="s">
        <v>77</v>
      </c>
      <c r="S2536" s="34">
        <f t="shared" si="284"/>
        <v>620</v>
      </c>
      <c r="T2536" s="10" t="s">
        <v>1176</v>
      </c>
      <c r="U2536" s="34" t="str">
        <f t="shared" si="287"/>
        <v/>
      </c>
      <c r="V2536" s="31" t="str">
        <f>IF(H2536="CHK",VLOOKUP(I2536,QCCHK,3,),IF(H2536="GUP",VLOOKUP(E2536,QCGUP,2,),IF(AND(H2536="ATP",OR(I2536="TN",I2536="TDN",I2536="TNO2-3",I2536="NO2-3")),VLOOKUP(E2536,QCREC_N,2,),IF(AND(H2536="NIC",OR(I2536="TN",I2536="TDN",I2536="TNO2-3",I2536="NO2-3")),VLOOKUP(E2536,QCNIC_N,2,),IF(AND(H2536="UREA",OR(I2536="TN",I2536="TDN",I2536="TNO2-3",I2536="NO2-3")),VLOOKUP(E2536,QCUREA_N,2,),IF(H2536="PER",VLOOKUP(I2536,QCPER,MATCH(E2536,QCACTUAL!$J$25:$AA$25,0),),IF(H2536="SPK",VLOOKUP(I2536,QCSPK,3,),IF(AND(H2536="ATP",OR(I2536="TP",I2536="TDP")),VLOOKUP(E2536,QCATP_P,2,),""))))))))</f>
        <v/>
      </c>
      <c r="W2536" s="31" t="str">
        <f t="shared" si="288"/>
        <v>TRUE</v>
      </c>
      <c r="X2536" s="31" t="str">
        <f t="shared" si="283"/>
        <v/>
      </c>
      <c r="Y2536" s="10" t="s">
        <v>1144</v>
      </c>
      <c r="AL2536" s="10" t="str">
        <f t="shared" si="285"/>
        <v>FALSE</v>
      </c>
      <c r="AM2536" s="10" t="str">
        <f t="shared" si="285"/>
        <v>FALSE</v>
      </c>
      <c r="AN2536" s="10" t="str">
        <f t="shared" si="285"/>
        <v>FALSE</v>
      </c>
      <c r="AO2536" s="10" t="str">
        <f t="shared" si="286"/>
        <v>FALSE</v>
      </c>
      <c r="AP2536" s="10" t="str">
        <f t="shared" si="286"/>
        <v>FALSE</v>
      </c>
      <c r="AQ2536" s="10" t="b">
        <f>IF(AND(I2536="TP",S2536&lt;=150),VLOOKUP(AF2536,TPCalibEq150!$AZ$2:$BB$55,3,),IF(AND(I2536="TDP",S2536&lt;=150),VLOOKUP(AF2536,TPCalibEq150!$AZ$2:$BB$55,3,)))</f>
        <v>0</v>
      </c>
      <c r="AR2536" s="10" t="b">
        <f>IF(AND(I2536="TP",S2536&lt;=300),VLOOKUP(AF2536,TPCalibEq300!$AZ$2:$BB$55,3,),IF(AND(I2536="TDP",S2536&lt;=300),VLOOKUP(AF2536,TPCalibEq300!$AZ$2:$BB$55,3,)))</f>
        <v>0</v>
      </c>
      <c r="AS2536" s="10" t="b">
        <f>IF(AND(I2536="TP",S2536&lt;=500),VLOOKUP(AF2536,TPCalibEq500!$AZ$2:$BB$56,3,),IF(AND(I2536="TDP",S2536&lt;=500),VLOOKUP(AF2536,TPCalibEq500!$AZ$2:$BB$56,3,)))</f>
        <v>0</v>
      </c>
      <c r="AT2536" s="10" t="b">
        <f>IF(AND(I2536="TN",S2536&lt;=2800),VLOOKUP(AF2536,TNCalibEq2500!$AZ$2:$BB$56,3,),IF(AND(I2536="TDN",S2536&lt;=2800),VLOOKUP(AF2536,TNCalibEq2500!$AZ$2:$BB$56,3,)))</f>
        <v>0</v>
      </c>
      <c r="AU2536" s="10" t="b">
        <f>IF(I2536="TP",VLOOKUP(AF2536,TPCalibEqFull!$AZ$2:$BB$56,3),IF(I2536="TDP",VLOOKUP(AF2536,TPCalibEqFull!$AZ$2:$BB$56,3),IF(I2536="TDN",VLOOKUP(AF2536,TNCalibEqFull!$AZ$1:$BB$56,3),IF(I2536="TN",VLOOKUP(AF2536,TNCalibEqFull!$AZ$1:$BB$56,3),FALSE))))</f>
        <v>0</v>
      </c>
      <c r="AV2536" s="10" t="str">
        <f t="shared" si="289"/>
        <v>0208 10:16:00-BUO-20-FIL-1-SW-UKN</v>
      </c>
    </row>
    <row r="2537" spans="1:48" s="10" customFormat="1" x14ac:dyDescent="0.55000000000000004">
      <c r="A2537" s="32">
        <v>44965</v>
      </c>
      <c r="B2537" s="33">
        <v>0.43055555555555558</v>
      </c>
      <c r="C2537" s="10" t="s">
        <v>611</v>
      </c>
      <c r="D2537" s="10">
        <v>46</v>
      </c>
      <c r="E2537" s="10" t="s">
        <v>911</v>
      </c>
      <c r="F2537" s="10">
        <v>1</v>
      </c>
      <c r="G2537" s="10" t="s">
        <v>231</v>
      </c>
      <c r="H2537" s="10" t="s">
        <v>322</v>
      </c>
      <c r="I2537" s="10" t="s">
        <v>209</v>
      </c>
      <c r="J2537" s="10">
        <v>118</v>
      </c>
      <c r="K2537" s="12">
        <v>44966</v>
      </c>
      <c r="L2537" s="33">
        <v>0.60113425925925923</v>
      </c>
      <c r="M2537" s="10">
        <v>1</v>
      </c>
      <c r="N2537" s="10" t="s">
        <v>169</v>
      </c>
      <c r="O2537" s="10">
        <v>5.05</v>
      </c>
      <c r="P2537" s="10">
        <v>0.247</v>
      </c>
      <c r="Q2537" s="10">
        <v>623</v>
      </c>
      <c r="R2537" s="10" t="s">
        <v>77</v>
      </c>
      <c r="S2537" s="34">
        <f t="shared" si="284"/>
        <v>623</v>
      </c>
      <c r="T2537" s="10" t="s">
        <v>1176</v>
      </c>
      <c r="U2537" s="34" t="str">
        <f t="shared" si="287"/>
        <v/>
      </c>
      <c r="V2537" s="31" t="str">
        <f>IF(H2537="CHK",VLOOKUP(I2537,QCCHK,3,),IF(H2537="GUP",VLOOKUP(E2537,QCGUP,2,),IF(AND(H2537="ATP",OR(I2537="TN",I2537="TDN",I2537="TNO2-3",I2537="NO2-3")),VLOOKUP(E2537,QCREC_N,2,),IF(AND(H2537="NIC",OR(I2537="TN",I2537="TDN",I2537="TNO2-3",I2537="NO2-3")),VLOOKUP(E2537,QCNIC_N,2,),IF(AND(H2537="UREA",OR(I2537="TN",I2537="TDN",I2537="TNO2-3",I2537="NO2-3")),VLOOKUP(E2537,QCUREA_N,2,),IF(H2537="PER",VLOOKUP(I2537,QCPER,MATCH(E2537,QCACTUAL!$J$25:$AA$25,0),),IF(H2537="SPK",VLOOKUP(I2537,QCSPK,3,),IF(AND(H2537="ATP",OR(I2537="TP",I2537="TDP")),VLOOKUP(E2537,QCATP_P,2,),""))))))))</f>
        <v/>
      </c>
      <c r="W2537" s="31" t="str">
        <f t="shared" si="288"/>
        <v>TRUE</v>
      </c>
      <c r="X2537" s="31" t="str">
        <f t="shared" si="283"/>
        <v/>
      </c>
      <c r="Y2537" s="10" t="s">
        <v>1144</v>
      </c>
      <c r="AL2537" s="10" t="str">
        <f t="shared" si="285"/>
        <v>FALSE</v>
      </c>
      <c r="AM2537" s="10" t="str">
        <f t="shared" si="285"/>
        <v>FALSE</v>
      </c>
      <c r="AN2537" s="10" t="str">
        <f t="shared" si="285"/>
        <v>FALSE</v>
      </c>
      <c r="AO2537" s="10" t="str">
        <f t="shared" si="286"/>
        <v>FALSE</v>
      </c>
      <c r="AP2537" s="10" t="str">
        <f t="shared" si="286"/>
        <v>FALSE</v>
      </c>
      <c r="AQ2537" s="10" t="b">
        <f>IF(AND(I2537="TP",S2537&lt;=150),VLOOKUP(AF2537,TPCalibEq150!$AZ$2:$BB$55,3,),IF(AND(I2537="TDP",S2537&lt;=150),VLOOKUP(AF2537,TPCalibEq150!$AZ$2:$BB$55,3,)))</f>
        <v>0</v>
      </c>
      <c r="AR2537" s="10" t="b">
        <f>IF(AND(I2537="TP",S2537&lt;=300),VLOOKUP(AF2537,TPCalibEq300!$AZ$2:$BB$55,3,),IF(AND(I2537="TDP",S2537&lt;=300),VLOOKUP(AF2537,TPCalibEq300!$AZ$2:$BB$55,3,)))</f>
        <v>0</v>
      </c>
      <c r="AS2537" s="10" t="b">
        <f>IF(AND(I2537="TP",S2537&lt;=500),VLOOKUP(AF2537,TPCalibEq500!$AZ$2:$BB$56,3,),IF(AND(I2537="TDP",S2537&lt;=500),VLOOKUP(AF2537,TPCalibEq500!$AZ$2:$BB$56,3,)))</f>
        <v>0</v>
      </c>
      <c r="AT2537" s="10" t="b">
        <f>IF(AND(I2537="TN",S2537&lt;=2800),VLOOKUP(AF2537,TNCalibEq2500!$AZ$2:$BB$56,3,),IF(AND(I2537="TDN",S2537&lt;=2800),VLOOKUP(AF2537,TNCalibEq2500!$AZ$2:$BB$56,3,)))</f>
        <v>0</v>
      </c>
      <c r="AU2537" s="10" t="b">
        <f>IF(I2537="TP",VLOOKUP(AF2537,TPCalibEqFull!$AZ$2:$BB$56,3),IF(I2537="TDP",VLOOKUP(AF2537,TPCalibEqFull!$AZ$2:$BB$56,3),IF(I2537="TDN",VLOOKUP(AF2537,TNCalibEqFull!$AZ$1:$BB$56,3),IF(I2537="TN",VLOOKUP(AF2537,TNCalibEqFull!$AZ$1:$BB$56,3),FALSE))))</f>
        <v>0</v>
      </c>
      <c r="AV2537" s="10" t="str">
        <f t="shared" si="289"/>
        <v>0208 10:20:00-BUO-46-FIL-1-SW-UKN</v>
      </c>
    </row>
    <row r="2538" spans="1:48" s="10" customFormat="1" x14ac:dyDescent="0.55000000000000004">
      <c r="A2538" s="32">
        <v>44965</v>
      </c>
      <c r="B2538" s="33">
        <v>0.43055555555555558</v>
      </c>
      <c r="C2538" s="10" t="s">
        <v>611</v>
      </c>
      <c r="D2538" s="10">
        <v>46</v>
      </c>
      <c r="E2538" s="10" t="s">
        <v>911</v>
      </c>
      <c r="F2538" s="10">
        <v>1</v>
      </c>
      <c r="G2538" s="10" t="s">
        <v>231</v>
      </c>
      <c r="H2538" s="10" t="s">
        <v>233</v>
      </c>
      <c r="I2538" s="10" t="s">
        <v>209</v>
      </c>
      <c r="J2538" s="10">
        <v>118</v>
      </c>
      <c r="K2538" s="12">
        <v>44966</v>
      </c>
      <c r="L2538" s="33">
        <v>0.60195601851851854</v>
      </c>
      <c r="M2538" s="10">
        <v>1</v>
      </c>
      <c r="N2538" s="10" t="s">
        <v>169</v>
      </c>
      <c r="O2538" s="10">
        <v>5.03</v>
      </c>
      <c r="P2538" s="10">
        <v>0.24199999999999999</v>
      </c>
      <c r="Q2538" s="10">
        <v>621</v>
      </c>
      <c r="R2538" s="10" t="s">
        <v>77</v>
      </c>
      <c r="S2538" s="34">
        <f t="shared" si="284"/>
        <v>621</v>
      </c>
      <c r="T2538" s="10" t="s">
        <v>1176</v>
      </c>
      <c r="U2538" s="34">
        <f t="shared" si="287"/>
        <v>0.32154340836012862</v>
      </c>
      <c r="V2538" s="31" t="str">
        <f>IF(H2538="CHK",VLOOKUP(I2538,QCCHK,3,),IF(H2538="GUP",VLOOKUP(E2538,QCGUP,2,),IF(AND(H2538="ATP",OR(I2538="TN",I2538="TDN",I2538="TNO2-3",I2538="NO2-3")),VLOOKUP(E2538,QCREC_N,2,),IF(AND(H2538="NIC",OR(I2538="TN",I2538="TDN",I2538="TNO2-3",I2538="NO2-3")),VLOOKUP(E2538,QCNIC_N,2,),IF(AND(H2538="UREA",OR(I2538="TN",I2538="TDN",I2538="TNO2-3",I2538="NO2-3")),VLOOKUP(E2538,QCUREA_N,2,),IF(H2538="PER",VLOOKUP(I2538,QCPER,MATCH(E2538,QCACTUAL!$J$25:$AA$25,0),),IF(H2538="SPK",VLOOKUP(I2538,QCSPK,3,),IF(AND(H2538="ATP",OR(I2538="TP",I2538="TDP")),VLOOKUP(E2538,QCATP_P,2,),""))))))))</f>
        <v/>
      </c>
      <c r="W2538" s="31" t="str">
        <f t="shared" si="288"/>
        <v>TRUE</v>
      </c>
      <c r="X2538" s="31" t="str">
        <f t="shared" si="283"/>
        <v>((ABS(rep1-rep2))/((rep1+rep2)/2)*100</v>
      </c>
      <c r="Y2538" s="10" t="s">
        <v>1144</v>
      </c>
      <c r="AL2538" s="10" t="str">
        <f t="shared" si="285"/>
        <v>FALSE</v>
      </c>
      <c r="AM2538" s="10" t="str">
        <f t="shared" si="285"/>
        <v>FALSE</v>
      </c>
      <c r="AN2538" s="10" t="str">
        <f t="shared" si="285"/>
        <v>FALSE</v>
      </c>
      <c r="AO2538" s="10" t="str">
        <f t="shared" si="286"/>
        <v>FALSE</v>
      </c>
      <c r="AP2538" s="10" t="str">
        <f t="shared" si="286"/>
        <v>FALSE</v>
      </c>
      <c r="AQ2538" s="10" t="b">
        <f>IF(AND(I2538="TP",S2538&lt;=150),VLOOKUP(AF2538,TPCalibEq150!$AZ$2:$BB$55,3,),IF(AND(I2538="TDP",S2538&lt;=150),VLOOKUP(AF2538,TPCalibEq150!$AZ$2:$BB$55,3,)))</f>
        <v>0</v>
      </c>
      <c r="AR2538" s="10" t="b">
        <f>IF(AND(I2538="TP",S2538&lt;=300),VLOOKUP(AF2538,TPCalibEq300!$AZ$2:$BB$55,3,),IF(AND(I2538="TDP",S2538&lt;=300),VLOOKUP(AF2538,TPCalibEq300!$AZ$2:$BB$55,3,)))</f>
        <v>0</v>
      </c>
      <c r="AS2538" s="10" t="b">
        <f>IF(AND(I2538="TP",S2538&lt;=500),VLOOKUP(AF2538,TPCalibEq500!$AZ$2:$BB$56,3,),IF(AND(I2538="TDP",S2538&lt;=500),VLOOKUP(AF2538,TPCalibEq500!$AZ$2:$BB$56,3,)))</f>
        <v>0</v>
      </c>
      <c r="AT2538" s="10" t="b">
        <f>IF(AND(I2538="TN",S2538&lt;=2800),VLOOKUP(AF2538,TNCalibEq2500!$AZ$2:$BB$56,3,),IF(AND(I2538="TDN",S2538&lt;=2800),VLOOKUP(AF2538,TNCalibEq2500!$AZ$2:$BB$56,3,)))</f>
        <v>0</v>
      </c>
      <c r="AU2538" s="10" t="b">
        <f>IF(I2538="TP",VLOOKUP(AF2538,TPCalibEqFull!$AZ$2:$BB$56,3),IF(I2538="TDP",VLOOKUP(AF2538,TPCalibEqFull!$AZ$2:$BB$56,3),IF(I2538="TDN",VLOOKUP(AF2538,TNCalibEqFull!$AZ$1:$BB$56,3),IF(I2538="TN",VLOOKUP(AF2538,TNCalibEqFull!$AZ$1:$BB$56,3),FALSE))))</f>
        <v>0</v>
      </c>
      <c r="AV2538" s="10" t="str">
        <f t="shared" si="289"/>
        <v>0208 10:20:00-BUO-46-FIL-1-SW-DUP</v>
      </c>
    </row>
    <row r="2539" spans="1:48" s="10" customFormat="1" x14ac:dyDescent="0.55000000000000004">
      <c r="A2539" s="32">
        <v>44965</v>
      </c>
      <c r="B2539" s="33">
        <v>0.43055555555555558</v>
      </c>
      <c r="C2539" s="10" t="s">
        <v>611</v>
      </c>
      <c r="D2539" s="10">
        <v>46</v>
      </c>
      <c r="E2539" s="10" t="s">
        <v>911</v>
      </c>
      <c r="F2539" s="10">
        <v>1</v>
      </c>
      <c r="G2539" s="10" t="s">
        <v>231</v>
      </c>
      <c r="H2539" s="10" t="s">
        <v>314</v>
      </c>
      <c r="I2539" s="10" t="s">
        <v>209</v>
      </c>
      <c r="J2539" s="10">
        <v>132</v>
      </c>
      <c r="K2539" s="12">
        <v>44966</v>
      </c>
      <c r="L2539" s="33">
        <v>0.60276620370370371</v>
      </c>
      <c r="M2539" s="10">
        <v>1</v>
      </c>
      <c r="N2539" s="10" t="s">
        <v>169</v>
      </c>
      <c r="O2539" s="10">
        <v>10</v>
      </c>
      <c r="P2539" s="10">
        <v>0.47399999999999998</v>
      </c>
      <c r="Q2539" s="10">
        <v>1230</v>
      </c>
      <c r="R2539" s="10" t="s">
        <v>77</v>
      </c>
      <c r="S2539" s="34">
        <f t="shared" si="284"/>
        <v>1230</v>
      </c>
      <c r="T2539" s="10" t="s">
        <v>1176</v>
      </c>
      <c r="U2539" s="34">
        <f t="shared" si="287"/>
        <v>97.44</v>
      </c>
      <c r="V2539" s="31">
        <f>IF(H2539="CHK",VLOOKUP(I2539,QCCHK,3,),IF(H2539="GUP",VLOOKUP(E2539,QCGUP,2,),IF(AND(H2539="ATP",OR(I2539="TN",I2539="TDN",I2539="TNO2-3",I2539="NO2-3")),VLOOKUP(E2539,QCREC_N,2,),IF(AND(H2539="NIC",OR(I2539="TN",I2539="TDN",I2539="TNO2-3",I2539="NO2-3")),VLOOKUP(E2539,QCNIC_N,2,),IF(AND(H2539="UREA",OR(I2539="TN",I2539="TDN",I2539="TNO2-3",I2539="NO2-3")),VLOOKUP(E2539,QCUREA_N,2,),IF(H2539="PER",VLOOKUP(I2539,QCPER,MATCH(E2539,QCACTUAL!$J$25:$AA$25,0),),IF(H2539="SPK",VLOOKUP(I2539,QCSPK,3,),IF(AND(H2539="ATP",OR(I2539="TP",I2539="TDP")),VLOOKUP(E2539,QCATP_P,2,),""))))))))</f>
        <v>625</v>
      </c>
      <c r="W2539" s="31" t="str">
        <f t="shared" si="288"/>
        <v>TRUE</v>
      </c>
      <c r="X2539" s="31" t="str">
        <f t="shared" si="283"/>
        <v>([spikedunkn]-[unkn])/[spike]*100</v>
      </c>
      <c r="Y2539" s="10" t="s">
        <v>1144</v>
      </c>
      <c r="AL2539" s="10" t="str">
        <f t="shared" si="285"/>
        <v>FALSE</v>
      </c>
      <c r="AM2539" s="10" t="str">
        <f t="shared" si="285"/>
        <v>FALSE</v>
      </c>
      <c r="AN2539" s="10" t="str">
        <f t="shared" si="285"/>
        <v>FALSE</v>
      </c>
      <c r="AO2539" s="10" t="str">
        <f t="shared" si="286"/>
        <v>FALSE</v>
      </c>
      <c r="AP2539" s="10" t="str">
        <f t="shared" si="286"/>
        <v>FALSE</v>
      </c>
      <c r="AQ2539" s="10" t="b">
        <f>IF(AND(I2539="TP",S2539&lt;=150),VLOOKUP(AF2539,TPCalibEq150!$AZ$2:$BB$55,3,),IF(AND(I2539="TDP",S2539&lt;=150),VLOOKUP(AF2539,TPCalibEq150!$AZ$2:$BB$55,3,)))</f>
        <v>0</v>
      </c>
      <c r="AR2539" s="10" t="b">
        <f>IF(AND(I2539="TP",S2539&lt;=300),VLOOKUP(AF2539,TPCalibEq300!$AZ$2:$BB$55,3,),IF(AND(I2539="TDP",S2539&lt;=300),VLOOKUP(AF2539,TPCalibEq300!$AZ$2:$BB$55,3,)))</f>
        <v>0</v>
      </c>
      <c r="AS2539" s="10" t="b">
        <f>IF(AND(I2539="TP",S2539&lt;=500),VLOOKUP(AF2539,TPCalibEq500!$AZ$2:$BB$56,3,),IF(AND(I2539="TDP",S2539&lt;=500),VLOOKUP(AF2539,TPCalibEq500!$AZ$2:$BB$56,3,)))</f>
        <v>0</v>
      </c>
      <c r="AT2539" s="10" t="b">
        <f>IF(AND(I2539="TN",S2539&lt;=2800),VLOOKUP(AF2539,TNCalibEq2500!$AZ$2:$BB$56,3,),IF(AND(I2539="TDN",S2539&lt;=2800),VLOOKUP(AF2539,TNCalibEq2500!$AZ$2:$BB$56,3,)))</f>
        <v>0</v>
      </c>
      <c r="AU2539" s="10" t="b">
        <f>IF(I2539="TP",VLOOKUP(AF2539,TPCalibEqFull!$AZ$2:$BB$56,3),IF(I2539="TDP",VLOOKUP(AF2539,TPCalibEqFull!$AZ$2:$BB$56,3),IF(I2539="TDN",VLOOKUP(AF2539,TNCalibEqFull!$AZ$1:$BB$56,3),IF(I2539="TN",VLOOKUP(AF2539,TNCalibEqFull!$AZ$1:$BB$56,3),FALSE))))</f>
        <v>0</v>
      </c>
      <c r="AV2539" s="10" t="str">
        <f t="shared" si="289"/>
        <v>0208 10:20:00-BUO-46-FIL-1-SW-SPK</v>
      </c>
    </row>
    <row r="2540" spans="1:48" s="10" customFormat="1" x14ac:dyDescent="0.55000000000000004">
      <c r="A2540" s="32">
        <v>44966</v>
      </c>
      <c r="B2540" s="33">
        <v>0.375</v>
      </c>
      <c r="C2540" s="10" t="s">
        <v>70</v>
      </c>
      <c r="D2540" s="10" t="s">
        <v>71</v>
      </c>
      <c r="E2540" s="10" t="s">
        <v>901</v>
      </c>
      <c r="F2540" s="10">
        <v>1</v>
      </c>
      <c r="G2540" s="10" t="s">
        <v>73</v>
      </c>
      <c r="H2540" s="10" t="s">
        <v>207</v>
      </c>
      <c r="I2540" s="10" t="s">
        <v>256</v>
      </c>
      <c r="J2540" s="10">
        <v>200</v>
      </c>
      <c r="K2540" s="12">
        <v>44966</v>
      </c>
      <c r="L2540" s="33">
        <v>0.60359953703703706</v>
      </c>
      <c r="M2540" s="10">
        <v>1</v>
      </c>
      <c r="N2540" s="10" t="s">
        <v>169</v>
      </c>
      <c r="O2540" s="10">
        <v>2.2400000000000002</v>
      </c>
      <c r="P2540" s="10">
        <v>0.108</v>
      </c>
      <c r="Q2540" s="10">
        <v>276</v>
      </c>
      <c r="R2540" s="10" t="s">
        <v>77</v>
      </c>
      <c r="S2540" s="34">
        <f t="shared" si="284"/>
        <v>276</v>
      </c>
      <c r="T2540" s="10" t="s">
        <v>1176</v>
      </c>
      <c r="U2540" s="34">
        <f t="shared" si="287"/>
        <v>92</v>
      </c>
      <c r="V2540" s="31">
        <f>IF(H2540="CHK",VLOOKUP(I2540,QCCHK,3,),IF(H2540="GUP",VLOOKUP(E2540,QCGUP,2,),IF(AND(H2540="ATP",OR(I2540="TN",I2540="TDN",I2540="TNO2-3",I2540="NO2-3")),VLOOKUP(E2540,QCREC_N,2,),IF(AND(H2540="NIC",OR(I2540="TN",I2540="TDN",I2540="TNO2-3",I2540="NO2-3")),VLOOKUP(E2540,QCNIC_N,2,),IF(AND(H2540="UREA",OR(I2540="TN",I2540="TDN",I2540="TNO2-3",I2540="NO2-3")),VLOOKUP(E2540,QCUREA_N,2,),IF(H2540="PER",VLOOKUP(I2540,QCPER,MATCH(E2540,QCACTUAL!$J$25:$AA$25,0),),IF(H2540="SPK",VLOOKUP(I2540,QCSPK,3,),IF(AND(H2540="ATP",OR(I2540="TP",I2540="TDP")),VLOOKUP(E2540,QCATP_P,2,),""))))))))</f>
        <v>300</v>
      </c>
      <c r="W2540" s="31" t="str">
        <f t="shared" si="288"/>
        <v>TRUE</v>
      </c>
      <c r="X2540" s="31" t="str">
        <f t="shared" si="283"/>
        <v>[chk]/[actual]*100</v>
      </c>
      <c r="Y2540" s="10" t="s">
        <v>1144</v>
      </c>
      <c r="AL2540" s="10" t="str">
        <f t="shared" si="285"/>
        <v>FALSE</v>
      </c>
      <c r="AM2540" s="10" t="str">
        <f t="shared" si="285"/>
        <v>FALSE</v>
      </c>
      <c r="AN2540" s="10" t="str">
        <f t="shared" si="285"/>
        <v>FALSE</v>
      </c>
      <c r="AO2540" s="10" t="str">
        <f t="shared" si="286"/>
        <v>FALSE</v>
      </c>
      <c r="AP2540" s="10" t="str">
        <f t="shared" si="286"/>
        <v>FALSE</v>
      </c>
      <c r="AQ2540" s="10" t="b">
        <f>IF(AND(I2540="TP",S2540&lt;=150),VLOOKUP(AF2540,TPCalibEq150!$AZ$2:$BB$55,3,),IF(AND(I2540="TDP",S2540&lt;=150),VLOOKUP(AF2540,TPCalibEq150!$AZ$2:$BB$55,3,)))</f>
        <v>0</v>
      </c>
      <c r="AR2540" s="10" t="b">
        <f>IF(AND(I2540="TP",S2540&lt;=300),VLOOKUP(AF2540,TPCalibEq300!$AZ$2:$BB$55,3,),IF(AND(I2540="TDP",S2540&lt;=300),VLOOKUP(AF2540,TPCalibEq300!$AZ$2:$BB$55,3,)))</f>
        <v>0</v>
      </c>
      <c r="AS2540" s="10" t="b">
        <f>IF(AND(I2540="TP",S2540&lt;=500),VLOOKUP(AF2540,TPCalibEq500!$AZ$2:$BB$56,3,),IF(AND(I2540="TDP",S2540&lt;=500),VLOOKUP(AF2540,TPCalibEq500!$AZ$2:$BB$56,3,)))</f>
        <v>0</v>
      </c>
      <c r="AT2540" s="10" t="b">
        <f>IF(AND(I2540="TN",S2540&lt;=2800),VLOOKUP(AF2540,TNCalibEq2500!$AZ$2:$BB$56,3,),IF(AND(I2540="TDN",S2540&lt;=2800),VLOOKUP(AF2540,TNCalibEq2500!$AZ$2:$BB$56,3,)))</f>
        <v>0</v>
      </c>
      <c r="AU2540" s="10" t="b">
        <f>IF(I2540="TP",VLOOKUP(AF2540,TPCalibEqFull!$AZ$2:$BB$56,3),IF(I2540="TDP",VLOOKUP(AF2540,TPCalibEqFull!$AZ$2:$BB$56,3),IF(I2540="TDN",VLOOKUP(AF2540,TNCalibEqFull!$AZ$1:$BB$56,3),IF(I2540="TN",VLOOKUP(AF2540,TNCalibEqFull!$AZ$1:$BB$56,3),FALSE))))</f>
        <v>0</v>
      </c>
      <c r="AV2540" s="10" t="str">
        <f t="shared" si="289"/>
        <v>0209 09:00:00-QAC-STD-D-1-DI-CHK</v>
      </c>
    </row>
    <row r="2541" spans="1:48" s="10" customFormat="1" x14ac:dyDescent="0.55000000000000004">
      <c r="A2541" s="32">
        <v>44964</v>
      </c>
      <c r="B2541" s="33">
        <v>0.22777777777777777</v>
      </c>
      <c r="C2541" s="10" t="s">
        <v>912</v>
      </c>
      <c r="D2541" s="10">
        <v>0</v>
      </c>
      <c r="E2541" s="10" t="s">
        <v>911</v>
      </c>
      <c r="F2541" s="10">
        <v>1</v>
      </c>
      <c r="G2541" s="10" t="s">
        <v>231</v>
      </c>
      <c r="H2541" s="10" t="s">
        <v>314</v>
      </c>
      <c r="I2541" s="10" t="s">
        <v>209</v>
      </c>
      <c r="J2541" s="10">
        <v>126</v>
      </c>
      <c r="K2541" s="12">
        <v>44966</v>
      </c>
      <c r="L2541" s="33">
        <v>0.60440972222222222</v>
      </c>
      <c r="M2541" s="10">
        <v>1</v>
      </c>
      <c r="N2541" s="10" t="s">
        <v>169</v>
      </c>
      <c r="O2541" s="10">
        <v>10.6</v>
      </c>
      <c r="P2541" s="10">
        <v>0.5</v>
      </c>
      <c r="Q2541" s="10">
        <v>1310</v>
      </c>
      <c r="R2541" s="10" t="s">
        <v>77</v>
      </c>
      <c r="S2541" s="34">
        <f t="shared" si="284"/>
        <v>1310</v>
      </c>
      <c r="T2541" s="10" t="s">
        <v>1176</v>
      </c>
      <c r="U2541" s="34">
        <f t="shared" si="287"/>
        <v>165.44</v>
      </c>
      <c r="V2541" s="31">
        <f>IF(H2541="CHK",VLOOKUP(I2541,QCCHK,3,),IF(H2541="GUP",VLOOKUP(E2541,QCGUP,2,),IF(AND(H2541="ATP",OR(I2541="TN",I2541="TDN",I2541="TNO2-3",I2541="NO2-3")),VLOOKUP(E2541,QCREC_N,2,),IF(AND(H2541="NIC",OR(I2541="TN",I2541="TDN",I2541="TNO2-3",I2541="NO2-3")),VLOOKUP(E2541,QCNIC_N,2,),IF(AND(H2541="UREA",OR(I2541="TN",I2541="TDN",I2541="TNO2-3",I2541="NO2-3")),VLOOKUP(E2541,QCUREA_N,2,),IF(H2541="PER",VLOOKUP(I2541,QCPER,MATCH(E2541,QCACTUAL!$J$25:$AA$25,0),),IF(H2541="SPK",VLOOKUP(I2541,QCSPK,3,),IF(AND(H2541="ATP",OR(I2541="TP",I2541="TDP")),VLOOKUP(E2541,QCATP_P,2,),""))))))))</f>
        <v>625</v>
      </c>
      <c r="W2541" s="31" t="str">
        <f t="shared" si="288"/>
        <v>FALSE</v>
      </c>
      <c r="X2541" s="31" t="str">
        <f t="shared" si="283"/>
        <v>([spikedunkn]-[unkn])/[spike]*100</v>
      </c>
      <c r="Y2541" s="10" t="s">
        <v>1144</v>
      </c>
      <c r="Z2541" s="10" t="s">
        <v>910</v>
      </c>
      <c r="AL2541" s="10" t="str">
        <f t="shared" si="285"/>
        <v>FALSE</v>
      </c>
      <c r="AM2541" s="10" t="str">
        <f t="shared" si="285"/>
        <v>FALSE</v>
      </c>
      <c r="AN2541" s="10" t="str">
        <f t="shared" si="285"/>
        <v>FALSE</v>
      </c>
      <c r="AO2541" s="10" t="str">
        <f t="shared" si="286"/>
        <v>FALSE</v>
      </c>
      <c r="AP2541" s="10" t="str">
        <f t="shared" si="286"/>
        <v>FALSE</v>
      </c>
      <c r="AQ2541" s="10" t="b">
        <f>IF(AND(I2541="TP",S2541&lt;=150),VLOOKUP(AF2541,TPCalibEq150!$AZ$2:$BB$55,3,),IF(AND(I2541="TDP",S2541&lt;=150),VLOOKUP(AF2541,TPCalibEq150!$AZ$2:$BB$55,3,)))</f>
        <v>0</v>
      </c>
      <c r="AR2541" s="10" t="b">
        <f>IF(AND(I2541="TP",S2541&lt;=300),VLOOKUP(AF2541,TPCalibEq300!$AZ$2:$BB$55,3,),IF(AND(I2541="TDP",S2541&lt;=300),VLOOKUP(AF2541,TPCalibEq300!$AZ$2:$BB$55,3,)))</f>
        <v>0</v>
      </c>
      <c r="AS2541" s="10" t="b">
        <f>IF(AND(I2541="TP",S2541&lt;=500),VLOOKUP(AF2541,TPCalibEq500!$AZ$2:$BB$56,3,),IF(AND(I2541="TDP",S2541&lt;=500),VLOOKUP(AF2541,TPCalibEq500!$AZ$2:$BB$56,3,)))</f>
        <v>0</v>
      </c>
      <c r="AT2541" s="10" t="b">
        <f>IF(AND(I2541="TN",S2541&lt;=2800),VLOOKUP(AF2541,TNCalibEq2500!$AZ$2:$BB$56,3,),IF(AND(I2541="TDN",S2541&lt;=2800),VLOOKUP(AF2541,TNCalibEq2500!$AZ$2:$BB$56,3,)))</f>
        <v>0</v>
      </c>
      <c r="AU2541" s="10" t="b">
        <f>IF(I2541="TP",VLOOKUP(AF2541,TPCalibEqFull!$AZ$2:$BB$56,3),IF(I2541="TDP",VLOOKUP(AF2541,TPCalibEqFull!$AZ$2:$BB$56,3),IF(I2541="TDN",VLOOKUP(AF2541,TNCalibEqFull!$AZ$1:$BB$56,3),IF(I2541="TN",VLOOKUP(AF2541,TNCalibEqFull!$AZ$1:$BB$56,3),FALSE))))</f>
        <v>0</v>
      </c>
      <c r="AV2541" s="10" t="str">
        <f t="shared" si="289"/>
        <v>0207 05:28:00-HST -0-FIL-1-SW-SPK</v>
      </c>
    </row>
    <row r="2542" spans="1:48" s="10" customFormat="1" x14ac:dyDescent="0.55000000000000004">
      <c r="A2542" s="32">
        <v>44963</v>
      </c>
      <c r="B2542" s="33">
        <v>0.4604166666666667</v>
      </c>
      <c r="C2542" s="10" t="s">
        <v>613</v>
      </c>
      <c r="D2542" s="10">
        <v>0</v>
      </c>
      <c r="E2542" s="10" t="s">
        <v>911</v>
      </c>
      <c r="F2542" s="10">
        <v>2</v>
      </c>
      <c r="G2542" s="10" t="s">
        <v>231</v>
      </c>
      <c r="H2542" s="10" t="s">
        <v>314</v>
      </c>
      <c r="I2542" s="10" t="s">
        <v>209</v>
      </c>
      <c r="J2542" s="10">
        <v>127</v>
      </c>
      <c r="K2542" s="12">
        <v>44966</v>
      </c>
      <c r="L2542" s="33">
        <v>0.60523148148148154</v>
      </c>
      <c r="M2542" s="10">
        <v>1</v>
      </c>
      <c r="N2542" s="10" t="s">
        <v>169</v>
      </c>
      <c r="O2542" s="10">
        <v>5.98</v>
      </c>
      <c r="P2542" s="10">
        <v>0.28000000000000003</v>
      </c>
      <c r="Q2542" s="10">
        <v>738</v>
      </c>
      <c r="R2542" s="10" t="s">
        <v>77</v>
      </c>
      <c r="S2542" s="34">
        <f t="shared" si="284"/>
        <v>738</v>
      </c>
      <c r="T2542" s="10" t="s">
        <v>1176</v>
      </c>
      <c r="U2542" s="34">
        <f t="shared" si="287"/>
        <v>-91.52</v>
      </c>
      <c r="V2542" s="31">
        <f>IF(H2542="CHK",VLOOKUP(I2542,QCCHK,3,),IF(H2542="GUP",VLOOKUP(E2542,QCGUP,2,),IF(AND(H2542="ATP",OR(I2542="TN",I2542="TDN",I2542="TNO2-3",I2542="NO2-3")),VLOOKUP(E2542,QCREC_N,2,),IF(AND(H2542="NIC",OR(I2542="TN",I2542="TDN",I2542="TNO2-3",I2542="NO2-3")),VLOOKUP(E2542,QCNIC_N,2,),IF(AND(H2542="UREA",OR(I2542="TN",I2542="TDN",I2542="TNO2-3",I2542="NO2-3")),VLOOKUP(E2542,QCUREA_N,2,),IF(H2542="PER",VLOOKUP(I2542,QCPER,MATCH(E2542,QCACTUAL!$J$25:$AA$25,0),),IF(H2542="SPK",VLOOKUP(I2542,QCSPK,3,),IF(AND(H2542="ATP",OR(I2542="TP",I2542="TDP")),VLOOKUP(E2542,QCATP_P,2,),""))))))))</f>
        <v>625</v>
      </c>
      <c r="W2542" s="31" t="str">
        <f t="shared" si="288"/>
        <v>FALSE</v>
      </c>
      <c r="X2542" s="31" t="str">
        <f t="shared" si="283"/>
        <v>([spikedunkn]-[unkn])/[spike]*100</v>
      </c>
      <c r="Y2542" s="10" t="s">
        <v>1144</v>
      </c>
      <c r="Z2542" s="10" t="s">
        <v>910</v>
      </c>
      <c r="AL2542" s="10" t="str">
        <f t="shared" si="285"/>
        <v>FALSE</v>
      </c>
      <c r="AM2542" s="10" t="str">
        <f t="shared" si="285"/>
        <v>FALSE</v>
      </c>
      <c r="AN2542" s="10" t="str">
        <f t="shared" si="285"/>
        <v>FALSE</v>
      </c>
      <c r="AO2542" s="10" t="str">
        <f t="shared" si="286"/>
        <v>FALSE</v>
      </c>
      <c r="AP2542" s="10" t="str">
        <f t="shared" si="286"/>
        <v>FALSE</v>
      </c>
      <c r="AQ2542" s="10" t="b">
        <f>IF(AND(I2542="TP",S2542&lt;=150),VLOOKUP(AF2542,TPCalibEq150!$AZ$2:$BB$55,3,),IF(AND(I2542="TDP",S2542&lt;=150),VLOOKUP(AF2542,TPCalibEq150!$AZ$2:$BB$55,3,)))</f>
        <v>0</v>
      </c>
      <c r="AR2542" s="10" t="b">
        <f>IF(AND(I2542="TP",S2542&lt;=300),VLOOKUP(AF2542,TPCalibEq300!$AZ$2:$BB$55,3,),IF(AND(I2542="TDP",S2542&lt;=300),VLOOKUP(AF2542,TPCalibEq300!$AZ$2:$BB$55,3,)))</f>
        <v>0</v>
      </c>
      <c r="AS2542" s="10" t="b">
        <f>IF(AND(I2542="TP",S2542&lt;=500),VLOOKUP(AF2542,TPCalibEq500!$AZ$2:$BB$56,3,),IF(AND(I2542="TDP",S2542&lt;=500),VLOOKUP(AF2542,TPCalibEq500!$AZ$2:$BB$56,3,)))</f>
        <v>0</v>
      </c>
      <c r="AT2542" s="10" t="b">
        <f>IF(AND(I2542="TN",S2542&lt;=2800),VLOOKUP(AF2542,TNCalibEq2500!$AZ$2:$BB$56,3,),IF(AND(I2542="TDN",S2542&lt;=2800),VLOOKUP(AF2542,TNCalibEq2500!$AZ$2:$BB$56,3,)))</f>
        <v>0</v>
      </c>
      <c r="AU2542" s="10" t="b">
        <f>IF(I2542="TP",VLOOKUP(AF2542,TPCalibEqFull!$AZ$2:$BB$56,3),IF(I2542="TDP",VLOOKUP(AF2542,TPCalibEqFull!$AZ$2:$BB$56,3),IF(I2542="TDN",VLOOKUP(AF2542,TNCalibEqFull!$AZ$1:$BB$56,3),IF(I2542="TN",VLOOKUP(AF2542,TNCalibEqFull!$AZ$1:$BB$56,3),FALSE))))</f>
        <v>0</v>
      </c>
      <c r="AV2542" s="10" t="str">
        <f t="shared" si="289"/>
        <v>0206 11:03:00-FVC-0-FIL-2-SW-SPK</v>
      </c>
    </row>
    <row r="2543" spans="1:48" s="10" customFormat="1" x14ac:dyDescent="0.55000000000000004">
      <c r="A2543" s="32">
        <v>44966</v>
      </c>
      <c r="B2543" s="33">
        <v>0.375</v>
      </c>
      <c r="C2543" s="10" t="s">
        <v>70</v>
      </c>
      <c r="D2543" s="10" t="s">
        <v>71</v>
      </c>
      <c r="E2543" s="10" t="s">
        <v>901</v>
      </c>
      <c r="F2543" s="10">
        <v>1</v>
      </c>
      <c r="G2543" s="10" t="s">
        <v>73</v>
      </c>
      <c r="H2543" s="10" t="s">
        <v>207</v>
      </c>
      <c r="I2543" s="10" t="s">
        <v>256</v>
      </c>
      <c r="J2543" s="10">
        <v>200</v>
      </c>
      <c r="K2543" s="12">
        <v>44966</v>
      </c>
      <c r="L2543" s="33">
        <v>0.61667824074074074</v>
      </c>
      <c r="M2543" s="10">
        <v>1</v>
      </c>
      <c r="N2543" s="10" t="s">
        <v>169</v>
      </c>
      <c r="O2543" s="10">
        <v>2.15</v>
      </c>
      <c r="P2543" s="10">
        <v>0.10299999999999999</v>
      </c>
      <c r="Q2543" s="10">
        <v>265</v>
      </c>
      <c r="R2543" s="10" t="s">
        <v>77</v>
      </c>
      <c r="S2543" s="34">
        <f t="shared" si="284"/>
        <v>265</v>
      </c>
      <c r="T2543" s="10" t="s">
        <v>1176</v>
      </c>
      <c r="U2543" s="34">
        <f t="shared" si="287"/>
        <v>88.333333333333329</v>
      </c>
      <c r="V2543" s="31">
        <f>IF(H2543="CHK",VLOOKUP(I2543,QCCHK,3,),IF(H2543="GUP",VLOOKUP(E2543,QCGUP,2,),IF(AND(H2543="ATP",OR(I2543="TN",I2543="TDN",I2543="TNO2-3",I2543="NO2-3")),VLOOKUP(E2543,QCREC_N,2,),IF(AND(H2543="NIC",OR(I2543="TN",I2543="TDN",I2543="TNO2-3",I2543="NO2-3")),VLOOKUP(E2543,QCNIC_N,2,),IF(AND(H2543="UREA",OR(I2543="TN",I2543="TDN",I2543="TNO2-3",I2543="NO2-3")),VLOOKUP(E2543,QCUREA_N,2,),IF(H2543="PER",VLOOKUP(I2543,QCPER,MATCH(E2543,QCACTUAL!$J$25:$AA$25,0),),IF(H2543="SPK",VLOOKUP(I2543,QCSPK,3,),IF(AND(H2543="ATP",OR(I2543="TP",I2543="TDP")),VLOOKUP(E2543,QCATP_P,2,),""))))))))</f>
        <v>300</v>
      </c>
      <c r="W2543" s="31" t="str">
        <f t="shared" si="288"/>
        <v>TRUE</v>
      </c>
      <c r="X2543" s="31" t="str">
        <f t="shared" si="283"/>
        <v>[chk]/[actual]*100</v>
      </c>
      <c r="Y2543" s="10" t="s">
        <v>1144</v>
      </c>
      <c r="AL2543" s="10" t="str">
        <f t="shared" si="285"/>
        <v>FALSE</v>
      </c>
      <c r="AM2543" s="10" t="str">
        <f t="shared" si="285"/>
        <v>FALSE</v>
      </c>
      <c r="AN2543" s="10" t="str">
        <f t="shared" si="285"/>
        <v>FALSE</v>
      </c>
      <c r="AO2543" s="10" t="str">
        <f t="shared" si="286"/>
        <v>FALSE</v>
      </c>
      <c r="AP2543" s="10" t="str">
        <f t="shared" si="286"/>
        <v>FALSE</v>
      </c>
      <c r="AQ2543" s="10" t="b">
        <f>IF(AND(I2543="TP",S2543&lt;=150),VLOOKUP(AF2543,TPCalibEq150!$AZ$2:$BB$55,3,),IF(AND(I2543="TDP",S2543&lt;=150),VLOOKUP(AF2543,TPCalibEq150!$AZ$2:$BB$55,3,)))</f>
        <v>0</v>
      </c>
      <c r="AR2543" s="10" t="b">
        <f>IF(AND(I2543="TP",S2543&lt;=300),VLOOKUP(AF2543,TPCalibEq300!$AZ$2:$BB$55,3,),IF(AND(I2543="TDP",S2543&lt;=300),VLOOKUP(AF2543,TPCalibEq300!$AZ$2:$BB$55,3,)))</f>
        <v>0</v>
      </c>
      <c r="AS2543" s="10" t="b">
        <f>IF(AND(I2543="TP",S2543&lt;=500),VLOOKUP(AF2543,TPCalibEq500!$AZ$2:$BB$56,3,),IF(AND(I2543="TDP",S2543&lt;=500),VLOOKUP(AF2543,TPCalibEq500!$AZ$2:$BB$56,3,)))</f>
        <v>0</v>
      </c>
      <c r="AT2543" s="10" t="b">
        <f>IF(AND(I2543="TN",S2543&lt;=2800),VLOOKUP(AF2543,TNCalibEq2500!$AZ$2:$BB$56,3,),IF(AND(I2543="TDN",S2543&lt;=2800),VLOOKUP(AF2543,TNCalibEq2500!$AZ$2:$BB$56,3,)))</f>
        <v>0</v>
      </c>
      <c r="AU2543" s="10" t="b">
        <f>IF(I2543="TP",VLOOKUP(AF2543,TPCalibEqFull!$AZ$2:$BB$56,3),IF(I2543="TDP",VLOOKUP(AF2543,TPCalibEqFull!$AZ$2:$BB$56,3),IF(I2543="TDN",VLOOKUP(AF2543,TNCalibEqFull!$AZ$1:$BB$56,3),IF(I2543="TN",VLOOKUP(AF2543,TNCalibEqFull!$AZ$1:$BB$56,3),FALSE))))</f>
        <v>0</v>
      </c>
      <c r="AV2543" s="10" t="str">
        <f t="shared" si="289"/>
        <v>0209 09:00:00-QAC-STD-D-1-DI-CHK</v>
      </c>
    </row>
    <row r="2544" spans="1:48" s="10" customFormat="1" x14ac:dyDescent="0.55000000000000004">
      <c r="A2544" s="32">
        <v>44966</v>
      </c>
      <c r="B2544" s="33">
        <v>0.375</v>
      </c>
      <c r="C2544" s="10" t="s">
        <v>70</v>
      </c>
      <c r="D2544" s="10" t="s">
        <v>71</v>
      </c>
      <c r="E2544" s="10" t="s">
        <v>917</v>
      </c>
      <c r="F2544" s="10">
        <v>1</v>
      </c>
      <c r="G2544" s="10" t="s">
        <v>73</v>
      </c>
      <c r="H2544" s="10" t="s">
        <v>74</v>
      </c>
      <c r="I2544" s="10" t="s">
        <v>235</v>
      </c>
      <c r="J2544" s="10">
        <v>181</v>
      </c>
      <c r="K2544" s="12">
        <v>44967</v>
      </c>
      <c r="L2544" s="33">
        <v>0.38619212962962962</v>
      </c>
      <c r="M2544" s="10">
        <v>1</v>
      </c>
      <c r="N2544" s="10" t="s">
        <v>196</v>
      </c>
      <c r="O2544" s="10">
        <v>0.69099999999999995</v>
      </c>
      <c r="P2544" s="10">
        <v>3.3500000000000002E-2</v>
      </c>
      <c r="Q2544" s="10">
        <v>0</v>
      </c>
      <c r="R2544" s="10" t="s">
        <v>170</v>
      </c>
      <c r="S2544" s="34">
        <f t="shared" si="284"/>
        <v>0</v>
      </c>
      <c r="T2544" s="10" t="s">
        <v>914</v>
      </c>
      <c r="U2544" s="34" t="str">
        <f t="shared" si="287"/>
        <v/>
      </c>
      <c r="V2544" s="31" t="str">
        <f>IF(H2544="CHK",VLOOKUP(I2544,QCCHK,3,),IF(H2544="GUP",VLOOKUP(E2544,QCGUP,2,),IF(AND(H2544="ATP",OR(I2544="TN",I2544="TDN",I2544="TNO2-3",I2544="NO2-3")),VLOOKUP(E2544,QCREC_N,2,),IF(AND(H2544="NIC",OR(I2544="TN",I2544="TDN",I2544="TNO2-3",I2544="NO2-3")),VLOOKUP(E2544,QCNIC_N,2,),IF(AND(H2544="UREA",OR(I2544="TN",I2544="TDN",I2544="TNO2-3",I2544="NO2-3")),VLOOKUP(E2544,QCUREA_N,2,),IF(H2544="PER",VLOOKUP(I2544,QCPER,MATCH(E2544,QCACTUAL!$J$25:$AA$25,0),),IF(H2544="SPK",VLOOKUP(I2544,QCSPK,3,),IF(AND(H2544="ATP",OR(I2544="TP",I2544="TDP")),VLOOKUP(E2544,QCATP_P,2,),""))))))))</f>
        <v/>
      </c>
      <c r="W2544" s="31" t="str">
        <f t="shared" si="288"/>
        <v>TRUE</v>
      </c>
      <c r="X2544" s="31" t="str">
        <f t="shared" si="283"/>
        <v/>
      </c>
      <c r="Y2544" s="10" t="s">
        <v>1178</v>
      </c>
      <c r="AF2544" s="12">
        <v>44967</v>
      </c>
      <c r="AJ2544" s="10">
        <f>-1.3255*0.691^2+193.01*0.691-127.15</f>
        <v>5.5870089344999769</v>
      </c>
      <c r="AK2544" s="10">
        <f>-0.215*0.691^2+181.97*0.691-117.15</f>
        <v>8.4886115849999868</v>
      </c>
      <c r="AL2544" s="10" t="str">
        <f t="shared" si="285"/>
        <v>FALSE</v>
      </c>
      <c r="AM2544" s="10" t="str">
        <f t="shared" si="285"/>
        <v>FALSE</v>
      </c>
      <c r="AN2544" s="10" t="str">
        <f t="shared" si="285"/>
        <v>FALSE</v>
      </c>
      <c r="AO2544" s="10" t="str">
        <f t="shared" si="286"/>
        <v>y=-1.3255*0.691^2+193.01*0.691-127.15</v>
      </c>
      <c r="AP2544" s="10" t="str">
        <f t="shared" si="286"/>
        <v>y=-0.215*0.691^2+181.97*0.691-117.15</v>
      </c>
      <c r="AQ2544" s="10" t="b">
        <f>IF(AND(I2544="TP",S2544&lt;=150),VLOOKUP(AF2544,TPCalibEq150!$AZ$2:$BB$55,3,),IF(AND(I2544="TDP",S2544&lt;=150),VLOOKUP(AF2544,TPCalibEq150!$AZ$2:$BB$55,3,)))</f>
        <v>0</v>
      </c>
      <c r="AR2544" s="10" t="b">
        <f>IF(AND(I2544="TP",S2544&lt;=300),VLOOKUP(AF2544,TPCalibEq300!$AZ$2:$BB$55,3,),IF(AND(I2544="TDP",S2544&lt;=300),VLOOKUP(AF2544,TPCalibEq300!$AZ$2:$BB$55,3,)))</f>
        <v>0</v>
      </c>
      <c r="AS2544" s="10" t="b">
        <f>IF(AND(I2544="TP",S2544&lt;=500),VLOOKUP(AF2544,TPCalibEq500!$AZ$2:$BB$56,3,),IF(AND(I2544="TDP",S2544&lt;=500),VLOOKUP(AF2544,TPCalibEq500!$AZ$2:$BB$56,3,)))</f>
        <v>0</v>
      </c>
      <c r="AT2544" s="10" t="str">
        <f>IF(AND(I2544="TN",S2544&lt;=2800),VLOOKUP(AF2544,TNCalibEq2500!$AZ$2:$BB$56,3,),IF(AND(I2544="TDN",S2544&lt;=2800),VLOOKUP(AF2544,TNCalibEq2500!$AZ$2:$BB$56,3,)))</f>
        <v>y=-1.3255x2+193.01x-127.15</v>
      </c>
      <c r="AU2544" s="10" t="str">
        <f>IF(I2544="TP",VLOOKUP(AF2544,TPCalibEqFull!$AZ$2:$BB$56,3),IF(I2544="TDP",VLOOKUP(AF2544,TPCalibEqFull!$AZ$2:$BB$56,3),IF(I2544="TDN",VLOOKUP(AF2544,TNCalibEqFull!$AZ$1:$BB$56,3),IF(I2544="TN",VLOOKUP(AF2544,TNCalibEqFull!$AZ$1:$BB$56,3),FALSE))))</f>
        <v>y=-0.215x2+181.97x-117.15</v>
      </c>
      <c r="AV2544" s="10" t="str">
        <f t="shared" si="289"/>
        <v>0209 09:00:00-QAC-STD-D.H-1-DI-CAL</v>
      </c>
    </row>
    <row r="2545" spans="1:48" s="10" customFormat="1" x14ac:dyDescent="0.55000000000000004">
      <c r="A2545" s="32">
        <v>44966</v>
      </c>
      <c r="B2545" s="33">
        <v>0.375</v>
      </c>
      <c r="C2545" s="10" t="s">
        <v>70</v>
      </c>
      <c r="D2545" s="10" t="s">
        <v>71</v>
      </c>
      <c r="E2545" s="10" t="s">
        <v>918</v>
      </c>
      <c r="F2545" s="10">
        <v>1</v>
      </c>
      <c r="G2545" s="10" t="s">
        <v>73</v>
      </c>
      <c r="H2545" s="10" t="s">
        <v>74</v>
      </c>
      <c r="I2545" s="10" t="s">
        <v>235</v>
      </c>
      <c r="J2545" s="10">
        <v>182</v>
      </c>
      <c r="K2545" s="12">
        <v>44967</v>
      </c>
      <c r="L2545" s="33">
        <v>0.38686342592592587</v>
      </c>
      <c r="M2545" s="10">
        <v>1</v>
      </c>
      <c r="N2545" s="10" t="s">
        <v>196</v>
      </c>
      <c r="O2545" s="10">
        <v>0.81499999999999995</v>
      </c>
      <c r="P2545" s="10">
        <v>3.9699999999999999E-2</v>
      </c>
      <c r="Q2545" s="10">
        <v>30</v>
      </c>
      <c r="R2545" s="10" t="s">
        <v>170</v>
      </c>
      <c r="S2545" s="34">
        <f t="shared" si="284"/>
        <v>30</v>
      </c>
      <c r="T2545" s="10" t="s">
        <v>1179</v>
      </c>
      <c r="U2545" s="34" t="str">
        <f t="shared" si="287"/>
        <v/>
      </c>
      <c r="V2545" s="31" t="str">
        <f>IF(H2545="CHK",VLOOKUP(I2545,QCCHK,3,),IF(H2545="GUP",VLOOKUP(E2545,QCGUP,2,),IF(AND(H2545="ATP",OR(I2545="TN",I2545="TDN",I2545="TNO2-3",I2545="NO2-3")),VLOOKUP(E2545,QCREC_N,2,),IF(AND(H2545="NIC",OR(I2545="TN",I2545="TDN",I2545="TNO2-3",I2545="NO2-3")),VLOOKUP(E2545,QCNIC_N,2,),IF(AND(H2545="UREA",OR(I2545="TN",I2545="TDN",I2545="TNO2-3",I2545="NO2-3")),VLOOKUP(E2545,QCUREA_N,2,),IF(H2545="PER",VLOOKUP(I2545,QCPER,MATCH(E2545,QCACTUAL!$J$25:$AA$25,0),),IF(H2545="SPK",VLOOKUP(I2545,QCSPK,3,),IF(AND(H2545="ATP",OR(I2545="TP",I2545="TDP")),VLOOKUP(E2545,QCATP_P,2,),""))))))))</f>
        <v/>
      </c>
      <c r="W2545" s="31" t="str">
        <f t="shared" si="288"/>
        <v>TRUE</v>
      </c>
      <c r="X2545" s="31" t="str">
        <f t="shared" si="283"/>
        <v/>
      </c>
      <c r="Y2545" s="10" t="s">
        <v>1178</v>
      </c>
      <c r="AF2545" s="12">
        <v>44967</v>
      </c>
      <c r="AJ2545" s="10">
        <f>-1.3255*0.815^2+193.01*0.815-127.15</f>
        <v>29.272719762499975</v>
      </c>
      <c r="AK2545" s="10">
        <f>-0.215*0.815^2+181.97*0.815-117.15</f>
        <v>31.01274162499999</v>
      </c>
      <c r="AL2545" s="10" t="str">
        <f t="shared" ref="AL2545:AN2608" si="290">IF($O2545="", "", IF(AQ2545&lt;&gt;"", SUBSTITUTE(SUBSTITUTE(AQ2545, "x", "*"&amp;$O2545&amp;"^", 1), "x", "*"&amp;$O2545, 1), ""))</f>
        <v>FALSE</v>
      </c>
      <c r="AM2545" s="10" t="str">
        <f t="shared" si="290"/>
        <v>FALSE</v>
      </c>
      <c r="AN2545" s="10" t="str">
        <f t="shared" si="290"/>
        <v>FALSE</v>
      </c>
      <c r="AO2545" s="10" t="str">
        <f t="shared" ref="AO2545:AP2608" si="291">IF($O2545="", "FALSE", IF(AT2545&lt;&gt;"FALSE", SUBSTITUTE(SUBSTITUTE(AT2545, "x", "*"&amp;$O2545&amp;"^", 1), "x", "*"&amp;$O2545, 1), ""))</f>
        <v>y=-1.3255*0.815^2+193.01*0.815-127.15</v>
      </c>
      <c r="AP2545" s="10" t="str">
        <f t="shared" si="291"/>
        <v>y=-0.215*0.815^2+181.97*0.815-117.15</v>
      </c>
      <c r="AQ2545" s="10" t="b">
        <f>IF(AND(I2545="TP",S2545&lt;=150),VLOOKUP(AF2545,TPCalibEq150!$AZ$2:$BB$55,3,),IF(AND(I2545="TDP",S2545&lt;=150),VLOOKUP(AF2545,TPCalibEq150!$AZ$2:$BB$55,3,)))</f>
        <v>0</v>
      </c>
      <c r="AR2545" s="10" t="b">
        <f>IF(AND(I2545="TP",S2545&lt;=300),VLOOKUP(AF2545,TPCalibEq300!$AZ$2:$BB$55,3,),IF(AND(I2545="TDP",S2545&lt;=300),VLOOKUP(AF2545,TPCalibEq300!$AZ$2:$BB$55,3,)))</f>
        <v>0</v>
      </c>
      <c r="AS2545" s="10" t="b">
        <f>IF(AND(I2545="TP",S2545&lt;=500),VLOOKUP(AF2545,TPCalibEq500!$AZ$2:$BB$56,3,),IF(AND(I2545="TDP",S2545&lt;=500),VLOOKUP(AF2545,TPCalibEq500!$AZ$2:$BB$56,3,)))</f>
        <v>0</v>
      </c>
      <c r="AT2545" s="10" t="str">
        <f>IF(AND(I2545="TN",S2545&lt;=2800),VLOOKUP(AF2545,TNCalibEq2500!$AZ$2:$BB$56,3,),IF(AND(I2545="TDN",S2545&lt;=2800),VLOOKUP(AF2545,TNCalibEq2500!$AZ$2:$BB$56,3,)))</f>
        <v>y=-1.3255x2+193.01x-127.15</v>
      </c>
      <c r="AU2545" s="10" t="str">
        <f>IF(I2545="TP",VLOOKUP(AF2545,TPCalibEqFull!$AZ$2:$BB$56,3),IF(I2545="TDP",VLOOKUP(AF2545,TPCalibEqFull!$AZ$2:$BB$56,3),IF(I2545="TDN",VLOOKUP(AF2545,TNCalibEqFull!$AZ$1:$BB$56,3),IF(I2545="TN",VLOOKUP(AF2545,TNCalibEqFull!$AZ$1:$BB$56,3),FALSE))))</f>
        <v>y=-0.215x2+181.97x-117.15</v>
      </c>
      <c r="AV2545" s="10" t="str">
        <f t="shared" si="289"/>
        <v>0209 09:00:00-QAC-STD-D.G-1-DI-CAL</v>
      </c>
    </row>
    <row r="2546" spans="1:48" s="10" customFormat="1" x14ac:dyDescent="0.55000000000000004">
      <c r="A2546" s="32">
        <v>44966</v>
      </c>
      <c r="B2546" s="33">
        <v>0.375</v>
      </c>
      <c r="C2546" s="10" t="s">
        <v>70</v>
      </c>
      <c r="D2546" s="10" t="s">
        <v>71</v>
      </c>
      <c r="E2546" s="10" t="s">
        <v>919</v>
      </c>
      <c r="F2546" s="10">
        <v>1</v>
      </c>
      <c r="G2546" s="10" t="s">
        <v>73</v>
      </c>
      <c r="H2546" s="10" t="s">
        <v>74</v>
      </c>
      <c r="I2546" s="10" t="s">
        <v>235</v>
      </c>
      <c r="J2546" s="10">
        <v>183</v>
      </c>
      <c r="K2546" s="12">
        <v>44967</v>
      </c>
      <c r="L2546" s="33">
        <v>0.38754629629629633</v>
      </c>
      <c r="M2546" s="10">
        <v>1</v>
      </c>
      <c r="N2546" s="10" t="s">
        <v>196</v>
      </c>
      <c r="O2546" s="10">
        <v>1.27</v>
      </c>
      <c r="P2546" s="10">
        <v>6.2199999999999998E-2</v>
      </c>
      <c r="Q2546" s="10">
        <v>125</v>
      </c>
      <c r="R2546" s="10" t="s">
        <v>170</v>
      </c>
      <c r="S2546" s="34">
        <f t="shared" si="284"/>
        <v>125</v>
      </c>
      <c r="T2546" s="10" t="s">
        <v>1180</v>
      </c>
      <c r="U2546" s="34" t="str">
        <f t="shared" si="287"/>
        <v/>
      </c>
      <c r="V2546" s="31" t="str">
        <f>IF(H2546="CHK",VLOOKUP(I2546,QCCHK,3,),IF(H2546="GUP",VLOOKUP(E2546,QCGUP,2,),IF(AND(H2546="ATP",OR(I2546="TN",I2546="TDN",I2546="TNO2-3",I2546="NO2-3")),VLOOKUP(E2546,QCREC_N,2,),IF(AND(H2546="NIC",OR(I2546="TN",I2546="TDN",I2546="TNO2-3",I2546="NO2-3")),VLOOKUP(E2546,QCNIC_N,2,),IF(AND(H2546="UREA",OR(I2546="TN",I2546="TDN",I2546="TNO2-3",I2546="NO2-3")),VLOOKUP(E2546,QCUREA_N,2,),IF(H2546="PER",VLOOKUP(I2546,QCPER,MATCH(E2546,QCACTUAL!$J$25:$AA$25,0),),IF(H2546="SPK",VLOOKUP(I2546,QCSPK,3,),IF(AND(H2546="ATP",OR(I2546="TP",I2546="TDP")),VLOOKUP(E2546,QCATP_P,2,),""))))))))</f>
        <v/>
      </c>
      <c r="W2546" s="31" t="str">
        <f t="shared" si="288"/>
        <v>TRUE</v>
      </c>
      <c r="X2546" s="31" t="str">
        <f t="shared" si="283"/>
        <v/>
      </c>
      <c r="Y2546" s="10" t="s">
        <v>1178</v>
      </c>
      <c r="AF2546" s="12">
        <v>44967</v>
      </c>
      <c r="AJ2546" s="10">
        <f>-1.3255*1.27^2+193.01*1.27-127.15</f>
        <v>115.83480104999998</v>
      </c>
      <c r="AK2546" s="10">
        <f>-0.215*1.27^2+181.97*1.27-117.15</f>
        <v>113.60512649999998</v>
      </c>
      <c r="AL2546" s="10" t="str">
        <f t="shared" si="290"/>
        <v>FALSE</v>
      </c>
      <c r="AM2546" s="10" t="str">
        <f t="shared" si="290"/>
        <v>FALSE</v>
      </c>
      <c r="AN2546" s="10" t="str">
        <f t="shared" si="290"/>
        <v>FALSE</v>
      </c>
      <c r="AO2546" s="10" t="str">
        <f t="shared" si="291"/>
        <v>y=-1.3255*1.27^2+193.01*1.27-127.15</v>
      </c>
      <c r="AP2546" s="10" t="str">
        <f t="shared" si="291"/>
        <v>y=-0.215*1.27^2+181.97*1.27-117.15</v>
      </c>
      <c r="AQ2546" s="10" t="b">
        <f>IF(AND(I2546="TP",S2546&lt;=150),VLOOKUP(AF2546,TPCalibEq150!$AZ$2:$BB$55,3,),IF(AND(I2546="TDP",S2546&lt;=150),VLOOKUP(AF2546,TPCalibEq150!$AZ$2:$BB$55,3,)))</f>
        <v>0</v>
      </c>
      <c r="AR2546" s="10" t="b">
        <f>IF(AND(I2546="TP",S2546&lt;=300),VLOOKUP(AF2546,TPCalibEq300!$AZ$2:$BB$55,3,),IF(AND(I2546="TDP",S2546&lt;=300),VLOOKUP(AF2546,TPCalibEq300!$AZ$2:$BB$55,3,)))</f>
        <v>0</v>
      </c>
      <c r="AS2546" s="10" t="b">
        <f>IF(AND(I2546="TP",S2546&lt;=500),VLOOKUP(AF2546,TPCalibEq500!$AZ$2:$BB$56,3,),IF(AND(I2546="TDP",S2546&lt;=500),VLOOKUP(AF2546,TPCalibEq500!$AZ$2:$BB$56,3,)))</f>
        <v>0</v>
      </c>
      <c r="AT2546" s="10" t="str">
        <f>IF(AND(I2546="TN",S2546&lt;=2800),VLOOKUP(AF2546,TNCalibEq2500!$AZ$2:$BB$56,3,),IF(AND(I2546="TDN",S2546&lt;=2800),VLOOKUP(AF2546,TNCalibEq2500!$AZ$2:$BB$56,3,)))</f>
        <v>y=-1.3255x2+193.01x-127.15</v>
      </c>
      <c r="AU2546" s="10" t="str">
        <f>IF(I2546="TP",VLOOKUP(AF2546,TPCalibEqFull!$AZ$2:$BB$56,3),IF(I2546="TDP",VLOOKUP(AF2546,TPCalibEqFull!$AZ$2:$BB$56,3),IF(I2546="TDN",VLOOKUP(AF2546,TNCalibEqFull!$AZ$1:$BB$56,3),IF(I2546="TN",VLOOKUP(AF2546,TNCalibEqFull!$AZ$1:$BB$56,3),FALSE))))</f>
        <v>y=-0.215x2+181.97x-117.15</v>
      </c>
      <c r="AV2546" s="10" t="str">
        <f t="shared" si="289"/>
        <v>0209 09:00:00-QAC-STD-D.F-1-DI-CAL</v>
      </c>
    </row>
    <row r="2547" spans="1:48" s="10" customFormat="1" x14ac:dyDescent="0.55000000000000004">
      <c r="A2547" s="32">
        <v>44966</v>
      </c>
      <c r="B2547" s="33">
        <v>0.375</v>
      </c>
      <c r="C2547" s="10" t="s">
        <v>70</v>
      </c>
      <c r="D2547" s="10" t="s">
        <v>71</v>
      </c>
      <c r="E2547" s="10" t="s">
        <v>920</v>
      </c>
      <c r="F2547" s="10">
        <v>1</v>
      </c>
      <c r="G2547" s="10" t="s">
        <v>73</v>
      </c>
      <c r="H2547" s="10" t="s">
        <v>74</v>
      </c>
      <c r="I2547" s="10" t="s">
        <v>235</v>
      </c>
      <c r="J2547" s="10">
        <v>184</v>
      </c>
      <c r="K2547" s="12">
        <v>44967</v>
      </c>
      <c r="L2547" s="33">
        <v>0.38822916666666668</v>
      </c>
      <c r="M2547" s="10">
        <v>1</v>
      </c>
      <c r="N2547" s="10" t="s">
        <v>196</v>
      </c>
      <c r="O2547" s="10">
        <v>3.36</v>
      </c>
      <c r="P2547" s="10">
        <v>0.16500000000000001</v>
      </c>
      <c r="Q2547" s="10">
        <v>500</v>
      </c>
      <c r="R2547" s="10" t="s">
        <v>170</v>
      </c>
      <c r="S2547" s="34">
        <f t="shared" si="284"/>
        <v>500</v>
      </c>
      <c r="T2547" s="10" t="s">
        <v>1181</v>
      </c>
      <c r="U2547" s="34" t="str">
        <f t="shared" si="287"/>
        <v/>
      </c>
      <c r="V2547" s="31" t="str">
        <f>IF(H2547="CHK",VLOOKUP(I2547,QCCHK,3,),IF(H2547="GUP",VLOOKUP(E2547,QCGUP,2,),IF(AND(H2547="ATP",OR(I2547="TN",I2547="TDN",I2547="TNO2-3",I2547="NO2-3")),VLOOKUP(E2547,QCREC_N,2,),IF(AND(H2547="NIC",OR(I2547="TN",I2547="TDN",I2547="TNO2-3",I2547="NO2-3")),VLOOKUP(E2547,QCNIC_N,2,),IF(AND(H2547="UREA",OR(I2547="TN",I2547="TDN",I2547="TNO2-3",I2547="NO2-3")),VLOOKUP(E2547,QCUREA_N,2,),IF(H2547="PER",VLOOKUP(I2547,QCPER,MATCH(E2547,QCACTUAL!$J$25:$AA$25,0),),IF(H2547="SPK",VLOOKUP(I2547,QCSPK,3,),IF(AND(H2547="ATP",OR(I2547="TP",I2547="TDP")),VLOOKUP(E2547,QCATP_P,2,),""))))))))</f>
        <v/>
      </c>
      <c r="W2547" s="31" t="str">
        <f t="shared" si="288"/>
        <v>TRUE</v>
      </c>
      <c r="X2547" s="31" t="str">
        <f t="shared" si="283"/>
        <v/>
      </c>
      <c r="Y2547" s="10" t="s">
        <v>1178</v>
      </c>
      <c r="AF2547" s="12">
        <v>44967</v>
      </c>
      <c r="AJ2547" s="10">
        <f>-1.3255*3.36^2+193.01*3.36-127.15</f>
        <v>506.39923520000002</v>
      </c>
      <c r="AK2547" s="10">
        <f>-0.215*3.36^2+181.97*3.36-117.15</f>
        <v>491.84193599999992</v>
      </c>
      <c r="AL2547" s="10" t="str">
        <f t="shared" si="290"/>
        <v>FALSE</v>
      </c>
      <c r="AM2547" s="10" t="str">
        <f t="shared" si="290"/>
        <v>FALSE</v>
      </c>
      <c r="AN2547" s="10" t="str">
        <f t="shared" si="290"/>
        <v>FALSE</v>
      </c>
      <c r="AO2547" s="10" t="str">
        <f t="shared" si="291"/>
        <v>y=-1.3255*3.36^2+193.01*3.36-127.15</v>
      </c>
      <c r="AP2547" s="10" t="str">
        <f t="shared" si="291"/>
        <v>y=-0.215*3.36^2+181.97*3.36-117.15</v>
      </c>
      <c r="AQ2547" s="10" t="b">
        <f>IF(AND(I2547="TP",S2547&lt;=150),VLOOKUP(AF2547,TPCalibEq150!$AZ$2:$BB$55,3,),IF(AND(I2547="TDP",S2547&lt;=150),VLOOKUP(AF2547,TPCalibEq150!$AZ$2:$BB$55,3,)))</f>
        <v>0</v>
      </c>
      <c r="AR2547" s="10" t="b">
        <f>IF(AND(I2547="TP",S2547&lt;=300),VLOOKUP(AF2547,TPCalibEq300!$AZ$2:$BB$55,3,),IF(AND(I2547="TDP",S2547&lt;=300),VLOOKUP(AF2547,TPCalibEq300!$AZ$2:$BB$55,3,)))</f>
        <v>0</v>
      </c>
      <c r="AS2547" s="10" t="b">
        <f>IF(AND(I2547="TP",S2547&lt;=500),VLOOKUP(AF2547,TPCalibEq500!$AZ$2:$BB$56,3,),IF(AND(I2547="TDP",S2547&lt;=500),VLOOKUP(AF2547,TPCalibEq500!$AZ$2:$BB$56,3,)))</f>
        <v>0</v>
      </c>
      <c r="AT2547" s="10" t="str">
        <f>IF(AND(I2547="TN",S2547&lt;=2800),VLOOKUP(AF2547,TNCalibEq2500!$AZ$2:$BB$56,3,),IF(AND(I2547="TDN",S2547&lt;=2800),VLOOKUP(AF2547,TNCalibEq2500!$AZ$2:$BB$56,3,)))</f>
        <v>y=-1.3255x2+193.01x-127.15</v>
      </c>
      <c r="AU2547" s="10" t="str">
        <f>IF(I2547="TP",VLOOKUP(AF2547,TPCalibEqFull!$AZ$2:$BB$56,3),IF(I2547="TDP",VLOOKUP(AF2547,TPCalibEqFull!$AZ$2:$BB$56,3),IF(I2547="TDN",VLOOKUP(AF2547,TNCalibEqFull!$AZ$1:$BB$56,3),IF(I2547="TN",VLOOKUP(AF2547,TNCalibEqFull!$AZ$1:$BB$56,3),FALSE))))</f>
        <v>y=-0.215x2+181.97x-117.15</v>
      </c>
      <c r="AV2547" s="10" t="str">
        <f t="shared" si="289"/>
        <v>0209 09:00:00-QAC-STD-D.E-1-DI-CAL</v>
      </c>
    </row>
    <row r="2548" spans="1:48" s="10" customFormat="1" x14ac:dyDescent="0.55000000000000004">
      <c r="A2548" s="32">
        <v>44966</v>
      </c>
      <c r="B2548" s="33">
        <v>0.375</v>
      </c>
      <c r="C2548" s="10" t="s">
        <v>70</v>
      </c>
      <c r="D2548" s="10" t="s">
        <v>71</v>
      </c>
      <c r="E2548" s="10" t="s">
        <v>921</v>
      </c>
      <c r="F2548" s="10">
        <v>1</v>
      </c>
      <c r="G2548" s="10" t="s">
        <v>73</v>
      </c>
      <c r="H2548" s="10" t="s">
        <v>74</v>
      </c>
      <c r="I2548" s="10" t="s">
        <v>235</v>
      </c>
      <c r="J2548" s="10">
        <v>185</v>
      </c>
      <c r="K2548" s="12">
        <v>44967</v>
      </c>
      <c r="L2548" s="33">
        <v>0.38890046296296293</v>
      </c>
      <c r="M2548" s="10">
        <v>1</v>
      </c>
      <c r="N2548" s="10" t="s">
        <v>196</v>
      </c>
      <c r="O2548" s="10">
        <v>7.51</v>
      </c>
      <c r="P2548" s="10">
        <v>0.36799999999999999</v>
      </c>
      <c r="Q2548" s="10">
        <v>1250</v>
      </c>
      <c r="R2548" s="10" t="s">
        <v>170</v>
      </c>
      <c r="S2548" s="34">
        <f t="shared" si="284"/>
        <v>1250</v>
      </c>
      <c r="T2548" s="10" t="s">
        <v>1182</v>
      </c>
      <c r="U2548" s="34" t="str">
        <f t="shared" si="287"/>
        <v/>
      </c>
      <c r="V2548" s="31" t="str">
        <f>IF(H2548="CHK",VLOOKUP(I2548,QCCHK,3,),IF(H2548="GUP",VLOOKUP(E2548,QCGUP,2,),IF(AND(H2548="ATP",OR(I2548="TN",I2548="TDN",I2548="TNO2-3",I2548="NO2-3")),VLOOKUP(E2548,QCREC_N,2,),IF(AND(H2548="NIC",OR(I2548="TN",I2548="TDN",I2548="TNO2-3",I2548="NO2-3")),VLOOKUP(E2548,QCNIC_N,2,),IF(AND(H2548="UREA",OR(I2548="TN",I2548="TDN",I2548="TNO2-3",I2548="NO2-3")),VLOOKUP(E2548,QCUREA_N,2,),IF(H2548="PER",VLOOKUP(I2548,QCPER,MATCH(E2548,QCACTUAL!$J$25:$AA$25,0),),IF(H2548="SPK",VLOOKUP(I2548,QCSPK,3,),IF(AND(H2548="ATP",OR(I2548="TP",I2548="TDP")),VLOOKUP(E2548,QCATP_P,2,),""))))))))</f>
        <v/>
      </c>
      <c r="W2548" s="31" t="str">
        <f t="shared" si="288"/>
        <v>TRUE</v>
      </c>
      <c r="X2548" s="31" t="str">
        <f t="shared" si="283"/>
        <v/>
      </c>
      <c r="Y2548" s="10" t="s">
        <v>1178</v>
      </c>
      <c r="AF2548" s="12">
        <v>44967</v>
      </c>
      <c r="AJ2548" s="10">
        <f>-1.3255*7.51^2+193.01*7.51-127.15</f>
        <v>1247.5967674499998</v>
      </c>
      <c r="AK2548" s="10">
        <f>-0.215*7.51^2+181.97*7.51-117.15</f>
        <v>1237.3186784999998</v>
      </c>
      <c r="AL2548" s="10" t="str">
        <f t="shared" si="290"/>
        <v>FALSE</v>
      </c>
      <c r="AM2548" s="10" t="str">
        <f t="shared" si="290"/>
        <v>FALSE</v>
      </c>
      <c r="AN2548" s="10" t="str">
        <f t="shared" si="290"/>
        <v>FALSE</v>
      </c>
      <c r="AO2548" s="10" t="str">
        <f t="shared" si="291"/>
        <v>y=-1.3255*7.51^2+193.01*7.51-127.15</v>
      </c>
      <c r="AP2548" s="10" t="str">
        <f t="shared" si="291"/>
        <v>y=-0.215*7.51^2+181.97*7.51-117.15</v>
      </c>
      <c r="AQ2548" s="10" t="b">
        <f>IF(AND(I2548="TP",S2548&lt;=150),VLOOKUP(AF2548,TPCalibEq150!$AZ$2:$BB$55,3,),IF(AND(I2548="TDP",S2548&lt;=150),VLOOKUP(AF2548,TPCalibEq150!$AZ$2:$BB$55,3,)))</f>
        <v>0</v>
      </c>
      <c r="AR2548" s="10" t="b">
        <f>IF(AND(I2548="TP",S2548&lt;=300),VLOOKUP(AF2548,TPCalibEq300!$AZ$2:$BB$55,3,),IF(AND(I2548="TDP",S2548&lt;=300),VLOOKUP(AF2548,TPCalibEq300!$AZ$2:$BB$55,3,)))</f>
        <v>0</v>
      </c>
      <c r="AS2548" s="10" t="b">
        <f>IF(AND(I2548="TP",S2548&lt;=500),VLOOKUP(AF2548,TPCalibEq500!$AZ$2:$BB$56,3,),IF(AND(I2548="TDP",S2548&lt;=500),VLOOKUP(AF2548,TPCalibEq500!$AZ$2:$BB$56,3,)))</f>
        <v>0</v>
      </c>
      <c r="AT2548" s="10" t="str">
        <f>IF(AND(I2548="TN",S2548&lt;=2800),VLOOKUP(AF2548,TNCalibEq2500!$AZ$2:$BB$56,3,),IF(AND(I2548="TDN",S2548&lt;=2800),VLOOKUP(AF2548,TNCalibEq2500!$AZ$2:$BB$56,3,)))</f>
        <v>y=-1.3255x2+193.01x-127.15</v>
      </c>
      <c r="AU2548" s="10" t="str">
        <f>IF(I2548="TP",VLOOKUP(AF2548,TPCalibEqFull!$AZ$2:$BB$56,3),IF(I2548="TDP",VLOOKUP(AF2548,TPCalibEqFull!$AZ$2:$BB$56,3),IF(I2548="TDN",VLOOKUP(AF2548,TNCalibEqFull!$AZ$1:$BB$56,3),IF(I2548="TN",VLOOKUP(AF2548,TNCalibEqFull!$AZ$1:$BB$56,3),FALSE))))</f>
        <v>y=-0.215x2+181.97x-117.15</v>
      </c>
      <c r="AV2548" s="10" t="str">
        <f t="shared" si="289"/>
        <v>0209 09:00:00-QAC-STD-D.D-1-DI-CAL</v>
      </c>
    </row>
    <row r="2549" spans="1:48" s="10" customFormat="1" x14ac:dyDescent="0.55000000000000004">
      <c r="A2549" s="32">
        <v>44966</v>
      </c>
      <c r="B2549" s="33">
        <v>0.375</v>
      </c>
      <c r="C2549" s="10" t="s">
        <v>70</v>
      </c>
      <c r="D2549" s="10" t="s">
        <v>71</v>
      </c>
      <c r="E2549" s="10" t="s">
        <v>922</v>
      </c>
      <c r="F2549" s="10">
        <v>1</v>
      </c>
      <c r="G2549" s="10" t="s">
        <v>73</v>
      </c>
      <c r="H2549" s="10" t="s">
        <v>74</v>
      </c>
      <c r="I2549" s="10" t="s">
        <v>235</v>
      </c>
      <c r="J2549" s="10">
        <v>186</v>
      </c>
      <c r="K2549" s="12">
        <v>44967</v>
      </c>
      <c r="L2549" s="33">
        <v>0.38958333333333334</v>
      </c>
      <c r="M2549" s="10">
        <v>1</v>
      </c>
      <c r="N2549" s="10" t="s">
        <v>196</v>
      </c>
      <c r="O2549" s="10">
        <v>15.2</v>
      </c>
      <c r="P2549" s="10">
        <v>0.749</v>
      </c>
      <c r="Q2549" s="10">
        <v>2500</v>
      </c>
      <c r="R2549" s="10" t="s">
        <v>170</v>
      </c>
      <c r="S2549" s="34">
        <f t="shared" si="284"/>
        <v>2500</v>
      </c>
      <c r="T2549" s="10" t="s">
        <v>1183</v>
      </c>
      <c r="U2549" s="34" t="str">
        <f t="shared" si="287"/>
        <v/>
      </c>
      <c r="V2549" s="31" t="str">
        <f>IF(H2549="CHK",VLOOKUP(I2549,QCCHK,3,),IF(H2549="GUP",VLOOKUP(E2549,QCGUP,2,),IF(AND(H2549="ATP",OR(I2549="TN",I2549="TDN",I2549="TNO2-3",I2549="NO2-3")),VLOOKUP(E2549,QCREC_N,2,),IF(AND(H2549="NIC",OR(I2549="TN",I2549="TDN",I2549="TNO2-3",I2549="NO2-3")),VLOOKUP(E2549,QCNIC_N,2,),IF(AND(H2549="UREA",OR(I2549="TN",I2549="TDN",I2549="TNO2-3",I2549="NO2-3")),VLOOKUP(E2549,QCUREA_N,2,),IF(H2549="PER",VLOOKUP(I2549,QCPER,MATCH(E2549,QCACTUAL!$J$25:$AA$25,0),),IF(H2549="SPK",VLOOKUP(I2549,QCSPK,3,),IF(AND(H2549="ATP",OR(I2549="TP",I2549="TDP")),VLOOKUP(E2549,QCATP_P,2,),""))))))))</f>
        <v/>
      </c>
      <c r="W2549" s="31" t="str">
        <f t="shared" si="288"/>
        <v>TRUE</v>
      </c>
      <c r="X2549" s="31" t="str">
        <f t="shared" si="283"/>
        <v/>
      </c>
      <c r="Y2549" s="10" t="s">
        <v>1178</v>
      </c>
      <c r="AF2549" s="12">
        <v>44967</v>
      </c>
      <c r="AJ2549" s="10">
        <f>-1.3255*15.2^2+193.01*15.2-127.15</f>
        <v>2500.3584799999994</v>
      </c>
      <c r="AK2549" s="10">
        <f>-0.215*15.2^2+181.97*15.2-117.15</f>
        <v>2599.1203999999998</v>
      </c>
      <c r="AL2549" s="10" t="str">
        <f t="shared" si="290"/>
        <v>FALSE</v>
      </c>
      <c r="AM2549" s="10" t="str">
        <f t="shared" si="290"/>
        <v>FALSE</v>
      </c>
      <c r="AN2549" s="10" t="str">
        <f t="shared" si="290"/>
        <v>FALSE</v>
      </c>
      <c r="AO2549" s="10" t="str">
        <f t="shared" si="291"/>
        <v>y=-1.3255*15.2^2+193.01*15.2-127.15</v>
      </c>
      <c r="AP2549" s="10" t="str">
        <f t="shared" si="291"/>
        <v>y=-0.215*15.2^2+181.97*15.2-117.15</v>
      </c>
      <c r="AQ2549" s="10" t="b">
        <f>IF(AND(I2549="TP",S2549&lt;=150),VLOOKUP(AF2549,TPCalibEq150!$AZ$2:$BB$55,3,),IF(AND(I2549="TDP",S2549&lt;=150),VLOOKUP(AF2549,TPCalibEq150!$AZ$2:$BB$55,3,)))</f>
        <v>0</v>
      </c>
      <c r="AR2549" s="10" t="b">
        <f>IF(AND(I2549="TP",S2549&lt;=300),VLOOKUP(AF2549,TPCalibEq300!$AZ$2:$BB$55,3,),IF(AND(I2549="TDP",S2549&lt;=300),VLOOKUP(AF2549,TPCalibEq300!$AZ$2:$BB$55,3,)))</f>
        <v>0</v>
      </c>
      <c r="AS2549" s="10" t="b">
        <f>IF(AND(I2549="TP",S2549&lt;=500),VLOOKUP(AF2549,TPCalibEq500!$AZ$2:$BB$56,3,),IF(AND(I2549="TDP",S2549&lt;=500),VLOOKUP(AF2549,TPCalibEq500!$AZ$2:$BB$56,3,)))</f>
        <v>0</v>
      </c>
      <c r="AT2549" s="10" t="str">
        <f>IF(AND(I2549="TN",S2549&lt;=2800),VLOOKUP(AF2549,TNCalibEq2500!$AZ$2:$BB$56,3,),IF(AND(I2549="TDN",S2549&lt;=2800),VLOOKUP(AF2549,TNCalibEq2500!$AZ$2:$BB$56,3,)))</f>
        <v>y=-1.3255x2+193.01x-127.15</v>
      </c>
      <c r="AU2549" s="10" t="str">
        <f>IF(I2549="TP",VLOOKUP(AF2549,TPCalibEqFull!$AZ$2:$BB$56,3),IF(I2549="TDP",VLOOKUP(AF2549,TPCalibEqFull!$AZ$2:$BB$56,3),IF(I2549="TDN",VLOOKUP(AF2549,TNCalibEqFull!$AZ$1:$BB$56,3),IF(I2549="TN",VLOOKUP(AF2549,TNCalibEqFull!$AZ$1:$BB$56,3),FALSE))))</f>
        <v>y=-0.215x2+181.97x-117.15</v>
      </c>
      <c r="AV2549" s="10" t="str">
        <f t="shared" si="289"/>
        <v>0209 09:00:00-QAC-STD-D.C-1-DI-CAL</v>
      </c>
    </row>
    <row r="2550" spans="1:48" s="10" customFormat="1" x14ac:dyDescent="0.55000000000000004">
      <c r="A2550" s="32">
        <v>44966</v>
      </c>
      <c r="B2550" s="33">
        <v>0.375</v>
      </c>
      <c r="C2550" s="10" t="s">
        <v>70</v>
      </c>
      <c r="D2550" s="10" t="s">
        <v>71</v>
      </c>
      <c r="E2550" s="10" t="s">
        <v>923</v>
      </c>
      <c r="F2550" s="10">
        <v>1</v>
      </c>
      <c r="G2550" s="10" t="s">
        <v>73</v>
      </c>
      <c r="H2550" s="10" t="s">
        <v>74</v>
      </c>
      <c r="I2550" s="10" t="s">
        <v>235</v>
      </c>
      <c r="J2550" s="10">
        <v>187</v>
      </c>
      <c r="K2550" s="12">
        <v>44967</v>
      </c>
      <c r="L2550" s="33">
        <v>0.39026620370370368</v>
      </c>
      <c r="M2550" s="10">
        <v>1</v>
      </c>
      <c r="N2550" s="10" t="s">
        <v>196</v>
      </c>
      <c r="O2550" s="10">
        <v>21.2</v>
      </c>
      <c r="P2550" s="10">
        <v>1.04</v>
      </c>
      <c r="Q2550" s="10">
        <v>3750</v>
      </c>
      <c r="R2550" s="10" t="s">
        <v>170</v>
      </c>
      <c r="S2550" s="34">
        <f t="shared" si="284"/>
        <v>3750</v>
      </c>
      <c r="T2550" s="10" t="s">
        <v>1184</v>
      </c>
      <c r="U2550" s="34" t="str">
        <f t="shared" si="287"/>
        <v/>
      </c>
      <c r="V2550" s="31" t="str">
        <f>IF(H2550="CHK",VLOOKUP(I2550,QCCHK,3,),IF(H2550="GUP",VLOOKUP(E2550,QCGUP,2,),IF(AND(H2550="ATP",OR(I2550="TN",I2550="TDN",I2550="TNO2-3",I2550="NO2-3")),VLOOKUP(E2550,QCREC_N,2,),IF(AND(H2550="NIC",OR(I2550="TN",I2550="TDN",I2550="TNO2-3",I2550="NO2-3")),VLOOKUP(E2550,QCNIC_N,2,),IF(AND(H2550="UREA",OR(I2550="TN",I2550="TDN",I2550="TNO2-3",I2550="NO2-3")),VLOOKUP(E2550,QCUREA_N,2,),IF(H2550="PER",VLOOKUP(I2550,QCPER,MATCH(E2550,QCACTUAL!$J$25:$AA$25,0),),IF(H2550="SPK",VLOOKUP(I2550,QCSPK,3,),IF(AND(H2550="ATP",OR(I2550="TP",I2550="TDP")),VLOOKUP(E2550,QCATP_P,2,),""))))))))</f>
        <v/>
      </c>
      <c r="W2550" s="31" t="str">
        <f t="shared" si="288"/>
        <v>TRUE</v>
      </c>
      <c r="X2550" s="31" t="str">
        <f t="shared" si="283"/>
        <v/>
      </c>
      <c r="Y2550" s="10" t="s">
        <v>1178</v>
      </c>
      <c r="AF2550" s="12">
        <v>44967</v>
      </c>
      <c r="AK2550" s="10">
        <f>-0.215*21.2^2+181.97*21.2-117.15</f>
        <v>3643.9843999999994</v>
      </c>
      <c r="AL2550" s="10" t="str">
        <f t="shared" si="290"/>
        <v>FALSE</v>
      </c>
      <c r="AM2550" s="10" t="str">
        <f t="shared" si="290"/>
        <v>FALSE</v>
      </c>
      <c r="AN2550" s="10" t="str">
        <f t="shared" si="290"/>
        <v>FALSE</v>
      </c>
      <c r="AO2550" s="10" t="str">
        <f t="shared" si="291"/>
        <v>FALSE</v>
      </c>
      <c r="AP2550" s="10" t="str">
        <f t="shared" si="291"/>
        <v>y=-0.215*21.2^2+181.97*21.2-117.15</v>
      </c>
      <c r="AQ2550" s="10" t="b">
        <f>IF(AND(I2550="TP",S2550&lt;=150),VLOOKUP(AF2550,TPCalibEq150!$AZ$2:$BB$55,3,),IF(AND(I2550="TDP",S2550&lt;=150),VLOOKUP(AF2550,TPCalibEq150!$AZ$2:$BB$55,3,)))</f>
        <v>0</v>
      </c>
      <c r="AR2550" s="10" t="b">
        <f>IF(AND(I2550="TP",S2550&lt;=300),VLOOKUP(AF2550,TPCalibEq300!$AZ$2:$BB$55,3,),IF(AND(I2550="TDP",S2550&lt;=300),VLOOKUP(AF2550,TPCalibEq300!$AZ$2:$BB$55,3,)))</f>
        <v>0</v>
      </c>
      <c r="AS2550" s="10" t="b">
        <f>IF(AND(I2550="TP",S2550&lt;=500),VLOOKUP(AF2550,TPCalibEq500!$AZ$2:$BB$56,3,),IF(AND(I2550="TDP",S2550&lt;=500),VLOOKUP(AF2550,TPCalibEq500!$AZ$2:$BB$56,3,)))</f>
        <v>0</v>
      </c>
      <c r="AT2550" s="10" t="b">
        <f>IF(AND(I2550="TN",S2550&lt;=2800),VLOOKUP(AF2550,TNCalibEq2500!$AZ$2:$BB$56,3,),IF(AND(I2550="TDN",S2550&lt;=2800),VLOOKUP(AF2550,TNCalibEq2500!$AZ$2:$BB$56,3,)))</f>
        <v>0</v>
      </c>
      <c r="AU2550" s="10" t="str">
        <f>IF(I2550="TP",VLOOKUP(AF2550,TPCalibEqFull!$AZ$2:$BB$56,3),IF(I2550="TDP",VLOOKUP(AF2550,TPCalibEqFull!$AZ$2:$BB$56,3),IF(I2550="TDN",VLOOKUP(AF2550,TNCalibEqFull!$AZ$1:$BB$56,3),IF(I2550="TN",VLOOKUP(AF2550,TNCalibEqFull!$AZ$1:$BB$56,3),FALSE))))</f>
        <v>y=-0.215x2+181.97x-117.15</v>
      </c>
      <c r="AV2550" s="10" t="str">
        <f t="shared" si="289"/>
        <v>0209 09:00:00-QAC-STD-D.B-1-DI-CAL</v>
      </c>
    </row>
    <row r="2551" spans="1:48" s="10" customFormat="1" x14ac:dyDescent="0.55000000000000004">
      <c r="A2551" s="32">
        <v>44966</v>
      </c>
      <c r="B2551" s="33">
        <v>0.375</v>
      </c>
      <c r="C2551" s="10" t="s">
        <v>70</v>
      </c>
      <c r="D2551" s="10" t="s">
        <v>71</v>
      </c>
      <c r="E2551" s="10" t="s">
        <v>924</v>
      </c>
      <c r="F2551" s="10">
        <v>1</v>
      </c>
      <c r="G2551" s="10" t="s">
        <v>73</v>
      </c>
      <c r="H2551" s="10" t="s">
        <v>74</v>
      </c>
      <c r="I2551" s="10" t="s">
        <v>235</v>
      </c>
      <c r="J2551" s="10">
        <v>188</v>
      </c>
      <c r="K2551" s="12">
        <v>44967</v>
      </c>
      <c r="L2551" s="33">
        <v>0.39094907407407403</v>
      </c>
      <c r="M2551" s="10">
        <v>1</v>
      </c>
      <c r="N2551" s="10" t="s">
        <v>196</v>
      </c>
      <c r="O2551" s="10">
        <v>29.3</v>
      </c>
      <c r="P2551" s="10">
        <v>1.42</v>
      </c>
      <c r="Q2551" s="10">
        <v>5000</v>
      </c>
      <c r="R2551" s="10" t="s">
        <v>170</v>
      </c>
      <c r="S2551" s="34">
        <f t="shared" si="284"/>
        <v>5000</v>
      </c>
      <c r="T2551" s="10" t="s">
        <v>1185</v>
      </c>
      <c r="U2551" s="34" t="str">
        <f t="shared" si="287"/>
        <v/>
      </c>
      <c r="V2551" s="31" t="str">
        <f>IF(H2551="CHK",VLOOKUP(I2551,QCCHK,3,),IF(H2551="GUP",VLOOKUP(E2551,QCGUP,2,),IF(AND(H2551="ATP",OR(I2551="TN",I2551="TDN",I2551="TNO2-3",I2551="NO2-3")),VLOOKUP(E2551,QCREC_N,2,),IF(AND(H2551="NIC",OR(I2551="TN",I2551="TDN",I2551="TNO2-3",I2551="NO2-3")),VLOOKUP(E2551,QCNIC_N,2,),IF(AND(H2551="UREA",OR(I2551="TN",I2551="TDN",I2551="TNO2-3",I2551="NO2-3")),VLOOKUP(E2551,QCUREA_N,2,),IF(H2551="PER",VLOOKUP(I2551,QCPER,MATCH(E2551,QCACTUAL!$J$25:$AA$25,0),),IF(H2551="SPK",VLOOKUP(I2551,QCSPK,3,),IF(AND(H2551="ATP",OR(I2551="TP",I2551="TDP")),VLOOKUP(E2551,QCATP_P,2,),""))))))))</f>
        <v/>
      </c>
      <c r="W2551" s="31" t="str">
        <f t="shared" si="288"/>
        <v>TRUE</v>
      </c>
      <c r="X2551" s="31" t="str">
        <f t="shared" si="283"/>
        <v/>
      </c>
      <c r="Y2551" s="10" t="s">
        <v>1178</v>
      </c>
      <c r="AF2551" s="12">
        <v>44967</v>
      </c>
      <c r="AK2551" s="10">
        <f>-0.215*29.3^2+181.97*29.3-117.15</f>
        <v>5029.9956500000008</v>
      </c>
      <c r="AL2551" s="10" t="str">
        <f t="shared" si="290"/>
        <v>FALSE</v>
      </c>
      <c r="AM2551" s="10" t="str">
        <f t="shared" si="290"/>
        <v>FALSE</v>
      </c>
      <c r="AN2551" s="10" t="str">
        <f t="shared" si="290"/>
        <v>FALSE</v>
      </c>
      <c r="AO2551" s="10" t="str">
        <f t="shared" si="291"/>
        <v>FALSE</v>
      </c>
      <c r="AP2551" s="10" t="str">
        <f t="shared" si="291"/>
        <v>y=-0.215*29.3^2+181.97*29.3-117.15</v>
      </c>
      <c r="AQ2551" s="10" t="b">
        <f>IF(AND(I2551="TP",S2551&lt;=150),VLOOKUP(AF2551,TPCalibEq150!$AZ$2:$BB$55,3,),IF(AND(I2551="TDP",S2551&lt;=150),VLOOKUP(AF2551,TPCalibEq150!$AZ$2:$BB$55,3,)))</f>
        <v>0</v>
      </c>
      <c r="AR2551" s="10" t="b">
        <f>IF(AND(I2551="TP",S2551&lt;=300),VLOOKUP(AF2551,TPCalibEq300!$AZ$2:$BB$55,3,),IF(AND(I2551="TDP",S2551&lt;=300),VLOOKUP(AF2551,TPCalibEq300!$AZ$2:$BB$55,3,)))</f>
        <v>0</v>
      </c>
      <c r="AS2551" s="10" t="b">
        <f>IF(AND(I2551="TP",S2551&lt;=500),VLOOKUP(AF2551,TPCalibEq500!$AZ$2:$BB$56,3,),IF(AND(I2551="TDP",S2551&lt;=500),VLOOKUP(AF2551,TPCalibEq500!$AZ$2:$BB$56,3,)))</f>
        <v>0</v>
      </c>
      <c r="AT2551" s="10" t="b">
        <f>IF(AND(I2551="TN",S2551&lt;=2800),VLOOKUP(AF2551,TNCalibEq2500!$AZ$2:$BB$56,3,),IF(AND(I2551="TDN",S2551&lt;=2800),VLOOKUP(AF2551,TNCalibEq2500!$AZ$2:$BB$56,3,)))</f>
        <v>0</v>
      </c>
      <c r="AU2551" s="10" t="str">
        <f>IF(I2551="TP",VLOOKUP(AF2551,TPCalibEqFull!$AZ$2:$BB$56,3),IF(I2551="TDP",VLOOKUP(AF2551,TPCalibEqFull!$AZ$2:$BB$56,3),IF(I2551="TDN",VLOOKUP(AF2551,TNCalibEqFull!$AZ$1:$BB$56,3),IF(I2551="TN",VLOOKUP(AF2551,TNCalibEqFull!$AZ$1:$BB$56,3),FALSE))))</f>
        <v>y=-0.215x2+181.97x-117.15</v>
      </c>
      <c r="AV2551" s="10" t="str">
        <f t="shared" si="289"/>
        <v>0209 09:00:00-QAC-STD-D.A-1-DI-CAL</v>
      </c>
    </row>
    <row r="2552" spans="1:48" s="10" customFormat="1" x14ac:dyDescent="0.55000000000000004">
      <c r="A2552" s="32">
        <v>44966</v>
      </c>
      <c r="B2552" s="33">
        <v>0.375</v>
      </c>
      <c r="C2552" s="10" t="s">
        <v>70</v>
      </c>
      <c r="D2552" s="10" t="s">
        <v>241</v>
      </c>
      <c r="E2552" s="10" t="s">
        <v>866</v>
      </c>
      <c r="F2552" s="10">
        <v>1</v>
      </c>
      <c r="G2552" s="10" t="s">
        <v>73</v>
      </c>
      <c r="H2552" s="10" t="s">
        <v>283</v>
      </c>
      <c r="I2552" s="10" t="s">
        <v>235</v>
      </c>
      <c r="J2552" s="10">
        <v>198</v>
      </c>
      <c r="K2552" s="12">
        <v>44967</v>
      </c>
      <c r="L2552" s="33">
        <v>0.39228009259259261</v>
      </c>
      <c r="M2552" s="10">
        <v>1</v>
      </c>
      <c r="N2552" s="10" t="s">
        <v>196</v>
      </c>
      <c r="O2552" s="10">
        <v>0.52900000000000003</v>
      </c>
      <c r="P2552" s="10">
        <v>2.5499999999999998E-2</v>
      </c>
      <c r="Q2552" s="10">
        <v>-8.7799999999999994</v>
      </c>
      <c r="R2552" s="10" t="s">
        <v>170</v>
      </c>
      <c r="S2552" s="34">
        <f t="shared" si="284"/>
        <v>-8.7799999999999994</v>
      </c>
      <c r="T2552" s="10" t="s">
        <v>1185</v>
      </c>
      <c r="U2552" s="34">
        <f t="shared" si="287"/>
        <v>-8.7799999999999994</v>
      </c>
      <c r="V2552" s="31" t="str">
        <f>IF(H2552="CHK",VLOOKUP(I2552,QCCHK,3,),IF(H2552="GUP",VLOOKUP(E2552,QCGUP,2,),IF(AND(H2552="ATP",OR(I2552="TN",I2552="TDN",I2552="TNO2-3",I2552="NO2-3")),VLOOKUP(E2552,QCREC_N,2,),IF(AND(H2552="NIC",OR(I2552="TN",I2552="TDN",I2552="TNO2-3",I2552="NO2-3")),VLOOKUP(E2552,QCNIC_N,2,),IF(AND(H2552="UREA",OR(I2552="TN",I2552="TDN",I2552="TNO2-3",I2552="NO2-3")),VLOOKUP(E2552,QCUREA_N,2,),IF(H2552="PER",VLOOKUP(I2552,QCPER,MATCH(E2552,QCACTUAL!$J$25:$AA$25,0),),IF(H2552="SPK",VLOOKUP(I2552,QCSPK,3,),IF(AND(H2552="ATP",OR(I2552="TP",I2552="TDP")),VLOOKUP(E2552,QCATP_P,2,),""))))))))</f>
        <v/>
      </c>
      <c r="W2552" s="31" t="str">
        <f t="shared" si="288"/>
        <v>TRUE</v>
      </c>
      <c r="X2552" s="31" t="str">
        <f t="shared" si="283"/>
        <v>nominal concentration</v>
      </c>
      <c r="Y2552" s="10" t="s">
        <v>1178</v>
      </c>
      <c r="AF2552" s="12">
        <v>44967</v>
      </c>
      <c r="AJ2552" s="10">
        <f>-1.3255*0.529^2+193.01*0.529-127.15</f>
        <v>-25.418639245500003</v>
      </c>
      <c r="AK2552" s="10">
        <f>-0.215*0.529^2+181.97*0.529-117.15</f>
        <v>-20.948035815000011</v>
      </c>
      <c r="AL2552" s="10" t="str">
        <f t="shared" si="290"/>
        <v>FALSE</v>
      </c>
      <c r="AM2552" s="10" t="str">
        <f t="shared" si="290"/>
        <v>FALSE</v>
      </c>
      <c r="AN2552" s="10" t="str">
        <f t="shared" si="290"/>
        <v>FALSE</v>
      </c>
      <c r="AO2552" s="10" t="str">
        <f t="shared" si="291"/>
        <v>y=-1.3255*0.529^2+193.01*0.529-127.15</v>
      </c>
      <c r="AP2552" s="10" t="str">
        <f t="shared" si="291"/>
        <v>y=-0.215*0.529^2+181.97*0.529-117.15</v>
      </c>
      <c r="AQ2552" s="10" t="b">
        <f>IF(AND(I2552="TP",S2552&lt;=150),VLOOKUP(AF2552,TPCalibEq150!$AZ$2:$BB$55,3,),IF(AND(I2552="TDP",S2552&lt;=150),VLOOKUP(AF2552,TPCalibEq150!$AZ$2:$BB$55,3,)))</f>
        <v>0</v>
      </c>
      <c r="AR2552" s="10" t="b">
        <f>IF(AND(I2552="TP",S2552&lt;=300),VLOOKUP(AF2552,TPCalibEq300!$AZ$2:$BB$55,3,),IF(AND(I2552="TDP",S2552&lt;=300),VLOOKUP(AF2552,TPCalibEq300!$AZ$2:$BB$55,3,)))</f>
        <v>0</v>
      </c>
      <c r="AS2552" s="10" t="b">
        <f>IF(AND(I2552="TP",S2552&lt;=500),VLOOKUP(AF2552,TPCalibEq500!$AZ$2:$BB$56,3,),IF(AND(I2552="TDP",S2552&lt;=500),VLOOKUP(AF2552,TPCalibEq500!$AZ$2:$BB$56,3,)))</f>
        <v>0</v>
      </c>
      <c r="AT2552" s="10" t="str">
        <f>IF(AND(I2552="TN",S2552&lt;=2800),VLOOKUP(AF2552,TNCalibEq2500!$AZ$2:$BB$56,3,),IF(AND(I2552="TDN",S2552&lt;=2800),VLOOKUP(AF2552,TNCalibEq2500!$AZ$2:$BB$56,3,)))</f>
        <v>y=-1.3255x2+193.01x-127.15</v>
      </c>
      <c r="AU2552" s="10" t="str">
        <f>IF(I2552="TP",VLOOKUP(AF2552,TPCalibEqFull!$AZ$2:$BB$56,3),IF(I2552="TDP",VLOOKUP(AF2552,TPCalibEqFull!$AZ$2:$BB$56,3),IF(I2552="TDN",VLOOKUP(AF2552,TNCalibEqFull!$AZ$1:$BB$56,3),IF(I2552="TN",VLOOKUP(AF2552,TNCalibEqFull!$AZ$1:$BB$56,3),FALSE))))</f>
        <v>y=-0.215x2+181.97x-117.15</v>
      </c>
      <c r="AV2552" s="10" t="str">
        <f t="shared" si="289"/>
        <v>0209 09:00:00-QAC-BLK-A-1-DI-LAB</v>
      </c>
    </row>
    <row r="2553" spans="1:48" s="10" customFormat="1" x14ac:dyDescent="0.55000000000000004">
      <c r="A2553" s="32">
        <v>44966</v>
      </c>
      <c r="B2553" s="33">
        <v>0.375</v>
      </c>
      <c r="C2553" s="10" t="s">
        <v>70</v>
      </c>
      <c r="D2553" s="10" t="s">
        <v>241</v>
      </c>
      <c r="E2553" s="10" t="s">
        <v>866</v>
      </c>
      <c r="F2553" s="10">
        <v>1</v>
      </c>
      <c r="G2553" s="10" t="s">
        <v>73</v>
      </c>
      <c r="H2553" s="10" t="s">
        <v>314</v>
      </c>
      <c r="I2553" s="10" t="s">
        <v>235</v>
      </c>
      <c r="J2553" s="10">
        <v>225</v>
      </c>
      <c r="K2553" s="12">
        <v>44967</v>
      </c>
      <c r="L2553" s="33">
        <v>0.39295138888888892</v>
      </c>
      <c r="M2553" s="10">
        <v>1</v>
      </c>
      <c r="N2553" s="10" t="s">
        <v>196</v>
      </c>
      <c r="O2553" s="10">
        <v>14.1</v>
      </c>
      <c r="P2553" s="10">
        <v>0.69</v>
      </c>
      <c r="Q2553" s="10">
        <v>2380</v>
      </c>
      <c r="R2553" s="10" t="s">
        <v>170</v>
      </c>
      <c r="S2553" s="34">
        <f t="shared" si="284"/>
        <v>2405.88285</v>
      </c>
      <c r="T2553" s="10" t="s">
        <v>1185</v>
      </c>
      <c r="U2553" s="34">
        <f t="shared" si="287"/>
        <v>96.586513999999994</v>
      </c>
      <c r="V2553" s="31">
        <f>IF(H2553="CHK",VLOOKUP(I2553,QCCHK,3,),IF(H2553="GUP",VLOOKUP(E2553,QCGUP,2,),IF(AND(H2553="ATP",OR(I2553="TN",I2553="TDN",I2553="TNO2-3",I2553="NO2-3")),VLOOKUP(E2553,QCREC_N,2,),IF(AND(H2553="NIC",OR(I2553="TN",I2553="TDN",I2553="TNO2-3",I2553="NO2-3")),VLOOKUP(E2553,QCNIC_N,2,),IF(AND(H2553="UREA",OR(I2553="TN",I2553="TDN",I2553="TNO2-3",I2553="NO2-3")),VLOOKUP(E2553,QCUREA_N,2,),IF(H2553="PER",VLOOKUP(I2553,QCPER,MATCH(E2553,QCACTUAL!$J$25:$AA$25,0),),IF(H2553="SPK",VLOOKUP(I2553,QCSPK,3,),IF(AND(H2553="ATP",OR(I2553="TP",I2553="TDP")),VLOOKUP(E2553,QCATP_P,2,),""))))))))</f>
        <v>2500</v>
      </c>
      <c r="W2553" s="31" t="str">
        <f t="shared" si="288"/>
        <v>TRUE</v>
      </c>
      <c r="X2553" s="31" t="str">
        <f t="shared" si="283"/>
        <v>([spikedunkn]-[unkn])/[spike]*100</v>
      </c>
      <c r="Y2553" s="10" t="s">
        <v>1178</v>
      </c>
      <c r="AF2553" s="12">
        <v>44967</v>
      </c>
      <c r="AJ2553" s="10">
        <f>-1.3255*14.1^2+193.01*14.1-127.15</f>
        <v>2330.768345</v>
      </c>
      <c r="AK2553" s="10">
        <f>-0.215*14.1^2+181.97*14.1-117.15</f>
        <v>2405.88285</v>
      </c>
      <c r="AL2553" s="10" t="str">
        <f t="shared" si="290"/>
        <v>FALSE</v>
      </c>
      <c r="AM2553" s="10" t="str">
        <f t="shared" si="290"/>
        <v>FALSE</v>
      </c>
      <c r="AN2553" s="10" t="str">
        <f t="shared" si="290"/>
        <v>FALSE</v>
      </c>
      <c r="AO2553" s="10" t="str">
        <f t="shared" si="291"/>
        <v>y=-1.3255*14.1^2+193.01*14.1-127.15</v>
      </c>
      <c r="AP2553" s="10" t="str">
        <f t="shared" si="291"/>
        <v>y=-0.215*14.1^2+181.97*14.1-117.15</v>
      </c>
      <c r="AQ2553" s="10" t="b">
        <f>IF(AND(I2553="TP",S2553&lt;=150),VLOOKUP(AF2553,TPCalibEq150!$AZ$2:$BB$55,3,),IF(AND(I2553="TDP",S2553&lt;=150),VLOOKUP(AF2553,TPCalibEq150!$AZ$2:$BB$55,3,)))</f>
        <v>0</v>
      </c>
      <c r="AR2553" s="10" t="b">
        <f>IF(AND(I2553="TP",S2553&lt;=300),VLOOKUP(AF2553,TPCalibEq300!$AZ$2:$BB$55,3,),IF(AND(I2553="TDP",S2553&lt;=300),VLOOKUP(AF2553,TPCalibEq300!$AZ$2:$BB$55,3,)))</f>
        <v>0</v>
      </c>
      <c r="AS2553" s="10" t="b">
        <f>IF(AND(I2553="TP",S2553&lt;=500),VLOOKUP(AF2553,TPCalibEq500!$AZ$2:$BB$56,3,),IF(AND(I2553="TDP",S2553&lt;=500),VLOOKUP(AF2553,TPCalibEq500!$AZ$2:$BB$56,3,)))</f>
        <v>0</v>
      </c>
      <c r="AT2553" s="10" t="str">
        <f>IF(AND(I2553="TN",S2553&lt;=2800),VLOOKUP(AF2553,TNCalibEq2500!$AZ$2:$BB$56,3,),IF(AND(I2553="TDN",S2553&lt;=2800),VLOOKUP(AF2553,TNCalibEq2500!$AZ$2:$BB$56,3,)))</f>
        <v>y=-1.3255x2+193.01x-127.15</v>
      </c>
      <c r="AU2553" s="10" t="str">
        <f>IF(I2553="TP",VLOOKUP(AF2553,TPCalibEqFull!$AZ$2:$BB$56,3),IF(I2553="TDP",VLOOKUP(AF2553,TPCalibEqFull!$AZ$2:$BB$56,3),IF(I2553="TDN",VLOOKUP(AF2553,TNCalibEqFull!$AZ$1:$BB$56,3),IF(I2553="TN",VLOOKUP(AF2553,TNCalibEqFull!$AZ$1:$BB$56,3),FALSE))))</f>
        <v>y=-0.215x2+181.97x-117.15</v>
      </c>
      <c r="AV2553" s="10" t="str">
        <f t="shared" si="289"/>
        <v>0209 09:00:00-QAC-BLK-A-1-DI-SPK</v>
      </c>
    </row>
    <row r="2554" spans="1:48" s="10" customFormat="1" x14ac:dyDescent="0.55000000000000004">
      <c r="A2554" s="32">
        <v>44966</v>
      </c>
      <c r="B2554" s="33">
        <v>0.375</v>
      </c>
      <c r="C2554" s="10" t="s">
        <v>70</v>
      </c>
      <c r="D2554" s="10" t="s">
        <v>71</v>
      </c>
      <c r="E2554" s="10" t="s">
        <v>948</v>
      </c>
      <c r="F2554" s="10">
        <v>1</v>
      </c>
      <c r="G2554" s="10" t="s">
        <v>73</v>
      </c>
      <c r="H2554" s="10" t="s">
        <v>299</v>
      </c>
      <c r="I2554" s="10" t="s">
        <v>235</v>
      </c>
      <c r="J2554" s="10">
        <v>197</v>
      </c>
      <c r="K2554" s="12">
        <v>44967</v>
      </c>
      <c r="L2554" s="33">
        <v>0.39363425925925927</v>
      </c>
      <c r="M2554" s="10">
        <v>1</v>
      </c>
      <c r="N2554" s="10" t="s">
        <v>196</v>
      </c>
      <c r="O2554" s="10">
        <v>11.5</v>
      </c>
      <c r="P2554" s="10">
        <v>0.56299999999999994</v>
      </c>
      <c r="Q2554" s="10">
        <v>1920</v>
      </c>
      <c r="R2554" s="10" t="s">
        <v>170</v>
      </c>
      <c r="S2554" s="34">
        <f t="shared" si="284"/>
        <v>1947.07125</v>
      </c>
      <c r="T2554" s="10" t="s">
        <v>1185</v>
      </c>
      <c r="U2554" s="34">
        <f t="shared" si="287"/>
        <v>104.12145721925134</v>
      </c>
      <c r="V2554" s="31">
        <f>IF(H2554="CHK",VLOOKUP(I2554,QCCHK,3,),IF(H2554="GUP",VLOOKUP(E2554,QCGUP,2,),IF(AND(H2554="ATP",OR(I2554="TN",I2554="TDN",I2554="TNO2-3",I2554="NO2-3")),VLOOKUP(E2554,QCREC_N,2,),IF(AND(H2554="NIC",OR(I2554="TN",I2554="TDN",I2554="TNO2-3",I2554="NO2-3")),VLOOKUP(E2554,QCNIC_N,2,),IF(AND(H2554="UREA",OR(I2554="TN",I2554="TDN",I2554="TNO2-3",I2554="NO2-3")),VLOOKUP(E2554,QCUREA_N,2,),IF(H2554="PER",VLOOKUP(I2554,QCPER,MATCH(E2554,QCACTUAL!$J$25:$AA$25,0),),IF(H2554="SPK",VLOOKUP(I2554,QCSPK,3,),IF(AND(H2554="ATP",OR(I2554="TP",I2554="TDP")),VLOOKUP(E2554,QCATP_P,2,),""))))))))</f>
        <v>1870</v>
      </c>
      <c r="W2554" s="31" t="str">
        <f t="shared" si="288"/>
        <v>TRUE</v>
      </c>
      <c r="X2554" s="31" t="str">
        <f t="shared" si="283"/>
        <v>[per]/[actual]*100</v>
      </c>
      <c r="Y2554" s="10" t="s">
        <v>1178</v>
      </c>
      <c r="AF2554" s="12">
        <v>44967</v>
      </c>
      <c r="AJ2554" s="10">
        <f>-1.3255*11.5^2+193.01*11.5-127.15</f>
        <v>1917.1676249999996</v>
      </c>
      <c r="AK2554" s="10">
        <f>-0.215*11.5^2+181.97*11.5-117.15</f>
        <v>1947.07125</v>
      </c>
      <c r="AL2554" s="10" t="str">
        <f t="shared" si="290"/>
        <v>FALSE</v>
      </c>
      <c r="AM2554" s="10" t="str">
        <f t="shared" si="290"/>
        <v>FALSE</v>
      </c>
      <c r="AN2554" s="10" t="str">
        <f t="shared" si="290"/>
        <v>FALSE</v>
      </c>
      <c r="AO2554" s="10" t="str">
        <f t="shared" si="291"/>
        <v>y=-1.3255*11.5^2+193.01*11.5-127.15</v>
      </c>
      <c r="AP2554" s="10" t="str">
        <f t="shared" si="291"/>
        <v>y=-0.215*11.5^2+181.97*11.5-117.15</v>
      </c>
      <c r="AQ2554" s="10" t="b">
        <f>IF(AND(I2554="TP",S2554&lt;=150),VLOOKUP(AF2554,TPCalibEq150!$AZ$2:$BB$55,3,),IF(AND(I2554="TDP",S2554&lt;=150),VLOOKUP(AF2554,TPCalibEq150!$AZ$2:$BB$55,3,)))</f>
        <v>0</v>
      </c>
      <c r="AR2554" s="10" t="b">
        <f>IF(AND(I2554="TP",S2554&lt;=300),VLOOKUP(AF2554,TPCalibEq300!$AZ$2:$BB$55,3,),IF(AND(I2554="TDP",S2554&lt;=300),VLOOKUP(AF2554,TPCalibEq300!$AZ$2:$BB$55,3,)))</f>
        <v>0</v>
      </c>
      <c r="AS2554" s="10" t="b">
        <f>IF(AND(I2554="TP",S2554&lt;=500),VLOOKUP(AF2554,TPCalibEq500!$AZ$2:$BB$56,3,),IF(AND(I2554="TDP",S2554&lt;=500),VLOOKUP(AF2554,TPCalibEq500!$AZ$2:$BB$56,3,)))</f>
        <v>0</v>
      </c>
      <c r="AT2554" s="10" t="str">
        <f>IF(AND(I2554="TN",S2554&lt;=2800),VLOOKUP(AF2554,TNCalibEq2500!$AZ$2:$BB$56,3,),IF(AND(I2554="TDN",S2554&lt;=2800),VLOOKUP(AF2554,TNCalibEq2500!$AZ$2:$BB$56,3,)))</f>
        <v>y=-1.3255x2+193.01x-127.15</v>
      </c>
      <c r="AU2554" s="10" t="str">
        <f>IF(I2554="TP",VLOOKUP(AF2554,TPCalibEqFull!$AZ$2:$BB$56,3),IF(I2554="TDP",VLOOKUP(AF2554,TPCalibEqFull!$AZ$2:$BB$56,3),IF(I2554="TDN",VLOOKUP(AF2554,TNCalibEqFull!$AZ$1:$BB$56,3),IF(I2554="TN",VLOOKUP(AF2554,TNCalibEqFull!$AZ$1:$BB$56,3),FALSE))))</f>
        <v>y=-0.215x2+181.97x-117.15</v>
      </c>
      <c r="AV2554" s="10" t="str">
        <f t="shared" si="289"/>
        <v>0209 09:00:00-QAC-STD-22A-1-DI-PER</v>
      </c>
    </row>
    <row r="2555" spans="1:48" s="10" customFormat="1" x14ac:dyDescent="0.55000000000000004">
      <c r="A2555" s="32">
        <v>44966</v>
      </c>
      <c r="B2555" s="33">
        <v>0.375</v>
      </c>
      <c r="C2555" s="10" t="s">
        <v>70</v>
      </c>
      <c r="D2555" s="10" t="s">
        <v>305</v>
      </c>
      <c r="E2555" s="10" t="s">
        <v>866</v>
      </c>
      <c r="F2555" s="10">
        <v>1</v>
      </c>
      <c r="G2555" s="10" t="s">
        <v>73</v>
      </c>
      <c r="H2555" s="10" t="s">
        <v>274</v>
      </c>
      <c r="I2555" s="10" t="s">
        <v>235</v>
      </c>
      <c r="J2555" s="10">
        <v>204</v>
      </c>
      <c r="K2555" s="12">
        <v>44967</v>
      </c>
      <c r="L2555" s="33">
        <v>0.39431712962962967</v>
      </c>
      <c r="M2555" s="10">
        <v>1</v>
      </c>
      <c r="N2555" s="10" t="s">
        <v>196</v>
      </c>
      <c r="O2555" s="10">
        <v>6.05</v>
      </c>
      <c r="P2555" s="10">
        <v>0.29799999999999999</v>
      </c>
      <c r="Q2555" s="10">
        <v>964</v>
      </c>
      <c r="R2555" s="10" t="s">
        <v>170</v>
      </c>
      <c r="S2555" s="34">
        <f t="shared" si="284"/>
        <v>992.0438862499999</v>
      </c>
      <c r="T2555" s="10" t="s">
        <v>1185</v>
      </c>
      <c r="U2555" s="34">
        <f t="shared" si="287"/>
        <v>99.204388624999993</v>
      </c>
      <c r="V2555" s="31">
        <f>IF(H2555="CHK",VLOOKUP(I2555,QCCHK,3,),IF(H2555="GUP",VLOOKUP(E2555,QCGUP,2,),IF(AND(H2555="ATP",OR(I2555="TN",I2555="TDN",I2555="TNO2-3",I2555="NO2-3")),VLOOKUP(E2555,QCREC_N,2,),IF(AND(H2555="NIC",OR(I2555="TN",I2555="TDN",I2555="TNO2-3",I2555="NO2-3")),VLOOKUP(E2555,QCNIC_N,2,),IF(AND(H2555="UREA",OR(I2555="TN",I2555="TDN",I2555="TNO2-3",I2555="NO2-3")),VLOOKUP(E2555,QCUREA_N,2,),IF(H2555="PER",VLOOKUP(I2555,QCPER,MATCH(E2555,QCACTUAL!$J$25:$AA$25,0),),IF(H2555="SPK",VLOOKUP(I2555,QCSPK,3,),IF(AND(H2555="ATP",OR(I2555="TP",I2555="TDP")),VLOOKUP(E2555,QCATP_P,2,),""))))))))</f>
        <v>1000</v>
      </c>
      <c r="W2555" s="31" t="str">
        <f t="shared" si="288"/>
        <v>TRUE</v>
      </c>
      <c r="X2555" s="31" t="str">
        <f t="shared" si="283"/>
        <v>[rec]/[actual]*100</v>
      </c>
      <c r="Y2555" s="10" t="s">
        <v>1178</v>
      </c>
      <c r="AF2555" s="12">
        <v>44967</v>
      </c>
      <c r="AJ2555" s="10">
        <f>-1.3255*6.05^2+193.01*6.05-127.15</f>
        <v>992.0438862499999</v>
      </c>
      <c r="AK2555" s="10">
        <f>-0.215*6.05^2+181.97*6.05-117.15</f>
        <v>975.89896250000004</v>
      </c>
      <c r="AL2555" s="10" t="str">
        <f t="shared" si="290"/>
        <v>FALSE</v>
      </c>
      <c r="AM2555" s="10" t="str">
        <f t="shared" si="290"/>
        <v>FALSE</v>
      </c>
      <c r="AN2555" s="10" t="str">
        <f t="shared" si="290"/>
        <v>FALSE</v>
      </c>
      <c r="AO2555" s="10" t="str">
        <f t="shared" si="291"/>
        <v>y=-1.3255*6.05^2+193.01*6.05-127.15</v>
      </c>
      <c r="AP2555" s="10" t="str">
        <f t="shared" si="291"/>
        <v>y=-0.215*6.05^2+181.97*6.05-117.15</v>
      </c>
      <c r="AQ2555" s="10" t="b">
        <f>IF(AND(I2555="TP",S2555&lt;=150),VLOOKUP(AF2555,TPCalibEq150!$AZ$2:$BB$55,3,),IF(AND(I2555="TDP",S2555&lt;=150),VLOOKUP(AF2555,TPCalibEq150!$AZ$2:$BB$55,3,)))</f>
        <v>0</v>
      </c>
      <c r="AR2555" s="10" t="b">
        <f>IF(AND(I2555="TP",S2555&lt;=300),VLOOKUP(AF2555,TPCalibEq300!$AZ$2:$BB$55,3,),IF(AND(I2555="TDP",S2555&lt;=300),VLOOKUP(AF2555,TPCalibEq300!$AZ$2:$BB$55,3,)))</f>
        <v>0</v>
      </c>
      <c r="AS2555" s="10" t="b">
        <f>IF(AND(I2555="TP",S2555&lt;=500),VLOOKUP(AF2555,TPCalibEq500!$AZ$2:$BB$56,3,),IF(AND(I2555="TDP",S2555&lt;=500),VLOOKUP(AF2555,TPCalibEq500!$AZ$2:$BB$56,3,)))</f>
        <v>0</v>
      </c>
      <c r="AT2555" s="10" t="str">
        <f>IF(AND(I2555="TN",S2555&lt;=2800),VLOOKUP(AF2555,TNCalibEq2500!$AZ$2:$BB$56,3,),IF(AND(I2555="TDN",S2555&lt;=2800),VLOOKUP(AF2555,TNCalibEq2500!$AZ$2:$BB$56,3,)))</f>
        <v>y=-1.3255x2+193.01x-127.15</v>
      </c>
      <c r="AU2555" s="10" t="str">
        <f>IF(I2555="TP",VLOOKUP(AF2555,TPCalibEqFull!$AZ$2:$BB$56,3),IF(I2555="TDP",VLOOKUP(AF2555,TPCalibEqFull!$AZ$2:$BB$56,3),IF(I2555="TDN",VLOOKUP(AF2555,TNCalibEqFull!$AZ$1:$BB$56,3),IF(I2555="TN",VLOOKUP(AF2555,TNCalibEqFull!$AZ$1:$BB$56,3),FALSE))))</f>
        <v>y=-0.215x2+181.97x-117.15</v>
      </c>
      <c r="AV2555" s="10" t="str">
        <f t="shared" si="289"/>
        <v>0209 09:00:00-QAC-REC-A-1-DI-GUP</v>
      </c>
    </row>
    <row r="2556" spans="1:48" s="10" customFormat="1" x14ac:dyDescent="0.55000000000000004">
      <c r="A2556" s="32">
        <v>44966</v>
      </c>
      <c r="B2556" s="33">
        <v>0.375</v>
      </c>
      <c r="C2556" s="10" t="s">
        <v>70</v>
      </c>
      <c r="D2556" s="10" t="s">
        <v>305</v>
      </c>
      <c r="E2556" s="10" t="s">
        <v>583</v>
      </c>
      <c r="F2556" s="10">
        <v>1</v>
      </c>
      <c r="G2556" s="10" t="s">
        <v>73</v>
      </c>
      <c r="H2556" s="10" t="s">
        <v>274</v>
      </c>
      <c r="I2556" s="10" t="s">
        <v>235</v>
      </c>
      <c r="J2556" s="10">
        <v>205</v>
      </c>
      <c r="K2556" s="12">
        <v>44967</v>
      </c>
      <c r="L2556" s="33">
        <v>0.39498842592592592</v>
      </c>
      <c r="M2556" s="10">
        <v>1</v>
      </c>
      <c r="N2556" s="10" t="s">
        <v>196</v>
      </c>
      <c r="O2556" s="10">
        <v>1.7</v>
      </c>
      <c r="P2556" s="10">
        <v>8.3699999999999997E-2</v>
      </c>
      <c r="Q2556" s="10">
        <v>198</v>
      </c>
      <c r="R2556" s="10" t="s">
        <v>170</v>
      </c>
      <c r="S2556" s="34">
        <f t="shared" si="284"/>
        <v>198</v>
      </c>
      <c r="T2556" s="10" t="s">
        <v>1185</v>
      </c>
      <c r="U2556" s="34">
        <f t="shared" si="287"/>
        <v>99</v>
      </c>
      <c r="V2556" s="31">
        <f>IF(H2556="CHK",VLOOKUP(I2556,QCCHK,3,),IF(H2556="GUP",VLOOKUP(E2556,QCGUP,2,),IF(AND(H2556="ATP",OR(I2556="TN",I2556="TDN",I2556="TNO2-3",I2556="NO2-3")),VLOOKUP(E2556,QCREC_N,2,),IF(AND(H2556="NIC",OR(I2556="TN",I2556="TDN",I2556="TNO2-3",I2556="NO2-3")),VLOOKUP(E2556,QCNIC_N,2,),IF(AND(H2556="UREA",OR(I2556="TN",I2556="TDN",I2556="TNO2-3",I2556="NO2-3")),VLOOKUP(E2556,QCUREA_N,2,),IF(H2556="PER",VLOOKUP(I2556,QCPER,MATCH(E2556,QCACTUAL!$J$25:$AA$25,0),),IF(H2556="SPK",VLOOKUP(I2556,QCSPK,3,),IF(AND(H2556="ATP",OR(I2556="TP",I2556="TDP")),VLOOKUP(E2556,QCATP_P,2,),""))))))))</f>
        <v>200</v>
      </c>
      <c r="W2556" s="31" t="str">
        <f t="shared" si="288"/>
        <v>TRUE</v>
      </c>
      <c r="X2556" s="31" t="str">
        <f t="shared" si="283"/>
        <v>[rec]/[actual]*100</v>
      </c>
      <c r="Y2556" s="10" t="s">
        <v>1178</v>
      </c>
      <c r="AF2556" s="12">
        <v>44967</v>
      </c>
      <c r="AJ2556" s="10">
        <f>-1.3255*1.7^2+193.01*1.7-127.15</f>
        <v>197.13630499999996</v>
      </c>
      <c r="AK2556" s="10">
        <f>-0.215*1.7^2+181.97*1.7-117.15</f>
        <v>191.57764999999998</v>
      </c>
      <c r="AL2556" s="10" t="str">
        <f t="shared" si="290"/>
        <v>FALSE</v>
      </c>
      <c r="AM2556" s="10" t="str">
        <f t="shared" si="290"/>
        <v>FALSE</v>
      </c>
      <c r="AN2556" s="10" t="str">
        <f t="shared" si="290"/>
        <v>FALSE</v>
      </c>
      <c r="AO2556" s="10" t="str">
        <f t="shared" si="291"/>
        <v>y=-1.3255*1.7^2+193.01*1.7-127.15</v>
      </c>
      <c r="AP2556" s="10" t="str">
        <f t="shared" si="291"/>
        <v>y=-0.215*1.7^2+181.97*1.7-117.15</v>
      </c>
      <c r="AQ2556" s="10" t="b">
        <f>IF(AND(I2556="TP",S2556&lt;=150),VLOOKUP(AF2556,TPCalibEq150!$AZ$2:$BB$55,3,),IF(AND(I2556="TDP",S2556&lt;=150),VLOOKUP(AF2556,TPCalibEq150!$AZ$2:$BB$55,3,)))</f>
        <v>0</v>
      </c>
      <c r="AR2556" s="10" t="b">
        <f>IF(AND(I2556="TP",S2556&lt;=300),VLOOKUP(AF2556,TPCalibEq300!$AZ$2:$BB$55,3,),IF(AND(I2556="TDP",S2556&lt;=300),VLOOKUP(AF2556,TPCalibEq300!$AZ$2:$BB$55,3,)))</f>
        <v>0</v>
      </c>
      <c r="AS2556" s="10" t="b">
        <f>IF(AND(I2556="TP",S2556&lt;=500),VLOOKUP(AF2556,TPCalibEq500!$AZ$2:$BB$56,3,),IF(AND(I2556="TDP",S2556&lt;=500),VLOOKUP(AF2556,TPCalibEq500!$AZ$2:$BB$56,3,)))</f>
        <v>0</v>
      </c>
      <c r="AT2556" s="10" t="str">
        <f>IF(AND(I2556="TN",S2556&lt;=2800),VLOOKUP(AF2556,TNCalibEq2500!$AZ$2:$BB$56,3,),IF(AND(I2556="TDN",S2556&lt;=2800),VLOOKUP(AF2556,TNCalibEq2500!$AZ$2:$BB$56,3,)))</f>
        <v>y=-1.3255x2+193.01x-127.15</v>
      </c>
      <c r="AU2556" s="10" t="str">
        <f>IF(I2556="TP",VLOOKUP(AF2556,TPCalibEqFull!$AZ$2:$BB$56,3),IF(I2556="TDP",VLOOKUP(AF2556,TPCalibEqFull!$AZ$2:$BB$56,3),IF(I2556="TDN",VLOOKUP(AF2556,TNCalibEqFull!$AZ$1:$BB$56,3),IF(I2556="TN",VLOOKUP(AF2556,TNCalibEqFull!$AZ$1:$BB$56,3),FALSE))))</f>
        <v>y=-0.215x2+181.97x-117.15</v>
      </c>
      <c r="AV2556" s="10" t="str">
        <f t="shared" si="289"/>
        <v>0209 09:00:00-QAC-REC-B-1-DI-GUP</v>
      </c>
    </row>
    <row r="2557" spans="1:48" s="10" customFormat="1" x14ac:dyDescent="0.55000000000000004">
      <c r="A2557" s="32">
        <v>44966</v>
      </c>
      <c r="B2557" s="33">
        <v>0.375</v>
      </c>
      <c r="C2557" s="10" t="s">
        <v>70</v>
      </c>
      <c r="D2557" s="10" t="s">
        <v>305</v>
      </c>
      <c r="E2557" s="10" t="s">
        <v>190</v>
      </c>
      <c r="F2557" s="10">
        <v>1</v>
      </c>
      <c r="G2557" s="10" t="s">
        <v>73</v>
      </c>
      <c r="H2557" s="10" t="s">
        <v>274</v>
      </c>
      <c r="I2557" s="10" t="s">
        <v>235</v>
      </c>
      <c r="J2557" s="10">
        <v>206</v>
      </c>
      <c r="K2557" s="12">
        <v>44967</v>
      </c>
      <c r="L2557" s="33">
        <v>0.39567129629629627</v>
      </c>
      <c r="M2557" s="10">
        <v>1</v>
      </c>
      <c r="N2557" s="10" t="s">
        <v>196</v>
      </c>
      <c r="O2557" s="10">
        <v>1.23</v>
      </c>
      <c r="P2557" s="10">
        <v>5.9900000000000002E-2</v>
      </c>
      <c r="Q2557" s="10">
        <v>114</v>
      </c>
      <c r="R2557" s="10" t="s">
        <v>170</v>
      </c>
      <c r="S2557" s="34">
        <f t="shared" si="284"/>
        <v>114</v>
      </c>
      <c r="T2557" s="10" t="s">
        <v>1185</v>
      </c>
      <c r="U2557" s="34">
        <f t="shared" si="287"/>
        <v>113.99999999999999</v>
      </c>
      <c r="V2557" s="31">
        <f>IF(H2557="CHK",VLOOKUP(I2557,QCCHK,3,),IF(H2557="GUP",VLOOKUP(E2557,QCGUP,2,),IF(AND(H2557="ATP",OR(I2557="TN",I2557="TDN",I2557="TNO2-3",I2557="NO2-3")),VLOOKUP(E2557,QCREC_N,2,),IF(AND(H2557="NIC",OR(I2557="TN",I2557="TDN",I2557="TNO2-3",I2557="NO2-3")),VLOOKUP(E2557,QCNIC_N,2,),IF(AND(H2557="UREA",OR(I2557="TN",I2557="TDN",I2557="TNO2-3",I2557="NO2-3")),VLOOKUP(E2557,QCUREA_N,2,),IF(H2557="PER",VLOOKUP(I2557,QCPER,MATCH(E2557,QCACTUAL!$J$25:$AA$25,0),),IF(H2557="SPK",VLOOKUP(I2557,QCSPK,3,),IF(AND(H2557="ATP",OR(I2557="TP",I2557="TDP")),VLOOKUP(E2557,QCATP_P,2,),""))))))))</f>
        <v>100</v>
      </c>
      <c r="W2557" s="31" t="str">
        <f t="shared" si="288"/>
        <v>TRUE</v>
      </c>
      <c r="X2557" s="31" t="str">
        <f t="shared" si="283"/>
        <v>[rec]/[actual]*100</v>
      </c>
      <c r="Y2557" s="10" t="s">
        <v>1178</v>
      </c>
      <c r="AF2557" s="12">
        <v>44967</v>
      </c>
      <c r="AJ2557" s="10">
        <f>-1.3255*1.23^2+193.01*1.23-127.15</f>
        <v>108.24695104999998</v>
      </c>
      <c r="AK2557" s="10">
        <f>-0.215*1.23^2+181.97*1.23-117.15</f>
        <v>106.34782649999997</v>
      </c>
      <c r="AL2557" s="10" t="str">
        <f t="shared" si="290"/>
        <v>FALSE</v>
      </c>
      <c r="AM2557" s="10" t="str">
        <f t="shared" si="290"/>
        <v>FALSE</v>
      </c>
      <c r="AN2557" s="10" t="str">
        <f t="shared" si="290"/>
        <v>FALSE</v>
      </c>
      <c r="AO2557" s="10" t="str">
        <f t="shared" si="291"/>
        <v>y=-1.3255*1.23^2+193.01*1.23-127.15</v>
      </c>
      <c r="AP2557" s="10" t="str">
        <f t="shared" si="291"/>
        <v>y=-0.215*1.23^2+181.97*1.23-117.15</v>
      </c>
      <c r="AQ2557" s="10" t="b">
        <f>IF(AND(I2557="TP",S2557&lt;=150),VLOOKUP(AF2557,TPCalibEq150!$AZ$2:$BB$55,3,),IF(AND(I2557="TDP",S2557&lt;=150),VLOOKUP(AF2557,TPCalibEq150!$AZ$2:$BB$55,3,)))</f>
        <v>0</v>
      </c>
      <c r="AR2557" s="10" t="b">
        <f>IF(AND(I2557="TP",S2557&lt;=300),VLOOKUP(AF2557,TPCalibEq300!$AZ$2:$BB$55,3,),IF(AND(I2557="TDP",S2557&lt;=300),VLOOKUP(AF2557,TPCalibEq300!$AZ$2:$BB$55,3,)))</f>
        <v>0</v>
      </c>
      <c r="AS2557" s="10" t="b">
        <f>IF(AND(I2557="TP",S2557&lt;=500),VLOOKUP(AF2557,TPCalibEq500!$AZ$2:$BB$56,3,),IF(AND(I2557="TDP",S2557&lt;=500),VLOOKUP(AF2557,TPCalibEq500!$AZ$2:$BB$56,3,)))</f>
        <v>0</v>
      </c>
      <c r="AT2557" s="10" t="str">
        <f>IF(AND(I2557="TN",S2557&lt;=2800),VLOOKUP(AF2557,TNCalibEq2500!$AZ$2:$BB$56,3,),IF(AND(I2557="TDN",S2557&lt;=2800),VLOOKUP(AF2557,TNCalibEq2500!$AZ$2:$BB$56,3,)))</f>
        <v>y=-1.3255x2+193.01x-127.15</v>
      </c>
      <c r="AU2557" s="10" t="str">
        <f>IF(I2557="TP",VLOOKUP(AF2557,TPCalibEqFull!$AZ$2:$BB$56,3),IF(I2557="TDP",VLOOKUP(AF2557,TPCalibEqFull!$AZ$2:$BB$56,3),IF(I2557="TDN",VLOOKUP(AF2557,TNCalibEqFull!$AZ$1:$BB$56,3),IF(I2557="TN",VLOOKUP(AF2557,TNCalibEqFull!$AZ$1:$BB$56,3),FALSE))))</f>
        <v>y=-0.215x2+181.97x-117.15</v>
      </c>
      <c r="AV2557" s="10" t="str">
        <f t="shared" si="289"/>
        <v>0209 09:00:00-QAC-REC-C-1-DI-GUP</v>
      </c>
    </row>
    <row r="2558" spans="1:48" s="10" customFormat="1" x14ac:dyDescent="0.55000000000000004">
      <c r="A2558" s="32">
        <v>44897</v>
      </c>
      <c r="B2558" s="33">
        <v>0.375</v>
      </c>
      <c r="C2558" s="10" t="s">
        <v>70</v>
      </c>
      <c r="D2558" s="10" t="s">
        <v>305</v>
      </c>
      <c r="E2558" s="10" t="s">
        <v>866</v>
      </c>
      <c r="F2558" s="10">
        <v>1</v>
      </c>
      <c r="G2558" s="10" t="s">
        <v>73</v>
      </c>
      <c r="H2558" s="10" t="s">
        <v>181</v>
      </c>
      <c r="I2558" s="10" t="s">
        <v>235</v>
      </c>
      <c r="J2558" s="10">
        <v>214</v>
      </c>
      <c r="K2558" s="12">
        <v>44967</v>
      </c>
      <c r="L2558" s="33">
        <v>0.39635416666666662</v>
      </c>
      <c r="M2558" s="10">
        <v>1</v>
      </c>
      <c r="N2558" s="10" t="s">
        <v>196</v>
      </c>
      <c r="O2558" s="10">
        <v>4.5199999999999996</v>
      </c>
      <c r="P2558" s="10">
        <v>0.22</v>
      </c>
      <c r="Q2558" s="10">
        <v>694</v>
      </c>
      <c r="R2558" s="10" t="s">
        <v>170</v>
      </c>
      <c r="S2558" s="34">
        <f t="shared" si="284"/>
        <v>718.17470479999997</v>
      </c>
      <c r="T2558" s="10" t="s">
        <v>1185</v>
      </c>
      <c r="U2558" s="34">
        <f t="shared" si="287"/>
        <v>71.817470479999997</v>
      </c>
      <c r="V2558" s="31">
        <f>IF(H2558="CHK",VLOOKUP(I2558,QCCHK,3,),IF(H2558="GUP",VLOOKUP(E2558,QCGUP,2,),IF(AND(H2558="ATP",OR(I2558="TN",I2558="TDN",I2558="TNO2-3",I2558="NO2-3")),VLOOKUP(E2558,QCREC_N,2,),IF(AND(H2558="NIC",OR(I2558="TN",I2558="TDN",I2558="TNO2-3",I2558="NO2-3")),VLOOKUP(E2558,QCNIC_N,2,),IF(AND(H2558="UREA",OR(I2558="TN",I2558="TDN",I2558="TNO2-3",I2558="NO2-3")),VLOOKUP(E2558,QCUREA_N,2,),IF(H2558="PER",VLOOKUP(I2558,QCPER,MATCH(E2558,QCACTUAL!$J$25:$AA$25,0),),IF(H2558="SPK",VLOOKUP(I2558,QCSPK,3,),IF(AND(H2558="ATP",OR(I2558="TP",I2558="TDP")),VLOOKUP(E2558,QCATP_P,2,),""))))))))</f>
        <v>1000</v>
      </c>
      <c r="W2558" s="31" t="str">
        <f t="shared" si="288"/>
        <v>FALSE</v>
      </c>
      <c r="X2558" s="31" t="str">
        <f t="shared" si="283"/>
        <v>[rec]/[actual]*100</v>
      </c>
      <c r="Y2558" s="10" t="s">
        <v>1178</v>
      </c>
      <c r="AF2558" s="12">
        <v>44967</v>
      </c>
      <c r="AJ2558" s="10">
        <f>-1.3255*4.52^2+193.01*4.52-127.15</f>
        <v>718.17470479999997</v>
      </c>
      <c r="AK2558" s="10">
        <f>-0.215*4.52^2+181.97*4.52-117.15</f>
        <v>700.96186399999999</v>
      </c>
      <c r="AL2558" s="10" t="str">
        <f t="shared" si="290"/>
        <v>FALSE</v>
      </c>
      <c r="AM2558" s="10" t="str">
        <f t="shared" si="290"/>
        <v>FALSE</v>
      </c>
      <c r="AN2558" s="10" t="str">
        <f t="shared" si="290"/>
        <v>FALSE</v>
      </c>
      <c r="AO2558" s="10" t="str">
        <f t="shared" si="291"/>
        <v>y=-1.3255*4.52^2+193.01*4.52-127.15</v>
      </c>
      <c r="AP2558" s="10" t="str">
        <f t="shared" si="291"/>
        <v>y=-0.215*4.52^2+181.97*4.52-117.15</v>
      </c>
      <c r="AQ2558" s="10" t="b">
        <f>IF(AND(I2558="TP",S2558&lt;=150),VLOOKUP(AF2558,TPCalibEq150!$AZ$2:$BB$55,3,),IF(AND(I2558="TDP",S2558&lt;=150),VLOOKUP(AF2558,TPCalibEq150!$AZ$2:$BB$55,3,)))</f>
        <v>0</v>
      </c>
      <c r="AR2558" s="10" t="b">
        <f>IF(AND(I2558="TP",S2558&lt;=300),VLOOKUP(AF2558,TPCalibEq300!$AZ$2:$BB$55,3,),IF(AND(I2558="TDP",S2558&lt;=300),VLOOKUP(AF2558,TPCalibEq300!$AZ$2:$BB$55,3,)))</f>
        <v>0</v>
      </c>
      <c r="AS2558" s="10" t="b">
        <f>IF(AND(I2558="TP",S2558&lt;=500),VLOOKUP(AF2558,TPCalibEq500!$AZ$2:$BB$56,3,),IF(AND(I2558="TDP",S2558&lt;=500),VLOOKUP(AF2558,TPCalibEq500!$AZ$2:$BB$56,3,)))</f>
        <v>0</v>
      </c>
      <c r="AT2558" s="10" t="str">
        <f>IF(AND(I2558="TN",S2558&lt;=2800),VLOOKUP(AF2558,TNCalibEq2500!$AZ$2:$BB$56,3,),IF(AND(I2558="TDN",S2558&lt;=2800),VLOOKUP(AF2558,TNCalibEq2500!$AZ$2:$BB$56,3,)))</f>
        <v>y=-1.3255x2+193.01x-127.15</v>
      </c>
      <c r="AU2558" s="10" t="str">
        <f>IF(I2558="TP",VLOOKUP(AF2558,TPCalibEqFull!$AZ$2:$BB$56,3),IF(I2558="TDP",VLOOKUP(AF2558,TPCalibEqFull!$AZ$2:$BB$56,3),IF(I2558="TDN",VLOOKUP(AF2558,TNCalibEqFull!$AZ$1:$BB$56,3),IF(I2558="TN",VLOOKUP(AF2558,TNCalibEqFull!$AZ$1:$BB$56,3),FALSE))))</f>
        <v>y=-0.215x2+181.97x-117.15</v>
      </c>
      <c r="AV2558" s="10" t="str">
        <f t="shared" si="289"/>
        <v>1202 09:00:00-QAC-REC-A-1-DI-ATP</v>
      </c>
    </row>
    <row r="2559" spans="1:48" s="10" customFormat="1" x14ac:dyDescent="0.55000000000000004">
      <c r="A2559" s="32">
        <v>44966</v>
      </c>
      <c r="B2559" s="33">
        <v>0.375</v>
      </c>
      <c r="C2559" s="10" t="s">
        <v>70</v>
      </c>
      <c r="D2559" s="10" t="s">
        <v>305</v>
      </c>
      <c r="E2559" s="10" t="s">
        <v>866</v>
      </c>
      <c r="F2559" s="10">
        <v>1</v>
      </c>
      <c r="G2559" s="10" t="s">
        <v>73</v>
      </c>
      <c r="H2559" s="10" t="s">
        <v>181</v>
      </c>
      <c r="I2559" s="10" t="s">
        <v>235</v>
      </c>
      <c r="J2559" s="10">
        <v>207</v>
      </c>
      <c r="K2559" s="12">
        <v>44967</v>
      </c>
      <c r="L2559" s="33">
        <v>0.39702546296296298</v>
      </c>
      <c r="M2559" s="10">
        <v>1</v>
      </c>
      <c r="N2559" s="10" t="s">
        <v>196</v>
      </c>
      <c r="O2559" s="10">
        <v>4.4800000000000004</v>
      </c>
      <c r="P2559" s="10">
        <v>0.218</v>
      </c>
      <c r="Q2559" s="10">
        <v>687</v>
      </c>
      <c r="R2559" s="10" t="s">
        <v>170</v>
      </c>
      <c r="S2559" s="34">
        <f t="shared" si="284"/>
        <v>710.93148480000002</v>
      </c>
      <c r="T2559" s="10" t="s">
        <v>1185</v>
      </c>
      <c r="U2559" s="34">
        <f t="shared" si="287"/>
        <v>71.093148479999996</v>
      </c>
      <c r="V2559" s="31">
        <f>IF(H2559="CHK",VLOOKUP(I2559,QCCHK,3,),IF(H2559="GUP",VLOOKUP(E2559,QCGUP,2,),IF(AND(H2559="ATP",OR(I2559="TN",I2559="TDN",I2559="TNO2-3",I2559="NO2-3")),VLOOKUP(E2559,QCREC_N,2,),IF(AND(H2559="NIC",OR(I2559="TN",I2559="TDN",I2559="TNO2-3",I2559="NO2-3")),VLOOKUP(E2559,QCNIC_N,2,),IF(AND(H2559="UREA",OR(I2559="TN",I2559="TDN",I2559="TNO2-3",I2559="NO2-3")),VLOOKUP(E2559,QCUREA_N,2,),IF(H2559="PER",VLOOKUP(I2559,QCPER,MATCH(E2559,QCACTUAL!$J$25:$AA$25,0),),IF(H2559="SPK",VLOOKUP(I2559,QCSPK,3,),IF(AND(H2559="ATP",OR(I2559="TP",I2559="TDP")),VLOOKUP(E2559,QCATP_P,2,),""))))))))</f>
        <v>1000</v>
      </c>
      <c r="W2559" s="31" t="str">
        <f t="shared" si="288"/>
        <v>FALSE</v>
      </c>
      <c r="X2559" s="31" t="str">
        <f t="shared" ref="X2559:X2622" si="292">IF(ISNA(VLOOKUP(H2559,QCEQUATIONS,2,)),"",(VLOOKUP(H2559,QCEQUATIONS,2,)))</f>
        <v>[rec]/[actual]*100</v>
      </c>
      <c r="Y2559" s="10" t="s">
        <v>1178</v>
      </c>
      <c r="AF2559" s="12">
        <v>44967</v>
      </c>
      <c r="AJ2559" s="10">
        <f>-1.3255*4.48^2+193.01*4.48-127.15</f>
        <v>710.93148480000002</v>
      </c>
      <c r="AK2559" s="10">
        <f>-0.215*4.48^2+181.97*4.48-117.15</f>
        <v>693.76046400000007</v>
      </c>
      <c r="AL2559" s="10" t="str">
        <f t="shared" si="290"/>
        <v>FALSE</v>
      </c>
      <c r="AM2559" s="10" t="str">
        <f t="shared" si="290"/>
        <v>FALSE</v>
      </c>
      <c r="AN2559" s="10" t="str">
        <f t="shared" si="290"/>
        <v>FALSE</v>
      </c>
      <c r="AO2559" s="10" t="str">
        <f t="shared" si="291"/>
        <v>y=-1.3255*4.48^2+193.01*4.48-127.15</v>
      </c>
      <c r="AP2559" s="10" t="str">
        <f t="shared" si="291"/>
        <v>y=-0.215*4.48^2+181.97*4.48-117.15</v>
      </c>
      <c r="AQ2559" s="10" t="b">
        <f>IF(AND(I2559="TP",S2559&lt;=150),VLOOKUP(AF2559,TPCalibEq150!$AZ$2:$BB$55,3,),IF(AND(I2559="TDP",S2559&lt;=150),VLOOKUP(AF2559,TPCalibEq150!$AZ$2:$BB$55,3,)))</f>
        <v>0</v>
      </c>
      <c r="AR2559" s="10" t="b">
        <f>IF(AND(I2559="TP",S2559&lt;=300),VLOOKUP(AF2559,TPCalibEq300!$AZ$2:$BB$55,3,),IF(AND(I2559="TDP",S2559&lt;=300),VLOOKUP(AF2559,TPCalibEq300!$AZ$2:$BB$55,3,)))</f>
        <v>0</v>
      </c>
      <c r="AS2559" s="10" t="b">
        <f>IF(AND(I2559="TP",S2559&lt;=500),VLOOKUP(AF2559,TPCalibEq500!$AZ$2:$BB$56,3,),IF(AND(I2559="TDP",S2559&lt;=500),VLOOKUP(AF2559,TPCalibEq500!$AZ$2:$BB$56,3,)))</f>
        <v>0</v>
      </c>
      <c r="AT2559" s="10" t="str">
        <f>IF(AND(I2559="TN",S2559&lt;=2800),VLOOKUP(AF2559,TNCalibEq2500!$AZ$2:$BB$56,3,),IF(AND(I2559="TDN",S2559&lt;=2800),VLOOKUP(AF2559,TNCalibEq2500!$AZ$2:$BB$56,3,)))</f>
        <v>y=-1.3255x2+193.01x-127.15</v>
      </c>
      <c r="AU2559" s="10" t="str">
        <f>IF(I2559="TP",VLOOKUP(AF2559,TPCalibEqFull!$AZ$2:$BB$56,3),IF(I2559="TDP",VLOOKUP(AF2559,TPCalibEqFull!$AZ$2:$BB$56,3),IF(I2559="TDN",VLOOKUP(AF2559,TNCalibEqFull!$AZ$1:$BB$56,3),IF(I2559="TN",VLOOKUP(AF2559,TNCalibEqFull!$AZ$1:$BB$56,3),FALSE))))</f>
        <v>y=-0.215x2+181.97x-117.15</v>
      </c>
      <c r="AV2559" s="10" t="str">
        <f t="shared" si="289"/>
        <v>0209 09:00:00-QAC-REC-A-1-DI-ATP</v>
      </c>
    </row>
    <row r="2560" spans="1:48" s="10" customFormat="1" x14ac:dyDescent="0.55000000000000004">
      <c r="A2560" s="32">
        <v>44966</v>
      </c>
      <c r="B2560" s="33">
        <v>0.375</v>
      </c>
      <c r="C2560" s="10" t="s">
        <v>70</v>
      </c>
      <c r="D2560" s="10" t="s">
        <v>305</v>
      </c>
      <c r="E2560" s="10" t="s">
        <v>583</v>
      </c>
      <c r="F2560" s="10">
        <v>1</v>
      </c>
      <c r="G2560" s="10" t="s">
        <v>73</v>
      </c>
      <c r="H2560" s="10" t="s">
        <v>181</v>
      </c>
      <c r="I2560" s="10" t="s">
        <v>235</v>
      </c>
      <c r="J2560" s="10">
        <v>208</v>
      </c>
      <c r="K2560" s="12">
        <v>44967</v>
      </c>
      <c r="L2560" s="33">
        <v>0.39770833333333333</v>
      </c>
      <c r="M2560" s="10">
        <v>1</v>
      </c>
      <c r="N2560" s="10" t="s">
        <v>196</v>
      </c>
      <c r="O2560" s="10">
        <v>1.4</v>
      </c>
      <c r="P2560" s="10">
        <v>6.8900000000000003E-2</v>
      </c>
      <c r="Q2560" s="10">
        <v>145</v>
      </c>
      <c r="R2560" s="10" t="s">
        <v>170</v>
      </c>
      <c r="S2560" s="34">
        <f t="shared" ref="S2560:S2623" si="293">IF(OR(AND(I2560&lt;&gt;"TP", I2560&lt;&gt;"TDP",I2560&lt;&gt;"TN", I2560&lt;&gt;"TDN"),H2560="CAL"), Q2560*M2560, IF(OR(AND(I2560="TN", Q2560&gt;2500), AND(I2560="TDN", Q2560&gt;2500)),MAX(Q2560, AK2560)*M2560, IF(OR(AND(I2560="TN", Q2560&lt;=2500), AND(I2560="TDN", Q2560&lt;=2500)),MAX(Q2560, AJ2560,AK2560)*M2560, IF(OR(AND(I2560="TP",Q2560&gt;500), AND(I2560="TDP", Q2560&gt;500)),MAX(Q2560,AK2560)*M2560,IF(OR(AND(I2560="TP",Q2560&lt;=150), AND(I2560="TDP", Q2560&lt;=150)),MAX(Q2560,AG2560:AI2560,AK2560)*M2560,IF(OR(AND(I2560="TP",Q2560&lt;=300), AND(I2560="TDP", Q2560&lt;=300)),MAX(Q2560,AH2560,AI2560,AK2560)*M2560,IF(OR(AND(I2560="TP",Q2560&lt;=500), AND(I2560="TDP", Q2560&lt;=500)),MAX(Q2560,AI2560,AK2560)*M2560,"")))))))</f>
        <v>145</v>
      </c>
      <c r="T2560" s="10" t="s">
        <v>1185</v>
      </c>
      <c r="U2560" s="34">
        <f t="shared" si="287"/>
        <v>72.5</v>
      </c>
      <c r="V2560" s="31">
        <f>IF(H2560="CHK",VLOOKUP(I2560,QCCHK,3,),IF(H2560="GUP",VLOOKUP(E2560,QCGUP,2,),IF(AND(H2560="ATP",OR(I2560="TN",I2560="TDN",I2560="TNO2-3",I2560="NO2-3")),VLOOKUP(E2560,QCREC_N,2,),IF(AND(H2560="NIC",OR(I2560="TN",I2560="TDN",I2560="TNO2-3",I2560="NO2-3")),VLOOKUP(E2560,QCNIC_N,2,),IF(AND(H2560="UREA",OR(I2560="TN",I2560="TDN",I2560="TNO2-3",I2560="NO2-3")),VLOOKUP(E2560,QCUREA_N,2,),IF(H2560="PER",VLOOKUP(I2560,QCPER,MATCH(E2560,QCACTUAL!$J$25:$AA$25,0),),IF(H2560="SPK",VLOOKUP(I2560,QCSPK,3,),IF(AND(H2560="ATP",OR(I2560="TP",I2560="TDP")),VLOOKUP(E2560,QCATP_P,2,),""))))))))</f>
        <v>200</v>
      </c>
      <c r="W2560" s="31" t="str">
        <f t="shared" si="288"/>
        <v>FALSE</v>
      </c>
      <c r="X2560" s="31" t="str">
        <f t="shared" si="292"/>
        <v>[rec]/[actual]*100</v>
      </c>
      <c r="Y2560" s="10" t="s">
        <v>1178</v>
      </c>
      <c r="AF2560" s="12">
        <v>44967</v>
      </c>
      <c r="AJ2560" s="10">
        <f>-1.3255*1.4^2+193.01*1.4-127.15</f>
        <v>140.46601999999993</v>
      </c>
      <c r="AK2560" s="10">
        <f>-0.215*1.4^2+181.97*1.4-117.15</f>
        <v>137.18659999999997</v>
      </c>
      <c r="AL2560" s="10" t="str">
        <f t="shared" si="290"/>
        <v>FALSE</v>
      </c>
      <c r="AM2560" s="10" t="str">
        <f t="shared" si="290"/>
        <v>FALSE</v>
      </c>
      <c r="AN2560" s="10" t="str">
        <f t="shared" si="290"/>
        <v>FALSE</v>
      </c>
      <c r="AO2560" s="10" t="str">
        <f t="shared" si="291"/>
        <v>y=-1.3255*1.4^2+193.01*1.4-127.15</v>
      </c>
      <c r="AP2560" s="10" t="str">
        <f t="shared" si="291"/>
        <v>y=-0.215*1.4^2+181.97*1.4-117.15</v>
      </c>
      <c r="AQ2560" s="10" t="b">
        <f>IF(AND(I2560="TP",S2560&lt;=150),VLOOKUP(AF2560,TPCalibEq150!$AZ$2:$BB$55,3,),IF(AND(I2560="TDP",S2560&lt;=150),VLOOKUP(AF2560,TPCalibEq150!$AZ$2:$BB$55,3,)))</f>
        <v>0</v>
      </c>
      <c r="AR2560" s="10" t="b">
        <f>IF(AND(I2560="TP",S2560&lt;=300),VLOOKUP(AF2560,TPCalibEq300!$AZ$2:$BB$55,3,),IF(AND(I2560="TDP",S2560&lt;=300),VLOOKUP(AF2560,TPCalibEq300!$AZ$2:$BB$55,3,)))</f>
        <v>0</v>
      </c>
      <c r="AS2560" s="10" t="b">
        <f>IF(AND(I2560="TP",S2560&lt;=500),VLOOKUP(AF2560,TPCalibEq500!$AZ$2:$BB$56,3,),IF(AND(I2560="TDP",S2560&lt;=500),VLOOKUP(AF2560,TPCalibEq500!$AZ$2:$BB$56,3,)))</f>
        <v>0</v>
      </c>
      <c r="AT2560" s="10" t="str">
        <f>IF(AND(I2560="TN",S2560&lt;=2800),VLOOKUP(AF2560,TNCalibEq2500!$AZ$2:$BB$56,3,),IF(AND(I2560="TDN",S2560&lt;=2800),VLOOKUP(AF2560,TNCalibEq2500!$AZ$2:$BB$56,3,)))</f>
        <v>y=-1.3255x2+193.01x-127.15</v>
      </c>
      <c r="AU2560" s="10" t="str">
        <f>IF(I2560="TP",VLOOKUP(AF2560,TPCalibEqFull!$AZ$2:$BB$56,3),IF(I2560="TDP",VLOOKUP(AF2560,TPCalibEqFull!$AZ$2:$BB$56,3),IF(I2560="TDN",VLOOKUP(AF2560,TNCalibEqFull!$AZ$1:$BB$56,3),IF(I2560="TN",VLOOKUP(AF2560,TNCalibEqFull!$AZ$1:$BB$56,3),FALSE))))</f>
        <v>y=-0.215x2+181.97x-117.15</v>
      </c>
      <c r="AV2560" s="10" t="str">
        <f t="shared" si="289"/>
        <v>0209 09:00:00-QAC-REC-B-1-DI-ATP</v>
      </c>
    </row>
    <row r="2561" spans="1:48" s="10" customFormat="1" x14ac:dyDescent="0.55000000000000004">
      <c r="A2561" s="32">
        <v>44966</v>
      </c>
      <c r="B2561" s="33">
        <v>0.375</v>
      </c>
      <c r="C2561" s="10" t="s">
        <v>70</v>
      </c>
      <c r="D2561" s="10" t="s">
        <v>305</v>
      </c>
      <c r="E2561" s="10" t="s">
        <v>190</v>
      </c>
      <c r="F2561" s="10">
        <v>1</v>
      </c>
      <c r="G2561" s="10" t="s">
        <v>73</v>
      </c>
      <c r="H2561" s="10" t="s">
        <v>181</v>
      </c>
      <c r="I2561" s="10" t="s">
        <v>235</v>
      </c>
      <c r="J2561" s="10">
        <v>209</v>
      </c>
      <c r="K2561" s="12">
        <v>44967</v>
      </c>
      <c r="L2561" s="33">
        <v>0.39837962962962964</v>
      </c>
      <c r="M2561" s="10">
        <v>1</v>
      </c>
      <c r="N2561" s="10" t="s">
        <v>196</v>
      </c>
      <c r="O2561" s="10">
        <v>0.97799999999999998</v>
      </c>
      <c r="P2561" s="10">
        <v>4.7100000000000003E-2</v>
      </c>
      <c r="Q2561" s="10">
        <v>70.3</v>
      </c>
      <c r="R2561" s="10" t="s">
        <v>170</v>
      </c>
      <c r="S2561" s="34">
        <f t="shared" si="293"/>
        <v>70.3</v>
      </c>
      <c r="T2561" s="10" t="s">
        <v>1185</v>
      </c>
      <c r="U2561" s="34">
        <f t="shared" si="287"/>
        <v>70.3</v>
      </c>
      <c r="V2561" s="31">
        <f>IF(H2561="CHK",VLOOKUP(I2561,QCCHK,3,),IF(H2561="GUP",VLOOKUP(E2561,QCGUP,2,),IF(AND(H2561="ATP",OR(I2561="TN",I2561="TDN",I2561="TNO2-3",I2561="NO2-3")),VLOOKUP(E2561,QCREC_N,2,),IF(AND(H2561="NIC",OR(I2561="TN",I2561="TDN",I2561="TNO2-3",I2561="NO2-3")),VLOOKUP(E2561,QCNIC_N,2,),IF(AND(H2561="UREA",OR(I2561="TN",I2561="TDN",I2561="TNO2-3",I2561="NO2-3")),VLOOKUP(E2561,QCUREA_N,2,),IF(H2561="PER",VLOOKUP(I2561,QCPER,MATCH(E2561,QCACTUAL!$J$25:$AA$25,0),),IF(H2561="SPK",VLOOKUP(I2561,QCSPK,3,),IF(AND(H2561="ATP",OR(I2561="TP",I2561="TDP")),VLOOKUP(E2561,QCATP_P,2,),""))))))))</f>
        <v>100</v>
      </c>
      <c r="W2561" s="31" t="str">
        <f t="shared" si="288"/>
        <v>FALSE</v>
      </c>
      <c r="X2561" s="31" t="str">
        <f t="shared" si="292"/>
        <v>[rec]/[actual]*100</v>
      </c>
      <c r="Y2561" s="10" t="s">
        <v>1178</v>
      </c>
      <c r="AF2561" s="12">
        <v>44967</v>
      </c>
      <c r="AJ2561" s="10">
        <f>-1.3255*0.978^2+193.01*0.978-127.15</f>
        <v>60.345960457999979</v>
      </c>
      <c r="AK2561" s="10">
        <f>-0.215*0.978^2+181.97*0.978-117.15</f>
        <v>60.611015939999987</v>
      </c>
      <c r="AL2561" s="10" t="str">
        <f t="shared" si="290"/>
        <v>FALSE</v>
      </c>
      <c r="AM2561" s="10" t="str">
        <f t="shared" si="290"/>
        <v>FALSE</v>
      </c>
      <c r="AN2561" s="10" t="str">
        <f t="shared" si="290"/>
        <v>FALSE</v>
      </c>
      <c r="AO2561" s="10" t="str">
        <f t="shared" si="291"/>
        <v>y=-1.3255*0.978^2+193.01*0.978-127.15</v>
      </c>
      <c r="AP2561" s="10" t="str">
        <f t="shared" si="291"/>
        <v>y=-0.215*0.978^2+181.97*0.978-117.15</v>
      </c>
      <c r="AQ2561" s="10" t="b">
        <f>IF(AND(I2561="TP",S2561&lt;=150),VLOOKUP(AF2561,TPCalibEq150!$AZ$2:$BB$55,3,),IF(AND(I2561="TDP",S2561&lt;=150),VLOOKUP(AF2561,TPCalibEq150!$AZ$2:$BB$55,3,)))</f>
        <v>0</v>
      </c>
      <c r="AR2561" s="10" t="b">
        <f>IF(AND(I2561="TP",S2561&lt;=300),VLOOKUP(AF2561,TPCalibEq300!$AZ$2:$BB$55,3,),IF(AND(I2561="TDP",S2561&lt;=300),VLOOKUP(AF2561,TPCalibEq300!$AZ$2:$BB$55,3,)))</f>
        <v>0</v>
      </c>
      <c r="AS2561" s="10" t="b">
        <f>IF(AND(I2561="TP",S2561&lt;=500),VLOOKUP(AF2561,TPCalibEq500!$AZ$2:$BB$56,3,),IF(AND(I2561="TDP",S2561&lt;=500),VLOOKUP(AF2561,TPCalibEq500!$AZ$2:$BB$56,3,)))</f>
        <v>0</v>
      </c>
      <c r="AT2561" s="10" t="str">
        <f>IF(AND(I2561="TN",S2561&lt;=2800),VLOOKUP(AF2561,TNCalibEq2500!$AZ$2:$BB$56,3,),IF(AND(I2561="TDN",S2561&lt;=2800),VLOOKUP(AF2561,TNCalibEq2500!$AZ$2:$BB$56,3,)))</f>
        <v>y=-1.3255x2+193.01x-127.15</v>
      </c>
      <c r="AU2561" s="10" t="str">
        <f>IF(I2561="TP",VLOOKUP(AF2561,TPCalibEqFull!$AZ$2:$BB$56,3),IF(I2561="TDP",VLOOKUP(AF2561,TPCalibEqFull!$AZ$2:$BB$56,3),IF(I2561="TDN",VLOOKUP(AF2561,TNCalibEqFull!$AZ$1:$BB$56,3),IF(I2561="TN",VLOOKUP(AF2561,TNCalibEqFull!$AZ$1:$BB$56,3),FALSE))))</f>
        <v>y=-0.215x2+181.97x-117.15</v>
      </c>
      <c r="AV2561" s="10" t="str">
        <f t="shared" si="289"/>
        <v>0209 09:00:00-QAC-REC-C-1-DI-ATP</v>
      </c>
    </row>
    <row r="2562" spans="1:48" s="10" customFormat="1" x14ac:dyDescent="0.55000000000000004">
      <c r="A2562" s="32">
        <v>44966</v>
      </c>
      <c r="B2562" s="33">
        <v>0.375</v>
      </c>
      <c r="C2562" s="10" t="s">
        <v>70</v>
      </c>
      <c r="D2562" s="10" t="s">
        <v>305</v>
      </c>
      <c r="E2562" s="10" t="s">
        <v>190</v>
      </c>
      <c r="F2562" s="10">
        <v>1</v>
      </c>
      <c r="G2562" s="10" t="s">
        <v>73</v>
      </c>
      <c r="H2562" s="10" t="s">
        <v>856</v>
      </c>
      <c r="I2562" s="10" t="s">
        <v>235</v>
      </c>
      <c r="J2562" s="10">
        <v>210</v>
      </c>
      <c r="K2562" s="12">
        <v>44967</v>
      </c>
      <c r="L2562" s="33">
        <v>0.39906250000000004</v>
      </c>
      <c r="M2562" s="10">
        <v>1</v>
      </c>
      <c r="N2562" s="10" t="s">
        <v>196</v>
      </c>
      <c r="O2562" s="10">
        <v>1.08</v>
      </c>
      <c r="P2562" s="10">
        <v>5.2600000000000001E-2</v>
      </c>
      <c r="Q2562" s="10">
        <v>87.7</v>
      </c>
      <c r="R2562" s="10" t="s">
        <v>170</v>
      </c>
      <c r="S2562" s="34">
        <f t="shared" si="293"/>
        <v>87.7</v>
      </c>
      <c r="T2562" s="10" t="s">
        <v>1185</v>
      </c>
      <c r="U2562" s="34">
        <f t="shared" ref="U2562:U2625" si="294">IF(OR(H2562="CHK",H2562="ATP",H2562="GUP",H2562="PER", H2562="NIC", H2562="UREA"),(S2562/V2562*100),IF(H2562="DUP",((ABS(S2562-S2561))/((S2561+S2562)/2))*100,IF(H2562="SPK",((S2562-S2561)/V2562*100),IF(OR(H2562="LAB",H2562="FLD",H2562="ESF"),S2562,""))))</f>
        <v>87.7</v>
      </c>
      <c r="V2562" s="31">
        <f>IF(H2562="CHK",VLOOKUP(I2562,QCCHK,3,),IF(H2562="GUP",VLOOKUP(E2562,QCGUP,2,),IF(AND(H2562="ATP",OR(I2562="TN",I2562="TDN",I2562="TNO2-3",I2562="NO2-3")),VLOOKUP(E2562,QCREC_N,2,),IF(AND(H2562="NIC",OR(I2562="TN",I2562="TDN",I2562="TNO2-3",I2562="NO2-3")),VLOOKUP(E2562,QCNIC_N,2,),IF(AND(H2562="UREA",OR(I2562="TN",I2562="TDN",I2562="TNO2-3",I2562="NO2-3")),VLOOKUP(E2562,QCUREA_N,2,),IF(H2562="PER",VLOOKUP(I2562,QCPER,MATCH(E2562,QCACTUAL!$J$25:$AA$25,0),),IF(H2562="SPK",VLOOKUP(I2562,QCSPK,3,),IF(AND(H2562="ATP",OR(I2562="TP",I2562="TDP")),VLOOKUP(E2562,QCATP_P,2,),""))))))))</f>
        <v>100</v>
      </c>
      <c r="W2562" s="31" t="str">
        <f t="shared" ref="W2562:W2625" si="295">IF(AND(OR(H2562="PER",H2562="ATP",H2562="GUP",H2562="CHK",H2562="SPK", H2562="NIC"),OR(U2562&gt;125,U2562&lt;75)),"FALSE",IF(AND(H2562="DUP",OR(U2562&gt;25, U2562&lt;-25)),"FALSE",IF(AND(OR(H2562="LAB",H2562="FLD",H2562="ESF"),U2562&gt;15),"FALSE","TRUE")))</f>
        <v>TRUE</v>
      </c>
      <c r="X2562" s="31" t="str">
        <f t="shared" si="292"/>
        <v>[rec]/[actual]*100</v>
      </c>
      <c r="Y2562" s="10" t="s">
        <v>1178</v>
      </c>
      <c r="AF2562" s="12">
        <v>44967</v>
      </c>
      <c r="AJ2562" s="10">
        <f>-1.3255*1.08^2+193.01*1.08-127.15</f>
        <v>79.754736800000018</v>
      </c>
      <c r="AK2562" s="10">
        <f>-0.215*1.08^2+181.97*1.08-117.15</f>
        <v>79.126823999999999</v>
      </c>
      <c r="AL2562" s="10" t="str">
        <f t="shared" si="290"/>
        <v>FALSE</v>
      </c>
      <c r="AM2562" s="10" t="str">
        <f t="shared" si="290"/>
        <v>FALSE</v>
      </c>
      <c r="AN2562" s="10" t="str">
        <f t="shared" si="290"/>
        <v>FALSE</v>
      </c>
      <c r="AO2562" s="10" t="str">
        <f t="shared" si="291"/>
        <v>y=-1.3255*1.08^2+193.01*1.08-127.15</v>
      </c>
      <c r="AP2562" s="10" t="str">
        <f t="shared" si="291"/>
        <v>y=-0.215*1.08^2+181.97*1.08-117.15</v>
      </c>
      <c r="AQ2562" s="10" t="b">
        <f>IF(AND(I2562="TP",S2562&lt;=150),VLOOKUP(AF2562,TPCalibEq150!$AZ$2:$BB$55,3,),IF(AND(I2562="TDP",S2562&lt;=150),VLOOKUP(AF2562,TPCalibEq150!$AZ$2:$BB$55,3,)))</f>
        <v>0</v>
      </c>
      <c r="AR2562" s="10" t="b">
        <f>IF(AND(I2562="TP",S2562&lt;=300),VLOOKUP(AF2562,TPCalibEq300!$AZ$2:$BB$55,3,),IF(AND(I2562="TDP",S2562&lt;=300),VLOOKUP(AF2562,TPCalibEq300!$AZ$2:$BB$55,3,)))</f>
        <v>0</v>
      </c>
      <c r="AS2562" s="10" t="b">
        <f>IF(AND(I2562="TP",S2562&lt;=500),VLOOKUP(AF2562,TPCalibEq500!$AZ$2:$BB$56,3,),IF(AND(I2562="TDP",S2562&lt;=500),VLOOKUP(AF2562,TPCalibEq500!$AZ$2:$BB$56,3,)))</f>
        <v>0</v>
      </c>
      <c r="AT2562" s="10" t="str">
        <f>IF(AND(I2562="TN",S2562&lt;=2800),VLOOKUP(AF2562,TNCalibEq2500!$AZ$2:$BB$56,3,),IF(AND(I2562="TDN",S2562&lt;=2800),VLOOKUP(AF2562,TNCalibEq2500!$AZ$2:$BB$56,3,)))</f>
        <v>y=-1.3255x2+193.01x-127.15</v>
      </c>
      <c r="AU2562" s="10" t="str">
        <f>IF(I2562="TP",VLOOKUP(AF2562,TPCalibEqFull!$AZ$2:$BB$56,3),IF(I2562="TDP",VLOOKUP(AF2562,TPCalibEqFull!$AZ$2:$BB$56,3),IF(I2562="TDN",VLOOKUP(AF2562,TNCalibEqFull!$AZ$1:$BB$56,3),IF(I2562="TN",VLOOKUP(AF2562,TNCalibEqFull!$AZ$1:$BB$56,3),FALSE))))</f>
        <v>y=-0.215x2+181.97x-117.15</v>
      </c>
      <c r="AV2562" s="10" t="str">
        <f t="shared" ref="AV2562:AV2625" si="296">TEXT(A2562, "MMDD")&amp;" "&amp;TEXT(B2562, "HH:MM:SS")&amp;"-"&amp;C2562&amp;"-"&amp;D2562&amp;"-"&amp;E2562&amp;"-"&amp;F2562&amp;"-"&amp;G2562&amp;"-"&amp;H2562</f>
        <v>0209 09:00:00-QAC-REC-C-1-DI-NIC</v>
      </c>
    </row>
    <row r="2563" spans="1:48" s="10" customFormat="1" x14ac:dyDescent="0.55000000000000004">
      <c r="A2563" s="32">
        <v>44966</v>
      </c>
      <c r="B2563" s="33">
        <v>0.375</v>
      </c>
      <c r="C2563" s="10" t="s">
        <v>70</v>
      </c>
      <c r="D2563" s="10" t="s">
        <v>305</v>
      </c>
      <c r="E2563" s="10" t="s">
        <v>583</v>
      </c>
      <c r="F2563" s="10">
        <v>1</v>
      </c>
      <c r="G2563" s="10" t="s">
        <v>73</v>
      </c>
      <c r="H2563" s="10" t="s">
        <v>856</v>
      </c>
      <c r="I2563" s="10" t="s">
        <v>235</v>
      </c>
      <c r="J2563" s="10">
        <v>211</v>
      </c>
      <c r="K2563" s="12">
        <v>44967</v>
      </c>
      <c r="L2563" s="33">
        <v>0.39974537037037039</v>
      </c>
      <c r="M2563" s="10">
        <v>1</v>
      </c>
      <c r="N2563" s="10" t="s">
        <v>196</v>
      </c>
      <c r="O2563" s="10">
        <v>1.88</v>
      </c>
      <c r="P2563" s="10">
        <v>9.1300000000000006E-2</v>
      </c>
      <c r="Q2563" s="10">
        <v>229</v>
      </c>
      <c r="R2563" s="10" t="s">
        <v>170</v>
      </c>
      <c r="S2563" s="34">
        <f t="shared" si="293"/>
        <v>231.02395279999999</v>
      </c>
      <c r="T2563" s="10" t="s">
        <v>1185</v>
      </c>
      <c r="U2563" s="34">
        <f t="shared" si="294"/>
        <v>115.51197639999999</v>
      </c>
      <c r="V2563" s="31">
        <f>IF(H2563="CHK",VLOOKUP(I2563,QCCHK,3,),IF(H2563="GUP",VLOOKUP(E2563,QCGUP,2,),IF(AND(H2563="ATP",OR(I2563="TN",I2563="TDN",I2563="TNO2-3",I2563="NO2-3")),VLOOKUP(E2563,QCREC_N,2,),IF(AND(H2563="NIC",OR(I2563="TN",I2563="TDN",I2563="TNO2-3",I2563="NO2-3")),VLOOKUP(E2563,QCNIC_N,2,),IF(AND(H2563="UREA",OR(I2563="TN",I2563="TDN",I2563="TNO2-3",I2563="NO2-3")),VLOOKUP(E2563,QCUREA_N,2,),IF(H2563="PER",VLOOKUP(I2563,QCPER,MATCH(E2563,QCACTUAL!$J$25:$AA$25,0),),IF(H2563="SPK",VLOOKUP(I2563,QCSPK,3,),IF(AND(H2563="ATP",OR(I2563="TP",I2563="TDP")),VLOOKUP(E2563,QCATP_P,2,),""))))))))</f>
        <v>200</v>
      </c>
      <c r="W2563" s="31" t="str">
        <f t="shared" si="295"/>
        <v>TRUE</v>
      </c>
      <c r="X2563" s="31" t="str">
        <f t="shared" si="292"/>
        <v>[rec]/[actual]*100</v>
      </c>
      <c r="Y2563" s="10" t="s">
        <v>1178</v>
      </c>
      <c r="AF2563" s="12">
        <v>44967</v>
      </c>
      <c r="AJ2563" s="10">
        <f>-1.3255*1.88^2+193.01*1.88-127.15</f>
        <v>231.02395279999999</v>
      </c>
      <c r="AK2563" s="10">
        <f>-0.215*1.88^2+181.97*1.88-117.15</f>
        <v>224.19370399999994</v>
      </c>
      <c r="AL2563" s="10" t="str">
        <f t="shared" si="290"/>
        <v>FALSE</v>
      </c>
      <c r="AM2563" s="10" t="str">
        <f t="shared" si="290"/>
        <v>FALSE</v>
      </c>
      <c r="AN2563" s="10" t="str">
        <f t="shared" si="290"/>
        <v>FALSE</v>
      </c>
      <c r="AO2563" s="10" t="str">
        <f t="shared" si="291"/>
        <v>y=-1.3255*1.88^2+193.01*1.88-127.15</v>
      </c>
      <c r="AP2563" s="10" t="str">
        <f t="shared" si="291"/>
        <v>y=-0.215*1.88^2+181.97*1.88-117.15</v>
      </c>
      <c r="AQ2563" s="10" t="b">
        <f>IF(AND(I2563="TP",S2563&lt;=150),VLOOKUP(AF2563,TPCalibEq150!$AZ$2:$BB$55,3,),IF(AND(I2563="TDP",S2563&lt;=150),VLOOKUP(AF2563,TPCalibEq150!$AZ$2:$BB$55,3,)))</f>
        <v>0</v>
      </c>
      <c r="AR2563" s="10" t="b">
        <f>IF(AND(I2563="TP",S2563&lt;=300),VLOOKUP(AF2563,TPCalibEq300!$AZ$2:$BB$55,3,),IF(AND(I2563="TDP",S2563&lt;=300),VLOOKUP(AF2563,TPCalibEq300!$AZ$2:$BB$55,3,)))</f>
        <v>0</v>
      </c>
      <c r="AS2563" s="10" t="b">
        <f>IF(AND(I2563="TP",S2563&lt;=500),VLOOKUP(AF2563,TPCalibEq500!$AZ$2:$BB$56,3,),IF(AND(I2563="TDP",S2563&lt;=500),VLOOKUP(AF2563,TPCalibEq500!$AZ$2:$BB$56,3,)))</f>
        <v>0</v>
      </c>
      <c r="AT2563" s="10" t="str">
        <f>IF(AND(I2563="TN",S2563&lt;=2800),VLOOKUP(AF2563,TNCalibEq2500!$AZ$2:$BB$56,3,),IF(AND(I2563="TDN",S2563&lt;=2800),VLOOKUP(AF2563,TNCalibEq2500!$AZ$2:$BB$56,3,)))</f>
        <v>y=-1.3255x2+193.01x-127.15</v>
      </c>
      <c r="AU2563" s="10" t="str">
        <f>IF(I2563="TP",VLOOKUP(AF2563,TPCalibEqFull!$AZ$2:$BB$56,3),IF(I2563="TDP",VLOOKUP(AF2563,TPCalibEqFull!$AZ$2:$BB$56,3),IF(I2563="TDN",VLOOKUP(AF2563,TNCalibEqFull!$AZ$1:$BB$56,3),IF(I2563="TN",VLOOKUP(AF2563,TNCalibEqFull!$AZ$1:$BB$56,3),FALSE))))</f>
        <v>y=-0.215x2+181.97x-117.15</v>
      </c>
      <c r="AV2563" s="10" t="str">
        <f t="shared" si="296"/>
        <v>0209 09:00:00-QAC-REC-B-1-DI-NIC</v>
      </c>
    </row>
    <row r="2564" spans="1:48" s="10" customFormat="1" x14ac:dyDescent="0.55000000000000004">
      <c r="A2564" s="32">
        <v>44966</v>
      </c>
      <c r="B2564" s="33">
        <v>0.375</v>
      </c>
      <c r="C2564" s="10" t="s">
        <v>70</v>
      </c>
      <c r="D2564" s="10" t="s">
        <v>305</v>
      </c>
      <c r="E2564" s="10" t="s">
        <v>866</v>
      </c>
      <c r="F2564" s="10">
        <v>1</v>
      </c>
      <c r="G2564" s="10" t="s">
        <v>73</v>
      </c>
      <c r="H2564" s="10" t="s">
        <v>856</v>
      </c>
      <c r="I2564" s="10" t="s">
        <v>235</v>
      </c>
      <c r="J2564" s="10">
        <v>212</v>
      </c>
      <c r="K2564" s="12">
        <v>44967</v>
      </c>
      <c r="L2564" s="33">
        <v>0.40041666666666664</v>
      </c>
      <c r="M2564" s="10">
        <v>1</v>
      </c>
      <c r="N2564" s="10" t="s">
        <v>196</v>
      </c>
      <c r="O2564" s="10">
        <v>6.15</v>
      </c>
      <c r="P2564" s="10">
        <v>0.3</v>
      </c>
      <c r="Q2564" s="10">
        <v>981</v>
      </c>
      <c r="R2564" s="10" t="s">
        <v>170</v>
      </c>
      <c r="S2564" s="34">
        <f t="shared" si="293"/>
        <v>1009.7277762500001</v>
      </c>
      <c r="T2564" s="10" t="s">
        <v>1185</v>
      </c>
      <c r="U2564" s="34">
        <f t="shared" si="294"/>
        <v>100.97277762500001</v>
      </c>
      <c r="V2564" s="31">
        <f>IF(H2564="CHK",VLOOKUP(I2564,QCCHK,3,),IF(H2564="GUP",VLOOKUP(E2564,QCGUP,2,),IF(AND(H2564="ATP",OR(I2564="TN",I2564="TDN",I2564="TNO2-3",I2564="NO2-3")),VLOOKUP(E2564,QCREC_N,2,),IF(AND(H2564="NIC",OR(I2564="TN",I2564="TDN",I2564="TNO2-3",I2564="NO2-3")),VLOOKUP(E2564,QCNIC_N,2,),IF(AND(H2564="UREA",OR(I2564="TN",I2564="TDN",I2564="TNO2-3",I2564="NO2-3")),VLOOKUP(E2564,QCUREA_N,2,),IF(H2564="PER",VLOOKUP(I2564,QCPER,MATCH(E2564,QCACTUAL!$J$25:$AA$25,0),),IF(H2564="SPK",VLOOKUP(I2564,QCSPK,3,),IF(AND(H2564="ATP",OR(I2564="TP",I2564="TDP")),VLOOKUP(E2564,QCATP_P,2,),""))))))))</f>
        <v>1000</v>
      </c>
      <c r="W2564" s="31" t="str">
        <f t="shared" si="295"/>
        <v>TRUE</v>
      </c>
      <c r="X2564" s="31" t="str">
        <f t="shared" si="292"/>
        <v>[rec]/[actual]*100</v>
      </c>
      <c r="Y2564" s="10" t="s">
        <v>1178</v>
      </c>
      <c r="AF2564" s="12">
        <v>44967</v>
      </c>
      <c r="AJ2564" s="10">
        <f>-1.3255*6.15^2+193.01*6.15-127.15</f>
        <v>1009.7277762500001</v>
      </c>
      <c r="AK2564" s="10">
        <f>-0.215*6.15^2+181.97*6.15-117.15</f>
        <v>993.83366250000006</v>
      </c>
      <c r="AL2564" s="10" t="str">
        <f t="shared" si="290"/>
        <v>FALSE</v>
      </c>
      <c r="AM2564" s="10" t="str">
        <f t="shared" si="290"/>
        <v>FALSE</v>
      </c>
      <c r="AN2564" s="10" t="str">
        <f t="shared" si="290"/>
        <v>FALSE</v>
      </c>
      <c r="AO2564" s="10" t="str">
        <f t="shared" si="291"/>
        <v>y=-1.3255*6.15^2+193.01*6.15-127.15</v>
      </c>
      <c r="AP2564" s="10" t="str">
        <f t="shared" si="291"/>
        <v>y=-0.215*6.15^2+181.97*6.15-117.15</v>
      </c>
      <c r="AQ2564" s="10" t="b">
        <f>IF(AND(I2564="TP",S2564&lt;=150),VLOOKUP(AF2564,TPCalibEq150!$AZ$2:$BB$55,3,),IF(AND(I2564="TDP",S2564&lt;=150),VLOOKUP(AF2564,TPCalibEq150!$AZ$2:$BB$55,3,)))</f>
        <v>0</v>
      </c>
      <c r="AR2564" s="10" t="b">
        <f>IF(AND(I2564="TP",S2564&lt;=300),VLOOKUP(AF2564,TPCalibEq300!$AZ$2:$BB$55,3,),IF(AND(I2564="TDP",S2564&lt;=300),VLOOKUP(AF2564,TPCalibEq300!$AZ$2:$BB$55,3,)))</f>
        <v>0</v>
      </c>
      <c r="AS2564" s="10" t="b">
        <f>IF(AND(I2564="TP",S2564&lt;=500),VLOOKUP(AF2564,TPCalibEq500!$AZ$2:$BB$56,3,),IF(AND(I2564="TDP",S2564&lt;=500),VLOOKUP(AF2564,TPCalibEq500!$AZ$2:$BB$56,3,)))</f>
        <v>0</v>
      </c>
      <c r="AT2564" s="10" t="str">
        <f>IF(AND(I2564="TN",S2564&lt;=2800),VLOOKUP(AF2564,TNCalibEq2500!$AZ$2:$BB$56,3,),IF(AND(I2564="TDN",S2564&lt;=2800),VLOOKUP(AF2564,TNCalibEq2500!$AZ$2:$BB$56,3,)))</f>
        <v>y=-1.3255x2+193.01x-127.15</v>
      </c>
      <c r="AU2564" s="10" t="str">
        <f>IF(I2564="TP",VLOOKUP(AF2564,TPCalibEqFull!$AZ$2:$BB$56,3),IF(I2564="TDP",VLOOKUP(AF2564,TPCalibEqFull!$AZ$2:$BB$56,3),IF(I2564="TDN",VLOOKUP(AF2564,TNCalibEqFull!$AZ$1:$BB$56,3),IF(I2564="TN",VLOOKUP(AF2564,TNCalibEqFull!$AZ$1:$BB$56,3),FALSE))))</f>
        <v>y=-0.215x2+181.97x-117.15</v>
      </c>
      <c r="AV2564" s="10" t="str">
        <f t="shared" si="296"/>
        <v>0209 09:00:00-QAC-REC-A-1-DI-NIC</v>
      </c>
    </row>
    <row r="2565" spans="1:48" s="10" customFormat="1" x14ac:dyDescent="0.55000000000000004">
      <c r="A2565" s="32">
        <v>44966</v>
      </c>
      <c r="B2565" s="33">
        <v>0.375</v>
      </c>
      <c r="C2565" s="10" t="s">
        <v>70</v>
      </c>
      <c r="D2565" s="10" t="s">
        <v>305</v>
      </c>
      <c r="E2565" s="10" t="s">
        <v>901</v>
      </c>
      <c r="F2565" s="10">
        <v>1</v>
      </c>
      <c r="G2565" s="10" t="s">
        <v>73</v>
      </c>
      <c r="H2565" s="10" t="s">
        <v>856</v>
      </c>
      <c r="I2565" s="10" t="s">
        <v>235</v>
      </c>
      <c r="J2565" s="10">
        <v>213</v>
      </c>
      <c r="K2565" s="12">
        <v>44967</v>
      </c>
      <c r="L2565" s="33">
        <v>0.40109953703703699</v>
      </c>
      <c r="M2565" s="10">
        <v>1</v>
      </c>
      <c r="N2565" s="10" t="s">
        <v>196</v>
      </c>
      <c r="O2565" s="10">
        <v>26.9</v>
      </c>
      <c r="P2565" s="10">
        <v>1.3</v>
      </c>
      <c r="Q2565" s="10">
        <v>4630</v>
      </c>
      <c r="R2565" s="10" t="s">
        <v>170</v>
      </c>
      <c r="S2565" s="34">
        <f t="shared" si="293"/>
        <v>4630</v>
      </c>
      <c r="T2565" s="10" t="s">
        <v>1185</v>
      </c>
      <c r="U2565" s="34">
        <f t="shared" si="294"/>
        <v>92.600000000000009</v>
      </c>
      <c r="V2565" s="31">
        <f>IF(H2565="CHK",VLOOKUP(I2565,QCCHK,3,),IF(H2565="GUP",VLOOKUP(E2565,QCGUP,2,),IF(AND(H2565="ATP",OR(I2565="TN",I2565="TDN",I2565="TNO2-3",I2565="NO2-3")),VLOOKUP(E2565,QCREC_N,2,),IF(AND(H2565="NIC",OR(I2565="TN",I2565="TDN",I2565="TNO2-3",I2565="NO2-3")),VLOOKUP(E2565,QCNIC_N,2,),IF(AND(H2565="UREA",OR(I2565="TN",I2565="TDN",I2565="TNO2-3",I2565="NO2-3")),VLOOKUP(E2565,QCUREA_N,2,),IF(H2565="PER",VLOOKUP(I2565,QCPER,MATCH(E2565,QCACTUAL!$J$25:$AA$25,0),),IF(H2565="SPK",VLOOKUP(I2565,QCSPK,3,),IF(AND(H2565="ATP",OR(I2565="TP",I2565="TDP")),VLOOKUP(E2565,QCATP_P,2,),""))))))))</f>
        <v>5000</v>
      </c>
      <c r="W2565" s="31" t="str">
        <f t="shared" si="295"/>
        <v>TRUE</v>
      </c>
      <c r="X2565" s="31" t="str">
        <f t="shared" si="292"/>
        <v>[rec]/[actual]*100</v>
      </c>
      <c r="Y2565" s="10" t="s">
        <v>1178</v>
      </c>
      <c r="AF2565" s="12">
        <v>44967</v>
      </c>
      <c r="AK2565" s="10">
        <f>-0.215*26.9^2+181.97*26.9-117.15</f>
        <v>4622.26685</v>
      </c>
      <c r="AL2565" s="10" t="str">
        <f t="shared" si="290"/>
        <v>FALSE</v>
      </c>
      <c r="AM2565" s="10" t="str">
        <f t="shared" si="290"/>
        <v>FALSE</v>
      </c>
      <c r="AN2565" s="10" t="str">
        <f t="shared" si="290"/>
        <v>FALSE</v>
      </c>
      <c r="AO2565" s="10" t="str">
        <f t="shared" si="291"/>
        <v>FALSE</v>
      </c>
      <c r="AP2565" s="10" t="str">
        <f t="shared" si="291"/>
        <v>y=-0.215*26.9^2+181.97*26.9-117.15</v>
      </c>
      <c r="AQ2565" s="10" t="b">
        <f>IF(AND(I2565="TP",S2565&lt;=150),VLOOKUP(AF2565,TPCalibEq150!$AZ$2:$BB$55,3,),IF(AND(I2565="TDP",S2565&lt;=150),VLOOKUP(AF2565,TPCalibEq150!$AZ$2:$BB$55,3,)))</f>
        <v>0</v>
      </c>
      <c r="AR2565" s="10" t="b">
        <f>IF(AND(I2565="TP",S2565&lt;=300),VLOOKUP(AF2565,TPCalibEq300!$AZ$2:$BB$55,3,),IF(AND(I2565="TDP",S2565&lt;=300),VLOOKUP(AF2565,TPCalibEq300!$AZ$2:$BB$55,3,)))</f>
        <v>0</v>
      </c>
      <c r="AS2565" s="10" t="b">
        <f>IF(AND(I2565="TP",S2565&lt;=500),VLOOKUP(AF2565,TPCalibEq500!$AZ$2:$BB$56,3,),IF(AND(I2565="TDP",S2565&lt;=500),VLOOKUP(AF2565,TPCalibEq500!$AZ$2:$BB$56,3,)))</f>
        <v>0</v>
      </c>
      <c r="AT2565" s="10" t="b">
        <f>IF(AND(I2565="TN",S2565&lt;=2800),VLOOKUP(AF2565,TNCalibEq2500!$AZ$2:$BB$56,3,),IF(AND(I2565="TDN",S2565&lt;=2800),VLOOKUP(AF2565,TNCalibEq2500!$AZ$2:$BB$56,3,)))</f>
        <v>0</v>
      </c>
      <c r="AU2565" s="10" t="str">
        <f>IF(I2565="TP",VLOOKUP(AF2565,TPCalibEqFull!$AZ$2:$BB$56,3),IF(I2565="TDP",VLOOKUP(AF2565,TPCalibEqFull!$AZ$2:$BB$56,3),IF(I2565="TDN",VLOOKUP(AF2565,TNCalibEqFull!$AZ$1:$BB$56,3),IF(I2565="TN",VLOOKUP(AF2565,TNCalibEqFull!$AZ$1:$BB$56,3),FALSE))))</f>
        <v>y=-0.215x2+181.97x-117.15</v>
      </c>
      <c r="AV2565" s="10" t="str">
        <f t="shared" si="296"/>
        <v>0209 09:00:00-QAC-REC-D-1-DI-NIC</v>
      </c>
    </row>
    <row r="2566" spans="1:48" s="10" customFormat="1" x14ac:dyDescent="0.55000000000000004">
      <c r="A2566" s="32">
        <v>44963</v>
      </c>
      <c r="B2566" s="33">
        <v>0.25</v>
      </c>
      <c r="C2566" s="10" t="s">
        <v>70</v>
      </c>
      <c r="D2566" s="10" t="s">
        <v>241</v>
      </c>
      <c r="E2566" s="10" t="s">
        <v>866</v>
      </c>
      <c r="F2566" s="10">
        <v>1</v>
      </c>
      <c r="G2566" s="10" t="s">
        <v>73</v>
      </c>
      <c r="H2566" s="10" t="s">
        <v>264</v>
      </c>
      <c r="I2566" s="10" t="s">
        <v>235</v>
      </c>
      <c r="J2566" s="10">
        <v>133</v>
      </c>
      <c r="K2566" s="12">
        <v>44967</v>
      </c>
      <c r="L2566" s="33">
        <v>0.40241898148148153</v>
      </c>
      <c r="M2566" s="10">
        <v>1</v>
      </c>
      <c r="N2566" s="10" t="s">
        <v>196</v>
      </c>
      <c r="O2566" s="10">
        <v>0.54700000000000004</v>
      </c>
      <c r="P2566" s="10">
        <v>2.63E-2</v>
      </c>
      <c r="Q2566" s="10">
        <v>-5.76</v>
      </c>
      <c r="R2566" s="10" t="s">
        <v>170</v>
      </c>
      <c r="S2566" s="34">
        <f t="shared" si="293"/>
        <v>-5.76</v>
      </c>
      <c r="T2566" s="10" t="s">
        <v>1185</v>
      </c>
      <c r="U2566" s="34">
        <f t="shared" si="294"/>
        <v>-5.76</v>
      </c>
      <c r="V2566" s="31" t="str">
        <f>IF(H2566="CHK",VLOOKUP(I2566,QCCHK,3,),IF(H2566="GUP",VLOOKUP(E2566,QCGUP,2,),IF(AND(H2566="ATP",OR(I2566="TN",I2566="TDN",I2566="TNO2-3",I2566="NO2-3")),VLOOKUP(E2566,QCREC_N,2,),IF(AND(H2566="NIC",OR(I2566="TN",I2566="TDN",I2566="TNO2-3",I2566="NO2-3")),VLOOKUP(E2566,QCNIC_N,2,),IF(AND(H2566="UREA",OR(I2566="TN",I2566="TDN",I2566="TNO2-3",I2566="NO2-3")),VLOOKUP(E2566,QCUREA_N,2,),IF(H2566="PER",VLOOKUP(I2566,QCPER,MATCH(E2566,QCACTUAL!$J$25:$AA$25,0),),IF(H2566="SPK",VLOOKUP(I2566,QCSPK,3,),IF(AND(H2566="ATP",OR(I2566="TP",I2566="TDP")),VLOOKUP(E2566,QCATP_P,2,),""))))))))</f>
        <v/>
      </c>
      <c r="W2566" s="31" t="str">
        <f t="shared" si="295"/>
        <v>TRUE</v>
      </c>
      <c r="X2566" s="31" t="str">
        <f t="shared" si="292"/>
        <v>nominal concentration</v>
      </c>
      <c r="Y2566" s="10" t="s">
        <v>1178</v>
      </c>
      <c r="Z2566" s="10" t="s">
        <v>910</v>
      </c>
      <c r="AF2566" s="12">
        <v>44967</v>
      </c>
      <c r="AJ2566" s="10">
        <f>-1.3255*0.547^2+193.01*0.547-127.15</f>
        <v>-21.970131529500009</v>
      </c>
      <c r="AK2566" s="10">
        <f>-0.215*0.547^2+181.97*0.547-117.15</f>
        <v>-17.676739935000001</v>
      </c>
      <c r="AL2566" s="10" t="str">
        <f t="shared" si="290"/>
        <v>FALSE</v>
      </c>
      <c r="AM2566" s="10" t="str">
        <f t="shared" si="290"/>
        <v>FALSE</v>
      </c>
      <c r="AN2566" s="10" t="str">
        <f t="shared" si="290"/>
        <v>FALSE</v>
      </c>
      <c r="AO2566" s="10" t="str">
        <f t="shared" si="291"/>
        <v>y=-1.3255*0.547^2+193.01*0.547-127.15</v>
      </c>
      <c r="AP2566" s="10" t="str">
        <f t="shared" si="291"/>
        <v>y=-0.215*0.547^2+181.97*0.547-117.15</v>
      </c>
      <c r="AQ2566" s="10" t="b">
        <f>IF(AND(I2566="TP",S2566&lt;=150),VLOOKUP(AF2566,TPCalibEq150!$AZ$2:$BB$55,3,),IF(AND(I2566="TDP",S2566&lt;=150),VLOOKUP(AF2566,TPCalibEq150!$AZ$2:$BB$55,3,)))</f>
        <v>0</v>
      </c>
      <c r="AR2566" s="10" t="b">
        <f>IF(AND(I2566="TP",S2566&lt;=300),VLOOKUP(AF2566,TPCalibEq300!$AZ$2:$BB$55,3,),IF(AND(I2566="TDP",S2566&lt;=300),VLOOKUP(AF2566,TPCalibEq300!$AZ$2:$BB$55,3,)))</f>
        <v>0</v>
      </c>
      <c r="AS2566" s="10" t="b">
        <f>IF(AND(I2566="TP",S2566&lt;=500),VLOOKUP(AF2566,TPCalibEq500!$AZ$2:$BB$56,3,),IF(AND(I2566="TDP",S2566&lt;=500),VLOOKUP(AF2566,TPCalibEq500!$AZ$2:$BB$56,3,)))</f>
        <v>0</v>
      </c>
      <c r="AT2566" s="10" t="str">
        <f>IF(AND(I2566="TN",S2566&lt;=2800),VLOOKUP(AF2566,TNCalibEq2500!$AZ$2:$BB$56,3,),IF(AND(I2566="TDN",S2566&lt;=2800),VLOOKUP(AF2566,TNCalibEq2500!$AZ$2:$BB$56,3,)))</f>
        <v>y=-1.3255x2+193.01x-127.15</v>
      </c>
      <c r="AU2566" s="10" t="str">
        <f>IF(I2566="TP",VLOOKUP(AF2566,TPCalibEqFull!$AZ$2:$BB$56,3),IF(I2566="TDP",VLOOKUP(AF2566,TPCalibEqFull!$AZ$2:$BB$56,3),IF(I2566="TDN",VLOOKUP(AF2566,TNCalibEqFull!$AZ$1:$BB$56,3),IF(I2566="TN",VLOOKUP(AF2566,TNCalibEqFull!$AZ$1:$BB$56,3),FALSE))))</f>
        <v>y=-0.215x2+181.97x-117.15</v>
      </c>
      <c r="AV2566" s="10" t="str">
        <f t="shared" si="296"/>
        <v>0206 06:00:00-QAC-BLK-A-1-DI-FLD</v>
      </c>
    </row>
    <row r="2567" spans="1:48" s="10" customFormat="1" x14ac:dyDescent="0.55000000000000004">
      <c r="A2567" s="32">
        <v>44965</v>
      </c>
      <c r="B2567" s="33">
        <v>0.25</v>
      </c>
      <c r="C2567" s="10" t="s">
        <v>70</v>
      </c>
      <c r="D2567" s="10" t="s">
        <v>241</v>
      </c>
      <c r="E2567" s="10">
        <v>800</v>
      </c>
      <c r="F2567" s="10">
        <v>1</v>
      </c>
      <c r="G2567" s="10" t="s">
        <v>73</v>
      </c>
      <c r="H2567" s="10" t="s">
        <v>264</v>
      </c>
      <c r="I2567" s="10" t="s">
        <v>235</v>
      </c>
      <c r="J2567" s="10">
        <v>134</v>
      </c>
      <c r="K2567" s="12">
        <v>44967</v>
      </c>
      <c r="L2567" s="33">
        <v>0.40310185185185188</v>
      </c>
      <c r="M2567" s="10">
        <v>1</v>
      </c>
      <c r="N2567" s="10" t="s">
        <v>196</v>
      </c>
      <c r="O2567" s="10">
        <v>0.374</v>
      </c>
      <c r="P2567" s="10">
        <v>1.8599999999999998E-2</v>
      </c>
      <c r="Q2567" s="10">
        <v>-36.1</v>
      </c>
      <c r="R2567" s="10" t="s">
        <v>170</v>
      </c>
      <c r="S2567" s="34">
        <f t="shared" si="293"/>
        <v>-36.1</v>
      </c>
      <c r="T2567" s="10" t="s">
        <v>1185</v>
      </c>
      <c r="U2567" s="34">
        <f t="shared" si="294"/>
        <v>-36.1</v>
      </c>
      <c r="V2567" s="31" t="str">
        <f>IF(H2567="CHK",VLOOKUP(I2567,QCCHK,3,),IF(H2567="GUP",VLOOKUP(E2567,QCGUP,2,),IF(AND(H2567="ATP",OR(I2567="TN",I2567="TDN",I2567="TNO2-3",I2567="NO2-3")),VLOOKUP(E2567,QCREC_N,2,),IF(AND(H2567="NIC",OR(I2567="TN",I2567="TDN",I2567="TNO2-3",I2567="NO2-3")),VLOOKUP(E2567,QCNIC_N,2,),IF(AND(H2567="UREA",OR(I2567="TN",I2567="TDN",I2567="TNO2-3",I2567="NO2-3")),VLOOKUP(E2567,QCUREA_N,2,),IF(H2567="PER",VLOOKUP(I2567,QCPER,MATCH(E2567,QCACTUAL!$J$25:$AA$25,0),),IF(H2567="SPK",VLOOKUP(I2567,QCSPK,3,),IF(AND(H2567="ATP",OR(I2567="TP",I2567="TDP")),VLOOKUP(E2567,QCATP_P,2,),""))))))))</f>
        <v/>
      </c>
      <c r="W2567" s="31" t="str">
        <f t="shared" si="295"/>
        <v>TRUE</v>
      </c>
      <c r="X2567" s="31" t="str">
        <f t="shared" si="292"/>
        <v>nominal concentration</v>
      </c>
      <c r="Y2567" s="10" t="s">
        <v>1178</v>
      </c>
      <c r="AF2567" s="12">
        <v>44967</v>
      </c>
      <c r="AJ2567" s="10">
        <f>-1.3255*0.374^2+193.01*0.374-127.15</f>
        <v>-55.149665638000016</v>
      </c>
      <c r="AK2567" s="10">
        <f>-0.215*0.374^2+181.97*0.374-117.15</f>
        <v>-49.123293340000004</v>
      </c>
      <c r="AL2567" s="10" t="str">
        <f t="shared" si="290"/>
        <v>FALSE</v>
      </c>
      <c r="AM2567" s="10" t="str">
        <f t="shared" si="290"/>
        <v>FALSE</v>
      </c>
      <c r="AN2567" s="10" t="str">
        <f t="shared" si="290"/>
        <v>FALSE</v>
      </c>
      <c r="AO2567" s="10" t="str">
        <f t="shared" si="291"/>
        <v>y=-1.3255*0.374^2+193.01*0.374-127.15</v>
      </c>
      <c r="AP2567" s="10" t="str">
        <f t="shared" si="291"/>
        <v>y=-0.215*0.374^2+181.97*0.374-117.15</v>
      </c>
      <c r="AQ2567" s="10" t="b">
        <f>IF(AND(I2567="TP",S2567&lt;=150),VLOOKUP(AF2567,TPCalibEq150!$AZ$2:$BB$55,3,),IF(AND(I2567="TDP",S2567&lt;=150),VLOOKUP(AF2567,TPCalibEq150!$AZ$2:$BB$55,3,)))</f>
        <v>0</v>
      </c>
      <c r="AR2567" s="10" t="b">
        <f>IF(AND(I2567="TP",S2567&lt;=300),VLOOKUP(AF2567,TPCalibEq300!$AZ$2:$BB$55,3,),IF(AND(I2567="TDP",S2567&lt;=300),VLOOKUP(AF2567,TPCalibEq300!$AZ$2:$BB$55,3,)))</f>
        <v>0</v>
      </c>
      <c r="AS2567" s="10" t="b">
        <f>IF(AND(I2567="TP",S2567&lt;=500),VLOOKUP(AF2567,TPCalibEq500!$AZ$2:$BB$56,3,),IF(AND(I2567="TDP",S2567&lt;=500),VLOOKUP(AF2567,TPCalibEq500!$AZ$2:$BB$56,3,)))</f>
        <v>0</v>
      </c>
      <c r="AT2567" s="10" t="str">
        <f>IF(AND(I2567="TN",S2567&lt;=2800),VLOOKUP(AF2567,TNCalibEq2500!$AZ$2:$BB$56,3,),IF(AND(I2567="TDN",S2567&lt;=2800),VLOOKUP(AF2567,TNCalibEq2500!$AZ$2:$BB$56,3,)))</f>
        <v>y=-1.3255x2+193.01x-127.15</v>
      </c>
      <c r="AU2567" s="10" t="str">
        <f>IF(I2567="TP",VLOOKUP(AF2567,TPCalibEqFull!$AZ$2:$BB$56,3),IF(I2567="TDP",VLOOKUP(AF2567,TPCalibEqFull!$AZ$2:$BB$56,3),IF(I2567="TDN",VLOOKUP(AF2567,TNCalibEqFull!$AZ$1:$BB$56,3),IF(I2567="TN",VLOOKUP(AF2567,TNCalibEqFull!$AZ$1:$BB$56,3),FALSE))))</f>
        <v>y=-0.215x2+181.97x-117.15</v>
      </c>
      <c r="AV2567" s="10" t="str">
        <f t="shared" si="296"/>
        <v>0208 06:00:00-QAC-BLK-800-1-DI-FLD</v>
      </c>
    </row>
    <row r="2568" spans="1:48" s="10" customFormat="1" x14ac:dyDescent="0.55000000000000004">
      <c r="A2568" s="32">
        <v>44964</v>
      </c>
      <c r="B2568" s="33">
        <v>0.30208333333333331</v>
      </c>
      <c r="C2568" s="10" t="s">
        <v>70</v>
      </c>
      <c r="D2568" s="10" t="s">
        <v>241</v>
      </c>
      <c r="E2568" s="10" t="s">
        <v>866</v>
      </c>
      <c r="F2568" s="10">
        <v>1</v>
      </c>
      <c r="G2568" s="10" t="s">
        <v>73</v>
      </c>
      <c r="H2568" s="10" t="s">
        <v>245</v>
      </c>
      <c r="I2568" s="10" t="s">
        <v>235</v>
      </c>
      <c r="J2568" s="10">
        <v>135</v>
      </c>
      <c r="K2568" s="12">
        <v>44967</v>
      </c>
      <c r="L2568" s="33">
        <v>0.40377314814814813</v>
      </c>
      <c r="M2568" s="10">
        <v>1</v>
      </c>
      <c r="N2568" s="10" t="s">
        <v>196</v>
      </c>
      <c r="O2568" s="10">
        <v>0.48499999999999999</v>
      </c>
      <c r="P2568" s="10">
        <v>2.3699999999999999E-2</v>
      </c>
      <c r="Q2568" s="10">
        <v>-16.600000000000001</v>
      </c>
      <c r="R2568" s="10" t="s">
        <v>170</v>
      </c>
      <c r="S2568" s="34">
        <f t="shared" si="293"/>
        <v>-16.600000000000001</v>
      </c>
      <c r="T2568" s="10" t="s">
        <v>1185</v>
      </c>
      <c r="U2568" s="34">
        <f t="shared" si="294"/>
        <v>-16.600000000000001</v>
      </c>
      <c r="V2568" s="31" t="str">
        <f>IF(H2568="CHK",VLOOKUP(I2568,QCCHK,3,),IF(H2568="GUP",VLOOKUP(E2568,QCGUP,2,),IF(AND(H2568="ATP",OR(I2568="TN",I2568="TDN",I2568="TNO2-3",I2568="NO2-3")),VLOOKUP(E2568,QCREC_N,2,),IF(AND(H2568="NIC",OR(I2568="TN",I2568="TDN",I2568="TNO2-3",I2568="NO2-3")),VLOOKUP(E2568,QCNIC_N,2,),IF(AND(H2568="UREA",OR(I2568="TN",I2568="TDN",I2568="TNO2-3",I2568="NO2-3")),VLOOKUP(E2568,QCUREA_N,2,),IF(H2568="PER",VLOOKUP(I2568,QCPER,MATCH(E2568,QCACTUAL!$J$25:$AA$25,0),),IF(H2568="SPK",VLOOKUP(I2568,QCSPK,3,),IF(AND(H2568="ATP",OR(I2568="TP",I2568="TDP")),VLOOKUP(E2568,QCATP_P,2,),""))))))))</f>
        <v/>
      </c>
      <c r="W2568" s="31" t="str">
        <f t="shared" si="295"/>
        <v>TRUE</v>
      </c>
      <c r="X2568" s="31" t="str">
        <f t="shared" si="292"/>
        <v>nominal concentration</v>
      </c>
      <c r="Y2568" s="10" t="s">
        <v>1178</v>
      </c>
      <c r="Z2568" s="10" t="s">
        <v>910</v>
      </c>
      <c r="AF2568" s="12">
        <v>44967</v>
      </c>
      <c r="AJ2568" s="10">
        <f>-1.3255*0.485^2+193.01*0.485-127.15</f>
        <v>-33.851940737500016</v>
      </c>
      <c r="AK2568" s="10">
        <f>-0.215*0.485^2+181.97*0.485-117.15</f>
        <v>-28.945123375000009</v>
      </c>
      <c r="AL2568" s="10" t="str">
        <f t="shared" si="290"/>
        <v>FALSE</v>
      </c>
      <c r="AM2568" s="10" t="str">
        <f t="shared" si="290"/>
        <v>FALSE</v>
      </c>
      <c r="AN2568" s="10" t="str">
        <f t="shared" si="290"/>
        <v>FALSE</v>
      </c>
      <c r="AO2568" s="10" t="str">
        <f t="shared" si="291"/>
        <v>y=-1.3255*0.485^2+193.01*0.485-127.15</v>
      </c>
      <c r="AP2568" s="10" t="str">
        <f t="shared" si="291"/>
        <v>y=-0.215*0.485^2+181.97*0.485-117.15</v>
      </c>
      <c r="AQ2568" s="10" t="b">
        <f>IF(AND(I2568="TP",S2568&lt;=150),VLOOKUP(AF2568,TPCalibEq150!$AZ$2:$BB$55,3,),IF(AND(I2568="TDP",S2568&lt;=150),VLOOKUP(AF2568,TPCalibEq150!$AZ$2:$BB$55,3,)))</f>
        <v>0</v>
      </c>
      <c r="AR2568" s="10" t="b">
        <f>IF(AND(I2568="TP",S2568&lt;=300),VLOOKUP(AF2568,TPCalibEq300!$AZ$2:$BB$55,3,),IF(AND(I2568="TDP",S2568&lt;=300),VLOOKUP(AF2568,TPCalibEq300!$AZ$2:$BB$55,3,)))</f>
        <v>0</v>
      </c>
      <c r="AS2568" s="10" t="b">
        <f>IF(AND(I2568="TP",S2568&lt;=500),VLOOKUP(AF2568,TPCalibEq500!$AZ$2:$BB$56,3,),IF(AND(I2568="TDP",S2568&lt;=500),VLOOKUP(AF2568,TPCalibEq500!$AZ$2:$BB$56,3,)))</f>
        <v>0</v>
      </c>
      <c r="AT2568" s="10" t="str">
        <f>IF(AND(I2568="TN",S2568&lt;=2800),VLOOKUP(AF2568,TNCalibEq2500!$AZ$2:$BB$56,3,),IF(AND(I2568="TDN",S2568&lt;=2800),VLOOKUP(AF2568,TNCalibEq2500!$AZ$2:$BB$56,3,)))</f>
        <v>y=-1.3255x2+193.01x-127.15</v>
      </c>
      <c r="AU2568" s="10" t="str">
        <f>IF(I2568="TP",VLOOKUP(AF2568,TPCalibEqFull!$AZ$2:$BB$56,3),IF(I2568="TDP",VLOOKUP(AF2568,TPCalibEqFull!$AZ$2:$BB$56,3),IF(I2568="TDN",VLOOKUP(AF2568,TNCalibEqFull!$AZ$1:$BB$56,3),IF(I2568="TN",VLOOKUP(AF2568,TNCalibEqFull!$AZ$1:$BB$56,3),FALSE))))</f>
        <v>y=-0.215x2+181.97x-117.15</v>
      </c>
      <c r="AV2568" s="10" t="str">
        <f t="shared" si="296"/>
        <v>0207 07:15:00-QAC-BLK-A-1-DI-ESF</v>
      </c>
    </row>
    <row r="2569" spans="1:48" s="10" customFormat="1" x14ac:dyDescent="0.55000000000000004">
      <c r="A2569" s="32">
        <v>44963</v>
      </c>
      <c r="B2569" s="33">
        <v>0</v>
      </c>
      <c r="C2569" s="10" t="s">
        <v>70</v>
      </c>
      <c r="D2569" s="10" t="s">
        <v>241</v>
      </c>
      <c r="E2569" s="10" t="s">
        <v>911</v>
      </c>
      <c r="F2569" s="10">
        <v>1</v>
      </c>
      <c r="G2569" s="10" t="s">
        <v>73</v>
      </c>
      <c r="H2569" s="10" t="s">
        <v>264</v>
      </c>
      <c r="I2569" s="10" t="s">
        <v>224</v>
      </c>
      <c r="J2569" s="10">
        <v>136</v>
      </c>
      <c r="K2569" s="12">
        <v>44967</v>
      </c>
      <c r="L2569" s="33">
        <v>0.40445601851851848</v>
      </c>
      <c r="M2569" s="10">
        <v>1</v>
      </c>
      <c r="N2569" s="10" t="s">
        <v>196</v>
      </c>
      <c r="O2569" s="10">
        <v>0.49299999999999999</v>
      </c>
      <c r="P2569" s="10">
        <v>2.3900000000000001E-2</v>
      </c>
      <c r="Q2569" s="10">
        <v>-15.2</v>
      </c>
      <c r="R2569" s="10" t="s">
        <v>170</v>
      </c>
      <c r="S2569" s="34">
        <f t="shared" si="293"/>
        <v>-15.2</v>
      </c>
      <c r="T2569" s="10" t="s">
        <v>1185</v>
      </c>
      <c r="U2569" s="34">
        <f t="shared" si="294"/>
        <v>-15.2</v>
      </c>
      <c r="V2569" s="31" t="str">
        <f>IF(H2569="CHK",VLOOKUP(I2569,QCCHK,3,),IF(H2569="GUP",VLOOKUP(E2569,QCGUP,2,),IF(AND(H2569="ATP",OR(I2569="TN",I2569="TDN",I2569="TNO2-3",I2569="NO2-3")),VLOOKUP(E2569,QCREC_N,2,),IF(AND(H2569="NIC",OR(I2569="TN",I2569="TDN",I2569="TNO2-3",I2569="NO2-3")),VLOOKUP(E2569,QCNIC_N,2,),IF(AND(H2569="UREA",OR(I2569="TN",I2569="TDN",I2569="TNO2-3",I2569="NO2-3")),VLOOKUP(E2569,QCUREA_N,2,),IF(H2569="PER",VLOOKUP(I2569,QCPER,MATCH(E2569,QCACTUAL!$J$25:$AA$25,0),),IF(H2569="SPK",VLOOKUP(I2569,QCSPK,3,),IF(AND(H2569="ATP",OR(I2569="TP",I2569="TDP")),VLOOKUP(E2569,QCATP_P,2,),""))))))))</f>
        <v/>
      </c>
      <c r="W2569" s="31" t="str">
        <f t="shared" si="295"/>
        <v>TRUE</v>
      </c>
      <c r="X2569" s="31" t="str">
        <f t="shared" si="292"/>
        <v>nominal concentration</v>
      </c>
      <c r="Y2569" s="10" t="s">
        <v>1178</v>
      </c>
      <c r="Z2569" s="10" t="s">
        <v>910</v>
      </c>
      <c r="AF2569" s="12">
        <v>44967</v>
      </c>
      <c r="AJ2569" s="10">
        <f>-1.3255*0.493^2+193.01*0.493-127.15</f>
        <v>-32.318231449500018</v>
      </c>
      <c r="AK2569" s="10">
        <f>-0.215*0.493^2+181.97*0.493-117.15</f>
        <v>-27.491045535000012</v>
      </c>
      <c r="AL2569" s="10" t="str">
        <f t="shared" si="290"/>
        <v>FALSE</v>
      </c>
      <c r="AM2569" s="10" t="str">
        <f t="shared" si="290"/>
        <v>FALSE</v>
      </c>
      <c r="AN2569" s="10" t="str">
        <f t="shared" si="290"/>
        <v>FALSE</v>
      </c>
      <c r="AO2569" s="10" t="str">
        <f t="shared" si="291"/>
        <v>y=-1.3255*0.493^2+193.01*0.493-127.15</v>
      </c>
      <c r="AP2569" s="10" t="str">
        <f t="shared" si="291"/>
        <v>y=-0.215*0.493^2+181.97*0.493-117.15</v>
      </c>
      <c r="AQ2569" s="10" t="b">
        <f>IF(AND(I2569="TP",S2569&lt;=150),VLOOKUP(AF2569,TPCalibEq150!$AZ$2:$BB$55,3,),IF(AND(I2569="TDP",S2569&lt;=150),VLOOKUP(AF2569,TPCalibEq150!$AZ$2:$BB$55,3,)))</f>
        <v>0</v>
      </c>
      <c r="AR2569" s="10" t="b">
        <f>IF(AND(I2569="TP",S2569&lt;=300),VLOOKUP(AF2569,TPCalibEq300!$AZ$2:$BB$55,3,),IF(AND(I2569="TDP",S2569&lt;=300),VLOOKUP(AF2569,TPCalibEq300!$AZ$2:$BB$55,3,)))</f>
        <v>0</v>
      </c>
      <c r="AS2569" s="10" t="b">
        <f>IF(AND(I2569="TP",S2569&lt;=500),VLOOKUP(AF2569,TPCalibEq500!$AZ$2:$BB$56,3,),IF(AND(I2569="TDP",S2569&lt;=500),VLOOKUP(AF2569,TPCalibEq500!$AZ$2:$BB$56,3,)))</f>
        <v>0</v>
      </c>
      <c r="AT2569" s="10" t="str">
        <f>IF(AND(I2569="TN",S2569&lt;=2800),VLOOKUP(AF2569,TNCalibEq2500!$AZ$2:$BB$56,3,),IF(AND(I2569="TDN",S2569&lt;=2800),VLOOKUP(AF2569,TNCalibEq2500!$AZ$2:$BB$56,3,)))</f>
        <v>y=-1.3255x2+193.01x-127.15</v>
      </c>
      <c r="AU2569" s="10" t="str">
        <f>IF(I2569="TP",VLOOKUP(AF2569,TPCalibEqFull!$AZ$2:$BB$56,3),IF(I2569="TDP",VLOOKUP(AF2569,TPCalibEqFull!$AZ$2:$BB$56,3),IF(I2569="TDN",VLOOKUP(AF2569,TNCalibEqFull!$AZ$1:$BB$56,3),IF(I2569="TN",VLOOKUP(AF2569,TNCalibEqFull!$AZ$1:$BB$56,3),FALSE))))</f>
        <v>y=-0.215x2+181.97x-117.15</v>
      </c>
      <c r="AV2569" s="10" t="str">
        <f t="shared" si="296"/>
        <v>0206 00:00:00-QAC-BLK-FIL-1-DI-FLD</v>
      </c>
    </row>
    <row r="2570" spans="1:48" s="10" customFormat="1" x14ac:dyDescent="0.55000000000000004">
      <c r="A2570" s="32">
        <v>44965</v>
      </c>
      <c r="B2570" s="33">
        <v>0.25</v>
      </c>
      <c r="C2570" s="10" t="s">
        <v>70</v>
      </c>
      <c r="D2570" s="10" t="s">
        <v>241</v>
      </c>
      <c r="E2570" s="10" t="s">
        <v>911</v>
      </c>
      <c r="F2570" s="10">
        <v>1</v>
      </c>
      <c r="G2570" s="10" t="s">
        <v>73</v>
      </c>
      <c r="H2570" s="10" t="s">
        <v>264</v>
      </c>
      <c r="I2570" s="10" t="s">
        <v>224</v>
      </c>
      <c r="J2570" s="10">
        <v>137</v>
      </c>
      <c r="K2570" s="12">
        <v>44967</v>
      </c>
      <c r="L2570" s="33">
        <v>0.40512731481481484</v>
      </c>
      <c r="M2570" s="10">
        <v>1</v>
      </c>
      <c r="N2570" s="10" t="s">
        <v>196</v>
      </c>
      <c r="O2570" s="10">
        <v>0.624</v>
      </c>
      <c r="P2570" s="10">
        <v>3.0200000000000001E-2</v>
      </c>
      <c r="Q2570" s="10">
        <v>7.8</v>
      </c>
      <c r="R2570" s="10" t="s">
        <v>170</v>
      </c>
      <c r="S2570" s="34">
        <f t="shared" si="293"/>
        <v>7.8</v>
      </c>
      <c r="T2570" s="10" t="s">
        <v>1185</v>
      </c>
      <c r="U2570" s="34">
        <f t="shared" si="294"/>
        <v>7.8</v>
      </c>
      <c r="V2570" s="31" t="str">
        <f>IF(H2570="CHK",VLOOKUP(I2570,QCCHK,3,),IF(H2570="GUP",VLOOKUP(E2570,QCGUP,2,),IF(AND(H2570="ATP",OR(I2570="TN",I2570="TDN",I2570="TNO2-3",I2570="NO2-3")),VLOOKUP(E2570,QCREC_N,2,),IF(AND(H2570="NIC",OR(I2570="TN",I2570="TDN",I2570="TNO2-3",I2570="NO2-3")),VLOOKUP(E2570,QCNIC_N,2,),IF(AND(H2570="UREA",OR(I2570="TN",I2570="TDN",I2570="TNO2-3",I2570="NO2-3")),VLOOKUP(E2570,QCUREA_N,2,),IF(H2570="PER",VLOOKUP(I2570,QCPER,MATCH(E2570,QCACTUAL!$J$25:$AA$25,0),),IF(H2570="SPK",VLOOKUP(I2570,QCSPK,3,),IF(AND(H2570="ATP",OR(I2570="TP",I2570="TDP")),VLOOKUP(E2570,QCATP_P,2,),""))))))))</f>
        <v/>
      </c>
      <c r="W2570" s="31" t="str">
        <f t="shared" si="295"/>
        <v>TRUE</v>
      </c>
      <c r="X2570" s="31" t="str">
        <f t="shared" si="292"/>
        <v>nominal concentration</v>
      </c>
      <c r="Y2570" s="10" t="s">
        <v>1178</v>
      </c>
      <c r="AF2570" s="12">
        <v>44967</v>
      </c>
      <c r="AJ2570" s="10">
        <f>-1.3255*0.624^2+193.01*0.624-127.15</f>
        <v>-7.227877888000009</v>
      </c>
      <c r="AK2570" s="10">
        <f>-0.215*0.624^2+181.97*0.624-117.15</f>
        <v>-3.6844358400000061</v>
      </c>
      <c r="AL2570" s="10" t="str">
        <f t="shared" si="290"/>
        <v>FALSE</v>
      </c>
      <c r="AM2570" s="10" t="str">
        <f t="shared" si="290"/>
        <v>FALSE</v>
      </c>
      <c r="AN2570" s="10" t="str">
        <f t="shared" si="290"/>
        <v>FALSE</v>
      </c>
      <c r="AO2570" s="10" t="str">
        <f t="shared" si="291"/>
        <v>y=-1.3255*0.624^2+193.01*0.624-127.15</v>
      </c>
      <c r="AP2570" s="10" t="str">
        <f t="shared" si="291"/>
        <v>y=-0.215*0.624^2+181.97*0.624-117.15</v>
      </c>
      <c r="AQ2570" s="10" t="b">
        <f>IF(AND(I2570="TP",S2570&lt;=150),VLOOKUP(AF2570,TPCalibEq150!$AZ$2:$BB$55,3,),IF(AND(I2570="TDP",S2570&lt;=150),VLOOKUP(AF2570,TPCalibEq150!$AZ$2:$BB$55,3,)))</f>
        <v>0</v>
      </c>
      <c r="AR2570" s="10" t="b">
        <f>IF(AND(I2570="TP",S2570&lt;=300),VLOOKUP(AF2570,TPCalibEq300!$AZ$2:$BB$55,3,),IF(AND(I2570="TDP",S2570&lt;=300),VLOOKUP(AF2570,TPCalibEq300!$AZ$2:$BB$55,3,)))</f>
        <v>0</v>
      </c>
      <c r="AS2570" s="10" t="b">
        <f>IF(AND(I2570="TP",S2570&lt;=500),VLOOKUP(AF2570,TPCalibEq500!$AZ$2:$BB$56,3,),IF(AND(I2570="TDP",S2570&lt;=500),VLOOKUP(AF2570,TPCalibEq500!$AZ$2:$BB$56,3,)))</f>
        <v>0</v>
      </c>
      <c r="AT2570" s="10" t="str">
        <f>IF(AND(I2570="TN",S2570&lt;=2800),VLOOKUP(AF2570,TNCalibEq2500!$AZ$2:$BB$56,3,),IF(AND(I2570="TDN",S2570&lt;=2800),VLOOKUP(AF2570,TNCalibEq2500!$AZ$2:$BB$56,3,)))</f>
        <v>y=-1.3255x2+193.01x-127.15</v>
      </c>
      <c r="AU2570" s="10" t="str">
        <f>IF(I2570="TP",VLOOKUP(AF2570,TPCalibEqFull!$AZ$2:$BB$56,3),IF(I2570="TDP",VLOOKUP(AF2570,TPCalibEqFull!$AZ$2:$BB$56,3),IF(I2570="TDN",VLOOKUP(AF2570,TNCalibEqFull!$AZ$1:$BB$56,3),IF(I2570="TN",VLOOKUP(AF2570,TNCalibEqFull!$AZ$1:$BB$56,3),FALSE))))</f>
        <v>y=-0.215x2+181.97x-117.15</v>
      </c>
      <c r="AV2570" s="10" t="str">
        <f t="shared" si="296"/>
        <v>0208 06:00:00-QAC-BLK-FIL-1-DI-FLD</v>
      </c>
    </row>
    <row r="2571" spans="1:48" s="10" customFormat="1" x14ac:dyDescent="0.55000000000000004">
      <c r="A2571" s="32">
        <v>44964</v>
      </c>
      <c r="B2571" s="33">
        <v>0.30208333333333331</v>
      </c>
      <c r="C2571" s="10" t="s">
        <v>70</v>
      </c>
      <c r="D2571" s="10" t="s">
        <v>241</v>
      </c>
      <c r="E2571" s="10" t="s">
        <v>911</v>
      </c>
      <c r="F2571" s="10">
        <v>1</v>
      </c>
      <c r="G2571" s="10" t="s">
        <v>73</v>
      </c>
      <c r="H2571" s="10" t="s">
        <v>245</v>
      </c>
      <c r="I2571" s="10" t="s">
        <v>224</v>
      </c>
      <c r="J2571" s="10">
        <v>138</v>
      </c>
      <c r="K2571" s="12">
        <v>44967</v>
      </c>
      <c r="L2571" s="33">
        <v>0.40581018518518519</v>
      </c>
      <c r="M2571" s="10">
        <v>1</v>
      </c>
      <c r="N2571" s="10" t="s">
        <v>196</v>
      </c>
      <c r="O2571" s="10">
        <v>0.44400000000000001</v>
      </c>
      <c r="P2571" s="10">
        <v>2.1499999999999998E-2</v>
      </c>
      <c r="Q2571" s="10">
        <v>-23.9</v>
      </c>
      <c r="R2571" s="10" t="s">
        <v>170</v>
      </c>
      <c r="S2571" s="34">
        <f t="shared" si="293"/>
        <v>-23.9</v>
      </c>
      <c r="T2571" s="10" t="s">
        <v>1185</v>
      </c>
      <c r="U2571" s="34">
        <f t="shared" si="294"/>
        <v>-23.9</v>
      </c>
      <c r="V2571" s="31" t="str">
        <f>IF(H2571="CHK",VLOOKUP(I2571,QCCHK,3,),IF(H2571="GUP",VLOOKUP(E2571,QCGUP,2,),IF(AND(H2571="ATP",OR(I2571="TN",I2571="TDN",I2571="TNO2-3",I2571="NO2-3")),VLOOKUP(E2571,QCREC_N,2,),IF(AND(H2571="NIC",OR(I2571="TN",I2571="TDN",I2571="TNO2-3",I2571="NO2-3")),VLOOKUP(E2571,QCNIC_N,2,),IF(AND(H2571="UREA",OR(I2571="TN",I2571="TDN",I2571="TNO2-3",I2571="NO2-3")),VLOOKUP(E2571,QCUREA_N,2,),IF(H2571="PER",VLOOKUP(I2571,QCPER,MATCH(E2571,QCACTUAL!$J$25:$AA$25,0),),IF(H2571="SPK",VLOOKUP(I2571,QCSPK,3,),IF(AND(H2571="ATP",OR(I2571="TP",I2571="TDP")),VLOOKUP(E2571,QCATP_P,2,),""))))))))</f>
        <v/>
      </c>
      <c r="W2571" s="31" t="str">
        <f t="shared" si="295"/>
        <v>TRUE</v>
      </c>
      <c r="X2571" s="31" t="str">
        <f t="shared" si="292"/>
        <v>nominal concentration</v>
      </c>
      <c r="Y2571" s="10" t="s">
        <v>1178</v>
      </c>
      <c r="Z2571" s="10" t="s">
        <v>910</v>
      </c>
      <c r="AF2571" s="12">
        <v>44967</v>
      </c>
      <c r="AJ2571" s="10">
        <f>-1.3255*0.444^2+193.01*0.444-127.15</f>
        <v>-41.714863768000015</v>
      </c>
      <c r="AK2571" s="10">
        <f>-0.215*0.444^2+181.97*0.444-117.15</f>
        <v>-36.39770424000001</v>
      </c>
      <c r="AL2571" s="10" t="str">
        <f t="shared" si="290"/>
        <v>FALSE</v>
      </c>
      <c r="AM2571" s="10" t="str">
        <f t="shared" si="290"/>
        <v>FALSE</v>
      </c>
      <c r="AN2571" s="10" t="str">
        <f t="shared" si="290"/>
        <v>FALSE</v>
      </c>
      <c r="AO2571" s="10" t="str">
        <f t="shared" si="291"/>
        <v>y=-1.3255*0.444^2+193.01*0.444-127.15</v>
      </c>
      <c r="AP2571" s="10" t="str">
        <f t="shared" si="291"/>
        <v>y=-0.215*0.444^2+181.97*0.444-117.15</v>
      </c>
      <c r="AQ2571" s="10" t="b">
        <f>IF(AND(I2571="TP",S2571&lt;=150),VLOOKUP(AF2571,TPCalibEq150!$AZ$2:$BB$55,3,),IF(AND(I2571="TDP",S2571&lt;=150),VLOOKUP(AF2571,TPCalibEq150!$AZ$2:$BB$55,3,)))</f>
        <v>0</v>
      </c>
      <c r="AR2571" s="10" t="b">
        <f>IF(AND(I2571="TP",S2571&lt;=300),VLOOKUP(AF2571,TPCalibEq300!$AZ$2:$BB$55,3,),IF(AND(I2571="TDP",S2571&lt;=300),VLOOKUP(AF2571,TPCalibEq300!$AZ$2:$BB$55,3,)))</f>
        <v>0</v>
      </c>
      <c r="AS2571" s="10" t="b">
        <f>IF(AND(I2571="TP",S2571&lt;=500),VLOOKUP(AF2571,TPCalibEq500!$AZ$2:$BB$56,3,),IF(AND(I2571="TDP",S2571&lt;=500),VLOOKUP(AF2571,TPCalibEq500!$AZ$2:$BB$56,3,)))</f>
        <v>0</v>
      </c>
      <c r="AT2571" s="10" t="str">
        <f>IF(AND(I2571="TN",S2571&lt;=2800),VLOOKUP(AF2571,TNCalibEq2500!$AZ$2:$BB$56,3,),IF(AND(I2571="TDN",S2571&lt;=2800),VLOOKUP(AF2571,TNCalibEq2500!$AZ$2:$BB$56,3,)))</f>
        <v>y=-1.3255x2+193.01x-127.15</v>
      </c>
      <c r="AU2571" s="10" t="str">
        <f>IF(I2571="TP",VLOOKUP(AF2571,TPCalibEqFull!$AZ$2:$BB$56,3),IF(I2571="TDP",VLOOKUP(AF2571,TPCalibEqFull!$AZ$2:$BB$56,3),IF(I2571="TDN",VLOOKUP(AF2571,TNCalibEqFull!$AZ$1:$BB$56,3),IF(I2571="TN",VLOOKUP(AF2571,TNCalibEqFull!$AZ$1:$BB$56,3),FALSE))))</f>
        <v>y=-0.215x2+181.97x-117.15</v>
      </c>
      <c r="AV2571" s="10" t="str">
        <f t="shared" si="296"/>
        <v>0207 07:15:00-QAC-BLK-FIL-1-DI-ESF</v>
      </c>
    </row>
    <row r="2572" spans="1:48" s="10" customFormat="1" x14ac:dyDescent="0.55000000000000004">
      <c r="A2572" s="32">
        <v>44966</v>
      </c>
      <c r="B2572" s="33">
        <v>0.375</v>
      </c>
      <c r="C2572" s="10" t="s">
        <v>70</v>
      </c>
      <c r="D2572" s="10" t="s">
        <v>71</v>
      </c>
      <c r="E2572" s="10" t="s">
        <v>901</v>
      </c>
      <c r="F2572" s="10">
        <v>1</v>
      </c>
      <c r="G2572" s="10" t="s">
        <v>73</v>
      </c>
      <c r="H2572" s="10" t="s">
        <v>207</v>
      </c>
      <c r="I2572" s="10" t="s">
        <v>235</v>
      </c>
      <c r="J2572" s="10">
        <v>199</v>
      </c>
      <c r="K2572" s="12">
        <v>44967</v>
      </c>
      <c r="L2572" s="33">
        <v>0.40649305555555554</v>
      </c>
      <c r="M2572" s="10">
        <v>1</v>
      </c>
      <c r="N2572" s="10" t="s">
        <v>196</v>
      </c>
      <c r="O2572" s="10">
        <v>7.5</v>
      </c>
      <c r="P2572" s="10">
        <v>0.36599999999999999</v>
      </c>
      <c r="Q2572" s="10">
        <v>1220</v>
      </c>
      <c r="R2572" s="10" t="s">
        <v>170</v>
      </c>
      <c r="S2572" s="34">
        <f t="shared" si="293"/>
        <v>1245.8656249999997</v>
      </c>
      <c r="T2572" s="10" t="s">
        <v>1185</v>
      </c>
      <c r="U2572" s="34">
        <f t="shared" si="294"/>
        <v>99.669249999999977</v>
      </c>
      <c r="V2572" s="31">
        <f>IF(H2572="CHK",VLOOKUP(I2572,QCCHK,3,),IF(H2572="GUP",VLOOKUP(E2572,QCGUP,2,),IF(AND(H2572="ATP",OR(I2572="TN",I2572="TDN",I2572="TNO2-3",I2572="NO2-3")),VLOOKUP(E2572,QCREC_N,2,),IF(AND(H2572="NIC",OR(I2572="TN",I2572="TDN",I2572="TNO2-3",I2572="NO2-3")),VLOOKUP(E2572,QCNIC_N,2,),IF(AND(H2572="UREA",OR(I2572="TN",I2572="TDN",I2572="TNO2-3",I2572="NO2-3")),VLOOKUP(E2572,QCUREA_N,2,),IF(H2572="PER",VLOOKUP(I2572,QCPER,MATCH(E2572,QCACTUAL!$J$25:$AA$25,0),),IF(H2572="SPK",VLOOKUP(I2572,QCSPK,3,),IF(AND(H2572="ATP",OR(I2572="TP",I2572="TDP")),VLOOKUP(E2572,QCATP_P,2,),""))))))))</f>
        <v>1250</v>
      </c>
      <c r="W2572" s="31" t="str">
        <f t="shared" si="295"/>
        <v>TRUE</v>
      </c>
      <c r="X2572" s="31" t="str">
        <f t="shared" si="292"/>
        <v>[chk]/[actual]*100</v>
      </c>
      <c r="Y2572" s="10" t="s">
        <v>1178</v>
      </c>
      <c r="AF2572" s="12">
        <v>44967</v>
      </c>
      <c r="AJ2572" s="10">
        <f>-1.3255*7.5^2+193.01*7.5-127.15</f>
        <v>1245.8656249999997</v>
      </c>
      <c r="AK2572" s="10">
        <f>-0.215*7.5^2+181.97*7.5-117.15</f>
        <v>1235.53125</v>
      </c>
      <c r="AL2572" s="10" t="str">
        <f t="shared" si="290"/>
        <v>FALSE</v>
      </c>
      <c r="AM2572" s="10" t="str">
        <f t="shared" si="290"/>
        <v>FALSE</v>
      </c>
      <c r="AN2572" s="10" t="str">
        <f t="shared" si="290"/>
        <v>FALSE</v>
      </c>
      <c r="AO2572" s="10" t="str">
        <f t="shared" si="291"/>
        <v>y=-1.3255*7.5^2+193.01*7.5-127.15</v>
      </c>
      <c r="AP2572" s="10" t="str">
        <f t="shared" si="291"/>
        <v>y=-0.215*7.5^2+181.97*7.5-117.15</v>
      </c>
      <c r="AQ2572" s="10" t="b">
        <f>IF(AND(I2572="TP",S2572&lt;=150),VLOOKUP(AF2572,TPCalibEq150!$AZ$2:$BB$55,3,),IF(AND(I2572="TDP",S2572&lt;=150),VLOOKUP(AF2572,TPCalibEq150!$AZ$2:$BB$55,3,)))</f>
        <v>0</v>
      </c>
      <c r="AR2572" s="10" t="b">
        <f>IF(AND(I2572="TP",S2572&lt;=300),VLOOKUP(AF2572,TPCalibEq300!$AZ$2:$BB$55,3,),IF(AND(I2572="TDP",S2572&lt;=300),VLOOKUP(AF2572,TPCalibEq300!$AZ$2:$BB$55,3,)))</f>
        <v>0</v>
      </c>
      <c r="AS2572" s="10" t="b">
        <f>IF(AND(I2572="TP",S2572&lt;=500),VLOOKUP(AF2572,TPCalibEq500!$AZ$2:$BB$56,3,),IF(AND(I2572="TDP",S2572&lt;=500),VLOOKUP(AF2572,TPCalibEq500!$AZ$2:$BB$56,3,)))</f>
        <v>0</v>
      </c>
      <c r="AT2572" s="10" t="str">
        <f>IF(AND(I2572="TN",S2572&lt;=2800),VLOOKUP(AF2572,TNCalibEq2500!$AZ$2:$BB$56,3,),IF(AND(I2572="TDN",S2572&lt;=2800),VLOOKUP(AF2572,TNCalibEq2500!$AZ$2:$BB$56,3,)))</f>
        <v>y=-1.3255x2+193.01x-127.15</v>
      </c>
      <c r="AU2572" s="10" t="str">
        <f>IF(I2572="TP",VLOOKUP(AF2572,TPCalibEqFull!$AZ$2:$BB$56,3),IF(I2572="TDP",VLOOKUP(AF2572,TPCalibEqFull!$AZ$2:$BB$56,3),IF(I2572="TDN",VLOOKUP(AF2572,TNCalibEqFull!$AZ$1:$BB$56,3),IF(I2572="TN",VLOOKUP(AF2572,TNCalibEqFull!$AZ$1:$BB$56,3),FALSE))))</f>
        <v>y=-0.215x2+181.97x-117.15</v>
      </c>
      <c r="AV2572" s="10" t="str">
        <f t="shared" si="296"/>
        <v>0209 09:00:00-QAC-STD-D-1-DI-CHK</v>
      </c>
    </row>
    <row r="2573" spans="1:48" s="10" customFormat="1" x14ac:dyDescent="0.55000000000000004">
      <c r="A2573" s="32">
        <v>44958</v>
      </c>
      <c r="B2573" s="33">
        <v>0.50138888888888888</v>
      </c>
      <c r="C2573" s="10" t="s">
        <v>279</v>
      </c>
      <c r="D2573" s="10">
        <v>0</v>
      </c>
      <c r="E2573" s="10" t="s">
        <v>190</v>
      </c>
      <c r="F2573" s="10">
        <v>1</v>
      </c>
      <c r="G2573" s="10" t="s">
        <v>231</v>
      </c>
      <c r="H2573" s="10" t="s">
        <v>322</v>
      </c>
      <c r="I2573" s="10" t="s">
        <v>235</v>
      </c>
      <c r="J2573" s="10">
        <v>1</v>
      </c>
      <c r="K2573" s="12">
        <v>44967</v>
      </c>
      <c r="L2573" s="33">
        <v>0.4071643518518519</v>
      </c>
      <c r="M2573" s="10">
        <v>1</v>
      </c>
      <c r="N2573" s="10" t="s">
        <v>196</v>
      </c>
      <c r="O2573" s="10">
        <v>8.26</v>
      </c>
      <c r="P2573" s="10">
        <v>0.40300000000000002</v>
      </c>
      <c r="Q2573" s="10">
        <v>1350</v>
      </c>
      <c r="R2573" s="10" t="s">
        <v>170</v>
      </c>
      <c r="S2573" s="34">
        <f t="shared" si="293"/>
        <v>1376.6769161999996</v>
      </c>
      <c r="T2573" s="10" t="s">
        <v>1185</v>
      </c>
      <c r="U2573" s="34" t="str">
        <f t="shared" si="294"/>
        <v/>
      </c>
      <c r="V2573" s="31" t="str">
        <f>IF(H2573="CHK",VLOOKUP(I2573,QCCHK,3,),IF(H2573="GUP",VLOOKUP(E2573,QCGUP,2,),IF(AND(H2573="ATP",OR(I2573="TN",I2573="TDN",I2573="TNO2-3",I2573="NO2-3")),VLOOKUP(E2573,QCREC_N,2,),IF(AND(H2573="NIC",OR(I2573="TN",I2573="TDN",I2573="TNO2-3",I2573="NO2-3")),VLOOKUP(E2573,QCNIC_N,2,),IF(AND(H2573="UREA",OR(I2573="TN",I2573="TDN",I2573="TNO2-3",I2573="NO2-3")),VLOOKUP(E2573,QCUREA_N,2,),IF(H2573="PER",VLOOKUP(I2573,QCPER,MATCH(E2573,QCACTUAL!$J$25:$AA$25,0),),IF(H2573="SPK",VLOOKUP(I2573,QCSPK,3,),IF(AND(H2573="ATP",OR(I2573="TP",I2573="TDP")),VLOOKUP(E2573,QCATP_P,2,),""))))))))</f>
        <v/>
      </c>
      <c r="W2573" s="31" t="str">
        <f t="shared" si="295"/>
        <v>TRUE</v>
      </c>
      <c r="X2573" s="31" t="str">
        <f t="shared" si="292"/>
        <v/>
      </c>
      <c r="Y2573" s="10" t="s">
        <v>1178</v>
      </c>
      <c r="Z2573" s="10" t="s">
        <v>910</v>
      </c>
      <c r="AF2573" s="12">
        <v>44967</v>
      </c>
      <c r="AJ2573" s="10">
        <f>-1.3255*8.26^2+193.01*8.26-127.15</f>
        <v>1376.6769161999996</v>
      </c>
      <c r="AK2573" s="10">
        <f>-0.215*8.26^2+181.97*8.26-117.15</f>
        <v>1371.2532659999997</v>
      </c>
      <c r="AL2573" s="10" t="str">
        <f t="shared" si="290"/>
        <v>FALSE</v>
      </c>
      <c r="AM2573" s="10" t="str">
        <f t="shared" si="290"/>
        <v>FALSE</v>
      </c>
      <c r="AN2573" s="10" t="str">
        <f t="shared" si="290"/>
        <v>FALSE</v>
      </c>
      <c r="AO2573" s="10" t="str">
        <f t="shared" si="291"/>
        <v>y=-1.3255*8.26^2+193.01*8.26-127.15</v>
      </c>
      <c r="AP2573" s="10" t="str">
        <f t="shared" si="291"/>
        <v>y=-0.215*8.26^2+181.97*8.26-117.15</v>
      </c>
      <c r="AQ2573" s="10" t="b">
        <f>IF(AND(I2573="TP",S2573&lt;=150),VLOOKUP(AF2573,TPCalibEq150!$AZ$2:$BB$55,3,),IF(AND(I2573="TDP",S2573&lt;=150),VLOOKUP(AF2573,TPCalibEq150!$AZ$2:$BB$55,3,)))</f>
        <v>0</v>
      </c>
      <c r="AR2573" s="10" t="b">
        <f>IF(AND(I2573="TP",S2573&lt;=300),VLOOKUP(AF2573,TPCalibEq300!$AZ$2:$BB$55,3,),IF(AND(I2573="TDP",S2573&lt;=300),VLOOKUP(AF2573,TPCalibEq300!$AZ$2:$BB$55,3,)))</f>
        <v>0</v>
      </c>
      <c r="AS2573" s="10" t="b">
        <f>IF(AND(I2573="TP",S2573&lt;=500),VLOOKUP(AF2573,TPCalibEq500!$AZ$2:$BB$56,3,),IF(AND(I2573="TDP",S2573&lt;=500),VLOOKUP(AF2573,TPCalibEq500!$AZ$2:$BB$56,3,)))</f>
        <v>0</v>
      </c>
      <c r="AT2573" s="10" t="str">
        <f>IF(AND(I2573="TN",S2573&lt;=2800),VLOOKUP(AF2573,TNCalibEq2500!$AZ$2:$BB$56,3,),IF(AND(I2573="TDN",S2573&lt;=2800),VLOOKUP(AF2573,TNCalibEq2500!$AZ$2:$BB$56,3,)))</f>
        <v>y=-1.3255x2+193.01x-127.15</v>
      </c>
      <c r="AU2573" s="10" t="str">
        <f>IF(I2573="TP",VLOOKUP(AF2573,TPCalibEqFull!$AZ$2:$BB$56,3),IF(I2573="TDP",VLOOKUP(AF2573,TPCalibEqFull!$AZ$2:$BB$56,3),IF(I2573="TDN",VLOOKUP(AF2573,TNCalibEqFull!$AZ$1:$BB$56,3),IF(I2573="TN",VLOOKUP(AF2573,TNCalibEqFull!$AZ$1:$BB$56,3),FALSE))))</f>
        <v>y=-0.215x2+181.97x-117.15</v>
      </c>
      <c r="AV2573" s="10" t="str">
        <f t="shared" si="296"/>
        <v>0201 12:02:00-EFK-0-C-1-SW-UKN</v>
      </c>
    </row>
    <row r="2574" spans="1:48" s="10" customFormat="1" x14ac:dyDescent="0.55000000000000004">
      <c r="A2574" s="32">
        <v>44958</v>
      </c>
      <c r="B2574" s="33">
        <v>0.50347222222222221</v>
      </c>
      <c r="C2574" s="10" t="s">
        <v>333</v>
      </c>
      <c r="D2574" s="10">
        <v>0</v>
      </c>
      <c r="E2574" s="10" t="s">
        <v>190</v>
      </c>
      <c r="F2574" s="10">
        <v>1</v>
      </c>
      <c r="G2574" s="10" t="s">
        <v>231</v>
      </c>
      <c r="H2574" s="10" t="s">
        <v>322</v>
      </c>
      <c r="I2574" s="10" t="s">
        <v>235</v>
      </c>
      <c r="J2574" s="10">
        <v>2</v>
      </c>
      <c r="K2574" s="12">
        <v>44967</v>
      </c>
      <c r="L2574" s="33">
        <v>0.40784722222222225</v>
      </c>
      <c r="M2574" s="10">
        <v>1</v>
      </c>
      <c r="N2574" s="10" t="s">
        <v>196</v>
      </c>
      <c r="O2574" s="10">
        <v>6.44</v>
      </c>
      <c r="P2574" s="10">
        <v>0.314</v>
      </c>
      <c r="Q2574" s="10">
        <v>1030</v>
      </c>
      <c r="R2574" s="10" t="s">
        <v>170</v>
      </c>
      <c r="S2574" s="34">
        <f t="shared" si="293"/>
        <v>1060.8611432</v>
      </c>
      <c r="T2574" s="10" t="s">
        <v>1185</v>
      </c>
      <c r="U2574" s="34" t="str">
        <f t="shared" si="294"/>
        <v/>
      </c>
      <c r="V2574" s="31" t="str">
        <f>IF(H2574="CHK",VLOOKUP(I2574,QCCHK,3,),IF(H2574="GUP",VLOOKUP(E2574,QCGUP,2,),IF(AND(H2574="ATP",OR(I2574="TN",I2574="TDN",I2574="TNO2-3",I2574="NO2-3")),VLOOKUP(E2574,QCREC_N,2,),IF(AND(H2574="NIC",OR(I2574="TN",I2574="TDN",I2574="TNO2-3",I2574="NO2-3")),VLOOKUP(E2574,QCNIC_N,2,),IF(AND(H2574="UREA",OR(I2574="TN",I2574="TDN",I2574="TNO2-3",I2574="NO2-3")),VLOOKUP(E2574,QCUREA_N,2,),IF(H2574="PER",VLOOKUP(I2574,QCPER,MATCH(E2574,QCACTUAL!$J$25:$AA$25,0),),IF(H2574="SPK",VLOOKUP(I2574,QCSPK,3,),IF(AND(H2574="ATP",OR(I2574="TP",I2574="TDP")),VLOOKUP(E2574,QCATP_P,2,),""))))))))</f>
        <v/>
      </c>
      <c r="W2574" s="31" t="str">
        <f t="shared" si="295"/>
        <v>TRUE</v>
      </c>
      <c r="X2574" s="31" t="str">
        <f t="shared" si="292"/>
        <v/>
      </c>
      <c r="Y2574" s="10" t="s">
        <v>1178</v>
      </c>
      <c r="Z2574" s="10" t="s">
        <v>910</v>
      </c>
      <c r="AF2574" s="12">
        <v>44967</v>
      </c>
      <c r="AJ2574" s="10">
        <f>-1.3255*6.44^2+193.01*6.44-127.15</f>
        <v>1060.8611432</v>
      </c>
      <c r="AK2574" s="10">
        <f>-0.215*6.44^2+181.97*6.44-117.15</f>
        <v>1045.819976</v>
      </c>
      <c r="AL2574" s="10" t="str">
        <f t="shared" si="290"/>
        <v>FALSE</v>
      </c>
      <c r="AM2574" s="10" t="str">
        <f t="shared" si="290"/>
        <v>FALSE</v>
      </c>
      <c r="AN2574" s="10" t="str">
        <f t="shared" si="290"/>
        <v>FALSE</v>
      </c>
      <c r="AO2574" s="10" t="str">
        <f t="shared" si="291"/>
        <v>y=-1.3255*6.44^2+193.01*6.44-127.15</v>
      </c>
      <c r="AP2574" s="10" t="str">
        <f t="shared" si="291"/>
        <v>y=-0.215*6.44^2+181.97*6.44-117.15</v>
      </c>
      <c r="AQ2574" s="10" t="b">
        <f>IF(AND(I2574="TP",S2574&lt;=150),VLOOKUP(AF2574,TPCalibEq150!$AZ$2:$BB$55,3,),IF(AND(I2574="TDP",S2574&lt;=150),VLOOKUP(AF2574,TPCalibEq150!$AZ$2:$BB$55,3,)))</f>
        <v>0</v>
      </c>
      <c r="AR2574" s="10" t="b">
        <f>IF(AND(I2574="TP",S2574&lt;=300),VLOOKUP(AF2574,TPCalibEq300!$AZ$2:$BB$55,3,),IF(AND(I2574="TDP",S2574&lt;=300),VLOOKUP(AF2574,TPCalibEq300!$AZ$2:$BB$55,3,)))</f>
        <v>0</v>
      </c>
      <c r="AS2574" s="10" t="b">
        <f>IF(AND(I2574="TP",S2574&lt;=500),VLOOKUP(AF2574,TPCalibEq500!$AZ$2:$BB$56,3,),IF(AND(I2574="TDP",S2574&lt;=500),VLOOKUP(AF2574,TPCalibEq500!$AZ$2:$BB$56,3,)))</f>
        <v>0</v>
      </c>
      <c r="AT2574" s="10" t="str">
        <f>IF(AND(I2574="TN",S2574&lt;=2800),VLOOKUP(AF2574,TNCalibEq2500!$AZ$2:$BB$56,3,),IF(AND(I2574="TDN",S2574&lt;=2800),VLOOKUP(AF2574,TNCalibEq2500!$AZ$2:$BB$56,3,)))</f>
        <v>y=-1.3255x2+193.01x-127.15</v>
      </c>
      <c r="AU2574" s="10" t="str">
        <f>IF(I2574="TP",VLOOKUP(AF2574,TPCalibEqFull!$AZ$2:$BB$56,3),IF(I2574="TDP",VLOOKUP(AF2574,TPCalibEqFull!$AZ$2:$BB$56,3),IF(I2574="TDN",VLOOKUP(AF2574,TNCalibEqFull!$AZ$1:$BB$56,3),IF(I2574="TN",VLOOKUP(AF2574,TNCalibEqFull!$AZ$1:$BB$56,3),FALSE))))</f>
        <v>y=-0.215x2+181.97x-117.15</v>
      </c>
      <c r="AV2574" s="10" t="str">
        <f t="shared" si="296"/>
        <v>0201 12:05:00-HST-0-C-1-SW-UKN</v>
      </c>
    </row>
    <row r="2575" spans="1:48" s="10" customFormat="1" x14ac:dyDescent="0.55000000000000004">
      <c r="A2575" s="32">
        <v>44959</v>
      </c>
      <c r="B2575" s="33">
        <v>0.58194444444444449</v>
      </c>
      <c r="C2575" s="10" t="s">
        <v>279</v>
      </c>
      <c r="D2575" s="10">
        <v>0</v>
      </c>
      <c r="E2575" s="10" t="s">
        <v>190</v>
      </c>
      <c r="F2575" s="10">
        <v>1</v>
      </c>
      <c r="G2575" s="10" t="s">
        <v>231</v>
      </c>
      <c r="H2575" s="10" t="s">
        <v>322</v>
      </c>
      <c r="I2575" s="10" t="s">
        <v>235</v>
      </c>
      <c r="J2575" s="10">
        <v>3</v>
      </c>
      <c r="K2575" s="12">
        <v>44967</v>
      </c>
      <c r="L2575" s="33">
        <v>0.4085300925925926</v>
      </c>
      <c r="M2575" s="10">
        <v>1</v>
      </c>
      <c r="N2575" s="10" t="s">
        <v>196</v>
      </c>
      <c r="O2575" s="10">
        <v>8.25</v>
      </c>
      <c r="P2575" s="10">
        <v>0.40300000000000002</v>
      </c>
      <c r="Q2575" s="10">
        <v>1350</v>
      </c>
      <c r="R2575" s="10" t="s">
        <v>170</v>
      </c>
      <c r="S2575" s="34">
        <f t="shared" si="293"/>
        <v>1374.9656562499999</v>
      </c>
      <c r="T2575" s="10" t="s">
        <v>1185</v>
      </c>
      <c r="U2575" s="34" t="str">
        <f t="shared" si="294"/>
        <v/>
      </c>
      <c r="V2575" s="31" t="str">
        <f>IF(H2575="CHK",VLOOKUP(I2575,QCCHK,3,),IF(H2575="GUP",VLOOKUP(E2575,QCGUP,2,),IF(AND(H2575="ATP",OR(I2575="TN",I2575="TDN",I2575="TNO2-3",I2575="NO2-3")),VLOOKUP(E2575,QCREC_N,2,),IF(AND(H2575="NIC",OR(I2575="TN",I2575="TDN",I2575="TNO2-3",I2575="NO2-3")),VLOOKUP(E2575,QCNIC_N,2,),IF(AND(H2575="UREA",OR(I2575="TN",I2575="TDN",I2575="TNO2-3",I2575="NO2-3")),VLOOKUP(E2575,QCUREA_N,2,),IF(H2575="PER",VLOOKUP(I2575,QCPER,MATCH(E2575,QCACTUAL!$J$25:$AA$25,0),),IF(H2575="SPK",VLOOKUP(I2575,QCSPK,3,),IF(AND(H2575="ATP",OR(I2575="TP",I2575="TDP")),VLOOKUP(E2575,QCATP_P,2,),""))))))))</f>
        <v/>
      </c>
      <c r="W2575" s="31" t="str">
        <f t="shared" si="295"/>
        <v>TRUE</v>
      </c>
      <c r="X2575" s="31" t="str">
        <f t="shared" si="292"/>
        <v/>
      </c>
      <c r="Y2575" s="10" t="s">
        <v>1178</v>
      </c>
      <c r="Z2575" s="10" t="s">
        <v>910</v>
      </c>
      <c r="AF2575" s="12">
        <v>44967</v>
      </c>
      <c r="AJ2575" s="10">
        <f>-1.3255*8.25^2+193.01*8.25-127.15</f>
        <v>1374.9656562499999</v>
      </c>
      <c r="AK2575" s="10">
        <f>-0.215*8.25^2+181.97*8.25-117.15</f>
        <v>1369.4690625000001</v>
      </c>
      <c r="AL2575" s="10" t="str">
        <f t="shared" si="290"/>
        <v>FALSE</v>
      </c>
      <c r="AM2575" s="10" t="str">
        <f t="shared" si="290"/>
        <v>FALSE</v>
      </c>
      <c r="AN2575" s="10" t="str">
        <f t="shared" si="290"/>
        <v>FALSE</v>
      </c>
      <c r="AO2575" s="10" t="str">
        <f t="shared" si="291"/>
        <v>y=-1.3255*8.25^2+193.01*8.25-127.15</v>
      </c>
      <c r="AP2575" s="10" t="str">
        <f t="shared" si="291"/>
        <v>y=-0.215*8.25^2+181.97*8.25-117.15</v>
      </c>
      <c r="AQ2575" s="10" t="b">
        <f>IF(AND(I2575="TP",S2575&lt;=150),VLOOKUP(AF2575,TPCalibEq150!$AZ$2:$BB$55,3,),IF(AND(I2575="TDP",S2575&lt;=150),VLOOKUP(AF2575,TPCalibEq150!$AZ$2:$BB$55,3,)))</f>
        <v>0</v>
      </c>
      <c r="AR2575" s="10" t="b">
        <f>IF(AND(I2575="TP",S2575&lt;=300),VLOOKUP(AF2575,TPCalibEq300!$AZ$2:$BB$55,3,),IF(AND(I2575="TDP",S2575&lt;=300),VLOOKUP(AF2575,TPCalibEq300!$AZ$2:$BB$55,3,)))</f>
        <v>0</v>
      </c>
      <c r="AS2575" s="10" t="b">
        <f>IF(AND(I2575="TP",S2575&lt;=500),VLOOKUP(AF2575,TPCalibEq500!$AZ$2:$BB$56,3,),IF(AND(I2575="TDP",S2575&lt;=500),VLOOKUP(AF2575,TPCalibEq500!$AZ$2:$BB$56,3,)))</f>
        <v>0</v>
      </c>
      <c r="AT2575" s="10" t="str">
        <f>IF(AND(I2575="TN",S2575&lt;=2800),VLOOKUP(AF2575,TNCalibEq2500!$AZ$2:$BB$56,3,),IF(AND(I2575="TDN",S2575&lt;=2800),VLOOKUP(AF2575,TNCalibEq2500!$AZ$2:$BB$56,3,)))</f>
        <v>y=-1.3255x2+193.01x-127.15</v>
      </c>
      <c r="AU2575" s="10" t="str">
        <f>IF(I2575="TP",VLOOKUP(AF2575,TPCalibEqFull!$AZ$2:$BB$56,3),IF(I2575="TDP",VLOOKUP(AF2575,TPCalibEqFull!$AZ$2:$BB$56,3),IF(I2575="TDN",VLOOKUP(AF2575,TNCalibEqFull!$AZ$1:$BB$56,3),IF(I2575="TN",VLOOKUP(AF2575,TNCalibEqFull!$AZ$1:$BB$56,3),FALSE))))</f>
        <v>y=-0.215x2+181.97x-117.15</v>
      </c>
      <c r="AV2575" s="10" t="str">
        <f t="shared" si="296"/>
        <v>0202 13:58:00-EFK-0-C-1-SW-UKN</v>
      </c>
    </row>
    <row r="2576" spans="1:48" s="10" customFormat="1" x14ac:dyDescent="0.55000000000000004">
      <c r="A2576" s="32">
        <v>44959</v>
      </c>
      <c r="B2576" s="33">
        <v>0.56944444444444442</v>
      </c>
      <c r="C2576" s="10" t="s">
        <v>333</v>
      </c>
      <c r="D2576" s="10">
        <v>0</v>
      </c>
      <c r="E2576" s="10" t="s">
        <v>190</v>
      </c>
      <c r="F2576" s="10">
        <v>1</v>
      </c>
      <c r="G2576" s="10" t="s">
        <v>231</v>
      </c>
      <c r="H2576" s="10" t="s">
        <v>322</v>
      </c>
      <c r="I2576" s="10" t="s">
        <v>235</v>
      </c>
      <c r="J2576" s="10">
        <v>4</v>
      </c>
      <c r="K2576" s="12">
        <v>44967</v>
      </c>
      <c r="L2576" s="33">
        <v>0.40920138888888885</v>
      </c>
      <c r="M2576" s="10">
        <v>1</v>
      </c>
      <c r="N2576" s="10" t="s">
        <v>196</v>
      </c>
      <c r="O2576" s="10">
        <v>7.43</v>
      </c>
      <c r="P2576" s="10">
        <v>0.36199999999999999</v>
      </c>
      <c r="Q2576" s="10">
        <v>1210</v>
      </c>
      <c r="R2576" s="10" t="s">
        <v>170</v>
      </c>
      <c r="S2576" s="34">
        <f t="shared" si="293"/>
        <v>1233.7402050499998</v>
      </c>
      <c r="T2576" s="10" t="s">
        <v>1185</v>
      </c>
      <c r="U2576" s="34" t="str">
        <f t="shared" si="294"/>
        <v/>
      </c>
      <c r="V2576" s="31" t="str">
        <f>IF(H2576="CHK",VLOOKUP(I2576,QCCHK,3,),IF(H2576="GUP",VLOOKUP(E2576,QCGUP,2,),IF(AND(H2576="ATP",OR(I2576="TN",I2576="TDN",I2576="TNO2-3",I2576="NO2-3")),VLOOKUP(E2576,QCREC_N,2,),IF(AND(H2576="NIC",OR(I2576="TN",I2576="TDN",I2576="TNO2-3",I2576="NO2-3")),VLOOKUP(E2576,QCNIC_N,2,),IF(AND(H2576="UREA",OR(I2576="TN",I2576="TDN",I2576="TNO2-3",I2576="NO2-3")),VLOOKUP(E2576,QCUREA_N,2,),IF(H2576="PER",VLOOKUP(I2576,QCPER,MATCH(E2576,QCACTUAL!$J$25:$AA$25,0),),IF(H2576="SPK",VLOOKUP(I2576,QCSPK,3,),IF(AND(H2576="ATP",OR(I2576="TP",I2576="TDP")),VLOOKUP(E2576,QCATP_P,2,),""))))))))</f>
        <v/>
      </c>
      <c r="W2576" s="31" t="str">
        <f t="shared" si="295"/>
        <v>TRUE</v>
      </c>
      <c r="X2576" s="31" t="str">
        <f t="shared" si="292"/>
        <v/>
      </c>
      <c r="Y2576" s="10" t="s">
        <v>1178</v>
      </c>
      <c r="Z2576" s="10" t="s">
        <v>910</v>
      </c>
      <c r="AF2576" s="12">
        <v>44967</v>
      </c>
      <c r="AJ2576" s="10">
        <f>-1.3255*7.43^2+193.01*7.43-127.15</f>
        <v>1233.7402050499998</v>
      </c>
      <c r="AK2576" s="10">
        <f>-0.215*7.43^2+181.97*7.43-117.15</f>
        <v>1223.0180464999999</v>
      </c>
      <c r="AL2576" s="10" t="str">
        <f t="shared" si="290"/>
        <v>FALSE</v>
      </c>
      <c r="AM2576" s="10" t="str">
        <f t="shared" si="290"/>
        <v>FALSE</v>
      </c>
      <c r="AN2576" s="10" t="str">
        <f t="shared" si="290"/>
        <v>FALSE</v>
      </c>
      <c r="AO2576" s="10" t="str">
        <f t="shared" si="291"/>
        <v>y=-1.3255*7.43^2+193.01*7.43-127.15</v>
      </c>
      <c r="AP2576" s="10" t="str">
        <f t="shared" si="291"/>
        <v>y=-0.215*7.43^2+181.97*7.43-117.15</v>
      </c>
      <c r="AQ2576" s="10" t="b">
        <f>IF(AND(I2576="TP",S2576&lt;=150),VLOOKUP(AF2576,TPCalibEq150!$AZ$2:$BB$55,3,),IF(AND(I2576="TDP",S2576&lt;=150),VLOOKUP(AF2576,TPCalibEq150!$AZ$2:$BB$55,3,)))</f>
        <v>0</v>
      </c>
      <c r="AR2576" s="10" t="b">
        <f>IF(AND(I2576="TP",S2576&lt;=300),VLOOKUP(AF2576,TPCalibEq300!$AZ$2:$BB$55,3,),IF(AND(I2576="TDP",S2576&lt;=300),VLOOKUP(AF2576,TPCalibEq300!$AZ$2:$BB$55,3,)))</f>
        <v>0</v>
      </c>
      <c r="AS2576" s="10" t="b">
        <f>IF(AND(I2576="TP",S2576&lt;=500),VLOOKUP(AF2576,TPCalibEq500!$AZ$2:$BB$56,3,),IF(AND(I2576="TDP",S2576&lt;=500),VLOOKUP(AF2576,TPCalibEq500!$AZ$2:$BB$56,3,)))</f>
        <v>0</v>
      </c>
      <c r="AT2576" s="10" t="str">
        <f>IF(AND(I2576="TN",S2576&lt;=2800),VLOOKUP(AF2576,TNCalibEq2500!$AZ$2:$BB$56,3,),IF(AND(I2576="TDN",S2576&lt;=2800),VLOOKUP(AF2576,TNCalibEq2500!$AZ$2:$BB$56,3,)))</f>
        <v>y=-1.3255x2+193.01x-127.15</v>
      </c>
      <c r="AU2576" s="10" t="str">
        <f>IF(I2576="TP",VLOOKUP(AF2576,TPCalibEqFull!$AZ$2:$BB$56,3),IF(I2576="TDP",VLOOKUP(AF2576,TPCalibEqFull!$AZ$2:$BB$56,3),IF(I2576="TDN",VLOOKUP(AF2576,TNCalibEqFull!$AZ$1:$BB$56,3),IF(I2576="TN",VLOOKUP(AF2576,TNCalibEqFull!$AZ$1:$BB$56,3),FALSE))))</f>
        <v>y=-0.215x2+181.97x-117.15</v>
      </c>
      <c r="AV2576" s="10" t="str">
        <f t="shared" si="296"/>
        <v>0202 13:40:00-HST-0-C-1-SW-UKN</v>
      </c>
    </row>
    <row r="2577" spans="1:48" s="10" customFormat="1" x14ac:dyDescent="0.55000000000000004">
      <c r="A2577" s="32">
        <v>44960</v>
      </c>
      <c r="B2577" s="33">
        <v>0.45208333333333334</v>
      </c>
      <c r="C2577" s="10" t="s">
        <v>279</v>
      </c>
      <c r="D2577" s="10">
        <v>0</v>
      </c>
      <c r="E2577" s="10" t="s">
        <v>190</v>
      </c>
      <c r="F2577" s="10">
        <v>1</v>
      </c>
      <c r="G2577" s="10" t="s">
        <v>231</v>
      </c>
      <c r="H2577" s="10" t="s">
        <v>322</v>
      </c>
      <c r="I2577" s="10" t="s">
        <v>235</v>
      </c>
      <c r="J2577" s="10">
        <v>5</v>
      </c>
      <c r="K2577" s="12">
        <v>44967</v>
      </c>
      <c r="L2577" s="33">
        <v>0.40987268518518521</v>
      </c>
      <c r="M2577" s="10">
        <v>1</v>
      </c>
      <c r="N2577" s="10" t="s">
        <v>196</v>
      </c>
      <c r="O2577" s="10">
        <v>8.83</v>
      </c>
      <c r="P2577" s="10">
        <v>0.43099999999999999</v>
      </c>
      <c r="Q2577" s="10">
        <v>1450</v>
      </c>
      <c r="R2577" s="10" t="s">
        <v>170</v>
      </c>
      <c r="S2577" s="34">
        <f t="shared" si="293"/>
        <v>1473.7805230499998</v>
      </c>
      <c r="T2577" s="10" t="s">
        <v>1185</v>
      </c>
      <c r="U2577" s="34" t="str">
        <f t="shared" si="294"/>
        <v/>
      </c>
      <c r="V2577" s="31" t="str">
        <f>IF(H2577="CHK",VLOOKUP(I2577,QCCHK,3,),IF(H2577="GUP",VLOOKUP(E2577,QCGUP,2,),IF(AND(H2577="ATP",OR(I2577="TN",I2577="TDN",I2577="TNO2-3",I2577="NO2-3")),VLOOKUP(E2577,QCREC_N,2,),IF(AND(H2577="NIC",OR(I2577="TN",I2577="TDN",I2577="TNO2-3",I2577="NO2-3")),VLOOKUP(E2577,QCNIC_N,2,),IF(AND(H2577="UREA",OR(I2577="TN",I2577="TDN",I2577="TNO2-3",I2577="NO2-3")),VLOOKUP(E2577,QCUREA_N,2,),IF(H2577="PER",VLOOKUP(I2577,QCPER,MATCH(E2577,QCACTUAL!$J$25:$AA$25,0),),IF(H2577="SPK",VLOOKUP(I2577,QCSPK,3,),IF(AND(H2577="ATP",OR(I2577="TP",I2577="TDP")),VLOOKUP(E2577,QCATP_P,2,),""))))))))</f>
        <v/>
      </c>
      <c r="W2577" s="31" t="str">
        <f t="shared" si="295"/>
        <v>TRUE</v>
      </c>
      <c r="X2577" s="31" t="str">
        <f t="shared" si="292"/>
        <v/>
      </c>
      <c r="Y2577" s="10" t="s">
        <v>1178</v>
      </c>
      <c r="Z2577" s="10" t="s">
        <v>910</v>
      </c>
      <c r="AF2577" s="12">
        <v>44967</v>
      </c>
      <c r="AJ2577" s="10">
        <f>-1.3255*8.83^2+193.01*8.83-127.15</f>
        <v>1473.7805230499998</v>
      </c>
      <c r="AK2577" s="10">
        <f>-0.215*8.83^2+181.97*8.83-117.15</f>
        <v>1472.8817864999999</v>
      </c>
      <c r="AL2577" s="10" t="str">
        <f t="shared" si="290"/>
        <v>FALSE</v>
      </c>
      <c r="AM2577" s="10" t="str">
        <f t="shared" si="290"/>
        <v>FALSE</v>
      </c>
      <c r="AN2577" s="10" t="str">
        <f t="shared" si="290"/>
        <v>FALSE</v>
      </c>
      <c r="AO2577" s="10" t="str">
        <f t="shared" si="291"/>
        <v>y=-1.3255*8.83^2+193.01*8.83-127.15</v>
      </c>
      <c r="AP2577" s="10" t="str">
        <f t="shared" si="291"/>
        <v>y=-0.215*8.83^2+181.97*8.83-117.15</v>
      </c>
      <c r="AQ2577" s="10" t="b">
        <f>IF(AND(I2577="TP",S2577&lt;=150),VLOOKUP(AF2577,TPCalibEq150!$AZ$2:$BB$55,3,),IF(AND(I2577="TDP",S2577&lt;=150),VLOOKUP(AF2577,TPCalibEq150!$AZ$2:$BB$55,3,)))</f>
        <v>0</v>
      </c>
      <c r="AR2577" s="10" t="b">
        <f>IF(AND(I2577="TP",S2577&lt;=300),VLOOKUP(AF2577,TPCalibEq300!$AZ$2:$BB$55,3,),IF(AND(I2577="TDP",S2577&lt;=300),VLOOKUP(AF2577,TPCalibEq300!$AZ$2:$BB$55,3,)))</f>
        <v>0</v>
      </c>
      <c r="AS2577" s="10" t="b">
        <f>IF(AND(I2577="TP",S2577&lt;=500),VLOOKUP(AF2577,TPCalibEq500!$AZ$2:$BB$56,3,),IF(AND(I2577="TDP",S2577&lt;=500),VLOOKUP(AF2577,TPCalibEq500!$AZ$2:$BB$56,3,)))</f>
        <v>0</v>
      </c>
      <c r="AT2577" s="10" t="str">
        <f>IF(AND(I2577="TN",S2577&lt;=2800),VLOOKUP(AF2577,TNCalibEq2500!$AZ$2:$BB$56,3,),IF(AND(I2577="TDN",S2577&lt;=2800),VLOOKUP(AF2577,TNCalibEq2500!$AZ$2:$BB$56,3,)))</f>
        <v>y=-1.3255x2+193.01x-127.15</v>
      </c>
      <c r="AU2577" s="10" t="str">
        <f>IF(I2577="TP",VLOOKUP(AF2577,TPCalibEqFull!$AZ$2:$BB$56,3),IF(I2577="TDP",VLOOKUP(AF2577,TPCalibEqFull!$AZ$2:$BB$56,3),IF(I2577="TDN",VLOOKUP(AF2577,TNCalibEqFull!$AZ$1:$BB$56,3),IF(I2577="TN",VLOOKUP(AF2577,TNCalibEqFull!$AZ$1:$BB$56,3),FALSE))))</f>
        <v>y=-0.215x2+181.97x-117.15</v>
      </c>
      <c r="AV2577" s="10" t="str">
        <f t="shared" si="296"/>
        <v>0203 10:51:00-EFK-0-C-1-SW-UKN</v>
      </c>
    </row>
    <row r="2578" spans="1:48" s="10" customFormat="1" x14ac:dyDescent="0.55000000000000004">
      <c r="A2578" s="32">
        <v>44960</v>
      </c>
      <c r="B2578" s="33">
        <v>0.45416666666666666</v>
      </c>
      <c r="C2578" s="10" t="s">
        <v>333</v>
      </c>
      <c r="D2578" s="10">
        <v>0</v>
      </c>
      <c r="E2578" s="10" t="s">
        <v>190</v>
      </c>
      <c r="F2578" s="10">
        <v>1</v>
      </c>
      <c r="G2578" s="10" t="s">
        <v>231</v>
      </c>
      <c r="H2578" s="10" t="s">
        <v>322</v>
      </c>
      <c r="I2578" s="10" t="s">
        <v>235</v>
      </c>
      <c r="J2578" s="10">
        <v>6</v>
      </c>
      <c r="K2578" s="12">
        <v>44967</v>
      </c>
      <c r="L2578" s="33">
        <v>0.41054398148148147</v>
      </c>
      <c r="M2578" s="10">
        <v>1</v>
      </c>
      <c r="N2578" s="10" t="s">
        <v>196</v>
      </c>
      <c r="O2578" s="10">
        <v>5.49</v>
      </c>
      <c r="P2578" s="10">
        <v>0.26700000000000002</v>
      </c>
      <c r="Q2578" s="10">
        <v>865</v>
      </c>
      <c r="R2578" s="10" t="s">
        <v>170</v>
      </c>
      <c r="S2578" s="34">
        <f t="shared" si="293"/>
        <v>892.52419745000009</v>
      </c>
      <c r="T2578" s="10" t="s">
        <v>1185</v>
      </c>
      <c r="U2578" s="34" t="str">
        <f t="shared" si="294"/>
        <v/>
      </c>
      <c r="V2578" s="31" t="str">
        <f>IF(H2578="CHK",VLOOKUP(I2578,QCCHK,3,),IF(H2578="GUP",VLOOKUP(E2578,QCGUP,2,),IF(AND(H2578="ATP",OR(I2578="TN",I2578="TDN",I2578="TNO2-3",I2578="NO2-3")),VLOOKUP(E2578,QCREC_N,2,),IF(AND(H2578="NIC",OR(I2578="TN",I2578="TDN",I2578="TNO2-3",I2578="NO2-3")),VLOOKUP(E2578,QCNIC_N,2,),IF(AND(H2578="UREA",OR(I2578="TN",I2578="TDN",I2578="TNO2-3",I2578="NO2-3")),VLOOKUP(E2578,QCUREA_N,2,),IF(H2578="PER",VLOOKUP(I2578,QCPER,MATCH(E2578,QCACTUAL!$J$25:$AA$25,0),),IF(H2578="SPK",VLOOKUP(I2578,QCSPK,3,),IF(AND(H2578="ATP",OR(I2578="TP",I2578="TDP")),VLOOKUP(E2578,QCATP_P,2,),""))))))))</f>
        <v/>
      </c>
      <c r="W2578" s="31" t="str">
        <f t="shared" si="295"/>
        <v>TRUE</v>
      </c>
      <c r="X2578" s="31" t="str">
        <f t="shared" si="292"/>
        <v/>
      </c>
      <c r="Y2578" s="10" t="s">
        <v>1178</v>
      </c>
      <c r="Z2578" s="10" t="s">
        <v>910</v>
      </c>
      <c r="AF2578" s="12">
        <v>44967</v>
      </c>
      <c r="AJ2578" s="10">
        <f>-1.3255*5.49^2+193.01*5.49-127.15</f>
        <v>892.52419745000009</v>
      </c>
      <c r="AK2578" s="10">
        <f>-0.215*5.49^2+181.97*5.49-117.15</f>
        <v>875.38517850000005</v>
      </c>
      <c r="AL2578" s="10" t="str">
        <f t="shared" si="290"/>
        <v>FALSE</v>
      </c>
      <c r="AM2578" s="10" t="str">
        <f t="shared" si="290"/>
        <v>FALSE</v>
      </c>
      <c r="AN2578" s="10" t="str">
        <f t="shared" si="290"/>
        <v>FALSE</v>
      </c>
      <c r="AO2578" s="10" t="str">
        <f t="shared" si="291"/>
        <v>y=-1.3255*5.49^2+193.01*5.49-127.15</v>
      </c>
      <c r="AP2578" s="10" t="str">
        <f t="shared" si="291"/>
        <v>y=-0.215*5.49^2+181.97*5.49-117.15</v>
      </c>
      <c r="AQ2578" s="10" t="b">
        <f>IF(AND(I2578="TP",S2578&lt;=150),VLOOKUP(AF2578,TPCalibEq150!$AZ$2:$BB$55,3,),IF(AND(I2578="TDP",S2578&lt;=150),VLOOKUP(AF2578,TPCalibEq150!$AZ$2:$BB$55,3,)))</f>
        <v>0</v>
      </c>
      <c r="AR2578" s="10" t="b">
        <f>IF(AND(I2578="TP",S2578&lt;=300),VLOOKUP(AF2578,TPCalibEq300!$AZ$2:$BB$55,3,),IF(AND(I2578="TDP",S2578&lt;=300),VLOOKUP(AF2578,TPCalibEq300!$AZ$2:$BB$55,3,)))</f>
        <v>0</v>
      </c>
      <c r="AS2578" s="10" t="b">
        <f>IF(AND(I2578="TP",S2578&lt;=500),VLOOKUP(AF2578,TPCalibEq500!$AZ$2:$BB$56,3,),IF(AND(I2578="TDP",S2578&lt;=500),VLOOKUP(AF2578,TPCalibEq500!$AZ$2:$BB$56,3,)))</f>
        <v>0</v>
      </c>
      <c r="AT2578" s="10" t="str">
        <f>IF(AND(I2578="TN",S2578&lt;=2800),VLOOKUP(AF2578,TNCalibEq2500!$AZ$2:$BB$56,3,),IF(AND(I2578="TDN",S2578&lt;=2800),VLOOKUP(AF2578,TNCalibEq2500!$AZ$2:$BB$56,3,)))</f>
        <v>y=-1.3255x2+193.01x-127.15</v>
      </c>
      <c r="AU2578" s="10" t="str">
        <f>IF(I2578="TP",VLOOKUP(AF2578,TPCalibEqFull!$AZ$2:$BB$56,3),IF(I2578="TDP",VLOOKUP(AF2578,TPCalibEqFull!$AZ$2:$BB$56,3),IF(I2578="TDN",VLOOKUP(AF2578,TNCalibEqFull!$AZ$1:$BB$56,3),IF(I2578="TN",VLOOKUP(AF2578,TNCalibEqFull!$AZ$1:$BB$56,3),FALSE))))</f>
        <v>y=-0.215x2+181.97x-117.15</v>
      </c>
      <c r="AV2578" s="10" t="str">
        <f t="shared" si="296"/>
        <v>0203 10:54:00-HST-0-C-1-SW-UKN</v>
      </c>
    </row>
    <row r="2579" spans="1:48" s="10" customFormat="1" x14ac:dyDescent="0.55000000000000004">
      <c r="A2579" s="32">
        <v>44963</v>
      </c>
      <c r="B2579" s="33">
        <v>0.31666666666666665</v>
      </c>
      <c r="C2579" s="10" t="s">
        <v>279</v>
      </c>
      <c r="D2579" s="10">
        <v>0</v>
      </c>
      <c r="E2579" s="10" t="s">
        <v>190</v>
      </c>
      <c r="F2579" s="10">
        <v>1</v>
      </c>
      <c r="G2579" s="10" t="s">
        <v>231</v>
      </c>
      <c r="H2579" s="10" t="s">
        <v>322</v>
      </c>
      <c r="I2579" s="10" t="s">
        <v>235</v>
      </c>
      <c r="J2579" s="10">
        <v>7</v>
      </c>
      <c r="K2579" s="12">
        <v>44967</v>
      </c>
      <c r="L2579" s="33">
        <v>0.41121527777777778</v>
      </c>
      <c r="M2579" s="10">
        <v>1</v>
      </c>
      <c r="N2579" s="10" t="s">
        <v>196</v>
      </c>
      <c r="O2579" s="10">
        <v>8.01</v>
      </c>
      <c r="P2579" s="10">
        <v>0.39</v>
      </c>
      <c r="Q2579" s="10">
        <v>1310</v>
      </c>
      <c r="R2579" s="10" t="s">
        <v>170</v>
      </c>
      <c r="S2579" s="34">
        <f t="shared" si="293"/>
        <v>1333.81588745</v>
      </c>
      <c r="T2579" s="10" t="s">
        <v>1185</v>
      </c>
      <c r="U2579" s="34" t="str">
        <f t="shared" si="294"/>
        <v/>
      </c>
      <c r="V2579" s="31" t="str">
        <f>IF(H2579="CHK",VLOOKUP(I2579,QCCHK,3,),IF(H2579="GUP",VLOOKUP(E2579,QCGUP,2,),IF(AND(H2579="ATP",OR(I2579="TN",I2579="TDN",I2579="TNO2-3",I2579="NO2-3")),VLOOKUP(E2579,QCREC_N,2,),IF(AND(H2579="NIC",OR(I2579="TN",I2579="TDN",I2579="TNO2-3",I2579="NO2-3")),VLOOKUP(E2579,QCNIC_N,2,),IF(AND(H2579="UREA",OR(I2579="TN",I2579="TDN",I2579="TNO2-3",I2579="NO2-3")),VLOOKUP(E2579,QCUREA_N,2,),IF(H2579="PER",VLOOKUP(I2579,QCPER,MATCH(E2579,QCACTUAL!$J$25:$AA$25,0),),IF(H2579="SPK",VLOOKUP(I2579,QCSPK,3,),IF(AND(H2579="ATP",OR(I2579="TP",I2579="TDP")),VLOOKUP(E2579,QCATP_P,2,),""))))))))</f>
        <v/>
      </c>
      <c r="W2579" s="31" t="str">
        <f t="shared" si="295"/>
        <v>TRUE</v>
      </c>
      <c r="X2579" s="31" t="str">
        <f t="shared" si="292"/>
        <v/>
      </c>
      <c r="Y2579" s="10" t="s">
        <v>1178</v>
      </c>
      <c r="Z2579" s="10" t="s">
        <v>910</v>
      </c>
      <c r="AF2579" s="12">
        <v>44967</v>
      </c>
      <c r="AJ2579" s="10">
        <f>-1.3255*8.01^2+193.01*8.01-127.15</f>
        <v>1333.81588745</v>
      </c>
      <c r="AK2579" s="10">
        <f>-0.215*8.01^2+181.97*8.01-117.15</f>
        <v>1326.6352784999999</v>
      </c>
      <c r="AL2579" s="10" t="str">
        <f t="shared" si="290"/>
        <v>FALSE</v>
      </c>
      <c r="AM2579" s="10" t="str">
        <f t="shared" si="290"/>
        <v>FALSE</v>
      </c>
      <c r="AN2579" s="10" t="str">
        <f t="shared" si="290"/>
        <v>FALSE</v>
      </c>
      <c r="AO2579" s="10" t="str">
        <f t="shared" si="291"/>
        <v>y=-1.3255*8.01^2+193.01*8.01-127.15</v>
      </c>
      <c r="AP2579" s="10" t="str">
        <f t="shared" si="291"/>
        <v>y=-0.215*8.01^2+181.97*8.01-117.15</v>
      </c>
      <c r="AQ2579" s="10" t="b">
        <f>IF(AND(I2579="TP",S2579&lt;=150),VLOOKUP(AF2579,TPCalibEq150!$AZ$2:$BB$55,3,),IF(AND(I2579="TDP",S2579&lt;=150),VLOOKUP(AF2579,TPCalibEq150!$AZ$2:$BB$55,3,)))</f>
        <v>0</v>
      </c>
      <c r="AR2579" s="10" t="b">
        <f>IF(AND(I2579="TP",S2579&lt;=300),VLOOKUP(AF2579,TPCalibEq300!$AZ$2:$BB$55,3,),IF(AND(I2579="TDP",S2579&lt;=300),VLOOKUP(AF2579,TPCalibEq300!$AZ$2:$BB$55,3,)))</f>
        <v>0</v>
      </c>
      <c r="AS2579" s="10" t="b">
        <f>IF(AND(I2579="TP",S2579&lt;=500),VLOOKUP(AF2579,TPCalibEq500!$AZ$2:$BB$56,3,),IF(AND(I2579="TDP",S2579&lt;=500),VLOOKUP(AF2579,TPCalibEq500!$AZ$2:$BB$56,3,)))</f>
        <v>0</v>
      </c>
      <c r="AT2579" s="10" t="str">
        <f>IF(AND(I2579="TN",S2579&lt;=2800),VLOOKUP(AF2579,TNCalibEq2500!$AZ$2:$BB$56,3,),IF(AND(I2579="TDN",S2579&lt;=2800),VLOOKUP(AF2579,TNCalibEq2500!$AZ$2:$BB$56,3,)))</f>
        <v>y=-1.3255x2+193.01x-127.15</v>
      </c>
      <c r="AU2579" s="10" t="str">
        <f>IF(I2579="TP",VLOOKUP(AF2579,TPCalibEqFull!$AZ$2:$BB$56,3),IF(I2579="TDP",VLOOKUP(AF2579,TPCalibEqFull!$AZ$2:$BB$56,3),IF(I2579="TDN",VLOOKUP(AF2579,TNCalibEqFull!$AZ$1:$BB$56,3),IF(I2579="TN",VLOOKUP(AF2579,TNCalibEqFull!$AZ$1:$BB$56,3),FALSE))))</f>
        <v>y=-0.215x2+181.97x-117.15</v>
      </c>
      <c r="AV2579" s="10" t="str">
        <f t="shared" si="296"/>
        <v>0206 07:36:00-EFK-0-C-1-SW-UKN</v>
      </c>
    </row>
    <row r="2580" spans="1:48" s="10" customFormat="1" x14ac:dyDescent="0.55000000000000004">
      <c r="A2580" s="32">
        <v>44963</v>
      </c>
      <c r="B2580" s="33">
        <v>0.27986111111111112</v>
      </c>
      <c r="C2580" s="10" t="s">
        <v>333</v>
      </c>
      <c r="D2580" s="10">
        <v>0</v>
      </c>
      <c r="E2580" s="10" t="s">
        <v>190</v>
      </c>
      <c r="F2580" s="10">
        <v>1</v>
      </c>
      <c r="G2580" s="10" t="s">
        <v>231</v>
      </c>
      <c r="H2580" s="10" t="s">
        <v>322</v>
      </c>
      <c r="I2580" s="10" t="s">
        <v>235</v>
      </c>
      <c r="J2580" s="10">
        <v>8</v>
      </c>
      <c r="K2580" s="12">
        <v>44967</v>
      </c>
      <c r="L2580" s="33">
        <v>0.41188657407407409</v>
      </c>
      <c r="M2580" s="10">
        <v>1</v>
      </c>
      <c r="N2580" s="10" t="s">
        <v>196</v>
      </c>
      <c r="O2580" s="10">
        <v>6.15</v>
      </c>
      <c r="P2580" s="10">
        <v>0.3</v>
      </c>
      <c r="Q2580" s="10">
        <v>981</v>
      </c>
      <c r="R2580" s="10" t="s">
        <v>170</v>
      </c>
      <c r="S2580" s="34">
        <f t="shared" si="293"/>
        <v>1009.7277762500001</v>
      </c>
      <c r="T2580" s="10" t="s">
        <v>1185</v>
      </c>
      <c r="U2580" s="34" t="str">
        <f t="shared" si="294"/>
        <v/>
      </c>
      <c r="V2580" s="31" t="str">
        <f>IF(H2580="CHK",VLOOKUP(I2580,QCCHK,3,),IF(H2580="GUP",VLOOKUP(E2580,QCGUP,2,),IF(AND(H2580="ATP",OR(I2580="TN",I2580="TDN",I2580="TNO2-3",I2580="NO2-3")),VLOOKUP(E2580,QCREC_N,2,),IF(AND(H2580="NIC",OR(I2580="TN",I2580="TDN",I2580="TNO2-3",I2580="NO2-3")),VLOOKUP(E2580,QCNIC_N,2,),IF(AND(H2580="UREA",OR(I2580="TN",I2580="TDN",I2580="TNO2-3",I2580="NO2-3")),VLOOKUP(E2580,QCUREA_N,2,),IF(H2580="PER",VLOOKUP(I2580,QCPER,MATCH(E2580,QCACTUAL!$J$25:$AA$25,0),),IF(H2580="SPK",VLOOKUP(I2580,QCSPK,3,),IF(AND(H2580="ATP",OR(I2580="TP",I2580="TDP")),VLOOKUP(E2580,QCATP_P,2,),""))))))))</f>
        <v/>
      </c>
      <c r="W2580" s="31" t="str">
        <f t="shared" si="295"/>
        <v>TRUE</v>
      </c>
      <c r="X2580" s="31" t="str">
        <f t="shared" si="292"/>
        <v/>
      </c>
      <c r="Y2580" s="10" t="s">
        <v>1178</v>
      </c>
      <c r="Z2580" s="10" t="s">
        <v>910</v>
      </c>
      <c r="AF2580" s="12">
        <v>44967</v>
      </c>
      <c r="AJ2580" s="10">
        <f>-1.3255*6.15^2+193.01*6.15-127.15</f>
        <v>1009.7277762500001</v>
      </c>
      <c r="AK2580" s="10">
        <f>-0.215*6.15^2+181.97*6.15-117.15</f>
        <v>993.83366250000006</v>
      </c>
      <c r="AL2580" s="10" t="str">
        <f t="shared" si="290"/>
        <v>FALSE</v>
      </c>
      <c r="AM2580" s="10" t="str">
        <f t="shared" si="290"/>
        <v>FALSE</v>
      </c>
      <c r="AN2580" s="10" t="str">
        <f t="shared" si="290"/>
        <v>FALSE</v>
      </c>
      <c r="AO2580" s="10" t="str">
        <f t="shared" si="291"/>
        <v>y=-1.3255*6.15^2+193.01*6.15-127.15</v>
      </c>
      <c r="AP2580" s="10" t="str">
        <f t="shared" si="291"/>
        <v>y=-0.215*6.15^2+181.97*6.15-117.15</v>
      </c>
      <c r="AQ2580" s="10" t="b">
        <f>IF(AND(I2580="TP",S2580&lt;=150),VLOOKUP(AF2580,TPCalibEq150!$AZ$2:$BB$55,3,),IF(AND(I2580="TDP",S2580&lt;=150),VLOOKUP(AF2580,TPCalibEq150!$AZ$2:$BB$55,3,)))</f>
        <v>0</v>
      </c>
      <c r="AR2580" s="10" t="b">
        <f>IF(AND(I2580="TP",S2580&lt;=300),VLOOKUP(AF2580,TPCalibEq300!$AZ$2:$BB$55,3,),IF(AND(I2580="TDP",S2580&lt;=300),VLOOKUP(AF2580,TPCalibEq300!$AZ$2:$BB$55,3,)))</f>
        <v>0</v>
      </c>
      <c r="AS2580" s="10" t="b">
        <f>IF(AND(I2580="TP",S2580&lt;=500),VLOOKUP(AF2580,TPCalibEq500!$AZ$2:$BB$56,3,),IF(AND(I2580="TDP",S2580&lt;=500),VLOOKUP(AF2580,TPCalibEq500!$AZ$2:$BB$56,3,)))</f>
        <v>0</v>
      </c>
      <c r="AT2580" s="10" t="str">
        <f>IF(AND(I2580="TN",S2580&lt;=2800),VLOOKUP(AF2580,TNCalibEq2500!$AZ$2:$BB$56,3,),IF(AND(I2580="TDN",S2580&lt;=2800),VLOOKUP(AF2580,TNCalibEq2500!$AZ$2:$BB$56,3,)))</f>
        <v>y=-1.3255x2+193.01x-127.15</v>
      </c>
      <c r="AU2580" s="10" t="str">
        <f>IF(I2580="TP",VLOOKUP(AF2580,TPCalibEqFull!$AZ$2:$BB$56,3),IF(I2580="TDP",VLOOKUP(AF2580,TPCalibEqFull!$AZ$2:$BB$56,3),IF(I2580="TDN",VLOOKUP(AF2580,TNCalibEqFull!$AZ$1:$BB$56,3),IF(I2580="TN",VLOOKUP(AF2580,TNCalibEqFull!$AZ$1:$BB$56,3),FALSE))))</f>
        <v>y=-0.215x2+181.97x-117.15</v>
      </c>
      <c r="AV2580" s="10" t="str">
        <f t="shared" si="296"/>
        <v>0206 06:43:00-HST-0-C-1-SW-UKN</v>
      </c>
    </row>
    <row r="2581" spans="1:48" s="10" customFormat="1" x14ac:dyDescent="0.55000000000000004">
      <c r="A2581" s="32">
        <v>44964</v>
      </c>
      <c r="B2581" s="33">
        <v>0.22291666666666665</v>
      </c>
      <c r="C2581" s="10" t="s">
        <v>279</v>
      </c>
      <c r="D2581" s="10">
        <v>0</v>
      </c>
      <c r="E2581" s="10" t="s">
        <v>190</v>
      </c>
      <c r="F2581" s="10">
        <v>1</v>
      </c>
      <c r="G2581" s="10" t="s">
        <v>231</v>
      </c>
      <c r="H2581" s="10" t="s">
        <v>322</v>
      </c>
      <c r="I2581" s="10" t="s">
        <v>235</v>
      </c>
      <c r="J2581" s="10">
        <v>9</v>
      </c>
      <c r="K2581" s="12">
        <v>44967</v>
      </c>
      <c r="L2581" s="33">
        <v>0.4125462962962963</v>
      </c>
      <c r="M2581" s="10">
        <v>1</v>
      </c>
      <c r="N2581" s="10" t="s">
        <v>196</v>
      </c>
      <c r="O2581" s="10">
        <v>7.48</v>
      </c>
      <c r="P2581" s="10">
        <v>0.36499999999999999</v>
      </c>
      <c r="Q2581" s="10">
        <v>1220</v>
      </c>
      <c r="R2581" s="10" t="s">
        <v>170</v>
      </c>
      <c r="S2581" s="34">
        <f t="shared" si="293"/>
        <v>1242.4025447999998</v>
      </c>
      <c r="T2581" s="10" t="s">
        <v>1185</v>
      </c>
      <c r="U2581" s="34" t="str">
        <f t="shared" si="294"/>
        <v/>
      </c>
      <c r="V2581" s="31" t="str">
        <f>IF(H2581="CHK",VLOOKUP(I2581,QCCHK,3,),IF(H2581="GUP",VLOOKUP(E2581,QCGUP,2,),IF(AND(H2581="ATP",OR(I2581="TN",I2581="TDN",I2581="TNO2-3",I2581="NO2-3")),VLOOKUP(E2581,QCREC_N,2,),IF(AND(H2581="NIC",OR(I2581="TN",I2581="TDN",I2581="TNO2-3",I2581="NO2-3")),VLOOKUP(E2581,QCNIC_N,2,),IF(AND(H2581="UREA",OR(I2581="TN",I2581="TDN",I2581="TNO2-3",I2581="NO2-3")),VLOOKUP(E2581,QCUREA_N,2,),IF(H2581="PER",VLOOKUP(I2581,QCPER,MATCH(E2581,QCACTUAL!$J$25:$AA$25,0),),IF(H2581="SPK",VLOOKUP(I2581,QCSPK,3,),IF(AND(H2581="ATP",OR(I2581="TP",I2581="TDP")),VLOOKUP(E2581,QCATP_P,2,),""))))))))</f>
        <v/>
      </c>
      <c r="W2581" s="31" t="str">
        <f t="shared" si="295"/>
        <v>TRUE</v>
      </c>
      <c r="X2581" s="31" t="str">
        <f t="shared" si="292"/>
        <v/>
      </c>
      <c r="Y2581" s="10" t="s">
        <v>1178</v>
      </c>
      <c r="Z2581" s="10" t="s">
        <v>910</v>
      </c>
      <c r="AF2581" s="12">
        <v>44967</v>
      </c>
      <c r="AJ2581" s="10">
        <f>-1.3255*7.48^2+193.01*7.48-127.15</f>
        <v>1242.4025447999998</v>
      </c>
      <c r="AK2581" s="10">
        <f>-0.215*7.48^2+181.97*7.48-117.15</f>
        <v>1231.9562639999999</v>
      </c>
      <c r="AL2581" s="10" t="str">
        <f t="shared" si="290"/>
        <v>FALSE</v>
      </c>
      <c r="AM2581" s="10" t="str">
        <f t="shared" si="290"/>
        <v>FALSE</v>
      </c>
      <c r="AN2581" s="10" t="str">
        <f t="shared" si="290"/>
        <v>FALSE</v>
      </c>
      <c r="AO2581" s="10" t="str">
        <f t="shared" si="291"/>
        <v>y=-1.3255*7.48^2+193.01*7.48-127.15</v>
      </c>
      <c r="AP2581" s="10" t="str">
        <f t="shared" si="291"/>
        <v>y=-0.215*7.48^2+181.97*7.48-117.15</v>
      </c>
      <c r="AQ2581" s="10" t="b">
        <f>IF(AND(I2581="TP",S2581&lt;=150),VLOOKUP(AF2581,TPCalibEq150!$AZ$2:$BB$55,3,),IF(AND(I2581="TDP",S2581&lt;=150),VLOOKUP(AF2581,TPCalibEq150!$AZ$2:$BB$55,3,)))</f>
        <v>0</v>
      </c>
      <c r="AR2581" s="10" t="b">
        <f>IF(AND(I2581="TP",S2581&lt;=300),VLOOKUP(AF2581,TPCalibEq300!$AZ$2:$BB$55,3,),IF(AND(I2581="TDP",S2581&lt;=300),VLOOKUP(AF2581,TPCalibEq300!$AZ$2:$BB$55,3,)))</f>
        <v>0</v>
      </c>
      <c r="AS2581" s="10" t="b">
        <f>IF(AND(I2581="TP",S2581&lt;=500),VLOOKUP(AF2581,TPCalibEq500!$AZ$2:$BB$56,3,),IF(AND(I2581="TDP",S2581&lt;=500),VLOOKUP(AF2581,TPCalibEq500!$AZ$2:$BB$56,3,)))</f>
        <v>0</v>
      </c>
      <c r="AT2581" s="10" t="str">
        <f>IF(AND(I2581="TN",S2581&lt;=2800),VLOOKUP(AF2581,TNCalibEq2500!$AZ$2:$BB$56,3,),IF(AND(I2581="TDN",S2581&lt;=2800),VLOOKUP(AF2581,TNCalibEq2500!$AZ$2:$BB$56,3,)))</f>
        <v>y=-1.3255x2+193.01x-127.15</v>
      </c>
      <c r="AU2581" s="10" t="str">
        <f>IF(I2581="TP",VLOOKUP(AF2581,TPCalibEqFull!$AZ$2:$BB$56,3),IF(I2581="TDP",VLOOKUP(AF2581,TPCalibEqFull!$AZ$2:$BB$56,3),IF(I2581="TDN",VLOOKUP(AF2581,TNCalibEqFull!$AZ$1:$BB$56,3),IF(I2581="TN",VLOOKUP(AF2581,TNCalibEqFull!$AZ$1:$BB$56,3),FALSE))))</f>
        <v>y=-0.215x2+181.97x-117.15</v>
      </c>
      <c r="AV2581" s="10" t="str">
        <f t="shared" si="296"/>
        <v>0207 05:21:00-EFK-0-C-1-SW-UKN</v>
      </c>
    </row>
    <row r="2582" spans="1:48" s="10" customFormat="1" x14ac:dyDescent="0.55000000000000004">
      <c r="A2582" s="32">
        <v>44964</v>
      </c>
      <c r="B2582" s="33">
        <v>0.22777777777777777</v>
      </c>
      <c r="C2582" s="10" t="s">
        <v>333</v>
      </c>
      <c r="D2582" s="10">
        <v>0</v>
      </c>
      <c r="E2582" s="10" t="s">
        <v>190</v>
      </c>
      <c r="F2582" s="10">
        <v>1</v>
      </c>
      <c r="G2582" s="10" t="s">
        <v>231</v>
      </c>
      <c r="H2582" s="10" t="s">
        <v>322</v>
      </c>
      <c r="I2582" s="10" t="s">
        <v>235</v>
      </c>
      <c r="J2582" s="10">
        <v>10</v>
      </c>
      <c r="K2582" s="12">
        <v>44967</v>
      </c>
      <c r="L2582" s="33">
        <v>0.4132291666666667</v>
      </c>
      <c r="M2582" s="10">
        <v>1</v>
      </c>
      <c r="N2582" s="10" t="s">
        <v>196</v>
      </c>
      <c r="O2582" s="10">
        <v>5.67</v>
      </c>
      <c r="P2582" s="10">
        <v>0.27700000000000002</v>
      </c>
      <c r="Q2582" s="10">
        <v>897</v>
      </c>
      <c r="R2582" s="10" t="s">
        <v>170</v>
      </c>
      <c r="S2582" s="34">
        <f t="shared" si="293"/>
        <v>924.60333305000006</v>
      </c>
      <c r="T2582" s="10" t="s">
        <v>1185</v>
      </c>
      <c r="U2582" s="34" t="str">
        <f t="shared" si="294"/>
        <v/>
      </c>
      <c r="V2582" s="31" t="str">
        <f>IF(H2582="CHK",VLOOKUP(I2582,QCCHK,3,),IF(H2582="GUP",VLOOKUP(E2582,QCGUP,2,),IF(AND(H2582="ATP",OR(I2582="TN",I2582="TDN",I2582="TNO2-3",I2582="NO2-3")),VLOOKUP(E2582,QCREC_N,2,),IF(AND(H2582="NIC",OR(I2582="TN",I2582="TDN",I2582="TNO2-3",I2582="NO2-3")),VLOOKUP(E2582,QCNIC_N,2,),IF(AND(H2582="UREA",OR(I2582="TN",I2582="TDN",I2582="TNO2-3",I2582="NO2-3")),VLOOKUP(E2582,QCUREA_N,2,),IF(H2582="PER",VLOOKUP(I2582,QCPER,MATCH(E2582,QCACTUAL!$J$25:$AA$25,0),),IF(H2582="SPK",VLOOKUP(I2582,QCSPK,3,),IF(AND(H2582="ATP",OR(I2582="TP",I2582="TDP")),VLOOKUP(E2582,QCATP_P,2,),""))))))))</f>
        <v/>
      </c>
      <c r="W2582" s="31" t="str">
        <f t="shared" si="295"/>
        <v>TRUE</v>
      </c>
      <c r="X2582" s="31" t="str">
        <f t="shared" si="292"/>
        <v/>
      </c>
      <c r="Y2582" s="10" t="s">
        <v>1178</v>
      </c>
      <c r="Z2582" s="10" t="s">
        <v>910</v>
      </c>
      <c r="AF2582" s="12">
        <v>44967</v>
      </c>
      <c r="AJ2582" s="10">
        <f>-1.3255*5.67^2+193.01*5.67-127.15</f>
        <v>924.60333305000006</v>
      </c>
      <c r="AK2582" s="10">
        <f>-0.215*5.67^2+181.97*5.67-117.15</f>
        <v>907.70788649999997</v>
      </c>
      <c r="AL2582" s="10" t="str">
        <f t="shared" si="290"/>
        <v>FALSE</v>
      </c>
      <c r="AM2582" s="10" t="str">
        <f t="shared" si="290"/>
        <v>FALSE</v>
      </c>
      <c r="AN2582" s="10" t="str">
        <f t="shared" si="290"/>
        <v>FALSE</v>
      </c>
      <c r="AO2582" s="10" t="str">
        <f t="shared" si="291"/>
        <v>y=-1.3255*5.67^2+193.01*5.67-127.15</v>
      </c>
      <c r="AP2582" s="10" t="str">
        <f t="shared" si="291"/>
        <v>y=-0.215*5.67^2+181.97*5.67-117.15</v>
      </c>
      <c r="AQ2582" s="10" t="b">
        <f>IF(AND(I2582="TP",S2582&lt;=150),VLOOKUP(AF2582,TPCalibEq150!$AZ$2:$BB$55,3,),IF(AND(I2582="TDP",S2582&lt;=150),VLOOKUP(AF2582,TPCalibEq150!$AZ$2:$BB$55,3,)))</f>
        <v>0</v>
      </c>
      <c r="AR2582" s="10" t="b">
        <f>IF(AND(I2582="TP",S2582&lt;=300),VLOOKUP(AF2582,TPCalibEq300!$AZ$2:$BB$55,3,),IF(AND(I2582="TDP",S2582&lt;=300),VLOOKUP(AF2582,TPCalibEq300!$AZ$2:$BB$55,3,)))</f>
        <v>0</v>
      </c>
      <c r="AS2582" s="10" t="b">
        <f>IF(AND(I2582="TP",S2582&lt;=500),VLOOKUP(AF2582,TPCalibEq500!$AZ$2:$BB$56,3,),IF(AND(I2582="TDP",S2582&lt;=500),VLOOKUP(AF2582,TPCalibEq500!$AZ$2:$BB$56,3,)))</f>
        <v>0</v>
      </c>
      <c r="AT2582" s="10" t="str">
        <f>IF(AND(I2582="TN",S2582&lt;=2800),VLOOKUP(AF2582,TNCalibEq2500!$AZ$2:$BB$56,3,),IF(AND(I2582="TDN",S2582&lt;=2800),VLOOKUP(AF2582,TNCalibEq2500!$AZ$2:$BB$56,3,)))</f>
        <v>y=-1.3255x2+193.01x-127.15</v>
      </c>
      <c r="AU2582" s="10" t="str">
        <f>IF(I2582="TP",VLOOKUP(AF2582,TPCalibEqFull!$AZ$2:$BB$56,3),IF(I2582="TDP",VLOOKUP(AF2582,TPCalibEqFull!$AZ$2:$BB$56,3),IF(I2582="TDN",VLOOKUP(AF2582,TNCalibEqFull!$AZ$1:$BB$56,3),IF(I2582="TN",VLOOKUP(AF2582,TNCalibEqFull!$AZ$1:$BB$56,3),FALSE))))</f>
        <v>y=-0.215x2+181.97x-117.15</v>
      </c>
      <c r="AV2582" s="10" t="str">
        <f t="shared" si="296"/>
        <v>0207 05:28:00-HST-0-C-1-SW-UKN</v>
      </c>
    </row>
    <row r="2583" spans="1:48" s="10" customFormat="1" x14ac:dyDescent="0.55000000000000004">
      <c r="A2583" s="32">
        <v>44964</v>
      </c>
      <c r="B2583" s="33">
        <v>0.22777777777777777</v>
      </c>
      <c r="C2583" s="10" t="s">
        <v>333</v>
      </c>
      <c r="D2583" s="10">
        <v>0</v>
      </c>
      <c r="E2583" s="10" t="s">
        <v>190</v>
      </c>
      <c r="F2583" s="10">
        <v>1</v>
      </c>
      <c r="G2583" s="10" t="s">
        <v>231</v>
      </c>
      <c r="H2583" s="10" t="s">
        <v>233</v>
      </c>
      <c r="I2583" s="10" t="s">
        <v>235</v>
      </c>
      <c r="J2583" s="10">
        <v>10</v>
      </c>
      <c r="K2583" s="12">
        <v>44967</v>
      </c>
      <c r="L2583" s="33">
        <v>0.41388888888888892</v>
      </c>
      <c r="M2583" s="10">
        <v>1</v>
      </c>
      <c r="N2583" s="10" t="s">
        <v>196</v>
      </c>
      <c r="O2583" s="10">
        <v>5.66</v>
      </c>
      <c r="P2583" s="10">
        <v>0.27700000000000002</v>
      </c>
      <c r="Q2583" s="10">
        <v>895</v>
      </c>
      <c r="R2583" s="10" t="s">
        <v>170</v>
      </c>
      <c r="S2583" s="34">
        <f t="shared" si="293"/>
        <v>922.82341220000001</v>
      </c>
      <c r="T2583" s="10" t="s">
        <v>1185</v>
      </c>
      <c r="U2583" s="34">
        <f t="shared" si="294"/>
        <v>0.19269190018781374</v>
      </c>
      <c r="V2583" s="31" t="str">
        <f>IF(H2583="CHK",VLOOKUP(I2583,QCCHK,3,),IF(H2583="GUP",VLOOKUP(E2583,QCGUP,2,),IF(AND(H2583="ATP",OR(I2583="TN",I2583="TDN",I2583="TNO2-3",I2583="NO2-3")),VLOOKUP(E2583,QCREC_N,2,),IF(AND(H2583="NIC",OR(I2583="TN",I2583="TDN",I2583="TNO2-3",I2583="NO2-3")),VLOOKUP(E2583,QCNIC_N,2,),IF(AND(H2583="UREA",OR(I2583="TN",I2583="TDN",I2583="TNO2-3",I2583="NO2-3")),VLOOKUP(E2583,QCUREA_N,2,),IF(H2583="PER",VLOOKUP(I2583,QCPER,MATCH(E2583,QCACTUAL!$J$25:$AA$25,0),),IF(H2583="SPK",VLOOKUP(I2583,QCSPK,3,),IF(AND(H2583="ATP",OR(I2583="TP",I2583="TDP")),VLOOKUP(E2583,QCATP_P,2,),""))))))))</f>
        <v/>
      </c>
      <c r="W2583" s="31" t="str">
        <f t="shared" si="295"/>
        <v>TRUE</v>
      </c>
      <c r="X2583" s="31" t="str">
        <f t="shared" si="292"/>
        <v>((ABS(rep1-rep2))/((rep1+rep2)/2)*100</v>
      </c>
      <c r="Y2583" s="10" t="s">
        <v>1178</v>
      </c>
      <c r="Z2583" s="10" t="s">
        <v>910</v>
      </c>
      <c r="AF2583" s="12">
        <v>44967</v>
      </c>
      <c r="AJ2583" s="10">
        <f>-1.3255*5.66^2+193.01*5.66-127.15</f>
        <v>922.82341220000001</v>
      </c>
      <c r="AK2583" s="10">
        <f>-0.215*5.66^2+181.97*5.66-117.15</f>
        <v>905.91254600000002</v>
      </c>
      <c r="AL2583" s="10" t="str">
        <f t="shared" si="290"/>
        <v>FALSE</v>
      </c>
      <c r="AM2583" s="10" t="str">
        <f t="shared" si="290"/>
        <v>FALSE</v>
      </c>
      <c r="AN2583" s="10" t="str">
        <f t="shared" si="290"/>
        <v>FALSE</v>
      </c>
      <c r="AO2583" s="10" t="str">
        <f t="shared" si="291"/>
        <v>y=-1.3255*5.66^2+193.01*5.66-127.15</v>
      </c>
      <c r="AP2583" s="10" t="str">
        <f t="shared" si="291"/>
        <v>y=-0.215*5.66^2+181.97*5.66-117.15</v>
      </c>
      <c r="AQ2583" s="10" t="b">
        <f>IF(AND(I2583="TP",S2583&lt;=150),VLOOKUP(AF2583,TPCalibEq150!$AZ$2:$BB$55,3,),IF(AND(I2583="TDP",S2583&lt;=150),VLOOKUP(AF2583,TPCalibEq150!$AZ$2:$BB$55,3,)))</f>
        <v>0</v>
      </c>
      <c r="AR2583" s="10" t="b">
        <f>IF(AND(I2583="TP",S2583&lt;=300),VLOOKUP(AF2583,TPCalibEq300!$AZ$2:$BB$55,3,),IF(AND(I2583="TDP",S2583&lt;=300),VLOOKUP(AF2583,TPCalibEq300!$AZ$2:$BB$55,3,)))</f>
        <v>0</v>
      </c>
      <c r="AS2583" s="10" t="b">
        <f>IF(AND(I2583="TP",S2583&lt;=500),VLOOKUP(AF2583,TPCalibEq500!$AZ$2:$BB$56,3,),IF(AND(I2583="TDP",S2583&lt;=500),VLOOKUP(AF2583,TPCalibEq500!$AZ$2:$BB$56,3,)))</f>
        <v>0</v>
      </c>
      <c r="AT2583" s="10" t="str">
        <f>IF(AND(I2583="TN",S2583&lt;=2800),VLOOKUP(AF2583,TNCalibEq2500!$AZ$2:$BB$56,3,),IF(AND(I2583="TDN",S2583&lt;=2800),VLOOKUP(AF2583,TNCalibEq2500!$AZ$2:$BB$56,3,)))</f>
        <v>y=-1.3255x2+193.01x-127.15</v>
      </c>
      <c r="AU2583" s="10" t="str">
        <f>IF(I2583="TP",VLOOKUP(AF2583,TPCalibEqFull!$AZ$2:$BB$56,3),IF(I2583="TDP",VLOOKUP(AF2583,TPCalibEqFull!$AZ$2:$BB$56,3),IF(I2583="TDN",VLOOKUP(AF2583,TNCalibEqFull!$AZ$1:$BB$56,3),IF(I2583="TN",VLOOKUP(AF2583,TNCalibEqFull!$AZ$1:$BB$56,3),FALSE))))</f>
        <v>y=-0.215x2+181.97x-117.15</v>
      </c>
      <c r="AV2583" s="10" t="str">
        <f t="shared" si="296"/>
        <v>0207 05:28:00-HST-0-C-1-SW-DUP</v>
      </c>
    </row>
    <row r="2584" spans="1:48" s="10" customFormat="1" x14ac:dyDescent="0.55000000000000004">
      <c r="A2584" s="32">
        <v>44964</v>
      </c>
      <c r="B2584" s="33">
        <v>0.22777777777777777</v>
      </c>
      <c r="C2584" s="10" t="s">
        <v>912</v>
      </c>
      <c r="D2584" s="10">
        <v>0</v>
      </c>
      <c r="E2584" s="10" t="s">
        <v>190</v>
      </c>
      <c r="F2584" s="10">
        <v>1</v>
      </c>
      <c r="G2584" s="10" t="s">
        <v>231</v>
      </c>
      <c r="H2584" s="10" t="s">
        <v>314</v>
      </c>
      <c r="I2584" s="10" t="s">
        <v>235</v>
      </c>
      <c r="J2584" s="10">
        <v>119</v>
      </c>
      <c r="K2584" s="12">
        <v>44967</v>
      </c>
      <c r="L2584" s="33">
        <v>0.41454861111111113</v>
      </c>
      <c r="M2584" s="10">
        <v>1</v>
      </c>
      <c r="N2584" s="10" t="s">
        <v>196</v>
      </c>
      <c r="O2584" s="10">
        <v>19.899999999999999</v>
      </c>
      <c r="P2584" s="10">
        <v>0.96799999999999997</v>
      </c>
      <c r="Q2584" s="10">
        <v>3410</v>
      </c>
      <c r="R2584" s="10" t="s">
        <v>170</v>
      </c>
      <c r="S2584" s="34">
        <f t="shared" si="293"/>
        <v>3418.9108499999993</v>
      </c>
      <c r="T2584" s="10" t="s">
        <v>1185</v>
      </c>
      <c r="U2584" s="34">
        <f t="shared" si="294"/>
        <v>99.843497511999985</v>
      </c>
      <c r="V2584" s="31">
        <f>IF(H2584="CHK",VLOOKUP(I2584,QCCHK,3,),IF(H2584="GUP",VLOOKUP(E2584,QCGUP,2,),IF(AND(H2584="ATP",OR(I2584="TN",I2584="TDN",I2584="TNO2-3",I2584="NO2-3")),VLOOKUP(E2584,QCREC_N,2,),IF(AND(H2584="NIC",OR(I2584="TN",I2584="TDN",I2584="TNO2-3",I2584="NO2-3")),VLOOKUP(E2584,QCNIC_N,2,),IF(AND(H2584="UREA",OR(I2584="TN",I2584="TDN",I2584="TNO2-3",I2584="NO2-3")),VLOOKUP(E2584,QCUREA_N,2,),IF(H2584="PER",VLOOKUP(I2584,QCPER,MATCH(E2584,QCACTUAL!$J$25:$AA$25,0),),IF(H2584="SPK",VLOOKUP(I2584,QCSPK,3,),IF(AND(H2584="ATP",OR(I2584="TP",I2584="TDP")),VLOOKUP(E2584,QCATP_P,2,),""))))))))</f>
        <v>2500</v>
      </c>
      <c r="W2584" s="31" t="str">
        <f t="shared" si="295"/>
        <v>TRUE</v>
      </c>
      <c r="X2584" s="31" t="str">
        <f t="shared" si="292"/>
        <v>([spikedunkn]-[unkn])/[spike]*100</v>
      </c>
      <c r="Y2584" s="10" t="s">
        <v>1178</v>
      </c>
      <c r="Z2584" s="10" t="s">
        <v>910</v>
      </c>
      <c r="AF2584" s="12">
        <v>44967</v>
      </c>
      <c r="AK2584" s="10">
        <f>-0.215*19.9^2+181.97*19.9-117.15</f>
        <v>3418.9108499999993</v>
      </c>
      <c r="AL2584" s="10" t="str">
        <f t="shared" si="290"/>
        <v>FALSE</v>
      </c>
      <c r="AM2584" s="10" t="str">
        <f t="shared" si="290"/>
        <v>FALSE</v>
      </c>
      <c r="AN2584" s="10" t="str">
        <f t="shared" si="290"/>
        <v>FALSE</v>
      </c>
      <c r="AO2584" s="10" t="str">
        <f t="shared" si="291"/>
        <v>FALSE</v>
      </c>
      <c r="AP2584" s="10" t="str">
        <f t="shared" si="291"/>
        <v>y=-0.215*19.9^2+181.97*19.9-117.15</v>
      </c>
      <c r="AQ2584" s="10" t="b">
        <f>IF(AND(I2584="TP",S2584&lt;=150),VLOOKUP(AF2584,TPCalibEq150!$AZ$2:$BB$55,3,),IF(AND(I2584="TDP",S2584&lt;=150),VLOOKUP(AF2584,TPCalibEq150!$AZ$2:$BB$55,3,)))</f>
        <v>0</v>
      </c>
      <c r="AR2584" s="10" t="b">
        <f>IF(AND(I2584="TP",S2584&lt;=300),VLOOKUP(AF2584,TPCalibEq300!$AZ$2:$BB$55,3,),IF(AND(I2584="TDP",S2584&lt;=300),VLOOKUP(AF2584,TPCalibEq300!$AZ$2:$BB$55,3,)))</f>
        <v>0</v>
      </c>
      <c r="AS2584" s="10" t="b">
        <f>IF(AND(I2584="TP",S2584&lt;=500),VLOOKUP(AF2584,TPCalibEq500!$AZ$2:$BB$56,3,),IF(AND(I2584="TDP",S2584&lt;=500),VLOOKUP(AF2584,TPCalibEq500!$AZ$2:$BB$56,3,)))</f>
        <v>0</v>
      </c>
      <c r="AT2584" s="10" t="b">
        <f>IF(AND(I2584="TN",S2584&lt;=2800),VLOOKUP(AF2584,TNCalibEq2500!$AZ$2:$BB$56,3,),IF(AND(I2584="TDN",S2584&lt;=2800),VLOOKUP(AF2584,TNCalibEq2500!$AZ$2:$BB$56,3,)))</f>
        <v>0</v>
      </c>
      <c r="AU2584" s="10" t="str">
        <f>IF(I2584="TP",VLOOKUP(AF2584,TPCalibEqFull!$AZ$2:$BB$56,3),IF(I2584="TDP",VLOOKUP(AF2584,TPCalibEqFull!$AZ$2:$BB$56,3),IF(I2584="TDN",VLOOKUP(AF2584,TNCalibEqFull!$AZ$1:$BB$56,3),IF(I2584="TN",VLOOKUP(AF2584,TNCalibEqFull!$AZ$1:$BB$56,3),FALSE))))</f>
        <v>y=-0.215x2+181.97x-117.15</v>
      </c>
      <c r="AV2584" s="10" t="str">
        <f t="shared" si="296"/>
        <v>0207 05:28:00-HST -0-C-1-SW-SPK</v>
      </c>
    </row>
    <row r="2585" spans="1:48" s="10" customFormat="1" x14ac:dyDescent="0.55000000000000004">
      <c r="A2585" s="32">
        <v>44966</v>
      </c>
      <c r="B2585" s="33">
        <v>0.375</v>
      </c>
      <c r="C2585" s="10" t="s">
        <v>70</v>
      </c>
      <c r="D2585" s="10" t="s">
        <v>71</v>
      </c>
      <c r="E2585" s="10" t="s">
        <v>901</v>
      </c>
      <c r="F2585" s="10">
        <v>1</v>
      </c>
      <c r="G2585" s="10" t="s">
        <v>73</v>
      </c>
      <c r="H2585" s="10" t="s">
        <v>207</v>
      </c>
      <c r="I2585" s="10" t="s">
        <v>235</v>
      </c>
      <c r="J2585" s="10">
        <v>199</v>
      </c>
      <c r="K2585" s="12">
        <v>44967</v>
      </c>
      <c r="L2585" s="33">
        <v>0.41523148148148148</v>
      </c>
      <c r="M2585" s="10">
        <v>1</v>
      </c>
      <c r="N2585" s="10" t="s">
        <v>196</v>
      </c>
      <c r="O2585" s="10">
        <v>7.33</v>
      </c>
      <c r="P2585" s="10">
        <v>0.36099999999999999</v>
      </c>
      <c r="Q2585" s="10">
        <v>1190</v>
      </c>
      <c r="R2585" s="10" t="s">
        <v>170</v>
      </c>
      <c r="S2585" s="34">
        <f t="shared" si="293"/>
        <v>1216.3956430499998</v>
      </c>
      <c r="T2585" s="10" t="s">
        <v>1185</v>
      </c>
      <c r="U2585" s="34">
        <f t="shared" si="294"/>
        <v>97.311651443999978</v>
      </c>
      <c r="V2585" s="31">
        <f>IF(H2585="CHK",VLOOKUP(I2585,QCCHK,3,),IF(H2585="GUP",VLOOKUP(E2585,QCGUP,2,),IF(AND(H2585="ATP",OR(I2585="TN",I2585="TDN",I2585="TNO2-3",I2585="NO2-3")),VLOOKUP(E2585,QCREC_N,2,),IF(AND(H2585="NIC",OR(I2585="TN",I2585="TDN",I2585="TNO2-3",I2585="NO2-3")),VLOOKUP(E2585,QCNIC_N,2,),IF(AND(H2585="UREA",OR(I2585="TN",I2585="TDN",I2585="TNO2-3",I2585="NO2-3")),VLOOKUP(E2585,QCUREA_N,2,),IF(H2585="PER",VLOOKUP(I2585,QCPER,MATCH(E2585,QCACTUAL!$J$25:$AA$25,0),),IF(H2585="SPK",VLOOKUP(I2585,QCSPK,3,),IF(AND(H2585="ATP",OR(I2585="TP",I2585="TDP")),VLOOKUP(E2585,QCATP_P,2,),""))))))))</f>
        <v>1250</v>
      </c>
      <c r="W2585" s="31" t="str">
        <f t="shared" si="295"/>
        <v>TRUE</v>
      </c>
      <c r="X2585" s="31" t="str">
        <f t="shared" si="292"/>
        <v>[chk]/[actual]*100</v>
      </c>
      <c r="Y2585" s="10" t="s">
        <v>1178</v>
      </c>
      <c r="AF2585" s="12">
        <v>44967</v>
      </c>
      <c r="AJ2585" s="10">
        <f>-1.3255*7.33^2+193.01*7.33-127.15</f>
        <v>1216.3956430499998</v>
      </c>
      <c r="AK2585" s="10">
        <f>-0.215*7.33^2+181.97*7.33-117.15</f>
        <v>1205.1383864999998</v>
      </c>
      <c r="AL2585" s="10" t="str">
        <f t="shared" si="290"/>
        <v>FALSE</v>
      </c>
      <c r="AM2585" s="10" t="str">
        <f t="shared" si="290"/>
        <v>FALSE</v>
      </c>
      <c r="AN2585" s="10" t="str">
        <f t="shared" si="290"/>
        <v>FALSE</v>
      </c>
      <c r="AO2585" s="10" t="str">
        <f t="shared" si="291"/>
        <v>y=-1.3255*7.33^2+193.01*7.33-127.15</v>
      </c>
      <c r="AP2585" s="10" t="str">
        <f t="shared" si="291"/>
        <v>y=-0.215*7.33^2+181.97*7.33-117.15</v>
      </c>
      <c r="AQ2585" s="10" t="b">
        <f>IF(AND(I2585="TP",S2585&lt;=150),VLOOKUP(AF2585,TPCalibEq150!$AZ$2:$BB$55,3,),IF(AND(I2585="TDP",S2585&lt;=150),VLOOKUP(AF2585,TPCalibEq150!$AZ$2:$BB$55,3,)))</f>
        <v>0</v>
      </c>
      <c r="AR2585" s="10" t="b">
        <f>IF(AND(I2585="TP",S2585&lt;=300),VLOOKUP(AF2585,TPCalibEq300!$AZ$2:$BB$55,3,),IF(AND(I2585="TDP",S2585&lt;=300),VLOOKUP(AF2585,TPCalibEq300!$AZ$2:$BB$55,3,)))</f>
        <v>0</v>
      </c>
      <c r="AS2585" s="10" t="b">
        <f>IF(AND(I2585="TP",S2585&lt;=500),VLOOKUP(AF2585,TPCalibEq500!$AZ$2:$BB$56,3,),IF(AND(I2585="TDP",S2585&lt;=500),VLOOKUP(AF2585,TPCalibEq500!$AZ$2:$BB$56,3,)))</f>
        <v>0</v>
      </c>
      <c r="AT2585" s="10" t="str">
        <f>IF(AND(I2585="TN",S2585&lt;=2800),VLOOKUP(AF2585,TNCalibEq2500!$AZ$2:$BB$56,3,),IF(AND(I2585="TDN",S2585&lt;=2800),VLOOKUP(AF2585,TNCalibEq2500!$AZ$2:$BB$56,3,)))</f>
        <v>y=-1.3255x2+193.01x-127.15</v>
      </c>
      <c r="AU2585" s="10" t="str">
        <f>IF(I2585="TP",VLOOKUP(AF2585,TPCalibEqFull!$AZ$2:$BB$56,3),IF(I2585="TDP",VLOOKUP(AF2585,TPCalibEqFull!$AZ$2:$BB$56,3),IF(I2585="TDN",VLOOKUP(AF2585,TNCalibEqFull!$AZ$1:$BB$56,3),IF(I2585="TN",VLOOKUP(AF2585,TNCalibEqFull!$AZ$1:$BB$56,3),FALSE))))</f>
        <v>y=-0.215x2+181.97x-117.15</v>
      </c>
      <c r="AV2585" s="10" t="str">
        <f t="shared" si="296"/>
        <v>0209 09:00:00-QAC-STD-D-1-DI-CHK</v>
      </c>
    </row>
    <row r="2586" spans="1:48" s="10" customFormat="1" x14ac:dyDescent="0.55000000000000004">
      <c r="A2586" s="32">
        <v>44963</v>
      </c>
      <c r="B2586" s="33">
        <v>0.33749999999999997</v>
      </c>
      <c r="C2586" s="10" t="s">
        <v>998</v>
      </c>
      <c r="D2586" s="10">
        <v>0</v>
      </c>
      <c r="E2586" s="10" t="s">
        <v>190</v>
      </c>
      <c r="F2586" s="10">
        <v>1</v>
      </c>
      <c r="G2586" s="10" t="s">
        <v>231</v>
      </c>
      <c r="H2586" s="10" t="s">
        <v>322</v>
      </c>
      <c r="I2586" s="10" t="s">
        <v>235</v>
      </c>
      <c r="J2586" s="10">
        <v>11</v>
      </c>
      <c r="K2586" s="12">
        <v>44967</v>
      </c>
      <c r="L2586" s="33">
        <v>0.41590277777777779</v>
      </c>
      <c r="M2586" s="10">
        <v>1</v>
      </c>
      <c r="N2586" s="10" t="s">
        <v>196</v>
      </c>
      <c r="O2586" s="10">
        <v>10.4</v>
      </c>
      <c r="P2586" s="10">
        <v>0.50900000000000001</v>
      </c>
      <c r="Q2586" s="10">
        <v>1730</v>
      </c>
      <c r="R2586" s="10" t="s">
        <v>170</v>
      </c>
      <c r="S2586" s="34">
        <f t="shared" si="293"/>
        <v>1752.0835999999999</v>
      </c>
      <c r="T2586" s="10" t="s">
        <v>1185</v>
      </c>
      <c r="U2586" s="34" t="str">
        <f t="shared" si="294"/>
        <v/>
      </c>
      <c r="V2586" s="31" t="str">
        <f>IF(H2586="CHK",VLOOKUP(I2586,QCCHK,3,),IF(H2586="GUP",VLOOKUP(E2586,QCGUP,2,),IF(AND(H2586="ATP",OR(I2586="TN",I2586="TDN",I2586="TNO2-3",I2586="NO2-3")),VLOOKUP(E2586,QCREC_N,2,),IF(AND(H2586="NIC",OR(I2586="TN",I2586="TDN",I2586="TNO2-3",I2586="NO2-3")),VLOOKUP(E2586,QCNIC_N,2,),IF(AND(H2586="UREA",OR(I2586="TN",I2586="TDN",I2586="TNO2-3",I2586="NO2-3")),VLOOKUP(E2586,QCUREA_N,2,),IF(H2586="PER",VLOOKUP(I2586,QCPER,MATCH(E2586,QCACTUAL!$J$25:$AA$25,0),),IF(H2586="SPK",VLOOKUP(I2586,QCSPK,3,),IF(AND(H2586="ATP",OR(I2586="TP",I2586="TDP")),VLOOKUP(E2586,QCATP_P,2,),""))))))))</f>
        <v/>
      </c>
      <c r="W2586" s="31" t="str">
        <f t="shared" si="295"/>
        <v>TRUE</v>
      </c>
      <c r="X2586" s="31" t="str">
        <f t="shared" si="292"/>
        <v/>
      </c>
      <c r="Y2586" s="10" t="s">
        <v>1178</v>
      </c>
      <c r="Z2586" s="10" t="s">
        <v>910</v>
      </c>
      <c r="AF2586" s="12">
        <v>44967</v>
      </c>
      <c r="AJ2586" s="10">
        <f>-1.3255*10.4^2+193.01*10.4-127.15</f>
        <v>1736.78792</v>
      </c>
      <c r="AK2586" s="10">
        <f>-0.215*10.4^2+181.97*10.4-117.15</f>
        <v>1752.0835999999999</v>
      </c>
      <c r="AL2586" s="10" t="str">
        <f t="shared" si="290"/>
        <v>FALSE</v>
      </c>
      <c r="AM2586" s="10" t="str">
        <f t="shared" si="290"/>
        <v>FALSE</v>
      </c>
      <c r="AN2586" s="10" t="str">
        <f t="shared" si="290"/>
        <v>FALSE</v>
      </c>
      <c r="AO2586" s="10" t="str">
        <f t="shared" si="291"/>
        <v>y=-1.3255*10.4^2+193.01*10.4-127.15</v>
      </c>
      <c r="AP2586" s="10" t="str">
        <f t="shared" si="291"/>
        <v>y=-0.215*10.4^2+181.97*10.4-117.15</v>
      </c>
      <c r="AQ2586" s="10" t="b">
        <f>IF(AND(I2586="TP",S2586&lt;=150),VLOOKUP(AF2586,TPCalibEq150!$AZ$2:$BB$55,3,),IF(AND(I2586="TDP",S2586&lt;=150),VLOOKUP(AF2586,TPCalibEq150!$AZ$2:$BB$55,3,)))</f>
        <v>0</v>
      </c>
      <c r="AR2586" s="10" t="b">
        <f>IF(AND(I2586="TP",S2586&lt;=300),VLOOKUP(AF2586,TPCalibEq300!$AZ$2:$BB$55,3,),IF(AND(I2586="TDP",S2586&lt;=300),VLOOKUP(AF2586,TPCalibEq300!$AZ$2:$BB$55,3,)))</f>
        <v>0</v>
      </c>
      <c r="AS2586" s="10" t="b">
        <f>IF(AND(I2586="TP",S2586&lt;=500),VLOOKUP(AF2586,TPCalibEq500!$AZ$2:$BB$56,3,),IF(AND(I2586="TDP",S2586&lt;=500),VLOOKUP(AF2586,TPCalibEq500!$AZ$2:$BB$56,3,)))</f>
        <v>0</v>
      </c>
      <c r="AT2586" s="10" t="str">
        <f>IF(AND(I2586="TN",S2586&lt;=2800),VLOOKUP(AF2586,TNCalibEq2500!$AZ$2:$BB$56,3,),IF(AND(I2586="TDN",S2586&lt;=2800),VLOOKUP(AF2586,TNCalibEq2500!$AZ$2:$BB$56,3,)))</f>
        <v>y=-1.3255x2+193.01x-127.15</v>
      </c>
      <c r="AU2586" s="10" t="str">
        <f>IF(I2586="TP",VLOOKUP(AF2586,TPCalibEqFull!$AZ$2:$BB$56,3),IF(I2586="TDP",VLOOKUP(AF2586,TPCalibEqFull!$AZ$2:$BB$56,3),IF(I2586="TDN",VLOOKUP(AF2586,TNCalibEqFull!$AZ$1:$BB$56,3),IF(I2586="TN",VLOOKUP(AF2586,TNCalibEqFull!$AZ$1:$BB$56,3),FALSE))))</f>
        <v>y=-0.215x2+181.97x-117.15</v>
      </c>
      <c r="AV2586" s="10" t="str">
        <f t="shared" si="296"/>
        <v>0206 08:06:00-ELW-0-C-1-SW-UKN</v>
      </c>
    </row>
    <row r="2587" spans="1:48" s="10" customFormat="1" x14ac:dyDescent="0.55000000000000004">
      <c r="A2587" s="32">
        <v>44963</v>
      </c>
      <c r="B2587" s="33">
        <v>0.34930555555555554</v>
      </c>
      <c r="C2587" s="10" t="s">
        <v>260</v>
      </c>
      <c r="D2587" s="10">
        <v>0</v>
      </c>
      <c r="E2587" s="10" t="s">
        <v>190</v>
      </c>
      <c r="F2587" s="10">
        <v>1</v>
      </c>
      <c r="G2587" s="10" t="s">
        <v>231</v>
      </c>
      <c r="H2587" s="10" t="s">
        <v>322</v>
      </c>
      <c r="I2587" s="10" t="s">
        <v>235</v>
      </c>
      <c r="J2587" s="10">
        <v>12</v>
      </c>
      <c r="K2587" s="12">
        <v>44967</v>
      </c>
      <c r="L2587" s="33">
        <v>0.4165625</v>
      </c>
      <c r="M2587" s="10">
        <v>1</v>
      </c>
      <c r="N2587" s="10" t="s">
        <v>196</v>
      </c>
      <c r="O2587" s="10">
        <v>12.9</v>
      </c>
      <c r="P2587" s="10">
        <v>0.628</v>
      </c>
      <c r="Q2587" s="10">
        <v>2170</v>
      </c>
      <c r="R2587" s="10" t="s">
        <v>170</v>
      </c>
      <c r="S2587" s="34">
        <f t="shared" si="293"/>
        <v>2194.4848499999998</v>
      </c>
      <c r="T2587" s="10" t="s">
        <v>1185</v>
      </c>
      <c r="U2587" s="34" t="str">
        <f t="shared" si="294"/>
        <v/>
      </c>
      <c r="V2587" s="31" t="str">
        <f>IF(H2587="CHK",VLOOKUP(I2587,QCCHK,3,),IF(H2587="GUP",VLOOKUP(E2587,QCGUP,2,),IF(AND(H2587="ATP",OR(I2587="TN",I2587="TDN",I2587="TNO2-3",I2587="NO2-3")),VLOOKUP(E2587,QCREC_N,2,),IF(AND(H2587="NIC",OR(I2587="TN",I2587="TDN",I2587="TNO2-3",I2587="NO2-3")),VLOOKUP(E2587,QCNIC_N,2,),IF(AND(H2587="UREA",OR(I2587="TN",I2587="TDN",I2587="TNO2-3",I2587="NO2-3")),VLOOKUP(E2587,QCUREA_N,2,),IF(H2587="PER",VLOOKUP(I2587,QCPER,MATCH(E2587,QCACTUAL!$J$25:$AA$25,0),),IF(H2587="SPK",VLOOKUP(I2587,QCSPK,3,),IF(AND(H2587="ATP",OR(I2587="TP",I2587="TDP")),VLOOKUP(E2587,QCATP_P,2,),""))))))))</f>
        <v/>
      </c>
      <c r="W2587" s="31" t="str">
        <f t="shared" si="295"/>
        <v>TRUE</v>
      </c>
      <c r="X2587" s="31" t="str">
        <f t="shared" si="292"/>
        <v/>
      </c>
      <c r="Y2587" s="10" t="s">
        <v>1178</v>
      </c>
      <c r="Z2587" s="10" t="s">
        <v>910</v>
      </c>
      <c r="AF2587" s="12">
        <v>44967</v>
      </c>
      <c r="AJ2587" s="10">
        <f>-1.3255*12.9^2+193.01*12.9-127.15</f>
        <v>2142.1025450000002</v>
      </c>
      <c r="AK2587" s="10">
        <f>-0.215*12.9^2+181.97*12.9-117.15</f>
        <v>2194.4848499999998</v>
      </c>
      <c r="AL2587" s="10" t="str">
        <f t="shared" si="290"/>
        <v>FALSE</v>
      </c>
      <c r="AM2587" s="10" t="str">
        <f t="shared" si="290"/>
        <v>FALSE</v>
      </c>
      <c r="AN2587" s="10" t="str">
        <f t="shared" si="290"/>
        <v>FALSE</v>
      </c>
      <c r="AO2587" s="10" t="str">
        <f t="shared" si="291"/>
        <v>y=-1.3255*12.9^2+193.01*12.9-127.15</v>
      </c>
      <c r="AP2587" s="10" t="str">
        <f t="shared" si="291"/>
        <v>y=-0.215*12.9^2+181.97*12.9-117.15</v>
      </c>
      <c r="AQ2587" s="10" t="b">
        <f>IF(AND(I2587="TP",S2587&lt;=150),VLOOKUP(AF2587,TPCalibEq150!$AZ$2:$BB$55,3,),IF(AND(I2587="TDP",S2587&lt;=150),VLOOKUP(AF2587,TPCalibEq150!$AZ$2:$BB$55,3,)))</f>
        <v>0</v>
      </c>
      <c r="AR2587" s="10" t="b">
        <f>IF(AND(I2587="TP",S2587&lt;=300),VLOOKUP(AF2587,TPCalibEq300!$AZ$2:$BB$55,3,),IF(AND(I2587="TDP",S2587&lt;=300),VLOOKUP(AF2587,TPCalibEq300!$AZ$2:$BB$55,3,)))</f>
        <v>0</v>
      </c>
      <c r="AS2587" s="10" t="b">
        <f>IF(AND(I2587="TP",S2587&lt;=500),VLOOKUP(AF2587,TPCalibEq500!$AZ$2:$BB$56,3,),IF(AND(I2587="TDP",S2587&lt;=500),VLOOKUP(AF2587,TPCalibEq500!$AZ$2:$BB$56,3,)))</f>
        <v>0</v>
      </c>
      <c r="AT2587" s="10" t="str">
        <f>IF(AND(I2587="TN",S2587&lt;=2800),VLOOKUP(AF2587,TNCalibEq2500!$AZ$2:$BB$56,3,),IF(AND(I2587="TDN",S2587&lt;=2800),VLOOKUP(AF2587,TNCalibEq2500!$AZ$2:$BB$56,3,)))</f>
        <v>y=-1.3255x2+193.01x-127.15</v>
      </c>
      <c r="AU2587" s="10" t="str">
        <f>IF(I2587="TP",VLOOKUP(AF2587,TPCalibEqFull!$AZ$2:$BB$56,3),IF(I2587="TDP",VLOOKUP(AF2587,TPCalibEqFull!$AZ$2:$BB$56,3),IF(I2587="TDN",VLOOKUP(AF2587,TNCalibEqFull!$AZ$1:$BB$56,3),IF(I2587="TN",VLOOKUP(AF2587,TNCalibEqFull!$AZ$1:$BB$56,3),FALSE))))</f>
        <v>y=-0.215x2+181.97x-117.15</v>
      </c>
      <c r="AV2587" s="10" t="str">
        <f t="shared" si="296"/>
        <v>0206 08:23:00-EFC-0-C-1-SW-UKN</v>
      </c>
    </row>
    <row r="2588" spans="1:48" s="10" customFormat="1" x14ac:dyDescent="0.55000000000000004">
      <c r="A2588" s="32">
        <v>44963</v>
      </c>
      <c r="B2588" s="33">
        <v>0.3611111111111111</v>
      </c>
      <c r="C2588" s="10" t="s">
        <v>543</v>
      </c>
      <c r="D2588" s="10">
        <v>0</v>
      </c>
      <c r="E2588" s="10" t="s">
        <v>190</v>
      </c>
      <c r="F2588" s="10">
        <v>1</v>
      </c>
      <c r="G2588" s="10" t="s">
        <v>231</v>
      </c>
      <c r="H2588" s="10" t="s">
        <v>322</v>
      </c>
      <c r="I2588" s="10" t="s">
        <v>235</v>
      </c>
      <c r="J2588" s="10">
        <v>13</v>
      </c>
      <c r="K2588" s="12">
        <v>44967</v>
      </c>
      <c r="L2588" s="33">
        <v>0.41722222222222222</v>
      </c>
      <c r="M2588" s="10">
        <v>1</v>
      </c>
      <c r="N2588" s="10" t="s">
        <v>196</v>
      </c>
      <c r="O2588" s="10">
        <v>1.87</v>
      </c>
      <c r="P2588" s="10">
        <v>9.2299999999999993E-2</v>
      </c>
      <c r="Q2588" s="10">
        <v>228</v>
      </c>
      <c r="R2588" s="10" t="s">
        <v>170</v>
      </c>
      <c r="S2588" s="34">
        <f t="shared" si="293"/>
        <v>229.14355904999999</v>
      </c>
      <c r="T2588" s="10" t="s">
        <v>1185</v>
      </c>
      <c r="U2588" s="34" t="str">
        <f t="shared" si="294"/>
        <v/>
      </c>
      <c r="V2588" s="31" t="str">
        <f>IF(H2588="CHK",VLOOKUP(I2588,QCCHK,3,),IF(H2588="GUP",VLOOKUP(E2588,QCGUP,2,),IF(AND(H2588="ATP",OR(I2588="TN",I2588="TDN",I2588="TNO2-3",I2588="NO2-3")),VLOOKUP(E2588,QCREC_N,2,),IF(AND(H2588="NIC",OR(I2588="TN",I2588="TDN",I2588="TNO2-3",I2588="NO2-3")),VLOOKUP(E2588,QCNIC_N,2,),IF(AND(H2588="UREA",OR(I2588="TN",I2588="TDN",I2588="TNO2-3",I2588="NO2-3")),VLOOKUP(E2588,QCUREA_N,2,),IF(H2588="PER",VLOOKUP(I2588,QCPER,MATCH(E2588,QCACTUAL!$J$25:$AA$25,0),),IF(H2588="SPK",VLOOKUP(I2588,QCSPK,3,),IF(AND(H2588="ATP",OR(I2588="TP",I2588="TDP")),VLOOKUP(E2588,QCATP_P,2,),""))))))))</f>
        <v/>
      </c>
      <c r="W2588" s="31" t="str">
        <f t="shared" si="295"/>
        <v>TRUE</v>
      </c>
      <c r="X2588" s="31" t="str">
        <f t="shared" si="292"/>
        <v/>
      </c>
      <c r="Y2588" s="10" t="s">
        <v>1178</v>
      </c>
      <c r="Z2588" s="10" t="s">
        <v>910</v>
      </c>
      <c r="AF2588" s="12">
        <v>44967</v>
      </c>
      <c r="AJ2588" s="10">
        <f>-1.3255*1.87^2+193.01*1.87-127.15</f>
        <v>229.14355904999999</v>
      </c>
      <c r="AK2588" s="10">
        <f>-0.215*1.87^2+181.97*1.87-117.15</f>
        <v>222.38206650000004</v>
      </c>
      <c r="AL2588" s="10" t="str">
        <f t="shared" si="290"/>
        <v>FALSE</v>
      </c>
      <c r="AM2588" s="10" t="str">
        <f t="shared" si="290"/>
        <v>FALSE</v>
      </c>
      <c r="AN2588" s="10" t="str">
        <f t="shared" si="290"/>
        <v>FALSE</v>
      </c>
      <c r="AO2588" s="10" t="str">
        <f t="shared" si="291"/>
        <v>y=-1.3255*1.87^2+193.01*1.87-127.15</v>
      </c>
      <c r="AP2588" s="10" t="str">
        <f t="shared" si="291"/>
        <v>y=-0.215*1.87^2+181.97*1.87-117.15</v>
      </c>
      <c r="AQ2588" s="10" t="b">
        <f>IF(AND(I2588="TP",S2588&lt;=150),VLOOKUP(AF2588,TPCalibEq150!$AZ$2:$BB$55,3,),IF(AND(I2588="TDP",S2588&lt;=150),VLOOKUP(AF2588,TPCalibEq150!$AZ$2:$BB$55,3,)))</f>
        <v>0</v>
      </c>
      <c r="AR2588" s="10" t="b">
        <f>IF(AND(I2588="TP",S2588&lt;=300),VLOOKUP(AF2588,TPCalibEq300!$AZ$2:$BB$55,3,),IF(AND(I2588="TDP",S2588&lt;=300),VLOOKUP(AF2588,TPCalibEq300!$AZ$2:$BB$55,3,)))</f>
        <v>0</v>
      </c>
      <c r="AS2588" s="10" t="b">
        <f>IF(AND(I2588="TP",S2588&lt;=500),VLOOKUP(AF2588,TPCalibEq500!$AZ$2:$BB$56,3,),IF(AND(I2588="TDP",S2588&lt;=500),VLOOKUP(AF2588,TPCalibEq500!$AZ$2:$BB$56,3,)))</f>
        <v>0</v>
      </c>
      <c r="AT2588" s="10" t="str">
        <f>IF(AND(I2588="TN",S2588&lt;=2800),VLOOKUP(AF2588,TNCalibEq2500!$AZ$2:$BB$56,3,),IF(AND(I2588="TDN",S2588&lt;=2800),VLOOKUP(AF2588,TNCalibEq2500!$AZ$2:$BB$56,3,)))</f>
        <v>y=-1.3255x2+193.01x-127.15</v>
      </c>
      <c r="AU2588" s="10" t="str">
        <f>IF(I2588="TP",VLOOKUP(AF2588,TPCalibEqFull!$AZ$2:$BB$56,3),IF(I2588="TDP",VLOOKUP(AF2588,TPCalibEqFull!$AZ$2:$BB$56,3),IF(I2588="TDN",VLOOKUP(AF2588,TNCalibEqFull!$AZ$1:$BB$56,3),IF(I2588="TN",VLOOKUP(AF2588,TNCalibEqFull!$AZ$1:$BB$56,3),FALSE))))</f>
        <v>y=-0.215x2+181.97x-117.15</v>
      </c>
      <c r="AV2588" s="10" t="str">
        <f t="shared" si="296"/>
        <v>0206 08:40:00-SAR-0-C-1-SW-UKN</v>
      </c>
    </row>
    <row r="2589" spans="1:48" s="10" customFormat="1" x14ac:dyDescent="0.55000000000000004">
      <c r="A2589" s="32">
        <v>44963</v>
      </c>
      <c r="B2589" s="33">
        <v>0.37916666666666665</v>
      </c>
      <c r="C2589" s="10" t="s">
        <v>361</v>
      </c>
      <c r="D2589" s="10">
        <v>0</v>
      </c>
      <c r="E2589" s="10" t="s">
        <v>190</v>
      </c>
      <c r="F2589" s="10">
        <v>1</v>
      </c>
      <c r="G2589" s="10" t="s">
        <v>231</v>
      </c>
      <c r="H2589" s="10" t="s">
        <v>322</v>
      </c>
      <c r="I2589" s="10" t="s">
        <v>235</v>
      </c>
      <c r="J2589" s="10">
        <v>14</v>
      </c>
      <c r="K2589" s="12">
        <v>44967</v>
      </c>
      <c r="L2589" s="33">
        <v>0.41789351851851847</v>
      </c>
      <c r="M2589" s="10">
        <v>1</v>
      </c>
      <c r="N2589" s="10" t="s">
        <v>196</v>
      </c>
      <c r="O2589" s="10">
        <v>2.57</v>
      </c>
      <c r="P2589" s="10">
        <v>0.126</v>
      </c>
      <c r="Q2589" s="10">
        <v>351</v>
      </c>
      <c r="R2589" s="10" t="s">
        <v>170</v>
      </c>
      <c r="S2589" s="34">
        <f t="shared" si="293"/>
        <v>360.13090504999991</v>
      </c>
      <c r="T2589" s="10" t="s">
        <v>1185</v>
      </c>
      <c r="U2589" s="34" t="str">
        <f t="shared" si="294"/>
        <v/>
      </c>
      <c r="V2589" s="31" t="str">
        <f>IF(H2589="CHK",VLOOKUP(I2589,QCCHK,3,),IF(H2589="GUP",VLOOKUP(E2589,QCGUP,2,),IF(AND(H2589="ATP",OR(I2589="TN",I2589="TDN",I2589="TNO2-3",I2589="NO2-3")),VLOOKUP(E2589,QCREC_N,2,),IF(AND(H2589="NIC",OR(I2589="TN",I2589="TDN",I2589="TNO2-3",I2589="NO2-3")),VLOOKUP(E2589,QCNIC_N,2,),IF(AND(H2589="UREA",OR(I2589="TN",I2589="TDN",I2589="TNO2-3",I2589="NO2-3")),VLOOKUP(E2589,QCUREA_N,2,),IF(H2589="PER",VLOOKUP(I2589,QCPER,MATCH(E2589,QCACTUAL!$J$25:$AA$25,0),),IF(H2589="SPK",VLOOKUP(I2589,QCSPK,3,),IF(AND(H2589="ATP",OR(I2589="TP",I2589="TDP")),VLOOKUP(E2589,QCATP_P,2,),""))))))))</f>
        <v/>
      </c>
      <c r="W2589" s="31" t="str">
        <f t="shared" si="295"/>
        <v>TRUE</v>
      </c>
      <c r="X2589" s="31" t="str">
        <f t="shared" si="292"/>
        <v/>
      </c>
      <c r="Y2589" s="10" t="s">
        <v>1178</v>
      </c>
      <c r="Z2589" s="10" t="s">
        <v>910</v>
      </c>
      <c r="AF2589" s="12">
        <v>44967</v>
      </c>
      <c r="AJ2589" s="10">
        <f>-1.3255*2.57^2+193.01*2.57-127.15</f>
        <v>360.13090504999991</v>
      </c>
      <c r="AK2589" s="10">
        <f>-0.215*2.57^2+181.97*2.57-117.15</f>
        <v>349.09284649999995</v>
      </c>
      <c r="AL2589" s="10" t="str">
        <f t="shared" si="290"/>
        <v>FALSE</v>
      </c>
      <c r="AM2589" s="10" t="str">
        <f t="shared" si="290"/>
        <v>FALSE</v>
      </c>
      <c r="AN2589" s="10" t="str">
        <f t="shared" si="290"/>
        <v>FALSE</v>
      </c>
      <c r="AO2589" s="10" t="str">
        <f t="shared" si="291"/>
        <v>y=-1.3255*2.57^2+193.01*2.57-127.15</v>
      </c>
      <c r="AP2589" s="10" t="str">
        <f t="shared" si="291"/>
        <v>y=-0.215*2.57^2+181.97*2.57-117.15</v>
      </c>
      <c r="AQ2589" s="10" t="b">
        <f>IF(AND(I2589="TP",S2589&lt;=150),VLOOKUP(AF2589,TPCalibEq150!$AZ$2:$BB$55,3,),IF(AND(I2589="TDP",S2589&lt;=150),VLOOKUP(AF2589,TPCalibEq150!$AZ$2:$BB$55,3,)))</f>
        <v>0</v>
      </c>
      <c r="AR2589" s="10" t="b">
        <f>IF(AND(I2589="TP",S2589&lt;=300),VLOOKUP(AF2589,TPCalibEq300!$AZ$2:$BB$55,3,),IF(AND(I2589="TDP",S2589&lt;=300),VLOOKUP(AF2589,TPCalibEq300!$AZ$2:$BB$55,3,)))</f>
        <v>0</v>
      </c>
      <c r="AS2589" s="10" t="b">
        <f>IF(AND(I2589="TP",S2589&lt;=500),VLOOKUP(AF2589,TPCalibEq500!$AZ$2:$BB$56,3,),IF(AND(I2589="TDP",S2589&lt;=500),VLOOKUP(AF2589,TPCalibEq500!$AZ$2:$BB$56,3,)))</f>
        <v>0</v>
      </c>
      <c r="AT2589" s="10" t="str">
        <f>IF(AND(I2589="TN",S2589&lt;=2800),VLOOKUP(AF2589,TNCalibEq2500!$AZ$2:$BB$56,3,),IF(AND(I2589="TDN",S2589&lt;=2800),VLOOKUP(AF2589,TNCalibEq2500!$AZ$2:$BB$56,3,)))</f>
        <v>y=-1.3255x2+193.01x-127.15</v>
      </c>
      <c r="AU2589" s="10" t="str">
        <f>IF(I2589="TP",VLOOKUP(AF2589,TPCalibEqFull!$AZ$2:$BB$56,3),IF(I2589="TDP",VLOOKUP(AF2589,TPCalibEqFull!$AZ$2:$BB$56,3),IF(I2589="TDN",VLOOKUP(AF2589,TNCalibEqFull!$AZ$1:$BB$56,3),IF(I2589="TN",VLOOKUP(AF2589,TNCalibEqFull!$AZ$1:$BB$56,3),FALSE))))</f>
        <v>y=-0.215x2+181.97x-117.15</v>
      </c>
      <c r="AV2589" s="10" t="str">
        <f t="shared" si="296"/>
        <v>0206 09:06:00-USR-0-C-1-SW-UKN</v>
      </c>
    </row>
    <row r="2590" spans="1:48" s="10" customFormat="1" x14ac:dyDescent="0.55000000000000004">
      <c r="A2590" s="32">
        <v>44963</v>
      </c>
      <c r="B2590" s="33">
        <v>0.39305555555555555</v>
      </c>
      <c r="C2590" s="10" t="s">
        <v>351</v>
      </c>
      <c r="D2590" s="10">
        <v>0</v>
      </c>
      <c r="E2590" s="10" t="s">
        <v>190</v>
      </c>
      <c r="F2590" s="10">
        <v>1</v>
      </c>
      <c r="G2590" s="10" t="s">
        <v>231</v>
      </c>
      <c r="H2590" s="10" t="s">
        <v>322</v>
      </c>
      <c r="I2590" s="10" t="s">
        <v>235</v>
      </c>
      <c r="J2590" s="10">
        <v>15</v>
      </c>
      <c r="K2590" s="12">
        <v>44967</v>
      </c>
      <c r="L2590" s="33">
        <v>0.41854166666666665</v>
      </c>
      <c r="M2590" s="10">
        <v>1</v>
      </c>
      <c r="N2590" s="10" t="s">
        <v>196</v>
      </c>
      <c r="O2590" s="10">
        <v>5.87</v>
      </c>
      <c r="P2590" s="10">
        <v>0.28499999999999998</v>
      </c>
      <c r="Q2590" s="10">
        <v>931</v>
      </c>
      <c r="R2590" s="10" t="s">
        <v>170</v>
      </c>
      <c r="S2590" s="34">
        <f t="shared" si="293"/>
        <v>960.14607904999991</v>
      </c>
      <c r="T2590" s="10" t="s">
        <v>1185</v>
      </c>
      <c r="U2590" s="34" t="str">
        <f t="shared" si="294"/>
        <v/>
      </c>
      <c r="V2590" s="31" t="str">
        <f>IF(H2590="CHK",VLOOKUP(I2590,QCCHK,3,),IF(H2590="GUP",VLOOKUP(E2590,QCGUP,2,),IF(AND(H2590="ATP",OR(I2590="TN",I2590="TDN",I2590="TNO2-3",I2590="NO2-3")),VLOOKUP(E2590,QCREC_N,2,),IF(AND(H2590="NIC",OR(I2590="TN",I2590="TDN",I2590="TNO2-3",I2590="NO2-3")),VLOOKUP(E2590,QCNIC_N,2,),IF(AND(H2590="UREA",OR(I2590="TN",I2590="TDN",I2590="TNO2-3",I2590="NO2-3")),VLOOKUP(E2590,QCUREA_N,2,),IF(H2590="PER",VLOOKUP(I2590,QCPER,MATCH(E2590,QCACTUAL!$J$25:$AA$25,0),),IF(H2590="SPK",VLOOKUP(I2590,QCSPK,3,),IF(AND(H2590="ATP",OR(I2590="TP",I2590="TDP")),VLOOKUP(E2590,QCATP_P,2,),""))))))))</f>
        <v/>
      </c>
      <c r="W2590" s="31" t="str">
        <f t="shared" si="295"/>
        <v>TRUE</v>
      </c>
      <c r="X2590" s="31" t="str">
        <f t="shared" si="292"/>
        <v/>
      </c>
      <c r="Y2590" s="10" t="s">
        <v>1178</v>
      </c>
      <c r="Z2590" s="10" t="s">
        <v>910</v>
      </c>
      <c r="AF2590" s="12">
        <v>44967</v>
      </c>
      <c r="AJ2590" s="10">
        <f>-1.3255*5.87^2+193.01*5.87-127.15</f>
        <v>960.14607904999991</v>
      </c>
      <c r="AK2590" s="10">
        <f>-0.215*5.87^2+181.97*5.87-117.15</f>
        <v>943.60566649999998</v>
      </c>
      <c r="AL2590" s="10" t="str">
        <f t="shared" si="290"/>
        <v>FALSE</v>
      </c>
      <c r="AM2590" s="10" t="str">
        <f t="shared" si="290"/>
        <v>FALSE</v>
      </c>
      <c r="AN2590" s="10" t="str">
        <f t="shared" si="290"/>
        <v>FALSE</v>
      </c>
      <c r="AO2590" s="10" t="str">
        <f t="shared" si="291"/>
        <v>y=-1.3255*5.87^2+193.01*5.87-127.15</v>
      </c>
      <c r="AP2590" s="10" t="str">
        <f t="shared" si="291"/>
        <v>y=-0.215*5.87^2+181.97*5.87-117.15</v>
      </c>
      <c r="AQ2590" s="10" t="b">
        <f>IF(AND(I2590="TP",S2590&lt;=150),VLOOKUP(AF2590,TPCalibEq150!$AZ$2:$BB$55,3,),IF(AND(I2590="TDP",S2590&lt;=150),VLOOKUP(AF2590,TPCalibEq150!$AZ$2:$BB$55,3,)))</f>
        <v>0</v>
      </c>
      <c r="AR2590" s="10" t="b">
        <f>IF(AND(I2590="TP",S2590&lt;=300),VLOOKUP(AF2590,TPCalibEq300!$AZ$2:$BB$55,3,),IF(AND(I2590="TDP",S2590&lt;=300),VLOOKUP(AF2590,TPCalibEq300!$AZ$2:$BB$55,3,)))</f>
        <v>0</v>
      </c>
      <c r="AS2590" s="10" t="b">
        <f>IF(AND(I2590="TP",S2590&lt;=500),VLOOKUP(AF2590,TPCalibEq500!$AZ$2:$BB$56,3,),IF(AND(I2590="TDP",S2590&lt;=500),VLOOKUP(AF2590,TPCalibEq500!$AZ$2:$BB$56,3,)))</f>
        <v>0</v>
      </c>
      <c r="AT2590" s="10" t="str">
        <f>IF(AND(I2590="TN",S2590&lt;=2800),VLOOKUP(AF2590,TNCalibEq2500!$AZ$2:$BB$56,3,),IF(AND(I2590="TDN",S2590&lt;=2800),VLOOKUP(AF2590,TNCalibEq2500!$AZ$2:$BB$56,3,)))</f>
        <v>y=-1.3255x2+193.01x-127.15</v>
      </c>
      <c r="AU2590" s="10" t="str">
        <f>IF(I2590="TP",VLOOKUP(AF2590,TPCalibEqFull!$AZ$2:$BB$56,3),IF(I2590="TDP",VLOOKUP(AF2590,TPCalibEqFull!$AZ$2:$BB$56,3),IF(I2590="TDN",VLOOKUP(AF2590,TNCalibEqFull!$AZ$1:$BB$56,3),IF(I2590="TN",VLOOKUP(AF2590,TNCalibEqFull!$AZ$1:$BB$56,3),FALSE))))</f>
        <v>y=-0.215x2+181.97x-117.15</v>
      </c>
      <c r="AV2590" s="10" t="str">
        <f t="shared" si="296"/>
        <v>0206 09:26:00-SHC-0-C-1-SW-UKN</v>
      </c>
    </row>
    <row r="2591" spans="1:48" s="10" customFormat="1" x14ac:dyDescent="0.55000000000000004">
      <c r="A2591" s="32">
        <v>44963</v>
      </c>
      <c r="B2591" s="33">
        <v>0.4055555555555555</v>
      </c>
      <c r="C2591" s="10" t="s">
        <v>355</v>
      </c>
      <c r="D2591" s="10">
        <v>0</v>
      </c>
      <c r="E2591" s="10" t="s">
        <v>190</v>
      </c>
      <c r="F2591" s="10">
        <v>1</v>
      </c>
      <c r="G2591" s="10" t="s">
        <v>231</v>
      </c>
      <c r="H2591" s="10" t="s">
        <v>322</v>
      </c>
      <c r="I2591" s="10" t="s">
        <v>235</v>
      </c>
      <c r="J2591" s="10">
        <v>16</v>
      </c>
      <c r="K2591" s="12">
        <v>44967</v>
      </c>
      <c r="L2591" s="33">
        <v>0.41922453703703705</v>
      </c>
      <c r="M2591" s="10">
        <v>1</v>
      </c>
      <c r="N2591" s="10" t="s">
        <v>196</v>
      </c>
      <c r="O2591" s="10">
        <v>3.58</v>
      </c>
      <c r="P2591" s="10">
        <v>0.17499999999999999</v>
      </c>
      <c r="Q2591" s="10">
        <v>530</v>
      </c>
      <c r="R2591" s="10" t="s">
        <v>170</v>
      </c>
      <c r="S2591" s="34">
        <f t="shared" si="293"/>
        <v>546.83766179999998</v>
      </c>
      <c r="T2591" s="10" t="s">
        <v>1185</v>
      </c>
      <c r="U2591" s="34" t="str">
        <f t="shared" si="294"/>
        <v/>
      </c>
      <c r="V2591" s="31" t="str">
        <f>IF(H2591="CHK",VLOOKUP(I2591,QCCHK,3,),IF(H2591="GUP",VLOOKUP(E2591,QCGUP,2,),IF(AND(H2591="ATP",OR(I2591="TN",I2591="TDN",I2591="TNO2-3",I2591="NO2-3")),VLOOKUP(E2591,QCREC_N,2,),IF(AND(H2591="NIC",OR(I2591="TN",I2591="TDN",I2591="TNO2-3",I2591="NO2-3")),VLOOKUP(E2591,QCNIC_N,2,),IF(AND(H2591="UREA",OR(I2591="TN",I2591="TDN",I2591="TNO2-3",I2591="NO2-3")),VLOOKUP(E2591,QCUREA_N,2,),IF(H2591="PER",VLOOKUP(I2591,QCPER,MATCH(E2591,QCACTUAL!$J$25:$AA$25,0),),IF(H2591="SPK",VLOOKUP(I2591,QCSPK,3,),IF(AND(H2591="ATP",OR(I2591="TP",I2591="TDP")),VLOOKUP(E2591,QCATP_P,2,),""))))))))</f>
        <v/>
      </c>
      <c r="W2591" s="31" t="str">
        <f t="shared" si="295"/>
        <v>TRUE</v>
      </c>
      <c r="X2591" s="31" t="str">
        <f t="shared" si="292"/>
        <v/>
      </c>
      <c r="Y2591" s="10" t="s">
        <v>1178</v>
      </c>
      <c r="Z2591" s="10" t="s">
        <v>910</v>
      </c>
      <c r="AF2591" s="12">
        <v>44967</v>
      </c>
      <c r="AJ2591" s="10">
        <f>-1.3255*3.58^2+193.01*3.58-127.15</f>
        <v>546.83766179999998</v>
      </c>
      <c r="AK2591" s="10">
        <f>-0.215*3.58^2+181.97*3.58-117.15</f>
        <v>531.54707399999995</v>
      </c>
      <c r="AL2591" s="10" t="str">
        <f t="shared" si="290"/>
        <v>FALSE</v>
      </c>
      <c r="AM2591" s="10" t="str">
        <f t="shared" si="290"/>
        <v>FALSE</v>
      </c>
      <c r="AN2591" s="10" t="str">
        <f t="shared" si="290"/>
        <v>FALSE</v>
      </c>
      <c r="AO2591" s="10" t="str">
        <f t="shared" si="291"/>
        <v>y=-1.3255*3.58^2+193.01*3.58-127.15</v>
      </c>
      <c r="AP2591" s="10" t="str">
        <f t="shared" si="291"/>
        <v>y=-0.215*3.58^2+181.97*3.58-117.15</v>
      </c>
      <c r="AQ2591" s="10" t="b">
        <f>IF(AND(I2591="TP",S2591&lt;=150),VLOOKUP(AF2591,TPCalibEq150!$AZ$2:$BB$55,3,),IF(AND(I2591="TDP",S2591&lt;=150),VLOOKUP(AF2591,TPCalibEq150!$AZ$2:$BB$55,3,)))</f>
        <v>0</v>
      </c>
      <c r="AR2591" s="10" t="b">
        <f>IF(AND(I2591="TP",S2591&lt;=300),VLOOKUP(AF2591,TPCalibEq300!$AZ$2:$BB$55,3,),IF(AND(I2591="TDP",S2591&lt;=300),VLOOKUP(AF2591,TPCalibEq300!$AZ$2:$BB$55,3,)))</f>
        <v>0</v>
      </c>
      <c r="AS2591" s="10" t="b">
        <f>IF(AND(I2591="TP",S2591&lt;=500),VLOOKUP(AF2591,TPCalibEq500!$AZ$2:$BB$56,3,),IF(AND(I2591="TDP",S2591&lt;=500),VLOOKUP(AF2591,TPCalibEq500!$AZ$2:$BB$56,3,)))</f>
        <v>0</v>
      </c>
      <c r="AT2591" s="10" t="str">
        <f>IF(AND(I2591="TN",S2591&lt;=2800),VLOOKUP(AF2591,TNCalibEq2500!$AZ$2:$BB$56,3,),IF(AND(I2591="TDN",S2591&lt;=2800),VLOOKUP(AF2591,TNCalibEq2500!$AZ$2:$BB$56,3,)))</f>
        <v>y=-1.3255x2+193.01x-127.15</v>
      </c>
      <c r="AU2591" s="10" t="str">
        <f>IF(I2591="TP",VLOOKUP(AF2591,TPCalibEqFull!$AZ$2:$BB$56,3),IF(I2591="TDP",VLOOKUP(AF2591,TPCalibEqFull!$AZ$2:$BB$56,3),IF(I2591="TDN",VLOOKUP(AF2591,TNCalibEqFull!$AZ$1:$BB$56,3),IF(I2591="TN",VLOOKUP(AF2591,TNCalibEqFull!$AZ$1:$BB$56,3),FALSE))))</f>
        <v>y=-0.215x2+181.97x-117.15</v>
      </c>
      <c r="AV2591" s="10" t="str">
        <f t="shared" si="296"/>
        <v>0206 09:44:00-SLT-0-C-1-SW-UKN</v>
      </c>
    </row>
    <row r="2592" spans="1:48" s="10" customFormat="1" x14ac:dyDescent="0.55000000000000004">
      <c r="A2592" s="32">
        <v>44963</v>
      </c>
      <c r="B2592" s="33">
        <v>0.4236111111111111</v>
      </c>
      <c r="C2592" s="10" t="s">
        <v>310</v>
      </c>
      <c r="D2592" s="10">
        <v>0</v>
      </c>
      <c r="E2592" s="10">
        <v>580</v>
      </c>
      <c r="F2592" s="10">
        <v>1</v>
      </c>
      <c r="G2592" s="10" t="s">
        <v>231</v>
      </c>
      <c r="H2592" s="10" t="s">
        <v>322</v>
      </c>
      <c r="I2592" s="10" t="s">
        <v>235</v>
      </c>
      <c r="J2592" s="10">
        <v>17</v>
      </c>
      <c r="K2592" s="12">
        <v>44967</v>
      </c>
      <c r="L2592" s="33">
        <v>0.4199074074074074</v>
      </c>
      <c r="M2592" s="10">
        <v>1</v>
      </c>
      <c r="N2592" s="10" t="s">
        <v>196</v>
      </c>
      <c r="O2592" s="10">
        <v>8.5399999999999991</v>
      </c>
      <c r="P2592" s="10">
        <v>0.41599999999999998</v>
      </c>
      <c r="Q2592" s="10">
        <v>1400</v>
      </c>
      <c r="R2592" s="10" t="s">
        <v>170</v>
      </c>
      <c r="S2592" s="34">
        <f t="shared" si="293"/>
        <v>1424.4845641999996</v>
      </c>
      <c r="T2592" s="10" t="s">
        <v>1185</v>
      </c>
      <c r="U2592" s="34" t="str">
        <f t="shared" si="294"/>
        <v/>
      </c>
      <c r="V2592" s="31" t="str">
        <f>IF(H2592="CHK",VLOOKUP(I2592,QCCHK,3,),IF(H2592="GUP",VLOOKUP(E2592,QCGUP,2,),IF(AND(H2592="ATP",OR(I2592="TN",I2592="TDN",I2592="TNO2-3",I2592="NO2-3")),VLOOKUP(E2592,QCREC_N,2,),IF(AND(H2592="NIC",OR(I2592="TN",I2592="TDN",I2592="TNO2-3",I2592="NO2-3")),VLOOKUP(E2592,QCNIC_N,2,),IF(AND(H2592="UREA",OR(I2592="TN",I2592="TDN",I2592="TNO2-3",I2592="NO2-3")),VLOOKUP(E2592,QCUREA_N,2,),IF(H2592="PER",VLOOKUP(I2592,QCPER,MATCH(E2592,QCACTUAL!$J$25:$AA$25,0),),IF(H2592="SPK",VLOOKUP(I2592,QCSPK,3,),IF(AND(H2592="ATP",OR(I2592="TP",I2592="TDP")),VLOOKUP(E2592,QCATP_P,2,),""))))))))</f>
        <v/>
      </c>
      <c r="W2592" s="31" t="str">
        <f t="shared" si="295"/>
        <v>TRUE</v>
      </c>
      <c r="X2592" s="31" t="str">
        <f t="shared" si="292"/>
        <v/>
      </c>
      <c r="Y2592" s="10" t="s">
        <v>1178</v>
      </c>
      <c r="Z2592" s="10" t="s">
        <v>910</v>
      </c>
      <c r="AF2592" s="12">
        <v>44967</v>
      </c>
      <c r="AJ2592" s="10">
        <f>-1.3255*8.54^2+193.01*8.54-127.15</f>
        <v>1424.4845641999996</v>
      </c>
      <c r="AK2592" s="10">
        <f>-0.215*8.54^2+181.97*8.54-117.15</f>
        <v>1421.1935059999998</v>
      </c>
      <c r="AL2592" s="10" t="str">
        <f t="shared" si="290"/>
        <v>FALSE</v>
      </c>
      <c r="AM2592" s="10" t="str">
        <f t="shared" si="290"/>
        <v>FALSE</v>
      </c>
      <c r="AN2592" s="10" t="str">
        <f t="shared" si="290"/>
        <v>FALSE</v>
      </c>
      <c r="AO2592" s="10" t="str">
        <f t="shared" si="291"/>
        <v>y=-1.3255*8.54^2+193.01*8.54-127.15</v>
      </c>
      <c r="AP2592" s="10" t="str">
        <f t="shared" si="291"/>
        <v>y=-0.215*8.54^2+181.97*8.54-117.15</v>
      </c>
      <c r="AQ2592" s="10" t="b">
        <f>IF(AND(I2592="TP",S2592&lt;=150),VLOOKUP(AF2592,TPCalibEq150!$AZ$2:$BB$55,3,),IF(AND(I2592="TDP",S2592&lt;=150),VLOOKUP(AF2592,TPCalibEq150!$AZ$2:$BB$55,3,)))</f>
        <v>0</v>
      </c>
      <c r="AR2592" s="10" t="b">
        <f>IF(AND(I2592="TP",S2592&lt;=300),VLOOKUP(AF2592,TPCalibEq300!$AZ$2:$BB$55,3,),IF(AND(I2592="TDP",S2592&lt;=300),VLOOKUP(AF2592,TPCalibEq300!$AZ$2:$BB$55,3,)))</f>
        <v>0</v>
      </c>
      <c r="AS2592" s="10" t="b">
        <f>IF(AND(I2592="TP",S2592&lt;=500),VLOOKUP(AF2592,TPCalibEq500!$AZ$2:$BB$56,3,),IF(AND(I2592="TDP",S2592&lt;=500),VLOOKUP(AF2592,TPCalibEq500!$AZ$2:$BB$56,3,)))</f>
        <v>0</v>
      </c>
      <c r="AT2592" s="10" t="str">
        <f>IF(AND(I2592="TN",S2592&lt;=2800),VLOOKUP(AF2592,TNCalibEq2500!$AZ$2:$BB$56,3,),IF(AND(I2592="TDN",S2592&lt;=2800),VLOOKUP(AF2592,TNCalibEq2500!$AZ$2:$BB$56,3,)))</f>
        <v>y=-1.3255x2+193.01x-127.15</v>
      </c>
      <c r="AU2592" s="10" t="str">
        <f>IF(I2592="TP",VLOOKUP(AF2592,TPCalibEqFull!$AZ$2:$BB$56,3),IF(I2592="TDP",VLOOKUP(AF2592,TPCalibEqFull!$AZ$2:$BB$56,3),IF(I2592="TDN",VLOOKUP(AF2592,TNCalibEqFull!$AZ$1:$BB$56,3),IF(I2592="TN",VLOOKUP(AF2592,TNCalibEqFull!$AZ$1:$BB$56,3),FALSE))))</f>
        <v>y=-0.215x2+181.97x-117.15</v>
      </c>
      <c r="AV2592" s="10" t="str">
        <f t="shared" si="296"/>
        <v>0206 10:10:00-ELI-0-580-1-SW-UKN</v>
      </c>
    </row>
    <row r="2593" spans="1:48" s="10" customFormat="1" x14ac:dyDescent="0.55000000000000004">
      <c r="A2593" s="32">
        <v>44963</v>
      </c>
      <c r="B2593" s="33">
        <v>0.44930555555555557</v>
      </c>
      <c r="C2593" s="10" t="s">
        <v>999</v>
      </c>
      <c r="D2593" s="10">
        <v>0</v>
      </c>
      <c r="E2593" s="10" t="s">
        <v>190</v>
      </c>
      <c r="F2593" s="10">
        <v>1</v>
      </c>
      <c r="G2593" s="10" t="s">
        <v>231</v>
      </c>
      <c r="H2593" s="10" t="s">
        <v>322</v>
      </c>
      <c r="I2593" s="10" t="s">
        <v>235</v>
      </c>
      <c r="J2593" s="10">
        <v>18</v>
      </c>
      <c r="K2593" s="12">
        <v>44967</v>
      </c>
      <c r="L2593" s="33">
        <v>0.4205787037037037</v>
      </c>
      <c r="M2593" s="10">
        <v>1</v>
      </c>
      <c r="N2593" s="10" t="s">
        <v>196</v>
      </c>
      <c r="O2593" s="10">
        <v>8.17</v>
      </c>
      <c r="P2593" s="10">
        <v>0.39800000000000002</v>
      </c>
      <c r="Q2593" s="10">
        <v>1340</v>
      </c>
      <c r="R2593" s="10" t="s">
        <v>170</v>
      </c>
      <c r="S2593" s="34">
        <f t="shared" si="293"/>
        <v>1361.2660330499998</v>
      </c>
      <c r="T2593" s="10" t="s">
        <v>1185</v>
      </c>
      <c r="U2593" s="34" t="str">
        <f t="shared" si="294"/>
        <v/>
      </c>
      <c r="V2593" s="31" t="str">
        <f>IF(H2593="CHK",VLOOKUP(I2593,QCCHK,3,),IF(H2593="GUP",VLOOKUP(E2593,QCGUP,2,),IF(AND(H2593="ATP",OR(I2593="TN",I2593="TDN",I2593="TNO2-3",I2593="NO2-3")),VLOOKUP(E2593,QCREC_N,2,),IF(AND(H2593="NIC",OR(I2593="TN",I2593="TDN",I2593="TNO2-3",I2593="NO2-3")),VLOOKUP(E2593,QCNIC_N,2,),IF(AND(H2593="UREA",OR(I2593="TN",I2593="TDN",I2593="TNO2-3",I2593="NO2-3")),VLOOKUP(E2593,QCUREA_N,2,),IF(H2593="PER",VLOOKUP(I2593,QCPER,MATCH(E2593,QCACTUAL!$J$25:$AA$25,0),),IF(H2593="SPK",VLOOKUP(I2593,QCSPK,3,),IF(AND(H2593="ATP",OR(I2593="TP",I2593="TDP")),VLOOKUP(E2593,QCATP_P,2,),""))))))))</f>
        <v/>
      </c>
      <c r="W2593" s="31" t="str">
        <f t="shared" si="295"/>
        <v>TRUE</v>
      </c>
      <c r="X2593" s="31" t="str">
        <f t="shared" si="292"/>
        <v/>
      </c>
      <c r="Y2593" s="10" t="s">
        <v>1178</v>
      </c>
      <c r="Z2593" s="10" t="s">
        <v>910</v>
      </c>
      <c r="AF2593" s="12">
        <v>44967</v>
      </c>
      <c r="AJ2593" s="10">
        <f>-1.3255*8.17^2+193.01*8.17-127.15</f>
        <v>1361.2660330499998</v>
      </c>
      <c r="AK2593" s="10">
        <f>-0.215*8.17^2+181.97*8.17-117.15</f>
        <v>1355.1938865</v>
      </c>
      <c r="AL2593" s="10" t="str">
        <f t="shared" si="290"/>
        <v>FALSE</v>
      </c>
      <c r="AM2593" s="10" t="str">
        <f t="shared" si="290"/>
        <v>FALSE</v>
      </c>
      <c r="AN2593" s="10" t="str">
        <f t="shared" si="290"/>
        <v>FALSE</v>
      </c>
      <c r="AO2593" s="10" t="str">
        <f t="shared" si="291"/>
        <v>y=-1.3255*8.17^2+193.01*8.17-127.15</v>
      </c>
      <c r="AP2593" s="10" t="str">
        <f t="shared" si="291"/>
        <v>y=-0.215*8.17^2+181.97*8.17-117.15</v>
      </c>
      <c r="AQ2593" s="10" t="b">
        <f>IF(AND(I2593="TP",S2593&lt;=150),VLOOKUP(AF2593,TPCalibEq150!$AZ$2:$BB$55,3,),IF(AND(I2593="TDP",S2593&lt;=150),VLOOKUP(AF2593,TPCalibEq150!$AZ$2:$BB$55,3,)))</f>
        <v>0</v>
      </c>
      <c r="AR2593" s="10" t="b">
        <f>IF(AND(I2593="TP",S2593&lt;=300),VLOOKUP(AF2593,TPCalibEq300!$AZ$2:$BB$55,3,),IF(AND(I2593="TDP",S2593&lt;=300),VLOOKUP(AF2593,TPCalibEq300!$AZ$2:$BB$55,3,)))</f>
        <v>0</v>
      </c>
      <c r="AS2593" s="10" t="b">
        <f>IF(AND(I2593="TP",S2593&lt;=500),VLOOKUP(AF2593,TPCalibEq500!$AZ$2:$BB$56,3,),IF(AND(I2593="TDP",S2593&lt;=500),VLOOKUP(AF2593,TPCalibEq500!$AZ$2:$BB$56,3,)))</f>
        <v>0</v>
      </c>
      <c r="AT2593" s="10" t="str">
        <f>IF(AND(I2593="TN",S2593&lt;=2800),VLOOKUP(AF2593,TNCalibEq2500!$AZ$2:$BB$56,3,),IF(AND(I2593="TDN",S2593&lt;=2800),VLOOKUP(AF2593,TNCalibEq2500!$AZ$2:$BB$56,3,)))</f>
        <v>y=-1.3255x2+193.01x-127.15</v>
      </c>
      <c r="AU2593" s="10" t="str">
        <f>IF(I2593="TP",VLOOKUP(AF2593,TPCalibEqFull!$AZ$2:$BB$56,3),IF(I2593="TDP",VLOOKUP(AF2593,TPCalibEqFull!$AZ$2:$BB$56,3),IF(I2593="TDN",VLOOKUP(AF2593,TNCalibEqFull!$AZ$1:$BB$56,3),IF(I2593="TN",VLOOKUP(AF2593,TNCalibEqFull!$AZ$1:$BB$56,3),FALSE))))</f>
        <v>y=-0.215x2+181.97x-117.15</v>
      </c>
      <c r="AV2593" s="10" t="str">
        <f t="shared" si="296"/>
        <v>0206 10:47:00-EAW-0-C-1-SW-UKN</v>
      </c>
    </row>
    <row r="2594" spans="1:48" s="10" customFormat="1" x14ac:dyDescent="0.55000000000000004">
      <c r="A2594" s="32">
        <v>44963</v>
      </c>
      <c r="B2594" s="33">
        <v>0.4604166666666667</v>
      </c>
      <c r="C2594" s="10" t="s">
        <v>613</v>
      </c>
      <c r="D2594" s="10">
        <v>0</v>
      </c>
      <c r="E2594" s="10" t="s">
        <v>190</v>
      </c>
      <c r="F2594" s="10">
        <v>1</v>
      </c>
      <c r="G2594" s="10" t="s">
        <v>231</v>
      </c>
      <c r="H2594" s="10" t="s">
        <v>322</v>
      </c>
      <c r="I2594" s="10" t="s">
        <v>235</v>
      </c>
      <c r="J2594" s="10">
        <v>19</v>
      </c>
      <c r="K2594" s="12">
        <v>44967</v>
      </c>
      <c r="L2594" s="33">
        <v>0.42124999999999996</v>
      </c>
      <c r="M2594" s="10">
        <v>1</v>
      </c>
      <c r="N2594" s="10" t="s">
        <v>196</v>
      </c>
      <c r="O2594" s="10">
        <v>3.97</v>
      </c>
      <c r="P2594" s="10">
        <v>0.193</v>
      </c>
      <c r="Q2594" s="10">
        <v>597</v>
      </c>
      <c r="R2594" s="10" t="s">
        <v>170</v>
      </c>
      <c r="S2594" s="34">
        <f t="shared" si="293"/>
        <v>618.20862705000002</v>
      </c>
      <c r="T2594" s="10" t="s">
        <v>1185</v>
      </c>
      <c r="U2594" s="34" t="str">
        <f t="shared" si="294"/>
        <v/>
      </c>
      <c r="V2594" s="31" t="str">
        <f>IF(H2594="CHK",VLOOKUP(I2594,QCCHK,3,),IF(H2594="GUP",VLOOKUP(E2594,QCGUP,2,),IF(AND(H2594="ATP",OR(I2594="TN",I2594="TDN",I2594="TNO2-3",I2594="NO2-3")),VLOOKUP(E2594,QCREC_N,2,),IF(AND(H2594="NIC",OR(I2594="TN",I2594="TDN",I2594="TNO2-3",I2594="NO2-3")),VLOOKUP(E2594,QCNIC_N,2,),IF(AND(H2594="UREA",OR(I2594="TN",I2594="TDN",I2594="TNO2-3",I2594="NO2-3")),VLOOKUP(E2594,QCUREA_N,2,),IF(H2594="PER",VLOOKUP(I2594,QCPER,MATCH(E2594,QCACTUAL!$J$25:$AA$25,0),),IF(H2594="SPK",VLOOKUP(I2594,QCSPK,3,),IF(AND(H2594="ATP",OR(I2594="TP",I2594="TDP")),VLOOKUP(E2594,QCATP_P,2,),""))))))))</f>
        <v/>
      </c>
      <c r="W2594" s="31" t="str">
        <f t="shared" si="295"/>
        <v>TRUE</v>
      </c>
      <c r="X2594" s="31" t="str">
        <f t="shared" si="292"/>
        <v/>
      </c>
      <c r="Y2594" s="10" t="s">
        <v>1178</v>
      </c>
      <c r="Z2594" s="10" t="s">
        <v>910</v>
      </c>
      <c r="AF2594" s="12">
        <v>44967</v>
      </c>
      <c r="AJ2594" s="10">
        <f>-1.3255*3.97^2+193.01*3.97-127.15</f>
        <v>618.20862705000002</v>
      </c>
      <c r="AK2594" s="10">
        <f>-0.215*3.97^2+181.97*3.97-117.15</f>
        <v>601.88230650000014</v>
      </c>
      <c r="AL2594" s="10" t="str">
        <f t="shared" si="290"/>
        <v>FALSE</v>
      </c>
      <c r="AM2594" s="10" t="str">
        <f t="shared" si="290"/>
        <v>FALSE</v>
      </c>
      <c r="AN2594" s="10" t="str">
        <f t="shared" si="290"/>
        <v>FALSE</v>
      </c>
      <c r="AO2594" s="10" t="str">
        <f t="shared" si="291"/>
        <v>y=-1.3255*3.97^2+193.01*3.97-127.15</v>
      </c>
      <c r="AP2594" s="10" t="str">
        <f t="shared" si="291"/>
        <v>y=-0.215*3.97^2+181.97*3.97-117.15</v>
      </c>
      <c r="AQ2594" s="10" t="b">
        <f>IF(AND(I2594="TP",S2594&lt;=150),VLOOKUP(AF2594,TPCalibEq150!$AZ$2:$BB$55,3,),IF(AND(I2594="TDP",S2594&lt;=150),VLOOKUP(AF2594,TPCalibEq150!$AZ$2:$BB$55,3,)))</f>
        <v>0</v>
      </c>
      <c r="AR2594" s="10" t="b">
        <f>IF(AND(I2594="TP",S2594&lt;=300),VLOOKUP(AF2594,TPCalibEq300!$AZ$2:$BB$55,3,),IF(AND(I2594="TDP",S2594&lt;=300),VLOOKUP(AF2594,TPCalibEq300!$AZ$2:$BB$55,3,)))</f>
        <v>0</v>
      </c>
      <c r="AS2594" s="10" t="b">
        <f>IF(AND(I2594="TP",S2594&lt;=500),VLOOKUP(AF2594,TPCalibEq500!$AZ$2:$BB$56,3,),IF(AND(I2594="TDP",S2594&lt;=500),VLOOKUP(AF2594,TPCalibEq500!$AZ$2:$BB$56,3,)))</f>
        <v>0</v>
      </c>
      <c r="AT2594" s="10" t="str">
        <f>IF(AND(I2594="TN",S2594&lt;=2800),VLOOKUP(AF2594,TNCalibEq2500!$AZ$2:$BB$56,3,),IF(AND(I2594="TDN",S2594&lt;=2800),VLOOKUP(AF2594,TNCalibEq2500!$AZ$2:$BB$56,3,)))</f>
        <v>y=-1.3255x2+193.01x-127.15</v>
      </c>
      <c r="AU2594" s="10" t="str">
        <f>IF(I2594="TP",VLOOKUP(AF2594,TPCalibEqFull!$AZ$2:$BB$56,3),IF(I2594="TDP",VLOOKUP(AF2594,TPCalibEqFull!$AZ$2:$BB$56,3),IF(I2594="TDN",VLOOKUP(AF2594,TNCalibEqFull!$AZ$1:$BB$56,3),IF(I2594="TN",VLOOKUP(AF2594,TNCalibEqFull!$AZ$1:$BB$56,3),FALSE))))</f>
        <v>y=-0.215x2+181.97x-117.15</v>
      </c>
      <c r="AV2594" s="10" t="str">
        <f t="shared" si="296"/>
        <v>0206 11:03:00-FVC-0-C-1-SW-UKN</v>
      </c>
    </row>
    <row r="2595" spans="1:48" s="10" customFormat="1" x14ac:dyDescent="0.55000000000000004">
      <c r="A2595" s="32">
        <v>44963</v>
      </c>
      <c r="B2595" s="33">
        <v>0.4604166666666667</v>
      </c>
      <c r="C2595" s="10" t="s">
        <v>613</v>
      </c>
      <c r="D2595" s="10">
        <v>0</v>
      </c>
      <c r="E2595" s="10" t="s">
        <v>190</v>
      </c>
      <c r="F2595" s="10">
        <v>2</v>
      </c>
      <c r="G2595" s="10" t="s">
        <v>231</v>
      </c>
      <c r="H2595" s="10" t="s">
        <v>322</v>
      </c>
      <c r="I2595" s="10" t="s">
        <v>235</v>
      </c>
      <c r="J2595" s="10">
        <v>20</v>
      </c>
      <c r="K2595" s="12">
        <v>44967</v>
      </c>
      <c r="L2595" s="33">
        <v>0.42192129629629632</v>
      </c>
      <c r="M2595" s="10">
        <v>1</v>
      </c>
      <c r="N2595" s="10" t="s">
        <v>196</v>
      </c>
      <c r="O2595" s="10">
        <v>3.93</v>
      </c>
      <c r="P2595" s="10">
        <v>0.191</v>
      </c>
      <c r="Q2595" s="10">
        <v>590</v>
      </c>
      <c r="R2595" s="10" t="s">
        <v>170</v>
      </c>
      <c r="S2595" s="34">
        <f t="shared" si="293"/>
        <v>610.90708505000009</v>
      </c>
      <c r="T2595" s="10" t="s">
        <v>1185</v>
      </c>
      <c r="U2595" s="34" t="str">
        <f t="shared" si="294"/>
        <v/>
      </c>
      <c r="V2595" s="31" t="str">
        <f>IF(H2595="CHK",VLOOKUP(I2595,QCCHK,3,),IF(H2595="GUP",VLOOKUP(E2595,QCGUP,2,),IF(AND(H2595="ATP",OR(I2595="TN",I2595="TDN",I2595="TNO2-3",I2595="NO2-3")),VLOOKUP(E2595,QCREC_N,2,),IF(AND(H2595="NIC",OR(I2595="TN",I2595="TDN",I2595="TNO2-3",I2595="NO2-3")),VLOOKUP(E2595,QCNIC_N,2,),IF(AND(H2595="UREA",OR(I2595="TN",I2595="TDN",I2595="TNO2-3",I2595="NO2-3")),VLOOKUP(E2595,QCUREA_N,2,),IF(H2595="PER",VLOOKUP(I2595,QCPER,MATCH(E2595,QCACTUAL!$J$25:$AA$25,0),),IF(H2595="SPK",VLOOKUP(I2595,QCSPK,3,),IF(AND(H2595="ATP",OR(I2595="TP",I2595="TDP")),VLOOKUP(E2595,QCATP_P,2,),""))))))))</f>
        <v/>
      </c>
      <c r="W2595" s="31" t="str">
        <f t="shared" si="295"/>
        <v>TRUE</v>
      </c>
      <c r="X2595" s="31" t="str">
        <f t="shared" si="292"/>
        <v/>
      </c>
      <c r="Y2595" s="10" t="s">
        <v>1178</v>
      </c>
      <c r="Z2595" s="10" t="s">
        <v>910</v>
      </c>
      <c r="AF2595" s="12">
        <v>44967</v>
      </c>
      <c r="AJ2595" s="10">
        <f>-1.3255*3.93^2+193.01*3.93-127.15</f>
        <v>610.90708505000009</v>
      </c>
      <c r="AK2595" s="10">
        <f>-0.215*3.93^2+181.97*3.93-117.15</f>
        <v>594.6714465</v>
      </c>
      <c r="AL2595" s="10" t="str">
        <f t="shared" si="290"/>
        <v>FALSE</v>
      </c>
      <c r="AM2595" s="10" t="str">
        <f t="shared" si="290"/>
        <v>FALSE</v>
      </c>
      <c r="AN2595" s="10" t="str">
        <f t="shared" si="290"/>
        <v>FALSE</v>
      </c>
      <c r="AO2595" s="10" t="str">
        <f t="shared" si="291"/>
        <v>y=-1.3255*3.93^2+193.01*3.93-127.15</v>
      </c>
      <c r="AP2595" s="10" t="str">
        <f t="shared" si="291"/>
        <v>y=-0.215*3.93^2+181.97*3.93-117.15</v>
      </c>
      <c r="AQ2595" s="10" t="b">
        <f>IF(AND(I2595="TP",S2595&lt;=150),VLOOKUP(AF2595,TPCalibEq150!$AZ$2:$BB$55,3,),IF(AND(I2595="TDP",S2595&lt;=150),VLOOKUP(AF2595,TPCalibEq150!$AZ$2:$BB$55,3,)))</f>
        <v>0</v>
      </c>
      <c r="AR2595" s="10" t="b">
        <f>IF(AND(I2595="TP",S2595&lt;=300),VLOOKUP(AF2595,TPCalibEq300!$AZ$2:$BB$55,3,),IF(AND(I2595="TDP",S2595&lt;=300),VLOOKUP(AF2595,TPCalibEq300!$AZ$2:$BB$55,3,)))</f>
        <v>0</v>
      </c>
      <c r="AS2595" s="10" t="b">
        <f>IF(AND(I2595="TP",S2595&lt;=500),VLOOKUP(AF2595,TPCalibEq500!$AZ$2:$BB$56,3,),IF(AND(I2595="TDP",S2595&lt;=500),VLOOKUP(AF2595,TPCalibEq500!$AZ$2:$BB$56,3,)))</f>
        <v>0</v>
      </c>
      <c r="AT2595" s="10" t="str">
        <f>IF(AND(I2595="TN",S2595&lt;=2800),VLOOKUP(AF2595,TNCalibEq2500!$AZ$2:$BB$56,3,),IF(AND(I2595="TDN",S2595&lt;=2800),VLOOKUP(AF2595,TNCalibEq2500!$AZ$2:$BB$56,3,)))</f>
        <v>y=-1.3255x2+193.01x-127.15</v>
      </c>
      <c r="AU2595" s="10" t="str">
        <f>IF(I2595="TP",VLOOKUP(AF2595,TPCalibEqFull!$AZ$2:$BB$56,3),IF(I2595="TDP",VLOOKUP(AF2595,TPCalibEqFull!$AZ$2:$BB$56,3),IF(I2595="TDN",VLOOKUP(AF2595,TNCalibEqFull!$AZ$1:$BB$56,3),IF(I2595="TN",VLOOKUP(AF2595,TNCalibEqFull!$AZ$1:$BB$56,3),FALSE))))</f>
        <v>y=-0.215x2+181.97x-117.15</v>
      </c>
      <c r="AV2595" s="10" t="str">
        <f t="shared" si="296"/>
        <v>0206 11:03:00-FVC-0-C-2-SW-UKN</v>
      </c>
    </row>
    <row r="2596" spans="1:48" s="10" customFormat="1" x14ac:dyDescent="0.55000000000000004">
      <c r="A2596" s="32">
        <v>44963</v>
      </c>
      <c r="B2596" s="33">
        <v>0.4604166666666667</v>
      </c>
      <c r="C2596" s="10" t="s">
        <v>613</v>
      </c>
      <c r="D2596" s="10">
        <v>0</v>
      </c>
      <c r="E2596" s="10" t="s">
        <v>190</v>
      </c>
      <c r="F2596" s="10">
        <v>2</v>
      </c>
      <c r="G2596" s="10" t="s">
        <v>231</v>
      </c>
      <c r="H2596" s="10" t="s">
        <v>233</v>
      </c>
      <c r="I2596" s="10" t="s">
        <v>235</v>
      </c>
      <c r="J2596" s="10">
        <v>20</v>
      </c>
      <c r="K2596" s="12">
        <v>44967</v>
      </c>
      <c r="L2596" s="33">
        <v>0.42259259259259258</v>
      </c>
      <c r="M2596" s="10">
        <v>1</v>
      </c>
      <c r="N2596" s="10" t="s">
        <v>196</v>
      </c>
      <c r="O2596" s="10">
        <v>3.92</v>
      </c>
      <c r="P2596" s="10">
        <v>0.191</v>
      </c>
      <c r="Q2596" s="10">
        <v>588</v>
      </c>
      <c r="R2596" s="10" t="s">
        <v>170</v>
      </c>
      <c r="S2596" s="34">
        <f t="shared" si="293"/>
        <v>609.08103679999999</v>
      </c>
      <c r="T2596" s="10" t="s">
        <v>1185</v>
      </c>
      <c r="U2596" s="34">
        <f t="shared" si="294"/>
        <v>0.29935508670872379</v>
      </c>
      <c r="V2596" s="31" t="str">
        <f>IF(H2596="CHK",VLOOKUP(I2596,QCCHK,3,),IF(H2596="GUP",VLOOKUP(E2596,QCGUP,2,),IF(AND(H2596="ATP",OR(I2596="TN",I2596="TDN",I2596="TNO2-3",I2596="NO2-3")),VLOOKUP(E2596,QCREC_N,2,),IF(AND(H2596="NIC",OR(I2596="TN",I2596="TDN",I2596="TNO2-3",I2596="NO2-3")),VLOOKUP(E2596,QCNIC_N,2,),IF(AND(H2596="UREA",OR(I2596="TN",I2596="TDN",I2596="TNO2-3",I2596="NO2-3")),VLOOKUP(E2596,QCUREA_N,2,),IF(H2596="PER",VLOOKUP(I2596,QCPER,MATCH(E2596,QCACTUAL!$J$25:$AA$25,0),),IF(H2596="SPK",VLOOKUP(I2596,QCSPK,3,),IF(AND(H2596="ATP",OR(I2596="TP",I2596="TDP")),VLOOKUP(E2596,QCATP_P,2,),""))))))))</f>
        <v/>
      </c>
      <c r="W2596" s="31" t="str">
        <f t="shared" si="295"/>
        <v>TRUE</v>
      </c>
      <c r="X2596" s="31" t="str">
        <f t="shared" si="292"/>
        <v>((ABS(rep1-rep2))/((rep1+rep2)/2)*100</v>
      </c>
      <c r="Y2596" s="10" t="s">
        <v>1178</v>
      </c>
      <c r="Z2596" s="10" t="s">
        <v>910</v>
      </c>
      <c r="AF2596" s="12">
        <v>44967</v>
      </c>
      <c r="AJ2596" s="10">
        <f>-1.3255*3.92^2+193.01*3.92-127.15</f>
        <v>609.08103679999999</v>
      </c>
      <c r="AK2596" s="10">
        <f>-0.215*3.92^2+181.97*3.92-117.15</f>
        <v>592.86862400000007</v>
      </c>
      <c r="AL2596" s="10" t="str">
        <f t="shared" si="290"/>
        <v>FALSE</v>
      </c>
      <c r="AM2596" s="10" t="str">
        <f t="shared" si="290"/>
        <v>FALSE</v>
      </c>
      <c r="AN2596" s="10" t="str">
        <f t="shared" si="290"/>
        <v>FALSE</v>
      </c>
      <c r="AO2596" s="10" t="str">
        <f t="shared" si="291"/>
        <v>y=-1.3255*3.92^2+193.01*3.92-127.15</v>
      </c>
      <c r="AP2596" s="10" t="str">
        <f t="shared" si="291"/>
        <v>y=-0.215*3.92^2+181.97*3.92-117.15</v>
      </c>
      <c r="AQ2596" s="10" t="b">
        <f>IF(AND(I2596="TP",S2596&lt;=150),VLOOKUP(AF2596,TPCalibEq150!$AZ$2:$BB$55,3,),IF(AND(I2596="TDP",S2596&lt;=150),VLOOKUP(AF2596,TPCalibEq150!$AZ$2:$BB$55,3,)))</f>
        <v>0</v>
      </c>
      <c r="AR2596" s="10" t="b">
        <f>IF(AND(I2596="TP",S2596&lt;=300),VLOOKUP(AF2596,TPCalibEq300!$AZ$2:$BB$55,3,),IF(AND(I2596="TDP",S2596&lt;=300),VLOOKUP(AF2596,TPCalibEq300!$AZ$2:$BB$55,3,)))</f>
        <v>0</v>
      </c>
      <c r="AS2596" s="10" t="b">
        <f>IF(AND(I2596="TP",S2596&lt;=500),VLOOKUP(AF2596,TPCalibEq500!$AZ$2:$BB$56,3,),IF(AND(I2596="TDP",S2596&lt;=500),VLOOKUP(AF2596,TPCalibEq500!$AZ$2:$BB$56,3,)))</f>
        <v>0</v>
      </c>
      <c r="AT2596" s="10" t="str">
        <f>IF(AND(I2596="TN",S2596&lt;=2800),VLOOKUP(AF2596,TNCalibEq2500!$AZ$2:$BB$56,3,),IF(AND(I2596="TDN",S2596&lt;=2800),VLOOKUP(AF2596,TNCalibEq2500!$AZ$2:$BB$56,3,)))</f>
        <v>y=-1.3255x2+193.01x-127.15</v>
      </c>
      <c r="AU2596" s="10" t="str">
        <f>IF(I2596="TP",VLOOKUP(AF2596,TPCalibEqFull!$AZ$2:$BB$56,3),IF(I2596="TDP",VLOOKUP(AF2596,TPCalibEqFull!$AZ$2:$BB$56,3),IF(I2596="TDN",VLOOKUP(AF2596,TNCalibEqFull!$AZ$1:$BB$56,3),IF(I2596="TN",VLOOKUP(AF2596,TNCalibEqFull!$AZ$1:$BB$56,3),FALSE))))</f>
        <v>y=-0.215x2+181.97x-117.15</v>
      </c>
      <c r="AV2596" s="10" t="str">
        <f t="shared" si="296"/>
        <v>0206 11:03:00-FVC-0-C-2-SW-DUP</v>
      </c>
    </row>
    <row r="2597" spans="1:48" s="10" customFormat="1" x14ac:dyDescent="0.55000000000000004">
      <c r="A2597" s="32">
        <v>44963</v>
      </c>
      <c r="B2597" s="33">
        <v>0.4604166666666667</v>
      </c>
      <c r="C2597" s="10" t="s">
        <v>613</v>
      </c>
      <c r="D2597" s="10">
        <v>0</v>
      </c>
      <c r="E2597" s="10" t="s">
        <v>190</v>
      </c>
      <c r="F2597" s="10">
        <v>2</v>
      </c>
      <c r="G2597" s="10" t="s">
        <v>231</v>
      </c>
      <c r="H2597" s="10" t="s">
        <v>314</v>
      </c>
      <c r="I2597" s="10" t="s">
        <v>235</v>
      </c>
      <c r="J2597" s="10">
        <v>120</v>
      </c>
      <c r="K2597" s="12">
        <v>44967</v>
      </c>
      <c r="L2597" s="33">
        <v>0.42326388888888888</v>
      </c>
      <c r="M2597" s="10">
        <v>1</v>
      </c>
      <c r="N2597" s="10" t="s">
        <v>196</v>
      </c>
      <c r="O2597" s="10">
        <v>17.5</v>
      </c>
      <c r="P2597" s="10">
        <v>0.85099999999999998</v>
      </c>
      <c r="Q2597" s="10">
        <v>2990</v>
      </c>
      <c r="R2597" s="10" t="s">
        <v>170</v>
      </c>
      <c r="S2597" s="34">
        <f t="shared" si="293"/>
        <v>3001.4812499999998</v>
      </c>
      <c r="T2597" s="10" t="s">
        <v>1185</v>
      </c>
      <c r="U2597" s="34">
        <f t="shared" si="294"/>
        <v>95.696008527999993</v>
      </c>
      <c r="V2597" s="31">
        <f>IF(H2597="CHK",VLOOKUP(I2597,QCCHK,3,),IF(H2597="GUP",VLOOKUP(E2597,QCGUP,2,),IF(AND(H2597="ATP",OR(I2597="TN",I2597="TDN",I2597="TNO2-3",I2597="NO2-3")),VLOOKUP(E2597,QCREC_N,2,),IF(AND(H2597="NIC",OR(I2597="TN",I2597="TDN",I2597="TNO2-3",I2597="NO2-3")),VLOOKUP(E2597,QCNIC_N,2,),IF(AND(H2597="UREA",OR(I2597="TN",I2597="TDN",I2597="TNO2-3",I2597="NO2-3")),VLOOKUP(E2597,QCUREA_N,2,),IF(H2597="PER",VLOOKUP(I2597,QCPER,MATCH(E2597,QCACTUAL!$J$25:$AA$25,0),),IF(H2597="SPK",VLOOKUP(I2597,QCSPK,3,),IF(AND(H2597="ATP",OR(I2597="TP",I2597="TDP")),VLOOKUP(E2597,QCATP_P,2,),""))))))))</f>
        <v>2500</v>
      </c>
      <c r="W2597" s="31" t="str">
        <f t="shared" si="295"/>
        <v>TRUE</v>
      </c>
      <c r="X2597" s="31" t="str">
        <f t="shared" si="292"/>
        <v>([spikedunkn]-[unkn])/[spike]*100</v>
      </c>
      <c r="Y2597" s="10" t="s">
        <v>1178</v>
      </c>
      <c r="Z2597" s="10" t="s">
        <v>910</v>
      </c>
      <c r="AF2597" s="12">
        <v>44967</v>
      </c>
      <c r="AK2597" s="10">
        <f>-0.215*17.5^2+181.97*17.5-117.15</f>
        <v>3001.4812499999998</v>
      </c>
      <c r="AL2597" s="10" t="str">
        <f t="shared" si="290"/>
        <v>FALSE</v>
      </c>
      <c r="AM2597" s="10" t="str">
        <f t="shared" si="290"/>
        <v>FALSE</v>
      </c>
      <c r="AN2597" s="10" t="str">
        <f t="shared" si="290"/>
        <v>FALSE</v>
      </c>
      <c r="AO2597" s="10" t="str">
        <f t="shared" si="291"/>
        <v>FALSE</v>
      </c>
      <c r="AP2597" s="10" t="str">
        <f t="shared" si="291"/>
        <v>y=-0.215*17.5^2+181.97*17.5-117.15</v>
      </c>
      <c r="AQ2597" s="10" t="b">
        <f>IF(AND(I2597="TP",S2597&lt;=150),VLOOKUP(AF2597,TPCalibEq150!$AZ$2:$BB$55,3,),IF(AND(I2597="TDP",S2597&lt;=150),VLOOKUP(AF2597,TPCalibEq150!$AZ$2:$BB$55,3,)))</f>
        <v>0</v>
      </c>
      <c r="AR2597" s="10" t="b">
        <f>IF(AND(I2597="TP",S2597&lt;=300),VLOOKUP(AF2597,TPCalibEq300!$AZ$2:$BB$55,3,),IF(AND(I2597="TDP",S2597&lt;=300),VLOOKUP(AF2597,TPCalibEq300!$AZ$2:$BB$55,3,)))</f>
        <v>0</v>
      </c>
      <c r="AS2597" s="10" t="b">
        <f>IF(AND(I2597="TP",S2597&lt;=500),VLOOKUP(AF2597,TPCalibEq500!$AZ$2:$BB$56,3,),IF(AND(I2597="TDP",S2597&lt;=500),VLOOKUP(AF2597,TPCalibEq500!$AZ$2:$BB$56,3,)))</f>
        <v>0</v>
      </c>
      <c r="AT2597" s="10" t="b">
        <f>IF(AND(I2597="TN",S2597&lt;=2800),VLOOKUP(AF2597,TNCalibEq2500!$AZ$2:$BB$56,3,),IF(AND(I2597="TDN",S2597&lt;=2800),VLOOKUP(AF2597,TNCalibEq2500!$AZ$2:$BB$56,3,)))</f>
        <v>0</v>
      </c>
      <c r="AU2597" s="10" t="str">
        <f>IF(I2597="TP",VLOOKUP(AF2597,TPCalibEqFull!$AZ$2:$BB$56,3),IF(I2597="TDP",VLOOKUP(AF2597,TPCalibEqFull!$AZ$2:$BB$56,3),IF(I2597="TDN",VLOOKUP(AF2597,TNCalibEqFull!$AZ$1:$BB$56,3),IF(I2597="TN",VLOOKUP(AF2597,TNCalibEqFull!$AZ$1:$BB$56,3),FALSE))))</f>
        <v>y=-0.215x2+181.97x-117.15</v>
      </c>
      <c r="AV2597" s="10" t="str">
        <f t="shared" si="296"/>
        <v>0206 11:03:00-FVC-0-C-2-SW-SPK</v>
      </c>
    </row>
    <row r="2598" spans="1:48" s="10" customFormat="1" x14ac:dyDescent="0.55000000000000004">
      <c r="A2598" s="32">
        <v>44966</v>
      </c>
      <c r="B2598" s="33">
        <v>0.375</v>
      </c>
      <c r="C2598" s="10" t="s">
        <v>70</v>
      </c>
      <c r="D2598" s="10" t="s">
        <v>71</v>
      </c>
      <c r="E2598" s="10" t="s">
        <v>901</v>
      </c>
      <c r="F2598" s="10">
        <v>1</v>
      </c>
      <c r="G2598" s="10" t="s">
        <v>73</v>
      </c>
      <c r="H2598" s="10" t="s">
        <v>207</v>
      </c>
      <c r="I2598" s="10" t="s">
        <v>235</v>
      </c>
      <c r="J2598" s="10">
        <v>200</v>
      </c>
      <c r="K2598" s="12">
        <v>44967</v>
      </c>
      <c r="L2598" s="33">
        <v>0.42393518518518519</v>
      </c>
      <c r="M2598" s="10">
        <v>1</v>
      </c>
      <c r="N2598" s="10" t="s">
        <v>196</v>
      </c>
      <c r="O2598" s="10">
        <v>7.4</v>
      </c>
      <c r="P2598" s="10">
        <v>0.36299999999999999</v>
      </c>
      <c r="Q2598" s="10">
        <v>1200</v>
      </c>
      <c r="R2598" s="10" t="s">
        <v>170</v>
      </c>
      <c r="S2598" s="34">
        <f t="shared" si="293"/>
        <v>1228.53962</v>
      </c>
      <c r="T2598" s="10" t="s">
        <v>1185</v>
      </c>
      <c r="U2598" s="34">
        <f t="shared" si="294"/>
        <v>98.283169599999994</v>
      </c>
      <c r="V2598" s="31">
        <f>IF(H2598="CHK",VLOOKUP(I2598,QCCHK,3,),IF(H2598="GUP",VLOOKUP(E2598,QCGUP,2,),IF(AND(H2598="ATP",OR(I2598="TN",I2598="TDN",I2598="TNO2-3",I2598="NO2-3")),VLOOKUP(E2598,QCREC_N,2,),IF(AND(H2598="NIC",OR(I2598="TN",I2598="TDN",I2598="TNO2-3",I2598="NO2-3")),VLOOKUP(E2598,QCNIC_N,2,),IF(AND(H2598="UREA",OR(I2598="TN",I2598="TDN",I2598="TNO2-3",I2598="NO2-3")),VLOOKUP(E2598,QCUREA_N,2,),IF(H2598="PER",VLOOKUP(I2598,QCPER,MATCH(E2598,QCACTUAL!$J$25:$AA$25,0),),IF(H2598="SPK",VLOOKUP(I2598,QCSPK,3,),IF(AND(H2598="ATP",OR(I2598="TP",I2598="TDP")),VLOOKUP(E2598,QCATP_P,2,),""))))))))</f>
        <v>1250</v>
      </c>
      <c r="W2598" s="31" t="str">
        <f t="shared" si="295"/>
        <v>TRUE</v>
      </c>
      <c r="X2598" s="31" t="str">
        <f t="shared" si="292"/>
        <v>[chk]/[actual]*100</v>
      </c>
      <c r="Y2598" s="10" t="s">
        <v>1178</v>
      </c>
      <c r="AF2598" s="12">
        <v>44967</v>
      </c>
      <c r="AJ2598" s="10">
        <f>-1.3255*7.4^2+193.01*7.4-127.15</f>
        <v>1228.53962</v>
      </c>
      <c r="AK2598" s="10">
        <f>-0.215*7.4^2+181.97*7.4-117.15</f>
        <v>1217.6545999999998</v>
      </c>
      <c r="AL2598" s="10" t="str">
        <f t="shared" si="290"/>
        <v>FALSE</v>
      </c>
      <c r="AM2598" s="10" t="str">
        <f t="shared" si="290"/>
        <v>FALSE</v>
      </c>
      <c r="AN2598" s="10" t="str">
        <f t="shared" si="290"/>
        <v>FALSE</v>
      </c>
      <c r="AO2598" s="10" t="str">
        <f t="shared" si="291"/>
        <v>y=-1.3255*7.4^2+193.01*7.4-127.15</v>
      </c>
      <c r="AP2598" s="10" t="str">
        <f t="shared" si="291"/>
        <v>y=-0.215*7.4^2+181.97*7.4-117.15</v>
      </c>
      <c r="AQ2598" s="10" t="b">
        <f>IF(AND(I2598="TP",S2598&lt;=150),VLOOKUP(AF2598,TPCalibEq150!$AZ$2:$BB$55,3,),IF(AND(I2598="TDP",S2598&lt;=150),VLOOKUP(AF2598,TPCalibEq150!$AZ$2:$BB$55,3,)))</f>
        <v>0</v>
      </c>
      <c r="AR2598" s="10" t="b">
        <f>IF(AND(I2598="TP",S2598&lt;=300),VLOOKUP(AF2598,TPCalibEq300!$AZ$2:$BB$55,3,),IF(AND(I2598="TDP",S2598&lt;=300),VLOOKUP(AF2598,TPCalibEq300!$AZ$2:$BB$55,3,)))</f>
        <v>0</v>
      </c>
      <c r="AS2598" s="10" t="b">
        <f>IF(AND(I2598="TP",S2598&lt;=500),VLOOKUP(AF2598,TPCalibEq500!$AZ$2:$BB$56,3,),IF(AND(I2598="TDP",S2598&lt;=500),VLOOKUP(AF2598,TPCalibEq500!$AZ$2:$BB$56,3,)))</f>
        <v>0</v>
      </c>
      <c r="AT2598" s="10" t="str">
        <f>IF(AND(I2598="TN",S2598&lt;=2800),VLOOKUP(AF2598,TNCalibEq2500!$AZ$2:$BB$56,3,),IF(AND(I2598="TDN",S2598&lt;=2800),VLOOKUP(AF2598,TNCalibEq2500!$AZ$2:$BB$56,3,)))</f>
        <v>y=-1.3255x2+193.01x-127.15</v>
      </c>
      <c r="AU2598" s="10" t="str">
        <f>IF(I2598="TP",VLOOKUP(AF2598,TPCalibEqFull!$AZ$2:$BB$56,3),IF(I2598="TDP",VLOOKUP(AF2598,TPCalibEqFull!$AZ$2:$BB$56,3),IF(I2598="TDN",VLOOKUP(AF2598,TNCalibEqFull!$AZ$1:$BB$56,3),IF(I2598="TN",VLOOKUP(AF2598,TNCalibEqFull!$AZ$1:$BB$56,3),FALSE))))</f>
        <v>y=-0.215x2+181.97x-117.15</v>
      </c>
      <c r="AV2598" s="10" t="str">
        <f t="shared" si="296"/>
        <v>0209 09:00:00-QAC-STD-D-1-DI-CHK</v>
      </c>
    </row>
    <row r="2599" spans="1:48" s="10" customFormat="1" x14ac:dyDescent="0.55000000000000004">
      <c r="A2599" s="32">
        <v>44963</v>
      </c>
      <c r="B2599" s="33">
        <v>0.46875</v>
      </c>
      <c r="C2599" s="10" t="s">
        <v>250</v>
      </c>
      <c r="D2599" s="10">
        <v>0</v>
      </c>
      <c r="E2599" s="10" t="s">
        <v>190</v>
      </c>
      <c r="F2599" s="10">
        <v>1</v>
      </c>
      <c r="G2599" s="10" t="s">
        <v>231</v>
      </c>
      <c r="H2599" s="10" t="s">
        <v>322</v>
      </c>
      <c r="I2599" s="10" t="s">
        <v>235</v>
      </c>
      <c r="J2599" s="10">
        <v>21</v>
      </c>
      <c r="K2599" s="12">
        <v>44967</v>
      </c>
      <c r="L2599" s="33">
        <v>0.42460648148148145</v>
      </c>
      <c r="M2599" s="10">
        <v>1</v>
      </c>
      <c r="N2599" s="10" t="s">
        <v>196</v>
      </c>
      <c r="O2599" s="10">
        <v>8.2100000000000009</v>
      </c>
      <c r="P2599" s="10">
        <v>0.4</v>
      </c>
      <c r="Q2599" s="10">
        <v>1340</v>
      </c>
      <c r="R2599" s="10" t="s">
        <v>170</v>
      </c>
      <c r="S2599" s="34">
        <f t="shared" si="293"/>
        <v>1368.1179654499999</v>
      </c>
      <c r="T2599" s="10" t="s">
        <v>1185</v>
      </c>
      <c r="U2599" s="34" t="str">
        <f t="shared" si="294"/>
        <v/>
      </c>
      <c r="V2599" s="31" t="str">
        <f>IF(H2599="CHK",VLOOKUP(I2599,QCCHK,3,),IF(H2599="GUP",VLOOKUP(E2599,QCGUP,2,),IF(AND(H2599="ATP",OR(I2599="TN",I2599="TDN",I2599="TNO2-3",I2599="NO2-3")),VLOOKUP(E2599,QCREC_N,2,),IF(AND(H2599="NIC",OR(I2599="TN",I2599="TDN",I2599="TNO2-3",I2599="NO2-3")),VLOOKUP(E2599,QCNIC_N,2,),IF(AND(H2599="UREA",OR(I2599="TN",I2599="TDN",I2599="TNO2-3",I2599="NO2-3")),VLOOKUP(E2599,QCUREA_N,2,),IF(H2599="PER",VLOOKUP(I2599,QCPER,MATCH(E2599,QCACTUAL!$J$25:$AA$25,0),),IF(H2599="SPK",VLOOKUP(I2599,QCSPK,3,),IF(AND(H2599="ATP",OR(I2599="TP",I2599="TDP")),VLOOKUP(E2599,QCATP_P,2,),""))))))))</f>
        <v/>
      </c>
      <c r="W2599" s="31" t="str">
        <f t="shared" si="295"/>
        <v>TRUE</v>
      </c>
      <c r="X2599" s="31" t="str">
        <f t="shared" si="292"/>
        <v/>
      </c>
      <c r="Y2599" s="10" t="s">
        <v>1178</v>
      </c>
      <c r="Z2599" s="10" t="s">
        <v>910</v>
      </c>
      <c r="AF2599" s="12">
        <v>44967</v>
      </c>
      <c r="AJ2599" s="10">
        <f>-1.3255*8.21^2+193.01*8.21-127.15</f>
        <v>1368.1179654499999</v>
      </c>
      <c r="AK2599" s="10">
        <f>-0.215*8.21^2+181.97*8.21-117.15</f>
        <v>1362.3318185000001</v>
      </c>
      <c r="AL2599" s="10" t="str">
        <f t="shared" si="290"/>
        <v>FALSE</v>
      </c>
      <c r="AM2599" s="10" t="str">
        <f t="shared" si="290"/>
        <v>FALSE</v>
      </c>
      <c r="AN2599" s="10" t="str">
        <f t="shared" si="290"/>
        <v>FALSE</v>
      </c>
      <c r="AO2599" s="10" t="str">
        <f t="shared" si="291"/>
        <v>y=-1.3255*8.21^2+193.01*8.21-127.15</v>
      </c>
      <c r="AP2599" s="10" t="str">
        <f t="shared" si="291"/>
        <v>y=-0.215*8.21^2+181.97*8.21-117.15</v>
      </c>
      <c r="AQ2599" s="10" t="b">
        <f>IF(AND(I2599="TP",S2599&lt;=150),VLOOKUP(AF2599,TPCalibEq150!$AZ$2:$BB$55,3,),IF(AND(I2599="TDP",S2599&lt;=150),VLOOKUP(AF2599,TPCalibEq150!$AZ$2:$BB$55,3,)))</f>
        <v>0</v>
      </c>
      <c r="AR2599" s="10" t="b">
        <f>IF(AND(I2599="TP",S2599&lt;=300),VLOOKUP(AF2599,TPCalibEq300!$AZ$2:$BB$55,3,),IF(AND(I2599="TDP",S2599&lt;=300),VLOOKUP(AF2599,TPCalibEq300!$AZ$2:$BB$55,3,)))</f>
        <v>0</v>
      </c>
      <c r="AS2599" s="10" t="b">
        <f>IF(AND(I2599="TP",S2599&lt;=500),VLOOKUP(AF2599,TPCalibEq500!$AZ$2:$BB$56,3,),IF(AND(I2599="TDP",S2599&lt;=500),VLOOKUP(AF2599,TPCalibEq500!$AZ$2:$BB$56,3,)))</f>
        <v>0</v>
      </c>
      <c r="AT2599" s="10" t="str">
        <f>IF(AND(I2599="TN",S2599&lt;=2800),VLOOKUP(AF2599,TNCalibEq2500!$AZ$2:$BB$56,3,),IF(AND(I2599="TDN",S2599&lt;=2800),VLOOKUP(AF2599,TNCalibEq2500!$AZ$2:$BB$56,3,)))</f>
        <v>y=-1.3255x2+193.01x-127.15</v>
      </c>
      <c r="AU2599" s="10" t="str">
        <f>IF(I2599="TP",VLOOKUP(AF2599,TPCalibEqFull!$AZ$2:$BB$56,3),IF(I2599="TDP",VLOOKUP(AF2599,TPCalibEqFull!$AZ$2:$BB$56,3),IF(I2599="TDN",VLOOKUP(AF2599,TNCalibEqFull!$AZ$1:$BB$56,3),IF(I2599="TN",VLOOKUP(AF2599,TNCalibEqFull!$AZ$1:$BB$56,3),FALSE))))</f>
        <v>y=-0.215x2+181.97x-117.15</v>
      </c>
      <c r="AV2599" s="10" t="str">
        <f t="shared" si="296"/>
        <v>0206 11:15:00-EFB-0-C-1-SW-UKN</v>
      </c>
    </row>
    <row r="2600" spans="1:48" s="10" customFormat="1" x14ac:dyDescent="0.55000000000000004">
      <c r="A2600" s="32">
        <v>44963</v>
      </c>
      <c r="B2600" s="33">
        <v>0.47916666666666669</v>
      </c>
      <c r="C2600" s="10" t="s">
        <v>326</v>
      </c>
      <c r="D2600" s="10">
        <v>0</v>
      </c>
      <c r="E2600" s="10" t="s">
        <v>190</v>
      </c>
      <c r="F2600" s="10">
        <v>1</v>
      </c>
      <c r="G2600" s="10" t="s">
        <v>231</v>
      </c>
      <c r="H2600" s="10" t="s">
        <v>322</v>
      </c>
      <c r="I2600" s="10" t="s">
        <v>235</v>
      </c>
      <c r="J2600" s="10">
        <v>22</v>
      </c>
      <c r="K2600" s="12">
        <v>44967</v>
      </c>
      <c r="L2600" s="33">
        <v>0.42527777777777781</v>
      </c>
      <c r="M2600" s="10">
        <v>1</v>
      </c>
      <c r="N2600" s="10" t="s">
        <v>196</v>
      </c>
      <c r="O2600" s="10">
        <v>4.2300000000000004</v>
      </c>
      <c r="P2600" s="10">
        <v>0.20599999999999999</v>
      </c>
      <c r="Q2600" s="10">
        <v>642</v>
      </c>
      <c r="R2600" s="10" t="s">
        <v>170</v>
      </c>
      <c r="S2600" s="34">
        <f t="shared" si="293"/>
        <v>665.56526105000012</v>
      </c>
      <c r="T2600" s="10" t="s">
        <v>1185</v>
      </c>
      <c r="U2600" s="34" t="str">
        <f t="shared" si="294"/>
        <v/>
      </c>
      <c r="V2600" s="31" t="str">
        <f>IF(H2600="CHK",VLOOKUP(I2600,QCCHK,3,),IF(H2600="GUP",VLOOKUP(E2600,QCGUP,2,),IF(AND(H2600="ATP",OR(I2600="TN",I2600="TDN",I2600="TNO2-3",I2600="NO2-3")),VLOOKUP(E2600,QCREC_N,2,),IF(AND(H2600="NIC",OR(I2600="TN",I2600="TDN",I2600="TNO2-3",I2600="NO2-3")),VLOOKUP(E2600,QCNIC_N,2,),IF(AND(H2600="UREA",OR(I2600="TN",I2600="TDN",I2600="TNO2-3",I2600="NO2-3")),VLOOKUP(E2600,QCUREA_N,2,),IF(H2600="PER",VLOOKUP(I2600,QCPER,MATCH(E2600,QCACTUAL!$J$25:$AA$25,0),),IF(H2600="SPK",VLOOKUP(I2600,QCSPK,3,),IF(AND(H2600="ATP",OR(I2600="TP",I2600="TDP")),VLOOKUP(E2600,QCATP_P,2,),""))))))))</f>
        <v/>
      </c>
      <c r="W2600" s="31" t="str">
        <f t="shared" si="295"/>
        <v>TRUE</v>
      </c>
      <c r="X2600" s="31" t="str">
        <f t="shared" si="292"/>
        <v/>
      </c>
      <c r="Y2600" s="10" t="s">
        <v>1178</v>
      </c>
      <c r="Z2600" s="10" t="s">
        <v>910</v>
      </c>
      <c r="AF2600" s="12">
        <v>44967</v>
      </c>
      <c r="AJ2600" s="10">
        <f>-1.3255*4.23^2+193.01*4.23-127.15</f>
        <v>665.56526105000012</v>
      </c>
      <c r="AK2600" s="10">
        <f>-0.215*4.23^2+181.97*4.23-117.15</f>
        <v>648.73612650000007</v>
      </c>
      <c r="AL2600" s="10" t="str">
        <f t="shared" si="290"/>
        <v>FALSE</v>
      </c>
      <c r="AM2600" s="10" t="str">
        <f t="shared" si="290"/>
        <v>FALSE</v>
      </c>
      <c r="AN2600" s="10" t="str">
        <f t="shared" si="290"/>
        <v>FALSE</v>
      </c>
      <c r="AO2600" s="10" t="str">
        <f t="shared" si="291"/>
        <v>y=-1.3255*4.23^2+193.01*4.23-127.15</v>
      </c>
      <c r="AP2600" s="10" t="str">
        <f t="shared" si="291"/>
        <v>y=-0.215*4.23^2+181.97*4.23-117.15</v>
      </c>
      <c r="AQ2600" s="10" t="b">
        <f>IF(AND(I2600="TP",S2600&lt;=150),VLOOKUP(AF2600,TPCalibEq150!$AZ$2:$BB$55,3,),IF(AND(I2600="TDP",S2600&lt;=150),VLOOKUP(AF2600,TPCalibEq150!$AZ$2:$BB$55,3,)))</f>
        <v>0</v>
      </c>
      <c r="AR2600" s="10" t="b">
        <f>IF(AND(I2600="TP",S2600&lt;=300),VLOOKUP(AF2600,TPCalibEq300!$AZ$2:$BB$55,3,),IF(AND(I2600="TDP",S2600&lt;=300),VLOOKUP(AF2600,TPCalibEq300!$AZ$2:$BB$55,3,)))</f>
        <v>0</v>
      </c>
      <c r="AS2600" s="10" t="b">
        <f>IF(AND(I2600="TP",S2600&lt;=500),VLOOKUP(AF2600,TPCalibEq500!$AZ$2:$BB$56,3,),IF(AND(I2600="TDP",S2600&lt;=500),VLOOKUP(AF2600,TPCalibEq500!$AZ$2:$BB$56,3,)))</f>
        <v>0</v>
      </c>
      <c r="AT2600" s="10" t="str">
        <f>IF(AND(I2600="TN",S2600&lt;=2800),VLOOKUP(AF2600,TNCalibEq2500!$AZ$2:$BB$56,3,),IF(AND(I2600="TDN",S2600&lt;=2800),VLOOKUP(AF2600,TNCalibEq2500!$AZ$2:$BB$56,3,)))</f>
        <v>y=-1.3255x2+193.01x-127.15</v>
      </c>
      <c r="AU2600" s="10" t="str">
        <f>IF(I2600="TP",VLOOKUP(AF2600,TPCalibEqFull!$AZ$2:$BB$56,3),IF(I2600="TDP",VLOOKUP(AF2600,TPCalibEqFull!$AZ$2:$BB$56,3),IF(I2600="TDN",VLOOKUP(AF2600,TNCalibEqFull!$AZ$1:$BB$56,3),IF(I2600="TN",VLOOKUP(AF2600,TNCalibEqFull!$AZ$1:$BB$56,3),FALSE))))</f>
        <v>y=-0.215x2+181.97x-117.15</v>
      </c>
      <c r="AV2600" s="10" t="str">
        <f t="shared" si="296"/>
        <v>0206 11:30:00-GRR-0-C-1-SW-UKN</v>
      </c>
    </row>
    <row r="2601" spans="1:48" s="10" customFormat="1" x14ac:dyDescent="0.55000000000000004">
      <c r="A2601" s="32">
        <v>44963</v>
      </c>
      <c r="B2601" s="33">
        <v>0.4909722222222222</v>
      </c>
      <c r="C2601" s="10" t="s">
        <v>416</v>
      </c>
      <c r="D2601" s="10">
        <v>0</v>
      </c>
      <c r="E2601" s="10" t="s">
        <v>190</v>
      </c>
      <c r="F2601" s="10">
        <v>1</v>
      </c>
      <c r="G2601" s="10" t="s">
        <v>231</v>
      </c>
      <c r="H2601" s="10" t="s">
        <v>322</v>
      </c>
      <c r="I2601" s="10" t="s">
        <v>235</v>
      </c>
      <c r="J2601" s="10">
        <v>23</v>
      </c>
      <c r="K2601" s="12">
        <v>44967</v>
      </c>
      <c r="L2601" s="33">
        <v>0.42594907407407406</v>
      </c>
      <c r="M2601" s="10">
        <v>1</v>
      </c>
      <c r="N2601" s="10" t="s">
        <v>196</v>
      </c>
      <c r="O2601" s="10">
        <v>5.98</v>
      </c>
      <c r="P2601" s="10">
        <v>0.29199999999999998</v>
      </c>
      <c r="Q2601" s="10">
        <v>952</v>
      </c>
      <c r="R2601" s="10" t="s">
        <v>170</v>
      </c>
      <c r="S2601" s="34">
        <f t="shared" si="293"/>
        <v>979.64938980000022</v>
      </c>
      <c r="T2601" s="10" t="s">
        <v>1185</v>
      </c>
      <c r="U2601" s="34" t="str">
        <f t="shared" si="294"/>
        <v/>
      </c>
      <c r="V2601" s="31" t="str">
        <f>IF(H2601="CHK",VLOOKUP(I2601,QCCHK,3,),IF(H2601="GUP",VLOOKUP(E2601,QCGUP,2,),IF(AND(H2601="ATP",OR(I2601="TN",I2601="TDN",I2601="TNO2-3",I2601="NO2-3")),VLOOKUP(E2601,QCREC_N,2,),IF(AND(H2601="NIC",OR(I2601="TN",I2601="TDN",I2601="TNO2-3",I2601="NO2-3")),VLOOKUP(E2601,QCNIC_N,2,),IF(AND(H2601="UREA",OR(I2601="TN",I2601="TDN",I2601="TNO2-3",I2601="NO2-3")),VLOOKUP(E2601,QCUREA_N,2,),IF(H2601="PER",VLOOKUP(I2601,QCPER,MATCH(E2601,QCACTUAL!$J$25:$AA$25,0),),IF(H2601="SPK",VLOOKUP(I2601,QCSPK,3,),IF(AND(H2601="ATP",OR(I2601="TP",I2601="TDP")),VLOOKUP(E2601,QCATP_P,2,),""))))))))</f>
        <v/>
      </c>
      <c r="W2601" s="31" t="str">
        <f t="shared" si="295"/>
        <v>TRUE</v>
      </c>
      <c r="X2601" s="31" t="str">
        <f t="shared" si="292"/>
        <v/>
      </c>
      <c r="Y2601" s="10" t="s">
        <v>1178</v>
      </c>
      <c r="Z2601" s="10" t="s">
        <v>910</v>
      </c>
      <c r="AF2601" s="12">
        <v>44967</v>
      </c>
      <c r="AJ2601" s="10">
        <f>-1.3255*5.98^2+193.01*5.98-127.15</f>
        <v>979.64938980000022</v>
      </c>
      <c r="AK2601" s="10">
        <f>-0.215*5.98^2+181.97*5.98-117.15</f>
        <v>963.34211400000015</v>
      </c>
      <c r="AL2601" s="10" t="str">
        <f t="shared" si="290"/>
        <v>FALSE</v>
      </c>
      <c r="AM2601" s="10" t="str">
        <f t="shared" si="290"/>
        <v>FALSE</v>
      </c>
      <c r="AN2601" s="10" t="str">
        <f t="shared" si="290"/>
        <v>FALSE</v>
      </c>
      <c r="AO2601" s="10" t="str">
        <f t="shared" si="291"/>
        <v>y=-1.3255*5.98^2+193.01*5.98-127.15</v>
      </c>
      <c r="AP2601" s="10" t="str">
        <f t="shared" si="291"/>
        <v>y=-0.215*5.98^2+181.97*5.98-117.15</v>
      </c>
      <c r="AQ2601" s="10" t="b">
        <f>IF(AND(I2601="TP",S2601&lt;=150),VLOOKUP(AF2601,TPCalibEq150!$AZ$2:$BB$55,3,),IF(AND(I2601="TDP",S2601&lt;=150),VLOOKUP(AF2601,TPCalibEq150!$AZ$2:$BB$55,3,)))</f>
        <v>0</v>
      </c>
      <c r="AR2601" s="10" t="b">
        <f>IF(AND(I2601="TP",S2601&lt;=300),VLOOKUP(AF2601,TPCalibEq300!$AZ$2:$BB$55,3,),IF(AND(I2601="TDP",S2601&lt;=300),VLOOKUP(AF2601,TPCalibEq300!$AZ$2:$BB$55,3,)))</f>
        <v>0</v>
      </c>
      <c r="AS2601" s="10" t="b">
        <f>IF(AND(I2601="TP",S2601&lt;=500),VLOOKUP(AF2601,TPCalibEq500!$AZ$2:$BB$56,3,),IF(AND(I2601="TDP",S2601&lt;=500),VLOOKUP(AF2601,TPCalibEq500!$AZ$2:$BB$56,3,)))</f>
        <v>0</v>
      </c>
      <c r="AT2601" s="10" t="str">
        <f>IF(AND(I2601="TN",S2601&lt;=2800),VLOOKUP(AF2601,TNCalibEq2500!$AZ$2:$BB$56,3,),IF(AND(I2601="TDN",S2601&lt;=2800),VLOOKUP(AF2601,TNCalibEq2500!$AZ$2:$BB$56,3,)))</f>
        <v>y=-1.3255x2+193.01x-127.15</v>
      </c>
      <c r="AU2601" s="10" t="str">
        <f>IF(I2601="TP",VLOOKUP(AF2601,TPCalibEqFull!$AZ$2:$BB$56,3),IF(I2601="TDP",VLOOKUP(AF2601,TPCalibEqFull!$AZ$2:$BB$56,3),IF(I2601="TDN",VLOOKUP(AF2601,TNCalibEqFull!$AZ$1:$BB$56,3),IF(I2601="TN",VLOOKUP(AF2601,TNCalibEqFull!$AZ$1:$BB$56,3),FALSE))))</f>
        <v>y=-0.215x2+181.97x-117.15</v>
      </c>
      <c r="AV2601" s="10" t="str">
        <f t="shared" si="296"/>
        <v>0206 11:47:00-CWL-0-C-1-SW-UKN</v>
      </c>
    </row>
    <row r="2602" spans="1:48" s="10" customFormat="1" x14ac:dyDescent="0.55000000000000004">
      <c r="A2602" s="32">
        <v>44963</v>
      </c>
      <c r="B2602" s="33">
        <v>0.61875000000000002</v>
      </c>
      <c r="C2602" s="10" t="s">
        <v>408</v>
      </c>
      <c r="D2602" s="10">
        <v>0</v>
      </c>
      <c r="E2602" s="10">
        <v>560</v>
      </c>
      <c r="F2602" s="10">
        <v>1</v>
      </c>
      <c r="G2602" s="10" t="s">
        <v>231</v>
      </c>
      <c r="H2602" s="10" t="s">
        <v>322</v>
      </c>
      <c r="I2602" s="10" t="s">
        <v>235</v>
      </c>
      <c r="J2602" s="10">
        <v>24</v>
      </c>
      <c r="K2602" s="12">
        <v>44967</v>
      </c>
      <c r="L2602" s="33">
        <v>0.42662037037037037</v>
      </c>
      <c r="M2602" s="10">
        <v>1</v>
      </c>
      <c r="N2602" s="10" t="s">
        <v>196</v>
      </c>
      <c r="O2602" s="10">
        <v>3.24</v>
      </c>
      <c r="P2602" s="10">
        <v>0.159</v>
      </c>
      <c r="Q2602" s="10">
        <v>469</v>
      </c>
      <c r="R2602" s="10" t="s">
        <v>170</v>
      </c>
      <c r="S2602" s="34">
        <f t="shared" si="293"/>
        <v>484.28783120000003</v>
      </c>
      <c r="T2602" s="10" t="s">
        <v>1185</v>
      </c>
      <c r="U2602" s="34" t="str">
        <f t="shared" si="294"/>
        <v/>
      </c>
      <c r="V2602" s="31" t="str">
        <f>IF(H2602="CHK",VLOOKUP(I2602,QCCHK,3,),IF(H2602="GUP",VLOOKUP(E2602,QCGUP,2,),IF(AND(H2602="ATP",OR(I2602="TN",I2602="TDN",I2602="TNO2-3",I2602="NO2-3")),VLOOKUP(E2602,QCREC_N,2,),IF(AND(H2602="NIC",OR(I2602="TN",I2602="TDN",I2602="TNO2-3",I2602="NO2-3")),VLOOKUP(E2602,QCNIC_N,2,),IF(AND(H2602="UREA",OR(I2602="TN",I2602="TDN",I2602="TNO2-3",I2602="NO2-3")),VLOOKUP(E2602,QCUREA_N,2,),IF(H2602="PER",VLOOKUP(I2602,QCPER,MATCH(E2602,QCACTUAL!$J$25:$AA$25,0),),IF(H2602="SPK",VLOOKUP(I2602,QCSPK,3,),IF(AND(H2602="ATP",OR(I2602="TP",I2602="TDP")),VLOOKUP(E2602,QCATP_P,2,),""))))))))</f>
        <v/>
      </c>
      <c r="W2602" s="31" t="str">
        <f t="shared" si="295"/>
        <v>TRUE</v>
      </c>
      <c r="X2602" s="31" t="str">
        <f t="shared" si="292"/>
        <v/>
      </c>
      <c r="Y2602" s="10" t="s">
        <v>1178</v>
      </c>
      <c r="Z2602" s="10" t="s">
        <v>910</v>
      </c>
      <c r="AF2602" s="12">
        <v>44967</v>
      </c>
      <c r="AJ2602" s="10">
        <f>-1.3255*3.24^2+193.01*3.24-127.15</f>
        <v>484.28783120000003</v>
      </c>
      <c r="AK2602" s="10">
        <f>-0.215*3.24^2+181.97*3.24-117.15</f>
        <v>470.17581600000005</v>
      </c>
      <c r="AL2602" s="10" t="str">
        <f t="shared" si="290"/>
        <v>FALSE</v>
      </c>
      <c r="AM2602" s="10" t="str">
        <f t="shared" si="290"/>
        <v>FALSE</v>
      </c>
      <c r="AN2602" s="10" t="str">
        <f t="shared" si="290"/>
        <v>FALSE</v>
      </c>
      <c r="AO2602" s="10" t="str">
        <f t="shared" si="291"/>
        <v>y=-1.3255*3.24^2+193.01*3.24-127.15</v>
      </c>
      <c r="AP2602" s="10" t="str">
        <f t="shared" si="291"/>
        <v>y=-0.215*3.24^2+181.97*3.24-117.15</v>
      </c>
      <c r="AQ2602" s="10" t="b">
        <f>IF(AND(I2602="TP",S2602&lt;=150),VLOOKUP(AF2602,TPCalibEq150!$AZ$2:$BB$55,3,),IF(AND(I2602="TDP",S2602&lt;=150),VLOOKUP(AF2602,TPCalibEq150!$AZ$2:$BB$55,3,)))</f>
        <v>0</v>
      </c>
      <c r="AR2602" s="10" t="b">
        <f>IF(AND(I2602="TP",S2602&lt;=300),VLOOKUP(AF2602,TPCalibEq300!$AZ$2:$BB$55,3,),IF(AND(I2602="TDP",S2602&lt;=300),VLOOKUP(AF2602,TPCalibEq300!$AZ$2:$BB$55,3,)))</f>
        <v>0</v>
      </c>
      <c r="AS2602" s="10" t="b">
        <f>IF(AND(I2602="TP",S2602&lt;=500),VLOOKUP(AF2602,TPCalibEq500!$AZ$2:$BB$56,3,),IF(AND(I2602="TDP",S2602&lt;=500),VLOOKUP(AF2602,TPCalibEq500!$AZ$2:$BB$56,3,)))</f>
        <v>0</v>
      </c>
      <c r="AT2602" s="10" t="str">
        <f>IF(AND(I2602="TN",S2602&lt;=2800),VLOOKUP(AF2602,TNCalibEq2500!$AZ$2:$BB$56,3,),IF(AND(I2602="TDN",S2602&lt;=2800),VLOOKUP(AF2602,TNCalibEq2500!$AZ$2:$BB$56,3,)))</f>
        <v>y=-1.3255x2+193.01x-127.15</v>
      </c>
      <c r="AU2602" s="10" t="str">
        <f>IF(I2602="TP",VLOOKUP(AF2602,TPCalibEqFull!$AZ$2:$BB$56,3),IF(I2602="TDP",VLOOKUP(AF2602,TPCalibEqFull!$AZ$2:$BB$56,3),IF(I2602="TDN",VLOOKUP(AF2602,TNCalibEqFull!$AZ$1:$BB$56,3),IF(I2602="TN",VLOOKUP(AF2602,TNCalibEqFull!$AZ$1:$BB$56,3),FALSE))))</f>
        <v>y=-0.215x2+181.97x-117.15</v>
      </c>
      <c r="AV2602" s="10" t="str">
        <f t="shared" si="296"/>
        <v>0206 14:51:00-CLC-0-560-1-SW-UKN</v>
      </c>
    </row>
    <row r="2603" spans="1:48" s="10" customFormat="1" x14ac:dyDescent="0.55000000000000004">
      <c r="A2603" s="32">
        <v>44963</v>
      </c>
      <c r="B2603" s="33">
        <v>0.59722222222222221</v>
      </c>
      <c r="C2603" s="10" t="s">
        <v>214</v>
      </c>
      <c r="D2603" s="10">
        <v>0</v>
      </c>
      <c r="E2603" s="10">
        <v>610</v>
      </c>
      <c r="F2603" s="10">
        <v>1</v>
      </c>
      <c r="G2603" s="10" t="s">
        <v>231</v>
      </c>
      <c r="H2603" s="10" t="s">
        <v>322</v>
      </c>
      <c r="I2603" s="10" t="s">
        <v>235</v>
      </c>
      <c r="J2603" s="10">
        <v>25</v>
      </c>
      <c r="K2603" s="12">
        <v>44967</v>
      </c>
      <c r="L2603" s="33">
        <v>0.42728009259259259</v>
      </c>
      <c r="M2603" s="10">
        <v>1</v>
      </c>
      <c r="N2603" s="10" t="s">
        <v>196</v>
      </c>
      <c r="O2603" s="10">
        <v>8.34</v>
      </c>
      <c r="P2603" s="10">
        <v>0.40699999999999997</v>
      </c>
      <c r="Q2603" s="10">
        <v>1370</v>
      </c>
      <c r="R2603" s="10" t="s">
        <v>170</v>
      </c>
      <c r="S2603" s="34">
        <f t="shared" si="293"/>
        <v>1390.3574521999999</v>
      </c>
      <c r="T2603" s="10" t="s">
        <v>1185</v>
      </c>
      <c r="U2603" s="34" t="str">
        <f t="shared" si="294"/>
        <v/>
      </c>
      <c r="V2603" s="31" t="str">
        <f>IF(H2603="CHK",VLOOKUP(I2603,QCCHK,3,),IF(H2603="GUP",VLOOKUP(E2603,QCGUP,2,),IF(AND(H2603="ATP",OR(I2603="TN",I2603="TDN",I2603="TNO2-3",I2603="NO2-3")),VLOOKUP(E2603,QCREC_N,2,),IF(AND(H2603="NIC",OR(I2603="TN",I2603="TDN",I2603="TNO2-3",I2603="NO2-3")),VLOOKUP(E2603,QCNIC_N,2,),IF(AND(H2603="UREA",OR(I2603="TN",I2603="TDN",I2603="TNO2-3",I2603="NO2-3")),VLOOKUP(E2603,QCUREA_N,2,),IF(H2603="PER",VLOOKUP(I2603,QCPER,MATCH(E2603,QCACTUAL!$J$25:$AA$25,0),),IF(H2603="SPK",VLOOKUP(I2603,QCSPK,3,),IF(AND(H2603="ATP",OR(I2603="TP",I2603="TDP")),VLOOKUP(E2603,QCATP_P,2,),""))))))))</f>
        <v/>
      </c>
      <c r="W2603" s="31" t="str">
        <f t="shared" si="295"/>
        <v>TRUE</v>
      </c>
      <c r="X2603" s="31" t="str">
        <f t="shared" si="292"/>
        <v/>
      </c>
      <c r="Y2603" s="10" t="s">
        <v>1178</v>
      </c>
      <c r="Z2603" s="10" t="s">
        <v>910</v>
      </c>
      <c r="AF2603" s="12">
        <v>44967</v>
      </c>
      <c r="AJ2603" s="10">
        <f>-1.3255*8.34^2+193.01*8.34-127.15</f>
        <v>1390.3574521999999</v>
      </c>
      <c r="AK2603" s="10">
        <f>-0.215*8.34^2+181.97*8.34-117.15</f>
        <v>1385.5253459999999</v>
      </c>
      <c r="AL2603" s="10" t="str">
        <f t="shared" si="290"/>
        <v>FALSE</v>
      </c>
      <c r="AM2603" s="10" t="str">
        <f t="shared" si="290"/>
        <v>FALSE</v>
      </c>
      <c r="AN2603" s="10" t="str">
        <f t="shared" si="290"/>
        <v>FALSE</v>
      </c>
      <c r="AO2603" s="10" t="str">
        <f t="shared" si="291"/>
        <v>y=-1.3255*8.34^2+193.01*8.34-127.15</v>
      </c>
      <c r="AP2603" s="10" t="str">
        <f t="shared" si="291"/>
        <v>y=-0.215*8.34^2+181.97*8.34-117.15</v>
      </c>
      <c r="AQ2603" s="10" t="b">
        <f>IF(AND(I2603="TP",S2603&lt;=150),VLOOKUP(AF2603,TPCalibEq150!$AZ$2:$BB$55,3,),IF(AND(I2603="TDP",S2603&lt;=150),VLOOKUP(AF2603,TPCalibEq150!$AZ$2:$BB$55,3,)))</f>
        <v>0</v>
      </c>
      <c r="AR2603" s="10" t="b">
        <f>IF(AND(I2603="TP",S2603&lt;=300),VLOOKUP(AF2603,TPCalibEq300!$AZ$2:$BB$55,3,),IF(AND(I2603="TDP",S2603&lt;=300),VLOOKUP(AF2603,TPCalibEq300!$AZ$2:$BB$55,3,)))</f>
        <v>0</v>
      </c>
      <c r="AS2603" s="10" t="b">
        <f>IF(AND(I2603="TP",S2603&lt;=500),VLOOKUP(AF2603,TPCalibEq500!$AZ$2:$BB$56,3,),IF(AND(I2603="TDP",S2603&lt;=500),VLOOKUP(AF2603,TPCalibEq500!$AZ$2:$BB$56,3,)))</f>
        <v>0</v>
      </c>
      <c r="AT2603" s="10" t="str">
        <f>IF(AND(I2603="TN",S2603&lt;=2800),VLOOKUP(AF2603,TNCalibEq2500!$AZ$2:$BB$56,3,),IF(AND(I2603="TDN",S2603&lt;=2800),VLOOKUP(AF2603,TNCalibEq2500!$AZ$2:$BB$56,3,)))</f>
        <v>y=-1.3255x2+193.01x-127.15</v>
      </c>
      <c r="AU2603" s="10" t="str">
        <f>IF(I2603="TP",VLOOKUP(AF2603,TPCalibEqFull!$AZ$2:$BB$56,3),IF(I2603="TDP",VLOOKUP(AF2603,TPCalibEqFull!$AZ$2:$BB$56,3),IF(I2603="TDN",VLOOKUP(AF2603,TNCalibEqFull!$AZ$1:$BB$56,3),IF(I2603="TN",VLOOKUP(AF2603,TNCalibEqFull!$AZ$1:$BB$56,3),FALSE))))</f>
        <v>y=-0.215x2+181.97x-117.15</v>
      </c>
      <c r="AV2603" s="10" t="str">
        <f t="shared" si="296"/>
        <v>0206 14:20:00-DAM-0-610-1-SW-UKN</v>
      </c>
    </row>
    <row r="2604" spans="1:48" s="10" customFormat="1" x14ac:dyDescent="0.55000000000000004">
      <c r="A2604" s="32">
        <v>44963</v>
      </c>
      <c r="B2604" s="33">
        <v>0.59722222222222221</v>
      </c>
      <c r="C2604" s="10" t="s">
        <v>214</v>
      </c>
      <c r="D2604" s="10">
        <v>0</v>
      </c>
      <c r="E2604" s="10" t="s">
        <v>190</v>
      </c>
      <c r="F2604" s="10">
        <v>1</v>
      </c>
      <c r="G2604" s="10" t="s">
        <v>231</v>
      </c>
      <c r="H2604" s="10" t="s">
        <v>233</v>
      </c>
      <c r="I2604" s="10" t="s">
        <v>235</v>
      </c>
      <c r="J2604" s="10">
        <v>25</v>
      </c>
      <c r="K2604" s="12">
        <v>44967</v>
      </c>
      <c r="L2604" s="33">
        <v>0.4279513888888889</v>
      </c>
      <c r="M2604" s="10">
        <v>1</v>
      </c>
      <c r="N2604" s="10" t="s">
        <v>196</v>
      </c>
      <c r="O2604" s="10">
        <v>8.2799999999999994</v>
      </c>
      <c r="P2604" s="10">
        <v>0.40500000000000003</v>
      </c>
      <c r="Q2604" s="10">
        <v>1360</v>
      </c>
      <c r="R2604" s="10" t="s">
        <v>170</v>
      </c>
      <c r="S2604" s="34">
        <f t="shared" si="293"/>
        <v>1380.0986407999999</v>
      </c>
      <c r="T2604" s="10" t="s">
        <v>1185</v>
      </c>
      <c r="U2604" s="34">
        <f t="shared" si="294"/>
        <v>0.74058646342893075</v>
      </c>
      <c r="V2604" s="31" t="str">
        <f>IF(H2604="CHK",VLOOKUP(I2604,QCCHK,3,),IF(H2604="GUP",VLOOKUP(E2604,QCGUP,2,),IF(AND(H2604="ATP",OR(I2604="TN",I2604="TDN",I2604="TNO2-3",I2604="NO2-3")),VLOOKUP(E2604,QCREC_N,2,),IF(AND(H2604="NIC",OR(I2604="TN",I2604="TDN",I2604="TNO2-3",I2604="NO2-3")),VLOOKUP(E2604,QCNIC_N,2,),IF(AND(H2604="UREA",OR(I2604="TN",I2604="TDN",I2604="TNO2-3",I2604="NO2-3")),VLOOKUP(E2604,QCUREA_N,2,),IF(H2604="PER",VLOOKUP(I2604,QCPER,MATCH(E2604,QCACTUAL!$J$25:$AA$25,0),),IF(H2604="SPK",VLOOKUP(I2604,QCSPK,3,),IF(AND(H2604="ATP",OR(I2604="TP",I2604="TDP")),VLOOKUP(E2604,QCATP_P,2,),""))))))))</f>
        <v/>
      </c>
      <c r="W2604" s="31" t="str">
        <f t="shared" si="295"/>
        <v>TRUE</v>
      </c>
      <c r="X2604" s="31" t="str">
        <f t="shared" si="292"/>
        <v>((ABS(rep1-rep2))/((rep1+rep2)/2)*100</v>
      </c>
      <c r="Y2604" s="10" t="s">
        <v>1178</v>
      </c>
      <c r="Z2604" s="10" t="s">
        <v>910</v>
      </c>
      <c r="AF2604" s="12">
        <v>44967</v>
      </c>
      <c r="AJ2604" s="10">
        <f>-1.3255*8.28^2+193.01*8.28-127.15</f>
        <v>1380.0986407999999</v>
      </c>
      <c r="AK2604" s="10">
        <f>-0.215*8.28^2+181.97*8.28-117.15</f>
        <v>1374.8215439999997</v>
      </c>
      <c r="AL2604" s="10" t="str">
        <f t="shared" si="290"/>
        <v>FALSE</v>
      </c>
      <c r="AM2604" s="10" t="str">
        <f t="shared" si="290"/>
        <v>FALSE</v>
      </c>
      <c r="AN2604" s="10" t="str">
        <f t="shared" si="290"/>
        <v>FALSE</v>
      </c>
      <c r="AO2604" s="10" t="str">
        <f t="shared" si="291"/>
        <v>y=-1.3255*8.28^2+193.01*8.28-127.15</v>
      </c>
      <c r="AP2604" s="10" t="str">
        <f t="shared" si="291"/>
        <v>y=-0.215*8.28^2+181.97*8.28-117.15</v>
      </c>
      <c r="AQ2604" s="10" t="b">
        <f>IF(AND(I2604="TP",S2604&lt;=150),VLOOKUP(AF2604,TPCalibEq150!$AZ$2:$BB$55,3,),IF(AND(I2604="TDP",S2604&lt;=150),VLOOKUP(AF2604,TPCalibEq150!$AZ$2:$BB$55,3,)))</f>
        <v>0</v>
      </c>
      <c r="AR2604" s="10" t="b">
        <f>IF(AND(I2604="TP",S2604&lt;=300),VLOOKUP(AF2604,TPCalibEq300!$AZ$2:$BB$55,3,),IF(AND(I2604="TDP",S2604&lt;=300),VLOOKUP(AF2604,TPCalibEq300!$AZ$2:$BB$55,3,)))</f>
        <v>0</v>
      </c>
      <c r="AS2604" s="10" t="b">
        <f>IF(AND(I2604="TP",S2604&lt;=500),VLOOKUP(AF2604,TPCalibEq500!$AZ$2:$BB$56,3,),IF(AND(I2604="TDP",S2604&lt;=500),VLOOKUP(AF2604,TPCalibEq500!$AZ$2:$BB$56,3,)))</f>
        <v>0</v>
      </c>
      <c r="AT2604" s="10" t="str">
        <f>IF(AND(I2604="TN",S2604&lt;=2800),VLOOKUP(AF2604,TNCalibEq2500!$AZ$2:$BB$56,3,),IF(AND(I2604="TDN",S2604&lt;=2800),VLOOKUP(AF2604,TNCalibEq2500!$AZ$2:$BB$56,3,)))</f>
        <v>y=-1.3255x2+193.01x-127.15</v>
      </c>
      <c r="AU2604" s="10" t="str">
        <f>IF(I2604="TP",VLOOKUP(AF2604,TPCalibEqFull!$AZ$2:$BB$56,3),IF(I2604="TDP",VLOOKUP(AF2604,TPCalibEqFull!$AZ$2:$BB$56,3),IF(I2604="TDN",VLOOKUP(AF2604,TNCalibEqFull!$AZ$1:$BB$56,3),IF(I2604="TN",VLOOKUP(AF2604,TNCalibEqFull!$AZ$1:$BB$56,3),FALSE))))</f>
        <v>y=-0.215x2+181.97x-117.15</v>
      </c>
      <c r="AV2604" s="10" t="str">
        <f t="shared" si="296"/>
        <v>0206 14:20:00-DAM-0-C-1-SW-DUP</v>
      </c>
    </row>
    <row r="2605" spans="1:48" s="10" customFormat="1" x14ac:dyDescent="0.55000000000000004">
      <c r="A2605" s="32">
        <v>44963</v>
      </c>
      <c r="B2605" s="33">
        <v>0.59722222222222221</v>
      </c>
      <c r="C2605" s="10" t="s">
        <v>214</v>
      </c>
      <c r="D2605" s="10">
        <v>0</v>
      </c>
      <c r="E2605" s="10" t="s">
        <v>190</v>
      </c>
      <c r="F2605" s="10">
        <v>1</v>
      </c>
      <c r="G2605" s="10" t="s">
        <v>231</v>
      </c>
      <c r="H2605" s="10" t="s">
        <v>314</v>
      </c>
      <c r="I2605" s="10" t="s">
        <v>235</v>
      </c>
      <c r="J2605" s="10">
        <v>121</v>
      </c>
      <c r="K2605" s="12">
        <v>44967</v>
      </c>
      <c r="L2605" s="33">
        <v>0.42862268518518515</v>
      </c>
      <c r="M2605" s="10">
        <v>1</v>
      </c>
      <c r="N2605" s="10" t="s">
        <v>196</v>
      </c>
      <c r="O2605" s="10">
        <v>20.8</v>
      </c>
      <c r="P2605" s="10">
        <v>1.01</v>
      </c>
      <c r="Q2605" s="10">
        <v>3560</v>
      </c>
      <c r="R2605" s="10" t="s">
        <v>170</v>
      </c>
      <c r="S2605" s="34">
        <f t="shared" si="293"/>
        <v>3574.8083999999999</v>
      </c>
      <c r="T2605" s="10" t="s">
        <v>1185</v>
      </c>
      <c r="U2605" s="34">
        <f t="shared" si="294"/>
        <v>87.788390368000009</v>
      </c>
      <c r="V2605" s="31">
        <f>IF(H2605="CHK",VLOOKUP(I2605,QCCHK,3,),IF(H2605="GUP",VLOOKUP(E2605,QCGUP,2,),IF(AND(H2605="ATP",OR(I2605="TN",I2605="TDN",I2605="TNO2-3",I2605="NO2-3")),VLOOKUP(E2605,QCREC_N,2,),IF(AND(H2605="NIC",OR(I2605="TN",I2605="TDN",I2605="TNO2-3",I2605="NO2-3")),VLOOKUP(E2605,QCNIC_N,2,),IF(AND(H2605="UREA",OR(I2605="TN",I2605="TDN",I2605="TNO2-3",I2605="NO2-3")),VLOOKUP(E2605,QCUREA_N,2,),IF(H2605="PER",VLOOKUP(I2605,QCPER,MATCH(E2605,QCACTUAL!$J$25:$AA$25,0),),IF(H2605="SPK",VLOOKUP(I2605,QCSPK,3,),IF(AND(H2605="ATP",OR(I2605="TP",I2605="TDP")),VLOOKUP(E2605,QCATP_P,2,),""))))))))</f>
        <v>2500</v>
      </c>
      <c r="W2605" s="31" t="str">
        <f t="shared" si="295"/>
        <v>TRUE</v>
      </c>
      <c r="X2605" s="31" t="str">
        <f t="shared" si="292"/>
        <v>([spikedunkn]-[unkn])/[spike]*100</v>
      </c>
      <c r="Y2605" s="10" t="s">
        <v>1178</v>
      </c>
      <c r="Z2605" s="10" t="s">
        <v>910</v>
      </c>
      <c r="AF2605" s="12">
        <v>44967</v>
      </c>
      <c r="AK2605" s="10">
        <f>-0.215*20.8^2+181.97*20.8-117.15</f>
        <v>3574.8083999999999</v>
      </c>
      <c r="AL2605" s="10" t="str">
        <f t="shared" si="290"/>
        <v>FALSE</v>
      </c>
      <c r="AM2605" s="10" t="str">
        <f t="shared" si="290"/>
        <v>FALSE</v>
      </c>
      <c r="AN2605" s="10" t="str">
        <f t="shared" si="290"/>
        <v>FALSE</v>
      </c>
      <c r="AO2605" s="10" t="str">
        <f t="shared" si="291"/>
        <v>FALSE</v>
      </c>
      <c r="AP2605" s="10" t="str">
        <f t="shared" si="291"/>
        <v>y=-0.215*20.8^2+181.97*20.8-117.15</v>
      </c>
      <c r="AQ2605" s="10" t="b">
        <f>IF(AND(I2605="TP",S2605&lt;=150),VLOOKUP(AF2605,TPCalibEq150!$AZ$2:$BB$55,3,),IF(AND(I2605="TDP",S2605&lt;=150),VLOOKUP(AF2605,TPCalibEq150!$AZ$2:$BB$55,3,)))</f>
        <v>0</v>
      </c>
      <c r="AR2605" s="10" t="b">
        <f>IF(AND(I2605="TP",S2605&lt;=300),VLOOKUP(AF2605,TPCalibEq300!$AZ$2:$BB$55,3,),IF(AND(I2605="TDP",S2605&lt;=300),VLOOKUP(AF2605,TPCalibEq300!$AZ$2:$BB$55,3,)))</f>
        <v>0</v>
      </c>
      <c r="AS2605" s="10" t="b">
        <f>IF(AND(I2605="TP",S2605&lt;=500),VLOOKUP(AF2605,TPCalibEq500!$AZ$2:$BB$56,3,),IF(AND(I2605="TDP",S2605&lt;=500),VLOOKUP(AF2605,TPCalibEq500!$AZ$2:$BB$56,3,)))</f>
        <v>0</v>
      </c>
      <c r="AT2605" s="10" t="b">
        <f>IF(AND(I2605="TN",S2605&lt;=2800),VLOOKUP(AF2605,TNCalibEq2500!$AZ$2:$BB$56,3,),IF(AND(I2605="TDN",S2605&lt;=2800),VLOOKUP(AF2605,TNCalibEq2500!$AZ$2:$BB$56,3,)))</f>
        <v>0</v>
      </c>
      <c r="AU2605" s="10" t="str">
        <f>IF(I2605="TP",VLOOKUP(AF2605,TPCalibEqFull!$AZ$2:$BB$56,3),IF(I2605="TDP",VLOOKUP(AF2605,TPCalibEqFull!$AZ$2:$BB$56,3),IF(I2605="TDN",VLOOKUP(AF2605,TNCalibEqFull!$AZ$1:$BB$56,3),IF(I2605="TN",VLOOKUP(AF2605,TNCalibEqFull!$AZ$1:$BB$56,3),FALSE))))</f>
        <v>y=-0.215x2+181.97x-117.15</v>
      </c>
      <c r="AV2605" s="10" t="str">
        <f t="shared" si="296"/>
        <v>0206 14:20:00-DAM-0-C-1-SW-SPK</v>
      </c>
    </row>
    <row r="2606" spans="1:48" s="10" customFormat="1" x14ac:dyDescent="0.55000000000000004">
      <c r="A2606" s="32">
        <v>44966</v>
      </c>
      <c r="B2606" s="33">
        <v>0.375</v>
      </c>
      <c r="C2606" s="10" t="s">
        <v>70</v>
      </c>
      <c r="D2606" s="10" t="s">
        <v>71</v>
      </c>
      <c r="E2606" s="10" t="s">
        <v>901</v>
      </c>
      <c r="F2606" s="10">
        <v>1</v>
      </c>
      <c r="G2606" s="10" t="s">
        <v>73</v>
      </c>
      <c r="H2606" s="10" t="s">
        <v>207</v>
      </c>
      <c r="I2606" s="10" t="s">
        <v>235</v>
      </c>
      <c r="J2606" s="10">
        <v>200</v>
      </c>
      <c r="K2606" s="12">
        <v>44967</v>
      </c>
      <c r="L2606" s="33">
        <v>0.42930555555555555</v>
      </c>
      <c r="M2606" s="10">
        <v>1</v>
      </c>
      <c r="N2606" s="10" t="s">
        <v>196</v>
      </c>
      <c r="O2606" s="10">
        <v>7.37</v>
      </c>
      <c r="P2606" s="10">
        <v>0.36399999999999999</v>
      </c>
      <c r="Q2606" s="10">
        <v>1200</v>
      </c>
      <c r="R2606" s="10" t="s">
        <v>170</v>
      </c>
      <c r="S2606" s="34">
        <f t="shared" si="293"/>
        <v>1223.33664905</v>
      </c>
      <c r="T2606" s="10" t="s">
        <v>1185</v>
      </c>
      <c r="U2606" s="34">
        <f t="shared" si="294"/>
        <v>97.866931923999999</v>
      </c>
      <c r="V2606" s="31">
        <f>IF(H2606="CHK",VLOOKUP(I2606,QCCHK,3,),IF(H2606="GUP",VLOOKUP(E2606,QCGUP,2,),IF(AND(H2606="ATP",OR(I2606="TN",I2606="TDN",I2606="TNO2-3",I2606="NO2-3")),VLOOKUP(E2606,QCREC_N,2,),IF(AND(H2606="NIC",OR(I2606="TN",I2606="TDN",I2606="TNO2-3",I2606="NO2-3")),VLOOKUP(E2606,QCNIC_N,2,),IF(AND(H2606="UREA",OR(I2606="TN",I2606="TDN",I2606="TNO2-3",I2606="NO2-3")),VLOOKUP(E2606,QCUREA_N,2,),IF(H2606="PER",VLOOKUP(I2606,QCPER,MATCH(E2606,QCACTUAL!$J$25:$AA$25,0),),IF(H2606="SPK",VLOOKUP(I2606,QCSPK,3,),IF(AND(H2606="ATP",OR(I2606="TP",I2606="TDP")),VLOOKUP(E2606,QCATP_P,2,),""))))))))</f>
        <v>1250</v>
      </c>
      <c r="W2606" s="31" t="str">
        <f t="shared" si="295"/>
        <v>TRUE</v>
      </c>
      <c r="X2606" s="31" t="str">
        <f t="shared" si="292"/>
        <v>[chk]/[actual]*100</v>
      </c>
      <c r="Y2606" s="10" t="s">
        <v>1178</v>
      </c>
      <c r="AF2606" s="12">
        <v>44967</v>
      </c>
      <c r="AJ2606" s="10">
        <f>-1.3255*7.37^2+193.01*7.37-127.15</f>
        <v>1223.33664905</v>
      </c>
      <c r="AK2606" s="10">
        <f>-0.215*7.37^2+181.97*7.37-117.15</f>
        <v>1212.2907664999998</v>
      </c>
      <c r="AL2606" s="10" t="str">
        <f t="shared" si="290"/>
        <v>FALSE</v>
      </c>
      <c r="AM2606" s="10" t="str">
        <f t="shared" si="290"/>
        <v>FALSE</v>
      </c>
      <c r="AN2606" s="10" t="str">
        <f t="shared" si="290"/>
        <v>FALSE</v>
      </c>
      <c r="AO2606" s="10" t="str">
        <f t="shared" si="291"/>
        <v>y=-1.3255*7.37^2+193.01*7.37-127.15</v>
      </c>
      <c r="AP2606" s="10" t="str">
        <f t="shared" si="291"/>
        <v>y=-0.215*7.37^2+181.97*7.37-117.15</v>
      </c>
      <c r="AQ2606" s="10" t="b">
        <f>IF(AND(I2606="TP",S2606&lt;=150),VLOOKUP(AF2606,TPCalibEq150!$AZ$2:$BB$55,3,),IF(AND(I2606="TDP",S2606&lt;=150),VLOOKUP(AF2606,TPCalibEq150!$AZ$2:$BB$55,3,)))</f>
        <v>0</v>
      </c>
      <c r="AR2606" s="10" t="b">
        <f>IF(AND(I2606="TP",S2606&lt;=300),VLOOKUP(AF2606,TPCalibEq300!$AZ$2:$BB$55,3,),IF(AND(I2606="TDP",S2606&lt;=300),VLOOKUP(AF2606,TPCalibEq300!$AZ$2:$BB$55,3,)))</f>
        <v>0</v>
      </c>
      <c r="AS2606" s="10" t="b">
        <f>IF(AND(I2606="TP",S2606&lt;=500),VLOOKUP(AF2606,TPCalibEq500!$AZ$2:$BB$56,3,),IF(AND(I2606="TDP",S2606&lt;=500),VLOOKUP(AF2606,TPCalibEq500!$AZ$2:$BB$56,3,)))</f>
        <v>0</v>
      </c>
      <c r="AT2606" s="10" t="str">
        <f>IF(AND(I2606="TN",S2606&lt;=2800),VLOOKUP(AF2606,TNCalibEq2500!$AZ$2:$BB$56,3,),IF(AND(I2606="TDN",S2606&lt;=2800),VLOOKUP(AF2606,TNCalibEq2500!$AZ$2:$BB$56,3,)))</f>
        <v>y=-1.3255x2+193.01x-127.15</v>
      </c>
      <c r="AU2606" s="10" t="str">
        <f>IF(I2606="TP",VLOOKUP(AF2606,TPCalibEqFull!$AZ$2:$BB$56,3),IF(I2606="TDP",VLOOKUP(AF2606,TPCalibEqFull!$AZ$2:$BB$56,3),IF(I2606="TDN",VLOOKUP(AF2606,TNCalibEqFull!$AZ$1:$BB$56,3),IF(I2606="TN",VLOOKUP(AF2606,TNCalibEqFull!$AZ$1:$BB$56,3),FALSE))))</f>
        <v>y=-0.215x2+181.97x-117.15</v>
      </c>
      <c r="AV2606" s="10" t="str">
        <f t="shared" si="296"/>
        <v>0209 09:00:00-QAC-STD-D-1-DI-CHK</v>
      </c>
    </row>
    <row r="2607" spans="1:48" s="10" customFormat="1" x14ac:dyDescent="0.55000000000000004">
      <c r="A2607" s="32">
        <v>44965</v>
      </c>
      <c r="B2607" s="33">
        <v>0.47164351851851855</v>
      </c>
      <c r="C2607" s="10" t="s">
        <v>431</v>
      </c>
      <c r="D2607" s="10">
        <v>0</v>
      </c>
      <c r="E2607" s="10">
        <v>500</v>
      </c>
      <c r="F2607" s="10">
        <v>1</v>
      </c>
      <c r="G2607" s="10" t="s">
        <v>231</v>
      </c>
      <c r="H2607" s="10" t="s">
        <v>322</v>
      </c>
      <c r="I2607" s="10" t="s">
        <v>235</v>
      </c>
      <c r="J2607" s="10">
        <v>26</v>
      </c>
      <c r="K2607" s="12">
        <v>44967</v>
      </c>
      <c r="L2607" s="33">
        <v>0.42996527777777777</v>
      </c>
      <c r="M2607" s="10">
        <v>1</v>
      </c>
      <c r="N2607" s="10" t="s">
        <v>196</v>
      </c>
      <c r="O2607" s="10">
        <v>8.5299999999999994</v>
      </c>
      <c r="P2607" s="10">
        <v>0.41799999999999998</v>
      </c>
      <c r="Q2607" s="10">
        <v>1400</v>
      </c>
      <c r="R2607" s="10" t="s">
        <v>170</v>
      </c>
      <c r="S2607" s="34">
        <f t="shared" si="293"/>
        <v>1422.7807270499995</v>
      </c>
      <c r="T2607" s="10" t="s">
        <v>1185</v>
      </c>
      <c r="U2607" s="34" t="str">
        <f t="shared" si="294"/>
        <v/>
      </c>
      <c r="V2607" s="31" t="str">
        <f>IF(H2607="CHK",VLOOKUP(I2607,QCCHK,3,),IF(H2607="GUP",VLOOKUP(E2607,QCGUP,2,),IF(AND(H2607="ATP",OR(I2607="TN",I2607="TDN",I2607="TNO2-3",I2607="NO2-3")),VLOOKUP(E2607,QCREC_N,2,),IF(AND(H2607="NIC",OR(I2607="TN",I2607="TDN",I2607="TNO2-3",I2607="NO2-3")),VLOOKUP(E2607,QCNIC_N,2,),IF(AND(H2607="UREA",OR(I2607="TN",I2607="TDN",I2607="TNO2-3",I2607="NO2-3")),VLOOKUP(E2607,QCUREA_N,2,),IF(H2607="PER",VLOOKUP(I2607,QCPER,MATCH(E2607,QCACTUAL!$J$25:$AA$25,0),),IF(H2607="SPK",VLOOKUP(I2607,QCSPK,3,),IF(AND(H2607="ATP",OR(I2607="TP",I2607="TDP")),VLOOKUP(E2607,QCATP_P,2,),""))))))))</f>
        <v/>
      </c>
      <c r="W2607" s="31" t="str">
        <f t="shared" si="295"/>
        <v>TRUE</v>
      </c>
      <c r="X2607" s="31" t="str">
        <f t="shared" si="292"/>
        <v/>
      </c>
      <c r="Y2607" s="10" t="s">
        <v>1178</v>
      </c>
      <c r="AF2607" s="12">
        <v>44967</v>
      </c>
      <c r="AJ2607" s="10">
        <f>-1.3255*8.53^2+193.01*8.53-127.15</f>
        <v>1422.7807270499995</v>
      </c>
      <c r="AK2607" s="10">
        <f>-0.215*8.53^2+181.97*8.53-117.15</f>
        <v>1419.4105064999999</v>
      </c>
      <c r="AL2607" s="10" t="str">
        <f t="shared" si="290"/>
        <v>FALSE</v>
      </c>
      <c r="AM2607" s="10" t="str">
        <f t="shared" si="290"/>
        <v>FALSE</v>
      </c>
      <c r="AN2607" s="10" t="str">
        <f t="shared" si="290"/>
        <v>FALSE</v>
      </c>
      <c r="AO2607" s="10" t="str">
        <f t="shared" si="291"/>
        <v>y=-1.3255*8.53^2+193.01*8.53-127.15</v>
      </c>
      <c r="AP2607" s="10" t="str">
        <f t="shared" si="291"/>
        <v>y=-0.215*8.53^2+181.97*8.53-117.15</v>
      </c>
      <c r="AQ2607" s="10" t="b">
        <f>IF(AND(I2607="TP",S2607&lt;=150),VLOOKUP(AF2607,TPCalibEq150!$AZ$2:$BB$55,3,),IF(AND(I2607="TDP",S2607&lt;=150),VLOOKUP(AF2607,TPCalibEq150!$AZ$2:$BB$55,3,)))</f>
        <v>0</v>
      </c>
      <c r="AR2607" s="10" t="b">
        <f>IF(AND(I2607="TP",S2607&lt;=300),VLOOKUP(AF2607,TPCalibEq300!$AZ$2:$BB$55,3,),IF(AND(I2607="TDP",S2607&lt;=300),VLOOKUP(AF2607,TPCalibEq300!$AZ$2:$BB$55,3,)))</f>
        <v>0</v>
      </c>
      <c r="AS2607" s="10" t="b">
        <f>IF(AND(I2607="TP",S2607&lt;=500),VLOOKUP(AF2607,TPCalibEq500!$AZ$2:$BB$56,3,),IF(AND(I2607="TDP",S2607&lt;=500),VLOOKUP(AF2607,TPCalibEq500!$AZ$2:$BB$56,3,)))</f>
        <v>0</v>
      </c>
      <c r="AT2607" s="10" t="str">
        <f>IF(AND(I2607="TN",S2607&lt;=2800),VLOOKUP(AF2607,TNCalibEq2500!$AZ$2:$BB$56,3,),IF(AND(I2607="TDN",S2607&lt;=2800),VLOOKUP(AF2607,TNCalibEq2500!$AZ$2:$BB$56,3,)))</f>
        <v>y=-1.3255x2+193.01x-127.15</v>
      </c>
      <c r="AU2607" s="10" t="str">
        <f>IF(I2607="TP",VLOOKUP(AF2607,TPCalibEqFull!$AZ$2:$BB$56,3),IF(I2607="TDP",VLOOKUP(AF2607,TPCalibEqFull!$AZ$2:$BB$56,3),IF(I2607="TDN",VLOOKUP(AF2607,TNCalibEqFull!$AZ$1:$BB$56,3),IF(I2607="TN",VLOOKUP(AF2607,TNCalibEqFull!$AZ$1:$BB$56,3),FALSE))))</f>
        <v>y=-0.215x2+181.97x-117.15</v>
      </c>
      <c r="AV2607" s="10" t="str">
        <f t="shared" si="296"/>
        <v>0208 11:19:10-EUS-0-500-1-SW-UKN</v>
      </c>
    </row>
    <row r="2608" spans="1:48" s="10" customFormat="1" x14ac:dyDescent="0.55000000000000004">
      <c r="A2608" s="32">
        <v>44965</v>
      </c>
      <c r="B2608" s="33">
        <v>0.47395833333333331</v>
      </c>
      <c r="C2608" s="10" t="s">
        <v>431</v>
      </c>
      <c r="D2608" s="10">
        <v>5</v>
      </c>
      <c r="E2608" s="10" t="s">
        <v>190</v>
      </c>
      <c r="F2608" s="10">
        <v>1</v>
      </c>
      <c r="G2608" s="10" t="s">
        <v>231</v>
      </c>
      <c r="H2608" s="10" t="s">
        <v>322</v>
      </c>
      <c r="I2608" s="10" t="s">
        <v>235</v>
      </c>
      <c r="J2608" s="10">
        <v>27</v>
      </c>
      <c r="K2608" s="12">
        <v>44967</v>
      </c>
      <c r="L2608" s="33">
        <v>0.43063657407407407</v>
      </c>
      <c r="M2608" s="10">
        <v>1</v>
      </c>
      <c r="N2608" s="10" t="s">
        <v>196</v>
      </c>
      <c r="O2608" s="10">
        <v>8.15</v>
      </c>
      <c r="P2608" s="10">
        <v>0.39900000000000002</v>
      </c>
      <c r="Q2608" s="10">
        <v>1330</v>
      </c>
      <c r="R2608" s="10" t="s">
        <v>170</v>
      </c>
      <c r="S2608" s="34">
        <f t="shared" si="293"/>
        <v>1357.83847625</v>
      </c>
      <c r="T2608" s="10" t="s">
        <v>1185</v>
      </c>
      <c r="U2608" s="34" t="str">
        <f t="shared" si="294"/>
        <v/>
      </c>
      <c r="V2608" s="31" t="str">
        <f>IF(H2608="CHK",VLOOKUP(I2608,QCCHK,3,),IF(H2608="GUP",VLOOKUP(E2608,QCGUP,2,),IF(AND(H2608="ATP",OR(I2608="TN",I2608="TDN",I2608="TNO2-3",I2608="NO2-3")),VLOOKUP(E2608,QCREC_N,2,),IF(AND(H2608="NIC",OR(I2608="TN",I2608="TDN",I2608="TNO2-3",I2608="NO2-3")),VLOOKUP(E2608,QCNIC_N,2,),IF(AND(H2608="UREA",OR(I2608="TN",I2608="TDN",I2608="TNO2-3",I2608="NO2-3")),VLOOKUP(E2608,QCUREA_N,2,),IF(H2608="PER",VLOOKUP(I2608,QCPER,MATCH(E2608,QCACTUAL!$J$25:$AA$25,0),),IF(H2608="SPK",VLOOKUP(I2608,QCSPK,3,),IF(AND(H2608="ATP",OR(I2608="TP",I2608="TDP")),VLOOKUP(E2608,QCATP_P,2,),""))))))))</f>
        <v/>
      </c>
      <c r="W2608" s="31" t="str">
        <f t="shared" si="295"/>
        <v>TRUE</v>
      </c>
      <c r="X2608" s="31" t="str">
        <f t="shared" si="292"/>
        <v/>
      </c>
      <c r="Y2608" s="10" t="s">
        <v>1178</v>
      </c>
      <c r="AF2608" s="12">
        <v>44967</v>
      </c>
      <c r="AJ2608" s="10">
        <f>-1.3255*8.15^2+193.01*8.15-127.15</f>
        <v>1357.83847625</v>
      </c>
      <c r="AK2608" s="10">
        <f>-0.215*8.15^2+181.97*8.15-117.15</f>
        <v>1351.6246625000001</v>
      </c>
      <c r="AL2608" s="10" t="str">
        <f t="shared" si="290"/>
        <v>FALSE</v>
      </c>
      <c r="AM2608" s="10" t="str">
        <f t="shared" si="290"/>
        <v>FALSE</v>
      </c>
      <c r="AN2608" s="10" t="str">
        <f t="shared" si="290"/>
        <v>FALSE</v>
      </c>
      <c r="AO2608" s="10" t="str">
        <f t="shared" si="291"/>
        <v>y=-1.3255*8.15^2+193.01*8.15-127.15</v>
      </c>
      <c r="AP2608" s="10" t="str">
        <f t="shared" si="291"/>
        <v>y=-0.215*8.15^2+181.97*8.15-117.15</v>
      </c>
      <c r="AQ2608" s="10" t="b">
        <f>IF(AND(I2608="TP",S2608&lt;=150),VLOOKUP(AF2608,TPCalibEq150!$AZ$2:$BB$55,3,),IF(AND(I2608="TDP",S2608&lt;=150),VLOOKUP(AF2608,TPCalibEq150!$AZ$2:$BB$55,3,)))</f>
        <v>0</v>
      </c>
      <c r="AR2608" s="10" t="b">
        <f>IF(AND(I2608="TP",S2608&lt;=300),VLOOKUP(AF2608,TPCalibEq300!$AZ$2:$BB$55,3,),IF(AND(I2608="TDP",S2608&lt;=300),VLOOKUP(AF2608,TPCalibEq300!$AZ$2:$BB$55,3,)))</f>
        <v>0</v>
      </c>
      <c r="AS2608" s="10" t="b">
        <f>IF(AND(I2608="TP",S2608&lt;=500),VLOOKUP(AF2608,TPCalibEq500!$AZ$2:$BB$56,3,),IF(AND(I2608="TDP",S2608&lt;=500),VLOOKUP(AF2608,TPCalibEq500!$AZ$2:$BB$56,3,)))</f>
        <v>0</v>
      </c>
      <c r="AT2608" s="10" t="str">
        <f>IF(AND(I2608="TN",S2608&lt;=2800),VLOOKUP(AF2608,TNCalibEq2500!$AZ$2:$BB$56,3,),IF(AND(I2608="TDN",S2608&lt;=2800),VLOOKUP(AF2608,TNCalibEq2500!$AZ$2:$BB$56,3,)))</f>
        <v>y=-1.3255x2+193.01x-127.15</v>
      </c>
      <c r="AU2608" s="10" t="str">
        <f>IF(I2608="TP",VLOOKUP(AF2608,TPCalibEqFull!$AZ$2:$BB$56,3),IF(I2608="TDP",VLOOKUP(AF2608,TPCalibEqFull!$AZ$2:$BB$56,3),IF(I2608="TDN",VLOOKUP(AF2608,TNCalibEqFull!$AZ$1:$BB$56,3),IF(I2608="TN",VLOOKUP(AF2608,TNCalibEqFull!$AZ$1:$BB$56,3),FALSE))))</f>
        <v>y=-0.215x2+181.97x-117.15</v>
      </c>
      <c r="AV2608" s="10" t="str">
        <f t="shared" si="296"/>
        <v>0208 11:22:30-EUS-5-C-1-SW-UKN</v>
      </c>
    </row>
    <row r="2609" spans="1:48" s="10" customFormat="1" x14ac:dyDescent="0.55000000000000004">
      <c r="A2609" s="32">
        <v>44965</v>
      </c>
      <c r="B2609" s="33">
        <v>0.46828703703703706</v>
      </c>
      <c r="C2609" s="10" t="s">
        <v>618</v>
      </c>
      <c r="D2609" s="10">
        <v>0</v>
      </c>
      <c r="E2609" s="10">
        <v>700</v>
      </c>
      <c r="F2609" s="10">
        <v>1</v>
      </c>
      <c r="G2609" s="10" t="s">
        <v>231</v>
      </c>
      <c r="H2609" s="10" t="s">
        <v>322</v>
      </c>
      <c r="I2609" s="10" t="s">
        <v>235</v>
      </c>
      <c r="J2609" s="10">
        <v>28</v>
      </c>
      <c r="K2609" s="12">
        <v>44967</v>
      </c>
      <c r="L2609" s="33">
        <v>0.43129629629629629</v>
      </c>
      <c r="M2609" s="10">
        <v>1</v>
      </c>
      <c r="N2609" s="10" t="s">
        <v>196</v>
      </c>
      <c r="O2609" s="10">
        <v>7.59</v>
      </c>
      <c r="P2609" s="10">
        <v>0.372</v>
      </c>
      <c r="Q2609" s="10">
        <v>1240</v>
      </c>
      <c r="R2609" s="10" t="s">
        <v>170</v>
      </c>
      <c r="S2609" s="34">
        <f t="shared" si="293"/>
        <v>1261.4363634499998</v>
      </c>
      <c r="T2609" s="10" t="s">
        <v>1185</v>
      </c>
      <c r="U2609" s="34" t="str">
        <f t="shared" si="294"/>
        <v/>
      </c>
      <c r="V2609" s="31" t="str">
        <f>IF(H2609="CHK",VLOOKUP(I2609,QCCHK,3,),IF(H2609="GUP",VLOOKUP(E2609,QCGUP,2,),IF(AND(H2609="ATP",OR(I2609="TN",I2609="TDN",I2609="TNO2-3",I2609="NO2-3")),VLOOKUP(E2609,QCREC_N,2,),IF(AND(H2609="NIC",OR(I2609="TN",I2609="TDN",I2609="TNO2-3",I2609="NO2-3")),VLOOKUP(E2609,QCNIC_N,2,),IF(AND(H2609="UREA",OR(I2609="TN",I2609="TDN",I2609="TNO2-3",I2609="NO2-3")),VLOOKUP(E2609,QCUREA_N,2,),IF(H2609="PER",VLOOKUP(I2609,QCPER,MATCH(E2609,QCACTUAL!$J$25:$AA$25,0),),IF(H2609="SPK",VLOOKUP(I2609,QCSPK,3,),IF(AND(H2609="ATP",OR(I2609="TP",I2609="TDP")),VLOOKUP(E2609,QCATP_P,2,),""))))))))</f>
        <v/>
      </c>
      <c r="W2609" s="31" t="str">
        <f t="shared" si="295"/>
        <v>TRUE</v>
      </c>
      <c r="X2609" s="31" t="str">
        <f t="shared" si="292"/>
        <v/>
      </c>
      <c r="Y2609" s="10" t="s">
        <v>1178</v>
      </c>
      <c r="AF2609" s="12">
        <v>44967</v>
      </c>
      <c r="AJ2609" s="10">
        <f>-1.3255*7.59^2+193.01*7.59-127.15</f>
        <v>1261.4363634499998</v>
      </c>
      <c r="AK2609" s="10">
        <f>-0.215*7.59^2+181.97*7.59-117.15</f>
        <v>1251.6165584999999</v>
      </c>
      <c r="AL2609" s="10" t="str">
        <f t="shared" ref="AL2609:AN2672" si="297">IF($O2609="", "", IF(AQ2609&lt;&gt;"", SUBSTITUTE(SUBSTITUTE(AQ2609, "x", "*"&amp;$O2609&amp;"^", 1), "x", "*"&amp;$O2609, 1), ""))</f>
        <v>FALSE</v>
      </c>
      <c r="AM2609" s="10" t="str">
        <f t="shared" si="297"/>
        <v>FALSE</v>
      </c>
      <c r="AN2609" s="10" t="str">
        <f t="shared" si="297"/>
        <v>FALSE</v>
      </c>
      <c r="AO2609" s="10" t="str">
        <f t="shared" ref="AO2609:AP2672" si="298">IF($O2609="", "FALSE", IF(AT2609&lt;&gt;"FALSE", SUBSTITUTE(SUBSTITUTE(AT2609, "x", "*"&amp;$O2609&amp;"^", 1), "x", "*"&amp;$O2609, 1), ""))</f>
        <v>y=-1.3255*7.59^2+193.01*7.59-127.15</v>
      </c>
      <c r="AP2609" s="10" t="str">
        <f t="shared" si="298"/>
        <v>y=-0.215*7.59^2+181.97*7.59-117.15</v>
      </c>
      <c r="AQ2609" s="10" t="b">
        <f>IF(AND(I2609="TP",S2609&lt;=150),VLOOKUP(AF2609,TPCalibEq150!$AZ$2:$BB$55,3,),IF(AND(I2609="TDP",S2609&lt;=150),VLOOKUP(AF2609,TPCalibEq150!$AZ$2:$BB$55,3,)))</f>
        <v>0</v>
      </c>
      <c r="AR2609" s="10" t="b">
        <f>IF(AND(I2609="TP",S2609&lt;=300),VLOOKUP(AF2609,TPCalibEq300!$AZ$2:$BB$55,3,),IF(AND(I2609="TDP",S2609&lt;=300),VLOOKUP(AF2609,TPCalibEq300!$AZ$2:$BB$55,3,)))</f>
        <v>0</v>
      </c>
      <c r="AS2609" s="10" t="b">
        <f>IF(AND(I2609="TP",S2609&lt;=500),VLOOKUP(AF2609,TPCalibEq500!$AZ$2:$BB$56,3,),IF(AND(I2609="TDP",S2609&lt;=500),VLOOKUP(AF2609,TPCalibEq500!$AZ$2:$BB$56,3,)))</f>
        <v>0</v>
      </c>
      <c r="AT2609" s="10" t="str">
        <f>IF(AND(I2609="TN",S2609&lt;=2800),VLOOKUP(AF2609,TNCalibEq2500!$AZ$2:$BB$56,3,),IF(AND(I2609="TDN",S2609&lt;=2800),VLOOKUP(AF2609,TNCalibEq2500!$AZ$2:$BB$56,3,)))</f>
        <v>y=-1.3255x2+193.01x-127.15</v>
      </c>
      <c r="AU2609" s="10" t="str">
        <f>IF(I2609="TP",VLOOKUP(AF2609,TPCalibEqFull!$AZ$2:$BB$56,3),IF(I2609="TDP",VLOOKUP(AF2609,TPCalibEqFull!$AZ$2:$BB$56,3),IF(I2609="TDN",VLOOKUP(AF2609,TNCalibEqFull!$AZ$1:$BB$56,3),IF(I2609="TN",VLOOKUP(AF2609,TNCalibEqFull!$AZ$1:$BB$56,3),FALSE))))</f>
        <v>y=-0.215x2+181.97x-117.15</v>
      </c>
      <c r="AV2609" s="10" t="str">
        <f t="shared" si="296"/>
        <v>0208 11:14:20-ECP-0-700-1-SW-UKN</v>
      </c>
    </row>
    <row r="2610" spans="1:48" s="10" customFormat="1" x14ac:dyDescent="0.55000000000000004">
      <c r="A2610" s="32">
        <v>44965</v>
      </c>
      <c r="B2610" s="33">
        <v>0.46828703703703706</v>
      </c>
      <c r="C2610" s="10" t="s">
        <v>618</v>
      </c>
      <c r="D2610" s="10">
        <v>0</v>
      </c>
      <c r="E2610" s="10">
        <v>700</v>
      </c>
      <c r="F2610" s="10">
        <v>2</v>
      </c>
      <c r="G2610" s="10" t="s">
        <v>231</v>
      </c>
      <c r="H2610" s="10" t="s">
        <v>322</v>
      </c>
      <c r="I2610" s="10" t="s">
        <v>235</v>
      </c>
      <c r="J2610" s="10">
        <v>29</v>
      </c>
      <c r="K2610" s="12">
        <v>44967</v>
      </c>
      <c r="L2610" s="33">
        <v>0.4319560185185185</v>
      </c>
      <c r="M2610" s="10">
        <v>1</v>
      </c>
      <c r="N2610" s="10" t="s">
        <v>196</v>
      </c>
      <c r="O2610" s="10">
        <v>7.87</v>
      </c>
      <c r="P2610" s="10">
        <v>0.38500000000000001</v>
      </c>
      <c r="Q2610" s="10">
        <v>1290</v>
      </c>
      <c r="R2610" s="10" t="s">
        <v>170</v>
      </c>
      <c r="S2610" s="34">
        <f t="shared" si="293"/>
        <v>1309.7413390499999</v>
      </c>
      <c r="T2610" s="10" t="s">
        <v>1185</v>
      </c>
      <c r="U2610" s="34" t="str">
        <f t="shared" si="294"/>
        <v/>
      </c>
      <c r="V2610" s="31" t="str">
        <f>IF(H2610="CHK",VLOOKUP(I2610,QCCHK,3,),IF(H2610="GUP",VLOOKUP(E2610,QCGUP,2,),IF(AND(H2610="ATP",OR(I2610="TN",I2610="TDN",I2610="TNO2-3",I2610="NO2-3")),VLOOKUP(E2610,QCREC_N,2,),IF(AND(H2610="NIC",OR(I2610="TN",I2610="TDN",I2610="TNO2-3",I2610="NO2-3")),VLOOKUP(E2610,QCNIC_N,2,),IF(AND(H2610="UREA",OR(I2610="TN",I2610="TDN",I2610="TNO2-3",I2610="NO2-3")),VLOOKUP(E2610,QCUREA_N,2,),IF(H2610="PER",VLOOKUP(I2610,QCPER,MATCH(E2610,QCACTUAL!$J$25:$AA$25,0),),IF(H2610="SPK",VLOOKUP(I2610,QCSPK,3,),IF(AND(H2610="ATP",OR(I2610="TP",I2610="TDP")),VLOOKUP(E2610,QCATP_P,2,),""))))))))</f>
        <v/>
      </c>
      <c r="W2610" s="31" t="str">
        <f t="shared" si="295"/>
        <v>TRUE</v>
      </c>
      <c r="X2610" s="31" t="str">
        <f t="shared" si="292"/>
        <v/>
      </c>
      <c r="Y2610" s="10" t="s">
        <v>1178</v>
      </c>
      <c r="AF2610" s="12">
        <v>44967</v>
      </c>
      <c r="AJ2610" s="10">
        <f>-1.3255*7.87^2+193.01*7.87-127.15</f>
        <v>1309.7413390499999</v>
      </c>
      <c r="AK2610" s="10">
        <f>-0.215*7.87^2+181.97*7.87-117.15</f>
        <v>1301.6374665000001</v>
      </c>
      <c r="AL2610" s="10" t="str">
        <f t="shared" si="297"/>
        <v>FALSE</v>
      </c>
      <c r="AM2610" s="10" t="str">
        <f t="shared" si="297"/>
        <v>FALSE</v>
      </c>
      <c r="AN2610" s="10" t="str">
        <f t="shared" si="297"/>
        <v>FALSE</v>
      </c>
      <c r="AO2610" s="10" t="str">
        <f t="shared" si="298"/>
        <v>y=-1.3255*7.87^2+193.01*7.87-127.15</v>
      </c>
      <c r="AP2610" s="10" t="str">
        <f t="shared" si="298"/>
        <v>y=-0.215*7.87^2+181.97*7.87-117.15</v>
      </c>
      <c r="AQ2610" s="10" t="b">
        <f>IF(AND(I2610="TP",S2610&lt;=150),VLOOKUP(AF2610,TPCalibEq150!$AZ$2:$BB$55,3,),IF(AND(I2610="TDP",S2610&lt;=150),VLOOKUP(AF2610,TPCalibEq150!$AZ$2:$BB$55,3,)))</f>
        <v>0</v>
      </c>
      <c r="AR2610" s="10" t="b">
        <f>IF(AND(I2610="TP",S2610&lt;=300),VLOOKUP(AF2610,TPCalibEq300!$AZ$2:$BB$55,3,),IF(AND(I2610="TDP",S2610&lt;=300),VLOOKUP(AF2610,TPCalibEq300!$AZ$2:$BB$55,3,)))</f>
        <v>0</v>
      </c>
      <c r="AS2610" s="10" t="b">
        <f>IF(AND(I2610="TP",S2610&lt;=500),VLOOKUP(AF2610,TPCalibEq500!$AZ$2:$BB$56,3,),IF(AND(I2610="TDP",S2610&lt;=500),VLOOKUP(AF2610,TPCalibEq500!$AZ$2:$BB$56,3,)))</f>
        <v>0</v>
      </c>
      <c r="AT2610" s="10" t="str">
        <f>IF(AND(I2610="TN",S2610&lt;=2800),VLOOKUP(AF2610,TNCalibEq2500!$AZ$2:$BB$56,3,),IF(AND(I2610="TDN",S2610&lt;=2800),VLOOKUP(AF2610,TNCalibEq2500!$AZ$2:$BB$56,3,)))</f>
        <v>y=-1.3255x2+193.01x-127.15</v>
      </c>
      <c r="AU2610" s="10" t="str">
        <f>IF(I2610="TP",VLOOKUP(AF2610,TPCalibEqFull!$AZ$2:$BB$56,3),IF(I2610="TDP",VLOOKUP(AF2610,TPCalibEqFull!$AZ$2:$BB$56,3),IF(I2610="TDN",VLOOKUP(AF2610,TNCalibEqFull!$AZ$1:$BB$56,3),IF(I2610="TN",VLOOKUP(AF2610,TNCalibEqFull!$AZ$1:$BB$56,3),FALSE))))</f>
        <v>y=-0.215x2+181.97x-117.15</v>
      </c>
      <c r="AV2610" s="10" t="str">
        <f t="shared" si="296"/>
        <v>0208 11:14:20-ECP-0-700-2-SW-UKN</v>
      </c>
    </row>
    <row r="2611" spans="1:48" s="10" customFormat="1" x14ac:dyDescent="0.55000000000000004">
      <c r="A2611" s="32">
        <v>44965</v>
      </c>
      <c r="B2611" s="33">
        <v>0.46828703703703706</v>
      </c>
      <c r="C2611" s="10" t="s">
        <v>618</v>
      </c>
      <c r="D2611" s="10">
        <v>0</v>
      </c>
      <c r="E2611" s="10">
        <v>700</v>
      </c>
      <c r="F2611" s="10">
        <v>2</v>
      </c>
      <c r="G2611" s="10" t="s">
        <v>231</v>
      </c>
      <c r="H2611" s="10" t="s">
        <v>233</v>
      </c>
      <c r="I2611" s="10" t="s">
        <v>235</v>
      </c>
      <c r="J2611" s="10">
        <v>29</v>
      </c>
      <c r="K2611" s="12">
        <v>44967</v>
      </c>
      <c r="L2611" s="33">
        <v>0.43260416666666668</v>
      </c>
      <c r="M2611" s="10">
        <v>1</v>
      </c>
      <c r="N2611" s="10" t="s">
        <v>196</v>
      </c>
      <c r="O2611" s="10">
        <v>7.84</v>
      </c>
      <c r="P2611" s="10">
        <v>0.38300000000000001</v>
      </c>
      <c r="Q2611" s="10">
        <v>1280</v>
      </c>
      <c r="R2611" s="10" t="s">
        <v>170</v>
      </c>
      <c r="S2611" s="34">
        <f t="shared" si="293"/>
        <v>1304.5757472</v>
      </c>
      <c r="T2611" s="10" t="s">
        <v>1185</v>
      </c>
      <c r="U2611" s="34">
        <f t="shared" si="294"/>
        <v>0.39517714795716685</v>
      </c>
      <c r="V2611" s="31" t="str">
        <f>IF(H2611="CHK",VLOOKUP(I2611,QCCHK,3,),IF(H2611="GUP",VLOOKUP(E2611,QCGUP,2,),IF(AND(H2611="ATP",OR(I2611="TN",I2611="TDN",I2611="TNO2-3",I2611="NO2-3")),VLOOKUP(E2611,QCREC_N,2,),IF(AND(H2611="NIC",OR(I2611="TN",I2611="TDN",I2611="TNO2-3",I2611="NO2-3")),VLOOKUP(E2611,QCNIC_N,2,),IF(AND(H2611="UREA",OR(I2611="TN",I2611="TDN",I2611="TNO2-3",I2611="NO2-3")),VLOOKUP(E2611,QCUREA_N,2,),IF(H2611="PER",VLOOKUP(I2611,QCPER,MATCH(E2611,QCACTUAL!$J$25:$AA$25,0),),IF(H2611="SPK",VLOOKUP(I2611,QCSPK,3,),IF(AND(H2611="ATP",OR(I2611="TP",I2611="TDP")),VLOOKUP(E2611,QCATP_P,2,),""))))))))</f>
        <v/>
      </c>
      <c r="W2611" s="31" t="str">
        <f t="shared" si="295"/>
        <v>TRUE</v>
      </c>
      <c r="X2611" s="31" t="str">
        <f t="shared" si="292"/>
        <v>((ABS(rep1-rep2))/((rep1+rep2)/2)*100</v>
      </c>
      <c r="Y2611" s="10" t="s">
        <v>1178</v>
      </c>
      <c r="AF2611" s="12">
        <v>44967</v>
      </c>
      <c r="AJ2611" s="10">
        <f>-1.3255*7.84^2+193.01*7.84-127.15</f>
        <v>1304.5757472</v>
      </c>
      <c r="AK2611" s="10">
        <f>-0.215*7.84^2+181.97*7.84-117.15</f>
        <v>1296.2796959999998</v>
      </c>
      <c r="AL2611" s="10" t="str">
        <f t="shared" si="297"/>
        <v>FALSE</v>
      </c>
      <c r="AM2611" s="10" t="str">
        <f t="shared" si="297"/>
        <v>FALSE</v>
      </c>
      <c r="AN2611" s="10" t="str">
        <f t="shared" si="297"/>
        <v>FALSE</v>
      </c>
      <c r="AO2611" s="10" t="str">
        <f t="shared" si="298"/>
        <v>y=-1.3255*7.84^2+193.01*7.84-127.15</v>
      </c>
      <c r="AP2611" s="10" t="str">
        <f t="shared" si="298"/>
        <v>y=-0.215*7.84^2+181.97*7.84-117.15</v>
      </c>
      <c r="AQ2611" s="10" t="b">
        <f>IF(AND(I2611="TP",S2611&lt;=150),VLOOKUP(AF2611,TPCalibEq150!$AZ$2:$BB$55,3,),IF(AND(I2611="TDP",S2611&lt;=150),VLOOKUP(AF2611,TPCalibEq150!$AZ$2:$BB$55,3,)))</f>
        <v>0</v>
      </c>
      <c r="AR2611" s="10" t="b">
        <f>IF(AND(I2611="TP",S2611&lt;=300),VLOOKUP(AF2611,TPCalibEq300!$AZ$2:$BB$55,3,),IF(AND(I2611="TDP",S2611&lt;=300),VLOOKUP(AF2611,TPCalibEq300!$AZ$2:$BB$55,3,)))</f>
        <v>0</v>
      </c>
      <c r="AS2611" s="10" t="b">
        <f>IF(AND(I2611="TP",S2611&lt;=500),VLOOKUP(AF2611,TPCalibEq500!$AZ$2:$BB$56,3,),IF(AND(I2611="TDP",S2611&lt;=500),VLOOKUP(AF2611,TPCalibEq500!$AZ$2:$BB$56,3,)))</f>
        <v>0</v>
      </c>
      <c r="AT2611" s="10" t="str">
        <f>IF(AND(I2611="TN",S2611&lt;=2800),VLOOKUP(AF2611,TNCalibEq2500!$AZ$2:$BB$56,3,),IF(AND(I2611="TDN",S2611&lt;=2800),VLOOKUP(AF2611,TNCalibEq2500!$AZ$2:$BB$56,3,)))</f>
        <v>y=-1.3255x2+193.01x-127.15</v>
      </c>
      <c r="AU2611" s="10" t="str">
        <f>IF(I2611="TP",VLOOKUP(AF2611,TPCalibEqFull!$AZ$2:$BB$56,3),IF(I2611="TDP",VLOOKUP(AF2611,TPCalibEqFull!$AZ$2:$BB$56,3),IF(I2611="TDN",VLOOKUP(AF2611,TNCalibEqFull!$AZ$1:$BB$56,3),IF(I2611="TN",VLOOKUP(AF2611,TNCalibEqFull!$AZ$1:$BB$56,3),FALSE))))</f>
        <v>y=-0.215x2+181.97x-117.15</v>
      </c>
      <c r="AV2611" s="10" t="str">
        <f t="shared" si="296"/>
        <v>0208 11:14:20-ECP-0-700-2-SW-DUP</v>
      </c>
    </row>
    <row r="2612" spans="1:48" s="10" customFormat="1" x14ac:dyDescent="0.55000000000000004">
      <c r="A2612" s="32">
        <v>44965</v>
      </c>
      <c r="B2612" s="33">
        <v>0.46828703703703706</v>
      </c>
      <c r="C2612" s="10" t="s">
        <v>618</v>
      </c>
      <c r="D2612" s="10">
        <v>0</v>
      </c>
      <c r="E2612" s="10">
        <v>700</v>
      </c>
      <c r="F2612" s="10">
        <v>2</v>
      </c>
      <c r="G2612" s="10" t="s">
        <v>231</v>
      </c>
      <c r="H2612" s="10" t="s">
        <v>314</v>
      </c>
      <c r="I2612" s="10" t="s">
        <v>235</v>
      </c>
      <c r="J2612" s="10">
        <v>122</v>
      </c>
      <c r="K2612" s="12">
        <v>44967</v>
      </c>
      <c r="L2612" s="33">
        <v>0.43328703703703703</v>
      </c>
      <c r="M2612" s="10">
        <v>1</v>
      </c>
      <c r="N2612" s="10" t="s">
        <v>196</v>
      </c>
      <c r="O2612" s="10">
        <v>23</v>
      </c>
      <c r="P2612" s="10">
        <v>1.1100000000000001</v>
      </c>
      <c r="Q2612" s="10">
        <v>3950</v>
      </c>
      <c r="R2612" s="10" t="s">
        <v>170</v>
      </c>
      <c r="S2612" s="34">
        <f t="shared" si="293"/>
        <v>3954.4250000000002</v>
      </c>
      <c r="T2612" s="10" t="s">
        <v>1185</v>
      </c>
      <c r="U2612" s="34">
        <f t="shared" si="294"/>
        <v>105.993970112</v>
      </c>
      <c r="V2612" s="31">
        <f>IF(H2612="CHK",VLOOKUP(I2612,QCCHK,3,),IF(H2612="GUP",VLOOKUP(E2612,QCGUP,2,),IF(AND(H2612="ATP",OR(I2612="TN",I2612="TDN",I2612="TNO2-3",I2612="NO2-3")),VLOOKUP(E2612,QCREC_N,2,),IF(AND(H2612="NIC",OR(I2612="TN",I2612="TDN",I2612="TNO2-3",I2612="NO2-3")),VLOOKUP(E2612,QCNIC_N,2,),IF(AND(H2612="UREA",OR(I2612="TN",I2612="TDN",I2612="TNO2-3",I2612="NO2-3")),VLOOKUP(E2612,QCUREA_N,2,),IF(H2612="PER",VLOOKUP(I2612,QCPER,MATCH(E2612,QCACTUAL!$J$25:$AA$25,0),),IF(H2612="SPK",VLOOKUP(I2612,QCSPK,3,),IF(AND(H2612="ATP",OR(I2612="TP",I2612="TDP")),VLOOKUP(E2612,QCATP_P,2,),""))))))))</f>
        <v>2500</v>
      </c>
      <c r="W2612" s="31" t="str">
        <f t="shared" si="295"/>
        <v>TRUE</v>
      </c>
      <c r="X2612" s="31" t="str">
        <f t="shared" si="292"/>
        <v>([spikedunkn]-[unkn])/[spike]*100</v>
      </c>
      <c r="Y2612" s="10" t="s">
        <v>1178</v>
      </c>
      <c r="AF2612" s="12">
        <v>44967</v>
      </c>
      <c r="AK2612" s="10">
        <f>-0.215*23^2+181.97*23-117.15</f>
        <v>3954.4250000000002</v>
      </c>
      <c r="AL2612" s="10" t="str">
        <f t="shared" si="297"/>
        <v>FALSE</v>
      </c>
      <c r="AM2612" s="10" t="str">
        <f t="shared" si="297"/>
        <v>FALSE</v>
      </c>
      <c r="AN2612" s="10" t="str">
        <f t="shared" si="297"/>
        <v>FALSE</v>
      </c>
      <c r="AO2612" s="10" t="str">
        <f t="shared" si="298"/>
        <v>FALSE</v>
      </c>
      <c r="AP2612" s="10" t="str">
        <f t="shared" si="298"/>
        <v>y=-0.215*23^2+181.97*23-117.15</v>
      </c>
      <c r="AQ2612" s="10" t="b">
        <f>IF(AND(I2612="TP",S2612&lt;=150),VLOOKUP(AF2612,TPCalibEq150!$AZ$2:$BB$55,3,),IF(AND(I2612="TDP",S2612&lt;=150),VLOOKUP(AF2612,TPCalibEq150!$AZ$2:$BB$55,3,)))</f>
        <v>0</v>
      </c>
      <c r="AR2612" s="10" t="b">
        <f>IF(AND(I2612="TP",S2612&lt;=300),VLOOKUP(AF2612,TPCalibEq300!$AZ$2:$BB$55,3,),IF(AND(I2612="TDP",S2612&lt;=300),VLOOKUP(AF2612,TPCalibEq300!$AZ$2:$BB$55,3,)))</f>
        <v>0</v>
      </c>
      <c r="AS2612" s="10" t="b">
        <f>IF(AND(I2612="TP",S2612&lt;=500),VLOOKUP(AF2612,TPCalibEq500!$AZ$2:$BB$56,3,),IF(AND(I2612="TDP",S2612&lt;=500),VLOOKUP(AF2612,TPCalibEq500!$AZ$2:$BB$56,3,)))</f>
        <v>0</v>
      </c>
      <c r="AT2612" s="10" t="b">
        <f>IF(AND(I2612="TN",S2612&lt;=2800),VLOOKUP(AF2612,TNCalibEq2500!$AZ$2:$BB$56,3,),IF(AND(I2612="TDN",S2612&lt;=2800),VLOOKUP(AF2612,TNCalibEq2500!$AZ$2:$BB$56,3,)))</f>
        <v>0</v>
      </c>
      <c r="AU2612" s="10" t="str">
        <f>IF(I2612="TP",VLOOKUP(AF2612,TPCalibEqFull!$AZ$2:$BB$56,3),IF(I2612="TDP",VLOOKUP(AF2612,TPCalibEqFull!$AZ$2:$BB$56,3),IF(I2612="TDN",VLOOKUP(AF2612,TNCalibEqFull!$AZ$1:$BB$56,3),IF(I2612="TN",VLOOKUP(AF2612,TNCalibEqFull!$AZ$1:$BB$56,3),FALSE))))</f>
        <v>y=-0.215x2+181.97x-117.15</v>
      </c>
      <c r="AV2612" s="10" t="str">
        <f t="shared" si="296"/>
        <v>0208 11:14:20-ECP-0-700-2-SW-SPK</v>
      </c>
    </row>
    <row r="2613" spans="1:48" s="10" customFormat="1" x14ac:dyDescent="0.55000000000000004">
      <c r="A2613" s="32">
        <v>44965</v>
      </c>
      <c r="B2613" s="33">
        <v>0.49027777777777781</v>
      </c>
      <c r="C2613" s="10" t="s">
        <v>618</v>
      </c>
      <c r="D2613" s="10">
        <v>5</v>
      </c>
      <c r="E2613" s="10">
        <v>660</v>
      </c>
      <c r="F2613" s="10">
        <v>1</v>
      </c>
      <c r="G2613" s="10" t="s">
        <v>231</v>
      </c>
      <c r="H2613" s="10" t="s">
        <v>322</v>
      </c>
      <c r="I2613" s="10" t="s">
        <v>235</v>
      </c>
      <c r="J2613" s="10">
        <v>30</v>
      </c>
      <c r="K2613" s="12">
        <v>44967</v>
      </c>
      <c r="L2613" s="33">
        <v>0.43394675925925924</v>
      </c>
      <c r="M2613" s="10">
        <v>1</v>
      </c>
      <c r="N2613" s="10" t="s">
        <v>196</v>
      </c>
      <c r="O2613" s="10">
        <v>7.49</v>
      </c>
      <c r="P2613" s="10">
        <v>0.36899999999999999</v>
      </c>
      <c r="Q2613" s="10">
        <v>1220</v>
      </c>
      <c r="R2613" s="10" t="s">
        <v>170</v>
      </c>
      <c r="S2613" s="34">
        <f t="shared" si="293"/>
        <v>1244.1342174499998</v>
      </c>
      <c r="T2613" s="10" t="s">
        <v>1185</v>
      </c>
      <c r="U2613" s="34" t="str">
        <f t="shared" si="294"/>
        <v/>
      </c>
      <c r="V2613" s="31" t="str">
        <f>IF(H2613="CHK",VLOOKUP(I2613,QCCHK,3,),IF(H2613="GUP",VLOOKUP(E2613,QCGUP,2,),IF(AND(H2613="ATP",OR(I2613="TN",I2613="TDN",I2613="TNO2-3",I2613="NO2-3")),VLOOKUP(E2613,QCREC_N,2,),IF(AND(H2613="NIC",OR(I2613="TN",I2613="TDN",I2613="TNO2-3",I2613="NO2-3")),VLOOKUP(E2613,QCNIC_N,2,),IF(AND(H2613="UREA",OR(I2613="TN",I2613="TDN",I2613="TNO2-3",I2613="NO2-3")),VLOOKUP(E2613,QCUREA_N,2,),IF(H2613="PER",VLOOKUP(I2613,QCPER,MATCH(E2613,QCACTUAL!$J$25:$AA$25,0),),IF(H2613="SPK",VLOOKUP(I2613,QCSPK,3,),IF(AND(H2613="ATP",OR(I2613="TP",I2613="TDP")),VLOOKUP(E2613,QCATP_P,2,),""))))))))</f>
        <v/>
      </c>
      <c r="W2613" s="31" t="str">
        <f t="shared" si="295"/>
        <v>TRUE</v>
      </c>
      <c r="X2613" s="31" t="str">
        <f t="shared" si="292"/>
        <v/>
      </c>
      <c r="Y2613" s="10" t="s">
        <v>1178</v>
      </c>
      <c r="AF2613" s="12">
        <v>44967</v>
      </c>
      <c r="AJ2613" s="10">
        <f>-1.3255*7.49^2+193.01*7.49-127.15</f>
        <v>1244.1342174499998</v>
      </c>
      <c r="AK2613" s="10">
        <f>-0.215*7.49^2+181.97*7.49-117.15</f>
        <v>1233.7437785</v>
      </c>
      <c r="AL2613" s="10" t="str">
        <f t="shared" si="297"/>
        <v>FALSE</v>
      </c>
      <c r="AM2613" s="10" t="str">
        <f t="shared" si="297"/>
        <v>FALSE</v>
      </c>
      <c r="AN2613" s="10" t="str">
        <f t="shared" si="297"/>
        <v>FALSE</v>
      </c>
      <c r="AO2613" s="10" t="str">
        <f t="shared" si="298"/>
        <v>y=-1.3255*7.49^2+193.01*7.49-127.15</v>
      </c>
      <c r="AP2613" s="10" t="str">
        <f t="shared" si="298"/>
        <v>y=-0.215*7.49^2+181.97*7.49-117.15</v>
      </c>
      <c r="AQ2613" s="10" t="b">
        <f>IF(AND(I2613="TP",S2613&lt;=150),VLOOKUP(AF2613,TPCalibEq150!$AZ$2:$BB$55,3,),IF(AND(I2613="TDP",S2613&lt;=150),VLOOKUP(AF2613,TPCalibEq150!$AZ$2:$BB$55,3,)))</f>
        <v>0</v>
      </c>
      <c r="AR2613" s="10" t="b">
        <f>IF(AND(I2613="TP",S2613&lt;=300),VLOOKUP(AF2613,TPCalibEq300!$AZ$2:$BB$55,3,),IF(AND(I2613="TDP",S2613&lt;=300),VLOOKUP(AF2613,TPCalibEq300!$AZ$2:$BB$55,3,)))</f>
        <v>0</v>
      </c>
      <c r="AS2613" s="10" t="b">
        <f>IF(AND(I2613="TP",S2613&lt;=500),VLOOKUP(AF2613,TPCalibEq500!$AZ$2:$BB$56,3,),IF(AND(I2613="TDP",S2613&lt;=500),VLOOKUP(AF2613,TPCalibEq500!$AZ$2:$BB$56,3,)))</f>
        <v>0</v>
      </c>
      <c r="AT2613" s="10" t="str">
        <f>IF(AND(I2613="TN",S2613&lt;=2800),VLOOKUP(AF2613,TNCalibEq2500!$AZ$2:$BB$56,3,),IF(AND(I2613="TDN",S2613&lt;=2800),VLOOKUP(AF2613,TNCalibEq2500!$AZ$2:$BB$56,3,)))</f>
        <v>y=-1.3255x2+193.01x-127.15</v>
      </c>
      <c r="AU2613" s="10" t="str">
        <f>IF(I2613="TP",VLOOKUP(AF2613,TPCalibEqFull!$AZ$2:$BB$56,3),IF(I2613="TDP",VLOOKUP(AF2613,TPCalibEqFull!$AZ$2:$BB$56,3),IF(I2613="TDN",VLOOKUP(AF2613,TNCalibEqFull!$AZ$1:$BB$56,3),IF(I2613="TN",VLOOKUP(AF2613,TNCalibEqFull!$AZ$1:$BB$56,3),FALSE))))</f>
        <v>y=-0.215x2+181.97x-117.15</v>
      </c>
      <c r="AV2613" s="10" t="str">
        <f t="shared" si="296"/>
        <v>0208 11:46:00-ECP-5-660-1-SW-UKN</v>
      </c>
    </row>
    <row r="2614" spans="1:48" s="10" customFormat="1" x14ac:dyDescent="0.55000000000000004">
      <c r="A2614" s="32">
        <v>44965</v>
      </c>
      <c r="B2614" s="33">
        <v>0.4927083333333333</v>
      </c>
      <c r="C2614" s="10" t="s">
        <v>618</v>
      </c>
      <c r="D2614" s="10">
        <v>10</v>
      </c>
      <c r="E2614" s="10">
        <v>700</v>
      </c>
      <c r="F2614" s="10">
        <v>1</v>
      </c>
      <c r="G2614" s="10" t="s">
        <v>231</v>
      </c>
      <c r="H2614" s="10" t="s">
        <v>322</v>
      </c>
      <c r="I2614" s="10" t="s">
        <v>235</v>
      </c>
      <c r="J2614" s="10">
        <v>31</v>
      </c>
      <c r="K2614" s="12">
        <v>44967</v>
      </c>
      <c r="L2614" s="33">
        <v>0.43462962962962964</v>
      </c>
      <c r="M2614" s="10">
        <v>1</v>
      </c>
      <c r="N2614" s="10" t="s">
        <v>196</v>
      </c>
      <c r="O2614" s="10">
        <v>7.38</v>
      </c>
      <c r="P2614" s="10">
        <v>0.36</v>
      </c>
      <c r="Q2614" s="10">
        <v>1200</v>
      </c>
      <c r="R2614" s="10" t="s">
        <v>170</v>
      </c>
      <c r="S2614" s="34">
        <f t="shared" si="293"/>
        <v>1225.0712377999998</v>
      </c>
      <c r="T2614" s="10" t="s">
        <v>1185</v>
      </c>
      <c r="U2614" s="34" t="str">
        <f t="shared" si="294"/>
        <v/>
      </c>
      <c r="V2614" s="31" t="str">
        <f>IF(H2614="CHK",VLOOKUP(I2614,QCCHK,3,),IF(H2614="GUP",VLOOKUP(E2614,QCGUP,2,),IF(AND(H2614="ATP",OR(I2614="TN",I2614="TDN",I2614="TNO2-3",I2614="NO2-3")),VLOOKUP(E2614,QCREC_N,2,),IF(AND(H2614="NIC",OR(I2614="TN",I2614="TDN",I2614="TNO2-3",I2614="NO2-3")),VLOOKUP(E2614,QCNIC_N,2,),IF(AND(H2614="UREA",OR(I2614="TN",I2614="TDN",I2614="TNO2-3",I2614="NO2-3")),VLOOKUP(E2614,QCUREA_N,2,),IF(H2614="PER",VLOOKUP(I2614,QCPER,MATCH(E2614,QCACTUAL!$J$25:$AA$25,0),),IF(H2614="SPK",VLOOKUP(I2614,QCSPK,3,),IF(AND(H2614="ATP",OR(I2614="TP",I2614="TDP")),VLOOKUP(E2614,QCATP_P,2,),""))))))))</f>
        <v/>
      </c>
      <c r="W2614" s="31" t="str">
        <f t="shared" si="295"/>
        <v>TRUE</v>
      </c>
      <c r="X2614" s="31" t="str">
        <f t="shared" si="292"/>
        <v/>
      </c>
      <c r="Y2614" s="10" t="s">
        <v>1178</v>
      </c>
      <c r="AF2614" s="12">
        <v>44967</v>
      </c>
      <c r="AJ2614" s="10">
        <f>-1.3255*7.38^2+193.01*7.38-127.15</f>
        <v>1225.0712377999998</v>
      </c>
      <c r="AK2614" s="10">
        <f>-0.215*7.38^2+181.97*7.38-117.15</f>
        <v>1214.0787539999999</v>
      </c>
      <c r="AL2614" s="10" t="str">
        <f t="shared" si="297"/>
        <v>FALSE</v>
      </c>
      <c r="AM2614" s="10" t="str">
        <f t="shared" si="297"/>
        <v>FALSE</v>
      </c>
      <c r="AN2614" s="10" t="str">
        <f t="shared" si="297"/>
        <v>FALSE</v>
      </c>
      <c r="AO2614" s="10" t="str">
        <f t="shared" si="298"/>
        <v>y=-1.3255*7.38^2+193.01*7.38-127.15</v>
      </c>
      <c r="AP2614" s="10" t="str">
        <f t="shared" si="298"/>
        <v>y=-0.215*7.38^2+181.97*7.38-117.15</v>
      </c>
      <c r="AQ2614" s="10" t="b">
        <f>IF(AND(I2614="TP",S2614&lt;=150),VLOOKUP(AF2614,TPCalibEq150!$AZ$2:$BB$55,3,),IF(AND(I2614="TDP",S2614&lt;=150),VLOOKUP(AF2614,TPCalibEq150!$AZ$2:$BB$55,3,)))</f>
        <v>0</v>
      </c>
      <c r="AR2614" s="10" t="b">
        <f>IF(AND(I2614="TP",S2614&lt;=300),VLOOKUP(AF2614,TPCalibEq300!$AZ$2:$BB$55,3,),IF(AND(I2614="TDP",S2614&lt;=300),VLOOKUP(AF2614,TPCalibEq300!$AZ$2:$BB$55,3,)))</f>
        <v>0</v>
      </c>
      <c r="AS2614" s="10" t="b">
        <f>IF(AND(I2614="TP",S2614&lt;=500),VLOOKUP(AF2614,TPCalibEq500!$AZ$2:$BB$56,3,),IF(AND(I2614="TDP",S2614&lt;=500),VLOOKUP(AF2614,TPCalibEq500!$AZ$2:$BB$56,3,)))</f>
        <v>0</v>
      </c>
      <c r="AT2614" s="10" t="str">
        <f>IF(AND(I2614="TN",S2614&lt;=2800),VLOOKUP(AF2614,TNCalibEq2500!$AZ$2:$BB$56,3,),IF(AND(I2614="TDN",S2614&lt;=2800),VLOOKUP(AF2614,TNCalibEq2500!$AZ$2:$BB$56,3,)))</f>
        <v>y=-1.3255x2+193.01x-127.15</v>
      </c>
      <c r="AU2614" s="10" t="str">
        <f>IF(I2614="TP",VLOOKUP(AF2614,TPCalibEqFull!$AZ$2:$BB$56,3),IF(I2614="TDP",VLOOKUP(AF2614,TPCalibEqFull!$AZ$2:$BB$56,3),IF(I2614="TDN",VLOOKUP(AF2614,TNCalibEqFull!$AZ$1:$BB$56,3),IF(I2614="TN",VLOOKUP(AF2614,TNCalibEqFull!$AZ$1:$BB$56,3),FALSE))))</f>
        <v>y=-0.215x2+181.97x-117.15</v>
      </c>
      <c r="AV2614" s="10" t="str">
        <f t="shared" si="296"/>
        <v>0208 11:49:30-ECP-10-700-1-SW-UKN</v>
      </c>
    </row>
    <row r="2615" spans="1:48" s="10" customFormat="1" x14ac:dyDescent="0.55000000000000004">
      <c r="A2615" s="32">
        <v>44965</v>
      </c>
      <c r="B2615" s="33">
        <v>0.49502314814814818</v>
      </c>
      <c r="C2615" s="10" t="s">
        <v>618</v>
      </c>
      <c r="D2615" s="10">
        <v>20</v>
      </c>
      <c r="E2615" s="10" t="s">
        <v>190</v>
      </c>
      <c r="F2615" s="10">
        <v>1</v>
      </c>
      <c r="G2615" s="10" t="s">
        <v>231</v>
      </c>
      <c r="H2615" s="10" t="s">
        <v>322</v>
      </c>
      <c r="I2615" s="10" t="s">
        <v>235</v>
      </c>
      <c r="J2615" s="10">
        <v>32</v>
      </c>
      <c r="K2615" s="12">
        <v>44967</v>
      </c>
      <c r="L2615" s="33">
        <v>0.43531249999999999</v>
      </c>
      <c r="M2615" s="10">
        <v>1</v>
      </c>
      <c r="N2615" s="10" t="s">
        <v>196</v>
      </c>
      <c r="O2615" s="10">
        <v>7.12</v>
      </c>
      <c r="P2615" s="10">
        <v>0.34899999999999998</v>
      </c>
      <c r="Q2615" s="10">
        <v>1150</v>
      </c>
      <c r="R2615" s="10" t="s">
        <v>170</v>
      </c>
      <c r="S2615" s="34">
        <f t="shared" si="293"/>
        <v>1179.8857727999998</v>
      </c>
      <c r="T2615" s="10" t="s">
        <v>1185</v>
      </c>
      <c r="U2615" s="34" t="str">
        <f t="shared" si="294"/>
        <v/>
      </c>
      <c r="V2615" s="31" t="str">
        <f>IF(H2615="CHK",VLOOKUP(I2615,QCCHK,3,),IF(H2615="GUP",VLOOKUP(E2615,QCGUP,2,),IF(AND(H2615="ATP",OR(I2615="TN",I2615="TDN",I2615="TNO2-3",I2615="NO2-3")),VLOOKUP(E2615,QCREC_N,2,),IF(AND(H2615="NIC",OR(I2615="TN",I2615="TDN",I2615="TNO2-3",I2615="NO2-3")),VLOOKUP(E2615,QCNIC_N,2,),IF(AND(H2615="UREA",OR(I2615="TN",I2615="TDN",I2615="TNO2-3",I2615="NO2-3")),VLOOKUP(E2615,QCUREA_N,2,),IF(H2615="PER",VLOOKUP(I2615,QCPER,MATCH(E2615,QCACTUAL!$J$25:$AA$25,0),),IF(H2615="SPK",VLOOKUP(I2615,QCSPK,3,),IF(AND(H2615="ATP",OR(I2615="TP",I2615="TDP")),VLOOKUP(E2615,QCATP_P,2,),""))))))))</f>
        <v/>
      </c>
      <c r="W2615" s="31" t="str">
        <f t="shared" si="295"/>
        <v>TRUE</v>
      </c>
      <c r="X2615" s="31" t="str">
        <f t="shared" si="292"/>
        <v/>
      </c>
      <c r="Y2615" s="10" t="s">
        <v>1178</v>
      </c>
      <c r="AF2615" s="12">
        <v>44967</v>
      </c>
      <c r="AJ2615" s="10">
        <f>-1.3255*7.12^2+193.01*7.12-127.15</f>
        <v>1179.8857727999998</v>
      </c>
      <c r="AK2615" s="10">
        <f>-0.215*7.12^2+181.97*7.12-117.15</f>
        <v>1167.577104</v>
      </c>
      <c r="AL2615" s="10" t="str">
        <f t="shared" si="297"/>
        <v>FALSE</v>
      </c>
      <c r="AM2615" s="10" t="str">
        <f t="shared" si="297"/>
        <v>FALSE</v>
      </c>
      <c r="AN2615" s="10" t="str">
        <f t="shared" si="297"/>
        <v>FALSE</v>
      </c>
      <c r="AO2615" s="10" t="str">
        <f t="shared" si="298"/>
        <v>y=-1.3255*7.12^2+193.01*7.12-127.15</v>
      </c>
      <c r="AP2615" s="10" t="str">
        <f t="shared" si="298"/>
        <v>y=-0.215*7.12^2+181.97*7.12-117.15</v>
      </c>
      <c r="AQ2615" s="10" t="b">
        <f>IF(AND(I2615="TP",S2615&lt;=150),VLOOKUP(AF2615,TPCalibEq150!$AZ$2:$BB$55,3,),IF(AND(I2615="TDP",S2615&lt;=150),VLOOKUP(AF2615,TPCalibEq150!$AZ$2:$BB$55,3,)))</f>
        <v>0</v>
      </c>
      <c r="AR2615" s="10" t="b">
        <f>IF(AND(I2615="TP",S2615&lt;=300),VLOOKUP(AF2615,TPCalibEq300!$AZ$2:$BB$55,3,),IF(AND(I2615="TDP",S2615&lt;=300),VLOOKUP(AF2615,TPCalibEq300!$AZ$2:$BB$55,3,)))</f>
        <v>0</v>
      </c>
      <c r="AS2615" s="10" t="b">
        <f>IF(AND(I2615="TP",S2615&lt;=500),VLOOKUP(AF2615,TPCalibEq500!$AZ$2:$BB$56,3,),IF(AND(I2615="TDP",S2615&lt;=500),VLOOKUP(AF2615,TPCalibEq500!$AZ$2:$BB$56,3,)))</f>
        <v>0</v>
      </c>
      <c r="AT2615" s="10" t="str">
        <f>IF(AND(I2615="TN",S2615&lt;=2800),VLOOKUP(AF2615,TNCalibEq2500!$AZ$2:$BB$56,3,),IF(AND(I2615="TDN",S2615&lt;=2800),VLOOKUP(AF2615,TNCalibEq2500!$AZ$2:$BB$56,3,)))</f>
        <v>y=-1.3255x2+193.01x-127.15</v>
      </c>
      <c r="AU2615" s="10" t="str">
        <f>IF(I2615="TP",VLOOKUP(AF2615,TPCalibEqFull!$AZ$2:$BB$56,3),IF(I2615="TDP",VLOOKUP(AF2615,TPCalibEqFull!$AZ$2:$BB$56,3),IF(I2615="TDN",VLOOKUP(AF2615,TNCalibEqFull!$AZ$1:$BB$56,3),IF(I2615="TN",VLOOKUP(AF2615,TNCalibEqFull!$AZ$1:$BB$56,3),FALSE))))</f>
        <v>y=-0.215x2+181.97x-117.15</v>
      </c>
      <c r="AV2615" s="10" t="str">
        <f t="shared" si="296"/>
        <v>0208 11:52:50-ECP-20-C-1-SW-UKN</v>
      </c>
    </row>
    <row r="2616" spans="1:48" s="10" customFormat="1" x14ac:dyDescent="0.55000000000000004">
      <c r="A2616" s="32">
        <v>44965</v>
      </c>
      <c r="B2616" s="33">
        <v>0.49745370370370368</v>
      </c>
      <c r="C2616" s="10" t="s">
        <v>618</v>
      </c>
      <c r="D2616" s="10">
        <v>33</v>
      </c>
      <c r="E2616" s="10" t="s">
        <v>190</v>
      </c>
      <c r="F2616" s="10">
        <v>1</v>
      </c>
      <c r="G2616" s="10" t="s">
        <v>231</v>
      </c>
      <c r="H2616" s="10" t="s">
        <v>322</v>
      </c>
      <c r="I2616" s="10" t="s">
        <v>235</v>
      </c>
      <c r="J2616" s="10">
        <v>33</v>
      </c>
      <c r="K2616" s="12">
        <v>44967</v>
      </c>
      <c r="L2616" s="33">
        <v>0.4359837962962963</v>
      </c>
      <c r="M2616" s="10">
        <v>1</v>
      </c>
      <c r="N2616" s="10" t="s">
        <v>196</v>
      </c>
      <c r="O2616" s="10">
        <v>7.2</v>
      </c>
      <c r="P2616" s="10">
        <v>0.35099999999999998</v>
      </c>
      <c r="Q2616" s="10">
        <v>1170</v>
      </c>
      <c r="R2616" s="10" t="s">
        <v>170</v>
      </c>
      <c r="S2616" s="34">
        <f t="shared" si="293"/>
        <v>1193.80808</v>
      </c>
      <c r="T2616" s="10" t="s">
        <v>1185</v>
      </c>
      <c r="U2616" s="34" t="str">
        <f t="shared" si="294"/>
        <v/>
      </c>
      <c r="V2616" s="31" t="str">
        <f>IF(H2616="CHK",VLOOKUP(I2616,QCCHK,3,),IF(H2616="GUP",VLOOKUP(E2616,QCGUP,2,),IF(AND(H2616="ATP",OR(I2616="TN",I2616="TDN",I2616="TNO2-3",I2616="NO2-3")),VLOOKUP(E2616,QCREC_N,2,),IF(AND(H2616="NIC",OR(I2616="TN",I2616="TDN",I2616="TNO2-3",I2616="NO2-3")),VLOOKUP(E2616,QCNIC_N,2,),IF(AND(H2616="UREA",OR(I2616="TN",I2616="TDN",I2616="TNO2-3",I2616="NO2-3")),VLOOKUP(E2616,QCUREA_N,2,),IF(H2616="PER",VLOOKUP(I2616,QCPER,MATCH(E2616,QCACTUAL!$J$25:$AA$25,0),),IF(H2616="SPK",VLOOKUP(I2616,QCSPK,3,),IF(AND(H2616="ATP",OR(I2616="TP",I2616="TDP")),VLOOKUP(E2616,QCATP_P,2,),""))))))))</f>
        <v/>
      </c>
      <c r="W2616" s="31" t="str">
        <f t="shared" si="295"/>
        <v>TRUE</v>
      </c>
      <c r="X2616" s="31" t="str">
        <f t="shared" si="292"/>
        <v/>
      </c>
      <c r="Y2616" s="10" t="s">
        <v>1178</v>
      </c>
      <c r="AF2616" s="12">
        <v>44967</v>
      </c>
      <c r="AJ2616" s="10">
        <f>-1.3255*7.2^2+193.01*7.2-127.15</f>
        <v>1193.80808</v>
      </c>
      <c r="AK2616" s="10">
        <f>-0.215*7.2^2+181.97*7.2-117.15</f>
        <v>1181.8883999999998</v>
      </c>
      <c r="AL2616" s="10" t="str">
        <f t="shared" si="297"/>
        <v>FALSE</v>
      </c>
      <c r="AM2616" s="10" t="str">
        <f t="shared" si="297"/>
        <v>FALSE</v>
      </c>
      <c r="AN2616" s="10" t="str">
        <f t="shared" si="297"/>
        <v>FALSE</v>
      </c>
      <c r="AO2616" s="10" t="str">
        <f t="shared" si="298"/>
        <v>y=-1.3255*7.2^2+193.01*7.2-127.15</v>
      </c>
      <c r="AP2616" s="10" t="str">
        <f t="shared" si="298"/>
        <v>y=-0.215*7.2^2+181.97*7.2-117.15</v>
      </c>
      <c r="AQ2616" s="10" t="b">
        <f>IF(AND(I2616="TP",S2616&lt;=150),VLOOKUP(AF2616,TPCalibEq150!$AZ$2:$BB$55,3,),IF(AND(I2616="TDP",S2616&lt;=150),VLOOKUP(AF2616,TPCalibEq150!$AZ$2:$BB$55,3,)))</f>
        <v>0</v>
      </c>
      <c r="AR2616" s="10" t="b">
        <f>IF(AND(I2616="TP",S2616&lt;=300),VLOOKUP(AF2616,TPCalibEq300!$AZ$2:$BB$55,3,),IF(AND(I2616="TDP",S2616&lt;=300),VLOOKUP(AF2616,TPCalibEq300!$AZ$2:$BB$55,3,)))</f>
        <v>0</v>
      </c>
      <c r="AS2616" s="10" t="b">
        <f>IF(AND(I2616="TP",S2616&lt;=500),VLOOKUP(AF2616,TPCalibEq500!$AZ$2:$BB$56,3,),IF(AND(I2616="TDP",S2616&lt;=500),VLOOKUP(AF2616,TPCalibEq500!$AZ$2:$BB$56,3,)))</f>
        <v>0</v>
      </c>
      <c r="AT2616" s="10" t="str">
        <f>IF(AND(I2616="TN",S2616&lt;=2800),VLOOKUP(AF2616,TNCalibEq2500!$AZ$2:$BB$56,3,),IF(AND(I2616="TDN",S2616&lt;=2800),VLOOKUP(AF2616,TNCalibEq2500!$AZ$2:$BB$56,3,)))</f>
        <v>y=-1.3255x2+193.01x-127.15</v>
      </c>
      <c r="AU2616" s="10" t="str">
        <f>IF(I2616="TP",VLOOKUP(AF2616,TPCalibEqFull!$AZ$2:$BB$56,3),IF(I2616="TDP",VLOOKUP(AF2616,TPCalibEqFull!$AZ$2:$BB$56,3),IF(I2616="TDN",VLOOKUP(AF2616,TNCalibEqFull!$AZ$1:$BB$56,3),IF(I2616="TN",VLOOKUP(AF2616,TNCalibEqFull!$AZ$1:$BB$56,3),FALSE))))</f>
        <v>y=-0.215x2+181.97x-117.15</v>
      </c>
      <c r="AV2616" s="10" t="str">
        <f t="shared" si="296"/>
        <v>0208 11:56:20-ECP-33-C-1-SW-UKN</v>
      </c>
    </row>
    <row r="2617" spans="1:48" s="10" customFormat="1" x14ac:dyDescent="0.55000000000000004">
      <c r="A2617" s="32">
        <v>44965</v>
      </c>
      <c r="B2617" s="33">
        <v>0.50439814814814821</v>
      </c>
      <c r="C2617" s="10" t="s">
        <v>661</v>
      </c>
      <c r="D2617" s="10">
        <v>0</v>
      </c>
      <c r="E2617" s="10">
        <v>660</v>
      </c>
      <c r="F2617" s="10">
        <v>1</v>
      </c>
      <c r="G2617" s="10" t="s">
        <v>231</v>
      </c>
      <c r="H2617" s="10" t="s">
        <v>322</v>
      </c>
      <c r="I2617" s="10" t="s">
        <v>235</v>
      </c>
      <c r="J2617" s="10">
        <v>34</v>
      </c>
      <c r="K2617" s="12">
        <v>44967</v>
      </c>
      <c r="L2617" s="33">
        <v>0.43665509259259255</v>
      </c>
      <c r="M2617" s="10">
        <v>1</v>
      </c>
      <c r="N2617" s="10" t="s">
        <v>196</v>
      </c>
      <c r="O2617" s="10">
        <v>7.8</v>
      </c>
      <c r="P2617" s="10">
        <v>0.38</v>
      </c>
      <c r="Q2617" s="10">
        <v>1270</v>
      </c>
      <c r="R2617" s="10" t="s">
        <v>170</v>
      </c>
      <c r="S2617" s="34">
        <f t="shared" si="293"/>
        <v>1297.6845799999996</v>
      </c>
      <c r="T2617" s="10" t="s">
        <v>1185</v>
      </c>
      <c r="U2617" s="34" t="str">
        <f t="shared" si="294"/>
        <v/>
      </c>
      <c r="V2617" s="31" t="str">
        <f>IF(H2617="CHK",VLOOKUP(I2617,QCCHK,3,),IF(H2617="GUP",VLOOKUP(E2617,QCGUP,2,),IF(AND(H2617="ATP",OR(I2617="TN",I2617="TDN",I2617="TNO2-3",I2617="NO2-3")),VLOOKUP(E2617,QCREC_N,2,),IF(AND(H2617="NIC",OR(I2617="TN",I2617="TDN",I2617="TNO2-3",I2617="NO2-3")),VLOOKUP(E2617,QCNIC_N,2,),IF(AND(H2617="UREA",OR(I2617="TN",I2617="TDN",I2617="TNO2-3",I2617="NO2-3")),VLOOKUP(E2617,QCUREA_N,2,),IF(H2617="PER",VLOOKUP(I2617,QCPER,MATCH(E2617,QCACTUAL!$J$25:$AA$25,0),),IF(H2617="SPK",VLOOKUP(I2617,QCSPK,3,),IF(AND(H2617="ATP",OR(I2617="TP",I2617="TDP")),VLOOKUP(E2617,QCATP_P,2,),""))))))))</f>
        <v/>
      </c>
      <c r="W2617" s="31" t="str">
        <f t="shared" si="295"/>
        <v>TRUE</v>
      </c>
      <c r="X2617" s="31" t="str">
        <f t="shared" si="292"/>
        <v/>
      </c>
      <c r="Y2617" s="10" t="s">
        <v>1178</v>
      </c>
      <c r="AF2617" s="12">
        <v>44967</v>
      </c>
      <c r="AJ2617" s="10">
        <f>-1.3255*7.8^2+193.01*7.8-127.15</f>
        <v>1297.6845799999996</v>
      </c>
      <c r="AK2617" s="10">
        <f>-0.215*7.8^2+181.97*7.8-117.15</f>
        <v>1289.1353999999999</v>
      </c>
      <c r="AL2617" s="10" t="str">
        <f t="shared" si="297"/>
        <v>FALSE</v>
      </c>
      <c r="AM2617" s="10" t="str">
        <f t="shared" si="297"/>
        <v>FALSE</v>
      </c>
      <c r="AN2617" s="10" t="str">
        <f t="shared" si="297"/>
        <v>FALSE</v>
      </c>
      <c r="AO2617" s="10" t="str">
        <f t="shared" si="298"/>
        <v>y=-1.3255*7.8^2+193.01*7.8-127.15</v>
      </c>
      <c r="AP2617" s="10" t="str">
        <f t="shared" si="298"/>
        <v>y=-0.215*7.8^2+181.97*7.8-117.15</v>
      </c>
      <c r="AQ2617" s="10" t="b">
        <f>IF(AND(I2617="TP",S2617&lt;=150),VLOOKUP(AF2617,TPCalibEq150!$AZ$2:$BB$55,3,),IF(AND(I2617="TDP",S2617&lt;=150),VLOOKUP(AF2617,TPCalibEq150!$AZ$2:$BB$55,3,)))</f>
        <v>0</v>
      </c>
      <c r="AR2617" s="10" t="b">
        <f>IF(AND(I2617="TP",S2617&lt;=300),VLOOKUP(AF2617,TPCalibEq300!$AZ$2:$BB$55,3,),IF(AND(I2617="TDP",S2617&lt;=300),VLOOKUP(AF2617,TPCalibEq300!$AZ$2:$BB$55,3,)))</f>
        <v>0</v>
      </c>
      <c r="AS2617" s="10" t="b">
        <f>IF(AND(I2617="TP",S2617&lt;=500),VLOOKUP(AF2617,TPCalibEq500!$AZ$2:$BB$56,3,),IF(AND(I2617="TDP",S2617&lt;=500),VLOOKUP(AF2617,TPCalibEq500!$AZ$2:$BB$56,3,)))</f>
        <v>0</v>
      </c>
      <c r="AT2617" s="10" t="str">
        <f>IF(AND(I2617="TN",S2617&lt;=2800),VLOOKUP(AF2617,TNCalibEq2500!$AZ$2:$BB$56,3,),IF(AND(I2617="TDN",S2617&lt;=2800),VLOOKUP(AF2617,TNCalibEq2500!$AZ$2:$BB$56,3,)))</f>
        <v>y=-1.3255x2+193.01x-127.15</v>
      </c>
      <c r="AU2617" s="10" t="str">
        <f>IF(I2617="TP",VLOOKUP(AF2617,TPCalibEqFull!$AZ$2:$BB$56,3),IF(I2617="TDP",VLOOKUP(AF2617,TPCalibEqFull!$AZ$2:$BB$56,3),IF(I2617="TDN",VLOOKUP(AF2617,TNCalibEqFull!$AZ$1:$BB$56,3),IF(I2617="TN",VLOOKUP(AF2617,TNCalibEqFull!$AZ$1:$BB$56,3),FALSE))))</f>
        <v>y=-0.215x2+181.97x-117.15</v>
      </c>
      <c r="AV2617" s="10" t="str">
        <f t="shared" si="296"/>
        <v>0208 12:06:20-ENN-0-660-1-SW-UKN</v>
      </c>
    </row>
    <row r="2618" spans="1:48" s="10" customFormat="1" x14ac:dyDescent="0.55000000000000004">
      <c r="A2618" s="32">
        <v>44965</v>
      </c>
      <c r="B2618" s="33">
        <v>0.50706018518518514</v>
      </c>
      <c r="C2618" s="10" t="s">
        <v>661</v>
      </c>
      <c r="D2618" s="10">
        <v>5</v>
      </c>
      <c r="E2618" s="10">
        <v>700</v>
      </c>
      <c r="F2618" s="10">
        <v>1</v>
      </c>
      <c r="G2618" s="10" t="s">
        <v>231</v>
      </c>
      <c r="H2618" s="10" t="s">
        <v>322</v>
      </c>
      <c r="I2618" s="10" t="s">
        <v>235</v>
      </c>
      <c r="J2618" s="10">
        <v>35</v>
      </c>
      <c r="K2618" s="12">
        <v>44967</v>
      </c>
      <c r="L2618" s="33">
        <v>0.43732638888888892</v>
      </c>
      <c r="M2618" s="10">
        <v>1</v>
      </c>
      <c r="N2618" s="10" t="s">
        <v>196</v>
      </c>
      <c r="O2618" s="10">
        <v>7.56</v>
      </c>
      <c r="P2618" s="10">
        <v>0.36899999999999999</v>
      </c>
      <c r="Q2618" s="10">
        <v>1230</v>
      </c>
      <c r="R2618" s="10" t="s">
        <v>170</v>
      </c>
      <c r="S2618" s="34">
        <f t="shared" si="293"/>
        <v>1256.2485031999997</v>
      </c>
      <c r="T2618" s="10" t="s">
        <v>1185</v>
      </c>
      <c r="U2618" s="34" t="str">
        <f t="shared" si="294"/>
        <v/>
      </c>
      <c r="V2618" s="31" t="str">
        <f>IF(H2618="CHK",VLOOKUP(I2618,QCCHK,3,),IF(H2618="GUP",VLOOKUP(E2618,QCGUP,2,),IF(AND(H2618="ATP",OR(I2618="TN",I2618="TDN",I2618="TNO2-3",I2618="NO2-3")),VLOOKUP(E2618,QCREC_N,2,),IF(AND(H2618="NIC",OR(I2618="TN",I2618="TDN",I2618="TNO2-3",I2618="NO2-3")),VLOOKUP(E2618,QCNIC_N,2,),IF(AND(H2618="UREA",OR(I2618="TN",I2618="TDN",I2618="TNO2-3",I2618="NO2-3")),VLOOKUP(E2618,QCUREA_N,2,),IF(H2618="PER",VLOOKUP(I2618,QCPER,MATCH(E2618,QCACTUAL!$J$25:$AA$25,0),),IF(H2618="SPK",VLOOKUP(I2618,QCSPK,3,),IF(AND(H2618="ATP",OR(I2618="TP",I2618="TDP")),VLOOKUP(E2618,QCATP_P,2,),""))))))))</f>
        <v/>
      </c>
      <c r="W2618" s="31" t="str">
        <f t="shared" si="295"/>
        <v>TRUE</v>
      </c>
      <c r="X2618" s="31" t="str">
        <f t="shared" si="292"/>
        <v/>
      </c>
      <c r="Y2618" s="10" t="s">
        <v>1178</v>
      </c>
      <c r="AF2618" s="12">
        <v>44967</v>
      </c>
      <c r="AJ2618" s="10">
        <f>-1.3255*7.56^2+193.01*7.56-127.15</f>
        <v>1256.2485031999997</v>
      </c>
      <c r="AK2618" s="10">
        <f>-0.215*7.56^2+181.97*7.56-117.15</f>
        <v>1246.2551759999999</v>
      </c>
      <c r="AL2618" s="10" t="str">
        <f t="shared" si="297"/>
        <v>FALSE</v>
      </c>
      <c r="AM2618" s="10" t="str">
        <f t="shared" si="297"/>
        <v>FALSE</v>
      </c>
      <c r="AN2618" s="10" t="str">
        <f t="shared" si="297"/>
        <v>FALSE</v>
      </c>
      <c r="AO2618" s="10" t="str">
        <f t="shared" si="298"/>
        <v>y=-1.3255*7.56^2+193.01*7.56-127.15</v>
      </c>
      <c r="AP2618" s="10" t="str">
        <f t="shared" si="298"/>
        <v>y=-0.215*7.56^2+181.97*7.56-117.15</v>
      </c>
      <c r="AQ2618" s="10" t="b">
        <f>IF(AND(I2618="TP",S2618&lt;=150),VLOOKUP(AF2618,TPCalibEq150!$AZ$2:$BB$55,3,),IF(AND(I2618="TDP",S2618&lt;=150),VLOOKUP(AF2618,TPCalibEq150!$AZ$2:$BB$55,3,)))</f>
        <v>0</v>
      </c>
      <c r="AR2618" s="10" t="b">
        <f>IF(AND(I2618="TP",S2618&lt;=300),VLOOKUP(AF2618,TPCalibEq300!$AZ$2:$BB$55,3,),IF(AND(I2618="TDP",S2618&lt;=300),VLOOKUP(AF2618,TPCalibEq300!$AZ$2:$BB$55,3,)))</f>
        <v>0</v>
      </c>
      <c r="AS2618" s="10" t="b">
        <f>IF(AND(I2618="TP",S2618&lt;=500),VLOOKUP(AF2618,TPCalibEq500!$AZ$2:$BB$56,3,),IF(AND(I2618="TDP",S2618&lt;=500),VLOOKUP(AF2618,TPCalibEq500!$AZ$2:$BB$56,3,)))</f>
        <v>0</v>
      </c>
      <c r="AT2618" s="10" t="str">
        <f>IF(AND(I2618="TN",S2618&lt;=2800),VLOOKUP(AF2618,TNCalibEq2500!$AZ$2:$BB$56,3,),IF(AND(I2618="TDN",S2618&lt;=2800),VLOOKUP(AF2618,TNCalibEq2500!$AZ$2:$BB$56,3,)))</f>
        <v>y=-1.3255x2+193.01x-127.15</v>
      </c>
      <c r="AU2618" s="10" t="str">
        <f>IF(I2618="TP",VLOOKUP(AF2618,TPCalibEqFull!$AZ$2:$BB$56,3),IF(I2618="TDP",VLOOKUP(AF2618,TPCalibEqFull!$AZ$2:$BB$56,3),IF(I2618="TDN",VLOOKUP(AF2618,TNCalibEqFull!$AZ$1:$BB$56,3),IF(I2618="TN",VLOOKUP(AF2618,TNCalibEqFull!$AZ$1:$BB$56,3),FALSE))))</f>
        <v>y=-0.215x2+181.97x-117.15</v>
      </c>
      <c r="AV2618" s="10" t="str">
        <f t="shared" si="296"/>
        <v>0208 12:10:10-ENN-5-700-1-SW-UKN</v>
      </c>
    </row>
    <row r="2619" spans="1:48" s="10" customFormat="1" x14ac:dyDescent="0.55000000000000004">
      <c r="A2619" s="32">
        <v>44965</v>
      </c>
      <c r="B2619" s="33">
        <v>0.50949074074074074</v>
      </c>
      <c r="C2619" s="10" t="s">
        <v>661</v>
      </c>
      <c r="D2619" s="10">
        <v>10</v>
      </c>
      <c r="E2619" s="10">
        <v>700</v>
      </c>
      <c r="F2619" s="10">
        <v>1</v>
      </c>
      <c r="G2619" s="10" t="s">
        <v>231</v>
      </c>
      <c r="H2619" s="10" t="s">
        <v>322</v>
      </c>
      <c r="I2619" s="10" t="s">
        <v>235</v>
      </c>
      <c r="J2619" s="10">
        <v>36</v>
      </c>
      <c r="K2619" s="12">
        <v>44967</v>
      </c>
      <c r="L2619" s="33">
        <v>0.43799768518518517</v>
      </c>
      <c r="M2619" s="10">
        <v>1</v>
      </c>
      <c r="N2619" s="10" t="s">
        <v>196</v>
      </c>
      <c r="O2619" s="10">
        <v>7.71</v>
      </c>
      <c r="P2619" s="10">
        <v>0.377</v>
      </c>
      <c r="Q2619" s="10">
        <v>1260</v>
      </c>
      <c r="R2619" s="10" t="s">
        <v>170</v>
      </c>
      <c r="S2619" s="34">
        <f t="shared" si="293"/>
        <v>1282.1639454499998</v>
      </c>
      <c r="T2619" s="10" t="s">
        <v>1185</v>
      </c>
      <c r="U2619" s="34" t="str">
        <f t="shared" si="294"/>
        <v/>
      </c>
      <c r="V2619" s="31" t="str">
        <f>IF(H2619="CHK",VLOOKUP(I2619,QCCHK,3,),IF(H2619="GUP",VLOOKUP(E2619,QCGUP,2,),IF(AND(H2619="ATP",OR(I2619="TN",I2619="TDN",I2619="TNO2-3",I2619="NO2-3")),VLOOKUP(E2619,QCREC_N,2,),IF(AND(H2619="NIC",OR(I2619="TN",I2619="TDN",I2619="TNO2-3",I2619="NO2-3")),VLOOKUP(E2619,QCNIC_N,2,),IF(AND(H2619="UREA",OR(I2619="TN",I2619="TDN",I2619="TNO2-3",I2619="NO2-3")),VLOOKUP(E2619,QCUREA_N,2,),IF(H2619="PER",VLOOKUP(I2619,QCPER,MATCH(E2619,QCACTUAL!$J$25:$AA$25,0),),IF(H2619="SPK",VLOOKUP(I2619,QCSPK,3,),IF(AND(H2619="ATP",OR(I2619="TP",I2619="TDP")),VLOOKUP(E2619,QCATP_P,2,),""))))))))</f>
        <v/>
      </c>
      <c r="W2619" s="31" t="str">
        <f t="shared" si="295"/>
        <v>TRUE</v>
      </c>
      <c r="X2619" s="31" t="str">
        <f t="shared" si="292"/>
        <v/>
      </c>
      <c r="Y2619" s="10" t="s">
        <v>1178</v>
      </c>
      <c r="AF2619" s="12">
        <v>44967</v>
      </c>
      <c r="AJ2619" s="10">
        <f>-1.3255*7.71^2+193.01*7.71-127.15</f>
        <v>1282.1639454499998</v>
      </c>
      <c r="AK2619" s="10">
        <f>-0.215*7.71^2+181.97*7.71-117.15</f>
        <v>1273.0582184999998</v>
      </c>
      <c r="AL2619" s="10" t="str">
        <f t="shared" si="297"/>
        <v>FALSE</v>
      </c>
      <c r="AM2619" s="10" t="str">
        <f t="shared" si="297"/>
        <v>FALSE</v>
      </c>
      <c r="AN2619" s="10" t="str">
        <f t="shared" si="297"/>
        <v>FALSE</v>
      </c>
      <c r="AO2619" s="10" t="str">
        <f t="shared" si="298"/>
        <v>y=-1.3255*7.71^2+193.01*7.71-127.15</v>
      </c>
      <c r="AP2619" s="10" t="str">
        <f t="shared" si="298"/>
        <v>y=-0.215*7.71^2+181.97*7.71-117.15</v>
      </c>
      <c r="AQ2619" s="10" t="b">
        <f>IF(AND(I2619="TP",S2619&lt;=150),VLOOKUP(AF2619,TPCalibEq150!$AZ$2:$BB$55,3,),IF(AND(I2619="TDP",S2619&lt;=150),VLOOKUP(AF2619,TPCalibEq150!$AZ$2:$BB$55,3,)))</f>
        <v>0</v>
      </c>
      <c r="AR2619" s="10" t="b">
        <f>IF(AND(I2619="TP",S2619&lt;=300),VLOOKUP(AF2619,TPCalibEq300!$AZ$2:$BB$55,3,),IF(AND(I2619="TDP",S2619&lt;=300),VLOOKUP(AF2619,TPCalibEq300!$AZ$2:$BB$55,3,)))</f>
        <v>0</v>
      </c>
      <c r="AS2619" s="10" t="b">
        <f>IF(AND(I2619="TP",S2619&lt;=500),VLOOKUP(AF2619,TPCalibEq500!$AZ$2:$BB$56,3,),IF(AND(I2619="TDP",S2619&lt;=500),VLOOKUP(AF2619,TPCalibEq500!$AZ$2:$BB$56,3,)))</f>
        <v>0</v>
      </c>
      <c r="AT2619" s="10" t="str">
        <f>IF(AND(I2619="TN",S2619&lt;=2800),VLOOKUP(AF2619,TNCalibEq2500!$AZ$2:$BB$56,3,),IF(AND(I2619="TDN",S2619&lt;=2800),VLOOKUP(AF2619,TNCalibEq2500!$AZ$2:$BB$56,3,)))</f>
        <v>y=-1.3255x2+193.01x-127.15</v>
      </c>
      <c r="AU2619" s="10" t="str">
        <f>IF(I2619="TP",VLOOKUP(AF2619,TPCalibEqFull!$AZ$2:$BB$56,3),IF(I2619="TDP",VLOOKUP(AF2619,TPCalibEqFull!$AZ$2:$BB$56,3),IF(I2619="TDN",VLOOKUP(AF2619,TNCalibEqFull!$AZ$1:$BB$56,3),IF(I2619="TN",VLOOKUP(AF2619,TNCalibEqFull!$AZ$1:$BB$56,3),FALSE))))</f>
        <v>y=-0.215x2+181.97x-117.15</v>
      </c>
      <c r="AV2619" s="10" t="str">
        <f t="shared" si="296"/>
        <v>0208 12:13:40-ENN-10-700-1-SW-UKN</v>
      </c>
    </row>
    <row r="2620" spans="1:48" s="10" customFormat="1" x14ac:dyDescent="0.55000000000000004">
      <c r="A2620" s="32">
        <v>44965</v>
      </c>
      <c r="B2620" s="33">
        <v>0.51180555555555551</v>
      </c>
      <c r="C2620" s="10" t="s">
        <v>661</v>
      </c>
      <c r="D2620" s="10">
        <v>20</v>
      </c>
      <c r="E2620" s="10" t="s">
        <v>190</v>
      </c>
      <c r="F2620" s="10">
        <v>1</v>
      </c>
      <c r="G2620" s="10" t="s">
        <v>231</v>
      </c>
      <c r="H2620" s="10" t="s">
        <v>322</v>
      </c>
      <c r="I2620" s="10" t="s">
        <v>235</v>
      </c>
      <c r="J2620" s="10">
        <v>37</v>
      </c>
      <c r="K2620" s="12">
        <v>44967</v>
      </c>
      <c r="L2620" s="33">
        <v>0.43866898148148148</v>
      </c>
      <c r="M2620" s="10">
        <v>1</v>
      </c>
      <c r="N2620" s="10" t="s">
        <v>196</v>
      </c>
      <c r="O2620" s="10">
        <v>7.85</v>
      </c>
      <c r="P2620" s="10">
        <v>0.38400000000000001</v>
      </c>
      <c r="Q2620" s="10">
        <v>1280</v>
      </c>
      <c r="R2620" s="10" t="s">
        <v>170</v>
      </c>
      <c r="S2620" s="34">
        <f t="shared" si="293"/>
        <v>1306.2978762499997</v>
      </c>
      <c r="T2620" s="10" t="s">
        <v>1185</v>
      </c>
      <c r="U2620" s="34" t="str">
        <f t="shared" si="294"/>
        <v/>
      </c>
      <c r="V2620" s="31" t="str">
        <f>IF(H2620="CHK",VLOOKUP(I2620,QCCHK,3,),IF(H2620="GUP",VLOOKUP(E2620,QCGUP,2,),IF(AND(H2620="ATP",OR(I2620="TN",I2620="TDN",I2620="TNO2-3",I2620="NO2-3")),VLOOKUP(E2620,QCREC_N,2,),IF(AND(H2620="NIC",OR(I2620="TN",I2620="TDN",I2620="TNO2-3",I2620="NO2-3")),VLOOKUP(E2620,QCNIC_N,2,),IF(AND(H2620="UREA",OR(I2620="TN",I2620="TDN",I2620="TNO2-3",I2620="NO2-3")),VLOOKUP(E2620,QCUREA_N,2,),IF(H2620="PER",VLOOKUP(I2620,QCPER,MATCH(E2620,QCACTUAL!$J$25:$AA$25,0),),IF(H2620="SPK",VLOOKUP(I2620,QCSPK,3,),IF(AND(H2620="ATP",OR(I2620="TP",I2620="TDP")),VLOOKUP(E2620,QCATP_P,2,),""))))))))</f>
        <v/>
      </c>
      <c r="W2620" s="31" t="str">
        <f t="shared" si="295"/>
        <v>TRUE</v>
      </c>
      <c r="X2620" s="31" t="str">
        <f t="shared" si="292"/>
        <v/>
      </c>
      <c r="Y2620" s="10" t="s">
        <v>1178</v>
      </c>
      <c r="AF2620" s="12">
        <v>44967</v>
      </c>
      <c r="AJ2620" s="10">
        <f>-1.3255*7.85^2+193.01*7.85-127.15</f>
        <v>1306.2978762499997</v>
      </c>
      <c r="AK2620" s="10">
        <f>-0.215*7.85^2+181.97*7.85-117.15</f>
        <v>1298.0656624999997</v>
      </c>
      <c r="AL2620" s="10" t="str">
        <f t="shared" si="297"/>
        <v>FALSE</v>
      </c>
      <c r="AM2620" s="10" t="str">
        <f t="shared" si="297"/>
        <v>FALSE</v>
      </c>
      <c r="AN2620" s="10" t="str">
        <f t="shared" si="297"/>
        <v>FALSE</v>
      </c>
      <c r="AO2620" s="10" t="str">
        <f t="shared" si="298"/>
        <v>y=-1.3255*7.85^2+193.01*7.85-127.15</v>
      </c>
      <c r="AP2620" s="10" t="str">
        <f t="shared" si="298"/>
        <v>y=-0.215*7.85^2+181.97*7.85-117.15</v>
      </c>
      <c r="AQ2620" s="10" t="b">
        <f>IF(AND(I2620="TP",S2620&lt;=150),VLOOKUP(AF2620,TPCalibEq150!$AZ$2:$BB$55,3,),IF(AND(I2620="TDP",S2620&lt;=150),VLOOKUP(AF2620,TPCalibEq150!$AZ$2:$BB$55,3,)))</f>
        <v>0</v>
      </c>
      <c r="AR2620" s="10" t="b">
        <f>IF(AND(I2620="TP",S2620&lt;=300),VLOOKUP(AF2620,TPCalibEq300!$AZ$2:$BB$55,3,),IF(AND(I2620="TDP",S2620&lt;=300),VLOOKUP(AF2620,TPCalibEq300!$AZ$2:$BB$55,3,)))</f>
        <v>0</v>
      </c>
      <c r="AS2620" s="10" t="b">
        <f>IF(AND(I2620="TP",S2620&lt;=500),VLOOKUP(AF2620,TPCalibEq500!$AZ$2:$BB$56,3,),IF(AND(I2620="TDP",S2620&lt;=500),VLOOKUP(AF2620,TPCalibEq500!$AZ$2:$BB$56,3,)))</f>
        <v>0</v>
      </c>
      <c r="AT2620" s="10" t="str">
        <f>IF(AND(I2620="TN",S2620&lt;=2800),VLOOKUP(AF2620,TNCalibEq2500!$AZ$2:$BB$56,3,),IF(AND(I2620="TDN",S2620&lt;=2800),VLOOKUP(AF2620,TNCalibEq2500!$AZ$2:$BB$56,3,)))</f>
        <v>y=-1.3255x2+193.01x-127.15</v>
      </c>
      <c r="AU2620" s="10" t="str">
        <f>IF(I2620="TP",VLOOKUP(AF2620,TPCalibEqFull!$AZ$2:$BB$56,3),IF(I2620="TDP",VLOOKUP(AF2620,TPCalibEqFull!$AZ$2:$BB$56,3),IF(I2620="TDN",VLOOKUP(AF2620,TNCalibEqFull!$AZ$1:$BB$56,3),IF(I2620="TN",VLOOKUP(AF2620,TNCalibEqFull!$AZ$1:$BB$56,3),FALSE))))</f>
        <v>y=-0.215x2+181.97x-117.15</v>
      </c>
      <c r="AV2620" s="10" t="str">
        <f t="shared" si="296"/>
        <v>0208 12:17:00-ENN-20-C-1-SW-UKN</v>
      </c>
    </row>
    <row r="2621" spans="1:48" s="10" customFormat="1" x14ac:dyDescent="0.55000000000000004">
      <c r="A2621" s="32">
        <v>44965</v>
      </c>
      <c r="B2621" s="33">
        <v>0.51412037037037039</v>
      </c>
      <c r="C2621" s="10" t="s">
        <v>661</v>
      </c>
      <c r="D2621" s="10">
        <v>23</v>
      </c>
      <c r="E2621" s="10" t="s">
        <v>190</v>
      </c>
      <c r="F2621" s="10">
        <v>1</v>
      </c>
      <c r="G2621" s="10" t="s">
        <v>231</v>
      </c>
      <c r="H2621" s="10" t="s">
        <v>322</v>
      </c>
      <c r="I2621" s="10" t="s">
        <v>235</v>
      </c>
      <c r="J2621" s="10">
        <v>38</v>
      </c>
      <c r="K2621" s="12">
        <v>44967</v>
      </c>
      <c r="L2621" s="33">
        <v>0.43934027777777779</v>
      </c>
      <c r="M2621" s="10">
        <v>1</v>
      </c>
      <c r="N2621" s="10" t="s">
        <v>196</v>
      </c>
      <c r="O2621" s="10">
        <v>7.7</v>
      </c>
      <c r="P2621" s="10">
        <v>0.377</v>
      </c>
      <c r="Q2621" s="10">
        <v>1250</v>
      </c>
      <c r="R2621" s="10" t="s">
        <v>170</v>
      </c>
      <c r="S2621" s="34">
        <f t="shared" si="293"/>
        <v>1280.4381049999997</v>
      </c>
      <c r="T2621" s="10" t="s">
        <v>1185</v>
      </c>
      <c r="U2621" s="34" t="str">
        <f t="shared" si="294"/>
        <v/>
      </c>
      <c r="V2621" s="31" t="str">
        <f>IF(H2621="CHK",VLOOKUP(I2621,QCCHK,3,),IF(H2621="GUP",VLOOKUP(E2621,QCGUP,2,),IF(AND(H2621="ATP",OR(I2621="TN",I2621="TDN",I2621="TNO2-3",I2621="NO2-3")),VLOOKUP(E2621,QCREC_N,2,),IF(AND(H2621="NIC",OR(I2621="TN",I2621="TDN",I2621="TNO2-3",I2621="NO2-3")),VLOOKUP(E2621,QCNIC_N,2,),IF(AND(H2621="UREA",OR(I2621="TN",I2621="TDN",I2621="TNO2-3",I2621="NO2-3")),VLOOKUP(E2621,QCUREA_N,2,),IF(H2621="PER",VLOOKUP(I2621,QCPER,MATCH(E2621,QCACTUAL!$J$25:$AA$25,0),),IF(H2621="SPK",VLOOKUP(I2621,QCSPK,3,),IF(AND(H2621="ATP",OR(I2621="TP",I2621="TDP")),VLOOKUP(E2621,QCATP_P,2,),""))))))))</f>
        <v/>
      </c>
      <c r="W2621" s="31" t="str">
        <f t="shared" si="295"/>
        <v>TRUE</v>
      </c>
      <c r="X2621" s="31" t="str">
        <f t="shared" si="292"/>
        <v/>
      </c>
      <c r="Y2621" s="10" t="s">
        <v>1178</v>
      </c>
      <c r="AF2621" s="12">
        <v>44967</v>
      </c>
      <c r="AJ2621" s="10">
        <f>-1.3255*7.7^2+193.01*7.7-127.15</f>
        <v>1280.4381049999997</v>
      </c>
      <c r="AK2621" s="10">
        <f>-0.215*7.7^2+181.97*7.7-117.15</f>
        <v>1271.2716499999999</v>
      </c>
      <c r="AL2621" s="10" t="str">
        <f t="shared" si="297"/>
        <v>FALSE</v>
      </c>
      <c r="AM2621" s="10" t="str">
        <f t="shared" si="297"/>
        <v>FALSE</v>
      </c>
      <c r="AN2621" s="10" t="str">
        <f t="shared" si="297"/>
        <v>FALSE</v>
      </c>
      <c r="AO2621" s="10" t="str">
        <f t="shared" si="298"/>
        <v>y=-1.3255*7.7^2+193.01*7.7-127.15</v>
      </c>
      <c r="AP2621" s="10" t="str">
        <f t="shared" si="298"/>
        <v>y=-0.215*7.7^2+181.97*7.7-117.15</v>
      </c>
      <c r="AQ2621" s="10" t="b">
        <f>IF(AND(I2621="TP",S2621&lt;=150),VLOOKUP(AF2621,TPCalibEq150!$AZ$2:$BB$55,3,),IF(AND(I2621="TDP",S2621&lt;=150),VLOOKUP(AF2621,TPCalibEq150!$AZ$2:$BB$55,3,)))</f>
        <v>0</v>
      </c>
      <c r="AR2621" s="10" t="b">
        <f>IF(AND(I2621="TP",S2621&lt;=300),VLOOKUP(AF2621,TPCalibEq300!$AZ$2:$BB$55,3,),IF(AND(I2621="TDP",S2621&lt;=300),VLOOKUP(AF2621,TPCalibEq300!$AZ$2:$BB$55,3,)))</f>
        <v>0</v>
      </c>
      <c r="AS2621" s="10" t="b">
        <f>IF(AND(I2621="TP",S2621&lt;=500),VLOOKUP(AF2621,TPCalibEq500!$AZ$2:$BB$56,3,),IF(AND(I2621="TDP",S2621&lt;=500),VLOOKUP(AF2621,TPCalibEq500!$AZ$2:$BB$56,3,)))</f>
        <v>0</v>
      </c>
      <c r="AT2621" s="10" t="str">
        <f>IF(AND(I2621="TN",S2621&lt;=2800),VLOOKUP(AF2621,TNCalibEq2500!$AZ$2:$BB$56,3,),IF(AND(I2621="TDN",S2621&lt;=2800),VLOOKUP(AF2621,TNCalibEq2500!$AZ$2:$BB$56,3,)))</f>
        <v>y=-1.3255x2+193.01x-127.15</v>
      </c>
      <c r="AU2621" s="10" t="str">
        <f>IF(I2621="TP",VLOOKUP(AF2621,TPCalibEqFull!$AZ$2:$BB$56,3),IF(I2621="TDP",VLOOKUP(AF2621,TPCalibEqFull!$AZ$2:$BB$56,3),IF(I2621="TDN",VLOOKUP(AF2621,TNCalibEqFull!$AZ$1:$BB$56,3),IF(I2621="TN",VLOOKUP(AF2621,TNCalibEqFull!$AZ$1:$BB$56,3),FALSE))))</f>
        <v>y=-0.215x2+181.97x-117.15</v>
      </c>
      <c r="AV2621" s="10" t="str">
        <f t="shared" si="296"/>
        <v>0208 12:20:20-ENN-23-C-1-SW-UKN</v>
      </c>
    </row>
    <row r="2622" spans="1:48" s="10" customFormat="1" x14ac:dyDescent="0.55000000000000004">
      <c r="A2622" s="32">
        <v>44965</v>
      </c>
      <c r="B2622" s="33">
        <v>0.43796296296296294</v>
      </c>
      <c r="C2622" s="10" t="s">
        <v>646</v>
      </c>
      <c r="D2622" s="10">
        <v>0</v>
      </c>
      <c r="E2622" s="10">
        <v>800</v>
      </c>
      <c r="F2622" s="10">
        <v>1</v>
      </c>
      <c r="G2622" s="10" t="s">
        <v>231</v>
      </c>
      <c r="H2622" s="10" t="s">
        <v>322</v>
      </c>
      <c r="I2622" s="10" t="s">
        <v>235</v>
      </c>
      <c r="J2622" s="10">
        <v>39</v>
      </c>
      <c r="K2622" s="12">
        <v>44967</v>
      </c>
      <c r="L2622" s="33">
        <v>0.44</v>
      </c>
      <c r="M2622" s="10">
        <v>1</v>
      </c>
      <c r="N2622" s="10" t="s">
        <v>196</v>
      </c>
      <c r="O2622" s="10">
        <v>8.17</v>
      </c>
      <c r="P2622" s="10">
        <v>0.39800000000000002</v>
      </c>
      <c r="Q2622" s="10">
        <v>1340</v>
      </c>
      <c r="R2622" s="10" t="s">
        <v>170</v>
      </c>
      <c r="S2622" s="34">
        <f t="shared" si="293"/>
        <v>1361.2660330499998</v>
      </c>
      <c r="T2622" s="10" t="s">
        <v>1185</v>
      </c>
      <c r="U2622" s="34" t="str">
        <f t="shared" si="294"/>
        <v/>
      </c>
      <c r="V2622" s="31" t="str">
        <f>IF(H2622="CHK",VLOOKUP(I2622,QCCHK,3,),IF(H2622="GUP",VLOOKUP(E2622,QCGUP,2,),IF(AND(H2622="ATP",OR(I2622="TN",I2622="TDN",I2622="TNO2-3",I2622="NO2-3")),VLOOKUP(E2622,QCREC_N,2,),IF(AND(H2622="NIC",OR(I2622="TN",I2622="TDN",I2622="TNO2-3",I2622="NO2-3")),VLOOKUP(E2622,QCNIC_N,2,),IF(AND(H2622="UREA",OR(I2622="TN",I2622="TDN",I2622="TNO2-3",I2622="NO2-3")),VLOOKUP(E2622,QCUREA_N,2,),IF(H2622="PER",VLOOKUP(I2622,QCPER,MATCH(E2622,QCACTUAL!$J$25:$AA$25,0),),IF(H2622="SPK",VLOOKUP(I2622,QCSPK,3,),IF(AND(H2622="ATP",OR(I2622="TP",I2622="TDP")),VLOOKUP(E2622,QCATP_P,2,),""))))))))</f>
        <v/>
      </c>
      <c r="W2622" s="31" t="str">
        <f t="shared" si="295"/>
        <v>TRUE</v>
      </c>
      <c r="X2622" s="31" t="str">
        <f t="shared" si="292"/>
        <v/>
      </c>
      <c r="Y2622" s="10" t="s">
        <v>1178</v>
      </c>
      <c r="AF2622" s="12">
        <v>44967</v>
      </c>
      <c r="AJ2622" s="10">
        <f>-1.3255*8.17^2+193.01*8.17-127.15</f>
        <v>1361.2660330499998</v>
      </c>
      <c r="AK2622" s="10">
        <f>-0.215*8.17^2+181.97*8.17-117.15</f>
        <v>1355.1938865</v>
      </c>
      <c r="AL2622" s="10" t="str">
        <f t="shared" si="297"/>
        <v>FALSE</v>
      </c>
      <c r="AM2622" s="10" t="str">
        <f t="shared" si="297"/>
        <v>FALSE</v>
      </c>
      <c r="AN2622" s="10" t="str">
        <f t="shared" si="297"/>
        <v>FALSE</v>
      </c>
      <c r="AO2622" s="10" t="str">
        <f t="shared" si="298"/>
        <v>y=-1.3255*8.17^2+193.01*8.17-127.15</v>
      </c>
      <c r="AP2622" s="10" t="str">
        <f t="shared" si="298"/>
        <v>y=-0.215*8.17^2+181.97*8.17-117.15</v>
      </c>
      <c r="AQ2622" s="10" t="b">
        <f>IF(AND(I2622="TP",S2622&lt;=150),VLOOKUP(AF2622,TPCalibEq150!$AZ$2:$BB$55,3,),IF(AND(I2622="TDP",S2622&lt;=150),VLOOKUP(AF2622,TPCalibEq150!$AZ$2:$BB$55,3,)))</f>
        <v>0</v>
      </c>
      <c r="AR2622" s="10" t="b">
        <f>IF(AND(I2622="TP",S2622&lt;=300),VLOOKUP(AF2622,TPCalibEq300!$AZ$2:$BB$55,3,),IF(AND(I2622="TDP",S2622&lt;=300),VLOOKUP(AF2622,TPCalibEq300!$AZ$2:$BB$55,3,)))</f>
        <v>0</v>
      </c>
      <c r="AS2622" s="10" t="b">
        <f>IF(AND(I2622="TP",S2622&lt;=500),VLOOKUP(AF2622,TPCalibEq500!$AZ$2:$BB$56,3,),IF(AND(I2622="TDP",S2622&lt;=500),VLOOKUP(AF2622,TPCalibEq500!$AZ$2:$BB$56,3,)))</f>
        <v>0</v>
      </c>
      <c r="AT2622" s="10" t="str">
        <f>IF(AND(I2622="TN",S2622&lt;=2800),VLOOKUP(AF2622,TNCalibEq2500!$AZ$2:$BB$56,3,),IF(AND(I2622="TDN",S2622&lt;=2800),VLOOKUP(AF2622,TNCalibEq2500!$AZ$2:$BB$56,3,)))</f>
        <v>y=-1.3255x2+193.01x-127.15</v>
      </c>
      <c r="AU2622" s="10" t="str">
        <f>IF(I2622="TP",VLOOKUP(AF2622,TPCalibEqFull!$AZ$2:$BB$56,3),IF(I2622="TDP",VLOOKUP(AF2622,TPCalibEqFull!$AZ$2:$BB$56,3),IF(I2622="TDN",VLOOKUP(AF2622,TNCalibEqFull!$AZ$1:$BB$56,3),IF(I2622="TN",VLOOKUP(AF2622,TNCalibEqFull!$AZ$1:$BB$56,3),FALSE))))</f>
        <v>y=-0.215x2+181.97x-117.15</v>
      </c>
      <c r="AV2622" s="10" t="str">
        <f t="shared" si="296"/>
        <v>0208 10:30:40-EMB-0-800-1-SW-UKN</v>
      </c>
    </row>
    <row r="2623" spans="1:48" s="10" customFormat="1" x14ac:dyDescent="0.55000000000000004">
      <c r="A2623" s="32">
        <v>44965</v>
      </c>
      <c r="B2623" s="33">
        <v>0.43796296296296294</v>
      </c>
      <c r="C2623" s="10" t="s">
        <v>646</v>
      </c>
      <c r="D2623" s="10">
        <v>0</v>
      </c>
      <c r="E2623" s="10">
        <v>800</v>
      </c>
      <c r="F2623" s="10">
        <v>1</v>
      </c>
      <c r="G2623" s="10" t="s">
        <v>231</v>
      </c>
      <c r="H2623" s="10" t="s">
        <v>233</v>
      </c>
      <c r="I2623" s="10" t="s">
        <v>235</v>
      </c>
      <c r="J2623" s="10">
        <v>39</v>
      </c>
      <c r="K2623" s="12">
        <v>44967</v>
      </c>
      <c r="L2623" s="33">
        <v>0.44067129629629626</v>
      </c>
      <c r="M2623" s="10">
        <v>1</v>
      </c>
      <c r="N2623" s="10" t="s">
        <v>196</v>
      </c>
      <c r="O2623" s="10">
        <v>8.2100000000000009</v>
      </c>
      <c r="P2623" s="10">
        <v>0.4</v>
      </c>
      <c r="Q2623" s="10">
        <v>1350</v>
      </c>
      <c r="R2623" s="10" t="s">
        <v>170</v>
      </c>
      <c r="S2623" s="34">
        <f t="shared" si="293"/>
        <v>1368.1179654499999</v>
      </c>
      <c r="T2623" s="10" t="s">
        <v>1185</v>
      </c>
      <c r="U2623" s="34">
        <f t="shared" si="294"/>
        <v>0.50208636115444161</v>
      </c>
      <c r="V2623" s="31" t="str">
        <f>IF(H2623="CHK",VLOOKUP(I2623,QCCHK,3,),IF(H2623="GUP",VLOOKUP(E2623,QCGUP,2,),IF(AND(H2623="ATP",OR(I2623="TN",I2623="TDN",I2623="TNO2-3",I2623="NO2-3")),VLOOKUP(E2623,QCREC_N,2,),IF(AND(H2623="NIC",OR(I2623="TN",I2623="TDN",I2623="TNO2-3",I2623="NO2-3")),VLOOKUP(E2623,QCNIC_N,2,),IF(AND(H2623="UREA",OR(I2623="TN",I2623="TDN",I2623="TNO2-3",I2623="NO2-3")),VLOOKUP(E2623,QCUREA_N,2,),IF(H2623="PER",VLOOKUP(I2623,QCPER,MATCH(E2623,QCACTUAL!$J$25:$AA$25,0),),IF(H2623="SPK",VLOOKUP(I2623,QCSPK,3,),IF(AND(H2623="ATP",OR(I2623="TP",I2623="TDP")),VLOOKUP(E2623,QCATP_P,2,),""))))))))</f>
        <v/>
      </c>
      <c r="W2623" s="31" t="str">
        <f t="shared" si="295"/>
        <v>TRUE</v>
      </c>
      <c r="X2623" s="31" t="str">
        <f t="shared" ref="X2623:X2686" si="299">IF(ISNA(VLOOKUP(H2623,QCEQUATIONS,2,)),"",(VLOOKUP(H2623,QCEQUATIONS,2,)))</f>
        <v>((ABS(rep1-rep2))/((rep1+rep2)/2)*100</v>
      </c>
      <c r="Y2623" s="10" t="s">
        <v>1178</v>
      </c>
      <c r="AF2623" s="12">
        <v>44967</v>
      </c>
      <c r="AJ2623" s="10">
        <f>-1.3255*8.21^2+193.01*8.21-127.15</f>
        <v>1368.1179654499999</v>
      </c>
      <c r="AK2623" s="10">
        <f>-0.215*8.21^2+181.97*8.21-117.15</f>
        <v>1362.3318185000001</v>
      </c>
      <c r="AL2623" s="10" t="str">
        <f t="shared" si="297"/>
        <v>FALSE</v>
      </c>
      <c r="AM2623" s="10" t="str">
        <f t="shared" si="297"/>
        <v>FALSE</v>
      </c>
      <c r="AN2623" s="10" t="str">
        <f t="shared" si="297"/>
        <v>FALSE</v>
      </c>
      <c r="AO2623" s="10" t="str">
        <f t="shared" si="298"/>
        <v>y=-1.3255*8.21^2+193.01*8.21-127.15</v>
      </c>
      <c r="AP2623" s="10" t="str">
        <f t="shared" si="298"/>
        <v>y=-0.215*8.21^2+181.97*8.21-117.15</v>
      </c>
      <c r="AQ2623" s="10" t="b">
        <f>IF(AND(I2623="TP",S2623&lt;=150),VLOOKUP(AF2623,TPCalibEq150!$AZ$2:$BB$55,3,),IF(AND(I2623="TDP",S2623&lt;=150),VLOOKUP(AF2623,TPCalibEq150!$AZ$2:$BB$55,3,)))</f>
        <v>0</v>
      </c>
      <c r="AR2623" s="10" t="b">
        <f>IF(AND(I2623="TP",S2623&lt;=300),VLOOKUP(AF2623,TPCalibEq300!$AZ$2:$BB$55,3,),IF(AND(I2623="TDP",S2623&lt;=300),VLOOKUP(AF2623,TPCalibEq300!$AZ$2:$BB$55,3,)))</f>
        <v>0</v>
      </c>
      <c r="AS2623" s="10" t="b">
        <f>IF(AND(I2623="TP",S2623&lt;=500),VLOOKUP(AF2623,TPCalibEq500!$AZ$2:$BB$56,3,),IF(AND(I2623="TDP",S2623&lt;=500),VLOOKUP(AF2623,TPCalibEq500!$AZ$2:$BB$56,3,)))</f>
        <v>0</v>
      </c>
      <c r="AT2623" s="10" t="str">
        <f>IF(AND(I2623="TN",S2623&lt;=2800),VLOOKUP(AF2623,TNCalibEq2500!$AZ$2:$BB$56,3,),IF(AND(I2623="TDN",S2623&lt;=2800),VLOOKUP(AF2623,TNCalibEq2500!$AZ$2:$BB$56,3,)))</f>
        <v>y=-1.3255x2+193.01x-127.15</v>
      </c>
      <c r="AU2623" s="10" t="str">
        <f>IF(I2623="TP",VLOOKUP(AF2623,TPCalibEqFull!$AZ$2:$BB$56,3),IF(I2623="TDP",VLOOKUP(AF2623,TPCalibEqFull!$AZ$2:$BB$56,3),IF(I2623="TDN",VLOOKUP(AF2623,TNCalibEqFull!$AZ$1:$BB$56,3),IF(I2623="TN",VLOOKUP(AF2623,TNCalibEqFull!$AZ$1:$BB$56,3),FALSE))))</f>
        <v>y=-0.215x2+181.97x-117.15</v>
      </c>
      <c r="AV2623" s="10" t="str">
        <f t="shared" si="296"/>
        <v>0208 10:30:40-EMB-0-800-1-SW-DUP</v>
      </c>
    </row>
    <row r="2624" spans="1:48" s="10" customFormat="1" x14ac:dyDescent="0.55000000000000004">
      <c r="A2624" s="32">
        <v>44965</v>
      </c>
      <c r="B2624" s="33">
        <v>0.43796296296296294</v>
      </c>
      <c r="C2624" s="10" t="s">
        <v>646</v>
      </c>
      <c r="D2624" s="10">
        <v>0</v>
      </c>
      <c r="E2624" s="10">
        <v>800</v>
      </c>
      <c r="F2624" s="10">
        <v>1</v>
      </c>
      <c r="G2624" s="10" t="s">
        <v>231</v>
      </c>
      <c r="H2624" s="10" t="s">
        <v>314</v>
      </c>
      <c r="I2624" s="10" t="s">
        <v>235</v>
      </c>
      <c r="J2624" s="10">
        <v>123</v>
      </c>
      <c r="K2624" s="12">
        <v>44967</v>
      </c>
      <c r="L2624" s="33">
        <v>0.44135416666666666</v>
      </c>
      <c r="M2624" s="10">
        <v>1</v>
      </c>
      <c r="N2624" s="10" t="s">
        <v>196</v>
      </c>
      <c r="O2624" s="10">
        <v>22.3</v>
      </c>
      <c r="P2624" s="10">
        <v>1.08</v>
      </c>
      <c r="Q2624" s="10">
        <v>3830</v>
      </c>
      <c r="R2624" s="10" t="s">
        <v>170</v>
      </c>
      <c r="S2624" s="34">
        <f t="shared" ref="S2624:S2687" si="300">IF(OR(AND(I2624&lt;&gt;"TP", I2624&lt;&gt;"TDP",I2624&lt;&gt;"TN", I2624&lt;&gt;"TDN"),H2624="CAL"), Q2624*M2624, IF(OR(AND(I2624="TN", Q2624&gt;2500), AND(I2624="TDN", Q2624&gt;2500)),MAX(Q2624, AK2624)*M2624, IF(OR(AND(I2624="TN", Q2624&lt;=2500), AND(I2624="TDN", Q2624&lt;=2500)),MAX(Q2624, AJ2624,AK2624)*M2624, IF(OR(AND(I2624="TP",Q2624&gt;500), AND(I2624="TDP", Q2624&gt;500)),MAX(Q2624,AK2624)*M2624,IF(OR(AND(I2624="TP",Q2624&lt;=150), AND(I2624="TDP", Q2624&lt;=150)),MAX(Q2624,AG2624:AI2624,AK2624)*M2624,IF(OR(AND(I2624="TP",Q2624&lt;=300), AND(I2624="TDP", Q2624&lt;=300)),MAX(Q2624,AH2624,AI2624,AK2624)*M2624,IF(OR(AND(I2624="TP",Q2624&lt;=500), AND(I2624="TDP", Q2624&lt;=500)),MAX(Q2624,AI2624,AK2624)*M2624,"")))))))</f>
        <v>3833.8636499999998</v>
      </c>
      <c r="T2624" s="10" t="s">
        <v>1185</v>
      </c>
      <c r="U2624" s="34">
        <f t="shared" si="294"/>
        <v>98.629827382000002</v>
      </c>
      <c r="V2624" s="31">
        <f>IF(H2624="CHK",VLOOKUP(I2624,QCCHK,3,),IF(H2624="GUP",VLOOKUP(E2624,QCGUP,2,),IF(AND(H2624="ATP",OR(I2624="TN",I2624="TDN",I2624="TNO2-3",I2624="NO2-3")),VLOOKUP(E2624,QCREC_N,2,),IF(AND(H2624="NIC",OR(I2624="TN",I2624="TDN",I2624="TNO2-3",I2624="NO2-3")),VLOOKUP(E2624,QCNIC_N,2,),IF(AND(H2624="UREA",OR(I2624="TN",I2624="TDN",I2624="TNO2-3",I2624="NO2-3")),VLOOKUP(E2624,QCUREA_N,2,),IF(H2624="PER",VLOOKUP(I2624,QCPER,MATCH(E2624,QCACTUAL!$J$25:$AA$25,0),),IF(H2624="SPK",VLOOKUP(I2624,QCSPK,3,),IF(AND(H2624="ATP",OR(I2624="TP",I2624="TDP")),VLOOKUP(E2624,QCATP_P,2,),""))))))))</f>
        <v>2500</v>
      </c>
      <c r="W2624" s="31" t="str">
        <f t="shared" si="295"/>
        <v>TRUE</v>
      </c>
      <c r="X2624" s="31" t="str">
        <f t="shared" si="299"/>
        <v>([spikedunkn]-[unkn])/[spike]*100</v>
      </c>
      <c r="Y2624" s="10" t="s">
        <v>1178</v>
      </c>
      <c r="AF2624" s="12">
        <v>44967</v>
      </c>
      <c r="AK2624" s="10">
        <f>-0.215*22.3^2+181.97*22.3-117.15</f>
        <v>3833.8636499999998</v>
      </c>
      <c r="AL2624" s="10" t="str">
        <f t="shared" si="297"/>
        <v>FALSE</v>
      </c>
      <c r="AM2624" s="10" t="str">
        <f t="shared" si="297"/>
        <v>FALSE</v>
      </c>
      <c r="AN2624" s="10" t="str">
        <f t="shared" si="297"/>
        <v>FALSE</v>
      </c>
      <c r="AO2624" s="10" t="str">
        <f t="shared" si="298"/>
        <v>FALSE</v>
      </c>
      <c r="AP2624" s="10" t="str">
        <f t="shared" si="298"/>
        <v>y=-0.215*22.3^2+181.97*22.3-117.15</v>
      </c>
      <c r="AQ2624" s="10" t="b">
        <f>IF(AND(I2624="TP",S2624&lt;=150),VLOOKUP(AF2624,TPCalibEq150!$AZ$2:$BB$55,3,),IF(AND(I2624="TDP",S2624&lt;=150),VLOOKUP(AF2624,TPCalibEq150!$AZ$2:$BB$55,3,)))</f>
        <v>0</v>
      </c>
      <c r="AR2624" s="10" t="b">
        <f>IF(AND(I2624="TP",S2624&lt;=300),VLOOKUP(AF2624,TPCalibEq300!$AZ$2:$BB$55,3,),IF(AND(I2624="TDP",S2624&lt;=300),VLOOKUP(AF2624,TPCalibEq300!$AZ$2:$BB$55,3,)))</f>
        <v>0</v>
      </c>
      <c r="AS2624" s="10" t="b">
        <f>IF(AND(I2624="TP",S2624&lt;=500),VLOOKUP(AF2624,TPCalibEq500!$AZ$2:$BB$56,3,),IF(AND(I2624="TDP",S2624&lt;=500),VLOOKUP(AF2624,TPCalibEq500!$AZ$2:$BB$56,3,)))</f>
        <v>0</v>
      </c>
      <c r="AT2624" s="10" t="b">
        <f>IF(AND(I2624="TN",S2624&lt;=2800),VLOOKUP(AF2624,TNCalibEq2500!$AZ$2:$BB$56,3,),IF(AND(I2624="TDN",S2624&lt;=2800),VLOOKUP(AF2624,TNCalibEq2500!$AZ$2:$BB$56,3,)))</f>
        <v>0</v>
      </c>
      <c r="AU2624" s="10" t="str">
        <f>IF(I2624="TP",VLOOKUP(AF2624,TPCalibEqFull!$AZ$2:$BB$56,3),IF(I2624="TDP",VLOOKUP(AF2624,TPCalibEqFull!$AZ$2:$BB$56,3),IF(I2624="TDN",VLOOKUP(AF2624,TNCalibEqFull!$AZ$1:$BB$56,3),IF(I2624="TN",VLOOKUP(AF2624,TNCalibEqFull!$AZ$1:$BB$56,3),FALSE))))</f>
        <v>y=-0.215x2+181.97x-117.15</v>
      </c>
      <c r="AV2624" s="10" t="str">
        <f t="shared" si="296"/>
        <v>0208 10:30:40-EMB-0-800-1-SW-SPK</v>
      </c>
    </row>
    <row r="2625" spans="1:48" s="10" customFormat="1" x14ac:dyDescent="0.55000000000000004">
      <c r="A2625" s="32">
        <v>44966</v>
      </c>
      <c r="B2625" s="33">
        <v>0.375</v>
      </c>
      <c r="C2625" s="10" t="s">
        <v>70</v>
      </c>
      <c r="D2625" s="10" t="s">
        <v>71</v>
      </c>
      <c r="E2625" s="10" t="s">
        <v>901</v>
      </c>
      <c r="F2625" s="10">
        <v>1</v>
      </c>
      <c r="G2625" s="10" t="s">
        <v>73</v>
      </c>
      <c r="H2625" s="10" t="s">
        <v>207</v>
      </c>
      <c r="I2625" s="10" t="s">
        <v>235</v>
      </c>
      <c r="J2625" s="10">
        <v>200</v>
      </c>
      <c r="K2625" s="12">
        <v>44967</v>
      </c>
      <c r="L2625" s="33">
        <v>0.44202546296296297</v>
      </c>
      <c r="M2625" s="10">
        <v>1</v>
      </c>
      <c r="N2625" s="10" t="s">
        <v>196</v>
      </c>
      <c r="O2625" s="10">
        <v>7.36</v>
      </c>
      <c r="P2625" s="10">
        <v>0.36399999999999999</v>
      </c>
      <c r="Q2625" s="10">
        <v>1200</v>
      </c>
      <c r="R2625" s="10" t="s">
        <v>170</v>
      </c>
      <c r="S2625" s="34">
        <f t="shared" si="300"/>
        <v>1221.6017952</v>
      </c>
      <c r="T2625" s="10" t="s">
        <v>1185</v>
      </c>
      <c r="U2625" s="34">
        <f t="shared" si="294"/>
        <v>97.728143615999997</v>
      </c>
      <c r="V2625" s="31">
        <f>IF(H2625="CHK",VLOOKUP(I2625,QCCHK,3,),IF(H2625="GUP",VLOOKUP(E2625,QCGUP,2,),IF(AND(H2625="ATP",OR(I2625="TN",I2625="TDN",I2625="TNO2-3",I2625="NO2-3")),VLOOKUP(E2625,QCREC_N,2,),IF(AND(H2625="NIC",OR(I2625="TN",I2625="TDN",I2625="TNO2-3",I2625="NO2-3")),VLOOKUP(E2625,QCNIC_N,2,),IF(AND(H2625="UREA",OR(I2625="TN",I2625="TDN",I2625="TNO2-3",I2625="NO2-3")),VLOOKUP(E2625,QCUREA_N,2,),IF(H2625="PER",VLOOKUP(I2625,QCPER,MATCH(E2625,QCACTUAL!$J$25:$AA$25,0),),IF(H2625="SPK",VLOOKUP(I2625,QCSPK,3,),IF(AND(H2625="ATP",OR(I2625="TP",I2625="TDP")),VLOOKUP(E2625,QCATP_P,2,),""))))))))</f>
        <v>1250</v>
      </c>
      <c r="W2625" s="31" t="str">
        <f t="shared" si="295"/>
        <v>TRUE</v>
      </c>
      <c r="X2625" s="31" t="str">
        <f t="shared" si="299"/>
        <v>[chk]/[actual]*100</v>
      </c>
      <c r="Y2625" s="10" t="s">
        <v>1178</v>
      </c>
      <c r="AF2625" s="12">
        <v>44967</v>
      </c>
      <c r="AJ2625" s="10">
        <f>-1.3255*7.36^2+193.01*7.36-127.15</f>
        <v>1221.6017952</v>
      </c>
      <c r="AK2625" s="10">
        <f>-0.215*7.36^2+181.97*7.36-117.15</f>
        <v>1210.5027360000001</v>
      </c>
      <c r="AL2625" s="10" t="str">
        <f t="shared" si="297"/>
        <v>FALSE</v>
      </c>
      <c r="AM2625" s="10" t="str">
        <f t="shared" si="297"/>
        <v>FALSE</v>
      </c>
      <c r="AN2625" s="10" t="str">
        <f t="shared" si="297"/>
        <v>FALSE</v>
      </c>
      <c r="AO2625" s="10" t="str">
        <f t="shared" si="298"/>
        <v>y=-1.3255*7.36^2+193.01*7.36-127.15</v>
      </c>
      <c r="AP2625" s="10" t="str">
        <f t="shared" si="298"/>
        <v>y=-0.215*7.36^2+181.97*7.36-117.15</v>
      </c>
      <c r="AQ2625" s="10" t="b">
        <f>IF(AND(I2625="TP",S2625&lt;=150),VLOOKUP(AF2625,TPCalibEq150!$AZ$2:$BB$55,3,),IF(AND(I2625="TDP",S2625&lt;=150),VLOOKUP(AF2625,TPCalibEq150!$AZ$2:$BB$55,3,)))</f>
        <v>0</v>
      </c>
      <c r="AR2625" s="10" t="b">
        <f>IF(AND(I2625="TP",S2625&lt;=300),VLOOKUP(AF2625,TPCalibEq300!$AZ$2:$BB$55,3,),IF(AND(I2625="TDP",S2625&lt;=300),VLOOKUP(AF2625,TPCalibEq300!$AZ$2:$BB$55,3,)))</f>
        <v>0</v>
      </c>
      <c r="AS2625" s="10" t="b">
        <f>IF(AND(I2625="TP",S2625&lt;=500),VLOOKUP(AF2625,TPCalibEq500!$AZ$2:$BB$56,3,),IF(AND(I2625="TDP",S2625&lt;=500),VLOOKUP(AF2625,TPCalibEq500!$AZ$2:$BB$56,3,)))</f>
        <v>0</v>
      </c>
      <c r="AT2625" s="10" t="str">
        <f>IF(AND(I2625="TN",S2625&lt;=2800),VLOOKUP(AF2625,TNCalibEq2500!$AZ$2:$BB$56,3,),IF(AND(I2625="TDN",S2625&lt;=2800),VLOOKUP(AF2625,TNCalibEq2500!$AZ$2:$BB$56,3,)))</f>
        <v>y=-1.3255x2+193.01x-127.15</v>
      </c>
      <c r="AU2625" s="10" t="str">
        <f>IF(I2625="TP",VLOOKUP(AF2625,TPCalibEqFull!$AZ$2:$BB$56,3),IF(I2625="TDP",VLOOKUP(AF2625,TPCalibEqFull!$AZ$2:$BB$56,3),IF(I2625="TDN",VLOOKUP(AF2625,TNCalibEqFull!$AZ$1:$BB$56,3),IF(I2625="TN",VLOOKUP(AF2625,TNCalibEqFull!$AZ$1:$BB$56,3),FALSE))))</f>
        <v>y=-0.215x2+181.97x-117.15</v>
      </c>
      <c r="AV2625" s="10" t="str">
        <f t="shared" si="296"/>
        <v>0209 09:00:00-QAC-STD-D-1-DI-CHK</v>
      </c>
    </row>
    <row r="2626" spans="1:48" s="10" customFormat="1" x14ac:dyDescent="0.55000000000000004">
      <c r="A2626" s="32">
        <v>44965</v>
      </c>
      <c r="B2626" s="33">
        <v>0.44027777777777777</v>
      </c>
      <c r="C2626" s="10" t="s">
        <v>646</v>
      </c>
      <c r="D2626" s="10">
        <v>5</v>
      </c>
      <c r="E2626" s="10">
        <v>800</v>
      </c>
      <c r="F2626" s="10">
        <v>1</v>
      </c>
      <c r="G2626" s="10" t="s">
        <v>231</v>
      </c>
      <c r="H2626" s="10" t="s">
        <v>322</v>
      </c>
      <c r="I2626" s="10" t="s">
        <v>235</v>
      </c>
      <c r="J2626" s="10">
        <v>40</v>
      </c>
      <c r="K2626" s="12">
        <v>44967</v>
      </c>
      <c r="L2626" s="33">
        <v>0.44269675925925928</v>
      </c>
      <c r="M2626" s="10">
        <v>1</v>
      </c>
      <c r="N2626" s="10" t="s">
        <v>196</v>
      </c>
      <c r="O2626" s="10">
        <v>7.76</v>
      </c>
      <c r="P2626" s="10">
        <v>0.379</v>
      </c>
      <c r="Q2626" s="10">
        <v>1270</v>
      </c>
      <c r="R2626" s="10" t="s">
        <v>170</v>
      </c>
      <c r="S2626" s="34">
        <f t="shared" si="300"/>
        <v>1290.7891711999998</v>
      </c>
      <c r="T2626" s="10" t="s">
        <v>1185</v>
      </c>
      <c r="U2626" s="34" t="str">
        <f t="shared" ref="U2626:U2689" si="301">IF(OR(H2626="CHK",H2626="ATP",H2626="GUP",H2626="PER", H2626="NIC", H2626="UREA"),(S2626/V2626*100),IF(H2626="DUP",((ABS(S2626-S2625))/((S2625+S2626)/2))*100,IF(H2626="SPK",((S2626-S2625)/V2626*100),IF(OR(H2626="LAB",H2626="FLD",H2626="ESF"),S2626,""))))</f>
        <v/>
      </c>
      <c r="V2626" s="31" t="str">
        <f>IF(H2626="CHK",VLOOKUP(I2626,QCCHK,3,),IF(H2626="GUP",VLOOKUP(E2626,QCGUP,2,),IF(AND(H2626="ATP",OR(I2626="TN",I2626="TDN",I2626="TNO2-3",I2626="NO2-3")),VLOOKUP(E2626,QCREC_N,2,),IF(AND(H2626="NIC",OR(I2626="TN",I2626="TDN",I2626="TNO2-3",I2626="NO2-3")),VLOOKUP(E2626,QCNIC_N,2,),IF(AND(H2626="UREA",OR(I2626="TN",I2626="TDN",I2626="TNO2-3",I2626="NO2-3")),VLOOKUP(E2626,QCUREA_N,2,),IF(H2626="PER",VLOOKUP(I2626,QCPER,MATCH(E2626,QCACTUAL!$J$25:$AA$25,0),),IF(H2626="SPK",VLOOKUP(I2626,QCSPK,3,),IF(AND(H2626="ATP",OR(I2626="TP",I2626="TDP")),VLOOKUP(E2626,QCATP_P,2,),""))))))))</f>
        <v/>
      </c>
      <c r="W2626" s="31" t="str">
        <f t="shared" ref="W2626:W2689" si="302">IF(AND(OR(H2626="PER",H2626="ATP",H2626="GUP",H2626="CHK",H2626="SPK", H2626="NIC"),OR(U2626&gt;125,U2626&lt;75)),"FALSE",IF(AND(H2626="DUP",OR(U2626&gt;25, U2626&lt;-25)),"FALSE",IF(AND(OR(H2626="LAB",H2626="FLD",H2626="ESF"),U2626&gt;15),"FALSE","TRUE")))</f>
        <v>TRUE</v>
      </c>
      <c r="X2626" s="31" t="str">
        <f t="shared" si="299"/>
        <v/>
      </c>
      <c r="Y2626" s="10" t="s">
        <v>1178</v>
      </c>
      <c r="AF2626" s="12">
        <v>44967</v>
      </c>
      <c r="AJ2626" s="10">
        <f>-1.3255*7.76^2+193.01*7.76-127.15</f>
        <v>1290.7891711999998</v>
      </c>
      <c r="AK2626" s="10">
        <f>-0.215*7.76^2+181.97*7.76-117.15</f>
        <v>1281.9904159999999</v>
      </c>
      <c r="AL2626" s="10" t="str">
        <f t="shared" si="297"/>
        <v>FALSE</v>
      </c>
      <c r="AM2626" s="10" t="str">
        <f t="shared" si="297"/>
        <v>FALSE</v>
      </c>
      <c r="AN2626" s="10" t="str">
        <f t="shared" si="297"/>
        <v>FALSE</v>
      </c>
      <c r="AO2626" s="10" t="str">
        <f t="shared" si="298"/>
        <v>y=-1.3255*7.76^2+193.01*7.76-127.15</v>
      </c>
      <c r="AP2626" s="10" t="str">
        <f t="shared" si="298"/>
        <v>y=-0.215*7.76^2+181.97*7.76-117.15</v>
      </c>
      <c r="AQ2626" s="10" t="b">
        <f>IF(AND(I2626="TP",S2626&lt;=150),VLOOKUP(AF2626,TPCalibEq150!$AZ$2:$BB$55,3,),IF(AND(I2626="TDP",S2626&lt;=150),VLOOKUP(AF2626,TPCalibEq150!$AZ$2:$BB$55,3,)))</f>
        <v>0</v>
      </c>
      <c r="AR2626" s="10" t="b">
        <f>IF(AND(I2626="TP",S2626&lt;=300),VLOOKUP(AF2626,TPCalibEq300!$AZ$2:$BB$55,3,),IF(AND(I2626="TDP",S2626&lt;=300),VLOOKUP(AF2626,TPCalibEq300!$AZ$2:$BB$55,3,)))</f>
        <v>0</v>
      </c>
      <c r="AS2626" s="10" t="b">
        <f>IF(AND(I2626="TP",S2626&lt;=500),VLOOKUP(AF2626,TPCalibEq500!$AZ$2:$BB$56,3,),IF(AND(I2626="TDP",S2626&lt;=500),VLOOKUP(AF2626,TPCalibEq500!$AZ$2:$BB$56,3,)))</f>
        <v>0</v>
      </c>
      <c r="AT2626" s="10" t="str">
        <f>IF(AND(I2626="TN",S2626&lt;=2800),VLOOKUP(AF2626,TNCalibEq2500!$AZ$2:$BB$56,3,),IF(AND(I2626="TDN",S2626&lt;=2800),VLOOKUP(AF2626,TNCalibEq2500!$AZ$2:$BB$56,3,)))</f>
        <v>y=-1.3255x2+193.01x-127.15</v>
      </c>
      <c r="AU2626" s="10" t="str">
        <f>IF(I2626="TP",VLOOKUP(AF2626,TPCalibEqFull!$AZ$2:$BB$56,3),IF(I2626="TDP",VLOOKUP(AF2626,TPCalibEqFull!$AZ$2:$BB$56,3),IF(I2626="TDN",VLOOKUP(AF2626,TNCalibEqFull!$AZ$1:$BB$56,3),IF(I2626="TN",VLOOKUP(AF2626,TNCalibEqFull!$AZ$1:$BB$56,3),FALSE))))</f>
        <v>y=-0.215x2+181.97x-117.15</v>
      </c>
      <c r="AV2626" s="10" t="str">
        <f t="shared" ref="AV2626:AV2689" si="303">TEXT(A2626, "MMDD")&amp;" "&amp;TEXT(B2626, "HH:MM:SS")&amp;"-"&amp;C2626&amp;"-"&amp;D2626&amp;"-"&amp;E2626&amp;"-"&amp;F2626&amp;"-"&amp;G2626&amp;"-"&amp;H2626</f>
        <v>0208 10:34:00-EMB-5-800-1-SW-UKN</v>
      </c>
    </row>
    <row r="2627" spans="1:48" s="10" customFormat="1" x14ac:dyDescent="0.55000000000000004">
      <c r="A2627" s="32">
        <v>44965</v>
      </c>
      <c r="B2627" s="33">
        <v>0.44259259259259259</v>
      </c>
      <c r="C2627" s="10" t="s">
        <v>646</v>
      </c>
      <c r="D2627" s="10">
        <v>10</v>
      </c>
      <c r="E2627" s="10">
        <v>800</v>
      </c>
      <c r="F2627" s="10">
        <v>1</v>
      </c>
      <c r="G2627" s="10" t="s">
        <v>231</v>
      </c>
      <c r="H2627" s="10" t="s">
        <v>322</v>
      </c>
      <c r="I2627" s="10" t="s">
        <v>235</v>
      </c>
      <c r="J2627" s="10">
        <v>41</v>
      </c>
      <c r="K2627" s="12">
        <v>44967</v>
      </c>
      <c r="L2627" s="33">
        <v>0.44335648148148149</v>
      </c>
      <c r="M2627" s="10">
        <v>1</v>
      </c>
      <c r="N2627" s="10" t="s">
        <v>196</v>
      </c>
      <c r="O2627" s="10">
        <v>8.09</v>
      </c>
      <c r="P2627" s="10">
        <v>0.39400000000000002</v>
      </c>
      <c r="Q2627" s="10">
        <v>1320</v>
      </c>
      <c r="R2627" s="10" t="s">
        <v>170</v>
      </c>
      <c r="S2627" s="34">
        <f t="shared" si="300"/>
        <v>1347.5494434499997</v>
      </c>
      <c r="T2627" s="10" t="s">
        <v>1185</v>
      </c>
      <c r="U2627" s="34" t="str">
        <f t="shared" si="301"/>
        <v/>
      </c>
      <c r="V2627" s="31" t="str">
        <f>IF(H2627="CHK",VLOOKUP(I2627,QCCHK,3,),IF(H2627="GUP",VLOOKUP(E2627,QCGUP,2,),IF(AND(H2627="ATP",OR(I2627="TN",I2627="TDN",I2627="TNO2-3",I2627="NO2-3")),VLOOKUP(E2627,QCREC_N,2,),IF(AND(H2627="NIC",OR(I2627="TN",I2627="TDN",I2627="TNO2-3",I2627="NO2-3")),VLOOKUP(E2627,QCNIC_N,2,),IF(AND(H2627="UREA",OR(I2627="TN",I2627="TDN",I2627="TNO2-3",I2627="NO2-3")),VLOOKUP(E2627,QCUREA_N,2,),IF(H2627="PER",VLOOKUP(I2627,QCPER,MATCH(E2627,QCACTUAL!$J$25:$AA$25,0),),IF(H2627="SPK",VLOOKUP(I2627,QCSPK,3,),IF(AND(H2627="ATP",OR(I2627="TP",I2627="TDP")),VLOOKUP(E2627,QCATP_P,2,),""))))))))</f>
        <v/>
      </c>
      <c r="W2627" s="31" t="str">
        <f t="shared" si="302"/>
        <v>TRUE</v>
      </c>
      <c r="X2627" s="31" t="str">
        <f t="shared" si="299"/>
        <v/>
      </c>
      <c r="Y2627" s="10" t="s">
        <v>1178</v>
      </c>
      <c r="AF2627" s="12">
        <v>44967</v>
      </c>
      <c r="AJ2627" s="10">
        <f>-1.3255*8.09^2+193.01*8.09-127.15</f>
        <v>1347.5494434499997</v>
      </c>
      <c r="AK2627" s="10">
        <f>-0.215*8.09^2+181.97*8.09-117.15</f>
        <v>1340.9159584999998</v>
      </c>
      <c r="AL2627" s="10" t="str">
        <f t="shared" si="297"/>
        <v>FALSE</v>
      </c>
      <c r="AM2627" s="10" t="str">
        <f t="shared" si="297"/>
        <v>FALSE</v>
      </c>
      <c r="AN2627" s="10" t="str">
        <f t="shared" si="297"/>
        <v>FALSE</v>
      </c>
      <c r="AO2627" s="10" t="str">
        <f t="shared" si="298"/>
        <v>y=-1.3255*8.09^2+193.01*8.09-127.15</v>
      </c>
      <c r="AP2627" s="10" t="str">
        <f t="shared" si="298"/>
        <v>y=-0.215*8.09^2+181.97*8.09-117.15</v>
      </c>
      <c r="AQ2627" s="10" t="b">
        <f>IF(AND(I2627="TP",S2627&lt;=150),VLOOKUP(AF2627,TPCalibEq150!$AZ$2:$BB$55,3,),IF(AND(I2627="TDP",S2627&lt;=150),VLOOKUP(AF2627,TPCalibEq150!$AZ$2:$BB$55,3,)))</f>
        <v>0</v>
      </c>
      <c r="AR2627" s="10" t="b">
        <f>IF(AND(I2627="TP",S2627&lt;=300),VLOOKUP(AF2627,TPCalibEq300!$AZ$2:$BB$55,3,),IF(AND(I2627="TDP",S2627&lt;=300),VLOOKUP(AF2627,TPCalibEq300!$AZ$2:$BB$55,3,)))</f>
        <v>0</v>
      </c>
      <c r="AS2627" s="10" t="b">
        <f>IF(AND(I2627="TP",S2627&lt;=500),VLOOKUP(AF2627,TPCalibEq500!$AZ$2:$BB$56,3,),IF(AND(I2627="TDP",S2627&lt;=500),VLOOKUP(AF2627,TPCalibEq500!$AZ$2:$BB$56,3,)))</f>
        <v>0</v>
      </c>
      <c r="AT2627" s="10" t="str">
        <f>IF(AND(I2627="TN",S2627&lt;=2800),VLOOKUP(AF2627,TNCalibEq2500!$AZ$2:$BB$56,3,),IF(AND(I2627="TDN",S2627&lt;=2800),VLOOKUP(AF2627,TNCalibEq2500!$AZ$2:$BB$56,3,)))</f>
        <v>y=-1.3255x2+193.01x-127.15</v>
      </c>
      <c r="AU2627" s="10" t="str">
        <f>IF(I2627="TP",VLOOKUP(AF2627,TPCalibEqFull!$AZ$2:$BB$56,3),IF(I2627="TDP",VLOOKUP(AF2627,TPCalibEqFull!$AZ$2:$BB$56,3),IF(I2627="TDN",VLOOKUP(AF2627,TNCalibEqFull!$AZ$1:$BB$56,3),IF(I2627="TN",VLOOKUP(AF2627,TNCalibEqFull!$AZ$1:$BB$56,3),FALSE))))</f>
        <v>y=-0.215x2+181.97x-117.15</v>
      </c>
      <c r="AV2627" s="10" t="str">
        <f t="shared" si="303"/>
        <v>0208 10:37:20-EMB-10-800-1-SW-UKN</v>
      </c>
    </row>
    <row r="2628" spans="1:48" s="10" customFormat="1" x14ac:dyDescent="0.55000000000000004">
      <c r="A2628" s="32">
        <v>44965</v>
      </c>
      <c r="B2628" s="33">
        <v>0.44490740740740736</v>
      </c>
      <c r="C2628" s="10" t="s">
        <v>646</v>
      </c>
      <c r="D2628" s="10">
        <v>20</v>
      </c>
      <c r="E2628" s="10" t="s">
        <v>190</v>
      </c>
      <c r="F2628" s="10">
        <v>1</v>
      </c>
      <c r="G2628" s="10" t="s">
        <v>231</v>
      </c>
      <c r="H2628" s="10" t="s">
        <v>322</v>
      </c>
      <c r="I2628" s="10" t="s">
        <v>235</v>
      </c>
      <c r="J2628" s="10">
        <v>42</v>
      </c>
      <c r="K2628" s="12">
        <v>44967</v>
      </c>
      <c r="L2628" s="33">
        <v>0.4440162037037037</v>
      </c>
      <c r="M2628" s="10">
        <v>1</v>
      </c>
      <c r="N2628" s="10" t="s">
        <v>196</v>
      </c>
      <c r="O2628" s="10">
        <v>7.4</v>
      </c>
      <c r="P2628" s="10">
        <v>0.36299999999999999</v>
      </c>
      <c r="Q2628" s="10">
        <v>1200</v>
      </c>
      <c r="R2628" s="10" t="s">
        <v>170</v>
      </c>
      <c r="S2628" s="34">
        <f t="shared" si="300"/>
        <v>1228.53962</v>
      </c>
      <c r="T2628" s="10" t="s">
        <v>1185</v>
      </c>
      <c r="U2628" s="34" t="str">
        <f t="shared" si="301"/>
        <v/>
      </c>
      <c r="V2628" s="31" t="str">
        <f>IF(H2628="CHK",VLOOKUP(I2628,QCCHK,3,),IF(H2628="GUP",VLOOKUP(E2628,QCGUP,2,),IF(AND(H2628="ATP",OR(I2628="TN",I2628="TDN",I2628="TNO2-3",I2628="NO2-3")),VLOOKUP(E2628,QCREC_N,2,),IF(AND(H2628="NIC",OR(I2628="TN",I2628="TDN",I2628="TNO2-3",I2628="NO2-3")),VLOOKUP(E2628,QCNIC_N,2,),IF(AND(H2628="UREA",OR(I2628="TN",I2628="TDN",I2628="TNO2-3",I2628="NO2-3")),VLOOKUP(E2628,QCUREA_N,2,),IF(H2628="PER",VLOOKUP(I2628,QCPER,MATCH(E2628,QCACTUAL!$J$25:$AA$25,0),),IF(H2628="SPK",VLOOKUP(I2628,QCSPK,3,),IF(AND(H2628="ATP",OR(I2628="TP",I2628="TDP")),VLOOKUP(E2628,QCATP_P,2,),""))))))))</f>
        <v/>
      </c>
      <c r="W2628" s="31" t="str">
        <f t="shared" si="302"/>
        <v>TRUE</v>
      </c>
      <c r="X2628" s="31" t="str">
        <f t="shared" si="299"/>
        <v/>
      </c>
      <c r="Y2628" s="10" t="s">
        <v>1178</v>
      </c>
      <c r="AF2628" s="12">
        <v>44967</v>
      </c>
      <c r="AJ2628" s="10">
        <f>-1.3255*7.4^2+193.01*7.4-127.15</f>
        <v>1228.53962</v>
      </c>
      <c r="AK2628" s="10">
        <f>-0.215*7.4^2+181.97*7.4-117.15</f>
        <v>1217.6545999999998</v>
      </c>
      <c r="AL2628" s="10" t="str">
        <f t="shared" si="297"/>
        <v>FALSE</v>
      </c>
      <c r="AM2628" s="10" t="str">
        <f t="shared" si="297"/>
        <v>FALSE</v>
      </c>
      <c r="AN2628" s="10" t="str">
        <f t="shared" si="297"/>
        <v>FALSE</v>
      </c>
      <c r="AO2628" s="10" t="str">
        <f t="shared" si="298"/>
        <v>y=-1.3255*7.4^2+193.01*7.4-127.15</v>
      </c>
      <c r="AP2628" s="10" t="str">
        <f t="shared" si="298"/>
        <v>y=-0.215*7.4^2+181.97*7.4-117.15</v>
      </c>
      <c r="AQ2628" s="10" t="b">
        <f>IF(AND(I2628="TP",S2628&lt;=150),VLOOKUP(AF2628,TPCalibEq150!$AZ$2:$BB$55,3,),IF(AND(I2628="TDP",S2628&lt;=150),VLOOKUP(AF2628,TPCalibEq150!$AZ$2:$BB$55,3,)))</f>
        <v>0</v>
      </c>
      <c r="AR2628" s="10" t="b">
        <f>IF(AND(I2628="TP",S2628&lt;=300),VLOOKUP(AF2628,TPCalibEq300!$AZ$2:$BB$55,3,),IF(AND(I2628="TDP",S2628&lt;=300),VLOOKUP(AF2628,TPCalibEq300!$AZ$2:$BB$55,3,)))</f>
        <v>0</v>
      </c>
      <c r="AS2628" s="10" t="b">
        <f>IF(AND(I2628="TP",S2628&lt;=500),VLOOKUP(AF2628,TPCalibEq500!$AZ$2:$BB$56,3,),IF(AND(I2628="TDP",S2628&lt;=500),VLOOKUP(AF2628,TPCalibEq500!$AZ$2:$BB$56,3,)))</f>
        <v>0</v>
      </c>
      <c r="AT2628" s="10" t="str">
        <f>IF(AND(I2628="TN",S2628&lt;=2800),VLOOKUP(AF2628,TNCalibEq2500!$AZ$2:$BB$56,3,),IF(AND(I2628="TDN",S2628&lt;=2800),VLOOKUP(AF2628,TNCalibEq2500!$AZ$2:$BB$56,3,)))</f>
        <v>y=-1.3255x2+193.01x-127.15</v>
      </c>
      <c r="AU2628" s="10" t="str">
        <f>IF(I2628="TP",VLOOKUP(AF2628,TPCalibEqFull!$AZ$2:$BB$56,3),IF(I2628="TDP",VLOOKUP(AF2628,TPCalibEqFull!$AZ$2:$BB$56,3),IF(I2628="TDN",VLOOKUP(AF2628,TNCalibEqFull!$AZ$1:$BB$56,3),IF(I2628="TN",VLOOKUP(AF2628,TNCalibEqFull!$AZ$1:$BB$56,3),FALSE))))</f>
        <v>y=-0.215x2+181.97x-117.15</v>
      </c>
      <c r="AV2628" s="10" t="str">
        <f t="shared" si="303"/>
        <v>0208 10:40:40-EMB-20-C-1-SW-UKN</v>
      </c>
    </row>
    <row r="2629" spans="1:48" s="10" customFormat="1" x14ac:dyDescent="0.55000000000000004">
      <c r="A2629" s="32">
        <v>44965</v>
      </c>
      <c r="B2629" s="33">
        <v>0.44780092592592591</v>
      </c>
      <c r="C2629" s="10" t="s">
        <v>646</v>
      </c>
      <c r="D2629" s="10">
        <v>69</v>
      </c>
      <c r="E2629" s="10" t="s">
        <v>190</v>
      </c>
      <c r="F2629" s="10">
        <v>1</v>
      </c>
      <c r="G2629" s="10" t="s">
        <v>231</v>
      </c>
      <c r="H2629" s="10" t="s">
        <v>322</v>
      </c>
      <c r="I2629" s="10" t="s">
        <v>235</v>
      </c>
      <c r="J2629" s="10">
        <v>43</v>
      </c>
      <c r="K2629" s="12">
        <v>44967</v>
      </c>
      <c r="L2629" s="33">
        <v>0.44467592592592592</v>
      </c>
      <c r="M2629" s="10">
        <v>1</v>
      </c>
      <c r="N2629" s="10" t="s">
        <v>196</v>
      </c>
      <c r="O2629" s="10">
        <v>8.4499999999999993</v>
      </c>
      <c r="P2629" s="10">
        <v>0.41299999999999998</v>
      </c>
      <c r="Q2629" s="10">
        <v>1390</v>
      </c>
      <c r="R2629" s="10" t="s">
        <v>170</v>
      </c>
      <c r="S2629" s="34">
        <f t="shared" si="300"/>
        <v>1409.1404862499999</v>
      </c>
      <c r="T2629" s="10" t="s">
        <v>1185</v>
      </c>
      <c r="U2629" s="34" t="str">
        <f t="shared" si="301"/>
        <v/>
      </c>
      <c r="V2629" s="31" t="str">
        <f>IF(H2629="CHK",VLOOKUP(I2629,QCCHK,3,),IF(H2629="GUP",VLOOKUP(E2629,QCGUP,2,),IF(AND(H2629="ATP",OR(I2629="TN",I2629="TDN",I2629="TNO2-3",I2629="NO2-3")),VLOOKUP(E2629,QCREC_N,2,),IF(AND(H2629="NIC",OR(I2629="TN",I2629="TDN",I2629="TNO2-3",I2629="NO2-3")),VLOOKUP(E2629,QCNIC_N,2,),IF(AND(H2629="UREA",OR(I2629="TN",I2629="TDN",I2629="TNO2-3",I2629="NO2-3")),VLOOKUP(E2629,QCUREA_N,2,),IF(H2629="PER",VLOOKUP(I2629,QCPER,MATCH(E2629,QCACTUAL!$J$25:$AA$25,0),),IF(H2629="SPK",VLOOKUP(I2629,QCSPK,3,),IF(AND(H2629="ATP",OR(I2629="TP",I2629="TDP")),VLOOKUP(E2629,QCATP_P,2,),""))))))))</f>
        <v/>
      </c>
      <c r="W2629" s="31" t="str">
        <f t="shared" si="302"/>
        <v>TRUE</v>
      </c>
      <c r="X2629" s="31" t="str">
        <f t="shared" si="299"/>
        <v/>
      </c>
      <c r="Y2629" s="10" t="s">
        <v>1178</v>
      </c>
      <c r="AF2629" s="12">
        <v>44967</v>
      </c>
      <c r="AJ2629" s="10">
        <f>-1.3255*8.45^2+193.01*8.45-127.15</f>
        <v>1409.1404862499999</v>
      </c>
      <c r="AK2629" s="10">
        <f>-0.215*8.45^2+181.97*8.45-117.15</f>
        <v>1405.1449624999998</v>
      </c>
      <c r="AL2629" s="10" t="str">
        <f t="shared" si="297"/>
        <v>FALSE</v>
      </c>
      <c r="AM2629" s="10" t="str">
        <f t="shared" si="297"/>
        <v>FALSE</v>
      </c>
      <c r="AN2629" s="10" t="str">
        <f t="shared" si="297"/>
        <v>FALSE</v>
      </c>
      <c r="AO2629" s="10" t="str">
        <f t="shared" si="298"/>
        <v>y=-1.3255*8.45^2+193.01*8.45-127.15</v>
      </c>
      <c r="AP2629" s="10" t="str">
        <f t="shared" si="298"/>
        <v>y=-0.215*8.45^2+181.97*8.45-117.15</v>
      </c>
      <c r="AQ2629" s="10" t="b">
        <f>IF(AND(I2629="TP",S2629&lt;=150),VLOOKUP(AF2629,TPCalibEq150!$AZ$2:$BB$55,3,),IF(AND(I2629="TDP",S2629&lt;=150),VLOOKUP(AF2629,TPCalibEq150!$AZ$2:$BB$55,3,)))</f>
        <v>0</v>
      </c>
      <c r="AR2629" s="10" t="b">
        <f>IF(AND(I2629="TP",S2629&lt;=300),VLOOKUP(AF2629,TPCalibEq300!$AZ$2:$BB$55,3,),IF(AND(I2629="TDP",S2629&lt;=300),VLOOKUP(AF2629,TPCalibEq300!$AZ$2:$BB$55,3,)))</f>
        <v>0</v>
      </c>
      <c r="AS2629" s="10" t="b">
        <f>IF(AND(I2629="TP",S2629&lt;=500),VLOOKUP(AF2629,TPCalibEq500!$AZ$2:$BB$56,3,),IF(AND(I2629="TDP",S2629&lt;=500),VLOOKUP(AF2629,TPCalibEq500!$AZ$2:$BB$56,3,)))</f>
        <v>0</v>
      </c>
      <c r="AT2629" s="10" t="str">
        <f>IF(AND(I2629="TN",S2629&lt;=2800),VLOOKUP(AF2629,TNCalibEq2500!$AZ$2:$BB$56,3,),IF(AND(I2629="TDN",S2629&lt;=2800),VLOOKUP(AF2629,TNCalibEq2500!$AZ$2:$BB$56,3,)))</f>
        <v>y=-1.3255x2+193.01x-127.15</v>
      </c>
      <c r="AU2629" s="10" t="str">
        <f>IF(I2629="TP",VLOOKUP(AF2629,TPCalibEqFull!$AZ$2:$BB$56,3),IF(I2629="TDP",VLOOKUP(AF2629,TPCalibEqFull!$AZ$2:$BB$56,3),IF(I2629="TDN",VLOOKUP(AF2629,TNCalibEqFull!$AZ$1:$BB$56,3),IF(I2629="TN",VLOOKUP(AF2629,TNCalibEqFull!$AZ$1:$BB$56,3),FALSE))))</f>
        <v>y=-0.215x2+181.97x-117.15</v>
      </c>
      <c r="AV2629" s="10" t="str">
        <f t="shared" si="303"/>
        <v>0208 10:44:50-EMB-69-C-1-SW-UKN</v>
      </c>
    </row>
    <row r="2630" spans="1:48" s="10" customFormat="1" x14ac:dyDescent="0.55000000000000004">
      <c r="A2630" s="32">
        <v>44965</v>
      </c>
      <c r="B2630" s="33">
        <v>0.39953703703703702</v>
      </c>
      <c r="C2630" s="10" t="s">
        <v>287</v>
      </c>
      <c r="D2630" s="10">
        <v>0</v>
      </c>
      <c r="E2630" s="10">
        <v>800</v>
      </c>
      <c r="F2630" s="10">
        <v>1</v>
      </c>
      <c r="G2630" s="10" t="s">
        <v>231</v>
      </c>
      <c r="H2630" s="10" t="s">
        <v>322</v>
      </c>
      <c r="I2630" s="10" t="s">
        <v>235</v>
      </c>
      <c r="J2630" s="10">
        <v>44</v>
      </c>
      <c r="K2630" s="12">
        <v>44967</v>
      </c>
      <c r="L2630" s="33">
        <v>0.44533564814814813</v>
      </c>
      <c r="M2630" s="10">
        <v>1</v>
      </c>
      <c r="N2630" s="10" t="s">
        <v>196</v>
      </c>
      <c r="O2630" s="10">
        <v>7.5</v>
      </c>
      <c r="P2630" s="10">
        <v>0.36699999999999999</v>
      </c>
      <c r="Q2630" s="10">
        <v>1220</v>
      </c>
      <c r="R2630" s="10" t="s">
        <v>170</v>
      </c>
      <c r="S2630" s="34">
        <f t="shared" si="300"/>
        <v>1245.8656249999997</v>
      </c>
      <c r="T2630" s="10" t="s">
        <v>1185</v>
      </c>
      <c r="U2630" s="34" t="str">
        <f t="shared" si="301"/>
        <v/>
      </c>
      <c r="V2630" s="31" t="str">
        <f>IF(H2630="CHK",VLOOKUP(I2630,QCCHK,3,),IF(H2630="GUP",VLOOKUP(E2630,QCGUP,2,),IF(AND(H2630="ATP",OR(I2630="TN",I2630="TDN",I2630="TNO2-3",I2630="NO2-3")),VLOOKUP(E2630,QCREC_N,2,),IF(AND(H2630="NIC",OR(I2630="TN",I2630="TDN",I2630="TNO2-3",I2630="NO2-3")),VLOOKUP(E2630,QCNIC_N,2,),IF(AND(H2630="UREA",OR(I2630="TN",I2630="TDN",I2630="TNO2-3",I2630="NO2-3")),VLOOKUP(E2630,QCUREA_N,2,),IF(H2630="PER",VLOOKUP(I2630,QCPER,MATCH(E2630,QCACTUAL!$J$25:$AA$25,0),),IF(H2630="SPK",VLOOKUP(I2630,QCSPK,3,),IF(AND(H2630="ATP",OR(I2630="TP",I2630="TDP")),VLOOKUP(E2630,QCATP_P,2,),""))))))))</f>
        <v/>
      </c>
      <c r="W2630" s="31" t="str">
        <f t="shared" si="302"/>
        <v>TRUE</v>
      </c>
      <c r="X2630" s="31" t="str">
        <f t="shared" si="299"/>
        <v/>
      </c>
      <c r="Y2630" s="10" t="s">
        <v>1178</v>
      </c>
      <c r="AF2630" s="12">
        <v>44967</v>
      </c>
      <c r="AJ2630" s="10">
        <f>-1.3255*7.5^2+193.01*7.5-127.15</f>
        <v>1245.8656249999997</v>
      </c>
      <c r="AK2630" s="10">
        <f>-0.215*7.5^2+181.97*7.5-117.15</f>
        <v>1235.53125</v>
      </c>
      <c r="AL2630" s="10" t="str">
        <f t="shared" si="297"/>
        <v>FALSE</v>
      </c>
      <c r="AM2630" s="10" t="str">
        <f t="shared" si="297"/>
        <v>FALSE</v>
      </c>
      <c r="AN2630" s="10" t="str">
        <f t="shared" si="297"/>
        <v>FALSE</v>
      </c>
      <c r="AO2630" s="10" t="str">
        <f t="shared" si="298"/>
        <v>y=-1.3255*7.5^2+193.01*7.5-127.15</v>
      </c>
      <c r="AP2630" s="10" t="str">
        <f t="shared" si="298"/>
        <v>y=-0.215*7.5^2+181.97*7.5-117.15</v>
      </c>
      <c r="AQ2630" s="10" t="b">
        <f>IF(AND(I2630="TP",S2630&lt;=150),VLOOKUP(AF2630,TPCalibEq150!$AZ$2:$BB$55,3,),IF(AND(I2630="TDP",S2630&lt;=150),VLOOKUP(AF2630,TPCalibEq150!$AZ$2:$BB$55,3,)))</f>
        <v>0</v>
      </c>
      <c r="AR2630" s="10" t="b">
        <f>IF(AND(I2630="TP",S2630&lt;=300),VLOOKUP(AF2630,TPCalibEq300!$AZ$2:$BB$55,3,),IF(AND(I2630="TDP",S2630&lt;=300),VLOOKUP(AF2630,TPCalibEq300!$AZ$2:$BB$55,3,)))</f>
        <v>0</v>
      </c>
      <c r="AS2630" s="10" t="b">
        <f>IF(AND(I2630="TP",S2630&lt;=500),VLOOKUP(AF2630,TPCalibEq500!$AZ$2:$BB$56,3,),IF(AND(I2630="TDP",S2630&lt;=500),VLOOKUP(AF2630,TPCalibEq500!$AZ$2:$BB$56,3,)))</f>
        <v>0</v>
      </c>
      <c r="AT2630" s="10" t="str">
        <f>IF(AND(I2630="TN",S2630&lt;=2800),VLOOKUP(AF2630,TNCalibEq2500!$AZ$2:$BB$56,3,),IF(AND(I2630="TDN",S2630&lt;=2800),VLOOKUP(AF2630,TNCalibEq2500!$AZ$2:$BB$56,3,)))</f>
        <v>y=-1.3255x2+193.01x-127.15</v>
      </c>
      <c r="AU2630" s="10" t="str">
        <f>IF(I2630="TP",VLOOKUP(AF2630,TPCalibEqFull!$AZ$2:$BB$56,3),IF(I2630="TDP",VLOOKUP(AF2630,TPCalibEqFull!$AZ$2:$BB$56,3),IF(I2630="TDN",VLOOKUP(AF2630,TNCalibEqFull!$AZ$1:$BB$56,3),IF(I2630="TN",VLOOKUP(AF2630,TNCalibEqFull!$AZ$1:$BB$56,3),FALSE))))</f>
        <v>y=-0.215x2+181.97x-117.15</v>
      </c>
      <c r="AV2630" s="10" t="str">
        <f t="shared" si="303"/>
        <v>0208 09:35:20-EFL-0-800-1-SW-UKN</v>
      </c>
    </row>
    <row r="2631" spans="1:48" s="10" customFormat="1" x14ac:dyDescent="0.55000000000000004">
      <c r="A2631" s="32">
        <v>44965</v>
      </c>
      <c r="B2631" s="33">
        <v>0.40185185185185185</v>
      </c>
      <c r="C2631" s="10" t="s">
        <v>287</v>
      </c>
      <c r="D2631" s="10">
        <v>5</v>
      </c>
      <c r="E2631" s="10">
        <v>800</v>
      </c>
      <c r="F2631" s="10">
        <v>1</v>
      </c>
      <c r="G2631" s="10" t="s">
        <v>231</v>
      </c>
      <c r="H2631" s="10" t="s">
        <v>322</v>
      </c>
      <c r="I2631" s="10" t="s">
        <v>235</v>
      </c>
      <c r="J2631" s="10">
        <v>45</v>
      </c>
      <c r="K2631" s="12">
        <v>44967</v>
      </c>
      <c r="L2631" s="33">
        <v>0.4460069444444445</v>
      </c>
      <c r="M2631" s="10">
        <v>1</v>
      </c>
      <c r="N2631" s="10" t="s">
        <v>196</v>
      </c>
      <c r="O2631" s="10">
        <v>7.54</v>
      </c>
      <c r="P2631" s="10">
        <v>0.36899999999999999</v>
      </c>
      <c r="Q2631" s="10">
        <v>1230</v>
      </c>
      <c r="R2631" s="10" t="s">
        <v>170</v>
      </c>
      <c r="S2631" s="34">
        <f t="shared" si="300"/>
        <v>1252.7886042</v>
      </c>
      <c r="T2631" s="10" t="s">
        <v>1185</v>
      </c>
      <c r="U2631" s="34" t="str">
        <f t="shared" si="301"/>
        <v/>
      </c>
      <c r="V2631" s="31" t="str">
        <f>IF(H2631="CHK",VLOOKUP(I2631,QCCHK,3,),IF(H2631="GUP",VLOOKUP(E2631,QCGUP,2,),IF(AND(H2631="ATP",OR(I2631="TN",I2631="TDN",I2631="TNO2-3",I2631="NO2-3")),VLOOKUP(E2631,QCREC_N,2,),IF(AND(H2631="NIC",OR(I2631="TN",I2631="TDN",I2631="TNO2-3",I2631="NO2-3")),VLOOKUP(E2631,QCNIC_N,2,),IF(AND(H2631="UREA",OR(I2631="TN",I2631="TDN",I2631="TNO2-3",I2631="NO2-3")),VLOOKUP(E2631,QCUREA_N,2,),IF(H2631="PER",VLOOKUP(I2631,QCPER,MATCH(E2631,QCACTUAL!$J$25:$AA$25,0),),IF(H2631="SPK",VLOOKUP(I2631,QCSPK,3,),IF(AND(H2631="ATP",OR(I2631="TP",I2631="TDP")),VLOOKUP(E2631,QCATP_P,2,),""))))))))</f>
        <v/>
      </c>
      <c r="W2631" s="31" t="str">
        <f t="shared" si="302"/>
        <v>TRUE</v>
      </c>
      <c r="X2631" s="31" t="str">
        <f t="shared" si="299"/>
        <v/>
      </c>
      <c r="Y2631" s="10" t="s">
        <v>1178</v>
      </c>
      <c r="AF2631" s="12">
        <v>44967</v>
      </c>
      <c r="AJ2631" s="10">
        <f>-1.3255*7.54^2+193.01*7.54-127.15</f>
        <v>1252.7886042</v>
      </c>
      <c r="AK2631" s="10">
        <f>-0.215*7.54^2+181.97*7.54-117.15</f>
        <v>1242.6807059999999</v>
      </c>
      <c r="AL2631" s="10" t="str">
        <f t="shared" si="297"/>
        <v>FALSE</v>
      </c>
      <c r="AM2631" s="10" t="str">
        <f t="shared" si="297"/>
        <v>FALSE</v>
      </c>
      <c r="AN2631" s="10" t="str">
        <f t="shared" si="297"/>
        <v>FALSE</v>
      </c>
      <c r="AO2631" s="10" t="str">
        <f t="shared" si="298"/>
        <v>y=-1.3255*7.54^2+193.01*7.54-127.15</v>
      </c>
      <c r="AP2631" s="10" t="str">
        <f t="shared" si="298"/>
        <v>y=-0.215*7.54^2+181.97*7.54-117.15</v>
      </c>
      <c r="AQ2631" s="10" t="b">
        <f>IF(AND(I2631="TP",S2631&lt;=150),VLOOKUP(AF2631,TPCalibEq150!$AZ$2:$BB$55,3,),IF(AND(I2631="TDP",S2631&lt;=150),VLOOKUP(AF2631,TPCalibEq150!$AZ$2:$BB$55,3,)))</f>
        <v>0</v>
      </c>
      <c r="AR2631" s="10" t="b">
        <f>IF(AND(I2631="TP",S2631&lt;=300),VLOOKUP(AF2631,TPCalibEq300!$AZ$2:$BB$55,3,),IF(AND(I2631="TDP",S2631&lt;=300),VLOOKUP(AF2631,TPCalibEq300!$AZ$2:$BB$55,3,)))</f>
        <v>0</v>
      </c>
      <c r="AS2631" s="10" t="b">
        <f>IF(AND(I2631="TP",S2631&lt;=500),VLOOKUP(AF2631,TPCalibEq500!$AZ$2:$BB$56,3,),IF(AND(I2631="TDP",S2631&lt;=500),VLOOKUP(AF2631,TPCalibEq500!$AZ$2:$BB$56,3,)))</f>
        <v>0</v>
      </c>
      <c r="AT2631" s="10" t="str">
        <f>IF(AND(I2631="TN",S2631&lt;=2800),VLOOKUP(AF2631,TNCalibEq2500!$AZ$2:$BB$56,3,),IF(AND(I2631="TDN",S2631&lt;=2800),VLOOKUP(AF2631,TNCalibEq2500!$AZ$2:$BB$56,3,)))</f>
        <v>y=-1.3255x2+193.01x-127.15</v>
      </c>
      <c r="AU2631" s="10" t="str">
        <f>IF(I2631="TP",VLOOKUP(AF2631,TPCalibEqFull!$AZ$2:$BB$56,3),IF(I2631="TDP",VLOOKUP(AF2631,TPCalibEqFull!$AZ$2:$BB$56,3),IF(I2631="TDN",VLOOKUP(AF2631,TNCalibEqFull!$AZ$1:$BB$56,3),IF(I2631="TN",VLOOKUP(AF2631,TNCalibEqFull!$AZ$1:$BB$56,3),FALSE))))</f>
        <v>y=-0.215x2+181.97x-117.15</v>
      </c>
      <c r="AV2631" s="10" t="str">
        <f t="shared" si="303"/>
        <v>0208 09:38:40-EFL-5-800-1-SW-UKN</v>
      </c>
    </row>
    <row r="2632" spans="1:48" s="10" customFormat="1" x14ac:dyDescent="0.55000000000000004">
      <c r="A2632" s="32">
        <v>44965</v>
      </c>
      <c r="B2632" s="33">
        <v>0.40416666666666662</v>
      </c>
      <c r="C2632" s="10" t="s">
        <v>287</v>
      </c>
      <c r="D2632" s="10">
        <v>10</v>
      </c>
      <c r="E2632" s="10">
        <v>800</v>
      </c>
      <c r="F2632" s="10">
        <v>1</v>
      </c>
      <c r="G2632" s="10" t="s">
        <v>231</v>
      </c>
      <c r="H2632" s="10" t="s">
        <v>322</v>
      </c>
      <c r="I2632" s="10" t="s">
        <v>235</v>
      </c>
      <c r="J2632" s="10">
        <v>46</v>
      </c>
      <c r="K2632" s="12">
        <v>44967</v>
      </c>
      <c r="L2632" s="33">
        <v>0.44667824074074075</v>
      </c>
      <c r="M2632" s="10">
        <v>1</v>
      </c>
      <c r="N2632" s="10" t="s">
        <v>196</v>
      </c>
      <c r="O2632" s="10">
        <v>7.38</v>
      </c>
      <c r="P2632" s="10">
        <v>0.36099999999999999</v>
      </c>
      <c r="Q2632" s="10">
        <v>1200</v>
      </c>
      <c r="R2632" s="10" t="s">
        <v>170</v>
      </c>
      <c r="S2632" s="34">
        <f t="shared" si="300"/>
        <v>1225.0712377999998</v>
      </c>
      <c r="T2632" s="10" t="s">
        <v>1185</v>
      </c>
      <c r="U2632" s="34" t="str">
        <f t="shared" si="301"/>
        <v/>
      </c>
      <c r="V2632" s="31" t="str">
        <f>IF(H2632="CHK",VLOOKUP(I2632,QCCHK,3,),IF(H2632="GUP",VLOOKUP(E2632,QCGUP,2,),IF(AND(H2632="ATP",OR(I2632="TN",I2632="TDN",I2632="TNO2-3",I2632="NO2-3")),VLOOKUP(E2632,QCREC_N,2,),IF(AND(H2632="NIC",OR(I2632="TN",I2632="TDN",I2632="TNO2-3",I2632="NO2-3")),VLOOKUP(E2632,QCNIC_N,2,),IF(AND(H2632="UREA",OR(I2632="TN",I2632="TDN",I2632="TNO2-3",I2632="NO2-3")),VLOOKUP(E2632,QCUREA_N,2,),IF(H2632="PER",VLOOKUP(I2632,QCPER,MATCH(E2632,QCACTUAL!$J$25:$AA$25,0),),IF(H2632="SPK",VLOOKUP(I2632,QCSPK,3,),IF(AND(H2632="ATP",OR(I2632="TP",I2632="TDP")),VLOOKUP(E2632,QCATP_P,2,),""))))))))</f>
        <v/>
      </c>
      <c r="W2632" s="31" t="str">
        <f t="shared" si="302"/>
        <v>TRUE</v>
      </c>
      <c r="X2632" s="31" t="str">
        <f t="shared" si="299"/>
        <v/>
      </c>
      <c r="Y2632" s="10" t="s">
        <v>1178</v>
      </c>
      <c r="AF2632" s="12">
        <v>44967</v>
      </c>
      <c r="AJ2632" s="10">
        <f>-1.3255*7.38^2+193.01*7.38-127.15</f>
        <v>1225.0712377999998</v>
      </c>
      <c r="AK2632" s="10">
        <f>-0.215*7.38^2+181.97*7.38-117.15</f>
        <v>1214.0787539999999</v>
      </c>
      <c r="AL2632" s="10" t="str">
        <f t="shared" si="297"/>
        <v>FALSE</v>
      </c>
      <c r="AM2632" s="10" t="str">
        <f t="shared" si="297"/>
        <v>FALSE</v>
      </c>
      <c r="AN2632" s="10" t="str">
        <f t="shared" si="297"/>
        <v>FALSE</v>
      </c>
      <c r="AO2632" s="10" t="str">
        <f t="shared" si="298"/>
        <v>y=-1.3255*7.38^2+193.01*7.38-127.15</v>
      </c>
      <c r="AP2632" s="10" t="str">
        <f t="shared" si="298"/>
        <v>y=-0.215*7.38^2+181.97*7.38-117.15</v>
      </c>
      <c r="AQ2632" s="10" t="b">
        <f>IF(AND(I2632="TP",S2632&lt;=150),VLOOKUP(AF2632,TPCalibEq150!$AZ$2:$BB$55,3,),IF(AND(I2632="TDP",S2632&lt;=150),VLOOKUP(AF2632,TPCalibEq150!$AZ$2:$BB$55,3,)))</f>
        <v>0</v>
      </c>
      <c r="AR2632" s="10" t="b">
        <f>IF(AND(I2632="TP",S2632&lt;=300),VLOOKUP(AF2632,TPCalibEq300!$AZ$2:$BB$55,3,),IF(AND(I2632="TDP",S2632&lt;=300),VLOOKUP(AF2632,TPCalibEq300!$AZ$2:$BB$55,3,)))</f>
        <v>0</v>
      </c>
      <c r="AS2632" s="10" t="b">
        <f>IF(AND(I2632="TP",S2632&lt;=500),VLOOKUP(AF2632,TPCalibEq500!$AZ$2:$BB$56,3,),IF(AND(I2632="TDP",S2632&lt;=500),VLOOKUP(AF2632,TPCalibEq500!$AZ$2:$BB$56,3,)))</f>
        <v>0</v>
      </c>
      <c r="AT2632" s="10" t="str">
        <f>IF(AND(I2632="TN",S2632&lt;=2800),VLOOKUP(AF2632,TNCalibEq2500!$AZ$2:$BB$56,3,),IF(AND(I2632="TDN",S2632&lt;=2800),VLOOKUP(AF2632,TNCalibEq2500!$AZ$2:$BB$56,3,)))</f>
        <v>y=-1.3255x2+193.01x-127.15</v>
      </c>
      <c r="AU2632" s="10" t="str">
        <f>IF(I2632="TP",VLOOKUP(AF2632,TPCalibEqFull!$AZ$2:$BB$56,3),IF(I2632="TDP",VLOOKUP(AF2632,TPCalibEqFull!$AZ$2:$BB$56,3),IF(I2632="TDN",VLOOKUP(AF2632,TNCalibEqFull!$AZ$1:$BB$56,3),IF(I2632="TN",VLOOKUP(AF2632,TNCalibEqFull!$AZ$1:$BB$56,3),FALSE))))</f>
        <v>y=-0.215x2+181.97x-117.15</v>
      </c>
      <c r="AV2632" s="10" t="str">
        <f t="shared" si="303"/>
        <v>0208 09:42:00-EFL-10-800-1-SW-UKN</v>
      </c>
    </row>
    <row r="2633" spans="1:48" s="10" customFormat="1" x14ac:dyDescent="0.55000000000000004">
      <c r="A2633" s="32">
        <v>44965</v>
      </c>
      <c r="B2633" s="33">
        <v>0.4069444444444445</v>
      </c>
      <c r="C2633" s="10" t="s">
        <v>287</v>
      </c>
      <c r="D2633" s="10">
        <v>20</v>
      </c>
      <c r="E2633" s="10">
        <v>800</v>
      </c>
      <c r="F2633" s="10">
        <v>1</v>
      </c>
      <c r="G2633" s="10" t="s">
        <v>231</v>
      </c>
      <c r="H2633" s="10" t="s">
        <v>322</v>
      </c>
      <c r="I2633" s="10" t="s">
        <v>235</v>
      </c>
      <c r="J2633" s="10">
        <v>47</v>
      </c>
      <c r="K2633" s="12">
        <v>44967</v>
      </c>
      <c r="L2633" s="33">
        <v>0.44734953703703706</v>
      </c>
      <c r="M2633" s="10">
        <v>1</v>
      </c>
      <c r="N2633" s="10" t="s">
        <v>196</v>
      </c>
      <c r="O2633" s="10">
        <v>7.23</v>
      </c>
      <c r="P2633" s="10">
        <v>0.35299999999999998</v>
      </c>
      <c r="Q2633" s="10">
        <v>1170</v>
      </c>
      <c r="R2633" s="10" t="s">
        <v>170</v>
      </c>
      <c r="S2633" s="34">
        <f t="shared" si="300"/>
        <v>1199.0245710499998</v>
      </c>
      <c r="T2633" s="10" t="s">
        <v>1185</v>
      </c>
      <c r="U2633" s="34" t="str">
        <f t="shared" si="301"/>
        <v/>
      </c>
      <c r="V2633" s="31" t="str">
        <f>IF(H2633="CHK",VLOOKUP(I2633,QCCHK,3,),IF(H2633="GUP",VLOOKUP(E2633,QCGUP,2,),IF(AND(H2633="ATP",OR(I2633="TN",I2633="TDN",I2633="TNO2-3",I2633="NO2-3")),VLOOKUP(E2633,QCREC_N,2,),IF(AND(H2633="NIC",OR(I2633="TN",I2633="TDN",I2633="TNO2-3",I2633="NO2-3")),VLOOKUP(E2633,QCNIC_N,2,),IF(AND(H2633="UREA",OR(I2633="TN",I2633="TDN",I2633="TNO2-3",I2633="NO2-3")),VLOOKUP(E2633,QCUREA_N,2,),IF(H2633="PER",VLOOKUP(I2633,QCPER,MATCH(E2633,QCACTUAL!$J$25:$AA$25,0),),IF(H2633="SPK",VLOOKUP(I2633,QCSPK,3,),IF(AND(H2633="ATP",OR(I2633="TP",I2633="TDP")),VLOOKUP(E2633,QCATP_P,2,),""))))))))</f>
        <v/>
      </c>
      <c r="W2633" s="31" t="str">
        <f t="shared" si="302"/>
        <v>TRUE</v>
      </c>
      <c r="X2633" s="31" t="str">
        <f t="shared" si="299"/>
        <v/>
      </c>
      <c r="Y2633" s="10" t="s">
        <v>1178</v>
      </c>
      <c r="AF2633" s="12">
        <v>44967</v>
      </c>
      <c r="AJ2633" s="10">
        <f>-1.3255*7.23^2+193.01*7.23-127.15</f>
        <v>1199.0245710499998</v>
      </c>
      <c r="AK2633" s="10">
        <f>-0.215*7.23^2+181.97*7.23-117.15</f>
        <v>1187.2544264999999</v>
      </c>
      <c r="AL2633" s="10" t="str">
        <f t="shared" si="297"/>
        <v>FALSE</v>
      </c>
      <c r="AM2633" s="10" t="str">
        <f t="shared" si="297"/>
        <v>FALSE</v>
      </c>
      <c r="AN2633" s="10" t="str">
        <f t="shared" si="297"/>
        <v>FALSE</v>
      </c>
      <c r="AO2633" s="10" t="str">
        <f t="shared" si="298"/>
        <v>y=-1.3255*7.23^2+193.01*7.23-127.15</v>
      </c>
      <c r="AP2633" s="10" t="str">
        <f t="shared" si="298"/>
        <v>y=-0.215*7.23^2+181.97*7.23-117.15</v>
      </c>
      <c r="AQ2633" s="10" t="b">
        <f>IF(AND(I2633="TP",S2633&lt;=150),VLOOKUP(AF2633,TPCalibEq150!$AZ$2:$BB$55,3,),IF(AND(I2633="TDP",S2633&lt;=150),VLOOKUP(AF2633,TPCalibEq150!$AZ$2:$BB$55,3,)))</f>
        <v>0</v>
      </c>
      <c r="AR2633" s="10" t="b">
        <f>IF(AND(I2633="TP",S2633&lt;=300),VLOOKUP(AF2633,TPCalibEq300!$AZ$2:$BB$55,3,),IF(AND(I2633="TDP",S2633&lt;=300),VLOOKUP(AF2633,TPCalibEq300!$AZ$2:$BB$55,3,)))</f>
        <v>0</v>
      </c>
      <c r="AS2633" s="10" t="b">
        <f>IF(AND(I2633="TP",S2633&lt;=500),VLOOKUP(AF2633,TPCalibEq500!$AZ$2:$BB$56,3,),IF(AND(I2633="TDP",S2633&lt;=500),VLOOKUP(AF2633,TPCalibEq500!$AZ$2:$BB$56,3,)))</f>
        <v>0</v>
      </c>
      <c r="AT2633" s="10" t="str">
        <f>IF(AND(I2633="TN",S2633&lt;=2800),VLOOKUP(AF2633,TNCalibEq2500!$AZ$2:$BB$56,3,),IF(AND(I2633="TDN",S2633&lt;=2800),VLOOKUP(AF2633,TNCalibEq2500!$AZ$2:$BB$56,3,)))</f>
        <v>y=-1.3255x2+193.01x-127.15</v>
      </c>
      <c r="AU2633" s="10" t="str">
        <f>IF(I2633="TP",VLOOKUP(AF2633,TPCalibEqFull!$AZ$2:$BB$56,3),IF(I2633="TDP",VLOOKUP(AF2633,TPCalibEqFull!$AZ$2:$BB$56,3),IF(I2633="TDN",VLOOKUP(AF2633,TNCalibEqFull!$AZ$1:$BB$56,3),IF(I2633="TN",VLOOKUP(AF2633,TNCalibEqFull!$AZ$1:$BB$56,3),FALSE))))</f>
        <v>y=-0.215x2+181.97x-117.15</v>
      </c>
      <c r="AV2633" s="10" t="str">
        <f t="shared" si="303"/>
        <v>0208 09:46:00-EFL-20-800-1-SW-UKN</v>
      </c>
    </row>
    <row r="2634" spans="1:48" s="10" customFormat="1" x14ac:dyDescent="0.55000000000000004">
      <c r="A2634" s="32">
        <v>44965</v>
      </c>
      <c r="B2634" s="33">
        <v>0.4069444444444445</v>
      </c>
      <c r="C2634" s="10" t="s">
        <v>287</v>
      </c>
      <c r="D2634" s="10">
        <v>20</v>
      </c>
      <c r="E2634" s="10">
        <v>800</v>
      </c>
      <c r="F2634" s="10">
        <v>2</v>
      </c>
      <c r="G2634" s="10" t="s">
        <v>231</v>
      </c>
      <c r="H2634" s="10" t="s">
        <v>322</v>
      </c>
      <c r="I2634" s="10" t="s">
        <v>235</v>
      </c>
      <c r="J2634" s="10">
        <v>48</v>
      </c>
      <c r="K2634" s="12">
        <v>44967</v>
      </c>
      <c r="L2634" s="33">
        <v>0.44803240740740741</v>
      </c>
      <c r="M2634" s="10">
        <v>1</v>
      </c>
      <c r="N2634" s="10" t="s">
        <v>196</v>
      </c>
      <c r="O2634" s="10">
        <v>7.33</v>
      </c>
      <c r="P2634" s="10">
        <v>0.35899999999999999</v>
      </c>
      <c r="Q2634" s="10">
        <v>1190</v>
      </c>
      <c r="R2634" s="10" t="s">
        <v>170</v>
      </c>
      <c r="S2634" s="34">
        <f t="shared" si="300"/>
        <v>1216.3956430499998</v>
      </c>
      <c r="T2634" s="10" t="s">
        <v>1185</v>
      </c>
      <c r="U2634" s="34" t="str">
        <f t="shared" si="301"/>
        <v/>
      </c>
      <c r="V2634" s="31" t="str">
        <f>IF(H2634="CHK",VLOOKUP(I2634,QCCHK,3,),IF(H2634="GUP",VLOOKUP(E2634,QCGUP,2,),IF(AND(H2634="ATP",OR(I2634="TN",I2634="TDN",I2634="TNO2-3",I2634="NO2-3")),VLOOKUP(E2634,QCREC_N,2,),IF(AND(H2634="NIC",OR(I2634="TN",I2634="TDN",I2634="TNO2-3",I2634="NO2-3")),VLOOKUP(E2634,QCNIC_N,2,),IF(AND(H2634="UREA",OR(I2634="TN",I2634="TDN",I2634="TNO2-3",I2634="NO2-3")),VLOOKUP(E2634,QCUREA_N,2,),IF(H2634="PER",VLOOKUP(I2634,QCPER,MATCH(E2634,QCACTUAL!$J$25:$AA$25,0),),IF(H2634="SPK",VLOOKUP(I2634,QCSPK,3,),IF(AND(H2634="ATP",OR(I2634="TP",I2634="TDP")),VLOOKUP(E2634,QCATP_P,2,),""))))))))</f>
        <v/>
      </c>
      <c r="W2634" s="31" t="str">
        <f t="shared" si="302"/>
        <v>TRUE</v>
      </c>
      <c r="X2634" s="31" t="str">
        <f t="shared" si="299"/>
        <v/>
      </c>
      <c r="Y2634" s="10" t="s">
        <v>1178</v>
      </c>
      <c r="AF2634" s="12">
        <v>44967</v>
      </c>
      <c r="AJ2634" s="10">
        <f>-1.3255*7.33^2+193.01*7.33-127.15</f>
        <v>1216.3956430499998</v>
      </c>
      <c r="AK2634" s="10">
        <f>-0.215*7.33^2+181.97*7.33-117.15</f>
        <v>1205.1383864999998</v>
      </c>
      <c r="AL2634" s="10" t="str">
        <f t="shared" si="297"/>
        <v>FALSE</v>
      </c>
      <c r="AM2634" s="10" t="str">
        <f t="shared" si="297"/>
        <v>FALSE</v>
      </c>
      <c r="AN2634" s="10" t="str">
        <f t="shared" si="297"/>
        <v>FALSE</v>
      </c>
      <c r="AO2634" s="10" t="str">
        <f t="shared" si="298"/>
        <v>y=-1.3255*7.33^2+193.01*7.33-127.15</v>
      </c>
      <c r="AP2634" s="10" t="str">
        <f t="shared" si="298"/>
        <v>y=-0.215*7.33^2+181.97*7.33-117.15</v>
      </c>
      <c r="AQ2634" s="10" t="b">
        <f>IF(AND(I2634="TP",S2634&lt;=150),VLOOKUP(AF2634,TPCalibEq150!$AZ$2:$BB$55,3,),IF(AND(I2634="TDP",S2634&lt;=150),VLOOKUP(AF2634,TPCalibEq150!$AZ$2:$BB$55,3,)))</f>
        <v>0</v>
      </c>
      <c r="AR2634" s="10" t="b">
        <f>IF(AND(I2634="TP",S2634&lt;=300),VLOOKUP(AF2634,TPCalibEq300!$AZ$2:$BB$55,3,),IF(AND(I2634="TDP",S2634&lt;=300),VLOOKUP(AF2634,TPCalibEq300!$AZ$2:$BB$55,3,)))</f>
        <v>0</v>
      </c>
      <c r="AS2634" s="10" t="b">
        <f>IF(AND(I2634="TP",S2634&lt;=500),VLOOKUP(AF2634,TPCalibEq500!$AZ$2:$BB$56,3,),IF(AND(I2634="TDP",S2634&lt;=500),VLOOKUP(AF2634,TPCalibEq500!$AZ$2:$BB$56,3,)))</f>
        <v>0</v>
      </c>
      <c r="AT2634" s="10" t="str">
        <f>IF(AND(I2634="TN",S2634&lt;=2800),VLOOKUP(AF2634,TNCalibEq2500!$AZ$2:$BB$56,3,),IF(AND(I2634="TDN",S2634&lt;=2800),VLOOKUP(AF2634,TNCalibEq2500!$AZ$2:$BB$56,3,)))</f>
        <v>y=-1.3255x2+193.01x-127.15</v>
      </c>
      <c r="AU2634" s="10" t="str">
        <f>IF(I2634="TP",VLOOKUP(AF2634,TPCalibEqFull!$AZ$2:$BB$56,3),IF(I2634="TDP",VLOOKUP(AF2634,TPCalibEqFull!$AZ$2:$BB$56,3),IF(I2634="TDN",VLOOKUP(AF2634,TNCalibEqFull!$AZ$1:$BB$56,3),IF(I2634="TN",VLOOKUP(AF2634,TNCalibEqFull!$AZ$1:$BB$56,3),FALSE))))</f>
        <v>y=-0.215x2+181.97x-117.15</v>
      </c>
      <c r="AV2634" s="10" t="str">
        <f t="shared" si="303"/>
        <v>0208 09:46:00-EFL-20-800-2-SW-UKN</v>
      </c>
    </row>
    <row r="2635" spans="1:48" s="10" customFormat="1" x14ac:dyDescent="0.55000000000000004">
      <c r="A2635" s="32">
        <v>44965</v>
      </c>
      <c r="B2635" s="33">
        <v>0.41111111111111115</v>
      </c>
      <c r="C2635" s="10" t="s">
        <v>287</v>
      </c>
      <c r="D2635" s="10">
        <v>48</v>
      </c>
      <c r="E2635" s="10" t="s">
        <v>190</v>
      </c>
      <c r="F2635" s="10">
        <v>1</v>
      </c>
      <c r="G2635" s="10" t="s">
        <v>231</v>
      </c>
      <c r="H2635" s="10" t="s">
        <v>322</v>
      </c>
      <c r="I2635" s="10" t="s">
        <v>235</v>
      </c>
      <c r="J2635" s="10">
        <v>49</v>
      </c>
      <c r="K2635" s="12">
        <v>44967</v>
      </c>
      <c r="L2635" s="33">
        <v>0.44871527777777781</v>
      </c>
      <c r="M2635" s="10">
        <v>1</v>
      </c>
      <c r="N2635" s="10" t="s">
        <v>196</v>
      </c>
      <c r="O2635" s="10">
        <v>7.51</v>
      </c>
      <c r="P2635" s="10">
        <v>0.36699999999999999</v>
      </c>
      <c r="Q2635" s="10">
        <v>1220</v>
      </c>
      <c r="R2635" s="10" t="s">
        <v>170</v>
      </c>
      <c r="S2635" s="34">
        <f t="shared" si="300"/>
        <v>1247.5967674499998</v>
      </c>
      <c r="T2635" s="10" t="s">
        <v>1185</v>
      </c>
      <c r="U2635" s="34" t="str">
        <f t="shared" si="301"/>
        <v/>
      </c>
      <c r="V2635" s="31" t="str">
        <f>IF(H2635="CHK",VLOOKUP(I2635,QCCHK,3,),IF(H2635="GUP",VLOOKUP(E2635,QCGUP,2,),IF(AND(H2635="ATP",OR(I2635="TN",I2635="TDN",I2635="TNO2-3",I2635="NO2-3")),VLOOKUP(E2635,QCREC_N,2,),IF(AND(H2635="NIC",OR(I2635="TN",I2635="TDN",I2635="TNO2-3",I2635="NO2-3")),VLOOKUP(E2635,QCNIC_N,2,),IF(AND(H2635="UREA",OR(I2635="TN",I2635="TDN",I2635="TNO2-3",I2635="NO2-3")),VLOOKUP(E2635,QCUREA_N,2,),IF(H2635="PER",VLOOKUP(I2635,QCPER,MATCH(E2635,QCACTUAL!$J$25:$AA$25,0),),IF(H2635="SPK",VLOOKUP(I2635,QCSPK,3,),IF(AND(H2635="ATP",OR(I2635="TP",I2635="TDP")),VLOOKUP(E2635,QCATP_P,2,),""))))))))</f>
        <v/>
      </c>
      <c r="W2635" s="31" t="str">
        <f t="shared" si="302"/>
        <v>TRUE</v>
      </c>
      <c r="X2635" s="31" t="str">
        <f t="shared" si="299"/>
        <v/>
      </c>
      <c r="Y2635" s="10" t="s">
        <v>1178</v>
      </c>
      <c r="AF2635" s="12">
        <v>44967</v>
      </c>
      <c r="AJ2635" s="10">
        <f>-1.3255*7.51^2+193.01*7.51-127.15</f>
        <v>1247.5967674499998</v>
      </c>
      <c r="AK2635" s="10">
        <f>-0.215*7.51^2+181.97*7.51-117.15</f>
        <v>1237.3186784999998</v>
      </c>
      <c r="AL2635" s="10" t="str">
        <f t="shared" si="297"/>
        <v>FALSE</v>
      </c>
      <c r="AM2635" s="10" t="str">
        <f t="shared" si="297"/>
        <v>FALSE</v>
      </c>
      <c r="AN2635" s="10" t="str">
        <f t="shared" si="297"/>
        <v>FALSE</v>
      </c>
      <c r="AO2635" s="10" t="str">
        <f t="shared" si="298"/>
        <v>y=-1.3255*7.51^2+193.01*7.51-127.15</v>
      </c>
      <c r="AP2635" s="10" t="str">
        <f t="shared" si="298"/>
        <v>y=-0.215*7.51^2+181.97*7.51-117.15</v>
      </c>
      <c r="AQ2635" s="10" t="b">
        <f>IF(AND(I2635="TP",S2635&lt;=150),VLOOKUP(AF2635,TPCalibEq150!$AZ$2:$BB$55,3,),IF(AND(I2635="TDP",S2635&lt;=150),VLOOKUP(AF2635,TPCalibEq150!$AZ$2:$BB$55,3,)))</f>
        <v>0</v>
      </c>
      <c r="AR2635" s="10" t="b">
        <f>IF(AND(I2635="TP",S2635&lt;=300),VLOOKUP(AF2635,TPCalibEq300!$AZ$2:$BB$55,3,),IF(AND(I2635="TDP",S2635&lt;=300),VLOOKUP(AF2635,TPCalibEq300!$AZ$2:$BB$55,3,)))</f>
        <v>0</v>
      </c>
      <c r="AS2635" s="10" t="b">
        <f>IF(AND(I2635="TP",S2635&lt;=500),VLOOKUP(AF2635,TPCalibEq500!$AZ$2:$BB$56,3,),IF(AND(I2635="TDP",S2635&lt;=500),VLOOKUP(AF2635,TPCalibEq500!$AZ$2:$BB$56,3,)))</f>
        <v>0</v>
      </c>
      <c r="AT2635" s="10" t="str">
        <f>IF(AND(I2635="TN",S2635&lt;=2800),VLOOKUP(AF2635,TNCalibEq2500!$AZ$2:$BB$56,3,),IF(AND(I2635="TDN",S2635&lt;=2800),VLOOKUP(AF2635,TNCalibEq2500!$AZ$2:$BB$56,3,)))</f>
        <v>y=-1.3255x2+193.01x-127.15</v>
      </c>
      <c r="AU2635" s="10" t="str">
        <f>IF(I2635="TP",VLOOKUP(AF2635,TPCalibEqFull!$AZ$2:$BB$56,3),IF(I2635="TDP",VLOOKUP(AF2635,TPCalibEqFull!$AZ$2:$BB$56,3),IF(I2635="TDN",VLOOKUP(AF2635,TNCalibEqFull!$AZ$1:$BB$56,3),IF(I2635="TN",VLOOKUP(AF2635,TNCalibEqFull!$AZ$1:$BB$56,3),FALSE))))</f>
        <v>y=-0.215x2+181.97x-117.15</v>
      </c>
      <c r="AV2635" s="10" t="str">
        <f t="shared" si="303"/>
        <v>0208 09:52:00-EFL-48-C-1-SW-UKN</v>
      </c>
    </row>
    <row r="2636" spans="1:48" s="10" customFormat="1" x14ac:dyDescent="0.55000000000000004">
      <c r="A2636" s="32">
        <v>44965</v>
      </c>
      <c r="B2636" s="33">
        <v>0.41111111111111115</v>
      </c>
      <c r="C2636" s="10" t="s">
        <v>287</v>
      </c>
      <c r="D2636" s="10">
        <v>48</v>
      </c>
      <c r="E2636" s="10" t="s">
        <v>190</v>
      </c>
      <c r="F2636" s="10">
        <v>1</v>
      </c>
      <c r="G2636" s="10" t="s">
        <v>231</v>
      </c>
      <c r="H2636" s="10" t="s">
        <v>233</v>
      </c>
      <c r="I2636" s="10" t="s">
        <v>235</v>
      </c>
      <c r="J2636" s="10">
        <v>49</v>
      </c>
      <c r="K2636" s="12">
        <v>44967</v>
      </c>
      <c r="L2636" s="33">
        <v>0.44937500000000002</v>
      </c>
      <c r="M2636" s="10">
        <v>1</v>
      </c>
      <c r="N2636" s="10" t="s">
        <v>196</v>
      </c>
      <c r="O2636" s="10">
        <v>7.46</v>
      </c>
      <c r="P2636" s="10">
        <v>0.36499999999999999</v>
      </c>
      <c r="Q2636" s="10">
        <v>1210</v>
      </c>
      <c r="R2636" s="10" t="s">
        <v>170</v>
      </c>
      <c r="S2636" s="34">
        <f t="shared" si="300"/>
        <v>1238.9384041999997</v>
      </c>
      <c r="T2636" s="10" t="s">
        <v>1185</v>
      </c>
      <c r="U2636" s="34">
        <f t="shared" si="301"/>
        <v>0.69641992992639878</v>
      </c>
      <c r="V2636" s="31" t="str">
        <f>IF(H2636="CHK",VLOOKUP(I2636,QCCHK,3,),IF(H2636="GUP",VLOOKUP(E2636,QCGUP,2,),IF(AND(H2636="ATP",OR(I2636="TN",I2636="TDN",I2636="TNO2-3",I2636="NO2-3")),VLOOKUP(E2636,QCREC_N,2,),IF(AND(H2636="NIC",OR(I2636="TN",I2636="TDN",I2636="TNO2-3",I2636="NO2-3")),VLOOKUP(E2636,QCNIC_N,2,),IF(AND(H2636="UREA",OR(I2636="TN",I2636="TDN",I2636="TNO2-3",I2636="NO2-3")),VLOOKUP(E2636,QCUREA_N,2,),IF(H2636="PER",VLOOKUP(I2636,QCPER,MATCH(E2636,QCACTUAL!$J$25:$AA$25,0),),IF(H2636="SPK",VLOOKUP(I2636,QCSPK,3,),IF(AND(H2636="ATP",OR(I2636="TP",I2636="TDP")),VLOOKUP(E2636,QCATP_P,2,),""))))))))</f>
        <v/>
      </c>
      <c r="W2636" s="31" t="str">
        <f t="shared" si="302"/>
        <v>TRUE</v>
      </c>
      <c r="X2636" s="31" t="str">
        <f t="shared" si="299"/>
        <v>((ABS(rep1-rep2))/((rep1+rep2)/2)*100</v>
      </c>
      <c r="Y2636" s="10" t="s">
        <v>1178</v>
      </c>
      <c r="AF2636" s="12">
        <v>44967</v>
      </c>
      <c r="AJ2636" s="10">
        <f>-1.3255*7.46^2+193.01*7.46-127.15</f>
        <v>1238.9384041999997</v>
      </c>
      <c r="AK2636" s="10">
        <f>-0.215*7.46^2+181.97*7.46-117.15</f>
        <v>1228.381106</v>
      </c>
      <c r="AL2636" s="10" t="str">
        <f t="shared" si="297"/>
        <v>FALSE</v>
      </c>
      <c r="AM2636" s="10" t="str">
        <f t="shared" si="297"/>
        <v>FALSE</v>
      </c>
      <c r="AN2636" s="10" t="str">
        <f t="shared" si="297"/>
        <v>FALSE</v>
      </c>
      <c r="AO2636" s="10" t="str">
        <f t="shared" si="298"/>
        <v>y=-1.3255*7.46^2+193.01*7.46-127.15</v>
      </c>
      <c r="AP2636" s="10" t="str">
        <f t="shared" si="298"/>
        <v>y=-0.215*7.46^2+181.97*7.46-117.15</v>
      </c>
      <c r="AQ2636" s="10" t="b">
        <f>IF(AND(I2636="TP",S2636&lt;=150),VLOOKUP(AF2636,TPCalibEq150!$AZ$2:$BB$55,3,),IF(AND(I2636="TDP",S2636&lt;=150),VLOOKUP(AF2636,TPCalibEq150!$AZ$2:$BB$55,3,)))</f>
        <v>0</v>
      </c>
      <c r="AR2636" s="10" t="b">
        <f>IF(AND(I2636="TP",S2636&lt;=300),VLOOKUP(AF2636,TPCalibEq300!$AZ$2:$BB$55,3,),IF(AND(I2636="TDP",S2636&lt;=300),VLOOKUP(AF2636,TPCalibEq300!$AZ$2:$BB$55,3,)))</f>
        <v>0</v>
      </c>
      <c r="AS2636" s="10" t="b">
        <f>IF(AND(I2636="TP",S2636&lt;=500),VLOOKUP(AF2636,TPCalibEq500!$AZ$2:$BB$56,3,),IF(AND(I2636="TDP",S2636&lt;=500),VLOOKUP(AF2636,TPCalibEq500!$AZ$2:$BB$56,3,)))</f>
        <v>0</v>
      </c>
      <c r="AT2636" s="10" t="str">
        <f>IF(AND(I2636="TN",S2636&lt;=2800),VLOOKUP(AF2636,TNCalibEq2500!$AZ$2:$BB$56,3,),IF(AND(I2636="TDN",S2636&lt;=2800),VLOOKUP(AF2636,TNCalibEq2500!$AZ$2:$BB$56,3,)))</f>
        <v>y=-1.3255x2+193.01x-127.15</v>
      </c>
      <c r="AU2636" s="10" t="str">
        <f>IF(I2636="TP",VLOOKUP(AF2636,TPCalibEqFull!$AZ$2:$BB$56,3),IF(I2636="TDP",VLOOKUP(AF2636,TPCalibEqFull!$AZ$2:$BB$56,3),IF(I2636="TDN",VLOOKUP(AF2636,TNCalibEqFull!$AZ$1:$BB$56,3),IF(I2636="TN",VLOOKUP(AF2636,TNCalibEqFull!$AZ$1:$BB$56,3),FALSE))))</f>
        <v>y=-0.215x2+181.97x-117.15</v>
      </c>
      <c r="AV2636" s="10" t="str">
        <f t="shared" si="303"/>
        <v>0208 09:52:00-EFL-48-C-1-SW-DUP</v>
      </c>
    </row>
    <row r="2637" spans="1:48" s="10" customFormat="1" x14ac:dyDescent="0.55000000000000004">
      <c r="A2637" s="32">
        <v>44965</v>
      </c>
      <c r="B2637" s="33">
        <v>0.41111111111111115</v>
      </c>
      <c r="C2637" s="10" t="s">
        <v>287</v>
      </c>
      <c r="D2637" s="10">
        <v>48</v>
      </c>
      <c r="E2637" s="10" t="s">
        <v>190</v>
      </c>
      <c r="F2637" s="10">
        <v>1</v>
      </c>
      <c r="G2637" s="10" t="s">
        <v>231</v>
      </c>
      <c r="H2637" s="10" t="s">
        <v>314</v>
      </c>
      <c r="I2637" s="10" t="s">
        <v>235</v>
      </c>
      <c r="J2637" s="10">
        <v>124</v>
      </c>
      <c r="K2637" s="12">
        <v>44967</v>
      </c>
      <c r="L2637" s="33">
        <v>0.45004629629629633</v>
      </c>
      <c r="M2637" s="10">
        <v>1</v>
      </c>
      <c r="N2637" s="10" t="s">
        <v>196</v>
      </c>
      <c r="O2637" s="10">
        <v>21.2</v>
      </c>
      <c r="P2637" s="10">
        <v>1.03</v>
      </c>
      <c r="Q2637" s="10">
        <v>3630</v>
      </c>
      <c r="R2637" s="10" t="s">
        <v>170</v>
      </c>
      <c r="S2637" s="34">
        <f t="shared" si="300"/>
        <v>3643.9843999999994</v>
      </c>
      <c r="T2637" s="10" t="s">
        <v>1185</v>
      </c>
      <c r="U2637" s="34">
        <f t="shared" si="301"/>
        <v>96.20183983199999</v>
      </c>
      <c r="V2637" s="31">
        <f>IF(H2637="CHK",VLOOKUP(I2637,QCCHK,3,),IF(H2637="GUP",VLOOKUP(E2637,QCGUP,2,),IF(AND(H2637="ATP",OR(I2637="TN",I2637="TDN",I2637="TNO2-3",I2637="NO2-3")),VLOOKUP(E2637,QCREC_N,2,),IF(AND(H2637="NIC",OR(I2637="TN",I2637="TDN",I2637="TNO2-3",I2637="NO2-3")),VLOOKUP(E2637,QCNIC_N,2,),IF(AND(H2637="UREA",OR(I2637="TN",I2637="TDN",I2637="TNO2-3",I2637="NO2-3")),VLOOKUP(E2637,QCUREA_N,2,),IF(H2637="PER",VLOOKUP(I2637,QCPER,MATCH(E2637,QCACTUAL!$J$25:$AA$25,0),),IF(H2637="SPK",VLOOKUP(I2637,QCSPK,3,),IF(AND(H2637="ATP",OR(I2637="TP",I2637="TDP")),VLOOKUP(E2637,QCATP_P,2,),""))))))))</f>
        <v>2500</v>
      </c>
      <c r="W2637" s="31" t="str">
        <f t="shared" si="302"/>
        <v>TRUE</v>
      </c>
      <c r="X2637" s="31" t="str">
        <f t="shared" si="299"/>
        <v>([spikedunkn]-[unkn])/[spike]*100</v>
      </c>
      <c r="Y2637" s="10" t="s">
        <v>1178</v>
      </c>
      <c r="AF2637" s="12">
        <v>44967</v>
      </c>
      <c r="AK2637" s="10">
        <f>-0.215*21.2^2+181.97*21.2-117.15</f>
        <v>3643.9843999999994</v>
      </c>
      <c r="AL2637" s="10" t="str">
        <f t="shared" si="297"/>
        <v>FALSE</v>
      </c>
      <c r="AM2637" s="10" t="str">
        <f t="shared" si="297"/>
        <v>FALSE</v>
      </c>
      <c r="AN2637" s="10" t="str">
        <f t="shared" si="297"/>
        <v>FALSE</v>
      </c>
      <c r="AO2637" s="10" t="str">
        <f t="shared" si="298"/>
        <v>FALSE</v>
      </c>
      <c r="AP2637" s="10" t="str">
        <f t="shared" si="298"/>
        <v>y=-0.215*21.2^2+181.97*21.2-117.15</v>
      </c>
      <c r="AQ2637" s="10" t="b">
        <f>IF(AND(I2637="TP",S2637&lt;=150),VLOOKUP(AF2637,TPCalibEq150!$AZ$2:$BB$55,3,),IF(AND(I2637="TDP",S2637&lt;=150),VLOOKUP(AF2637,TPCalibEq150!$AZ$2:$BB$55,3,)))</f>
        <v>0</v>
      </c>
      <c r="AR2637" s="10" t="b">
        <f>IF(AND(I2637="TP",S2637&lt;=300),VLOOKUP(AF2637,TPCalibEq300!$AZ$2:$BB$55,3,),IF(AND(I2637="TDP",S2637&lt;=300),VLOOKUP(AF2637,TPCalibEq300!$AZ$2:$BB$55,3,)))</f>
        <v>0</v>
      </c>
      <c r="AS2637" s="10" t="b">
        <f>IF(AND(I2637="TP",S2637&lt;=500),VLOOKUP(AF2637,TPCalibEq500!$AZ$2:$BB$56,3,),IF(AND(I2637="TDP",S2637&lt;=500),VLOOKUP(AF2637,TPCalibEq500!$AZ$2:$BB$56,3,)))</f>
        <v>0</v>
      </c>
      <c r="AT2637" s="10" t="b">
        <f>IF(AND(I2637="TN",S2637&lt;=2800),VLOOKUP(AF2637,TNCalibEq2500!$AZ$2:$BB$56,3,),IF(AND(I2637="TDN",S2637&lt;=2800),VLOOKUP(AF2637,TNCalibEq2500!$AZ$2:$BB$56,3,)))</f>
        <v>0</v>
      </c>
      <c r="AU2637" s="10" t="str">
        <f>IF(I2637="TP",VLOOKUP(AF2637,TPCalibEqFull!$AZ$2:$BB$56,3),IF(I2637="TDP",VLOOKUP(AF2637,TPCalibEqFull!$AZ$2:$BB$56,3),IF(I2637="TDN",VLOOKUP(AF2637,TNCalibEqFull!$AZ$1:$BB$56,3),IF(I2637="TN",VLOOKUP(AF2637,TNCalibEqFull!$AZ$1:$BB$56,3),FALSE))))</f>
        <v>y=-0.215x2+181.97x-117.15</v>
      </c>
      <c r="AV2637" s="10" t="str">
        <f t="shared" si="303"/>
        <v>0208 09:52:00-EFL-48-C-1-SW-SPK</v>
      </c>
    </row>
    <row r="2638" spans="1:48" s="10" customFormat="1" x14ac:dyDescent="0.55000000000000004">
      <c r="A2638" s="32">
        <v>44966</v>
      </c>
      <c r="B2638" s="33">
        <v>0.375</v>
      </c>
      <c r="C2638" s="10" t="s">
        <v>70</v>
      </c>
      <c r="D2638" s="10" t="s">
        <v>71</v>
      </c>
      <c r="E2638" s="10" t="s">
        <v>901</v>
      </c>
      <c r="F2638" s="10">
        <v>1</v>
      </c>
      <c r="G2638" s="10" t="s">
        <v>73</v>
      </c>
      <c r="H2638" s="10" t="s">
        <v>207</v>
      </c>
      <c r="I2638" s="10" t="s">
        <v>235</v>
      </c>
      <c r="J2638" s="10">
        <v>201</v>
      </c>
      <c r="K2638" s="12">
        <v>44967</v>
      </c>
      <c r="L2638" s="33">
        <v>0.45072916666666668</v>
      </c>
      <c r="M2638" s="10">
        <v>1</v>
      </c>
      <c r="N2638" s="10" t="s">
        <v>196</v>
      </c>
      <c r="O2638" s="10">
        <v>7.38</v>
      </c>
      <c r="P2638" s="10">
        <v>0.36399999999999999</v>
      </c>
      <c r="Q2638" s="10">
        <v>1200</v>
      </c>
      <c r="R2638" s="10" t="s">
        <v>170</v>
      </c>
      <c r="S2638" s="34">
        <f t="shared" si="300"/>
        <v>1225.0712377999998</v>
      </c>
      <c r="T2638" s="10" t="s">
        <v>1185</v>
      </c>
      <c r="U2638" s="34">
        <f t="shared" si="301"/>
        <v>98.005699023999981</v>
      </c>
      <c r="V2638" s="31">
        <f>IF(H2638="CHK",VLOOKUP(I2638,QCCHK,3,),IF(H2638="GUP",VLOOKUP(E2638,QCGUP,2,),IF(AND(H2638="ATP",OR(I2638="TN",I2638="TDN",I2638="TNO2-3",I2638="NO2-3")),VLOOKUP(E2638,QCREC_N,2,),IF(AND(H2638="NIC",OR(I2638="TN",I2638="TDN",I2638="TNO2-3",I2638="NO2-3")),VLOOKUP(E2638,QCNIC_N,2,),IF(AND(H2638="UREA",OR(I2638="TN",I2638="TDN",I2638="TNO2-3",I2638="NO2-3")),VLOOKUP(E2638,QCUREA_N,2,),IF(H2638="PER",VLOOKUP(I2638,QCPER,MATCH(E2638,QCACTUAL!$J$25:$AA$25,0),),IF(H2638="SPK",VLOOKUP(I2638,QCSPK,3,),IF(AND(H2638="ATP",OR(I2638="TP",I2638="TDP")),VLOOKUP(E2638,QCATP_P,2,),""))))))))</f>
        <v>1250</v>
      </c>
      <c r="W2638" s="31" t="str">
        <f t="shared" si="302"/>
        <v>TRUE</v>
      </c>
      <c r="X2638" s="31" t="str">
        <f t="shared" si="299"/>
        <v>[chk]/[actual]*100</v>
      </c>
      <c r="Y2638" s="10" t="s">
        <v>1178</v>
      </c>
      <c r="AF2638" s="12">
        <v>44967</v>
      </c>
      <c r="AJ2638" s="10">
        <f>-1.3255*7.38^2+193.01*7.38-127.15</f>
        <v>1225.0712377999998</v>
      </c>
      <c r="AK2638" s="10">
        <f>-0.215*7.38^2+181.97*7.38-117.15</f>
        <v>1214.0787539999999</v>
      </c>
      <c r="AL2638" s="10" t="str">
        <f t="shared" si="297"/>
        <v>FALSE</v>
      </c>
      <c r="AM2638" s="10" t="str">
        <f t="shared" si="297"/>
        <v>FALSE</v>
      </c>
      <c r="AN2638" s="10" t="str">
        <f t="shared" si="297"/>
        <v>FALSE</v>
      </c>
      <c r="AO2638" s="10" t="str">
        <f t="shared" si="298"/>
        <v>y=-1.3255*7.38^2+193.01*7.38-127.15</v>
      </c>
      <c r="AP2638" s="10" t="str">
        <f t="shared" si="298"/>
        <v>y=-0.215*7.38^2+181.97*7.38-117.15</v>
      </c>
      <c r="AQ2638" s="10" t="b">
        <f>IF(AND(I2638="TP",S2638&lt;=150),VLOOKUP(AF2638,TPCalibEq150!$AZ$2:$BB$55,3,),IF(AND(I2638="TDP",S2638&lt;=150),VLOOKUP(AF2638,TPCalibEq150!$AZ$2:$BB$55,3,)))</f>
        <v>0</v>
      </c>
      <c r="AR2638" s="10" t="b">
        <f>IF(AND(I2638="TP",S2638&lt;=300),VLOOKUP(AF2638,TPCalibEq300!$AZ$2:$BB$55,3,),IF(AND(I2638="TDP",S2638&lt;=300),VLOOKUP(AF2638,TPCalibEq300!$AZ$2:$BB$55,3,)))</f>
        <v>0</v>
      </c>
      <c r="AS2638" s="10" t="b">
        <f>IF(AND(I2638="TP",S2638&lt;=500),VLOOKUP(AF2638,TPCalibEq500!$AZ$2:$BB$56,3,),IF(AND(I2638="TDP",S2638&lt;=500),VLOOKUP(AF2638,TPCalibEq500!$AZ$2:$BB$56,3,)))</f>
        <v>0</v>
      </c>
      <c r="AT2638" s="10" t="str">
        <f>IF(AND(I2638="TN",S2638&lt;=2800),VLOOKUP(AF2638,TNCalibEq2500!$AZ$2:$BB$56,3,),IF(AND(I2638="TDN",S2638&lt;=2800),VLOOKUP(AF2638,TNCalibEq2500!$AZ$2:$BB$56,3,)))</f>
        <v>y=-1.3255x2+193.01x-127.15</v>
      </c>
      <c r="AU2638" s="10" t="str">
        <f>IF(I2638="TP",VLOOKUP(AF2638,TPCalibEqFull!$AZ$2:$BB$56,3),IF(I2638="TDP",VLOOKUP(AF2638,TPCalibEqFull!$AZ$2:$BB$56,3),IF(I2638="TDN",VLOOKUP(AF2638,TNCalibEqFull!$AZ$1:$BB$56,3),IF(I2638="TN",VLOOKUP(AF2638,TNCalibEqFull!$AZ$1:$BB$56,3),FALSE))))</f>
        <v>y=-0.215x2+181.97x-117.15</v>
      </c>
      <c r="AV2638" s="10" t="str">
        <f t="shared" si="303"/>
        <v>0209 09:00:00-QAC-STD-D-1-DI-CHK</v>
      </c>
    </row>
    <row r="2639" spans="1:48" s="10" customFormat="1" x14ac:dyDescent="0.55000000000000004">
      <c r="A2639" s="32">
        <v>44965</v>
      </c>
      <c r="B2639" s="33">
        <v>0.37777777777777777</v>
      </c>
      <c r="C2639" s="10" t="s">
        <v>428</v>
      </c>
      <c r="D2639" s="10">
        <v>0</v>
      </c>
      <c r="E2639" s="10">
        <v>800</v>
      </c>
      <c r="F2639" s="10">
        <v>1</v>
      </c>
      <c r="G2639" s="10" t="s">
        <v>231</v>
      </c>
      <c r="H2639" s="10" t="s">
        <v>322</v>
      </c>
      <c r="I2639" s="10" t="s">
        <v>235</v>
      </c>
      <c r="J2639" s="10">
        <v>50</v>
      </c>
      <c r="K2639" s="12">
        <v>44967</v>
      </c>
      <c r="L2639" s="33">
        <v>0.45140046296296293</v>
      </c>
      <c r="M2639" s="10">
        <v>1</v>
      </c>
      <c r="N2639" s="10" t="s">
        <v>196</v>
      </c>
      <c r="O2639" s="10">
        <v>7.59</v>
      </c>
      <c r="P2639" s="10">
        <v>0.371</v>
      </c>
      <c r="Q2639" s="10">
        <v>1230</v>
      </c>
      <c r="R2639" s="10" t="s">
        <v>170</v>
      </c>
      <c r="S2639" s="34">
        <f t="shared" si="300"/>
        <v>1261.4363634499998</v>
      </c>
      <c r="T2639" s="10" t="s">
        <v>1185</v>
      </c>
      <c r="U2639" s="34" t="str">
        <f t="shared" si="301"/>
        <v/>
      </c>
      <c r="V2639" s="31" t="str">
        <f>IF(H2639="CHK",VLOOKUP(I2639,QCCHK,3,),IF(H2639="GUP",VLOOKUP(E2639,QCGUP,2,),IF(AND(H2639="ATP",OR(I2639="TN",I2639="TDN",I2639="TNO2-3",I2639="NO2-3")),VLOOKUP(E2639,QCREC_N,2,),IF(AND(H2639="NIC",OR(I2639="TN",I2639="TDN",I2639="TNO2-3",I2639="NO2-3")),VLOOKUP(E2639,QCNIC_N,2,),IF(AND(H2639="UREA",OR(I2639="TN",I2639="TDN",I2639="TNO2-3",I2639="NO2-3")),VLOOKUP(E2639,QCUREA_N,2,),IF(H2639="PER",VLOOKUP(I2639,QCPER,MATCH(E2639,QCACTUAL!$J$25:$AA$25,0),),IF(H2639="SPK",VLOOKUP(I2639,QCSPK,3,),IF(AND(H2639="ATP",OR(I2639="TP",I2639="TDP")),VLOOKUP(E2639,QCATP_P,2,),""))))))))</f>
        <v/>
      </c>
      <c r="W2639" s="31" t="str">
        <f t="shared" si="302"/>
        <v>TRUE</v>
      </c>
      <c r="X2639" s="31" t="str">
        <f t="shared" si="299"/>
        <v/>
      </c>
      <c r="Y2639" s="10" t="s">
        <v>1178</v>
      </c>
      <c r="AF2639" s="12">
        <v>44967</v>
      </c>
      <c r="AJ2639" s="10">
        <f>-1.3255*7.59^2+193.01*7.59-127.15</f>
        <v>1261.4363634499998</v>
      </c>
      <c r="AK2639" s="10">
        <f>-0.215*7.59^2+181.97*7.59-117.15</f>
        <v>1251.6165584999999</v>
      </c>
      <c r="AL2639" s="10" t="str">
        <f t="shared" si="297"/>
        <v>FALSE</v>
      </c>
      <c r="AM2639" s="10" t="str">
        <f t="shared" si="297"/>
        <v>FALSE</v>
      </c>
      <c r="AN2639" s="10" t="str">
        <f t="shared" si="297"/>
        <v>FALSE</v>
      </c>
      <c r="AO2639" s="10" t="str">
        <f t="shared" si="298"/>
        <v>y=-1.3255*7.59^2+193.01*7.59-127.15</v>
      </c>
      <c r="AP2639" s="10" t="str">
        <f t="shared" si="298"/>
        <v>y=-0.215*7.59^2+181.97*7.59-117.15</v>
      </c>
      <c r="AQ2639" s="10" t="b">
        <f>IF(AND(I2639="TP",S2639&lt;=150),VLOOKUP(AF2639,TPCalibEq150!$AZ$2:$BB$55,3,),IF(AND(I2639="TDP",S2639&lt;=150),VLOOKUP(AF2639,TPCalibEq150!$AZ$2:$BB$55,3,)))</f>
        <v>0</v>
      </c>
      <c r="AR2639" s="10" t="b">
        <f>IF(AND(I2639="TP",S2639&lt;=300),VLOOKUP(AF2639,TPCalibEq300!$AZ$2:$BB$55,3,),IF(AND(I2639="TDP",S2639&lt;=300),VLOOKUP(AF2639,TPCalibEq300!$AZ$2:$BB$55,3,)))</f>
        <v>0</v>
      </c>
      <c r="AS2639" s="10" t="b">
        <f>IF(AND(I2639="TP",S2639&lt;=500),VLOOKUP(AF2639,TPCalibEq500!$AZ$2:$BB$56,3,),IF(AND(I2639="TDP",S2639&lt;=500),VLOOKUP(AF2639,TPCalibEq500!$AZ$2:$BB$56,3,)))</f>
        <v>0</v>
      </c>
      <c r="AT2639" s="10" t="str">
        <f>IF(AND(I2639="TN",S2639&lt;=2800),VLOOKUP(AF2639,TNCalibEq2500!$AZ$2:$BB$56,3,),IF(AND(I2639="TDN",S2639&lt;=2800),VLOOKUP(AF2639,TNCalibEq2500!$AZ$2:$BB$56,3,)))</f>
        <v>y=-1.3255x2+193.01x-127.15</v>
      </c>
      <c r="AU2639" s="10" t="str">
        <f>IF(I2639="TP",VLOOKUP(AF2639,TPCalibEqFull!$AZ$2:$BB$56,3),IF(I2639="TDP",VLOOKUP(AF2639,TPCalibEqFull!$AZ$2:$BB$56,3),IF(I2639="TDN",VLOOKUP(AF2639,TNCalibEqFull!$AZ$1:$BB$56,3),IF(I2639="TN",VLOOKUP(AF2639,TNCalibEqFull!$AZ$1:$BB$56,3),FALSE))))</f>
        <v>y=-0.215x2+181.97x-117.15</v>
      </c>
      <c r="AV2639" s="10" t="str">
        <f t="shared" si="303"/>
        <v>0208 09:04:00-EOF-0-800-1-SW-UKN</v>
      </c>
    </row>
    <row r="2640" spans="1:48" s="10" customFormat="1" x14ac:dyDescent="0.55000000000000004">
      <c r="A2640" s="32">
        <v>44965</v>
      </c>
      <c r="B2640" s="33">
        <v>0.37986111111111115</v>
      </c>
      <c r="C2640" s="10" t="s">
        <v>428</v>
      </c>
      <c r="D2640" s="10">
        <v>5</v>
      </c>
      <c r="E2640" s="10">
        <v>800</v>
      </c>
      <c r="F2640" s="10">
        <v>1</v>
      </c>
      <c r="G2640" s="10" t="s">
        <v>231</v>
      </c>
      <c r="H2640" s="10" t="s">
        <v>322</v>
      </c>
      <c r="I2640" s="10" t="s">
        <v>235</v>
      </c>
      <c r="J2640" s="10">
        <v>51</v>
      </c>
      <c r="K2640" s="12">
        <v>44967</v>
      </c>
      <c r="L2640" s="33">
        <v>0.4520717592592593</v>
      </c>
      <c r="M2640" s="10">
        <v>1</v>
      </c>
      <c r="N2640" s="10" t="s">
        <v>196</v>
      </c>
      <c r="O2640" s="10">
        <v>7.51</v>
      </c>
      <c r="P2640" s="10">
        <v>0.36599999999999999</v>
      </c>
      <c r="Q2640" s="10">
        <v>1220</v>
      </c>
      <c r="R2640" s="10" t="s">
        <v>170</v>
      </c>
      <c r="S2640" s="34">
        <f t="shared" si="300"/>
        <v>1247.5967674499998</v>
      </c>
      <c r="T2640" s="10" t="s">
        <v>1185</v>
      </c>
      <c r="U2640" s="34" t="str">
        <f t="shared" si="301"/>
        <v/>
      </c>
      <c r="V2640" s="31" t="str">
        <f>IF(H2640="CHK",VLOOKUP(I2640,QCCHK,3,),IF(H2640="GUP",VLOOKUP(E2640,QCGUP,2,),IF(AND(H2640="ATP",OR(I2640="TN",I2640="TDN",I2640="TNO2-3",I2640="NO2-3")),VLOOKUP(E2640,QCREC_N,2,),IF(AND(H2640="NIC",OR(I2640="TN",I2640="TDN",I2640="TNO2-3",I2640="NO2-3")),VLOOKUP(E2640,QCNIC_N,2,),IF(AND(H2640="UREA",OR(I2640="TN",I2640="TDN",I2640="TNO2-3",I2640="NO2-3")),VLOOKUP(E2640,QCUREA_N,2,),IF(H2640="PER",VLOOKUP(I2640,QCPER,MATCH(E2640,QCACTUAL!$J$25:$AA$25,0),),IF(H2640="SPK",VLOOKUP(I2640,QCSPK,3,),IF(AND(H2640="ATP",OR(I2640="TP",I2640="TDP")),VLOOKUP(E2640,QCATP_P,2,),""))))))))</f>
        <v/>
      </c>
      <c r="W2640" s="31" t="str">
        <f t="shared" si="302"/>
        <v>TRUE</v>
      </c>
      <c r="X2640" s="31" t="str">
        <f t="shared" si="299"/>
        <v/>
      </c>
      <c r="Y2640" s="10" t="s">
        <v>1178</v>
      </c>
      <c r="AF2640" s="12">
        <v>44967</v>
      </c>
      <c r="AJ2640" s="10">
        <f>-1.3255*7.51^2+193.01*7.51-127.15</f>
        <v>1247.5967674499998</v>
      </c>
      <c r="AK2640" s="10">
        <f>-0.215*7.51^2+181.97*7.51-117.15</f>
        <v>1237.3186784999998</v>
      </c>
      <c r="AL2640" s="10" t="str">
        <f t="shared" si="297"/>
        <v>FALSE</v>
      </c>
      <c r="AM2640" s="10" t="str">
        <f t="shared" si="297"/>
        <v>FALSE</v>
      </c>
      <c r="AN2640" s="10" t="str">
        <f t="shared" si="297"/>
        <v>FALSE</v>
      </c>
      <c r="AO2640" s="10" t="str">
        <f t="shared" si="298"/>
        <v>y=-1.3255*7.51^2+193.01*7.51-127.15</v>
      </c>
      <c r="AP2640" s="10" t="str">
        <f t="shared" si="298"/>
        <v>y=-0.215*7.51^2+181.97*7.51-117.15</v>
      </c>
      <c r="AQ2640" s="10" t="b">
        <f>IF(AND(I2640="TP",S2640&lt;=150),VLOOKUP(AF2640,TPCalibEq150!$AZ$2:$BB$55,3,),IF(AND(I2640="TDP",S2640&lt;=150),VLOOKUP(AF2640,TPCalibEq150!$AZ$2:$BB$55,3,)))</f>
        <v>0</v>
      </c>
      <c r="AR2640" s="10" t="b">
        <f>IF(AND(I2640="TP",S2640&lt;=300),VLOOKUP(AF2640,TPCalibEq300!$AZ$2:$BB$55,3,),IF(AND(I2640="TDP",S2640&lt;=300),VLOOKUP(AF2640,TPCalibEq300!$AZ$2:$BB$55,3,)))</f>
        <v>0</v>
      </c>
      <c r="AS2640" s="10" t="b">
        <f>IF(AND(I2640="TP",S2640&lt;=500),VLOOKUP(AF2640,TPCalibEq500!$AZ$2:$BB$56,3,),IF(AND(I2640="TDP",S2640&lt;=500),VLOOKUP(AF2640,TPCalibEq500!$AZ$2:$BB$56,3,)))</f>
        <v>0</v>
      </c>
      <c r="AT2640" s="10" t="str">
        <f>IF(AND(I2640="TN",S2640&lt;=2800),VLOOKUP(AF2640,TNCalibEq2500!$AZ$2:$BB$56,3,),IF(AND(I2640="TDN",S2640&lt;=2800),VLOOKUP(AF2640,TNCalibEq2500!$AZ$2:$BB$56,3,)))</f>
        <v>y=-1.3255x2+193.01x-127.15</v>
      </c>
      <c r="AU2640" s="10" t="str">
        <f>IF(I2640="TP",VLOOKUP(AF2640,TPCalibEqFull!$AZ$2:$BB$56,3),IF(I2640="TDP",VLOOKUP(AF2640,TPCalibEqFull!$AZ$2:$BB$56,3),IF(I2640="TDN",VLOOKUP(AF2640,TNCalibEqFull!$AZ$1:$BB$56,3),IF(I2640="TN",VLOOKUP(AF2640,TNCalibEqFull!$AZ$1:$BB$56,3),FALSE))))</f>
        <v>y=-0.215x2+181.97x-117.15</v>
      </c>
      <c r="AV2640" s="10" t="str">
        <f t="shared" si="303"/>
        <v>0208 09:07:00-EOF-5-800-1-SW-UKN</v>
      </c>
    </row>
    <row r="2641" spans="1:48" s="10" customFormat="1" x14ac:dyDescent="0.55000000000000004">
      <c r="A2641" s="32">
        <v>44965</v>
      </c>
      <c r="B2641" s="33">
        <v>0.38263888888888892</v>
      </c>
      <c r="C2641" s="10" t="s">
        <v>428</v>
      </c>
      <c r="D2641" s="10">
        <v>10</v>
      </c>
      <c r="E2641" s="10">
        <v>800</v>
      </c>
      <c r="F2641" s="10">
        <v>1</v>
      </c>
      <c r="G2641" s="10" t="s">
        <v>231</v>
      </c>
      <c r="H2641" s="10" t="s">
        <v>322</v>
      </c>
      <c r="I2641" s="10" t="s">
        <v>235</v>
      </c>
      <c r="J2641" s="10">
        <v>52</v>
      </c>
      <c r="K2641" s="12">
        <v>44967</v>
      </c>
      <c r="L2641" s="33">
        <v>0.45274305555555555</v>
      </c>
      <c r="M2641" s="10">
        <v>1</v>
      </c>
      <c r="N2641" s="10" t="s">
        <v>196</v>
      </c>
      <c r="O2641" s="10">
        <v>7.51</v>
      </c>
      <c r="P2641" s="10">
        <v>0.36699999999999999</v>
      </c>
      <c r="Q2641" s="10">
        <v>1220</v>
      </c>
      <c r="R2641" s="10" t="s">
        <v>170</v>
      </c>
      <c r="S2641" s="34">
        <f t="shared" si="300"/>
        <v>1247.5967674499998</v>
      </c>
      <c r="T2641" s="10" t="s">
        <v>1185</v>
      </c>
      <c r="U2641" s="34" t="str">
        <f t="shared" si="301"/>
        <v/>
      </c>
      <c r="V2641" s="31" t="str">
        <f>IF(H2641="CHK",VLOOKUP(I2641,QCCHK,3,),IF(H2641="GUP",VLOOKUP(E2641,QCGUP,2,),IF(AND(H2641="ATP",OR(I2641="TN",I2641="TDN",I2641="TNO2-3",I2641="NO2-3")),VLOOKUP(E2641,QCREC_N,2,),IF(AND(H2641="NIC",OR(I2641="TN",I2641="TDN",I2641="TNO2-3",I2641="NO2-3")),VLOOKUP(E2641,QCNIC_N,2,),IF(AND(H2641="UREA",OR(I2641="TN",I2641="TDN",I2641="TNO2-3",I2641="NO2-3")),VLOOKUP(E2641,QCUREA_N,2,),IF(H2641="PER",VLOOKUP(I2641,QCPER,MATCH(E2641,QCACTUAL!$J$25:$AA$25,0),),IF(H2641="SPK",VLOOKUP(I2641,QCSPK,3,),IF(AND(H2641="ATP",OR(I2641="TP",I2641="TDP")),VLOOKUP(E2641,QCATP_P,2,),""))))))))</f>
        <v/>
      </c>
      <c r="W2641" s="31" t="str">
        <f t="shared" si="302"/>
        <v>TRUE</v>
      </c>
      <c r="X2641" s="31" t="str">
        <f t="shared" si="299"/>
        <v/>
      </c>
      <c r="Y2641" s="10" t="s">
        <v>1178</v>
      </c>
      <c r="AF2641" s="12">
        <v>44967</v>
      </c>
      <c r="AJ2641" s="10">
        <f>-1.3255*7.51^2+193.01*7.51-127.15</f>
        <v>1247.5967674499998</v>
      </c>
      <c r="AK2641" s="10">
        <f>-0.215*7.51^2+181.97*7.51-117.15</f>
        <v>1237.3186784999998</v>
      </c>
      <c r="AL2641" s="10" t="str">
        <f t="shared" si="297"/>
        <v>FALSE</v>
      </c>
      <c r="AM2641" s="10" t="str">
        <f t="shared" si="297"/>
        <v>FALSE</v>
      </c>
      <c r="AN2641" s="10" t="str">
        <f t="shared" si="297"/>
        <v>FALSE</v>
      </c>
      <c r="AO2641" s="10" t="str">
        <f t="shared" si="298"/>
        <v>y=-1.3255*7.51^2+193.01*7.51-127.15</v>
      </c>
      <c r="AP2641" s="10" t="str">
        <f t="shared" si="298"/>
        <v>y=-0.215*7.51^2+181.97*7.51-117.15</v>
      </c>
      <c r="AQ2641" s="10" t="b">
        <f>IF(AND(I2641="TP",S2641&lt;=150),VLOOKUP(AF2641,TPCalibEq150!$AZ$2:$BB$55,3,),IF(AND(I2641="TDP",S2641&lt;=150),VLOOKUP(AF2641,TPCalibEq150!$AZ$2:$BB$55,3,)))</f>
        <v>0</v>
      </c>
      <c r="AR2641" s="10" t="b">
        <f>IF(AND(I2641="TP",S2641&lt;=300),VLOOKUP(AF2641,TPCalibEq300!$AZ$2:$BB$55,3,),IF(AND(I2641="TDP",S2641&lt;=300),VLOOKUP(AF2641,TPCalibEq300!$AZ$2:$BB$55,3,)))</f>
        <v>0</v>
      </c>
      <c r="AS2641" s="10" t="b">
        <f>IF(AND(I2641="TP",S2641&lt;=500),VLOOKUP(AF2641,TPCalibEq500!$AZ$2:$BB$56,3,),IF(AND(I2641="TDP",S2641&lt;=500),VLOOKUP(AF2641,TPCalibEq500!$AZ$2:$BB$56,3,)))</f>
        <v>0</v>
      </c>
      <c r="AT2641" s="10" t="str">
        <f>IF(AND(I2641="TN",S2641&lt;=2800),VLOOKUP(AF2641,TNCalibEq2500!$AZ$2:$BB$56,3,),IF(AND(I2641="TDN",S2641&lt;=2800),VLOOKUP(AF2641,TNCalibEq2500!$AZ$2:$BB$56,3,)))</f>
        <v>y=-1.3255x2+193.01x-127.15</v>
      </c>
      <c r="AU2641" s="10" t="str">
        <f>IF(I2641="TP",VLOOKUP(AF2641,TPCalibEqFull!$AZ$2:$BB$56,3),IF(I2641="TDP",VLOOKUP(AF2641,TPCalibEqFull!$AZ$2:$BB$56,3),IF(I2641="TDN",VLOOKUP(AF2641,TNCalibEqFull!$AZ$1:$BB$56,3),IF(I2641="TN",VLOOKUP(AF2641,TNCalibEqFull!$AZ$1:$BB$56,3),FALSE))))</f>
        <v>y=-0.215x2+181.97x-117.15</v>
      </c>
      <c r="AV2641" s="10" t="str">
        <f t="shared" si="303"/>
        <v>0208 09:11:00-EOF-10-800-1-SW-UKN</v>
      </c>
    </row>
    <row r="2642" spans="1:48" s="10" customFormat="1" x14ac:dyDescent="0.55000000000000004">
      <c r="A2642" s="32">
        <v>44965</v>
      </c>
      <c r="B2642" s="33">
        <v>0.38472222222222219</v>
      </c>
      <c r="C2642" s="10" t="s">
        <v>428</v>
      </c>
      <c r="D2642" s="10">
        <v>20</v>
      </c>
      <c r="E2642" s="10" t="s">
        <v>190</v>
      </c>
      <c r="F2642" s="10">
        <v>1</v>
      </c>
      <c r="G2642" s="10" t="s">
        <v>231</v>
      </c>
      <c r="H2642" s="10" t="s">
        <v>322</v>
      </c>
      <c r="I2642" s="10" t="s">
        <v>235</v>
      </c>
      <c r="J2642" s="10">
        <v>53</v>
      </c>
      <c r="K2642" s="12">
        <v>44967</v>
      </c>
      <c r="L2642" s="33">
        <v>0.45341435185185186</v>
      </c>
      <c r="M2642" s="10">
        <v>1</v>
      </c>
      <c r="N2642" s="10" t="s">
        <v>196</v>
      </c>
      <c r="O2642" s="10">
        <v>7.47</v>
      </c>
      <c r="P2642" s="10">
        <v>0.36599999999999999</v>
      </c>
      <c r="Q2642" s="10">
        <v>1210</v>
      </c>
      <c r="R2642" s="10" t="s">
        <v>170</v>
      </c>
      <c r="S2642" s="34">
        <f t="shared" si="300"/>
        <v>1240.6706070499999</v>
      </c>
      <c r="T2642" s="10" t="s">
        <v>1185</v>
      </c>
      <c r="U2642" s="34" t="str">
        <f t="shared" si="301"/>
        <v/>
      </c>
      <c r="V2642" s="31" t="str">
        <f>IF(H2642="CHK",VLOOKUP(I2642,QCCHK,3,),IF(H2642="GUP",VLOOKUP(E2642,QCGUP,2,),IF(AND(H2642="ATP",OR(I2642="TN",I2642="TDN",I2642="TNO2-3",I2642="NO2-3")),VLOOKUP(E2642,QCREC_N,2,),IF(AND(H2642="NIC",OR(I2642="TN",I2642="TDN",I2642="TNO2-3",I2642="NO2-3")),VLOOKUP(E2642,QCNIC_N,2,),IF(AND(H2642="UREA",OR(I2642="TN",I2642="TDN",I2642="TNO2-3",I2642="NO2-3")),VLOOKUP(E2642,QCUREA_N,2,),IF(H2642="PER",VLOOKUP(I2642,QCPER,MATCH(E2642,QCACTUAL!$J$25:$AA$25,0),),IF(H2642="SPK",VLOOKUP(I2642,QCSPK,3,),IF(AND(H2642="ATP",OR(I2642="TP",I2642="TDP")),VLOOKUP(E2642,QCATP_P,2,),""))))))))</f>
        <v/>
      </c>
      <c r="W2642" s="31" t="str">
        <f t="shared" si="302"/>
        <v>TRUE</v>
      </c>
      <c r="X2642" s="31" t="str">
        <f t="shared" si="299"/>
        <v/>
      </c>
      <c r="Y2642" s="10" t="s">
        <v>1178</v>
      </c>
      <c r="AF2642" s="12">
        <v>44967</v>
      </c>
      <c r="AJ2642" s="10">
        <f>-1.3255*7.47^2+193.01*7.47-127.15</f>
        <v>1240.6706070499999</v>
      </c>
      <c r="AK2642" s="10">
        <f>-0.215*7.47^2+181.97*7.47-117.15</f>
        <v>1230.1687064999999</v>
      </c>
      <c r="AL2642" s="10" t="str">
        <f t="shared" si="297"/>
        <v>FALSE</v>
      </c>
      <c r="AM2642" s="10" t="str">
        <f t="shared" si="297"/>
        <v>FALSE</v>
      </c>
      <c r="AN2642" s="10" t="str">
        <f t="shared" si="297"/>
        <v>FALSE</v>
      </c>
      <c r="AO2642" s="10" t="str">
        <f t="shared" si="298"/>
        <v>y=-1.3255*7.47^2+193.01*7.47-127.15</v>
      </c>
      <c r="AP2642" s="10" t="str">
        <f t="shared" si="298"/>
        <v>y=-0.215*7.47^2+181.97*7.47-117.15</v>
      </c>
      <c r="AQ2642" s="10" t="b">
        <f>IF(AND(I2642="TP",S2642&lt;=150),VLOOKUP(AF2642,TPCalibEq150!$AZ$2:$BB$55,3,),IF(AND(I2642="TDP",S2642&lt;=150),VLOOKUP(AF2642,TPCalibEq150!$AZ$2:$BB$55,3,)))</f>
        <v>0</v>
      </c>
      <c r="AR2642" s="10" t="b">
        <f>IF(AND(I2642="TP",S2642&lt;=300),VLOOKUP(AF2642,TPCalibEq300!$AZ$2:$BB$55,3,),IF(AND(I2642="TDP",S2642&lt;=300),VLOOKUP(AF2642,TPCalibEq300!$AZ$2:$BB$55,3,)))</f>
        <v>0</v>
      </c>
      <c r="AS2642" s="10" t="b">
        <f>IF(AND(I2642="TP",S2642&lt;=500),VLOOKUP(AF2642,TPCalibEq500!$AZ$2:$BB$56,3,),IF(AND(I2642="TDP",S2642&lt;=500),VLOOKUP(AF2642,TPCalibEq500!$AZ$2:$BB$56,3,)))</f>
        <v>0</v>
      </c>
      <c r="AT2642" s="10" t="str">
        <f>IF(AND(I2642="TN",S2642&lt;=2800),VLOOKUP(AF2642,TNCalibEq2500!$AZ$2:$BB$56,3,),IF(AND(I2642="TDN",S2642&lt;=2800),VLOOKUP(AF2642,TNCalibEq2500!$AZ$2:$BB$56,3,)))</f>
        <v>y=-1.3255x2+193.01x-127.15</v>
      </c>
      <c r="AU2642" s="10" t="str">
        <f>IF(I2642="TP",VLOOKUP(AF2642,TPCalibEqFull!$AZ$2:$BB$56,3),IF(I2642="TDP",VLOOKUP(AF2642,TPCalibEqFull!$AZ$2:$BB$56,3),IF(I2642="TDN",VLOOKUP(AF2642,TNCalibEqFull!$AZ$1:$BB$56,3),IF(I2642="TN",VLOOKUP(AF2642,TNCalibEqFull!$AZ$1:$BB$56,3),FALSE))))</f>
        <v>y=-0.215x2+181.97x-117.15</v>
      </c>
      <c r="AV2642" s="10" t="str">
        <f t="shared" si="303"/>
        <v>0208 09:14:00-EOF-20-C-1-SW-UKN</v>
      </c>
    </row>
    <row r="2643" spans="1:48" s="10" customFormat="1" x14ac:dyDescent="0.55000000000000004">
      <c r="A2643" s="32">
        <v>44965</v>
      </c>
      <c r="B2643" s="33">
        <v>0.38877314814814817</v>
      </c>
      <c r="C2643" s="10" t="s">
        <v>428</v>
      </c>
      <c r="D2643" s="10">
        <v>80</v>
      </c>
      <c r="E2643" s="10" t="s">
        <v>190</v>
      </c>
      <c r="F2643" s="10">
        <v>1</v>
      </c>
      <c r="G2643" s="10" t="s">
        <v>231</v>
      </c>
      <c r="H2643" s="10" t="s">
        <v>322</v>
      </c>
      <c r="I2643" s="10" t="s">
        <v>235</v>
      </c>
      <c r="J2643" s="10">
        <v>54</v>
      </c>
      <c r="K2643" s="12">
        <v>44967</v>
      </c>
      <c r="L2643" s="33">
        <v>0.45407407407407407</v>
      </c>
      <c r="M2643" s="10">
        <v>1</v>
      </c>
      <c r="N2643" s="10" t="s">
        <v>196</v>
      </c>
      <c r="O2643" s="10">
        <v>7.91</v>
      </c>
      <c r="P2643" s="10">
        <v>0.38800000000000001</v>
      </c>
      <c r="Q2643" s="10">
        <v>1290</v>
      </c>
      <c r="R2643" s="10" t="s">
        <v>170</v>
      </c>
      <c r="S2643" s="34">
        <f t="shared" si="300"/>
        <v>1316.6250834499999</v>
      </c>
      <c r="T2643" s="10" t="s">
        <v>1185</v>
      </c>
      <c r="U2643" s="34" t="str">
        <f t="shared" si="301"/>
        <v/>
      </c>
      <c r="V2643" s="31" t="str">
        <f>IF(H2643="CHK",VLOOKUP(I2643,QCCHK,3,),IF(H2643="GUP",VLOOKUP(E2643,QCGUP,2,),IF(AND(H2643="ATP",OR(I2643="TN",I2643="TDN",I2643="TNO2-3",I2643="NO2-3")),VLOOKUP(E2643,QCREC_N,2,),IF(AND(H2643="NIC",OR(I2643="TN",I2643="TDN",I2643="TNO2-3",I2643="NO2-3")),VLOOKUP(E2643,QCNIC_N,2,),IF(AND(H2643="UREA",OR(I2643="TN",I2643="TDN",I2643="TNO2-3",I2643="NO2-3")),VLOOKUP(E2643,QCUREA_N,2,),IF(H2643="PER",VLOOKUP(I2643,QCPER,MATCH(E2643,QCACTUAL!$J$25:$AA$25,0),),IF(H2643="SPK",VLOOKUP(I2643,QCSPK,3,),IF(AND(H2643="ATP",OR(I2643="TP",I2643="TDP")),VLOOKUP(E2643,QCATP_P,2,),""))))))))</f>
        <v/>
      </c>
      <c r="W2643" s="31" t="str">
        <f t="shared" si="302"/>
        <v>TRUE</v>
      </c>
      <c r="X2643" s="31" t="str">
        <f t="shared" si="299"/>
        <v/>
      </c>
      <c r="Y2643" s="10" t="s">
        <v>1178</v>
      </c>
      <c r="AF2643" s="12">
        <v>44967</v>
      </c>
      <c r="AJ2643" s="10">
        <f>-1.3255*7.91^2+193.01*7.91-127.15</f>
        <v>1316.6250834499999</v>
      </c>
      <c r="AK2643" s="10">
        <f>-0.215*7.91^2+181.97*7.91-117.15</f>
        <v>1308.7805585000001</v>
      </c>
      <c r="AL2643" s="10" t="str">
        <f t="shared" si="297"/>
        <v>FALSE</v>
      </c>
      <c r="AM2643" s="10" t="str">
        <f t="shared" si="297"/>
        <v>FALSE</v>
      </c>
      <c r="AN2643" s="10" t="str">
        <f t="shared" si="297"/>
        <v>FALSE</v>
      </c>
      <c r="AO2643" s="10" t="str">
        <f t="shared" si="298"/>
        <v>y=-1.3255*7.91^2+193.01*7.91-127.15</v>
      </c>
      <c r="AP2643" s="10" t="str">
        <f t="shared" si="298"/>
        <v>y=-0.215*7.91^2+181.97*7.91-117.15</v>
      </c>
      <c r="AQ2643" s="10" t="b">
        <f>IF(AND(I2643="TP",S2643&lt;=150),VLOOKUP(AF2643,TPCalibEq150!$AZ$2:$BB$55,3,),IF(AND(I2643="TDP",S2643&lt;=150),VLOOKUP(AF2643,TPCalibEq150!$AZ$2:$BB$55,3,)))</f>
        <v>0</v>
      </c>
      <c r="AR2643" s="10" t="b">
        <f>IF(AND(I2643="TP",S2643&lt;=300),VLOOKUP(AF2643,TPCalibEq300!$AZ$2:$BB$55,3,),IF(AND(I2643="TDP",S2643&lt;=300),VLOOKUP(AF2643,TPCalibEq300!$AZ$2:$BB$55,3,)))</f>
        <v>0</v>
      </c>
      <c r="AS2643" s="10" t="b">
        <f>IF(AND(I2643="TP",S2643&lt;=500),VLOOKUP(AF2643,TPCalibEq500!$AZ$2:$BB$56,3,),IF(AND(I2643="TDP",S2643&lt;=500),VLOOKUP(AF2643,TPCalibEq500!$AZ$2:$BB$56,3,)))</f>
        <v>0</v>
      </c>
      <c r="AT2643" s="10" t="str">
        <f>IF(AND(I2643="TN",S2643&lt;=2800),VLOOKUP(AF2643,TNCalibEq2500!$AZ$2:$BB$56,3,),IF(AND(I2643="TDN",S2643&lt;=2800),VLOOKUP(AF2643,TNCalibEq2500!$AZ$2:$BB$56,3,)))</f>
        <v>y=-1.3255x2+193.01x-127.15</v>
      </c>
      <c r="AU2643" s="10" t="str">
        <f>IF(I2643="TP",VLOOKUP(AF2643,TPCalibEqFull!$AZ$2:$BB$56,3),IF(I2643="TDP",VLOOKUP(AF2643,TPCalibEqFull!$AZ$2:$BB$56,3),IF(I2643="TDN",VLOOKUP(AF2643,TNCalibEqFull!$AZ$1:$BB$56,3),IF(I2643="TN",VLOOKUP(AF2643,TNCalibEqFull!$AZ$1:$BB$56,3),FALSE))))</f>
        <v>y=-0.215x2+181.97x-117.15</v>
      </c>
      <c r="AV2643" s="10" t="str">
        <f t="shared" si="303"/>
        <v>0208 09:19:50-EOF-80-C-1-SW-UKN</v>
      </c>
    </row>
    <row r="2644" spans="1:48" s="10" customFormat="1" x14ac:dyDescent="0.55000000000000004">
      <c r="A2644" s="32">
        <v>44965</v>
      </c>
      <c r="B2644" s="33">
        <v>0.4201388888888889</v>
      </c>
      <c r="C2644" s="10" t="s">
        <v>611</v>
      </c>
      <c r="D2644" s="10">
        <v>0</v>
      </c>
      <c r="E2644" s="10">
        <v>800</v>
      </c>
      <c r="F2644" s="10">
        <v>1</v>
      </c>
      <c r="G2644" s="10" t="s">
        <v>231</v>
      </c>
      <c r="H2644" s="10" t="s">
        <v>322</v>
      </c>
      <c r="I2644" s="10" t="s">
        <v>235</v>
      </c>
      <c r="J2644" s="10">
        <v>55</v>
      </c>
      <c r="K2644" s="12">
        <v>44967</v>
      </c>
      <c r="L2644" s="33">
        <v>0.45473379629629629</v>
      </c>
      <c r="M2644" s="10">
        <v>1</v>
      </c>
      <c r="N2644" s="10" t="s">
        <v>196</v>
      </c>
      <c r="O2644" s="10">
        <v>7.47</v>
      </c>
      <c r="P2644" s="10">
        <v>0.36599999999999999</v>
      </c>
      <c r="Q2644" s="10">
        <v>1210</v>
      </c>
      <c r="R2644" s="10" t="s">
        <v>170</v>
      </c>
      <c r="S2644" s="34">
        <f t="shared" si="300"/>
        <v>1240.6706070499999</v>
      </c>
      <c r="T2644" s="10" t="s">
        <v>1185</v>
      </c>
      <c r="U2644" s="34" t="str">
        <f t="shared" si="301"/>
        <v/>
      </c>
      <c r="V2644" s="31" t="str">
        <f>IF(H2644="CHK",VLOOKUP(I2644,QCCHK,3,),IF(H2644="GUP",VLOOKUP(E2644,QCGUP,2,),IF(AND(H2644="ATP",OR(I2644="TN",I2644="TDN",I2644="TNO2-3",I2644="NO2-3")),VLOOKUP(E2644,QCREC_N,2,),IF(AND(H2644="NIC",OR(I2644="TN",I2644="TDN",I2644="TNO2-3",I2644="NO2-3")),VLOOKUP(E2644,QCNIC_N,2,),IF(AND(H2644="UREA",OR(I2644="TN",I2644="TDN",I2644="TNO2-3",I2644="NO2-3")),VLOOKUP(E2644,QCUREA_N,2,),IF(H2644="PER",VLOOKUP(I2644,QCPER,MATCH(E2644,QCACTUAL!$J$25:$AA$25,0),),IF(H2644="SPK",VLOOKUP(I2644,QCSPK,3,),IF(AND(H2644="ATP",OR(I2644="TP",I2644="TDP")),VLOOKUP(E2644,QCATP_P,2,),""))))))))</f>
        <v/>
      </c>
      <c r="W2644" s="31" t="str">
        <f t="shared" si="302"/>
        <v>TRUE</v>
      </c>
      <c r="X2644" s="31" t="str">
        <f t="shared" si="299"/>
        <v/>
      </c>
      <c r="Y2644" s="10" t="s">
        <v>1178</v>
      </c>
      <c r="AF2644" s="12">
        <v>44967</v>
      </c>
      <c r="AJ2644" s="10">
        <f>-1.3255*7.47^2+193.01*7.47-127.15</f>
        <v>1240.6706070499999</v>
      </c>
      <c r="AK2644" s="10">
        <f>-0.215*7.47^2+181.97*7.47-117.15</f>
        <v>1230.1687064999999</v>
      </c>
      <c r="AL2644" s="10" t="str">
        <f t="shared" si="297"/>
        <v>FALSE</v>
      </c>
      <c r="AM2644" s="10" t="str">
        <f t="shared" si="297"/>
        <v>FALSE</v>
      </c>
      <c r="AN2644" s="10" t="str">
        <f t="shared" si="297"/>
        <v>FALSE</v>
      </c>
      <c r="AO2644" s="10" t="str">
        <f t="shared" si="298"/>
        <v>y=-1.3255*7.47^2+193.01*7.47-127.15</v>
      </c>
      <c r="AP2644" s="10" t="str">
        <f t="shared" si="298"/>
        <v>y=-0.215*7.47^2+181.97*7.47-117.15</v>
      </c>
      <c r="AQ2644" s="10" t="b">
        <f>IF(AND(I2644="TP",S2644&lt;=150),VLOOKUP(AF2644,TPCalibEq150!$AZ$2:$BB$55,3,),IF(AND(I2644="TDP",S2644&lt;=150),VLOOKUP(AF2644,TPCalibEq150!$AZ$2:$BB$55,3,)))</f>
        <v>0</v>
      </c>
      <c r="AR2644" s="10" t="b">
        <f>IF(AND(I2644="TP",S2644&lt;=300),VLOOKUP(AF2644,TPCalibEq300!$AZ$2:$BB$55,3,),IF(AND(I2644="TDP",S2644&lt;=300),VLOOKUP(AF2644,TPCalibEq300!$AZ$2:$BB$55,3,)))</f>
        <v>0</v>
      </c>
      <c r="AS2644" s="10" t="b">
        <f>IF(AND(I2644="TP",S2644&lt;=500),VLOOKUP(AF2644,TPCalibEq500!$AZ$2:$BB$56,3,),IF(AND(I2644="TDP",S2644&lt;=500),VLOOKUP(AF2644,TPCalibEq500!$AZ$2:$BB$56,3,)))</f>
        <v>0</v>
      </c>
      <c r="AT2644" s="10" t="str">
        <f>IF(AND(I2644="TN",S2644&lt;=2800),VLOOKUP(AF2644,TNCalibEq2500!$AZ$2:$BB$56,3,),IF(AND(I2644="TDN",S2644&lt;=2800),VLOOKUP(AF2644,TNCalibEq2500!$AZ$2:$BB$56,3,)))</f>
        <v>y=-1.3255x2+193.01x-127.15</v>
      </c>
      <c r="AU2644" s="10" t="str">
        <f>IF(I2644="TP",VLOOKUP(AF2644,TPCalibEqFull!$AZ$2:$BB$56,3),IF(I2644="TDP",VLOOKUP(AF2644,TPCalibEqFull!$AZ$2:$BB$56,3),IF(I2644="TDN",VLOOKUP(AF2644,TNCalibEqFull!$AZ$1:$BB$56,3),IF(I2644="TN",VLOOKUP(AF2644,TNCalibEqFull!$AZ$1:$BB$56,3),FALSE))))</f>
        <v>y=-0.215x2+181.97x-117.15</v>
      </c>
      <c r="AV2644" s="10" t="str">
        <f t="shared" si="303"/>
        <v>0208 10:05:00-BUO-0-800-1-SW-UKN</v>
      </c>
    </row>
    <row r="2645" spans="1:48" s="10" customFormat="1" x14ac:dyDescent="0.55000000000000004">
      <c r="A2645" s="32">
        <v>44965</v>
      </c>
      <c r="B2645" s="33">
        <v>0.42291666666666666</v>
      </c>
      <c r="C2645" s="10" t="s">
        <v>611</v>
      </c>
      <c r="D2645" s="10">
        <v>5</v>
      </c>
      <c r="E2645" s="10">
        <v>800</v>
      </c>
      <c r="F2645" s="10">
        <v>1</v>
      </c>
      <c r="G2645" s="10" t="s">
        <v>231</v>
      </c>
      <c r="H2645" s="10" t="s">
        <v>322</v>
      </c>
      <c r="I2645" s="10" t="s">
        <v>235</v>
      </c>
      <c r="J2645" s="10">
        <v>56</v>
      </c>
      <c r="K2645" s="12">
        <v>44967</v>
      </c>
      <c r="L2645" s="33">
        <v>0.4554050925925926</v>
      </c>
      <c r="M2645" s="10">
        <v>1</v>
      </c>
      <c r="N2645" s="10" t="s">
        <v>196</v>
      </c>
      <c r="O2645" s="10">
        <v>7.49</v>
      </c>
      <c r="P2645" s="10">
        <v>0.36599999999999999</v>
      </c>
      <c r="Q2645" s="10">
        <v>1220</v>
      </c>
      <c r="R2645" s="10" t="s">
        <v>170</v>
      </c>
      <c r="S2645" s="34">
        <f t="shared" si="300"/>
        <v>1244.1342174499998</v>
      </c>
      <c r="T2645" s="10" t="s">
        <v>1185</v>
      </c>
      <c r="U2645" s="34" t="str">
        <f t="shared" si="301"/>
        <v/>
      </c>
      <c r="V2645" s="31" t="str">
        <f>IF(H2645="CHK",VLOOKUP(I2645,QCCHK,3,),IF(H2645="GUP",VLOOKUP(E2645,QCGUP,2,),IF(AND(H2645="ATP",OR(I2645="TN",I2645="TDN",I2645="TNO2-3",I2645="NO2-3")),VLOOKUP(E2645,QCREC_N,2,),IF(AND(H2645="NIC",OR(I2645="TN",I2645="TDN",I2645="TNO2-3",I2645="NO2-3")),VLOOKUP(E2645,QCNIC_N,2,),IF(AND(H2645="UREA",OR(I2645="TN",I2645="TDN",I2645="TNO2-3",I2645="NO2-3")),VLOOKUP(E2645,QCUREA_N,2,),IF(H2645="PER",VLOOKUP(I2645,QCPER,MATCH(E2645,QCACTUAL!$J$25:$AA$25,0),),IF(H2645="SPK",VLOOKUP(I2645,QCSPK,3,),IF(AND(H2645="ATP",OR(I2645="TP",I2645="TDP")),VLOOKUP(E2645,QCATP_P,2,),""))))))))</f>
        <v/>
      </c>
      <c r="W2645" s="31" t="str">
        <f t="shared" si="302"/>
        <v>TRUE</v>
      </c>
      <c r="X2645" s="31" t="str">
        <f t="shared" si="299"/>
        <v/>
      </c>
      <c r="Y2645" s="10" t="s">
        <v>1178</v>
      </c>
      <c r="AF2645" s="12">
        <v>44967</v>
      </c>
      <c r="AJ2645" s="10">
        <f>-1.3255*7.49^2+193.01*7.49-127.15</f>
        <v>1244.1342174499998</v>
      </c>
      <c r="AK2645" s="10">
        <f>-0.215*7.49^2+181.97*7.49-117.15</f>
        <v>1233.7437785</v>
      </c>
      <c r="AL2645" s="10" t="str">
        <f t="shared" si="297"/>
        <v>FALSE</v>
      </c>
      <c r="AM2645" s="10" t="str">
        <f t="shared" si="297"/>
        <v>FALSE</v>
      </c>
      <c r="AN2645" s="10" t="str">
        <f t="shared" si="297"/>
        <v>FALSE</v>
      </c>
      <c r="AO2645" s="10" t="str">
        <f t="shared" si="298"/>
        <v>y=-1.3255*7.49^2+193.01*7.49-127.15</v>
      </c>
      <c r="AP2645" s="10" t="str">
        <f t="shared" si="298"/>
        <v>y=-0.215*7.49^2+181.97*7.49-117.15</v>
      </c>
      <c r="AQ2645" s="10" t="b">
        <f>IF(AND(I2645="TP",S2645&lt;=150),VLOOKUP(AF2645,TPCalibEq150!$AZ$2:$BB$55,3,),IF(AND(I2645="TDP",S2645&lt;=150),VLOOKUP(AF2645,TPCalibEq150!$AZ$2:$BB$55,3,)))</f>
        <v>0</v>
      </c>
      <c r="AR2645" s="10" t="b">
        <f>IF(AND(I2645="TP",S2645&lt;=300),VLOOKUP(AF2645,TPCalibEq300!$AZ$2:$BB$55,3,),IF(AND(I2645="TDP",S2645&lt;=300),VLOOKUP(AF2645,TPCalibEq300!$AZ$2:$BB$55,3,)))</f>
        <v>0</v>
      </c>
      <c r="AS2645" s="10" t="b">
        <f>IF(AND(I2645="TP",S2645&lt;=500),VLOOKUP(AF2645,TPCalibEq500!$AZ$2:$BB$56,3,),IF(AND(I2645="TDP",S2645&lt;=500),VLOOKUP(AF2645,TPCalibEq500!$AZ$2:$BB$56,3,)))</f>
        <v>0</v>
      </c>
      <c r="AT2645" s="10" t="str">
        <f>IF(AND(I2645="TN",S2645&lt;=2800),VLOOKUP(AF2645,TNCalibEq2500!$AZ$2:$BB$56,3,),IF(AND(I2645="TDN",S2645&lt;=2800),VLOOKUP(AF2645,TNCalibEq2500!$AZ$2:$BB$56,3,)))</f>
        <v>y=-1.3255x2+193.01x-127.15</v>
      </c>
      <c r="AU2645" s="10" t="str">
        <f>IF(I2645="TP",VLOOKUP(AF2645,TPCalibEqFull!$AZ$2:$BB$56,3),IF(I2645="TDP",VLOOKUP(AF2645,TPCalibEqFull!$AZ$2:$BB$56,3),IF(I2645="TDN",VLOOKUP(AF2645,TNCalibEqFull!$AZ$1:$BB$56,3),IF(I2645="TN",VLOOKUP(AF2645,TNCalibEqFull!$AZ$1:$BB$56,3),FALSE))))</f>
        <v>y=-0.215x2+181.97x-117.15</v>
      </c>
      <c r="AV2645" s="10" t="str">
        <f t="shared" si="303"/>
        <v>0208 10:09:00-BUO-5-800-1-SW-UKN</v>
      </c>
    </row>
    <row r="2646" spans="1:48" s="10" customFormat="1" x14ac:dyDescent="0.55000000000000004">
      <c r="A2646" s="32">
        <v>44965</v>
      </c>
      <c r="B2646" s="33">
        <v>0.42499999999999999</v>
      </c>
      <c r="C2646" s="10" t="s">
        <v>611</v>
      </c>
      <c r="D2646" s="10">
        <v>10</v>
      </c>
      <c r="E2646" s="10">
        <v>800</v>
      </c>
      <c r="F2646" s="10">
        <v>1</v>
      </c>
      <c r="G2646" s="10" t="s">
        <v>231</v>
      </c>
      <c r="H2646" s="10" t="s">
        <v>322</v>
      </c>
      <c r="I2646" s="10" t="s">
        <v>235</v>
      </c>
      <c r="J2646" s="10">
        <v>57</v>
      </c>
      <c r="K2646" s="12">
        <v>44967</v>
      </c>
      <c r="L2646" s="33">
        <v>0.45606481481481481</v>
      </c>
      <c r="M2646" s="10">
        <v>1</v>
      </c>
      <c r="N2646" s="10" t="s">
        <v>196</v>
      </c>
      <c r="O2646" s="10">
        <v>7.54</v>
      </c>
      <c r="P2646" s="10">
        <v>0.36899999999999999</v>
      </c>
      <c r="Q2646" s="10">
        <v>1230</v>
      </c>
      <c r="R2646" s="10" t="s">
        <v>170</v>
      </c>
      <c r="S2646" s="34">
        <f t="shared" si="300"/>
        <v>1252.7886042</v>
      </c>
      <c r="T2646" s="10" t="s">
        <v>1185</v>
      </c>
      <c r="U2646" s="34" t="str">
        <f t="shared" si="301"/>
        <v/>
      </c>
      <c r="V2646" s="31" t="str">
        <f>IF(H2646="CHK",VLOOKUP(I2646,QCCHK,3,),IF(H2646="GUP",VLOOKUP(E2646,QCGUP,2,),IF(AND(H2646="ATP",OR(I2646="TN",I2646="TDN",I2646="TNO2-3",I2646="NO2-3")),VLOOKUP(E2646,QCREC_N,2,),IF(AND(H2646="NIC",OR(I2646="TN",I2646="TDN",I2646="TNO2-3",I2646="NO2-3")),VLOOKUP(E2646,QCNIC_N,2,),IF(AND(H2646="UREA",OR(I2646="TN",I2646="TDN",I2646="TNO2-3",I2646="NO2-3")),VLOOKUP(E2646,QCUREA_N,2,),IF(H2646="PER",VLOOKUP(I2646,QCPER,MATCH(E2646,QCACTUAL!$J$25:$AA$25,0),),IF(H2646="SPK",VLOOKUP(I2646,QCSPK,3,),IF(AND(H2646="ATP",OR(I2646="TP",I2646="TDP")),VLOOKUP(E2646,QCATP_P,2,),""))))))))</f>
        <v/>
      </c>
      <c r="W2646" s="31" t="str">
        <f t="shared" si="302"/>
        <v>TRUE</v>
      </c>
      <c r="X2646" s="31" t="str">
        <f t="shared" si="299"/>
        <v/>
      </c>
      <c r="Y2646" s="10" t="s">
        <v>1178</v>
      </c>
      <c r="AF2646" s="12">
        <v>44967</v>
      </c>
      <c r="AJ2646" s="10">
        <f>-1.3255*7.54^2+193.01*7.54-127.15</f>
        <v>1252.7886042</v>
      </c>
      <c r="AK2646" s="10">
        <f>-0.215*7.54^2+181.97*7.54-117.15</f>
        <v>1242.6807059999999</v>
      </c>
      <c r="AL2646" s="10" t="str">
        <f t="shared" si="297"/>
        <v>FALSE</v>
      </c>
      <c r="AM2646" s="10" t="str">
        <f t="shared" si="297"/>
        <v>FALSE</v>
      </c>
      <c r="AN2646" s="10" t="str">
        <f t="shared" si="297"/>
        <v>FALSE</v>
      </c>
      <c r="AO2646" s="10" t="str">
        <f t="shared" si="298"/>
        <v>y=-1.3255*7.54^2+193.01*7.54-127.15</v>
      </c>
      <c r="AP2646" s="10" t="str">
        <f t="shared" si="298"/>
        <v>y=-0.215*7.54^2+181.97*7.54-117.15</v>
      </c>
      <c r="AQ2646" s="10" t="b">
        <f>IF(AND(I2646="TP",S2646&lt;=150),VLOOKUP(AF2646,TPCalibEq150!$AZ$2:$BB$55,3,),IF(AND(I2646="TDP",S2646&lt;=150),VLOOKUP(AF2646,TPCalibEq150!$AZ$2:$BB$55,3,)))</f>
        <v>0</v>
      </c>
      <c r="AR2646" s="10" t="b">
        <f>IF(AND(I2646="TP",S2646&lt;=300),VLOOKUP(AF2646,TPCalibEq300!$AZ$2:$BB$55,3,),IF(AND(I2646="TDP",S2646&lt;=300),VLOOKUP(AF2646,TPCalibEq300!$AZ$2:$BB$55,3,)))</f>
        <v>0</v>
      </c>
      <c r="AS2646" s="10" t="b">
        <f>IF(AND(I2646="TP",S2646&lt;=500),VLOOKUP(AF2646,TPCalibEq500!$AZ$2:$BB$56,3,),IF(AND(I2646="TDP",S2646&lt;=500),VLOOKUP(AF2646,TPCalibEq500!$AZ$2:$BB$56,3,)))</f>
        <v>0</v>
      </c>
      <c r="AT2646" s="10" t="str">
        <f>IF(AND(I2646="TN",S2646&lt;=2800),VLOOKUP(AF2646,TNCalibEq2500!$AZ$2:$BB$56,3,),IF(AND(I2646="TDN",S2646&lt;=2800),VLOOKUP(AF2646,TNCalibEq2500!$AZ$2:$BB$56,3,)))</f>
        <v>y=-1.3255x2+193.01x-127.15</v>
      </c>
      <c r="AU2646" s="10" t="str">
        <f>IF(I2646="TP",VLOOKUP(AF2646,TPCalibEqFull!$AZ$2:$BB$56,3),IF(I2646="TDP",VLOOKUP(AF2646,TPCalibEqFull!$AZ$2:$BB$56,3),IF(I2646="TDN",VLOOKUP(AF2646,TNCalibEqFull!$AZ$1:$BB$56,3),IF(I2646="TN",VLOOKUP(AF2646,TNCalibEqFull!$AZ$1:$BB$56,3),FALSE))))</f>
        <v>y=-0.215x2+181.97x-117.15</v>
      </c>
      <c r="AV2646" s="10" t="str">
        <f t="shared" si="303"/>
        <v>0208 10:12:00-BUO-10-800-1-SW-UKN</v>
      </c>
    </row>
    <row r="2647" spans="1:48" s="10" customFormat="1" x14ac:dyDescent="0.55000000000000004">
      <c r="A2647" s="32">
        <v>44965</v>
      </c>
      <c r="B2647" s="33">
        <v>0.42777777777777781</v>
      </c>
      <c r="C2647" s="10" t="s">
        <v>611</v>
      </c>
      <c r="D2647" s="10">
        <v>20</v>
      </c>
      <c r="E2647" s="10" t="s">
        <v>190</v>
      </c>
      <c r="F2647" s="10">
        <v>1</v>
      </c>
      <c r="G2647" s="10" t="s">
        <v>231</v>
      </c>
      <c r="H2647" s="10" t="s">
        <v>322</v>
      </c>
      <c r="I2647" s="10" t="s">
        <v>235</v>
      </c>
      <c r="J2647" s="10">
        <v>58</v>
      </c>
      <c r="K2647" s="12">
        <v>44967</v>
      </c>
      <c r="L2647" s="33">
        <v>0.45673611111111106</v>
      </c>
      <c r="M2647" s="10">
        <v>1</v>
      </c>
      <c r="N2647" s="10" t="s">
        <v>196</v>
      </c>
      <c r="O2647" s="10">
        <v>7.64</v>
      </c>
      <c r="P2647" s="10">
        <v>0.375</v>
      </c>
      <c r="Q2647" s="10">
        <v>1240</v>
      </c>
      <c r="R2647" s="10" t="s">
        <v>170</v>
      </c>
      <c r="S2647" s="34">
        <f t="shared" si="300"/>
        <v>1270.0774951999997</v>
      </c>
      <c r="T2647" s="10" t="s">
        <v>1185</v>
      </c>
      <c r="U2647" s="34" t="str">
        <f t="shared" si="301"/>
        <v/>
      </c>
      <c r="V2647" s="31" t="str">
        <f>IF(H2647="CHK",VLOOKUP(I2647,QCCHK,3,),IF(H2647="GUP",VLOOKUP(E2647,QCGUP,2,),IF(AND(H2647="ATP",OR(I2647="TN",I2647="TDN",I2647="TNO2-3",I2647="NO2-3")),VLOOKUP(E2647,QCREC_N,2,),IF(AND(H2647="NIC",OR(I2647="TN",I2647="TDN",I2647="TNO2-3",I2647="NO2-3")),VLOOKUP(E2647,QCNIC_N,2,),IF(AND(H2647="UREA",OR(I2647="TN",I2647="TDN",I2647="TNO2-3",I2647="NO2-3")),VLOOKUP(E2647,QCUREA_N,2,),IF(H2647="PER",VLOOKUP(I2647,QCPER,MATCH(E2647,QCACTUAL!$J$25:$AA$25,0),),IF(H2647="SPK",VLOOKUP(I2647,QCSPK,3,),IF(AND(H2647="ATP",OR(I2647="TP",I2647="TDP")),VLOOKUP(E2647,QCATP_P,2,),""))))))))</f>
        <v/>
      </c>
      <c r="W2647" s="31" t="str">
        <f t="shared" si="302"/>
        <v>TRUE</v>
      </c>
      <c r="X2647" s="31" t="str">
        <f t="shared" si="299"/>
        <v/>
      </c>
      <c r="Y2647" s="10" t="s">
        <v>1178</v>
      </c>
      <c r="AF2647" s="12">
        <v>44967</v>
      </c>
      <c r="AJ2647" s="10">
        <f>-1.3255*7.64^2+193.01*7.64-127.15</f>
        <v>1270.0774951999997</v>
      </c>
      <c r="AK2647" s="10">
        <f>-0.215*7.64^2+181.97*7.64-117.15</f>
        <v>1260.551336</v>
      </c>
      <c r="AL2647" s="10" t="str">
        <f t="shared" si="297"/>
        <v>FALSE</v>
      </c>
      <c r="AM2647" s="10" t="str">
        <f t="shared" si="297"/>
        <v>FALSE</v>
      </c>
      <c r="AN2647" s="10" t="str">
        <f t="shared" si="297"/>
        <v>FALSE</v>
      </c>
      <c r="AO2647" s="10" t="str">
        <f t="shared" si="298"/>
        <v>y=-1.3255*7.64^2+193.01*7.64-127.15</v>
      </c>
      <c r="AP2647" s="10" t="str">
        <f t="shared" si="298"/>
        <v>y=-0.215*7.64^2+181.97*7.64-117.15</v>
      </c>
      <c r="AQ2647" s="10" t="b">
        <f>IF(AND(I2647="TP",S2647&lt;=150),VLOOKUP(AF2647,TPCalibEq150!$AZ$2:$BB$55,3,),IF(AND(I2647="TDP",S2647&lt;=150),VLOOKUP(AF2647,TPCalibEq150!$AZ$2:$BB$55,3,)))</f>
        <v>0</v>
      </c>
      <c r="AR2647" s="10" t="b">
        <f>IF(AND(I2647="TP",S2647&lt;=300),VLOOKUP(AF2647,TPCalibEq300!$AZ$2:$BB$55,3,),IF(AND(I2647="TDP",S2647&lt;=300),VLOOKUP(AF2647,TPCalibEq300!$AZ$2:$BB$55,3,)))</f>
        <v>0</v>
      </c>
      <c r="AS2647" s="10" t="b">
        <f>IF(AND(I2647="TP",S2647&lt;=500),VLOOKUP(AF2647,TPCalibEq500!$AZ$2:$BB$56,3,),IF(AND(I2647="TDP",S2647&lt;=500),VLOOKUP(AF2647,TPCalibEq500!$AZ$2:$BB$56,3,)))</f>
        <v>0</v>
      </c>
      <c r="AT2647" s="10" t="str">
        <f>IF(AND(I2647="TN",S2647&lt;=2800),VLOOKUP(AF2647,TNCalibEq2500!$AZ$2:$BB$56,3,),IF(AND(I2647="TDN",S2647&lt;=2800),VLOOKUP(AF2647,TNCalibEq2500!$AZ$2:$BB$56,3,)))</f>
        <v>y=-1.3255x2+193.01x-127.15</v>
      </c>
      <c r="AU2647" s="10" t="str">
        <f>IF(I2647="TP",VLOOKUP(AF2647,TPCalibEqFull!$AZ$2:$BB$56,3),IF(I2647="TDP",VLOOKUP(AF2647,TPCalibEqFull!$AZ$2:$BB$56,3),IF(I2647="TDN",VLOOKUP(AF2647,TNCalibEqFull!$AZ$1:$BB$56,3),IF(I2647="TN",VLOOKUP(AF2647,TNCalibEqFull!$AZ$1:$BB$56,3),FALSE))))</f>
        <v>y=-0.215x2+181.97x-117.15</v>
      </c>
      <c r="AV2647" s="10" t="str">
        <f t="shared" si="303"/>
        <v>0208 10:16:00-BUO-20-C-1-SW-UKN</v>
      </c>
    </row>
    <row r="2648" spans="1:48" s="10" customFormat="1" x14ac:dyDescent="0.55000000000000004">
      <c r="A2648" s="32">
        <v>44965</v>
      </c>
      <c r="B2648" s="33">
        <v>0.43055555555555558</v>
      </c>
      <c r="C2648" s="10" t="s">
        <v>611</v>
      </c>
      <c r="D2648" s="10">
        <v>46</v>
      </c>
      <c r="E2648" s="10" t="s">
        <v>190</v>
      </c>
      <c r="F2648" s="10">
        <v>1</v>
      </c>
      <c r="G2648" s="10" t="s">
        <v>231</v>
      </c>
      <c r="H2648" s="10" t="s">
        <v>322</v>
      </c>
      <c r="I2648" s="10" t="s">
        <v>235</v>
      </c>
      <c r="J2648" s="10">
        <v>59</v>
      </c>
      <c r="K2648" s="12">
        <v>44967</v>
      </c>
      <c r="L2648" s="33">
        <v>0.45739583333333328</v>
      </c>
      <c r="M2648" s="10">
        <v>1</v>
      </c>
      <c r="N2648" s="10" t="s">
        <v>196</v>
      </c>
      <c r="O2648" s="10">
        <v>7.77</v>
      </c>
      <c r="P2648" s="10">
        <v>0.38100000000000001</v>
      </c>
      <c r="Q2648" s="10">
        <v>1270</v>
      </c>
      <c r="R2648" s="10" t="s">
        <v>170</v>
      </c>
      <c r="S2648" s="34">
        <f t="shared" si="300"/>
        <v>1292.5134210499998</v>
      </c>
      <c r="T2648" s="10" t="s">
        <v>1185</v>
      </c>
      <c r="U2648" s="34" t="str">
        <f t="shared" si="301"/>
        <v/>
      </c>
      <c r="V2648" s="31" t="str">
        <f>IF(H2648="CHK",VLOOKUP(I2648,QCCHK,3,),IF(H2648="GUP",VLOOKUP(E2648,QCGUP,2,),IF(AND(H2648="ATP",OR(I2648="TN",I2648="TDN",I2648="TNO2-3",I2648="NO2-3")),VLOOKUP(E2648,QCREC_N,2,),IF(AND(H2648="NIC",OR(I2648="TN",I2648="TDN",I2648="TNO2-3",I2648="NO2-3")),VLOOKUP(E2648,QCNIC_N,2,),IF(AND(H2648="UREA",OR(I2648="TN",I2648="TDN",I2648="TNO2-3",I2648="NO2-3")),VLOOKUP(E2648,QCUREA_N,2,),IF(H2648="PER",VLOOKUP(I2648,QCPER,MATCH(E2648,QCACTUAL!$J$25:$AA$25,0),),IF(H2648="SPK",VLOOKUP(I2648,QCSPK,3,),IF(AND(H2648="ATP",OR(I2648="TP",I2648="TDP")),VLOOKUP(E2648,QCATP_P,2,),""))))))))</f>
        <v/>
      </c>
      <c r="W2648" s="31" t="str">
        <f t="shared" si="302"/>
        <v>TRUE</v>
      </c>
      <c r="X2648" s="31" t="str">
        <f t="shared" si="299"/>
        <v/>
      </c>
      <c r="Y2648" s="10" t="s">
        <v>1178</v>
      </c>
      <c r="AF2648" s="12">
        <v>44967</v>
      </c>
      <c r="AJ2648" s="10">
        <f>-1.3255*7.77^2+193.01*7.77-127.15</f>
        <v>1292.5134210499998</v>
      </c>
      <c r="AK2648" s="10">
        <f>-0.215*7.77^2+181.97*7.77-117.15</f>
        <v>1283.7767264999998</v>
      </c>
      <c r="AL2648" s="10" t="str">
        <f t="shared" si="297"/>
        <v>FALSE</v>
      </c>
      <c r="AM2648" s="10" t="str">
        <f t="shared" si="297"/>
        <v>FALSE</v>
      </c>
      <c r="AN2648" s="10" t="str">
        <f t="shared" si="297"/>
        <v>FALSE</v>
      </c>
      <c r="AO2648" s="10" t="str">
        <f t="shared" si="298"/>
        <v>y=-1.3255*7.77^2+193.01*7.77-127.15</v>
      </c>
      <c r="AP2648" s="10" t="str">
        <f t="shared" si="298"/>
        <v>y=-0.215*7.77^2+181.97*7.77-117.15</v>
      </c>
      <c r="AQ2648" s="10" t="b">
        <f>IF(AND(I2648="TP",S2648&lt;=150),VLOOKUP(AF2648,TPCalibEq150!$AZ$2:$BB$55,3,),IF(AND(I2648="TDP",S2648&lt;=150),VLOOKUP(AF2648,TPCalibEq150!$AZ$2:$BB$55,3,)))</f>
        <v>0</v>
      </c>
      <c r="AR2648" s="10" t="b">
        <f>IF(AND(I2648="TP",S2648&lt;=300),VLOOKUP(AF2648,TPCalibEq300!$AZ$2:$BB$55,3,),IF(AND(I2648="TDP",S2648&lt;=300),VLOOKUP(AF2648,TPCalibEq300!$AZ$2:$BB$55,3,)))</f>
        <v>0</v>
      </c>
      <c r="AS2648" s="10" t="b">
        <f>IF(AND(I2648="TP",S2648&lt;=500),VLOOKUP(AF2648,TPCalibEq500!$AZ$2:$BB$56,3,),IF(AND(I2648="TDP",S2648&lt;=500),VLOOKUP(AF2648,TPCalibEq500!$AZ$2:$BB$56,3,)))</f>
        <v>0</v>
      </c>
      <c r="AT2648" s="10" t="str">
        <f>IF(AND(I2648="TN",S2648&lt;=2800),VLOOKUP(AF2648,TNCalibEq2500!$AZ$2:$BB$56,3,),IF(AND(I2648="TDN",S2648&lt;=2800),VLOOKUP(AF2648,TNCalibEq2500!$AZ$2:$BB$56,3,)))</f>
        <v>y=-1.3255x2+193.01x-127.15</v>
      </c>
      <c r="AU2648" s="10" t="str">
        <f>IF(I2648="TP",VLOOKUP(AF2648,TPCalibEqFull!$AZ$2:$BB$56,3),IF(I2648="TDP",VLOOKUP(AF2648,TPCalibEqFull!$AZ$2:$BB$56,3),IF(I2648="TDN",VLOOKUP(AF2648,TNCalibEqFull!$AZ$1:$BB$56,3),IF(I2648="TN",VLOOKUP(AF2648,TNCalibEqFull!$AZ$1:$BB$56,3),FALSE))))</f>
        <v>y=-0.215x2+181.97x-117.15</v>
      </c>
      <c r="AV2648" s="10" t="str">
        <f t="shared" si="303"/>
        <v>0208 10:20:00-BUO-46-C-1-SW-UKN</v>
      </c>
    </row>
    <row r="2649" spans="1:48" s="10" customFormat="1" x14ac:dyDescent="0.55000000000000004">
      <c r="A2649" s="32">
        <v>44965</v>
      </c>
      <c r="B2649" s="33">
        <v>0.43055555555555558</v>
      </c>
      <c r="C2649" s="10" t="s">
        <v>611</v>
      </c>
      <c r="D2649" s="10">
        <v>46</v>
      </c>
      <c r="E2649" s="10" t="s">
        <v>190</v>
      </c>
      <c r="F2649" s="10">
        <v>1</v>
      </c>
      <c r="G2649" s="10" t="s">
        <v>231</v>
      </c>
      <c r="H2649" s="10" t="s">
        <v>233</v>
      </c>
      <c r="I2649" s="10" t="s">
        <v>235</v>
      </c>
      <c r="J2649" s="10">
        <v>59</v>
      </c>
      <c r="K2649" s="12">
        <v>44967</v>
      </c>
      <c r="L2649" s="33">
        <v>0.4580555555555556</v>
      </c>
      <c r="M2649" s="10">
        <v>1</v>
      </c>
      <c r="N2649" s="10" t="s">
        <v>196</v>
      </c>
      <c r="O2649" s="10">
        <v>7.74</v>
      </c>
      <c r="P2649" s="10">
        <v>0.38</v>
      </c>
      <c r="Q2649" s="10">
        <v>1260</v>
      </c>
      <c r="R2649" s="10" t="s">
        <v>170</v>
      </c>
      <c r="S2649" s="34">
        <f t="shared" si="300"/>
        <v>1287.3398761999999</v>
      </c>
      <c r="T2649" s="10" t="s">
        <v>1185</v>
      </c>
      <c r="U2649" s="34">
        <f t="shared" si="301"/>
        <v>0.40107279398519469</v>
      </c>
      <c r="V2649" s="31" t="str">
        <f>IF(H2649="CHK",VLOOKUP(I2649,QCCHK,3,),IF(H2649="GUP",VLOOKUP(E2649,QCGUP,2,),IF(AND(H2649="ATP",OR(I2649="TN",I2649="TDN",I2649="TNO2-3",I2649="NO2-3")),VLOOKUP(E2649,QCREC_N,2,),IF(AND(H2649="NIC",OR(I2649="TN",I2649="TDN",I2649="TNO2-3",I2649="NO2-3")),VLOOKUP(E2649,QCNIC_N,2,),IF(AND(H2649="UREA",OR(I2649="TN",I2649="TDN",I2649="TNO2-3",I2649="NO2-3")),VLOOKUP(E2649,QCUREA_N,2,),IF(H2649="PER",VLOOKUP(I2649,QCPER,MATCH(E2649,QCACTUAL!$J$25:$AA$25,0),),IF(H2649="SPK",VLOOKUP(I2649,QCSPK,3,),IF(AND(H2649="ATP",OR(I2649="TP",I2649="TDP")),VLOOKUP(E2649,QCATP_P,2,),""))))))))</f>
        <v/>
      </c>
      <c r="W2649" s="31" t="str">
        <f t="shared" si="302"/>
        <v>TRUE</v>
      </c>
      <c r="X2649" s="31" t="str">
        <f t="shared" si="299"/>
        <v>((ABS(rep1-rep2))/((rep1+rep2)/2)*100</v>
      </c>
      <c r="Y2649" s="10" t="s">
        <v>1178</v>
      </c>
      <c r="AF2649" s="12">
        <v>44967</v>
      </c>
      <c r="AJ2649" s="10">
        <f>-1.3255*7.74^2+193.01*7.74-127.15</f>
        <v>1287.3398761999999</v>
      </c>
      <c r="AK2649" s="10">
        <f>-0.215*7.74^2+181.97*7.74-117.15</f>
        <v>1278.4176660000001</v>
      </c>
      <c r="AL2649" s="10" t="str">
        <f t="shared" si="297"/>
        <v>FALSE</v>
      </c>
      <c r="AM2649" s="10" t="str">
        <f t="shared" si="297"/>
        <v>FALSE</v>
      </c>
      <c r="AN2649" s="10" t="str">
        <f t="shared" si="297"/>
        <v>FALSE</v>
      </c>
      <c r="AO2649" s="10" t="str">
        <f t="shared" si="298"/>
        <v>y=-1.3255*7.74^2+193.01*7.74-127.15</v>
      </c>
      <c r="AP2649" s="10" t="str">
        <f t="shared" si="298"/>
        <v>y=-0.215*7.74^2+181.97*7.74-117.15</v>
      </c>
      <c r="AQ2649" s="10" t="b">
        <f>IF(AND(I2649="TP",S2649&lt;=150),VLOOKUP(AF2649,TPCalibEq150!$AZ$2:$BB$55,3,),IF(AND(I2649="TDP",S2649&lt;=150),VLOOKUP(AF2649,TPCalibEq150!$AZ$2:$BB$55,3,)))</f>
        <v>0</v>
      </c>
      <c r="AR2649" s="10" t="b">
        <f>IF(AND(I2649="TP",S2649&lt;=300),VLOOKUP(AF2649,TPCalibEq300!$AZ$2:$BB$55,3,),IF(AND(I2649="TDP",S2649&lt;=300),VLOOKUP(AF2649,TPCalibEq300!$AZ$2:$BB$55,3,)))</f>
        <v>0</v>
      </c>
      <c r="AS2649" s="10" t="b">
        <f>IF(AND(I2649="TP",S2649&lt;=500),VLOOKUP(AF2649,TPCalibEq500!$AZ$2:$BB$56,3,),IF(AND(I2649="TDP",S2649&lt;=500),VLOOKUP(AF2649,TPCalibEq500!$AZ$2:$BB$56,3,)))</f>
        <v>0</v>
      </c>
      <c r="AT2649" s="10" t="str">
        <f>IF(AND(I2649="TN",S2649&lt;=2800),VLOOKUP(AF2649,TNCalibEq2500!$AZ$2:$BB$56,3,),IF(AND(I2649="TDN",S2649&lt;=2800),VLOOKUP(AF2649,TNCalibEq2500!$AZ$2:$BB$56,3,)))</f>
        <v>y=-1.3255x2+193.01x-127.15</v>
      </c>
      <c r="AU2649" s="10" t="str">
        <f>IF(I2649="TP",VLOOKUP(AF2649,TPCalibEqFull!$AZ$2:$BB$56,3),IF(I2649="TDP",VLOOKUP(AF2649,TPCalibEqFull!$AZ$2:$BB$56,3),IF(I2649="TDN",VLOOKUP(AF2649,TNCalibEqFull!$AZ$1:$BB$56,3),IF(I2649="TN",VLOOKUP(AF2649,TNCalibEqFull!$AZ$1:$BB$56,3),FALSE))))</f>
        <v>y=-0.215x2+181.97x-117.15</v>
      </c>
      <c r="AV2649" s="10" t="str">
        <f t="shared" si="303"/>
        <v>0208 10:20:00-BUO-46-C-1-SW-DUP</v>
      </c>
    </row>
    <row r="2650" spans="1:48" s="10" customFormat="1" x14ac:dyDescent="0.55000000000000004">
      <c r="A2650" s="32">
        <v>44965</v>
      </c>
      <c r="B2650" s="33">
        <v>0.43055555555555558</v>
      </c>
      <c r="C2650" s="10" t="s">
        <v>611</v>
      </c>
      <c r="D2650" s="10">
        <v>46</v>
      </c>
      <c r="E2650" s="10" t="s">
        <v>190</v>
      </c>
      <c r="F2650" s="10">
        <v>1</v>
      </c>
      <c r="G2650" s="10" t="s">
        <v>231</v>
      </c>
      <c r="H2650" s="10" t="s">
        <v>314</v>
      </c>
      <c r="I2650" s="10" t="s">
        <v>235</v>
      </c>
      <c r="J2650" s="10">
        <v>125</v>
      </c>
      <c r="K2650" s="12">
        <v>44967</v>
      </c>
      <c r="L2650" s="33">
        <v>0.45872685185185186</v>
      </c>
      <c r="M2650" s="10">
        <v>1</v>
      </c>
      <c r="N2650" s="10" t="s">
        <v>196</v>
      </c>
      <c r="O2650" s="10">
        <v>22</v>
      </c>
      <c r="P2650" s="10">
        <v>1.07</v>
      </c>
      <c r="Q2650" s="10">
        <v>3770</v>
      </c>
      <c r="R2650" s="10" t="s">
        <v>170</v>
      </c>
      <c r="S2650" s="34">
        <f t="shared" si="300"/>
        <v>3782.13</v>
      </c>
      <c r="T2650" s="10" t="s">
        <v>1185</v>
      </c>
      <c r="U2650" s="34">
        <f t="shared" si="301"/>
        <v>99.791604952000014</v>
      </c>
      <c r="V2650" s="31">
        <f>IF(H2650="CHK",VLOOKUP(I2650,QCCHK,3,),IF(H2650="GUP",VLOOKUP(E2650,QCGUP,2,),IF(AND(H2650="ATP",OR(I2650="TN",I2650="TDN",I2650="TNO2-3",I2650="NO2-3")),VLOOKUP(E2650,QCREC_N,2,),IF(AND(H2650="NIC",OR(I2650="TN",I2650="TDN",I2650="TNO2-3",I2650="NO2-3")),VLOOKUP(E2650,QCNIC_N,2,),IF(AND(H2650="UREA",OR(I2650="TN",I2650="TDN",I2650="TNO2-3",I2650="NO2-3")),VLOOKUP(E2650,QCUREA_N,2,),IF(H2650="PER",VLOOKUP(I2650,QCPER,MATCH(E2650,QCACTUAL!$J$25:$AA$25,0),),IF(H2650="SPK",VLOOKUP(I2650,QCSPK,3,),IF(AND(H2650="ATP",OR(I2650="TP",I2650="TDP")),VLOOKUP(E2650,QCATP_P,2,),""))))))))</f>
        <v>2500</v>
      </c>
      <c r="W2650" s="31" t="str">
        <f t="shared" si="302"/>
        <v>TRUE</v>
      </c>
      <c r="X2650" s="31" t="str">
        <f t="shared" si="299"/>
        <v>([spikedunkn]-[unkn])/[spike]*100</v>
      </c>
      <c r="Y2650" s="10" t="s">
        <v>1178</v>
      </c>
      <c r="AF2650" s="12">
        <v>44967</v>
      </c>
      <c r="AK2650" s="10">
        <f>-0.215*22^2+181.97*22-117.15</f>
        <v>3782.13</v>
      </c>
      <c r="AL2650" s="10" t="str">
        <f t="shared" si="297"/>
        <v>FALSE</v>
      </c>
      <c r="AM2650" s="10" t="str">
        <f t="shared" si="297"/>
        <v>FALSE</v>
      </c>
      <c r="AN2650" s="10" t="str">
        <f t="shared" si="297"/>
        <v>FALSE</v>
      </c>
      <c r="AO2650" s="10" t="str">
        <f t="shared" si="298"/>
        <v>FALSE</v>
      </c>
      <c r="AP2650" s="10" t="str">
        <f t="shared" si="298"/>
        <v>y=-0.215*22^2+181.97*22-117.15</v>
      </c>
      <c r="AQ2650" s="10" t="b">
        <f>IF(AND(I2650="TP",S2650&lt;=150),VLOOKUP(AF2650,TPCalibEq150!$AZ$2:$BB$55,3,),IF(AND(I2650="TDP",S2650&lt;=150),VLOOKUP(AF2650,TPCalibEq150!$AZ$2:$BB$55,3,)))</f>
        <v>0</v>
      </c>
      <c r="AR2650" s="10" t="b">
        <f>IF(AND(I2650="TP",S2650&lt;=300),VLOOKUP(AF2650,TPCalibEq300!$AZ$2:$BB$55,3,),IF(AND(I2650="TDP",S2650&lt;=300),VLOOKUP(AF2650,TPCalibEq300!$AZ$2:$BB$55,3,)))</f>
        <v>0</v>
      </c>
      <c r="AS2650" s="10" t="b">
        <f>IF(AND(I2650="TP",S2650&lt;=500),VLOOKUP(AF2650,TPCalibEq500!$AZ$2:$BB$56,3,),IF(AND(I2650="TDP",S2650&lt;=500),VLOOKUP(AF2650,TPCalibEq500!$AZ$2:$BB$56,3,)))</f>
        <v>0</v>
      </c>
      <c r="AT2650" s="10" t="b">
        <f>IF(AND(I2650="TN",S2650&lt;=2800),VLOOKUP(AF2650,TNCalibEq2500!$AZ$2:$BB$56,3,),IF(AND(I2650="TDN",S2650&lt;=2800),VLOOKUP(AF2650,TNCalibEq2500!$AZ$2:$BB$56,3,)))</f>
        <v>0</v>
      </c>
      <c r="AU2650" s="10" t="str">
        <f>IF(I2650="TP",VLOOKUP(AF2650,TPCalibEqFull!$AZ$2:$BB$56,3),IF(I2650="TDP",VLOOKUP(AF2650,TPCalibEqFull!$AZ$2:$BB$56,3),IF(I2650="TDN",VLOOKUP(AF2650,TNCalibEqFull!$AZ$1:$BB$56,3),IF(I2650="TN",VLOOKUP(AF2650,TNCalibEqFull!$AZ$1:$BB$56,3),FALSE))))</f>
        <v>y=-0.215x2+181.97x-117.15</v>
      </c>
      <c r="AV2650" s="10" t="str">
        <f t="shared" si="303"/>
        <v>0208 10:20:00-BUO-46-C-1-SW-SPK</v>
      </c>
    </row>
    <row r="2651" spans="1:48" s="10" customFormat="1" x14ac:dyDescent="0.55000000000000004">
      <c r="A2651" s="32">
        <v>44966</v>
      </c>
      <c r="B2651" s="33">
        <v>0.375</v>
      </c>
      <c r="C2651" s="10" t="s">
        <v>70</v>
      </c>
      <c r="D2651" s="10" t="s">
        <v>71</v>
      </c>
      <c r="E2651" s="10" t="s">
        <v>901</v>
      </c>
      <c r="F2651" s="10">
        <v>1</v>
      </c>
      <c r="G2651" s="10" t="s">
        <v>73</v>
      </c>
      <c r="H2651" s="10" t="s">
        <v>207</v>
      </c>
      <c r="I2651" s="10" t="s">
        <v>235</v>
      </c>
      <c r="J2651" s="10">
        <v>201</v>
      </c>
      <c r="K2651" s="12">
        <v>44967</v>
      </c>
      <c r="L2651" s="33">
        <v>0.45939814814814817</v>
      </c>
      <c r="M2651" s="10">
        <v>1</v>
      </c>
      <c r="N2651" s="10" t="s">
        <v>196</v>
      </c>
      <c r="O2651" s="10">
        <v>7.38</v>
      </c>
      <c r="P2651" s="10">
        <v>0.36399999999999999</v>
      </c>
      <c r="Q2651" s="10">
        <v>1200</v>
      </c>
      <c r="R2651" s="10" t="s">
        <v>170</v>
      </c>
      <c r="S2651" s="34">
        <f t="shared" si="300"/>
        <v>1225.0712377999998</v>
      </c>
      <c r="T2651" s="10" t="s">
        <v>1185</v>
      </c>
      <c r="U2651" s="34">
        <f t="shared" si="301"/>
        <v>98.005699023999981</v>
      </c>
      <c r="V2651" s="31">
        <f>IF(H2651="CHK",VLOOKUP(I2651,QCCHK,3,),IF(H2651="GUP",VLOOKUP(E2651,QCGUP,2,),IF(AND(H2651="ATP",OR(I2651="TN",I2651="TDN",I2651="TNO2-3",I2651="NO2-3")),VLOOKUP(E2651,QCREC_N,2,),IF(AND(H2651="NIC",OR(I2651="TN",I2651="TDN",I2651="TNO2-3",I2651="NO2-3")),VLOOKUP(E2651,QCNIC_N,2,),IF(AND(H2651="UREA",OR(I2651="TN",I2651="TDN",I2651="TNO2-3",I2651="NO2-3")),VLOOKUP(E2651,QCUREA_N,2,),IF(H2651="PER",VLOOKUP(I2651,QCPER,MATCH(E2651,QCACTUAL!$J$25:$AA$25,0),),IF(H2651="SPK",VLOOKUP(I2651,QCSPK,3,),IF(AND(H2651="ATP",OR(I2651="TP",I2651="TDP")),VLOOKUP(E2651,QCATP_P,2,),""))))))))</f>
        <v>1250</v>
      </c>
      <c r="W2651" s="31" t="str">
        <f t="shared" si="302"/>
        <v>TRUE</v>
      </c>
      <c r="X2651" s="31" t="str">
        <f t="shared" si="299"/>
        <v>[chk]/[actual]*100</v>
      </c>
      <c r="Y2651" s="10" t="s">
        <v>1178</v>
      </c>
      <c r="AF2651" s="12">
        <v>44967</v>
      </c>
      <c r="AJ2651" s="10">
        <f>-1.3255*7.38^2+193.01*7.38-127.15</f>
        <v>1225.0712377999998</v>
      </c>
      <c r="AK2651" s="10">
        <f>-0.215*7.38^2+181.97*7.38-117.15</f>
        <v>1214.0787539999999</v>
      </c>
      <c r="AL2651" s="10" t="str">
        <f t="shared" si="297"/>
        <v>FALSE</v>
      </c>
      <c r="AM2651" s="10" t="str">
        <f t="shared" si="297"/>
        <v>FALSE</v>
      </c>
      <c r="AN2651" s="10" t="str">
        <f t="shared" si="297"/>
        <v>FALSE</v>
      </c>
      <c r="AO2651" s="10" t="str">
        <f t="shared" si="298"/>
        <v>y=-1.3255*7.38^2+193.01*7.38-127.15</v>
      </c>
      <c r="AP2651" s="10" t="str">
        <f t="shared" si="298"/>
        <v>y=-0.215*7.38^2+181.97*7.38-117.15</v>
      </c>
      <c r="AQ2651" s="10" t="b">
        <f>IF(AND(I2651="TP",S2651&lt;=150),VLOOKUP(AF2651,TPCalibEq150!$AZ$2:$BB$55,3,),IF(AND(I2651="TDP",S2651&lt;=150),VLOOKUP(AF2651,TPCalibEq150!$AZ$2:$BB$55,3,)))</f>
        <v>0</v>
      </c>
      <c r="AR2651" s="10" t="b">
        <f>IF(AND(I2651="TP",S2651&lt;=300),VLOOKUP(AF2651,TPCalibEq300!$AZ$2:$BB$55,3,),IF(AND(I2651="TDP",S2651&lt;=300),VLOOKUP(AF2651,TPCalibEq300!$AZ$2:$BB$55,3,)))</f>
        <v>0</v>
      </c>
      <c r="AS2651" s="10" t="b">
        <f>IF(AND(I2651="TP",S2651&lt;=500),VLOOKUP(AF2651,TPCalibEq500!$AZ$2:$BB$56,3,),IF(AND(I2651="TDP",S2651&lt;=500),VLOOKUP(AF2651,TPCalibEq500!$AZ$2:$BB$56,3,)))</f>
        <v>0</v>
      </c>
      <c r="AT2651" s="10" t="str">
        <f>IF(AND(I2651="TN",S2651&lt;=2800),VLOOKUP(AF2651,TNCalibEq2500!$AZ$2:$BB$56,3,),IF(AND(I2651="TDN",S2651&lt;=2800),VLOOKUP(AF2651,TNCalibEq2500!$AZ$2:$BB$56,3,)))</f>
        <v>y=-1.3255x2+193.01x-127.15</v>
      </c>
      <c r="AU2651" s="10" t="str">
        <f>IF(I2651="TP",VLOOKUP(AF2651,TPCalibEqFull!$AZ$2:$BB$56,3),IF(I2651="TDP",VLOOKUP(AF2651,TPCalibEqFull!$AZ$2:$BB$56,3),IF(I2651="TDN",VLOOKUP(AF2651,TNCalibEqFull!$AZ$1:$BB$56,3),IF(I2651="TN",VLOOKUP(AF2651,TNCalibEqFull!$AZ$1:$BB$56,3),FALSE))))</f>
        <v>y=-0.215x2+181.97x-117.15</v>
      </c>
      <c r="AV2651" s="10" t="str">
        <f t="shared" si="303"/>
        <v>0209 09:00:00-QAC-STD-D-1-DI-CHK</v>
      </c>
    </row>
    <row r="2652" spans="1:48" s="10" customFormat="1" x14ac:dyDescent="0.55000000000000004">
      <c r="A2652" s="32">
        <v>44958</v>
      </c>
      <c r="B2652" s="33">
        <v>0.50138888888888888</v>
      </c>
      <c r="C2652" s="10" t="s">
        <v>279</v>
      </c>
      <c r="D2652" s="10">
        <v>0</v>
      </c>
      <c r="E2652" s="10" t="s">
        <v>911</v>
      </c>
      <c r="F2652" s="10">
        <v>1</v>
      </c>
      <c r="G2652" s="10" t="s">
        <v>231</v>
      </c>
      <c r="H2652" s="10" t="s">
        <v>322</v>
      </c>
      <c r="I2652" s="10" t="s">
        <v>224</v>
      </c>
      <c r="J2652" s="10">
        <v>60</v>
      </c>
      <c r="K2652" s="12">
        <v>44967</v>
      </c>
      <c r="L2652" s="33">
        <v>0.46005787037037038</v>
      </c>
      <c r="M2652" s="10">
        <v>1</v>
      </c>
      <c r="N2652" s="10" t="s">
        <v>196</v>
      </c>
      <c r="O2652" s="10">
        <v>8.35</v>
      </c>
      <c r="P2652" s="10">
        <v>0.40799999999999997</v>
      </c>
      <c r="Q2652" s="10">
        <v>1370</v>
      </c>
      <c r="R2652" s="10" t="s">
        <v>170</v>
      </c>
      <c r="S2652" s="34">
        <f t="shared" si="300"/>
        <v>1392.0663262499997</v>
      </c>
      <c r="T2652" s="10" t="s">
        <v>1185</v>
      </c>
      <c r="U2652" s="34" t="str">
        <f t="shared" si="301"/>
        <v/>
      </c>
      <c r="V2652" s="31" t="str">
        <f>IF(H2652="CHK",VLOOKUP(I2652,QCCHK,3,),IF(H2652="GUP",VLOOKUP(E2652,QCGUP,2,),IF(AND(H2652="ATP",OR(I2652="TN",I2652="TDN",I2652="TNO2-3",I2652="NO2-3")),VLOOKUP(E2652,QCREC_N,2,),IF(AND(H2652="NIC",OR(I2652="TN",I2652="TDN",I2652="TNO2-3",I2652="NO2-3")),VLOOKUP(E2652,QCNIC_N,2,),IF(AND(H2652="UREA",OR(I2652="TN",I2652="TDN",I2652="TNO2-3",I2652="NO2-3")),VLOOKUP(E2652,QCUREA_N,2,),IF(H2652="PER",VLOOKUP(I2652,QCPER,MATCH(E2652,QCACTUAL!$J$25:$AA$25,0),),IF(H2652="SPK",VLOOKUP(I2652,QCSPK,3,),IF(AND(H2652="ATP",OR(I2652="TP",I2652="TDP")),VLOOKUP(E2652,QCATP_P,2,),""))))))))</f>
        <v/>
      </c>
      <c r="W2652" s="31" t="str">
        <f t="shared" si="302"/>
        <v>TRUE</v>
      </c>
      <c r="X2652" s="31" t="str">
        <f t="shared" si="299"/>
        <v/>
      </c>
      <c r="Y2652" s="10" t="s">
        <v>1178</v>
      </c>
      <c r="Z2652" s="10" t="s">
        <v>910</v>
      </c>
      <c r="AF2652" s="12">
        <v>44967</v>
      </c>
      <c r="AJ2652" s="10">
        <f>-1.3255*8.35^2+193.01*8.35-127.15</f>
        <v>1392.0663262499997</v>
      </c>
      <c r="AK2652" s="10">
        <f>-0.215*8.35^2+181.97*8.35-117.15</f>
        <v>1387.3091625</v>
      </c>
      <c r="AL2652" s="10" t="str">
        <f t="shared" si="297"/>
        <v>FALSE</v>
      </c>
      <c r="AM2652" s="10" t="str">
        <f t="shared" si="297"/>
        <v>FALSE</v>
      </c>
      <c r="AN2652" s="10" t="str">
        <f t="shared" si="297"/>
        <v>FALSE</v>
      </c>
      <c r="AO2652" s="10" t="str">
        <f t="shared" si="298"/>
        <v>y=-1.3255*8.35^2+193.01*8.35-127.15</v>
      </c>
      <c r="AP2652" s="10" t="str">
        <f t="shared" si="298"/>
        <v>y=-0.215*8.35^2+181.97*8.35-117.15</v>
      </c>
      <c r="AQ2652" s="10" t="b">
        <f>IF(AND(I2652="TP",S2652&lt;=150),VLOOKUP(AF2652,TPCalibEq150!$AZ$2:$BB$55,3,),IF(AND(I2652="TDP",S2652&lt;=150),VLOOKUP(AF2652,TPCalibEq150!$AZ$2:$BB$55,3,)))</f>
        <v>0</v>
      </c>
      <c r="AR2652" s="10" t="b">
        <f>IF(AND(I2652="TP",S2652&lt;=300),VLOOKUP(AF2652,TPCalibEq300!$AZ$2:$BB$55,3,),IF(AND(I2652="TDP",S2652&lt;=300),VLOOKUP(AF2652,TPCalibEq300!$AZ$2:$BB$55,3,)))</f>
        <v>0</v>
      </c>
      <c r="AS2652" s="10" t="b">
        <f>IF(AND(I2652="TP",S2652&lt;=500),VLOOKUP(AF2652,TPCalibEq500!$AZ$2:$BB$56,3,),IF(AND(I2652="TDP",S2652&lt;=500),VLOOKUP(AF2652,TPCalibEq500!$AZ$2:$BB$56,3,)))</f>
        <v>0</v>
      </c>
      <c r="AT2652" s="10" t="str">
        <f>IF(AND(I2652="TN",S2652&lt;=2800),VLOOKUP(AF2652,TNCalibEq2500!$AZ$2:$BB$56,3,),IF(AND(I2652="TDN",S2652&lt;=2800),VLOOKUP(AF2652,TNCalibEq2500!$AZ$2:$BB$56,3,)))</f>
        <v>y=-1.3255x2+193.01x-127.15</v>
      </c>
      <c r="AU2652" s="10" t="str">
        <f>IF(I2652="TP",VLOOKUP(AF2652,TPCalibEqFull!$AZ$2:$BB$56,3),IF(I2652="TDP",VLOOKUP(AF2652,TPCalibEqFull!$AZ$2:$BB$56,3),IF(I2652="TDN",VLOOKUP(AF2652,TNCalibEqFull!$AZ$1:$BB$56,3),IF(I2652="TN",VLOOKUP(AF2652,TNCalibEqFull!$AZ$1:$BB$56,3),FALSE))))</f>
        <v>y=-0.215x2+181.97x-117.15</v>
      </c>
      <c r="AV2652" s="10" t="str">
        <f t="shared" si="303"/>
        <v>0201 12:02:00-EFK-0-FIL-1-SW-UKN</v>
      </c>
    </row>
    <row r="2653" spans="1:48" s="10" customFormat="1" x14ac:dyDescent="0.55000000000000004">
      <c r="A2653" s="32">
        <v>44958</v>
      </c>
      <c r="B2653" s="33">
        <v>0.50347222222222221</v>
      </c>
      <c r="C2653" s="10" t="s">
        <v>333</v>
      </c>
      <c r="D2653" s="10">
        <v>0</v>
      </c>
      <c r="E2653" s="10" t="s">
        <v>911</v>
      </c>
      <c r="F2653" s="10">
        <v>1</v>
      </c>
      <c r="G2653" s="10" t="s">
        <v>231</v>
      </c>
      <c r="H2653" s="10" t="s">
        <v>322</v>
      </c>
      <c r="I2653" s="10" t="s">
        <v>224</v>
      </c>
      <c r="J2653" s="10">
        <v>61</v>
      </c>
      <c r="K2653" s="12">
        <v>44967</v>
      </c>
      <c r="L2653" s="33">
        <v>0.46074074074074073</v>
      </c>
      <c r="M2653" s="10">
        <v>1</v>
      </c>
      <c r="N2653" s="10" t="s">
        <v>196</v>
      </c>
      <c r="O2653" s="10">
        <v>7.05</v>
      </c>
      <c r="P2653" s="10">
        <v>0.34399999999999997</v>
      </c>
      <c r="Q2653" s="10">
        <v>1140</v>
      </c>
      <c r="R2653" s="10" t="s">
        <v>170</v>
      </c>
      <c r="S2653" s="34">
        <f t="shared" si="300"/>
        <v>1167.6898362499999</v>
      </c>
      <c r="T2653" s="10" t="s">
        <v>1185</v>
      </c>
      <c r="U2653" s="34" t="str">
        <f t="shared" si="301"/>
        <v/>
      </c>
      <c r="V2653" s="31" t="str">
        <f>IF(H2653="CHK",VLOOKUP(I2653,QCCHK,3,),IF(H2653="GUP",VLOOKUP(E2653,QCGUP,2,),IF(AND(H2653="ATP",OR(I2653="TN",I2653="TDN",I2653="TNO2-3",I2653="NO2-3")),VLOOKUP(E2653,QCREC_N,2,),IF(AND(H2653="NIC",OR(I2653="TN",I2653="TDN",I2653="TNO2-3",I2653="NO2-3")),VLOOKUP(E2653,QCNIC_N,2,),IF(AND(H2653="UREA",OR(I2653="TN",I2653="TDN",I2653="TNO2-3",I2653="NO2-3")),VLOOKUP(E2653,QCUREA_N,2,),IF(H2653="PER",VLOOKUP(I2653,QCPER,MATCH(E2653,QCACTUAL!$J$25:$AA$25,0),),IF(H2653="SPK",VLOOKUP(I2653,QCSPK,3,),IF(AND(H2653="ATP",OR(I2653="TP",I2653="TDP")),VLOOKUP(E2653,QCATP_P,2,),""))))))))</f>
        <v/>
      </c>
      <c r="W2653" s="31" t="str">
        <f t="shared" si="302"/>
        <v>TRUE</v>
      </c>
      <c r="X2653" s="31" t="str">
        <f t="shared" si="299"/>
        <v/>
      </c>
      <c r="Y2653" s="10" t="s">
        <v>1178</v>
      </c>
      <c r="Z2653" s="10" t="s">
        <v>910</v>
      </c>
      <c r="AF2653" s="12">
        <v>44967</v>
      </c>
      <c r="AJ2653" s="10">
        <f>-1.3255*7.05^2+193.01*7.05-127.15</f>
        <v>1167.6898362499999</v>
      </c>
      <c r="AK2653" s="10">
        <f>-0.215*7.05^2+181.97*7.05-117.15</f>
        <v>1155.0524624999998</v>
      </c>
      <c r="AL2653" s="10" t="str">
        <f t="shared" si="297"/>
        <v>FALSE</v>
      </c>
      <c r="AM2653" s="10" t="str">
        <f t="shared" si="297"/>
        <v>FALSE</v>
      </c>
      <c r="AN2653" s="10" t="str">
        <f t="shared" si="297"/>
        <v>FALSE</v>
      </c>
      <c r="AO2653" s="10" t="str">
        <f t="shared" si="298"/>
        <v>y=-1.3255*7.05^2+193.01*7.05-127.15</v>
      </c>
      <c r="AP2653" s="10" t="str">
        <f t="shared" si="298"/>
        <v>y=-0.215*7.05^2+181.97*7.05-117.15</v>
      </c>
      <c r="AQ2653" s="10" t="b">
        <f>IF(AND(I2653="TP",S2653&lt;=150),VLOOKUP(AF2653,TPCalibEq150!$AZ$2:$BB$55,3,),IF(AND(I2653="TDP",S2653&lt;=150),VLOOKUP(AF2653,TPCalibEq150!$AZ$2:$BB$55,3,)))</f>
        <v>0</v>
      </c>
      <c r="AR2653" s="10" t="b">
        <f>IF(AND(I2653="TP",S2653&lt;=300),VLOOKUP(AF2653,TPCalibEq300!$AZ$2:$BB$55,3,),IF(AND(I2653="TDP",S2653&lt;=300),VLOOKUP(AF2653,TPCalibEq300!$AZ$2:$BB$55,3,)))</f>
        <v>0</v>
      </c>
      <c r="AS2653" s="10" t="b">
        <f>IF(AND(I2653="TP",S2653&lt;=500),VLOOKUP(AF2653,TPCalibEq500!$AZ$2:$BB$56,3,),IF(AND(I2653="TDP",S2653&lt;=500),VLOOKUP(AF2653,TPCalibEq500!$AZ$2:$BB$56,3,)))</f>
        <v>0</v>
      </c>
      <c r="AT2653" s="10" t="str">
        <f>IF(AND(I2653="TN",S2653&lt;=2800),VLOOKUP(AF2653,TNCalibEq2500!$AZ$2:$BB$56,3,),IF(AND(I2653="TDN",S2653&lt;=2800),VLOOKUP(AF2653,TNCalibEq2500!$AZ$2:$BB$56,3,)))</f>
        <v>y=-1.3255x2+193.01x-127.15</v>
      </c>
      <c r="AU2653" s="10" t="str">
        <f>IF(I2653="TP",VLOOKUP(AF2653,TPCalibEqFull!$AZ$2:$BB$56,3),IF(I2653="TDP",VLOOKUP(AF2653,TPCalibEqFull!$AZ$2:$BB$56,3),IF(I2653="TDN",VLOOKUP(AF2653,TNCalibEqFull!$AZ$1:$BB$56,3),IF(I2653="TN",VLOOKUP(AF2653,TNCalibEqFull!$AZ$1:$BB$56,3),FALSE))))</f>
        <v>y=-0.215x2+181.97x-117.15</v>
      </c>
      <c r="AV2653" s="10" t="str">
        <f t="shared" si="303"/>
        <v>0201 12:05:00-HST-0-FIL-1-SW-UKN</v>
      </c>
    </row>
    <row r="2654" spans="1:48" s="10" customFormat="1" x14ac:dyDescent="0.55000000000000004">
      <c r="A2654" s="32">
        <v>44959</v>
      </c>
      <c r="B2654" s="33">
        <v>0.58194444444444449</v>
      </c>
      <c r="C2654" s="10" t="s">
        <v>279</v>
      </c>
      <c r="D2654" s="10">
        <v>0</v>
      </c>
      <c r="E2654" s="10" t="s">
        <v>911</v>
      </c>
      <c r="F2654" s="10">
        <v>1</v>
      </c>
      <c r="G2654" s="10" t="s">
        <v>231</v>
      </c>
      <c r="H2654" s="10" t="s">
        <v>322</v>
      </c>
      <c r="I2654" s="10" t="s">
        <v>224</v>
      </c>
      <c r="J2654" s="10">
        <v>62</v>
      </c>
      <c r="K2654" s="12">
        <v>44967</v>
      </c>
      <c r="L2654" s="33">
        <v>0.46141203703703698</v>
      </c>
      <c r="M2654" s="10">
        <v>1</v>
      </c>
      <c r="N2654" s="10" t="s">
        <v>196</v>
      </c>
      <c r="O2654" s="10">
        <v>8.77</v>
      </c>
      <c r="P2654" s="10">
        <v>0.42899999999999999</v>
      </c>
      <c r="Q2654" s="10">
        <v>1440</v>
      </c>
      <c r="R2654" s="10" t="s">
        <v>170</v>
      </c>
      <c r="S2654" s="34">
        <f t="shared" si="300"/>
        <v>1463.5996510499999</v>
      </c>
      <c r="T2654" s="10" t="s">
        <v>1185</v>
      </c>
      <c r="U2654" s="34" t="str">
        <f t="shared" si="301"/>
        <v/>
      </c>
      <c r="V2654" s="31" t="str">
        <f>IF(H2654="CHK",VLOOKUP(I2654,QCCHK,3,),IF(H2654="GUP",VLOOKUP(E2654,QCGUP,2,),IF(AND(H2654="ATP",OR(I2654="TN",I2654="TDN",I2654="TNO2-3",I2654="NO2-3")),VLOOKUP(E2654,QCREC_N,2,),IF(AND(H2654="NIC",OR(I2654="TN",I2654="TDN",I2654="TNO2-3",I2654="NO2-3")),VLOOKUP(E2654,QCNIC_N,2,),IF(AND(H2654="UREA",OR(I2654="TN",I2654="TDN",I2654="TNO2-3",I2654="NO2-3")),VLOOKUP(E2654,QCUREA_N,2,),IF(H2654="PER",VLOOKUP(I2654,QCPER,MATCH(E2654,QCACTUAL!$J$25:$AA$25,0),),IF(H2654="SPK",VLOOKUP(I2654,QCSPK,3,),IF(AND(H2654="ATP",OR(I2654="TP",I2654="TDP")),VLOOKUP(E2654,QCATP_P,2,),""))))))))</f>
        <v/>
      </c>
      <c r="W2654" s="31" t="str">
        <f t="shared" si="302"/>
        <v>TRUE</v>
      </c>
      <c r="X2654" s="31" t="str">
        <f t="shared" si="299"/>
        <v/>
      </c>
      <c r="Y2654" s="10" t="s">
        <v>1178</v>
      </c>
      <c r="Z2654" s="10" t="s">
        <v>910</v>
      </c>
      <c r="AF2654" s="12">
        <v>44967</v>
      </c>
      <c r="AJ2654" s="10">
        <f>-1.3255*8.77^2+193.01*8.77-127.15</f>
        <v>1463.5996510499999</v>
      </c>
      <c r="AK2654" s="10">
        <f>-0.215*8.77^2+181.97*8.77-117.15</f>
        <v>1462.1906264999998</v>
      </c>
      <c r="AL2654" s="10" t="str">
        <f t="shared" si="297"/>
        <v>FALSE</v>
      </c>
      <c r="AM2654" s="10" t="str">
        <f t="shared" si="297"/>
        <v>FALSE</v>
      </c>
      <c r="AN2654" s="10" t="str">
        <f t="shared" si="297"/>
        <v>FALSE</v>
      </c>
      <c r="AO2654" s="10" t="str">
        <f t="shared" si="298"/>
        <v>y=-1.3255*8.77^2+193.01*8.77-127.15</v>
      </c>
      <c r="AP2654" s="10" t="str">
        <f t="shared" si="298"/>
        <v>y=-0.215*8.77^2+181.97*8.77-117.15</v>
      </c>
      <c r="AQ2654" s="10" t="b">
        <f>IF(AND(I2654="TP",S2654&lt;=150),VLOOKUP(AF2654,TPCalibEq150!$AZ$2:$BB$55,3,),IF(AND(I2654="TDP",S2654&lt;=150),VLOOKUP(AF2654,TPCalibEq150!$AZ$2:$BB$55,3,)))</f>
        <v>0</v>
      </c>
      <c r="AR2654" s="10" t="b">
        <f>IF(AND(I2654="TP",S2654&lt;=300),VLOOKUP(AF2654,TPCalibEq300!$AZ$2:$BB$55,3,),IF(AND(I2654="TDP",S2654&lt;=300),VLOOKUP(AF2654,TPCalibEq300!$AZ$2:$BB$55,3,)))</f>
        <v>0</v>
      </c>
      <c r="AS2654" s="10" t="b">
        <f>IF(AND(I2654="TP",S2654&lt;=500),VLOOKUP(AF2654,TPCalibEq500!$AZ$2:$BB$56,3,),IF(AND(I2654="TDP",S2654&lt;=500),VLOOKUP(AF2654,TPCalibEq500!$AZ$2:$BB$56,3,)))</f>
        <v>0</v>
      </c>
      <c r="AT2654" s="10" t="str">
        <f>IF(AND(I2654="TN",S2654&lt;=2800),VLOOKUP(AF2654,TNCalibEq2500!$AZ$2:$BB$56,3,),IF(AND(I2654="TDN",S2654&lt;=2800),VLOOKUP(AF2654,TNCalibEq2500!$AZ$2:$BB$56,3,)))</f>
        <v>y=-1.3255x2+193.01x-127.15</v>
      </c>
      <c r="AU2654" s="10" t="str">
        <f>IF(I2654="TP",VLOOKUP(AF2654,TPCalibEqFull!$AZ$2:$BB$56,3),IF(I2654="TDP",VLOOKUP(AF2654,TPCalibEqFull!$AZ$2:$BB$56,3),IF(I2654="TDN",VLOOKUP(AF2654,TNCalibEqFull!$AZ$1:$BB$56,3),IF(I2654="TN",VLOOKUP(AF2654,TNCalibEqFull!$AZ$1:$BB$56,3),FALSE))))</f>
        <v>y=-0.215x2+181.97x-117.15</v>
      </c>
      <c r="AV2654" s="10" t="str">
        <f t="shared" si="303"/>
        <v>0202 13:58:00-EFK-0-FIL-1-SW-UKN</v>
      </c>
    </row>
    <row r="2655" spans="1:48" s="10" customFormat="1" x14ac:dyDescent="0.55000000000000004">
      <c r="A2655" s="32">
        <v>44959</v>
      </c>
      <c r="B2655" s="33">
        <v>0.56944444444444442</v>
      </c>
      <c r="C2655" s="10" t="s">
        <v>333</v>
      </c>
      <c r="D2655" s="10">
        <v>0</v>
      </c>
      <c r="E2655" s="10" t="s">
        <v>911</v>
      </c>
      <c r="F2655" s="10">
        <v>1</v>
      </c>
      <c r="G2655" s="10" t="s">
        <v>231</v>
      </c>
      <c r="H2655" s="10" t="s">
        <v>322</v>
      </c>
      <c r="I2655" s="10" t="s">
        <v>224</v>
      </c>
      <c r="J2655" s="10">
        <v>63</v>
      </c>
      <c r="K2655" s="12">
        <v>44967</v>
      </c>
      <c r="L2655" s="33">
        <v>0.46209490740740744</v>
      </c>
      <c r="M2655" s="10">
        <v>1</v>
      </c>
      <c r="N2655" s="10" t="s">
        <v>196</v>
      </c>
      <c r="O2655" s="10">
        <v>8.91</v>
      </c>
      <c r="P2655" s="10">
        <v>0.434</v>
      </c>
      <c r="Q2655" s="10">
        <v>1470</v>
      </c>
      <c r="R2655" s="10" t="s">
        <v>170</v>
      </c>
      <c r="S2655" s="34">
        <f t="shared" si="300"/>
        <v>1487.3401734499998</v>
      </c>
      <c r="T2655" s="10" t="s">
        <v>1185</v>
      </c>
      <c r="U2655" s="34" t="str">
        <f t="shared" si="301"/>
        <v/>
      </c>
      <c r="V2655" s="31" t="str">
        <f>IF(H2655="CHK",VLOOKUP(I2655,QCCHK,3,),IF(H2655="GUP",VLOOKUP(E2655,QCGUP,2,),IF(AND(H2655="ATP",OR(I2655="TN",I2655="TDN",I2655="TNO2-3",I2655="NO2-3")),VLOOKUP(E2655,QCREC_N,2,),IF(AND(H2655="NIC",OR(I2655="TN",I2655="TDN",I2655="TNO2-3",I2655="NO2-3")),VLOOKUP(E2655,QCNIC_N,2,),IF(AND(H2655="UREA",OR(I2655="TN",I2655="TDN",I2655="TNO2-3",I2655="NO2-3")),VLOOKUP(E2655,QCUREA_N,2,),IF(H2655="PER",VLOOKUP(I2655,QCPER,MATCH(E2655,QCACTUAL!$J$25:$AA$25,0),),IF(H2655="SPK",VLOOKUP(I2655,QCSPK,3,),IF(AND(H2655="ATP",OR(I2655="TP",I2655="TDP")),VLOOKUP(E2655,QCATP_P,2,),""))))))))</f>
        <v/>
      </c>
      <c r="W2655" s="31" t="str">
        <f t="shared" si="302"/>
        <v>TRUE</v>
      </c>
      <c r="X2655" s="31" t="str">
        <f t="shared" si="299"/>
        <v/>
      </c>
      <c r="Y2655" s="10" t="s">
        <v>1178</v>
      </c>
      <c r="Z2655" s="10" t="s">
        <v>910</v>
      </c>
      <c r="AF2655" s="12">
        <v>44967</v>
      </c>
      <c r="AJ2655" s="10">
        <f>-1.3255*8.91^2+193.01*8.91-127.15</f>
        <v>1487.3401734499998</v>
      </c>
      <c r="AK2655" s="10">
        <f>-0.215*8.91^2+181.97*8.91-117.15</f>
        <v>1487.1342584999998</v>
      </c>
      <c r="AL2655" s="10" t="str">
        <f t="shared" si="297"/>
        <v>FALSE</v>
      </c>
      <c r="AM2655" s="10" t="str">
        <f t="shared" si="297"/>
        <v>FALSE</v>
      </c>
      <c r="AN2655" s="10" t="str">
        <f t="shared" si="297"/>
        <v>FALSE</v>
      </c>
      <c r="AO2655" s="10" t="str">
        <f t="shared" si="298"/>
        <v>y=-1.3255*8.91^2+193.01*8.91-127.15</v>
      </c>
      <c r="AP2655" s="10" t="str">
        <f t="shared" si="298"/>
        <v>y=-0.215*8.91^2+181.97*8.91-117.15</v>
      </c>
      <c r="AQ2655" s="10" t="b">
        <f>IF(AND(I2655="TP",S2655&lt;=150),VLOOKUP(AF2655,TPCalibEq150!$AZ$2:$BB$55,3,),IF(AND(I2655="TDP",S2655&lt;=150),VLOOKUP(AF2655,TPCalibEq150!$AZ$2:$BB$55,3,)))</f>
        <v>0</v>
      </c>
      <c r="AR2655" s="10" t="b">
        <f>IF(AND(I2655="TP",S2655&lt;=300),VLOOKUP(AF2655,TPCalibEq300!$AZ$2:$BB$55,3,),IF(AND(I2655="TDP",S2655&lt;=300),VLOOKUP(AF2655,TPCalibEq300!$AZ$2:$BB$55,3,)))</f>
        <v>0</v>
      </c>
      <c r="AS2655" s="10" t="b">
        <f>IF(AND(I2655="TP",S2655&lt;=500),VLOOKUP(AF2655,TPCalibEq500!$AZ$2:$BB$56,3,),IF(AND(I2655="TDP",S2655&lt;=500),VLOOKUP(AF2655,TPCalibEq500!$AZ$2:$BB$56,3,)))</f>
        <v>0</v>
      </c>
      <c r="AT2655" s="10" t="str">
        <f>IF(AND(I2655="TN",S2655&lt;=2800),VLOOKUP(AF2655,TNCalibEq2500!$AZ$2:$BB$56,3,),IF(AND(I2655="TDN",S2655&lt;=2800),VLOOKUP(AF2655,TNCalibEq2500!$AZ$2:$BB$56,3,)))</f>
        <v>y=-1.3255x2+193.01x-127.15</v>
      </c>
      <c r="AU2655" s="10" t="str">
        <f>IF(I2655="TP",VLOOKUP(AF2655,TPCalibEqFull!$AZ$2:$BB$56,3),IF(I2655="TDP",VLOOKUP(AF2655,TPCalibEqFull!$AZ$2:$BB$56,3),IF(I2655="TDN",VLOOKUP(AF2655,TNCalibEqFull!$AZ$1:$BB$56,3),IF(I2655="TN",VLOOKUP(AF2655,TNCalibEqFull!$AZ$1:$BB$56,3),FALSE))))</f>
        <v>y=-0.215x2+181.97x-117.15</v>
      </c>
      <c r="AV2655" s="10" t="str">
        <f t="shared" si="303"/>
        <v>0202 13:40:00-HST-0-FIL-1-SW-UKN</v>
      </c>
    </row>
    <row r="2656" spans="1:48" s="10" customFormat="1" x14ac:dyDescent="0.55000000000000004">
      <c r="A2656" s="32">
        <v>44960</v>
      </c>
      <c r="B2656" s="33">
        <v>0.45208333333333334</v>
      </c>
      <c r="C2656" s="10" t="s">
        <v>279</v>
      </c>
      <c r="D2656" s="10">
        <v>0</v>
      </c>
      <c r="E2656" s="10" t="s">
        <v>911</v>
      </c>
      <c r="F2656" s="10">
        <v>1</v>
      </c>
      <c r="G2656" s="10" t="s">
        <v>231</v>
      </c>
      <c r="H2656" s="10" t="s">
        <v>322</v>
      </c>
      <c r="I2656" s="10" t="s">
        <v>224</v>
      </c>
      <c r="J2656" s="10">
        <v>64</v>
      </c>
      <c r="K2656" s="12">
        <v>44967</v>
      </c>
      <c r="L2656" s="33">
        <v>0.46276620370370369</v>
      </c>
      <c r="M2656" s="10">
        <v>1</v>
      </c>
      <c r="N2656" s="10" t="s">
        <v>196</v>
      </c>
      <c r="O2656" s="10">
        <v>8.48</v>
      </c>
      <c r="P2656" s="10">
        <v>0.41499999999999998</v>
      </c>
      <c r="Q2656" s="10">
        <v>1390</v>
      </c>
      <c r="R2656" s="10" t="s">
        <v>170</v>
      </c>
      <c r="S2656" s="34">
        <f t="shared" si="300"/>
        <v>1414.2575648</v>
      </c>
      <c r="T2656" s="10" t="s">
        <v>1185</v>
      </c>
      <c r="U2656" s="34" t="str">
        <f t="shared" si="301"/>
        <v/>
      </c>
      <c r="V2656" s="31" t="str">
        <f>IF(H2656="CHK",VLOOKUP(I2656,QCCHK,3,),IF(H2656="GUP",VLOOKUP(E2656,QCGUP,2,),IF(AND(H2656="ATP",OR(I2656="TN",I2656="TDN",I2656="TNO2-3",I2656="NO2-3")),VLOOKUP(E2656,QCREC_N,2,),IF(AND(H2656="NIC",OR(I2656="TN",I2656="TDN",I2656="TNO2-3",I2656="NO2-3")),VLOOKUP(E2656,QCNIC_N,2,),IF(AND(H2656="UREA",OR(I2656="TN",I2656="TDN",I2656="TNO2-3",I2656="NO2-3")),VLOOKUP(E2656,QCUREA_N,2,),IF(H2656="PER",VLOOKUP(I2656,QCPER,MATCH(E2656,QCACTUAL!$J$25:$AA$25,0),),IF(H2656="SPK",VLOOKUP(I2656,QCSPK,3,),IF(AND(H2656="ATP",OR(I2656="TP",I2656="TDP")),VLOOKUP(E2656,QCATP_P,2,),""))))))))</f>
        <v/>
      </c>
      <c r="W2656" s="31" t="str">
        <f t="shared" si="302"/>
        <v>TRUE</v>
      </c>
      <c r="X2656" s="31" t="str">
        <f t="shared" si="299"/>
        <v/>
      </c>
      <c r="Y2656" s="10" t="s">
        <v>1178</v>
      </c>
      <c r="Z2656" s="10" t="s">
        <v>910</v>
      </c>
      <c r="AF2656" s="12">
        <v>44967</v>
      </c>
      <c r="AJ2656" s="10">
        <f>-1.3255*8.48^2+193.01*8.48-127.15</f>
        <v>1414.2575648</v>
      </c>
      <c r="AK2656" s="10">
        <f>-0.215*8.48^2+181.97*8.48-117.15</f>
        <v>1410.494864</v>
      </c>
      <c r="AL2656" s="10" t="str">
        <f t="shared" si="297"/>
        <v>FALSE</v>
      </c>
      <c r="AM2656" s="10" t="str">
        <f t="shared" si="297"/>
        <v>FALSE</v>
      </c>
      <c r="AN2656" s="10" t="str">
        <f t="shared" si="297"/>
        <v>FALSE</v>
      </c>
      <c r="AO2656" s="10" t="str">
        <f t="shared" si="298"/>
        <v>y=-1.3255*8.48^2+193.01*8.48-127.15</v>
      </c>
      <c r="AP2656" s="10" t="str">
        <f t="shared" si="298"/>
        <v>y=-0.215*8.48^2+181.97*8.48-117.15</v>
      </c>
      <c r="AQ2656" s="10" t="b">
        <f>IF(AND(I2656="TP",S2656&lt;=150),VLOOKUP(AF2656,TPCalibEq150!$AZ$2:$BB$55,3,),IF(AND(I2656="TDP",S2656&lt;=150),VLOOKUP(AF2656,TPCalibEq150!$AZ$2:$BB$55,3,)))</f>
        <v>0</v>
      </c>
      <c r="AR2656" s="10" t="b">
        <f>IF(AND(I2656="TP",S2656&lt;=300),VLOOKUP(AF2656,TPCalibEq300!$AZ$2:$BB$55,3,),IF(AND(I2656="TDP",S2656&lt;=300),VLOOKUP(AF2656,TPCalibEq300!$AZ$2:$BB$55,3,)))</f>
        <v>0</v>
      </c>
      <c r="AS2656" s="10" t="b">
        <f>IF(AND(I2656="TP",S2656&lt;=500),VLOOKUP(AF2656,TPCalibEq500!$AZ$2:$BB$56,3,),IF(AND(I2656="TDP",S2656&lt;=500),VLOOKUP(AF2656,TPCalibEq500!$AZ$2:$BB$56,3,)))</f>
        <v>0</v>
      </c>
      <c r="AT2656" s="10" t="str">
        <f>IF(AND(I2656="TN",S2656&lt;=2800),VLOOKUP(AF2656,TNCalibEq2500!$AZ$2:$BB$56,3,),IF(AND(I2656="TDN",S2656&lt;=2800),VLOOKUP(AF2656,TNCalibEq2500!$AZ$2:$BB$56,3,)))</f>
        <v>y=-1.3255x2+193.01x-127.15</v>
      </c>
      <c r="AU2656" s="10" t="str">
        <f>IF(I2656="TP",VLOOKUP(AF2656,TPCalibEqFull!$AZ$2:$BB$56,3),IF(I2656="TDP",VLOOKUP(AF2656,TPCalibEqFull!$AZ$2:$BB$56,3),IF(I2656="TDN",VLOOKUP(AF2656,TNCalibEqFull!$AZ$1:$BB$56,3),IF(I2656="TN",VLOOKUP(AF2656,TNCalibEqFull!$AZ$1:$BB$56,3),FALSE))))</f>
        <v>y=-0.215x2+181.97x-117.15</v>
      </c>
      <c r="AV2656" s="10" t="str">
        <f t="shared" si="303"/>
        <v>0203 10:51:00-EFK-0-FIL-1-SW-UKN</v>
      </c>
    </row>
    <row r="2657" spans="1:48" s="10" customFormat="1" x14ac:dyDescent="0.55000000000000004">
      <c r="A2657" s="32">
        <v>44960</v>
      </c>
      <c r="B2657" s="33">
        <v>0.45416666666666666</v>
      </c>
      <c r="C2657" s="10" t="s">
        <v>333</v>
      </c>
      <c r="D2657" s="10">
        <v>0</v>
      </c>
      <c r="E2657" s="10" t="s">
        <v>911</v>
      </c>
      <c r="F2657" s="10">
        <v>1</v>
      </c>
      <c r="G2657" s="10" t="s">
        <v>231</v>
      </c>
      <c r="H2657" s="10" t="s">
        <v>322</v>
      </c>
      <c r="I2657" s="10" t="s">
        <v>224</v>
      </c>
      <c r="J2657" s="10">
        <v>65</v>
      </c>
      <c r="K2657" s="12">
        <v>44967</v>
      </c>
      <c r="L2657" s="33">
        <v>0.46344907407407404</v>
      </c>
      <c r="M2657" s="10">
        <v>1</v>
      </c>
      <c r="N2657" s="10" t="s">
        <v>196</v>
      </c>
      <c r="O2657" s="10">
        <v>5.45</v>
      </c>
      <c r="P2657" s="10">
        <v>0.26700000000000002</v>
      </c>
      <c r="Q2657" s="10">
        <v>858</v>
      </c>
      <c r="R2657" s="10" t="s">
        <v>170</v>
      </c>
      <c r="S2657" s="34">
        <f t="shared" si="300"/>
        <v>885.38383625000017</v>
      </c>
      <c r="T2657" s="10" t="s">
        <v>1185</v>
      </c>
      <c r="U2657" s="34" t="str">
        <f t="shared" si="301"/>
        <v/>
      </c>
      <c r="V2657" s="31" t="str">
        <f>IF(H2657="CHK",VLOOKUP(I2657,QCCHK,3,),IF(H2657="GUP",VLOOKUP(E2657,QCGUP,2,),IF(AND(H2657="ATP",OR(I2657="TN",I2657="TDN",I2657="TNO2-3",I2657="NO2-3")),VLOOKUP(E2657,QCREC_N,2,),IF(AND(H2657="NIC",OR(I2657="TN",I2657="TDN",I2657="TNO2-3",I2657="NO2-3")),VLOOKUP(E2657,QCNIC_N,2,),IF(AND(H2657="UREA",OR(I2657="TN",I2657="TDN",I2657="TNO2-3",I2657="NO2-3")),VLOOKUP(E2657,QCUREA_N,2,),IF(H2657="PER",VLOOKUP(I2657,QCPER,MATCH(E2657,QCACTUAL!$J$25:$AA$25,0),),IF(H2657="SPK",VLOOKUP(I2657,QCSPK,3,),IF(AND(H2657="ATP",OR(I2657="TP",I2657="TDP")),VLOOKUP(E2657,QCATP_P,2,),""))))))))</f>
        <v/>
      </c>
      <c r="W2657" s="31" t="str">
        <f t="shared" si="302"/>
        <v>TRUE</v>
      </c>
      <c r="X2657" s="31" t="str">
        <f t="shared" si="299"/>
        <v/>
      </c>
      <c r="Y2657" s="10" t="s">
        <v>1178</v>
      </c>
      <c r="Z2657" s="10" t="s">
        <v>910</v>
      </c>
      <c r="AF2657" s="12">
        <v>44967</v>
      </c>
      <c r="AJ2657" s="10">
        <f>-1.3255*5.45^2+193.01*5.45-127.15</f>
        <v>885.38383625000017</v>
      </c>
      <c r="AK2657" s="10">
        <f>-0.215*5.45^2+181.97*5.45-117.15</f>
        <v>868.20046249999996</v>
      </c>
      <c r="AL2657" s="10" t="str">
        <f t="shared" si="297"/>
        <v>FALSE</v>
      </c>
      <c r="AM2657" s="10" t="str">
        <f t="shared" si="297"/>
        <v>FALSE</v>
      </c>
      <c r="AN2657" s="10" t="str">
        <f t="shared" si="297"/>
        <v>FALSE</v>
      </c>
      <c r="AO2657" s="10" t="str">
        <f t="shared" si="298"/>
        <v>y=-1.3255*5.45^2+193.01*5.45-127.15</v>
      </c>
      <c r="AP2657" s="10" t="str">
        <f t="shared" si="298"/>
        <v>y=-0.215*5.45^2+181.97*5.45-117.15</v>
      </c>
      <c r="AQ2657" s="10" t="b">
        <f>IF(AND(I2657="TP",S2657&lt;=150),VLOOKUP(AF2657,TPCalibEq150!$AZ$2:$BB$55,3,),IF(AND(I2657="TDP",S2657&lt;=150),VLOOKUP(AF2657,TPCalibEq150!$AZ$2:$BB$55,3,)))</f>
        <v>0</v>
      </c>
      <c r="AR2657" s="10" t="b">
        <f>IF(AND(I2657="TP",S2657&lt;=300),VLOOKUP(AF2657,TPCalibEq300!$AZ$2:$BB$55,3,),IF(AND(I2657="TDP",S2657&lt;=300),VLOOKUP(AF2657,TPCalibEq300!$AZ$2:$BB$55,3,)))</f>
        <v>0</v>
      </c>
      <c r="AS2657" s="10" t="b">
        <f>IF(AND(I2657="TP",S2657&lt;=500),VLOOKUP(AF2657,TPCalibEq500!$AZ$2:$BB$56,3,),IF(AND(I2657="TDP",S2657&lt;=500),VLOOKUP(AF2657,TPCalibEq500!$AZ$2:$BB$56,3,)))</f>
        <v>0</v>
      </c>
      <c r="AT2657" s="10" t="str">
        <f>IF(AND(I2657="TN",S2657&lt;=2800),VLOOKUP(AF2657,TNCalibEq2500!$AZ$2:$BB$56,3,),IF(AND(I2657="TDN",S2657&lt;=2800),VLOOKUP(AF2657,TNCalibEq2500!$AZ$2:$BB$56,3,)))</f>
        <v>y=-1.3255x2+193.01x-127.15</v>
      </c>
      <c r="AU2657" s="10" t="str">
        <f>IF(I2657="TP",VLOOKUP(AF2657,TPCalibEqFull!$AZ$2:$BB$56,3),IF(I2657="TDP",VLOOKUP(AF2657,TPCalibEqFull!$AZ$2:$BB$56,3),IF(I2657="TDN",VLOOKUP(AF2657,TNCalibEqFull!$AZ$1:$BB$56,3),IF(I2657="TN",VLOOKUP(AF2657,TNCalibEqFull!$AZ$1:$BB$56,3),FALSE))))</f>
        <v>y=-0.215x2+181.97x-117.15</v>
      </c>
      <c r="AV2657" s="10" t="str">
        <f t="shared" si="303"/>
        <v>0203 10:54:00-HST-0-FIL-1-SW-UKN</v>
      </c>
    </row>
    <row r="2658" spans="1:48" s="10" customFormat="1" x14ac:dyDescent="0.55000000000000004">
      <c r="A2658" s="32">
        <v>44963</v>
      </c>
      <c r="B2658" s="33">
        <v>0.31666666666666665</v>
      </c>
      <c r="C2658" s="10" t="s">
        <v>279</v>
      </c>
      <c r="D2658" s="10">
        <v>0</v>
      </c>
      <c r="E2658" s="10" t="s">
        <v>911</v>
      </c>
      <c r="F2658" s="10">
        <v>1</v>
      </c>
      <c r="G2658" s="10" t="s">
        <v>231</v>
      </c>
      <c r="H2658" s="10" t="s">
        <v>322</v>
      </c>
      <c r="I2658" s="10" t="s">
        <v>224</v>
      </c>
      <c r="J2658" s="10">
        <v>66</v>
      </c>
      <c r="K2658" s="12">
        <v>44967</v>
      </c>
      <c r="L2658" s="33">
        <v>0.46412037037037041</v>
      </c>
      <c r="M2658" s="10">
        <v>1</v>
      </c>
      <c r="N2658" s="10" t="s">
        <v>196</v>
      </c>
      <c r="O2658" s="10">
        <v>8.75</v>
      </c>
      <c r="P2658" s="10">
        <v>0.42699999999999999</v>
      </c>
      <c r="Q2658" s="10">
        <v>1440</v>
      </c>
      <c r="R2658" s="10" t="s">
        <v>170</v>
      </c>
      <c r="S2658" s="34">
        <f t="shared" si="300"/>
        <v>1460.2039062499998</v>
      </c>
      <c r="T2658" s="10" t="s">
        <v>1185</v>
      </c>
      <c r="U2658" s="34" t="str">
        <f t="shared" si="301"/>
        <v/>
      </c>
      <c r="V2658" s="31" t="str">
        <f>IF(H2658="CHK",VLOOKUP(I2658,QCCHK,3,),IF(H2658="GUP",VLOOKUP(E2658,QCGUP,2,),IF(AND(H2658="ATP",OR(I2658="TN",I2658="TDN",I2658="TNO2-3",I2658="NO2-3")),VLOOKUP(E2658,QCREC_N,2,),IF(AND(H2658="NIC",OR(I2658="TN",I2658="TDN",I2658="TNO2-3",I2658="NO2-3")),VLOOKUP(E2658,QCNIC_N,2,),IF(AND(H2658="UREA",OR(I2658="TN",I2658="TDN",I2658="TNO2-3",I2658="NO2-3")),VLOOKUP(E2658,QCUREA_N,2,),IF(H2658="PER",VLOOKUP(I2658,QCPER,MATCH(E2658,QCACTUAL!$J$25:$AA$25,0),),IF(H2658="SPK",VLOOKUP(I2658,QCSPK,3,),IF(AND(H2658="ATP",OR(I2658="TP",I2658="TDP")),VLOOKUP(E2658,QCATP_P,2,),""))))))))</f>
        <v/>
      </c>
      <c r="W2658" s="31" t="str">
        <f t="shared" si="302"/>
        <v>TRUE</v>
      </c>
      <c r="X2658" s="31" t="str">
        <f t="shared" si="299"/>
        <v/>
      </c>
      <c r="Y2658" s="10" t="s">
        <v>1178</v>
      </c>
      <c r="Z2658" s="10" t="s">
        <v>910</v>
      </c>
      <c r="AF2658" s="12">
        <v>44967</v>
      </c>
      <c r="AJ2658" s="10">
        <f>-1.3255*8.75^2+193.01*8.75-127.15</f>
        <v>1460.2039062499998</v>
      </c>
      <c r="AK2658" s="10">
        <f>-0.215*8.75^2+181.97*8.75-117.15</f>
        <v>1458.6265624999999</v>
      </c>
      <c r="AL2658" s="10" t="str">
        <f t="shared" si="297"/>
        <v>FALSE</v>
      </c>
      <c r="AM2658" s="10" t="str">
        <f t="shared" si="297"/>
        <v>FALSE</v>
      </c>
      <c r="AN2658" s="10" t="str">
        <f t="shared" si="297"/>
        <v>FALSE</v>
      </c>
      <c r="AO2658" s="10" t="str">
        <f t="shared" si="298"/>
        <v>y=-1.3255*8.75^2+193.01*8.75-127.15</v>
      </c>
      <c r="AP2658" s="10" t="str">
        <f t="shared" si="298"/>
        <v>y=-0.215*8.75^2+181.97*8.75-117.15</v>
      </c>
      <c r="AQ2658" s="10" t="b">
        <f>IF(AND(I2658="TP",S2658&lt;=150),VLOOKUP(AF2658,TPCalibEq150!$AZ$2:$BB$55,3,),IF(AND(I2658="TDP",S2658&lt;=150),VLOOKUP(AF2658,TPCalibEq150!$AZ$2:$BB$55,3,)))</f>
        <v>0</v>
      </c>
      <c r="AR2658" s="10" t="b">
        <f>IF(AND(I2658="TP",S2658&lt;=300),VLOOKUP(AF2658,TPCalibEq300!$AZ$2:$BB$55,3,),IF(AND(I2658="TDP",S2658&lt;=300),VLOOKUP(AF2658,TPCalibEq300!$AZ$2:$BB$55,3,)))</f>
        <v>0</v>
      </c>
      <c r="AS2658" s="10" t="b">
        <f>IF(AND(I2658="TP",S2658&lt;=500),VLOOKUP(AF2658,TPCalibEq500!$AZ$2:$BB$56,3,),IF(AND(I2658="TDP",S2658&lt;=500),VLOOKUP(AF2658,TPCalibEq500!$AZ$2:$BB$56,3,)))</f>
        <v>0</v>
      </c>
      <c r="AT2658" s="10" t="str">
        <f>IF(AND(I2658="TN",S2658&lt;=2800),VLOOKUP(AF2658,TNCalibEq2500!$AZ$2:$BB$56,3,),IF(AND(I2658="TDN",S2658&lt;=2800),VLOOKUP(AF2658,TNCalibEq2500!$AZ$2:$BB$56,3,)))</f>
        <v>y=-1.3255x2+193.01x-127.15</v>
      </c>
      <c r="AU2658" s="10" t="str">
        <f>IF(I2658="TP",VLOOKUP(AF2658,TPCalibEqFull!$AZ$2:$BB$56,3),IF(I2658="TDP",VLOOKUP(AF2658,TPCalibEqFull!$AZ$2:$BB$56,3),IF(I2658="TDN",VLOOKUP(AF2658,TNCalibEqFull!$AZ$1:$BB$56,3),IF(I2658="TN",VLOOKUP(AF2658,TNCalibEqFull!$AZ$1:$BB$56,3),FALSE))))</f>
        <v>y=-0.215x2+181.97x-117.15</v>
      </c>
      <c r="AV2658" s="10" t="str">
        <f t="shared" si="303"/>
        <v>0206 07:36:00-EFK-0-FIL-1-SW-UKN</v>
      </c>
    </row>
    <row r="2659" spans="1:48" s="10" customFormat="1" x14ac:dyDescent="0.55000000000000004">
      <c r="A2659" s="32">
        <v>44963</v>
      </c>
      <c r="B2659" s="33">
        <v>0.27986111111111112</v>
      </c>
      <c r="C2659" s="10" t="s">
        <v>333</v>
      </c>
      <c r="D2659" s="10">
        <v>0</v>
      </c>
      <c r="E2659" s="10" t="s">
        <v>911</v>
      </c>
      <c r="F2659" s="10">
        <v>1</v>
      </c>
      <c r="G2659" s="10" t="s">
        <v>231</v>
      </c>
      <c r="H2659" s="10" t="s">
        <v>322</v>
      </c>
      <c r="I2659" s="10" t="s">
        <v>224</v>
      </c>
      <c r="J2659" s="10">
        <v>67</v>
      </c>
      <c r="K2659" s="12">
        <v>44967</v>
      </c>
      <c r="L2659" s="33">
        <v>0.46479166666666666</v>
      </c>
      <c r="M2659" s="10">
        <v>1</v>
      </c>
      <c r="N2659" s="10" t="s">
        <v>196</v>
      </c>
      <c r="O2659" s="10">
        <v>7.07</v>
      </c>
      <c r="P2659" s="10">
        <v>0.34499999999999997</v>
      </c>
      <c r="Q2659" s="10">
        <v>1140</v>
      </c>
      <c r="R2659" s="10" t="s">
        <v>170</v>
      </c>
      <c r="S2659" s="34">
        <f t="shared" si="300"/>
        <v>1171.1757150499998</v>
      </c>
      <c r="T2659" s="10" t="s">
        <v>1185</v>
      </c>
      <c r="U2659" s="34" t="str">
        <f t="shared" si="301"/>
        <v/>
      </c>
      <c r="V2659" s="31" t="str">
        <f>IF(H2659="CHK",VLOOKUP(I2659,QCCHK,3,),IF(H2659="GUP",VLOOKUP(E2659,QCGUP,2,),IF(AND(H2659="ATP",OR(I2659="TN",I2659="TDN",I2659="TNO2-3",I2659="NO2-3")),VLOOKUP(E2659,QCREC_N,2,),IF(AND(H2659="NIC",OR(I2659="TN",I2659="TDN",I2659="TNO2-3",I2659="NO2-3")),VLOOKUP(E2659,QCNIC_N,2,),IF(AND(H2659="UREA",OR(I2659="TN",I2659="TDN",I2659="TNO2-3",I2659="NO2-3")),VLOOKUP(E2659,QCUREA_N,2,),IF(H2659="PER",VLOOKUP(I2659,QCPER,MATCH(E2659,QCACTUAL!$J$25:$AA$25,0),),IF(H2659="SPK",VLOOKUP(I2659,QCSPK,3,),IF(AND(H2659="ATP",OR(I2659="TP",I2659="TDP")),VLOOKUP(E2659,QCATP_P,2,),""))))))))</f>
        <v/>
      </c>
      <c r="W2659" s="31" t="str">
        <f t="shared" si="302"/>
        <v>TRUE</v>
      </c>
      <c r="X2659" s="31" t="str">
        <f t="shared" si="299"/>
        <v/>
      </c>
      <c r="Y2659" s="10" t="s">
        <v>1178</v>
      </c>
      <c r="Z2659" s="10" t="s">
        <v>910</v>
      </c>
      <c r="AF2659" s="12">
        <v>44967</v>
      </c>
      <c r="AJ2659" s="10">
        <f>-1.3255*7.07^2+193.01*7.07-127.15</f>
        <v>1171.1757150499998</v>
      </c>
      <c r="AK2659" s="10">
        <f>-0.215*7.07^2+181.97*7.07-117.15</f>
        <v>1158.6311464999999</v>
      </c>
      <c r="AL2659" s="10" t="str">
        <f t="shared" si="297"/>
        <v>FALSE</v>
      </c>
      <c r="AM2659" s="10" t="str">
        <f t="shared" si="297"/>
        <v>FALSE</v>
      </c>
      <c r="AN2659" s="10" t="str">
        <f t="shared" si="297"/>
        <v>FALSE</v>
      </c>
      <c r="AO2659" s="10" t="str">
        <f t="shared" si="298"/>
        <v>y=-1.3255*7.07^2+193.01*7.07-127.15</v>
      </c>
      <c r="AP2659" s="10" t="str">
        <f t="shared" si="298"/>
        <v>y=-0.215*7.07^2+181.97*7.07-117.15</v>
      </c>
      <c r="AQ2659" s="10" t="b">
        <f>IF(AND(I2659="TP",S2659&lt;=150),VLOOKUP(AF2659,TPCalibEq150!$AZ$2:$BB$55,3,),IF(AND(I2659="TDP",S2659&lt;=150),VLOOKUP(AF2659,TPCalibEq150!$AZ$2:$BB$55,3,)))</f>
        <v>0</v>
      </c>
      <c r="AR2659" s="10" t="b">
        <f>IF(AND(I2659="TP",S2659&lt;=300),VLOOKUP(AF2659,TPCalibEq300!$AZ$2:$BB$55,3,),IF(AND(I2659="TDP",S2659&lt;=300),VLOOKUP(AF2659,TPCalibEq300!$AZ$2:$BB$55,3,)))</f>
        <v>0</v>
      </c>
      <c r="AS2659" s="10" t="b">
        <f>IF(AND(I2659="TP",S2659&lt;=500),VLOOKUP(AF2659,TPCalibEq500!$AZ$2:$BB$56,3,),IF(AND(I2659="TDP",S2659&lt;=500),VLOOKUP(AF2659,TPCalibEq500!$AZ$2:$BB$56,3,)))</f>
        <v>0</v>
      </c>
      <c r="AT2659" s="10" t="str">
        <f>IF(AND(I2659="TN",S2659&lt;=2800),VLOOKUP(AF2659,TNCalibEq2500!$AZ$2:$BB$56,3,),IF(AND(I2659="TDN",S2659&lt;=2800),VLOOKUP(AF2659,TNCalibEq2500!$AZ$2:$BB$56,3,)))</f>
        <v>y=-1.3255x2+193.01x-127.15</v>
      </c>
      <c r="AU2659" s="10" t="str">
        <f>IF(I2659="TP",VLOOKUP(AF2659,TPCalibEqFull!$AZ$2:$BB$56,3),IF(I2659="TDP",VLOOKUP(AF2659,TPCalibEqFull!$AZ$2:$BB$56,3),IF(I2659="TDN",VLOOKUP(AF2659,TNCalibEqFull!$AZ$1:$BB$56,3),IF(I2659="TN",VLOOKUP(AF2659,TNCalibEqFull!$AZ$1:$BB$56,3),FALSE))))</f>
        <v>y=-0.215x2+181.97x-117.15</v>
      </c>
      <c r="AV2659" s="10" t="str">
        <f t="shared" si="303"/>
        <v>0206 06:43:00-HST-0-FIL-1-SW-UKN</v>
      </c>
    </row>
    <row r="2660" spans="1:48" s="10" customFormat="1" x14ac:dyDescent="0.55000000000000004">
      <c r="A2660" s="32">
        <v>44964</v>
      </c>
      <c r="B2660" s="33">
        <v>0.22291666666666665</v>
      </c>
      <c r="C2660" s="10" t="s">
        <v>279</v>
      </c>
      <c r="D2660" s="10">
        <v>0</v>
      </c>
      <c r="E2660" s="10" t="s">
        <v>911</v>
      </c>
      <c r="F2660" s="10">
        <v>1</v>
      </c>
      <c r="G2660" s="10" t="s">
        <v>231</v>
      </c>
      <c r="H2660" s="10" t="s">
        <v>322</v>
      </c>
      <c r="I2660" s="10" t="s">
        <v>224</v>
      </c>
      <c r="J2660" s="10">
        <v>68</v>
      </c>
      <c r="K2660" s="12">
        <v>44967</v>
      </c>
      <c r="L2660" s="33">
        <v>0.46546296296296297</v>
      </c>
      <c r="M2660" s="10">
        <v>1</v>
      </c>
      <c r="N2660" s="10" t="s">
        <v>196</v>
      </c>
      <c r="O2660" s="10">
        <v>7.65</v>
      </c>
      <c r="P2660" s="10">
        <v>0.373</v>
      </c>
      <c r="Q2660" s="10">
        <v>1250</v>
      </c>
      <c r="R2660" s="10" t="s">
        <v>170</v>
      </c>
      <c r="S2660" s="34">
        <f t="shared" si="300"/>
        <v>1271.8049262499999</v>
      </c>
      <c r="T2660" s="10" t="s">
        <v>1185</v>
      </c>
      <c r="U2660" s="34" t="str">
        <f t="shared" si="301"/>
        <v/>
      </c>
      <c r="V2660" s="31" t="str">
        <f>IF(H2660="CHK",VLOOKUP(I2660,QCCHK,3,),IF(H2660="GUP",VLOOKUP(E2660,QCGUP,2,),IF(AND(H2660="ATP",OR(I2660="TN",I2660="TDN",I2660="TNO2-3",I2660="NO2-3")),VLOOKUP(E2660,QCREC_N,2,),IF(AND(H2660="NIC",OR(I2660="TN",I2660="TDN",I2660="TNO2-3",I2660="NO2-3")),VLOOKUP(E2660,QCNIC_N,2,),IF(AND(H2660="UREA",OR(I2660="TN",I2660="TDN",I2660="TNO2-3",I2660="NO2-3")),VLOOKUP(E2660,QCUREA_N,2,),IF(H2660="PER",VLOOKUP(I2660,QCPER,MATCH(E2660,QCACTUAL!$J$25:$AA$25,0),),IF(H2660="SPK",VLOOKUP(I2660,QCSPK,3,),IF(AND(H2660="ATP",OR(I2660="TP",I2660="TDP")),VLOOKUP(E2660,QCATP_P,2,),""))))))))</f>
        <v/>
      </c>
      <c r="W2660" s="31" t="str">
        <f t="shared" si="302"/>
        <v>TRUE</v>
      </c>
      <c r="X2660" s="31" t="str">
        <f t="shared" si="299"/>
        <v/>
      </c>
      <c r="Y2660" s="10" t="s">
        <v>1178</v>
      </c>
      <c r="Z2660" s="10" t="s">
        <v>910</v>
      </c>
      <c r="AF2660" s="12">
        <v>44967</v>
      </c>
      <c r="AJ2660" s="10">
        <f>-1.3255*7.65^2+193.01*7.65-127.15</f>
        <v>1271.8049262499999</v>
      </c>
      <c r="AK2660" s="10">
        <f>-0.215*7.65^2+181.97*7.65-117.15</f>
        <v>1262.3381625</v>
      </c>
      <c r="AL2660" s="10" t="str">
        <f t="shared" si="297"/>
        <v>FALSE</v>
      </c>
      <c r="AM2660" s="10" t="str">
        <f t="shared" si="297"/>
        <v>FALSE</v>
      </c>
      <c r="AN2660" s="10" t="str">
        <f t="shared" si="297"/>
        <v>FALSE</v>
      </c>
      <c r="AO2660" s="10" t="str">
        <f t="shared" si="298"/>
        <v>y=-1.3255*7.65^2+193.01*7.65-127.15</v>
      </c>
      <c r="AP2660" s="10" t="str">
        <f t="shared" si="298"/>
        <v>y=-0.215*7.65^2+181.97*7.65-117.15</v>
      </c>
      <c r="AQ2660" s="10" t="b">
        <f>IF(AND(I2660="TP",S2660&lt;=150),VLOOKUP(AF2660,TPCalibEq150!$AZ$2:$BB$55,3,),IF(AND(I2660="TDP",S2660&lt;=150),VLOOKUP(AF2660,TPCalibEq150!$AZ$2:$BB$55,3,)))</f>
        <v>0</v>
      </c>
      <c r="AR2660" s="10" t="b">
        <f>IF(AND(I2660="TP",S2660&lt;=300),VLOOKUP(AF2660,TPCalibEq300!$AZ$2:$BB$55,3,),IF(AND(I2660="TDP",S2660&lt;=300),VLOOKUP(AF2660,TPCalibEq300!$AZ$2:$BB$55,3,)))</f>
        <v>0</v>
      </c>
      <c r="AS2660" s="10" t="b">
        <f>IF(AND(I2660="TP",S2660&lt;=500),VLOOKUP(AF2660,TPCalibEq500!$AZ$2:$BB$56,3,),IF(AND(I2660="TDP",S2660&lt;=500),VLOOKUP(AF2660,TPCalibEq500!$AZ$2:$BB$56,3,)))</f>
        <v>0</v>
      </c>
      <c r="AT2660" s="10" t="str">
        <f>IF(AND(I2660="TN",S2660&lt;=2800),VLOOKUP(AF2660,TNCalibEq2500!$AZ$2:$BB$56,3,),IF(AND(I2660="TDN",S2660&lt;=2800),VLOOKUP(AF2660,TNCalibEq2500!$AZ$2:$BB$56,3,)))</f>
        <v>y=-1.3255x2+193.01x-127.15</v>
      </c>
      <c r="AU2660" s="10" t="str">
        <f>IF(I2660="TP",VLOOKUP(AF2660,TPCalibEqFull!$AZ$2:$BB$56,3),IF(I2660="TDP",VLOOKUP(AF2660,TPCalibEqFull!$AZ$2:$BB$56,3),IF(I2660="TDN",VLOOKUP(AF2660,TNCalibEqFull!$AZ$1:$BB$56,3),IF(I2660="TN",VLOOKUP(AF2660,TNCalibEqFull!$AZ$1:$BB$56,3),FALSE))))</f>
        <v>y=-0.215x2+181.97x-117.15</v>
      </c>
      <c r="AV2660" s="10" t="str">
        <f t="shared" si="303"/>
        <v>0207 05:21:00-EFK-0-FIL-1-SW-UKN</v>
      </c>
    </row>
    <row r="2661" spans="1:48" s="10" customFormat="1" x14ac:dyDescent="0.55000000000000004">
      <c r="A2661" s="32">
        <v>44964</v>
      </c>
      <c r="B2661" s="33">
        <v>0.22777777777777777</v>
      </c>
      <c r="C2661" s="10" t="s">
        <v>333</v>
      </c>
      <c r="D2661" s="10">
        <v>0</v>
      </c>
      <c r="E2661" s="10" t="s">
        <v>911</v>
      </c>
      <c r="F2661" s="10">
        <v>1</v>
      </c>
      <c r="G2661" s="10" t="s">
        <v>231</v>
      </c>
      <c r="H2661" s="10" t="s">
        <v>322</v>
      </c>
      <c r="I2661" s="10" t="s">
        <v>224</v>
      </c>
      <c r="J2661" s="10">
        <v>69</v>
      </c>
      <c r="K2661" s="12">
        <v>44967</v>
      </c>
      <c r="L2661" s="33">
        <v>0.46612268518518518</v>
      </c>
      <c r="M2661" s="10">
        <v>1</v>
      </c>
      <c r="N2661" s="10" t="s">
        <v>196</v>
      </c>
      <c r="O2661" s="10">
        <v>5.7</v>
      </c>
      <c r="P2661" s="10">
        <v>0.28000000000000003</v>
      </c>
      <c r="Q2661" s="10">
        <v>903</v>
      </c>
      <c r="R2661" s="10" t="s">
        <v>170</v>
      </c>
      <c r="S2661" s="34">
        <f t="shared" si="300"/>
        <v>929.94150499999989</v>
      </c>
      <c r="T2661" s="10" t="s">
        <v>1185</v>
      </c>
      <c r="U2661" s="34" t="str">
        <f t="shared" si="301"/>
        <v/>
      </c>
      <c r="V2661" s="31" t="str">
        <f>IF(H2661="CHK",VLOOKUP(I2661,QCCHK,3,),IF(H2661="GUP",VLOOKUP(E2661,QCGUP,2,),IF(AND(H2661="ATP",OR(I2661="TN",I2661="TDN",I2661="TNO2-3",I2661="NO2-3")),VLOOKUP(E2661,QCREC_N,2,),IF(AND(H2661="NIC",OR(I2661="TN",I2661="TDN",I2661="TNO2-3",I2661="NO2-3")),VLOOKUP(E2661,QCNIC_N,2,),IF(AND(H2661="UREA",OR(I2661="TN",I2661="TDN",I2661="TNO2-3",I2661="NO2-3")),VLOOKUP(E2661,QCUREA_N,2,),IF(H2661="PER",VLOOKUP(I2661,QCPER,MATCH(E2661,QCACTUAL!$J$25:$AA$25,0),),IF(H2661="SPK",VLOOKUP(I2661,QCSPK,3,),IF(AND(H2661="ATP",OR(I2661="TP",I2661="TDP")),VLOOKUP(E2661,QCATP_P,2,),""))))))))</f>
        <v/>
      </c>
      <c r="W2661" s="31" t="str">
        <f t="shared" si="302"/>
        <v>TRUE</v>
      </c>
      <c r="X2661" s="31" t="str">
        <f t="shared" si="299"/>
        <v/>
      </c>
      <c r="Y2661" s="10" t="s">
        <v>1178</v>
      </c>
      <c r="Z2661" s="10" t="s">
        <v>910</v>
      </c>
      <c r="AF2661" s="12">
        <v>44967</v>
      </c>
      <c r="AJ2661" s="10">
        <f>-1.3255*5.7^2+193.01*5.7-127.15</f>
        <v>929.94150499999989</v>
      </c>
      <c r="AK2661" s="10">
        <f>-0.215*5.7^2+181.97*5.7-117.15</f>
        <v>913.09365000000014</v>
      </c>
      <c r="AL2661" s="10" t="str">
        <f t="shared" si="297"/>
        <v>FALSE</v>
      </c>
      <c r="AM2661" s="10" t="str">
        <f t="shared" si="297"/>
        <v>FALSE</v>
      </c>
      <c r="AN2661" s="10" t="str">
        <f t="shared" si="297"/>
        <v>FALSE</v>
      </c>
      <c r="AO2661" s="10" t="str">
        <f t="shared" si="298"/>
        <v>y=-1.3255*5.7^2+193.01*5.7-127.15</v>
      </c>
      <c r="AP2661" s="10" t="str">
        <f t="shared" si="298"/>
        <v>y=-0.215*5.7^2+181.97*5.7-117.15</v>
      </c>
      <c r="AQ2661" s="10" t="b">
        <f>IF(AND(I2661="TP",S2661&lt;=150),VLOOKUP(AF2661,TPCalibEq150!$AZ$2:$BB$55,3,),IF(AND(I2661="TDP",S2661&lt;=150),VLOOKUP(AF2661,TPCalibEq150!$AZ$2:$BB$55,3,)))</f>
        <v>0</v>
      </c>
      <c r="AR2661" s="10" t="b">
        <f>IF(AND(I2661="TP",S2661&lt;=300),VLOOKUP(AF2661,TPCalibEq300!$AZ$2:$BB$55,3,),IF(AND(I2661="TDP",S2661&lt;=300),VLOOKUP(AF2661,TPCalibEq300!$AZ$2:$BB$55,3,)))</f>
        <v>0</v>
      </c>
      <c r="AS2661" s="10" t="b">
        <f>IF(AND(I2661="TP",S2661&lt;=500),VLOOKUP(AF2661,TPCalibEq500!$AZ$2:$BB$56,3,),IF(AND(I2661="TDP",S2661&lt;=500),VLOOKUP(AF2661,TPCalibEq500!$AZ$2:$BB$56,3,)))</f>
        <v>0</v>
      </c>
      <c r="AT2661" s="10" t="str">
        <f>IF(AND(I2661="TN",S2661&lt;=2800),VLOOKUP(AF2661,TNCalibEq2500!$AZ$2:$BB$56,3,),IF(AND(I2661="TDN",S2661&lt;=2800),VLOOKUP(AF2661,TNCalibEq2500!$AZ$2:$BB$56,3,)))</f>
        <v>y=-1.3255x2+193.01x-127.15</v>
      </c>
      <c r="AU2661" s="10" t="str">
        <f>IF(I2661="TP",VLOOKUP(AF2661,TPCalibEqFull!$AZ$2:$BB$56,3),IF(I2661="TDP",VLOOKUP(AF2661,TPCalibEqFull!$AZ$2:$BB$56,3),IF(I2661="TDN",VLOOKUP(AF2661,TNCalibEqFull!$AZ$1:$BB$56,3),IF(I2661="TN",VLOOKUP(AF2661,TNCalibEqFull!$AZ$1:$BB$56,3),FALSE))))</f>
        <v>y=-0.215x2+181.97x-117.15</v>
      </c>
      <c r="AV2661" s="10" t="str">
        <f t="shared" si="303"/>
        <v>0207 05:28:00-HST-0-FIL-1-SW-UKN</v>
      </c>
    </row>
    <row r="2662" spans="1:48" s="10" customFormat="1" x14ac:dyDescent="0.55000000000000004">
      <c r="A2662" s="32">
        <v>44964</v>
      </c>
      <c r="B2662" s="33">
        <v>0.22777777777777777</v>
      </c>
      <c r="C2662" s="10" t="s">
        <v>333</v>
      </c>
      <c r="D2662" s="10">
        <v>0</v>
      </c>
      <c r="E2662" s="10" t="s">
        <v>911</v>
      </c>
      <c r="F2662" s="10">
        <v>1</v>
      </c>
      <c r="G2662" s="10" t="s">
        <v>231</v>
      </c>
      <c r="H2662" s="10" t="s">
        <v>233</v>
      </c>
      <c r="I2662" s="10" t="s">
        <v>224</v>
      </c>
      <c r="J2662" s="10">
        <v>69</v>
      </c>
      <c r="K2662" s="12">
        <v>44967</v>
      </c>
      <c r="L2662" s="33">
        <v>0.4667824074074074</v>
      </c>
      <c r="M2662" s="10">
        <v>1</v>
      </c>
      <c r="N2662" s="10" t="s">
        <v>196</v>
      </c>
      <c r="O2662" s="10">
        <v>5.7</v>
      </c>
      <c r="P2662" s="10">
        <v>0.27900000000000003</v>
      </c>
      <c r="Q2662" s="10">
        <v>903</v>
      </c>
      <c r="R2662" s="10" t="s">
        <v>170</v>
      </c>
      <c r="S2662" s="34">
        <f t="shared" si="300"/>
        <v>929.94150499999989</v>
      </c>
      <c r="T2662" s="10" t="s">
        <v>1185</v>
      </c>
      <c r="U2662" s="34">
        <f t="shared" si="301"/>
        <v>0</v>
      </c>
      <c r="V2662" s="31" t="str">
        <f>IF(H2662="CHK",VLOOKUP(I2662,QCCHK,3,),IF(H2662="GUP",VLOOKUP(E2662,QCGUP,2,),IF(AND(H2662="ATP",OR(I2662="TN",I2662="TDN",I2662="TNO2-3",I2662="NO2-3")),VLOOKUP(E2662,QCREC_N,2,),IF(AND(H2662="NIC",OR(I2662="TN",I2662="TDN",I2662="TNO2-3",I2662="NO2-3")),VLOOKUP(E2662,QCNIC_N,2,),IF(AND(H2662="UREA",OR(I2662="TN",I2662="TDN",I2662="TNO2-3",I2662="NO2-3")),VLOOKUP(E2662,QCUREA_N,2,),IF(H2662="PER",VLOOKUP(I2662,QCPER,MATCH(E2662,QCACTUAL!$J$25:$AA$25,0),),IF(H2662="SPK",VLOOKUP(I2662,QCSPK,3,),IF(AND(H2662="ATP",OR(I2662="TP",I2662="TDP")),VLOOKUP(E2662,QCATP_P,2,),""))))))))</f>
        <v/>
      </c>
      <c r="W2662" s="31" t="str">
        <f t="shared" si="302"/>
        <v>TRUE</v>
      </c>
      <c r="X2662" s="31" t="str">
        <f t="shared" si="299"/>
        <v>((ABS(rep1-rep2))/((rep1+rep2)/2)*100</v>
      </c>
      <c r="Y2662" s="10" t="s">
        <v>1178</v>
      </c>
      <c r="Z2662" s="10" t="s">
        <v>910</v>
      </c>
      <c r="AF2662" s="12">
        <v>44967</v>
      </c>
      <c r="AJ2662" s="10">
        <f>-1.3255*5.7^2+193.01*5.7-127.15</f>
        <v>929.94150499999989</v>
      </c>
      <c r="AK2662" s="10">
        <f>-0.215*5.7^2+181.97*5.7-117.15</f>
        <v>913.09365000000014</v>
      </c>
      <c r="AL2662" s="10" t="str">
        <f t="shared" si="297"/>
        <v>FALSE</v>
      </c>
      <c r="AM2662" s="10" t="str">
        <f t="shared" si="297"/>
        <v>FALSE</v>
      </c>
      <c r="AN2662" s="10" t="str">
        <f t="shared" si="297"/>
        <v>FALSE</v>
      </c>
      <c r="AO2662" s="10" t="str">
        <f t="shared" si="298"/>
        <v>y=-1.3255*5.7^2+193.01*5.7-127.15</v>
      </c>
      <c r="AP2662" s="10" t="str">
        <f t="shared" si="298"/>
        <v>y=-0.215*5.7^2+181.97*5.7-117.15</v>
      </c>
      <c r="AQ2662" s="10" t="b">
        <f>IF(AND(I2662="TP",S2662&lt;=150),VLOOKUP(AF2662,TPCalibEq150!$AZ$2:$BB$55,3,),IF(AND(I2662="TDP",S2662&lt;=150),VLOOKUP(AF2662,TPCalibEq150!$AZ$2:$BB$55,3,)))</f>
        <v>0</v>
      </c>
      <c r="AR2662" s="10" t="b">
        <f>IF(AND(I2662="TP",S2662&lt;=300),VLOOKUP(AF2662,TPCalibEq300!$AZ$2:$BB$55,3,),IF(AND(I2662="TDP",S2662&lt;=300),VLOOKUP(AF2662,TPCalibEq300!$AZ$2:$BB$55,3,)))</f>
        <v>0</v>
      </c>
      <c r="AS2662" s="10" t="b">
        <f>IF(AND(I2662="TP",S2662&lt;=500),VLOOKUP(AF2662,TPCalibEq500!$AZ$2:$BB$56,3,),IF(AND(I2662="TDP",S2662&lt;=500),VLOOKUP(AF2662,TPCalibEq500!$AZ$2:$BB$56,3,)))</f>
        <v>0</v>
      </c>
      <c r="AT2662" s="10" t="str">
        <f>IF(AND(I2662="TN",S2662&lt;=2800),VLOOKUP(AF2662,TNCalibEq2500!$AZ$2:$BB$56,3,),IF(AND(I2662="TDN",S2662&lt;=2800),VLOOKUP(AF2662,TNCalibEq2500!$AZ$2:$BB$56,3,)))</f>
        <v>y=-1.3255x2+193.01x-127.15</v>
      </c>
      <c r="AU2662" s="10" t="str">
        <f>IF(I2662="TP",VLOOKUP(AF2662,TPCalibEqFull!$AZ$2:$BB$56,3),IF(I2662="TDP",VLOOKUP(AF2662,TPCalibEqFull!$AZ$2:$BB$56,3),IF(I2662="TDN",VLOOKUP(AF2662,TNCalibEqFull!$AZ$1:$BB$56,3),IF(I2662="TN",VLOOKUP(AF2662,TNCalibEqFull!$AZ$1:$BB$56,3),FALSE))))</f>
        <v>y=-0.215x2+181.97x-117.15</v>
      </c>
      <c r="AV2662" s="10" t="str">
        <f t="shared" si="303"/>
        <v>0207 05:28:00-HST-0-FIL-1-SW-DUP</v>
      </c>
    </row>
    <row r="2663" spans="1:48" s="10" customFormat="1" x14ac:dyDescent="0.55000000000000004">
      <c r="A2663" s="32">
        <v>44964</v>
      </c>
      <c r="B2663" s="33">
        <v>0.22777777777777777</v>
      </c>
      <c r="C2663" s="10" t="s">
        <v>912</v>
      </c>
      <c r="D2663" s="10">
        <v>0</v>
      </c>
      <c r="E2663" s="10" t="s">
        <v>911</v>
      </c>
      <c r="F2663" s="10">
        <v>1</v>
      </c>
      <c r="G2663" s="10" t="s">
        <v>231</v>
      </c>
      <c r="H2663" s="10" t="s">
        <v>314</v>
      </c>
      <c r="I2663" s="10" t="s">
        <v>224</v>
      </c>
      <c r="J2663" s="10">
        <v>126</v>
      </c>
      <c r="K2663" s="12">
        <v>44967</v>
      </c>
      <c r="L2663" s="33">
        <v>0.4674537037037037</v>
      </c>
      <c r="M2663" s="10">
        <v>1</v>
      </c>
      <c r="N2663" s="10" t="s">
        <v>196</v>
      </c>
      <c r="O2663" s="10">
        <v>19.8</v>
      </c>
      <c r="P2663" s="10">
        <v>0.96299999999999997</v>
      </c>
      <c r="Q2663" s="10">
        <v>3380</v>
      </c>
      <c r="R2663" s="10" t="s">
        <v>170</v>
      </c>
      <c r="S2663" s="34">
        <f t="shared" si="300"/>
        <v>3401.5674000000004</v>
      </c>
      <c r="T2663" s="10" t="s">
        <v>1185</v>
      </c>
      <c r="U2663" s="34">
        <f t="shared" si="301"/>
        <v>98.86503580000003</v>
      </c>
      <c r="V2663" s="31">
        <f>IF(H2663="CHK",VLOOKUP(I2663,QCCHK,3,),IF(H2663="GUP",VLOOKUP(E2663,QCGUP,2,),IF(AND(H2663="ATP",OR(I2663="TN",I2663="TDN",I2663="TNO2-3",I2663="NO2-3")),VLOOKUP(E2663,QCREC_N,2,),IF(AND(H2663="NIC",OR(I2663="TN",I2663="TDN",I2663="TNO2-3",I2663="NO2-3")),VLOOKUP(E2663,QCNIC_N,2,),IF(AND(H2663="UREA",OR(I2663="TN",I2663="TDN",I2663="TNO2-3",I2663="NO2-3")),VLOOKUP(E2663,QCUREA_N,2,),IF(H2663="PER",VLOOKUP(I2663,QCPER,MATCH(E2663,QCACTUAL!$J$25:$AA$25,0),),IF(H2663="SPK",VLOOKUP(I2663,QCSPK,3,),IF(AND(H2663="ATP",OR(I2663="TP",I2663="TDP")),VLOOKUP(E2663,QCATP_P,2,),""))))))))</f>
        <v>2500</v>
      </c>
      <c r="W2663" s="31" t="str">
        <f t="shared" si="302"/>
        <v>TRUE</v>
      </c>
      <c r="X2663" s="31" t="str">
        <f t="shared" si="299"/>
        <v>([spikedunkn]-[unkn])/[spike]*100</v>
      </c>
      <c r="Y2663" s="10" t="s">
        <v>1178</v>
      </c>
      <c r="Z2663" s="10" t="s">
        <v>910</v>
      </c>
      <c r="AF2663" s="12">
        <v>44967</v>
      </c>
      <c r="AK2663" s="10">
        <f>-0.215*19.8^2+181.97*19.8-117.15</f>
        <v>3401.5674000000004</v>
      </c>
      <c r="AL2663" s="10" t="str">
        <f t="shared" si="297"/>
        <v>FALSE</v>
      </c>
      <c r="AM2663" s="10" t="str">
        <f t="shared" si="297"/>
        <v>FALSE</v>
      </c>
      <c r="AN2663" s="10" t="str">
        <f t="shared" si="297"/>
        <v>FALSE</v>
      </c>
      <c r="AO2663" s="10" t="str">
        <f t="shared" si="298"/>
        <v>FALSE</v>
      </c>
      <c r="AP2663" s="10" t="str">
        <f t="shared" si="298"/>
        <v>y=-0.215*19.8^2+181.97*19.8-117.15</v>
      </c>
      <c r="AQ2663" s="10" t="b">
        <f>IF(AND(I2663="TP",S2663&lt;=150),VLOOKUP(AF2663,TPCalibEq150!$AZ$2:$BB$55,3,),IF(AND(I2663="TDP",S2663&lt;=150),VLOOKUP(AF2663,TPCalibEq150!$AZ$2:$BB$55,3,)))</f>
        <v>0</v>
      </c>
      <c r="AR2663" s="10" t="b">
        <f>IF(AND(I2663="TP",S2663&lt;=300),VLOOKUP(AF2663,TPCalibEq300!$AZ$2:$BB$55,3,),IF(AND(I2663="TDP",S2663&lt;=300),VLOOKUP(AF2663,TPCalibEq300!$AZ$2:$BB$55,3,)))</f>
        <v>0</v>
      </c>
      <c r="AS2663" s="10" t="b">
        <f>IF(AND(I2663="TP",S2663&lt;=500),VLOOKUP(AF2663,TPCalibEq500!$AZ$2:$BB$56,3,),IF(AND(I2663="TDP",S2663&lt;=500),VLOOKUP(AF2663,TPCalibEq500!$AZ$2:$BB$56,3,)))</f>
        <v>0</v>
      </c>
      <c r="AT2663" s="10" t="b">
        <f>IF(AND(I2663="TN",S2663&lt;=2800),VLOOKUP(AF2663,TNCalibEq2500!$AZ$2:$BB$56,3,),IF(AND(I2663="TDN",S2663&lt;=2800),VLOOKUP(AF2663,TNCalibEq2500!$AZ$2:$BB$56,3,)))</f>
        <v>0</v>
      </c>
      <c r="AU2663" s="10" t="str">
        <f>IF(I2663="TP",VLOOKUP(AF2663,TPCalibEqFull!$AZ$2:$BB$56,3),IF(I2663="TDP",VLOOKUP(AF2663,TPCalibEqFull!$AZ$2:$BB$56,3),IF(I2663="TDN",VLOOKUP(AF2663,TNCalibEqFull!$AZ$1:$BB$56,3),IF(I2663="TN",VLOOKUP(AF2663,TNCalibEqFull!$AZ$1:$BB$56,3),FALSE))))</f>
        <v>y=-0.215x2+181.97x-117.15</v>
      </c>
      <c r="AV2663" s="10" t="str">
        <f t="shared" si="303"/>
        <v>0207 05:28:00-HST -0-FIL-1-SW-SPK</v>
      </c>
    </row>
    <row r="2664" spans="1:48" s="10" customFormat="1" x14ac:dyDescent="0.55000000000000004">
      <c r="A2664" s="32">
        <v>44966</v>
      </c>
      <c r="B2664" s="33">
        <v>0.375</v>
      </c>
      <c r="C2664" s="10" t="s">
        <v>70</v>
      </c>
      <c r="D2664" s="10" t="s">
        <v>71</v>
      </c>
      <c r="E2664" s="10" t="s">
        <v>901</v>
      </c>
      <c r="F2664" s="10">
        <v>1</v>
      </c>
      <c r="G2664" s="10" t="s">
        <v>73</v>
      </c>
      <c r="H2664" s="10" t="s">
        <v>207</v>
      </c>
      <c r="I2664" s="10" t="s">
        <v>235</v>
      </c>
      <c r="J2664" s="10">
        <v>202</v>
      </c>
      <c r="K2664" s="12">
        <v>44967</v>
      </c>
      <c r="L2664" s="33">
        <v>0.46813657407407411</v>
      </c>
      <c r="M2664" s="10">
        <v>1</v>
      </c>
      <c r="N2664" s="10" t="s">
        <v>196</v>
      </c>
      <c r="O2664" s="10">
        <v>7.35</v>
      </c>
      <c r="P2664" s="10">
        <v>0.36199999999999999</v>
      </c>
      <c r="Q2664" s="10">
        <v>1190</v>
      </c>
      <c r="R2664" s="10" t="s">
        <v>170</v>
      </c>
      <c r="S2664" s="34">
        <f t="shared" si="300"/>
        <v>1219.8666762499997</v>
      </c>
      <c r="T2664" s="10" t="s">
        <v>1185</v>
      </c>
      <c r="U2664" s="34">
        <f t="shared" si="301"/>
        <v>97.589334099999974</v>
      </c>
      <c r="V2664" s="31">
        <f>IF(H2664="CHK",VLOOKUP(I2664,QCCHK,3,),IF(H2664="GUP",VLOOKUP(E2664,QCGUP,2,),IF(AND(H2664="ATP",OR(I2664="TN",I2664="TDN",I2664="TNO2-3",I2664="NO2-3")),VLOOKUP(E2664,QCREC_N,2,),IF(AND(H2664="NIC",OR(I2664="TN",I2664="TDN",I2664="TNO2-3",I2664="NO2-3")),VLOOKUP(E2664,QCNIC_N,2,),IF(AND(H2664="UREA",OR(I2664="TN",I2664="TDN",I2664="TNO2-3",I2664="NO2-3")),VLOOKUP(E2664,QCUREA_N,2,),IF(H2664="PER",VLOOKUP(I2664,QCPER,MATCH(E2664,QCACTUAL!$J$25:$AA$25,0),),IF(H2664="SPK",VLOOKUP(I2664,QCSPK,3,),IF(AND(H2664="ATP",OR(I2664="TP",I2664="TDP")),VLOOKUP(E2664,QCATP_P,2,),""))))))))</f>
        <v>1250</v>
      </c>
      <c r="W2664" s="31" t="str">
        <f t="shared" si="302"/>
        <v>TRUE</v>
      </c>
      <c r="X2664" s="31" t="str">
        <f t="shared" si="299"/>
        <v>[chk]/[actual]*100</v>
      </c>
      <c r="Y2664" s="10" t="s">
        <v>1178</v>
      </c>
      <c r="AF2664" s="12">
        <v>44967</v>
      </c>
      <c r="AJ2664" s="10">
        <f>-1.3255*7.35^2+193.01*7.35-127.15</f>
        <v>1219.8666762499997</v>
      </c>
      <c r="AK2664" s="10">
        <f>-0.215*7.35^2+181.97*7.35-117.15</f>
        <v>1208.7146624999998</v>
      </c>
      <c r="AL2664" s="10" t="str">
        <f t="shared" si="297"/>
        <v>FALSE</v>
      </c>
      <c r="AM2664" s="10" t="str">
        <f t="shared" si="297"/>
        <v>FALSE</v>
      </c>
      <c r="AN2664" s="10" t="str">
        <f t="shared" si="297"/>
        <v>FALSE</v>
      </c>
      <c r="AO2664" s="10" t="str">
        <f t="shared" si="298"/>
        <v>y=-1.3255*7.35^2+193.01*7.35-127.15</v>
      </c>
      <c r="AP2664" s="10" t="str">
        <f t="shared" si="298"/>
        <v>y=-0.215*7.35^2+181.97*7.35-117.15</v>
      </c>
      <c r="AQ2664" s="10" t="b">
        <f>IF(AND(I2664="TP",S2664&lt;=150),VLOOKUP(AF2664,TPCalibEq150!$AZ$2:$BB$55,3,),IF(AND(I2664="TDP",S2664&lt;=150),VLOOKUP(AF2664,TPCalibEq150!$AZ$2:$BB$55,3,)))</f>
        <v>0</v>
      </c>
      <c r="AR2664" s="10" t="b">
        <f>IF(AND(I2664="TP",S2664&lt;=300),VLOOKUP(AF2664,TPCalibEq300!$AZ$2:$BB$55,3,),IF(AND(I2664="TDP",S2664&lt;=300),VLOOKUP(AF2664,TPCalibEq300!$AZ$2:$BB$55,3,)))</f>
        <v>0</v>
      </c>
      <c r="AS2664" s="10" t="b">
        <f>IF(AND(I2664="TP",S2664&lt;=500),VLOOKUP(AF2664,TPCalibEq500!$AZ$2:$BB$56,3,),IF(AND(I2664="TDP",S2664&lt;=500),VLOOKUP(AF2664,TPCalibEq500!$AZ$2:$BB$56,3,)))</f>
        <v>0</v>
      </c>
      <c r="AT2664" s="10" t="str">
        <f>IF(AND(I2664="TN",S2664&lt;=2800),VLOOKUP(AF2664,TNCalibEq2500!$AZ$2:$BB$56,3,),IF(AND(I2664="TDN",S2664&lt;=2800),VLOOKUP(AF2664,TNCalibEq2500!$AZ$2:$BB$56,3,)))</f>
        <v>y=-1.3255x2+193.01x-127.15</v>
      </c>
      <c r="AU2664" s="10" t="str">
        <f>IF(I2664="TP",VLOOKUP(AF2664,TPCalibEqFull!$AZ$2:$BB$56,3),IF(I2664="TDP",VLOOKUP(AF2664,TPCalibEqFull!$AZ$2:$BB$56,3),IF(I2664="TDN",VLOOKUP(AF2664,TNCalibEqFull!$AZ$1:$BB$56,3),IF(I2664="TN",VLOOKUP(AF2664,TNCalibEqFull!$AZ$1:$BB$56,3),FALSE))))</f>
        <v>y=-0.215x2+181.97x-117.15</v>
      </c>
      <c r="AV2664" s="10" t="str">
        <f t="shared" si="303"/>
        <v>0209 09:00:00-QAC-STD-D-1-DI-CHK</v>
      </c>
    </row>
    <row r="2665" spans="1:48" s="10" customFormat="1" x14ac:dyDescent="0.55000000000000004">
      <c r="A2665" s="32">
        <v>44963</v>
      </c>
      <c r="B2665" s="33">
        <v>0.33749999999999997</v>
      </c>
      <c r="C2665" s="10" t="s">
        <v>998</v>
      </c>
      <c r="D2665" s="10">
        <v>0</v>
      </c>
      <c r="E2665" s="10" t="s">
        <v>911</v>
      </c>
      <c r="F2665" s="10">
        <v>1</v>
      </c>
      <c r="G2665" s="10" t="s">
        <v>231</v>
      </c>
      <c r="H2665" s="10" t="s">
        <v>322</v>
      </c>
      <c r="I2665" s="10" t="s">
        <v>224</v>
      </c>
      <c r="J2665" s="10">
        <v>70</v>
      </c>
      <c r="K2665" s="12">
        <v>44967</v>
      </c>
      <c r="L2665" s="33">
        <v>0.46880787037037036</v>
      </c>
      <c r="M2665" s="10">
        <v>1</v>
      </c>
      <c r="N2665" s="10" t="s">
        <v>196</v>
      </c>
      <c r="O2665" s="10">
        <v>10.8</v>
      </c>
      <c r="P2665" s="10">
        <v>0.52500000000000002</v>
      </c>
      <c r="Q2665" s="10">
        <v>1790</v>
      </c>
      <c r="R2665" s="10" t="s">
        <v>170</v>
      </c>
      <c r="S2665" s="34">
        <f t="shared" si="300"/>
        <v>1823.0483999999999</v>
      </c>
      <c r="T2665" s="10" t="s">
        <v>1185</v>
      </c>
      <c r="U2665" s="34" t="str">
        <f t="shared" si="301"/>
        <v/>
      </c>
      <c r="V2665" s="31" t="str">
        <f>IF(H2665="CHK",VLOOKUP(I2665,QCCHK,3,),IF(H2665="GUP",VLOOKUP(E2665,QCGUP,2,),IF(AND(H2665="ATP",OR(I2665="TN",I2665="TDN",I2665="TNO2-3",I2665="NO2-3")),VLOOKUP(E2665,QCREC_N,2,),IF(AND(H2665="NIC",OR(I2665="TN",I2665="TDN",I2665="TNO2-3",I2665="NO2-3")),VLOOKUP(E2665,QCNIC_N,2,),IF(AND(H2665="UREA",OR(I2665="TN",I2665="TDN",I2665="TNO2-3",I2665="NO2-3")),VLOOKUP(E2665,QCUREA_N,2,),IF(H2665="PER",VLOOKUP(I2665,QCPER,MATCH(E2665,QCACTUAL!$J$25:$AA$25,0),),IF(H2665="SPK",VLOOKUP(I2665,QCSPK,3,),IF(AND(H2665="ATP",OR(I2665="TP",I2665="TDP")),VLOOKUP(E2665,QCATP_P,2,),""))))))))</f>
        <v/>
      </c>
      <c r="W2665" s="31" t="str">
        <f t="shared" si="302"/>
        <v>TRUE</v>
      </c>
      <c r="X2665" s="31" t="str">
        <f t="shared" si="299"/>
        <v/>
      </c>
      <c r="Y2665" s="10" t="s">
        <v>1178</v>
      </c>
      <c r="Z2665" s="10" t="s">
        <v>910</v>
      </c>
      <c r="AF2665" s="12">
        <v>44967</v>
      </c>
      <c r="AJ2665" s="10">
        <f>-1.3255*10.8^2+193.01*10.8-127.15</f>
        <v>1802.7516800000001</v>
      </c>
      <c r="AK2665" s="10">
        <f>-0.215*10.8^2+181.97*10.8-117.15</f>
        <v>1823.0483999999999</v>
      </c>
      <c r="AL2665" s="10" t="str">
        <f t="shared" si="297"/>
        <v>FALSE</v>
      </c>
      <c r="AM2665" s="10" t="str">
        <f t="shared" si="297"/>
        <v>FALSE</v>
      </c>
      <c r="AN2665" s="10" t="str">
        <f t="shared" si="297"/>
        <v>FALSE</v>
      </c>
      <c r="AO2665" s="10" t="str">
        <f t="shared" si="298"/>
        <v>y=-1.3255*10.8^2+193.01*10.8-127.15</v>
      </c>
      <c r="AP2665" s="10" t="str">
        <f t="shared" si="298"/>
        <v>y=-0.215*10.8^2+181.97*10.8-117.15</v>
      </c>
      <c r="AQ2665" s="10" t="b">
        <f>IF(AND(I2665="TP",S2665&lt;=150),VLOOKUP(AF2665,TPCalibEq150!$AZ$2:$BB$55,3,),IF(AND(I2665="TDP",S2665&lt;=150),VLOOKUP(AF2665,TPCalibEq150!$AZ$2:$BB$55,3,)))</f>
        <v>0</v>
      </c>
      <c r="AR2665" s="10" t="b">
        <f>IF(AND(I2665="TP",S2665&lt;=300),VLOOKUP(AF2665,TPCalibEq300!$AZ$2:$BB$55,3,),IF(AND(I2665="TDP",S2665&lt;=300),VLOOKUP(AF2665,TPCalibEq300!$AZ$2:$BB$55,3,)))</f>
        <v>0</v>
      </c>
      <c r="AS2665" s="10" t="b">
        <f>IF(AND(I2665="TP",S2665&lt;=500),VLOOKUP(AF2665,TPCalibEq500!$AZ$2:$BB$56,3,),IF(AND(I2665="TDP",S2665&lt;=500),VLOOKUP(AF2665,TPCalibEq500!$AZ$2:$BB$56,3,)))</f>
        <v>0</v>
      </c>
      <c r="AT2665" s="10" t="str">
        <f>IF(AND(I2665="TN",S2665&lt;=2800),VLOOKUP(AF2665,TNCalibEq2500!$AZ$2:$BB$56,3,),IF(AND(I2665="TDN",S2665&lt;=2800),VLOOKUP(AF2665,TNCalibEq2500!$AZ$2:$BB$56,3,)))</f>
        <v>y=-1.3255x2+193.01x-127.15</v>
      </c>
      <c r="AU2665" s="10" t="str">
        <f>IF(I2665="TP",VLOOKUP(AF2665,TPCalibEqFull!$AZ$2:$BB$56,3),IF(I2665="TDP",VLOOKUP(AF2665,TPCalibEqFull!$AZ$2:$BB$56,3),IF(I2665="TDN",VLOOKUP(AF2665,TNCalibEqFull!$AZ$1:$BB$56,3),IF(I2665="TN",VLOOKUP(AF2665,TNCalibEqFull!$AZ$1:$BB$56,3),FALSE))))</f>
        <v>y=-0.215x2+181.97x-117.15</v>
      </c>
      <c r="AV2665" s="10" t="str">
        <f t="shared" si="303"/>
        <v>0206 08:06:00-ELW-0-FIL-1-SW-UKN</v>
      </c>
    </row>
    <row r="2666" spans="1:48" s="10" customFormat="1" x14ac:dyDescent="0.55000000000000004">
      <c r="A2666" s="32">
        <v>44963</v>
      </c>
      <c r="B2666" s="33">
        <v>0.34930555555555554</v>
      </c>
      <c r="C2666" s="10" t="s">
        <v>260</v>
      </c>
      <c r="D2666" s="10">
        <v>0</v>
      </c>
      <c r="E2666" s="10" t="s">
        <v>911</v>
      </c>
      <c r="F2666" s="10">
        <v>1</v>
      </c>
      <c r="G2666" s="10" t="s">
        <v>231</v>
      </c>
      <c r="H2666" s="10" t="s">
        <v>322</v>
      </c>
      <c r="I2666" s="10" t="s">
        <v>224</v>
      </c>
      <c r="J2666" s="10">
        <v>71</v>
      </c>
      <c r="K2666" s="12">
        <v>44967</v>
      </c>
      <c r="L2666" s="33">
        <v>0.46946759259259263</v>
      </c>
      <c r="M2666" s="10">
        <v>1</v>
      </c>
      <c r="N2666" s="10" t="s">
        <v>196</v>
      </c>
      <c r="O2666" s="10">
        <v>12.9</v>
      </c>
      <c r="P2666" s="10">
        <v>0.63300000000000001</v>
      </c>
      <c r="Q2666" s="10">
        <v>2180</v>
      </c>
      <c r="R2666" s="10" t="s">
        <v>170</v>
      </c>
      <c r="S2666" s="34">
        <f t="shared" si="300"/>
        <v>2194.4848499999998</v>
      </c>
      <c r="T2666" s="10" t="s">
        <v>1185</v>
      </c>
      <c r="U2666" s="34" t="str">
        <f t="shared" si="301"/>
        <v/>
      </c>
      <c r="V2666" s="31" t="str">
        <f>IF(H2666="CHK",VLOOKUP(I2666,QCCHK,3,),IF(H2666="GUP",VLOOKUP(E2666,QCGUP,2,),IF(AND(H2666="ATP",OR(I2666="TN",I2666="TDN",I2666="TNO2-3",I2666="NO2-3")),VLOOKUP(E2666,QCREC_N,2,),IF(AND(H2666="NIC",OR(I2666="TN",I2666="TDN",I2666="TNO2-3",I2666="NO2-3")),VLOOKUP(E2666,QCNIC_N,2,),IF(AND(H2666="UREA",OR(I2666="TN",I2666="TDN",I2666="TNO2-3",I2666="NO2-3")),VLOOKUP(E2666,QCUREA_N,2,),IF(H2666="PER",VLOOKUP(I2666,QCPER,MATCH(E2666,QCACTUAL!$J$25:$AA$25,0),),IF(H2666="SPK",VLOOKUP(I2666,QCSPK,3,),IF(AND(H2666="ATP",OR(I2666="TP",I2666="TDP")),VLOOKUP(E2666,QCATP_P,2,),""))))))))</f>
        <v/>
      </c>
      <c r="W2666" s="31" t="str">
        <f t="shared" si="302"/>
        <v>TRUE</v>
      </c>
      <c r="X2666" s="31" t="str">
        <f t="shared" si="299"/>
        <v/>
      </c>
      <c r="Y2666" s="10" t="s">
        <v>1178</v>
      </c>
      <c r="Z2666" s="10" t="s">
        <v>910</v>
      </c>
      <c r="AF2666" s="12">
        <v>44967</v>
      </c>
      <c r="AJ2666" s="10">
        <f>-1.3255*12.9^2+193.01*12.9-127.15</f>
        <v>2142.1025450000002</v>
      </c>
      <c r="AK2666" s="10">
        <f>-0.215*12.9^2+181.97*12.9-117.15</f>
        <v>2194.4848499999998</v>
      </c>
      <c r="AL2666" s="10" t="str">
        <f t="shared" si="297"/>
        <v>FALSE</v>
      </c>
      <c r="AM2666" s="10" t="str">
        <f t="shared" si="297"/>
        <v>FALSE</v>
      </c>
      <c r="AN2666" s="10" t="str">
        <f t="shared" si="297"/>
        <v>FALSE</v>
      </c>
      <c r="AO2666" s="10" t="str">
        <f t="shared" si="298"/>
        <v>y=-1.3255*12.9^2+193.01*12.9-127.15</v>
      </c>
      <c r="AP2666" s="10" t="str">
        <f t="shared" si="298"/>
        <v>y=-0.215*12.9^2+181.97*12.9-117.15</v>
      </c>
      <c r="AQ2666" s="10" t="b">
        <f>IF(AND(I2666="TP",S2666&lt;=150),VLOOKUP(AF2666,TPCalibEq150!$AZ$2:$BB$55,3,),IF(AND(I2666="TDP",S2666&lt;=150),VLOOKUP(AF2666,TPCalibEq150!$AZ$2:$BB$55,3,)))</f>
        <v>0</v>
      </c>
      <c r="AR2666" s="10" t="b">
        <f>IF(AND(I2666="TP",S2666&lt;=300),VLOOKUP(AF2666,TPCalibEq300!$AZ$2:$BB$55,3,),IF(AND(I2666="TDP",S2666&lt;=300),VLOOKUP(AF2666,TPCalibEq300!$AZ$2:$BB$55,3,)))</f>
        <v>0</v>
      </c>
      <c r="AS2666" s="10" t="b">
        <f>IF(AND(I2666="TP",S2666&lt;=500),VLOOKUP(AF2666,TPCalibEq500!$AZ$2:$BB$56,3,),IF(AND(I2666="TDP",S2666&lt;=500),VLOOKUP(AF2666,TPCalibEq500!$AZ$2:$BB$56,3,)))</f>
        <v>0</v>
      </c>
      <c r="AT2666" s="10" t="str">
        <f>IF(AND(I2666="TN",S2666&lt;=2800),VLOOKUP(AF2666,TNCalibEq2500!$AZ$2:$BB$56,3,),IF(AND(I2666="TDN",S2666&lt;=2800),VLOOKUP(AF2666,TNCalibEq2500!$AZ$2:$BB$56,3,)))</f>
        <v>y=-1.3255x2+193.01x-127.15</v>
      </c>
      <c r="AU2666" s="10" t="str">
        <f>IF(I2666="TP",VLOOKUP(AF2666,TPCalibEqFull!$AZ$2:$BB$56,3),IF(I2666="TDP",VLOOKUP(AF2666,TPCalibEqFull!$AZ$2:$BB$56,3),IF(I2666="TDN",VLOOKUP(AF2666,TNCalibEqFull!$AZ$1:$BB$56,3),IF(I2666="TN",VLOOKUP(AF2666,TNCalibEqFull!$AZ$1:$BB$56,3),FALSE))))</f>
        <v>y=-0.215x2+181.97x-117.15</v>
      </c>
      <c r="AV2666" s="10" t="str">
        <f t="shared" si="303"/>
        <v>0206 08:23:00-EFC-0-FIL-1-SW-UKN</v>
      </c>
    </row>
    <row r="2667" spans="1:48" s="10" customFormat="1" x14ac:dyDescent="0.55000000000000004">
      <c r="A2667" s="32">
        <v>44963</v>
      </c>
      <c r="B2667" s="33">
        <v>0.3611111111111111</v>
      </c>
      <c r="C2667" s="10" t="s">
        <v>543</v>
      </c>
      <c r="D2667" s="10">
        <v>0</v>
      </c>
      <c r="E2667" s="10" t="s">
        <v>911</v>
      </c>
      <c r="F2667" s="10">
        <v>1</v>
      </c>
      <c r="G2667" s="10" t="s">
        <v>231</v>
      </c>
      <c r="H2667" s="10" t="s">
        <v>322</v>
      </c>
      <c r="I2667" s="10" t="s">
        <v>224</v>
      </c>
      <c r="J2667" s="10">
        <v>72</v>
      </c>
      <c r="K2667" s="12">
        <v>44967</v>
      </c>
      <c r="L2667" s="33">
        <v>0.47012731481481485</v>
      </c>
      <c r="M2667" s="10">
        <v>1</v>
      </c>
      <c r="N2667" s="10" t="s">
        <v>196</v>
      </c>
      <c r="O2667" s="10">
        <v>2.02</v>
      </c>
      <c r="P2667" s="10">
        <v>9.9900000000000003E-2</v>
      </c>
      <c r="Q2667" s="10">
        <v>255</v>
      </c>
      <c r="R2667" s="10" t="s">
        <v>170</v>
      </c>
      <c r="S2667" s="34">
        <f t="shared" si="300"/>
        <v>257.32162979999998</v>
      </c>
      <c r="T2667" s="10" t="s">
        <v>1185</v>
      </c>
      <c r="U2667" s="34" t="str">
        <f t="shared" si="301"/>
        <v/>
      </c>
      <c r="V2667" s="31" t="str">
        <f>IF(H2667="CHK",VLOOKUP(I2667,QCCHK,3,),IF(H2667="GUP",VLOOKUP(E2667,QCGUP,2,),IF(AND(H2667="ATP",OR(I2667="TN",I2667="TDN",I2667="TNO2-3",I2667="NO2-3")),VLOOKUP(E2667,QCREC_N,2,),IF(AND(H2667="NIC",OR(I2667="TN",I2667="TDN",I2667="TNO2-3",I2667="NO2-3")),VLOOKUP(E2667,QCNIC_N,2,),IF(AND(H2667="UREA",OR(I2667="TN",I2667="TDN",I2667="TNO2-3",I2667="NO2-3")),VLOOKUP(E2667,QCUREA_N,2,),IF(H2667="PER",VLOOKUP(I2667,QCPER,MATCH(E2667,QCACTUAL!$J$25:$AA$25,0),),IF(H2667="SPK",VLOOKUP(I2667,QCSPK,3,),IF(AND(H2667="ATP",OR(I2667="TP",I2667="TDP")),VLOOKUP(E2667,QCATP_P,2,),""))))))))</f>
        <v/>
      </c>
      <c r="W2667" s="31" t="str">
        <f t="shared" si="302"/>
        <v>TRUE</v>
      </c>
      <c r="X2667" s="31" t="str">
        <f t="shared" si="299"/>
        <v/>
      </c>
      <c r="Y2667" s="10" t="s">
        <v>1178</v>
      </c>
      <c r="Z2667" s="10" t="s">
        <v>910</v>
      </c>
      <c r="AF2667" s="12">
        <v>44967</v>
      </c>
      <c r="AJ2667" s="10">
        <f>-1.3255*2.02^2+193.01*2.02-127.15</f>
        <v>257.32162979999998</v>
      </c>
      <c r="AK2667" s="10">
        <f>-0.215*2.02^2+181.97*2.02-117.15</f>
        <v>249.55211399999999</v>
      </c>
      <c r="AL2667" s="10" t="str">
        <f t="shared" si="297"/>
        <v>FALSE</v>
      </c>
      <c r="AM2667" s="10" t="str">
        <f t="shared" si="297"/>
        <v>FALSE</v>
      </c>
      <c r="AN2667" s="10" t="str">
        <f t="shared" si="297"/>
        <v>FALSE</v>
      </c>
      <c r="AO2667" s="10" t="str">
        <f t="shared" si="298"/>
        <v>y=-1.3255*2.02^2+193.01*2.02-127.15</v>
      </c>
      <c r="AP2667" s="10" t="str">
        <f t="shared" si="298"/>
        <v>y=-0.215*2.02^2+181.97*2.02-117.15</v>
      </c>
      <c r="AQ2667" s="10" t="b">
        <f>IF(AND(I2667="TP",S2667&lt;=150),VLOOKUP(AF2667,TPCalibEq150!$AZ$2:$BB$55,3,),IF(AND(I2667="TDP",S2667&lt;=150),VLOOKUP(AF2667,TPCalibEq150!$AZ$2:$BB$55,3,)))</f>
        <v>0</v>
      </c>
      <c r="AR2667" s="10" t="b">
        <f>IF(AND(I2667="TP",S2667&lt;=300),VLOOKUP(AF2667,TPCalibEq300!$AZ$2:$BB$55,3,),IF(AND(I2667="TDP",S2667&lt;=300),VLOOKUP(AF2667,TPCalibEq300!$AZ$2:$BB$55,3,)))</f>
        <v>0</v>
      </c>
      <c r="AS2667" s="10" t="b">
        <f>IF(AND(I2667="TP",S2667&lt;=500),VLOOKUP(AF2667,TPCalibEq500!$AZ$2:$BB$56,3,),IF(AND(I2667="TDP",S2667&lt;=500),VLOOKUP(AF2667,TPCalibEq500!$AZ$2:$BB$56,3,)))</f>
        <v>0</v>
      </c>
      <c r="AT2667" s="10" t="str">
        <f>IF(AND(I2667="TN",S2667&lt;=2800),VLOOKUP(AF2667,TNCalibEq2500!$AZ$2:$BB$56,3,),IF(AND(I2667="TDN",S2667&lt;=2800),VLOOKUP(AF2667,TNCalibEq2500!$AZ$2:$BB$56,3,)))</f>
        <v>y=-1.3255x2+193.01x-127.15</v>
      </c>
      <c r="AU2667" s="10" t="str">
        <f>IF(I2667="TP",VLOOKUP(AF2667,TPCalibEqFull!$AZ$2:$BB$56,3),IF(I2667="TDP",VLOOKUP(AF2667,TPCalibEqFull!$AZ$2:$BB$56,3),IF(I2667="TDN",VLOOKUP(AF2667,TNCalibEqFull!$AZ$1:$BB$56,3),IF(I2667="TN",VLOOKUP(AF2667,TNCalibEqFull!$AZ$1:$BB$56,3),FALSE))))</f>
        <v>y=-0.215x2+181.97x-117.15</v>
      </c>
      <c r="AV2667" s="10" t="str">
        <f t="shared" si="303"/>
        <v>0206 08:40:00-SAR-0-FIL-1-SW-UKN</v>
      </c>
    </row>
    <row r="2668" spans="1:48" s="10" customFormat="1" x14ac:dyDescent="0.55000000000000004">
      <c r="A2668" s="32">
        <v>44963</v>
      </c>
      <c r="B2668" s="33">
        <v>0.37916666666666665</v>
      </c>
      <c r="C2668" s="10" t="s">
        <v>361</v>
      </c>
      <c r="D2668" s="10">
        <v>0</v>
      </c>
      <c r="E2668" s="10" t="s">
        <v>911</v>
      </c>
      <c r="F2668" s="10">
        <v>1</v>
      </c>
      <c r="G2668" s="10" t="s">
        <v>231</v>
      </c>
      <c r="H2668" s="10" t="s">
        <v>322</v>
      </c>
      <c r="I2668" s="10" t="s">
        <v>224</v>
      </c>
      <c r="J2668" s="10">
        <v>73</v>
      </c>
      <c r="K2668" s="12">
        <v>44967</v>
      </c>
      <c r="L2668" s="33">
        <v>0.4707986111111111</v>
      </c>
      <c r="M2668" s="10">
        <v>1</v>
      </c>
      <c r="N2668" s="10" t="s">
        <v>196</v>
      </c>
      <c r="O2668" s="10">
        <v>2.5</v>
      </c>
      <c r="P2668" s="10">
        <v>0.121</v>
      </c>
      <c r="Q2668" s="10">
        <v>339</v>
      </c>
      <c r="R2668" s="10" t="s">
        <v>170</v>
      </c>
      <c r="S2668" s="34">
        <f t="shared" si="300"/>
        <v>347.09062499999993</v>
      </c>
      <c r="T2668" s="10" t="s">
        <v>1185</v>
      </c>
      <c r="U2668" s="34" t="str">
        <f t="shared" si="301"/>
        <v/>
      </c>
      <c r="V2668" s="31" t="str">
        <f>IF(H2668="CHK",VLOOKUP(I2668,QCCHK,3,),IF(H2668="GUP",VLOOKUP(E2668,QCGUP,2,),IF(AND(H2668="ATP",OR(I2668="TN",I2668="TDN",I2668="TNO2-3",I2668="NO2-3")),VLOOKUP(E2668,QCREC_N,2,),IF(AND(H2668="NIC",OR(I2668="TN",I2668="TDN",I2668="TNO2-3",I2668="NO2-3")),VLOOKUP(E2668,QCNIC_N,2,),IF(AND(H2668="UREA",OR(I2668="TN",I2668="TDN",I2668="TNO2-3",I2668="NO2-3")),VLOOKUP(E2668,QCUREA_N,2,),IF(H2668="PER",VLOOKUP(I2668,QCPER,MATCH(E2668,QCACTUAL!$J$25:$AA$25,0),),IF(H2668="SPK",VLOOKUP(I2668,QCSPK,3,),IF(AND(H2668="ATP",OR(I2668="TP",I2668="TDP")),VLOOKUP(E2668,QCATP_P,2,),""))))))))</f>
        <v/>
      </c>
      <c r="W2668" s="31" t="str">
        <f t="shared" si="302"/>
        <v>TRUE</v>
      </c>
      <c r="X2668" s="31" t="str">
        <f t="shared" si="299"/>
        <v/>
      </c>
      <c r="Y2668" s="10" t="s">
        <v>1178</v>
      </c>
      <c r="Z2668" s="10" t="s">
        <v>910</v>
      </c>
      <c r="AF2668" s="12">
        <v>44967</v>
      </c>
      <c r="AJ2668" s="10">
        <f>-1.3255*2.5^2+193.01*2.5-127.15</f>
        <v>347.09062499999993</v>
      </c>
      <c r="AK2668" s="10">
        <f>-0.215*2.5^2+181.97*2.5-117.15</f>
        <v>336.43124999999998</v>
      </c>
      <c r="AL2668" s="10" t="str">
        <f t="shared" si="297"/>
        <v>FALSE</v>
      </c>
      <c r="AM2668" s="10" t="str">
        <f t="shared" si="297"/>
        <v>FALSE</v>
      </c>
      <c r="AN2668" s="10" t="str">
        <f t="shared" si="297"/>
        <v>FALSE</v>
      </c>
      <c r="AO2668" s="10" t="str">
        <f t="shared" si="298"/>
        <v>y=-1.3255*2.5^2+193.01*2.5-127.15</v>
      </c>
      <c r="AP2668" s="10" t="str">
        <f t="shared" si="298"/>
        <v>y=-0.215*2.5^2+181.97*2.5-117.15</v>
      </c>
      <c r="AQ2668" s="10" t="b">
        <f>IF(AND(I2668="TP",S2668&lt;=150),VLOOKUP(AF2668,TPCalibEq150!$AZ$2:$BB$55,3,),IF(AND(I2668="TDP",S2668&lt;=150),VLOOKUP(AF2668,TPCalibEq150!$AZ$2:$BB$55,3,)))</f>
        <v>0</v>
      </c>
      <c r="AR2668" s="10" t="b">
        <f>IF(AND(I2668="TP",S2668&lt;=300),VLOOKUP(AF2668,TPCalibEq300!$AZ$2:$BB$55,3,),IF(AND(I2668="TDP",S2668&lt;=300),VLOOKUP(AF2668,TPCalibEq300!$AZ$2:$BB$55,3,)))</f>
        <v>0</v>
      </c>
      <c r="AS2668" s="10" t="b">
        <f>IF(AND(I2668="TP",S2668&lt;=500),VLOOKUP(AF2668,TPCalibEq500!$AZ$2:$BB$56,3,),IF(AND(I2668="TDP",S2668&lt;=500),VLOOKUP(AF2668,TPCalibEq500!$AZ$2:$BB$56,3,)))</f>
        <v>0</v>
      </c>
      <c r="AT2668" s="10" t="str">
        <f>IF(AND(I2668="TN",S2668&lt;=2800),VLOOKUP(AF2668,TNCalibEq2500!$AZ$2:$BB$56,3,),IF(AND(I2668="TDN",S2668&lt;=2800),VLOOKUP(AF2668,TNCalibEq2500!$AZ$2:$BB$56,3,)))</f>
        <v>y=-1.3255x2+193.01x-127.15</v>
      </c>
      <c r="AU2668" s="10" t="str">
        <f>IF(I2668="TP",VLOOKUP(AF2668,TPCalibEqFull!$AZ$2:$BB$56,3),IF(I2668="TDP",VLOOKUP(AF2668,TPCalibEqFull!$AZ$2:$BB$56,3),IF(I2668="TDN",VLOOKUP(AF2668,TNCalibEqFull!$AZ$1:$BB$56,3),IF(I2668="TN",VLOOKUP(AF2668,TNCalibEqFull!$AZ$1:$BB$56,3),FALSE))))</f>
        <v>y=-0.215x2+181.97x-117.15</v>
      </c>
      <c r="AV2668" s="10" t="str">
        <f t="shared" si="303"/>
        <v>0206 09:06:00-USR-0-FIL-1-SW-UKN</v>
      </c>
    </row>
    <row r="2669" spans="1:48" s="10" customFormat="1" x14ac:dyDescent="0.55000000000000004">
      <c r="A2669" s="32">
        <v>44963</v>
      </c>
      <c r="B2669" s="33">
        <v>0.39305555555555555</v>
      </c>
      <c r="C2669" s="10" t="s">
        <v>351</v>
      </c>
      <c r="D2669" s="10">
        <v>0</v>
      </c>
      <c r="E2669" s="10" t="s">
        <v>911</v>
      </c>
      <c r="F2669" s="10">
        <v>1</v>
      </c>
      <c r="G2669" s="10" t="s">
        <v>231</v>
      </c>
      <c r="H2669" s="10" t="s">
        <v>322</v>
      </c>
      <c r="I2669" s="10" t="s">
        <v>224</v>
      </c>
      <c r="J2669" s="10">
        <v>74</v>
      </c>
      <c r="K2669" s="12">
        <v>44967</v>
      </c>
      <c r="L2669" s="33">
        <v>0.47145833333333331</v>
      </c>
      <c r="M2669" s="10">
        <v>1</v>
      </c>
      <c r="N2669" s="10" t="s">
        <v>196</v>
      </c>
      <c r="O2669" s="10">
        <v>5.85</v>
      </c>
      <c r="P2669" s="10">
        <v>0.28499999999999998</v>
      </c>
      <c r="Q2669" s="10">
        <v>929</v>
      </c>
      <c r="R2669" s="10" t="s">
        <v>170</v>
      </c>
      <c r="S2669" s="34">
        <f t="shared" si="300"/>
        <v>956.59657624999988</v>
      </c>
      <c r="T2669" s="10" t="s">
        <v>1185</v>
      </c>
      <c r="U2669" s="34" t="str">
        <f t="shared" si="301"/>
        <v/>
      </c>
      <c r="V2669" s="31" t="str">
        <f>IF(H2669="CHK",VLOOKUP(I2669,QCCHK,3,),IF(H2669="GUP",VLOOKUP(E2669,QCGUP,2,),IF(AND(H2669="ATP",OR(I2669="TN",I2669="TDN",I2669="TNO2-3",I2669="NO2-3")),VLOOKUP(E2669,QCREC_N,2,),IF(AND(H2669="NIC",OR(I2669="TN",I2669="TDN",I2669="TNO2-3",I2669="NO2-3")),VLOOKUP(E2669,QCNIC_N,2,),IF(AND(H2669="UREA",OR(I2669="TN",I2669="TDN",I2669="TNO2-3",I2669="NO2-3")),VLOOKUP(E2669,QCUREA_N,2,),IF(H2669="PER",VLOOKUP(I2669,QCPER,MATCH(E2669,QCACTUAL!$J$25:$AA$25,0),),IF(H2669="SPK",VLOOKUP(I2669,QCSPK,3,),IF(AND(H2669="ATP",OR(I2669="TP",I2669="TDP")),VLOOKUP(E2669,QCATP_P,2,),""))))))))</f>
        <v/>
      </c>
      <c r="W2669" s="31" t="str">
        <f t="shared" si="302"/>
        <v>TRUE</v>
      </c>
      <c r="X2669" s="31" t="str">
        <f t="shared" si="299"/>
        <v/>
      </c>
      <c r="Y2669" s="10" t="s">
        <v>1178</v>
      </c>
      <c r="Z2669" s="10" t="s">
        <v>910</v>
      </c>
      <c r="AF2669" s="12">
        <v>44967</v>
      </c>
      <c r="AJ2669" s="10">
        <f>-1.3255*5.85^2+193.01*5.85-127.15</f>
        <v>956.59657624999988</v>
      </c>
      <c r="AK2669" s="10">
        <f>-0.215*5.85^2+181.97*5.85-117.15</f>
        <v>940.01666250000005</v>
      </c>
      <c r="AL2669" s="10" t="str">
        <f t="shared" si="297"/>
        <v>FALSE</v>
      </c>
      <c r="AM2669" s="10" t="str">
        <f t="shared" si="297"/>
        <v>FALSE</v>
      </c>
      <c r="AN2669" s="10" t="str">
        <f t="shared" si="297"/>
        <v>FALSE</v>
      </c>
      <c r="AO2669" s="10" t="str">
        <f t="shared" si="298"/>
        <v>y=-1.3255*5.85^2+193.01*5.85-127.15</v>
      </c>
      <c r="AP2669" s="10" t="str">
        <f t="shared" si="298"/>
        <v>y=-0.215*5.85^2+181.97*5.85-117.15</v>
      </c>
      <c r="AQ2669" s="10" t="b">
        <f>IF(AND(I2669="TP",S2669&lt;=150),VLOOKUP(AF2669,TPCalibEq150!$AZ$2:$BB$55,3,),IF(AND(I2669="TDP",S2669&lt;=150),VLOOKUP(AF2669,TPCalibEq150!$AZ$2:$BB$55,3,)))</f>
        <v>0</v>
      </c>
      <c r="AR2669" s="10" t="b">
        <f>IF(AND(I2669="TP",S2669&lt;=300),VLOOKUP(AF2669,TPCalibEq300!$AZ$2:$BB$55,3,),IF(AND(I2669="TDP",S2669&lt;=300),VLOOKUP(AF2669,TPCalibEq300!$AZ$2:$BB$55,3,)))</f>
        <v>0</v>
      </c>
      <c r="AS2669" s="10" t="b">
        <f>IF(AND(I2669="TP",S2669&lt;=500),VLOOKUP(AF2669,TPCalibEq500!$AZ$2:$BB$56,3,),IF(AND(I2669="TDP",S2669&lt;=500),VLOOKUP(AF2669,TPCalibEq500!$AZ$2:$BB$56,3,)))</f>
        <v>0</v>
      </c>
      <c r="AT2669" s="10" t="str">
        <f>IF(AND(I2669="TN",S2669&lt;=2800),VLOOKUP(AF2669,TNCalibEq2500!$AZ$2:$BB$56,3,),IF(AND(I2669="TDN",S2669&lt;=2800),VLOOKUP(AF2669,TNCalibEq2500!$AZ$2:$BB$56,3,)))</f>
        <v>y=-1.3255x2+193.01x-127.15</v>
      </c>
      <c r="AU2669" s="10" t="str">
        <f>IF(I2669="TP",VLOOKUP(AF2669,TPCalibEqFull!$AZ$2:$BB$56,3),IF(I2669="TDP",VLOOKUP(AF2669,TPCalibEqFull!$AZ$2:$BB$56,3),IF(I2669="TDN",VLOOKUP(AF2669,TNCalibEqFull!$AZ$1:$BB$56,3),IF(I2669="TN",VLOOKUP(AF2669,TNCalibEqFull!$AZ$1:$BB$56,3),FALSE))))</f>
        <v>y=-0.215x2+181.97x-117.15</v>
      </c>
      <c r="AV2669" s="10" t="str">
        <f t="shared" si="303"/>
        <v>0206 09:26:00-SHC-0-FIL-1-SW-UKN</v>
      </c>
    </row>
    <row r="2670" spans="1:48" s="10" customFormat="1" x14ac:dyDescent="0.55000000000000004">
      <c r="A2670" s="32">
        <v>44963</v>
      </c>
      <c r="B2670" s="33">
        <v>0.4055555555555555</v>
      </c>
      <c r="C2670" s="10" t="s">
        <v>355</v>
      </c>
      <c r="D2670" s="10">
        <v>0</v>
      </c>
      <c r="E2670" s="10" t="s">
        <v>911</v>
      </c>
      <c r="F2670" s="10">
        <v>1</v>
      </c>
      <c r="G2670" s="10" t="s">
        <v>231</v>
      </c>
      <c r="H2670" s="10" t="s">
        <v>322</v>
      </c>
      <c r="I2670" s="10" t="s">
        <v>224</v>
      </c>
      <c r="J2670" s="10">
        <v>75</v>
      </c>
      <c r="K2670" s="12">
        <v>44967</v>
      </c>
      <c r="L2670" s="33">
        <v>0.47212962962962962</v>
      </c>
      <c r="M2670" s="10">
        <v>1</v>
      </c>
      <c r="N2670" s="10" t="s">
        <v>196</v>
      </c>
      <c r="O2670" s="10">
        <v>3.44</v>
      </c>
      <c r="P2670" s="10">
        <v>0.16800000000000001</v>
      </c>
      <c r="Q2670" s="10">
        <v>504</v>
      </c>
      <c r="R2670" s="10" t="s">
        <v>170</v>
      </c>
      <c r="S2670" s="34">
        <f t="shared" si="300"/>
        <v>521.11896319999994</v>
      </c>
      <c r="T2670" s="10" t="s">
        <v>1185</v>
      </c>
      <c r="U2670" s="34" t="str">
        <f t="shared" si="301"/>
        <v/>
      </c>
      <c r="V2670" s="31" t="str">
        <f>IF(H2670="CHK",VLOOKUP(I2670,QCCHK,3,),IF(H2670="GUP",VLOOKUP(E2670,QCGUP,2,),IF(AND(H2670="ATP",OR(I2670="TN",I2670="TDN",I2670="TNO2-3",I2670="NO2-3")),VLOOKUP(E2670,QCREC_N,2,),IF(AND(H2670="NIC",OR(I2670="TN",I2670="TDN",I2670="TNO2-3",I2670="NO2-3")),VLOOKUP(E2670,QCNIC_N,2,),IF(AND(H2670="UREA",OR(I2670="TN",I2670="TDN",I2670="TNO2-3",I2670="NO2-3")),VLOOKUP(E2670,QCUREA_N,2,),IF(H2670="PER",VLOOKUP(I2670,QCPER,MATCH(E2670,QCACTUAL!$J$25:$AA$25,0),),IF(H2670="SPK",VLOOKUP(I2670,QCSPK,3,),IF(AND(H2670="ATP",OR(I2670="TP",I2670="TDP")),VLOOKUP(E2670,QCATP_P,2,),""))))))))</f>
        <v/>
      </c>
      <c r="W2670" s="31" t="str">
        <f t="shared" si="302"/>
        <v>TRUE</v>
      </c>
      <c r="X2670" s="31" t="str">
        <f t="shared" si="299"/>
        <v/>
      </c>
      <c r="Y2670" s="10" t="s">
        <v>1178</v>
      </c>
      <c r="Z2670" s="10" t="s">
        <v>910</v>
      </c>
      <c r="AF2670" s="12">
        <v>44967</v>
      </c>
      <c r="AJ2670" s="10">
        <f>-1.3255*3.44^2+193.01*3.44-127.15</f>
        <v>521.11896319999994</v>
      </c>
      <c r="AK2670" s="10">
        <f>-0.215*3.44^2+181.97*3.44-117.15</f>
        <v>506.28257600000006</v>
      </c>
      <c r="AL2670" s="10" t="str">
        <f t="shared" si="297"/>
        <v>FALSE</v>
      </c>
      <c r="AM2670" s="10" t="str">
        <f t="shared" si="297"/>
        <v>FALSE</v>
      </c>
      <c r="AN2670" s="10" t="str">
        <f t="shared" si="297"/>
        <v>FALSE</v>
      </c>
      <c r="AO2670" s="10" t="str">
        <f t="shared" si="298"/>
        <v>y=-1.3255*3.44^2+193.01*3.44-127.15</v>
      </c>
      <c r="AP2670" s="10" t="str">
        <f t="shared" si="298"/>
        <v>y=-0.215*3.44^2+181.97*3.44-117.15</v>
      </c>
      <c r="AQ2670" s="10" t="b">
        <f>IF(AND(I2670="TP",S2670&lt;=150),VLOOKUP(AF2670,TPCalibEq150!$AZ$2:$BB$55,3,),IF(AND(I2670="TDP",S2670&lt;=150),VLOOKUP(AF2670,TPCalibEq150!$AZ$2:$BB$55,3,)))</f>
        <v>0</v>
      </c>
      <c r="AR2670" s="10" t="b">
        <f>IF(AND(I2670="TP",S2670&lt;=300),VLOOKUP(AF2670,TPCalibEq300!$AZ$2:$BB$55,3,),IF(AND(I2670="TDP",S2670&lt;=300),VLOOKUP(AF2670,TPCalibEq300!$AZ$2:$BB$55,3,)))</f>
        <v>0</v>
      </c>
      <c r="AS2670" s="10" t="b">
        <f>IF(AND(I2670="TP",S2670&lt;=500),VLOOKUP(AF2670,TPCalibEq500!$AZ$2:$BB$56,3,),IF(AND(I2670="TDP",S2670&lt;=500),VLOOKUP(AF2670,TPCalibEq500!$AZ$2:$BB$56,3,)))</f>
        <v>0</v>
      </c>
      <c r="AT2670" s="10" t="str">
        <f>IF(AND(I2670="TN",S2670&lt;=2800),VLOOKUP(AF2670,TNCalibEq2500!$AZ$2:$BB$56,3,),IF(AND(I2670="TDN",S2670&lt;=2800),VLOOKUP(AF2670,TNCalibEq2500!$AZ$2:$BB$56,3,)))</f>
        <v>y=-1.3255x2+193.01x-127.15</v>
      </c>
      <c r="AU2670" s="10" t="str">
        <f>IF(I2670="TP",VLOOKUP(AF2670,TPCalibEqFull!$AZ$2:$BB$56,3),IF(I2670="TDP",VLOOKUP(AF2670,TPCalibEqFull!$AZ$2:$BB$56,3),IF(I2670="TDN",VLOOKUP(AF2670,TNCalibEqFull!$AZ$1:$BB$56,3),IF(I2670="TN",VLOOKUP(AF2670,TNCalibEqFull!$AZ$1:$BB$56,3),FALSE))))</f>
        <v>y=-0.215x2+181.97x-117.15</v>
      </c>
      <c r="AV2670" s="10" t="str">
        <f t="shared" si="303"/>
        <v>0206 09:44:00-SLT-0-FIL-1-SW-UKN</v>
      </c>
    </row>
    <row r="2671" spans="1:48" s="10" customFormat="1" x14ac:dyDescent="0.55000000000000004">
      <c r="A2671" s="32">
        <v>44963</v>
      </c>
      <c r="B2671" s="33">
        <v>0.4236111111111111</v>
      </c>
      <c r="C2671" s="10" t="s">
        <v>310</v>
      </c>
      <c r="D2671" s="10">
        <v>0</v>
      </c>
      <c r="E2671" s="10" t="s">
        <v>911</v>
      </c>
      <c r="F2671" s="10">
        <v>1</v>
      </c>
      <c r="G2671" s="10" t="s">
        <v>231</v>
      </c>
      <c r="H2671" s="10" t="s">
        <v>322</v>
      </c>
      <c r="I2671" s="10" t="s">
        <v>224</v>
      </c>
      <c r="J2671" s="10">
        <v>76</v>
      </c>
      <c r="K2671" s="12">
        <v>44967</v>
      </c>
      <c r="L2671" s="33">
        <v>0.47281250000000002</v>
      </c>
      <c r="M2671" s="10">
        <v>1</v>
      </c>
      <c r="N2671" s="10" t="s">
        <v>196</v>
      </c>
      <c r="O2671" s="10">
        <v>8.69</v>
      </c>
      <c r="P2671" s="10">
        <v>0.42399999999999999</v>
      </c>
      <c r="Q2671" s="10">
        <v>1430</v>
      </c>
      <c r="R2671" s="10" t="s">
        <v>170</v>
      </c>
      <c r="S2671" s="34">
        <f t="shared" si="300"/>
        <v>1450.0103094499998</v>
      </c>
      <c r="T2671" s="10" t="s">
        <v>1185</v>
      </c>
      <c r="U2671" s="34" t="str">
        <f t="shared" si="301"/>
        <v/>
      </c>
      <c r="V2671" s="31" t="str">
        <f>IF(H2671="CHK",VLOOKUP(I2671,QCCHK,3,),IF(H2671="GUP",VLOOKUP(E2671,QCGUP,2,),IF(AND(H2671="ATP",OR(I2671="TN",I2671="TDN",I2671="TNO2-3",I2671="NO2-3")),VLOOKUP(E2671,QCREC_N,2,),IF(AND(H2671="NIC",OR(I2671="TN",I2671="TDN",I2671="TNO2-3",I2671="NO2-3")),VLOOKUP(E2671,QCNIC_N,2,),IF(AND(H2671="UREA",OR(I2671="TN",I2671="TDN",I2671="TNO2-3",I2671="NO2-3")),VLOOKUP(E2671,QCUREA_N,2,),IF(H2671="PER",VLOOKUP(I2671,QCPER,MATCH(E2671,QCACTUAL!$J$25:$AA$25,0),),IF(H2671="SPK",VLOOKUP(I2671,QCSPK,3,),IF(AND(H2671="ATP",OR(I2671="TP",I2671="TDP")),VLOOKUP(E2671,QCATP_P,2,),""))))))))</f>
        <v/>
      </c>
      <c r="W2671" s="31" t="str">
        <f t="shared" si="302"/>
        <v>TRUE</v>
      </c>
      <c r="X2671" s="31" t="str">
        <f t="shared" si="299"/>
        <v/>
      </c>
      <c r="Y2671" s="10" t="s">
        <v>1178</v>
      </c>
      <c r="Z2671" s="10" t="s">
        <v>910</v>
      </c>
      <c r="AF2671" s="12">
        <v>44967</v>
      </c>
      <c r="AJ2671" s="10">
        <f>-1.3255*8.69^2+193.01*8.69-127.15</f>
        <v>1450.0103094499998</v>
      </c>
      <c r="AK2671" s="10">
        <f>-0.215*8.69^2+181.97*8.69-117.15</f>
        <v>1447.9333384999998</v>
      </c>
      <c r="AL2671" s="10" t="str">
        <f t="shared" si="297"/>
        <v>FALSE</v>
      </c>
      <c r="AM2671" s="10" t="str">
        <f t="shared" si="297"/>
        <v>FALSE</v>
      </c>
      <c r="AN2671" s="10" t="str">
        <f t="shared" si="297"/>
        <v>FALSE</v>
      </c>
      <c r="AO2671" s="10" t="str">
        <f t="shared" si="298"/>
        <v>y=-1.3255*8.69^2+193.01*8.69-127.15</v>
      </c>
      <c r="AP2671" s="10" t="str">
        <f t="shared" si="298"/>
        <v>y=-0.215*8.69^2+181.97*8.69-117.15</v>
      </c>
      <c r="AQ2671" s="10" t="b">
        <f>IF(AND(I2671="TP",S2671&lt;=150),VLOOKUP(AF2671,TPCalibEq150!$AZ$2:$BB$55,3,),IF(AND(I2671="TDP",S2671&lt;=150),VLOOKUP(AF2671,TPCalibEq150!$AZ$2:$BB$55,3,)))</f>
        <v>0</v>
      </c>
      <c r="AR2671" s="10" t="b">
        <f>IF(AND(I2671="TP",S2671&lt;=300),VLOOKUP(AF2671,TPCalibEq300!$AZ$2:$BB$55,3,),IF(AND(I2671="TDP",S2671&lt;=300),VLOOKUP(AF2671,TPCalibEq300!$AZ$2:$BB$55,3,)))</f>
        <v>0</v>
      </c>
      <c r="AS2671" s="10" t="b">
        <f>IF(AND(I2671="TP",S2671&lt;=500),VLOOKUP(AF2671,TPCalibEq500!$AZ$2:$BB$56,3,),IF(AND(I2671="TDP",S2671&lt;=500),VLOOKUP(AF2671,TPCalibEq500!$AZ$2:$BB$56,3,)))</f>
        <v>0</v>
      </c>
      <c r="AT2671" s="10" t="str">
        <f>IF(AND(I2671="TN",S2671&lt;=2800),VLOOKUP(AF2671,TNCalibEq2500!$AZ$2:$BB$56,3,),IF(AND(I2671="TDN",S2671&lt;=2800),VLOOKUP(AF2671,TNCalibEq2500!$AZ$2:$BB$56,3,)))</f>
        <v>y=-1.3255x2+193.01x-127.15</v>
      </c>
      <c r="AU2671" s="10" t="str">
        <f>IF(I2671="TP",VLOOKUP(AF2671,TPCalibEqFull!$AZ$2:$BB$56,3),IF(I2671="TDP",VLOOKUP(AF2671,TPCalibEqFull!$AZ$2:$BB$56,3),IF(I2671="TDN",VLOOKUP(AF2671,TNCalibEqFull!$AZ$1:$BB$56,3),IF(I2671="TN",VLOOKUP(AF2671,TNCalibEqFull!$AZ$1:$BB$56,3),FALSE))))</f>
        <v>y=-0.215x2+181.97x-117.15</v>
      </c>
      <c r="AV2671" s="10" t="str">
        <f t="shared" si="303"/>
        <v>0206 10:10:00-ELI-0-FIL-1-SW-UKN</v>
      </c>
    </row>
    <row r="2672" spans="1:48" s="10" customFormat="1" x14ac:dyDescent="0.55000000000000004">
      <c r="A2672" s="32">
        <v>44963</v>
      </c>
      <c r="B2672" s="33">
        <v>0.44930555555555557</v>
      </c>
      <c r="C2672" s="10" t="s">
        <v>999</v>
      </c>
      <c r="D2672" s="10">
        <v>0</v>
      </c>
      <c r="E2672" s="10" t="s">
        <v>911</v>
      </c>
      <c r="F2672" s="10">
        <v>1</v>
      </c>
      <c r="G2672" s="10" t="s">
        <v>231</v>
      </c>
      <c r="H2672" s="10" t="s">
        <v>322</v>
      </c>
      <c r="I2672" s="10" t="s">
        <v>224</v>
      </c>
      <c r="J2672" s="10">
        <v>77</v>
      </c>
      <c r="K2672" s="12">
        <v>44967</v>
      </c>
      <c r="L2672" s="33">
        <v>0.47349537037037037</v>
      </c>
      <c r="M2672" s="10">
        <v>1</v>
      </c>
      <c r="N2672" s="10" t="s">
        <v>196</v>
      </c>
      <c r="O2672" s="10">
        <v>8.5299999999999994</v>
      </c>
      <c r="P2672" s="10">
        <v>0.41699999999999998</v>
      </c>
      <c r="Q2672" s="10">
        <v>1400</v>
      </c>
      <c r="R2672" s="10" t="s">
        <v>170</v>
      </c>
      <c r="S2672" s="34">
        <f t="shared" si="300"/>
        <v>1422.7807270499995</v>
      </c>
      <c r="T2672" s="10" t="s">
        <v>1185</v>
      </c>
      <c r="U2672" s="34" t="str">
        <f t="shared" si="301"/>
        <v/>
      </c>
      <c r="V2672" s="31" t="str">
        <f>IF(H2672="CHK",VLOOKUP(I2672,QCCHK,3,),IF(H2672="GUP",VLOOKUP(E2672,QCGUP,2,),IF(AND(H2672="ATP",OR(I2672="TN",I2672="TDN",I2672="TNO2-3",I2672="NO2-3")),VLOOKUP(E2672,QCREC_N,2,),IF(AND(H2672="NIC",OR(I2672="TN",I2672="TDN",I2672="TNO2-3",I2672="NO2-3")),VLOOKUP(E2672,QCNIC_N,2,),IF(AND(H2672="UREA",OR(I2672="TN",I2672="TDN",I2672="TNO2-3",I2672="NO2-3")),VLOOKUP(E2672,QCUREA_N,2,),IF(H2672="PER",VLOOKUP(I2672,QCPER,MATCH(E2672,QCACTUAL!$J$25:$AA$25,0),),IF(H2672="SPK",VLOOKUP(I2672,QCSPK,3,),IF(AND(H2672="ATP",OR(I2672="TP",I2672="TDP")),VLOOKUP(E2672,QCATP_P,2,),""))))))))</f>
        <v/>
      </c>
      <c r="W2672" s="31" t="str">
        <f t="shared" si="302"/>
        <v>TRUE</v>
      </c>
      <c r="X2672" s="31" t="str">
        <f t="shared" si="299"/>
        <v/>
      </c>
      <c r="Y2672" s="10" t="s">
        <v>1178</v>
      </c>
      <c r="Z2672" s="10" t="s">
        <v>910</v>
      </c>
      <c r="AF2672" s="12">
        <v>44967</v>
      </c>
      <c r="AJ2672" s="10">
        <f>-1.3255*8.53^2+193.01*8.53-127.15</f>
        <v>1422.7807270499995</v>
      </c>
      <c r="AK2672" s="10">
        <f>-0.215*8.53^2+181.97*8.53-117.15</f>
        <v>1419.4105064999999</v>
      </c>
      <c r="AL2672" s="10" t="str">
        <f t="shared" si="297"/>
        <v>FALSE</v>
      </c>
      <c r="AM2672" s="10" t="str">
        <f t="shared" si="297"/>
        <v>FALSE</v>
      </c>
      <c r="AN2672" s="10" t="str">
        <f t="shared" si="297"/>
        <v>FALSE</v>
      </c>
      <c r="AO2672" s="10" t="str">
        <f t="shared" si="298"/>
        <v>y=-1.3255*8.53^2+193.01*8.53-127.15</v>
      </c>
      <c r="AP2672" s="10" t="str">
        <f t="shared" si="298"/>
        <v>y=-0.215*8.53^2+181.97*8.53-117.15</v>
      </c>
      <c r="AQ2672" s="10" t="b">
        <f>IF(AND(I2672="TP",S2672&lt;=150),VLOOKUP(AF2672,TPCalibEq150!$AZ$2:$BB$55,3,),IF(AND(I2672="TDP",S2672&lt;=150),VLOOKUP(AF2672,TPCalibEq150!$AZ$2:$BB$55,3,)))</f>
        <v>0</v>
      </c>
      <c r="AR2672" s="10" t="b">
        <f>IF(AND(I2672="TP",S2672&lt;=300),VLOOKUP(AF2672,TPCalibEq300!$AZ$2:$BB$55,3,),IF(AND(I2672="TDP",S2672&lt;=300),VLOOKUP(AF2672,TPCalibEq300!$AZ$2:$BB$55,3,)))</f>
        <v>0</v>
      </c>
      <c r="AS2672" s="10" t="b">
        <f>IF(AND(I2672="TP",S2672&lt;=500),VLOOKUP(AF2672,TPCalibEq500!$AZ$2:$BB$56,3,),IF(AND(I2672="TDP",S2672&lt;=500),VLOOKUP(AF2672,TPCalibEq500!$AZ$2:$BB$56,3,)))</f>
        <v>0</v>
      </c>
      <c r="AT2672" s="10" t="str">
        <f>IF(AND(I2672="TN",S2672&lt;=2800),VLOOKUP(AF2672,TNCalibEq2500!$AZ$2:$BB$56,3,),IF(AND(I2672="TDN",S2672&lt;=2800),VLOOKUP(AF2672,TNCalibEq2500!$AZ$2:$BB$56,3,)))</f>
        <v>y=-1.3255x2+193.01x-127.15</v>
      </c>
      <c r="AU2672" s="10" t="str">
        <f>IF(I2672="TP",VLOOKUP(AF2672,TPCalibEqFull!$AZ$2:$BB$56,3),IF(I2672="TDP",VLOOKUP(AF2672,TPCalibEqFull!$AZ$2:$BB$56,3),IF(I2672="TDN",VLOOKUP(AF2672,TNCalibEqFull!$AZ$1:$BB$56,3),IF(I2672="TN",VLOOKUP(AF2672,TNCalibEqFull!$AZ$1:$BB$56,3),FALSE))))</f>
        <v>y=-0.215x2+181.97x-117.15</v>
      </c>
      <c r="AV2672" s="10" t="str">
        <f t="shared" si="303"/>
        <v>0206 10:47:00-EAW-0-FIL-1-SW-UKN</v>
      </c>
    </row>
    <row r="2673" spans="1:48" s="10" customFormat="1" x14ac:dyDescent="0.55000000000000004">
      <c r="A2673" s="32">
        <v>44963</v>
      </c>
      <c r="B2673" s="33">
        <v>0.4604166666666667</v>
      </c>
      <c r="C2673" s="10" t="s">
        <v>613</v>
      </c>
      <c r="D2673" s="10">
        <v>0</v>
      </c>
      <c r="E2673" s="10" t="s">
        <v>911</v>
      </c>
      <c r="F2673" s="10">
        <v>1</v>
      </c>
      <c r="G2673" s="10" t="s">
        <v>231</v>
      </c>
      <c r="H2673" s="10" t="s">
        <v>322</v>
      </c>
      <c r="I2673" s="10" t="s">
        <v>224</v>
      </c>
      <c r="J2673" s="10">
        <v>78</v>
      </c>
      <c r="K2673" s="12">
        <v>44967</v>
      </c>
      <c r="L2673" s="33">
        <v>0.47416666666666668</v>
      </c>
      <c r="M2673" s="10">
        <v>1</v>
      </c>
      <c r="N2673" s="10" t="s">
        <v>196</v>
      </c>
      <c r="O2673" s="10">
        <v>3.93</v>
      </c>
      <c r="P2673" s="10">
        <v>0.192</v>
      </c>
      <c r="Q2673" s="10">
        <v>590</v>
      </c>
      <c r="R2673" s="10" t="s">
        <v>170</v>
      </c>
      <c r="S2673" s="34">
        <f t="shared" si="300"/>
        <v>610.90708505000009</v>
      </c>
      <c r="T2673" s="10" t="s">
        <v>1185</v>
      </c>
      <c r="U2673" s="34" t="str">
        <f t="shared" si="301"/>
        <v/>
      </c>
      <c r="V2673" s="31" t="str">
        <f>IF(H2673="CHK",VLOOKUP(I2673,QCCHK,3,),IF(H2673="GUP",VLOOKUP(E2673,QCGUP,2,),IF(AND(H2673="ATP",OR(I2673="TN",I2673="TDN",I2673="TNO2-3",I2673="NO2-3")),VLOOKUP(E2673,QCREC_N,2,),IF(AND(H2673="NIC",OR(I2673="TN",I2673="TDN",I2673="TNO2-3",I2673="NO2-3")),VLOOKUP(E2673,QCNIC_N,2,),IF(AND(H2673="UREA",OR(I2673="TN",I2673="TDN",I2673="TNO2-3",I2673="NO2-3")),VLOOKUP(E2673,QCUREA_N,2,),IF(H2673="PER",VLOOKUP(I2673,QCPER,MATCH(E2673,QCACTUAL!$J$25:$AA$25,0),),IF(H2673="SPK",VLOOKUP(I2673,QCSPK,3,),IF(AND(H2673="ATP",OR(I2673="TP",I2673="TDP")),VLOOKUP(E2673,QCATP_P,2,),""))))))))</f>
        <v/>
      </c>
      <c r="W2673" s="31" t="str">
        <f t="shared" si="302"/>
        <v>TRUE</v>
      </c>
      <c r="X2673" s="31" t="str">
        <f t="shared" si="299"/>
        <v/>
      </c>
      <c r="Y2673" s="10" t="s">
        <v>1178</v>
      </c>
      <c r="Z2673" s="10" t="s">
        <v>910</v>
      </c>
      <c r="AF2673" s="12">
        <v>44967</v>
      </c>
      <c r="AJ2673" s="10">
        <f>-1.3255*3.93^2+193.01*3.93-127.15</f>
        <v>610.90708505000009</v>
      </c>
      <c r="AK2673" s="10">
        <f>-0.215*3.93^2+181.97*3.93-117.15</f>
        <v>594.6714465</v>
      </c>
      <c r="AL2673" s="10" t="str">
        <f t="shared" ref="AL2673:AN2732" si="304">IF($O2673="", "", IF(AQ2673&lt;&gt;"", SUBSTITUTE(SUBSTITUTE(AQ2673, "x", "*"&amp;$O2673&amp;"^", 1), "x", "*"&amp;$O2673, 1), ""))</f>
        <v>FALSE</v>
      </c>
      <c r="AM2673" s="10" t="str">
        <f t="shared" si="304"/>
        <v>FALSE</v>
      </c>
      <c r="AN2673" s="10" t="str">
        <f t="shared" si="304"/>
        <v>FALSE</v>
      </c>
      <c r="AO2673" s="10" t="str">
        <f t="shared" ref="AO2673:AP2732" si="305">IF($O2673="", "FALSE", IF(AT2673&lt;&gt;"FALSE", SUBSTITUTE(SUBSTITUTE(AT2673, "x", "*"&amp;$O2673&amp;"^", 1), "x", "*"&amp;$O2673, 1), ""))</f>
        <v>y=-1.3255*3.93^2+193.01*3.93-127.15</v>
      </c>
      <c r="AP2673" s="10" t="str">
        <f t="shared" si="305"/>
        <v>y=-0.215*3.93^2+181.97*3.93-117.15</v>
      </c>
      <c r="AQ2673" s="10" t="b">
        <f>IF(AND(I2673="TP",S2673&lt;=150),VLOOKUP(AF2673,TPCalibEq150!$AZ$2:$BB$55,3,),IF(AND(I2673="TDP",S2673&lt;=150),VLOOKUP(AF2673,TPCalibEq150!$AZ$2:$BB$55,3,)))</f>
        <v>0</v>
      </c>
      <c r="AR2673" s="10" t="b">
        <f>IF(AND(I2673="TP",S2673&lt;=300),VLOOKUP(AF2673,TPCalibEq300!$AZ$2:$BB$55,3,),IF(AND(I2673="TDP",S2673&lt;=300),VLOOKUP(AF2673,TPCalibEq300!$AZ$2:$BB$55,3,)))</f>
        <v>0</v>
      </c>
      <c r="AS2673" s="10" t="b">
        <f>IF(AND(I2673="TP",S2673&lt;=500),VLOOKUP(AF2673,TPCalibEq500!$AZ$2:$BB$56,3,),IF(AND(I2673="TDP",S2673&lt;=500),VLOOKUP(AF2673,TPCalibEq500!$AZ$2:$BB$56,3,)))</f>
        <v>0</v>
      </c>
      <c r="AT2673" s="10" t="str">
        <f>IF(AND(I2673="TN",S2673&lt;=2800),VLOOKUP(AF2673,TNCalibEq2500!$AZ$2:$BB$56,3,),IF(AND(I2673="TDN",S2673&lt;=2800),VLOOKUP(AF2673,TNCalibEq2500!$AZ$2:$BB$56,3,)))</f>
        <v>y=-1.3255x2+193.01x-127.15</v>
      </c>
      <c r="AU2673" s="10" t="str">
        <f>IF(I2673="TP",VLOOKUP(AF2673,TPCalibEqFull!$AZ$2:$BB$56,3),IF(I2673="TDP",VLOOKUP(AF2673,TPCalibEqFull!$AZ$2:$BB$56,3),IF(I2673="TDN",VLOOKUP(AF2673,TNCalibEqFull!$AZ$1:$BB$56,3),IF(I2673="TN",VLOOKUP(AF2673,TNCalibEqFull!$AZ$1:$BB$56,3),FALSE))))</f>
        <v>y=-0.215x2+181.97x-117.15</v>
      </c>
      <c r="AV2673" s="10" t="str">
        <f t="shared" si="303"/>
        <v>0206 11:03:00-FVC-0-FIL-1-SW-UKN</v>
      </c>
    </row>
    <row r="2674" spans="1:48" s="10" customFormat="1" x14ac:dyDescent="0.55000000000000004">
      <c r="A2674" s="32">
        <v>44963</v>
      </c>
      <c r="B2674" s="33">
        <v>0.4604166666666667</v>
      </c>
      <c r="C2674" s="10" t="s">
        <v>613</v>
      </c>
      <c r="D2674" s="10">
        <v>0</v>
      </c>
      <c r="E2674" s="10" t="s">
        <v>911</v>
      </c>
      <c r="F2674" s="10">
        <v>2</v>
      </c>
      <c r="G2674" s="10" t="s">
        <v>231</v>
      </c>
      <c r="H2674" s="10" t="s">
        <v>322</v>
      </c>
      <c r="I2674" s="10" t="s">
        <v>224</v>
      </c>
      <c r="J2674" s="10">
        <v>79</v>
      </c>
      <c r="K2674" s="12">
        <v>44967</v>
      </c>
      <c r="L2674" s="33">
        <v>0.47483796296296293</v>
      </c>
      <c r="M2674" s="10">
        <v>1</v>
      </c>
      <c r="N2674" s="10" t="s">
        <v>196</v>
      </c>
      <c r="O2674" s="10">
        <v>4.03</v>
      </c>
      <c r="P2674" s="10">
        <v>0.19600000000000001</v>
      </c>
      <c r="Q2674" s="10">
        <v>609</v>
      </c>
      <c r="R2674" s="10" t="s">
        <v>170</v>
      </c>
      <c r="S2674" s="34">
        <f t="shared" si="300"/>
        <v>629.15298704999998</v>
      </c>
      <c r="T2674" s="10" t="s">
        <v>1185</v>
      </c>
      <c r="U2674" s="34" t="str">
        <f t="shared" si="301"/>
        <v/>
      </c>
      <c r="V2674" s="31" t="str">
        <f>IF(H2674="CHK",VLOOKUP(I2674,QCCHK,3,),IF(H2674="GUP",VLOOKUP(E2674,QCGUP,2,),IF(AND(H2674="ATP",OR(I2674="TN",I2674="TDN",I2674="TNO2-3",I2674="NO2-3")),VLOOKUP(E2674,QCREC_N,2,),IF(AND(H2674="NIC",OR(I2674="TN",I2674="TDN",I2674="TNO2-3",I2674="NO2-3")),VLOOKUP(E2674,QCNIC_N,2,),IF(AND(H2674="UREA",OR(I2674="TN",I2674="TDN",I2674="TNO2-3",I2674="NO2-3")),VLOOKUP(E2674,QCUREA_N,2,),IF(H2674="PER",VLOOKUP(I2674,QCPER,MATCH(E2674,QCACTUAL!$J$25:$AA$25,0),),IF(H2674="SPK",VLOOKUP(I2674,QCSPK,3,),IF(AND(H2674="ATP",OR(I2674="TP",I2674="TDP")),VLOOKUP(E2674,QCATP_P,2,),""))))))))</f>
        <v/>
      </c>
      <c r="W2674" s="31" t="str">
        <f t="shared" si="302"/>
        <v>TRUE</v>
      </c>
      <c r="X2674" s="31" t="str">
        <f t="shared" si="299"/>
        <v/>
      </c>
      <c r="Y2674" s="10" t="s">
        <v>1178</v>
      </c>
      <c r="Z2674" s="10" t="s">
        <v>910</v>
      </c>
      <c r="AF2674" s="12">
        <v>44967</v>
      </c>
      <c r="AJ2674" s="10">
        <f>-1.3255*4.03^2+193.01*4.03-127.15</f>
        <v>629.15298704999998</v>
      </c>
      <c r="AK2674" s="10">
        <f>-0.215*4.03^2+181.97*4.03-117.15</f>
        <v>612.69730650000008</v>
      </c>
      <c r="AL2674" s="10" t="str">
        <f t="shared" si="304"/>
        <v>FALSE</v>
      </c>
      <c r="AM2674" s="10" t="str">
        <f t="shared" si="304"/>
        <v>FALSE</v>
      </c>
      <c r="AN2674" s="10" t="str">
        <f t="shared" si="304"/>
        <v>FALSE</v>
      </c>
      <c r="AO2674" s="10" t="str">
        <f t="shared" si="305"/>
        <v>y=-1.3255*4.03^2+193.01*4.03-127.15</v>
      </c>
      <c r="AP2674" s="10" t="str">
        <f t="shared" si="305"/>
        <v>y=-0.215*4.03^2+181.97*4.03-117.15</v>
      </c>
      <c r="AQ2674" s="10" t="b">
        <f>IF(AND(I2674="TP",S2674&lt;=150),VLOOKUP(AF2674,TPCalibEq150!$AZ$2:$BB$55,3,),IF(AND(I2674="TDP",S2674&lt;=150),VLOOKUP(AF2674,TPCalibEq150!$AZ$2:$BB$55,3,)))</f>
        <v>0</v>
      </c>
      <c r="AR2674" s="10" t="b">
        <f>IF(AND(I2674="TP",S2674&lt;=300),VLOOKUP(AF2674,TPCalibEq300!$AZ$2:$BB$55,3,),IF(AND(I2674="TDP",S2674&lt;=300),VLOOKUP(AF2674,TPCalibEq300!$AZ$2:$BB$55,3,)))</f>
        <v>0</v>
      </c>
      <c r="AS2674" s="10" t="b">
        <f>IF(AND(I2674="TP",S2674&lt;=500),VLOOKUP(AF2674,TPCalibEq500!$AZ$2:$BB$56,3,),IF(AND(I2674="TDP",S2674&lt;=500),VLOOKUP(AF2674,TPCalibEq500!$AZ$2:$BB$56,3,)))</f>
        <v>0</v>
      </c>
      <c r="AT2674" s="10" t="str">
        <f>IF(AND(I2674="TN",S2674&lt;=2800),VLOOKUP(AF2674,TNCalibEq2500!$AZ$2:$BB$56,3,),IF(AND(I2674="TDN",S2674&lt;=2800),VLOOKUP(AF2674,TNCalibEq2500!$AZ$2:$BB$56,3,)))</f>
        <v>y=-1.3255x2+193.01x-127.15</v>
      </c>
      <c r="AU2674" s="10" t="str">
        <f>IF(I2674="TP",VLOOKUP(AF2674,TPCalibEqFull!$AZ$2:$BB$56,3),IF(I2674="TDP",VLOOKUP(AF2674,TPCalibEqFull!$AZ$2:$BB$56,3),IF(I2674="TDN",VLOOKUP(AF2674,TNCalibEqFull!$AZ$1:$BB$56,3),IF(I2674="TN",VLOOKUP(AF2674,TNCalibEqFull!$AZ$1:$BB$56,3),FALSE))))</f>
        <v>y=-0.215x2+181.97x-117.15</v>
      </c>
      <c r="AV2674" s="10" t="str">
        <f t="shared" si="303"/>
        <v>0206 11:03:00-FVC-0-FIL-2-SW-UKN</v>
      </c>
    </row>
    <row r="2675" spans="1:48" s="10" customFormat="1" x14ac:dyDescent="0.55000000000000004">
      <c r="A2675" s="32">
        <v>44963</v>
      </c>
      <c r="B2675" s="33">
        <v>0.4604166666666667</v>
      </c>
      <c r="C2675" s="10" t="s">
        <v>613</v>
      </c>
      <c r="D2675" s="10">
        <v>0</v>
      </c>
      <c r="E2675" s="10" t="s">
        <v>911</v>
      </c>
      <c r="F2675" s="10">
        <v>2</v>
      </c>
      <c r="G2675" s="10" t="s">
        <v>231</v>
      </c>
      <c r="H2675" s="10" t="s">
        <v>233</v>
      </c>
      <c r="I2675" s="10" t="s">
        <v>224</v>
      </c>
      <c r="J2675" s="10">
        <v>79</v>
      </c>
      <c r="K2675" s="12">
        <v>44967</v>
      </c>
      <c r="L2675" s="33">
        <v>0.4755092592592593</v>
      </c>
      <c r="M2675" s="10">
        <v>1</v>
      </c>
      <c r="N2675" s="10" t="s">
        <v>196</v>
      </c>
      <c r="O2675" s="10">
        <v>4.03</v>
      </c>
      <c r="P2675" s="10">
        <v>0.19600000000000001</v>
      </c>
      <c r="Q2675" s="10">
        <v>608</v>
      </c>
      <c r="R2675" s="10" t="s">
        <v>170</v>
      </c>
      <c r="S2675" s="34">
        <f t="shared" si="300"/>
        <v>629.15298704999998</v>
      </c>
      <c r="T2675" s="10" t="s">
        <v>1185</v>
      </c>
      <c r="U2675" s="34">
        <f t="shared" si="301"/>
        <v>0</v>
      </c>
      <c r="V2675" s="31" t="str">
        <f>IF(H2675="CHK",VLOOKUP(I2675,QCCHK,3,),IF(H2675="GUP",VLOOKUP(E2675,QCGUP,2,),IF(AND(H2675="ATP",OR(I2675="TN",I2675="TDN",I2675="TNO2-3",I2675="NO2-3")),VLOOKUP(E2675,QCREC_N,2,),IF(AND(H2675="NIC",OR(I2675="TN",I2675="TDN",I2675="TNO2-3",I2675="NO2-3")),VLOOKUP(E2675,QCNIC_N,2,),IF(AND(H2675="UREA",OR(I2675="TN",I2675="TDN",I2675="TNO2-3",I2675="NO2-3")),VLOOKUP(E2675,QCUREA_N,2,),IF(H2675="PER",VLOOKUP(I2675,QCPER,MATCH(E2675,QCACTUAL!$J$25:$AA$25,0),),IF(H2675="SPK",VLOOKUP(I2675,QCSPK,3,),IF(AND(H2675="ATP",OR(I2675="TP",I2675="TDP")),VLOOKUP(E2675,QCATP_P,2,),""))))))))</f>
        <v/>
      </c>
      <c r="W2675" s="31" t="str">
        <f t="shared" si="302"/>
        <v>TRUE</v>
      </c>
      <c r="X2675" s="31" t="str">
        <f t="shared" si="299"/>
        <v>((ABS(rep1-rep2))/((rep1+rep2)/2)*100</v>
      </c>
      <c r="Y2675" s="10" t="s">
        <v>1178</v>
      </c>
      <c r="Z2675" s="10" t="s">
        <v>910</v>
      </c>
      <c r="AF2675" s="12">
        <v>44967</v>
      </c>
      <c r="AJ2675" s="10">
        <f>-1.3255*4.03^2+193.01*4.03-127.15</f>
        <v>629.15298704999998</v>
      </c>
      <c r="AK2675" s="10">
        <f>-0.215*4.03^2+181.97*4.03-117.15</f>
        <v>612.69730650000008</v>
      </c>
      <c r="AL2675" s="10" t="str">
        <f t="shared" si="304"/>
        <v>FALSE</v>
      </c>
      <c r="AM2675" s="10" t="str">
        <f t="shared" si="304"/>
        <v>FALSE</v>
      </c>
      <c r="AN2675" s="10" t="str">
        <f t="shared" si="304"/>
        <v>FALSE</v>
      </c>
      <c r="AO2675" s="10" t="str">
        <f t="shared" si="305"/>
        <v>y=-1.3255*4.03^2+193.01*4.03-127.15</v>
      </c>
      <c r="AP2675" s="10" t="str">
        <f t="shared" si="305"/>
        <v>y=-0.215*4.03^2+181.97*4.03-117.15</v>
      </c>
      <c r="AQ2675" s="10" t="b">
        <f>IF(AND(I2675="TP",S2675&lt;=150),VLOOKUP(AF2675,TPCalibEq150!$AZ$2:$BB$55,3,),IF(AND(I2675="TDP",S2675&lt;=150),VLOOKUP(AF2675,TPCalibEq150!$AZ$2:$BB$55,3,)))</f>
        <v>0</v>
      </c>
      <c r="AR2675" s="10" t="b">
        <f>IF(AND(I2675="TP",S2675&lt;=300),VLOOKUP(AF2675,TPCalibEq300!$AZ$2:$BB$55,3,),IF(AND(I2675="TDP",S2675&lt;=300),VLOOKUP(AF2675,TPCalibEq300!$AZ$2:$BB$55,3,)))</f>
        <v>0</v>
      </c>
      <c r="AS2675" s="10" t="b">
        <f>IF(AND(I2675="TP",S2675&lt;=500),VLOOKUP(AF2675,TPCalibEq500!$AZ$2:$BB$56,3,),IF(AND(I2675="TDP",S2675&lt;=500),VLOOKUP(AF2675,TPCalibEq500!$AZ$2:$BB$56,3,)))</f>
        <v>0</v>
      </c>
      <c r="AT2675" s="10" t="str">
        <f>IF(AND(I2675="TN",S2675&lt;=2800),VLOOKUP(AF2675,TNCalibEq2500!$AZ$2:$BB$56,3,),IF(AND(I2675="TDN",S2675&lt;=2800),VLOOKUP(AF2675,TNCalibEq2500!$AZ$2:$BB$56,3,)))</f>
        <v>y=-1.3255x2+193.01x-127.15</v>
      </c>
      <c r="AU2675" s="10" t="str">
        <f>IF(I2675="TP",VLOOKUP(AF2675,TPCalibEqFull!$AZ$2:$BB$56,3),IF(I2675="TDP",VLOOKUP(AF2675,TPCalibEqFull!$AZ$2:$BB$56,3),IF(I2675="TDN",VLOOKUP(AF2675,TNCalibEqFull!$AZ$1:$BB$56,3),IF(I2675="TN",VLOOKUP(AF2675,TNCalibEqFull!$AZ$1:$BB$56,3),FALSE))))</f>
        <v>y=-0.215x2+181.97x-117.15</v>
      </c>
      <c r="AV2675" s="10" t="str">
        <f t="shared" si="303"/>
        <v>0206 11:03:00-FVC-0-FIL-2-SW-DUP</v>
      </c>
    </row>
    <row r="2676" spans="1:48" s="10" customFormat="1" x14ac:dyDescent="0.55000000000000004">
      <c r="A2676" s="32">
        <v>44963</v>
      </c>
      <c r="B2676" s="33">
        <v>0.4604166666666667</v>
      </c>
      <c r="C2676" s="10" t="s">
        <v>613</v>
      </c>
      <c r="D2676" s="10">
        <v>0</v>
      </c>
      <c r="E2676" s="10" t="s">
        <v>911</v>
      </c>
      <c r="F2676" s="10">
        <v>2</v>
      </c>
      <c r="G2676" s="10" t="s">
        <v>231</v>
      </c>
      <c r="H2676" s="10" t="s">
        <v>314</v>
      </c>
      <c r="I2676" s="10" t="s">
        <v>224</v>
      </c>
      <c r="J2676" s="10">
        <v>127</v>
      </c>
      <c r="K2676" s="12">
        <v>44967</v>
      </c>
      <c r="L2676" s="33">
        <v>0.47618055555555555</v>
      </c>
      <c r="M2676" s="10">
        <v>1</v>
      </c>
      <c r="N2676" s="10" t="s">
        <v>196</v>
      </c>
      <c r="O2676" s="10">
        <v>17.7</v>
      </c>
      <c r="P2676" s="10">
        <v>0.86199999999999999</v>
      </c>
      <c r="Q2676" s="10">
        <v>3030</v>
      </c>
      <c r="R2676" s="10" t="s">
        <v>170</v>
      </c>
      <c r="S2676" s="34">
        <f t="shared" si="300"/>
        <v>3036.3616499999994</v>
      </c>
      <c r="T2676" s="10" t="s">
        <v>1185</v>
      </c>
      <c r="U2676" s="34">
        <f t="shared" si="301"/>
        <v>96.288346517999983</v>
      </c>
      <c r="V2676" s="31">
        <f>IF(H2676="CHK",VLOOKUP(I2676,QCCHK,3,),IF(H2676="GUP",VLOOKUP(E2676,QCGUP,2,),IF(AND(H2676="ATP",OR(I2676="TN",I2676="TDN",I2676="TNO2-3",I2676="NO2-3")),VLOOKUP(E2676,QCREC_N,2,),IF(AND(H2676="NIC",OR(I2676="TN",I2676="TDN",I2676="TNO2-3",I2676="NO2-3")),VLOOKUP(E2676,QCNIC_N,2,),IF(AND(H2676="UREA",OR(I2676="TN",I2676="TDN",I2676="TNO2-3",I2676="NO2-3")),VLOOKUP(E2676,QCUREA_N,2,),IF(H2676="PER",VLOOKUP(I2676,QCPER,MATCH(E2676,QCACTUAL!$J$25:$AA$25,0),),IF(H2676="SPK",VLOOKUP(I2676,QCSPK,3,),IF(AND(H2676="ATP",OR(I2676="TP",I2676="TDP")),VLOOKUP(E2676,QCATP_P,2,),""))))))))</f>
        <v>2500</v>
      </c>
      <c r="W2676" s="31" t="str">
        <f t="shared" si="302"/>
        <v>TRUE</v>
      </c>
      <c r="X2676" s="31" t="str">
        <f t="shared" si="299"/>
        <v>([spikedunkn]-[unkn])/[spike]*100</v>
      </c>
      <c r="Y2676" s="10" t="s">
        <v>1178</v>
      </c>
      <c r="Z2676" s="10" t="s">
        <v>910</v>
      </c>
      <c r="AF2676" s="12">
        <v>44967</v>
      </c>
      <c r="AK2676" s="10">
        <f>-0.215*17.7^2+181.97*17.7-117.15</f>
        <v>3036.3616499999994</v>
      </c>
      <c r="AL2676" s="10" t="str">
        <f t="shared" si="304"/>
        <v>FALSE</v>
      </c>
      <c r="AM2676" s="10" t="str">
        <f t="shared" si="304"/>
        <v>FALSE</v>
      </c>
      <c r="AN2676" s="10" t="str">
        <f t="shared" si="304"/>
        <v>FALSE</v>
      </c>
      <c r="AO2676" s="10" t="str">
        <f t="shared" si="305"/>
        <v>FALSE</v>
      </c>
      <c r="AP2676" s="10" t="str">
        <f t="shared" si="305"/>
        <v>y=-0.215*17.7^2+181.97*17.7-117.15</v>
      </c>
      <c r="AQ2676" s="10" t="b">
        <f>IF(AND(I2676="TP",S2676&lt;=150),VLOOKUP(AF2676,TPCalibEq150!$AZ$2:$BB$55,3,),IF(AND(I2676="TDP",S2676&lt;=150),VLOOKUP(AF2676,TPCalibEq150!$AZ$2:$BB$55,3,)))</f>
        <v>0</v>
      </c>
      <c r="AR2676" s="10" t="b">
        <f>IF(AND(I2676="TP",S2676&lt;=300),VLOOKUP(AF2676,TPCalibEq300!$AZ$2:$BB$55,3,),IF(AND(I2676="TDP",S2676&lt;=300),VLOOKUP(AF2676,TPCalibEq300!$AZ$2:$BB$55,3,)))</f>
        <v>0</v>
      </c>
      <c r="AS2676" s="10" t="b">
        <f>IF(AND(I2676="TP",S2676&lt;=500),VLOOKUP(AF2676,TPCalibEq500!$AZ$2:$BB$56,3,),IF(AND(I2676="TDP",S2676&lt;=500),VLOOKUP(AF2676,TPCalibEq500!$AZ$2:$BB$56,3,)))</f>
        <v>0</v>
      </c>
      <c r="AT2676" s="10" t="b">
        <f>IF(AND(I2676="TN",S2676&lt;=2800),VLOOKUP(AF2676,TNCalibEq2500!$AZ$2:$BB$56,3,),IF(AND(I2676="TDN",S2676&lt;=2800),VLOOKUP(AF2676,TNCalibEq2500!$AZ$2:$BB$56,3,)))</f>
        <v>0</v>
      </c>
      <c r="AU2676" s="10" t="str">
        <f>IF(I2676="TP",VLOOKUP(AF2676,TPCalibEqFull!$AZ$2:$BB$56,3),IF(I2676="TDP",VLOOKUP(AF2676,TPCalibEqFull!$AZ$2:$BB$56,3),IF(I2676="TDN",VLOOKUP(AF2676,TNCalibEqFull!$AZ$1:$BB$56,3),IF(I2676="TN",VLOOKUP(AF2676,TNCalibEqFull!$AZ$1:$BB$56,3),FALSE))))</f>
        <v>y=-0.215x2+181.97x-117.15</v>
      </c>
      <c r="AV2676" s="10" t="str">
        <f t="shared" si="303"/>
        <v>0206 11:03:00-FVC-0-FIL-2-SW-SPK</v>
      </c>
    </row>
    <row r="2677" spans="1:48" s="10" customFormat="1" x14ac:dyDescent="0.55000000000000004">
      <c r="A2677" s="32">
        <v>44966</v>
      </c>
      <c r="B2677" s="33">
        <v>0.375</v>
      </c>
      <c r="C2677" s="10" t="s">
        <v>70</v>
      </c>
      <c r="D2677" s="10" t="s">
        <v>71</v>
      </c>
      <c r="E2677" s="10" t="s">
        <v>901</v>
      </c>
      <c r="F2677" s="10">
        <v>1</v>
      </c>
      <c r="G2677" s="10" t="s">
        <v>73</v>
      </c>
      <c r="H2677" s="10" t="s">
        <v>207</v>
      </c>
      <c r="I2677" s="10" t="s">
        <v>235</v>
      </c>
      <c r="J2677" s="10">
        <v>202</v>
      </c>
      <c r="K2677" s="12">
        <v>44967</v>
      </c>
      <c r="L2677" s="33">
        <v>0.47685185185185186</v>
      </c>
      <c r="M2677" s="10">
        <v>1</v>
      </c>
      <c r="N2677" s="10" t="s">
        <v>196</v>
      </c>
      <c r="O2677" s="10">
        <v>7.4</v>
      </c>
      <c r="P2677" s="10">
        <v>0.36199999999999999</v>
      </c>
      <c r="Q2677" s="10">
        <v>1200</v>
      </c>
      <c r="R2677" s="10" t="s">
        <v>170</v>
      </c>
      <c r="S2677" s="34">
        <f t="shared" si="300"/>
        <v>1228.53962</v>
      </c>
      <c r="T2677" s="10" t="s">
        <v>1185</v>
      </c>
      <c r="U2677" s="34">
        <f t="shared" si="301"/>
        <v>98.283169599999994</v>
      </c>
      <c r="V2677" s="31">
        <f>IF(H2677="CHK",VLOOKUP(I2677,QCCHK,3,),IF(H2677="GUP",VLOOKUP(E2677,QCGUP,2,),IF(AND(H2677="ATP",OR(I2677="TN",I2677="TDN",I2677="TNO2-3",I2677="NO2-3")),VLOOKUP(E2677,QCREC_N,2,),IF(AND(H2677="NIC",OR(I2677="TN",I2677="TDN",I2677="TNO2-3",I2677="NO2-3")),VLOOKUP(E2677,QCNIC_N,2,),IF(AND(H2677="UREA",OR(I2677="TN",I2677="TDN",I2677="TNO2-3",I2677="NO2-3")),VLOOKUP(E2677,QCUREA_N,2,),IF(H2677="PER",VLOOKUP(I2677,QCPER,MATCH(E2677,QCACTUAL!$J$25:$AA$25,0),),IF(H2677="SPK",VLOOKUP(I2677,QCSPK,3,),IF(AND(H2677="ATP",OR(I2677="TP",I2677="TDP")),VLOOKUP(E2677,QCATP_P,2,),""))))))))</f>
        <v>1250</v>
      </c>
      <c r="W2677" s="31" t="str">
        <f t="shared" si="302"/>
        <v>TRUE</v>
      </c>
      <c r="X2677" s="31" t="str">
        <f t="shared" si="299"/>
        <v>[chk]/[actual]*100</v>
      </c>
      <c r="Y2677" s="10" t="s">
        <v>1178</v>
      </c>
      <c r="AF2677" s="12">
        <v>44967</v>
      </c>
      <c r="AJ2677" s="10">
        <f>-1.3255*7.4^2+193.01*7.4-127.15</f>
        <v>1228.53962</v>
      </c>
      <c r="AK2677" s="10">
        <f>-0.215*7.4^2+181.97*7.4-117.15</f>
        <v>1217.6545999999998</v>
      </c>
      <c r="AL2677" s="10" t="str">
        <f t="shared" si="304"/>
        <v>FALSE</v>
      </c>
      <c r="AM2677" s="10" t="str">
        <f t="shared" si="304"/>
        <v>FALSE</v>
      </c>
      <c r="AN2677" s="10" t="str">
        <f t="shared" si="304"/>
        <v>FALSE</v>
      </c>
      <c r="AO2677" s="10" t="str">
        <f t="shared" si="305"/>
        <v>y=-1.3255*7.4^2+193.01*7.4-127.15</v>
      </c>
      <c r="AP2677" s="10" t="str">
        <f t="shared" si="305"/>
        <v>y=-0.215*7.4^2+181.97*7.4-117.15</v>
      </c>
      <c r="AQ2677" s="10" t="b">
        <f>IF(AND(I2677="TP",S2677&lt;=150),VLOOKUP(AF2677,TPCalibEq150!$AZ$2:$BB$55,3,),IF(AND(I2677="TDP",S2677&lt;=150),VLOOKUP(AF2677,TPCalibEq150!$AZ$2:$BB$55,3,)))</f>
        <v>0</v>
      </c>
      <c r="AR2677" s="10" t="b">
        <f>IF(AND(I2677="TP",S2677&lt;=300),VLOOKUP(AF2677,TPCalibEq300!$AZ$2:$BB$55,3,),IF(AND(I2677="TDP",S2677&lt;=300),VLOOKUP(AF2677,TPCalibEq300!$AZ$2:$BB$55,3,)))</f>
        <v>0</v>
      </c>
      <c r="AS2677" s="10" t="b">
        <f>IF(AND(I2677="TP",S2677&lt;=500),VLOOKUP(AF2677,TPCalibEq500!$AZ$2:$BB$56,3,),IF(AND(I2677="TDP",S2677&lt;=500),VLOOKUP(AF2677,TPCalibEq500!$AZ$2:$BB$56,3,)))</f>
        <v>0</v>
      </c>
      <c r="AT2677" s="10" t="str">
        <f>IF(AND(I2677="TN",S2677&lt;=2800),VLOOKUP(AF2677,TNCalibEq2500!$AZ$2:$BB$56,3,),IF(AND(I2677="TDN",S2677&lt;=2800),VLOOKUP(AF2677,TNCalibEq2500!$AZ$2:$BB$56,3,)))</f>
        <v>y=-1.3255x2+193.01x-127.15</v>
      </c>
      <c r="AU2677" s="10" t="str">
        <f>IF(I2677="TP",VLOOKUP(AF2677,TPCalibEqFull!$AZ$2:$BB$56,3),IF(I2677="TDP",VLOOKUP(AF2677,TPCalibEqFull!$AZ$2:$BB$56,3),IF(I2677="TDN",VLOOKUP(AF2677,TNCalibEqFull!$AZ$1:$BB$56,3),IF(I2677="TN",VLOOKUP(AF2677,TNCalibEqFull!$AZ$1:$BB$56,3),FALSE))))</f>
        <v>y=-0.215x2+181.97x-117.15</v>
      </c>
      <c r="AV2677" s="10" t="str">
        <f t="shared" si="303"/>
        <v>0209 09:00:00-QAC-STD-D-1-DI-CHK</v>
      </c>
    </row>
    <row r="2678" spans="1:48" s="10" customFormat="1" x14ac:dyDescent="0.55000000000000004">
      <c r="A2678" s="32">
        <v>44963</v>
      </c>
      <c r="B2678" s="33">
        <v>0.46875</v>
      </c>
      <c r="C2678" s="10" t="s">
        <v>250</v>
      </c>
      <c r="D2678" s="10">
        <v>0</v>
      </c>
      <c r="E2678" s="10" t="s">
        <v>911</v>
      </c>
      <c r="F2678" s="10">
        <v>1</v>
      </c>
      <c r="G2678" s="10" t="s">
        <v>231</v>
      </c>
      <c r="H2678" s="10" t="s">
        <v>322</v>
      </c>
      <c r="I2678" s="10" t="s">
        <v>224</v>
      </c>
      <c r="J2678" s="10">
        <v>80</v>
      </c>
      <c r="K2678" s="12">
        <v>44967</v>
      </c>
      <c r="L2678" s="33">
        <v>0.47753472222222221</v>
      </c>
      <c r="M2678" s="10">
        <v>1</v>
      </c>
      <c r="N2678" s="10" t="s">
        <v>196</v>
      </c>
      <c r="O2678" s="10">
        <v>8.4700000000000006</v>
      </c>
      <c r="P2678" s="10">
        <v>0.41299999999999998</v>
      </c>
      <c r="Q2678" s="10">
        <v>1390</v>
      </c>
      <c r="R2678" s="10" t="s">
        <v>170</v>
      </c>
      <c r="S2678" s="34">
        <f t="shared" si="300"/>
        <v>1412.5521370500001</v>
      </c>
      <c r="T2678" s="10" t="s">
        <v>1185</v>
      </c>
      <c r="U2678" s="34" t="str">
        <f t="shared" si="301"/>
        <v/>
      </c>
      <c r="V2678" s="31" t="str">
        <f>IF(H2678="CHK",VLOOKUP(I2678,QCCHK,3,),IF(H2678="GUP",VLOOKUP(E2678,QCGUP,2,),IF(AND(H2678="ATP",OR(I2678="TN",I2678="TDN",I2678="TNO2-3",I2678="NO2-3")),VLOOKUP(E2678,QCREC_N,2,),IF(AND(H2678="NIC",OR(I2678="TN",I2678="TDN",I2678="TNO2-3",I2678="NO2-3")),VLOOKUP(E2678,QCNIC_N,2,),IF(AND(H2678="UREA",OR(I2678="TN",I2678="TDN",I2678="TNO2-3",I2678="NO2-3")),VLOOKUP(E2678,QCUREA_N,2,),IF(H2678="PER",VLOOKUP(I2678,QCPER,MATCH(E2678,QCACTUAL!$J$25:$AA$25,0),),IF(H2678="SPK",VLOOKUP(I2678,QCSPK,3,),IF(AND(H2678="ATP",OR(I2678="TP",I2678="TDP")),VLOOKUP(E2678,QCATP_P,2,),""))))))))</f>
        <v/>
      </c>
      <c r="W2678" s="31" t="str">
        <f t="shared" si="302"/>
        <v>TRUE</v>
      </c>
      <c r="X2678" s="31" t="str">
        <f t="shared" si="299"/>
        <v/>
      </c>
      <c r="Y2678" s="10" t="s">
        <v>1178</v>
      </c>
      <c r="Z2678" s="10" t="s">
        <v>910</v>
      </c>
      <c r="AF2678" s="12">
        <v>44967</v>
      </c>
      <c r="AJ2678" s="10">
        <f>-1.3255*8.47^2+193.01*8.47-127.15</f>
        <v>1412.5521370500001</v>
      </c>
      <c r="AK2678" s="10">
        <f>-0.215*8.47^2+181.97*8.47-117.15</f>
        <v>1408.7116065</v>
      </c>
      <c r="AL2678" s="10" t="str">
        <f t="shared" si="304"/>
        <v>FALSE</v>
      </c>
      <c r="AM2678" s="10" t="str">
        <f t="shared" si="304"/>
        <v>FALSE</v>
      </c>
      <c r="AN2678" s="10" t="str">
        <f t="shared" si="304"/>
        <v>FALSE</v>
      </c>
      <c r="AO2678" s="10" t="str">
        <f t="shared" si="305"/>
        <v>y=-1.3255*8.47^2+193.01*8.47-127.15</v>
      </c>
      <c r="AP2678" s="10" t="str">
        <f t="shared" si="305"/>
        <v>y=-0.215*8.47^2+181.97*8.47-117.15</v>
      </c>
      <c r="AQ2678" s="10" t="b">
        <f>IF(AND(I2678="TP",S2678&lt;=150),VLOOKUP(AF2678,TPCalibEq150!$AZ$2:$BB$55,3,),IF(AND(I2678="TDP",S2678&lt;=150),VLOOKUP(AF2678,TPCalibEq150!$AZ$2:$BB$55,3,)))</f>
        <v>0</v>
      </c>
      <c r="AR2678" s="10" t="b">
        <f>IF(AND(I2678="TP",S2678&lt;=300),VLOOKUP(AF2678,TPCalibEq300!$AZ$2:$BB$55,3,),IF(AND(I2678="TDP",S2678&lt;=300),VLOOKUP(AF2678,TPCalibEq300!$AZ$2:$BB$55,3,)))</f>
        <v>0</v>
      </c>
      <c r="AS2678" s="10" t="b">
        <f>IF(AND(I2678="TP",S2678&lt;=500),VLOOKUP(AF2678,TPCalibEq500!$AZ$2:$BB$56,3,),IF(AND(I2678="TDP",S2678&lt;=500),VLOOKUP(AF2678,TPCalibEq500!$AZ$2:$BB$56,3,)))</f>
        <v>0</v>
      </c>
      <c r="AT2678" s="10" t="str">
        <f>IF(AND(I2678="TN",S2678&lt;=2800),VLOOKUP(AF2678,TNCalibEq2500!$AZ$2:$BB$56,3,),IF(AND(I2678="TDN",S2678&lt;=2800),VLOOKUP(AF2678,TNCalibEq2500!$AZ$2:$BB$56,3,)))</f>
        <v>y=-1.3255x2+193.01x-127.15</v>
      </c>
      <c r="AU2678" s="10" t="str">
        <f>IF(I2678="TP",VLOOKUP(AF2678,TPCalibEqFull!$AZ$2:$BB$56,3),IF(I2678="TDP",VLOOKUP(AF2678,TPCalibEqFull!$AZ$2:$BB$56,3),IF(I2678="TDN",VLOOKUP(AF2678,TNCalibEqFull!$AZ$1:$BB$56,3),IF(I2678="TN",VLOOKUP(AF2678,TNCalibEqFull!$AZ$1:$BB$56,3),FALSE))))</f>
        <v>y=-0.215x2+181.97x-117.15</v>
      </c>
      <c r="AV2678" s="10" t="str">
        <f t="shared" si="303"/>
        <v>0206 11:15:00-EFB-0-FIL-1-SW-UKN</v>
      </c>
    </row>
    <row r="2679" spans="1:48" s="10" customFormat="1" x14ac:dyDescent="0.55000000000000004">
      <c r="A2679" s="32">
        <v>44963</v>
      </c>
      <c r="B2679" s="33">
        <v>0.47916666666666669</v>
      </c>
      <c r="C2679" s="10" t="s">
        <v>326</v>
      </c>
      <c r="D2679" s="10">
        <v>0</v>
      </c>
      <c r="E2679" s="10" t="s">
        <v>911</v>
      </c>
      <c r="F2679" s="10">
        <v>1</v>
      </c>
      <c r="G2679" s="10" t="s">
        <v>231</v>
      </c>
      <c r="H2679" s="10" t="s">
        <v>322</v>
      </c>
      <c r="I2679" s="10" t="s">
        <v>224</v>
      </c>
      <c r="J2679" s="10">
        <v>81</v>
      </c>
      <c r="K2679" s="12">
        <v>44967</v>
      </c>
      <c r="L2679" s="33">
        <v>0.47820601851851857</v>
      </c>
      <c r="M2679" s="10">
        <v>1</v>
      </c>
      <c r="N2679" s="10" t="s">
        <v>196</v>
      </c>
      <c r="O2679" s="10">
        <v>4.3</v>
      </c>
      <c r="P2679" s="10">
        <v>0.21</v>
      </c>
      <c r="Q2679" s="10">
        <v>655</v>
      </c>
      <c r="R2679" s="10" t="s">
        <v>170</v>
      </c>
      <c r="S2679" s="34">
        <f t="shared" si="300"/>
        <v>678.28450499999985</v>
      </c>
      <c r="T2679" s="10" t="s">
        <v>1185</v>
      </c>
      <c r="U2679" s="34" t="str">
        <f t="shared" si="301"/>
        <v/>
      </c>
      <c r="V2679" s="31" t="str">
        <f>IF(H2679="CHK",VLOOKUP(I2679,QCCHK,3,),IF(H2679="GUP",VLOOKUP(E2679,QCGUP,2,),IF(AND(H2679="ATP",OR(I2679="TN",I2679="TDN",I2679="TNO2-3",I2679="NO2-3")),VLOOKUP(E2679,QCREC_N,2,),IF(AND(H2679="NIC",OR(I2679="TN",I2679="TDN",I2679="TNO2-3",I2679="NO2-3")),VLOOKUP(E2679,QCNIC_N,2,),IF(AND(H2679="UREA",OR(I2679="TN",I2679="TDN",I2679="TNO2-3",I2679="NO2-3")),VLOOKUP(E2679,QCUREA_N,2,),IF(H2679="PER",VLOOKUP(I2679,QCPER,MATCH(E2679,QCACTUAL!$J$25:$AA$25,0),),IF(H2679="SPK",VLOOKUP(I2679,QCSPK,3,),IF(AND(H2679="ATP",OR(I2679="TP",I2679="TDP")),VLOOKUP(E2679,QCATP_P,2,),""))))))))</f>
        <v/>
      </c>
      <c r="W2679" s="31" t="str">
        <f t="shared" si="302"/>
        <v>TRUE</v>
      </c>
      <c r="X2679" s="31" t="str">
        <f t="shared" si="299"/>
        <v/>
      </c>
      <c r="Y2679" s="10" t="s">
        <v>1178</v>
      </c>
      <c r="Z2679" s="10" t="s">
        <v>910</v>
      </c>
      <c r="AF2679" s="12">
        <v>44967</v>
      </c>
      <c r="AJ2679" s="10">
        <f>-1.3255*4.3^2+193.01*4.3-127.15</f>
        <v>678.28450499999985</v>
      </c>
      <c r="AK2679" s="10">
        <f>-0.215*4.3^2+181.97*4.3-117.15</f>
        <v>661.34564999999998</v>
      </c>
      <c r="AL2679" s="10" t="str">
        <f t="shared" si="304"/>
        <v>FALSE</v>
      </c>
      <c r="AM2679" s="10" t="str">
        <f t="shared" si="304"/>
        <v>FALSE</v>
      </c>
      <c r="AN2679" s="10" t="str">
        <f t="shared" si="304"/>
        <v>FALSE</v>
      </c>
      <c r="AO2679" s="10" t="str">
        <f t="shared" si="305"/>
        <v>y=-1.3255*4.3^2+193.01*4.3-127.15</v>
      </c>
      <c r="AP2679" s="10" t="str">
        <f t="shared" si="305"/>
        <v>y=-0.215*4.3^2+181.97*4.3-117.15</v>
      </c>
      <c r="AQ2679" s="10" t="b">
        <f>IF(AND(I2679="TP",S2679&lt;=150),VLOOKUP(AF2679,TPCalibEq150!$AZ$2:$BB$55,3,),IF(AND(I2679="TDP",S2679&lt;=150),VLOOKUP(AF2679,TPCalibEq150!$AZ$2:$BB$55,3,)))</f>
        <v>0</v>
      </c>
      <c r="AR2679" s="10" t="b">
        <f>IF(AND(I2679="TP",S2679&lt;=300),VLOOKUP(AF2679,TPCalibEq300!$AZ$2:$BB$55,3,),IF(AND(I2679="TDP",S2679&lt;=300),VLOOKUP(AF2679,TPCalibEq300!$AZ$2:$BB$55,3,)))</f>
        <v>0</v>
      </c>
      <c r="AS2679" s="10" t="b">
        <f>IF(AND(I2679="TP",S2679&lt;=500),VLOOKUP(AF2679,TPCalibEq500!$AZ$2:$BB$56,3,),IF(AND(I2679="TDP",S2679&lt;=500),VLOOKUP(AF2679,TPCalibEq500!$AZ$2:$BB$56,3,)))</f>
        <v>0</v>
      </c>
      <c r="AT2679" s="10" t="str">
        <f>IF(AND(I2679="TN",S2679&lt;=2800),VLOOKUP(AF2679,TNCalibEq2500!$AZ$2:$BB$56,3,),IF(AND(I2679="TDN",S2679&lt;=2800),VLOOKUP(AF2679,TNCalibEq2500!$AZ$2:$BB$56,3,)))</f>
        <v>y=-1.3255x2+193.01x-127.15</v>
      </c>
      <c r="AU2679" s="10" t="str">
        <f>IF(I2679="TP",VLOOKUP(AF2679,TPCalibEqFull!$AZ$2:$BB$56,3),IF(I2679="TDP",VLOOKUP(AF2679,TPCalibEqFull!$AZ$2:$BB$56,3),IF(I2679="TDN",VLOOKUP(AF2679,TNCalibEqFull!$AZ$1:$BB$56,3),IF(I2679="TN",VLOOKUP(AF2679,TNCalibEqFull!$AZ$1:$BB$56,3),FALSE))))</f>
        <v>y=-0.215x2+181.97x-117.15</v>
      </c>
      <c r="AV2679" s="10" t="str">
        <f t="shared" si="303"/>
        <v>0206 11:30:00-GRR-0-FIL-1-SW-UKN</v>
      </c>
    </row>
    <row r="2680" spans="1:48" s="10" customFormat="1" x14ac:dyDescent="0.55000000000000004">
      <c r="A2680" s="32">
        <v>44963</v>
      </c>
      <c r="B2680" s="33">
        <v>0.4909722222222222</v>
      </c>
      <c r="C2680" s="10" t="s">
        <v>416</v>
      </c>
      <c r="D2680" s="10">
        <v>0</v>
      </c>
      <c r="E2680" s="10" t="s">
        <v>911</v>
      </c>
      <c r="F2680" s="10">
        <v>1</v>
      </c>
      <c r="G2680" s="10" t="s">
        <v>231</v>
      </c>
      <c r="H2680" s="10" t="s">
        <v>322</v>
      </c>
      <c r="I2680" s="10" t="s">
        <v>224</v>
      </c>
      <c r="J2680" s="10">
        <v>82</v>
      </c>
      <c r="K2680" s="12">
        <v>44967</v>
      </c>
      <c r="L2680" s="33">
        <v>0.47885416666666664</v>
      </c>
      <c r="M2680" s="10">
        <v>1</v>
      </c>
      <c r="N2680" s="10" t="s">
        <v>196</v>
      </c>
      <c r="O2680" s="10">
        <v>5.93</v>
      </c>
      <c r="P2680" s="10">
        <v>0.28899999999999998</v>
      </c>
      <c r="Q2680" s="10">
        <v>943</v>
      </c>
      <c r="R2680" s="10" t="s">
        <v>170</v>
      </c>
      <c r="S2680" s="34">
        <f t="shared" si="300"/>
        <v>970.78822504999982</v>
      </c>
      <c r="T2680" s="10" t="s">
        <v>1185</v>
      </c>
      <c r="U2680" s="34" t="str">
        <f t="shared" si="301"/>
        <v/>
      </c>
      <c r="V2680" s="31" t="str">
        <f>IF(H2680="CHK",VLOOKUP(I2680,QCCHK,3,),IF(H2680="GUP",VLOOKUP(E2680,QCGUP,2,),IF(AND(H2680="ATP",OR(I2680="TN",I2680="TDN",I2680="TNO2-3",I2680="NO2-3")),VLOOKUP(E2680,QCREC_N,2,),IF(AND(H2680="NIC",OR(I2680="TN",I2680="TDN",I2680="TNO2-3",I2680="NO2-3")),VLOOKUP(E2680,QCNIC_N,2,),IF(AND(H2680="UREA",OR(I2680="TN",I2680="TDN",I2680="TNO2-3",I2680="NO2-3")),VLOOKUP(E2680,QCUREA_N,2,),IF(H2680="PER",VLOOKUP(I2680,QCPER,MATCH(E2680,QCACTUAL!$J$25:$AA$25,0),),IF(H2680="SPK",VLOOKUP(I2680,QCSPK,3,),IF(AND(H2680="ATP",OR(I2680="TP",I2680="TDP")),VLOOKUP(E2680,QCATP_P,2,),""))))))))</f>
        <v/>
      </c>
      <c r="W2680" s="31" t="str">
        <f t="shared" si="302"/>
        <v>TRUE</v>
      </c>
      <c r="X2680" s="31" t="str">
        <f t="shared" si="299"/>
        <v/>
      </c>
      <c r="Y2680" s="10" t="s">
        <v>1178</v>
      </c>
      <c r="Z2680" s="10" t="s">
        <v>910</v>
      </c>
      <c r="AF2680" s="12">
        <v>44967</v>
      </c>
      <c r="AJ2680" s="10">
        <f>-1.3255*5.93^2+193.01*5.93-127.15</f>
        <v>970.78822504999982</v>
      </c>
      <c r="AK2680" s="10">
        <f>-0.215*5.93^2+181.97*5.93-117.15</f>
        <v>954.37164649999988</v>
      </c>
      <c r="AL2680" s="10" t="str">
        <f t="shared" si="304"/>
        <v>FALSE</v>
      </c>
      <c r="AM2680" s="10" t="str">
        <f t="shared" si="304"/>
        <v>FALSE</v>
      </c>
      <c r="AN2680" s="10" t="str">
        <f t="shared" si="304"/>
        <v>FALSE</v>
      </c>
      <c r="AO2680" s="10" t="str">
        <f t="shared" si="305"/>
        <v>y=-1.3255*5.93^2+193.01*5.93-127.15</v>
      </c>
      <c r="AP2680" s="10" t="str">
        <f t="shared" si="305"/>
        <v>y=-0.215*5.93^2+181.97*5.93-117.15</v>
      </c>
      <c r="AQ2680" s="10" t="b">
        <f>IF(AND(I2680="TP",S2680&lt;=150),VLOOKUP(AF2680,TPCalibEq150!$AZ$2:$BB$55,3,),IF(AND(I2680="TDP",S2680&lt;=150),VLOOKUP(AF2680,TPCalibEq150!$AZ$2:$BB$55,3,)))</f>
        <v>0</v>
      </c>
      <c r="AR2680" s="10" t="b">
        <f>IF(AND(I2680="TP",S2680&lt;=300),VLOOKUP(AF2680,TPCalibEq300!$AZ$2:$BB$55,3,),IF(AND(I2680="TDP",S2680&lt;=300),VLOOKUP(AF2680,TPCalibEq300!$AZ$2:$BB$55,3,)))</f>
        <v>0</v>
      </c>
      <c r="AS2680" s="10" t="b">
        <f>IF(AND(I2680="TP",S2680&lt;=500),VLOOKUP(AF2680,TPCalibEq500!$AZ$2:$BB$56,3,),IF(AND(I2680="TDP",S2680&lt;=500),VLOOKUP(AF2680,TPCalibEq500!$AZ$2:$BB$56,3,)))</f>
        <v>0</v>
      </c>
      <c r="AT2680" s="10" t="str">
        <f>IF(AND(I2680="TN",S2680&lt;=2800),VLOOKUP(AF2680,TNCalibEq2500!$AZ$2:$BB$56,3,),IF(AND(I2680="TDN",S2680&lt;=2800),VLOOKUP(AF2680,TNCalibEq2500!$AZ$2:$BB$56,3,)))</f>
        <v>y=-1.3255x2+193.01x-127.15</v>
      </c>
      <c r="AU2680" s="10" t="str">
        <f>IF(I2680="TP",VLOOKUP(AF2680,TPCalibEqFull!$AZ$2:$BB$56,3),IF(I2680="TDP",VLOOKUP(AF2680,TPCalibEqFull!$AZ$2:$BB$56,3),IF(I2680="TDN",VLOOKUP(AF2680,TNCalibEqFull!$AZ$1:$BB$56,3),IF(I2680="TN",VLOOKUP(AF2680,TNCalibEqFull!$AZ$1:$BB$56,3),FALSE))))</f>
        <v>y=-0.215x2+181.97x-117.15</v>
      </c>
      <c r="AV2680" s="10" t="str">
        <f t="shared" si="303"/>
        <v>0206 11:47:00-CWL-0-FIL-1-SW-UKN</v>
      </c>
    </row>
    <row r="2681" spans="1:48" s="10" customFormat="1" x14ac:dyDescent="0.55000000000000004">
      <c r="A2681" s="32">
        <v>44963</v>
      </c>
      <c r="B2681" s="33">
        <v>0.61875000000000002</v>
      </c>
      <c r="C2681" s="10" t="s">
        <v>408</v>
      </c>
      <c r="D2681" s="10">
        <v>0</v>
      </c>
      <c r="E2681" s="10" t="s">
        <v>911</v>
      </c>
      <c r="F2681" s="10">
        <v>1</v>
      </c>
      <c r="G2681" s="10" t="s">
        <v>231</v>
      </c>
      <c r="H2681" s="10" t="s">
        <v>322</v>
      </c>
      <c r="I2681" s="10" t="s">
        <v>224</v>
      </c>
      <c r="J2681" s="10">
        <v>83</v>
      </c>
      <c r="K2681" s="12">
        <v>44967</v>
      </c>
      <c r="L2681" s="33">
        <v>0.47953703703703704</v>
      </c>
      <c r="M2681" s="10">
        <v>1</v>
      </c>
      <c r="N2681" s="10" t="s">
        <v>196</v>
      </c>
      <c r="O2681" s="10">
        <v>3.35</v>
      </c>
      <c r="P2681" s="10">
        <v>0.16200000000000001</v>
      </c>
      <c r="Q2681" s="10">
        <v>488</v>
      </c>
      <c r="R2681" s="10" t="s">
        <v>170</v>
      </c>
      <c r="S2681" s="34">
        <f t="shared" si="300"/>
        <v>504.55807625</v>
      </c>
      <c r="T2681" s="10" t="s">
        <v>1185</v>
      </c>
      <c r="U2681" s="34" t="str">
        <f t="shared" si="301"/>
        <v/>
      </c>
      <c r="V2681" s="31" t="str">
        <f>IF(H2681="CHK",VLOOKUP(I2681,QCCHK,3,),IF(H2681="GUP",VLOOKUP(E2681,QCGUP,2,),IF(AND(H2681="ATP",OR(I2681="TN",I2681="TDN",I2681="TNO2-3",I2681="NO2-3")),VLOOKUP(E2681,QCREC_N,2,),IF(AND(H2681="NIC",OR(I2681="TN",I2681="TDN",I2681="TNO2-3",I2681="NO2-3")),VLOOKUP(E2681,QCNIC_N,2,),IF(AND(H2681="UREA",OR(I2681="TN",I2681="TDN",I2681="TNO2-3",I2681="NO2-3")),VLOOKUP(E2681,QCUREA_N,2,),IF(H2681="PER",VLOOKUP(I2681,QCPER,MATCH(E2681,QCACTUAL!$J$25:$AA$25,0),),IF(H2681="SPK",VLOOKUP(I2681,QCSPK,3,),IF(AND(H2681="ATP",OR(I2681="TP",I2681="TDP")),VLOOKUP(E2681,QCATP_P,2,),""))))))))</f>
        <v/>
      </c>
      <c r="W2681" s="31" t="str">
        <f t="shared" si="302"/>
        <v>TRUE</v>
      </c>
      <c r="X2681" s="31" t="str">
        <f t="shared" si="299"/>
        <v/>
      </c>
      <c r="Y2681" s="10" t="s">
        <v>1178</v>
      </c>
      <c r="Z2681" s="10" t="s">
        <v>910</v>
      </c>
      <c r="AF2681" s="12">
        <v>44967</v>
      </c>
      <c r="AJ2681" s="10">
        <f>-1.3255*3.35^2+193.01*3.35-127.15</f>
        <v>504.55807625</v>
      </c>
      <c r="AK2681" s="10">
        <f>-0.215*3.35^2+181.97*3.35-117.15</f>
        <v>490.03666250000003</v>
      </c>
      <c r="AL2681" s="10" t="str">
        <f t="shared" si="304"/>
        <v>FALSE</v>
      </c>
      <c r="AM2681" s="10" t="str">
        <f t="shared" si="304"/>
        <v>FALSE</v>
      </c>
      <c r="AN2681" s="10" t="str">
        <f t="shared" si="304"/>
        <v>FALSE</v>
      </c>
      <c r="AO2681" s="10" t="str">
        <f t="shared" si="305"/>
        <v>y=-1.3255*3.35^2+193.01*3.35-127.15</v>
      </c>
      <c r="AP2681" s="10" t="str">
        <f t="shared" si="305"/>
        <v>y=-0.215*3.35^2+181.97*3.35-117.15</v>
      </c>
      <c r="AQ2681" s="10" t="b">
        <f>IF(AND(I2681="TP",S2681&lt;=150),VLOOKUP(AF2681,TPCalibEq150!$AZ$2:$BB$55,3,),IF(AND(I2681="TDP",S2681&lt;=150),VLOOKUP(AF2681,TPCalibEq150!$AZ$2:$BB$55,3,)))</f>
        <v>0</v>
      </c>
      <c r="AR2681" s="10" t="b">
        <f>IF(AND(I2681="TP",S2681&lt;=300),VLOOKUP(AF2681,TPCalibEq300!$AZ$2:$BB$55,3,),IF(AND(I2681="TDP",S2681&lt;=300),VLOOKUP(AF2681,TPCalibEq300!$AZ$2:$BB$55,3,)))</f>
        <v>0</v>
      </c>
      <c r="AS2681" s="10" t="b">
        <f>IF(AND(I2681="TP",S2681&lt;=500),VLOOKUP(AF2681,TPCalibEq500!$AZ$2:$BB$56,3,),IF(AND(I2681="TDP",S2681&lt;=500),VLOOKUP(AF2681,TPCalibEq500!$AZ$2:$BB$56,3,)))</f>
        <v>0</v>
      </c>
      <c r="AT2681" s="10" t="str">
        <f>IF(AND(I2681="TN",S2681&lt;=2800),VLOOKUP(AF2681,TNCalibEq2500!$AZ$2:$BB$56,3,),IF(AND(I2681="TDN",S2681&lt;=2800),VLOOKUP(AF2681,TNCalibEq2500!$AZ$2:$BB$56,3,)))</f>
        <v>y=-1.3255x2+193.01x-127.15</v>
      </c>
      <c r="AU2681" s="10" t="str">
        <f>IF(I2681="TP",VLOOKUP(AF2681,TPCalibEqFull!$AZ$2:$BB$56,3),IF(I2681="TDP",VLOOKUP(AF2681,TPCalibEqFull!$AZ$2:$BB$56,3),IF(I2681="TDN",VLOOKUP(AF2681,TNCalibEqFull!$AZ$1:$BB$56,3),IF(I2681="TN",VLOOKUP(AF2681,TNCalibEqFull!$AZ$1:$BB$56,3),FALSE))))</f>
        <v>y=-0.215x2+181.97x-117.15</v>
      </c>
      <c r="AV2681" s="10" t="str">
        <f t="shared" si="303"/>
        <v>0206 14:51:00-CLC-0-FIL-1-SW-UKN</v>
      </c>
    </row>
    <row r="2682" spans="1:48" s="10" customFormat="1" x14ac:dyDescent="0.55000000000000004">
      <c r="A2682" s="32">
        <v>44963</v>
      </c>
      <c r="B2682" s="33">
        <v>0.59722222222222221</v>
      </c>
      <c r="C2682" s="10" t="s">
        <v>214</v>
      </c>
      <c r="D2682" s="10">
        <v>0</v>
      </c>
      <c r="E2682" s="10" t="s">
        <v>911</v>
      </c>
      <c r="F2682" s="10">
        <v>1</v>
      </c>
      <c r="G2682" s="10" t="s">
        <v>231</v>
      </c>
      <c r="H2682" s="10" t="s">
        <v>322</v>
      </c>
      <c r="I2682" s="10" t="s">
        <v>224</v>
      </c>
      <c r="J2682" s="10">
        <v>84</v>
      </c>
      <c r="K2682" s="12">
        <v>44967</v>
      </c>
      <c r="L2682" s="33">
        <v>0.48019675925925925</v>
      </c>
      <c r="M2682" s="10">
        <v>1</v>
      </c>
      <c r="N2682" s="10" t="s">
        <v>196</v>
      </c>
      <c r="O2682" s="10">
        <v>7.93</v>
      </c>
      <c r="P2682" s="10">
        <v>0.38700000000000001</v>
      </c>
      <c r="Q2682" s="10">
        <v>1290</v>
      </c>
      <c r="R2682" s="10" t="s">
        <v>170</v>
      </c>
      <c r="S2682" s="34">
        <f t="shared" si="300"/>
        <v>1320.0653650499999</v>
      </c>
      <c r="T2682" s="10" t="s">
        <v>1185</v>
      </c>
      <c r="U2682" s="34" t="str">
        <f t="shared" si="301"/>
        <v/>
      </c>
      <c r="V2682" s="31" t="str">
        <f>IF(H2682="CHK",VLOOKUP(I2682,QCCHK,3,),IF(H2682="GUP",VLOOKUP(E2682,QCGUP,2,),IF(AND(H2682="ATP",OR(I2682="TN",I2682="TDN",I2682="TNO2-3",I2682="NO2-3")),VLOOKUP(E2682,QCREC_N,2,),IF(AND(H2682="NIC",OR(I2682="TN",I2682="TDN",I2682="TNO2-3",I2682="NO2-3")),VLOOKUP(E2682,QCNIC_N,2,),IF(AND(H2682="UREA",OR(I2682="TN",I2682="TDN",I2682="TNO2-3",I2682="NO2-3")),VLOOKUP(E2682,QCUREA_N,2,),IF(H2682="PER",VLOOKUP(I2682,QCPER,MATCH(E2682,QCACTUAL!$J$25:$AA$25,0),),IF(H2682="SPK",VLOOKUP(I2682,QCSPK,3,),IF(AND(H2682="ATP",OR(I2682="TP",I2682="TDP")),VLOOKUP(E2682,QCATP_P,2,),""))))))))</f>
        <v/>
      </c>
      <c r="W2682" s="31" t="str">
        <f t="shared" si="302"/>
        <v>TRUE</v>
      </c>
      <c r="X2682" s="31" t="str">
        <f t="shared" si="299"/>
        <v/>
      </c>
      <c r="Y2682" s="10" t="s">
        <v>1178</v>
      </c>
      <c r="Z2682" s="10" t="s">
        <v>910</v>
      </c>
      <c r="AF2682" s="12">
        <v>44967</v>
      </c>
      <c r="AJ2682" s="10">
        <f>-1.3255*7.93^2+193.01*7.93-127.15</f>
        <v>1320.0653650499999</v>
      </c>
      <c r="AK2682" s="10">
        <f>-0.215*7.93^2+181.97*7.93-117.15</f>
        <v>1312.3518464999997</v>
      </c>
      <c r="AL2682" s="10" t="str">
        <f t="shared" si="304"/>
        <v>FALSE</v>
      </c>
      <c r="AM2682" s="10" t="str">
        <f t="shared" si="304"/>
        <v>FALSE</v>
      </c>
      <c r="AN2682" s="10" t="str">
        <f t="shared" si="304"/>
        <v>FALSE</v>
      </c>
      <c r="AO2682" s="10" t="str">
        <f t="shared" si="305"/>
        <v>y=-1.3255*7.93^2+193.01*7.93-127.15</v>
      </c>
      <c r="AP2682" s="10" t="str">
        <f t="shared" si="305"/>
        <v>y=-0.215*7.93^2+181.97*7.93-117.15</v>
      </c>
      <c r="AQ2682" s="10" t="b">
        <f>IF(AND(I2682="TP",S2682&lt;=150),VLOOKUP(AF2682,TPCalibEq150!$AZ$2:$BB$55,3,),IF(AND(I2682="TDP",S2682&lt;=150),VLOOKUP(AF2682,TPCalibEq150!$AZ$2:$BB$55,3,)))</f>
        <v>0</v>
      </c>
      <c r="AR2682" s="10" t="b">
        <f>IF(AND(I2682="TP",S2682&lt;=300),VLOOKUP(AF2682,TPCalibEq300!$AZ$2:$BB$55,3,),IF(AND(I2682="TDP",S2682&lt;=300),VLOOKUP(AF2682,TPCalibEq300!$AZ$2:$BB$55,3,)))</f>
        <v>0</v>
      </c>
      <c r="AS2682" s="10" t="b">
        <f>IF(AND(I2682="TP",S2682&lt;=500),VLOOKUP(AF2682,TPCalibEq500!$AZ$2:$BB$56,3,),IF(AND(I2682="TDP",S2682&lt;=500),VLOOKUP(AF2682,TPCalibEq500!$AZ$2:$BB$56,3,)))</f>
        <v>0</v>
      </c>
      <c r="AT2682" s="10" t="str">
        <f>IF(AND(I2682="TN",S2682&lt;=2800),VLOOKUP(AF2682,TNCalibEq2500!$AZ$2:$BB$56,3,),IF(AND(I2682="TDN",S2682&lt;=2800),VLOOKUP(AF2682,TNCalibEq2500!$AZ$2:$BB$56,3,)))</f>
        <v>y=-1.3255x2+193.01x-127.15</v>
      </c>
      <c r="AU2682" s="10" t="str">
        <f>IF(I2682="TP",VLOOKUP(AF2682,TPCalibEqFull!$AZ$2:$BB$56,3),IF(I2682="TDP",VLOOKUP(AF2682,TPCalibEqFull!$AZ$2:$BB$56,3),IF(I2682="TDN",VLOOKUP(AF2682,TNCalibEqFull!$AZ$1:$BB$56,3),IF(I2682="TN",VLOOKUP(AF2682,TNCalibEqFull!$AZ$1:$BB$56,3),FALSE))))</f>
        <v>y=-0.215x2+181.97x-117.15</v>
      </c>
      <c r="AV2682" s="10" t="str">
        <f t="shared" si="303"/>
        <v>0206 14:20:00-DAM-0-FIL-1-SW-UKN</v>
      </c>
    </row>
    <row r="2683" spans="1:48" s="10" customFormat="1" x14ac:dyDescent="0.55000000000000004">
      <c r="A2683" s="32">
        <v>44963</v>
      </c>
      <c r="B2683" s="33">
        <v>0.59722222222222221</v>
      </c>
      <c r="C2683" s="10" t="s">
        <v>214</v>
      </c>
      <c r="D2683" s="10">
        <v>0</v>
      </c>
      <c r="E2683" s="10" t="s">
        <v>911</v>
      </c>
      <c r="F2683" s="10">
        <v>1</v>
      </c>
      <c r="G2683" s="10" t="s">
        <v>231</v>
      </c>
      <c r="H2683" s="10" t="s">
        <v>233</v>
      </c>
      <c r="I2683" s="10" t="s">
        <v>224</v>
      </c>
      <c r="J2683" s="10">
        <v>84</v>
      </c>
      <c r="K2683" s="12">
        <v>44967</v>
      </c>
      <c r="L2683" s="33">
        <v>0.48086805555555556</v>
      </c>
      <c r="M2683" s="10">
        <v>1</v>
      </c>
      <c r="N2683" s="10" t="s">
        <v>196</v>
      </c>
      <c r="O2683" s="10">
        <v>7.89</v>
      </c>
      <c r="P2683" s="10">
        <v>0.38600000000000001</v>
      </c>
      <c r="Q2683" s="10">
        <v>1290</v>
      </c>
      <c r="R2683" s="10" t="s">
        <v>170</v>
      </c>
      <c r="S2683" s="34">
        <f t="shared" si="300"/>
        <v>1313.1837414499998</v>
      </c>
      <c r="T2683" s="10" t="s">
        <v>1185</v>
      </c>
      <c r="U2683" s="34">
        <f t="shared" si="301"/>
        <v>0.5226716745493758</v>
      </c>
      <c r="V2683" s="31" t="str">
        <f>IF(H2683="CHK",VLOOKUP(I2683,QCCHK,3,),IF(H2683="GUP",VLOOKUP(E2683,QCGUP,2,),IF(AND(H2683="ATP",OR(I2683="TN",I2683="TDN",I2683="TNO2-3",I2683="NO2-3")),VLOOKUP(E2683,QCREC_N,2,),IF(AND(H2683="NIC",OR(I2683="TN",I2683="TDN",I2683="TNO2-3",I2683="NO2-3")),VLOOKUP(E2683,QCNIC_N,2,),IF(AND(H2683="UREA",OR(I2683="TN",I2683="TDN",I2683="TNO2-3",I2683="NO2-3")),VLOOKUP(E2683,QCUREA_N,2,),IF(H2683="PER",VLOOKUP(I2683,QCPER,MATCH(E2683,QCACTUAL!$J$25:$AA$25,0),),IF(H2683="SPK",VLOOKUP(I2683,QCSPK,3,),IF(AND(H2683="ATP",OR(I2683="TP",I2683="TDP")),VLOOKUP(E2683,QCATP_P,2,),""))))))))</f>
        <v/>
      </c>
      <c r="W2683" s="31" t="str">
        <f t="shared" si="302"/>
        <v>TRUE</v>
      </c>
      <c r="X2683" s="31" t="str">
        <f t="shared" si="299"/>
        <v>((ABS(rep1-rep2))/((rep1+rep2)/2)*100</v>
      </c>
      <c r="Y2683" s="10" t="s">
        <v>1178</v>
      </c>
      <c r="Z2683" s="10" t="s">
        <v>910</v>
      </c>
      <c r="AF2683" s="12">
        <v>44967</v>
      </c>
      <c r="AJ2683" s="10">
        <f>-1.3255*7.89^2+193.01*7.89-127.15</f>
        <v>1313.1837414499998</v>
      </c>
      <c r="AK2683" s="10">
        <f>-0.215*7.89^2+181.97*7.89-117.15</f>
        <v>1305.2090984999998</v>
      </c>
      <c r="AL2683" s="10" t="str">
        <f t="shared" si="304"/>
        <v>FALSE</v>
      </c>
      <c r="AM2683" s="10" t="str">
        <f t="shared" si="304"/>
        <v>FALSE</v>
      </c>
      <c r="AN2683" s="10" t="str">
        <f t="shared" si="304"/>
        <v>FALSE</v>
      </c>
      <c r="AO2683" s="10" t="str">
        <f t="shared" si="305"/>
        <v>y=-1.3255*7.89^2+193.01*7.89-127.15</v>
      </c>
      <c r="AP2683" s="10" t="str">
        <f t="shared" si="305"/>
        <v>y=-0.215*7.89^2+181.97*7.89-117.15</v>
      </c>
      <c r="AQ2683" s="10" t="b">
        <f>IF(AND(I2683="TP",S2683&lt;=150),VLOOKUP(AF2683,TPCalibEq150!$AZ$2:$BB$55,3,),IF(AND(I2683="TDP",S2683&lt;=150),VLOOKUP(AF2683,TPCalibEq150!$AZ$2:$BB$55,3,)))</f>
        <v>0</v>
      </c>
      <c r="AR2683" s="10" t="b">
        <f>IF(AND(I2683="TP",S2683&lt;=300),VLOOKUP(AF2683,TPCalibEq300!$AZ$2:$BB$55,3,),IF(AND(I2683="TDP",S2683&lt;=300),VLOOKUP(AF2683,TPCalibEq300!$AZ$2:$BB$55,3,)))</f>
        <v>0</v>
      </c>
      <c r="AS2683" s="10" t="b">
        <f>IF(AND(I2683="TP",S2683&lt;=500),VLOOKUP(AF2683,TPCalibEq500!$AZ$2:$BB$56,3,),IF(AND(I2683="TDP",S2683&lt;=500),VLOOKUP(AF2683,TPCalibEq500!$AZ$2:$BB$56,3,)))</f>
        <v>0</v>
      </c>
      <c r="AT2683" s="10" t="str">
        <f>IF(AND(I2683="TN",S2683&lt;=2800),VLOOKUP(AF2683,TNCalibEq2500!$AZ$2:$BB$56,3,),IF(AND(I2683="TDN",S2683&lt;=2800),VLOOKUP(AF2683,TNCalibEq2500!$AZ$2:$BB$56,3,)))</f>
        <v>y=-1.3255x2+193.01x-127.15</v>
      </c>
      <c r="AU2683" s="10" t="str">
        <f>IF(I2683="TP",VLOOKUP(AF2683,TPCalibEqFull!$AZ$2:$BB$56,3),IF(I2683="TDP",VLOOKUP(AF2683,TPCalibEqFull!$AZ$2:$BB$56,3),IF(I2683="TDN",VLOOKUP(AF2683,TNCalibEqFull!$AZ$1:$BB$56,3),IF(I2683="TN",VLOOKUP(AF2683,TNCalibEqFull!$AZ$1:$BB$56,3),FALSE))))</f>
        <v>y=-0.215x2+181.97x-117.15</v>
      </c>
      <c r="AV2683" s="10" t="str">
        <f t="shared" si="303"/>
        <v>0206 14:20:00-DAM-0-FIL-1-SW-DUP</v>
      </c>
    </row>
    <row r="2684" spans="1:48" s="10" customFormat="1" x14ac:dyDescent="0.55000000000000004">
      <c r="A2684" s="32">
        <v>44963</v>
      </c>
      <c r="B2684" s="33">
        <v>0.59722222222222221</v>
      </c>
      <c r="C2684" s="10" t="s">
        <v>214</v>
      </c>
      <c r="D2684" s="10">
        <v>0</v>
      </c>
      <c r="E2684" s="10" t="s">
        <v>911</v>
      </c>
      <c r="F2684" s="10">
        <v>1</v>
      </c>
      <c r="G2684" s="10" t="s">
        <v>231</v>
      </c>
      <c r="H2684" s="10" t="s">
        <v>314</v>
      </c>
      <c r="I2684" s="10" t="s">
        <v>224</v>
      </c>
      <c r="J2684" s="10">
        <v>128</v>
      </c>
      <c r="K2684" s="12">
        <v>44967</v>
      </c>
      <c r="L2684" s="33">
        <v>0.48153935185185182</v>
      </c>
      <c r="M2684" s="10">
        <v>1</v>
      </c>
      <c r="N2684" s="10" t="s">
        <v>196</v>
      </c>
      <c r="O2684" s="10">
        <v>21.9</v>
      </c>
      <c r="P2684" s="10">
        <v>1.06</v>
      </c>
      <c r="Q2684" s="10">
        <v>3760</v>
      </c>
      <c r="R2684" s="10" t="s">
        <v>170</v>
      </c>
      <c r="S2684" s="34">
        <f t="shared" si="300"/>
        <v>3764.8768499999996</v>
      </c>
      <c r="T2684" s="10" t="s">
        <v>1185</v>
      </c>
      <c r="U2684" s="34">
        <f t="shared" si="301"/>
        <v>98.067724342000005</v>
      </c>
      <c r="V2684" s="31">
        <f>IF(H2684="CHK",VLOOKUP(I2684,QCCHK,3,),IF(H2684="GUP",VLOOKUP(E2684,QCGUP,2,),IF(AND(H2684="ATP",OR(I2684="TN",I2684="TDN",I2684="TNO2-3",I2684="NO2-3")),VLOOKUP(E2684,QCREC_N,2,),IF(AND(H2684="NIC",OR(I2684="TN",I2684="TDN",I2684="TNO2-3",I2684="NO2-3")),VLOOKUP(E2684,QCNIC_N,2,),IF(AND(H2684="UREA",OR(I2684="TN",I2684="TDN",I2684="TNO2-3",I2684="NO2-3")),VLOOKUP(E2684,QCUREA_N,2,),IF(H2684="PER",VLOOKUP(I2684,QCPER,MATCH(E2684,QCACTUAL!$J$25:$AA$25,0),),IF(H2684="SPK",VLOOKUP(I2684,QCSPK,3,),IF(AND(H2684="ATP",OR(I2684="TP",I2684="TDP")),VLOOKUP(E2684,QCATP_P,2,),""))))))))</f>
        <v>2500</v>
      </c>
      <c r="W2684" s="31" t="str">
        <f t="shared" si="302"/>
        <v>TRUE</v>
      </c>
      <c r="X2684" s="31" t="str">
        <f t="shared" si="299"/>
        <v>([spikedunkn]-[unkn])/[spike]*100</v>
      </c>
      <c r="Y2684" s="10" t="s">
        <v>1178</v>
      </c>
      <c r="Z2684" s="10" t="s">
        <v>910</v>
      </c>
      <c r="AF2684" s="12">
        <v>44967</v>
      </c>
      <c r="AK2684" s="10">
        <f>-0.215*21.9^2+181.97*21.9-117.15</f>
        <v>3764.8768499999996</v>
      </c>
      <c r="AL2684" s="10" t="str">
        <f t="shared" si="304"/>
        <v>FALSE</v>
      </c>
      <c r="AM2684" s="10" t="str">
        <f t="shared" si="304"/>
        <v>FALSE</v>
      </c>
      <c r="AN2684" s="10" t="str">
        <f t="shared" si="304"/>
        <v>FALSE</v>
      </c>
      <c r="AO2684" s="10" t="str">
        <f t="shared" si="305"/>
        <v>FALSE</v>
      </c>
      <c r="AP2684" s="10" t="str">
        <f t="shared" si="305"/>
        <v>y=-0.215*21.9^2+181.97*21.9-117.15</v>
      </c>
      <c r="AQ2684" s="10" t="b">
        <f>IF(AND(I2684="TP",S2684&lt;=150),VLOOKUP(AF2684,TPCalibEq150!$AZ$2:$BB$55,3,),IF(AND(I2684="TDP",S2684&lt;=150),VLOOKUP(AF2684,TPCalibEq150!$AZ$2:$BB$55,3,)))</f>
        <v>0</v>
      </c>
      <c r="AR2684" s="10" t="b">
        <f>IF(AND(I2684="TP",S2684&lt;=300),VLOOKUP(AF2684,TPCalibEq300!$AZ$2:$BB$55,3,),IF(AND(I2684="TDP",S2684&lt;=300),VLOOKUP(AF2684,TPCalibEq300!$AZ$2:$BB$55,3,)))</f>
        <v>0</v>
      </c>
      <c r="AS2684" s="10" t="b">
        <f>IF(AND(I2684="TP",S2684&lt;=500),VLOOKUP(AF2684,TPCalibEq500!$AZ$2:$BB$56,3,),IF(AND(I2684="TDP",S2684&lt;=500),VLOOKUP(AF2684,TPCalibEq500!$AZ$2:$BB$56,3,)))</f>
        <v>0</v>
      </c>
      <c r="AT2684" s="10" t="b">
        <f>IF(AND(I2684="TN",S2684&lt;=2800),VLOOKUP(AF2684,TNCalibEq2500!$AZ$2:$BB$56,3,),IF(AND(I2684="TDN",S2684&lt;=2800),VLOOKUP(AF2684,TNCalibEq2500!$AZ$2:$BB$56,3,)))</f>
        <v>0</v>
      </c>
      <c r="AU2684" s="10" t="str">
        <f>IF(I2684="TP",VLOOKUP(AF2684,TPCalibEqFull!$AZ$2:$BB$56,3),IF(I2684="TDP",VLOOKUP(AF2684,TPCalibEqFull!$AZ$2:$BB$56,3),IF(I2684="TDN",VLOOKUP(AF2684,TNCalibEqFull!$AZ$1:$BB$56,3),IF(I2684="TN",VLOOKUP(AF2684,TNCalibEqFull!$AZ$1:$BB$56,3),FALSE))))</f>
        <v>y=-0.215x2+181.97x-117.15</v>
      </c>
      <c r="AV2684" s="10" t="str">
        <f t="shared" si="303"/>
        <v>0206 14:20:00-DAM-0-FIL-1-SW-SPK</v>
      </c>
    </row>
    <row r="2685" spans="1:48" s="10" customFormat="1" x14ac:dyDescent="0.55000000000000004">
      <c r="A2685" s="32">
        <v>44966</v>
      </c>
      <c r="B2685" s="33">
        <v>0.375</v>
      </c>
      <c r="C2685" s="10" t="s">
        <v>70</v>
      </c>
      <c r="D2685" s="10" t="s">
        <v>71</v>
      </c>
      <c r="E2685" s="10" t="s">
        <v>901</v>
      </c>
      <c r="F2685" s="10">
        <v>1</v>
      </c>
      <c r="G2685" s="10" t="s">
        <v>73</v>
      </c>
      <c r="H2685" s="10" t="s">
        <v>207</v>
      </c>
      <c r="I2685" s="10" t="s">
        <v>235</v>
      </c>
      <c r="J2685" s="10">
        <v>203</v>
      </c>
      <c r="K2685" s="12">
        <v>44967</v>
      </c>
      <c r="L2685" s="33">
        <v>0.48222222222222227</v>
      </c>
      <c r="M2685" s="10">
        <v>1</v>
      </c>
      <c r="N2685" s="10" t="s">
        <v>196</v>
      </c>
      <c r="O2685" s="10">
        <v>7.48</v>
      </c>
      <c r="P2685" s="10">
        <v>0.36799999999999999</v>
      </c>
      <c r="Q2685" s="10">
        <v>1220</v>
      </c>
      <c r="R2685" s="10" t="s">
        <v>170</v>
      </c>
      <c r="S2685" s="34">
        <f t="shared" si="300"/>
        <v>1242.4025447999998</v>
      </c>
      <c r="T2685" s="10" t="s">
        <v>1185</v>
      </c>
      <c r="U2685" s="34">
        <f t="shared" si="301"/>
        <v>99.392203583999986</v>
      </c>
      <c r="V2685" s="31">
        <f>IF(H2685="CHK",VLOOKUP(I2685,QCCHK,3,),IF(H2685="GUP",VLOOKUP(E2685,QCGUP,2,),IF(AND(H2685="ATP",OR(I2685="TN",I2685="TDN",I2685="TNO2-3",I2685="NO2-3")),VLOOKUP(E2685,QCREC_N,2,),IF(AND(H2685="NIC",OR(I2685="TN",I2685="TDN",I2685="TNO2-3",I2685="NO2-3")),VLOOKUP(E2685,QCNIC_N,2,),IF(AND(H2685="UREA",OR(I2685="TN",I2685="TDN",I2685="TNO2-3",I2685="NO2-3")),VLOOKUP(E2685,QCUREA_N,2,),IF(H2685="PER",VLOOKUP(I2685,QCPER,MATCH(E2685,QCACTUAL!$J$25:$AA$25,0),),IF(H2685="SPK",VLOOKUP(I2685,QCSPK,3,),IF(AND(H2685="ATP",OR(I2685="TP",I2685="TDP")),VLOOKUP(E2685,QCATP_P,2,),""))))))))</f>
        <v>1250</v>
      </c>
      <c r="W2685" s="31" t="str">
        <f t="shared" si="302"/>
        <v>TRUE</v>
      </c>
      <c r="X2685" s="31" t="str">
        <f t="shared" si="299"/>
        <v>[chk]/[actual]*100</v>
      </c>
      <c r="Y2685" s="10" t="s">
        <v>1178</v>
      </c>
      <c r="AF2685" s="12">
        <v>44967</v>
      </c>
      <c r="AJ2685" s="10">
        <f>-1.3255*7.48^2+193.01*7.48-127.15</f>
        <v>1242.4025447999998</v>
      </c>
      <c r="AK2685" s="10">
        <f>-0.215*7.48^2+181.97*7.48-117.15</f>
        <v>1231.9562639999999</v>
      </c>
      <c r="AL2685" s="10" t="str">
        <f t="shared" si="304"/>
        <v>FALSE</v>
      </c>
      <c r="AM2685" s="10" t="str">
        <f t="shared" si="304"/>
        <v>FALSE</v>
      </c>
      <c r="AN2685" s="10" t="str">
        <f t="shared" si="304"/>
        <v>FALSE</v>
      </c>
      <c r="AO2685" s="10" t="str">
        <f t="shared" si="305"/>
        <v>y=-1.3255*7.48^2+193.01*7.48-127.15</v>
      </c>
      <c r="AP2685" s="10" t="str">
        <f t="shared" si="305"/>
        <v>y=-0.215*7.48^2+181.97*7.48-117.15</v>
      </c>
      <c r="AQ2685" s="10" t="b">
        <f>IF(AND(I2685="TP",S2685&lt;=150),VLOOKUP(AF2685,TPCalibEq150!$AZ$2:$BB$55,3,),IF(AND(I2685="TDP",S2685&lt;=150),VLOOKUP(AF2685,TPCalibEq150!$AZ$2:$BB$55,3,)))</f>
        <v>0</v>
      </c>
      <c r="AR2685" s="10" t="b">
        <f>IF(AND(I2685="TP",S2685&lt;=300),VLOOKUP(AF2685,TPCalibEq300!$AZ$2:$BB$55,3,),IF(AND(I2685="TDP",S2685&lt;=300),VLOOKUP(AF2685,TPCalibEq300!$AZ$2:$BB$55,3,)))</f>
        <v>0</v>
      </c>
      <c r="AS2685" s="10" t="b">
        <f>IF(AND(I2685="TP",S2685&lt;=500),VLOOKUP(AF2685,TPCalibEq500!$AZ$2:$BB$56,3,),IF(AND(I2685="TDP",S2685&lt;=500),VLOOKUP(AF2685,TPCalibEq500!$AZ$2:$BB$56,3,)))</f>
        <v>0</v>
      </c>
      <c r="AT2685" s="10" t="str">
        <f>IF(AND(I2685="TN",S2685&lt;=2800),VLOOKUP(AF2685,TNCalibEq2500!$AZ$2:$BB$56,3,),IF(AND(I2685="TDN",S2685&lt;=2800),VLOOKUP(AF2685,TNCalibEq2500!$AZ$2:$BB$56,3,)))</f>
        <v>y=-1.3255x2+193.01x-127.15</v>
      </c>
      <c r="AU2685" s="10" t="str">
        <f>IF(I2685="TP",VLOOKUP(AF2685,TPCalibEqFull!$AZ$2:$BB$56,3),IF(I2685="TDP",VLOOKUP(AF2685,TPCalibEqFull!$AZ$2:$BB$56,3),IF(I2685="TDN",VLOOKUP(AF2685,TNCalibEqFull!$AZ$1:$BB$56,3),IF(I2685="TN",VLOOKUP(AF2685,TNCalibEqFull!$AZ$1:$BB$56,3),FALSE))))</f>
        <v>y=-0.215x2+181.97x-117.15</v>
      </c>
      <c r="AV2685" s="10" t="str">
        <f t="shared" si="303"/>
        <v>0209 09:00:00-QAC-STD-D-1-DI-CHK</v>
      </c>
    </row>
    <row r="2686" spans="1:48" s="10" customFormat="1" x14ac:dyDescent="0.55000000000000004">
      <c r="A2686" s="32">
        <v>44965</v>
      </c>
      <c r="B2686" s="33">
        <v>0.47164351851851855</v>
      </c>
      <c r="C2686" s="10" t="s">
        <v>431</v>
      </c>
      <c r="D2686" s="10">
        <v>0</v>
      </c>
      <c r="E2686" s="10" t="s">
        <v>911</v>
      </c>
      <c r="F2686" s="10">
        <v>1</v>
      </c>
      <c r="G2686" s="10" t="s">
        <v>231</v>
      </c>
      <c r="H2686" s="10" t="s">
        <v>322</v>
      </c>
      <c r="I2686" s="10" t="s">
        <v>224</v>
      </c>
      <c r="J2686" s="10">
        <v>85</v>
      </c>
      <c r="K2686" s="12">
        <v>44967</v>
      </c>
      <c r="L2686" s="33">
        <v>0.48288194444444449</v>
      </c>
      <c r="M2686" s="10">
        <v>1</v>
      </c>
      <c r="N2686" s="10" t="s">
        <v>196</v>
      </c>
      <c r="O2686" s="10">
        <v>8.4499999999999993</v>
      </c>
      <c r="P2686" s="10">
        <v>0.41199999999999998</v>
      </c>
      <c r="Q2686" s="10">
        <v>1390</v>
      </c>
      <c r="R2686" s="10" t="s">
        <v>170</v>
      </c>
      <c r="S2686" s="34">
        <f t="shared" si="300"/>
        <v>1409.1404862499999</v>
      </c>
      <c r="T2686" s="10" t="s">
        <v>1185</v>
      </c>
      <c r="U2686" s="34" t="str">
        <f t="shared" si="301"/>
        <v/>
      </c>
      <c r="V2686" s="31" t="str">
        <f>IF(H2686="CHK",VLOOKUP(I2686,QCCHK,3,),IF(H2686="GUP",VLOOKUP(E2686,QCGUP,2,),IF(AND(H2686="ATP",OR(I2686="TN",I2686="TDN",I2686="TNO2-3",I2686="NO2-3")),VLOOKUP(E2686,QCREC_N,2,),IF(AND(H2686="NIC",OR(I2686="TN",I2686="TDN",I2686="TNO2-3",I2686="NO2-3")),VLOOKUP(E2686,QCNIC_N,2,),IF(AND(H2686="UREA",OR(I2686="TN",I2686="TDN",I2686="TNO2-3",I2686="NO2-3")),VLOOKUP(E2686,QCUREA_N,2,),IF(H2686="PER",VLOOKUP(I2686,QCPER,MATCH(E2686,QCACTUAL!$J$25:$AA$25,0),),IF(H2686="SPK",VLOOKUP(I2686,QCSPK,3,),IF(AND(H2686="ATP",OR(I2686="TP",I2686="TDP")),VLOOKUP(E2686,QCATP_P,2,),""))))))))</f>
        <v/>
      </c>
      <c r="W2686" s="31" t="str">
        <f t="shared" si="302"/>
        <v>TRUE</v>
      </c>
      <c r="X2686" s="31" t="str">
        <f t="shared" si="299"/>
        <v/>
      </c>
      <c r="Y2686" s="10" t="s">
        <v>1178</v>
      </c>
      <c r="AF2686" s="12">
        <v>44967</v>
      </c>
      <c r="AJ2686" s="10">
        <f>-1.3255*8.45^2+193.01*8.45-127.15</f>
        <v>1409.1404862499999</v>
      </c>
      <c r="AK2686" s="10">
        <f>-0.215*8.45^2+181.97*8.45-117.15</f>
        <v>1405.1449624999998</v>
      </c>
      <c r="AL2686" s="10" t="str">
        <f t="shared" si="304"/>
        <v>FALSE</v>
      </c>
      <c r="AM2686" s="10" t="str">
        <f t="shared" si="304"/>
        <v>FALSE</v>
      </c>
      <c r="AN2686" s="10" t="str">
        <f t="shared" si="304"/>
        <v>FALSE</v>
      </c>
      <c r="AO2686" s="10" t="str">
        <f t="shared" si="305"/>
        <v>y=-1.3255*8.45^2+193.01*8.45-127.15</v>
      </c>
      <c r="AP2686" s="10" t="str">
        <f t="shared" si="305"/>
        <v>y=-0.215*8.45^2+181.97*8.45-117.15</v>
      </c>
      <c r="AQ2686" s="10" t="b">
        <f>IF(AND(I2686="TP",S2686&lt;=150),VLOOKUP(AF2686,TPCalibEq150!$AZ$2:$BB$55,3,),IF(AND(I2686="TDP",S2686&lt;=150),VLOOKUP(AF2686,TPCalibEq150!$AZ$2:$BB$55,3,)))</f>
        <v>0</v>
      </c>
      <c r="AR2686" s="10" t="b">
        <f>IF(AND(I2686="TP",S2686&lt;=300),VLOOKUP(AF2686,TPCalibEq300!$AZ$2:$BB$55,3,),IF(AND(I2686="TDP",S2686&lt;=300),VLOOKUP(AF2686,TPCalibEq300!$AZ$2:$BB$55,3,)))</f>
        <v>0</v>
      </c>
      <c r="AS2686" s="10" t="b">
        <f>IF(AND(I2686="TP",S2686&lt;=500),VLOOKUP(AF2686,TPCalibEq500!$AZ$2:$BB$56,3,),IF(AND(I2686="TDP",S2686&lt;=500),VLOOKUP(AF2686,TPCalibEq500!$AZ$2:$BB$56,3,)))</f>
        <v>0</v>
      </c>
      <c r="AT2686" s="10" t="str">
        <f>IF(AND(I2686="TN",S2686&lt;=2800),VLOOKUP(AF2686,TNCalibEq2500!$AZ$2:$BB$56,3,),IF(AND(I2686="TDN",S2686&lt;=2800),VLOOKUP(AF2686,TNCalibEq2500!$AZ$2:$BB$56,3,)))</f>
        <v>y=-1.3255x2+193.01x-127.15</v>
      </c>
      <c r="AU2686" s="10" t="str">
        <f>IF(I2686="TP",VLOOKUP(AF2686,TPCalibEqFull!$AZ$2:$BB$56,3),IF(I2686="TDP",VLOOKUP(AF2686,TPCalibEqFull!$AZ$2:$BB$56,3),IF(I2686="TDN",VLOOKUP(AF2686,TNCalibEqFull!$AZ$1:$BB$56,3),IF(I2686="TN",VLOOKUP(AF2686,TNCalibEqFull!$AZ$1:$BB$56,3),FALSE))))</f>
        <v>y=-0.215x2+181.97x-117.15</v>
      </c>
      <c r="AV2686" s="10" t="str">
        <f t="shared" si="303"/>
        <v>0208 11:19:10-EUS-0-FIL-1-SW-UKN</v>
      </c>
    </row>
    <row r="2687" spans="1:48" s="10" customFormat="1" x14ac:dyDescent="0.55000000000000004">
      <c r="A2687" s="32">
        <v>44965</v>
      </c>
      <c r="B2687" s="33">
        <v>0.47395833333333331</v>
      </c>
      <c r="C2687" s="10" t="s">
        <v>431</v>
      </c>
      <c r="D2687" s="10">
        <v>5</v>
      </c>
      <c r="E2687" s="10" t="s">
        <v>911</v>
      </c>
      <c r="F2687" s="10">
        <v>1</v>
      </c>
      <c r="G2687" s="10" t="s">
        <v>231</v>
      </c>
      <c r="H2687" s="10" t="s">
        <v>322</v>
      </c>
      <c r="I2687" s="10" t="s">
        <v>224</v>
      </c>
      <c r="J2687" s="10">
        <v>86</v>
      </c>
      <c r="K2687" s="12">
        <v>44967</v>
      </c>
      <c r="L2687" s="33">
        <v>0.4835416666666667</v>
      </c>
      <c r="M2687" s="10">
        <v>1</v>
      </c>
      <c r="N2687" s="10" t="s">
        <v>196</v>
      </c>
      <c r="O2687" s="10">
        <v>8.49</v>
      </c>
      <c r="P2687" s="10">
        <v>0.41499999999999998</v>
      </c>
      <c r="Q2687" s="10">
        <v>1390</v>
      </c>
      <c r="R2687" s="10" t="s">
        <v>170</v>
      </c>
      <c r="S2687" s="34">
        <f t="shared" si="300"/>
        <v>1415.9627274499999</v>
      </c>
      <c r="T2687" s="10" t="s">
        <v>1185</v>
      </c>
      <c r="U2687" s="34" t="str">
        <f t="shared" si="301"/>
        <v/>
      </c>
      <c r="V2687" s="31" t="str">
        <f>IF(H2687="CHK",VLOOKUP(I2687,QCCHK,3,),IF(H2687="GUP",VLOOKUP(E2687,QCGUP,2,),IF(AND(H2687="ATP",OR(I2687="TN",I2687="TDN",I2687="TNO2-3",I2687="NO2-3")),VLOOKUP(E2687,QCREC_N,2,),IF(AND(H2687="NIC",OR(I2687="TN",I2687="TDN",I2687="TNO2-3",I2687="NO2-3")),VLOOKUP(E2687,QCNIC_N,2,),IF(AND(H2687="UREA",OR(I2687="TN",I2687="TDN",I2687="TNO2-3",I2687="NO2-3")),VLOOKUP(E2687,QCUREA_N,2,),IF(H2687="PER",VLOOKUP(I2687,QCPER,MATCH(E2687,QCACTUAL!$J$25:$AA$25,0),),IF(H2687="SPK",VLOOKUP(I2687,QCSPK,3,),IF(AND(H2687="ATP",OR(I2687="TP",I2687="TDP")),VLOOKUP(E2687,QCATP_P,2,),""))))))))</f>
        <v/>
      </c>
      <c r="W2687" s="31" t="str">
        <f t="shared" si="302"/>
        <v>TRUE</v>
      </c>
      <c r="X2687" s="31" t="str">
        <f t="shared" ref="X2687:X2750" si="306">IF(ISNA(VLOOKUP(H2687,QCEQUATIONS,2,)),"",(VLOOKUP(H2687,QCEQUATIONS,2,)))</f>
        <v/>
      </c>
      <c r="Y2687" s="10" t="s">
        <v>1178</v>
      </c>
      <c r="AF2687" s="12">
        <v>44967</v>
      </c>
      <c r="AJ2687" s="10">
        <f>-1.3255*8.49^2+193.01*8.49-127.15</f>
        <v>1415.9627274499999</v>
      </c>
      <c r="AK2687" s="10">
        <f>-0.215*8.49^2+181.97*8.49-117.15</f>
        <v>1412.2780785</v>
      </c>
      <c r="AL2687" s="10" t="str">
        <f t="shared" si="304"/>
        <v>FALSE</v>
      </c>
      <c r="AM2687" s="10" t="str">
        <f t="shared" si="304"/>
        <v>FALSE</v>
      </c>
      <c r="AN2687" s="10" t="str">
        <f t="shared" si="304"/>
        <v>FALSE</v>
      </c>
      <c r="AO2687" s="10" t="str">
        <f t="shared" si="305"/>
        <v>y=-1.3255*8.49^2+193.01*8.49-127.15</v>
      </c>
      <c r="AP2687" s="10" t="str">
        <f t="shared" si="305"/>
        <v>y=-0.215*8.49^2+181.97*8.49-117.15</v>
      </c>
      <c r="AQ2687" s="10" t="b">
        <f>IF(AND(I2687="TP",S2687&lt;=150),VLOOKUP(AF2687,TPCalibEq150!$AZ$2:$BB$55,3,),IF(AND(I2687="TDP",S2687&lt;=150),VLOOKUP(AF2687,TPCalibEq150!$AZ$2:$BB$55,3,)))</f>
        <v>0</v>
      </c>
      <c r="AR2687" s="10" t="b">
        <f>IF(AND(I2687="TP",S2687&lt;=300),VLOOKUP(AF2687,TPCalibEq300!$AZ$2:$BB$55,3,),IF(AND(I2687="TDP",S2687&lt;=300),VLOOKUP(AF2687,TPCalibEq300!$AZ$2:$BB$55,3,)))</f>
        <v>0</v>
      </c>
      <c r="AS2687" s="10" t="b">
        <f>IF(AND(I2687="TP",S2687&lt;=500),VLOOKUP(AF2687,TPCalibEq500!$AZ$2:$BB$56,3,),IF(AND(I2687="TDP",S2687&lt;=500),VLOOKUP(AF2687,TPCalibEq500!$AZ$2:$BB$56,3,)))</f>
        <v>0</v>
      </c>
      <c r="AT2687" s="10" t="str">
        <f>IF(AND(I2687="TN",S2687&lt;=2800),VLOOKUP(AF2687,TNCalibEq2500!$AZ$2:$BB$56,3,),IF(AND(I2687="TDN",S2687&lt;=2800),VLOOKUP(AF2687,TNCalibEq2500!$AZ$2:$BB$56,3,)))</f>
        <v>y=-1.3255x2+193.01x-127.15</v>
      </c>
      <c r="AU2687" s="10" t="str">
        <f>IF(I2687="TP",VLOOKUP(AF2687,TPCalibEqFull!$AZ$2:$BB$56,3),IF(I2687="TDP",VLOOKUP(AF2687,TPCalibEqFull!$AZ$2:$BB$56,3),IF(I2687="TDN",VLOOKUP(AF2687,TNCalibEqFull!$AZ$1:$BB$56,3),IF(I2687="TN",VLOOKUP(AF2687,TNCalibEqFull!$AZ$1:$BB$56,3),FALSE))))</f>
        <v>y=-0.215x2+181.97x-117.15</v>
      </c>
      <c r="AV2687" s="10" t="str">
        <f t="shared" si="303"/>
        <v>0208 11:22:30-EUS-5-FIL-1-SW-UKN</v>
      </c>
    </row>
    <row r="2688" spans="1:48" s="10" customFormat="1" x14ac:dyDescent="0.55000000000000004">
      <c r="A2688" s="32">
        <v>44965</v>
      </c>
      <c r="B2688" s="33">
        <v>0.46828703703703706</v>
      </c>
      <c r="C2688" s="10" t="s">
        <v>618</v>
      </c>
      <c r="D2688" s="10">
        <v>0</v>
      </c>
      <c r="E2688" s="10" t="s">
        <v>911</v>
      </c>
      <c r="F2688" s="10">
        <v>1</v>
      </c>
      <c r="G2688" s="10" t="s">
        <v>231</v>
      </c>
      <c r="H2688" s="10" t="s">
        <v>322</v>
      </c>
      <c r="I2688" s="10" t="s">
        <v>224</v>
      </c>
      <c r="J2688" s="10">
        <v>87</v>
      </c>
      <c r="K2688" s="12">
        <v>44967</v>
      </c>
      <c r="L2688" s="33">
        <v>0.48421296296296296</v>
      </c>
      <c r="M2688" s="10">
        <v>1</v>
      </c>
      <c r="N2688" s="10" t="s">
        <v>196</v>
      </c>
      <c r="O2688" s="10">
        <v>7.14</v>
      </c>
      <c r="P2688" s="10">
        <v>0.35</v>
      </c>
      <c r="Q2688" s="10">
        <v>1160</v>
      </c>
      <c r="R2688" s="10" t="s">
        <v>170</v>
      </c>
      <c r="S2688" s="34">
        <f t="shared" ref="S2688:S2751" si="307">IF(OR(AND(I2688&lt;&gt;"TP", I2688&lt;&gt;"TDP",I2688&lt;&gt;"TN", I2688&lt;&gt;"TDN"),H2688="CAL"), Q2688*M2688, IF(OR(AND(I2688="TN", Q2688&gt;2500), AND(I2688="TDN", Q2688&gt;2500)),MAX(Q2688, AK2688)*M2688, IF(OR(AND(I2688="TN", Q2688&lt;=2500), AND(I2688="TDN", Q2688&lt;=2500)),MAX(Q2688, AJ2688,AK2688)*M2688, IF(OR(AND(I2688="TP",Q2688&gt;500), AND(I2688="TDP", Q2688&gt;500)),MAX(Q2688,AK2688)*M2688,IF(OR(AND(I2688="TP",Q2688&lt;=150), AND(I2688="TDP", Q2688&lt;=150)),MAX(Q2688,AG2688:AI2688,AK2688)*M2688,IF(OR(AND(I2688="TP",Q2688&lt;=300), AND(I2688="TDP", Q2688&lt;=300)),MAX(Q2688,AH2688,AI2688,AK2688)*M2688,IF(OR(AND(I2688="TP",Q2688&lt;=500), AND(I2688="TDP", Q2688&lt;=500)),MAX(Q2688,AI2688,AK2688)*M2688,"")))))))</f>
        <v>1183.3679401999998</v>
      </c>
      <c r="T2688" s="10" t="s">
        <v>1185</v>
      </c>
      <c r="U2688" s="34" t="str">
        <f t="shared" si="301"/>
        <v/>
      </c>
      <c r="V2688" s="31" t="str">
        <f>IF(H2688="CHK",VLOOKUP(I2688,QCCHK,3,),IF(H2688="GUP",VLOOKUP(E2688,QCGUP,2,),IF(AND(H2688="ATP",OR(I2688="TN",I2688="TDN",I2688="TNO2-3",I2688="NO2-3")),VLOOKUP(E2688,QCREC_N,2,),IF(AND(H2688="NIC",OR(I2688="TN",I2688="TDN",I2688="TNO2-3",I2688="NO2-3")),VLOOKUP(E2688,QCNIC_N,2,),IF(AND(H2688="UREA",OR(I2688="TN",I2688="TDN",I2688="TNO2-3",I2688="NO2-3")),VLOOKUP(E2688,QCUREA_N,2,),IF(H2688="PER",VLOOKUP(I2688,QCPER,MATCH(E2688,QCACTUAL!$J$25:$AA$25,0),),IF(H2688="SPK",VLOOKUP(I2688,QCSPK,3,),IF(AND(H2688="ATP",OR(I2688="TP",I2688="TDP")),VLOOKUP(E2688,QCATP_P,2,),""))))))))</f>
        <v/>
      </c>
      <c r="W2688" s="31" t="str">
        <f t="shared" si="302"/>
        <v>TRUE</v>
      </c>
      <c r="X2688" s="31" t="str">
        <f t="shared" si="306"/>
        <v/>
      </c>
      <c r="Y2688" s="10" t="s">
        <v>1178</v>
      </c>
      <c r="AF2688" s="12">
        <v>44967</v>
      </c>
      <c r="AJ2688" s="10">
        <f>-1.3255*7.14^2+193.01*7.14-127.15</f>
        <v>1183.3679401999998</v>
      </c>
      <c r="AK2688" s="10">
        <f>-0.215*7.14^2+181.97*7.14-117.15</f>
        <v>1171.1551859999997</v>
      </c>
      <c r="AL2688" s="10" t="str">
        <f t="shared" si="304"/>
        <v>FALSE</v>
      </c>
      <c r="AM2688" s="10" t="str">
        <f t="shared" si="304"/>
        <v>FALSE</v>
      </c>
      <c r="AN2688" s="10" t="str">
        <f t="shared" si="304"/>
        <v>FALSE</v>
      </c>
      <c r="AO2688" s="10" t="str">
        <f t="shared" si="305"/>
        <v>y=-1.3255*7.14^2+193.01*7.14-127.15</v>
      </c>
      <c r="AP2688" s="10" t="str">
        <f t="shared" si="305"/>
        <v>y=-0.215*7.14^2+181.97*7.14-117.15</v>
      </c>
      <c r="AQ2688" s="10" t="b">
        <f>IF(AND(I2688="TP",S2688&lt;=150),VLOOKUP(AF2688,TPCalibEq150!$AZ$2:$BB$55,3,),IF(AND(I2688="TDP",S2688&lt;=150),VLOOKUP(AF2688,TPCalibEq150!$AZ$2:$BB$55,3,)))</f>
        <v>0</v>
      </c>
      <c r="AR2688" s="10" t="b">
        <f>IF(AND(I2688="TP",S2688&lt;=300),VLOOKUP(AF2688,TPCalibEq300!$AZ$2:$BB$55,3,),IF(AND(I2688="TDP",S2688&lt;=300),VLOOKUP(AF2688,TPCalibEq300!$AZ$2:$BB$55,3,)))</f>
        <v>0</v>
      </c>
      <c r="AS2688" s="10" t="b">
        <f>IF(AND(I2688="TP",S2688&lt;=500),VLOOKUP(AF2688,TPCalibEq500!$AZ$2:$BB$56,3,),IF(AND(I2688="TDP",S2688&lt;=500),VLOOKUP(AF2688,TPCalibEq500!$AZ$2:$BB$56,3,)))</f>
        <v>0</v>
      </c>
      <c r="AT2688" s="10" t="str">
        <f>IF(AND(I2688="TN",S2688&lt;=2800),VLOOKUP(AF2688,TNCalibEq2500!$AZ$2:$BB$56,3,),IF(AND(I2688="TDN",S2688&lt;=2800),VLOOKUP(AF2688,TNCalibEq2500!$AZ$2:$BB$56,3,)))</f>
        <v>y=-1.3255x2+193.01x-127.15</v>
      </c>
      <c r="AU2688" s="10" t="str">
        <f>IF(I2688="TP",VLOOKUP(AF2688,TPCalibEqFull!$AZ$2:$BB$56,3),IF(I2688="TDP",VLOOKUP(AF2688,TPCalibEqFull!$AZ$2:$BB$56,3),IF(I2688="TDN",VLOOKUP(AF2688,TNCalibEqFull!$AZ$1:$BB$56,3),IF(I2688="TN",VLOOKUP(AF2688,TNCalibEqFull!$AZ$1:$BB$56,3),FALSE))))</f>
        <v>y=-0.215x2+181.97x-117.15</v>
      </c>
      <c r="AV2688" s="10" t="str">
        <f t="shared" si="303"/>
        <v>0208 11:14:20-ECP-0-FIL-1-SW-UKN</v>
      </c>
    </row>
    <row r="2689" spans="1:48" s="10" customFormat="1" x14ac:dyDescent="0.55000000000000004">
      <c r="A2689" s="32">
        <v>44965</v>
      </c>
      <c r="B2689" s="33">
        <v>0.46828703703703706</v>
      </c>
      <c r="C2689" s="10" t="s">
        <v>618</v>
      </c>
      <c r="D2689" s="10">
        <v>0</v>
      </c>
      <c r="E2689" s="10" t="s">
        <v>911</v>
      </c>
      <c r="F2689" s="10">
        <v>2</v>
      </c>
      <c r="G2689" s="10" t="s">
        <v>231</v>
      </c>
      <c r="H2689" s="10" t="s">
        <v>322</v>
      </c>
      <c r="I2689" s="10" t="s">
        <v>224</v>
      </c>
      <c r="J2689" s="10">
        <v>88</v>
      </c>
      <c r="K2689" s="12">
        <v>44967</v>
      </c>
      <c r="L2689" s="33">
        <v>0.48487268518518517</v>
      </c>
      <c r="M2689" s="10">
        <v>1</v>
      </c>
      <c r="N2689" s="10" t="s">
        <v>196</v>
      </c>
      <c r="O2689" s="10">
        <v>7.49</v>
      </c>
      <c r="P2689" s="10">
        <v>0.36599999999999999</v>
      </c>
      <c r="Q2689" s="10">
        <v>1220</v>
      </c>
      <c r="R2689" s="10" t="s">
        <v>170</v>
      </c>
      <c r="S2689" s="34">
        <f t="shared" si="307"/>
        <v>1244.1342174499998</v>
      </c>
      <c r="T2689" s="10" t="s">
        <v>1185</v>
      </c>
      <c r="U2689" s="34" t="str">
        <f t="shared" si="301"/>
        <v/>
      </c>
      <c r="V2689" s="31" t="str">
        <f>IF(H2689="CHK",VLOOKUP(I2689,QCCHK,3,),IF(H2689="GUP",VLOOKUP(E2689,QCGUP,2,),IF(AND(H2689="ATP",OR(I2689="TN",I2689="TDN",I2689="TNO2-3",I2689="NO2-3")),VLOOKUP(E2689,QCREC_N,2,),IF(AND(H2689="NIC",OR(I2689="TN",I2689="TDN",I2689="TNO2-3",I2689="NO2-3")),VLOOKUP(E2689,QCNIC_N,2,),IF(AND(H2689="UREA",OR(I2689="TN",I2689="TDN",I2689="TNO2-3",I2689="NO2-3")),VLOOKUP(E2689,QCUREA_N,2,),IF(H2689="PER",VLOOKUP(I2689,QCPER,MATCH(E2689,QCACTUAL!$J$25:$AA$25,0),),IF(H2689="SPK",VLOOKUP(I2689,QCSPK,3,),IF(AND(H2689="ATP",OR(I2689="TP",I2689="TDP")),VLOOKUP(E2689,QCATP_P,2,),""))))))))</f>
        <v/>
      </c>
      <c r="W2689" s="31" t="str">
        <f t="shared" si="302"/>
        <v>TRUE</v>
      </c>
      <c r="X2689" s="31" t="str">
        <f t="shared" si="306"/>
        <v/>
      </c>
      <c r="Y2689" s="10" t="s">
        <v>1178</v>
      </c>
      <c r="AF2689" s="12">
        <v>44967</v>
      </c>
      <c r="AJ2689" s="10">
        <f>-1.3255*7.49^2+193.01*7.49-127.15</f>
        <v>1244.1342174499998</v>
      </c>
      <c r="AK2689" s="10">
        <f>-0.215*7.49^2+181.97*7.49-117.15</f>
        <v>1233.7437785</v>
      </c>
      <c r="AL2689" s="10" t="str">
        <f t="shared" si="304"/>
        <v>FALSE</v>
      </c>
      <c r="AM2689" s="10" t="str">
        <f t="shared" si="304"/>
        <v>FALSE</v>
      </c>
      <c r="AN2689" s="10" t="str">
        <f t="shared" si="304"/>
        <v>FALSE</v>
      </c>
      <c r="AO2689" s="10" t="str">
        <f t="shared" si="305"/>
        <v>y=-1.3255*7.49^2+193.01*7.49-127.15</v>
      </c>
      <c r="AP2689" s="10" t="str">
        <f t="shared" si="305"/>
        <v>y=-0.215*7.49^2+181.97*7.49-117.15</v>
      </c>
      <c r="AQ2689" s="10" t="b">
        <f>IF(AND(I2689="TP",S2689&lt;=150),VLOOKUP(AF2689,TPCalibEq150!$AZ$2:$BB$55,3,),IF(AND(I2689="TDP",S2689&lt;=150),VLOOKUP(AF2689,TPCalibEq150!$AZ$2:$BB$55,3,)))</f>
        <v>0</v>
      </c>
      <c r="AR2689" s="10" t="b">
        <f>IF(AND(I2689="TP",S2689&lt;=300),VLOOKUP(AF2689,TPCalibEq300!$AZ$2:$BB$55,3,),IF(AND(I2689="TDP",S2689&lt;=300),VLOOKUP(AF2689,TPCalibEq300!$AZ$2:$BB$55,3,)))</f>
        <v>0</v>
      </c>
      <c r="AS2689" s="10" t="b">
        <f>IF(AND(I2689="TP",S2689&lt;=500),VLOOKUP(AF2689,TPCalibEq500!$AZ$2:$BB$56,3,),IF(AND(I2689="TDP",S2689&lt;=500),VLOOKUP(AF2689,TPCalibEq500!$AZ$2:$BB$56,3,)))</f>
        <v>0</v>
      </c>
      <c r="AT2689" s="10" t="str">
        <f>IF(AND(I2689="TN",S2689&lt;=2800),VLOOKUP(AF2689,TNCalibEq2500!$AZ$2:$BB$56,3,),IF(AND(I2689="TDN",S2689&lt;=2800),VLOOKUP(AF2689,TNCalibEq2500!$AZ$2:$BB$56,3,)))</f>
        <v>y=-1.3255x2+193.01x-127.15</v>
      </c>
      <c r="AU2689" s="10" t="str">
        <f>IF(I2689="TP",VLOOKUP(AF2689,TPCalibEqFull!$AZ$2:$BB$56,3),IF(I2689="TDP",VLOOKUP(AF2689,TPCalibEqFull!$AZ$2:$BB$56,3),IF(I2689="TDN",VLOOKUP(AF2689,TNCalibEqFull!$AZ$1:$BB$56,3),IF(I2689="TN",VLOOKUP(AF2689,TNCalibEqFull!$AZ$1:$BB$56,3),FALSE))))</f>
        <v>y=-0.215x2+181.97x-117.15</v>
      </c>
      <c r="AV2689" s="10" t="str">
        <f t="shared" si="303"/>
        <v>0208 11:14:20-ECP-0-FIL-2-SW-UKN</v>
      </c>
    </row>
    <row r="2690" spans="1:48" s="10" customFormat="1" x14ac:dyDescent="0.55000000000000004">
      <c r="A2690" s="32">
        <v>44965</v>
      </c>
      <c r="B2690" s="33">
        <v>0.46828703703703706</v>
      </c>
      <c r="C2690" s="10" t="s">
        <v>618</v>
      </c>
      <c r="D2690" s="10">
        <v>0</v>
      </c>
      <c r="E2690" s="10" t="s">
        <v>911</v>
      </c>
      <c r="F2690" s="10">
        <v>2</v>
      </c>
      <c r="G2690" s="10" t="s">
        <v>231</v>
      </c>
      <c r="H2690" s="10" t="s">
        <v>233</v>
      </c>
      <c r="I2690" s="10" t="s">
        <v>224</v>
      </c>
      <c r="J2690" s="10">
        <v>88</v>
      </c>
      <c r="K2690" s="12">
        <v>44967</v>
      </c>
      <c r="L2690" s="33">
        <v>0.48554398148148148</v>
      </c>
      <c r="M2690" s="10">
        <v>1</v>
      </c>
      <c r="N2690" s="10" t="s">
        <v>196</v>
      </c>
      <c r="O2690" s="10">
        <v>7.45</v>
      </c>
      <c r="P2690" s="10">
        <v>0.36499999999999999</v>
      </c>
      <c r="Q2690" s="10">
        <v>1210</v>
      </c>
      <c r="R2690" s="10" t="s">
        <v>170</v>
      </c>
      <c r="S2690" s="34">
        <f t="shared" si="307"/>
        <v>1237.2059362499999</v>
      </c>
      <c r="T2690" s="10" t="s">
        <v>1185</v>
      </c>
      <c r="U2690" s="34">
        <f t="shared" ref="U2690:U2753" si="308">IF(OR(H2690="CHK",H2690="ATP",H2690="GUP",H2690="PER", H2690="NIC", H2690="UREA"),(S2690/V2690*100),IF(H2690="DUP",((ABS(S2690-S2689))/((S2689+S2690)/2))*100,IF(H2690="SPK",((S2690-S2689)/V2690*100),IF(OR(H2690="LAB",H2690="FLD",H2690="ESF"),S2690,""))))</f>
        <v>0.55843058757332698</v>
      </c>
      <c r="V2690" s="31" t="str">
        <f>IF(H2690="CHK",VLOOKUP(I2690,QCCHK,3,),IF(H2690="GUP",VLOOKUP(E2690,QCGUP,2,),IF(AND(H2690="ATP",OR(I2690="TN",I2690="TDN",I2690="TNO2-3",I2690="NO2-3")),VLOOKUP(E2690,QCREC_N,2,),IF(AND(H2690="NIC",OR(I2690="TN",I2690="TDN",I2690="TNO2-3",I2690="NO2-3")),VLOOKUP(E2690,QCNIC_N,2,),IF(AND(H2690="UREA",OR(I2690="TN",I2690="TDN",I2690="TNO2-3",I2690="NO2-3")),VLOOKUP(E2690,QCUREA_N,2,),IF(H2690="PER",VLOOKUP(I2690,QCPER,MATCH(E2690,QCACTUAL!$J$25:$AA$25,0),),IF(H2690="SPK",VLOOKUP(I2690,QCSPK,3,),IF(AND(H2690="ATP",OR(I2690="TP",I2690="TDP")),VLOOKUP(E2690,QCATP_P,2,),""))))))))</f>
        <v/>
      </c>
      <c r="W2690" s="31" t="str">
        <f t="shared" ref="W2690:W2753" si="309">IF(AND(OR(H2690="PER",H2690="ATP",H2690="GUP",H2690="CHK",H2690="SPK", H2690="NIC"),OR(U2690&gt;125,U2690&lt;75)),"FALSE",IF(AND(H2690="DUP",OR(U2690&gt;25, U2690&lt;-25)),"FALSE",IF(AND(OR(H2690="LAB",H2690="FLD",H2690="ESF"),U2690&gt;15),"FALSE","TRUE")))</f>
        <v>TRUE</v>
      </c>
      <c r="X2690" s="31" t="str">
        <f t="shared" si="306"/>
        <v>((ABS(rep1-rep2))/((rep1+rep2)/2)*100</v>
      </c>
      <c r="Y2690" s="10" t="s">
        <v>1178</v>
      </c>
      <c r="AF2690" s="12">
        <v>44967</v>
      </c>
      <c r="AJ2690" s="10">
        <f>-1.3255*7.45^2+193.01*7.45-127.15</f>
        <v>1237.2059362499999</v>
      </c>
      <c r="AK2690" s="10">
        <f>-0.215*7.45^2+181.97*7.45-117.15</f>
        <v>1226.5934625</v>
      </c>
      <c r="AL2690" s="10" t="str">
        <f t="shared" si="304"/>
        <v>FALSE</v>
      </c>
      <c r="AM2690" s="10" t="str">
        <f t="shared" si="304"/>
        <v>FALSE</v>
      </c>
      <c r="AN2690" s="10" t="str">
        <f t="shared" si="304"/>
        <v>FALSE</v>
      </c>
      <c r="AO2690" s="10" t="str">
        <f t="shared" si="305"/>
        <v>y=-1.3255*7.45^2+193.01*7.45-127.15</v>
      </c>
      <c r="AP2690" s="10" t="str">
        <f t="shared" si="305"/>
        <v>y=-0.215*7.45^2+181.97*7.45-117.15</v>
      </c>
      <c r="AQ2690" s="10" t="b">
        <f>IF(AND(I2690="TP",S2690&lt;=150),VLOOKUP(AF2690,TPCalibEq150!$AZ$2:$BB$55,3,),IF(AND(I2690="TDP",S2690&lt;=150),VLOOKUP(AF2690,TPCalibEq150!$AZ$2:$BB$55,3,)))</f>
        <v>0</v>
      </c>
      <c r="AR2690" s="10" t="b">
        <f>IF(AND(I2690="TP",S2690&lt;=300),VLOOKUP(AF2690,TPCalibEq300!$AZ$2:$BB$55,3,),IF(AND(I2690="TDP",S2690&lt;=300),VLOOKUP(AF2690,TPCalibEq300!$AZ$2:$BB$55,3,)))</f>
        <v>0</v>
      </c>
      <c r="AS2690" s="10" t="b">
        <f>IF(AND(I2690="TP",S2690&lt;=500),VLOOKUP(AF2690,TPCalibEq500!$AZ$2:$BB$56,3,),IF(AND(I2690="TDP",S2690&lt;=500),VLOOKUP(AF2690,TPCalibEq500!$AZ$2:$BB$56,3,)))</f>
        <v>0</v>
      </c>
      <c r="AT2690" s="10" t="str">
        <f>IF(AND(I2690="TN",S2690&lt;=2800),VLOOKUP(AF2690,TNCalibEq2500!$AZ$2:$BB$56,3,),IF(AND(I2690="TDN",S2690&lt;=2800),VLOOKUP(AF2690,TNCalibEq2500!$AZ$2:$BB$56,3,)))</f>
        <v>y=-1.3255x2+193.01x-127.15</v>
      </c>
      <c r="AU2690" s="10" t="str">
        <f>IF(I2690="TP",VLOOKUP(AF2690,TPCalibEqFull!$AZ$2:$BB$56,3),IF(I2690="TDP",VLOOKUP(AF2690,TPCalibEqFull!$AZ$2:$BB$56,3),IF(I2690="TDN",VLOOKUP(AF2690,TNCalibEqFull!$AZ$1:$BB$56,3),IF(I2690="TN",VLOOKUP(AF2690,TNCalibEqFull!$AZ$1:$BB$56,3),FALSE))))</f>
        <v>y=-0.215x2+181.97x-117.15</v>
      </c>
      <c r="AV2690" s="10" t="str">
        <f t="shared" ref="AV2690:AV2753" si="310">TEXT(A2690, "MMDD")&amp;" "&amp;TEXT(B2690, "HH:MM:SS")&amp;"-"&amp;C2690&amp;"-"&amp;D2690&amp;"-"&amp;E2690&amp;"-"&amp;F2690&amp;"-"&amp;G2690&amp;"-"&amp;H2690</f>
        <v>0208 11:14:20-ECP-0-FIL-2-SW-DUP</v>
      </c>
    </row>
    <row r="2691" spans="1:48" s="10" customFormat="1" x14ac:dyDescent="0.55000000000000004">
      <c r="A2691" s="32">
        <v>44965</v>
      </c>
      <c r="B2691" s="33">
        <v>0.46828703703703706</v>
      </c>
      <c r="C2691" s="10" t="s">
        <v>618</v>
      </c>
      <c r="D2691" s="10">
        <v>0</v>
      </c>
      <c r="E2691" s="10" t="s">
        <v>911</v>
      </c>
      <c r="F2691" s="10">
        <v>2</v>
      </c>
      <c r="G2691" s="10" t="s">
        <v>231</v>
      </c>
      <c r="H2691" s="10" t="s">
        <v>314</v>
      </c>
      <c r="I2691" s="10" t="s">
        <v>224</v>
      </c>
      <c r="J2691" s="10">
        <v>129</v>
      </c>
      <c r="K2691" s="12">
        <v>44967</v>
      </c>
      <c r="L2691" s="33">
        <v>0.48620370370370369</v>
      </c>
      <c r="M2691" s="10">
        <v>1</v>
      </c>
      <c r="N2691" s="10" t="s">
        <v>196</v>
      </c>
      <c r="O2691" s="10">
        <v>22.1</v>
      </c>
      <c r="P2691" s="10">
        <v>1.07</v>
      </c>
      <c r="Q2691" s="10">
        <v>3790</v>
      </c>
      <c r="R2691" s="10" t="s">
        <v>170</v>
      </c>
      <c r="S2691" s="34">
        <f t="shared" si="307"/>
        <v>3799.3788500000001</v>
      </c>
      <c r="T2691" s="10" t="s">
        <v>1185</v>
      </c>
      <c r="U2691" s="34">
        <f t="shared" si="308"/>
        <v>102.48691654999999</v>
      </c>
      <c r="V2691" s="31">
        <f>IF(H2691="CHK",VLOOKUP(I2691,QCCHK,3,),IF(H2691="GUP",VLOOKUP(E2691,QCGUP,2,),IF(AND(H2691="ATP",OR(I2691="TN",I2691="TDN",I2691="TNO2-3",I2691="NO2-3")),VLOOKUP(E2691,QCREC_N,2,),IF(AND(H2691="NIC",OR(I2691="TN",I2691="TDN",I2691="TNO2-3",I2691="NO2-3")),VLOOKUP(E2691,QCNIC_N,2,),IF(AND(H2691="UREA",OR(I2691="TN",I2691="TDN",I2691="TNO2-3",I2691="NO2-3")),VLOOKUP(E2691,QCUREA_N,2,),IF(H2691="PER",VLOOKUP(I2691,QCPER,MATCH(E2691,QCACTUAL!$J$25:$AA$25,0),),IF(H2691="SPK",VLOOKUP(I2691,QCSPK,3,),IF(AND(H2691="ATP",OR(I2691="TP",I2691="TDP")),VLOOKUP(E2691,QCATP_P,2,),""))))))))</f>
        <v>2500</v>
      </c>
      <c r="W2691" s="31" t="str">
        <f t="shared" si="309"/>
        <v>TRUE</v>
      </c>
      <c r="X2691" s="31" t="str">
        <f t="shared" si="306"/>
        <v>([spikedunkn]-[unkn])/[spike]*100</v>
      </c>
      <c r="Y2691" s="10" t="s">
        <v>1178</v>
      </c>
      <c r="AF2691" s="12">
        <v>44967</v>
      </c>
      <c r="AK2691" s="10">
        <f>-0.215*22.1^2+181.97*22.1-117.15</f>
        <v>3799.3788500000001</v>
      </c>
      <c r="AL2691" s="10" t="str">
        <f t="shared" si="304"/>
        <v>FALSE</v>
      </c>
      <c r="AM2691" s="10" t="str">
        <f t="shared" si="304"/>
        <v>FALSE</v>
      </c>
      <c r="AN2691" s="10" t="str">
        <f t="shared" si="304"/>
        <v>FALSE</v>
      </c>
      <c r="AO2691" s="10" t="str">
        <f t="shared" si="305"/>
        <v>FALSE</v>
      </c>
      <c r="AP2691" s="10" t="str">
        <f t="shared" si="305"/>
        <v>y=-0.215*22.1^2+181.97*22.1-117.15</v>
      </c>
      <c r="AQ2691" s="10" t="b">
        <f>IF(AND(I2691="TP",S2691&lt;=150),VLOOKUP(AF2691,TPCalibEq150!$AZ$2:$BB$55,3,),IF(AND(I2691="TDP",S2691&lt;=150),VLOOKUP(AF2691,TPCalibEq150!$AZ$2:$BB$55,3,)))</f>
        <v>0</v>
      </c>
      <c r="AR2691" s="10" t="b">
        <f>IF(AND(I2691="TP",S2691&lt;=300),VLOOKUP(AF2691,TPCalibEq300!$AZ$2:$BB$55,3,),IF(AND(I2691="TDP",S2691&lt;=300),VLOOKUP(AF2691,TPCalibEq300!$AZ$2:$BB$55,3,)))</f>
        <v>0</v>
      </c>
      <c r="AS2691" s="10" t="b">
        <f>IF(AND(I2691="TP",S2691&lt;=500),VLOOKUP(AF2691,TPCalibEq500!$AZ$2:$BB$56,3,),IF(AND(I2691="TDP",S2691&lt;=500),VLOOKUP(AF2691,TPCalibEq500!$AZ$2:$BB$56,3,)))</f>
        <v>0</v>
      </c>
      <c r="AT2691" s="10" t="b">
        <f>IF(AND(I2691="TN",S2691&lt;=2800),VLOOKUP(AF2691,TNCalibEq2500!$AZ$2:$BB$56,3,),IF(AND(I2691="TDN",S2691&lt;=2800),VLOOKUP(AF2691,TNCalibEq2500!$AZ$2:$BB$56,3,)))</f>
        <v>0</v>
      </c>
      <c r="AU2691" s="10" t="str">
        <f>IF(I2691="TP",VLOOKUP(AF2691,TPCalibEqFull!$AZ$2:$BB$56,3),IF(I2691="TDP",VLOOKUP(AF2691,TPCalibEqFull!$AZ$2:$BB$56,3),IF(I2691="TDN",VLOOKUP(AF2691,TNCalibEqFull!$AZ$1:$BB$56,3),IF(I2691="TN",VLOOKUP(AF2691,TNCalibEqFull!$AZ$1:$BB$56,3),FALSE))))</f>
        <v>y=-0.215x2+181.97x-117.15</v>
      </c>
      <c r="AV2691" s="10" t="str">
        <f t="shared" si="310"/>
        <v>0208 11:14:20-ECP-0-FIL-2-SW-SPK</v>
      </c>
    </row>
    <row r="2692" spans="1:48" s="10" customFormat="1" x14ac:dyDescent="0.55000000000000004">
      <c r="A2692" s="32">
        <v>44966</v>
      </c>
      <c r="B2692" s="33">
        <v>0.375</v>
      </c>
      <c r="C2692" s="10" t="s">
        <v>70</v>
      </c>
      <c r="D2692" s="10" t="s">
        <v>71</v>
      </c>
      <c r="E2692" s="10" t="s">
        <v>901</v>
      </c>
      <c r="F2692" s="10">
        <v>1</v>
      </c>
      <c r="G2692" s="10" t="s">
        <v>73</v>
      </c>
      <c r="H2692" s="10" t="s">
        <v>207</v>
      </c>
      <c r="I2692" s="10" t="s">
        <v>235</v>
      </c>
      <c r="J2692" s="10">
        <v>203</v>
      </c>
      <c r="K2692" s="12">
        <v>44967</v>
      </c>
      <c r="L2692" s="33">
        <v>0.48688657407407404</v>
      </c>
      <c r="M2692" s="10">
        <v>1</v>
      </c>
      <c r="N2692" s="10" t="s">
        <v>196</v>
      </c>
      <c r="O2692" s="10">
        <v>7.45</v>
      </c>
      <c r="P2692" s="10">
        <v>0.36599999999999999</v>
      </c>
      <c r="Q2692" s="10">
        <v>1210</v>
      </c>
      <c r="R2692" s="10" t="s">
        <v>170</v>
      </c>
      <c r="S2692" s="34">
        <f t="shared" si="307"/>
        <v>1237.2059362499999</v>
      </c>
      <c r="T2692" s="10" t="s">
        <v>1185</v>
      </c>
      <c r="U2692" s="34">
        <f t="shared" si="308"/>
        <v>98.976474899999985</v>
      </c>
      <c r="V2692" s="31">
        <f>IF(H2692="CHK",VLOOKUP(I2692,QCCHK,3,),IF(H2692="GUP",VLOOKUP(E2692,QCGUP,2,),IF(AND(H2692="ATP",OR(I2692="TN",I2692="TDN",I2692="TNO2-3",I2692="NO2-3")),VLOOKUP(E2692,QCREC_N,2,),IF(AND(H2692="NIC",OR(I2692="TN",I2692="TDN",I2692="TNO2-3",I2692="NO2-3")),VLOOKUP(E2692,QCNIC_N,2,),IF(AND(H2692="UREA",OR(I2692="TN",I2692="TDN",I2692="TNO2-3",I2692="NO2-3")),VLOOKUP(E2692,QCUREA_N,2,),IF(H2692="PER",VLOOKUP(I2692,QCPER,MATCH(E2692,QCACTUAL!$J$25:$AA$25,0),),IF(H2692="SPK",VLOOKUP(I2692,QCSPK,3,),IF(AND(H2692="ATP",OR(I2692="TP",I2692="TDP")),VLOOKUP(E2692,QCATP_P,2,),""))))))))</f>
        <v>1250</v>
      </c>
      <c r="W2692" s="31" t="str">
        <f t="shared" si="309"/>
        <v>TRUE</v>
      </c>
      <c r="X2692" s="31" t="str">
        <f t="shared" si="306"/>
        <v>[chk]/[actual]*100</v>
      </c>
      <c r="Y2692" s="10" t="s">
        <v>1178</v>
      </c>
      <c r="AF2692" s="12">
        <v>44967</v>
      </c>
      <c r="AJ2692" s="10">
        <f>-1.3255*7.45^2+193.01*7.45-127.15</f>
        <v>1237.2059362499999</v>
      </c>
      <c r="AK2692" s="10">
        <f>-0.215*7.45^2+181.97*7.45-117.15</f>
        <v>1226.5934625</v>
      </c>
      <c r="AL2692" s="10" t="str">
        <f t="shared" si="304"/>
        <v>FALSE</v>
      </c>
      <c r="AM2692" s="10" t="str">
        <f t="shared" si="304"/>
        <v>FALSE</v>
      </c>
      <c r="AN2692" s="10" t="str">
        <f t="shared" si="304"/>
        <v>FALSE</v>
      </c>
      <c r="AO2692" s="10" t="str">
        <f t="shared" si="305"/>
        <v>y=-1.3255*7.45^2+193.01*7.45-127.15</v>
      </c>
      <c r="AP2692" s="10" t="str">
        <f t="shared" si="305"/>
        <v>y=-0.215*7.45^2+181.97*7.45-117.15</v>
      </c>
      <c r="AQ2692" s="10" t="b">
        <f>IF(AND(I2692="TP",S2692&lt;=150),VLOOKUP(AF2692,TPCalibEq150!$AZ$2:$BB$55,3,),IF(AND(I2692="TDP",S2692&lt;=150),VLOOKUP(AF2692,TPCalibEq150!$AZ$2:$BB$55,3,)))</f>
        <v>0</v>
      </c>
      <c r="AR2692" s="10" t="b">
        <f>IF(AND(I2692="TP",S2692&lt;=300),VLOOKUP(AF2692,TPCalibEq300!$AZ$2:$BB$55,3,),IF(AND(I2692="TDP",S2692&lt;=300),VLOOKUP(AF2692,TPCalibEq300!$AZ$2:$BB$55,3,)))</f>
        <v>0</v>
      </c>
      <c r="AS2692" s="10" t="b">
        <f>IF(AND(I2692="TP",S2692&lt;=500),VLOOKUP(AF2692,TPCalibEq500!$AZ$2:$BB$56,3,),IF(AND(I2692="TDP",S2692&lt;=500),VLOOKUP(AF2692,TPCalibEq500!$AZ$2:$BB$56,3,)))</f>
        <v>0</v>
      </c>
      <c r="AT2692" s="10" t="str">
        <f>IF(AND(I2692="TN",S2692&lt;=2800),VLOOKUP(AF2692,TNCalibEq2500!$AZ$2:$BB$56,3,),IF(AND(I2692="TDN",S2692&lt;=2800),VLOOKUP(AF2692,TNCalibEq2500!$AZ$2:$BB$56,3,)))</f>
        <v>y=-1.3255x2+193.01x-127.15</v>
      </c>
      <c r="AU2692" s="10" t="str">
        <f>IF(I2692="TP",VLOOKUP(AF2692,TPCalibEqFull!$AZ$2:$BB$56,3),IF(I2692="TDP",VLOOKUP(AF2692,TPCalibEqFull!$AZ$2:$BB$56,3),IF(I2692="TDN",VLOOKUP(AF2692,TNCalibEqFull!$AZ$1:$BB$56,3),IF(I2692="TN",VLOOKUP(AF2692,TNCalibEqFull!$AZ$1:$BB$56,3),FALSE))))</f>
        <v>y=-0.215x2+181.97x-117.15</v>
      </c>
      <c r="AV2692" s="10" t="str">
        <f t="shared" si="310"/>
        <v>0209 09:00:00-QAC-STD-D-1-DI-CHK</v>
      </c>
    </row>
    <row r="2693" spans="1:48" s="10" customFormat="1" x14ac:dyDescent="0.55000000000000004">
      <c r="A2693" s="32">
        <v>44965</v>
      </c>
      <c r="B2693" s="33">
        <v>0.49027777777777781</v>
      </c>
      <c r="C2693" s="10" t="s">
        <v>618</v>
      </c>
      <c r="D2693" s="10">
        <v>5</v>
      </c>
      <c r="E2693" s="10" t="s">
        <v>911</v>
      </c>
      <c r="F2693" s="10">
        <v>1</v>
      </c>
      <c r="G2693" s="10" t="s">
        <v>231</v>
      </c>
      <c r="H2693" s="10" t="s">
        <v>322</v>
      </c>
      <c r="I2693" s="10" t="s">
        <v>224</v>
      </c>
      <c r="J2693" s="10">
        <v>89</v>
      </c>
      <c r="K2693" s="12">
        <v>44967</v>
      </c>
      <c r="L2693" s="33">
        <v>0.48754629629629626</v>
      </c>
      <c r="M2693" s="10">
        <v>1</v>
      </c>
      <c r="N2693" s="10" t="s">
        <v>196</v>
      </c>
      <c r="O2693" s="10">
        <v>6.79</v>
      </c>
      <c r="P2693" s="10">
        <v>0.33200000000000002</v>
      </c>
      <c r="Q2693" s="10">
        <v>1090</v>
      </c>
      <c r="R2693" s="10" t="s">
        <v>170</v>
      </c>
      <c r="S2693" s="34">
        <f t="shared" si="307"/>
        <v>1122.2769154499999</v>
      </c>
      <c r="T2693" s="10" t="s">
        <v>1185</v>
      </c>
      <c r="U2693" s="34" t="str">
        <f t="shared" si="308"/>
        <v/>
      </c>
      <c r="V2693" s="31" t="str">
        <f>IF(H2693="CHK",VLOOKUP(I2693,QCCHK,3,),IF(H2693="GUP",VLOOKUP(E2693,QCGUP,2,),IF(AND(H2693="ATP",OR(I2693="TN",I2693="TDN",I2693="TNO2-3",I2693="NO2-3")),VLOOKUP(E2693,QCREC_N,2,),IF(AND(H2693="NIC",OR(I2693="TN",I2693="TDN",I2693="TNO2-3",I2693="NO2-3")),VLOOKUP(E2693,QCNIC_N,2,),IF(AND(H2693="UREA",OR(I2693="TN",I2693="TDN",I2693="TNO2-3",I2693="NO2-3")),VLOOKUP(E2693,QCUREA_N,2,),IF(H2693="PER",VLOOKUP(I2693,QCPER,MATCH(E2693,QCACTUAL!$J$25:$AA$25,0),),IF(H2693="SPK",VLOOKUP(I2693,QCSPK,3,),IF(AND(H2693="ATP",OR(I2693="TP",I2693="TDP")),VLOOKUP(E2693,QCATP_P,2,),""))))))))</f>
        <v/>
      </c>
      <c r="W2693" s="31" t="str">
        <f t="shared" si="309"/>
        <v>TRUE</v>
      </c>
      <c r="X2693" s="31" t="str">
        <f t="shared" si="306"/>
        <v/>
      </c>
      <c r="Y2693" s="10" t="s">
        <v>1178</v>
      </c>
      <c r="AF2693" s="12">
        <v>44967</v>
      </c>
      <c r="AJ2693" s="10">
        <f>-1.3255*6.79^2+193.01*6.79-127.15</f>
        <v>1122.2769154499999</v>
      </c>
      <c r="AK2693" s="10">
        <f>-0.215*6.79^2+181.97*6.79-117.15</f>
        <v>1108.5139184999998</v>
      </c>
      <c r="AL2693" s="10" t="str">
        <f t="shared" si="304"/>
        <v>FALSE</v>
      </c>
      <c r="AM2693" s="10" t="str">
        <f t="shared" si="304"/>
        <v>FALSE</v>
      </c>
      <c r="AN2693" s="10" t="str">
        <f t="shared" si="304"/>
        <v>FALSE</v>
      </c>
      <c r="AO2693" s="10" t="str">
        <f t="shared" si="305"/>
        <v>y=-1.3255*6.79^2+193.01*6.79-127.15</v>
      </c>
      <c r="AP2693" s="10" t="str">
        <f t="shared" si="305"/>
        <v>y=-0.215*6.79^2+181.97*6.79-117.15</v>
      </c>
      <c r="AQ2693" s="10" t="b">
        <f>IF(AND(I2693="TP",S2693&lt;=150),VLOOKUP(AF2693,TPCalibEq150!$AZ$2:$BB$55,3,),IF(AND(I2693="TDP",S2693&lt;=150),VLOOKUP(AF2693,TPCalibEq150!$AZ$2:$BB$55,3,)))</f>
        <v>0</v>
      </c>
      <c r="AR2693" s="10" t="b">
        <f>IF(AND(I2693="TP",S2693&lt;=300),VLOOKUP(AF2693,TPCalibEq300!$AZ$2:$BB$55,3,),IF(AND(I2693="TDP",S2693&lt;=300),VLOOKUP(AF2693,TPCalibEq300!$AZ$2:$BB$55,3,)))</f>
        <v>0</v>
      </c>
      <c r="AS2693" s="10" t="b">
        <f>IF(AND(I2693="TP",S2693&lt;=500),VLOOKUP(AF2693,TPCalibEq500!$AZ$2:$BB$56,3,),IF(AND(I2693="TDP",S2693&lt;=500),VLOOKUP(AF2693,TPCalibEq500!$AZ$2:$BB$56,3,)))</f>
        <v>0</v>
      </c>
      <c r="AT2693" s="10" t="str">
        <f>IF(AND(I2693="TN",S2693&lt;=2800),VLOOKUP(AF2693,TNCalibEq2500!$AZ$2:$BB$56,3,),IF(AND(I2693="TDN",S2693&lt;=2800),VLOOKUP(AF2693,TNCalibEq2500!$AZ$2:$BB$56,3,)))</f>
        <v>y=-1.3255x2+193.01x-127.15</v>
      </c>
      <c r="AU2693" s="10" t="str">
        <f>IF(I2693="TP",VLOOKUP(AF2693,TPCalibEqFull!$AZ$2:$BB$56,3),IF(I2693="TDP",VLOOKUP(AF2693,TPCalibEqFull!$AZ$2:$BB$56,3),IF(I2693="TDN",VLOOKUP(AF2693,TNCalibEqFull!$AZ$1:$BB$56,3),IF(I2693="TN",VLOOKUP(AF2693,TNCalibEqFull!$AZ$1:$BB$56,3),FALSE))))</f>
        <v>y=-0.215x2+181.97x-117.15</v>
      </c>
      <c r="AV2693" s="10" t="str">
        <f t="shared" si="310"/>
        <v>0208 11:46:00-ECP-5-FIL-1-SW-UKN</v>
      </c>
    </row>
    <row r="2694" spans="1:48" s="10" customFormat="1" x14ac:dyDescent="0.55000000000000004">
      <c r="A2694" s="32">
        <v>44965</v>
      </c>
      <c r="B2694" s="33">
        <v>0.4927083333333333</v>
      </c>
      <c r="C2694" s="10" t="s">
        <v>618</v>
      </c>
      <c r="D2694" s="10">
        <v>10</v>
      </c>
      <c r="E2694" s="10" t="s">
        <v>911</v>
      </c>
      <c r="F2694" s="10">
        <v>1</v>
      </c>
      <c r="G2694" s="10" t="s">
        <v>231</v>
      </c>
      <c r="H2694" s="10" t="s">
        <v>322</v>
      </c>
      <c r="I2694" s="10" t="s">
        <v>224</v>
      </c>
      <c r="J2694" s="10">
        <v>90</v>
      </c>
      <c r="K2694" s="12">
        <v>44967</v>
      </c>
      <c r="L2694" s="33">
        <v>0.48821759259259262</v>
      </c>
      <c r="M2694" s="10">
        <v>1</v>
      </c>
      <c r="N2694" s="10" t="s">
        <v>196</v>
      </c>
      <c r="O2694" s="10">
        <v>6.74</v>
      </c>
      <c r="P2694" s="10">
        <v>0.32900000000000001</v>
      </c>
      <c r="Q2694" s="10">
        <v>1090</v>
      </c>
      <c r="R2694" s="10" t="s">
        <v>170</v>
      </c>
      <c r="S2694" s="34">
        <f t="shared" si="307"/>
        <v>1113.5231162</v>
      </c>
      <c r="T2694" s="10" t="s">
        <v>1185</v>
      </c>
      <c r="U2694" s="34" t="str">
        <f t="shared" si="308"/>
        <v/>
      </c>
      <c r="V2694" s="31" t="str">
        <f>IF(H2694="CHK",VLOOKUP(I2694,QCCHK,3,),IF(H2694="GUP",VLOOKUP(E2694,QCGUP,2,),IF(AND(H2694="ATP",OR(I2694="TN",I2694="TDN",I2694="TNO2-3",I2694="NO2-3")),VLOOKUP(E2694,QCREC_N,2,),IF(AND(H2694="NIC",OR(I2694="TN",I2694="TDN",I2694="TNO2-3",I2694="NO2-3")),VLOOKUP(E2694,QCNIC_N,2,),IF(AND(H2694="UREA",OR(I2694="TN",I2694="TDN",I2694="TNO2-3",I2694="NO2-3")),VLOOKUP(E2694,QCUREA_N,2,),IF(H2694="PER",VLOOKUP(I2694,QCPER,MATCH(E2694,QCACTUAL!$J$25:$AA$25,0),),IF(H2694="SPK",VLOOKUP(I2694,QCSPK,3,),IF(AND(H2694="ATP",OR(I2694="TP",I2694="TDP")),VLOOKUP(E2694,QCATP_P,2,),""))))))))</f>
        <v/>
      </c>
      <c r="W2694" s="31" t="str">
        <f t="shared" si="309"/>
        <v>TRUE</v>
      </c>
      <c r="X2694" s="31" t="str">
        <f t="shared" si="306"/>
        <v/>
      </c>
      <c r="Y2694" s="10" t="s">
        <v>1178</v>
      </c>
      <c r="AF2694" s="12">
        <v>44967</v>
      </c>
      <c r="AJ2694" s="10">
        <f>-1.3255*6.74^2+193.01*6.74-127.15</f>
        <v>1113.5231162</v>
      </c>
      <c r="AK2694" s="10">
        <f>-0.215*6.74^2+181.97*6.74-117.15</f>
        <v>1099.560866</v>
      </c>
      <c r="AL2694" s="10" t="str">
        <f t="shared" si="304"/>
        <v>FALSE</v>
      </c>
      <c r="AM2694" s="10" t="str">
        <f t="shared" si="304"/>
        <v>FALSE</v>
      </c>
      <c r="AN2694" s="10" t="str">
        <f t="shared" si="304"/>
        <v>FALSE</v>
      </c>
      <c r="AO2694" s="10" t="str">
        <f t="shared" si="305"/>
        <v>y=-1.3255*6.74^2+193.01*6.74-127.15</v>
      </c>
      <c r="AP2694" s="10" t="str">
        <f t="shared" si="305"/>
        <v>y=-0.215*6.74^2+181.97*6.74-117.15</v>
      </c>
      <c r="AQ2694" s="10" t="b">
        <f>IF(AND(I2694="TP",S2694&lt;=150),VLOOKUP(AF2694,TPCalibEq150!$AZ$2:$BB$55,3,),IF(AND(I2694="TDP",S2694&lt;=150),VLOOKUP(AF2694,TPCalibEq150!$AZ$2:$BB$55,3,)))</f>
        <v>0</v>
      </c>
      <c r="AR2694" s="10" t="b">
        <f>IF(AND(I2694="TP",S2694&lt;=300),VLOOKUP(AF2694,TPCalibEq300!$AZ$2:$BB$55,3,),IF(AND(I2694="TDP",S2694&lt;=300),VLOOKUP(AF2694,TPCalibEq300!$AZ$2:$BB$55,3,)))</f>
        <v>0</v>
      </c>
      <c r="AS2694" s="10" t="b">
        <f>IF(AND(I2694="TP",S2694&lt;=500),VLOOKUP(AF2694,TPCalibEq500!$AZ$2:$BB$56,3,),IF(AND(I2694="TDP",S2694&lt;=500),VLOOKUP(AF2694,TPCalibEq500!$AZ$2:$BB$56,3,)))</f>
        <v>0</v>
      </c>
      <c r="AT2694" s="10" t="str">
        <f>IF(AND(I2694="TN",S2694&lt;=2800),VLOOKUP(AF2694,TNCalibEq2500!$AZ$2:$BB$56,3,),IF(AND(I2694="TDN",S2694&lt;=2800),VLOOKUP(AF2694,TNCalibEq2500!$AZ$2:$BB$56,3,)))</f>
        <v>y=-1.3255x2+193.01x-127.15</v>
      </c>
      <c r="AU2694" s="10" t="str">
        <f>IF(I2694="TP",VLOOKUP(AF2694,TPCalibEqFull!$AZ$2:$BB$56,3),IF(I2694="TDP",VLOOKUP(AF2694,TPCalibEqFull!$AZ$2:$BB$56,3),IF(I2694="TDN",VLOOKUP(AF2694,TNCalibEqFull!$AZ$1:$BB$56,3),IF(I2694="TN",VLOOKUP(AF2694,TNCalibEqFull!$AZ$1:$BB$56,3),FALSE))))</f>
        <v>y=-0.215x2+181.97x-117.15</v>
      </c>
      <c r="AV2694" s="10" t="str">
        <f t="shared" si="310"/>
        <v>0208 11:49:30-ECP-10-FIL-1-SW-UKN</v>
      </c>
    </row>
    <row r="2695" spans="1:48" s="10" customFormat="1" x14ac:dyDescent="0.55000000000000004">
      <c r="A2695" s="32">
        <v>44965</v>
      </c>
      <c r="B2695" s="33">
        <v>0.49502314814814818</v>
      </c>
      <c r="C2695" s="10" t="s">
        <v>618</v>
      </c>
      <c r="D2695" s="10">
        <v>20</v>
      </c>
      <c r="E2695" s="10" t="s">
        <v>911</v>
      </c>
      <c r="F2695" s="10">
        <v>1</v>
      </c>
      <c r="G2695" s="10" t="s">
        <v>231</v>
      </c>
      <c r="H2695" s="10" t="s">
        <v>322</v>
      </c>
      <c r="I2695" s="10" t="s">
        <v>224</v>
      </c>
      <c r="J2695" s="10">
        <v>91</v>
      </c>
      <c r="K2695" s="12">
        <v>44967</v>
      </c>
      <c r="L2695" s="33">
        <v>0.48888888888888887</v>
      </c>
      <c r="M2695" s="10">
        <v>1</v>
      </c>
      <c r="N2695" s="10" t="s">
        <v>196</v>
      </c>
      <c r="O2695" s="10">
        <v>6.91</v>
      </c>
      <c r="P2695" s="10">
        <v>0.33700000000000002</v>
      </c>
      <c r="Q2695" s="10">
        <v>1120</v>
      </c>
      <c r="R2695" s="10" t="s">
        <v>170</v>
      </c>
      <c r="S2695" s="34">
        <f t="shared" si="307"/>
        <v>1143.2589934499999</v>
      </c>
      <c r="T2695" s="10" t="s">
        <v>1185</v>
      </c>
      <c r="U2695" s="34" t="str">
        <f t="shared" si="308"/>
        <v/>
      </c>
      <c r="V2695" s="31" t="str">
        <f>IF(H2695="CHK",VLOOKUP(I2695,QCCHK,3,),IF(H2695="GUP",VLOOKUP(E2695,QCGUP,2,),IF(AND(H2695="ATP",OR(I2695="TN",I2695="TDN",I2695="TNO2-3",I2695="NO2-3")),VLOOKUP(E2695,QCREC_N,2,),IF(AND(H2695="NIC",OR(I2695="TN",I2695="TDN",I2695="TNO2-3",I2695="NO2-3")),VLOOKUP(E2695,QCNIC_N,2,),IF(AND(H2695="UREA",OR(I2695="TN",I2695="TDN",I2695="TNO2-3",I2695="NO2-3")),VLOOKUP(E2695,QCUREA_N,2,),IF(H2695="PER",VLOOKUP(I2695,QCPER,MATCH(E2695,QCACTUAL!$J$25:$AA$25,0),),IF(H2695="SPK",VLOOKUP(I2695,QCSPK,3,),IF(AND(H2695="ATP",OR(I2695="TP",I2695="TDP")),VLOOKUP(E2695,QCATP_P,2,),""))))))))</f>
        <v/>
      </c>
      <c r="W2695" s="31" t="str">
        <f t="shared" si="309"/>
        <v>TRUE</v>
      </c>
      <c r="X2695" s="31" t="str">
        <f t="shared" si="306"/>
        <v/>
      </c>
      <c r="Y2695" s="10" t="s">
        <v>1178</v>
      </c>
      <c r="AF2695" s="12">
        <v>44967</v>
      </c>
      <c r="AJ2695" s="10">
        <f>-1.3255*6.91^2+193.01*6.91-127.15</f>
        <v>1143.2589934499999</v>
      </c>
      <c r="AK2695" s="10">
        <f>-0.215*6.91^2+181.97*6.91-117.15</f>
        <v>1129.9968584999999</v>
      </c>
      <c r="AL2695" s="10" t="str">
        <f t="shared" si="304"/>
        <v>FALSE</v>
      </c>
      <c r="AM2695" s="10" t="str">
        <f t="shared" si="304"/>
        <v>FALSE</v>
      </c>
      <c r="AN2695" s="10" t="str">
        <f t="shared" si="304"/>
        <v>FALSE</v>
      </c>
      <c r="AO2695" s="10" t="str">
        <f t="shared" si="305"/>
        <v>y=-1.3255*6.91^2+193.01*6.91-127.15</v>
      </c>
      <c r="AP2695" s="10" t="str">
        <f t="shared" si="305"/>
        <v>y=-0.215*6.91^2+181.97*6.91-117.15</v>
      </c>
      <c r="AQ2695" s="10" t="b">
        <f>IF(AND(I2695="TP",S2695&lt;=150),VLOOKUP(AF2695,TPCalibEq150!$AZ$2:$BB$55,3,),IF(AND(I2695="TDP",S2695&lt;=150),VLOOKUP(AF2695,TPCalibEq150!$AZ$2:$BB$55,3,)))</f>
        <v>0</v>
      </c>
      <c r="AR2695" s="10" t="b">
        <f>IF(AND(I2695="TP",S2695&lt;=300),VLOOKUP(AF2695,TPCalibEq300!$AZ$2:$BB$55,3,),IF(AND(I2695="TDP",S2695&lt;=300),VLOOKUP(AF2695,TPCalibEq300!$AZ$2:$BB$55,3,)))</f>
        <v>0</v>
      </c>
      <c r="AS2695" s="10" t="b">
        <f>IF(AND(I2695="TP",S2695&lt;=500),VLOOKUP(AF2695,TPCalibEq500!$AZ$2:$BB$56,3,),IF(AND(I2695="TDP",S2695&lt;=500),VLOOKUP(AF2695,TPCalibEq500!$AZ$2:$BB$56,3,)))</f>
        <v>0</v>
      </c>
      <c r="AT2695" s="10" t="str">
        <f>IF(AND(I2695="TN",S2695&lt;=2800),VLOOKUP(AF2695,TNCalibEq2500!$AZ$2:$BB$56,3,),IF(AND(I2695="TDN",S2695&lt;=2800),VLOOKUP(AF2695,TNCalibEq2500!$AZ$2:$BB$56,3,)))</f>
        <v>y=-1.3255x2+193.01x-127.15</v>
      </c>
      <c r="AU2695" s="10" t="str">
        <f>IF(I2695="TP",VLOOKUP(AF2695,TPCalibEqFull!$AZ$2:$BB$56,3),IF(I2695="TDP",VLOOKUP(AF2695,TPCalibEqFull!$AZ$2:$BB$56,3),IF(I2695="TDN",VLOOKUP(AF2695,TNCalibEqFull!$AZ$1:$BB$56,3),IF(I2695="TN",VLOOKUP(AF2695,TNCalibEqFull!$AZ$1:$BB$56,3),FALSE))))</f>
        <v>y=-0.215x2+181.97x-117.15</v>
      </c>
      <c r="AV2695" s="10" t="str">
        <f t="shared" si="310"/>
        <v>0208 11:52:50-ECP-20-FIL-1-SW-UKN</v>
      </c>
    </row>
    <row r="2696" spans="1:48" s="10" customFormat="1" x14ac:dyDescent="0.55000000000000004">
      <c r="A2696" s="32">
        <v>44965</v>
      </c>
      <c r="B2696" s="33">
        <v>0.49745370370370368</v>
      </c>
      <c r="C2696" s="10" t="s">
        <v>618</v>
      </c>
      <c r="D2696" s="10">
        <v>33</v>
      </c>
      <c r="E2696" s="10" t="s">
        <v>911</v>
      </c>
      <c r="F2696" s="10">
        <v>1</v>
      </c>
      <c r="G2696" s="10" t="s">
        <v>231</v>
      </c>
      <c r="H2696" s="10" t="s">
        <v>322</v>
      </c>
      <c r="I2696" s="10" t="s">
        <v>224</v>
      </c>
      <c r="J2696" s="10">
        <v>92</v>
      </c>
      <c r="K2696" s="12">
        <v>44967</v>
      </c>
      <c r="L2696" s="33">
        <v>0.48957175925925928</v>
      </c>
      <c r="M2696" s="10">
        <v>1</v>
      </c>
      <c r="N2696" s="10" t="s">
        <v>196</v>
      </c>
      <c r="O2696" s="10">
        <v>6.76</v>
      </c>
      <c r="P2696" s="10">
        <v>0.33100000000000002</v>
      </c>
      <c r="Q2696" s="10">
        <v>1090</v>
      </c>
      <c r="R2696" s="10" t="s">
        <v>170</v>
      </c>
      <c r="S2696" s="34">
        <f t="shared" si="307"/>
        <v>1117.0254311999997</v>
      </c>
      <c r="T2696" s="10" t="s">
        <v>1185</v>
      </c>
      <c r="U2696" s="34" t="str">
        <f t="shared" si="308"/>
        <v/>
      </c>
      <c r="V2696" s="31" t="str">
        <f>IF(H2696="CHK",VLOOKUP(I2696,QCCHK,3,),IF(H2696="GUP",VLOOKUP(E2696,QCGUP,2,),IF(AND(H2696="ATP",OR(I2696="TN",I2696="TDN",I2696="TNO2-3",I2696="NO2-3")),VLOOKUP(E2696,QCREC_N,2,),IF(AND(H2696="NIC",OR(I2696="TN",I2696="TDN",I2696="TNO2-3",I2696="NO2-3")),VLOOKUP(E2696,QCNIC_N,2,),IF(AND(H2696="UREA",OR(I2696="TN",I2696="TDN",I2696="TNO2-3",I2696="NO2-3")),VLOOKUP(E2696,QCUREA_N,2,),IF(H2696="PER",VLOOKUP(I2696,QCPER,MATCH(E2696,QCACTUAL!$J$25:$AA$25,0),),IF(H2696="SPK",VLOOKUP(I2696,QCSPK,3,),IF(AND(H2696="ATP",OR(I2696="TP",I2696="TDP")),VLOOKUP(E2696,QCATP_P,2,),""))))))))</f>
        <v/>
      </c>
      <c r="W2696" s="31" t="str">
        <f t="shared" si="309"/>
        <v>TRUE</v>
      </c>
      <c r="X2696" s="31" t="str">
        <f t="shared" si="306"/>
        <v/>
      </c>
      <c r="Y2696" s="10" t="s">
        <v>1178</v>
      </c>
      <c r="AF2696" s="12">
        <v>44967</v>
      </c>
      <c r="AJ2696" s="10">
        <f>-1.3255*6.76^2+193.01*6.76-127.15</f>
        <v>1117.0254311999997</v>
      </c>
      <c r="AK2696" s="10">
        <f>-0.215*6.76^2+181.97*6.76-117.15</f>
        <v>1103.1422159999997</v>
      </c>
      <c r="AL2696" s="10" t="str">
        <f t="shared" si="304"/>
        <v>FALSE</v>
      </c>
      <c r="AM2696" s="10" t="str">
        <f t="shared" si="304"/>
        <v>FALSE</v>
      </c>
      <c r="AN2696" s="10" t="str">
        <f t="shared" si="304"/>
        <v>FALSE</v>
      </c>
      <c r="AO2696" s="10" t="str">
        <f t="shared" si="305"/>
        <v>y=-1.3255*6.76^2+193.01*6.76-127.15</v>
      </c>
      <c r="AP2696" s="10" t="str">
        <f t="shared" si="305"/>
        <v>y=-0.215*6.76^2+181.97*6.76-117.15</v>
      </c>
      <c r="AQ2696" s="10" t="b">
        <f>IF(AND(I2696="TP",S2696&lt;=150),VLOOKUP(AF2696,TPCalibEq150!$AZ$2:$BB$55,3,),IF(AND(I2696="TDP",S2696&lt;=150),VLOOKUP(AF2696,TPCalibEq150!$AZ$2:$BB$55,3,)))</f>
        <v>0</v>
      </c>
      <c r="AR2696" s="10" t="b">
        <f>IF(AND(I2696="TP",S2696&lt;=300),VLOOKUP(AF2696,TPCalibEq300!$AZ$2:$BB$55,3,),IF(AND(I2696="TDP",S2696&lt;=300),VLOOKUP(AF2696,TPCalibEq300!$AZ$2:$BB$55,3,)))</f>
        <v>0</v>
      </c>
      <c r="AS2696" s="10" t="b">
        <f>IF(AND(I2696="TP",S2696&lt;=500),VLOOKUP(AF2696,TPCalibEq500!$AZ$2:$BB$56,3,),IF(AND(I2696="TDP",S2696&lt;=500),VLOOKUP(AF2696,TPCalibEq500!$AZ$2:$BB$56,3,)))</f>
        <v>0</v>
      </c>
      <c r="AT2696" s="10" t="str">
        <f>IF(AND(I2696="TN",S2696&lt;=2800),VLOOKUP(AF2696,TNCalibEq2500!$AZ$2:$BB$56,3,),IF(AND(I2696="TDN",S2696&lt;=2800),VLOOKUP(AF2696,TNCalibEq2500!$AZ$2:$BB$56,3,)))</f>
        <v>y=-1.3255x2+193.01x-127.15</v>
      </c>
      <c r="AU2696" s="10" t="str">
        <f>IF(I2696="TP",VLOOKUP(AF2696,TPCalibEqFull!$AZ$2:$BB$56,3),IF(I2696="TDP",VLOOKUP(AF2696,TPCalibEqFull!$AZ$2:$BB$56,3),IF(I2696="TDN",VLOOKUP(AF2696,TNCalibEqFull!$AZ$1:$BB$56,3),IF(I2696="TN",VLOOKUP(AF2696,TNCalibEqFull!$AZ$1:$BB$56,3),FALSE))))</f>
        <v>y=-0.215x2+181.97x-117.15</v>
      </c>
      <c r="AV2696" s="10" t="str">
        <f t="shared" si="310"/>
        <v>0208 11:56:20-ECP-33-FIL-1-SW-UKN</v>
      </c>
    </row>
    <row r="2697" spans="1:48" s="10" customFormat="1" x14ac:dyDescent="0.55000000000000004">
      <c r="A2697" s="32">
        <v>44965</v>
      </c>
      <c r="B2697" s="33">
        <v>0.50439814814814821</v>
      </c>
      <c r="C2697" s="10" t="s">
        <v>661</v>
      </c>
      <c r="D2697" s="10">
        <v>0</v>
      </c>
      <c r="E2697" s="10" t="s">
        <v>911</v>
      </c>
      <c r="F2697" s="10">
        <v>1</v>
      </c>
      <c r="G2697" s="10" t="s">
        <v>231</v>
      </c>
      <c r="H2697" s="10" t="s">
        <v>322</v>
      </c>
      <c r="I2697" s="10" t="s">
        <v>224</v>
      </c>
      <c r="J2697" s="10">
        <v>93</v>
      </c>
      <c r="K2697" s="12">
        <v>44967</v>
      </c>
      <c r="L2697" s="33">
        <v>0.49024305555555553</v>
      </c>
      <c r="M2697" s="10">
        <v>1</v>
      </c>
      <c r="N2697" s="10" t="s">
        <v>196</v>
      </c>
      <c r="O2697" s="10">
        <v>7.22</v>
      </c>
      <c r="P2697" s="10">
        <v>0.35199999999999998</v>
      </c>
      <c r="Q2697" s="10">
        <v>1170</v>
      </c>
      <c r="R2697" s="10" t="s">
        <v>170</v>
      </c>
      <c r="S2697" s="34">
        <f t="shared" si="307"/>
        <v>1197.2860057999999</v>
      </c>
      <c r="T2697" s="10" t="s">
        <v>1185</v>
      </c>
      <c r="U2697" s="34" t="str">
        <f t="shared" si="308"/>
        <v/>
      </c>
      <c r="V2697" s="31" t="str">
        <f>IF(H2697="CHK",VLOOKUP(I2697,QCCHK,3,),IF(H2697="GUP",VLOOKUP(E2697,QCGUP,2,),IF(AND(H2697="ATP",OR(I2697="TN",I2697="TDN",I2697="TNO2-3",I2697="NO2-3")),VLOOKUP(E2697,QCREC_N,2,),IF(AND(H2697="NIC",OR(I2697="TN",I2697="TDN",I2697="TNO2-3",I2697="NO2-3")),VLOOKUP(E2697,QCNIC_N,2,),IF(AND(H2697="UREA",OR(I2697="TN",I2697="TDN",I2697="TNO2-3",I2697="NO2-3")),VLOOKUP(E2697,QCUREA_N,2,),IF(H2697="PER",VLOOKUP(I2697,QCPER,MATCH(E2697,QCACTUAL!$J$25:$AA$25,0),),IF(H2697="SPK",VLOOKUP(I2697,QCSPK,3,),IF(AND(H2697="ATP",OR(I2697="TP",I2697="TDP")),VLOOKUP(E2697,QCATP_P,2,),""))))))))</f>
        <v/>
      </c>
      <c r="W2697" s="31" t="str">
        <f t="shared" si="309"/>
        <v>TRUE</v>
      </c>
      <c r="X2697" s="31" t="str">
        <f t="shared" si="306"/>
        <v/>
      </c>
      <c r="Y2697" s="10" t="s">
        <v>1178</v>
      </c>
      <c r="AF2697" s="12">
        <v>44967</v>
      </c>
      <c r="AJ2697" s="10">
        <f>-1.3255*7.22^2+193.01*7.22-127.15</f>
        <v>1197.2860057999999</v>
      </c>
      <c r="AK2697" s="10">
        <f>-0.215*7.22^2+181.97*7.22-117.15</f>
        <v>1185.465794</v>
      </c>
      <c r="AL2697" s="10" t="str">
        <f t="shared" si="304"/>
        <v>FALSE</v>
      </c>
      <c r="AM2697" s="10" t="str">
        <f t="shared" si="304"/>
        <v>FALSE</v>
      </c>
      <c r="AN2697" s="10" t="str">
        <f t="shared" si="304"/>
        <v>FALSE</v>
      </c>
      <c r="AO2697" s="10" t="str">
        <f t="shared" si="305"/>
        <v>y=-1.3255*7.22^2+193.01*7.22-127.15</v>
      </c>
      <c r="AP2697" s="10" t="str">
        <f t="shared" si="305"/>
        <v>y=-0.215*7.22^2+181.97*7.22-117.15</v>
      </c>
      <c r="AQ2697" s="10" t="b">
        <f>IF(AND(I2697="TP",S2697&lt;=150),VLOOKUP(AF2697,TPCalibEq150!$AZ$2:$BB$55,3,),IF(AND(I2697="TDP",S2697&lt;=150),VLOOKUP(AF2697,TPCalibEq150!$AZ$2:$BB$55,3,)))</f>
        <v>0</v>
      </c>
      <c r="AR2697" s="10" t="b">
        <f>IF(AND(I2697="TP",S2697&lt;=300),VLOOKUP(AF2697,TPCalibEq300!$AZ$2:$BB$55,3,),IF(AND(I2697="TDP",S2697&lt;=300),VLOOKUP(AF2697,TPCalibEq300!$AZ$2:$BB$55,3,)))</f>
        <v>0</v>
      </c>
      <c r="AS2697" s="10" t="b">
        <f>IF(AND(I2697="TP",S2697&lt;=500),VLOOKUP(AF2697,TPCalibEq500!$AZ$2:$BB$56,3,),IF(AND(I2697="TDP",S2697&lt;=500),VLOOKUP(AF2697,TPCalibEq500!$AZ$2:$BB$56,3,)))</f>
        <v>0</v>
      </c>
      <c r="AT2697" s="10" t="str">
        <f>IF(AND(I2697="TN",S2697&lt;=2800),VLOOKUP(AF2697,TNCalibEq2500!$AZ$2:$BB$56,3,),IF(AND(I2697="TDN",S2697&lt;=2800),VLOOKUP(AF2697,TNCalibEq2500!$AZ$2:$BB$56,3,)))</f>
        <v>y=-1.3255x2+193.01x-127.15</v>
      </c>
      <c r="AU2697" s="10" t="str">
        <f>IF(I2697="TP",VLOOKUP(AF2697,TPCalibEqFull!$AZ$2:$BB$56,3),IF(I2697="TDP",VLOOKUP(AF2697,TPCalibEqFull!$AZ$2:$BB$56,3),IF(I2697="TDN",VLOOKUP(AF2697,TNCalibEqFull!$AZ$1:$BB$56,3),IF(I2697="TN",VLOOKUP(AF2697,TNCalibEqFull!$AZ$1:$BB$56,3),FALSE))))</f>
        <v>y=-0.215x2+181.97x-117.15</v>
      </c>
      <c r="AV2697" s="10" t="str">
        <f t="shared" si="310"/>
        <v>0208 12:06:20-ENN-0-FIL-1-SW-UKN</v>
      </c>
    </row>
    <row r="2698" spans="1:48" s="10" customFormat="1" x14ac:dyDescent="0.55000000000000004">
      <c r="A2698" s="32">
        <v>44965</v>
      </c>
      <c r="B2698" s="33">
        <v>0.50706018518518514</v>
      </c>
      <c r="C2698" s="10" t="s">
        <v>661</v>
      </c>
      <c r="D2698" s="10">
        <v>5</v>
      </c>
      <c r="E2698" s="10" t="s">
        <v>911</v>
      </c>
      <c r="F2698" s="10">
        <v>1</v>
      </c>
      <c r="G2698" s="10" t="s">
        <v>231</v>
      </c>
      <c r="H2698" s="10" t="s">
        <v>322</v>
      </c>
      <c r="I2698" s="10" t="s">
        <v>224</v>
      </c>
      <c r="J2698" s="10">
        <v>94</v>
      </c>
      <c r="K2698" s="12">
        <v>44967</v>
      </c>
      <c r="L2698" s="33">
        <v>0.49092592592592593</v>
      </c>
      <c r="M2698" s="10">
        <v>1</v>
      </c>
      <c r="N2698" s="10" t="s">
        <v>196</v>
      </c>
      <c r="O2698" s="10">
        <v>7.27</v>
      </c>
      <c r="P2698" s="10">
        <v>0.35499999999999998</v>
      </c>
      <c r="Q2698" s="10">
        <v>1180</v>
      </c>
      <c r="R2698" s="10" t="s">
        <v>170</v>
      </c>
      <c r="S2698" s="34">
        <f t="shared" si="307"/>
        <v>1205.9761810499997</v>
      </c>
      <c r="T2698" s="10" t="s">
        <v>1185</v>
      </c>
      <c r="U2698" s="34" t="str">
        <f t="shared" si="308"/>
        <v/>
      </c>
      <c r="V2698" s="31" t="str">
        <f>IF(H2698="CHK",VLOOKUP(I2698,QCCHK,3,),IF(H2698="GUP",VLOOKUP(E2698,QCGUP,2,),IF(AND(H2698="ATP",OR(I2698="TN",I2698="TDN",I2698="TNO2-3",I2698="NO2-3")),VLOOKUP(E2698,QCREC_N,2,),IF(AND(H2698="NIC",OR(I2698="TN",I2698="TDN",I2698="TNO2-3",I2698="NO2-3")),VLOOKUP(E2698,QCNIC_N,2,),IF(AND(H2698="UREA",OR(I2698="TN",I2698="TDN",I2698="TNO2-3",I2698="NO2-3")),VLOOKUP(E2698,QCUREA_N,2,),IF(H2698="PER",VLOOKUP(I2698,QCPER,MATCH(E2698,QCACTUAL!$J$25:$AA$25,0),),IF(H2698="SPK",VLOOKUP(I2698,QCSPK,3,),IF(AND(H2698="ATP",OR(I2698="TP",I2698="TDP")),VLOOKUP(E2698,QCATP_P,2,),""))))))))</f>
        <v/>
      </c>
      <c r="W2698" s="31" t="str">
        <f t="shared" si="309"/>
        <v>TRUE</v>
      </c>
      <c r="X2698" s="31" t="str">
        <f t="shared" si="306"/>
        <v/>
      </c>
      <c r="Y2698" s="10" t="s">
        <v>1178</v>
      </c>
      <c r="AF2698" s="12">
        <v>44967</v>
      </c>
      <c r="AJ2698" s="10">
        <f>-1.3255*7.27^2+193.01*7.27-127.15</f>
        <v>1205.9761810499997</v>
      </c>
      <c r="AK2698" s="10">
        <f>-0.215*7.27^2+181.97*7.27-117.15</f>
        <v>1194.4085264999997</v>
      </c>
      <c r="AL2698" s="10" t="str">
        <f t="shared" si="304"/>
        <v>FALSE</v>
      </c>
      <c r="AM2698" s="10" t="str">
        <f t="shared" si="304"/>
        <v>FALSE</v>
      </c>
      <c r="AN2698" s="10" t="str">
        <f t="shared" si="304"/>
        <v>FALSE</v>
      </c>
      <c r="AO2698" s="10" t="str">
        <f t="shared" si="305"/>
        <v>y=-1.3255*7.27^2+193.01*7.27-127.15</v>
      </c>
      <c r="AP2698" s="10" t="str">
        <f t="shared" si="305"/>
        <v>y=-0.215*7.27^2+181.97*7.27-117.15</v>
      </c>
      <c r="AQ2698" s="10" t="b">
        <f>IF(AND(I2698="TP",S2698&lt;=150),VLOOKUP(AF2698,TPCalibEq150!$AZ$2:$BB$55,3,),IF(AND(I2698="TDP",S2698&lt;=150),VLOOKUP(AF2698,TPCalibEq150!$AZ$2:$BB$55,3,)))</f>
        <v>0</v>
      </c>
      <c r="AR2698" s="10" t="b">
        <f>IF(AND(I2698="TP",S2698&lt;=300),VLOOKUP(AF2698,TPCalibEq300!$AZ$2:$BB$55,3,),IF(AND(I2698="TDP",S2698&lt;=300),VLOOKUP(AF2698,TPCalibEq300!$AZ$2:$BB$55,3,)))</f>
        <v>0</v>
      </c>
      <c r="AS2698" s="10" t="b">
        <f>IF(AND(I2698="TP",S2698&lt;=500),VLOOKUP(AF2698,TPCalibEq500!$AZ$2:$BB$56,3,),IF(AND(I2698="TDP",S2698&lt;=500),VLOOKUP(AF2698,TPCalibEq500!$AZ$2:$BB$56,3,)))</f>
        <v>0</v>
      </c>
      <c r="AT2698" s="10" t="str">
        <f>IF(AND(I2698="TN",S2698&lt;=2800),VLOOKUP(AF2698,TNCalibEq2500!$AZ$2:$BB$56,3,),IF(AND(I2698="TDN",S2698&lt;=2800),VLOOKUP(AF2698,TNCalibEq2500!$AZ$2:$BB$56,3,)))</f>
        <v>y=-1.3255x2+193.01x-127.15</v>
      </c>
      <c r="AU2698" s="10" t="str">
        <f>IF(I2698="TP",VLOOKUP(AF2698,TPCalibEqFull!$AZ$2:$BB$56,3),IF(I2698="TDP",VLOOKUP(AF2698,TPCalibEqFull!$AZ$2:$BB$56,3),IF(I2698="TDN",VLOOKUP(AF2698,TNCalibEqFull!$AZ$1:$BB$56,3),IF(I2698="TN",VLOOKUP(AF2698,TNCalibEqFull!$AZ$1:$BB$56,3),FALSE))))</f>
        <v>y=-0.215x2+181.97x-117.15</v>
      </c>
      <c r="AV2698" s="10" t="str">
        <f t="shared" si="310"/>
        <v>0208 12:10:10-ENN-5-FIL-1-SW-UKN</v>
      </c>
    </row>
    <row r="2699" spans="1:48" s="10" customFormat="1" x14ac:dyDescent="0.55000000000000004">
      <c r="A2699" s="32">
        <v>44965</v>
      </c>
      <c r="B2699" s="33">
        <v>0.50949074074074074</v>
      </c>
      <c r="C2699" s="10" t="s">
        <v>661</v>
      </c>
      <c r="D2699" s="10">
        <v>10</v>
      </c>
      <c r="E2699" s="10" t="s">
        <v>911</v>
      </c>
      <c r="F2699" s="10">
        <v>1</v>
      </c>
      <c r="G2699" s="10" t="s">
        <v>231</v>
      </c>
      <c r="H2699" s="10" t="s">
        <v>322</v>
      </c>
      <c r="I2699" s="10" t="s">
        <v>224</v>
      </c>
      <c r="J2699" s="10">
        <v>95</v>
      </c>
      <c r="K2699" s="12">
        <v>44967</v>
      </c>
      <c r="L2699" s="33">
        <v>0.49158564814814815</v>
      </c>
      <c r="M2699" s="10">
        <v>1</v>
      </c>
      <c r="N2699" s="10" t="s">
        <v>196</v>
      </c>
      <c r="O2699" s="10">
        <v>7.13</v>
      </c>
      <c r="P2699" s="10">
        <v>0.34899999999999998</v>
      </c>
      <c r="Q2699" s="10">
        <v>1150</v>
      </c>
      <c r="R2699" s="10" t="s">
        <v>170</v>
      </c>
      <c r="S2699" s="34">
        <f t="shared" si="307"/>
        <v>1181.6269890499998</v>
      </c>
      <c r="T2699" s="10" t="s">
        <v>1185</v>
      </c>
      <c r="U2699" s="34" t="str">
        <f t="shared" si="308"/>
        <v/>
      </c>
      <c r="V2699" s="31" t="str">
        <f>IF(H2699="CHK",VLOOKUP(I2699,QCCHK,3,),IF(H2699="GUP",VLOOKUP(E2699,QCGUP,2,),IF(AND(H2699="ATP",OR(I2699="TN",I2699="TDN",I2699="TNO2-3",I2699="NO2-3")),VLOOKUP(E2699,QCREC_N,2,),IF(AND(H2699="NIC",OR(I2699="TN",I2699="TDN",I2699="TNO2-3",I2699="NO2-3")),VLOOKUP(E2699,QCNIC_N,2,),IF(AND(H2699="UREA",OR(I2699="TN",I2699="TDN",I2699="TNO2-3",I2699="NO2-3")),VLOOKUP(E2699,QCUREA_N,2,),IF(H2699="PER",VLOOKUP(I2699,QCPER,MATCH(E2699,QCACTUAL!$J$25:$AA$25,0),),IF(H2699="SPK",VLOOKUP(I2699,QCSPK,3,),IF(AND(H2699="ATP",OR(I2699="TP",I2699="TDP")),VLOOKUP(E2699,QCATP_P,2,),""))))))))</f>
        <v/>
      </c>
      <c r="W2699" s="31" t="str">
        <f t="shared" si="309"/>
        <v>TRUE</v>
      </c>
      <c r="X2699" s="31" t="str">
        <f t="shared" si="306"/>
        <v/>
      </c>
      <c r="Y2699" s="10" t="s">
        <v>1178</v>
      </c>
      <c r="AF2699" s="12">
        <v>44967</v>
      </c>
      <c r="AJ2699" s="10">
        <f>-1.3255*7.13^2+193.01*7.13-127.15</f>
        <v>1181.6269890499998</v>
      </c>
      <c r="AK2699" s="10">
        <f>-0.215*7.13^2+181.97*7.13-117.15</f>
        <v>1169.3661664999997</v>
      </c>
      <c r="AL2699" s="10" t="str">
        <f t="shared" si="304"/>
        <v>FALSE</v>
      </c>
      <c r="AM2699" s="10" t="str">
        <f t="shared" si="304"/>
        <v>FALSE</v>
      </c>
      <c r="AN2699" s="10" t="str">
        <f t="shared" si="304"/>
        <v>FALSE</v>
      </c>
      <c r="AO2699" s="10" t="str">
        <f t="shared" si="305"/>
        <v>y=-1.3255*7.13^2+193.01*7.13-127.15</v>
      </c>
      <c r="AP2699" s="10" t="str">
        <f t="shared" si="305"/>
        <v>y=-0.215*7.13^2+181.97*7.13-117.15</v>
      </c>
      <c r="AQ2699" s="10" t="b">
        <f>IF(AND(I2699="TP",S2699&lt;=150),VLOOKUP(AF2699,TPCalibEq150!$AZ$2:$BB$55,3,),IF(AND(I2699="TDP",S2699&lt;=150),VLOOKUP(AF2699,TPCalibEq150!$AZ$2:$BB$55,3,)))</f>
        <v>0</v>
      </c>
      <c r="AR2699" s="10" t="b">
        <f>IF(AND(I2699="TP",S2699&lt;=300),VLOOKUP(AF2699,TPCalibEq300!$AZ$2:$BB$55,3,),IF(AND(I2699="TDP",S2699&lt;=300),VLOOKUP(AF2699,TPCalibEq300!$AZ$2:$BB$55,3,)))</f>
        <v>0</v>
      </c>
      <c r="AS2699" s="10" t="b">
        <f>IF(AND(I2699="TP",S2699&lt;=500),VLOOKUP(AF2699,TPCalibEq500!$AZ$2:$BB$56,3,),IF(AND(I2699="TDP",S2699&lt;=500),VLOOKUP(AF2699,TPCalibEq500!$AZ$2:$BB$56,3,)))</f>
        <v>0</v>
      </c>
      <c r="AT2699" s="10" t="str">
        <f>IF(AND(I2699="TN",S2699&lt;=2800),VLOOKUP(AF2699,TNCalibEq2500!$AZ$2:$BB$56,3,),IF(AND(I2699="TDN",S2699&lt;=2800),VLOOKUP(AF2699,TNCalibEq2500!$AZ$2:$BB$56,3,)))</f>
        <v>y=-1.3255x2+193.01x-127.15</v>
      </c>
      <c r="AU2699" s="10" t="str">
        <f>IF(I2699="TP",VLOOKUP(AF2699,TPCalibEqFull!$AZ$2:$BB$56,3),IF(I2699="TDP",VLOOKUP(AF2699,TPCalibEqFull!$AZ$2:$BB$56,3),IF(I2699="TDN",VLOOKUP(AF2699,TNCalibEqFull!$AZ$1:$BB$56,3),IF(I2699="TN",VLOOKUP(AF2699,TNCalibEqFull!$AZ$1:$BB$56,3),FALSE))))</f>
        <v>y=-0.215x2+181.97x-117.15</v>
      </c>
      <c r="AV2699" s="10" t="str">
        <f t="shared" si="310"/>
        <v>0208 12:13:40-ENN-10-FIL-1-SW-UKN</v>
      </c>
    </row>
    <row r="2700" spans="1:48" s="10" customFormat="1" x14ac:dyDescent="0.55000000000000004">
      <c r="A2700" s="32">
        <v>44965</v>
      </c>
      <c r="B2700" s="33">
        <v>0.51180555555555551</v>
      </c>
      <c r="C2700" s="10" t="s">
        <v>661</v>
      </c>
      <c r="D2700" s="10">
        <v>20</v>
      </c>
      <c r="E2700" s="10" t="s">
        <v>911</v>
      </c>
      <c r="F2700" s="10">
        <v>1</v>
      </c>
      <c r="G2700" s="10" t="s">
        <v>231</v>
      </c>
      <c r="H2700" s="10" t="s">
        <v>322</v>
      </c>
      <c r="I2700" s="10" t="s">
        <v>224</v>
      </c>
      <c r="J2700" s="10">
        <v>96</v>
      </c>
      <c r="K2700" s="12">
        <v>44967</v>
      </c>
      <c r="L2700" s="33">
        <v>0.49225694444444446</v>
      </c>
      <c r="M2700" s="10">
        <v>1</v>
      </c>
      <c r="N2700" s="10" t="s">
        <v>196</v>
      </c>
      <c r="O2700" s="10">
        <v>6.98</v>
      </c>
      <c r="P2700" s="10">
        <v>0.34100000000000003</v>
      </c>
      <c r="Q2700" s="10">
        <v>1130</v>
      </c>
      <c r="R2700" s="10" t="s">
        <v>170</v>
      </c>
      <c r="S2700" s="34">
        <f t="shared" si="307"/>
        <v>1155.4809098000001</v>
      </c>
      <c r="T2700" s="10" t="s">
        <v>1185</v>
      </c>
      <c r="U2700" s="34" t="str">
        <f t="shared" si="308"/>
        <v/>
      </c>
      <c r="V2700" s="31" t="str">
        <f>IF(H2700="CHK",VLOOKUP(I2700,QCCHK,3,),IF(H2700="GUP",VLOOKUP(E2700,QCGUP,2,),IF(AND(H2700="ATP",OR(I2700="TN",I2700="TDN",I2700="TNO2-3",I2700="NO2-3")),VLOOKUP(E2700,QCREC_N,2,),IF(AND(H2700="NIC",OR(I2700="TN",I2700="TDN",I2700="TNO2-3",I2700="NO2-3")),VLOOKUP(E2700,QCNIC_N,2,),IF(AND(H2700="UREA",OR(I2700="TN",I2700="TDN",I2700="TNO2-3",I2700="NO2-3")),VLOOKUP(E2700,QCUREA_N,2,),IF(H2700="PER",VLOOKUP(I2700,QCPER,MATCH(E2700,QCACTUAL!$J$25:$AA$25,0),),IF(H2700="SPK",VLOOKUP(I2700,QCSPK,3,),IF(AND(H2700="ATP",OR(I2700="TP",I2700="TDP")),VLOOKUP(E2700,QCATP_P,2,),""))))))))</f>
        <v/>
      </c>
      <c r="W2700" s="31" t="str">
        <f t="shared" si="309"/>
        <v>TRUE</v>
      </c>
      <c r="X2700" s="31" t="str">
        <f t="shared" si="306"/>
        <v/>
      </c>
      <c r="Y2700" s="10" t="s">
        <v>1178</v>
      </c>
      <c r="AF2700" s="12">
        <v>44967</v>
      </c>
      <c r="AJ2700" s="10">
        <f>-1.3255*6.98^2+193.01*6.98-127.15</f>
        <v>1155.4809098000001</v>
      </c>
      <c r="AK2700" s="10">
        <f>-0.215*6.98^2+181.97*6.98-117.15</f>
        <v>1142.5257140000001</v>
      </c>
      <c r="AL2700" s="10" t="str">
        <f t="shared" si="304"/>
        <v>FALSE</v>
      </c>
      <c r="AM2700" s="10" t="str">
        <f t="shared" si="304"/>
        <v>FALSE</v>
      </c>
      <c r="AN2700" s="10" t="str">
        <f t="shared" si="304"/>
        <v>FALSE</v>
      </c>
      <c r="AO2700" s="10" t="str">
        <f t="shared" si="305"/>
        <v>y=-1.3255*6.98^2+193.01*6.98-127.15</v>
      </c>
      <c r="AP2700" s="10" t="str">
        <f t="shared" si="305"/>
        <v>y=-0.215*6.98^2+181.97*6.98-117.15</v>
      </c>
      <c r="AQ2700" s="10" t="b">
        <f>IF(AND(I2700="TP",S2700&lt;=150),VLOOKUP(AF2700,TPCalibEq150!$AZ$2:$BB$55,3,),IF(AND(I2700="TDP",S2700&lt;=150),VLOOKUP(AF2700,TPCalibEq150!$AZ$2:$BB$55,3,)))</f>
        <v>0</v>
      </c>
      <c r="AR2700" s="10" t="b">
        <f>IF(AND(I2700="TP",S2700&lt;=300),VLOOKUP(AF2700,TPCalibEq300!$AZ$2:$BB$55,3,),IF(AND(I2700="TDP",S2700&lt;=300),VLOOKUP(AF2700,TPCalibEq300!$AZ$2:$BB$55,3,)))</f>
        <v>0</v>
      </c>
      <c r="AS2700" s="10" t="b">
        <f>IF(AND(I2700="TP",S2700&lt;=500),VLOOKUP(AF2700,TPCalibEq500!$AZ$2:$BB$56,3,),IF(AND(I2700="TDP",S2700&lt;=500),VLOOKUP(AF2700,TPCalibEq500!$AZ$2:$BB$56,3,)))</f>
        <v>0</v>
      </c>
      <c r="AT2700" s="10" t="str">
        <f>IF(AND(I2700="TN",S2700&lt;=2800),VLOOKUP(AF2700,TNCalibEq2500!$AZ$2:$BB$56,3,),IF(AND(I2700="TDN",S2700&lt;=2800),VLOOKUP(AF2700,TNCalibEq2500!$AZ$2:$BB$56,3,)))</f>
        <v>y=-1.3255x2+193.01x-127.15</v>
      </c>
      <c r="AU2700" s="10" t="str">
        <f>IF(I2700="TP",VLOOKUP(AF2700,TPCalibEqFull!$AZ$2:$BB$56,3),IF(I2700="TDP",VLOOKUP(AF2700,TPCalibEqFull!$AZ$2:$BB$56,3),IF(I2700="TDN",VLOOKUP(AF2700,TNCalibEqFull!$AZ$1:$BB$56,3),IF(I2700="TN",VLOOKUP(AF2700,TNCalibEqFull!$AZ$1:$BB$56,3),FALSE))))</f>
        <v>y=-0.215x2+181.97x-117.15</v>
      </c>
      <c r="AV2700" s="10" t="str">
        <f t="shared" si="310"/>
        <v>0208 12:17:00-ENN-20-FIL-1-SW-UKN</v>
      </c>
    </row>
    <row r="2701" spans="1:48" s="10" customFormat="1" x14ac:dyDescent="0.55000000000000004">
      <c r="A2701" s="32">
        <v>44965</v>
      </c>
      <c r="B2701" s="33">
        <v>0.51412037037037039</v>
      </c>
      <c r="C2701" s="10" t="s">
        <v>661</v>
      </c>
      <c r="D2701" s="10">
        <v>23</v>
      </c>
      <c r="E2701" s="10" t="s">
        <v>911</v>
      </c>
      <c r="F2701" s="10">
        <v>1</v>
      </c>
      <c r="G2701" s="10" t="s">
        <v>231</v>
      </c>
      <c r="H2701" s="10" t="s">
        <v>322</v>
      </c>
      <c r="I2701" s="10" t="s">
        <v>224</v>
      </c>
      <c r="J2701" s="10">
        <v>97</v>
      </c>
      <c r="K2701" s="12">
        <v>44967</v>
      </c>
      <c r="L2701" s="33">
        <v>0.49292824074074071</v>
      </c>
      <c r="M2701" s="10">
        <v>1</v>
      </c>
      <c r="N2701" s="10" t="s">
        <v>196</v>
      </c>
      <c r="O2701" s="10">
        <v>6.94</v>
      </c>
      <c r="P2701" s="10">
        <v>0.33800000000000002</v>
      </c>
      <c r="Q2701" s="10">
        <v>1120</v>
      </c>
      <c r="R2701" s="10" t="s">
        <v>170</v>
      </c>
      <c r="S2701" s="34">
        <f t="shared" si="307"/>
        <v>1148.4985481999997</v>
      </c>
      <c r="T2701" s="10" t="s">
        <v>1185</v>
      </c>
      <c r="U2701" s="34" t="str">
        <f t="shared" si="308"/>
        <v/>
      </c>
      <c r="V2701" s="31" t="str">
        <f>IF(H2701="CHK",VLOOKUP(I2701,QCCHK,3,),IF(H2701="GUP",VLOOKUP(E2701,QCGUP,2,),IF(AND(H2701="ATP",OR(I2701="TN",I2701="TDN",I2701="TNO2-3",I2701="NO2-3")),VLOOKUP(E2701,QCREC_N,2,),IF(AND(H2701="NIC",OR(I2701="TN",I2701="TDN",I2701="TNO2-3",I2701="NO2-3")),VLOOKUP(E2701,QCNIC_N,2,),IF(AND(H2701="UREA",OR(I2701="TN",I2701="TDN",I2701="TNO2-3",I2701="NO2-3")),VLOOKUP(E2701,QCUREA_N,2,),IF(H2701="PER",VLOOKUP(I2701,QCPER,MATCH(E2701,QCACTUAL!$J$25:$AA$25,0),),IF(H2701="SPK",VLOOKUP(I2701,QCSPK,3,),IF(AND(H2701="ATP",OR(I2701="TP",I2701="TDP")),VLOOKUP(E2701,QCATP_P,2,),""))))))))</f>
        <v/>
      </c>
      <c r="W2701" s="31" t="str">
        <f t="shared" si="309"/>
        <v>TRUE</v>
      </c>
      <c r="X2701" s="31" t="str">
        <f t="shared" si="306"/>
        <v/>
      </c>
      <c r="Y2701" s="10" t="s">
        <v>1178</v>
      </c>
      <c r="AF2701" s="12">
        <v>44967</v>
      </c>
      <c r="AJ2701" s="10">
        <f>-1.3255*6.94^2+193.01*6.94-127.15</f>
        <v>1148.4985481999997</v>
      </c>
      <c r="AK2701" s="10">
        <f>-0.215*6.94^2+181.97*6.94-117.15</f>
        <v>1135.366626</v>
      </c>
      <c r="AL2701" s="10" t="str">
        <f t="shared" si="304"/>
        <v>FALSE</v>
      </c>
      <c r="AM2701" s="10" t="str">
        <f t="shared" si="304"/>
        <v>FALSE</v>
      </c>
      <c r="AN2701" s="10" t="str">
        <f t="shared" si="304"/>
        <v>FALSE</v>
      </c>
      <c r="AO2701" s="10" t="str">
        <f t="shared" si="305"/>
        <v>y=-1.3255*6.94^2+193.01*6.94-127.15</v>
      </c>
      <c r="AP2701" s="10" t="str">
        <f t="shared" si="305"/>
        <v>y=-0.215*6.94^2+181.97*6.94-117.15</v>
      </c>
      <c r="AQ2701" s="10" t="b">
        <f>IF(AND(I2701="TP",S2701&lt;=150),VLOOKUP(AF2701,TPCalibEq150!$AZ$2:$BB$55,3,),IF(AND(I2701="TDP",S2701&lt;=150),VLOOKUP(AF2701,TPCalibEq150!$AZ$2:$BB$55,3,)))</f>
        <v>0</v>
      </c>
      <c r="AR2701" s="10" t="b">
        <f>IF(AND(I2701="TP",S2701&lt;=300),VLOOKUP(AF2701,TPCalibEq300!$AZ$2:$BB$55,3,),IF(AND(I2701="TDP",S2701&lt;=300),VLOOKUP(AF2701,TPCalibEq300!$AZ$2:$BB$55,3,)))</f>
        <v>0</v>
      </c>
      <c r="AS2701" s="10" t="b">
        <f>IF(AND(I2701="TP",S2701&lt;=500),VLOOKUP(AF2701,TPCalibEq500!$AZ$2:$BB$56,3,),IF(AND(I2701="TDP",S2701&lt;=500),VLOOKUP(AF2701,TPCalibEq500!$AZ$2:$BB$56,3,)))</f>
        <v>0</v>
      </c>
      <c r="AT2701" s="10" t="str">
        <f>IF(AND(I2701="TN",S2701&lt;=2800),VLOOKUP(AF2701,TNCalibEq2500!$AZ$2:$BB$56,3,),IF(AND(I2701="TDN",S2701&lt;=2800),VLOOKUP(AF2701,TNCalibEq2500!$AZ$2:$BB$56,3,)))</f>
        <v>y=-1.3255x2+193.01x-127.15</v>
      </c>
      <c r="AU2701" s="10" t="str">
        <f>IF(I2701="TP",VLOOKUP(AF2701,TPCalibEqFull!$AZ$2:$BB$56,3),IF(I2701="TDP",VLOOKUP(AF2701,TPCalibEqFull!$AZ$2:$BB$56,3),IF(I2701="TDN",VLOOKUP(AF2701,TNCalibEqFull!$AZ$1:$BB$56,3),IF(I2701="TN",VLOOKUP(AF2701,TNCalibEqFull!$AZ$1:$BB$56,3),FALSE))))</f>
        <v>y=-0.215x2+181.97x-117.15</v>
      </c>
      <c r="AV2701" s="10" t="str">
        <f t="shared" si="310"/>
        <v>0208 12:20:20-ENN-23-FIL-1-SW-UKN</v>
      </c>
    </row>
    <row r="2702" spans="1:48" s="10" customFormat="1" x14ac:dyDescent="0.55000000000000004">
      <c r="A2702" s="32">
        <v>44965</v>
      </c>
      <c r="B2702" s="33">
        <v>0.43796296296296294</v>
      </c>
      <c r="C2702" s="10" t="s">
        <v>646</v>
      </c>
      <c r="D2702" s="10">
        <v>0</v>
      </c>
      <c r="E2702" s="10" t="s">
        <v>911</v>
      </c>
      <c r="F2702" s="10">
        <v>1</v>
      </c>
      <c r="G2702" s="10" t="s">
        <v>231</v>
      </c>
      <c r="H2702" s="10" t="s">
        <v>322</v>
      </c>
      <c r="I2702" s="10" t="s">
        <v>224</v>
      </c>
      <c r="J2702" s="10">
        <v>98</v>
      </c>
      <c r="K2702" s="12">
        <v>44967</v>
      </c>
      <c r="L2702" s="33">
        <v>0.49359953703703702</v>
      </c>
      <c r="M2702" s="10">
        <v>1</v>
      </c>
      <c r="N2702" s="10" t="s">
        <v>196</v>
      </c>
      <c r="O2702" s="10">
        <v>8.2799999999999994</v>
      </c>
      <c r="P2702" s="10">
        <v>0.40400000000000003</v>
      </c>
      <c r="Q2702" s="10">
        <v>1360</v>
      </c>
      <c r="R2702" s="10" t="s">
        <v>170</v>
      </c>
      <c r="S2702" s="34">
        <f t="shared" si="307"/>
        <v>1380.0986407999999</v>
      </c>
      <c r="T2702" s="10" t="s">
        <v>1185</v>
      </c>
      <c r="U2702" s="34" t="str">
        <f t="shared" si="308"/>
        <v/>
      </c>
      <c r="V2702" s="31" t="str">
        <f>IF(H2702="CHK",VLOOKUP(I2702,QCCHK,3,),IF(H2702="GUP",VLOOKUP(E2702,QCGUP,2,),IF(AND(H2702="ATP",OR(I2702="TN",I2702="TDN",I2702="TNO2-3",I2702="NO2-3")),VLOOKUP(E2702,QCREC_N,2,),IF(AND(H2702="NIC",OR(I2702="TN",I2702="TDN",I2702="TNO2-3",I2702="NO2-3")),VLOOKUP(E2702,QCNIC_N,2,),IF(AND(H2702="UREA",OR(I2702="TN",I2702="TDN",I2702="TNO2-3",I2702="NO2-3")),VLOOKUP(E2702,QCUREA_N,2,),IF(H2702="PER",VLOOKUP(I2702,QCPER,MATCH(E2702,QCACTUAL!$J$25:$AA$25,0),),IF(H2702="SPK",VLOOKUP(I2702,QCSPK,3,),IF(AND(H2702="ATP",OR(I2702="TP",I2702="TDP")),VLOOKUP(E2702,QCATP_P,2,),""))))))))</f>
        <v/>
      </c>
      <c r="W2702" s="31" t="str">
        <f t="shared" si="309"/>
        <v>TRUE</v>
      </c>
      <c r="X2702" s="31" t="str">
        <f t="shared" si="306"/>
        <v/>
      </c>
      <c r="Y2702" s="10" t="s">
        <v>1178</v>
      </c>
      <c r="AF2702" s="12">
        <v>44967</v>
      </c>
      <c r="AJ2702" s="10">
        <f>-1.3255*8.28^2+193.01*8.28-127.15</f>
        <v>1380.0986407999999</v>
      </c>
      <c r="AK2702" s="10">
        <f>-0.215*8.28^2+181.97*8.28-117.15</f>
        <v>1374.8215439999997</v>
      </c>
      <c r="AL2702" s="10" t="str">
        <f t="shared" si="304"/>
        <v>FALSE</v>
      </c>
      <c r="AM2702" s="10" t="str">
        <f t="shared" si="304"/>
        <v>FALSE</v>
      </c>
      <c r="AN2702" s="10" t="str">
        <f t="shared" si="304"/>
        <v>FALSE</v>
      </c>
      <c r="AO2702" s="10" t="str">
        <f t="shared" si="305"/>
        <v>y=-1.3255*8.28^2+193.01*8.28-127.15</v>
      </c>
      <c r="AP2702" s="10" t="str">
        <f t="shared" si="305"/>
        <v>y=-0.215*8.28^2+181.97*8.28-117.15</v>
      </c>
      <c r="AQ2702" s="10" t="b">
        <f>IF(AND(I2702="TP",S2702&lt;=150),VLOOKUP(AF2702,TPCalibEq150!$AZ$2:$BB$55,3,),IF(AND(I2702="TDP",S2702&lt;=150),VLOOKUP(AF2702,TPCalibEq150!$AZ$2:$BB$55,3,)))</f>
        <v>0</v>
      </c>
      <c r="AR2702" s="10" t="b">
        <f>IF(AND(I2702="TP",S2702&lt;=300),VLOOKUP(AF2702,TPCalibEq300!$AZ$2:$BB$55,3,),IF(AND(I2702="TDP",S2702&lt;=300),VLOOKUP(AF2702,TPCalibEq300!$AZ$2:$BB$55,3,)))</f>
        <v>0</v>
      </c>
      <c r="AS2702" s="10" t="b">
        <f>IF(AND(I2702="TP",S2702&lt;=500),VLOOKUP(AF2702,TPCalibEq500!$AZ$2:$BB$56,3,),IF(AND(I2702="TDP",S2702&lt;=500),VLOOKUP(AF2702,TPCalibEq500!$AZ$2:$BB$56,3,)))</f>
        <v>0</v>
      </c>
      <c r="AT2702" s="10" t="str">
        <f>IF(AND(I2702="TN",S2702&lt;=2800),VLOOKUP(AF2702,TNCalibEq2500!$AZ$2:$BB$56,3,),IF(AND(I2702="TDN",S2702&lt;=2800),VLOOKUP(AF2702,TNCalibEq2500!$AZ$2:$BB$56,3,)))</f>
        <v>y=-1.3255x2+193.01x-127.15</v>
      </c>
      <c r="AU2702" s="10" t="str">
        <f>IF(I2702="TP",VLOOKUP(AF2702,TPCalibEqFull!$AZ$2:$BB$56,3),IF(I2702="TDP",VLOOKUP(AF2702,TPCalibEqFull!$AZ$2:$BB$56,3),IF(I2702="TDN",VLOOKUP(AF2702,TNCalibEqFull!$AZ$1:$BB$56,3),IF(I2702="TN",VLOOKUP(AF2702,TNCalibEqFull!$AZ$1:$BB$56,3),FALSE))))</f>
        <v>y=-0.215x2+181.97x-117.15</v>
      </c>
      <c r="AV2702" s="10" t="str">
        <f t="shared" si="310"/>
        <v>0208 10:30:40-EMB-0-FIL-1-SW-UKN</v>
      </c>
    </row>
    <row r="2703" spans="1:48" s="10" customFormat="1" x14ac:dyDescent="0.55000000000000004">
      <c r="A2703" s="32">
        <v>44965</v>
      </c>
      <c r="B2703" s="33">
        <v>0.43796296296296294</v>
      </c>
      <c r="C2703" s="10" t="s">
        <v>646</v>
      </c>
      <c r="D2703" s="10">
        <v>0</v>
      </c>
      <c r="E2703" s="10" t="s">
        <v>911</v>
      </c>
      <c r="F2703" s="10">
        <v>1</v>
      </c>
      <c r="G2703" s="10" t="s">
        <v>231</v>
      </c>
      <c r="H2703" s="10" t="s">
        <v>233</v>
      </c>
      <c r="I2703" s="10" t="s">
        <v>224</v>
      </c>
      <c r="J2703" s="10">
        <v>98</v>
      </c>
      <c r="K2703" s="12">
        <v>44967</v>
      </c>
      <c r="L2703" s="33">
        <v>0.49427083333333338</v>
      </c>
      <c r="M2703" s="10">
        <v>1</v>
      </c>
      <c r="N2703" s="10" t="s">
        <v>196</v>
      </c>
      <c r="O2703" s="10">
        <v>8.24</v>
      </c>
      <c r="P2703" s="10">
        <v>0.40400000000000003</v>
      </c>
      <c r="Q2703" s="10">
        <v>1350</v>
      </c>
      <c r="R2703" s="10" t="s">
        <v>170</v>
      </c>
      <c r="S2703" s="34">
        <f t="shared" si="307"/>
        <v>1373.2541311999998</v>
      </c>
      <c r="T2703" s="10" t="s">
        <v>1185</v>
      </c>
      <c r="U2703" s="34">
        <f t="shared" si="308"/>
        <v>0.49717636400280624</v>
      </c>
      <c r="V2703" s="31" t="str">
        <f>IF(H2703="CHK",VLOOKUP(I2703,QCCHK,3,),IF(H2703="GUP",VLOOKUP(E2703,QCGUP,2,),IF(AND(H2703="ATP",OR(I2703="TN",I2703="TDN",I2703="TNO2-3",I2703="NO2-3")),VLOOKUP(E2703,QCREC_N,2,),IF(AND(H2703="NIC",OR(I2703="TN",I2703="TDN",I2703="TNO2-3",I2703="NO2-3")),VLOOKUP(E2703,QCNIC_N,2,),IF(AND(H2703="UREA",OR(I2703="TN",I2703="TDN",I2703="TNO2-3",I2703="NO2-3")),VLOOKUP(E2703,QCUREA_N,2,),IF(H2703="PER",VLOOKUP(I2703,QCPER,MATCH(E2703,QCACTUAL!$J$25:$AA$25,0),),IF(H2703="SPK",VLOOKUP(I2703,QCSPK,3,),IF(AND(H2703="ATP",OR(I2703="TP",I2703="TDP")),VLOOKUP(E2703,QCATP_P,2,),""))))))))</f>
        <v/>
      </c>
      <c r="W2703" s="31" t="str">
        <f t="shared" si="309"/>
        <v>TRUE</v>
      </c>
      <c r="X2703" s="31" t="str">
        <f t="shared" si="306"/>
        <v>((ABS(rep1-rep2))/((rep1+rep2)/2)*100</v>
      </c>
      <c r="Y2703" s="10" t="s">
        <v>1178</v>
      </c>
      <c r="AF2703" s="12">
        <v>44967</v>
      </c>
      <c r="AJ2703" s="10">
        <f>-1.3255*8.24^2+193.01*8.24-127.15</f>
        <v>1373.2541311999998</v>
      </c>
      <c r="AK2703" s="10">
        <f>-0.215*8.24^2+181.97*8.24-117.15</f>
        <v>1367.684816</v>
      </c>
      <c r="AL2703" s="10" t="str">
        <f t="shared" si="304"/>
        <v>FALSE</v>
      </c>
      <c r="AM2703" s="10" t="str">
        <f t="shared" si="304"/>
        <v>FALSE</v>
      </c>
      <c r="AN2703" s="10" t="str">
        <f t="shared" si="304"/>
        <v>FALSE</v>
      </c>
      <c r="AO2703" s="10" t="str">
        <f t="shared" si="305"/>
        <v>y=-1.3255*8.24^2+193.01*8.24-127.15</v>
      </c>
      <c r="AP2703" s="10" t="str">
        <f t="shared" si="305"/>
        <v>y=-0.215*8.24^2+181.97*8.24-117.15</v>
      </c>
      <c r="AQ2703" s="10" t="b">
        <f>IF(AND(I2703="TP",S2703&lt;=150),VLOOKUP(AF2703,TPCalibEq150!$AZ$2:$BB$55,3,),IF(AND(I2703="TDP",S2703&lt;=150),VLOOKUP(AF2703,TPCalibEq150!$AZ$2:$BB$55,3,)))</f>
        <v>0</v>
      </c>
      <c r="AR2703" s="10" t="b">
        <f>IF(AND(I2703="TP",S2703&lt;=300),VLOOKUP(AF2703,TPCalibEq300!$AZ$2:$BB$55,3,),IF(AND(I2703="TDP",S2703&lt;=300),VLOOKUP(AF2703,TPCalibEq300!$AZ$2:$BB$55,3,)))</f>
        <v>0</v>
      </c>
      <c r="AS2703" s="10" t="b">
        <f>IF(AND(I2703="TP",S2703&lt;=500),VLOOKUP(AF2703,TPCalibEq500!$AZ$2:$BB$56,3,),IF(AND(I2703="TDP",S2703&lt;=500),VLOOKUP(AF2703,TPCalibEq500!$AZ$2:$BB$56,3,)))</f>
        <v>0</v>
      </c>
      <c r="AT2703" s="10" t="str">
        <f>IF(AND(I2703="TN",S2703&lt;=2800),VLOOKUP(AF2703,TNCalibEq2500!$AZ$2:$BB$56,3,),IF(AND(I2703="TDN",S2703&lt;=2800),VLOOKUP(AF2703,TNCalibEq2500!$AZ$2:$BB$56,3,)))</f>
        <v>y=-1.3255x2+193.01x-127.15</v>
      </c>
      <c r="AU2703" s="10" t="str">
        <f>IF(I2703="TP",VLOOKUP(AF2703,TPCalibEqFull!$AZ$2:$BB$56,3),IF(I2703="TDP",VLOOKUP(AF2703,TPCalibEqFull!$AZ$2:$BB$56,3),IF(I2703="TDN",VLOOKUP(AF2703,TNCalibEqFull!$AZ$1:$BB$56,3),IF(I2703="TN",VLOOKUP(AF2703,TNCalibEqFull!$AZ$1:$BB$56,3),FALSE))))</f>
        <v>y=-0.215x2+181.97x-117.15</v>
      </c>
      <c r="AV2703" s="10" t="str">
        <f t="shared" si="310"/>
        <v>0208 10:30:40-EMB-0-FIL-1-SW-DUP</v>
      </c>
    </row>
    <row r="2704" spans="1:48" s="10" customFormat="1" x14ac:dyDescent="0.55000000000000004">
      <c r="A2704" s="32">
        <v>44965</v>
      </c>
      <c r="B2704" s="33">
        <v>0.43796296296296294</v>
      </c>
      <c r="C2704" s="10" t="s">
        <v>646</v>
      </c>
      <c r="D2704" s="10">
        <v>0</v>
      </c>
      <c r="E2704" s="10" t="s">
        <v>911</v>
      </c>
      <c r="F2704" s="10">
        <v>1</v>
      </c>
      <c r="G2704" s="10" t="s">
        <v>231</v>
      </c>
      <c r="H2704" s="10" t="s">
        <v>314</v>
      </c>
      <c r="I2704" s="10" t="s">
        <v>224</v>
      </c>
      <c r="J2704" s="10">
        <v>130</v>
      </c>
      <c r="K2704" s="12">
        <v>44967</v>
      </c>
      <c r="L2704" s="33">
        <v>0.49494212962962963</v>
      </c>
      <c r="M2704" s="10">
        <v>1</v>
      </c>
      <c r="N2704" s="10" t="s">
        <v>196</v>
      </c>
      <c r="O2704" s="10">
        <v>21.4</v>
      </c>
      <c r="P2704" s="10">
        <v>1.04</v>
      </c>
      <c r="Q2704" s="10">
        <v>3660</v>
      </c>
      <c r="R2704" s="10" t="s">
        <v>170</v>
      </c>
      <c r="S2704" s="34">
        <f t="shared" si="307"/>
        <v>3678.5465999999997</v>
      </c>
      <c r="T2704" s="10" t="s">
        <v>1185</v>
      </c>
      <c r="U2704" s="34">
        <f t="shared" si="308"/>
        <v>92.21169875199999</v>
      </c>
      <c r="V2704" s="31">
        <f>IF(H2704="CHK",VLOOKUP(I2704,QCCHK,3,),IF(H2704="GUP",VLOOKUP(E2704,QCGUP,2,),IF(AND(H2704="ATP",OR(I2704="TN",I2704="TDN",I2704="TNO2-3",I2704="NO2-3")),VLOOKUP(E2704,QCREC_N,2,),IF(AND(H2704="NIC",OR(I2704="TN",I2704="TDN",I2704="TNO2-3",I2704="NO2-3")),VLOOKUP(E2704,QCNIC_N,2,),IF(AND(H2704="UREA",OR(I2704="TN",I2704="TDN",I2704="TNO2-3",I2704="NO2-3")),VLOOKUP(E2704,QCUREA_N,2,),IF(H2704="PER",VLOOKUP(I2704,QCPER,MATCH(E2704,QCACTUAL!$J$25:$AA$25,0),),IF(H2704="SPK",VLOOKUP(I2704,QCSPK,3,),IF(AND(H2704="ATP",OR(I2704="TP",I2704="TDP")),VLOOKUP(E2704,QCATP_P,2,),""))))))))</f>
        <v>2500</v>
      </c>
      <c r="W2704" s="31" t="str">
        <f t="shared" si="309"/>
        <v>TRUE</v>
      </c>
      <c r="X2704" s="31" t="str">
        <f t="shared" si="306"/>
        <v>([spikedunkn]-[unkn])/[spike]*100</v>
      </c>
      <c r="Y2704" s="10" t="s">
        <v>1178</v>
      </c>
      <c r="AF2704" s="12">
        <v>44967</v>
      </c>
      <c r="AK2704" s="10">
        <f>-0.215*21.4^2+181.97*21.4-117.15</f>
        <v>3678.5465999999997</v>
      </c>
      <c r="AL2704" s="10" t="str">
        <f t="shared" si="304"/>
        <v>FALSE</v>
      </c>
      <c r="AM2704" s="10" t="str">
        <f t="shared" si="304"/>
        <v>FALSE</v>
      </c>
      <c r="AN2704" s="10" t="str">
        <f t="shared" si="304"/>
        <v>FALSE</v>
      </c>
      <c r="AO2704" s="10" t="str">
        <f t="shared" si="305"/>
        <v>FALSE</v>
      </c>
      <c r="AP2704" s="10" t="str">
        <f t="shared" si="305"/>
        <v>y=-0.215*21.4^2+181.97*21.4-117.15</v>
      </c>
      <c r="AQ2704" s="10" t="b">
        <f>IF(AND(I2704="TP",S2704&lt;=150),VLOOKUP(AF2704,TPCalibEq150!$AZ$2:$BB$55,3,),IF(AND(I2704="TDP",S2704&lt;=150),VLOOKUP(AF2704,TPCalibEq150!$AZ$2:$BB$55,3,)))</f>
        <v>0</v>
      </c>
      <c r="AR2704" s="10" t="b">
        <f>IF(AND(I2704="TP",S2704&lt;=300),VLOOKUP(AF2704,TPCalibEq300!$AZ$2:$BB$55,3,),IF(AND(I2704="TDP",S2704&lt;=300),VLOOKUP(AF2704,TPCalibEq300!$AZ$2:$BB$55,3,)))</f>
        <v>0</v>
      </c>
      <c r="AS2704" s="10" t="b">
        <f>IF(AND(I2704="TP",S2704&lt;=500),VLOOKUP(AF2704,TPCalibEq500!$AZ$2:$BB$56,3,),IF(AND(I2704="TDP",S2704&lt;=500),VLOOKUP(AF2704,TPCalibEq500!$AZ$2:$BB$56,3,)))</f>
        <v>0</v>
      </c>
      <c r="AT2704" s="10" t="b">
        <f>IF(AND(I2704="TN",S2704&lt;=2800),VLOOKUP(AF2704,TNCalibEq2500!$AZ$2:$BB$56,3,),IF(AND(I2704="TDN",S2704&lt;=2800),VLOOKUP(AF2704,TNCalibEq2500!$AZ$2:$BB$56,3,)))</f>
        <v>0</v>
      </c>
      <c r="AU2704" s="10" t="str">
        <f>IF(I2704="TP",VLOOKUP(AF2704,TPCalibEqFull!$AZ$2:$BB$56,3),IF(I2704="TDP",VLOOKUP(AF2704,TPCalibEqFull!$AZ$2:$BB$56,3),IF(I2704="TDN",VLOOKUP(AF2704,TNCalibEqFull!$AZ$1:$BB$56,3),IF(I2704="TN",VLOOKUP(AF2704,TNCalibEqFull!$AZ$1:$BB$56,3),FALSE))))</f>
        <v>y=-0.215x2+181.97x-117.15</v>
      </c>
      <c r="AV2704" s="10" t="str">
        <f t="shared" si="310"/>
        <v>0208 10:30:40-EMB-0-FIL-1-SW-SPK</v>
      </c>
    </row>
    <row r="2705" spans="1:48" s="10" customFormat="1" x14ac:dyDescent="0.55000000000000004">
      <c r="A2705" s="32">
        <v>44966</v>
      </c>
      <c r="B2705" s="33">
        <v>0.375</v>
      </c>
      <c r="C2705" s="10" t="s">
        <v>70</v>
      </c>
      <c r="D2705" s="10" t="s">
        <v>71</v>
      </c>
      <c r="E2705" s="10" t="s">
        <v>901</v>
      </c>
      <c r="F2705" s="10">
        <v>1</v>
      </c>
      <c r="G2705" s="10" t="s">
        <v>73</v>
      </c>
      <c r="H2705" s="10" t="s">
        <v>207</v>
      </c>
      <c r="I2705" s="10" t="s">
        <v>235</v>
      </c>
      <c r="J2705" s="10">
        <v>217</v>
      </c>
      <c r="K2705" s="12">
        <v>44967</v>
      </c>
      <c r="L2705" s="33">
        <v>0.49562499999999998</v>
      </c>
      <c r="M2705" s="10">
        <v>1</v>
      </c>
      <c r="N2705" s="10" t="s">
        <v>196</v>
      </c>
      <c r="O2705" s="10">
        <v>7.61</v>
      </c>
      <c r="P2705" s="10">
        <v>0.374</v>
      </c>
      <c r="Q2705" s="10">
        <v>1240</v>
      </c>
      <c r="R2705" s="10" t="s">
        <v>170</v>
      </c>
      <c r="S2705" s="34">
        <f t="shared" si="307"/>
        <v>1264.89361145</v>
      </c>
      <c r="T2705" s="10" t="s">
        <v>1185</v>
      </c>
      <c r="U2705" s="34">
        <f t="shared" si="308"/>
        <v>101.19148891600001</v>
      </c>
      <c r="V2705" s="31">
        <f>IF(H2705="CHK",VLOOKUP(I2705,QCCHK,3,),IF(H2705="GUP",VLOOKUP(E2705,QCGUP,2,),IF(AND(H2705="ATP",OR(I2705="TN",I2705="TDN",I2705="TNO2-3",I2705="NO2-3")),VLOOKUP(E2705,QCREC_N,2,),IF(AND(H2705="NIC",OR(I2705="TN",I2705="TDN",I2705="TNO2-3",I2705="NO2-3")),VLOOKUP(E2705,QCNIC_N,2,),IF(AND(H2705="UREA",OR(I2705="TN",I2705="TDN",I2705="TNO2-3",I2705="NO2-3")),VLOOKUP(E2705,QCUREA_N,2,),IF(H2705="PER",VLOOKUP(I2705,QCPER,MATCH(E2705,QCACTUAL!$J$25:$AA$25,0),),IF(H2705="SPK",VLOOKUP(I2705,QCSPK,3,),IF(AND(H2705="ATP",OR(I2705="TP",I2705="TDP")),VLOOKUP(E2705,QCATP_P,2,),""))))))))</f>
        <v>1250</v>
      </c>
      <c r="W2705" s="31" t="str">
        <f t="shared" si="309"/>
        <v>TRUE</v>
      </c>
      <c r="X2705" s="31" t="str">
        <f t="shared" si="306"/>
        <v>[chk]/[actual]*100</v>
      </c>
      <c r="Y2705" s="10" t="s">
        <v>1178</v>
      </c>
      <c r="AF2705" s="12">
        <v>44967</v>
      </c>
      <c r="AJ2705" s="10">
        <f>-1.3255*7.61^2+193.01*7.61-127.15</f>
        <v>1264.89361145</v>
      </c>
      <c r="AK2705" s="10">
        <f>-0.215*7.61^2+181.97*7.61-117.15</f>
        <v>1255.1905984999999</v>
      </c>
      <c r="AL2705" s="10" t="str">
        <f t="shared" si="304"/>
        <v>FALSE</v>
      </c>
      <c r="AM2705" s="10" t="str">
        <f t="shared" si="304"/>
        <v>FALSE</v>
      </c>
      <c r="AN2705" s="10" t="str">
        <f t="shared" si="304"/>
        <v>FALSE</v>
      </c>
      <c r="AO2705" s="10" t="str">
        <f t="shared" si="305"/>
        <v>y=-1.3255*7.61^2+193.01*7.61-127.15</v>
      </c>
      <c r="AP2705" s="10" t="str">
        <f t="shared" si="305"/>
        <v>y=-0.215*7.61^2+181.97*7.61-117.15</v>
      </c>
      <c r="AQ2705" s="10" t="b">
        <f>IF(AND(I2705="TP",S2705&lt;=150),VLOOKUP(AF2705,TPCalibEq150!$AZ$2:$BB$55,3,),IF(AND(I2705="TDP",S2705&lt;=150),VLOOKUP(AF2705,TPCalibEq150!$AZ$2:$BB$55,3,)))</f>
        <v>0</v>
      </c>
      <c r="AR2705" s="10" t="b">
        <f>IF(AND(I2705="TP",S2705&lt;=300),VLOOKUP(AF2705,TPCalibEq300!$AZ$2:$BB$55,3,),IF(AND(I2705="TDP",S2705&lt;=300),VLOOKUP(AF2705,TPCalibEq300!$AZ$2:$BB$55,3,)))</f>
        <v>0</v>
      </c>
      <c r="AS2705" s="10" t="b">
        <f>IF(AND(I2705="TP",S2705&lt;=500),VLOOKUP(AF2705,TPCalibEq500!$AZ$2:$BB$56,3,),IF(AND(I2705="TDP",S2705&lt;=500),VLOOKUP(AF2705,TPCalibEq500!$AZ$2:$BB$56,3,)))</f>
        <v>0</v>
      </c>
      <c r="AT2705" s="10" t="str">
        <f>IF(AND(I2705="TN",S2705&lt;=2800),VLOOKUP(AF2705,TNCalibEq2500!$AZ$2:$BB$56,3,),IF(AND(I2705="TDN",S2705&lt;=2800),VLOOKUP(AF2705,TNCalibEq2500!$AZ$2:$BB$56,3,)))</f>
        <v>y=-1.3255x2+193.01x-127.15</v>
      </c>
      <c r="AU2705" s="10" t="str">
        <f>IF(I2705="TP",VLOOKUP(AF2705,TPCalibEqFull!$AZ$2:$BB$56,3),IF(I2705="TDP",VLOOKUP(AF2705,TPCalibEqFull!$AZ$2:$BB$56,3),IF(I2705="TDN",VLOOKUP(AF2705,TNCalibEqFull!$AZ$1:$BB$56,3),IF(I2705="TN",VLOOKUP(AF2705,TNCalibEqFull!$AZ$1:$BB$56,3),FALSE))))</f>
        <v>y=-0.215x2+181.97x-117.15</v>
      </c>
      <c r="AV2705" s="10" t="str">
        <f t="shared" si="310"/>
        <v>0209 09:00:00-QAC-STD-D-1-DI-CHK</v>
      </c>
    </row>
    <row r="2706" spans="1:48" s="10" customFormat="1" x14ac:dyDescent="0.55000000000000004">
      <c r="A2706" s="32">
        <v>44965</v>
      </c>
      <c r="B2706" s="33">
        <v>0.44027777777777777</v>
      </c>
      <c r="C2706" s="10" t="s">
        <v>646</v>
      </c>
      <c r="D2706" s="10">
        <v>5</v>
      </c>
      <c r="E2706" s="10" t="s">
        <v>911</v>
      </c>
      <c r="F2706" s="10">
        <v>1</v>
      </c>
      <c r="G2706" s="10" t="s">
        <v>231</v>
      </c>
      <c r="H2706" s="10" t="s">
        <v>322</v>
      </c>
      <c r="I2706" s="10" t="s">
        <v>224</v>
      </c>
      <c r="J2706" s="10">
        <v>99</v>
      </c>
      <c r="K2706" s="12">
        <v>44967</v>
      </c>
      <c r="L2706" s="33">
        <v>0.4962847222222222</v>
      </c>
      <c r="M2706" s="10">
        <v>1</v>
      </c>
      <c r="N2706" s="10" t="s">
        <v>196</v>
      </c>
      <c r="O2706" s="10">
        <v>7</v>
      </c>
      <c r="P2706" s="10">
        <v>0.34300000000000003</v>
      </c>
      <c r="Q2706" s="10">
        <v>1130</v>
      </c>
      <c r="R2706" s="10" t="s">
        <v>170</v>
      </c>
      <c r="S2706" s="34">
        <f t="shared" si="307"/>
        <v>1158.9704999999999</v>
      </c>
      <c r="T2706" s="10" t="s">
        <v>1185</v>
      </c>
      <c r="U2706" s="34" t="str">
        <f t="shared" si="308"/>
        <v/>
      </c>
      <c r="V2706" s="31" t="str">
        <f>IF(H2706="CHK",VLOOKUP(I2706,QCCHK,3,),IF(H2706="GUP",VLOOKUP(E2706,QCGUP,2,),IF(AND(H2706="ATP",OR(I2706="TN",I2706="TDN",I2706="TNO2-3",I2706="NO2-3")),VLOOKUP(E2706,QCREC_N,2,),IF(AND(H2706="NIC",OR(I2706="TN",I2706="TDN",I2706="TNO2-3",I2706="NO2-3")),VLOOKUP(E2706,QCNIC_N,2,),IF(AND(H2706="UREA",OR(I2706="TN",I2706="TDN",I2706="TNO2-3",I2706="NO2-3")),VLOOKUP(E2706,QCUREA_N,2,),IF(H2706="PER",VLOOKUP(I2706,QCPER,MATCH(E2706,QCACTUAL!$J$25:$AA$25,0),),IF(H2706="SPK",VLOOKUP(I2706,QCSPK,3,),IF(AND(H2706="ATP",OR(I2706="TP",I2706="TDP")),VLOOKUP(E2706,QCATP_P,2,),""))))))))</f>
        <v/>
      </c>
      <c r="W2706" s="31" t="str">
        <f t="shared" si="309"/>
        <v>TRUE</v>
      </c>
      <c r="X2706" s="31" t="str">
        <f t="shared" si="306"/>
        <v/>
      </c>
      <c r="Y2706" s="10" t="s">
        <v>1178</v>
      </c>
      <c r="AF2706" s="12">
        <v>44967</v>
      </c>
      <c r="AJ2706" s="10">
        <f>-1.3255*7^2+193.01*7-127.15</f>
        <v>1158.9704999999999</v>
      </c>
      <c r="AK2706" s="10">
        <f>-0.215*7^2+181.97*7-117.15</f>
        <v>1146.1049999999998</v>
      </c>
      <c r="AL2706" s="10" t="str">
        <f t="shared" si="304"/>
        <v>FALSE</v>
      </c>
      <c r="AM2706" s="10" t="str">
        <f t="shared" si="304"/>
        <v>FALSE</v>
      </c>
      <c r="AN2706" s="10" t="str">
        <f t="shared" si="304"/>
        <v>FALSE</v>
      </c>
      <c r="AO2706" s="10" t="str">
        <f t="shared" si="305"/>
        <v>y=-1.3255*7^2+193.01*7-127.15</v>
      </c>
      <c r="AP2706" s="10" t="str">
        <f t="shared" si="305"/>
        <v>y=-0.215*7^2+181.97*7-117.15</v>
      </c>
      <c r="AQ2706" s="10" t="b">
        <f>IF(AND(I2706="TP",S2706&lt;=150),VLOOKUP(AF2706,TPCalibEq150!$AZ$2:$BB$55,3,),IF(AND(I2706="TDP",S2706&lt;=150),VLOOKUP(AF2706,TPCalibEq150!$AZ$2:$BB$55,3,)))</f>
        <v>0</v>
      </c>
      <c r="AR2706" s="10" t="b">
        <f>IF(AND(I2706="TP",S2706&lt;=300),VLOOKUP(AF2706,TPCalibEq300!$AZ$2:$BB$55,3,),IF(AND(I2706="TDP",S2706&lt;=300),VLOOKUP(AF2706,TPCalibEq300!$AZ$2:$BB$55,3,)))</f>
        <v>0</v>
      </c>
      <c r="AS2706" s="10" t="b">
        <f>IF(AND(I2706="TP",S2706&lt;=500),VLOOKUP(AF2706,TPCalibEq500!$AZ$2:$BB$56,3,),IF(AND(I2706="TDP",S2706&lt;=500),VLOOKUP(AF2706,TPCalibEq500!$AZ$2:$BB$56,3,)))</f>
        <v>0</v>
      </c>
      <c r="AT2706" s="10" t="str">
        <f>IF(AND(I2706="TN",S2706&lt;=2800),VLOOKUP(AF2706,TNCalibEq2500!$AZ$2:$BB$56,3,),IF(AND(I2706="TDN",S2706&lt;=2800),VLOOKUP(AF2706,TNCalibEq2500!$AZ$2:$BB$56,3,)))</f>
        <v>y=-1.3255x2+193.01x-127.15</v>
      </c>
      <c r="AU2706" s="10" t="str">
        <f>IF(I2706="TP",VLOOKUP(AF2706,TPCalibEqFull!$AZ$2:$BB$56,3),IF(I2706="TDP",VLOOKUP(AF2706,TPCalibEqFull!$AZ$2:$BB$56,3),IF(I2706="TDN",VLOOKUP(AF2706,TNCalibEqFull!$AZ$1:$BB$56,3),IF(I2706="TN",VLOOKUP(AF2706,TNCalibEqFull!$AZ$1:$BB$56,3),FALSE))))</f>
        <v>y=-0.215x2+181.97x-117.15</v>
      </c>
      <c r="AV2706" s="10" t="str">
        <f t="shared" si="310"/>
        <v>0208 10:34:00-EMB-5-FIL-1-SW-UKN</v>
      </c>
    </row>
    <row r="2707" spans="1:48" s="10" customFormat="1" x14ac:dyDescent="0.55000000000000004">
      <c r="A2707" s="32">
        <v>44965</v>
      </c>
      <c r="B2707" s="33">
        <v>0.44259259259259259</v>
      </c>
      <c r="C2707" s="10" t="s">
        <v>646</v>
      </c>
      <c r="D2707" s="10">
        <v>10</v>
      </c>
      <c r="E2707" s="10" t="s">
        <v>911</v>
      </c>
      <c r="F2707" s="10">
        <v>1</v>
      </c>
      <c r="G2707" s="10" t="s">
        <v>231</v>
      </c>
      <c r="H2707" s="10" t="s">
        <v>322</v>
      </c>
      <c r="I2707" s="10" t="s">
        <v>224</v>
      </c>
      <c r="J2707" s="10">
        <v>100</v>
      </c>
      <c r="K2707" s="12">
        <v>44967</v>
      </c>
      <c r="L2707" s="33">
        <v>0.49695601851851851</v>
      </c>
      <c r="M2707" s="10">
        <v>1</v>
      </c>
      <c r="N2707" s="10" t="s">
        <v>196</v>
      </c>
      <c r="O2707" s="10">
        <v>7.05</v>
      </c>
      <c r="P2707" s="10">
        <v>0.34499999999999997</v>
      </c>
      <c r="Q2707" s="10">
        <v>1140</v>
      </c>
      <c r="R2707" s="10" t="s">
        <v>170</v>
      </c>
      <c r="S2707" s="34">
        <f t="shared" si="307"/>
        <v>1167.6898362499999</v>
      </c>
      <c r="T2707" s="10" t="s">
        <v>1185</v>
      </c>
      <c r="U2707" s="34" t="str">
        <f t="shared" si="308"/>
        <v/>
      </c>
      <c r="V2707" s="31" t="str">
        <f>IF(H2707="CHK",VLOOKUP(I2707,QCCHK,3,),IF(H2707="GUP",VLOOKUP(E2707,QCGUP,2,),IF(AND(H2707="ATP",OR(I2707="TN",I2707="TDN",I2707="TNO2-3",I2707="NO2-3")),VLOOKUP(E2707,QCREC_N,2,),IF(AND(H2707="NIC",OR(I2707="TN",I2707="TDN",I2707="TNO2-3",I2707="NO2-3")),VLOOKUP(E2707,QCNIC_N,2,),IF(AND(H2707="UREA",OR(I2707="TN",I2707="TDN",I2707="TNO2-3",I2707="NO2-3")),VLOOKUP(E2707,QCUREA_N,2,),IF(H2707="PER",VLOOKUP(I2707,QCPER,MATCH(E2707,QCACTUAL!$J$25:$AA$25,0),),IF(H2707="SPK",VLOOKUP(I2707,QCSPK,3,),IF(AND(H2707="ATP",OR(I2707="TP",I2707="TDP")),VLOOKUP(E2707,QCATP_P,2,),""))))))))</f>
        <v/>
      </c>
      <c r="W2707" s="31" t="str">
        <f t="shared" si="309"/>
        <v>TRUE</v>
      </c>
      <c r="X2707" s="31" t="str">
        <f t="shared" si="306"/>
        <v/>
      </c>
      <c r="Y2707" s="10" t="s">
        <v>1178</v>
      </c>
      <c r="AF2707" s="12">
        <v>44967</v>
      </c>
      <c r="AJ2707" s="10">
        <f>-1.3255*7.05^2+193.01*7.05-127.15</f>
        <v>1167.6898362499999</v>
      </c>
      <c r="AK2707" s="10">
        <f>-0.215*7.05^2+181.97*7.05-117.15</f>
        <v>1155.0524624999998</v>
      </c>
      <c r="AL2707" s="10" t="str">
        <f t="shared" si="304"/>
        <v>FALSE</v>
      </c>
      <c r="AM2707" s="10" t="str">
        <f t="shared" si="304"/>
        <v>FALSE</v>
      </c>
      <c r="AN2707" s="10" t="str">
        <f t="shared" si="304"/>
        <v>FALSE</v>
      </c>
      <c r="AO2707" s="10" t="str">
        <f t="shared" si="305"/>
        <v>y=-1.3255*7.05^2+193.01*7.05-127.15</v>
      </c>
      <c r="AP2707" s="10" t="str">
        <f t="shared" si="305"/>
        <v>y=-0.215*7.05^2+181.97*7.05-117.15</v>
      </c>
      <c r="AQ2707" s="10" t="b">
        <f>IF(AND(I2707="TP",S2707&lt;=150),VLOOKUP(AF2707,TPCalibEq150!$AZ$2:$BB$55,3,),IF(AND(I2707="TDP",S2707&lt;=150),VLOOKUP(AF2707,TPCalibEq150!$AZ$2:$BB$55,3,)))</f>
        <v>0</v>
      </c>
      <c r="AR2707" s="10" t="b">
        <f>IF(AND(I2707="TP",S2707&lt;=300),VLOOKUP(AF2707,TPCalibEq300!$AZ$2:$BB$55,3,),IF(AND(I2707="TDP",S2707&lt;=300),VLOOKUP(AF2707,TPCalibEq300!$AZ$2:$BB$55,3,)))</f>
        <v>0</v>
      </c>
      <c r="AS2707" s="10" t="b">
        <f>IF(AND(I2707="TP",S2707&lt;=500),VLOOKUP(AF2707,TPCalibEq500!$AZ$2:$BB$56,3,),IF(AND(I2707="TDP",S2707&lt;=500),VLOOKUP(AF2707,TPCalibEq500!$AZ$2:$BB$56,3,)))</f>
        <v>0</v>
      </c>
      <c r="AT2707" s="10" t="str">
        <f>IF(AND(I2707="TN",S2707&lt;=2800),VLOOKUP(AF2707,TNCalibEq2500!$AZ$2:$BB$56,3,),IF(AND(I2707="TDN",S2707&lt;=2800),VLOOKUP(AF2707,TNCalibEq2500!$AZ$2:$BB$56,3,)))</f>
        <v>y=-1.3255x2+193.01x-127.15</v>
      </c>
      <c r="AU2707" s="10" t="str">
        <f>IF(I2707="TP",VLOOKUP(AF2707,TPCalibEqFull!$AZ$2:$BB$56,3),IF(I2707="TDP",VLOOKUP(AF2707,TPCalibEqFull!$AZ$2:$BB$56,3),IF(I2707="TDN",VLOOKUP(AF2707,TNCalibEqFull!$AZ$1:$BB$56,3),IF(I2707="TN",VLOOKUP(AF2707,TNCalibEqFull!$AZ$1:$BB$56,3),FALSE))))</f>
        <v>y=-0.215x2+181.97x-117.15</v>
      </c>
      <c r="AV2707" s="10" t="str">
        <f t="shared" si="310"/>
        <v>0208 10:37:20-EMB-10-FIL-1-SW-UKN</v>
      </c>
    </row>
    <row r="2708" spans="1:48" s="10" customFormat="1" x14ac:dyDescent="0.55000000000000004">
      <c r="A2708" s="32">
        <v>44965</v>
      </c>
      <c r="B2708" s="33">
        <v>0.44490740740740736</v>
      </c>
      <c r="C2708" s="10" t="s">
        <v>646</v>
      </c>
      <c r="D2708" s="10">
        <v>20</v>
      </c>
      <c r="E2708" s="10" t="s">
        <v>911</v>
      </c>
      <c r="F2708" s="10">
        <v>1</v>
      </c>
      <c r="G2708" s="10" t="s">
        <v>231</v>
      </c>
      <c r="H2708" s="10" t="s">
        <v>322</v>
      </c>
      <c r="I2708" s="10" t="s">
        <v>224</v>
      </c>
      <c r="J2708" s="10">
        <v>101</v>
      </c>
      <c r="K2708" s="12">
        <v>44967</v>
      </c>
      <c r="L2708" s="33">
        <v>0.49762731481481487</v>
      </c>
      <c r="M2708" s="10">
        <v>1</v>
      </c>
      <c r="N2708" s="10" t="s">
        <v>196</v>
      </c>
      <c r="O2708" s="10">
        <v>7.18</v>
      </c>
      <c r="P2708" s="10">
        <v>0.35099999999999998</v>
      </c>
      <c r="Q2708" s="10">
        <v>1160</v>
      </c>
      <c r="R2708" s="10" t="s">
        <v>170</v>
      </c>
      <c r="S2708" s="34">
        <f t="shared" si="307"/>
        <v>1190.3290937999998</v>
      </c>
      <c r="T2708" s="10" t="s">
        <v>1185</v>
      </c>
      <c r="U2708" s="34" t="str">
        <f t="shared" si="308"/>
        <v/>
      </c>
      <c r="V2708" s="31" t="str">
        <f>IF(H2708="CHK",VLOOKUP(I2708,QCCHK,3,),IF(H2708="GUP",VLOOKUP(E2708,QCGUP,2,),IF(AND(H2708="ATP",OR(I2708="TN",I2708="TDN",I2708="TNO2-3",I2708="NO2-3")),VLOOKUP(E2708,QCREC_N,2,),IF(AND(H2708="NIC",OR(I2708="TN",I2708="TDN",I2708="TNO2-3",I2708="NO2-3")),VLOOKUP(E2708,QCNIC_N,2,),IF(AND(H2708="UREA",OR(I2708="TN",I2708="TDN",I2708="TNO2-3",I2708="NO2-3")),VLOOKUP(E2708,QCUREA_N,2,),IF(H2708="PER",VLOOKUP(I2708,QCPER,MATCH(E2708,QCACTUAL!$J$25:$AA$25,0),),IF(H2708="SPK",VLOOKUP(I2708,QCSPK,3,),IF(AND(H2708="ATP",OR(I2708="TP",I2708="TDP")),VLOOKUP(E2708,QCATP_P,2,),""))))))))</f>
        <v/>
      </c>
      <c r="W2708" s="31" t="str">
        <f t="shared" si="309"/>
        <v>TRUE</v>
      </c>
      <c r="X2708" s="31" t="str">
        <f t="shared" si="306"/>
        <v/>
      </c>
      <c r="Y2708" s="10" t="s">
        <v>1178</v>
      </c>
      <c r="AF2708" s="12">
        <v>44967</v>
      </c>
      <c r="AJ2708" s="10">
        <f>-1.3255*7.18^2+193.01*7.18-127.15</f>
        <v>1190.3290937999998</v>
      </c>
      <c r="AK2708" s="10">
        <f>-0.215*7.18^2+181.97*7.18-117.15</f>
        <v>1178.3108339999999</v>
      </c>
      <c r="AL2708" s="10" t="str">
        <f t="shared" si="304"/>
        <v>FALSE</v>
      </c>
      <c r="AM2708" s="10" t="str">
        <f t="shared" si="304"/>
        <v>FALSE</v>
      </c>
      <c r="AN2708" s="10" t="str">
        <f t="shared" si="304"/>
        <v>FALSE</v>
      </c>
      <c r="AO2708" s="10" t="str">
        <f t="shared" si="305"/>
        <v>y=-1.3255*7.18^2+193.01*7.18-127.15</v>
      </c>
      <c r="AP2708" s="10" t="str">
        <f t="shared" si="305"/>
        <v>y=-0.215*7.18^2+181.97*7.18-117.15</v>
      </c>
      <c r="AQ2708" s="10" t="b">
        <f>IF(AND(I2708="TP",S2708&lt;=150),VLOOKUP(AF2708,TPCalibEq150!$AZ$2:$BB$55,3,),IF(AND(I2708="TDP",S2708&lt;=150),VLOOKUP(AF2708,TPCalibEq150!$AZ$2:$BB$55,3,)))</f>
        <v>0</v>
      </c>
      <c r="AR2708" s="10" t="b">
        <f>IF(AND(I2708="TP",S2708&lt;=300),VLOOKUP(AF2708,TPCalibEq300!$AZ$2:$BB$55,3,),IF(AND(I2708="TDP",S2708&lt;=300),VLOOKUP(AF2708,TPCalibEq300!$AZ$2:$BB$55,3,)))</f>
        <v>0</v>
      </c>
      <c r="AS2708" s="10" t="b">
        <f>IF(AND(I2708="TP",S2708&lt;=500),VLOOKUP(AF2708,TPCalibEq500!$AZ$2:$BB$56,3,),IF(AND(I2708="TDP",S2708&lt;=500),VLOOKUP(AF2708,TPCalibEq500!$AZ$2:$BB$56,3,)))</f>
        <v>0</v>
      </c>
      <c r="AT2708" s="10" t="str">
        <f>IF(AND(I2708="TN",S2708&lt;=2800),VLOOKUP(AF2708,TNCalibEq2500!$AZ$2:$BB$56,3,),IF(AND(I2708="TDN",S2708&lt;=2800),VLOOKUP(AF2708,TNCalibEq2500!$AZ$2:$BB$56,3,)))</f>
        <v>y=-1.3255x2+193.01x-127.15</v>
      </c>
      <c r="AU2708" s="10" t="str">
        <f>IF(I2708="TP",VLOOKUP(AF2708,TPCalibEqFull!$AZ$2:$BB$56,3),IF(I2708="TDP",VLOOKUP(AF2708,TPCalibEqFull!$AZ$2:$BB$56,3),IF(I2708="TDN",VLOOKUP(AF2708,TNCalibEqFull!$AZ$1:$BB$56,3),IF(I2708="TN",VLOOKUP(AF2708,TNCalibEqFull!$AZ$1:$BB$56,3),FALSE))))</f>
        <v>y=-0.215x2+181.97x-117.15</v>
      </c>
      <c r="AV2708" s="10" t="str">
        <f t="shared" si="310"/>
        <v>0208 10:40:40-EMB-20-FIL-1-SW-UKN</v>
      </c>
    </row>
    <row r="2709" spans="1:48" s="10" customFormat="1" x14ac:dyDescent="0.55000000000000004">
      <c r="A2709" s="32">
        <v>44965</v>
      </c>
      <c r="B2709" s="33">
        <v>0.44780092592592591</v>
      </c>
      <c r="C2709" s="10" t="s">
        <v>646</v>
      </c>
      <c r="D2709" s="10">
        <v>69</v>
      </c>
      <c r="E2709" s="10" t="s">
        <v>911</v>
      </c>
      <c r="F2709" s="10">
        <v>1</v>
      </c>
      <c r="G2709" s="10" t="s">
        <v>231</v>
      </c>
      <c r="H2709" s="10" t="s">
        <v>322</v>
      </c>
      <c r="I2709" s="10" t="s">
        <v>224</v>
      </c>
      <c r="J2709" s="10">
        <v>102</v>
      </c>
      <c r="K2709" s="12">
        <v>44967</v>
      </c>
      <c r="L2709" s="33">
        <v>0.49828703703703708</v>
      </c>
      <c r="M2709" s="10">
        <v>1</v>
      </c>
      <c r="N2709" s="10" t="s">
        <v>196</v>
      </c>
      <c r="O2709" s="10">
        <v>7.55</v>
      </c>
      <c r="P2709" s="10">
        <v>0.37</v>
      </c>
      <c r="Q2709" s="10">
        <v>1230</v>
      </c>
      <c r="R2709" s="10" t="s">
        <v>170</v>
      </c>
      <c r="S2709" s="34">
        <f t="shared" si="307"/>
        <v>1254.5186862499997</v>
      </c>
      <c r="T2709" s="10" t="s">
        <v>1185</v>
      </c>
      <c r="U2709" s="34" t="str">
        <f t="shared" si="308"/>
        <v/>
      </c>
      <c r="V2709" s="31" t="str">
        <f>IF(H2709="CHK",VLOOKUP(I2709,QCCHK,3,),IF(H2709="GUP",VLOOKUP(E2709,QCGUP,2,),IF(AND(H2709="ATP",OR(I2709="TN",I2709="TDN",I2709="TNO2-3",I2709="NO2-3")),VLOOKUP(E2709,QCREC_N,2,),IF(AND(H2709="NIC",OR(I2709="TN",I2709="TDN",I2709="TNO2-3",I2709="NO2-3")),VLOOKUP(E2709,QCNIC_N,2,),IF(AND(H2709="UREA",OR(I2709="TN",I2709="TDN",I2709="TNO2-3",I2709="NO2-3")),VLOOKUP(E2709,QCUREA_N,2,),IF(H2709="PER",VLOOKUP(I2709,QCPER,MATCH(E2709,QCACTUAL!$J$25:$AA$25,0),),IF(H2709="SPK",VLOOKUP(I2709,QCSPK,3,),IF(AND(H2709="ATP",OR(I2709="TP",I2709="TDP")),VLOOKUP(E2709,QCATP_P,2,),""))))))))</f>
        <v/>
      </c>
      <c r="W2709" s="31" t="str">
        <f t="shared" si="309"/>
        <v>TRUE</v>
      </c>
      <c r="X2709" s="31" t="str">
        <f t="shared" si="306"/>
        <v/>
      </c>
      <c r="Y2709" s="10" t="s">
        <v>1178</v>
      </c>
      <c r="AF2709" s="12">
        <v>44967</v>
      </c>
      <c r="AJ2709" s="10">
        <f>-1.3255*7.55^2+193.01*7.55-127.15</f>
        <v>1254.5186862499997</v>
      </c>
      <c r="AK2709" s="10">
        <f>-0.215*7.55^2+181.97*7.55-117.15</f>
        <v>1244.4679624999999</v>
      </c>
      <c r="AL2709" s="10" t="str">
        <f t="shared" si="304"/>
        <v>FALSE</v>
      </c>
      <c r="AM2709" s="10" t="str">
        <f t="shared" si="304"/>
        <v>FALSE</v>
      </c>
      <c r="AN2709" s="10" t="str">
        <f t="shared" si="304"/>
        <v>FALSE</v>
      </c>
      <c r="AO2709" s="10" t="str">
        <f t="shared" si="305"/>
        <v>y=-1.3255*7.55^2+193.01*7.55-127.15</v>
      </c>
      <c r="AP2709" s="10" t="str">
        <f t="shared" si="305"/>
        <v>y=-0.215*7.55^2+181.97*7.55-117.15</v>
      </c>
      <c r="AQ2709" s="10" t="b">
        <f>IF(AND(I2709="TP",S2709&lt;=150),VLOOKUP(AF2709,TPCalibEq150!$AZ$2:$BB$55,3,),IF(AND(I2709="TDP",S2709&lt;=150),VLOOKUP(AF2709,TPCalibEq150!$AZ$2:$BB$55,3,)))</f>
        <v>0</v>
      </c>
      <c r="AR2709" s="10" t="b">
        <f>IF(AND(I2709="TP",S2709&lt;=300),VLOOKUP(AF2709,TPCalibEq300!$AZ$2:$BB$55,3,),IF(AND(I2709="TDP",S2709&lt;=300),VLOOKUP(AF2709,TPCalibEq300!$AZ$2:$BB$55,3,)))</f>
        <v>0</v>
      </c>
      <c r="AS2709" s="10" t="b">
        <f>IF(AND(I2709="TP",S2709&lt;=500),VLOOKUP(AF2709,TPCalibEq500!$AZ$2:$BB$56,3,),IF(AND(I2709="TDP",S2709&lt;=500),VLOOKUP(AF2709,TPCalibEq500!$AZ$2:$BB$56,3,)))</f>
        <v>0</v>
      </c>
      <c r="AT2709" s="10" t="str">
        <f>IF(AND(I2709="TN",S2709&lt;=2800),VLOOKUP(AF2709,TNCalibEq2500!$AZ$2:$BB$56,3,),IF(AND(I2709="TDN",S2709&lt;=2800),VLOOKUP(AF2709,TNCalibEq2500!$AZ$2:$BB$56,3,)))</f>
        <v>y=-1.3255x2+193.01x-127.15</v>
      </c>
      <c r="AU2709" s="10" t="str">
        <f>IF(I2709="TP",VLOOKUP(AF2709,TPCalibEqFull!$AZ$2:$BB$56,3),IF(I2709="TDP",VLOOKUP(AF2709,TPCalibEqFull!$AZ$2:$BB$56,3),IF(I2709="TDN",VLOOKUP(AF2709,TNCalibEqFull!$AZ$1:$BB$56,3),IF(I2709="TN",VLOOKUP(AF2709,TNCalibEqFull!$AZ$1:$BB$56,3),FALSE))))</f>
        <v>y=-0.215x2+181.97x-117.15</v>
      </c>
      <c r="AV2709" s="10" t="str">
        <f t="shared" si="310"/>
        <v>0208 10:44:50-EMB-69-FIL-1-SW-UKN</v>
      </c>
    </row>
    <row r="2710" spans="1:48" s="10" customFormat="1" x14ac:dyDescent="0.55000000000000004">
      <c r="A2710" s="32">
        <v>44965</v>
      </c>
      <c r="B2710" s="33">
        <v>0.39953703703703702</v>
      </c>
      <c r="C2710" s="10" t="s">
        <v>287</v>
      </c>
      <c r="D2710" s="10">
        <v>0</v>
      </c>
      <c r="E2710" s="10" t="s">
        <v>911</v>
      </c>
      <c r="F2710" s="10">
        <v>1</v>
      </c>
      <c r="G2710" s="10" t="s">
        <v>231</v>
      </c>
      <c r="H2710" s="10" t="s">
        <v>322</v>
      </c>
      <c r="I2710" s="10" t="s">
        <v>224</v>
      </c>
      <c r="J2710" s="10">
        <v>103</v>
      </c>
      <c r="K2710" s="12">
        <v>44967</v>
      </c>
      <c r="L2710" s="33">
        <v>0.4989467592592593</v>
      </c>
      <c r="M2710" s="10">
        <v>1</v>
      </c>
      <c r="N2710" s="10" t="s">
        <v>196</v>
      </c>
      <c r="O2710" s="10">
        <v>7.01</v>
      </c>
      <c r="P2710" s="10">
        <v>0.34300000000000003</v>
      </c>
      <c r="Q2710" s="10">
        <v>1130</v>
      </c>
      <c r="R2710" s="10" t="s">
        <v>170</v>
      </c>
      <c r="S2710" s="34">
        <f t="shared" si="307"/>
        <v>1160.7148974499999</v>
      </c>
      <c r="T2710" s="10" t="s">
        <v>1185</v>
      </c>
      <c r="U2710" s="34" t="str">
        <f t="shared" si="308"/>
        <v/>
      </c>
      <c r="V2710" s="31" t="str">
        <f>IF(H2710="CHK",VLOOKUP(I2710,QCCHK,3,),IF(H2710="GUP",VLOOKUP(E2710,QCGUP,2,),IF(AND(H2710="ATP",OR(I2710="TN",I2710="TDN",I2710="TNO2-3",I2710="NO2-3")),VLOOKUP(E2710,QCREC_N,2,),IF(AND(H2710="NIC",OR(I2710="TN",I2710="TDN",I2710="TNO2-3",I2710="NO2-3")),VLOOKUP(E2710,QCNIC_N,2,),IF(AND(H2710="UREA",OR(I2710="TN",I2710="TDN",I2710="TNO2-3",I2710="NO2-3")),VLOOKUP(E2710,QCUREA_N,2,),IF(H2710="PER",VLOOKUP(I2710,QCPER,MATCH(E2710,QCACTUAL!$J$25:$AA$25,0),),IF(H2710="SPK",VLOOKUP(I2710,QCSPK,3,),IF(AND(H2710="ATP",OR(I2710="TP",I2710="TDP")),VLOOKUP(E2710,QCATP_P,2,),""))))))))</f>
        <v/>
      </c>
      <c r="W2710" s="31" t="str">
        <f t="shared" si="309"/>
        <v>TRUE</v>
      </c>
      <c r="X2710" s="31" t="str">
        <f t="shared" si="306"/>
        <v/>
      </c>
      <c r="Y2710" s="10" t="s">
        <v>1178</v>
      </c>
      <c r="AF2710" s="12">
        <v>44967</v>
      </c>
      <c r="AJ2710" s="10">
        <f>-1.3255*7.01^2+193.01*7.01-127.15</f>
        <v>1160.7148974499999</v>
      </c>
      <c r="AK2710" s="10">
        <f>-0.215*7.01^2+181.97*7.01-117.15</f>
        <v>1147.8945784999999</v>
      </c>
      <c r="AL2710" s="10" t="str">
        <f t="shared" si="304"/>
        <v>FALSE</v>
      </c>
      <c r="AM2710" s="10" t="str">
        <f t="shared" si="304"/>
        <v>FALSE</v>
      </c>
      <c r="AN2710" s="10" t="str">
        <f t="shared" si="304"/>
        <v>FALSE</v>
      </c>
      <c r="AO2710" s="10" t="str">
        <f t="shared" si="305"/>
        <v>y=-1.3255*7.01^2+193.01*7.01-127.15</v>
      </c>
      <c r="AP2710" s="10" t="str">
        <f t="shared" si="305"/>
        <v>y=-0.215*7.01^2+181.97*7.01-117.15</v>
      </c>
      <c r="AQ2710" s="10" t="b">
        <f>IF(AND(I2710="TP",S2710&lt;=150),VLOOKUP(AF2710,TPCalibEq150!$AZ$2:$BB$55,3,),IF(AND(I2710="TDP",S2710&lt;=150),VLOOKUP(AF2710,TPCalibEq150!$AZ$2:$BB$55,3,)))</f>
        <v>0</v>
      </c>
      <c r="AR2710" s="10" t="b">
        <f>IF(AND(I2710="TP",S2710&lt;=300),VLOOKUP(AF2710,TPCalibEq300!$AZ$2:$BB$55,3,),IF(AND(I2710="TDP",S2710&lt;=300),VLOOKUP(AF2710,TPCalibEq300!$AZ$2:$BB$55,3,)))</f>
        <v>0</v>
      </c>
      <c r="AS2710" s="10" t="b">
        <f>IF(AND(I2710="TP",S2710&lt;=500),VLOOKUP(AF2710,TPCalibEq500!$AZ$2:$BB$56,3,),IF(AND(I2710="TDP",S2710&lt;=500),VLOOKUP(AF2710,TPCalibEq500!$AZ$2:$BB$56,3,)))</f>
        <v>0</v>
      </c>
      <c r="AT2710" s="10" t="str">
        <f>IF(AND(I2710="TN",S2710&lt;=2800),VLOOKUP(AF2710,TNCalibEq2500!$AZ$2:$BB$56,3,),IF(AND(I2710="TDN",S2710&lt;=2800),VLOOKUP(AF2710,TNCalibEq2500!$AZ$2:$BB$56,3,)))</f>
        <v>y=-1.3255x2+193.01x-127.15</v>
      </c>
      <c r="AU2710" s="10" t="str">
        <f>IF(I2710="TP",VLOOKUP(AF2710,TPCalibEqFull!$AZ$2:$BB$56,3),IF(I2710="TDP",VLOOKUP(AF2710,TPCalibEqFull!$AZ$2:$BB$56,3),IF(I2710="TDN",VLOOKUP(AF2710,TNCalibEqFull!$AZ$1:$BB$56,3),IF(I2710="TN",VLOOKUP(AF2710,TNCalibEqFull!$AZ$1:$BB$56,3),FALSE))))</f>
        <v>y=-0.215x2+181.97x-117.15</v>
      </c>
      <c r="AV2710" s="10" t="str">
        <f t="shared" si="310"/>
        <v>0208 09:35:20-EFL-0-FIL-1-SW-UKN</v>
      </c>
    </row>
    <row r="2711" spans="1:48" s="10" customFormat="1" x14ac:dyDescent="0.55000000000000004">
      <c r="A2711" s="32">
        <v>44965</v>
      </c>
      <c r="B2711" s="33">
        <v>0.40185185185185185</v>
      </c>
      <c r="C2711" s="10" t="s">
        <v>287</v>
      </c>
      <c r="D2711" s="10">
        <v>5</v>
      </c>
      <c r="E2711" s="10" t="s">
        <v>911</v>
      </c>
      <c r="F2711" s="10">
        <v>1</v>
      </c>
      <c r="G2711" s="10" t="s">
        <v>231</v>
      </c>
      <c r="H2711" s="10" t="s">
        <v>322</v>
      </c>
      <c r="I2711" s="10" t="s">
        <v>224</v>
      </c>
      <c r="J2711" s="10">
        <v>104</v>
      </c>
      <c r="K2711" s="12">
        <v>44967</v>
      </c>
      <c r="L2711" s="33">
        <v>0.49960648148148151</v>
      </c>
      <c r="M2711" s="10">
        <v>1</v>
      </c>
      <c r="N2711" s="10" t="s">
        <v>196</v>
      </c>
      <c r="O2711" s="10">
        <v>6.91</v>
      </c>
      <c r="P2711" s="10">
        <v>0.33900000000000002</v>
      </c>
      <c r="Q2711" s="10">
        <v>1120</v>
      </c>
      <c r="R2711" s="10" t="s">
        <v>170</v>
      </c>
      <c r="S2711" s="34">
        <f t="shared" si="307"/>
        <v>1143.2589934499999</v>
      </c>
      <c r="T2711" s="10" t="s">
        <v>1185</v>
      </c>
      <c r="U2711" s="34" t="str">
        <f t="shared" si="308"/>
        <v/>
      </c>
      <c r="V2711" s="31" t="str">
        <f>IF(H2711="CHK",VLOOKUP(I2711,QCCHK,3,),IF(H2711="GUP",VLOOKUP(E2711,QCGUP,2,),IF(AND(H2711="ATP",OR(I2711="TN",I2711="TDN",I2711="TNO2-3",I2711="NO2-3")),VLOOKUP(E2711,QCREC_N,2,),IF(AND(H2711="NIC",OR(I2711="TN",I2711="TDN",I2711="TNO2-3",I2711="NO2-3")),VLOOKUP(E2711,QCNIC_N,2,),IF(AND(H2711="UREA",OR(I2711="TN",I2711="TDN",I2711="TNO2-3",I2711="NO2-3")),VLOOKUP(E2711,QCUREA_N,2,),IF(H2711="PER",VLOOKUP(I2711,QCPER,MATCH(E2711,QCACTUAL!$J$25:$AA$25,0),),IF(H2711="SPK",VLOOKUP(I2711,QCSPK,3,),IF(AND(H2711="ATP",OR(I2711="TP",I2711="TDP")),VLOOKUP(E2711,QCATP_P,2,),""))))))))</f>
        <v/>
      </c>
      <c r="W2711" s="31" t="str">
        <f t="shared" si="309"/>
        <v>TRUE</v>
      </c>
      <c r="X2711" s="31" t="str">
        <f t="shared" si="306"/>
        <v/>
      </c>
      <c r="Y2711" s="10" t="s">
        <v>1178</v>
      </c>
      <c r="AF2711" s="12">
        <v>44967</v>
      </c>
      <c r="AJ2711" s="10">
        <f>-1.3255*6.91^2+193.01*6.91-127.15</f>
        <v>1143.2589934499999</v>
      </c>
      <c r="AK2711" s="10">
        <f>-0.215*6.91^2+181.97*6.91-117.15</f>
        <v>1129.9968584999999</v>
      </c>
      <c r="AL2711" s="10" t="str">
        <f t="shared" si="304"/>
        <v>FALSE</v>
      </c>
      <c r="AM2711" s="10" t="str">
        <f t="shared" si="304"/>
        <v>FALSE</v>
      </c>
      <c r="AN2711" s="10" t="str">
        <f t="shared" si="304"/>
        <v>FALSE</v>
      </c>
      <c r="AO2711" s="10" t="str">
        <f t="shared" si="305"/>
        <v>y=-1.3255*6.91^2+193.01*6.91-127.15</v>
      </c>
      <c r="AP2711" s="10" t="str">
        <f t="shared" si="305"/>
        <v>y=-0.215*6.91^2+181.97*6.91-117.15</v>
      </c>
      <c r="AQ2711" s="10" t="b">
        <f>IF(AND(I2711="TP",S2711&lt;=150),VLOOKUP(AF2711,TPCalibEq150!$AZ$2:$BB$55,3,),IF(AND(I2711="TDP",S2711&lt;=150),VLOOKUP(AF2711,TPCalibEq150!$AZ$2:$BB$55,3,)))</f>
        <v>0</v>
      </c>
      <c r="AR2711" s="10" t="b">
        <f>IF(AND(I2711="TP",S2711&lt;=300),VLOOKUP(AF2711,TPCalibEq300!$AZ$2:$BB$55,3,),IF(AND(I2711="TDP",S2711&lt;=300),VLOOKUP(AF2711,TPCalibEq300!$AZ$2:$BB$55,3,)))</f>
        <v>0</v>
      </c>
      <c r="AS2711" s="10" t="b">
        <f>IF(AND(I2711="TP",S2711&lt;=500),VLOOKUP(AF2711,TPCalibEq500!$AZ$2:$BB$56,3,),IF(AND(I2711="TDP",S2711&lt;=500),VLOOKUP(AF2711,TPCalibEq500!$AZ$2:$BB$56,3,)))</f>
        <v>0</v>
      </c>
      <c r="AT2711" s="10" t="str">
        <f>IF(AND(I2711="TN",S2711&lt;=2800),VLOOKUP(AF2711,TNCalibEq2500!$AZ$2:$BB$56,3,),IF(AND(I2711="TDN",S2711&lt;=2800),VLOOKUP(AF2711,TNCalibEq2500!$AZ$2:$BB$56,3,)))</f>
        <v>y=-1.3255x2+193.01x-127.15</v>
      </c>
      <c r="AU2711" s="10" t="str">
        <f>IF(I2711="TP",VLOOKUP(AF2711,TPCalibEqFull!$AZ$2:$BB$56,3),IF(I2711="TDP",VLOOKUP(AF2711,TPCalibEqFull!$AZ$2:$BB$56,3),IF(I2711="TDN",VLOOKUP(AF2711,TNCalibEqFull!$AZ$1:$BB$56,3),IF(I2711="TN",VLOOKUP(AF2711,TNCalibEqFull!$AZ$1:$BB$56,3),FALSE))))</f>
        <v>y=-0.215x2+181.97x-117.15</v>
      </c>
      <c r="AV2711" s="10" t="str">
        <f t="shared" si="310"/>
        <v>0208 09:38:40-EFL-5-FIL-1-SW-UKN</v>
      </c>
    </row>
    <row r="2712" spans="1:48" s="10" customFormat="1" x14ac:dyDescent="0.55000000000000004">
      <c r="A2712" s="32">
        <v>44965</v>
      </c>
      <c r="B2712" s="33">
        <v>0.40416666666666662</v>
      </c>
      <c r="C2712" s="10" t="s">
        <v>287</v>
      </c>
      <c r="D2712" s="10">
        <v>10</v>
      </c>
      <c r="E2712" s="10" t="s">
        <v>911</v>
      </c>
      <c r="F2712" s="10">
        <v>1</v>
      </c>
      <c r="G2712" s="10" t="s">
        <v>231</v>
      </c>
      <c r="H2712" s="10" t="s">
        <v>322</v>
      </c>
      <c r="I2712" s="10" t="s">
        <v>224</v>
      </c>
      <c r="J2712" s="10">
        <v>105</v>
      </c>
      <c r="K2712" s="12">
        <v>44967</v>
      </c>
      <c r="L2712" s="33">
        <v>0.50027777777777771</v>
      </c>
      <c r="M2712" s="10">
        <v>1</v>
      </c>
      <c r="N2712" s="10" t="s">
        <v>196</v>
      </c>
      <c r="O2712" s="10">
        <v>6.63</v>
      </c>
      <c r="P2712" s="10">
        <v>0.32500000000000001</v>
      </c>
      <c r="Q2712" s="10">
        <v>1070</v>
      </c>
      <c r="R2712" s="10" t="s">
        <v>170</v>
      </c>
      <c r="S2712" s="34">
        <f t="shared" si="307"/>
        <v>1094.2414290499999</v>
      </c>
      <c r="T2712" s="10" t="s">
        <v>1185</v>
      </c>
      <c r="U2712" s="34" t="str">
        <f t="shared" si="308"/>
        <v/>
      </c>
      <c r="V2712" s="31" t="str">
        <f>IF(H2712="CHK",VLOOKUP(I2712,QCCHK,3,),IF(H2712="GUP",VLOOKUP(E2712,QCGUP,2,),IF(AND(H2712="ATP",OR(I2712="TN",I2712="TDN",I2712="TNO2-3",I2712="NO2-3")),VLOOKUP(E2712,QCREC_N,2,),IF(AND(H2712="NIC",OR(I2712="TN",I2712="TDN",I2712="TNO2-3",I2712="NO2-3")),VLOOKUP(E2712,QCNIC_N,2,),IF(AND(H2712="UREA",OR(I2712="TN",I2712="TDN",I2712="TNO2-3",I2712="NO2-3")),VLOOKUP(E2712,QCUREA_N,2,),IF(H2712="PER",VLOOKUP(I2712,QCPER,MATCH(E2712,QCACTUAL!$J$25:$AA$25,0),),IF(H2712="SPK",VLOOKUP(I2712,QCSPK,3,),IF(AND(H2712="ATP",OR(I2712="TP",I2712="TDP")),VLOOKUP(E2712,QCATP_P,2,),""))))))))</f>
        <v/>
      </c>
      <c r="W2712" s="31" t="str">
        <f t="shared" si="309"/>
        <v>TRUE</v>
      </c>
      <c r="X2712" s="31" t="str">
        <f t="shared" si="306"/>
        <v/>
      </c>
      <c r="Y2712" s="10" t="s">
        <v>1178</v>
      </c>
      <c r="AF2712" s="12">
        <v>44967</v>
      </c>
      <c r="AJ2712" s="10">
        <f>-1.3255*6.63^2+193.01*6.63-127.15</f>
        <v>1094.2414290499999</v>
      </c>
      <c r="AK2712" s="10">
        <f>-0.215*6.63^2+181.97*6.63-117.15</f>
        <v>1079.8603664999998</v>
      </c>
      <c r="AL2712" s="10" t="str">
        <f t="shared" si="304"/>
        <v>FALSE</v>
      </c>
      <c r="AM2712" s="10" t="str">
        <f t="shared" si="304"/>
        <v>FALSE</v>
      </c>
      <c r="AN2712" s="10" t="str">
        <f t="shared" si="304"/>
        <v>FALSE</v>
      </c>
      <c r="AO2712" s="10" t="str">
        <f t="shared" si="305"/>
        <v>y=-1.3255*6.63^2+193.01*6.63-127.15</v>
      </c>
      <c r="AP2712" s="10" t="str">
        <f t="shared" si="305"/>
        <v>y=-0.215*6.63^2+181.97*6.63-117.15</v>
      </c>
      <c r="AQ2712" s="10" t="b">
        <f>IF(AND(I2712="TP",S2712&lt;=150),VLOOKUP(AF2712,TPCalibEq150!$AZ$2:$BB$55,3,),IF(AND(I2712="TDP",S2712&lt;=150),VLOOKUP(AF2712,TPCalibEq150!$AZ$2:$BB$55,3,)))</f>
        <v>0</v>
      </c>
      <c r="AR2712" s="10" t="b">
        <f>IF(AND(I2712="TP",S2712&lt;=300),VLOOKUP(AF2712,TPCalibEq300!$AZ$2:$BB$55,3,),IF(AND(I2712="TDP",S2712&lt;=300),VLOOKUP(AF2712,TPCalibEq300!$AZ$2:$BB$55,3,)))</f>
        <v>0</v>
      </c>
      <c r="AS2712" s="10" t="b">
        <f>IF(AND(I2712="TP",S2712&lt;=500),VLOOKUP(AF2712,TPCalibEq500!$AZ$2:$BB$56,3,),IF(AND(I2712="TDP",S2712&lt;=500),VLOOKUP(AF2712,TPCalibEq500!$AZ$2:$BB$56,3,)))</f>
        <v>0</v>
      </c>
      <c r="AT2712" s="10" t="str">
        <f>IF(AND(I2712="TN",S2712&lt;=2800),VLOOKUP(AF2712,TNCalibEq2500!$AZ$2:$BB$56,3,),IF(AND(I2712="TDN",S2712&lt;=2800),VLOOKUP(AF2712,TNCalibEq2500!$AZ$2:$BB$56,3,)))</f>
        <v>y=-1.3255x2+193.01x-127.15</v>
      </c>
      <c r="AU2712" s="10" t="str">
        <f>IF(I2712="TP",VLOOKUP(AF2712,TPCalibEqFull!$AZ$2:$BB$56,3),IF(I2712="TDP",VLOOKUP(AF2712,TPCalibEqFull!$AZ$2:$BB$56,3),IF(I2712="TDN",VLOOKUP(AF2712,TNCalibEqFull!$AZ$1:$BB$56,3),IF(I2712="TN",VLOOKUP(AF2712,TNCalibEqFull!$AZ$1:$BB$56,3),FALSE))))</f>
        <v>y=-0.215x2+181.97x-117.15</v>
      </c>
      <c r="AV2712" s="10" t="str">
        <f t="shared" si="310"/>
        <v>0208 09:42:00-EFL-10-FIL-1-SW-UKN</v>
      </c>
    </row>
    <row r="2713" spans="1:48" s="10" customFormat="1" x14ac:dyDescent="0.55000000000000004">
      <c r="A2713" s="32">
        <v>44965</v>
      </c>
      <c r="B2713" s="33">
        <v>0.4069444444444445</v>
      </c>
      <c r="C2713" s="10" t="s">
        <v>287</v>
      </c>
      <c r="D2713" s="10">
        <v>20</v>
      </c>
      <c r="E2713" s="10" t="s">
        <v>911</v>
      </c>
      <c r="F2713" s="10">
        <v>1</v>
      </c>
      <c r="G2713" s="10" t="s">
        <v>231</v>
      </c>
      <c r="H2713" s="10" t="s">
        <v>322</v>
      </c>
      <c r="I2713" s="10" t="s">
        <v>224</v>
      </c>
      <c r="J2713" s="10">
        <v>106</v>
      </c>
      <c r="K2713" s="12">
        <v>44967</v>
      </c>
      <c r="L2713" s="33">
        <v>0.50096064814814811</v>
      </c>
      <c r="M2713" s="10">
        <v>1</v>
      </c>
      <c r="N2713" s="10" t="s">
        <v>196</v>
      </c>
      <c r="O2713" s="10">
        <v>7.16</v>
      </c>
      <c r="P2713" s="10">
        <v>0.35099999999999998</v>
      </c>
      <c r="Q2713" s="10">
        <v>1160</v>
      </c>
      <c r="R2713" s="10" t="s">
        <v>170</v>
      </c>
      <c r="S2713" s="34">
        <f t="shared" si="307"/>
        <v>1186.8490471999999</v>
      </c>
      <c r="T2713" s="10" t="s">
        <v>1185</v>
      </c>
      <c r="U2713" s="34" t="str">
        <f t="shared" si="308"/>
        <v/>
      </c>
      <c r="V2713" s="31" t="str">
        <f>IF(H2713="CHK",VLOOKUP(I2713,QCCHK,3,),IF(H2713="GUP",VLOOKUP(E2713,QCGUP,2,),IF(AND(H2713="ATP",OR(I2713="TN",I2713="TDN",I2713="TNO2-3",I2713="NO2-3")),VLOOKUP(E2713,QCREC_N,2,),IF(AND(H2713="NIC",OR(I2713="TN",I2713="TDN",I2713="TNO2-3",I2713="NO2-3")),VLOOKUP(E2713,QCNIC_N,2,),IF(AND(H2713="UREA",OR(I2713="TN",I2713="TDN",I2713="TNO2-3",I2713="NO2-3")),VLOOKUP(E2713,QCUREA_N,2,),IF(H2713="PER",VLOOKUP(I2713,QCPER,MATCH(E2713,QCACTUAL!$J$25:$AA$25,0),),IF(H2713="SPK",VLOOKUP(I2713,QCSPK,3,),IF(AND(H2713="ATP",OR(I2713="TP",I2713="TDP")),VLOOKUP(E2713,QCATP_P,2,),""))))))))</f>
        <v/>
      </c>
      <c r="W2713" s="31" t="str">
        <f t="shared" si="309"/>
        <v>TRUE</v>
      </c>
      <c r="X2713" s="31" t="str">
        <f t="shared" si="306"/>
        <v/>
      </c>
      <c r="Y2713" s="10" t="s">
        <v>1178</v>
      </c>
      <c r="AF2713" s="12">
        <v>44967</v>
      </c>
      <c r="AJ2713" s="10">
        <f>-1.3255*7.16^2+193.01*7.16-127.15</f>
        <v>1186.8490471999999</v>
      </c>
      <c r="AK2713" s="10">
        <f>-0.215*7.16^2+181.97*7.16-117.15</f>
        <v>1174.7330959999999</v>
      </c>
      <c r="AL2713" s="10" t="str">
        <f t="shared" si="304"/>
        <v>FALSE</v>
      </c>
      <c r="AM2713" s="10" t="str">
        <f t="shared" si="304"/>
        <v>FALSE</v>
      </c>
      <c r="AN2713" s="10" t="str">
        <f t="shared" si="304"/>
        <v>FALSE</v>
      </c>
      <c r="AO2713" s="10" t="str">
        <f t="shared" si="305"/>
        <v>y=-1.3255*7.16^2+193.01*7.16-127.15</v>
      </c>
      <c r="AP2713" s="10" t="str">
        <f t="shared" si="305"/>
        <v>y=-0.215*7.16^2+181.97*7.16-117.15</v>
      </c>
      <c r="AQ2713" s="10" t="b">
        <f>IF(AND(I2713="TP",S2713&lt;=150),VLOOKUP(AF2713,TPCalibEq150!$AZ$2:$BB$55,3,),IF(AND(I2713="TDP",S2713&lt;=150),VLOOKUP(AF2713,TPCalibEq150!$AZ$2:$BB$55,3,)))</f>
        <v>0</v>
      </c>
      <c r="AR2713" s="10" t="b">
        <f>IF(AND(I2713="TP",S2713&lt;=300),VLOOKUP(AF2713,TPCalibEq300!$AZ$2:$BB$55,3,),IF(AND(I2713="TDP",S2713&lt;=300),VLOOKUP(AF2713,TPCalibEq300!$AZ$2:$BB$55,3,)))</f>
        <v>0</v>
      </c>
      <c r="AS2713" s="10" t="b">
        <f>IF(AND(I2713="TP",S2713&lt;=500),VLOOKUP(AF2713,TPCalibEq500!$AZ$2:$BB$56,3,),IF(AND(I2713="TDP",S2713&lt;=500),VLOOKUP(AF2713,TPCalibEq500!$AZ$2:$BB$56,3,)))</f>
        <v>0</v>
      </c>
      <c r="AT2713" s="10" t="str">
        <f>IF(AND(I2713="TN",S2713&lt;=2800),VLOOKUP(AF2713,TNCalibEq2500!$AZ$2:$BB$56,3,),IF(AND(I2713="TDN",S2713&lt;=2800),VLOOKUP(AF2713,TNCalibEq2500!$AZ$2:$BB$56,3,)))</f>
        <v>y=-1.3255x2+193.01x-127.15</v>
      </c>
      <c r="AU2713" s="10" t="str">
        <f>IF(I2713="TP",VLOOKUP(AF2713,TPCalibEqFull!$AZ$2:$BB$56,3),IF(I2713="TDP",VLOOKUP(AF2713,TPCalibEqFull!$AZ$2:$BB$56,3),IF(I2713="TDN",VLOOKUP(AF2713,TNCalibEqFull!$AZ$1:$BB$56,3),IF(I2713="TN",VLOOKUP(AF2713,TNCalibEqFull!$AZ$1:$BB$56,3),FALSE))))</f>
        <v>y=-0.215x2+181.97x-117.15</v>
      </c>
      <c r="AV2713" s="10" t="str">
        <f t="shared" si="310"/>
        <v>0208 09:46:00-EFL-20-FIL-1-SW-UKN</v>
      </c>
    </row>
    <row r="2714" spans="1:48" s="10" customFormat="1" x14ac:dyDescent="0.55000000000000004">
      <c r="A2714" s="32">
        <v>44965</v>
      </c>
      <c r="B2714" s="33">
        <v>0.4069444444444445</v>
      </c>
      <c r="C2714" s="10" t="s">
        <v>287</v>
      </c>
      <c r="D2714" s="10">
        <v>20</v>
      </c>
      <c r="E2714" s="10" t="s">
        <v>911</v>
      </c>
      <c r="F2714" s="10">
        <v>2</v>
      </c>
      <c r="G2714" s="10" t="s">
        <v>231</v>
      </c>
      <c r="H2714" s="10" t="s">
        <v>322</v>
      </c>
      <c r="I2714" s="10" t="s">
        <v>224</v>
      </c>
      <c r="J2714" s="10">
        <v>107</v>
      </c>
      <c r="K2714" s="12">
        <v>44967</v>
      </c>
      <c r="L2714" s="33">
        <v>0.50163194444444448</v>
      </c>
      <c r="M2714" s="10">
        <v>1</v>
      </c>
      <c r="N2714" s="10" t="s">
        <v>196</v>
      </c>
      <c r="O2714" s="10">
        <v>7.32</v>
      </c>
      <c r="P2714" s="10">
        <v>0.35799999999999998</v>
      </c>
      <c r="Q2714" s="10">
        <v>1190</v>
      </c>
      <c r="R2714" s="10" t="s">
        <v>170</v>
      </c>
      <c r="S2714" s="34">
        <f t="shared" si="307"/>
        <v>1214.6597288</v>
      </c>
      <c r="T2714" s="10" t="s">
        <v>1185</v>
      </c>
      <c r="U2714" s="34" t="str">
        <f t="shared" si="308"/>
        <v/>
      </c>
      <c r="V2714" s="31" t="str">
        <f>IF(H2714="CHK",VLOOKUP(I2714,QCCHK,3,),IF(H2714="GUP",VLOOKUP(E2714,QCGUP,2,),IF(AND(H2714="ATP",OR(I2714="TN",I2714="TDN",I2714="TNO2-3",I2714="NO2-3")),VLOOKUP(E2714,QCREC_N,2,),IF(AND(H2714="NIC",OR(I2714="TN",I2714="TDN",I2714="TNO2-3",I2714="NO2-3")),VLOOKUP(E2714,QCNIC_N,2,),IF(AND(H2714="UREA",OR(I2714="TN",I2714="TDN",I2714="TNO2-3",I2714="NO2-3")),VLOOKUP(E2714,QCUREA_N,2,),IF(H2714="PER",VLOOKUP(I2714,QCPER,MATCH(E2714,QCACTUAL!$J$25:$AA$25,0),),IF(H2714="SPK",VLOOKUP(I2714,QCSPK,3,),IF(AND(H2714="ATP",OR(I2714="TP",I2714="TDP")),VLOOKUP(E2714,QCATP_P,2,),""))))))))</f>
        <v/>
      </c>
      <c r="W2714" s="31" t="str">
        <f t="shared" si="309"/>
        <v>TRUE</v>
      </c>
      <c r="X2714" s="31" t="str">
        <f t="shared" si="306"/>
        <v/>
      </c>
      <c r="Y2714" s="10" t="s">
        <v>1178</v>
      </c>
      <c r="AF2714" s="12">
        <v>44967</v>
      </c>
      <c r="AJ2714" s="10">
        <f>-1.3255*7.32^2+193.01*7.32-127.15</f>
        <v>1214.6597288</v>
      </c>
      <c r="AK2714" s="10">
        <f>-0.215*7.32^2+181.97*7.32-117.15</f>
        <v>1203.3501840000001</v>
      </c>
      <c r="AL2714" s="10" t="str">
        <f t="shared" si="304"/>
        <v>FALSE</v>
      </c>
      <c r="AM2714" s="10" t="str">
        <f t="shared" si="304"/>
        <v>FALSE</v>
      </c>
      <c r="AN2714" s="10" t="str">
        <f t="shared" si="304"/>
        <v>FALSE</v>
      </c>
      <c r="AO2714" s="10" t="str">
        <f t="shared" si="305"/>
        <v>y=-1.3255*7.32^2+193.01*7.32-127.15</v>
      </c>
      <c r="AP2714" s="10" t="str">
        <f t="shared" si="305"/>
        <v>y=-0.215*7.32^2+181.97*7.32-117.15</v>
      </c>
      <c r="AQ2714" s="10" t="b">
        <f>IF(AND(I2714="TP",S2714&lt;=150),VLOOKUP(AF2714,TPCalibEq150!$AZ$2:$BB$55,3,),IF(AND(I2714="TDP",S2714&lt;=150),VLOOKUP(AF2714,TPCalibEq150!$AZ$2:$BB$55,3,)))</f>
        <v>0</v>
      </c>
      <c r="AR2714" s="10" t="b">
        <f>IF(AND(I2714="TP",S2714&lt;=300),VLOOKUP(AF2714,TPCalibEq300!$AZ$2:$BB$55,3,),IF(AND(I2714="TDP",S2714&lt;=300),VLOOKUP(AF2714,TPCalibEq300!$AZ$2:$BB$55,3,)))</f>
        <v>0</v>
      </c>
      <c r="AS2714" s="10" t="b">
        <f>IF(AND(I2714="TP",S2714&lt;=500),VLOOKUP(AF2714,TPCalibEq500!$AZ$2:$BB$56,3,),IF(AND(I2714="TDP",S2714&lt;=500),VLOOKUP(AF2714,TPCalibEq500!$AZ$2:$BB$56,3,)))</f>
        <v>0</v>
      </c>
      <c r="AT2714" s="10" t="str">
        <f>IF(AND(I2714="TN",S2714&lt;=2800),VLOOKUP(AF2714,TNCalibEq2500!$AZ$2:$BB$56,3,),IF(AND(I2714="TDN",S2714&lt;=2800),VLOOKUP(AF2714,TNCalibEq2500!$AZ$2:$BB$56,3,)))</f>
        <v>y=-1.3255x2+193.01x-127.15</v>
      </c>
      <c r="AU2714" s="10" t="str">
        <f>IF(I2714="TP",VLOOKUP(AF2714,TPCalibEqFull!$AZ$2:$BB$56,3),IF(I2714="TDP",VLOOKUP(AF2714,TPCalibEqFull!$AZ$2:$BB$56,3),IF(I2714="TDN",VLOOKUP(AF2714,TNCalibEqFull!$AZ$1:$BB$56,3),IF(I2714="TN",VLOOKUP(AF2714,TNCalibEqFull!$AZ$1:$BB$56,3),FALSE))))</f>
        <v>y=-0.215x2+181.97x-117.15</v>
      </c>
      <c r="AV2714" s="10" t="str">
        <f t="shared" si="310"/>
        <v>0208 09:46:00-EFL-20-FIL-2-SW-UKN</v>
      </c>
    </row>
    <row r="2715" spans="1:48" s="10" customFormat="1" x14ac:dyDescent="0.55000000000000004">
      <c r="A2715" s="32">
        <v>44965</v>
      </c>
      <c r="B2715" s="33">
        <v>0.41111111111111115</v>
      </c>
      <c r="C2715" s="10" t="s">
        <v>287</v>
      </c>
      <c r="D2715" s="10">
        <v>48</v>
      </c>
      <c r="E2715" s="10" t="s">
        <v>911</v>
      </c>
      <c r="F2715" s="10">
        <v>1</v>
      </c>
      <c r="G2715" s="10" t="s">
        <v>231</v>
      </c>
      <c r="H2715" s="10" t="s">
        <v>322</v>
      </c>
      <c r="I2715" s="10" t="s">
        <v>224</v>
      </c>
      <c r="J2715" s="10">
        <v>108</v>
      </c>
      <c r="K2715" s="12">
        <v>44967</v>
      </c>
      <c r="L2715" s="33">
        <v>0.50231481481481477</v>
      </c>
      <c r="M2715" s="10">
        <v>1</v>
      </c>
      <c r="N2715" s="10" t="s">
        <v>196</v>
      </c>
      <c r="O2715" s="10">
        <v>7.46</v>
      </c>
      <c r="P2715" s="10">
        <v>0.36499999999999999</v>
      </c>
      <c r="Q2715" s="10">
        <v>1210</v>
      </c>
      <c r="R2715" s="10" t="s">
        <v>170</v>
      </c>
      <c r="S2715" s="34">
        <f t="shared" si="307"/>
        <v>1238.9384041999997</v>
      </c>
      <c r="T2715" s="10" t="s">
        <v>1185</v>
      </c>
      <c r="U2715" s="34" t="str">
        <f t="shared" si="308"/>
        <v/>
      </c>
      <c r="V2715" s="31" t="str">
        <f>IF(H2715="CHK",VLOOKUP(I2715,QCCHK,3,),IF(H2715="GUP",VLOOKUP(E2715,QCGUP,2,),IF(AND(H2715="ATP",OR(I2715="TN",I2715="TDN",I2715="TNO2-3",I2715="NO2-3")),VLOOKUP(E2715,QCREC_N,2,),IF(AND(H2715="NIC",OR(I2715="TN",I2715="TDN",I2715="TNO2-3",I2715="NO2-3")),VLOOKUP(E2715,QCNIC_N,2,),IF(AND(H2715="UREA",OR(I2715="TN",I2715="TDN",I2715="TNO2-3",I2715="NO2-3")),VLOOKUP(E2715,QCUREA_N,2,),IF(H2715="PER",VLOOKUP(I2715,QCPER,MATCH(E2715,QCACTUAL!$J$25:$AA$25,0),),IF(H2715="SPK",VLOOKUP(I2715,QCSPK,3,),IF(AND(H2715="ATP",OR(I2715="TP",I2715="TDP")),VLOOKUP(E2715,QCATP_P,2,),""))))))))</f>
        <v/>
      </c>
      <c r="W2715" s="31" t="str">
        <f t="shared" si="309"/>
        <v>TRUE</v>
      </c>
      <c r="X2715" s="31" t="str">
        <f t="shared" si="306"/>
        <v/>
      </c>
      <c r="Y2715" s="10" t="s">
        <v>1178</v>
      </c>
      <c r="AF2715" s="12">
        <v>44967</v>
      </c>
      <c r="AJ2715" s="10">
        <f>-1.3255*7.46^2+193.01*7.46-127.15</f>
        <v>1238.9384041999997</v>
      </c>
      <c r="AK2715" s="10">
        <f>-0.215*7.46^2+181.97*7.46-117.15</f>
        <v>1228.381106</v>
      </c>
      <c r="AL2715" s="10" t="str">
        <f t="shared" si="304"/>
        <v>FALSE</v>
      </c>
      <c r="AM2715" s="10" t="str">
        <f t="shared" si="304"/>
        <v>FALSE</v>
      </c>
      <c r="AN2715" s="10" t="str">
        <f t="shared" si="304"/>
        <v>FALSE</v>
      </c>
      <c r="AO2715" s="10" t="str">
        <f t="shared" si="305"/>
        <v>y=-1.3255*7.46^2+193.01*7.46-127.15</v>
      </c>
      <c r="AP2715" s="10" t="str">
        <f t="shared" si="305"/>
        <v>y=-0.215*7.46^2+181.97*7.46-117.15</v>
      </c>
      <c r="AQ2715" s="10" t="b">
        <f>IF(AND(I2715="TP",S2715&lt;=150),VLOOKUP(AF2715,TPCalibEq150!$AZ$2:$BB$55,3,),IF(AND(I2715="TDP",S2715&lt;=150),VLOOKUP(AF2715,TPCalibEq150!$AZ$2:$BB$55,3,)))</f>
        <v>0</v>
      </c>
      <c r="AR2715" s="10" t="b">
        <f>IF(AND(I2715="TP",S2715&lt;=300),VLOOKUP(AF2715,TPCalibEq300!$AZ$2:$BB$55,3,),IF(AND(I2715="TDP",S2715&lt;=300),VLOOKUP(AF2715,TPCalibEq300!$AZ$2:$BB$55,3,)))</f>
        <v>0</v>
      </c>
      <c r="AS2715" s="10" t="b">
        <f>IF(AND(I2715="TP",S2715&lt;=500),VLOOKUP(AF2715,TPCalibEq500!$AZ$2:$BB$56,3,),IF(AND(I2715="TDP",S2715&lt;=500),VLOOKUP(AF2715,TPCalibEq500!$AZ$2:$BB$56,3,)))</f>
        <v>0</v>
      </c>
      <c r="AT2715" s="10" t="str">
        <f>IF(AND(I2715="TN",S2715&lt;=2800),VLOOKUP(AF2715,TNCalibEq2500!$AZ$2:$BB$56,3,),IF(AND(I2715="TDN",S2715&lt;=2800),VLOOKUP(AF2715,TNCalibEq2500!$AZ$2:$BB$56,3,)))</f>
        <v>y=-1.3255x2+193.01x-127.15</v>
      </c>
      <c r="AU2715" s="10" t="str">
        <f>IF(I2715="TP",VLOOKUP(AF2715,TPCalibEqFull!$AZ$2:$BB$56,3),IF(I2715="TDP",VLOOKUP(AF2715,TPCalibEqFull!$AZ$2:$BB$56,3),IF(I2715="TDN",VLOOKUP(AF2715,TNCalibEqFull!$AZ$1:$BB$56,3),IF(I2715="TN",VLOOKUP(AF2715,TNCalibEqFull!$AZ$1:$BB$56,3),FALSE))))</f>
        <v>y=-0.215x2+181.97x-117.15</v>
      </c>
      <c r="AV2715" s="10" t="str">
        <f t="shared" si="310"/>
        <v>0208 09:52:00-EFL-48-FIL-1-SW-UKN</v>
      </c>
    </row>
    <row r="2716" spans="1:48" s="10" customFormat="1" x14ac:dyDescent="0.55000000000000004">
      <c r="A2716" s="32">
        <v>44965</v>
      </c>
      <c r="B2716" s="33">
        <v>0.41111111111111115</v>
      </c>
      <c r="C2716" s="10" t="s">
        <v>287</v>
      </c>
      <c r="D2716" s="10">
        <v>48</v>
      </c>
      <c r="E2716" s="10" t="s">
        <v>911</v>
      </c>
      <c r="F2716" s="10">
        <v>1</v>
      </c>
      <c r="G2716" s="10" t="s">
        <v>231</v>
      </c>
      <c r="H2716" s="10" t="s">
        <v>233</v>
      </c>
      <c r="I2716" s="10" t="s">
        <v>224</v>
      </c>
      <c r="J2716" s="10">
        <v>108</v>
      </c>
      <c r="K2716" s="12">
        <v>44967</v>
      </c>
      <c r="L2716" s="33">
        <v>0.50299768518518517</v>
      </c>
      <c r="M2716" s="10">
        <v>1</v>
      </c>
      <c r="N2716" s="10" t="s">
        <v>196</v>
      </c>
      <c r="O2716" s="10">
        <v>7.46</v>
      </c>
      <c r="P2716" s="10">
        <v>0.36399999999999999</v>
      </c>
      <c r="Q2716" s="10">
        <v>1210</v>
      </c>
      <c r="R2716" s="10" t="s">
        <v>170</v>
      </c>
      <c r="S2716" s="34">
        <f t="shared" si="307"/>
        <v>1238.9384041999997</v>
      </c>
      <c r="T2716" s="10" t="s">
        <v>1185</v>
      </c>
      <c r="U2716" s="34">
        <f t="shared" si="308"/>
        <v>0</v>
      </c>
      <c r="V2716" s="31" t="str">
        <f>IF(H2716="CHK",VLOOKUP(I2716,QCCHK,3,),IF(H2716="GUP",VLOOKUP(E2716,QCGUP,2,),IF(AND(H2716="ATP",OR(I2716="TN",I2716="TDN",I2716="TNO2-3",I2716="NO2-3")),VLOOKUP(E2716,QCREC_N,2,),IF(AND(H2716="NIC",OR(I2716="TN",I2716="TDN",I2716="TNO2-3",I2716="NO2-3")),VLOOKUP(E2716,QCNIC_N,2,),IF(AND(H2716="UREA",OR(I2716="TN",I2716="TDN",I2716="TNO2-3",I2716="NO2-3")),VLOOKUP(E2716,QCUREA_N,2,),IF(H2716="PER",VLOOKUP(I2716,QCPER,MATCH(E2716,QCACTUAL!$J$25:$AA$25,0),),IF(H2716="SPK",VLOOKUP(I2716,QCSPK,3,),IF(AND(H2716="ATP",OR(I2716="TP",I2716="TDP")),VLOOKUP(E2716,QCATP_P,2,),""))))))))</f>
        <v/>
      </c>
      <c r="W2716" s="31" t="str">
        <f t="shared" si="309"/>
        <v>TRUE</v>
      </c>
      <c r="X2716" s="31" t="str">
        <f t="shared" si="306"/>
        <v>((ABS(rep1-rep2))/((rep1+rep2)/2)*100</v>
      </c>
      <c r="Y2716" s="10" t="s">
        <v>1178</v>
      </c>
      <c r="AF2716" s="12">
        <v>44967</v>
      </c>
      <c r="AJ2716" s="10">
        <f>-1.3255*7.46^2+193.01*7.46-127.15</f>
        <v>1238.9384041999997</v>
      </c>
      <c r="AK2716" s="10">
        <f>-0.215*7.46^2+181.97*7.46-117.15</f>
        <v>1228.381106</v>
      </c>
      <c r="AL2716" s="10" t="str">
        <f t="shared" si="304"/>
        <v>FALSE</v>
      </c>
      <c r="AM2716" s="10" t="str">
        <f t="shared" si="304"/>
        <v>FALSE</v>
      </c>
      <c r="AN2716" s="10" t="str">
        <f t="shared" si="304"/>
        <v>FALSE</v>
      </c>
      <c r="AO2716" s="10" t="str">
        <f t="shared" si="305"/>
        <v>y=-1.3255*7.46^2+193.01*7.46-127.15</v>
      </c>
      <c r="AP2716" s="10" t="str">
        <f t="shared" si="305"/>
        <v>y=-0.215*7.46^2+181.97*7.46-117.15</v>
      </c>
      <c r="AQ2716" s="10" t="b">
        <f>IF(AND(I2716="TP",S2716&lt;=150),VLOOKUP(AF2716,TPCalibEq150!$AZ$2:$BB$55,3,),IF(AND(I2716="TDP",S2716&lt;=150),VLOOKUP(AF2716,TPCalibEq150!$AZ$2:$BB$55,3,)))</f>
        <v>0</v>
      </c>
      <c r="AR2716" s="10" t="b">
        <f>IF(AND(I2716="TP",S2716&lt;=300),VLOOKUP(AF2716,TPCalibEq300!$AZ$2:$BB$55,3,),IF(AND(I2716="TDP",S2716&lt;=300),VLOOKUP(AF2716,TPCalibEq300!$AZ$2:$BB$55,3,)))</f>
        <v>0</v>
      </c>
      <c r="AS2716" s="10" t="b">
        <f>IF(AND(I2716="TP",S2716&lt;=500),VLOOKUP(AF2716,TPCalibEq500!$AZ$2:$BB$56,3,),IF(AND(I2716="TDP",S2716&lt;=500),VLOOKUP(AF2716,TPCalibEq500!$AZ$2:$BB$56,3,)))</f>
        <v>0</v>
      </c>
      <c r="AT2716" s="10" t="str">
        <f>IF(AND(I2716="TN",S2716&lt;=2800),VLOOKUP(AF2716,TNCalibEq2500!$AZ$2:$BB$56,3,),IF(AND(I2716="TDN",S2716&lt;=2800),VLOOKUP(AF2716,TNCalibEq2500!$AZ$2:$BB$56,3,)))</f>
        <v>y=-1.3255x2+193.01x-127.15</v>
      </c>
      <c r="AU2716" s="10" t="str">
        <f>IF(I2716="TP",VLOOKUP(AF2716,TPCalibEqFull!$AZ$2:$BB$56,3),IF(I2716="TDP",VLOOKUP(AF2716,TPCalibEqFull!$AZ$2:$BB$56,3),IF(I2716="TDN",VLOOKUP(AF2716,TNCalibEqFull!$AZ$1:$BB$56,3),IF(I2716="TN",VLOOKUP(AF2716,TNCalibEqFull!$AZ$1:$BB$56,3),FALSE))))</f>
        <v>y=-0.215x2+181.97x-117.15</v>
      </c>
      <c r="AV2716" s="10" t="str">
        <f t="shared" si="310"/>
        <v>0208 09:52:00-EFL-48-FIL-1-SW-DUP</v>
      </c>
    </row>
    <row r="2717" spans="1:48" s="10" customFormat="1" x14ac:dyDescent="0.55000000000000004">
      <c r="A2717" s="32">
        <v>44965</v>
      </c>
      <c r="B2717" s="33">
        <v>0.41111111111111115</v>
      </c>
      <c r="C2717" s="10" t="s">
        <v>287</v>
      </c>
      <c r="D2717" s="10">
        <v>48</v>
      </c>
      <c r="E2717" s="10" t="s">
        <v>911</v>
      </c>
      <c r="F2717" s="10">
        <v>1</v>
      </c>
      <c r="G2717" s="10" t="s">
        <v>231</v>
      </c>
      <c r="H2717" s="10" t="s">
        <v>314</v>
      </c>
      <c r="I2717" s="10" t="s">
        <v>224</v>
      </c>
      <c r="J2717" s="10">
        <v>131</v>
      </c>
      <c r="K2717" s="12">
        <v>44967</v>
      </c>
      <c r="L2717" s="33">
        <v>0.50366898148148154</v>
      </c>
      <c r="M2717" s="10">
        <v>1</v>
      </c>
      <c r="N2717" s="10" t="s">
        <v>196</v>
      </c>
      <c r="O2717" s="10">
        <v>22.7</v>
      </c>
      <c r="P2717" s="10">
        <v>1.1000000000000001</v>
      </c>
      <c r="Q2717" s="10">
        <v>3910</v>
      </c>
      <c r="R2717" s="10" t="s">
        <v>170</v>
      </c>
      <c r="S2717" s="34">
        <f t="shared" si="307"/>
        <v>3910</v>
      </c>
      <c r="T2717" s="10" t="s">
        <v>1185</v>
      </c>
      <c r="U2717" s="34">
        <f t="shared" si="308"/>
        <v>106.84246383200002</v>
      </c>
      <c r="V2717" s="31">
        <f>IF(H2717="CHK",VLOOKUP(I2717,QCCHK,3,),IF(H2717="GUP",VLOOKUP(E2717,QCGUP,2,),IF(AND(H2717="ATP",OR(I2717="TN",I2717="TDN",I2717="TNO2-3",I2717="NO2-3")),VLOOKUP(E2717,QCREC_N,2,),IF(AND(H2717="NIC",OR(I2717="TN",I2717="TDN",I2717="TNO2-3",I2717="NO2-3")),VLOOKUP(E2717,QCNIC_N,2,),IF(AND(H2717="UREA",OR(I2717="TN",I2717="TDN",I2717="TNO2-3",I2717="NO2-3")),VLOOKUP(E2717,QCUREA_N,2,),IF(H2717="PER",VLOOKUP(I2717,QCPER,MATCH(E2717,QCACTUAL!$J$25:$AA$25,0),),IF(H2717="SPK",VLOOKUP(I2717,QCSPK,3,),IF(AND(H2717="ATP",OR(I2717="TP",I2717="TDP")),VLOOKUP(E2717,QCATP_P,2,),""))))))))</f>
        <v>2500</v>
      </c>
      <c r="W2717" s="31" t="str">
        <f t="shared" si="309"/>
        <v>TRUE</v>
      </c>
      <c r="X2717" s="31" t="str">
        <f t="shared" si="306"/>
        <v>([spikedunkn]-[unkn])/[spike]*100</v>
      </c>
      <c r="Y2717" s="10" t="s">
        <v>1178</v>
      </c>
      <c r="AF2717" s="12">
        <v>44967</v>
      </c>
      <c r="AK2717" s="10">
        <f>-0.215*22.7^2+181.97*22.7-117.15</f>
        <v>3902.7816499999999</v>
      </c>
      <c r="AL2717" s="10" t="str">
        <f t="shared" si="304"/>
        <v>FALSE</v>
      </c>
      <c r="AM2717" s="10" t="str">
        <f t="shared" si="304"/>
        <v>FALSE</v>
      </c>
      <c r="AN2717" s="10" t="str">
        <f t="shared" si="304"/>
        <v>FALSE</v>
      </c>
      <c r="AO2717" s="10" t="str">
        <f t="shared" si="305"/>
        <v>FALSE</v>
      </c>
      <c r="AP2717" s="10" t="str">
        <f t="shared" si="305"/>
        <v>y=-0.215*22.7^2+181.97*22.7-117.15</v>
      </c>
      <c r="AQ2717" s="10" t="b">
        <f>IF(AND(I2717="TP",S2717&lt;=150),VLOOKUP(AF2717,TPCalibEq150!$AZ$2:$BB$55,3,),IF(AND(I2717="TDP",S2717&lt;=150),VLOOKUP(AF2717,TPCalibEq150!$AZ$2:$BB$55,3,)))</f>
        <v>0</v>
      </c>
      <c r="AR2717" s="10" t="b">
        <f>IF(AND(I2717="TP",S2717&lt;=300),VLOOKUP(AF2717,TPCalibEq300!$AZ$2:$BB$55,3,),IF(AND(I2717="TDP",S2717&lt;=300),VLOOKUP(AF2717,TPCalibEq300!$AZ$2:$BB$55,3,)))</f>
        <v>0</v>
      </c>
      <c r="AS2717" s="10" t="b">
        <f>IF(AND(I2717="TP",S2717&lt;=500),VLOOKUP(AF2717,TPCalibEq500!$AZ$2:$BB$56,3,),IF(AND(I2717="TDP",S2717&lt;=500),VLOOKUP(AF2717,TPCalibEq500!$AZ$2:$BB$56,3,)))</f>
        <v>0</v>
      </c>
      <c r="AT2717" s="10" t="b">
        <f>IF(AND(I2717="TN",S2717&lt;=2800),VLOOKUP(AF2717,TNCalibEq2500!$AZ$2:$BB$56,3,),IF(AND(I2717="TDN",S2717&lt;=2800),VLOOKUP(AF2717,TNCalibEq2500!$AZ$2:$BB$56,3,)))</f>
        <v>0</v>
      </c>
      <c r="AU2717" s="10" t="str">
        <f>IF(I2717="TP",VLOOKUP(AF2717,TPCalibEqFull!$AZ$2:$BB$56,3),IF(I2717="TDP",VLOOKUP(AF2717,TPCalibEqFull!$AZ$2:$BB$56,3),IF(I2717="TDN",VLOOKUP(AF2717,TNCalibEqFull!$AZ$1:$BB$56,3),IF(I2717="TN",VLOOKUP(AF2717,TNCalibEqFull!$AZ$1:$BB$56,3),FALSE))))</f>
        <v>y=-0.215x2+181.97x-117.15</v>
      </c>
      <c r="AV2717" s="10" t="str">
        <f t="shared" si="310"/>
        <v>0208 09:52:00-EFL-48-FIL-1-SW-SPK</v>
      </c>
    </row>
    <row r="2718" spans="1:48" s="10" customFormat="1" x14ac:dyDescent="0.55000000000000004">
      <c r="A2718" s="32">
        <v>44966</v>
      </c>
      <c r="B2718" s="33">
        <v>0.375</v>
      </c>
      <c r="C2718" s="10" t="s">
        <v>70</v>
      </c>
      <c r="D2718" s="10" t="s">
        <v>71</v>
      </c>
      <c r="E2718" s="10" t="s">
        <v>901</v>
      </c>
      <c r="F2718" s="10">
        <v>1</v>
      </c>
      <c r="G2718" s="10" t="s">
        <v>73</v>
      </c>
      <c r="H2718" s="10" t="s">
        <v>207</v>
      </c>
      <c r="I2718" s="10" t="s">
        <v>235</v>
      </c>
      <c r="J2718" s="10">
        <v>218</v>
      </c>
      <c r="K2718" s="12">
        <v>44967</v>
      </c>
      <c r="L2718" s="33">
        <v>0.50434027777777779</v>
      </c>
      <c r="M2718" s="10">
        <v>1</v>
      </c>
      <c r="N2718" s="10" t="s">
        <v>196</v>
      </c>
      <c r="O2718" s="10">
        <v>7.99</v>
      </c>
      <c r="P2718" s="10">
        <v>0.39200000000000002</v>
      </c>
      <c r="Q2718" s="10">
        <v>1310</v>
      </c>
      <c r="R2718" s="10" t="s">
        <v>170</v>
      </c>
      <c r="S2718" s="34">
        <f t="shared" si="307"/>
        <v>1330.3798474499997</v>
      </c>
      <c r="T2718" s="10" t="s">
        <v>1185</v>
      </c>
      <c r="U2718" s="34">
        <f t="shared" si="308"/>
        <v>106.43038779599998</v>
      </c>
      <c r="V2718" s="31">
        <f>IF(H2718="CHK",VLOOKUP(I2718,QCCHK,3,),IF(H2718="GUP",VLOOKUP(E2718,QCGUP,2,),IF(AND(H2718="ATP",OR(I2718="TN",I2718="TDN",I2718="TNO2-3",I2718="NO2-3")),VLOOKUP(E2718,QCREC_N,2,),IF(AND(H2718="NIC",OR(I2718="TN",I2718="TDN",I2718="TNO2-3",I2718="NO2-3")),VLOOKUP(E2718,QCNIC_N,2,),IF(AND(H2718="UREA",OR(I2718="TN",I2718="TDN",I2718="TNO2-3",I2718="NO2-3")),VLOOKUP(E2718,QCUREA_N,2,),IF(H2718="PER",VLOOKUP(I2718,QCPER,MATCH(E2718,QCACTUAL!$J$25:$AA$25,0),),IF(H2718="SPK",VLOOKUP(I2718,QCSPK,3,),IF(AND(H2718="ATP",OR(I2718="TP",I2718="TDP")),VLOOKUP(E2718,QCATP_P,2,),""))))))))</f>
        <v>1250</v>
      </c>
      <c r="W2718" s="31" t="str">
        <f t="shared" si="309"/>
        <v>TRUE</v>
      </c>
      <c r="X2718" s="31" t="str">
        <f t="shared" si="306"/>
        <v>[chk]/[actual]*100</v>
      </c>
      <c r="Y2718" s="10" t="s">
        <v>1178</v>
      </c>
      <c r="AF2718" s="12">
        <v>44967</v>
      </c>
      <c r="AJ2718" s="10">
        <f>-1.3255*7.99^2+193.01*7.99-127.15</f>
        <v>1330.3798474499997</v>
      </c>
      <c r="AK2718" s="10">
        <f>-0.215*7.99^2+181.97*7.99-117.15</f>
        <v>1323.0646784999999</v>
      </c>
      <c r="AL2718" s="10" t="str">
        <f t="shared" si="304"/>
        <v>FALSE</v>
      </c>
      <c r="AM2718" s="10" t="str">
        <f t="shared" si="304"/>
        <v>FALSE</v>
      </c>
      <c r="AN2718" s="10" t="str">
        <f t="shared" si="304"/>
        <v>FALSE</v>
      </c>
      <c r="AO2718" s="10" t="str">
        <f t="shared" si="305"/>
        <v>y=-1.3255*7.99^2+193.01*7.99-127.15</v>
      </c>
      <c r="AP2718" s="10" t="str">
        <f t="shared" si="305"/>
        <v>y=-0.215*7.99^2+181.97*7.99-117.15</v>
      </c>
      <c r="AQ2718" s="10" t="b">
        <f>IF(AND(I2718="TP",S2718&lt;=150),VLOOKUP(AF2718,TPCalibEq150!$AZ$2:$BB$55,3,),IF(AND(I2718="TDP",S2718&lt;=150),VLOOKUP(AF2718,TPCalibEq150!$AZ$2:$BB$55,3,)))</f>
        <v>0</v>
      </c>
      <c r="AR2718" s="10" t="b">
        <f>IF(AND(I2718="TP",S2718&lt;=300),VLOOKUP(AF2718,TPCalibEq300!$AZ$2:$BB$55,3,),IF(AND(I2718="TDP",S2718&lt;=300),VLOOKUP(AF2718,TPCalibEq300!$AZ$2:$BB$55,3,)))</f>
        <v>0</v>
      </c>
      <c r="AS2718" s="10" t="b">
        <f>IF(AND(I2718="TP",S2718&lt;=500),VLOOKUP(AF2718,TPCalibEq500!$AZ$2:$BB$56,3,),IF(AND(I2718="TDP",S2718&lt;=500),VLOOKUP(AF2718,TPCalibEq500!$AZ$2:$BB$56,3,)))</f>
        <v>0</v>
      </c>
      <c r="AT2718" s="10" t="str">
        <f>IF(AND(I2718="TN",S2718&lt;=2800),VLOOKUP(AF2718,TNCalibEq2500!$AZ$2:$BB$56,3,),IF(AND(I2718="TDN",S2718&lt;=2800),VLOOKUP(AF2718,TNCalibEq2500!$AZ$2:$BB$56,3,)))</f>
        <v>y=-1.3255x2+193.01x-127.15</v>
      </c>
      <c r="AU2718" s="10" t="str">
        <f>IF(I2718="TP",VLOOKUP(AF2718,TPCalibEqFull!$AZ$2:$BB$56,3),IF(I2718="TDP",VLOOKUP(AF2718,TPCalibEqFull!$AZ$2:$BB$56,3),IF(I2718="TDN",VLOOKUP(AF2718,TNCalibEqFull!$AZ$1:$BB$56,3),IF(I2718="TN",VLOOKUP(AF2718,TNCalibEqFull!$AZ$1:$BB$56,3),FALSE))))</f>
        <v>y=-0.215x2+181.97x-117.15</v>
      </c>
      <c r="AV2718" s="10" t="str">
        <f t="shared" si="310"/>
        <v>0209 09:00:00-QAC-STD-D-1-DI-CHK</v>
      </c>
    </row>
    <row r="2719" spans="1:48" s="10" customFormat="1" x14ac:dyDescent="0.55000000000000004">
      <c r="A2719" s="32">
        <v>44965</v>
      </c>
      <c r="B2719" s="33">
        <v>0.37777777777777777</v>
      </c>
      <c r="C2719" s="10" t="s">
        <v>428</v>
      </c>
      <c r="D2719" s="10">
        <v>0</v>
      </c>
      <c r="E2719" s="10" t="s">
        <v>911</v>
      </c>
      <c r="F2719" s="10">
        <v>1</v>
      </c>
      <c r="G2719" s="10" t="s">
        <v>231</v>
      </c>
      <c r="H2719" s="10" t="s">
        <v>322</v>
      </c>
      <c r="I2719" s="10" t="s">
        <v>224</v>
      </c>
      <c r="J2719" s="10">
        <v>109</v>
      </c>
      <c r="K2719" s="12">
        <v>44967</v>
      </c>
      <c r="L2719" s="33">
        <v>0.50501157407407404</v>
      </c>
      <c r="M2719" s="10">
        <v>1</v>
      </c>
      <c r="N2719" s="10" t="s">
        <v>196</v>
      </c>
      <c r="O2719" s="10">
        <v>7.07</v>
      </c>
      <c r="P2719" s="10">
        <v>0.34599999999999997</v>
      </c>
      <c r="Q2719" s="10">
        <v>1140</v>
      </c>
      <c r="R2719" s="10" t="s">
        <v>170</v>
      </c>
      <c r="S2719" s="34">
        <f t="shared" si="307"/>
        <v>1171.1757150499998</v>
      </c>
      <c r="T2719" s="10" t="s">
        <v>1185</v>
      </c>
      <c r="U2719" s="34" t="str">
        <f t="shared" si="308"/>
        <v/>
      </c>
      <c r="V2719" s="31" t="str">
        <f>IF(H2719="CHK",VLOOKUP(I2719,QCCHK,3,),IF(H2719="GUP",VLOOKUP(E2719,QCGUP,2,),IF(AND(H2719="ATP",OR(I2719="TN",I2719="TDN",I2719="TNO2-3",I2719="NO2-3")),VLOOKUP(E2719,QCREC_N,2,),IF(AND(H2719="NIC",OR(I2719="TN",I2719="TDN",I2719="TNO2-3",I2719="NO2-3")),VLOOKUP(E2719,QCNIC_N,2,),IF(AND(H2719="UREA",OR(I2719="TN",I2719="TDN",I2719="TNO2-3",I2719="NO2-3")),VLOOKUP(E2719,QCUREA_N,2,),IF(H2719="PER",VLOOKUP(I2719,QCPER,MATCH(E2719,QCACTUAL!$J$25:$AA$25,0),),IF(H2719="SPK",VLOOKUP(I2719,QCSPK,3,),IF(AND(H2719="ATP",OR(I2719="TP",I2719="TDP")),VLOOKUP(E2719,QCATP_P,2,),""))))))))</f>
        <v/>
      </c>
      <c r="W2719" s="31" t="str">
        <f t="shared" si="309"/>
        <v>TRUE</v>
      </c>
      <c r="X2719" s="31" t="str">
        <f t="shared" si="306"/>
        <v/>
      </c>
      <c r="Y2719" s="10" t="s">
        <v>1178</v>
      </c>
      <c r="AF2719" s="12">
        <v>44967</v>
      </c>
      <c r="AJ2719" s="10">
        <f>-1.3255*7.07^2+193.01*7.07-127.15</f>
        <v>1171.1757150499998</v>
      </c>
      <c r="AK2719" s="10">
        <f>-0.215*7.07^2+181.97*7.07-117.15</f>
        <v>1158.6311464999999</v>
      </c>
      <c r="AL2719" s="10" t="str">
        <f t="shared" si="304"/>
        <v>FALSE</v>
      </c>
      <c r="AM2719" s="10" t="str">
        <f t="shared" si="304"/>
        <v>FALSE</v>
      </c>
      <c r="AN2719" s="10" t="str">
        <f t="shared" si="304"/>
        <v>FALSE</v>
      </c>
      <c r="AO2719" s="10" t="str">
        <f t="shared" si="305"/>
        <v>y=-1.3255*7.07^2+193.01*7.07-127.15</v>
      </c>
      <c r="AP2719" s="10" t="str">
        <f t="shared" si="305"/>
        <v>y=-0.215*7.07^2+181.97*7.07-117.15</v>
      </c>
      <c r="AQ2719" s="10" t="b">
        <f>IF(AND(I2719="TP",S2719&lt;=150),VLOOKUP(AF2719,TPCalibEq150!$AZ$2:$BB$55,3,),IF(AND(I2719="TDP",S2719&lt;=150),VLOOKUP(AF2719,TPCalibEq150!$AZ$2:$BB$55,3,)))</f>
        <v>0</v>
      </c>
      <c r="AR2719" s="10" t="b">
        <f>IF(AND(I2719="TP",S2719&lt;=300),VLOOKUP(AF2719,TPCalibEq300!$AZ$2:$BB$55,3,),IF(AND(I2719="TDP",S2719&lt;=300),VLOOKUP(AF2719,TPCalibEq300!$AZ$2:$BB$55,3,)))</f>
        <v>0</v>
      </c>
      <c r="AS2719" s="10" t="b">
        <f>IF(AND(I2719="TP",S2719&lt;=500),VLOOKUP(AF2719,TPCalibEq500!$AZ$2:$BB$56,3,),IF(AND(I2719="TDP",S2719&lt;=500),VLOOKUP(AF2719,TPCalibEq500!$AZ$2:$BB$56,3,)))</f>
        <v>0</v>
      </c>
      <c r="AT2719" s="10" t="str">
        <f>IF(AND(I2719="TN",S2719&lt;=2800),VLOOKUP(AF2719,TNCalibEq2500!$AZ$2:$BB$56,3,),IF(AND(I2719="TDN",S2719&lt;=2800),VLOOKUP(AF2719,TNCalibEq2500!$AZ$2:$BB$56,3,)))</f>
        <v>y=-1.3255x2+193.01x-127.15</v>
      </c>
      <c r="AU2719" s="10" t="str">
        <f>IF(I2719="TP",VLOOKUP(AF2719,TPCalibEqFull!$AZ$2:$BB$56,3),IF(I2719="TDP",VLOOKUP(AF2719,TPCalibEqFull!$AZ$2:$BB$56,3),IF(I2719="TDN",VLOOKUP(AF2719,TNCalibEqFull!$AZ$1:$BB$56,3),IF(I2719="TN",VLOOKUP(AF2719,TNCalibEqFull!$AZ$1:$BB$56,3),FALSE))))</f>
        <v>y=-0.215x2+181.97x-117.15</v>
      </c>
      <c r="AV2719" s="10" t="str">
        <f t="shared" si="310"/>
        <v>0208 09:04:00-EOF-0-FIL-1-SW-UKN</v>
      </c>
    </row>
    <row r="2720" spans="1:48" s="10" customFormat="1" x14ac:dyDescent="0.55000000000000004">
      <c r="A2720" s="32">
        <v>44965</v>
      </c>
      <c r="B2720" s="33">
        <v>0.37986111111111115</v>
      </c>
      <c r="C2720" s="10" t="s">
        <v>428</v>
      </c>
      <c r="D2720" s="10">
        <v>5</v>
      </c>
      <c r="E2720" s="10" t="s">
        <v>911</v>
      </c>
      <c r="F2720" s="10">
        <v>1</v>
      </c>
      <c r="G2720" s="10" t="s">
        <v>231</v>
      </c>
      <c r="H2720" s="10" t="s">
        <v>322</v>
      </c>
      <c r="I2720" s="10" t="s">
        <v>224</v>
      </c>
      <c r="J2720" s="10">
        <v>110</v>
      </c>
      <c r="K2720" s="12">
        <v>44967</v>
      </c>
      <c r="L2720" s="33">
        <v>0.5056828703703703</v>
      </c>
      <c r="M2720" s="10">
        <v>1</v>
      </c>
      <c r="N2720" s="10" t="s">
        <v>196</v>
      </c>
      <c r="O2720" s="10">
        <v>7.02</v>
      </c>
      <c r="P2720" s="10">
        <v>0.34399999999999997</v>
      </c>
      <c r="Q2720" s="10">
        <v>1130</v>
      </c>
      <c r="R2720" s="10" t="s">
        <v>170</v>
      </c>
      <c r="S2720" s="34">
        <f t="shared" si="307"/>
        <v>1162.4590297999998</v>
      </c>
      <c r="T2720" s="10" t="s">
        <v>1185</v>
      </c>
      <c r="U2720" s="34" t="str">
        <f t="shared" si="308"/>
        <v/>
      </c>
      <c r="V2720" s="31" t="str">
        <f>IF(H2720="CHK",VLOOKUP(I2720,QCCHK,3,),IF(H2720="GUP",VLOOKUP(E2720,QCGUP,2,),IF(AND(H2720="ATP",OR(I2720="TN",I2720="TDN",I2720="TNO2-3",I2720="NO2-3")),VLOOKUP(E2720,QCREC_N,2,),IF(AND(H2720="NIC",OR(I2720="TN",I2720="TDN",I2720="TNO2-3",I2720="NO2-3")),VLOOKUP(E2720,QCNIC_N,2,),IF(AND(H2720="UREA",OR(I2720="TN",I2720="TDN",I2720="TNO2-3",I2720="NO2-3")),VLOOKUP(E2720,QCUREA_N,2,),IF(H2720="PER",VLOOKUP(I2720,QCPER,MATCH(E2720,QCACTUAL!$J$25:$AA$25,0),),IF(H2720="SPK",VLOOKUP(I2720,QCSPK,3,),IF(AND(H2720="ATP",OR(I2720="TP",I2720="TDP")),VLOOKUP(E2720,QCATP_P,2,),""))))))))</f>
        <v/>
      </c>
      <c r="W2720" s="31" t="str">
        <f t="shared" si="309"/>
        <v>TRUE</v>
      </c>
      <c r="X2720" s="31" t="str">
        <f t="shared" si="306"/>
        <v/>
      </c>
      <c r="Y2720" s="10" t="s">
        <v>1178</v>
      </c>
      <c r="AF2720" s="12">
        <v>44967</v>
      </c>
      <c r="AJ2720" s="10">
        <f>-1.3255*7.02^2+193.01*7.02-127.15</f>
        <v>1162.4590297999998</v>
      </c>
      <c r="AK2720" s="10">
        <f>-0.215*7.02^2+181.97*7.02-117.15</f>
        <v>1149.6841139999999</v>
      </c>
      <c r="AL2720" s="10" t="str">
        <f t="shared" si="304"/>
        <v>FALSE</v>
      </c>
      <c r="AM2720" s="10" t="str">
        <f t="shared" si="304"/>
        <v>FALSE</v>
      </c>
      <c r="AN2720" s="10" t="str">
        <f t="shared" si="304"/>
        <v>FALSE</v>
      </c>
      <c r="AO2720" s="10" t="str">
        <f t="shared" si="305"/>
        <v>y=-1.3255*7.02^2+193.01*7.02-127.15</v>
      </c>
      <c r="AP2720" s="10" t="str">
        <f t="shared" si="305"/>
        <v>y=-0.215*7.02^2+181.97*7.02-117.15</v>
      </c>
      <c r="AQ2720" s="10" t="b">
        <f>IF(AND(I2720="TP",S2720&lt;=150),VLOOKUP(AF2720,TPCalibEq150!$AZ$2:$BB$55,3,),IF(AND(I2720="TDP",S2720&lt;=150),VLOOKUP(AF2720,TPCalibEq150!$AZ$2:$BB$55,3,)))</f>
        <v>0</v>
      </c>
      <c r="AR2720" s="10" t="b">
        <f>IF(AND(I2720="TP",S2720&lt;=300),VLOOKUP(AF2720,TPCalibEq300!$AZ$2:$BB$55,3,),IF(AND(I2720="TDP",S2720&lt;=300),VLOOKUP(AF2720,TPCalibEq300!$AZ$2:$BB$55,3,)))</f>
        <v>0</v>
      </c>
      <c r="AS2720" s="10" t="b">
        <f>IF(AND(I2720="TP",S2720&lt;=500),VLOOKUP(AF2720,TPCalibEq500!$AZ$2:$BB$56,3,),IF(AND(I2720="TDP",S2720&lt;=500),VLOOKUP(AF2720,TPCalibEq500!$AZ$2:$BB$56,3,)))</f>
        <v>0</v>
      </c>
      <c r="AT2720" s="10" t="str">
        <f>IF(AND(I2720="TN",S2720&lt;=2800),VLOOKUP(AF2720,TNCalibEq2500!$AZ$2:$BB$56,3,),IF(AND(I2720="TDN",S2720&lt;=2800),VLOOKUP(AF2720,TNCalibEq2500!$AZ$2:$BB$56,3,)))</f>
        <v>y=-1.3255x2+193.01x-127.15</v>
      </c>
      <c r="AU2720" s="10" t="str">
        <f>IF(I2720="TP",VLOOKUP(AF2720,TPCalibEqFull!$AZ$2:$BB$56,3),IF(I2720="TDP",VLOOKUP(AF2720,TPCalibEqFull!$AZ$2:$BB$56,3),IF(I2720="TDN",VLOOKUP(AF2720,TNCalibEqFull!$AZ$1:$BB$56,3),IF(I2720="TN",VLOOKUP(AF2720,TNCalibEqFull!$AZ$1:$BB$56,3),FALSE))))</f>
        <v>y=-0.215x2+181.97x-117.15</v>
      </c>
      <c r="AV2720" s="10" t="str">
        <f t="shared" si="310"/>
        <v>0208 09:07:00-EOF-5-FIL-1-SW-UKN</v>
      </c>
    </row>
    <row r="2721" spans="1:48" s="10" customFormat="1" x14ac:dyDescent="0.55000000000000004">
      <c r="A2721" s="32">
        <v>44965</v>
      </c>
      <c r="B2721" s="33">
        <v>0.38263888888888892</v>
      </c>
      <c r="C2721" s="10" t="s">
        <v>428</v>
      </c>
      <c r="D2721" s="10">
        <v>10</v>
      </c>
      <c r="E2721" s="10" t="s">
        <v>911</v>
      </c>
      <c r="F2721" s="10">
        <v>1</v>
      </c>
      <c r="G2721" s="10" t="s">
        <v>231</v>
      </c>
      <c r="H2721" s="10" t="s">
        <v>322</v>
      </c>
      <c r="I2721" s="10" t="s">
        <v>224</v>
      </c>
      <c r="J2721" s="10">
        <v>111</v>
      </c>
      <c r="K2721" s="12">
        <v>44967</v>
      </c>
      <c r="L2721" s="33">
        <v>0.50636574074074081</v>
      </c>
      <c r="M2721" s="10">
        <v>1</v>
      </c>
      <c r="N2721" s="10" t="s">
        <v>196</v>
      </c>
      <c r="O2721" s="10">
        <v>7</v>
      </c>
      <c r="P2721" s="10">
        <v>0.34300000000000003</v>
      </c>
      <c r="Q2721" s="10">
        <v>1130</v>
      </c>
      <c r="R2721" s="10" t="s">
        <v>170</v>
      </c>
      <c r="S2721" s="34">
        <f t="shared" si="307"/>
        <v>1158.9704999999999</v>
      </c>
      <c r="T2721" s="10" t="s">
        <v>1185</v>
      </c>
      <c r="U2721" s="34" t="str">
        <f t="shared" si="308"/>
        <v/>
      </c>
      <c r="V2721" s="31" t="str">
        <f>IF(H2721="CHK",VLOOKUP(I2721,QCCHK,3,),IF(H2721="GUP",VLOOKUP(E2721,QCGUP,2,),IF(AND(H2721="ATP",OR(I2721="TN",I2721="TDN",I2721="TNO2-3",I2721="NO2-3")),VLOOKUP(E2721,QCREC_N,2,),IF(AND(H2721="NIC",OR(I2721="TN",I2721="TDN",I2721="TNO2-3",I2721="NO2-3")),VLOOKUP(E2721,QCNIC_N,2,),IF(AND(H2721="UREA",OR(I2721="TN",I2721="TDN",I2721="TNO2-3",I2721="NO2-3")),VLOOKUP(E2721,QCUREA_N,2,),IF(H2721="PER",VLOOKUP(I2721,QCPER,MATCH(E2721,QCACTUAL!$J$25:$AA$25,0),),IF(H2721="SPK",VLOOKUP(I2721,QCSPK,3,),IF(AND(H2721="ATP",OR(I2721="TP",I2721="TDP")),VLOOKUP(E2721,QCATP_P,2,),""))))))))</f>
        <v/>
      </c>
      <c r="W2721" s="31" t="str">
        <f t="shared" si="309"/>
        <v>TRUE</v>
      </c>
      <c r="X2721" s="31" t="str">
        <f t="shared" si="306"/>
        <v/>
      </c>
      <c r="Y2721" s="10" t="s">
        <v>1178</v>
      </c>
      <c r="AF2721" s="12">
        <v>44967</v>
      </c>
      <c r="AJ2721" s="10">
        <f>-1.3255*7^2+193.01*7-127.15</f>
        <v>1158.9704999999999</v>
      </c>
      <c r="AK2721" s="10">
        <f>-0.215*7^2+181.97*7-117.15</f>
        <v>1146.1049999999998</v>
      </c>
      <c r="AL2721" s="10" t="str">
        <f t="shared" si="304"/>
        <v>FALSE</v>
      </c>
      <c r="AM2721" s="10" t="str">
        <f t="shared" si="304"/>
        <v>FALSE</v>
      </c>
      <c r="AN2721" s="10" t="str">
        <f t="shared" si="304"/>
        <v>FALSE</v>
      </c>
      <c r="AO2721" s="10" t="str">
        <f t="shared" si="305"/>
        <v>y=-1.3255*7^2+193.01*7-127.15</v>
      </c>
      <c r="AP2721" s="10" t="str">
        <f t="shared" si="305"/>
        <v>y=-0.215*7^2+181.97*7-117.15</v>
      </c>
      <c r="AQ2721" s="10" t="b">
        <f>IF(AND(I2721="TP",S2721&lt;=150),VLOOKUP(AF2721,TPCalibEq150!$AZ$2:$BB$55,3,),IF(AND(I2721="TDP",S2721&lt;=150),VLOOKUP(AF2721,TPCalibEq150!$AZ$2:$BB$55,3,)))</f>
        <v>0</v>
      </c>
      <c r="AR2721" s="10" t="b">
        <f>IF(AND(I2721="TP",S2721&lt;=300),VLOOKUP(AF2721,TPCalibEq300!$AZ$2:$BB$55,3,),IF(AND(I2721="TDP",S2721&lt;=300),VLOOKUP(AF2721,TPCalibEq300!$AZ$2:$BB$55,3,)))</f>
        <v>0</v>
      </c>
      <c r="AS2721" s="10" t="b">
        <f>IF(AND(I2721="TP",S2721&lt;=500),VLOOKUP(AF2721,TPCalibEq500!$AZ$2:$BB$56,3,),IF(AND(I2721="TDP",S2721&lt;=500),VLOOKUP(AF2721,TPCalibEq500!$AZ$2:$BB$56,3,)))</f>
        <v>0</v>
      </c>
      <c r="AT2721" s="10" t="str">
        <f>IF(AND(I2721="TN",S2721&lt;=2800),VLOOKUP(AF2721,TNCalibEq2500!$AZ$2:$BB$56,3,),IF(AND(I2721="TDN",S2721&lt;=2800),VLOOKUP(AF2721,TNCalibEq2500!$AZ$2:$BB$56,3,)))</f>
        <v>y=-1.3255x2+193.01x-127.15</v>
      </c>
      <c r="AU2721" s="10" t="str">
        <f>IF(I2721="TP",VLOOKUP(AF2721,TPCalibEqFull!$AZ$2:$BB$56,3),IF(I2721="TDP",VLOOKUP(AF2721,TPCalibEqFull!$AZ$2:$BB$56,3),IF(I2721="TDN",VLOOKUP(AF2721,TNCalibEqFull!$AZ$1:$BB$56,3),IF(I2721="TN",VLOOKUP(AF2721,TNCalibEqFull!$AZ$1:$BB$56,3),FALSE))))</f>
        <v>y=-0.215x2+181.97x-117.15</v>
      </c>
      <c r="AV2721" s="10" t="str">
        <f t="shared" si="310"/>
        <v>0208 09:11:00-EOF-10-FIL-1-SW-UKN</v>
      </c>
    </row>
    <row r="2722" spans="1:48" s="10" customFormat="1" x14ac:dyDescent="0.55000000000000004">
      <c r="A2722" s="32">
        <v>44965</v>
      </c>
      <c r="B2722" s="33">
        <v>0.38472222222222219</v>
      </c>
      <c r="C2722" s="10" t="s">
        <v>428</v>
      </c>
      <c r="D2722" s="10">
        <v>20</v>
      </c>
      <c r="E2722" s="10" t="s">
        <v>911</v>
      </c>
      <c r="F2722" s="10">
        <v>1</v>
      </c>
      <c r="G2722" s="10" t="s">
        <v>231</v>
      </c>
      <c r="H2722" s="10" t="s">
        <v>322</v>
      </c>
      <c r="I2722" s="10" t="s">
        <v>224</v>
      </c>
      <c r="J2722" s="10">
        <v>112</v>
      </c>
      <c r="K2722" s="12">
        <v>44967</v>
      </c>
      <c r="L2722" s="33">
        <v>0.50703703703703706</v>
      </c>
      <c r="M2722" s="10">
        <v>1</v>
      </c>
      <c r="N2722" s="10" t="s">
        <v>196</v>
      </c>
      <c r="O2722" s="10">
        <v>7.19</v>
      </c>
      <c r="P2722" s="10">
        <v>0.35199999999999998</v>
      </c>
      <c r="Q2722" s="10">
        <v>1170</v>
      </c>
      <c r="R2722" s="10" t="s">
        <v>170</v>
      </c>
      <c r="S2722" s="34">
        <f t="shared" si="307"/>
        <v>1192.0687194499999</v>
      </c>
      <c r="T2722" s="10" t="s">
        <v>1185</v>
      </c>
      <c r="U2722" s="34" t="str">
        <f t="shared" si="308"/>
        <v/>
      </c>
      <c r="V2722" s="31" t="str">
        <f>IF(H2722="CHK",VLOOKUP(I2722,QCCHK,3,),IF(H2722="GUP",VLOOKUP(E2722,QCGUP,2,),IF(AND(H2722="ATP",OR(I2722="TN",I2722="TDN",I2722="TNO2-3",I2722="NO2-3")),VLOOKUP(E2722,QCREC_N,2,),IF(AND(H2722="NIC",OR(I2722="TN",I2722="TDN",I2722="TNO2-3",I2722="NO2-3")),VLOOKUP(E2722,QCNIC_N,2,),IF(AND(H2722="UREA",OR(I2722="TN",I2722="TDN",I2722="TNO2-3",I2722="NO2-3")),VLOOKUP(E2722,QCUREA_N,2,),IF(H2722="PER",VLOOKUP(I2722,QCPER,MATCH(E2722,QCACTUAL!$J$25:$AA$25,0),),IF(H2722="SPK",VLOOKUP(I2722,QCSPK,3,),IF(AND(H2722="ATP",OR(I2722="TP",I2722="TDP")),VLOOKUP(E2722,QCATP_P,2,),""))))))))</f>
        <v/>
      </c>
      <c r="W2722" s="31" t="str">
        <f t="shared" si="309"/>
        <v>TRUE</v>
      </c>
      <c r="X2722" s="31" t="str">
        <f t="shared" si="306"/>
        <v/>
      </c>
      <c r="Y2722" s="10" t="s">
        <v>1178</v>
      </c>
      <c r="AF2722" s="12">
        <v>44967</v>
      </c>
      <c r="AJ2722" s="10">
        <f>-1.3255*7.19^2+193.01*7.19-127.15</f>
        <v>1192.0687194499999</v>
      </c>
      <c r="AK2722" s="10">
        <f>-0.215*7.19^2+181.97*7.19-117.15</f>
        <v>1180.0996384999999</v>
      </c>
      <c r="AL2722" s="10" t="str">
        <f t="shared" si="304"/>
        <v>FALSE</v>
      </c>
      <c r="AM2722" s="10" t="str">
        <f t="shared" si="304"/>
        <v>FALSE</v>
      </c>
      <c r="AN2722" s="10" t="str">
        <f t="shared" si="304"/>
        <v>FALSE</v>
      </c>
      <c r="AO2722" s="10" t="str">
        <f t="shared" si="305"/>
        <v>y=-1.3255*7.19^2+193.01*7.19-127.15</v>
      </c>
      <c r="AP2722" s="10" t="str">
        <f t="shared" si="305"/>
        <v>y=-0.215*7.19^2+181.97*7.19-117.15</v>
      </c>
      <c r="AQ2722" s="10" t="b">
        <f>IF(AND(I2722="TP",S2722&lt;=150),VLOOKUP(AF2722,TPCalibEq150!$AZ$2:$BB$55,3,),IF(AND(I2722="TDP",S2722&lt;=150),VLOOKUP(AF2722,TPCalibEq150!$AZ$2:$BB$55,3,)))</f>
        <v>0</v>
      </c>
      <c r="AR2722" s="10" t="b">
        <f>IF(AND(I2722="TP",S2722&lt;=300),VLOOKUP(AF2722,TPCalibEq300!$AZ$2:$BB$55,3,),IF(AND(I2722="TDP",S2722&lt;=300),VLOOKUP(AF2722,TPCalibEq300!$AZ$2:$BB$55,3,)))</f>
        <v>0</v>
      </c>
      <c r="AS2722" s="10" t="b">
        <f>IF(AND(I2722="TP",S2722&lt;=500),VLOOKUP(AF2722,TPCalibEq500!$AZ$2:$BB$56,3,),IF(AND(I2722="TDP",S2722&lt;=500),VLOOKUP(AF2722,TPCalibEq500!$AZ$2:$BB$56,3,)))</f>
        <v>0</v>
      </c>
      <c r="AT2722" s="10" t="str">
        <f>IF(AND(I2722="TN",S2722&lt;=2800),VLOOKUP(AF2722,TNCalibEq2500!$AZ$2:$BB$56,3,),IF(AND(I2722="TDN",S2722&lt;=2800),VLOOKUP(AF2722,TNCalibEq2500!$AZ$2:$BB$56,3,)))</f>
        <v>y=-1.3255x2+193.01x-127.15</v>
      </c>
      <c r="AU2722" s="10" t="str">
        <f>IF(I2722="TP",VLOOKUP(AF2722,TPCalibEqFull!$AZ$2:$BB$56,3),IF(I2722="TDP",VLOOKUP(AF2722,TPCalibEqFull!$AZ$2:$BB$56,3),IF(I2722="TDN",VLOOKUP(AF2722,TNCalibEqFull!$AZ$1:$BB$56,3),IF(I2722="TN",VLOOKUP(AF2722,TNCalibEqFull!$AZ$1:$BB$56,3),FALSE))))</f>
        <v>y=-0.215x2+181.97x-117.15</v>
      </c>
      <c r="AV2722" s="10" t="str">
        <f t="shared" si="310"/>
        <v>0208 09:14:00-EOF-20-FIL-1-SW-UKN</v>
      </c>
    </row>
    <row r="2723" spans="1:48" s="10" customFormat="1" x14ac:dyDescent="0.55000000000000004">
      <c r="A2723" s="32">
        <v>44965</v>
      </c>
      <c r="B2723" s="33">
        <v>0.38877314814814817</v>
      </c>
      <c r="C2723" s="10" t="s">
        <v>428</v>
      </c>
      <c r="D2723" s="10">
        <v>80</v>
      </c>
      <c r="E2723" s="10" t="s">
        <v>911</v>
      </c>
      <c r="F2723" s="10">
        <v>1</v>
      </c>
      <c r="G2723" s="10" t="s">
        <v>231</v>
      </c>
      <c r="H2723" s="10" t="s">
        <v>322</v>
      </c>
      <c r="I2723" s="10" t="s">
        <v>224</v>
      </c>
      <c r="J2723" s="10">
        <v>113</v>
      </c>
      <c r="K2723" s="12">
        <v>44967</v>
      </c>
      <c r="L2723" s="33">
        <v>0.50770833333333332</v>
      </c>
      <c r="M2723" s="10">
        <v>1</v>
      </c>
      <c r="N2723" s="10" t="s">
        <v>196</v>
      </c>
      <c r="O2723" s="10">
        <v>7.31</v>
      </c>
      <c r="P2723" s="10">
        <v>0.35699999999999998</v>
      </c>
      <c r="Q2723" s="10">
        <v>1190</v>
      </c>
      <c r="R2723" s="10" t="s">
        <v>170</v>
      </c>
      <c r="S2723" s="34">
        <f t="shared" si="307"/>
        <v>1212.9235494499997</v>
      </c>
      <c r="T2723" s="10" t="s">
        <v>1185</v>
      </c>
      <c r="U2723" s="34" t="str">
        <f t="shared" si="308"/>
        <v/>
      </c>
      <c r="V2723" s="31" t="str">
        <f>IF(H2723="CHK",VLOOKUP(I2723,QCCHK,3,),IF(H2723="GUP",VLOOKUP(E2723,QCGUP,2,),IF(AND(H2723="ATP",OR(I2723="TN",I2723="TDN",I2723="TNO2-3",I2723="NO2-3")),VLOOKUP(E2723,QCREC_N,2,),IF(AND(H2723="NIC",OR(I2723="TN",I2723="TDN",I2723="TNO2-3",I2723="NO2-3")),VLOOKUP(E2723,QCNIC_N,2,),IF(AND(H2723="UREA",OR(I2723="TN",I2723="TDN",I2723="TNO2-3",I2723="NO2-3")),VLOOKUP(E2723,QCUREA_N,2,),IF(H2723="PER",VLOOKUP(I2723,QCPER,MATCH(E2723,QCACTUAL!$J$25:$AA$25,0),),IF(H2723="SPK",VLOOKUP(I2723,QCSPK,3,),IF(AND(H2723="ATP",OR(I2723="TP",I2723="TDP")),VLOOKUP(E2723,QCATP_P,2,),""))))))))</f>
        <v/>
      </c>
      <c r="W2723" s="31" t="str">
        <f t="shared" si="309"/>
        <v>TRUE</v>
      </c>
      <c r="X2723" s="31" t="str">
        <f t="shared" si="306"/>
        <v/>
      </c>
      <c r="Y2723" s="10" t="s">
        <v>1178</v>
      </c>
      <c r="AF2723" s="12">
        <v>44967</v>
      </c>
      <c r="AJ2723" s="10">
        <f>-1.3255*7.31^2+193.01*7.31-127.15</f>
        <v>1212.9235494499997</v>
      </c>
      <c r="AK2723" s="10">
        <f>-0.215*7.31^2+181.97*7.31-117.15</f>
        <v>1201.5619384999998</v>
      </c>
      <c r="AL2723" s="10" t="str">
        <f t="shared" si="304"/>
        <v>FALSE</v>
      </c>
      <c r="AM2723" s="10" t="str">
        <f t="shared" si="304"/>
        <v>FALSE</v>
      </c>
      <c r="AN2723" s="10" t="str">
        <f t="shared" si="304"/>
        <v>FALSE</v>
      </c>
      <c r="AO2723" s="10" t="str">
        <f t="shared" si="305"/>
        <v>y=-1.3255*7.31^2+193.01*7.31-127.15</v>
      </c>
      <c r="AP2723" s="10" t="str">
        <f t="shared" si="305"/>
        <v>y=-0.215*7.31^2+181.97*7.31-117.15</v>
      </c>
      <c r="AQ2723" s="10" t="b">
        <f>IF(AND(I2723="TP",S2723&lt;=150),VLOOKUP(AF2723,TPCalibEq150!$AZ$2:$BB$55,3,),IF(AND(I2723="TDP",S2723&lt;=150),VLOOKUP(AF2723,TPCalibEq150!$AZ$2:$BB$55,3,)))</f>
        <v>0</v>
      </c>
      <c r="AR2723" s="10" t="b">
        <f>IF(AND(I2723="TP",S2723&lt;=300),VLOOKUP(AF2723,TPCalibEq300!$AZ$2:$BB$55,3,),IF(AND(I2723="TDP",S2723&lt;=300),VLOOKUP(AF2723,TPCalibEq300!$AZ$2:$BB$55,3,)))</f>
        <v>0</v>
      </c>
      <c r="AS2723" s="10" t="b">
        <f>IF(AND(I2723="TP",S2723&lt;=500),VLOOKUP(AF2723,TPCalibEq500!$AZ$2:$BB$56,3,),IF(AND(I2723="TDP",S2723&lt;=500),VLOOKUP(AF2723,TPCalibEq500!$AZ$2:$BB$56,3,)))</f>
        <v>0</v>
      </c>
      <c r="AT2723" s="10" t="str">
        <f>IF(AND(I2723="TN",S2723&lt;=2800),VLOOKUP(AF2723,TNCalibEq2500!$AZ$2:$BB$56,3,),IF(AND(I2723="TDN",S2723&lt;=2800),VLOOKUP(AF2723,TNCalibEq2500!$AZ$2:$BB$56,3,)))</f>
        <v>y=-1.3255x2+193.01x-127.15</v>
      </c>
      <c r="AU2723" s="10" t="str">
        <f>IF(I2723="TP",VLOOKUP(AF2723,TPCalibEqFull!$AZ$2:$BB$56,3),IF(I2723="TDP",VLOOKUP(AF2723,TPCalibEqFull!$AZ$2:$BB$56,3),IF(I2723="TDN",VLOOKUP(AF2723,TNCalibEqFull!$AZ$1:$BB$56,3),IF(I2723="TN",VLOOKUP(AF2723,TNCalibEqFull!$AZ$1:$BB$56,3),FALSE))))</f>
        <v>y=-0.215x2+181.97x-117.15</v>
      </c>
      <c r="AV2723" s="10" t="str">
        <f t="shared" si="310"/>
        <v>0208 09:19:50-EOF-80-FIL-1-SW-UKN</v>
      </c>
    </row>
    <row r="2724" spans="1:48" s="10" customFormat="1" x14ac:dyDescent="0.55000000000000004">
      <c r="A2724" s="32">
        <v>44965</v>
      </c>
      <c r="B2724" s="33">
        <v>0.4201388888888889</v>
      </c>
      <c r="C2724" s="10" t="s">
        <v>611</v>
      </c>
      <c r="D2724" s="10">
        <v>0</v>
      </c>
      <c r="E2724" s="10" t="s">
        <v>911</v>
      </c>
      <c r="F2724" s="10">
        <v>1</v>
      </c>
      <c r="G2724" s="10" t="s">
        <v>231</v>
      </c>
      <c r="H2724" s="10" t="s">
        <v>322</v>
      </c>
      <c r="I2724" s="10" t="s">
        <v>224</v>
      </c>
      <c r="J2724" s="10">
        <v>114</v>
      </c>
      <c r="K2724" s="12">
        <v>44967</v>
      </c>
      <c r="L2724" s="33">
        <v>0.50836805555555553</v>
      </c>
      <c r="M2724" s="10">
        <v>1</v>
      </c>
      <c r="N2724" s="10" t="s">
        <v>196</v>
      </c>
      <c r="O2724" s="10">
        <v>7.12</v>
      </c>
      <c r="P2724" s="10">
        <v>0.34799999999999998</v>
      </c>
      <c r="Q2724" s="10">
        <v>1150</v>
      </c>
      <c r="R2724" s="10" t="s">
        <v>170</v>
      </c>
      <c r="S2724" s="34">
        <f t="shared" si="307"/>
        <v>1179.8857727999998</v>
      </c>
      <c r="T2724" s="10" t="s">
        <v>1185</v>
      </c>
      <c r="U2724" s="34" t="str">
        <f t="shared" si="308"/>
        <v/>
      </c>
      <c r="V2724" s="31" t="str">
        <f>IF(H2724="CHK",VLOOKUP(I2724,QCCHK,3,),IF(H2724="GUP",VLOOKUP(E2724,QCGUP,2,),IF(AND(H2724="ATP",OR(I2724="TN",I2724="TDN",I2724="TNO2-3",I2724="NO2-3")),VLOOKUP(E2724,QCREC_N,2,),IF(AND(H2724="NIC",OR(I2724="TN",I2724="TDN",I2724="TNO2-3",I2724="NO2-3")),VLOOKUP(E2724,QCNIC_N,2,),IF(AND(H2724="UREA",OR(I2724="TN",I2724="TDN",I2724="TNO2-3",I2724="NO2-3")),VLOOKUP(E2724,QCUREA_N,2,),IF(H2724="PER",VLOOKUP(I2724,QCPER,MATCH(E2724,QCACTUAL!$J$25:$AA$25,0),),IF(H2724="SPK",VLOOKUP(I2724,QCSPK,3,),IF(AND(H2724="ATP",OR(I2724="TP",I2724="TDP")),VLOOKUP(E2724,QCATP_P,2,),""))))))))</f>
        <v/>
      </c>
      <c r="W2724" s="31" t="str">
        <f t="shared" si="309"/>
        <v>TRUE</v>
      </c>
      <c r="X2724" s="31" t="str">
        <f t="shared" si="306"/>
        <v/>
      </c>
      <c r="Y2724" s="10" t="s">
        <v>1178</v>
      </c>
      <c r="AF2724" s="12">
        <v>44967</v>
      </c>
      <c r="AJ2724" s="10">
        <f>-1.3255*7.12^2+193.01*7.12-127.15</f>
        <v>1179.8857727999998</v>
      </c>
      <c r="AK2724" s="10">
        <f>-0.215*7.12^2+181.97*7.12-117.15</f>
        <v>1167.577104</v>
      </c>
      <c r="AL2724" s="10" t="str">
        <f t="shared" si="304"/>
        <v>FALSE</v>
      </c>
      <c r="AM2724" s="10" t="str">
        <f t="shared" si="304"/>
        <v>FALSE</v>
      </c>
      <c r="AN2724" s="10" t="str">
        <f t="shared" si="304"/>
        <v>FALSE</v>
      </c>
      <c r="AO2724" s="10" t="str">
        <f t="shared" si="305"/>
        <v>y=-1.3255*7.12^2+193.01*7.12-127.15</v>
      </c>
      <c r="AP2724" s="10" t="str">
        <f t="shared" si="305"/>
        <v>y=-0.215*7.12^2+181.97*7.12-117.15</v>
      </c>
      <c r="AQ2724" s="10" t="b">
        <f>IF(AND(I2724="TP",S2724&lt;=150),VLOOKUP(AF2724,TPCalibEq150!$AZ$2:$BB$55,3,),IF(AND(I2724="TDP",S2724&lt;=150),VLOOKUP(AF2724,TPCalibEq150!$AZ$2:$BB$55,3,)))</f>
        <v>0</v>
      </c>
      <c r="AR2724" s="10" t="b">
        <f>IF(AND(I2724="TP",S2724&lt;=300),VLOOKUP(AF2724,TPCalibEq300!$AZ$2:$BB$55,3,),IF(AND(I2724="TDP",S2724&lt;=300),VLOOKUP(AF2724,TPCalibEq300!$AZ$2:$BB$55,3,)))</f>
        <v>0</v>
      </c>
      <c r="AS2724" s="10" t="b">
        <f>IF(AND(I2724="TP",S2724&lt;=500),VLOOKUP(AF2724,TPCalibEq500!$AZ$2:$BB$56,3,),IF(AND(I2724="TDP",S2724&lt;=500),VLOOKUP(AF2724,TPCalibEq500!$AZ$2:$BB$56,3,)))</f>
        <v>0</v>
      </c>
      <c r="AT2724" s="10" t="str">
        <f>IF(AND(I2724="TN",S2724&lt;=2800),VLOOKUP(AF2724,TNCalibEq2500!$AZ$2:$BB$56,3,),IF(AND(I2724="TDN",S2724&lt;=2800),VLOOKUP(AF2724,TNCalibEq2500!$AZ$2:$BB$56,3,)))</f>
        <v>y=-1.3255x2+193.01x-127.15</v>
      </c>
      <c r="AU2724" s="10" t="str">
        <f>IF(I2724="TP",VLOOKUP(AF2724,TPCalibEqFull!$AZ$2:$BB$56,3),IF(I2724="TDP",VLOOKUP(AF2724,TPCalibEqFull!$AZ$2:$BB$56,3),IF(I2724="TDN",VLOOKUP(AF2724,TNCalibEqFull!$AZ$1:$BB$56,3),IF(I2724="TN",VLOOKUP(AF2724,TNCalibEqFull!$AZ$1:$BB$56,3),FALSE))))</f>
        <v>y=-0.215x2+181.97x-117.15</v>
      </c>
      <c r="AV2724" s="10" t="str">
        <f t="shared" si="310"/>
        <v>0208 10:05:00-BUO-0-FIL-1-SW-UKN</v>
      </c>
    </row>
    <row r="2725" spans="1:48" s="10" customFormat="1" x14ac:dyDescent="0.55000000000000004">
      <c r="A2725" s="32">
        <v>44965</v>
      </c>
      <c r="B2725" s="33">
        <v>0.42291666666666666</v>
      </c>
      <c r="C2725" s="10" t="s">
        <v>611</v>
      </c>
      <c r="D2725" s="10">
        <v>5</v>
      </c>
      <c r="E2725" s="10" t="s">
        <v>911</v>
      </c>
      <c r="F2725" s="10">
        <v>1</v>
      </c>
      <c r="G2725" s="10" t="s">
        <v>231</v>
      </c>
      <c r="H2725" s="10" t="s">
        <v>322</v>
      </c>
      <c r="I2725" s="10" t="s">
        <v>224</v>
      </c>
      <c r="J2725" s="10">
        <v>115</v>
      </c>
      <c r="K2725" s="12">
        <v>44967</v>
      </c>
      <c r="L2725" s="33">
        <v>0.50903935185185178</v>
      </c>
      <c r="M2725" s="10">
        <v>1</v>
      </c>
      <c r="N2725" s="10" t="s">
        <v>196</v>
      </c>
      <c r="O2725" s="10">
        <v>7.41</v>
      </c>
      <c r="P2725" s="10">
        <v>0.36299999999999999</v>
      </c>
      <c r="Q2725" s="10">
        <v>1200</v>
      </c>
      <c r="R2725" s="10" t="s">
        <v>170</v>
      </c>
      <c r="S2725" s="34">
        <f t="shared" si="307"/>
        <v>1230.2734134499999</v>
      </c>
      <c r="T2725" s="10" t="s">
        <v>1185</v>
      </c>
      <c r="U2725" s="34" t="str">
        <f t="shared" si="308"/>
        <v/>
      </c>
      <c r="V2725" s="31" t="str">
        <f>IF(H2725="CHK",VLOOKUP(I2725,QCCHK,3,),IF(H2725="GUP",VLOOKUP(E2725,QCGUP,2,),IF(AND(H2725="ATP",OR(I2725="TN",I2725="TDN",I2725="TNO2-3",I2725="NO2-3")),VLOOKUP(E2725,QCREC_N,2,),IF(AND(H2725="NIC",OR(I2725="TN",I2725="TDN",I2725="TNO2-3",I2725="NO2-3")),VLOOKUP(E2725,QCNIC_N,2,),IF(AND(H2725="UREA",OR(I2725="TN",I2725="TDN",I2725="TNO2-3",I2725="NO2-3")),VLOOKUP(E2725,QCUREA_N,2,),IF(H2725="PER",VLOOKUP(I2725,QCPER,MATCH(E2725,QCACTUAL!$J$25:$AA$25,0),),IF(H2725="SPK",VLOOKUP(I2725,QCSPK,3,),IF(AND(H2725="ATP",OR(I2725="TP",I2725="TDP")),VLOOKUP(E2725,QCATP_P,2,),""))))))))</f>
        <v/>
      </c>
      <c r="W2725" s="31" t="str">
        <f t="shared" si="309"/>
        <v>TRUE</v>
      </c>
      <c r="X2725" s="31" t="str">
        <f t="shared" si="306"/>
        <v/>
      </c>
      <c r="Y2725" s="10" t="s">
        <v>1178</v>
      </c>
      <c r="AF2725" s="12">
        <v>44967</v>
      </c>
      <c r="AJ2725" s="10">
        <f>-1.3255*7.41^2+193.01*7.41-127.15</f>
        <v>1230.2734134499999</v>
      </c>
      <c r="AK2725" s="10">
        <f>-0.215*7.41^2+181.97*7.41-117.15</f>
        <v>1219.4424584999999</v>
      </c>
      <c r="AL2725" s="10" t="str">
        <f t="shared" si="304"/>
        <v>FALSE</v>
      </c>
      <c r="AM2725" s="10" t="str">
        <f t="shared" si="304"/>
        <v>FALSE</v>
      </c>
      <c r="AN2725" s="10" t="str">
        <f t="shared" si="304"/>
        <v>FALSE</v>
      </c>
      <c r="AO2725" s="10" t="str">
        <f t="shared" si="305"/>
        <v>y=-1.3255*7.41^2+193.01*7.41-127.15</v>
      </c>
      <c r="AP2725" s="10" t="str">
        <f t="shared" si="305"/>
        <v>y=-0.215*7.41^2+181.97*7.41-117.15</v>
      </c>
      <c r="AQ2725" s="10" t="b">
        <f>IF(AND(I2725="TP",S2725&lt;=150),VLOOKUP(AF2725,TPCalibEq150!$AZ$2:$BB$55,3,),IF(AND(I2725="TDP",S2725&lt;=150),VLOOKUP(AF2725,TPCalibEq150!$AZ$2:$BB$55,3,)))</f>
        <v>0</v>
      </c>
      <c r="AR2725" s="10" t="b">
        <f>IF(AND(I2725="TP",S2725&lt;=300),VLOOKUP(AF2725,TPCalibEq300!$AZ$2:$BB$55,3,),IF(AND(I2725="TDP",S2725&lt;=300),VLOOKUP(AF2725,TPCalibEq300!$AZ$2:$BB$55,3,)))</f>
        <v>0</v>
      </c>
      <c r="AS2725" s="10" t="b">
        <f>IF(AND(I2725="TP",S2725&lt;=500),VLOOKUP(AF2725,TPCalibEq500!$AZ$2:$BB$56,3,),IF(AND(I2725="TDP",S2725&lt;=500),VLOOKUP(AF2725,TPCalibEq500!$AZ$2:$BB$56,3,)))</f>
        <v>0</v>
      </c>
      <c r="AT2725" s="10" t="str">
        <f>IF(AND(I2725="TN",S2725&lt;=2800),VLOOKUP(AF2725,TNCalibEq2500!$AZ$2:$BB$56,3,),IF(AND(I2725="TDN",S2725&lt;=2800),VLOOKUP(AF2725,TNCalibEq2500!$AZ$2:$BB$56,3,)))</f>
        <v>y=-1.3255x2+193.01x-127.15</v>
      </c>
      <c r="AU2725" s="10" t="str">
        <f>IF(I2725="TP",VLOOKUP(AF2725,TPCalibEqFull!$AZ$2:$BB$56,3),IF(I2725="TDP",VLOOKUP(AF2725,TPCalibEqFull!$AZ$2:$BB$56,3),IF(I2725="TDN",VLOOKUP(AF2725,TNCalibEqFull!$AZ$1:$BB$56,3),IF(I2725="TN",VLOOKUP(AF2725,TNCalibEqFull!$AZ$1:$BB$56,3),FALSE))))</f>
        <v>y=-0.215x2+181.97x-117.15</v>
      </c>
      <c r="AV2725" s="10" t="str">
        <f t="shared" si="310"/>
        <v>0208 10:09:00-BUO-5-FIL-1-SW-UKN</v>
      </c>
    </row>
    <row r="2726" spans="1:48" s="10" customFormat="1" x14ac:dyDescent="0.55000000000000004">
      <c r="A2726" s="32">
        <v>44965</v>
      </c>
      <c r="B2726" s="33">
        <v>0.42499999999999999</v>
      </c>
      <c r="C2726" s="10" t="s">
        <v>611</v>
      </c>
      <c r="D2726" s="10">
        <v>10</v>
      </c>
      <c r="E2726" s="10" t="s">
        <v>911</v>
      </c>
      <c r="F2726" s="10">
        <v>1</v>
      </c>
      <c r="G2726" s="10" t="s">
        <v>231</v>
      </c>
      <c r="H2726" s="10" t="s">
        <v>322</v>
      </c>
      <c r="I2726" s="10" t="s">
        <v>224</v>
      </c>
      <c r="J2726" s="10">
        <v>116</v>
      </c>
      <c r="K2726" s="12">
        <v>44967</v>
      </c>
      <c r="L2726" s="33">
        <v>0.50969907407407411</v>
      </c>
      <c r="M2726" s="10">
        <v>1</v>
      </c>
      <c r="N2726" s="10" t="s">
        <v>196</v>
      </c>
      <c r="O2726" s="10">
        <v>7.31</v>
      </c>
      <c r="P2726" s="10">
        <v>0.35799999999999998</v>
      </c>
      <c r="Q2726" s="10">
        <v>1190</v>
      </c>
      <c r="R2726" s="10" t="s">
        <v>170</v>
      </c>
      <c r="S2726" s="34">
        <f t="shared" si="307"/>
        <v>1212.9235494499997</v>
      </c>
      <c r="T2726" s="10" t="s">
        <v>1185</v>
      </c>
      <c r="U2726" s="34" t="str">
        <f t="shared" si="308"/>
        <v/>
      </c>
      <c r="V2726" s="31" t="str">
        <f>IF(H2726="CHK",VLOOKUP(I2726,QCCHK,3,),IF(H2726="GUP",VLOOKUP(E2726,QCGUP,2,),IF(AND(H2726="ATP",OR(I2726="TN",I2726="TDN",I2726="TNO2-3",I2726="NO2-3")),VLOOKUP(E2726,QCREC_N,2,),IF(AND(H2726="NIC",OR(I2726="TN",I2726="TDN",I2726="TNO2-3",I2726="NO2-3")),VLOOKUP(E2726,QCNIC_N,2,),IF(AND(H2726="UREA",OR(I2726="TN",I2726="TDN",I2726="TNO2-3",I2726="NO2-3")),VLOOKUP(E2726,QCUREA_N,2,),IF(H2726="PER",VLOOKUP(I2726,QCPER,MATCH(E2726,QCACTUAL!$J$25:$AA$25,0),),IF(H2726="SPK",VLOOKUP(I2726,QCSPK,3,),IF(AND(H2726="ATP",OR(I2726="TP",I2726="TDP")),VLOOKUP(E2726,QCATP_P,2,),""))))))))</f>
        <v/>
      </c>
      <c r="W2726" s="31" t="str">
        <f t="shared" si="309"/>
        <v>TRUE</v>
      </c>
      <c r="X2726" s="31" t="str">
        <f t="shared" si="306"/>
        <v/>
      </c>
      <c r="Y2726" s="10" t="s">
        <v>1178</v>
      </c>
      <c r="AF2726" s="12">
        <v>44967</v>
      </c>
      <c r="AJ2726" s="10">
        <f>-1.3255*7.31^2+193.01*7.31-127.15</f>
        <v>1212.9235494499997</v>
      </c>
      <c r="AK2726" s="10">
        <f>-0.215*7.31^2+181.97*7.31-117.15</f>
        <v>1201.5619384999998</v>
      </c>
      <c r="AL2726" s="10" t="str">
        <f t="shared" si="304"/>
        <v>FALSE</v>
      </c>
      <c r="AM2726" s="10" t="str">
        <f t="shared" si="304"/>
        <v>FALSE</v>
      </c>
      <c r="AN2726" s="10" t="str">
        <f t="shared" si="304"/>
        <v>FALSE</v>
      </c>
      <c r="AO2726" s="10" t="str">
        <f t="shared" si="305"/>
        <v>y=-1.3255*7.31^2+193.01*7.31-127.15</v>
      </c>
      <c r="AP2726" s="10" t="str">
        <f t="shared" si="305"/>
        <v>y=-0.215*7.31^2+181.97*7.31-117.15</v>
      </c>
      <c r="AQ2726" s="10" t="b">
        <f>IF(AND(I2726="TP",S2726&lt;=150),VLOOKUP(AF2726,TPCalibEq150!$AZ$2:$BB$55,3,),IF(AND(I2726="TDP",S2726&lt;=150),VLOOKUP(AF2726,TPCalibEq150!$AZ$2:$BB$55,3,)))</f>
        <v>0</v>
      </c>
      <c r="AR2726" s="10" t="b">
        <f>IF(AND(I2726="TP",S2726&lt;=300),VLOOKUP(AF2726,TPCalibEq300!$AZ$2:$BB$55,3,),IF(AND(I2726="TDP",S2726&lt;=300),VLOOKUP(AF2726,TPCalibEq300!$AZ$2:$BB$55,3,)))</f>
        <v>0</v>
      </c>
      <c r="AS2726" s="10" t="b">
        <f>IF(AND(I2726="TP",S2726&lt;=500),VLOOKUP(AF2726,TPCalibEq500!$AZ$2:$BB$56,3,),IF(AND(I2726="TDP",S2726&lt;=500),VLOOKUP(AF2726,TPCalibEq500!$AZ$2:$BB$56,3,)))</f>
        <v>0</v>
      </c>
      <c r="AT2726" s="10" t="str">
        <f>IF(AND(I2726="TN",S2726&lt;=2800),VLOOKUP(AF2726,TNCalibEq2500!$AZ$2:$BB$56,3,),IF(AND(I2726="TDN",S2726&lt;=2800),VLOOKUP(AF2726,TNCalibEq2500!$AZ$2:$BB$56,3,)))</f>
        <v>y=-1.3255x2+193.01x-127.15</v>
      </c>
      <c r="AU2726" s="10" t="str">
        <f>IF(I2726="TP",VLOOKUP(AF2726,TPCalibEqFull!$AZ$2:$BB$56,3),IF(I2726="TDP",VLOOKUP(AF2726,TPCalibEqFull!$AZ$2:$BB$56,3),IF(I2726="TDN",VLOOKUP(AF2726,TNCalibEqFull!$AZ$1:$BB$56,3),IF(I2726="TN",VLOOKUP(AF2726,TNCalibEqFull!$AZ$1:$BB$56,3),FALSE))))</f>
        <v>y=-0.215x2+181.97x-117.15</v>
      </c>
      <c r="AV2726" s="10" t="str">
        <f t="shared" si="310"/>
        <v>0208 10:12:00-BUO-10-FIL-1-SW-UKN</v>
      </c>
    </row>
    <row r="2727" spans="1:48" s="10" customFormat="1" x14ac:dyDescent="0.55000000000000004">
      <c r="A2727" s="32">
        <v>44965</v>
      </c>
      <c r="B2727" s="33">
        <v>0.42777777777777781</v>
      </c>
      <c r="C2727" s="10" t="s">
        <v>611</v>
      </c>
      <c r="D2727" s="10">
        <v>20</v>
      </c>
      <c r="E2727" s="10" t="s">
        <v>911</v>
      </c>
      <c r="F2727" s="10">
        <v>1</v>
      </c>
      <c r="G2727" s="10" t="s">
        <v>231</v>
      </c>
      <c r="H2727" s="10" t="s">
        <v>322</v>
      </c>
      <c r="I2727" s="10" t="s">
        <v>224</v>
      </c>
      <c r="J2727" s="10">
        <v>117</v>
      </c>
      <c r="K2727" s="12">
        <v>44967</v>
      </c>
      <c r="L2727" s="33">
        <v>0.51037037037037036</v>
      </c>
      <c r="M2727" s="10">
        <v>1</v>
      </c>
      <c r="N2727" s="10" t="s">
        <v>196</v>
      </c>
      <c r="O2727" s="10">
        <v>7.24</v>
      </c>
      <c r="P2727" s="10">
        <v>0.35399999999999998</v>
      </c>
      <c r="Q2727" s="10">
        <v>1170</v>
      </c>
      <c r="R2727" s="10" t="s">
        <v>170</v>
      </c>
      <c r="S2727" s="34">
        <f t="shared" si="307"/>
        <v>1200.7628711999998</v>
      </c>
      <c r="T2727" s="10" t="s">
        <v>1185</v>
      </c>
      <c r="U2727" s="34" t="str">
        <f t="shared" si="308"/>
        <v/>
      </c>
      <c r="V2727" s="31" t="str">
        <f>IF(H2727="CHK",VLOOKUP(I2727,QCCHK,3,),IF(H2727="GUP",VLOOKUP(E2727,QCGUP,2,),IF(AND(H2727="ATP",OR(I2727="TN",I2727="TDN",I2727="TNO2-3",I2727="NO2-3")),VLOOKUP(E2727,QCREC_N,2,),IF(AND(H2727="NIC",OR(I2727="TN",I2727="TDN",I2727="TNO2-3",I2727="NO2-3")),VLOOKUP(E2727,QCNIC_N,2,),IF(AND(H2727="UREA",OR(I2727="TN",I2727="TDN",I2727="TNO2-3",I2727="NO2-3")),VLOOKUP(E2727,QCUREA_N,2,),IF(H2727="PER",VLOOKUP(I2727,QCPER,MATCH(E2727,QCACTUAL!$J$25:$AA$25,0),),IF(H2727="SPK",VLOOKUP(I2727,QCSPK,3,),IF(AND(H2727="ATP",OR(I2727="TP",I2727="TDP")),VLOOKUP(E2727,QCATP_P,2,),""))))))))</f>
        <v/>
      </c>
      <c r="W2727" s="31" t="str">
        <f t="shared" si="309"/>
        <v>TRUE</v>
      </c>
      <c r="X2727" s="31" t="str">
        <f t="shared" si="306"/>
        <v/>
      </c>
      <c r="Y2727" s="10" t="s">
        <v>1178</v>
      </c>
      <c r="AF2727" s="12">
        <v>44967</v>
      </c>
      <c r="AJ2727" s="10">
        <f>-1.3255*7.24^2+193.01*7.24-127.15</f>
        <v>1200.7628711999998</v>
      </c>
      <c r="AK2727" s="10">
        <f>-0.215*7.24^2+181.97*7.24-117.15</f>
        <v>1189.0430159999999</v>
      </c>
      <c r="AL2727" s="10" t="str">
        <f t="shared" si="304"/>
        <v>FALSE</v>
      </c>
      <c r="AM2727" s="10" t="str">
        <f t="shared" si="304"/>
        <v>FALSE</v>
      </c>
      <c r="AN2727" s="10" t="str">
        <f t="shared" si="304"/>
        <v>FALSE</v>
      </c>
      <c r="AO2727" s="10" t="str">
        <f t="shared" si="305"/>
        <v>y=-1.3255*7.24^2+193.01*7.24-127.15</v>
      </c>
      <c r="AP2727" s="10" t="str">
        <f t="shared" si="305"/>
        <v>y=-0.215*7.24^2+181.97*7.24-117.15</v>
      </c>
      <c r="AQ2727" s="10" t="b">
        <f>IF(AND(I2727="TP",S2727&lt;=150),VLOOKUP(AF2727,TPCalibEq150!$AZ$2:$BB$55,3,),IF(AND(I2727="TDP",S2727&lt;=150),VLOOKUP(AF2727,TPCalibEq150!$AZ$2:$BB$55,3,)))</f>
        <v>0</v>
      </c>
      <c r="AR2727" s="10" t="b">
        <f>IF(AND(I2727="TP",S2727&lt;=300),VLOOKUP(AF2727,TPCalibEq300!$AZ$2:$BB$55,3,),IF(AND(I2727="TDP",S2727&lt;=300),VLOOKUP(AF2727,TPCalibEq300!$AZ$2:$BB$55,3,)))</f>
        <v>0</v>
      </c>
      <c r="AS2727" s="10" t="b">
        <f>IF(AND(I2727="TP",S2727&lt;=500),VLOOKUP(AF2727,TPCalibEq500!$AZ$2:$BB$56,3,),IF(AND(I2727="TDP",S2727&lt;=500),VLOOKUP(AF2727,TPCalibEq500!$AZ$2:$BB$56,3,)))</f>
        <v>0</v>
      </c>
      <c r="AT2727" s="10" t="str">
        <f>IF(AND(I2727="TN",S2727&lt;=2800),VLOOKUP(AF2727,TNCalibEq2500!$AZ$2:$BB$56,3,),IF(AND(I2727="TDN",S2727&lt;=2800),VLOOKUP(AF2727,TNCalibEq2500!$AZ$2:$BB$56,3,)))</f>
        <v>y=-1.3255x2+193.01x-127.15</v>
      </c>
      <c r="AU2727" s="10" t="str">
        <f>IF(I2727="TP",VLOOKUP(AF2727,TPCalibEqFull!$AZ$2:$BB$56,3),IF(I2727="TDP",VLOOKUP(AF2727,TPCalibEqFull!$AZ$2:$BB$56,3),IF(I2727="TDN",VLOOKUP(AF2727,TNCalibEqFull!$AZ$1:$BB$56,3),IF(I2727="TN",VLOOKUP(AF2727,TNCalibEqFull!$AZ$1:$BB$56,3),FALSE))))</f>
        <v>y=-0.215x2+181.97x-117.15</v>
      </c>
      <c r="AV2727" s="10" t="str">
        <f t="shared" si="310"/>
        <v>0208 10:16:00-BUO-20-FIL-1-SW-UKN</v>
      </c>
    </row>
    <row r="2728" spans="1:48" s="10" customFormat="1" x14ac:dyDescent="0.55000000000000004">
      <c r="A2728" s="32">
        <v>44965</v>
      </c>
      <c r="B2728" s="33">
        <v>0.43055555555555558</v>
      </c>
      <c r="C2728" s="10" t="s">
        <v>611</v>
      </c>
      <c r="D2728" s="10">
        <v>46</v>
      </c>
      <c r="E2728" s="10" t="s">
        <v>911</v>
      </c>
      <c r="F2728" s="10">
        <v>1</v>
      </c>
      <c r="G2728" s="10" t="s">
        <v>231</v>
      </c>
      <c r="H2728" s="10" t="s">
        <v>322</v>
      </c>
      <c r="I2728" s="10" t="s">
        <v>224</v>
      </c>
      <c r="J2728" s="10">
        <v>118</v>
      </c>
      <c r="K2728" s="12">
        <v>44967</v>
      </c>
      <c r="L2728" s="33">
        <v>0.51103009259259258</v>
      </c>
      <c r="M2728" s="10">
        <v>1</v>
      </c>
      <c r="N2728" s="10" t="s">
        <v>196</v>
      </c>
      <c r="O2728" s="10">
        <v>7.61</v>
      </c>
      <c r="P2728" s="10">
        <v>0.372</v>
      </c>
      <c r="Q2728" s="10">
        <v>1240</v>
      </c>
      <c r="R2728" s="10" t="s">
        <v>170</v>
      </c>
      <c r="S2728" s="34">
        <f t="shared" si="307"/>
        <v>1264.89361145</v>
      </c>
      <c r="T2728" s="10" t="s">
        <v>1185</v>
      </c>
      <c r="U2728" s="34" t="str">
        <f t="shared" si="308"/>
        <v/>
      </c>
      <c r="V2728" s="31" t="str">
        <f>IF(H2728="CHK",VLOOKUP(I2728,QCCHK,3,),IF(H2728="GUP",VLOOKUP(E2728,QCGUP,2,),IF(AND(H2728="ATP",OR(I2728="TN",I2728="TDN",I2728="TNO2-3",I2728="NO2-3")),VLOOKUP(E2728,QCREC_N,2,),IF(AND(H2728="NIC",OR(I2728="TN",I2728="TDN",I2728="TNO2-3",I2728="NO2-3")),VLOOKUP(E2728,QCNIC_N,2,),IF(AND(H2728="UREA",OR(I2728="TN",I2728="TDN",I2728="TNO2-3",I2728="NO2-3")),VLOOKUP(E2728,QCUREA_N,2,),IF(H2728="PER",VLOOKUP(I2728,QCPER,MATCH(E2728,QCACTUAL!$J$25:$AA$25,0),),IF(H2728="SPK",VLOOKUP(I2728,QCSPK,3,),IF(AND(H2728="ATP",OR(I2728="TP",I2728="TDP")),VLOOKUP(E2728,QCATP_P,2,),""))))))))</f>
        <v/>
      </c>
      <c r="W2728" s="31" t="str">
        <f t="shared" si="309"/>
        <v>TRUE</v>
      </c>
      <c r="X2728" s="31" t="str">
        <f t="shared" si="306"/>
        <v/>
      </c>
      <c r="Y2728" s="10" t="s">
        <v>1178</v>
      </c>
      <c r="AF2728" s="12">
        <v>44967</v>
      </c>
      <c r="AJ2728" s="10">
        <f>-1.3255*7.61^2+193.01*7.61-127.15</f>
        <v>1264.89361145</v>
      </c>
      <c r="AK2728" s="10">
        <f>-0.215*7.61^2+181.97*7.61-117.15</f>
        <v>1255.1905984999999</v>
      </c>
      <c r="AL2728" s="10" t="str">
        <f t="shared" si="304"/>
        <v>FALSE</v>
      </c>
      <c r="AM2728" s="10" t="str">
        <f t="shared" si="304"/>
        <v>FALSE</v>
      </c>
      <c r="AN2728" s="10" t="str">
        <f t="shared" si="304"/>
        <v>FALSE</v>
      </c>
      <c r="AO2728" s="10" t="str">
        <f t="shared" si="305"/>
        <v>y=-1.3255*7.61^2+193.01*7.61-127.15</v>
      </c>
      <c r="AP2728" s="10" t="str">
        <f t="shared" si="305"/>
        <v>y=-0.215*7.61^2+181.97*7.61-117.15</v>
      </c>
      <c r="AQ2728" s="10" t="b">
        <f>IF(AND(I2728="TP",S2728&lt;=150),VLOOKUP(AF2728,TPCalibEq150!$AZ$2:$BB$55,3,),IF(AND(I2728="TDP",S2728&lt;=150),VLOOKUP(AF2728,TPCalibEq150!$AZ$2:$BB$55,3,)))</f>
        <v>0</v>
      </c>
      <c r="AR2728" s="10" t="b">
        <f>IF(AND(I2728="TP",S2728&lt;=300),VLOOKUP(AF2728,TPCalibEq300!$AZ$2:$BB$55,3,),IF(AND(I2728="TDP",S2728&lt;=300),VLOOKUP(AF2728,TPCalibEq300!$AZ$2:$BB$55,3,)))</f>
        <v>0</v>
      </c>
      <c r="AS2728" s="10" t="b">
        <f>IF(AND(I2728="TP",S2728&lt;=500),VLOOKUP(AF2728,TPCalibEq500!$AZ$2:$BB$56,3,),IF(AND(I2728="TDP",S2728&lt;=500),VLOOKUP(AF2728,TPCalibEq500!$AZ$2:$BB$56,3,)))</f>
        <v>0</v>
      </c>
      <c r="AT2728" s="10" t="str">
        <f>IF(AND(I2728="TN",S2728&lt;=2800),VLOOKUP(AF2728,TNCalibEq2500!$AZ$2:$BB$56,3,),IF(AND(I2728="TDN",S2728&lt;=2800),VLOOKUP(AF2728,TNCalibEq2500!$AZ$2:$BB$56,3,)))</f>
        <v>y=-1.3255x2+193.01x-127.15</v>
      </c>
      <c r="AU2728" s="10" t="str">
        <f>IF(I2728="TP",VLOOKUP(AF2728,TPCalibEqFull!$AZ$2:$BB$56,3),IF(I2728="TDP",VLOOKUP(AF2728,TPCalibEqFull!$AZ$2:$BB$56,3),IF(I2728="TDN",VLOOKUP(AF2728,TNCalibEqFull!$AZ$1:$BB$56,3),IF(I2728="TN",VLOOKUP(AF2728,TNCalibEqFull!$AZ$1:$BB$56,3),FALSE))))</f>
        <v>y=-0.215x2+181.97x-117.15</v>
      </c>
      <c r="AV2728" s="10" t="str">
        <f t="shared" si="310"/>
        <v>0208 10:20:00-BUO-46-FIL-1-SW-UKN</v>
      </c>
    </row>
    <row r="2729" spans="1:48" s="10" customFormat="1" x14ac:dyDescent="0.55000000000000004">
      <c r="A2729" s="32">
        <v>44965</v>
      </c>
      <c r="B2729" s="33">
        <v>0.43055555555555558</v>
      </c>
      <c r="C2729" s="10" t="s">
        <v>611</v>
      </c>
      <c r="D2729" s="10">
        <v>46</v>
      </c>
      <c r="E2729" s="10" t="s">
        <v>911</v>
      </c>
      <c r="F2729" s="10">
        <v>1</v>
      </c>
      <c r="G2729" s="10" t="s">
        <v>231</v>
      </c>
      <c r="H2729" s="10" t="s">
        <v>233</v>
      </c>
      <c r="I2729" s="10" t="s">
        <v>224</v>
      </c>
      <c r="J2729" s="10">
        <v>118</v>
      </c>
      <c r="K2729" s="12">
        <v>44967</v>
      </c>
      <c r="L2729" s="33">
        <v>0.51170138888888894</v>
      </c>
      <c r="M2729" s="10">
        <v>1</v>
      </c>
      <c r="N2729" s="10" t="s">
        <v>196</v>
      </c>
      <c r="O2729" s="10">
        <v>7.6</v>
      </c>
      <c r="P2729" s="10">
        <v>0.372</v>
      </c>
      <c r="Q2729" s="10">
        <v>1240</v>
      </c>
      <c r="R2729" s="10" t="s">
        <v>170</v>
      </c>
      <c r="S2729" s="34">
        <f t="shared" si="307"/>
        <v>1263.1651199999997</v>
      </c>
      <c r="T2729" s="10" t="s">
        <v>1185</v>
      </c>
      <c r="U2729" s="34">
        <f t="shared" si="308"/>
        <v>0.13674456439616983</v>
      </c>
      <c r="V2729" s="31" t="str">
        <f>IF(H2729="CHK",VLOOKUP(I2729,QCCHK,3,),IF(H2729="GUP",VLOOKUP(E2729,QCGUP,2,),IF(AND(H2729="ATP",OR(I2729="TN",I2729="TDN",I2729="TNO2-3",I2729="NO2-3")),VLOOKUP(E2729,QCREC_N,2,),IF(AND(H2729="NIC",OR(I2729="TN",I2729="TDN",I2729="TNO2-3",I2729="NO2-3")),VLOOKUP(E2729,QCNIC_N,2,),IF(AND(H2729="UREA",OR(I2729="TN",I2729="TDN",I2729="TNO2-3",I2729="NO2-3")),VLOOKUP(E2729,QCUREA_N,2,),IF(H2729="PER",VLOOKUP(I2729,QCPER,MATCH(E2729,QCACTUAL!$J$25:$AA$25,0),),IF(H2729="SPK",VLOOKUP(I2729,QCSPK,3,),IF(AND(H2729="ATP",OR(I2729="TP",I2729="TDP")),VLOOKUP(E2729,QCATP_P,2,),""))))))))</f>
        <v/>
      </c>
      <c r="W2729" s="31" t="str">
        <f t="shared" si="309"/>
        <v>TRUE</v>
      </c>
      <c r="X2729" s="31" t="str">
        <f t="shared" si="306"/>
        <v>((ABS(rep1-rep2))/((rep1+rep2)/2)*100</v>
      </c>
      <c r="Y2729" s="10" t="s">
        <v>1178</v>
      </c>
      <c r="AF2729" s="12">
        <v>44967</v>
      </c>
      <c r="AJ2729" s="10">
        <f>-1.3255*7.6^2+193.01*7.6-127.15</f>
        <v>1263.1651199999997</v>
      </c>
      <c r="AK2729" s="10">
        <f>-0.215*7.6^2+181.97*7.6-117.15</f>
        <v>1253.4035999999999</v>
      </c>
      <c r="AL2729" s="10" t="str">
        <f t="shared" si="304"/>
        <v>FALSE</v>
      </c>
      <c r="AM2729" s="10" t="str">
        <f t="shared" si="304"/>
        <v>FALSE</v>
      </c>
      <c r="AN2729" s="10" t="str">
        <f t="shared" si="304"/>
        <v>FALSE</v>
      </c>
      <c r="AO2729" s="10" t="str">
        <f t="shared" si="305"/>
        <v>y=-1.3255*7.6^2+193.01*7.6-127.15</v>
      </c>
      <c r="AP2729" s="10" t="str">
        <f t="shared" si="305"/>
        <v>y=-0.215*7.6^2+181.97*7.6-117.15</v>
      </c>
      <c r="AQ2729" s="10" t="b">
        <f>IF(AND(I2729="TP",S2729&lt;=150),VLOOKUP(AF2729,TPCalibEq150!$AZ$2:$BB$55,3,),IF(AND(I2729="TDP",S2729&lt;=150),VLOOKUP(AF2729,TPCalibEq150!$AZ$2:$BB$55,3,)))</f>
        <v>0</v>
      </c>
      <c r="AR2729" s="10" t="b">
        <f>IF(AND(I2729="TP",S2729&lt;=300),VLOOKUP(AF2729,TPCalibEq300!$AZ$2:$BB$55,3,),IF(AND(I2729="TDP",S2729&lt;=300),VLOOKUP(AF2729,TPCalibEq300!$AZ$2:$BB$55,3,)))</f>
        <v>0</v>
      </c>
      <c r="AS2729" s="10" t="b">
        <f>IF(AND(I2729="TP",S2729&lt;=500),VLOOKUP(AF2729,TPCalibEq500!$AZ$2:$BB$56,3,),IF(AND(I2729="TDP",S2729&lt;=500),VLOOKUP(AF2729,TPCalibEq500!$AZ$2:$BB$56,3,)))</f>
        <v>0</v>
      </c>
      <c r="AT2729" s="10" t="str">
        <f>IF(AND(I2729="TN",S2729&lt;=2800),VLOOKUP(AF2729,TNCalibEq2500!$AZ$2:$BB$56,3,),IF(AND(I2729="TDN",S2729&lt;=2800),VLOOKUP(AF2729,TNCalibEq2500!$AZ$2:$BB$56,3,)))</f>
        <v>y=-1.3255x2+193.01x-127.15</v>
      </c>
      <c r="AU2729" s="10" t="str">
        <f>IF(I2729="TP",VLOOKUP(AF2729,TPCalibEqFull!$AZ$2:$BB$56,3),IF(I2729="TDP",VLOOKUP(AF2729,TPCalibEqFull!$AZ$2:$BB$56,3),IF(I2729="TDN",VLOOKUP(AF2729,TNCalibEqFull!$AZ$1:$BB$56,3),IF(I2729="TN",VLOOKUP(AF2729,TNCalibEqFull!$AZ$1:$BB$56,3),FALSE))))</f>
        <v>y=-0.215x2+181.97x-117.15</v>
      </c>
      <c r="AV2729" s="10" t="str">
        <f t="shared" si="310"/>
        <v>0208 10:20:00-BUO-46-FIL-1-SW-DUP</v>
      </c>
    </row>
    <row r="2730" spans="1:48" s="10" customFormat="1" x14ac:dyDescent="0.55000000000000004">
      <c r="A2730" s="32">
        <v>44965</v>
      </c>
      <c r="B2730" s="33">
        <v>0.43055555555555558</v>
      </c>
      <c r="C2730" s="10" t="s">
        <v>611</v>
      </c>
      <c r="D2730" s="10">
        <v>46</v>
      </c>
      <c r="E2730" s="10" t="s">
        <v>911</v>
      </c>
      <c r="F2730" s="10">
        <v>1</v>
      </c>
      <c r="G2730" s="10" t="s">
        <v>231</v>
      </c>
      <c r="H2730" s="10" t="s">
        <v>314</v>
      </c>
      <c r="I2730" s="10" t="s">
        <v>224</v>
      </c>
      <c r="J2730" s="10">
        <v>132</v>
      </c>
      <c r="K2730" s="12">
        <v>44967</v>
      </c>
      <c r="L2730" s="33">
        <v>0.51237268518518519</v>
      </c>
      <c r="M2730" s="10">
        <v>1</v>
      </c>
      <c r="N2730" s="10" t="s">
        <v>196</v>
      </c>
      <c r="O2730" s="10">
        <v>21.9</v>
      </c>
      <c r="P2730" s="10">
        <v>1.07</v>
      </c>
      <c r="Q2730" s="10">
        <v>3760</v>
      </c>
      <c r="R2730" s="10" t="s">
        <v>170</v>
      </c>
      <c r="S2730" s="34">
        <f t="shared" si="307"/>
        <v>3764.8768499999996</v>
      </c>
      <c r="T2730" s="10" t="s">
        <v>1185</v>
      </c>
      <c r="U2730" s="34">
        <f t="shared" si="308"/>
        <v>100.06846920000001</v>
      </c>
      <c r="V2730" s="31">
        <f>IF(H2730="CHK",VLOOKUP(I2730,QCCHK,3,),IF(H2730="GUP",VLOOKUP(E2730,QCGUP,2,),IF(AND(H2730="ATP",OR(I2730="TN",I2730="TDN",I2730="TNO2-3",I2730="NO2-3")),VLOOKUP(E2730,QCREC_N,2,),IF(AND(H2730="NIC",OR(I2730="TN",I2730="TDN",I2730="TNO2-3",I2730="NO2-3")),VLOOKUP(E2730,QCNIC_N,2,),IF(AND(H2730="UREA",OR(I2730="TN",I2730="TDN",I2730="TNO2-3",I2730="NO2-3")),VLOOKUP(E2730,QCUREA_N,2,),IF(H2730="PER",VLOOKUP(I2730,QCPER,MATCH(E2730,QCACTUAL!$J$25:$AA$25,0),),IF(H2730="SPK",VLOOKUP(I2730,QCSPK,3,),IF(AND(H2730="ATP",OR(I2730="TP",I2730="TDP")),VLOOKUP(E2730,QCATP_P,2,),""))))))))</f>
        <v>2500</v>
      </c>
      <c r="W2730" s="31" t="str">
        <f t="shared" si="309"/>
        <v>TRUE</v>
      </c>
      <c r="X2730" s="31" t="str">
        <f t="shared" si="306"/>
        <v>([spikedunkn]-[unkn])/[spike]*100</v>
      </c>
      <c r="Y2730" s="10" t="s">
        <v>1178</v>
      </c>
      <c r="AF2730" s="12">
        <v>44967</v>
      </c>
      <c r="AK2730" s="10">
        <f>-0.215*21.9^2+181.97*21.9-117.15</f>
        <v>3764.8768499999996</v>
      </c>
      <c r="AL2730" s="10" t="str">
        <f t="shared" si="304"/>
        <v>FALSE</v>
      </c>
      <c r="AM2730" s="10" t="str">
        <f t="shared" si="304"/>
        <v>FALSE</v>
      </c>
      <c r="AN2730" s="10" t="str">
        <f t="shared" si="304"/>
        <v>FALSE</v>
      </c>
      <c r="AO2730" s="10" t="str">
        <f t="shared" si="305"/>
        <v>FALSE</v>
      </c>
      <c r="AP2730" s="10" t="str">
        <f t="shared" si="305"/>
        <v>y=-0.215*21.9^2+181.97*21.9-117.15</v>
      </c>
      <c r="AQ2730" s="10" t="b">
        <f>IF(AND(I2730="TP",S2730&lt;=150),VLOOKUP(AF2730,TPCalibEq150!$AZ$2:$BB$55,3,),IF(AND(I2730="TDP",S2730&lt;=150),VLOOKUP(AF2730,TPCalibEq150!$AZ$2:$BB$55,3,)))</f>
        <v>0</v>
      </c>
      <c r="AR2730" s="10" t="b">
        <f>IF(AND(I2730="TP",S2730&lt;=300),VLOOKUP(AF2730,TPCalibEq300!$AZ$2:$BB$55,3,),IF(AND(I2730="TDP",S2730&lt;=300),VLOOKUP(AF2730,TPCalibEq300!$AZ$2:$BB$55,3,)))</f>
        <v>0</v>
      </c>
      <c r="AS2730" s="10" t="b">
        <f>IF(AND(I2730="TP",S2730&lt;=500),VLOOKUP(AF2730,TPCalibEq500!$AZ$2:$BB$56,3,),IF(AND(I2730="TDP",S2730&lt;=500),VLOOKUP(AF2730,TPCalibEq500!$AZ$2:$BB$56,3,)))</f>
        <v>0</v>
      </c>
      <c r="AT2730" s="10" t="b">
        <f>IF(AND(I2730="TN",S2730&lt;=2800),VLOOKUP(AF2730,TNCalibEq2500!$AZ$2:$BB$56,3,),IF(AND(I2730="TDN",S2730&lt;=2800),VLOOKUP(AF2730,TNCalibEq2500!$AZ$2:$BB$56,3,)))</f>
        <v>0</v>
      </c>
      <c r="AU2730" s="10" t="str">
        <f>IF(I2730="TP",VLOOKUP(AF2730,TPCalibEqFull!$AZ$2:$BB$56,3),IF(I2730="TDP",VLOOKUP(AF2730,TPCalibEqFull!$AZ$2:$BB$56,3),IF(I2730="TDN",VLOOKUP(AF2730,TNCalibEqFull!$AZ$1:$BB$56,3),IF(I2730="TN",VLOOKUP(AF2730,TNCalibEqFull!$AZ$1:$BB$56,3),FALSE))))</f>
        <v>y=-0.215x2+181.97x-117.15</v>
      </c>
      <c r="AV2730" s="10" t="str">
        <f t="shared" si="310"/>
        <v>0208 10:20:00-BUO-46-FIL-1-SW-SPK</v>
      </c>
    </row>
    <row r="2731" spans="1:48" s="10" customFormat="1" x14ac:dyDescent="0.55000000000000004">
      <c r="A2731" s="32">
        <v>44966</v>
      </c>
      <c r="B2731" s="33">
        <v>0.375</v>
      </c>
      <c r="C2731" s="10" t="s">
        <v>70</v>
      </c>
      <c r="D2731" s="10" t="s">
        <v>71</v>
      </c>
      <c r="E2731" s="10" t="s">
        <v>901</v>
      </c>
      <c r="F2731" s="10">
        <v>1</v>
      </c>
      <c r="G2731" s="10" t="s">
        <v>73</v>
      </c>
      <c r="H2731" s="10" t="s">
        <v>207</v>
      </c>
      <c r="I2731" s="10" t="s">
        <v>235</v>
      </c>
      <c r="J2731" s="10">
        <v>219</v>
      </c>
      <c r="K2731" s="12">
        <v>44967</v>
      </c>
      <c r="L2731" s="33">
        <v>0.51305555555555549</v>
      </c>
      <c r="M2731" s="10">
        <v>1</v>
      </c>
      <c r="N2731" s="10" t="s">
        <v>196</v>
      </c>
      <c r="O2731" s="10">
        <v>7.35</v>
      </c>
      <c r="P2731" s="10">
        <v>0.36199999999999999</v>
      </c>
      <c r="Q2731" s="10">
        <v>1190</v>
      </c>
      <c r="R2731" s="10" t="s">
        <v>170</v>
      </c>
      <c r="S2731" s="34">
        <f t="shared" si="307"/>
        <v>1219.8666762499997</v>
      </c>
      <c r="T2731" s="10" t="s">
        <v>1185</v>
      </c>
      <c r="U2731" s="34">
        <f t="shared" si="308"/>
        <v>97.589334099999974</v>
      </c>
      <c r="V2731" s="31">
        <f>IF(H2731="CHK",VLOOKUP(I2731,QCCHK,3,),IF(H2731="GUP",VLOOKUP(E2731,QCGUP,2,),IF(AND(H2731="ATP",OR(I2731="TN",I2731="TDN",I2731="TNO2-3",I2731="NO2-3")),VLOOKUP(E2731,QCREC_N,2,),IF(AND(H2731="NIC",OR(I2731="TN",I2731="TDN",I2731="TNO2-3",I2731="NO2-3")),VLOOKUP(E2731,QCNIC_N,2,),IF(AND(H2731="UREA",OR(I2731="TN",I2731="TDN",I2731="TNO2-3",I2731="NO2-3")),VLOOKUP(E2731,QCUREA_N,2,),IF(H2731="PER",VLOOKUP(I2731,QCPER,MATCH(E2731,QCACTUAL!$J$25:$AA$25,0),),IF(H2731="SPK",VLOOKUP(I2731,QCSPK,3,),IF(AND(H2731="ATP",OR(I2731="TP",I2731="TDP")),VLOOKUP(E2731,QCATP_P,2,),""))))))))</f>
        <v>1250</v>
      </c>
      <c r="W2731" s="31" t="str">
        <f t="shared" si="309"/>
        <v>TRUE</v>
      </c>
      <c r="X2731" s="31" t="str">
        <f t="shared" si="306"/>
        <v>[chk]/[actual]*100</v>
      </c>
      <c r="Y2731" s="10" t="s">
        <v>1178</v>
      </c>
      <c r="AF2731" s="12">
        <v>44967</v>
      </c>
      <c r="AJ2731" s="10">
        <f>-1.3255*7.35^2+193.01*7.35-127.15</f>
        <v>1219.8666762499997</v>
      </c>
      <c r="AK2731" s="10">
        <f>-0.215*7.35^2+181.97*7.35-117.15</f>
        <v>1208.7146624999998</v>
      </c>
      <c r="AL2731" s="10" t="str">
        <f t="shared" si="304"/>
        <v>FALSE</v>
      </c>
      <c r="AM2731" s="10" t="str">
        <f t="shared" si="304"/>
        <v>FALSE</v>
      </c>
      <c r="AN2731" s="10" t="str">
        <f t="shared" si="304"/>
        <v>FALSE</v>
      </c>
      <c r="AO2731" s="10" t="str">
        <f t="shared" si="305"/>
        <v>y=-1.3255*7.35^2+193.01*7.35-127.15</v>
      </c>
      <c r="AP2731" s="10" t="str">
        <f t="shared" si="305"/>
        <v>y=-0.215*7.35^2+181.97*7.35-117.15</v>
      </c>
      <c r="AQ2731" s="10" t="b">
        <f>IF(AND(I2731="TP",S2731&lt;=150),VLOOKUP(AF2731,TPCalibEq150!$AZ$2:$BB$55,3,),IF(AND(I2731="TDP",S2731&lt;=150),VLOOKUP(AF2731,TPCalibEq150!$AZ$2:$BB$55,3,)))</f>
        <v>0</v>
      </c>
      <c r="AR2731" s="10" t="b">
        <f>IF(AND(I2731="TP",S2731&lt;=300),VLOOKUP(AF2731,TPCalibEq300!$AZ$2:$BB$55,3,),IF(AND(I2731="TDP",S2731&lt;=300),VLOOKUP(AF2731,TPCalibEq300!$AZ$2:$BB$55,3,)))</f>
        <v>0</v>
      </c>
      <c r="AS2731" s="10" t="b">
        <f>IF(AND(I2731="TP",S2731&lt;=500),VLOOKUP(AF2731,TPCalibEq500!$AZ$2:$BB$56,3,),IF(AND(I2731="TDP",S2731&lt;=500),VLOOKUP(AF2731,TPCalibEq500!$AZ$2:$BB$56,3,)))</f>
        <v>0</v>
      </c>
      <c r="AT2731" s="10" t="str">
        <f>IF(AND(I2731="TN",S2731&lt;=2800),VLOOKUP(AF2731,TNCalibEq2500!$AZ$2:$BB$56,3,),IF(AND(I2731="TDN",S2731&lt;=2800),VLOOKUP(AF2731,TNCalibEq2500!$AZ$2:$BB$56,3,)))</f>
        <v>y=-1.3255x2+193.01x-127.15</v>
      </c>
      <c r="AU2731" s="10" t="str">
        <f>IF(I2731="TP",VLOOKUP(AF2731,TPCalibEqFull!$AZ$2:$BB$56,3),IF(I2731="TDP",VLOOKUP(AF2731,TPCalibEqFull!$AZ$2:$BB$56,3),IF(I2731="TDN",VLOOKUP(AF2731,TNCalibEqFull!$AZ$1:$BB$56,3),IF(I2731="TN",VLOOKUP(AF2731,TNCalibEqFull!$AZ$1:$BB$56,3),FALSE))))</f>
        <v>y=-0.215x2+181.97x-117.15</v>
      </c>
      <c r="AV2731" s="10" t="str">
        <f t="shared" si="310"/>
        <v>0209 09:00:00-QAC-STD-D-1-DI-CHK</v>
      </c>
    </row>
    <row r="2732" spans="1:48" s="10" customFormat="1" x14ac:dyDescent="0.55000000000000004">
      <c r="A2732" s="32">
        <v>44966</v>
      </c>
      <c r="B2732" s="33">
        <v>0.375</v>
      </c>
      <c r="C2732" s="10" t="s">
        <v>70</v>
      </c>
      <c r="D2732" s="10" t="s">
        <v>71</v>
      </c>
      <c r="E2732" s="10" t="s">
        <v>917</v>
      </c>
      <c r="F2732" s="10">
        <v>1</v>
      </c>
      <c r="G2732" s="10" t="s">
        <v>73</v>
      </c>
      <c r="H2732" s="10" t="s">
        <v>74</v>
      </c>
      <c r="I2732" s="10" t="s">
        <v>83</v>
      </c>
      <c r="J2732" s="10">
        <v>181</v>
      </c>
      <c r="K2732" s="12">
        <v>44966</v>
      </c>
      <c r="L2732" s="33">
        <v>0.5482407407407407</v>
      </c>
      <c r="M2732" s="10">
        <v>1</v>
      </c>
      <c r="N2732" s="10" t="s">
        <v>84</v>
      </c>
      <c r="O2732" s="10">
        <v>0.433</v>
      </c>
      <c r="P2732" s="10">
        <v>2.92E-2</v>
      </c>
      <c r="Q2732" s="10">
        <v>0</v>
      </c>
      <c r="R2732" s="10" t="s">
        <v>85</v>
      </c>
      <c r="S2732" s="34">
        <f t="shared" si="307"/>
        <v>0</v>
      </c>
      <c r="T2732" s="10" t="s">
        <v>78</v>
      </c>
      <c r="U2732" s="34" t="str">
        <f t="shared" si="308"/>
        <v/>
      </c>
      <c r="V2732" s="31" t="str">
        <f>IF(H2732="CHK",VLOOKUP(I2732,QCCHK,3,),IF(H2732="GUP",VLOOKUP(E2732,QCGUP,2,),IF(AND(H2732="ATP",OR(I2732="TN",I2732="TDN",I2732="TNO2-3",I2732="NO2-3")),VLOOKUP(E2732,QCREC_N,2,),IF(AND(H2732="NIC",OR(I2732="TN",I2732="TDN",I2732="TNO2-3",I2732="NO2-3")),VLOOKUP(E2732,QCNIC_N,2,),IF(AND(H2732="UREA",OR(I2732="TN",I2732="TDN",I2732="TNO2-3",I2732="NO2-3")),VLOOKUP(E2732,QCUREA_N,2,),IF(H2732="PER",VLOOKUP(I2732,QCPER,MATCH(E2732,QCACTUAL!$J$25:$AA$25,0),),IF(H2732="SPK",VLOOKUP(I2732,QCSPK,3,),IF(AND(H2732="ATP",OR(I2732="TP",I2732="TDP")),VLOOKUP(E2732,QCATP_P,2,),""))))))))</f>
        <v/>
      </c>
      <c r="W2732" s="31" t="str">
        <f t="shared" si="309"/>
        <v>TRUE</v>
      </c>
      <c r="X2732" s="31" t="str">
        <f t="shared" si="306"/>
        <v/>
      </c>
      <c r="Y2732" s="10" t="s">
        <v>1188</v>
      </c>
      <c r="AF2732" s="12">
        <v>44966</v>
      </c>
      <c r="AG2732" s="10">
        <f>-11.204*0.433^2+113.68*0.433-55.283</f>
        <v>-8.1601867559999945</v>
      </c>
      <c r="AH2732" s="10">
        <f>-2.9408*0.433^2+89.45*0.433-43.664</f>
        <v>-5.4835176512000032</v>
      </c>
      <c r="AI2732" s="10">
        <f>-1.7314*0.433^2+83.401*0.433-37.87</f>
        <v>-2.0819854546000016</v>
      </c>
      <c r="AK2732" s="10">
        <f>0.1051*0.433^2+65.423*0.433-19.469</f>
        <v>8.878864093899999</v>
      </c>
      <c r="AL2732" s="10" t="str">
        <f t="shared" si="304"/>
        <v>y=-11.204*0.433^2+113.68*0.433-55.283</v>
      </c>
      <c r="AM2732" s="10" t="str">
        <f t="shared" si="304"/>
        <v>y=-2.9408*0.433^2+89.45*0.433-43.664</v>
      </c>
      <c r="AN2732" s="10" t="str">
        <f t="shared" si="304"/>
        <v>y=-1.7314*0.433^2+83.401*0.433-37.87</v>
      </c>
      <c r="AO2732" s="10" t="str">
        <f t="shared" si="305"/>
        <v>FALSE</v>
      </c>
      <c r="AP2732" s="10" t="str">
        <f t="shared" si="305"/>
        <v>y=0.1051*0.433^2+65.423*0.433-19.469</v>
      </c>
      <c r="AQ2732" s="10" t="str">
        <f>IF(AND(I2732="TP",S2732&lt;=150),VLOOKUP(AF2732,TPCalibEq150!$AZ$2:$BB$55,3,),IF(AND(I2732="TDP",S2732&lt;=150),VLOOKUP(AF2732,TPCalibEq150!$AZ$2:$BB$55,3,)))</f>
        <v>y=-11.204x2+113.68x-55.283</v>
      </c>
      <c r="AR2732" s="10" t="str">
        <f>IF(AND(I2732="TP",S2732&lt;=300),VLOOKUP(AF2732,TPCalibEq300!$AZ$2:$BB$55,3,),IF(AND(I2732="TDP",S2732&lt;=300),VLOOKUP(AF2732,TPCalibEq300!$AZ$2:$BB$55,3,)))</f>
        <v>y=-2.9408x2+89.45x-43.664</v>
      </c>
      <c r="AS2732" s="10" t="str">
        <f>IF(AND(I2732="TP",S2732&lt;=500),VLOOKUP(AF2732,TPCalibEq500!$AZ$2:$BB$56,3,),IF(AND(I2732="TDP",S2732&lt;=500),VLOOKUP(AF2732,TPCalibEq500!$AZ$2:$BB$56,3,)))</f>
        <v>y=-1.7314x2+83.401x-37.87</v>
      </c>
      <c r="AT2732" s="10" t="b">
        <f>IF(AND(I2732="TN",S2732&lt;=2800),VLOOKUP(AF2732,TNCalibEq2500!$AZ$2:$BB$56,3,),IF(AND(I2732="TDN",S2732&lt;=2800),VLOOKUP(AF2732,TNCalibEq2500!$AZ$2:$BB$56,3,)))</f>
        <v>0</v>
      </c>
      <c r="AU2732" s="10" t="str">
        <f>IF(I2732="TP",VLOOKUP(AF2732,TPCalibEqFull!$AZ$2:$BB$56,3),IF(I2732="TDP",VLOOKUP(AF2732,TPCalibEqFull!$AZ$2:$BB$56,3),IF(I2732="TDN",VLOOKUP(AF2732,TNCalibEqFull!$AZ$1:$BB$56,3),IF(I2732="TN",VLOOKUP(AF2732,TNCalibEqFull!$AZ$1:$BB$56,3),FALSE))))</f>
        <v>y=0.1051x2+65.423x-19.469</v>
      </c>
      <c r="AV2732" s="10" t="str">
        <f t="shared" si="310"/>
        <v>0209 09:00:00-QAC-STD-D.H-1-DI-CAL</v>
      </c>
    </row>
    <row r="2733" spans="1:48" s="10" customFormat="1" x14ac:dyDescent="0.55000000000000004">
      <c r="A2733" s="32">
        <v>44966</v>
      </c>
      <c r="B2733" s="33">
        <v>0.375</v>
      </c>
      <c r="C2733" s="10" t="s">
        <v>70</v>
      </c>
      <c r="D2733" s="10" t="s">
        <v>71</v>
      </c>
      <c r="E2733" s="10" t="s">
        <v>918</v>
      </c>
      <c r="F2733" s="10">
        <v>1</v>
      </c>
      <c r="G2733" s="10" t="s">
        <v>73</v>
      </c>
      <c r="H2733" s="10" t="s">
        <v>74</v>
      </c>
      <c r="I2733" s="10" t="s">
        <v>83</v>
      </c>
      <c r="J2733" s="10">
        <v>182</v>
      </c>
      <c r="K2733" s="12">
        <v>44966</v>
      </c>
      <c r="L2733" s="33">
        <v>0.54894675925925929</v>
      </c>
      <c r="M2733" s="10">
        <v>1</v>
      </c>
      <c r="N2733" s="10" t="s">
        <v>84</v>
      </c>
      <c r="O2733" s="10">
        <v>0.55500000000000005</v>
      </c>
      <c r="P2733" s="10">
        <v>3.78E-2</v>
      </c>
      <c r="Q2733" s="10">
        <v>12</v>
      </c>
      <c r="R2733" s="10" t="s">
        <v>85</v>
      </c>
      <c r="S2733" s="34">
        <f t="shared" si="307"/>
        <v>12</v>
      </c>
      <c r="T2733" s="10" t="s">
        <v>78</v>
      </c>
      <c r="U2733" s="34" t="str">
        <f t="shared" si="308"/>
        <v/>
      </c>
      <c r="V2733" s="31" t="str">
        <f>IF(H2733="CHK",VLOOKUP(I2733,QCCHK,3,),IF(H2733="GUP",VLOOKUP(E2733,QCGUP,2,),IF(AND(H2733="ATP",OR(I2733="TN",I2733="TDN",I2733="TNO2-3",I2733="NO2-3")),VLOOKUP(E2733,QCREC_N,2,),IF(AND(H2733="NIC",OR(I2733="TN",I2733="TDN",I2733="TNO2-3",I2733="NO2-3")),VLOOKUP(E2733,QCNIC_N,2,),IF(AND(H2733="UREA",OR(I2733="TN",I2733="TDN",I2733="TNO2-3",I2733="NO2-3")),VLOOKUP(E2733,QCUREA_N,2,),IF(H2733="PER",VLOOKUP(I2733,QCPER,MATCH(E2733,QCACTUAL!$J$25:$AA$25,0),),IF(H2733="SPK",VLOOKUP(I2733,QCSPK,3,),IF(AND(H2733="ATP",OR(I2733="TP",I2733="TDP")),VLOOKUP(E2733,QCATP_P,2,),""))))))))</f>
        <v/>
      </c>
      <c r="W2733" s="31" t="str">
        <f t="shared" si="309"/>
        <v>TRUE</v>
      </c>
      <c r="X2733" s="31" t="str">
        <f t="shared" si="306"/>
        <v/>
      </c>
      <c r="Y2733" s="10" t="s">
        <v>1188</v>
      </c>
      <c r="AF2733" s="12">
        <v>44966</v>
      </c>
      <c r="AG2733" s="10">
        <f>-11.204*0.555^2+113.68*0.555-55.283</f>
        <v>4.3582879000000077</v>
      </c>
      <c r="AH2733" s="10">
        <f>-2.9408*0.555^2+89.45*0.555-43.664</f>
        <v>5.0749100800000093</v>
      </c>
      <c r="AI2733" s="10">
        <f>-1.7314*0.555^2+83.401*0.555-37.87</f>
        <v>7.884240515000009</v>
      </c>
      <c r="AK2733" s="10">
        <f>0.1051*0.555^2+65.423*0.555-19.469</f>
        <v>16.873138427500002</v>
      </c>
      <c r="AL2733" s="10" t="str">
        <f t="shared" ref="AL2733:AN2796" si="311">IF($O2733="", "", IF(AQ2733&lt;&gt;"", SUBSTITUTE(SUBSTITUTE(AQ2733, "x", "*"&amp;$O2733&amp;"^", 1), "x", "*"&amp;$O2733, 1), ""))</f>
        <v>y=-11.204*0.555^2+113.68*0.555-55.283</v>
      </c>
      <c r="AM2733" s="10" t="str">
        <f t="shared" si="311"/>
        <v>y=-2.9408*0.555^2+89.45*0.555-43.664</v>
      </c>
      <c r="AN2733" s="10" t="str">
        <f t="shared" si="311"/>
        <v>y=-1.7314*0.555^2+83.401*0.555-37.87</v>
      </c>
      <c r="AO2733" s="10" t="str">
        <f t="shared" ref="AO2733:AP2796" si="312">IF($O2733="", "FALSE", IF(AT2733&lt;&gt;"FALSE", SUBSTITUTE(SUBSTITUTE(AT2733, "x", "*"&amp;$O2733&amp;"^", 1), "x", "*"&amp;$O2733, 1), ""))</f>
        <v>FALSE</v>
      </c>
      <c r="AP2733" s="10" t="str">
        <f t="shared" si="312"/>
        <v>y=0.1051*0.555^2+65.423*0.555-19.469</v>
      </c>
      <c r="AQ2733" s="10" t="str">
        <f>IF(AND(I2733="TP",S2733&lt;=150),VLOOKUP(AF2733,TPCalibEq150!$AZ$2:$BB$55,3,),IF(AND(I2733="TDP",S2733&lt;=150),VLOOKUP(AF2733,TPCalibEq150!$AZ$2:$BB$55,3,)))</f>
        <v>y=-11.204x2+113.68x-55.283</v>
      </c>
      <c r="AR2733" s="10" t="str">
        <f>IF(AND(I2733="TP",S2733&lt;=300),VLOOKUP(AF2733,TPCalibEq300!$AZ$2:$BB$55,3,),IF(AND(I2733="TDP",S2733&lt;=300),VLOOKUP(AF2733,TPCalibEq300!$AZ$2:$BB$55,3,)))</f>
        <v>y=-2.9408x2+89.45x-43.664</v>
      </c>
      <c r="AS2733" s="10" t="str">
        <f>IF(AND(I2733="TP",S2733&lt;=500),VLOOKUP(AF2733,TPCalibEq500!$AZ$2:$BB$56,3,),IF(AND(I2733="TDP",S2733&lt;=500),VLOOKUP(AF2733,TPCalibEq500!$AZ$2:$BB$56,3,)))</f>
        <v>y=-1.7314x2+83.401x-37.87</v>
      </c>
      <c r="AT2733" s="10" t="b">
        <f>IF(AND(I2733="TN",S2733&lt;=2800),VLOOKUP(AF2733,TNCalibEq2500!$AZ$2:$BB$56,3,),IF(AND(I2733="TDN",S2733&lt;=2800),VLOOKUP(AF2733,TNCalibEq2500!$AZ$2:$BB$56,3,)))</f>
        <v>0</v>
      </c>
      <c r="AU2733" s="10" t="str">
        <f>IF(I2733="TP",VLOOKUP(AF2733,TPCalibEqFull!$AZ$2:$BB$56,3),IF(I2733="TDP",VLOOKUP(AF2733,TPCalibEqFull!$AZ$2:$BB$56,3),IF(I2733="TDN",VLOOKUP(AF2733,TNCalibEqFull!$AZ$1:$BB$56,3),IF(I2733="TN",VLOOKUP(AF2733,TNCalibEqFull!$AZ$1:$BB$56,3),FALSE))))</f>
        <v>y=0.1051x2+65.423x-19.469</v>
      </c>
      <c r="AV2733" s="10" t="str">
        <f t="shared" si="310"/>
        <v>0209 09:00:00-QAC-STD-D.G-1-DI-CAL</v>
      </c>
    </row>
    <row r="2734" spans="1:48" s="10" customFormat="1" x14ac:dyDescent="0.55000000000000004">
      <c r="A2734" s="32">
        <v>44966</v>
      </c>
      <c r="B2734" s="33">
        <v>0.375</v>
      </c>
      <c r="C2734" s="10" t="s">
        <v>70</v>
      </c>
      <c r="D2734" s="10" t="s">
        <v>71</v>
      </c>
      <c r="E2734" s="10" t="s">
        <v>919</v>
      </c>
      <c r="F2734" s="10">
        <v>1</v>
      </c>
      <c r="G2734" s="10" t="s">
        <v>73</v>
      </c>
      <c r="H2734" s="10" t="s">
        <v>74</v>
      </c>
      <c r="I2734" s="10" t="s">
        <v>83</v>
      </c>
      <c r="J2734" s="10">
        <v>183</v>
      </c>
      <c r="K2734" s="12">
        <v>44966</v>
      </c>
      <c r="L2734" s="33">
        <v>0.54965277777777777</v>
      </c>
      <c r="M2734" s="10">
        <v>1</v>
      </c>
      <c r="N2734" s="10" t="s">
        <v>84</v>
      </c>
      <c r="O2734" s="10">
        <v>1.03</v>
      </c>
      <c r="P2734" s="10">
        <v>7.1199999999999999E-2</v>
      </c>
      <c r="Q2734" s="10">
        <v>50</v>
      </c>
      <c r="R2734" s="10" t="s">
        <v>85</v>
      </c>
      <c r="S2734" s="34">
        <f t="shared" si="307"/>
        <v>50</v>
      </c>
      <c r="T2734" s="10" t="s">
        <v>1189</v>
      </c>
      <c r="U2734" s="34" t="str">
        <f t="shared" si="308"/>
        <v/>
      </c>
      <c r="V2734" s="31" t="str">
        <f>IF(H2734="CHK",VLOOKUP(I2734,QCCHK,3,),IF(H2734="GUP",VLOOKUP(E2734,QCGUP,2,),IF(AND(H2734="ATP",OR(I2734="TN",I2734="TDN",I2734="TNO2-3",I2734="NO2-3")),VLOOKUP(E2734,QCREC_N,2,),IF(AND(H2734="NIC",OR(I2734="TN",I2734="TDN",I2734="TNO2-3",I2734="NO2-3")),VLOOKUP(E2734,QCNIC_N,2,),IF(AND(H2734="UREA",OR(I2734="TN",I2734="TDN",I2734="TNO2-3",I2734="NO2-3")),VLOOKUP(E2734,QCUREA_N,2,),IF(H2734="PER",VLOOKUP(I2734,QCPER,MATCH(E2734,QCACTUAL!$J$25:$AA$25,0),),IF(H2734="SPK",VLOOKUP(I2734,QCSPK,3,),IF(AND(H2734="ATP",OR(I2734="TP",I2734="TDP")),VLOOKUP(E2734,QCATP_P,2,),""))))))))</f>
        <v/>
      </c>
      <c r="W2734" s="31" t="str">
        <f t="shared" si="309"/>
        <v>TRUE</v>
      </c>
      <c r="X2734" s="31" t="str">
        <f t="shared" si="306"/>
        <v/>
      </c>
      <c r="Y2734" s="10" t="s">
        <v>1188</v>
      </c>
      <c r="AF2734" s="12">
        <v>44966</v>
      </c>
      <c r="AG2734" s="10">
        <f>-11.204*1.03^2+113.68*1.03-55.283</f>
        <v>49.921076400000018</v>
      </c>
      <c r="AH2734" s="10">
        <f>-2.9408*1.03^2+89.45*1.03-43.664</f>
        <v>45.349605280000006</v>
      </c>
      <c r="AI2734" s="10">
        <f>-1.7314*1.03^2+83.401*1.03-37.87</f>
        <v>46.196187740000006</v>
      </c>
      <c r="AK2734" s="10">
        <f>0.1051*1.03^2+65.423*1.03-19.469</f>
        <v>48.028190590000001</v>
      </c>
      <c r="AL2734" s="10" t="str">
        <f t="shared" si="311"/>
        <v>y=-11.204*1.03^2+113.68*1.03-55.283</v>
      </c>
      <c r="AM2734" s="10" t="str">
        <f t="shared" si="311"/>
        <v>y=-2.9408*1.03^2+89.45*1.03-43.664</v>
      </c>
      <c r="AN2734" s="10" t="str">
        <f t="shared" si="311"/>
        <v>y=-1.7314*1.03^2+83.401*1.03-37.87</v>
      </c>
      <c r="AO2734" s="10" t="str">
        <f t="shared" si="312"/>
        <v>FALSE</v>
      </c>
      <c r="AP2734" s="10" t="str">
        <f t="shared" si="312"/>
        <v>y=0.1051*1.03^2+65.423*1.03-19.469</v>
      </c>
      <c r="AQ2734" s="10" t="str">
        <f>IF(AND(I2734="TP",S2734&lt;=150),VLOOKUP(AF2734,TPCalibEq150!$AZ$2:$BB$55,3,),IF(AND(I2734="TDP",S2734&lt;=150),VLOOKUP(AF2734,TPCalibEq150!$AZ$2:$BB$55,3,)))</f>
        <v>y=-11.204x2+113.68x-55.283</v>
      </c>
      <c r="AR2734" s="10" t="str">
        <f>IF(AND(I2734="TP",S2734&lt;=300),VLOOKUP(AF2734,TPCalibEq300!$AZ$2:$BB$55,3,),IF(AND(I2734="TDP",S2734&lt;=300),VLOOKUP(AF2734,TPCalibEq300!$AZ$2:$BB$55,3,)))</f>
        <v>y=-2.9408x2+89.45x-43.664</v>
      </c>
      <c r="AS2734" s="10" t="str">
        <f>IF(AND(I2734="TP",S2734&lt;=500),VLOOKUP(AF2734,TPCalibEq500!$AZ$2:$BB$56,3,),IF(AND(I2734="TDP",S2734&lt;=500),VLOOKUP(AF2734,TPCalibEq500!$AZ$2:$BB$56,3,)))</f>
        <v>y=-1.7314x2+83.401x-37.87</v>
      </c>
      <c r="AT2734" s="10" t="b">
        <f>IF(AND(I2734="TN",S2734&lt;=2800),VLOOKUP(AF2734,TNCalibEq2500!$AZ$2:$BB$56,3,),IF(AND(I2734="TDN",S2734&lt;=2800),VLOOKUP(AF2734,TNCalibEq2500!$AZ$2:$BB$56,3,)))</f>
        <v>0</v>
      </c>
      <c r="AU2734" s="10" t="str">
        <f>IF(I2734="TP",VLOOKUP(AF2734,TPCalibEqFull!$AZ$2:$BB$56,3),IF(I2734="TDP",VLOOKUP(AF2734,TPCalibEqFull!$AZ$2:$BB$56,3),IF(I2734="TDN",VLOOKUP(AF2734,TNCalibEqFull!$AZ$1:$BB$56,3),IF(I2734="TN",VLOOKUP(AF2734,TNCalibEqFull!$AZ$1:$BB$56,3),FALSE))))</f>
        <v>y=0.1051x2+65.423x-19.469</v>
      </c>
      <c r="AV2734" s="10" t="str">
        <f t="shared" si="310"/>
        <v>0209 09:00:00-QAC-STD-D.F-1-DI-CAL</v>
      </c>
    </row>
    <row r="2735" spans="1:48" s="10" customFormat="1" x14ac:dyDescent="0.55000000000000004">
      <c r="A2735" s="32">
        <v>44966</v>
      </c>
      <c r="B2735" s="33">
        <v>0.375</v>
      </c>
      <c r="C2735" s="10" t="s">
        <v>70</v>
      </c>
      <c r="D2735" s="10" t="s">
        <v>71</v>
      </c>
      <c r="E2735" s="10" t="s">
        <v>920</v>
      </c>
      <c r="F2735" s="10">
        <v>1</v>
      </c>
      <c r="G2735" s="10" t="s">
        <v>73</v>
      </c>
      <c r="H2735" s="10" t="s">
        <v>74</v>
      </c>
      <c r="I2735" s="10" t="s">
        <v>83</v>
      </c>
      <c r="J2735" s="10">
        <v>184</v>
      </c>
      <c r="K2735" s="12">
        <v>44966</v>
      </c>
      <c r="L2735" s="33">
        <v>0.5503703703703704</v>
      </c>
      <c r="M2735" s="10">
        <v>1</v>
      </c>
      <c r="N2735" s="10" t="s">
        <v>84</v>
      </c>
      <c r="O2735" s="10">
        <v>3.04</v>
      </c>
      <c r="P2735" s="10">
        <v>0.219</v>
      </c>
      <c r="Q2735" s="10">
        <v>200</v>
      </c>
      <c r="R2735" s="10" t="s">
        <v>85</v>
      </c>
      <c r="S2735" s="34">
        <f t="shared" si="307"/>
        <v>200</v>
      </c>
      <c r="T2735" s="10" t="s">
        <v>1190</v>
      </c>
      <c r="U2735" s="34" t="str">
        <f t="shared" si="308"/>
        <v/>
      </c>
      <c r="V2735" s="31" t="str">
        <f>IF(H2735="CHK",VLOOKUP(I2735,QCCHK,3,),IF(H2735="GUP",VLOOKUP(E2735,QCGUP,2,),IF(AND(H2735="ATP",OR(I2735="TN",I2735="TDN",I2735="TNO2-3",I2735="NO2-3")),VLOOKUP(E2735,QCREC_N,2,),IF(AND(H2735="NIC",OR(I2735="TN",I2735="TDN",I2735="TNO2-3",I2735="NO2-3")),VLOOKUP(E2735,QCNIC_N,2,),IF(AND(H2735="UREA",OR(I2735="TN",I2735="TDN",I2735="TNO2-3",I2735="NO2-3")),VLOOKUP(E2735,QCUREA_N,2,),IF(H2735="PER",VLOOKUP(I2735,QCPER,MATCH(E2735,QCACTUAL!$J$25:$AA$25,0),),IF(H2735="SPK",VLOOKUP(I2735,QCSPK,3,),IF(AND(H2735="ATP",OR(I2735="TP",I2735="TDP")),VLOOKUP(E2735,QCATP_P,2,),""))))))))</f>
        <v/>
      </c>
      <c r="W2735" s="31" t="str">
        <f t="shared" si="309"/>
        <v>TRUE</v>
      </c>
      <c r="X2735" s="31" t="str">
        <f t="shared" si="306"/>
        <v/>
      </c>
      <c r="Y2735" s="10" t="s">
        <v>1188</v>
      </c>
      <c r="AF2735" s="12">
        <v>44966</v>
      </c>
      <c r="AH2735" s="10">
        <f>-2.9408*3.04^2+89.45*3.04-43.664</f>
        <v>201.08630271999999</v>
      </c>
      <c r="AI2735" s="10">
        <f>-1.7314*3.04^2+83.401*3.04-37.87</f>
        <v>199.66813375999999</v>
      </c>
      <c r="AK2735" s="10">
        <f>0.1051*3.04^2+65.423*3.04-19.469</f>
        <v>180.38821215999999</v>
      </c>
      <c r="AL2735" s="10" t="str">
        <f t="shared" si="311"/>
        <v>FALSE</v>
      </c>
      <c r="AM2735" s="10" t="str">
        <f t="shared" si="311"/>
        <v>y=-2.9408*3.04^2+89.45*3.04-43.664</v>
      </c>
      <c r="AN2735" s="10" t="str">
        <f t="shared" si="311"/>
        <v>y=-1.7314*3.04^2+83.401*3.04-37.87</v>
      </c>
      <c r="AO2735" s="10" t="str">
        <f t="shared" si="312"/>
        <v>FALSE</v>
      </c>
      <c r="AP2735" s="10" t="str">
        <f t="shared" si="312"/>
        <v>y=0.1051*3.04^2+65.423*3.04-19.469</v>
      </c>
      <c r="AQ2735" s="10" t="b">
        <f>IF(AND(I2735="TP",S2735&lt;=150),VLOOKUP(AF2735,TPCalibEq150!$AZ$2:$BB$55,3,),IF(AND(I2735="TDP",S2735&lt;=150),VLOOKUP(AF2735,TPCalibEq150!$AZ$2:$BB$55,3,)))</f>
        <v>0</v>
      </c>
      <c r="AR2735" s="10" t="str">
        <f>IF(AND(I2735="TP",S2735&lt;=300),VLOOKUP(AF2735,TPCalibEq300!$AZ$2:$BB$55,3,),IF(AND(I2735="TDP",S2735&lt;=300),VLOOKUP(AF2735,TPCalibEq300!$AZ$2:$BB$55,3,)))</f>
        <v>y=-2.9408x2+89.45x-43.664</v>
      </c>
      <c r="AS2735" s="10" t="str">
        <f>IF(AND(I2735="TP",S2735&lt;=500),VLOOKUP(AF2735,TPCalibEq500!$AZ$2:$BB$56,3,),IF(AND(I2735="TDP",S2735&lt;=500),VLOOKUP(AF2735,TPCalibEq500!$AZ$2:$BB$56,3,)))</f>
        <v>y=-1.7314x2+83.401x-37.87</v>
      </c>
      <c r="AT2735" s="10" t="b">
        <f>IF(AND(I2735="TN",S2735&lt;=2800),VLOOKUP(AF2735,TNCalibEq2500!$AZ$2:$BB$56,3,),IF(AND(I2735="TDN",S2735&lt;=2800),VLOOKUP(AF2735,TNCalibEq2500!$AZ$2:$BB$56,3,)))</f>
        <v>0</v>
      </c>
      <c r="AU2735" s="10" t="str">
        <f>IF(I2735="TP",VLOOKUP(AF2735,TPCalibEqFull!$AZ$2:$BB$56,3),IF(I2735="TDP",VLOOKUP(AF2735,TPCalibEqFull!$AZ$2:$BB$56,3),IF(I2735="TDN",VLOOKUP(AF2735,TNCalibEqFull!$AZ$1:$BB$56,3),IF(I2735="TN",VLOOKUP(AF2735,TNCalibEqFull!$AZ$1:$BB$56,3),FALSE))))</f>
        <v>y=0.1051x2+65.423x-19.469</v>
      </c>
      <c r="AV2735" s="10" t="str">
        <f t="shared" si="310"/>
        <v>0209 09:00:00-QAC-STD-D.E-1-DI-CAL</v>
      </c>
    </row>
    <row r="2736" spans="1:48" s="10" customFormat="1" x14ac:dyDescent="0.55000000000000004">
      <c r="A2736" s="32">
        <v>44966</v>
      </c>
      <c r="B2736" s="33">
        <v>0.375</v>
      </c>
      <c r="C2736" s="10" t="s">
        <v>70</v>
      </c>
      <c r="D2736" s="10" t="s">
        <v>71</v>
      </c>
      <c r="E2736" s="10" t="s">
        <v>921</v>
      </c>
      <c r="F2736" s="10">
        <v>1</v>
      </c>
      <c r="G2736" s="10" t="s">
        <v>73</v>
      </c>
      <c r="H2736" s="10" t="s">
        <v>74</v>
      </c>
      <c r="I2736" s="10" t="s">
        <v>83</v>
      </c>
      <c r="J2736" s="10">
        <v>185</v>
      </c>
      <c r="K2736" s="12">
        <v>44966</v>
      </c>
      <c r="L2736" s="33">
        <v>0.55107638888888888</v>
      </c>
      <c r="M2736" s="10">
        <v>1</v>
      </c>
      <c r="N2736" s="10" t="s">
        <v>84</v>
      </c>
      <c r="O2736" s="10">
        <v>7.78</v>
      </c>
      <c r="P2736" s="10">
        <v>0.56699999999999995</v>
      </c>
      <c r="Q2736" s="10">
        <v>500</v>
      </c>
      <c r="R2736" s="10" t="s">
        <v>85</v>
      </c>
      <c r="S2736" s="34">
        <f t="shared" si="307"/>
        <v>500</v>
      </c>
      <c r="T2736" s="10" t="s">
        <v>1191</v>
      </c>
      <c r="U2736" s="34" t="str">
        <f t="shared" si="308"/>
        <v/>
      </c>
      <c r="V2736" s="31" t="str">
        <f>IF(H2736="CHK",VLOOKUP(I2736,QCCHK,3,),IF(H2736="GUP",VLOOKUP(E2736,QCGUP,2,),IF(AND(H2736="ATP",OR(I2736="TN",I2736="TDN",I2736="TNO2-3",I2736="NO2-3")),VLOOKUP(E2736,QCREC_N,2,),IF(AND(H2736="NIC",OR(I2736="TN",I2736="TDN",I2736="TNO2-3",I2736="NO2-3")),VLOOKUP(E2736,QCNIC_N,2,),IF(AND(H2736="UREA",OR(I2736="TN",I2736="TDN",I2736="TNO2-3",I2736="NO2-3")),VLOOKUP(E2736,QCUREA_N,2,),IF(H2736="PER",VLOOKUP(I2736,QCPER,MATCH(E2736,QCACTUAL!$J$25:$AA$25,0),),IF(H2736="SPK",VLOOKUP(I2736,QCSPK,3,),IF(AND(H2736="ATP",OR(I2736="TP",I2736="TDP")),VLOOKUP(E2736,QCATP_P,2,),""))))))))</f>
        <v/>
      </c>
      <c r="W2736" s="31" t="str">
        <f t="shared" si="309"/>
        <v>TRUE</v>
      </c>
      <c r="X2736" s="31" t="str">
        <f t="shared" si="306"/>
        <v/>
      </c>
      <c r="Y2736" s="10" t="s">
        <v>1188</v>
      </c>
      <c r="AF2736" s="12">
        <v>44966</v>
      </c>
      <c r="AI2736" s="10">
        <f>-1.7314*7.78^2+83.401*7.78-37.87</f>
        <v>506.19090824</v>
      </c>
      <c r="AK2736" s="10">
        <f>0.1051*7.78^2+65.423*7.78-19.469</f>
        <v>495.88347484000002</v>
      </c>
      <c r="AL2736" s="10" t="str">
        <f t="shared" si="311"/>
        <v>FALSE</v>
      </c>
      <c r="AM2736" s="10" t="str">
        <f t="shared" si="311"/>
        <v>FALSE</v>
      </c>
      <c r="AN2736" s="10" t="str">
        <f t="shared" si="311"/>
        <v>y=-1.7314*7.78^2+83.401*7.78-37.87</v>
      </c>
      <c r="AO2736" s="10" t="str">
        <f t="shared" si="312"/>
        <v>FALSE</v>
      </c>
      <c r="AP2736" s="10" t="str">
        <f t="shared" si="312"/>
        <v>y=0.1051*7.78^2+65.423*7.78-19.469</v>
      </c>
      <c r="AQ2736" s="10" t="b">
        <f>IF(AND(I2736="TP",S2736&lt;=150),VLOOKUP(AF2736,TPCalibEq150!$AZ$2:$BB$55,3,),IF(AND(I2736="TDP",S2736&lt;=150),VLOOKUP(AF2736,TPCalibEq150!$AZ$2:$BB$55,3,)))</f>
        <v>0</v>
      </c>
      <c r="AR2736" s="10" t="b">
        <f>IF(AND(I2736="TP",S2736&lt;=300),VLOOKUP(AF2736,TPCalibEq300!$AZ$2:$BB$55,3,),IF(AND(I2736="TDP",S2736&lt;=300),VLOOKUP(AF2736,TPCalibEq300!$AZ$2:$BB$55,3,)))</f>
        <v>0</v>
      </c>
      <c r="AS2736" s="10" t="str">
        <f>IF(AND(I2736="TP",S2736&lt;=500),VLOOKUP(AF2736,TPCalibEq500!$AZ$2:$BB$56,3,),IF(AND(I2736="TDP",S2736&lt;=500),VLOOKUP(AF2736,TPCalibEq500!$AZ$2:$BB$56,3,)))</f>
        <v>y=-1.7314x2+83.401x-37.87</v>
      </c>
      <c r="AT2736" s="10" t="b">
        <f>IF(AND(I2736="TN",S2736&lt;=2800),VLOOKUP(AF2736,TNCalibEq2500!$AZ$2:$BB$56,3,),IF(AND(I2736="TDN",S2736&lt;=2800),VLOOKUP(AF2736,TNCalibEq2500!$AZ$2:$BB$56,3,)))</f>
        <v>0</v>
      </c>
      <c r="AU2736" s="10" t="str">
        <f>IF(I2736="TP",VLOOKUP(AF2736,TPCalibEqFull!$AZ$2:$BB$56,3),IF(I2736="TDP",VLOOKUP(AF2736,TPCalibEqFull!$AZ$2:$BB$56,3),IF(I2736="TDN",VLOOKUP(AF2736,TNCalibEqFull!$AZ$1:$BB$56,3),IF(I2736="TN",VLOOKUP(AF2736,TNCalibEqFull!$AZ$1:$BB$56,3),FALSE))))</f>
        <v>y=0.1051x2+65.423x-19.469</v>
      </c>
      <c r="AV2736" s="10" t="str">
        <f t="shared" si="310"/>
        <v>0209 09:00:00-QAC-STD-D.D-1-DI-CAL</v>
      </c>
    </row>
    <row r="2737" spans="1:48" s="10" customFormat="1" x14ac:dyDescent="0.55000000000000004">
      <c r="A2737" s="32">
        <v>44966</v>
      </c>
      <c r="B2737" s="33">
        <v>0.375</v>
      </c>
      <c r="C2737" s="10" t="s">
        <v>70</v>
      </c>
      <c r="D2737" s="10" t="s">
        <v>71</v>
      </c>
      <c r="E2737" s="10" t="s">
        <v>922</v>
      </c>
      <c r="F2737" s="10">
        <v>1</v>
      </c>
      <c r="G2737" s="10" t="s">
        <v>73</v>
      </c>
      <c r="H2737" s="10" t="s">
        <v>74</v>
      </c>
      <c r="I2737" s="10" t="s">
        <v>83</v>
      </c>
      <c r="J2737" s="10">
        <v>186</v>
      </c>
      <c r="K2737" s="12">
        <v>44966</v>
      </c>
      <c r="L2737" s="33">
        <v>0.55178240740740747</v>
      </c>
      <c r="M2737" s="10">
        <v>1</v>
      </c>
      <c r="N2737" s="10" t="s">
        <v>84</v>
      </c>
      <c r="O2737" s="10">
        <v>15.5</v>
      </c>
      <c r="P2737" s="10">
        <v>1.1200000000000001</v>
      </c>
      <c r="Q2737" s="10">
        <v>1000</v>
      </c>
      <c r="R2737" s="10" t="s">
        <v>85</v>
      </c>
      <c r="S2737" s="34">
        <f t="shared" si="307"/>
        <v>1000</v>
      </c>
      <c r="T2737" s="10" t="s">
        <v>1192</v>
      </c>
      <c r="U2737" s="34" t="str">
        <f t="shared" si="308"/>
        <v/>
      </c>
      <c r="V2737" s="31" t="str">
        <f>IF(H2737="CHK",VLOOKUP(I2737,QCCHK,3,),IF(H2737="GUP",VLOOKUP(E2737,QCGUP,2,),IF(AND(H2737="ATP",OR(I2737="TN",I2737="TDN",I2737="TNO2-3",I2737="NO2-3")),VLOOKUP(E2737,QCREC_N,2,),IF(AND(H2737="NIC",OR(I2737="TN",I2737="TDN",I2737="TNO2-3",I2737="NO2-3")),VLOOKUP(E2737,QCNIC_N,2,),IF(AND(H2737="UREA",OR(I2737="TN",I2737="TDN",I2737="TNO2-3",I2737="NO2-3")),VLOOKUP(E2737,QCUREA_N,2,),IF(H2737="PER",VLOOKUP(I2737,QCPER,MATCH(E2737,QCACTUAL!$J$25:$AA$25,0),),IF(H2737="SPK",VLOOKUP(I2737,QCSPK,3,),IF(AND(H2737="ATP",OR(I2737="TP",I2737="TDP")),VLOOKUP(E2737,QCATP_P,2,),""))))))))</f>
        <v/>
      </c>
      <c r="W2737" s="31" t="str">
        <f t="shared" si="309"/>
        <v>TRUE</v>
      </c>
      <c r="X2737" s="31" t="str">
        <f t="shared" si="306"/>
        <v/>
      </c>
      <c r="Y2737" s="10" t="s">
        <v>1188</v>
      </c>
      <c r="AF2737" s="12">
        <v>44966</v>
      </c>
      <c r="AK2737" s="10">
        <f>0.1051*15.5^2+65.423*15.5-19.469</f>
        <v>1019.837775</v>
      </c>
      <c r="AL2737" s="10" t="str">
        <f t="shared" si="311"/>
        <v>FALSE</v>
      </c>
      <c r="AM2737" s="10" t="str">
        <f t="shared" si="311"/>
        <v>FALSE</v>
      </c>
      <c r="AN2737" s="10" t="str">
        <f t="shared" si="311"/>
        <v>FALSE</v>
      </c>
      <c r="AO2737" s="10" t="str">
        <f t="shared" si="312"/>
        <v>FALSE</v>
      </c>
      <c r="AP2737" s="10" t="str">
        <f t="shared" si="312"/>
        <v>y=0.1051*15.5^2+65.423*15.5-19.469</v>
      </c>
      <c r="AQ2737" s="10" t="b">
        <f>IF(AND(I2737="TP",S2737&lt;=150),VLOOKUP(AF2737,TPCalibEq150!$AZ$2:$BB$55,3,),IF(AND(I2737="TDP",S2737&lt;=150),VLOOKUP(AF2737,TPCalibEq150!$AZ$2:$BB$55,3,)))</f>
        <v>0</v>
      </c>
      <c r="AR2737" s="10" t="b">
        <f>IF(AND(I2737="TP",S2737&lt;=300),VLOOKUP(AF2737,TPCalibEq300!$AZ$2:$BB$55,3,),IF(AND(I2737="TDP",S2737&lt;=300),VLOOKUP(AF2737,TPCalibEq300!$AZ$2:$BB$55,3,)))</f>
        <v>0</v>
      </c>
      <c r="AS2737" s="10" t="b">
        <f>IF(AND(I2737="TP",S2737&lt;=500),VLOOKUP(AF2737,TPCalibEq500!$AZ$2:$BB$56,3,),IF(AND(I2737="TDP",S2737&lt;=500),VLOOKUP(AF2737,TPCalibEq500!$AZ$2:$BB$56,3,)))</f>
        <v>0</v>
      </c>
      <c r="AT2737" s="10" t="b">
        <f>IF(AND(I2737="TN",S2737&lt;=2800),VLOOKUP(AF2737,TNCalibEq2500!$AZ$2:$BB$56,3,),IF(AND(I2737="TDN",S2737&lt;=2800),VLOOKUP(AF2737,TNCalibEq2500!$AZ$2:$BB$56,3,)))</f>
        <v>0</v>
      </c>
      <c r="AU2737" s="10" t="str">
        <f>IF(I2737="TP",VLOOKUP(AF2737,TPCalibEqFull!$AZ$2:$BB$56,3),IF(I2737="TDP",VLOOKUP(AF2737,TPCalibEqFull!$AZ$2:$BB$56,3),IF(I2737="TDN",VLOOKUP(AF2737,TNCalibEqFull!$AZ$1:$BB$56,3),IF(I2737="TN",VLOOKUP(AF2737,TNCalibEqFull!$AZ$1:$BB$56,3),FALSE))))</f>
        <v>y=0.1051x2+65.423x-19.469</v>
      </c>
      <c r="AV2737" s="10" t="str">
        <f t="shared" si="310"/>
        <v>0209 09:00:00-QAC-STD-D.C-1-DI-CAL</v>
      </c>
    </row>
    <row r="2738" spans="1:48" s="10" customFormat="1" x14ac:dyDescent="0.55000000000000004">
      <c r="A2738" s="32">
        <v>44966</v>
      </c>
      <c r="B2738" s="33">
        <v>0.375</v>
      </c>
      <c r="C2738" s="10" t="s">
        <v>70</v>
      </c>
      <c r="D2738" s="10" t="s">
        <v>71</v>
      </c>
      <c r="E2738" s="10" t="s">
        <v>923</v>
      </c>
      <c r="F2738" s="10">
        <v>1</v>
      </c>
      <c r="G2738" s="10" t="s">
        <v>73</v>
      </c>
      <c r="H2738" s="10" t="s">
        <v>74</v>
      </c>
      <c r="I2738" s="10" t="s">
        <v>83</v>
      </c>
      <c r="J2738" s="10">
        <v>187</v>
      </c>
      <c r="K2738" s="12">
        <v>44966</v>
      </c>
      <c r="L2738" s="33">
        <v>0.55249999999999999</v>
      </c>
      <c r="M2738" s="10">
        <v>1</v>
      </c>
      <c r="N2738" s="10" t="s">
        <v>84</v>
      </c>
      <c r="O2738" s="10">
        <v>22.8</v>
      </c>
      <c r="P2738" s="10">
        <v>1.63</v>
      </c>
      <c r="Q2738" s="10">
        <v>1500</v>
      </c>
      <c r="R2738" s="10" t="s">
        <v>85</v>
      </c>
      <c r="S2738" s="34">
        <f t="shared" si="307"/>
        <v>1500</v>
      </c>
      <c r="T2738" s="10" t="s">
        <v>1193</v>
      </c>
      <c r="U2738" s="34" t="str">
        <f t="shared" si="308"/>
        <v/>
      </c>
      <c r="V2738" s="31" t="str">
        <f>IF(H2738="CHK",VLOOKUP(I2738,QCCHK,3,),IF(H2738="GUP",VLOOKUP(E2738,QCGUP,2,),IF(AND(H2738="ATP",OR(I2738="TN",I2738="TDN",I2738="TNO2-3",I2738="NO2-3")),VLOOKUP(E2738,QCREC_N,2,),IF(AND(H2738="NIC",OR(I2738="TN",I2738="TDN",I2738="TNO2-3",I2738="NO2-3")),VLOOKUP(E2738,QCNIC_N,2,),IF(AND(H2738="UREA",OR(I2738="TN",I2738="TDN",I2738="TNO2-3",I2738="NO2-3")),VLOOKUP(E2738,QCUREA_N,2,),IF(H2738="PER",VLOOKUP(I2738,QCPER,MATCH(E2738,QCACTUAL!$J$25:$AA$25,0),),IF(H2738="SPK",VLOOKUP(I2738,QCSPK,3,),IF(AND(H2738="ATP",OR(I2738="TP",I2738="TDP")),VLOOKUP(E2738,QCATP_P,2,),""))))))))</f>
        <v/>
      </c>
      <c r="W2738" s="31" t="str">
        <f t="shared" si="309"/>
        <v>TRUE</v>
      </c>
      <c r="X2738" s="31" t="str">
        <f t="shared" si="306"/>
        <v/>
      </c>
      <c r="Y2738" s="10" t="s">
        <v>1188</v>
      </c>
      <c r="AF2738" s="12">
        <v>44966</v>
      </c>
      <c r="AK2738" s="10">
        <f>0.1051*22.8^2+65.423*22.8-19.469</f>
        <v>1526.8105840000001</v>
      </c>
      <c r="AL2738" s="10" t="str">
        <f t="shared" si="311"/>
        <v>FALSE</v>
      </c>
      <c r="AM2738" s="10" t="str">
        <f t="shared" si="311"/>
        <v>FALSE</v>
      </c>
      <c r="AN2738" s="10" t="str">
        <f t="shared" si="311"/>
        <v>FALSE</v>
      </c>
      <c r="AO2738" s="10" t="str">
        <f t="shared" si="312"/>
        <v>FALSE</v>
      </c>
      <c r="AP2738" s="10" t="str">
        <f t="shared" si="312"/>
        <v>y=0.1051*22.8^2+65.423*22.8-19.469</v>
      </c>
      <c r="AQ2738" s="10" t="b">
        <f>IF(AND(I2738="TP",S2738&lt;=150),VLOOKUP(AF2738,TPCalibEq150!$AZ$2:$BB$55,3,),IF(AND(I2738="TDP",S2738&lt;=150),VLOOKUP(AF2738,TPCalibEq150!$AZ$2:$BB$55,3,)))</f>
        <v>0</v>
      </c>
      <c r="AR2738" s="10" t="b">
        <f>IF(AND(I2738="TP",S2738&lt;=300),VLOOKUP(AF2738,TPCalibEq300!$AZ$2:$BB$55,3,),IF(AND(I2738="TDP",S2738&lt;=300),VLOOKUP(AF2738,TPCalibEq300!$AZ$2:$BB$55,3,)))</f>
        <v>0</v>
      </c>
      <c r="AS2738" s="10" t="b">
        <f>IF(AND(I2738="TP",S2738&lt;=500),VLOOKUP(AF2738,TPCalibEq500!$AZ$2:$BB$56,3,),IF(AND(I2738="TDP",S2738&lt;=500),VLOOKUP(AF2738,TPCalibEq500!$AZ$2:$BB$56,3,)))</f>
        <v>0</v>
      </c>
      <c r="AT2738" s="10" t="b">
        <f>IF(AND(I2738="TN",S2738&lt;=2800),VLOOKUP(AF2738,TNCalibEq2500!$AZ$2:$BB$56,3,),IF(AND(I2738="TDN",S2738&lt;=2800),VLOOKUP(AF2738,TNCalibEq2500!$AZ$2:$BB$56,3,)))</f>
        <v>0</v>
      </c>
      <c r="AU2738" s="10" t="str">
        <f>IF(I2738="TP",VLOOKUP(AF2738,TPCalibEqFull!$AZ$2:$BB$56,3),IF(I2738="TDP",VLOOKUP(AF2738,TPCalibEqFull!$AZ$2:$BB$56,3),IF(I2738="TDN",VLOOKUP(AF2738,TNCalibEqFull!$AZ$1:$BB$56,3),IF(I2738="TN",VLOOKUP(AF2738,TNCalibEqFull!$AZ$1:$BB$56,3),FALSE))))</f>
        <v>y=0.1051x2+65.423x-19.469</v>
      </c>
      <c r="AV2738" s="10" t="str">
        <f t="shared" si="310"/>
        <v>0209 09:00:00-QAC-STD-D.B-1-DI-CAL</v>
      </c>
    </row>
    <row r="2739" spans="1:48" s="10" customFormat="1" x14ac:dyDescent="0.55000000000000004">
      <c r="A2739" s="32">
        <v>44966</v>
      </c>
      <c r="B2739" s="33">
        <v>0.375</v>
      </c>
      <c r="C2739" s="10" t="s">
        <v>70</v>
      </c>
      <c r="D2739" s="10" t="s">
        <v>71</v>
      </c>
      <c r="E2739" s="10" t="s">
        <v>924</v>
      </c>
      <c r="F2739" s="10">
        <v>1</v>
      </c>
      <c r="G2739" s="10" t="s">
        <v>73</v>
      </c>
      <c r="H2739" s="10" t="s">
        <v>74</v>
      </c>
      <c r="I2739" s="10" t="s">
        <v>83</v>
      </c>
      <c r="J2739" s="10">
        <v>188</v>
      </c>
      <c r="K2739" s="12">
        <v>44966</v>
      </c>
      <c r="L2739" s="33">
        <v>0.55320601851851847</v>
      </c>
      <c r="M2739" s="10">
        <v>1</v>
      </c>
      <c r="N2739" s="10" t="s">
        <v>84</v>
      </c>
      <c r="O2739" s="10">
        <v>29.2</v>
      </c>
      <c r="P2739" s="10">
        <v>2.08</v>
      </c>
      <c r="Q2739" s="10">
        <v>2000</v>
      </c>
      <c r="R2739" s="10" t="s">
        <v>85</v>
      </c>
      <c r="S2739" s="34">
        <f t="shared" si="307"/>
        <v>2000</v>
      </c>
      <c r="T2739" s="10" t="s">
        <v>1194</v>
      </c>
      <c r="U2739" s="34" t="str">
        <f t="shared" si="308"/>
        <v/>
      </c>
      <c r="V2739" s="31" t="str">
        <f>IF(H2739="CHK",VLOOKUP(I2739,QCCHK,3,),IF(H2739="GUP",VLOOKUP(E2739,QCGUP,2,),IF(AND(H2739="ATP",OR(I2739="TN",I2739="TDN",I2739="TNO2-3",I2739="NO2-3")),VLOOKUP(E2739,QCREC_N,2,),IF(AND(H2739="NIC",OR(I2739="TN",I2739="TDN",I2739="TNO2-3",I2739="NO2-3")),VLOOKUP(E2739,QCNIC_N,2,),IF(AND(H2739="UREA",OR(I2739="TN",I2739="TDN",I2739="TNO2-3",I2739="NO2-3")),VLOOKUP(E2739,QCUREA_N,2,),IF(H2739="PER",VLOOKUP(I2739,QCPER,MATCH(E2739,QCACTUAL!$J$25:$AA$25,0),),IF(H2739="SPK",VLOOKUP(I2739,QCSPK,3,),IF(AND(H2739="ATP",OR(I2739="TP",I2739="TDP")),VLOOKUP(E2739,QCATP_P,2,),""))))))))</f>
        <v/>
      </c>
      <c r="W2739" s="31" t="str">
        <f t="shared" si="309"/>
        <v>TRUE</v>
      </c>
      <c r="X2739" s="31" t="str">
        <f t="shared" si="306"/>
        <v/>
      </c>
      <c r="Y2739" s="10" t="s">
        <v>1188</v>
      </c>
      <c r="AF2739" s="12">
        <v>44966</v>
      </c>
      <c r="AK2739" s="10">
        <f>0.1051*29.2^2+65.423*29.2-19.469</f>
        <v>1980.495064</v>
      </c>
      <c r="AL2739" s="10" t="str">
        <f t="shared" si="311"/>
        <v>FALSE</v>
      </c>
      <c r="AM2739" s="10" t="str">
        <f t="shared" si="311"/>
        <v>FALSE</v>
      </c>
      <c r="AN2739" s="10" t="str">
        <f t="shared" si="311"/>
        <v>FALSE</v>
      </c>
      <c r="AO2739" s="10" t="str">
        <f t="shared" si="312"/>
        <v>FALSE</v>
      </c>
      <c r="AP2739" s="10" t="str">
        <f t="shared" si="312"/>
        <v>y=0.1051*29.2^2+65.423*29.2-19.469</v>
      </c>
      <c r="AQ2739" s="10" t="b">
        <f>IF(AND(I2739="TP",S2739&lt;=150),VLOOKUP(AF2739,TPCalibEq150!$AZ$2:$BB$55,3,),IF(AND(I2739="TDP",S2739&lt;=150),VLOOKUP(AF2739,TPCalibEq150!$AZ$2:$BB$55,3,)))</f>
        <v>0</v>
      </c>
      <c r="AR2739" s="10" t="b">
        <f>IF(AND(I2739="TP",S2739&lt;=300),VLOOKUP(AF2739,TPCalibEq300!$AZ$2:$BB$55,3,),IF(AND(I2739="TDP",S2739&lt;=300),VLOOKUP(AF2739,TPCalibEq300!$AZ$2:$BB$55,3,)))</f>
        <v>0</v>
      </c>
      <c r="AS2739" s="10" t="b">
        <f>IF(AND(I2739="TP",S2739&lt;=500),VLOOKUP(AF2739,TPCalibEq500!$AZ$2:$BB$56,3,),IF(AND(I2739="TDP",S2739&lt;=500),VLOOKUP(AF2739,TPCalibEq500!$AZ$2:$BB$56,3,)))</f>
        <v>0</v>
      </c>
      <c r="AT2739" s="10" t="b">
        <f>IF(AND(I2739="TN",S2739&lt;=2800),VLOOKUP(AF2739,TNCalibEq2500!$AZ$2:$BB$56,3,),IF(AND(I2739="TDN",S2739&lt;=2800),VLOOKUP(AF2739,TNCalibEq2500!$AZ$2:$BB$56,3,)))</f>
        <v>0</v>
      </c>
      <c r="AU2739" s="10" t="str">
        <f>IF(I2739="TP",VLOOKUP(AF2739,TPCalibEqFull!$AZ$2:$BB$56,3),IF(I2739="TDP",VLOOKUP(AF2739,TPCalibEqFull!$AZ$2:$BB$56,3),IF(I2739="TDN",VLOOKUP(AF2739,TNCalibEqFull!$AZ$1:$BB$56,3),IF(I2739="TN",VLOOKUP(AF2739,TNCalibEqFull!$AZ$1:$BB$56,3),FALSE))))</f>
        <v>y=0.1051x2+65.423x-19.469</v>
      </c>
      <c r="AV2739" s="10" t="str">
        <f t="shared" si="310"/>
        <v>0209 09:00:00-QAC-STD-D.A-1-DI-CAL</v>
      </c>
    </row>
    <row r="2740" spans="1:48" s="10" customFormat="1" x14ac:dyDescent="0.55000000000000004">
      <c r="A2740" s="32">
        <v>44966</v>
      </c>
      <c r="B2740" s="33">
        <v>0.375</v>
      </c>
      <c r="C2740" s="10" t="s">
        <v>70</v>
      </c>
      <c r="D2740" s="10" t="s">
        <v>71</v>
      </c>
      <c r="E2740" s="10" t="s">
        <v>925</v>
      </c>
      <c r="F2740" s="10">
        <v>1</v>
      </c>
      <c r="G2740" s="10" t="s">
        <v>73</v>
      </c>
      <c r="H2740" s="10" t="s">
        <v>74</v>
      </c>
      <c r="I2740" s="10" t="s">
        <v>83</v>
      </c>
      <c r="J2740" s="10">
        <v>189</v>
      </c>
      <c r="K2740" s="12">
        <v>44966</v>
      </c>
      <c r="L2740" s="33">
        <v>0.5539236111111111</v>
      </c>
      <c r="M2740" s="10">
        <v>1</v>
      </c>
      <c r="N2740" s="10" t="s">
        <v>84</v>
      </c>
      <c r="O2740" s="10">
        <v>0.53300000000000003</v>
      </c>
      <c r="P2740" s="10">
        <v>3.4799999999999998E-2</v>
      </c>
      <c r="Q2740" s="10">
        <v>0</v>
      </c>
      <c r="R2740" s="10" t="s">
        <v>85</v>
      </c>
      <c r="S2740" s="34">
        <f t="shared" si="307"/>
        <v>0</v>
      </c>
      <c r="T2740" s="10" t="s">
        <v>1194</v>
      </c>
      <c r="U2740" s="34" t="str">
        <f t="shared" si="308"/>
        <v/>
      </c>
      <c r="V2740" s="31" t="str">
        <f>IF(H2740="CHK",VLOOKUP(I2740,QCCHK,3,),IF(H2740="GUP",VLOOKUP(E2740,QCGUP,2,),IF(AND(H2740="ATP",OR(I2740="TN",I2740="TDN",I2740="TNO2-3",I2740="NO2-3")),VLOOKUP(E2740,QCREC_N,2,),IF(AND(H2740="NIC",OR(I2740="TN",I2740="TDN",I2740="TNO2-3",I2740="NO2-3")),VLOOKUP(E2740,QCNIC_N,2,),IF(AND(H2740="UREA",OR(I2740="TN",I2740="TDN",I2740="TNO2-3",I2740="NO2-3")),VLOOKUP(E2740,QCUREA_N,2,),IF(H2740="PER",VLOOKUP(I2740,QCPER,MATCH(E2740,QCACTUAL!$J$25:$AA$25,0),),IF(H2740="SPK",VLOOKUP(I2740,QCSPK,3,),IF(AND(H2740="ATP",OR(I2740="TP",I2740="TDP")),VLOOKUP(E2740,QCATP_P,2,),""))))))))</f>
        <v/>
      </c>
      <c r="W2740" s="31" t="str">
        <f t="shared" si="309"/>
        <v>TRUE</v>
      </c>
      <c r="X2740" s="31" t="str">
        <f t="shared" si="306"/>
        <v/>
      </c>
      <c r="Y2740" s="10" t="s">
        <v>1188</v>
      </c>
      <c r="AF2740" s="12">
        <v>44966</v>
      </c>
      <c r="AG2740" s="10">
        <f>-11.204*0.533^2+113.68*0.533-55.283</f>
        <v>2.1255068440000002</v>
      </c>
      <c r="AH2740" s="10">
        <f>-2.9408*0.533^2+89.45*0.533-43.664</f>
        <v>3.1774010688000018</v>
      </c>
      <c r="AI2740" s="10">
        <f>-1.7314*0.533^2+83.401*0.533-37.87</f>
        <v>6.0908613054000043</v>
      </c>
      <c r="AK2740" s="10">
        <f>0.1051*0.533^2+65.423*0.533-19.469</f>
        <v>15.431316753899999</v>
      </c>
      <c r="AL2740" s="10" t="str">
        <f t="shared" si="311"/>
        <v>y=-11.204*0.533^2+113.68*0.533-55.283</v>
      </c>
      <c r="AM2740" s="10" t="str">
        <f t="shared" si="311"/>
        <v>y=-2.9408*0.533^2+89.45*0.533-43.664</v>
      </c>
      <c r="AN2740" s="10" t="str">
        <f t="shared" si="311"/>
        <v>y=-1.7314*0.533^2+83.401*0.533-37.87</v>
      </c>
      <c r="AO2740" s="10" t="str">
        <f t="shared" si="312"/>
        <v>FALSE</v>
      </c>
      <c r="AP2740" s="10" t="str">
        <f t="shared" si="312"/>
        <v>y=0.1051*0.533^2+65.423*0.533-19.469</v>
      </c>
      <c r="AQ2740" s="10" t="str">
        <f>IF(AND(I2740="TP",S2740&lt;=150),VLOOKUP(AF2740,TPCalibEq150!$AZ$2:$BB$55,3,),IF(AND(I2740="TDP",S2740&lt;=150),VLOOKUP(AF2740,TPCalibEq150!$AZ$2:$BB$55,3,)))</f>
        <v>y=-11.204x2+113.68x-55.283</v>
      </c>
      <c r="AR2740" s="10" t="str">
        <f>IF(AND(I2740="TP",S2740&lt;=300),VLOOKUP(AF2740,TPCalibEq300!$AZ$2:$BB$55,3,),IF(AND(I2740="TDP",S2740&lt;=300),VLOOKUP(AF2740,TPCalibEq300!$AZ$2:$BB$55,3,)))</f>
        <v>y=-2.9408x2+89.45x-43.664</v>
      </c>
      <c r="AS2740" s="10" t="str">
        <f>IF(AND(I2740="TP",S2740&lt;=500),VLOOKUP(AF2740,TPCalibEq500!$AZ$2:$BB$56,3,),IF(AND(I2740="TDP",S2740&lt;=500),VLOOKUP(AF2740,TPCalibEq500!$AZ$2:$BB$56,3,)))</f>
        <v>y=-1.7314x2+83.401x-37.87</v>
      </c>
      <c r="AT2740" s="10" t="b">
        <f>IF(AND(I2740="TN",S2740&lt;=2800),VLOOKUP(AF2740,TNCalibEq2500!$AZ$2:$BB$56,3,),IF(AND(I2740="TDN",S2740&lt;=2800),VLOOKUP(AF2740,TNCalibEq2500!$AZ$2:$BB$56,3,)))</f>
        <v>0</v>
      </c>
      <c r="AU2740" s="10" t="str">
        <f>IF(I2740="TP",VLOOKUP(AF2740,TPCalibEqFull!$AZ$2:$BB$56,3),IF(I2740="TDP",VLOOKUP(AF2740,TPCalibEqFull!$AZ$2:$BB$56,3),IF(I2740="TDN",VLOOKUP(AF2740,TNCalibEqFull!$AZ$1:$BB$56,3),IF(I2740="TN",VLOOKUP(AF2740,TNCalibEqFull!$AZ$1:$BB$56,3),FALSE))))</f>
        <v>y=0.1051x2+65.423x-19.469</v>
      </c>
      <c r="AV2740" s="10" t="str">
        <f t="shared" si="310"/>
        <v>0209 09:00:00-QAC-STD-Q.H-1-DI-CAL</v>
      </c>
    </row>
    <row r="2741" spans="1:48" s="10" customFormat="1" x14ac:dyDescent="0.55000000000000004">
      <c r="A2741" s="32">
        <v>44966</v>
      </c>
      <c r="B2741" s="33">
        <v>0.375</v>
      </c>
      <c r="C2741" s="10" t="s">
        <v>70</v>
      </c>
      <c r="D2741" s="10" t="s">
        <v>71</v>
      </c>
      <c r="E2741" s="10" t="s">
        <v>926</v>
      </c>
      <c r="F2741" s="10">
        <v>1</v>
      </c>
      <c r="G2741" s="10" t="s">
        <v>73</v>
      </c>
      <c r="H2741" s="10" t="s">
        <v>74</v>
      </c>
      <c r="I2741" s="10" t="s">
        <v>83</v>
      </c>
      <c r="J2741" s="10">
        <v>190</v>
      </c>
      <c r="K2741" s="12">
        <v>44966</v>
      </c>
      <c r="L2741" s="33">
        <v>0.55462962962962969</v>
      </c>
      <c r="M2741" s="10">
        <v>1</v>
      </c>
      <c r="N2741" s="10" t="s">
        <v>84</v>
      </c>
      <c r="O2741" s="10">
        <v>0.56799999999999995</v>
      </c>
      <c r="P2741" s="10">
        <v>3.7400000000000003E-2</v>
      </c>
      <c r="Q2741" s="10">
        <v>5</v>
      </c>
      <c r="R2741" s="10" t="s">
        <v>85</v>
      </c>
      <c r="S2741" s="34">
        <f t="shared" si="307"/>
        <v>5</v>
      </c>
      <c r="T2741" s="10" t="s">
        <v>1195</v>
      </c>
      <c r="U2741" s="34" t="str">
        <f t="shared" si="308"/>
        <v/>
      </c>
      <c r="V2741" s="31" t="str">
        <f>IF(H2741="CHK",VLOOKUP(I2741,QCCHK,3,),IF(H2741="GUP",VLOOKUP(E2741,QCGUP,2,),IF(AND(H2741="ATP",OR(I2741="TN",I2741="TDN",I2741="TNO2-3",I2741="NO2-3")),VLOOKUP(E2741,QCREC_N,2,),IF(AND(H2741="NIC",OR(I2741="TN",I2741="TDN",I2741="TNO2-3",I2741="NO2-3")),VLOOKUP(E2741,QCNIC_N,2,),IF(AND(H2741="UREA",OR(I2741="TN",I2741="TDN",I2741="TNO2-3",I2741="NO2-3")),VLOOKUP(E2741,QCUREA_N,2,),IF(H2741="PER",VLOOKUP(I2741,QCPER,MATCH(E2741,QCACTUAL!$J$25:$AA$25,0),),IF(H2741="SPK",VLOOKUP(I2741,QCSPK,3,),IF(AND(H2741="ATP",OR(I2741="TP",I2741="TDP")),VLOOKUP(E2741,QCATP_P,2,),""))))))))</f>
        <v/>
      </c>
      <c r="W2741" s="31" t="str">
        <f t="shared" si="309"/>
        <v>TRUE</v>
      </c>
      <c r="X2741" s="31" t="str">
        <f t="shared" si="306"/>
        <v/>
      </c>
      <c r="Y2741" s="10" t="s">
        <v>1188</v>
      </c>
      <c r="AF2741" s="12">
        <v>44966</v>
      </c>
      <c r="AG2741" s="10">
        <f>-11.204*0.568^2+113.68*0.568-55.283</f>
        <v>5.6725607039999986</v>
      </c>
      <c r="AH2741" s="10">
        <f>-2.9408*0.568^2+89.45*0.568-43.664</f>
        <v>6.1948273407999892</v>
      </c>
      <c r="AI2741" s="10">
        <f>-1.7314*0.568^2+83.401*0.568-37.87</f>
        <v>8.9431768063999968</v>
      </c>
      <c r="AK2741" s="10">
        <f>0.1051*0.568^2+65.423*0.568-19.469</f>
        <v>17.725171782399997</v>
      </c>
      <c r="AL2741" s="10" t="str">
        <f t="shared" si="311"/>
        <v>y=-11.204*0.568^2+113.68*0.568-55.283</v>
      </c>
      <c r="AM2741" s="10" t="str">
        <f t="shared" si="311"/>
        <v>y=-2.9408*0.568^2+89.45*0.568-43.664</v>
      </c>
      <c r="AN2741" s="10" t="str">
        <f t="shared" si="311"/>
        <v>y=-1.7314*0.568^2+83.401*0.568-37.87</v>
      </c>
      <c r="AO2741" s="10" t="str">
        <f t="shared" si="312"/>
        <v>FALSE</v>
      </c>
      <c r="AP2741" s="10" t="str">
        <f t="shared" si="312"/>
        <v>y=0.1051*0.568^2+65.423*0.568-19.469</v>
      </c>
      <c r="AQ2741" s="10" t="str">
        <f>IF(AND(I2741="TP",S2741&lt;=150),VLOOKUP(AF2741,TPCalibEq150!$AZ$2:$BB$55,3,),IF(AND(I2741="TDP",S2741&lt;=150),VLOOKUP(AF2741,TPCalibEq150!$AZ$2:$BB$55,3,)))</f>
        <v>y=-11.204x2+113.68x-55.283</v>
      </c>
      <c r="AR2741" s="10" t="str">
        <f>IF(AND(I2741="TP",S2741&lt;=300),VLOOKUP(AF2741,TPCalibEq300!$AZ$2:$BB$55,3,),IF(AND(I2741="TDP",S2741&lt;=300),VLOOKUP(AF2741,TPCalibEq300!$AZ$2:$BB$55,3,)))</f>
        <v>y=-2.9408x2+89.45x-43.664</v>
      </c>
      <c r="AS2741" s="10" t="str">
        <f>IF(AND(I2741="TP",S2741&lt;=500),VLOOKUP(AF2741,TPCalibEq500!$AZ$2:$BB$56,3,),IF(AND(I2741="TDP",S2741&lt;=500),VLOOKUP(AF2741,TPCalibEq500!$AZ$2:$BB$56,3,)))</f>
        <v>y=-1.7314x2+83.401x-37.87</v>
      </c>
      <c r="AT2741" s="10" t="b">
        <f>IF(AND(I2741="TN",S2741&lt;=2800),VLOOKUP(AF2741,TNCalibEq2500!$AZ$2:$BB$56,3,),IF(AND(I2741="TDN",S2741&lt;=2800),VLOOKUP(AF2741,TNCalibEq2500!$AZ$2:$BB$56,3,)))</f>
        <v>0</v>
      </c>
      <c r="AU2741" s="10" t="str">
        <f>IF(I2741="TP",VLOOKUP(AF2741,TPCalibEqFull!$AZ$2:$BB$56,3),IF(I2741="TDP",VLOOKUP(AF2741,TPCalibEqFull!$AZ$2:$BB$56,3),IF(I2741="TDN",VLOOKUP(AF2741,TNCalibEqFull!$AZ$1:$BB$56,3),IF(I2741="TN",VLOOKUP(AF2741,TNCalibEqFull!$AZ$1:$BB$56,3),FALSE))))</f>
        <v>y=0.1051x2+65.423x-19.469</v>
      </c>
      <c r="AV2741" s="10" t="str">
        <f t="shared" si="310"/>
        <v>0209 09:00:00-QAC-STD-Q.G-1-DI-CAL</v>
      </c>
    </row>
    <row r="2742" spans="1:48" s="10" customFormat="1" x14ac:dyDescent="0.55000000000000004">
      <c r="A2742" s="32">
        <v>44966</v>
      </c>
      <c r="B2742" s="33">
        <v>0.375</v>
      </c>
      <c r="C2742" s="10" t="s">
        <v>70</v>
      </c>
      <c r="D2742" s="10" t="s">
        <v>71</v>
      </c>
      <c r="E2742" s="10" t="s">
        <v>927</v>
      </c>
      <c r="F2742" s="10">
        <v>1</v>
      </c>
      <c r="G2742" s="10" t="s">
        <v>73</v>
      </c>
      <c r="H2742" s="10" t="s">
        <v>74</v>
      </c>
      <c r="I2742" s="10" t="s">
        <v>83</v>
      </c>
      <c r="J2742" s="10">
        <v>191</v>
      </c>
      <c r="K2742" s="12">
        <v>44966</v>
      </c>
      <c r="L2742" s="33">
        <v>0.55532407407407403</v>
      </c>
      <c r="M2742" s="10">
        <v>1</v>
      </c>
      <c r="N2742" s="10" t="s">
        <v>84</v>
      </c>
      <c r="O2742" s="10">
        <v>0.61399999999999999</v>
      </c>
      <c r="P2742" s="10">
        <v>4.0500000000000001E-2</v>
      </c>
      <c r="Q2742" s="10">
        <v>15</v>
      </c>
      <c r="R2742" s="10" t="s">
        <v>85</v>
      </c>
      <c r="S2742" s="34">
        <f t="shared" si="307"/>
        <v>15</v>
      </c>
      <c r="T2742" s="10" t="s">
        <v>1196</v>
      </c>
      <c r="U2742" s="34" t="str">
        <f t="shared" si="308"/>
        <v/>
      </c>
      <c r="V2742" s="31" t="str">
        <f>IF(H2742="CHK",VLOOKUP(I2742,QCCHK,3,),IF(H2742="GUP",VLOOKUP(E2742,QCGUP,2,),IF(AND(H2742="ATP",OR(I2742="TN",I2742="TDN",I2742="TNO2-3",I2742="NO2-3")),VLOOKUP(E2742,QCREC_N,2,),IF(AND(H2742="NIC",OR(I2742="TN",I2742="TDN",I2742="TNO2-3",I2742="NO2-3")),VLOOKUP(E2742,QCNIC_N,2,),IF(AND(H2742="UREA",OR(I2742="TN",I2742="TDN",I2742="TNO2-3",I2742="NO2-3")),VLOOKUP(E2742,QCUREA_N,2,),IF(H2742="PER",VLOOKUP(I2742,QCPER,MATCH(E2742,QCACTUAL!$J$25:$AA$25,0),),IF(H2742="SPK",VLOOKUP(I2742,QCSPK,3,),IF(AND(H2742="ATP",OR(I2742="TP",I2742="TDP")),VLOOKUP(E2742,QCATP_P,2,),""))))))))</f>
        <v/>
      </c>
      <c r="W2742" s="31" t="str">
        <f t="shared" si="309"/>
        <v>TRUE</v>
      </c>
      <c r="X2742" s="31" t="str">
        <f t="shared" si="306"/>
        <v/>
      </c>
      <c r="Y2742" s="10" t="s">
        <v>1188</v>
      </c>
      <c r="AF2742" s="12">
        <v>44966</v>
      </c>
      <c r="AG2742" s="10">
        <f>-11.204*0.614^2+113.68*0.614-55.283</f>
        <v>10.292656816000004</v>
      </c>
      <c r="AH2742" s="10">
        <f>-2.9408*0.614^2+89.45*0.614-43.664</f>
        <v>10.149630163200001</v>
      </c>
      <c r="AI2742" s="10">
        <f>-1.7314*0.614^2+83.401*0.614-37.87</f>
        <v>12.685483125600001</v>
      </c>
      <c r="AK2742" s="10">
        <f>0.1051*0.614^2+65.423*0.614-19.469</f>
        <v>20.740344279600002</v>
      </c>
      <c r="AL2742" s="10" t="str">
        <f t="shared" si="311"/>
        <v>y=-11.204*0.614^2+113.68*0.614-55.283</v>
      </c>
      <c r="AM2742" s="10" t="str">
        <f t="shared" si="311"/>
        <v>y=-2.9408*0.614^2+89.45*0.614-43.664</v>
      </c>
      <c r="AN2742" s="10" t="str">
        <f t="shared" si="311"/>
        <v>y=-1.7314*0.614^2+83.401*0.614-37.87</v>
      </c>
      <c r="AO2742" s="10" t="str">
        <f t="shared" si="312"/>
        <v>FALSE</v>
      </c>
      <c r="AP2742" s="10" t="str">
        <f t="shared" si="312"/>
        <v>y=0.1051*0.614^2+65.423*0.614-19.469</v>
      </c>
      <c r="AQ2742" s="10" t="str">
        <f>IF(AND(I2742="TP",S2742&lt;=150),VLOOKUP(AF2742,TPCalibEq150!$AZ$2:$BB$55,3,),IF(AND(I2742="TDP",S2742&lt;=150),VLOOKUP(AF2742,TPCalibEq150!$AZ$2:$BB$55,3,)))</f>
        <v>y=-11.204x2+113.68x-55.283</v>
      </c>
      <c r="AR2742" s="10" t="str">
        <f>IF(AND(I2742="TP",S2742&lt;=300),VLOOKUP(AF2742,TPCalibEq300!$AZ$2:$BB$55,3,),IF(AND(I2742="TDP",S2742&lt;=300),VLOOKUP(AF2742,TPCalibEq300!$AZ$2:$BB$55,3,)))</f>
        <v>y=-2.9408x2+89.45x-43.664</v>
      </c>
      <c r="AS2742" s="10" t="str">
        <f>IF(AND(I2742="TP",S2742&lt;=500),VLOOKUP(AF2742,TPCalibEq500!$AZ$2:$BB$56,3,),IF(AND(I2742="TDP",S2742&lt;=500),VLOOKUP(AF2742,TPCalibEq500!$AZ$2:$BB$56,3,)))</f>
        <v>y=-1.7314x2+83.401x-37.87</v>
      </c>
      <c r="AT2742" s="10" t="b">
        <f>IF(AND(I2742="TN",S2742&lt;=2800),VLOOKUP(AF2742,TNCalibEq2500!$AZ$2:$BB$56,3,),IF(AND(I2742="TDN",S2742&lt;=2800),VLOOKUP(AF2742,TNCalibEq2500!$AZ$2:$BB$56,3,)))</f>
        <v>0</v>
      </c>
      <c r="AU2742" s="10" t="str">
        <f>IF(I2742="TP",VLOOKUP(AF2742,TPCalibEqFull!$AZ$2:$BB$56,3),IF(I2742="TDP",VLOOKUP(AF2742,TPCalibEqFull!$AZ$2:$BB$56,3),IF(I2742="TDN",VLOOKUP(AF2742,TNCalibEqFull!$AZ$1:$BB$56,3),IF(I2742="TN",VLOOKUP(AF2742,TNCalibEqFull!$AZ$1:$BB$56,3),FALSE))))</f>
        <v>y=0.1051x2+65.423x-19.469</v>
      </c>
      <c r="AV2742" s="10" t="str">
        <f t="shared" si="310"/>
        <v>0209 09:00:00-QAC-STD-Q.F-1-DI-CAL</v>
      </c>
    </row>
    <row r="2743" spans="1:48" s="10" customFormat="1" x14ac:dyDescent="0.55000000000000004">
      <c r="A2743" s="32">
        <v>44966</v>
      </c>
      <c r="B2743" s="33">
        <v>0.375</v>
      </c>
      <c r="C2743" s="10" t="s">
        <v>70</v>
      </c>
      <c r="D2743" s="10" t="s">
        <v>71</v>
      </c>
      <c r="E2743" s="10" t="s">
        <v>928</v>
      </c>
      <c r="F2743" s="10">
        <v>1</v>
      </c>
      <c r="G2743" s="10" t="s">
        <v>73</v>
      </c>
      <c r="H2743" s="10" t="s">
        <v>74</v>
      </c>
      <c r="I2743" s="10" t="s">
        <v>83</v>
      </c>
      <c r="J2743" s="10">
        <v>192</v>
      </c>
      <c r="K2743" s="12">
        <v>44966</v>
      </c>
      <c r="L2743" s="33">
        <v>0.55604166666666666</v>
      </c>
      <c r="M2743" s="10">
        <v>1</v>
      </c>
      <c r="N2743" s="10" t="s">
        <v>84</v>
      </c>
      <c r="O2743" s="10">
        <v>0.73199999999999998</v>
      </c>
      <c r="P2743" s="10">
        <v>4.87E-2</v>
      </c>
      <c r="Q2743" s="10">
        <v>20</v>
      </c>
      <c r="R2743" s="10" t="s">
        <v>85</v>
      </c>
      <c r="S2743" s="34">
        <f t="shared" si="307"/>
        <v>20</v>
      </c>
      <c r="T2743" s="10" t="s">
        <v>1197</v>
      </c>
      <c r="U2743" s="34" t="str">
        <f t="shared" si="308"/>
        <v/>
      </c>
      <c r="V2743" s="31" t="str">
        <f>IF(H2743="CHK",VLOOKUP(I2743,QCCHK,3,),IF(H2743="GUP",VLOOKUP(E2743,QCGUP,2,),IF(AND(H2743="ATP",OR(I2743="TN",I2743="TDN",I2743="TNO2-3",I2743="NO2-3")),VLOOKUP(E2743,QCREC_N,2,),IF(AND(H2743="NIC",OR(I2743="TN",I2743="TDN",I2743="TNO2-3",I2743="NO2-3")),VLOOKUP(E2743,QCNIC_N,2,),IF(AND(H2743="UREA",OR(I2743="TN",I2743="TDN",I2743="TNO2-3",I2743="NO2-3")),VLOOKUP(E2743,QCUREA_N,2,),IF(H2743="PER",VLOOKUP(I2743,QCPER,MATCH(E2743,QCACTUAL!$J$25:$AA$25,0),),IF(H2743="SPK",VLOOKUP(I2743,QCSPK,3,),IF(AND(H2743="ATP",OR(I2743="TP",I2743="TDP")),VLOOKUP(E2743,QCATP_P,2,),""))))))))</f>
        <v/>
      </c>
      <c r="W2743" s="31" t="str">
        <f t="shared" si="309"/>
        <v>TRUE</v>
      </c>
      <c r="X2743" s="31" t="str">
        <f t="shared" si="306"/>
        <v/>
      </c>
      <c r="Y2743" s="10" t="s">
        <v>1188</v>
      </c>
      <c r="AF2743" s="12">
        <v>44966</v>
      </c>
      <c r="AG2743" s="10">
        <f>-11.204*0.732^2+113.68*0.732-55.283</f>
        <v>21.927387904000014</v>
      </c>
      <c r="AH2743" s="10">
        <f>-2.9408*0.732^2+89.45*0.732-43.664</f>
        <v>20.237648780800001</v>
      </c>
      <c r="AI2743" s="10">
        <f>-1.7314*0.732^2+83.401*0.732-37.87</f>
        <v>22.251806326400001</v>
      </c>
      <c r="AK2743" s="10">
        <f>0.1051*0.732^2+65.423*0.732-19.469</f>
        <v>28.476951102400001</v>
      </c>
      <c r="AL2743" s="10" t="str">
        <f t="shared" si="311"/>
        <v>y=-11.204*0.732^2+113.68*0.732-55.283</v>
      </c>
      <c r="AM2743" s="10" t="str">
        <f t="shared" si="311"/>
        <v>y=-2.9408*0.732^2+89.45*0.732-43.664</v>
      </c>
      <c r="AN2743" s="10" t="str">
        <f t="shared" si="311"/>
        <v>y=-1.7314*0.732^2+83.401*0.732-37.87</v>
      </c>
      <c r="AO2743" s="10" t="str">
        <f t="shared" si="312"/>
        <v>FALSE</v>
      </c>
      <c r="AP2743" s="10" t="str">
        <f t="shared" si="312"/>
        <v>y=0.1051*0.732^2+65.423*0.732-19.469</v>
      </c>
      <c r="AQ2743" s="10" t="str">
        <f>IF(AND(I2743="TP",S2743&lt;=150),VLOOKUP(AF2743,TPCalibEq150!$AZ$2:$BB$55,3,),IF(AND(I2743="TDP",S2743&lt;=150),VLOOKUP(AF2743,TPCalibEq150!$AZ$2:$BB$55,3,)))</f>
        <v>y=-11.204x2+113.68x-55.283</v>
      </c>
      <c r="AR2743" s="10" t="str">
        <f>IF(AND(I2743="TP",S2743&lt;=300),VLOOKUP(AF2743,TPCalibEq300!$AZ$2:$BB$55,3,),IF(AND(I2743="TDP",S2743&lt;=300),VLOOKUP(AF2743,TPCalibEq300!$AZ$2:$BB$55,3,)))</f>
        <v>y=-2.9408x2+89.45x-43.664</v>
      </c>
      <c r="AS2743" s="10" t="str">
        <f>IF(AND(I2743="TP",S2743&lt;=500),VLOOKUP(AF2743,TPCalibEq500!$AZ$2:$BB$56,3,),IF(AND(I2743="TDP",S2743&lt;=500),VLOOKUP(AF2743,TPCalibEq500!$AZ$2:$BB$56,3,)))</f>
        <v>y=-1.7314x2+83.401x-37.87</v>
      </c>
      <c r="AT2743" s="10" t="b">
        <f>IF(AND(I2743="TN",S2743&lt;=2800),VLOOKUP(AF2743,TNCalibEq2500!$AZ$2:$BB$56,3,),IF(AND(I2743="TDN",S2743&lt;=2800),VLOOKUP(AF2743,TNCalibEq2500!$AZ$2:$BB$56,3,)))</f>
        <v>0</v>
      </c>
      <c r="AU2743" s="10" t="str">
        <f>IF(I2743="TP",VLOOKUP(AF2743,TPCalibEqFull!$AZ$2:$BB$56,3),IF(I2743="TDP",VLOOKUP(AF2743,TPCalibEqFull!$AZ$2:$BB$56,3),IF(I2743="TDN",VLOOKUP(AF2743,TNCalibEqFull!$AZ$1:$BB$56,3),IF(I2743="TN",VLOOKUP(AF2743,TNCalibEqFull!$AZ$1:$BB$56,3),FALSE))))</f>
        <v>y=0.1051x2+65.423x-19.469</v>
      </c>
      <c r="AV2743" s="10" t="str">
        <f t="shared" si="310"/>
        <v>0209 09:00:00-QAC-STD-Q.E-1-DI-CAL</v>
      </c>
    </row>
    <row r="2744" spans="1:48" s="10" customFormat="1" x14ac:dyDescent="0.55000000000000004">
      <c r="A2744" s="32">
        <v>44966</v>
      </c>
      <c r="B2744" s="33">
        <v>0.375</v>
      </c>
      <c r="C2744" s="10" t="s">
        <v>70</v>
      </c>
      <c r="D2744" s="10" t="s">
        <v>71</v>
      </c>
      <c r="E2744" s="10" t="s">
        <v>929</v>
      </c>
      <c r="F2744" s="10">
        <v>1</v>
      </c>
      <c r="G2744" s="10" t="s">
        <v>73</v>
      </c>
      <c r="H2744" s="10" t="s">
        <v>74</v>
      </c>
      <c r="I2744" s="10" t="s">
        <v>83</v>
      </c>
      <c r="J2744" s="10">
        <v>193</v>
      </c>
      <c r="K2744" s="12">
        <v>44966</v>
      </c>
      <c r="L2744" s="33">
        <v>0.55674768518518525</v>
      </c>
      <c r="M2744" s="10">
        <v>1</v>
      </c>
      <c r="N2744" s="10" t="s">
        <v>84</v>
      </c>
      <c r="O2744" s="10">
        <v>0.54900000000000004</v>
      </c>
      <c r="P2744" s="10">
        <v>3.5999999999999997E-2</v>
      </c>
      <c r="Q2744" s="10">
        <v>75</v>
      </c>
      <c r="R2744" s="10" t="s">
        <v>85</v>
      </c>
      <c r="S2744" s="34">
        <f t="shared" si="307"/>
        <v>75</v>
      </c>
      <c r="T2744" s="10" t="s">
        <v>1198</v>
      </c>
      <c r="U2744" s="34" t="str">
        <f t="shared" si="308"/>
        <v/>
      </c>
      <c r="V2744" s="31" t="str">
        <f>IF(H2744="CHK",VLOOKUP(I2744,QCCHK,3,),IF(H2744="GUP",VLOOKUP(E2744,QCGUP,2,),IF(AND(H2744="ATP",OR(I2744="TN",I2744="TDN",I2744="TNO2-3",I2744="NO2-3")),VLOOKUP(E2744,QCREC_N,2,),IF(AND(H2744="NIC",OR(I2744="TN",I2744="TDN",I2744="TNO2-3",I2744="NO2-3")),VLOOKUP(E2744,QCNIC_N,2,),IF(AND(H2744="UREA",OR(I2744="TN",I2744="TDN",I2744="TNO2-3",I2744="NO2-3")),VLOOKUP(E2744,QCUREA_N,2,),IF(H2744="PER",VLOOKUP(I2744,QCPER,MATCH(E2744,QCACTUAL!$J$25:$AA$25,0),),IF(H2744="SPK",VLOOKUP(I2744,QCSPK,3,),IF(AND(H2744="ATP",OR(I2744="TP",I2744="TDP")),VLOOKUP(E2744,QCATP_P,2,),""))))))))</f>
        <v/>
      </c>
      <c r="W2744" s="31" t="str">
        <f t="shared" si="309"/>
        <v>TRUE</v>
      </c>
      <c r="X2744" s="31" t="str">
        <f t="shared" si="306"/>
        <v/>
      </c>
      <c r="Y2744" s="10" t="s">
        <v>1188</v>
      </c>
      <c r="AF2744" s="12">
        <v>44966</v>
      </c>
      <c r="AG2744" s="10">
        <f>-11.204*0.549^2+113.68*0.549-55.283</f>
        <v>3.750423196000007</v>
      </c>
      <c r="AH2744" s="10">
        <f>-2.9408*0.549^2+89.45*0.549-43.664</f>
        <v>4.557689939200003</v>
      </c>
      <c r="AI2744" s="10">
        <f>-1.7314*0.549^2+83.401*0.549-37.87</f>
        <v>7.3953033085999991</v>
      </c>
      <c r="AK2744" s="10">
        <f>0.1051*0.549^2+65.423*0.549-19.469</f>
        <v>16.479904245100002</v>
      </c>
      <c r="AL2744" s="10" t="str">
        <f t="shared" si="311"/>
        <v>y=-11.204*0.549^2+113.68*0.549-55.283</v>
      </c>
      <c r="AM2744" s="10" t="str">
        <f t="shared" si="311"/>
        <v>y=-2.9408*0.549^2+89.45*0.549-43.664</v>
      </c>
      <c r="AN2744" s="10" t="str">
        <f t="shared" si="311"/>
        <v>y=-1.7314*0.549^2+83.401*0.549-37.87</v>
      </c>
      <c r="AO2744" s="10" t="str">
        <f t="shared" si="312"/>
        <v>FALSE</v>
      </c>
      <c r="AP2744" s="10" t="str">
        <f t="shared" si="312"/>
        <v>y=0.1051*0.549^2+65.423*0.549-19.469</v>
      </c>
      <c r="AQ2744" s="10" t="str">
        <f>IF(AND(I2744="TP",S2744&lt;=150),VLOOKUP(AF2744,TPCalibEq150!$AZ$2:$BB$55,3,),IF(AND(I2744="TDP",S2744&lt;=150),VLOOKUP(AF2744,TPCalibEq150!$AZ$2:$BB$55,3,)))</f>
        <v>y=-11.204x2+113.68x-55.283</v>
      </c>
      <c r="AR2744" s="10" t="str">
        <f>IF(AND(I2744="TP",S2744&lt;=300),VLOOKUP(AF2744,TPCalibEq300!$AZ$2:$BB$55,3,),IF(AND(I2744="TDP",S2744&lt;=300),VLOOKUP(AF2744,TPCalibEq300!$AZ$2:$BB$55,3,)))</f>
        <v>y=-2.9408x2+89.45x-43.664</v>
      </c>
      <c r="AS2744" s="10" t="str">
        <f>IF(AND(I2744="TP",S2744&lt;=500),VLOOKUP(AF2744,TPCalibEq500!$AZ$2:$BB$56,3,),IF(AND(I2744="TDP",S2744&lt;=500),VLOOKUP(AF2744,TPCalibEq500!$AZ$2:$BB$56,3,)))</f>
        <v>y=-1.7314x2+83.401x-37.87</v>
      </c>
      <c r="AT2744" s="10" t="b">
        <f>IF(AND(I2744="TN",S2744&lt;=2800),VLOOKUP(AF2744,TNCalibEq2500!$AZ$2:$BB$56,3,),IF(AND(I2744="TDN",S2744&lt;=2800),VLOOKUP(AF2744,TNCalibEq2500!$AZ$2:$BB$56,3,)))</f>
        <v>0</v>
      </c>
      <c r="AU2744" s="10" t="str">
        <f>IF(I2744="TP",VLOOKUP(AF2744,TPCalibEqFull!$AZ$2:$BB$56,3),IF(I2744="TDP",VLOOKUP(AF2744,TPCalibEqFull!$AZ$2:$BB$56,3),IF(I2744="TDN",VLOOKUP(AF2744,TNCalibEqFull!$AZ$1:$BB$56,3),IF(I2744="TN",VLOOKUP(AF2744,TNCalibEqFull!$AZ$1:$BB$56,3),FALSE))))</f>
        <v>y=0.1051x2+65.423x-19.469</v>
      </c>
      <c r="AV2744" s="10" t="str">
        <f t="shared" si="310"/>
        <v>0209 09:00:00-QAC-STD-Q.D-1-DI-CAL</v>
      </c>
    </row>
    <row r="2745" spans="1:48" s="10" customFormat="1" x14ac:dyDescent="0.55000000000000004">
      <c r="A2745" s="32">
        <v>44966</v>
      </c>
      <c r="B2745" s="33">
        <v>0.375</v>
      </c>
      <c r="C2745" s="10" t="s">
        <v>70</v>
      </c>
      <c r="D2745" s="10" t="s">
        <v>71</v>
      </c>
      <c r="E2745" s="10" t="s">
        <v>930</v>
      </c>
      <c r="F2745" s="10">
        <v>1</v>
      </c>
      <c r="G2745" s="10" t="s">
        <v>73</v>
      </c>
      <c r="H2745" s="10" t="s">
        <v>74</v>
      </c>
      <c r="I2745" s="10" t="s">
        <v>83</v>
      </c>
      <c r="J2745" s="10">
        <v>194</v>
      </c>
      <c r="K2745" s="12">
        <v>44966</v>
      </c>
      <c r="L2745" s="33">
        <v>0.55744212962962958</v>
      </c>
      <c r="M2745" s="10">
        <v>1</v>
      </c>
      <c r="N2745" s="10" t="s">
        <v>84</v>
      </c>
      <c r="O2745" s="10">
        <v>2.35</v>
      </c>
      <c r="P2745" s="10">
        <v>0.16600000000000001</v>
      </c>
      <c r="Q2745" s="10">
        <v>150</v>
      </c>
      <c r="R2745" s="10" t="s">
        <v>85</v>
      </c>
      <c r="S2745" s="34">
        <f t="shared" si="307"/>
        <v>150</v>
      </c>
      <c r="T2745" s="10" t="s">
        <v>1199</v>
      </c>
      <c r="U2745" s="34" t="str">
        <f t="shared" si="308"/>
        <v/>
      </c>
      <c r="V2745" s="31" t="str">
        <f>IF(H2745="CHK",VLOOKUP(I2745,QCCHK,3,),IF(H2745="GUP",VLOOKUP(E2745,QCGUP,2,),IF(AND(H2745="ATP",OR(I2745="TN",I2745="TDN",I2745="TNO2-3",I2745="NO2-3")),VLOOKUP(E2745,QCREC_N,2,),IF(AND(H2745="NIC",OR(I2745="TN",I2745="TDN",I2745="TNO2-3",I2745="NO2-3")),VLOOKUP(E2745,QCNIC_N,2,),IF(AND(H2745="UREA",OR(I2745="TN",I2745="TDN",I2745="TNO2-3",I2745="NO2-3")),VLOOKUP(E2745,QCUREA_N,2,),IF(H2745="PER",VLOOKUP(I2745,QCPER,MATCH(E2745,QCACTUAL!$J$25:$AA$25,0),),IF(H2745="SPK",VLOOKUP(I2745,QCSPK,3,),IF(AND(H2745="ATP",OR(I2745="TP",I2745="TDP")),VLOOKUP(E2745,QCATP_P,2,),""))))))))</f>
        <v/>
      </c>
      <c r="W2745" s="31" t="str">
        <f t="shared" si="309"/>
        <v>TRUE</v>
      </c>
      <c r="X2745" s="31" t="str">
        <f t="shared" si="306"/>
        <v/>
      </c>
      <c r="Y2745" s="10" t="s">
        <v>1188</v>
      </c>
      <c r="AF2745" s="12">
        <v>44966</v>
      </c>
      <c r="AG2745" s="10">
        <f>-11.204*2.35^2+113.68*2.35-55.283</f>
        <v>149.99090999999999</v>
      </c>
      <c r="AH2745" s="10">
        <f>-2.9408*2.35^2+89.45*2.35-43.664</f>
        <v>150.302932</v>
      </c>
      <c r="AI2745" s="10">
        <f>-1.7314*2.35^2+83.401*2.35-37.87</f>
        <v>148.56069349999999</v>
      </c>
      <c r="AK2745" s="10">
        <f>0.1051*2.35^2+65.423*2.35-19.469</f>
        <v>134.85546475000001</v>
      </c>
      <c r="AL2745" s="10" t="str">
        <f t="shared" si="311"/>
        <v>y=-11.204*2.35^2+113.68*2.35-55.283</v>
      </c>
      <c r="AM2745" s="10" t="str">
        <f t="shared" si="311"/>
        <v>y=-2.9408*2.35^2+89.45*2.35-43.664</v>
      </c>
      <c r="AN2745" s="10" t="str">
        <f t="shared" si="311"/>
        <v>y=-1.7314*2.35^2+83.401*2.35-37.87</v>
      </c>
      <c r="AO2745" s="10" t="str">
        <f t="shared" si="312"/>
        <v>FALSE</v>
      </c>
      <c r="AP2745" s="10" t="str">
        <f t="shared" si="312"/>
        <v>y=0.1051*2.35^2+65.423*2.35-19.469</v>
      </c>
      <c r="AQ2745" s="10" t="str">
        <f>IF(AND(I2745="TP",S2745&lt;=150),VLOOKUP(AF2745,TPCalibEq150!$AZ$2:$BB$55,3,),IF(AND(I2745="TDP",S2745&lt;=150),VLOOKUP(AF2745,TPCalibEq150!$AZ$2:$BB$55,3,)))</f>
        <v>y=-11.204x2+113.68x-55.283</v>
      </c>
      <c r="AR2745" s="10" t="str">
        <f>IF(AND(I2745="TP",S2745&lt;=300),VLOOKUP(AF2745,TPCalibEq300!$AZ$2:$BB$55,3,),IF(AND(I2745="TDP",S2745&lt;=300),VLOOKUP(AF2745,TPCalibEq300!$AZ$2:$BB$55,3,)))</f>
        <v>y=-2.9408x2+89.45x-43.664</v>
      </c>
      <c r="AS2745" s="10" t="str">
        <f>IF(AND(I2745="TP",S2745&lt;=500),VLOOKUP(AF2745,TPCalibEq500!$AZ$2:$BB$56,3,),IF(AND(I2745="TDP",S2745&lt;=500),VLOOKUP(AF2745,TPCalibEq500!$AZ$2:$BB$56,3,)))</f>
        <v>y=-1.7314x2+83.401x-37.87</v>
      </c>
      <c r="AT2745" s="10" t="b">
        <f>IF(AND(I2745="TN",S2745&lt;=2800),VLOOKUP(AF2745,TNCalibEq2500!$AZ$2:$BB$56,3,),IF(AND(I2745="TDN",S2745&lt;=2800),VLOOKUP(AF2745,TNCalibEq2500!$AZ$2:$BB$56,3,)))</f>
        <v>0</v>
      </c>
      <c r="AU2745" s="10" t="str">
        <f>IF(I2745="TP",VLOOKUP(AF2745,TPCalibEqFull!$AZ$2:$BB$56,3),IF(I2745="TDP",VLOOKUP(AF2745,TPCalibEqFull!$AZ$2:$BB$56,3),IF(I2745="TDN",VLOOKUP(AF2745,TNCalibEqFull!$AZ$1:$BB$56,3),IF(I2745="TN",VLOOKUP(AF2745,TNCalibEqFull!$AZ$1:$BB$56,3),FALSE))))</f>
        <v>y=0.1051x2+65.423x-19.469</v>
      </c>
      <c r="AV2745" s="10" t="str">
        <f t="shared" si="310"/>
        <v>0209 09:00:00-QAC-STD-Q.C-1-DI-CAL</v>
      </c>
    </row>
    <row r="2746" spans="1:48" s="10" customFormat="1" x14ac:dyDescent="0.55000000000000004">
      <c r="A2746" s="32">
        <v>44966</v>
      </c>
      <c r="B2746" s="33">
        <v>0.375</v>
      </c>
      <c r="C2746" s="10" t="s">
        <v>70</v>
      </c>
      <c r="D2746" s="10" t="s">
        <v>71</v>
      </c>
      <c r="E2746" s="10" t="s">
        <v>931</v>
      </c>
      <c r="F2746" s="10">
        <v>1</v>
      </c>
      <c r="G2746" s="10" t="s">
        <v>73</v>
      </c>
      <c r="H2746" s="10" t="s">
        <v>74</v>
      </c>
      <c r="I2746" s="10" t="s">
        <v>83</v>
      </c>
      <c r="J2746" s="10">
        <v>195</v>
      </c>
      <c r="K2746" s="12">
        <v>44966</v>
      </c>
      <c r="L2746" s="33">
        <v>0.55815972222222221</v>
      </c>
      <c r="M2746" s="10">
        <v>1</v>
      </c>
      <c r="N2746" s="10" t="s">
        <v>84</v>
      </c>
      <c r="O2746" s="10">
        <v>4.51</v>
      </c>
      <c r="P2746" s="10">
        <v>0.32700000000000001</v>
      </c>
      <c r="Q2746" s="10">
        <v>300</v>
      </c>
      <c r="R2746" s="10" t="s">
        <v>85</v>
      </c>
      <c r="S2746" s="34">
        <f t="shared" si="307"/>
        <v>300</v>
      </c>
      <c r="T2746" s="10" t="s">
        <v>1200</v>
      </c>
      <c r="U2746" s="34" t="str">
        <f t="shared" si="308"/>
        <v/>
      </c>
      <c r="V2746" s="31" t="str">
        <f>IF(H2746="CHK",VLOOKUP(I2746,QCCHK,3,),IF(H2746="GUP",VLOOKUP(E2746,QCGUP,2,),IF(AND(H2746="ATP",OR(I2746="TN",I2746="TDN",I2746="TNO2-3",I2746="NO2-3")),VLOOKUP(E2746,QCREC_N,2,),IF(AND(H2746="NIC",OR(I2746="TN",I2746="TDN",I2746="TNO2-3",I2746="NO2-3")),VLOOKUP(E2746,QCNIC_N,2,),IF(AND(H2746="UREA",OR(I2746="TN",I2746="TDN",I2746="TNO2-3",I2746="NO2-3")),VLOOKUP(E2746,QCUREA_N,2,),IF(H2746="PER",VLOOKUP(I2746,QCPER,MATCH(E2746,QCACTUAL!$J$25:$AA$25,0),),IF(H2746="SPK",VLOOKUP(I2746,QCSPK,3,),IF(AND(H2746="ATP",OR(I2746="TP",I2746="TDP")),VLOOKUP(E2746,QCATP_P,2,),""))))))))</f>
        <v/>
      </c>
      <c r="W2746" s="31" t="str">
        <f t="shared" si="309"/>
        <v>TRUE</v>
      </c>
      <c r="X2746" s="31" t="str">
        <f t="shared" si="306"/>
        <v/>
      </c>
      <c r="Y2746" s="10" t="s">
        <v>1188</v>
      </c>
      <c r="AF2746" s="12">
        <v>44966</v>
      </c>
      <c r="AH2746" s="10">
        <f>-2.9408*4.51^2+89.45*4.51-43.664</f>
        <v>299.93933391999997</v>
      </c>
      <c r="AI2746" s="10">
        <f>-1.7314*4.51^2+83.401*4.51-37.87</f>
        <v>303.05166085999991</v>
      </c>
      <c r="AK2746" s="10">
        <f>0.1051*4.51^2+65.423*4.51-19.469</f>
        <v>277.72647451</v>
      </c>
      <c r="AL2746" s="10" t="str">
        <f t="shared" si="311"/>
        <v>FALSE</v>
      </c>
      <c r="AM2746" s="10" t="str">
        <f t="shared" si="311"/>
        <v>y=-2.9408*4.51^2+89.45*4.51-43.664</v>
      </c>
      <c r="AN2746" s="10" t="str">
        <f t="shared" si="311"/>
        <v>y=-1.7314*4.51^2+83.401*4.51-37.87</v>
      </c>
      <c r="AO2746" s="10" t="str">
        <f t="shared" si="312"/>
        <v>FALSE</v>
      </c>
      <c r="AP2746" s="10" t="str">
        <f t="shared" si="312"/>
        <v>y=0.1051*4.51^2+65.423*4.51-19.469</v>
      </c>
      <c r="AQ2746" s="10" t="b">
        <f>IF(AND(I2746="TP",S2746&lt;=150),VLOOKUP(AF2746,TPCalibEq150!$AZ$2:$BB$55,3,),IF(AND(I2746="TDP",S2746&lt;=150),VLOOKUP(AF2746,TPCalibEq150!$AZ$2:$BB$55,3,)))</f>
        <v>0</v>
      </c>
      <c r="AR2746" s="10" t="str">
        <f>IF(AND(I2746="TP",S2746&lt;=300),VLOOKUP(AF2746,TPCalibEq300!$AZ$2:$BB$55,3,),IF(AND(I2746="TDP",S2746&lt;=300),VLOOKUP(AF2746,TPCalibEq300!$AZ$2:$BB$55,3,)))</f>
        <v>y=-2.9408x2+89.45x-43.664</v>
      </c>
      <c r="AS2746" s="10" t="str">
        <f>IF(AND(I2746="TP",S2746&lt;=500),VLOOKUP(AF2746,TPCalibEq500!$AZ$2:$BB$56,3,),IF(AND(I2746="TDP",S2746&lt;=500),VLOOKUP(AF2746,TPCalibEq500!$AZ$2:$BB$56,3,)))</f>
        <v>y=-1.7314x2+83.401x-37.87</v>
      </c>
      <c r="AT2746" s="10" t="b">
        <f>IF(AND(I2746="TN",S2746&lt;=2800),VLOOKUP(AF2746,TNCalibEq2500!$AZ$2:$BB$56,3,),IF(AND(I2746="TDN",S2746&lt;=2800),VLOOKUP(AF2746,TNCalibEq2500!$AZ$2:$BB$56,3,)))</f>
        <v>0</v>
      </c>
      <c r="AU2746" s="10" t="str">
        <f>IF(I2746="TP",VLOOKUP(AF2746,TPCalibEqFull!$AZ$2:$BB$56,3),IF(I2746="TDP",VLOOKUP(AF2746,TPCalibEqFull!$AZ$2:$BB$56,3),IF(I2746="TDN",VLOOKUP(AF2746,TNCalibEqFull!$AZ$1:$BB$56,3),IF(I2746="TN",VLOOKUP(AF2746,TNCalibEqFull!$AZ$1:$BB$56,3),FALSE))))</f>
        <v>y=0.1051x2+65.423x-19.469</v>
      </c>
      <c r="AV2746" s="10" t="str">
        <f t="shared" si="310"/>
        <v>0209 09:00:00-QAC-STD-Q.B-1-DI-CAL</v>
      </c>
    </row>
    <row r="2747" spans="1:48" s="10" customFormat="1" x14ac:dyDescent="0.55000000000000004">
      <c r="A2747" s="32">
        <v>44966</v>
      </c>
      <c r="B2747" s="33">
        <v>0.375</v>
      </c>
      <c r="C2747" s="10" t="s">
        <v>70</v>
      </c>
      <c r="D2747" s="10" t="s">
        <v>71</v>
      </c>
      <c r="E2747" s="10" t="s">
        <v>932</v>
      </c>
      <c r="F2747" s="10">
        <v>1</v>
      </c>
      <c r="G2747" s="10" t="s">
        <v>73</v>
      </c>
      <c r="H2747" s="10" t="s">
        <v>74</v>
      </c>
      <c r="I2747" s="10" t="s">
        <v>83</v>
      </c>
      <c r="J2747" s="10">
        <v>196</v>
      </c>
      <c r="K2747" s="12">
        <v>44966</v>
      </c>
      <c r="L2747" s="33">
        <v>0.5588657407407408</v>
      </c>
      <c r="M2747" s="10">
        <v>1</v>
      </c>
      <c r="N2747" s="10" t="s">
        <v>84</v>
      </c>
      <c r="O2747" s="10">
        <v>7.54</v>
      </c>
      <c r="P2747" s="10">
        <v>0.54800000000000004</v>
      </c>
      <c r="Q2747" s="10">
        <v>500</v>
      </c>
      <c r="R2747" s="10" t="s">
        <v>85</v>
      </c>
      <c r="S2747" s="34">
        <f t="shared" si="307"/>
        <v>500</v>
      </c>
      <c r="T2747" s="10" t="s">
        <v>1201</v>
      </c>
      <c r="U2747" s="34" t="str">
        <f t="shared" si="308"/>
        <v/>
      </c>
      <c r="V2747" s="31" t="str">
        <f>IF(H2747="CHK",VLOOKUP(I2747,QCCHK,3,),IF(H2747="GUP",VLOOKUP(E2747,QCGUP,2,),IF(AND(H2747="ATP",OR(I2747="TN",I2747="TDN",I2747="TNO2-3",I2747="NO2-3")),VLOOKUP(E2747,QCREC_N,2,),IF(AND(H2747="NIC",OR(I2747="TN",I2747="TDN",I2747="TNO2-3",I2747="NO2-3")),VLOOKUP(E2747,QCNIC_N,2,),IF(AND(H2747="UREA",OR(I2747="TN",I2747="TDN",I2747="TNO2-3",I2747="NO2-3")),VLOOKUP(E2747,QCUREA_N,2,),IF(H2747="PER",VLOOKUP(I2747,QCPER,MATCH(E2747,QCACTUAL!$J$25:$AA$25,0),),IF(H2747="SPK",VLOOKUP(I2747,QCSPK,3,),IF(AND(H2747="ATP",OR(I2747="TP",I2747="TDP")),VLOOKUP(E2747,QCATP_P,2,),""))))))))</f>
        <v/>
      </c>
      <c r="W2747" s="31" t="str">
        <f t="shared" si="309"/>
        <v>TRUE</v>
      </c>
      <c r="X2747" s="31" t="str">
        <f t="shared" si="306"/>
        <v/>
      </c>
      <c r="Y2747" s="10" t="s">
        <v>1188</v>
      </c>
      <c r="AF2747" s="12">
        <v>44966</v>
      </c>
      <c r="AI2747" s="10">
        <f>-1.7314*7.54^2+83.401*7.54-37.87</f>
        <v>492.54067975999999</v>
      </c>
      <c r="AK2747" s="10">
        <f>0.1051*7.54^2+65.423*7.54-19.469</f>
        <v>479.79552316000002</v>
      </c>
      <c r="AL2747" s="10" t="str">
        <f t="shared" si="311"/>
        <v>FALSE</v>
      </c>
      <c r="AM2747" s="10" t="str">
        <f t="shared" si="311"/>
        <v>FALSE</v>
      </c>
      <c r="AN2747" s="10" t="str">
        <f t="shared" si="311"/>
        <v>y=-1.7314*7.54^2+83.401*7.54-37.87</v>
      </c>
      <c r="AO2747" s="10" t="str">
        <f t="shared" si="312"/>
        <v>FALSE</v>
      </c>
      <c r="AP2747" s="10" t="str">
        <f t="shared" si="312"/>
        <v>y=0.1051*7.54^2+65.423*7.54-19.469</v>
      </c>
      <c r="AQ2747" s="10" t="b">
        <f>IF(AND(I2747="TP",S2747&lt;=150),VLOOKUP(AF2747,TPCalibEq150!$AZ$2:$BB$55,3,),IF(AND(I2747="TDP",S2747&lt;=150),VLOOKUP(AF2747,TPCalibEq150!$AZ$2:$BB$55,3,)))</f>
        <v>0</v>
      </c>
      <c r="AR2747" s="10" t="b">
        <f>IF(AND(I2747="TP",S2747&lt;=300),VLOOKUP(AF2747,TPCalibEq300!$AZ$2:$BB$55,3,),IF(AND(I2747="TDP",S2747&lt;=300),VLOOKUP(AF2747,TPCalibEq300!$AZ$2:$BB$55,3,)))</f>
        <v>0</v>
      </c>
      <c r="AS2747" s="10" t="str">
        <f>IF(AND(I2747="TP",S2747&lt;=500),VLOOKUP(AF2747,TPCalibEq500!$AZ$2:$BB$56,3,),IF(AND(I2747="TDP",S2747&lt;=500),VLOOKUP(AF2747,TPCalibEq500!$AZ$2:$BB$56,3,)))</f>
        <v>y=-1.7314x2+83.401x-37.87</v>
      </c>
      <c r="AT2747" s="10" t="b">
        <f>IF(AND(I2747="TN",S2747&lt;=2800),VLOOKUP(AF2747,TNCalibEq2500!$AZ$2:$BB$56,3,),IF(AND(I2747="TDN",S2747&lt;=2800),VLOOKUP(AF2747,TNCalibEq2500!$AZ$2:$BB$56,3,)))</f>
        <v>0</v>
      </c>
      <c r="AU2747" s="10" t="str">
        <f>IF(I2747="TP",VLOOKUP(AF2747,TPCalibEqFull!$AZ$2:$BB$56,3),IF(I2747="TDP",VLOOKUP(AF2747,TPCalibEqFull!$AZ$2:$BB$56,3),IF(I2747="TDN",VLOOKUP(AF2747,TNCalibEqFull!$AZ$1:$BB$56,3),IF(I2747="TN",VLOOKUP(AF2747,TNCalibEqFull!$AZ$1:$BB$56,3),FALSE))))</f>
        <v>y=0.1051x2+65.423x-19.469</v>
      </c>
      <c r="AV2747" s="10" t="str">
        <f t="shared" si="310"/>
        <v>0209 09:00:00-QAC-STD-Q.A-1-DI-CAL</v>
      </c>
    </row>
    <row r="2748" spans="1:48" s="10" customFormat="1" x14ac:dyDescent="0.55000000000000004">
      <c r="A2748" s="32">
        <v>44966</v>
      </c>
      <c r="B2748" s="33">
        <v>0.375</v>
      </c>
      <c r="C2748" s="10" t="s">
        <v>70</v>
      </c>
      <c r="D2748" s="10" t="s">
        <v>241</v>
      </c>
      <c r="E2748" s="10" t="s">
        <v>866</v>
      </c>
      <c r="F2748" s="10">
        <v>1</v>
      </c>
      <c r="G2748" s="10" t="s">
        <v>73</v>
      </c>
      <c r="H2748" s="10" t="s">
        <v>283</v>
      </c>
      <c r="I2748" s="10" t="s">
        <v>83</v>
      </c>
      <c r="J2748" s="10">
        <v>198</v>
      </c>
      <c r="K2748" s="12">
        <v>44966</v>
      </c>
      <c r="L2748" s="33">
        <v>0.56026620370370372</v>
      </c>
      <c r="M2748" s="10">
        <v>1</v>
      </c>
      <c r="N2748" s="10" t="s">
        <v>84</v>
      </c>
      <c r="O2748" s="10">
        <v>0.46800000000000003</v>
      </c>
      <c r="P2748" s="10">
        <v>3.0800000000000001E-2</v>
      </c>
      <c r="Q2748" s="10">
        <v>12.2</v>
      </c>
      <c r="R2748" s="10" t="s">
        <v>85</v>
      </c>
      <c r="S2748" s="34">
        <f t="shared" si="307"/>
        <v>12.2</v>
      </c>
      <c r="T2748" s="10" t="s">
        <v>1201</v>
      </c>
      <c r="U2748" s="34">
        <f t="shared" si="308"/>
        <v>12.2</v>
      </c>
      <c r="V2748" s="31" t="str">
        <f>IF(H2748="CHK",VLOOKUP(I2748,QCCHK,3,),IF(H2748="GUP",VLOOKUP(E2748,QCGUP,2,),IF(AND(H2748="ATP",OR(I2748="TN",I2748="TDN",I2748="TNO2-3",I2748="NO2-3")),VLOOKUP(E2748,QCREC_N,2,),IF(AND(H2748="NIC",OR(I2748="TN",I2748="TDN",I2748="TNO2-3",I2748="NO2-3")),VLOOKUP(E2748,QCNIC_N,2,),IF(AND(H2748="UREA",OR(I2748="TN",I2748="TDN",I2748="TNO2-3",I2748="NO2-3")),VLOOKUP(E2748,QCUREA_N,2,),IF(H2748="PER",VLOOKUP(I2748,QCPER,MATCH(E2748,QCACTUAL!$J$25:$AA$25,0),),IF(H2748="SPK",VLOOKUP(I2748,QCSPK,3,),IF(AND(H2748="ATP",OR(I2748="TP",I2748="TDP")),VLOOKUP(E2748,QCATP_P,2,),""))))))))</f>
        <v/>
      </c>
      <c r="W2748" s="31" t="str">
        <f t="shared" si="309"/>
        <v>TRUE</v>
      </c>
      <c r="X2748" s="31" t="str">
        <f t="shared" si="306"/>
        <v>nominal concentration</v>
      </c>
      <c r="Y2748" s="10" t="s">
        <v>1188</v>
      </c>
      <c r="AF2748" s="12">
        <v>44966</v>
      </c>
      <c r="AG2748" s="10">
        <f>-11.204*0.468^2+113.68*0.468-55.283</f>
        <v>-4.5347048960000009</v>
      </c>
      <c r="AH2748" s="10">
        <f>-2.9408*0.468^2+89.45*0.468-43.664</f>
        <v>-2.4455057791999977</v>
      </c>
      <c r="AI2748" s="10">
        <f>-1.7314*0.468^2+83.401*0.468-37.87</f>
        <v>0.78244984640000581</v>
      </c>
      <c r="AK2748" s="10">
        <f>0.1051*0.468^2+65.423*0.468-19.469</f>
        <v>11.171983422400004</v>
      </c>
      <c r="AL2748" s="10" t="str">
        <f t="shared" si="311"/>
        <v>y=-11.204*0.468^2+113.68*0.468-55.283</v>
      </c>
      <c r="AM2748" s="10" t="str">
        <f t="shared" si="311"/>
        <v>y=-2.9408*0.468^2+89.45*0.468-43.664</v>
      </c>
      <c r="AN2748" s="10" t="str">
        <f t="shared" si="311"/>
        <v>y=-1.7314*0.468^2+83.401*0.468-37.87</v>
      </c>
      <c r="AO2748" s="10" t="str">
        <f t="shared" si="312"/>
        <v>FALSE</v>
      </c>
      <c r="AP2748" s="10" t="str">
        <f t="shared" si="312"/>
        <v>y=0.1051*0.468^2+65.423*0.468-19.469</v>
      </c>
      <c r="AQ2748" s="10" t="str">
        <f>IF(AND(I2748="TP",S2748&lt;=150),VLOOKUP(AF2748,TPCalibEq150!$AZ$2:$BB$55,3,),IF(AND(I2748="TDP",S2748&lt;=150),VLOOKUP(AF2748,TPCalibEq150!$AZ$2:$BB$55,3,)))</f>
        <v>y=-11.204x2+113.68x-55.283</v>
      </c>
      <c r="AR2748" s="10" t="str">
        <f>IF(AND(I2748="TP",S2748&lt;=300),VLOOKUP(AF2748,TPCalibEq300!$AZ$2:$BB$55,3,),IF(AND(I2748="TDP",S2748&lt;=300),VLOOKUP(AF2748,TPCalibEq300!$AZ$2:$BB$55,3,)))</f>
        <v>y=-2.9408x2+89.45x-43.664</v>
      </c>
      <c r="AS2748" s="10" t="str">
        <f>IF(AND(I2748="TP",S2748&lt;=500),VLOOKUP(AF2748,TPCalibEq500!$AZ$2:$BB$56,3,),IF(AND(I2748="TDP",S2748&lt;=500),VLOOKUP(AF2748,TPCalibEq500!$AZ$2:$BB$56,3,)))</f>
        <v>y=-1.7314x2+83.401x-37.87</v>
      </c>
      <c r="AT2748" s="10" t="b">
        <f>IF(AND(I2748="TN",S2748&lt;=2800),VLOOKUP(AF2748,TNCalibEq2500!$AZ$2:$BB$56,3,),IF(AND(I2748="TDN",S2748&lt;=2800),VLOOKUP(AF2748,TNCalibEq2500!$AZ$2:$BB$56,3,)))</f>
        <v>0</v>
      </c>
      <c r="AU2748" s="10" t="str">
        <f>IF(I2748="TP",VLOOKUP(AF2748,TPCalibEqFull!$AZ$2:$BB$56,3),IF(I2748="TDP",VLOOKUP(AF2748,TPCalibEqFull!$AZ$2:$BB$56,3),IF(I2748="TDN",VLOOKUP(AF2748,TNCalibEqFull!$AZ$1:$BB$56,3),IF(I2748="TN",VLOOKUP(AF2748,TNCalibEqFull!$AZ$1:$BB$56,3),FALSE))))</f>
        <v>y=0.1051x2+65.423x-19.469</v>
      </c>
      <c r="AV2748" s="10" t="str">
        <f t="shared" si="310"/>
        <v>0209 09:00:00-QAC-BLK-A-1-DI-LAB</v>
      </c>
    </row>
    <row r="2749" spans="1:48" s="10" customFormat="1" x14ac:dyDescent="0.55000000000000004">
      <c r="A2749" s="32">
        <v>44966</v>
      </c>
      <c r="B2749" s="33">
        <v>0.375</v>
      </c>
      <c r="C2749" s="10" t="s">
        <v>70</v>
      </c>
      <c r="D2749" s="10" t="s">
        <v>241</v>
      </c>
      <c r="E2749" s="10" t="s">
        <v>866</v>
      </c>
      <c r="F2749" s="10">
        <v>1</v>
      </c>
      <c r="G2749" s="10" t="s">
        <v>73</v>
      </c>
      <c r="H2749" s="10" t="s">
        <v>314</v>
      </c>
      <c r="I2749" s="10" t="s">
        <v>83</v>
      </c>
      <c r="J2749" s="10">
        <v>225</v>
      </c>
      <c r="K2749" s="12">
        <v>44966</v>
      </c>
      <c r="L2749" s="33">
        <v>0.56097222222222221</v>
      </c>
      <c r="M2749" s="10">
        <v>1</v>
      </c>
      <c r="N2749" s="10" t="s">
        <v>84</v>
      </c>
      <c r="O2749" s="10">
        <v>14.9</v>
      </c>
      <c r="P2749" s="10">
        <v>1.07</v>
      </c>
      <c r="Q2749" s="10">
        <v>975</v>
      </c>
      <c r="R2749" s="10" t="s">
        <v>85</v>
      </c>
      <c r="S2749" s="34">
        <f t="shared" si="307"/>
        <v>978.66695100000004</v>
      </c>
      <c r="T2749" s="10" t="s">
        <v>1201</v>
      </c>
      <c r="U2749" s="34">
        <f t="shared" si="308"/>
        <v>96.646695100000002</v>
      </c>
      <c r="V2749" s="31">
        <f>IF(H2749="CHK",VLOOKUP(I2749,QCCHK,3,),IF(H2749="GUP",VLOOKUP(E2749,QCGUP,2,),IF(AND(H2749="ATP",OR(I2749="TN",I2749="TDN",I2749="TNO2-3",I2749="NO2-3")),VLOOKUP(E2749,QCREC_N,2,),IF(AND(H2749="NIC",OR(I2749="TN",I2749="TDN",I2749="TNO2-3",I2749="NO2-3")),VLOOKUP(E2749,QCNIC_N,2,),IF(AND(H2749="UREA",OR(I2749="TN",I2749="TDN",I2749="TNO2-3",I2749="NO2-3")),VLOOKUP(E2749,QCUREA_N,2,),IF(H2749="PER",VLOOKUP(I2749,QCPER,MATCH(E2749,QCACTUAL!$J$25:$AA$25,0),),IF(H2749="SPK",VLOOKUP(I2749,QCSPK,3,),IF(AND(H2749="ATP",OR(I2749="TP",I2749="TDP")),VLOOKUP(E2749,QCATP_P,2,),""))))))))</f>
        <v>1000</v>
      </c>
      <c r="W2749" s="31" t="str">
        <f t="shared" si="309"/>
        <v>TRUE</v>
      </c>
      <c r="X2749" s="31" t="str">
        <f t="shared" si="306"/>
        <v>([spikedunkn]-[unkn])/[spike]*100</v>
      </c>
      <c r="Y2749" s="10" t="s">
        <v>1188</v>
      </c>
      <c r="AF2749" s="12">
        <v>44966</v>
      </c>
      <c r="AK2749" s="10">
        <f>0.1051*14.9^2+65.423*14.9-19.469</f>
        <v>978.66695100000004</v>
      </c>
      <c r="AL2749" s="10" t="str">
        <f t="shared" si="311"/>
        <v>FALSE</v>
      </c>
      <c r="AM2749" s="10" t="str">
        <f t="shared" si="311"/>
        <v>FALSE</v>
      </c>
      <c r="AN2749" s="10" t="str">
        <f t="shared" si="311"/>
        <v>FALSE</v>
      </c>
      <c r="AO2749" s="10" t="str">
        <f t="shared" si="312"/>
        <v>FALSE</v>
      </c>
      <c r="AP2749" s="10" t="str">
        <f t="shared" si="312"/>
        <v>y=0.1051*14.9^2+65.423*14.9-19.469</v>
      </c>
      <c r="AQ2749" s="10" t="b">
        <f>IF(AND(I2749="TP",S2749&lt;=150),VLOOKUP(AF2749,TPCalibEq150!$AZ$2:$BB$55,3,),IF(AND(I2749="TDP",S2749&lt;=150),VLOOKUP(AF2749,TPCalibEq150!$AZ$2:$BB$55,3,)))</f>
        <v>0</v>
      </c>
      <c r="AR2749" s="10" t="b">
        <f>IF(AND(I2749="TP",S2749&lt;=300),VLOOKUP(AF2749,TPCalibEq300!$AZ$2:$BB$55,3,),IF(AND(I2749="TDP",S2749&lt;=300),VLOOKUP(AF2749,TPCalibEq300!$AZ$2:$BB$55,3,)))</f>
        <v>0</v>
      </c>
      <c r="AS2749" s="10" t="b">
        <f>IF(AND(I2749="TP",S2749&lt;=500),VLOOKUP(AF2749,TPCalibEq500!$AZ$2:$BB$56,3,),IF(AND(I2749="TDP",S2749&lt;=500),VLOOKUP(AF2749,TPCalibEq500!$AZ$2:$BB$56,3,)))</f>
        <v>0</v>
      </c>
      <c r="AT2749" s="10" t="b">
        <f>IF(AND(I2749="TN",S2749&lt;=2800),VLOOKUP(AF2749,TNCalibEq2500!$AZ$2:$BB$56,3,),IF(AND(I2749="TDN",S2749&lt;=2800),VLOOKUP(AF2749,TNCalibEq2500!$AZ$2:$BB$56,3,)))</f>
        <v>0</v>
      </c>
      <c r="AU2749" s="10" t="str">
        <f>IF(I2749="TP",VLOOKUP(AF2749,TPCalibEqFull!$AZ$2:$BB$56,3),IF(I2749="TDP",VLOOKUP(AF2749,TPCalibEqFull!$AZ$2:$BB$56,3),IF(I2749="TDN",VLOOKUP(AF2749,TNCalibEqFull!$AZ$1:$BB$56,3),IF(I2749="TN",VLOOKUP(AF2749,TNCalibEqFull!$AZ$1:$BB$56,3),FALSE))))</f>
        <v>y=0.1051x2+65.423x-19.469</v>
      </c>
      <c r="AV2749" s="10" t="str">
        <f t="shared" si="310"/>
        <v>0209 09:00:00-QAC-BLK-A-1-DI-SPK</v>
      </c>
    </row>
    <row r="2750" spans="1:48" s="10" customFormat="1" x14ac:dyDescent="0.55000000000000004">
      <c r="A2750" s="32">
        <v>44966</v>
      </c>
      <c r="B2750" s="33">
        <v>0.375</v>
      </c>
      <c r="C2750" s="10" t="s">
        <v>70</v>
      </c>
      <c r="D2750" s="10" t="s">
        <v>71</v>
      </c>
      <c r="E2750" s="10" t="s">
        <v>948</v>
      </c>
      <c r="F2750" s="10">
        <v>1</v>
      </c>
      <c r="G2750" s="10" t="s">
        <v>73</v>
      </c>
      <c r="H2750" s="10" t="s">
        <v>299</v>
      </c>
      <c r="I2750" s="10" t="s">
        <v>83</v>
      </c>
      <c r="J2750" s="10">
        <v>197</v>
      </c>
      <c r="K2750" s="12">
        <v>44966</v>
      </c>
      <c r="L2750" s="33">
        <v>0.56167824074074069</v>
      </c>
      <c r="M2750" s="10">
        <v>1</v>
      </c>
      <c r="N2750" s="10" t="s">
        <v>84</v>
      </c>
      <c r="O2750" s="10">
        <v>4.74</v>
      </c>
      <c r="P2750" s="10">
        <v>0.34499999999999997</v>
      </c>
      <c r="Q2750" s="10">
        <v>294</v>
      </c>
      <c r="R2750" s="10" t="s">
        <v>85</v>
      </c>
      <c r="S2750" s="34">
        <f t="shared" si="307"/>
        <v>318.55033736000001</v>
      </c>
      <c r="T2750" s="10" t="s">
        <v>1201</v>
      </c>
      <c r="U2750" s="34">
        <f t="shared" si="308"/>
        <v>96.530405260606074</v>
      </c>
      <c r="V2750" s="31">
        <f>IF(H2750="CHK",VLOOKUP(I2750,QCCHK,3,),IF(H2750="GUP",VLOOKUP(E2750,QCGUP,2,),IF(AND(H2750="ATP",OR(I2750="TN",I2750="TDN",I2750="TNO2-3",I2750="NO2-3")),VLOOKUP(E2750,QCREC_N,2,),IF(AND(H2750="NIC",OR(I2750="TN",I2750="TDN",I2750="TNO2-3",I2750="NO2-3")),VLOOKUP(E2750,QCNIC_N,2,),IF(AND(H2750="UREA",OR(I2750="TN",I2750="TDN",I2750="TNO2-3",I2750="NO2-3")),VLOOKUP(E2750,QCUREA_N,2,),IF(H2750="PER",VLOOKUP(I2750,QCPER,MATCH(E2750,QCACTUAL!$J$25:$AA$25,0),),IF(H2750="SPK",VLOOKUP(I2750,QCSPK,3,),IF(AND(H2750="ATP",OR(I2750="TP",I2750="TDP")),VLOOKUP(E2750,QCATP_P,2,),""))))))))</f>
        <v>330</v>
      </c>
      <c r="W2750" s="31" t="str">
        <f t="shared" si="309"/>
        <v>TRUE</v>
      </c>
      <c r="X2750" s="31" t="str">
        <f t="shared" si="306"/>
        <v>[per]/[actual]*100</v>
      </c>
      <c r="Y2750" s="10" t="s">
        <v>1188</v>
      </c>
      <c r="AF2750" s="12">
        <v>44966</v>
      </c>
      <c r="AH2750" s="10">
        <f>-2.9408*4.74^2+89.45*4.74-43.664</f>
        <v>314.25628192000005</v>
      </c>
      <c r="AI2750" s="10">
        <f>-1.7314*4.74^2+83.401*4.74-37.87</f>
        <v>318.55033736000001</v>
      </c>
      <c r="AK2750" s="10">
        <f>0.1051*4.74^2+65.423*4.74-19.469</f>
        <v>292.99736476000004</v>
      </c>
      <c r="AL2750" s="10" t="str">
        <f t="shared" si="311"/>
        <v>FALSE</v>
      </c>
      <c r="AM2750" s="10" t="str">
        <f t="shared" si="311"/>
        <v>FALSE</v>
      </c>
      <c r="AN2750" s="10" t="str">
        <f t="shared" si="311"/>
        <v>y=-1.7314*4.74^2+83.401*4.74-37.87</v>
      </c>
      <c r="AO2750" s="10" t="str">
        <f t="shared" si="312"/>
        <v>FALSE</v>
      </c>
      <c r="AP2750" s="10" t="str">
        <f t="shared" si="312"/>
        <v>y=0.1051*4.74^2+65.423*4.74-19.469</v>
      </c>
      <c r="AQ2750" s="10" t="b">
        <f>IF(AND(I2750="TP",S2750&lt;=150),VLOOKUP(AF2750,TPCalibEq150!$AZ$2:$BB$55,3,),IF(AND(I2750="TDP",S2750&lt;=150),VLOOKUP(AF2750,TPCalibEq150!$AZ$2:$BB$55,3,)))</f>
        <v>0</v>
      </c>
      <c r="AR2750" s="10" t="b">
        <f>IF(AND(I2750="TP",S2750&lt;=300),VLOOKUP(AF2750,TPCalibEq300!$AZ$2:$BB$55,3,),IF(AND(I2750="TDP",S2750&lt;=300),VLOOKUP(AF2750,TPCalibEq300!$AZ$2:$BB$55,3,)))</f>
        <v>0</v>
      </c>
      <c r="AS2750" s="10" t="str">
        <f>IF(AND(I2750="TP",S2750&lt;=500),VLOOKUP(AF2750,TPCalibEq500!$AZ$2:$BB$56,3,),IF(AND(I2750="TDP",S2750&lt;=500),VLOOKUP(AF2750,TPCalibEq500!$AZ$2:$BB$56,3,)))</f>
        <v>y=-1.7314x2+83.401x-37.87</v>
      </c>
      <c r="AT2750" s="10" t="b">
        <f>IF(AND(I2750="TN",S2750&lt;=2800),VLOOKUP(AF2750,TNCalibEq2500!$AZ$2:$BB$56,3,),IF(AND(I2750="TDN",S2750&lt;=2800),VLOOKUP(AF2750,TNCalibEq2500!$AZ$2:$BB$56,3,)))</f>
        <v>0</v>
      </c>
      <c r="AU2750" s="10" t="str">
        <f>IF(I2750="TP",VLOOKUP(AF2750,TPCalibEqFull!$AZ$2:$BB$56,3),IF(I2750="TDP",VLOOKUP(AF2750,TPCalibEqFull!$AZ$2:$BB$56,3),IF(I2750="TDN",VLOOKUP(AF2750,TNCalibEqFull!$AZ$1:$BB$56,3),IF(I2750="TN",VLOOKUP(AF2750,TNCalibEqFull!$AZ$1:$BB$56,3),FALSE))))</f>
        <v>y=0.1051x2+65.423x-19.469</v>
      </c>
      <c r="AV2750" s="10" t="str">
        <f t="shared" si="310"/>
        <v>0209 09:00:00-QAC-STD-22A-1-DI-PER</v>
      </c>
    </row>
    <row r="2751" spans="1:48" s="10" customFormat="1" x14ac:dyDescent="0.55000000000000004">
      <c r="A2751" s="32">
        <v>44966</v>
      </c>
      <c r="B2751" s="33">
        <v>0.375</v>
      </c>
      <c r="C2751" s="10" t="s">
        <v>70</v>
      </c>
      <c r="D2751" s="10" t="s">
        <v>71</v>
      </c>
      <c r="E2751" s="10" t="s">
        <v>948</v>
      </c>
      <c r="F2751" s="10">
        <v>2</v>
      </c>
      <c r="G2751" s="10" t="s">
        <v>73</v>
      </c>
      <c r="H2751" s="10" t="s">
        <v>299</v>
      </c>
      <c r="I2751" s="10" t="s">
        <v>83</v>
      </c>
      <c r="J2751" s="10">
        <v>214</v>
      </c>
      <c r="K2751" s="12">
        <v>44966</v>
      </c>
      <c r="L2751" s="33">
        <v>0.56238425925925928</v>
      </c>
      <c r="M2751" s="10">
        <v>1</v>
      </c>
      <c r="N2751" s="10" t="s">
        <v>84</v>
      </c>
      <c r="O2751" s="10">
        <v>3.3</v>
      </c>
      <c r="P2751" s="10">
        <v>0.23599999999999999</v>
      </c>
      <c r="Q2751" s="10">
        <v>198</v>
      </c>
      <c r="R2751" s="10" t="s">
        <v>85</v>
      </c>
      <c r="S2751" s="34">
        <f t="shared" si="307"/>
        <v>219.49568800000003</v>
      </c>
      <c r="T2751" s="10" t="s">
        <v>1201</v>
      </c>
      <c r="U2751" s="34">
        <f t="shared" si="308"/>
        <v>66.513844848484865</v>
      </c>
      <c r="V2751" s="31">
        <f>IF(H2751="CHK",VLOOKUP(I2751,QCCHK,3,),IF(H2751="GUP",VLOOKUP(E2751,QCGUP,2,),IF(AND(H2751="ATP",OR(I2751="TN",I2751="TDN",I2751="TNO2-3",I2751="NO2-3")),VLOOKUP(E2751,QCREC_N,2,),IF(AND(H2751="NIC",OR(I2751="TN",I2751="TDN",I2751="TNO2-3",I2751="NO2-3")),VLOOKUP(E2751,QCNIC_N,2,),IF(AND(H2751="UREA",OR(I2751="TN",I2751="TDN",I2751="TNO2-3",I2751="NO2-3")),VLOOKUP(E2751,QCUREA_N,2,),IF(H2751="PER",VLOOKUP(I2751,QCPER,MATCH(E2751,QCACTUAL!$J$25:$AA$25,0),),IF(H2751="SPK",VLOOKUP(I2751,QCSPK,3,),IF(AND(H2751="ATP",OR(I2751="TP",I2751="TDP")),VLOOKUP(E2751,QCATP_P,2,),""))))))))</f>
        <v>330</v>
      </c>
      <c r="W2751" s="31" t="str">
        <f t="shared" si="309"/>
        <v>FALSE</v>
      </c>
      <c r="X2751" s="31" t="str">
        <f t="shared" ref="X2751:X2814" si="313">IF(ISNA(VLOOKUP(H2751,QCEQUATIONS,2,)),"",(VLOOKUP(H2751,QCEQUATIONS,2,)))</f>
        <v>[per]/[actual]*100</v>
      </c>
      <c r="Y2751" s="10" t="s">
        <v>1188</v>
      </c>
      <c r="AF2751" s="12">
        <v>44966</v>
      </c>
      <c r="AH2751" s="10">
        <f>-2.9408*3.3^2+89.45*3.3-43.664</f>
        <v>219.49568800000003</v>
      </c>
      <c r="AI2751" s="10">
        <f>-1.7314*3.3^2+83.401*3.3-37.87</f>
        <v>218.49835400000001</v>
      </c>
      <c r="AK2751" s="10">
        <f>0.1051*3.3^2+65.423*3.3-19.469</f>
        <v>197.571439</v>
      </c>
      <c r="AL2751" s="10" t="str">
        <f t="shared" si="311"/>
        <v>FALSE</v>
      </c>
      <c r="AM2751" s="10" t="str">
        <f t="shared" si="311"/>
        <v>y=-2.9408*3.3^2+89.45*3.3-43.664</v>
      </c>
      <c r="AN2751" s="10" t="str">
        <f t="shared" si="311"/>
        <v>y=-1.7314*3.3^2+83.401*3.3-37.87</v>
      </c>
      <c r="AO2751" s="10" t="str">
        <f t="shared" si="312"/>
        <v>FALSE</v>
      </c>
      <c r="AP2751" s="10" t="str">
        <f t="shared" si="312"/>
        <v>y=0.1051*3.3^2+65.423*3.3-19.469</v>
      </c>
      <c r="AQ2751" s="10" t="b">
        <f>IF(AND(I2751="TP",S2751&lt;=150),VLOOKUP(AF2751,TPCalibEq150!$AZ$2:$BB$55,3,),IF(AND(I2751="TDP",S2751&lt;=150),VLOOKUP(AF2751,TPCalibEq150!$AZ$2:$BB$55,3,)))</f>
        <v>0</v>
      </c>
      <c r="AR2751" s="10" t="str">
        <f>IF(AND(I2751="TP",S2751&lt;=300),VLOOKUP(AF2751,TPCalibEq300!$AZ$2:$BB$55,3,),IF(AND(I2751="TDP",S2751&lt;=300),VLOOKUP(AF2751,TPCalibEq300!$AZ$2:$BB$55,3,)))</f>
        <v>y=-2.9408x2+89.45x-43.664</v>
      </c>
      <c r="AS2751" s="10" t="str">
        <f>IF(AND(I2751="TP",S2751&lt;=500),VLOOKUP(AF2751,TPCalibEq500!$AZ$2:$BB$56,3,),IF(AND(I2751="TDP",S2751&lt;=500),VLOOKUP(AF2751,TPCalibEq500!$AZ$2:$BB$56,3,)))</f>
        <v>y=-1.7314x2+83.401x-37.87</v>
      </c>
      <c r="AT2751" s="10" t="b">
        <f>IF(AND(I2751="TN",S2751&lt;=2800),VLOOKUP(AF2751,TNCalibEq2500!$AZ$2:$BB$56,3,),IF(AND(I2751="TDN",S2751&lt;=2800),VLOOKUP(AF2751,TNCalibEq2500!$AZ$2:$BB$56,3,)))</f>
        <v>0</v>
      </c>
      <c r="AU2751" s="10" t="str">
        <f>IF(I2751="TP",VLOOKUP(AF2751,TPCalibEqFull!$AZ$2:$BB$56,3),IF(I2751="TDP",VLOOKUP(AF2751,TPCalibEqFull!$AZ$2:$BB$56,3),IF(I2751="TDN",VLOOKUP(AF2751,TNCalibEqFull!$AZ$1:$BB$56,3),IF(I2751="TN",VLOOKUP(AF2751,TNCalibEqFull!$AZ$1:$BB$56,3),FALSE))))</f>
        <v>y=0.1051x2+65.423x-19.469</v>
      </c>
      <c r="AV2751" s="10" t="str">
        <f t="shared" si="310"/>
        <v>0209 09:00:00-QAC-STD-22A-2-DI-PER</v>
      </c>
    </row>
    <row r="2752" spans="1:48" s="10" customFormat="1" x14ac:dyDescent="0.55000000000000004">
      <c r="A2752" s="32">
        <v>44966</v>
      </c>
      <c r="B2752" s="33">
        <v>0.375</v>
      </c>
      <c r="C2752" s="10" t="s">
        <v>70</v>
      </c>
      <c r="D2752" s="10" t="s">
        <v>305</v>
      </c>
      <c r="E2752" s="10" t="s">
        <v>866</v>
      </c>
      <c r="F2752" s="10">
        <v>1</v>
      </c>
      <c r="G2752" s="10" t="s">
        <v>73</v>
      </c>
      <c r="H2752" s="10" t="s">
        <v>274</v>
      </c>
      <c r="I2752" s="10" t="s">
        <v>83</v>
      </c>
      <c r="J2752" s="10">
        <v>204</v>
      </c>
      <c r="K2752" s="12">
        <v>44966</v>
      </c>
      <c r="L2752" s="33">
        <v>0.56307870370370372</v>
      </c>
      <c r="M2752" s="10">
        <v>1</v>
      </c>
      <c r="N2752" s="10" t="s">
        <v>84</v>
      </c>
      <c r="O2752" s="10">
        <v>15.6</v>
      </c>
      <c r="P2752" s="10">
        <v>1.1299999999999999</v>
      </c>
      <c r="Q2752" s="10">
        <v>1030</v>
      </c>
      <c r="R2752" s="10" t="s">
        <v>85</v>
      </c>
      <c r="S2752" s="34">
        <f t="shared" ref="S2752:S2815" si="314">IF(OR(AND(I2752&lt;&gt;"TP", I2752&lt;&gt;"TDP",I2752&lt;&gt;"TN", I2752&lt;&gt;"TDN"),H2752="CAL"), Q2752*M2752, IF(OR(AND(I2752="TN", Q2752&gt;2500), AND(I2752="TDN", Q2752&gt;2500)),MAX(Q2752, AK2752)*M2752, IF(OR(AND(I2752="TN", Q2752&lt;=2500), AND(I2752="TDN", Q2752&lt;=2500)),MAX(Q2752, AJ2752,AK2752)*M2752, IF(OR(AND(I2752="TP",Q2752&gt;500), AND(I2752="TDP", Q2752&gt;500)),MAX(Q2752,AK2752)*M2752,IF(OR(AND(I2752="TP",Q2752&lt;=150), AND(I2752="TDP", Q2752&lt;=150)),MAX(Q2752,AG2752:AI2752,AK2752)*M2752,IF(OR(AND(I2752="TP",Q2752&lt;=300), AND(I2752="TDP", Q2752&lt;=300)),MAX(Q2752,AH2752,AI2752,AK2752)*M2752,IF(OR(AND(I2752="TP",Q2752&lt;=500), AND(I2752="TDP", Q2752&lt;=500)),MAX(Q2752,AI2752,AK2752)*M2752,"")))))))</f>
        <v>1030</v>
      </c>
      <c r="T2752" s="10" t="s">
        <v>1201</v>
      </c>
      <c r="U2752" s="34">
        <f t="shared" si="308"/>
        <v>103</v>
      </c>
      <c r="V2752" s="31">
        <f>IF(H2752="CHK",VLOOKUP(I2752,QCCHK,3,),IF(H2752="GUP",VLOOKUP(E2752,QCGUP,2,),IF(AND(H2752="ATP",OR(I2752="TN",I2752="TDN",I2752="TNO2-3",I2752="NO2-3")),VLOOKUP(E2752,QCREC_N,2,),IF(AND(H2752="NIC",OR(I2752="TN",I2752="TDN",I2752="TNO2-3",I2752="NO2-3")),VLOOKUP(E2752,QCNIC_N,2,),IF(AND(H2752="UREA",OR(I2752="TN",I2752="TDN",I2752="TNO2-3",I2752="NO2-3")),VLOOKUP(E2752,QCUREA_N,2,),IF(H2752="PER",VLOOKUP(I2752,QCPER,MATCH(E2752,QCACTUAL!$J$25:$AA$25,0),),IF(H2752="SPK",VLOOKUP(I2752,QCSPK,3,),IF(AND(H2752="ATP",OR(I2752="TP",I2752="TDP")),VLOOKUP(E2752,QCATP_P,2,),""))))))))</f>
        <v>1000</v>
      </c>
      <c r="W2752" s="31" t="str">
        <f t="shared" si="309"/>
        <v>TRUE</v>
      </c>
      <c r="X2752" s="31" t="str">
        <f t="shared" si="313"/>
        <v>[rec]/[actual]*100</v>
      </c>
      <c r="Y2752" s="10" t="s">
        <v>1188</v>
      </c>
      <c r="AF2752" s="12">
        <v>44966</v>
      </c>
      <c r="AK2752" s="10">
        <f>0.1051*15.6^2+65.423*15.6-19.469</f>
        <v>1026.706936</v>
      </c>
      <c r="AL2752" s="10" t="str">
        <f t="shared" si="311"/>
        <v>FALSE</v>
      </c>
      <c r="AM2752" s="10" t="str">
        <f t="shared" si="311"/>
        <v>FALSE</v>
      </c>
      <c r="AN2752" s="10" t="str">
        <f t="shared" si="311"/>
        <v>FALSE</v>
      </c>
      <c r="AO2752" s="10" t="str">
        <f t="shared" si="312"/>
        <v>FALSE</v>
      </c>
      <c r="AP2752" s="10" t="str">
        <f t="shared" si="312"/>
        <v>y=0.1051*15.6^2+65.423*15.6-19.469</v>
      </c>
      <c r="AQ2752" s="10" t="b">
        <f>IF(AND(I2752="TP",S2752&lt;=150),VLOOKUP(AF2752,TPCalibEq150!$AZ$2:$BB$55,3,),IF(AND(I2752="TDP",S2752&lt;=150),VLOOKUP(AF2752,TPCalibEq150!$AZ$2:$BB$55,3,)))</f>
        <v>0</v>
      </c>
      <c r="AR2752" s="10" t="b">
        <f>IF(AND(I2752="TP",S2752&lt;=300),VLOOKUP(AF2752,TPCalibEq300!$AZ$2:$BB$55,3,),IF(AND(I2752="TDP",S2752&lt;=300),VLOOKUP(AF2752,TPCalibEq300!$AZ$2:$BB$55,3,)))</f>
        <v>0</v>
      </c>
      <c r="AS2752" s="10" t="b">
        <f>IF(AND(I2752="TP",S2752&lt;=500),VLOOKUP(AF2752,TPCalibEq500!$AZ$2:$BB$56,3,),IF(AND(I2752="TDP",S2752&lt;=500),VLOOKUP(AF2752,TPCalibEq500!$AZ$2:$BB$56,3,)))</f>
        <v>0</v>
      </c>
      <c r="AT2752" s="10" t="b">
        <f>IF(AND(I2752="TN",S2752&lt;=2800),VLOOKUP(AF2752,TNCalibEq2500!$AZ$2:$BB$56,3,),IF(AND(I2752="TDN",S2752&lt;=2800),VLOOKUP(AF2752,TNCalibEq2500!$AZ$2:$BB$56,3,)))</f>
        <v>0</v>
      </c>
      <c r="AU2752" s="10" t="str">
        <f>IF(I2752="TP",VLOOKUP(AF2752,TPCalibEqFull!$AZ$2:$BB$56,3),IF(I2752="TDP",VLOOKUP(AF2752,TPCalibEqFull!$AZ$2:$BB$56,3),IF(I2752="TDN",VLOOKUP(AF2752,TNCalibEqFull!$AZ$1:$BB$56,3),IF(I2752="TN",VLOOKUP(AF2752,TNCalibEqFull!$AZ$1:$BB$56,3),FALSE))))</f>
        <v>y=0.1051x2+65.423x-19.469</v>
      </c>
      <c r="AV2752" s="10" t="str">
        <f t="shared" si="310"/>
        <v>0209 09:00:00-QAC-REC-A-1-DI-GUP</v>
      </c>
    </row>
    <row r="2753" spans="1:48" s="10" customFormat="1" x14ac:dyDescent="0.55000000000000004">
      <c r="A2753" s="32">
        <v>44915</v>
      </c>
      <c r="B2753" s="33">
        <v>0.375</v>
      </c>
      <c r="C2753" s="10" t="s">
        <v>70</v>
      </c>
      <c r="D2753" s="10" t="s">
        <v>305</v>
      </c>
      <c r="E2753" s="10" t="s">
        <v>866</v>
      </c>
      <c r="F2753" s="10">
        <v>1</v>
      </c>
      <c r="G2753" s="10" t="s">
        <v>73</v>
      </c>
      <c r="H2753" s="10" t="s">
        <v>274</v>
      </c>
      <c r="I2753" s="10" t="s">
        <v>83</v>
      </c>
      <c r="J2753" s="10">
        <v>215</v>
      </c>
      <c r="K2753" s="12">
        <v>44966</v>
      </c>
      <c r="L2753" s="33">
        <v>0.56377314814814816</v>
      </c>
      <c r="M2753" s="10">
        <v>1</v>
      </c>
      <c r="N2753" s="10" t="s">
        <v>84</v>
      </c>
      <c r="O2753" s="10">
        <v>17.899999999999999</v>
      </c>
      <c r="P2753" s="10">
        <v>1.28</v>
      </c>
      <c r="Q2753" s="10">
        <v>1180</v>
      </c>
      <c r="R2753" s="10" t="s">
        <v>85</v>
      </c>
      <c r="S2753" s="34">
        <f t="shared" si="314"/>
        <v>1185.277791</v>
      </c>
      <c r="T2753" s="10" t="s">
        <v>1201</v>
      </c>
      <c r="U2753" s="34">
        <f t="shared" si="308"/>
        <v>118.5277791</v>
      </c>
      <c r="V2753" s="31">
        <f>IF(H2753="CHK",VLOOKUP(I2753,QCCHK,3,),IF(H2753="GUP",VLOOKUP(E2753,QCGUP,2,),IF(AND(H2753="ATP",OR(I2753="TN",I2753="TDN",I2753="TNO2-3",I2753="NO2-3")),VLOOKUP(E2753,QCREC_N,2,),IF(AND(H2753="NIC",OR(I2753="TN",I2753="TDN",I2753="TNO2-3",I2753="NO2-3")),VLOOKUP(E2753,QCNIC_N,2,),IF(AND(H2753="UREA",OR(I2753="TN",I2753="TDN",I2753="TNO2-3",I2753="NO2-3")),VLOOKUP(E2753,QCUREA_N,2,),IF(H2753="PER",VLOOKUP(I2753,QCPER,MATCH(E2753,QCACTUAL!$J$25:$AA$25,0),),IF(H2753="SPK",VLOOKUP(I2753,QCSPK,3,),IF(AND(H2753="ATP",OR(I2753="TP",I2753="TDP")),VLOOKUP(E2753,QCATP_P,2,),""))))))))</f>
        <v>1000</v>
      </c>
      <c r="W2753" s="31" t="str">
        <f t="shared" si="309"/>
        <v>TRUE</v>
      </c>
      <c r="X2753" s="31" t="str">
        <f t="shared" si="313"/>
        <v>[rec]/[actual]*100</v>
      </c>
      <c r="Y2753" s="10" t="s">
        <v>1188</v>
      </c>
      <c r="AF2753" s="12">
        <v>44966</v>
      </c>
      <c r="AK2753" s="10">
        <f>0.1051*17.9^2+65.423*17.9-19.469</f>
        <v>1185.277791</v>
      </c>
      <c r="AL2753" s="10" t="str">
        <f t="shared" si="311"/>
        <v>FALSE</v>
      </c>
      <c r="AM2753" s="10" t="str">
        <f t="shared" si="311"/>
        <v>FALSE</v>
      </c>
      <c r="AN2753" s="10" t="str">
        <f t="shared" si="311"/>
        <v>FALSE</v>
      </c>
      <c r="AO2753" s="10" t="str">
        <f t="shared" si="312"/>
        <v>FALSE</v>
      </c>
      <c r="AP2753" s="10" t="str">
        <f t="shared" si="312"/>
        <v>y=0.1051*17.9^2+65.423*17.9-19.469</v>
      </c>
      <c r="AQ2753" s="10" t="b">
        <f>IF(AND(I2753="TP",S2753&lt;=150),VLOOKUP(AF2753,TPCalibEq150!$AZ$2:$BB$55,3,),IF(AND(I2753="TDP",S2753&lt;=150),VLOOKUP(AF2753,TPCalibEq150!$AZ$2:$BB$55,3,)))</f>
        <v>0</v>
      </c>
      <c r="AR2753" s="10" t="b">
        <f>IF(AND(I2753="TP",S2753&lt;=300),VLOOKUP(AF2753,TPCalibEq300!$AZ$2:$BB$55,3,),IF(AND(I2753="TDP",S2753&lt;=300),VLOOKUP(AF2753,TPCalibEq300!$AZ$2:$BB$55,3,)))</f>
        <v>0</v>
      </c>
      <c r="AS2753" s="10" t="b">
        <f>IF(AND(I2753="TP",S2753&lt;=500),VLOOKUP(AF2753,TPCalibEq500!$AZ$2:$BB$56,3,),IF(AND(I2753="TDP",S2753&lt;=500),VLOOKUP(AF2753,TPCalibEq500!$AZ$2:$BB$56,3,)))</f>
        <v>0</v>
      </c>
      <c r="AT2753" s="10" t="b">
        <f>IF(AND(I2753="TN",S2753&lt;=2800),VLOOKUP(AF2753,TNCalibEq2500!$AZ$2:$BB$56,3,),IF(AND(I2753="TDN",S2753&lt;=2800),VLOOKUP(AF2753,TNCalibEq2500!$AZ$2:$BB$56,3,)))</f>
        <v>0</v>
      </c>
      <c r="AU2753" s="10" t="str">
        <f>IF(I2753="TP",VLOOKUP(AF2753,TPCalibEqFull!$AZ$2:$BB$56,3),IF(I2753="TDP",VLOOKUP(AF2753,TPCalibEqFull!$AZ$2:$BB$56,3),IF(I2753="TDN",VLOOKUP(AF2753,TNCalibEqFull!$AZ$1:$BB$56,3),IF(I2753="TN",VLOOKUP(AF2753,TNCalibEqFull!$AZ$1:$BB$56,3),FALSE))))</f>
        <v>y=0.1051x2+65.423x-19.469</v>
      </c>
      <c r="AV2753" s="10" t="str">
        <f t="shared" si="310"/>
        <v>1220 09:00:00-QAC-REC-A-1-DI-GUP</v>
      </c>
    </row>
    <row r="2754" spans="1:48" s="10" customFormat="1" x14ac:dyDescent="0.55000000000000004">
      <c r="A2754" s="32">
        <v>44966</v>
      </c>
      <c r="B2754" s="33">
        <v>0.375</v>
      </c>
      <c r="C2754" s="10" t="s">
        <v>70</v>
      </c>
      <c r="D2754" s="10" t="s">
        <v>305</v>
      </c>
      <c r="E2754" s="10" t="s">
        <v>583</v>
      </c>
      <c r="F2754" s="10">
        <v>1</v>
      </c>
      <c r="G2754" s="10" t="s">
        <v>73</v>
      </c>
      <c r="H2754" s="10" t="s">
        <v>274</v>
      </c>
      <c r="I2754" s="10" t="s">
        <v>83</v>
      </c>
      <c r="J2754" s="10">
        <v>205</v>
      </c>
      <c r="K2754" s="12">
        <v>44966</v>
      </c>
      <c r="L2754" s="33">
        <v>0.5644675925925926</v>
      </c>
      <c r="M2754" s="10">
        <v>1</v>
      </c>
      <c r="N2754" s="10" t="s">
        <v>84</v>
      </c>
      <c r="O2754" s="10">
        <v>3.28</v>
      </c>
      <c r="P2754" s="10">
        <v>0.23400000000000001</v>
      </c>
      <c r="Q2754" s="10">
        <v>197</v>
      </c>
      <c r="R2754" s="10" t="s">
        <v>85</v>
      </c>
      <c r="S2754" s="34">
        <f t="shared" si="314"/>
        <v>218.09369728000001</v>
      </c>
      <c r="T2754" s="10" t="s">
        <v>1201</v>
      </c>
      <c r="U2754" s="34">
        <f t="shared" ref="U2754:U2817" si="315">IF(OR(H2754="CHK",H2754="ATP",H2754="GUP",H2754="PER", H2754="NIC", H2754="UREA"),(S2754/V2754*100),IF(H2754="DUP",((ABS(S2754-S2753))/((S2753+S2754)/2))*100,IF(H2754="SPK",((S2754-S2753)/V2754*100),IF(OR(H2754="LAB",H2754="FLD",H2754="ESF"),S2754,""))))</f>
        <v>109.04684864000001</v>
      </c>
      <c r="V2754" s="31">
        <f>IF(H2754="CHK",VLOOKUP(I2754,QCCHK,3,),IF(H2754="GUP",VLOOKUP(E2754,QCGUP,2,),IF(AND(H2754="ATP",OR(I2754="TN",I2754="TDN",I2754="TNO2-3",I2754="NO2-3")),VLOOKUP(E2754,QCREC_N,2,),IF(AND(H2754="NIC",OR(I2754="TN",I2754="TDN",I2754="TNO2-3",I2754="NO2-3")),VLOOKUP(E2754,QCNIC_N,2,),IF(AND(H2754="UREA",OR(I2754="TN",I2754="TDN",I2754="TNO2-3",I2754="NO2-3")),VLOOKUP(E2754,QCUREA_N,2,),IF(H2754="PER",VLOOKUP(I2754,QCPER,MATCH(E2754,QCACTUAL!$J$25:$AA$25,0),),IF(H2754="SPK",VLOOKUP(I2754,QCSPK,3,),IF(AND(H2754="ATP",OR(I2754="TP",I2754="TDP")),VLOOKUP(E2754,QCATP_P,2,),""))))))))</f>
        <v>200</v>
      </c>
      <c r="W2754" s="31" t="str">
        <f t="shared" ref="W2754:W2817" si="316">IF(AND(OR(H2754="PER",H2754="ATP",H2754="GUP",H2754="CHK",H2754="SPK", H2754="NIC"),OR(U2754&gt;125,U2754&lt;75)),"FALSE",IF(AND(H2754="DUP",OR(U2754&gt;25, U2754&lt;-25)),"FALSE",IF(AND(OR(H2754="LAB",H2754="FLD",H2754="ESF"),U2754&gt;15),"FALSE","TRUE")))</f>
        <v>TRUE</v>
      </c>
      <c r="X2754" s="31" t="str">
        <f t="shared" si="313"/>
        <v>[rec]/[actual]*100</v>
      </c>
      <c r="Y2754" s="10" t="s">
        <v>1188</v>
      </c>
      <c r="AF2754" s="12">
        <v>44966</v>
      </c>
      <c r="AH2754" s="10">
        <f>-2.9408*3.28^2+89.45*3.28-43.664</f>
        <v>218.09369728000001</v>
      </c>
      <c r="AI2754" s="10">
        <f>-1.7314*3.28^2+83.401*3.28-37.87</f>
        <v>217.05818623999997</v>
      </c>
      <c r="AK2754" s="10">
        <f>0.1051*3.28^2+65.423*3.28-19.469</f>
        <v>196.24914784000001</v>
      </c>
      <c r="AL2754" s="10" t="str">
        <f t="shared" si="311"/>
        <v>FALSE</v>
      </c>
      <c r="AM2754" s="10" t="str">
        <f t="shared" si="311"/>
        <v>y=-2.9408*3.28^2+89.45*3.28-43.664</v>
      </c>
      <c r="AN2754" s="10" t="str">
        <f t="shared" si="311"/>
        <v>y=-1.7314*3.28^2+83.401*3.28-37.87</v>
      </c>
      <c r="AO2754" s="10" t="str">
        <f t="shared" si="312"/>
        <v>FALSE</v>
      </c>
      <c r="AP2754" s="10" t="str">
        <f t="shared" si="312"/>
        <v>y=0.1051*3.28^2+65.423*3.28-19.469</v>
      </c>
      <c r="AQ2754" s="10" t="b">
        <f>IF(AND(I2754="TP",S2754&lt;=150),VLOOKUP(AF2754,TPCalibEq150!$AZ$2:$BB$55,3,),IF(AND(I2754="TDP",S2754&lt;=150),VLOOKUP(AF2754,TPCalibEq150!$AZ$2:$BB$55,3,)))</f>
        <v>0</v>
      </c>
      <c r="AR2754" s="10" t="str">
        <f>IF(AND(I2754="TP",S2754&lt;=300),VLOOKUP(AF2754,TPCalibEq300!$AZ$2:$BB$55,3,),IF(AND(I2754="TDP",S2754&lt;=300),VLOOKUP(AF2754,TPCalibEq300!$AZ$2:$BB$55,3,)))</f>
        <v>y=-2.9408x2+89.45x-43.664</v>
      </c>
      <c r="AS2754" s="10" t="str">
        <f>IF(AND(I2754="TP",S2754&lt;=500),VLOOKUP(AF2754,TPCalibEq500!$AZ$2:$BB$56,3,),IF(AND(I2754="TDP",S2754&lt;=500),VLOOKUP(AF2754,TPCalibEq500!$AZ$2:$BB$56,3,)))</f>
        <v>y=-1.7314x2+83.401x-37.87</v>
      </c>
      <c r="AT2754" s="10" t="b">
        <f>IF(AND(I2754="TN",S2754&lt;=2800),VLOOKUP(AF2754,TNCalibEq2500!$AZ$2:$BB$56,3,),IF(AND(I2754="TDN",S2754&lt;=2800),VLOOKUP(AF2754,TNCalibEq2500!$AZ$2:$BB$56,3,)))</f>
        <v>0</v>
      </c>
      <c r="AU2754" s="10" t="str">
        <f>IF(I2754="TP",VLOOKUP(AF2754,TPCalibEqFull!$AZ$2:$BB$56,3),IF(I2754="TDP",VLOOKUP(AF2754,TPCalibEqFull!$AZ$2:$BB$56,3),IF(I2754="TDN",VLOOKUP(AF2754,TNCalibEqFull!$AZ$1:$BB$56,3),IF(I2754="TN",VLOOKUP(AF2754,TNCalibEqFull!$AZ$1:$BB$56,3),FALSE))))</f>
        <v>y=0.1051x2+65.423x-19.469</v>
      </c>
      <c r="AV2754" s="10" t="str">
        <f t="shared" ref="AV2754:AV2817" si="317">TEXT(A2754, "MMDD")&amp;" "&amp;TEXT(B2754, "HH:MM:SS")&amp;"-"&amp;C2754&amp;"-"&amp;D2754&amp;"-"&amp;E2754&amp;"-"&amp;F2754&amp;"-"&amp;G2754&amp;"-"&amp;H2754</f>
        <v>0209 09:00:00-QAC-REC-B-1-DI-GUP</v>
      </c>
    </row>
    <row r="2755" spans="1:48" s="10" customFormat="1" x14ac:dyDescent="0.55000000000000004">
      <c r="A2755" s="32">
        <v>44966</v>
      </c>
      <c r="B2755" s="33">
        <v>0.375</v>
      </c>
      <c r="C2755" s="10" t="s">
        <v>70</v>
      </c>
      <c r="D2755" s="10" t="s">
        <v>305</v>
      </c>
      <c r="E2755" s="10" t="s">
        <v>190</v>
      </c>
      <c r="F2755" s="10">
        <v>1</v>
      </c>
      <c r="G2755" s="10" t="s">
        <v>73</v>
      </c>
      <c r="H2755" s="10" t="s">
        <v>274</v>
      </c>
      <c r="I2755" s="10" t="s">
        <v>83</v>
      </c>
      <c r="J2755" s="10">
        <v>206</v>
      </c>
      <c r="K2755" s="12">
        <v>44966</v>
      </c>
      <c r="L2755" s="33">
        <v>0.56517361111111108</v>
      </c>
      <c r="M2755" s="10">
        <v>1</v>
      </c>
      <c r="N2755" s="10" t="s">
        <v>84</v>
      </c>
      <c r="O2755" s="10">
        <v>1.75</v>
      </c>
      <c r="P2755" s="10">
        <v>0.122</v>
      </c>
      <c r="Q2755" s="10">
        <v>96.4</v>
      </c>
      <c r="R2755" s="10" t="s">
        <v>85</v>
      </c>
      <c r="S2755" s="34">
        <f t="shared" si="314"/>
        <v>109.34474999999999</v>
      </c>
      <c r="T2755" s="10" t="s">
        <v>1201</v>
      </c>
      <c r="U2755" s="34">
        <f t="shared" si="315"/>
        <v>109.34474999999999</v>
      </c>
      <c r="V2755" s="31">
        <f>IF(H2755="CHK",VLOOKUP(I2755,QCCHK,3,),IF(H2755="GUP",VLOOKUP(E2755,QCGUP,2,),IF(AND(H2755="ATP",OR(I2755="TN",I2755="TDN",I2755="TNO2-3",I2755="NO2-3")),VLOOKUP(E2755,QCREC_N,2,),IF(AND(H2755="NIC",OR(I2755="TN",I2755="TDN",I2755="TNO2-3",I2755="NO2-3")),VLOOKUP(E2755,QCNIC_N,2,),IF(AND(H2755="UREA",OR(I2755="TN",I2755="TDN",I2755="TNO2-3",I2755="NO2-3")),VLOOKUP(E2755,QCUREA_N,2,),IF(H2755="PER",VLOOKUP(I2755,QCPER,MATCH(E2755,QCACTUAL!$J$25:$AA$25,0),),IF(H2755="SPK",VLOOKUP(I2755,QCSPK,3,),IF(AND(H2755="ATP",OR(I2755="TP",I2755="TDP")),VLOOKUP(E2755,QCATP_P,2,),""))))))))</f>
        <v>100</v>
      </c>
      <c r="W2755" s="31" t="str">
        <f t="shared" si="316"/>
        <v>TRUE</v>
      </c>
      <c r="X2755" s="31" t="str">
        <f t="shared" si="313"/>
        <v>[rec]/[actual]*100</v>
      </c>
      <c r="Y2755" s="10" t="s">
        <v>1188</v>
      </c>
      <c r="AF2755" s="12">
        <v>44966</v>
      </c>
      <c r="AG2755" s="10">
        <f>-11.204*1.75^2+113.68*1.75-55.283</f>
        <v>109.34474999999999</v>
      </c>
      <c r="AH2755" s="10">
        <f>-2.9408*1.75^2+89.45*1.75-43.664</f>
        <v>103.86729999999999</v>
      </c>
      <c r="AI2755" s="10">
        <f>-1.7314*1.75^2+83.401*1.75-37.87</f>
        <v>102.7793375</v>
      </c>
      <c r="AK2755" s="10">
        <f>0.1051*1.75^2+65.423*1.75-19.469</f>
        <v>95.343118750000002</v>
      </c>
      <c r="AL2755" s="10" t="str">
        <f t="shared" si="311"/>
        <v>y=-11.204*1.75^2+113.68*1.75-55.283</v>
      </c>
      <c r="AM2755" s="10" t="str">
        <f t="shared" si="311"/>
        <v>y=-2.9408*1.75^2+89.45*1.75-43.664</v>
      </c>
      <c r="AN2755" s="10" t="str">
        <f t="shared" si="311"/>
        <v>y=-1.7314*1.75^2+83.401*1.75-37.87</v>
      </c>
      <c r="AO2755" s="10" t="str">
        <f t="shared" si="312"/>
        <v>FALSE</v>
      </c>
      <c r="AP2755" s="10" t="str">
        <f t="shared" si="312"/>
        <v>y=0.1051*1.75^2+65.423*1.75-19.469</v>
      </c>
      <c r="AQ2755" s="10" t="str">
        <f>IF(AND(I2755="TP",S2755&lt;=150),VLOOKUP(AF2755,TPCalibEq150!$AZ$2:$BB$55,3,),IF(AND(I2755="TDP",S2755&lt;=150),VLOOKUP(AF2755,TPCalibEq150!$AZ$2:$BB$55,3,)))</f>
        <v>y=-11.204x2+113.68x-55.283</v>
      </c>
      <c r="AR2755" s="10" t="str">
        <f>IF(AND(I2755="TP",S2755&lt;=300),VLOOKUP(AF2755,TPCalibEq300!$AZ$2:$BB$55,3,),IF(AND(I2755="TDP",S2755&lt;=300),VLOOKUP(AF2755,TPCalibEq300!$AZ$2:$BB$55,3,)))</f>
        <v>y=-2.9408x2+89.45x-43.664</v>
      </c>
      <c r="AS2755" s="10" t="str">
        <f>IF(AND(I2755="TP",S2755&lt;=500),VLOOKUP(AF2755,TPCalibEq500!$AZ$2:$BB$56,3,),IF(AND(I2755="TDP",S2755&lt;=500),VLOOKUP(AF2755,TPCalibEq500!$AZ$2:$BB$56,3,)))</f>
        <v>y=-1.7314x2+83.401x-37.87</v>
      </c>
      <c r="AT2755" s="10" t="b">
        <f>IF(AND(I2755="TN",S2755&lt;=2800),VLOOKUP(AF2755,TNCalibEq2500!$AZ$2:$BB$56,3,),IF(AND(I2755="TDN",S2755&lt;=2800),VLOOKUP(AF2755,TNCalibEq2500!$AZ$2:$BB$56,3,)))</f>
        <v>0</v>
      </c>
      <c r="AU2755" s="10" t="str">
        <f>IF(I2755="TP",VLOOKUP(AF2755,TPCalibEqFull!$AZ$2:$BB$56,3),IF(I2755="TDP",VLOOKUP(AF2755,TPCalibEqFull!$AZ$2:$BB$56,3),IF(I2755="TDN",VLOOKUP(AF2755,TNCalibEqFull!$AZ$1:$BB$56,3),IF(I2755="TN",VLOOKUP(AF2755,TNCalibEqFull!$AZ$1:$BB$56,3),FALSE))))</f>
        <v>y=0.1051x2+65.423x-19.469</v>
      </c>
      <c r="AV2755" s="10" t="str">
        <f t="shared" si="317"/>
        <v>0209 09:00:00-QAC-REC-C-1-DI-GUP</v>
      </c>
    </row>
    <row r="2756" spans="1:48" s="10" customFormat="1" x14ac:dyDescent="0.55000000000000004">
      <c r="A2756" s="32">
        <v>44966</v>
      </c>
      <c r="B2756" s="33">
        <v>0.375</v>
      </c>
      <c r="C2756" s="10" t="s">
        <v>70</v>
      </c>
      <c r="D2756" s="10" t="s">
        <v>305</v>
      </c>
      <c r="E2756" s="10" t="s">
        <v>866</v>
      </c>
      <c r="F2756" s="10">
        <v>1</v>
      </c>
      <c r="G2756" s="10" t="s">
        <v>73</v>
      </c>
      <c r="H2756" s="10" t="s">
        <v>181</v>
      </c>
      <c r="I2756" s="10" t="s">
        <v>83</v>
      </c>
      <c r="J2756" s="10">
        <v>207</v>
      </c>
      <c r="K2756" s="12">
        <v>44966</v>
      </c>
      <c r="L2756" s="33">
        <v>0.56586805555555553</v>
      </c>
      <c r="M2756" s="10">
        <v>1</v>
      </c>
      <c r="N2756" s="10" t="s">
        <v>84</v>
      </c>
      <c r="O2756" s="10">
        <v>18.2</v>
      </c>
      <c r="P2756" s="10">
        <v>1.3</v>
      </c>
      <c r="Q2756" s="10">
        <v>1200</v>
      </c>
      <c r="R2756" s="10" t="s">
        <v>85</v>
      </c>
      <c r="S2756" s="34">
        <f t="shared" si="314"/>
        <v>1206.0429239999999</v>
      </c>
      <c r="T2756" s="10" t="s">
        <v>1201</v>
      </c>
      <c r="U2756" s="34">
        <f t="shared" si="315"/>
        <v>90.475838259564881</v>
      </c>
      <c r="V2756" s="31">
        <f>IF(H2756="CHK",VLOOKUP(I2756,QCCHK,3,),IF(H2756="GUP",VLOOKUP(E2756,QCGUP,2,),IF(AND(H2756="ATP",OR(I2756="TN",I2756="TDN",I2756="TNO2-3",I2756="NO2-3")),VLOOKUP(E2756,QCREC_N,2,),IF(AND(H2756="NIC",OR(I2756="TN",I2756="TDN",I2756="TNO2-3",I2756="NO2-3")),VLOOKUP(E2756,QCNIC_N,2,),IF(AND(H2756="UREA",OR(I2756="TN",I2756="TDN",I2756="TNO2-3",I2756="NO2-3")),VLOOKUP(E2756,QCUREA_N,2,),IF(H2756="PER",VLOOKUP(I2756,QCPER,MATCH(E2756,QCACTUAL!$J$25:$AA$25,0),),IF(H2756="SPK",VLOOKUP(I2756,QCSPK,3,),IF(AND(H2756="ATP",OR(I2756="TP",I2756="TDP")),VLOOKUP(E2756,QCATP_P,2,),""))))))))</f>
        <v>1333</v>
      </c>
      <c r="W2756" s="31" t="str">
        <f t="shared" si="316"/>
        <v>TRUE</v>
      </c>
      <c r="X2756" s="31" t="str">
        <f t="shared" si="313"/>
        <v>[rec]/[actual]*100</v>
      </c>
      <c r="Y2756" s="10" t="s">
        <v>1188</v>
      </c>
      <c r="AF2756" s="12">
        <v>44966</v>
      </c>
      <c r="AK2756" s="10">
        <f>0.1051*18.2^2+65.423*18.2-19.469</f>
        <v>1206.0429239999999</v>
      </c>
      <c r="AL2756" s="10" t="str">
        <f t="shared" si="311"/>
        <v>FALSE</v>
      </c>
      <c r="AM2756" s="10" t="str">
        <f t="shared" si="311"/>
        <v>FALSE</v>
      </c>
      <c r="AN2756" s="10" t="str">
        <f t="shared" si="311"/>
        <v>FALSE</v>
      </c>
      <c r="AO2756" s="10" t="str">
        <f t="shared" si="312"/>
        <v>FALSE</v>
      </c>
      <c r="AP2756" s="10" t="str">
        <f t="shared" si="312"/>
        <v>y=0.1051*18.2^2+65.423*18.2-19.469</v>
      </c>
      <c r="AQ2756" s="10" t="b">
        <f>IF(AND(I2756="TP",S2756&lt;=150),VLOOKUP(AF2756,TPCalibEq150!$AZ$2:$BB$55,3,),IF(AND(I2756="TDP",S2756&lt;=150),VLOOKUP(AF2756,TPCalibEq150!$AZ$2:$BB$55,3,)))</f>
        <v>0</v>
      </c>
      <c r="AR2756" s="10" t="b">
        <f>IF(AND(I2756="TP",S2756&lt;=300),VLOOKUP(AF2756,TPCalibEq300!$AZ$2:$BB$55,3,),IF(AND(I2756="TDP",S2756&lt;=300),VLOOKUP(AF2756,TPCalibEq300!$AZ$2:$BB$55,3,)))</f>
        <v>0</v>
      </c>
      <c r="AS2756" s="10" t="b">
        <f>IF(AND(I2756="TP",S2756&lt;=500),VLOOKUP(AF2756,TPCalibEq500!$AZ$2:$BB$56,3,),IF(AND(I2756="TDP",S2756&lt;=500),VLOOKUP(AF2756,TPCalibEq500!$AZ$2:$BB$56,3,)))</f>
        <v>0</v>
      </c>
      <c r="AT2756" s="10" t="b">
        <f>IF(AND(I2756="TN",S2756&lt;=2800),VLOOKUP(AF2756,TNCalibEq2500!$AZ$2:$BB$56,3,),IF(AND(I2756="TDN",S2756&lt;=2800),VLOOKUP(AF2756,TNCalibEq2500!$AZ$2:$BB$56,3,)))</f>
        <v>0</v>
      </c>
      <c r="AU2756" s="10" t="str">
        <f>IF(I2756="TP",VLOOKUP(AF2756,TPCalibEqFull!$AZ$2:$BB$56,3),IF(I2756="TDP",VLOOKUP(AF2756,TPCalibEqFull!$AZ$2:$BB$56,3),IF(I2756="TDN",VLOOKUP(AF2756,TNCalibEqFull!$AZ$1:$BB$56,3),IF(I2756="TN",VLOOKUP(AF2756,TNCalibEqFull!$AZ$1:$BB$56,3),FALSE))))</f>
        <v>y=0.1051x2+65.423x-19.469</v>
      </c>
      <c r="AV2756" s="10" t="str">
        <f t="shared" si="317"/>
        <v>0209 09:00:00-QAC-REC-A-1-DI-ATP</v>
      </c>
    </row>
    <row r="2757" spans="1:48" s="10" customFormat="1" x14ac:dyDescent="0.55000000000000004">
      <c r="A2757" s="32">
        <v>44966</v>
      </c>
      <c r="B2757" s="33">
        <v>0.375</v>
      </c>
      <c r="C2757" s="10" t="s">
        <v>70</v>
      </c>
      <c r="D2757" s="10" t="s">
        <v>305</v>
      </c>
      <c r="E2757" s="10" t="s">
        <v>583</v>
      </c>
      <c r="F2757" s="10">
        <v>1</v>
      </c>
      <c r="G2757" s="10" t="s">
        <v>73</v>
      </c>
      <c r="H2757" s="10" t="s">
        <v>181</v>
      </c>
      <c r="I2757" s="10" t="s">
        <v>83</v>
      </c>
      <c r="J2757" s="10">
        <v>208</v>
      </c>
      <c r="K2757" s="12">
        <v>44966</v>
      </c>
      <c r="L2757" s="33">
        <v>0.56656249999999997</v>
      </c>
      <c r="M2757" s="10">
        <v>1</v>
      </c>
      <c r="N2757" s="10" t="s">
        <v>84</v>
      </c>
      <c r="O2757" s="10">
        <v>4.0599999999999996</v>
      </c>
      <c r="P2757" s="10">
        <v>0.29199999999999998</v>
      </c>
      <c r="Q2757" s="10">
        <v>248</v>
      </c>
      <c r="R2757" s="10" t="s">
        <v>85</v>
      </c>
      <c r="S2757" s="34">
        <f t="shared" si="314"/>
        <v>272.19835495999996</v>
      </c>
      <c r="T2757" s="10" t="s">
        <v>1201</v>
      </c>
      <c r="U2757" s="34">
        <f t="shared" si="315"/>
        <v>102.33020863157893</v>
      </c>
      <c r="V2757" s="31">
        <f>IF(H2757="CHK",VLOOKUP(I2757,QCCHK,3,),IF(H2757="GUP",VLOOKUP(E2757,QCGUP,2,),IF(AND(H2757="ATP",OR(I2757="TN",I2757="TDN",I2757="TNO2-3",I2757="NO2-3")),VLOOKUP(E2757,QCREC_N,2,),IF(AND(H2757="NIC",OR(I2757="TN",I2757="TDN",I2757="TNO2-3",I2757="NO2-3")),VLOOKUP(E2757,QCNIC_N,2,),IF(AND(H2757="UREA",OR(I2757="TN",I2757="TDN",I2757="TNO2-3",I2757="NO2-3")),VLOOKUP(E2757,QCUREA_N,2,),IF(H2757="PER",VLOOKUP(I2757,QCPER,MATCH(E2757,QCACTUAL!$J$25:$AA$25,0),),IF(H2757="SPK",VLOOKUP(I2757,QCSPK,3,),IF(AND(H2757="ATP",OR(I2757="TP",I2757="TDP")),VLOOKUP(E2757,QCATP_P,2,),""))))))))</f>
        <v>266</v>
      </c>
      <c r="W2757" s="31" t="str">
        <f t="shared" si="316"/>
        <v>TRUE</v>
      </c>
      <c r="X2757" s="31" t="str">
        <f t="shared" si="313"/>
        <v>[rec]/[actual]*100</v>
      </c>
      <c r="Y2757" s="10" t="s">
        <v>1188</v>
      </c>
      <c r="AF2757" s="12">
        <v>44966</v>
      </c>
      <c r="AH2757" s="10">
        <f>-2.9408*4.06^2+89.45*4.06-43.664</f>
        <v>271.02802911999999</v>
      </c>
      <c r="AI2757" s="10">
        <f>-1.7314*4.06^2+83.401*4.06-37.87</f>
        <v>272.19835495999996</v>
      </c>
      <c r="AK2757" s="10">
        <f>0.1051*4.06^2+65.423*4.06-19.469</f>
        <v>247.88080635999995</v>
      </c>
      <c r="AL2757" s="10" t="str">
        <f t="shared" si="311"/>
        <v>FALSE</v>
      </c>
      <c r="AM2757" s="10" t="str">
        <f t="shared" si="311"/>
        <v>y=-2.9408*4.06^2+89.45*4.06-43.664</v>
      </c>
      <c r="AN2757" s="10" t="str">
        <f t="shared" si="311"/>
        <v>y=-1.7314*4.06^2+83.401*4.06-37.87</v>
      </c>
      <c r="AO2757" s="10" t="str">
        <f t="shared" si="312"/>
        <v>FALSE</v>
      </c>
      <c r="AP2757" s="10" t="str">
        <f t="shared" si="312"/>
        <v>y=0.1051*4.06^2+65.423*4.06-19.469</v>
      </c>
      <c r="AQ2757" s="10" t="b">
        <f>IF(AND(I2757="TP",S2757&lt;=150),VLOOKUP(AF2757,TPCalibEq150!$AZ$2:$BB$55,3,),IF(AND(I2757="TDP",S2757&lt;=150),VLOOKUP(AF2757,TPCalibEq150!$AZ$2:$BB$55,3,)))</f>
        <v>0</v>
      </c>
      <c r="AR2757" s="10" t="str">
        <f>IF(AND(I2757="TP",S2757&lt;=300),VLOOKUP(AF2757,TPCalibEq300!$AZ$2:$BB$55,3,),IF(AND(I2757="TDP",S2757&lt;=300),VLOOKUP(AF2757,TPCalibEq300!$AZ$2:$BB$55,3,)))</f>
        <v>y=-2.9408x2+89.45x-43.664</v>
      </c>
      <c r="AS2757" s="10" t="str">
        <f>IF(AND(I2757="TP",S2757&lt;=500),VLOOKUP(AF2757,TPCalibEq500!$AZ$2:$BB$56,3,),IF(AND(I2757="TDP",S2757&lt;=500),VLOOKUP(AF2757,TPCalibEq500!$AZ$2:$BB$56,3,)))</f>
        <v>y=-1.7314x2+83.401x-37.87</v>
      </c>
      <c r="AT2757" s="10" t="b">
        <f>IF(AND(I2757="TN",S2757&lt;=2800),VLOOKUP(AF2757,TNCalibEq2500!$AZ$2:$BB$56,3,),IF(AND(I2757="TDN",S2757&lt;=2800),VLOOKUP(AF2757,TNCalibEq2500!$AZ$2:$BB$56,3,)))</f>
        <v>0</v>
      </c>
      <c r="AU2757" s="10" t="str">
        <f>IF(I2757="TP",VLOOKUP(AF2757,TPCalibEqFull!$AZ$2:$BB$56,3),IF(I2757="TDP",VLOOKUP(AF2757,TPCalibEqFull!$AZ$2:$BB$56,3),IF(I2757="TDN",VLOOKUP(AF2757,TNCalibEqFull!$AZ$1:$BB$56,3),IF(I2757="TN",VLOOKUP(AF2757,TNCalibEqFull!$AZ$1:$BB$56,3),FALSE))))</f>
        <v>y=0.1051x2+65.423x-19.469</v>
      </c>
      <c r="AV2757" s="10" t="str">
        <f t="shared" si="317"/>
        <v>0209 09:00:00-QAC-REC-B-1-DI-ATP</v>
      </c>
    </row>
    <row r="2758" spans="1:48" s="10" customFormat="1" x14ac:dyDescent="0.55000000000000004">
      <c r="A2758" s="32">
        <v>44966</v>
      </c>
      <c r="B2758" s="33">
        <v>0.375</v>
      </c>
      <c r="C2758" s="10" t="s">
        <v>70</v>
      </c>
      <c r="D2758" s="10" t="s">
        <v>305</v>
      </c>
      <c r="E2758" s="10" t="s">
        <v>190</v>
      </c>
      <c r="F2758" s="10">
        <v>1</v>
      </c>
      <c r="G2758" s="10" t="s">
        <v>73</v>
      </c>
      <c r="H2758" s="10" t="s">
        <v>181</v>
      </c>
      <c r="I2758" s="10" t="s">
        <v>83</v>
      </c>
      <c r="J2758" s="10">
        <v>209</v>
      </c>
      <c r="K2758" s="12">
        <v>44966</v>
      </c>
      <c r="L2758" s="33">
        <v>0.56726851851851856</v>
      </c>
      <c r="M2758" s="10">
        <v>1</v>
      </c>
      <c r="N2758" s="10" t="s">
        <v>84</v>
      </c>
      <c r="O2758" s="10">
        <v>2.0099999999999998</v>
      </c>
      <c r="P2758" s="10">
        <v>0.14099999999999999</v>
      </c>
      <c r="Q2758" s="10">
        <v>113</v>
      </c>
      <c r="R2758" s="10" t="s">
        <v>85</v>
      </c>
      <c r="S2758" s="34">
        <f t="shared" si="314"/>
        <v>127.94851959999998</v>
      </c>
      <c r="T2758" s="10" t="s">
        <v>1201</v>
      </c>
      <c r="U2758" s="34">
        <f t="shared" si="315"/>
        <v>96.201894436090214</v>
      </c>
      <c r="V2758" s="31">
        <f>IF(H2758="CHK",VLOOKUP(I2758,QCCHK,3,),IF(H2758="GUP",VLOOKUP(E2758,QCGUP,2,),IF(AND(H2758="ATP",OR(I2758="TN",I2758="TDN",I2758="TNO2-3",I2758="NO2-3")),VLOOKUP(E2758,QCREC_N,2,),IF(AND(H2758="NIC",OR(I2758="TN",I2758="TDN",I2758="TNO2-3",I2758="NO2-3")),VLOOKUP(E2758,QCNIC_N,2,),IF(AND(H2758="UREA",OR(I2758="TN",I2758="TDN",I2758="TNO2-3",I2758="NO2-3")),VLOOKUP(E2758,QCUREA_N,2,),IF(H2758="PER",VLOOKUP(I2758,QCPER,MATCH(E2758,QCACTUAL!$J$25:$AA$25,0),),IF(H2758="SPK",VLOOKUP(I2758,QCSPK,3,),IF(AND(H2758="ATP",OR(I2758="TP",I2758="TDP")),VLOOKUP(E2758,QCATP_P,2,),""))))))))</f>
        <v>133</v>
      </c>
      <c r="W2758" s="31" t="str">
        <f t="shared" si="316"/>
        <v>TRUE</v>
      </c>
      <c r="X2758" s="31" t="str">
        <f t="shared" si="313"/>
        <v>[rec]/[actual]*100</v>
      </c>
      <c r="Y2758" s="10" t="s">
        <v>1188</v>
      </c>
      <c r="AF2758" s="12">
        <v>44966</v>
      </c>
      <c r="AG2758" s="10">
        <f>-11.204*2.01^2+113.68*2.01-55.283</f>
        <v>127.94851959999998</v>
      </c>
      <c r="AH2758" s="10">
        <f>-2.9408*2.01^2+89.45*2.01-43.664</f>
        <v>124.24937392</v>
      </c>
      <c r="AI2758" s="10">
        <f>-1.7314*2.01^2+83.401*2.01-37.87</f>
        <v>122.77098085999998</v>
      </c>
      <c r="AK2758" s="10">
        <f>0.1051*2.01^2+65.423*2.01-19.469</f>
        <v>112.45584450999999</v>
      </c>
      <c r="AL2758" s="10" t="str">
        <f t="shared" si="311"/>
        <v>y=-11.204*2.01^2+113.68*2.01-55.283</v>
      </c>
      <c r="AM2758" s="10" t="str">
        <f t="shared" si="311"/>
        <v>y=-2.9408*2.01^2+89.45*2.01-43.664</v>
      </c>
      <c r="AN2758" s="10" t="str">
        <f t="shared" si="311"/>
        <v>y=-1.7314*2.01^2+83.401*2.01-37.87</v>
      </c>
      <c r="AO2758" s="10" t="str">
        <f t="shared" si="312"/>
        <v>FALSE</v>
      </c>
      <c r="AP2758" s="10" t="str">
        <f t="shared" si="312"/>
        <v>y=0.1051*2.01^2+65.423*2.01-19.469</v>
      </c>
      <c r="AQ2758" s="10" t="str">
        <f>IF(AND(I2758="TP",S2758&lt;=150),VLOOKUP(AF2758,TPCalibEq150!$AZ$2:$BB$55,3,),IF(AND(I2758="TDP",S2758&lt;=150),VLOOKUP(AF2758,TPCalibEq150!$AZ$2:$BB$55,3,)))</f>
        <v>y=-11.204x2+113.68x-55.283</v>
      </c>
      <c r="AR2758" s="10" t="str">
        <f>IF(AND(I2758="TP",S2758&lt;=300),VLOOKUP(AF2758,TPCalibEq300!$AZ$2:$BB$55,3,),IF(AND(I2758="TDP",S2758&lt;=300),VLOOKUP(AF2758,TPCalibEq300!$AZ$2:$BB$55,3,)))</f>
        <v>y=-2.9408x2+89.45x-43.664</v>
      </c>
      <c r="AS2758" s="10" t="str">
        <f>IF(AND(I2758="TP",S2758&lt;=500),VLOOKUP(AF2758,TPCalibEq500!$AZ$2:$BB$56,3,),IF(AND(I2758="TDP",S2758&lt;=500),VLOOKUP(AF2758,TPCalibEq500!$AZ$2:$BB$56,3,)))</f>
        <v>y=-1.7314x2+83.401x-37.87</v>
      </c>
      <c r="AT2758" s="10" t="b">
        <f>IF(AND(I2758="TN",S2758&lt;=2800),VLOOKUP(AF2758,TNCalibEq2500!$AZ$2:$BB$56,3,),IF(AND(I2758="TDN",S2758&lt;=2800),VLOOKUP(AF2758,TNCalibEq2500!$AZ$2:$BB$56,3,)))</f>
        <v>0</v>
      </c>
      <c r="AU2758" s="10" t="str">
        <f>IF(I2758="TP",VLOOKUP(AF2758,TPCalibEqFull!$AZ$2:$BB$56,3),IF(I2758="TDP",VLOOKUP(AF2758,TPCalibEqFull!$AZ$2:$BB$56,3),IF(I2758="TDN",VLOOKUP(AF2758,TNCalibEqFull!$AZ$1:$BB$56,3),IF(I2758="TN",VLOOKUP(AF2758,TNCalibEqFull!$AZ$1:$BB$56,3),FALSE))))</f>
        <v>y=0.1051x2+65.423x-19.469</v>
      </c>
      <c r="AV2758" s="10" t="str">
        <f t="shared" si="317"/>
        <v>0209 09:00:00-QAC-REC-C-1-DI-ATP</v>
      </c>
    </row>
    <row r="2759" spans="1:48" s="10" customFormat="1" x14ac:dyDescent="0.55000000000000004">
      <c r="A2759" s="32">
        <v>44966</v>
      </c>
      <c r="B2759" s="33">
        <v>0.375</v>
      </c>
      <c r="C2759" s="10" t="s">
        <v>70</v>
      </c>
      <c r="D2759" s="10" t="s">
        <v>71</v>
      </c>
      <c r="E2759" s="10" t="s">
        <v>901</v>
      </c>
      <c r="F2759" s="10">
        <v>1</v>
      </c>
      <c r="G2759" s="10" t="s">
        <v>73</v>
      </c>
      <c r="H2759" s="10" t="s">
        <v>207</v>
      </c>
      <c r="I2759" s="10" t="s">
        <v>83</v>
      </c>
      <c r="J2759" s="10">
        <v>199</v>
      </c>
      <c r="K2759" s="12">
        <v>44966</v>
      </c>
      <c r="L2759" s="33">
        <v>0.56796296296296289</v>
      </c>
      <c r="M2759" s="10">
        <v>1</v>
      </c>
      <c r="N2759" s="10" t="s">
        <v>84</v>
      </c>
      <c r="O2759" s="10">
        <v>7.85</v>
      </c>
      <c r="P2759" s="10">
        <v>0.56999999999999995</v>
      </c>
      <c r="Q2759" s="10">
        <v>500</v>
      </c>
      <c r="R2759" s="10" t="s">
        <v>85</v>
      </c>
      <c r="S2759" s="34">
        <f t="shared" si="314"/>
        <v>510.1346534999999</v>
      </c>
      <c r="T2759" s="10" t="s">
        <v>1201</v>
      </c>
      <c r="U2759" s="34">
        <f t="shared" si="315"/>
        <v>102.02693069999998</v>
      </c>
      <c r="V2759" s="31">
        <f>IF(H2759="CHK",VLOOKUP(I2759,QCCHK,3,),IF(H2759="GUP",VLOOKUP(E2759,QCGUP,2,),IF(AND(H2759="ATP",OR(I2759="TN",I2759="TDN",I2759="TNO2-3",I2759="NO2-3")),VLOOKUP(E2759,QCREC_N,2,),IF(AND(H2759="NIC",OR(I2759="TN",I2759="TDN",I2759="TNO2-3",I2759="NO2-3")),VLOOKUP(E2759,QCNIC_N,2,),IF(AND(H2759="UREA",OR(I2759="TN",I2759="TDN",I2759="TNO2-3",I2759="NO2-3")),VLOOKUP(E2759,QCUREA_N,2,),IF(H2759="PER",VLOOKUP(I2759,QCPER,MATCH(E2759,QCACTUAL!$J$25:$AA$25,0),),IF(H2759="SPK",VLOOKUP(I2759,QCSPK,3,),IF(AND(H2759="ATP",OR(I2759="TP",I2759="TDP")),VLOOKUP(E2759,QCATP_P,2,),""))))))))</f>
        <v>500</v>
      </c>
      <c r="W2759" s="31" t="str">
        <f t="shared" si="316"/>
        <v>TRUE</v>
      </c>
      <c r="X2759" s="31" t="str">
        <f t="shared" si="313"/>
        <v>[chk]/[actual]*100</v>
      </c>
      <c r="Y2759" s="10" t="s">
        <v>1188</v>
      </c>
      <c r="AF2759" s="12">
        <v>44966</v>
      </c>
      <c r="AI2759" s="10">
        <f>-1.7314*7.85^2+83.401*7.85-37.87</f>
        <v>510.1346534999999</v>
      </c>
      <c r="AK2759" s="10">
        <f>0.1051*7.85^2+65.423*7.85-19.469</f>
        <v>500.57807474999998</v>
      </c>
      <c r="AL2759" s="10" t="str">
        <f t="shared" si="311"/>
        <v>FALSE</v>
      </c>
      <c r="AM2759" s="10" t="str">
        <f t="shared" si="311"/>
        <v>FALSE</v>
      </c>
      <c r="AN2759" s="10" t="str">
        <f t="shared" si="311"/>
        <v>FALSE</v>
      </c>
      <c r="AO2759" s="10" t="str">
        <f t="shared" si="312"/>
        <v>FALSE</v>
      </c>
      <c r="AP2759" s="10" t="str">
        <f t="shared" si="312"/>
        <v>y=0.1051*7.85^2+65.423*7.85-19.469</v>
      </c>
      <c r="AQ2759" s="10" t="b">
        <f>IF(AND(I2759="TP",S2759&lt;=150),VLOOKUP(AF2759,TPCalibEq150!$AZ$2:$BB$55,3,),IF(AND(I2759="TDP",S2759&lt;=150),VLOOKUP(AF2759,TPCalibEq150!$AZ$2:$BB$55,3,)))</f>
        <v>0</v>
      </c>
      <c r="AR2759" s="10" t="b">
        <f>IF(AND(I2759="TP",S2759&lt;=300),VLOOKUP(AF2759,TPCalibEq300!$AZ$2:$BB$55,3,),IF(AND(I2759="TDP",S2759&lt;=300),VLOOKUP(AF2759,TPCalibEq300!$AZ$2:$BB$55,3,)))</f>
        <v>0</v>
      </c>
      <c r="AS2759" s="10" t="b">
        <f>IF(AND(I2759="TP",S2759&lt;=500),VLOOKUP(AF2759,TPCalibEq500!$AZ$2:$BB$56,3,),IF(AND(I2759="TDP",S2759&lt;=500),VLOOKUP(AF2759,TPCalibEq500!$AZ$2:$BB$56,3,)))</f>
        <v>0</v>
      </c>
      <c r="AT2759" s="10" t="b">
        <f>IF(AND(I2759="TN",S2759&lt;=2800),VLOOKUP(AF2759,TNCalibEq2500!$AZ$2:$BB$56,3,),IF(AND(I2759="TDN",S2759&lt;=2800),VLOOKUP(AF2759,TNCalibEq2500!$AZ$2:$BB$56,3,)))</f>
        <v>0</v>
      </c>
      <c r="AU2759" s="10" t="str">
        <f>IF(I2759="TP",VLOOKUP(AF2759,TPCalibEqFull!$AZ$2:$BB$56,3),IF(I2759="TDP",VLOOKUP(AF2759,TPCalibEqFull!$AZ$2:$BB$56,3),IF(I2759="TDN",VLOOKUP(AF2759,TNCalibEqFull!$AZ$1:$BB$56,3),IF(I2759="TN",VLOOKUP(AF2759,TNCalibEqFull!$AZ$1:$BB$56,3),FALSE))))</f>
        <v>y=0.1051x2+65.423x-19.469</v>
      </c>
      <c r="AV2759" s="10" t="str">
        <f t="shared" si="317"/>
        <v>0209 09:00:00-QAC-STD-D-1-DI-CHK</v>
      </c>
    </row>
    <row r="2760" spans="1:48" s="10" customFormat="1" x14ac:dyDescent="0.55000000000000004">
      <c r="A2760" s="32">
        <v>44966</v>
      </c>
      <c r="B2760" s="33">
        <v>0.375</v>
      </c>
      <c r="C2760" s="10" t="s">
        <v>70</v>
      </c>
      <c r="D2760" s="10" t="s">
        <v>71</v>
      </c>
      <c r="E2760" s="10" t="s">
        <v>901</v>
      </c>
      <c r="F2760" s="10">
        <v>1</v>
      </c>
      <c r="G2760" s="10" t="s">
        <v>73</v>
      </c>
      <c r="H2760" s="10" t="s">
        <v>233</v>
      </c>
      <c r="I2760" s="10" t="s">
        <v>83</v>
      </c>
      <c r="J2760" s="10">
        <v>199</v>
      </c>
      <c r="K2760" s="12">
        <v>44966</v>
      </c>
      <c r="L2760" s="33">
        <v>0.56865740740740744</v>
      </c>
      <c r="M2760" s="10">
        <v>1</v>
      </c>
      <c r="N2760" s="10" t="s">
        <v>84</v>
      </c>
      <c r="O2760" s="10">
        <v>7.85</v>
      </c>
      <c r="P2760" s="10">
        <v>0.56899999999999995</v>
      </c>
      <c r="Q2760" s="10">
        <v>501</v>
      </c>
      <c r="R2760" s="10" t="s">
        <v>85</v>
      </c>
      <c r="S2760" s="34">
        <f t="shared" si="314"/>
        <v>501</v>
      </c>
      <c r="T2760" s="10" t="s">
        <v>1201</v>
      </c>
      <c r="U2760" s="34">
        <f t="shared" si="315"/>
        <v>1.806812469215783</v>
      </c>
      <c r="V2760" s="31" t="str">
        <f>IF(H2760="CHK",VLOOKUP(I2760,QCCHK,3,),IF(H2760="GUP",VLOOKUP(E2760,QCGUP,2,),IF(AND(H2760="ATP",OR(I2760="TN",I2760="TDN",I2760="TNO2-3",I2760="NO2-3")),VLOOKUP(E2760,QCREC_N,2,),IF(AND(H2760="NIC",OR(I2760="TN",I2760="TDN",I2760="TNO2-3",I2760="NO2-3")),VLOOKUP(E2760,QCNIC_N,2,),IF(AND(H2760="UREA",OR(I2760="TN",I2760="TDN",I2760="TNO2-3",I2760="NO2-3")),VLOOKUP(E2760,QCUREA_N,2,),IF(H2760="PER",VLOOKUP(I2760,QCPER,MATCH(E2760,QCACTUAL!$J$25:$AA$25,0),),IF(H2760="SPK",VLOOKUP(I2760,QCSPK,3,),IF(AND(H2760="ATP",OR(I2760="TP",I2760="TDP")),VLOOKUP(E2760,QCATP_P,2,),""))))))))</f>
        <v/>
      </c>
      <c r="W2760" s="31" t="str">
        <f t="shared" si="316"/>
        <v>TRUE</v>
      </c>
      <c r="X2760" s="31" t="str">
        <f t="shared" si="313"/>
        <v>((ABS(rep1-rep2))/((rep1+rep2)/2)*100</v>
      </c>
      <c r="Y2760" s="10" t="s">
        <v>1188</v>
      </c>
      <c r="AF2760" s="12">
        <v>44966</v>
      </c>
      <c r="AK2760" s="10">
        <f>0.1051*7.85^2+65.423*7.85-19.469</f>
        <v>500.57807474999998</v>
      </c>
      <c r="AL2760" s="10" t="str">
        <f t="shared" si="311"/>
        <v>FALSE</v>
      </c>
      <c r="AM2760" s="10" t="str">
        <f t="shared" si="311"/>
        <v>FALSE</v>
      </c>
      <c r="AN2760" s="10" t="str">
        <f t="shared" si="311"/>
        <v>FALSE</v>
      </c>
      <c r="AO2760" s="10" t="str">
        <f t="shared" si="312"/>
        <v>FALSE</v>
      </c>
      <c r="AP2760" s="10" t="str">
        <f t="shared" si="312"/>
        <v>y=0.1051*7.85^2+65.423*7.85-19.469</v>
      </c>
      <c r="AQ2760" s="10" t="b">
        <f>IF(AND(I2760="TP",S2760&lt;=150),VLOOKUP(AF2760,TPCalibEq150!$AZ$2:$BB$55,3,),IF(AND(I2760="TDP",S2760&lt;=150),VLOOKUP(AF2760,TPCalibEq150!$AZ$2:$BB$55,3,)))</f>
        <v>0</v>
      </c>
      <c r="AR2760" s="10" t="b">
        <f>IF(AND(I2760="TP",S2760&lt;=300),VLOOKUP(AF2760,TPCalibEq300!$AZ$2:$BB$55,3,),IF(AND(I2760="TDP",S2760&lt;=300),VLOOKUP(AF2760,TPCalibEq300!$AZ$2:$BB$55,3,)))</f>
        <v>0</v>
      </c>
      <c r="AS2760" s="10" t="b">
        <f>IF(AND(I2760="TP",S2760&lt;=500),VLOOKUP(AF2760,TPCalibEq500!$AZ$2:$BB$56,3,),IF(AND(I2760="TDP",S2760&lt;=500),VLOOKUP(AF2760,TPCalibEq500!$AZ$2:$BB$56,3,)))</f>
        <v>0</v>
      </c>
      <c r="AT2760" s="10" t="b">
        <f>IF(AND(I2760="TN",S2760&lt;=2800),VLOOKUP(AF2760,TNCalibEq2500!$AZ$2:$BB$56,3,),IF(AND(I2760="TDN",S2760&lt;=2800),VLOOKUP(AF2760,TNCalibEq2500!$AZ$2:$BB$56,3,)))</f>
        <v>0</v>
      </c>
      <c r="AU2760" s="10" t="str">
        <f>IF(I2760="TP",VLOOKUP(AF2760,TPCalibEqFull!$AZ$2:$BB$56,3),IF(I2760="TDP",VLOOKUP(AF2760,TPCalibEqFull!$AZ$2:$BB$56,3),IF(I2760="TDN",VLOOKUP(AF2760,TNCalibEqFull!$AZ$1:$BB$56,3),IF(I2760="TN",VLOOKUP(AF2760,TNCalibEqFull!$AZ$1:$BB$56,3),FALSE))))</f>
        <v>y=0.1051x2+65.423x-19.469</v>
      </c>
      <c r="AV2760" s="10" t="str">
        <f t="shared" si="317"/>
        <v>0209 09:00:00-QAC-STD-D-1-DI-DUP</v>
      </c>
    </row>
    <row r="2761" spans="1:48" s="10" customFormat="1" x14ac:dyDescent="0.55000000000000004">
      <c r="A2761" s="32">
        <v>44963</v>
      </c>
      <c r="B2761" s="33">
        <v>0.25</v>
      </c>
      <c r="C2761" s="10" t="s">
        <v>70</v>
      </c>
      <c r="D2761" s="10" t="s">
        <v>241</v>
      </c>
      <c r="E2761" s="10" t="s">
        <v>866</v>
      </c>
      <c r="F2761" s="10">
        <v>1</v>
      </c>
      <c r="G2761" s="10" t="s">
        <v>73</v>
      </c>
      <c r="H2761" s="10" t="s">
        <v>264</v>
      </c>
      <c r="I2761" s="10" t="s">
        <v>83</v>
      </c>
      <c r="J2761" s="10">
        <v>133</v>
      </c>
      <c r="K2761" s="12">
        <v>44966</v>
      </c>
      <c r="L2761" s="33">
        <v>0.57003472222222229</v>
      </c>
      <c r="M2761" s="10">
        <v>1</v>
      </c>
      <c r="N2761" s="10" t="s">
        <v>84</v>
      </c>
      <c r="O2761" s="10">
        <v>1.1399999999999999</v>
      </c>
      <c r="P2761" s="10">
        <v>7.8700000000000006E-2</v>
      </c>
      <c r="Q2761" s="10">
        <v>56.1</v>
      </c>
      <c r="R2761" s="10" t="s">
        <v>85</v>
      </c>
      <c r="S2761" s="34">
        <f t="shared" si="314"/>
        <v>59.751481600000005</v>
      </c>
      <c r="T2761" s="10" t="s">
        <v>1201</v>
      </c>
      <c r="U2761" s="34">
        <f t="shared" si="315"/>
        <v>59.751481600000005</v>
      </c>
      <c r="V2761" s="31" t="str">
        <f>IF(H2761="CHK",VLOOKUP(I2761,QCCHK,3,),IF(H2761="GUP",VLOOKUP(E2761,QCGUP,2,),IF(AND(H2761="ATP",OR(I2761="TN",I2761="TDN",I2761="TNO2-3",I2761="NO2-3")),VLOOKUP(E2761,QCREC_N,2,),IF(AND(H2761="NIC",OR(I2761="TN",I2761="TDN",I2761="TNO2-3",I2761="NO2-3")),VLOOKUP(E2761,QCNIC_N,2,),IF(AND(H2761="UREA",OR(I2761="TN",I2761="TDN",I2761="TNO2-3",I2761="NO2-3")),VLOOKUP(E2761,QCUREA_N,2,),IF(H2761="PER",VLOOKUP(I2761,QCPER,MATCH(E2761,QCACTUAL!$J$25:$AA$25,0),),IF(H2761="SPK",VLOOKUP(I2761,QCSPK,3,),IF(AND(H2761="ATP",OR(I2761="TP",I2761="TDP")),VLOOKUP(E2761,QCATP_P,2,),""))))))))</f>
        <v/>
      </c>
      <c r="W2761" s="31" t="str">
        <f t="shared" si="316"/>
        <v>FALSE</v>
      </c>
      <c r="X2761" s="31" t="str">
        <f t="shared" si="313"/>
        <v>nominal concentration</v>
      </c>
      <c r="Y2761" s="10" t="s">
        <v>1188</v>
      </c>
      <c r="AF2761" s="12">
        <v>44966</v>
      </c>
      <c r="AG2761" s="10">
        <f>-11.204*1.14^2+113.68*1.14-55.283</f>
        <v>59.751481600000005</v>
      </c>
      <c r="AH2761" s="10">
        <f>-2.9408*1.14^2+89.45*1.14-43.664</f>
        <v>54.487136320000005</v>
      </c>
      <c r="AI2761" s="10">
        <f>-1.7314*1.14^2+83.401*1.14-37.87</f>
        <v>54.957012559999988</v>
      </c>
      <c r="AK2761" s="10">
        <f>0.1051*1.14^2+65.423*1.14-19.469</f>
        <v>55.249807959999991</v>
      </c>
      <c r="AL2761" s="10" t="str">
        <f t="shared" si="311"/>
        <v>y=-11.204*1.14^2+113.68*1.14-55.283</v>
      </c>
      <c r="AM2761" s="10" t="str">
        <f t="shared" si="311"/>
        <v>y=-2.9408*1.14^2+89.45*1.14-43.664</v>
      </c>
      <c r="AN2761" s="10" t="str">
        <f t="shared" si="311"/>
        <v>y=-1.7314*1.14^2+83.401*1.14-37.87</v>
      </c>
      <c r="AO2761" s="10" t="str">
        <f t="shared" si="312"/>
        <v>FALSE</v>
      </c>
      <c r="AP2761" s="10" t="str">
        <f t="shared" si="312"/>
        <v>y=0.1051*1.14^2+65.423*1.14-19.469</v>
      </c>
      <c r="AQ2761" s="10" t="str">
        <f>IF(AND(I2761="TP",S2761&lt;=150),VLOOKUP(AF2761,TPCalibEq150!$AZ$2:$BB$55,3,),IF(AND(I2761="TDP",S2761&lt;=150),VLOOKUP(AF2761,TPCalibEq150!$AZ$2:$BB$55,3,)))</f>
        <v>y=-11.204x2+113.68x-55.283</v>
      </c>
      <c r="AR2761" s="10" t="str">
        <f>IF(AND(I2761="TP",S2761&lt;=300),VLOOKUP(AF2761,TPCalibEq300!$AZ$2:$BB$55,3,),IF(AND(I2761="TDP",S2761&lt;=300),VLOOKUP(AF2761,TPCalibEq300!$AZ$2:$BB$55,3,)))</f>
        <v>y=-2.9408x2+89.45x-43.664</v>
      </c>
      <c r="AS2761" s="10" t="str">
        <f>IF(AND(I2761="TP",S2761&lt;=500),VLOOKUP(AF2761,TPCalibEq500!$AZ$2:$BB$56,3,),IF(AND(I2761="TDP",S2761&lt;=500),VLOOKUP(AF2761,TPCalibEq500!$AZ$2:$BB$56,3,)))</f>
        <v>y=-1.7314x2+83.401x-37.87</v>
      </c>
      <c r="AT2761" s="10" t="b">
        <f>IF(AND(I2761="TN",S2761&lt;=2800),VLOOKUP(AF2761,TNCalibEq2500!$AZ$2:$BB$56,3,),IF(AND(I2761="TDN",S2761&lt;=2800),VLOOKUP(AF2761,TNCalibEq2500!$AZ$2:$BB$56,3,)))</f>
        <v>0</v>
      </c>
      <c r="AU2761" s="10" t="str">
        <f>IF(I2761="TP",VLOOKUP(AF2761,TPCalibEqFull!$AZ$2:$BB$56,3),IF(I2761="TDP",VLOOKUP(AF2761,TPCalibEqFull!$AZ$2:$BB$56,3),IF(I2761="TDN",VLOOKUP(AF2761,TNCalibEqFull!$AZ$1:$BB$56,3),IF(I2761="TN",VLOOKUP(AF2761,TNCalibEqFull!$AZ$1:$BB$56,3),FALSE))))</f>
        <v>y=0.1051x2+65.423x-19.469</v>
      </c>
      <c r="AV2761" s="10" t="str">
        <f t="shared" si="317"/>
        <v>0206 06:00:00-QAC-BLK-A-1-DI-FLD</v>
      </c>
    </row>
    <row r="2762" spans="1:48" s="10" customFormat="1" x14ac:dyDescent="0.55000000000000004">
      <c r="A2762" s="32">
        <v>44965</v>
      </c>
      <c r="B2762" s="33">
        <v>0.25</v>
      </c>
      <c r="C2762" s="10" t="s">
        <v>70</v>
      </c>
      <c r="D2762" s="10" t="s">
        <v>241</v>
      </c>
      <c r="E2762" s="10">
        <v>800</v>
      </c>
      <c r="F2762" s="10">
        <v>1</v>
      </c>
      <c r="G2762" s="10" t="s">
        <v>73</v>
      </c>
      <c r="H2762" s="10" t="s">
        <v>264</v>
      </c>
      <c r="I2762" s="10" t="s">
        <v>83</v>
      </c>
      <c r="J2762" s="10">
        <v>134</v>
      </c>
      <c r="K2762" s="12">
        <v>44966</v>
      </c>
      <c r="L2762" s="33">
        <v>0.57071759259259258</v>
      </c>
      <c r="M2762" s="10">
        <v>1</v>
      </c>
      <c r="N2762" s="10" t="s">
        <v>84</v>
      </c>
      <c r="O2762" s="10">
        <v>1.0900000000000001</v>
      </c>
      <c r="P2762" s="10">
        <v>7.3899999999999993E-2</v>
      </c>
      <c r="Q2762" s="10">
        <v>53.1</v>
      </c>
      <c r="R2762" s="10" t="s">
        <v>85</v>
      </c>
      <c r="S2762" s="34">
        <f t="shared" si="314"/>
        <v>55.316727600000021</v>
      </c>
      <c r="T2762" s="10" t="s">
        <v>1201</v>
      </c>
      <c r="U2762" s="34">
        <f t="shared" si="315"/>
        <v>55.316727600000021</v>
      </c>
      <c r="V2762" s="31" t="str">
        <f>IF(H2762="CHK",VLOOKUP(I2762,QCCHK,3,),IF(H2762="GUP",VLOOKUP(E2762,QCGUP,2,),IF(AND(H2762="ATP",OR(I2762="TN",I2762="TDN",I2762="TNO2-3",I2762="NO2-3")),VLOOKUP(E2762,QCREC_N,2,),IF(AND(H2762="NIC",OR(I2762="TN",I2762="TDN",I2762="TNO2-3",I2762="NO2-3")),VLOOKUP(E2762,QCNIC_N,2,),IF(AND(H2762="UREA",OR(I2762="TN",I2762="TDN",I2762="TNO2-3",I2762="NO2-3")),VLOOKUP(E2762,QCUREA_N,2,),IF(H2762="PER",VLOOKUP(I2762,QCPER,MATCH(E2762,QCACTUAL!$J$25:$AA$25,0),),IF(H2762="SPK",VLOOKUP(I2762,QCSPK,3,),IF(AND(H2762="ATP",OR(I2762="TP",I2762="TDP")),VLOOKUP(E2762,QCATP_P,2,),""))))))))</f>
        <v/>
      </c>
      <c r="W2762" s="31" t="str">
        <f t="shared" si="316"/>
        <v>FALSE</v>
      </c>
      <c r="X2762" s="31" t="str">
        <f t="shared" si="313"/>
        <v>nominal concentration</v>
      </c>
      <c r="Y2762" s="10" t="s">
        <v>1188</v>
      </c>
      <c r="AF2762" s="12">
        <v>44966</v>
      </c>
      <c r="AG2762" s="10">
        <f>-11.204*1.09^2+113.68*1.09-55.283</f>
        <v>55.316727600000021</v>
      </c>
      <c r="AH2762" s="10">
        <f>-2.9408*1.09^2+89.45*1.09-43.664</f>
        <v>50.342535520000013</v>
      </c>
      <c r="AI2762" s="10">
        <f>-1.7314*1.09^2+83.401*1.09-37.87</f>
        <v>50.980013660000004</v>
      </c>
      <c r="AK2762" s="10">
        <f>0.1051*1.09^2+65.423*1.09-19.469</f>
        <v>51.966939309999994</v>
      </c>
      <c r="AL2762" s="10" t="str">
        <f t="shared" si="311"/>
        <v>y=-11.204*1.09^2+113.68*1.09-55.283</v>
      </c>
      <c r="AM2762" s="10" t="str">
        <f t="shared" si="311"/>
        <v>y=-2.9408*1.09^2+89.45*1.09-43.664</v>
      </c>
      <c r="AN2762" s="10" t="str">
        <f t="shared" si="311"/>
        <v>y=-1.7314*1.09^2+83.401*1.09-37.87</v>
      </c>
      <c r="AO2762" s="10" t="str">
        <f t="shared" si="312"/>
        <v>FALSE</v>
      </c>
      <c r="AP2762" s="10" t="str">
        <f t="shared" si="312"/>
        <v>y=0.1051*1.09^2+65.423*1.09-19.469</v>
      </c>
      <c r="AQ2762" s="10" t="str">
        <f>IF(AND(I2762="TP",S2762&lt;=150),VLOOKUP(AF2762,TPCalibEq150!$AZ$2:$BB$55,3,),IF(AND(I2762="TDP",S2762&lt;=150),VLOOKUP(AF2762,TPCalibEq150!$AZ$2:$BB$55,3,)))</f>
        <v>y=-11.204x2+113.68x-55.283</v>
      </c>
      <c r="AR2762" s="10" t="str">
        <f>IF(AND(I2762="TP",S2762&lt;=300),VLOOKUP(AF2762,TPCalibEq300!$AZ$2:$BB$55,3,),IF(AND(I2762="TDP",S2762&lt;=300),VLOOKUP(AF2762,TPCalibEq300!$AZ$2:$BB$55,3,)))</f>
        <v>y=-2.9408x2+89.45x-43.664</v>
      </c>
      <c r="AS2762" s="10" t="str">
        <f>IF(AND(I2762="TP",S2762&lt;=500),VLOOKUP(AF2762,TPCalibEq500!$AZ$2:$BB$56,3,),IF(AND(I2762="TDP",S2762&lt;=500),VLOOKUP(AF2762,TPCalibEq500!$AZ$2:$BB$56,3,)))</f>
        <v>y=-1.7314x2+83.401x-37.87</v>
      </c>
      <c r="AT2762" s="10" t="b">
        <f>IF(AND(I2762="TN",S2762&lt;=2800),VLOOKUP(AF2762,TNCalibEq2500!$AZ$2:$BB$56,3,),IF(AND(I2762="TDN",S2762&lt;=2800),VLOOKUP(AF2762,TNCalibEq2500!$AZ$2:$BB$56,3,)))</f>
        <v>0</v>
      </c>
      <c r="AU2762" s="10" t="str">
        <f>IF(I2762="TP",VLOOKUP(AF2762,TPCalibEqFull!$AZ$2:$BB$56,3),IF(I2762="TDP",VLOOKUP(AF2762,TPCalibEqFull!$AZ$2:$BB$56,3),IF(I2762="TDN",VLOOKUP(AF2762,TNCalibEqFull!$AZ$1:$BB$56,3),IF(I2762="TN",VLOOKUP(AF2762,TNCalibEqFull!$AZ$1:$BB$56,3),FALSE))))</f>
        <v>y=0.1051x2+65.423x-19.469</v>
      </c>
      <c r="AV2762" s="10" t="str">
        <f t="shared" si="317"/>
        <v>0208 06:00:00-QAC-BLK-800-1-DI-FLD</v>
      </c>
    </row>
    <row r="2763" spans="1:48" s="10" customFormat="1" x14ac:dyDescent="0.55000000000000004">
      <c r="A2763" s="32">
        <v>44964</v>
      </c>
      <c r="B2763" s="33">
        <v>0.30208333333333331</v>
      </c>
      <c r="C2763" s="10" t="s">
        <v>70</v>
      </c>
      <c r="D2763" s="10" t="s">
        <v>241</v>
      </c>
      <c r="E2763" s="10" t="s">
        <v>866</v>
      </c>
      <c r="F2763" s="10">
        <v>1</v>
      </c>
      <c r="G2763" s="10" t="s">
        <v>73</v>
      </c>
      <c r="H2763" s="10" t="s">
        <v>245</v>
      </c>
      <c r="I2763" s="10" t="s">
        <v>83</v>
      </c>
      <c r="J2763" s="10">
        <v>135</v>
      </c>
      <c r="K2763" s="12">
        <v>44966</v>
      </c>
      <c r="L2763" s="33">
        <v>0.57141203703703702</v>
      </c>
      <c r="M2763" s="10">
        <v>1</v>
      </c>
      <c r="N2763" s="10" t="s">
        <v>84</v>
      </c>
      <c r="O2763" s="10">
        <v>1.1499999999999999</v>
      </c>
      <c r="P2763" s="10">
        <v>7.9100000000000004E-2</v>
      </c>
      <c r="Q2763" s="10">
        <v>56.9</v>
      </c>
      <c r="R2763" s="10" t="s">
        <v>85</v>
      </c>
      <c r="S2763" s="34">
        <f t="shared" si="314"/>
        <v>60.631709999999998</v>
      </c>
      <c r="T2763" s="10" t="s">
        <v>1201</v>
      </c>
      <c r="U2763" s="34">
        <f t="shared" si="315"/>
        <v>60.631709999999998</v>
      </c>
      <c r="V2763" s="31" t="str">
        <f>IF(H2763="CHK",VLOOKUP(I2763,QCCHK,3,),IF(H2763="GUP",VLOOKUP(E2763,QCGUP,2,),IF(AND(H2763="ATP",OR(I2763="TN",I2763="TDN",I2763="TNO2-3",I2763="NO2-3")),VLOOKUP(E2763,QCREC_N,2,),IF(AND(H2763="NIC",OR(I2763="TN",I2763="TDN",I2763="TNO2-3",I2763="NO2-3")),VLOOKUP(E2763,QCNIC_N,2,),IF(AND(H2763="UREA",OR(I2763="TN",I2763="TDN",I2763="TNO2-3",I2763="NO2-3")),VLOOKUP(E2763,QCUREA_N,2,),IF(H2763="PER",VLOOKUP(I2763,QCPER,MATCH(E2763,QCACTUAL!$J$25:$AA$25,0),),IF(H2763="SPK",VLOOKUP(I2763,QCSPK,3,),IF(AND(H2763="ATP",OR(I2763="TP",I2763="TDP")),VLOOKUP(E2763,QCATP_P,2,),""))))))))</f>
        <v/>
      </c>
      <c r="W2763" s="31" t="str">
        <f t="shared" si="316"/>
        <v>FALSE</v>
      </c>
      <c r="X2763" s="31" t="str">
        <f t="shared" si="313"/>
        <v>nominal concentration</v>
      </c>
      <c r="Y2763" s="10" t="s">
        <v>1188</v>
      </c>
      <c r="Z2763" s="10" t="s">
        <v>910</v>
      </c>
      <c r="AF2763" s="12">
        <v>44966</v>
      </c>
      <c r="AG2763" s="10">
        <f>-11.204*1.15^2+113.68*1.15-55.283</f>
        <v>60.631709999999998</v>
      </c>
      <c r="AH2763" s="10">
        <f>-2.9408*1.15^2+89.45*1.15-43.664</f>
        <v>55.314291999999995</v>
      </c>
      <c r="AI2763" s="10">
        <f>-1.7314*1.15^2+83.401*1.15-37.87</f>
        <v>55.751373499999993</v>
      </c>
      <c r="AK2763" s="10">
        <f>0.1051*1.15^2+65.423*1.15-19.469</f>
        <v>55.906444749999984</v>
      </c>
      <c r="AL2763" s="10" t="str">
        <f t="shared" si="311"/>
        <v>y=-11.204*1.15^2+113.68*1.15-55.283</v>
      </c>
      <c r="AM2763" s="10" t="str">
        <f t="shared" si="311"/>
        <v>y=-2.9408*1.15^2+89.45*1.15-43.664</v>
      </c>
      <c r="AN2763" s="10" t="str">
        <f t="shared" si="311"/>
        <v>y=-1.7314*1.15^2+83.401*1.15-37.87</v>
      </c>
      <c r="AO2763" s="10" t="str">
        <f t="shared" si="312"/>
        <v>FALSE</v>
      </c>
      <c r="AP2763" s="10" t="str">
        <f t="shared" si="312"/>
        <v>y=0.1051*1.15^2+65.423*1.15-19.469</v>
      </c>
      <c r="AQ2763" s="10" t="str">
        <f>IF(AND(I2763="TP",S2763&lt;=150),VLOOKUP(AF2763,TPCalibEq150!$AZ$2:$BB$55,3,),IF(AND(I2763="TDP",S2763&lt;=150),VLOOKUP(AF2763,TPCalibEq150!$AZ$2:$BB$55,3,)))</f>
        <v>y=-11.204x2+113.68x-55.283</v>
      </c>
      <c r="AR2763" s="10" t="str">
        <f>IF(AND(I2763="TP",S2763&lt;=300),VLOOKUP(AF2763,TPCalibEq300!$AZ$2:$BB$55,3,),IF(AND(I2763="TDP",S2763&lt;=300),VLOOKUP(AF2763,TPCalibEq300!$AZ$2:$BB$55,3,)))</f>
        <v>y=-2.9408x2+89.45x-43.664</v>
      </c>
      <c r="AS2763" s="10" t="str">
        <f>IF(AND(I2763="TP",S2763&lt;=500),VLOOKUP(AF2763,TPCalibEq500!$AZ$2:$BB$56,3,),IF(AND(I2763="TDP",S2763&lt;=500),VLOOKUP(AF2763,TPCalibEq500!$AZ$2:$BB$56,3,)))</f>
        <v>y=-1.7314x2+83.401x-37.87</v>
      </c>
      <c r="AT2763" s="10" t="b">
        <f>IF(AND(I2763="TN",S2763&lt;=2800),VLOOKUP(AF2763,TNCalibEq2500!$AZ$2:$BB$56,3,),IF(AND(I2763="TDN",S2763&lt;=2800),VLOOKUP(AF2763,TNCalibEq2500!$AZ$2:$BB$56,3,)))</f>
        <v>0</v>
      </c>
      <c r="AU2763" s="10" t="str">
        <f>IF(I2763="TP",VLOOKUP(AF2763,TPCalibEqFull!$AZ$2:$BB$56,3),IF(I2763="TDP",VLOOKUP(AF2763,TPCalibEqFull!$AZ$2:$BB$56,3),IF(I2763="TDN",VLOOKUP(AF2763,TNCalibEqFull!$AZ$1:$BB$56,3),IF(I2763="TN",VLOOKUP(AF2763,TNCalibEqFull!$AZ$1:$BB$56,3),FALSE))))</f>
        <v>y=0.1051x2+65.423x-19.469</v>
      </c>
      <c r="AV2763" s="10" t="str">
        <f t="shared" si="317"/>
        <v>0207 07:15:00-QAC-BLK-A-1-DI-ESF</v>
      </c>
    </row>
    <row r="2764" spans="1:48" s="10" customFormat="1" x14ac:dyDescent="0.55000000000000004">
      <c r="A2764" s="32">
        <v>44963</v>
      </c>
      <c r="B2764" s="33">
        <v>0</v>
      </c>
      <c r="C2764" s="10" t="s">
        <v>70</v>
      </c>
      <c r="D2764" s="10" t="s">
        <v>241</v>
      </c>
      <c r="E2764" s="10" t="s">
        <v>911</v>
      </c>
      <c r="F2764" s="10">
        <v>1</v>
      </c>
      <c r="G2764" s="10" t="s">
        <v>73</v>
      </c>
      <c r="H2764" s="10" t="s">
        <v>264</v>
      </c>
      <c r="I2764" s="10" t="s">
        <v>266</v>
      </c>
      <c r="J2764" s="10">
        <v>136</v>
      </c>
      <c r="K2764" s="12">
        <v>44966</v>
      </c>
      <c r="L2764" s="33">
        <v>0.5721180555555555</v>
      </c>
      <c r="M2764" s="10">
        <v>1</v>
      </c>
      <c r="N2764" s="10" t="s">
        <v>84</v>
      </c>
      <c r="O2764" s="10">
        <v>0.52600000000000002</v>
      </c>
      <c r="P2764" s="10">
        <v>3.3799999999999997E-2</v>
      </c>
      <c r="Q2764" s="10">
        <v>15.9</v>
      </c>
      <c r="R2764" s="10" t="s">
        <v>85</v>
      </c>
      <c r="S2764" s="34">
        <f t="shared" si="314"/>
        <v>15.9</v>
      </c>
      <c r="T2764" s="10" t="s">
        <v>1201</v>
      </c>
      <c r="U2764" s="34">
        <f t="shared" si="315"/>
        <v>15.9</v>
      </c>
      <c r="V2764" s="31" t="str">
        <f>IF(H2764="CHK",VLOOKUP(I2764,QCCHK,3,),IF(H2764="GUP",VLOOKUP(E2764,QCGUP,2,),IF(AND(H2764="ATP",OR(I2764="TN",I2764="TDN",I2764="TNO2-3",I2764="NO2-3")),VLOOKUP(E2764,QCREC_N,2,),IF(AND(H2764="NIC",OR(I2764="TN",I2764="TDN",I2764="TNO2-3",I2764="NO2-3")),VLOOKUP(E2764,QCNIC_N,2,),IF(AND(H2764="UREA",OR(I2764="TN",I2764="TDN",I2764="TNO2-3",I2764="NO2-3")),VLOOKUP(E2764,QCUREA_N,2,),IF(H2764="PER",VLOOKUP(I2764,QCPER,MATCH(E2764,QCACTUAL!$J$25:$AA$25,0),),IF(H2764="SPK",VLOOKUP(I2764,QCSPK,3,),IF(AND(H2764="ATP",OR(I2764="TP",I2764="TDP")),VLOOKUP(E2764,QCATP_P,2,),""))))))))</f>
        <v/>
      </c>
      <c r="W2764" s="31" t="str">
        <f t="shared" si="316"/>
        <v>FALSE</v>
      </c>
      <c r="X2764" s="31" t="str">
        <f t="shared" si="313"/>
        <v>nominal concentration</v>
      </c>
      <c r="Y2764" s="10" t="s">
        <v>1188</v>
      </c>
      <c r="Z2764" s="10" t="s">
        <v>910</v>
      </c>
      <c r="AF2764" s="12">
        <v>44966</v>
      </c>
      <c r="AG2764" s="10">
        <f>-11.204*0.526^2+113.68*0.526-55.283</f>
        <v>1.4128020960000001</v>
      </c>
      <c r="AH2764" s="10">
        <f>-2.9408*0.526^2+89.45*0.526-43.664</f>
        <v>2.5730512192000035</v>
      </c>
      <c r="AI2764" s="10">
        <f>-1.7314*0.526^2+83.401*0.526-37.87</f>
        <v>5.5198891736000064</v>
      </c>
      <c r="AK2764" s="10">
        <f>0.1051*0.526^2+65.423*0.526-19.469</f>
        <v>14.9725766476</v>
      </c>
      <c r="AL2764" s="10" t="str">
        <f t="shared" si="311"/>
        <v>y=-11.204*0.526^2+113.68*0.526-55.283</v>
      </c>
      <c r="AM2764" s="10" t="str">
        <f t="shared" si="311"/>
        <v>y=-2.9408*0.526^2+89.45*0.526-43.664</v>
      </c>
      <c r="AN2764" s="10" t="str">
        <f t="shared" si="311"/>
        <v>y=-1.7314*0.526^2+83.401*0.526-37.87</v>
      </c>
      <c r="AO2764" s="10" t="str">
        <f t="shared" si="312"/>
        <v>FALSE</v>
      </c>
      <c r="AP2764" s="10" t="str">
        <f t="shared" si="312"/>
        <v>y=0.1051*0.526^2+65.423*0.526-19.469</v>
      </c>
      <c r="AQ2764" s="10" t="str">
        <f>IF(AND(I2764="TP",S2764&lt;=150),VLOOKUP(AF2764,TPCalibEq150!$AZ$2:$BB$55,3,),IF(AND(I2764="TDP",S2764&lt;=150),VLOOKUP(AF2764,TPCalibEq150!$AZ$2:$BB$55,3,)))</f>
        <v>y=-11.204x2+113.68x-55.283</v>
      </c>
      <c r="AR2764" s="10" t="str">
        <f>IF(AND(I2764="TP",S2764&lt;=300),VLOOKUP(AF2764,TPCalibEq300!$AZ$2:$BB$55,3,),IF(AND(I2764="TDP",S2764&lt;=300),VLOOKUP(AF2764,TPCalibEq300!$AZ$2:$BB$55,3,)))</f>
        <v>y=-2.9408x2+89.45x-43.664</v>
      </c>
      <c r="AS2764" s="10" t="str">
        <f>IF(AND(I2764="TP",S2764&lt;=500),VLOOKUP(AF2764,TPCalibEq500!$AZ$2:$BB$56,3,),IF(AND(I2764="TDP",S2764&lt;=500),VLOOKUP(AF2764,TPCalibEq500!$AZ$2:$BB$56,3,)))</f>
        <v>y=-1.7314x2+83.401x-37.87</v>
      </c>
      <c r="AT2764" s="10" t="b">
        <f>IF(AND(I2764="TN",S2764&lt;=2800),VLOOKUP(AF2764,TNCalibEq2500!$AZ$2:$BB$56,3,),IF(AND(I2764="TDN",S2764&lt;=2800),VLOOKUP(AF2764,TNCalibEq2500!$AZ$2:$BB$56,3,)))</f>
        <v>0</v>
      </c>
      <c r="AU2764" s="10" t="str">
        <f>IF(I2764="TP",VLOOKUP(AF2764,TPCalibEqFull!$AZ$2:$BB$56,3),IF(I2764="TDP",VLOOKUP(AF2764,TPCalibEqFull!$AZ$2:$BB$56,3),IF(I2764="TDN",VLOOKUP(AF2764,TNCalibEqFull!$AZ$1:$BB$56,3),IF(I2764="TN",VLOOKUP(AF2764,TNCalibEqFull!$AZ$1:$BB$56,3),FALSE))))</f>
        <v>y=0.1051x2+65.423x-19.469</v>
      </c>
      <c r="AV2764" s="10" t="str">
        <f t="shared" si="317"/>
        <v>0206 00:00:00-QAC-BLK-FIL-1-DI-FLD</v>
      </c>
    </row>
    <row r="2765" spans="1:48" s="10" customFormat="1" x14ac:dyDescent="0.55000000000000004">
      <c r="A2765" s="32">
        <v>44965</v>
      </c>
      <c r="B2765" s="33">
        <v>0.25</v>
      </c>
      <c r="C2765" s="10" t="s">
        <v>70</v>
      </c>
      <c r="D2765" s="10" t="s">
        <v>241</v>
      </c>
      <c r="E2765" s="10" t="s">
        <v>911</v>
      </c>
      <c r="F2765" s="10">
        <v>1</v>
      </c>
      <c r="G2765" s="10" t="s">
        <v>73</v>
      </c>
      <c r="H2765" s="10" t="s">
        <v>264</v>
      </c>
      <c r="I2765" s="10" t="s">
        <v>266</v>
      </c>
      <c r="J2765" s="10">
        <v>137</v>
      </c>
      <c r="K2765" s="12">
        <v>44966</v>
      </c>
      <c r="L2765" s="33">
        <v>0.57283564814814814</v>
      </c>
      <c r="M2765" s="10">
        <v>1</v>
      </c>
      <c r="N2765" s="10" t="s">
        <v>84</v>
      </c>
      <c r="O2765" s="10">
        <v>0.99099999999999999</v>
      </c>
      <c r="P2765" s="10">
        <v>6.6900000000000001E-2</v>
      </c>
      <c r="Q2765" s="10">
        <v>46.4</v>
      </c>
      <c r="R2765" s="10" t="s">
        <v>85</v>
      </c>
      <c r="S2765" s="34">
        <f t="shared" si="314"/>
        <v>46.4</v>
      </c>
      <c r="T2765" s="10" t="s">
        <v>1201</v>
      </c>
      <c r="U2765" s="34">
        <f t="shared" si="315"/>
        <v>46.4</v>
      </c>
      <c r="V2765" s="31" t="str">
        <f>IF(H2765="CHK",VLOOKUP(I2765,QCCHK,3,),IF(H2765="GUP",VLOOKUP(E2765,QCGUP,2,),IF(AND(H2765="ATP",OR(I2765="TN",I2765="TDN",I2765="TNO2-3",I2765="NO2-3")),VLOOKUP(E2765,QCREC_N,2,),IF(AND(H2765="NIC",OR(I2765="TN",I2765="TDN",I2765="TNO2-3",I2765="NO2-3")),VLOOKUP(E2765,QCNIC_N,2,),IF(AND(H2765="UREA",OR(I2765="TN",I2765="TDN",I2765="TNO2-3",I2765="NO2-3")),VLOOKUP(E2765,QCUREA_N,2,),IF(H2765="PER",VLOOKUP(I2765,QCPER,MATCH(E2765,QCACTUAL!$J$25:$AA$25,0),),IF(H2765="SPK",VLOOKUP(I2765,QCSPK,3,),IF(AND(H2765="ATP",OR(I2765="TP",I2765="TDP")),VLOOKUP(E2765,QCATP_P,2,),""))))))))</f>
        <v/>
      </c>
      <c r="W2765" s="31" t="str">
        <f t="shared" si="316"/>
        <v>FALSE</v>
      </c>
      <c r="X2765" s="31" t="str">
        <f t="shared" si="313"/>
        <v>nominal concentration</v>
      </c>
      <c r="Y2765" s="10" t="s">
        <v>1188</v>
      </c>
      <c r="AF2765" s="12">
        <v>44966</v>
      </c>
      <c r="AG2765" s="10">
        <f>-11.204*0.991^2+113.68*0.991-55.283</f>
        <v>46.370644475999995</v>
      </c>
      <c r="AH2765" s="10">
        <f>-2.9408*0.991^2+89.45*0.991-43.664</f>
        <v>42.092846195200011</v>
      </c>
      <c r="AI2765" s="10">
        <f>-1.7314*0.991^2+83.401*0.991-37.87</f>
        <v>43.0800159566</v>
      </c>
      <c r="AK2765" s="10">
        <f>0.1051*0.991^2+65.423*0.991-19.469</f>
        <v>45.468409713099994</v>
      </c>
      <c r="AL2765" s="10" t="str">
        <f t="shared" si="311"/>
        <v>y=-11.204*0.991^2+113.68*0.991-55.283</v>
      </c>
      <c r="AM2765" s="10" t="str">
        <f t="shared" si="311"/>
        <v>y=-2.9408*0.991^2+89.45*0.991-43.664</v>
      </c>
      <c r="AN2765" s="10" t="str">
        <f t="shared" si="311"/>
        <v>y=-1.7314*0.991^2+83.401*0.991-37.87</v>
      </c>
      <c r="AO2765" s="10" t="str">
        <f t="shared" si="312"/>
        <v>FALSE</v>
      </c>
      <c r="AP2765" s="10" t="str">
        <f t="shared" si="312"/>
        <v>y=0.1051*0.991^2+65.423*0.991-19.469</v>
      </c>
      <c r="AQ2765" s="10" t="str">
        <f>IF(AND(I2765="TP",S2765&lt;=150),VLOOKUP(AF2765,TPCalibEq150!$AZ$2:$BB$55,3,),IF(AND(I2765="TDP",S2765&lt;=150),VLOOKUP(AF2765,TPCalibEq150!$AZ$2:$BB$55,3,)))</f>
        <v>y=-11.204x2+113.68x-55.283</v>
      </c>
      <c r="AR2765" s="10" t="str">
        <f>IF(AND(I2765="TP",S2765&lt;=300),VLOOKUP(AF2765,TPCalibEq300!$AZ$2:$BB$55,3,),IF(AND(I2765="TDP",S2765&lt;=300),VLOOKUP(AF2765,TPCalibEq300!$AZ$2:$BB$55,3,)))</f>
        <v>y=-2.9408x2+89.45x-43.664</v>
      </c>
      <c r="AS2765" s="10" t="str">
        <f>IF(AND(I2765="TP",S2765&lt;=500),VLOOKUP(AF2765,TPCalibEq500!$AZ$2:$BB$56,3,),IF(AND(I2765="TDP",S2765&lt;=500),VLOOKUP(AF2765,TPCalibEq500!$AZ$2:$BB$56,3,)))</f>
        <v>y=-1.7314x2+83.401x-37.87</v>
      </c>
      <c r="AT2765" s="10" t="b">
        <f>IF(AND(I2765="TN",S2765&lt;=2800),VLOOKUP(AF2765,TNCalibEq2500!$AZ$2:$BB$56,3,),IF(AND(I2765="TDN",S2765&lt;=2800),VLOOKUP(AF2765,TNCalibEq2500!$AZ$2:$BB$56,3,)))</f>
        <v>0</v>
      </c>
      <c r="AU2765" s="10" t="str">
        <f>IF(I2765="TP",VLOOKUP(AF2765,TPCalibEqFull!$AZ$2:$BB$56,3),IF(I2765="TDP",VLOOKUP(AF2765,TPCalibEqFull!$AZ$2:$BB$56,3),IF(I2765="TDN",VLOOKUP(AF2765,TNCalibEqFull!$AZ$1:$BB$56,3),IF(I2765="TN",VLOOKUP(AF2765,TNCalibEqFull!$AZ$1:$BB$56,3),FALSE))))</f>
        <v>y=0.1051x2+65.423x-19.469</v>
      </c>
      <c r="AV2765" s="10" t="str">
        <f t="shared" si="317"/>
        <v>0208 06:00:00-QAC-BLK-FIL-1-DI-FLD</v>
      </c>
    </row>
    <row r="2766" spans="1:48" s="10" customFormat="1" x14ac:dyDescent="0.55000000000000004">
      <c r="A2766" s="32">
        <v>44964</v>
      </c>
      <c r="B2766" s="33">
        <v>0.30208333333333331</v>
      </c>
      <c r="C2766" s="10" t="s">
        <v>70</v>
      </c>
      <c r="D2766" s="10" t="s">
        <v>241</v>
      </c>
      <c r="E2766" s="10" t="s">
        <v>911</v>
      </c>
      <c r="F2766" s="10">
        <v>1</v>
      </c>
      <c r="G2766" s="10" t="s">
        <v>73</v>
      </c>
      <c r="H2766" s="10" t="s">
        <v>245</v>
      </c>
      <c r="I2766" s="10" t="s">
        <v>266</v>
      </c>
      <c r="J2766" s="10">
        <v>138</v>
      </c>
      <c r="K2766" s="12">
        <v>44966</v>
      </c>
      <c r="L2766" s="33">
        <v>0.57354166666666673</v>
      </c>
      <c r="M2766" s="10">
        <v>1</v>
      </c>
      <c r="N2766" s="10" t="s">
        <v>84</v>
      </c>
      <c r="O2766" s="10">
        <v>1.34</v>
      </c>
      <c r="P2766" s="10">
        <v>9.2600000000000002E-2</v>
      </c>
      <c r="Q2766" s="10">
        <v>69.400000000000006</v>
      </c>
      <c r="R2766" s="10" t="s">
        <v>85</v>
      </c>
      <c r="S2766" s="34">
        <f t="shared" si="314"/>
        <v>76.930297600000031</v>
      </c>
      <c r="T2766" s="10" t="s">
        <v>1201</v>
      </c>
      <c r="U2766" s="34">
        <f t="shared" si="315"/>
        <v>76.930297600000031</v>
      </c>
      <c r="V2766" s="31" t="str">
        <f>IF(H2766="CHK",VLOOKUP(I2766,QCCHK,3,),IF(H2766="GUP",VLOOKUP(E2766,QCGUP,2,),IF(AND(H2766="ATP",OR(I2766="TN",I2766="TDN",I2766="TNO2-3",I2766="NO2-3")),VLOOKUP(E2766,QCREC_N,2,),IF(AND(H2766="NIC",OR(I2766="TN",I2766="TDN",I2766="TNO2-3",I2766="NO2-3")),VLOOKUP(E2766,QCNIC_N,2,),IF(AND(H2766="UREA",OR(I2766="TN",I2766="TDN",I2766="TNO2-3",I2766="NO2-3")),VLOOKUP(E2766,QCUREA_N,2,),IF(H2766="PER",VLOOKUP(I2766,QCPER,MATCH(E2766,QCACTUAL!$J$25:$AA$25,0),),IF(H2766="SPK",VLOOKUP(I2766,QCSPK,3,),IF(AND(H2766="ATP",OR(I2766="TP",I2766="TDP")),VLOOKUP(E2766,QCATP_P,2,),""))))))))</f>
        <v/>
      </c>
      <c r="W2766" s="31" t="str">
        <f t="shared" si="316"/>
        <v>FALSE</v>
      </c>
      <c r="X2766" s="31" t="str">
        <f t="shared" si="313"/>
        <v>nominal concentration</v>
      </c>
      <c r="Y2766" s="10" t="s">
        <v>1188</v>
      </c>
      <c r="Z2766" s="10" t="s">
        <v>910</v>
      </c>
      <c r="AF2766" s="12">
        <v>44966</v>
      </c>
      <c r="AG2766" s="10">
        <f>-11.204*1.34^2+113.68*1.34-55.283</f>
        <v>76.930297600000031</v>
      </c>
      <c r="AH2766" s="10">
        <f>-2.9408*1.34^2+89.45*1.34-43.664</f>
        <v>70.918499520000012</v>
      </c>
      <c r="AI2766" s="10">
        <f>-1.7314*1.34^2+83.401*1.34-37.87</f>
        <v>70.778438160000007</v>
      </c>
      <c r="AK2766" s="10">
        <f>0.1051*1.34^2+65.423*1.34-19.469</f>
        <v>68.386537559999994</v>
      </c>
      <c r="AL2766" s="10" t="str">
        <f t="shared" si="311"/>
        <v>y=-11.204*1.34^2+113.68*1.34-55.283</v>
      </c>
      <c r="AM2766" s="10" t="str">
        <f t="shared" si="311"/>
        <v>y=-2.9408*1.34^2+89.45*1.34-43.664</v>
      </c>
      <c r="AN2766" s="10" t="str">
        <f t="shared" si="311"/>
        <v>y=-1.7314*1.34^2+83.401*1.34-37.87</v>
      </c>
      <c r="AO2766" s="10" t="str">
        <f t="shared" si="312"/>
        <v>FALSE</v>
      </c>
      <c r="AP2766" s="10" t="str">
        <f t="shared" si="312"/>
        <v>y=0.1051*1.34^2+65.423*1.34-19.469</v>
      </c>
      <c r="AQ2766" s="10" t="str">
        <f>IF(AND(I2766="TP",S2766&lt;=150),VLOOKUP(AF2766,TPCalibEq150!$AZ$2:$BB$55,3,),IF(AND(I2766="TDP",S2766&lt;=150),VLOOKUP(AF2766,TPCalibEq150!$AZ$2:$BB$55,3,)))</f>
        <v>y=-11.204x2+113.68x-55.283</v>
      </c>
      <c r="AR2766" s="10" t="str">
        <f>IF(AND(I2766="TP",S2766&lt;=300),VLOOKUP(AF2766,TPCalibEq300!$AZ$2:$BB$55,3,),IF(AND(I2766="TDP",S2766&lt;=300),VLOOKUP(AF2766,TPCalibEq300!$AZ$2:$BB$55,3,)))</f>
        <v>y=-2.9408x2+89.45x-43.664</v>
      </c>
      <c r="AS2766" s="10" t="str">
        <f>IF(AND(I2766="TP",S2766&lt;=500),VLOOKUP(AF2766,TPCalibEq500!$AZ$2:$BB$56,3,),IF(AND(I2766="TDP",S2766&lt;=500),VLOOKUP(AF2766,TPCalibEq500!$AZ$2:$BB$56,3,)))</f>
        <v>y=-1.7314x2+83.401x-37.87</v>
      </c>
      <c r="AT2766" s="10" t="b">
        <f>IF(AND(I2766="TN",S2766&lt;=2800),VLOOKUP(AF2766,TNCalibEq2500!$AZ$2:$BB$56,3,),IF(AND(I2766="TDN",S2766&lt;=2800),VLOOKUP(AF2766,TNCalibEq2500!$AZ$2:$BB$56,3,)))</f>
        <v>0</v>
      </c>
      <c r="AU2766" s="10" t="str">
        <f>IF(I2766="TP",VLOOKUP(AF2766,TPCalibEqFull!$AZ$2:$BB$56,3),IF(I2766="TDP",VLOOKUP(AF2766,TPCalibEqFull!$AZ$2:$BB$56,3),IF(I2766="TDN",VLOOKUP(AF2766,TNCalibEqFull!$AZ$1:$BB$56,3),IF(I2766="TN",VLOOKUP(AF2766,TNCalibEqFull!$AZ$1:$BB$56,3),FALSE))))</f>
        <v>y=0.1051x2+65.423x-19.469</v>
      </c>
      <c r="AV2766" s="10" t="str">
        <f t="shared" si="317"/>
        <v>0207 07:15:00-QAC-BLK-FIL-1-DI-ESF</v>
      </c>
    </row>
    <row r="2767" spans="1:48" s="10" customFormat="1" x14ac:dyDescent="0.55000000000000004">
      <c r="A2767" s="32">
        <v>44958</v>
      </c>
      <c r="B2767" s="33">
        <v>0.50138888888888888</v>
      </c>
      <c r="C2767" s="10" t="s">
        <v>279</v>
      </c>
      <c r="D2767" s="10">
        <v>0</v>
      </c>
      <c r="E2767" s="10" t="s">
        <v>190</v>
      </c>
      <c r="F2767" s="10">
        <v>1</v>
      </c>
      <c r="G2767" s="10" t="s">
        <v>231</v>
      </c>
      <c r="H2767" s="10" t="s">
        <v>322</v>
      </c>
      <c r="I2767" s="10" t="s">
        <v>83</v>
      </c>
      <c r="J2767" s="10">
        <v>1</v>
      </c>
      <c r="K2767" s="12">
        <v>44966</v>
      </c>
      <c r="L2767" s="33">
        <v>0.57424768518518521</v>
      </c>
      <c r="M2767" s="10">
        <v>1</v>
      </c>
      <c r="N2767" s="10" t="s">
        <v>84</v>
      </c>
      <c r="O2767" s="10">
        <v>2.8</v>
      </c>
      <c r="P2767" s="10">
        <v>0.19800000000000001</v>
      </c>
      <c r="Q2767" s="10">
        <v>165</v>
      </c>
      <c r="R2767" s="10" t="s">
        <v>85</v>
      </c>
      <c r="S2767" s="34">
        <f t="shared" si="314"/>
        <v>183.74012799999997</v>
      </c>
      <c r="T2767" s="10" t="s">
        <v>1201</v>
      </c>
      <c r="U2767" s="34" t="str">
        <f t="shared" si="315"/>
        <v/>
      </c>
      <c r="V2767" s="31" t="str">
        <f>IF(H2767="CHK",VLOOKUP(I2767,QCCHK,3,),IF(H2767="GUP",VLOOKUP(E2767,QCGUP,2,),IF(AND(H2767="ATP",OR(I2767="TN",I2767="TDN",I2767="TNO2-3",I2767="NO2-3")),VLOOKUP(E2767,QCREC_N,2,),IF(AND(H2767="NIC",OR(I2767="TN",I2767="TDN",I2767="TNO2-3",I2767="NO2-3")),VLOOKUP(E2767,QCNIC_N,2,),IF(AND(H2767="UREA",OR(I2767="TN",I2767="TDN",I2767="TNO2-3",I2767="NO2-3")),VLOOKUP(E2767,QCUREA_N,2,),IF(H2767="PER",VLOOKUP(I2767,QCPER,MATCH(E2767,QCACTUAL!$J$25:$AA$25,0),),IF(H2767="SPK",VLOOKUP(I2767,QCSPK,3,),IF(AND(H2767="ATP",OR(I2767="TP",I2767="TDP")),VLOOKUP(E2767,QCATP_P,2,),""))))))))</f>
        <v/>
      </c>
      <c r="W2767" s="31" t="str">
        <f t="shared" si="316"/>
        <v>TRUE</v>
      </c>
      <c r="X2767" s="31" t="str">
        <f t="shared" si="313"/>
        <v/>
      </c>
      <c r="Y2767" s="10" t="s">
        <v>1188</v>
      </c>
      <c r="Z2767" s="10" t="s">
        <v>910</v>
      </c>
      <c r="AF2767" s="12">
        <v>44966</v>
      </c>
      <c r="AH2767" s="10">
        <f>-2.9408*2.8^2+89.45*2.8-43.664</f>
        <v>183.74012799999997</v>
      </c>
      <c r="AI2767" s="10">
        <f>-1.7314*2.8^2+83.401*2.8-37.87</f>
        <v>182.07862399999996</v>
      </c>
      <c r="AK2767" s="10">
        <f>0.1051*2.8^2+65.423*2.8-19.469</f>
        <v>164.53938399999998</v>
      </c>
      <c r="AL2767" s="10" t="str">
        <f t="shared" si="311"/>
        <v>FALSE</v>
      </c>
      <c r="AM2767" s="10" t="str">
        <f t="shared" si="311"/>
        <v>y=-2.9408*2.8^2+89.45*2.8-43.664</v>
      </c>
      <c r="AN2767" s="10" t="str">
        <f t="shared" si="311"/>
        <v>y=-1.7314*2.8^2+83.401*2.8-37.87</v>
      </c>
      <c r="AO2767" s="10" t="str">
        <f t="shared" si="312"/>
        <v>FALSE</v>
      </c>
      <c r="AP2767" s="10" t="str">
        <f t="shared" si="312"/>
        <v>y=0.1051*2.8^2+65.423*2.8-19.469</v>
      </c>
      <c r="AQ2767" s="10" t="b">
        <f>IF(AND(I2767="TP",S2767&lt;=150),VLOOKUP(AF2767,TPCalibEq150!$AZ$2:$BB$55,3,),IF(AND(I2767="TDP",S2767&lt;=150),VLOOKUP(AF2767,TPCalibEq150!$AZ$2:$BB$55,3,)))</f>
        <v>0</v>
      </c>
      <c r="AR2767" s="10" t="str">
        <f>IF(AND(I2767="TP",S2767&lt;=300),VLOOKUP(AF2767,TPCalibEq300!$AZ$2:$BB$55,3,),IF(AND(I2767="TDP",S2767&lt;=300),VLOOKUP(AF2767,TPCalibEq300!$AZ$2:$BB$55,3,)))</f>
        <v>y=-2.9408x2+89.45x-43.664</v>
      </c>
      <c r="AS2767" s="10" t="str">
        <f>IF(AND(I2767="TP",S2767&lt;=500),VLOOKUP(AF2767,TPCalibEq500!$AZ$2:$BB$56,3,),IF(AND(I2767="TDP",S2767&lt;=500),VLOOKUP(AF2767,TPCalibEq500!$AZ$2:$BB$56,3,)))</f>
        <v>y=-1.7314x2+83.401x-37.87</v>
      </c>
      <c r="AT2767" s="10" t="b">
        <f>IF(AND(I2767="TN",S2767&lt;=2800),VLOOKUP(AF2767,TNCalibEq2500!$AZ$2:$BB$56,3,),IF(AND(I2767="TDN",S2767&lt;=2800),VLOOKUP(AF2767,TNCalibEq2500!$AZ$2:$BB$56,3,)))</f>
        <v>0</v>
      </c>
      <c r="AU2767" s="10" t="str">
        <f>IF(I2767="TP",VLOOKUP(AF2767,TPCalibEqFull!$AZ$2:$BB$56,3),IF(I2767="TDP",VLOOKUP(AF2767,TPCalibEqFull!$AZ$2:$BB$56,3),IF(I2767="TDN",VLOOKUP(AF2767,TNCalibEqFull!$AZ$1:$BB$56,3),IF(I2767="TN",VLOOKUP(AF2767,TNCalibEqFull!$AZ$1:$BB$56,3),FALSE))))</f>
        <v>y=0.1051x2+65.423x-19.469</v>
      </c>
      <c r="AV2767" s="10" t="str">
        <f t="shared" si="317"/>
        <v>0201 12:02:00-EFK-0-C-1-SW-UKN</v>
      </c>
    </row>
    <row r="2768" spans="1:48" s="10" customFormat="1" x14ac:dyDescent="0.55000000000000004">
      <c r="A2768" s="32">
        <v>44958</v>
      </c>
      <c r="B2768" s="33">
        <v>0.50347222222222221</v>
      </c>
      <c r="C2768" s="10" t="s">
        <v>333</v>
      </c>
      <c r="D2768" s="10">
        <v>0</v>
      </c>
      <c r="E2768" s="10" t="s">
        <v>190</v>
      </c>
      <c r="F2768" s="10">
        <v>1</v>
      </c>
      <c r="G2768" s="10" t="s">
        <v>231</v>
      </c>
      <c r="H2768" s="10" t="s">
        <v>322</v>
      </c>
      <c r="I2768" s="10" t="s">
        <v>83</v>
      </c>
      <c r="J2768" s="10">
        <v>2</v>
      </c>
      <c r="K2768" s="12">
        <v>44966</v>
      </c>
      <c r="L2768" s="33">
        <v>0.57495370370370369</v>
      </c>
      <c r="M2768" s="10">
        <v>1</v>
      </c>
      <c r="N2768" s="10" t="s">
        <v>84</v>
      </c>
      <c r="O2768" s="10">
        <v>2.38</v>
      </c>
      <c r="P2768" s="10">
        <v>0.16800000000000001</v>
      </c>
      <c r="Q2768" s="10">
        <v>138</v>
      </c>
      <c r="R2768" s="10" t="s">
        <v>85</v>
      </c>
      <c r="S2768" s="34">
        <f t="shared" si="314"/>
        <v>152.56913248000001</v>
      </c>
      <c r="T2768" s="10" t="s">
        <v>1201</v>
      </c>
      <c r="U2768" s="34" t="str">
        <f t="shared" si="315"/>
        <v/>
      </c>
      <c r="V2768" s="31" t="str">
        <f>IF(H2768="CHK",VLOOKUP(I2768,QCCHK,3,),IF(H2768="GUP",VLOOKUP(E2768,QCGUP,2,),IF(AND(H2768="ATP",OR(I2768="TN",I2768="TDN",I2768="TNO2-3",I2768="NO2-3")),VLOOKUP(E2768,QCREC_N,2,),IF(AND(H2768="NIC",OR(I2768="TN",I2768="TDN",I2768="TNO2-3",I2768="NO2-3")),VLOOKUP(E2768,QCNIC_N,2,),IF(AND(H2768="UREA",OR(I2768="TN",I2768="TDN",I2768="TNO2-3",I2768="NO2-3")),VLOOKUP(E2768,QCUREA_N,2,),IF(H2768="PER",VLOOKUP(I2768,QCPER,MATCH(E2768,QCACTUAL!$J$25:$AA$25,0),),IF(H2768="SPK",VLOOKUP(I2768,QCSPK,3,),IF(AND(H2768="ATP",OR(I2768="TP",I2768="TDP")),VLOOKUP(E2768,QCATP_P,2,),""))))))))</f>
        <v/>
      </c>
      <c r="W2768" s="31" t="str">
        <f t="shared" si="316"/>
        <v>TRUE</v>
      </c>
      <c r="X2768" s="31" t="str">
        <f t="shared" si="313"/>
        <v/>
      </c>
      <c r="Y2768" s="10" t="s">
        <v>1188</v>
      </c>
      <c r="Z2768" s="10" t="s">
        <v>910</v>
      </c>
      <c r="AF2768" s="12">
        <v>44966</v>
      </c>
      <c r="AG2768" s="10">
        <f>-11.204*2.38^2+113.68*2.38-55.283</f>
        <v>151.81146239999998</v>
      </c>
      <c r="AH2768" s="10">
        <f>-2.9408*2.38^2+89.45*2.38-43.664</f>
        <v>152.56913248000001</v>
      </c>
      <c r="AI2768" s="10">
        <f>-1.7314*2.38^2+83.401*2.38-37.87</f>
        <v>150.81703783999998</v>
      </c>
      <c r="AK2768" s="10">
        <f>0.1051*2.38^2+65.423*2.38-19.469</f>
        <v>136.83306844000001</v>
      </c>
      <c r="AL2768" s="10" t="str">
        <f t="shared" si="311"/>
        <v>FALSE</v>
      </c>
      <c r="AM2768" s="10" t="str">
        <f t="shared" si="311"/>
        <v>y=-2.9408*2.38^2+89.45*2.38-43.664</v>
      </c>
      <c r="AN2768" s="10" t="str">
        <f t="shared" si="311"/>
        <v>y=-1.7314*2.38^2+83.401*2.38-37.87</v>
      </c>
      <c r="AO2768" s="10" t="str">
        <f t="shared" si="312"/>
        <v>FALSE</v>
      </c>
      <c r="AP2768" s="10" t="str">
        <f t="shared" si="312"/>
        <v>y=0.1051*2.38^2+65.423*2.38-19.469</v>
      </c>
      <c r="AQ2768" s="10" t="b">
        <f>IF(AND(I2768="TP",S2768&lt;=150),VLOOKUP(AF2768,TPCalibEq150!$AZ$2:$BB$55,3,),IF(AND(I2768="TDP",S2768&lt;=150),VLOOKUP(AF2768,TPCalibEq150!$AZ$2:$BB$55,3,)))</f>
        <v>0</v>
      </c>
      <c r="AR2768" s="10" t="str">
        <f>IF(AND(I2768="TP",S2768&lt;=300),VLOOKUP(AF2768,TPCalibEq300!$AZ$2:$BB$55,3,),IF(AND(I2768="TDP",S2768&lt;=300),VLOOKUP(AF2768,TPCalibEq300!$AZ$2:$BB$55,3,)))</f>
        <v>y=-2.9408x2+89.45x-43.664</v>
      </c>
      <c r="AS2768" s="10" t="str">
        <f>IF(AND(I2768="TP",S2768&lt;=500),VLOOKUP(AF2768,TPCalibEq500!$AZ$2:$BB$56,3,),IF(AND(I2768="TDP",S2768&lt;=500),VLOOKUP(AF2768,TPCalibEq500!$AZ$2:$BB$56,3,)))</f>
        <v>y=-1.7314x2+83.401x-37.87</v>
      </c>
      <c r="AT2768" s="10" t="b">
        <f>IF(AND(I2768="TN",S2768&lt;=2800),VLOOKUP(AF2768,TNCalibEq2500!$AZ$2:$BB$56,3,),IF(AND(I2768="TDN",S2768&lt;=2800),VLOOKUP(AF2768,TNCalibEq2500!$AZ$2:$BB$56,3,)))</f>
        <v>0</v>
      </c>
      <c r="AU2768" s="10" t="str">
        <f>IF(I2768="TP",VLOOKUP(AF2768,TPCalibEqFull!$AZ$2:$BB$56,3),IF(I2768="TDP",VLOOKUP(AF2768,TPCalibEqFull!$AZ$2:$BB$56,3),IF(I2768="TDN",VLOOKUP(AF2768,TNCalibEqFull!$AZ$1:$BB$56,3),IF(I2768="TN",VLOOKUP(AF2768,TNCalibEqFull!$AZ$1:$BB$56,3),FALSE))))</f>
        <v>y=0.1051x2+65.423x-19.469</v>
      </c>
      <c r="AV2768" s="10" t="str">
        <f t="shared" si="317"/>
        <v>0201 12:05:00-HST-0-C-1-SW-UKN</v>
      </c>
    </row>
    <row r="2769" spans="1:48" s="10" customFormat="1" x14ac:dyDescent="0.55000000000000004">
      <c r="A2769" s="32">
        <v>44959</v>
      </c>
      <c r="B2769" s="33">
        <v>0.58194444444444449</v>
      </c>
      <c r="C2769" s="10" t="s">
        <v>279</v>
      </c>
      <c r="D2769" s="10">
        <v>0</v>
      </c>
      <c r="E2769" s="10" t="s">
        <v>190</v>
      </c>
      <c r="F2769" s="10">
        <v>1</v>
      </c>
      <c r="G2769" s="10" t="s">
        <v>231</v>
      </c>
      <c r="H2769" s="10" t="s">
        <v>322</v>
      </c>
      <c r="I2769" s="10" t="s">
        <v>83</v>
      </c>
      <c r="J2769" s="10">
        <v>3</v>
      </c>
      <c r="K2769" s="12">
        <v>44966</v>
      </c>
      <c r="L2769" s="33">
        <v>0.57567129629629632</v>
      </c>
      <c r="M2769" s="10">
        <v>1</v>
      </c>
      <c r="N2769" s="10" t="s">
        <v>84</v>
      </c>
      <c r="O2769" s="10">
        <v>2.77</v>
      </c>
      <c r="P2769" s="10">
        <v>0.19600000000000001</v>
      </c>
      <c r="Q2769" s="10">
        <v>163</v>
      </c>
      <c r="R2769" s="10" t="s">
        <v>85</v>
      </c>
      <c r="S2769" s="34">
        <f t="shared" si="314"/>
        <v>181.54803568</v>
      </c>
      <c r="T2769" s="10" t="s">
        <v>1201</v>
      </c>
      <c r="U2769" s="34" t="str">
        <f t="shared" si="315"/>
        <v/>
      </c>
      <c r="V2769" s="31" t="str">
        <f>IF(H2769="CHK",VLOOKUP(I2769,QCCHK,3,),IF(H2769="GUP",VLOOKUP(E2769,QCGUP,2,),IF(AND(H2769="ATP",OR(I2769="TN",I2769="TDN",I2769="TNO2-3",I2769="NO2-3")),VLOOKUP(E2769,QCREC_N,2,),IF(AND(H2769="NIC",OR(I2769="TN",I2769="TDN",I2769="TNO2-3",I2769="NO2-3")),VLOOKUP(E2769,QCNIC_N,2,),IF(AND(H2769="UREA",OR(I2769="TN",I2769="TDN",I2769="TNO2-3",I2769="NO2-3")),VLOOKUP(E2769,QCUREA_N,2,),IF(H2769="PER",VLOOKUP(I2769,QCPER,MATCH(E2769,QCACTUAL!$J$25:$AA$25,0),),IF(H2769="SPK",VLOOKUP(I2769,QCSPK,3,),IF(AND(H2769="ATP",OR(I2769="TP",I2769="TDP")),VLOOKUP(E2769,QCATP_P,2,),""))))))))</f>
        <v/>
      </c>
      <c r="W2769" s="31" t="str">
        <f t="shared" si="316"/>
        <v>TRUE</v>
      </c>
      <c r="X2769" s="31" t="str">
        <f t="shared" si="313"/>
        <v/>
      </c>
      <c r="Y2769" s="10" t="s">
        <v>1188</v>
      </c>
      <c r="Z2769" s="10" t="s">
        <v>910</v>
      </c>
      <c r="AF2769" s="12">
        <v>44966</v>
      </c>
      <c r="AH2769" s="10">
        <f>-2.9408*2.77^2+89.45*2.77-43.664</f>
        <v>181.54803568</v>
      </c>
      <c r="AI2769" s="10">
        <f>-1.7314*2.77^2+83.401*2.77-37.87</f>
        <v>179.86591093999999</v>
      </c>
      <c r="AK2769" s="10">
        <f>0.1051*2.77^2+65.423*2.77-19.469</f>
        <v>162.55913179000001</v>
      </c>
      <c r="AL2769" s="10" t="str">
        <f t="shared" si="311"/>
        <v>FALSE</v>
      </c>
      <c r="AM2769" s="10" t="str">
        <f t="shared" si="311"/>
        <v>y=-2.9408*2.77^2+89.45*2.77-43.664</v>
      </c>
      <c r="AN2769" s="10" t="str">
        <f t="shared" si="311"/>
        <v>y=-1.7314*2.77^2+83.401*2.77-37.87</v>
      </c>
      <c r="AO2769" s="10" t="str">
        <f t="shared" si="312"/>
        <v>FALSE</v>
      </c>
      <c r="AP2769" s="10" t="str">
        <f t="shared" si="312"/>
        <v>y=0.1051*2.77^2+65.423*2.77-19.469</v>
      </c>
      <c r="AQ2769" s="10" t="b">
        <f>IF(AND(I2769="TP",S2769&lt;=150),VLOOKUP(AF2769,TPCalibEq150!$AZ$2:$BB$55,3,),IF(AND(I2769="TDP",S2769&lt;=150),VLOOKUP(AF2769,TPCalibEq150!$AZ$2:$BB$55,3,)))</f>
        <v>0</v>
      </c>
      <c r="AR2769" s="10" t="str">
        <f>IF(AND(I2769="TP",S2769&lt;=300),VLOOKUP(AF2769,TPCalibEq300!$AZ$2:$BB$55,3,),IF(AND(I2769="TDP",S2769&lt;=300),VLOOKUP(AF2769,TPCalibEq300!$AZ$2:$BB$55,3,)))</f>
        <v>y=-2.9408x2+89.45x-43.664</v>
      </c>
      <c r="AS2769" s="10" t="str">
        <f>IF(AND(I2769="TP",S2769&lt;=500),VLOOKUP(AF2769,TPCalibEq500!$AZ$2:$BB$56,3,),IF(AND(I2769="TDP",S2769&lt;=500),VLOOKUP(AF2769,TPCalibEq500!$AZ$2:$BB$56,3,)))</f>
        <v>y=-1.7314x2+83.401x-37.87</v>
      </c>
      <c r="AT2769" s="10" t="b">
        <f>IF(AND(I2769="TN",S2769&lt;=2800),VLOOKUP(AF2769,TNCalibEq2500!$AZ$2:$BB$56,3,),IF(AND(I2769="TDN",S2769&lt;=2800),VLOOKUP(AF2769,TNCalibEq2500!$AZ$2:$BB$56,3,)))</f>
        <v>0</v>
      </c>
      <c r="AU2769" s="10" t="str">
        <f>IF(I2769="TP",VLOOKUP(AF2769,TPCalibEqFull!$AZ$2:$BB$56,3),IF(I2769="TDP",VLOOKUP(AF2769,TPCalibEqFull!$AZ$2:$BB$56,3),IF(I2769="TDN",VLOOKUP(AF2769,TNCalibEqFull!$AZ$1:$BB$56,3),IF(I2769="TN",VLOOKUP(AF2769,TNCalibEqFull!$AZ$1:$BB$56,3),FALSE))))</f>
        <v>y=0.1051x2+65.423x-19.469</v>
      </c>
      <c r="AV2769" s="10" t="str">
        <f t="shared" si="317"/>
        <v>0202 13:58:00-EFK-0-C-1-SW-UKN</v>
      </c>
    </row>
    <row r="2770" spans="1:48" s="10" customFormat="1" x14ac:dyDescent="0.55000000000000004">
      <c r="A2770" s="32">
        <v>44959</v>
      </c>
      <c r="B2770" s="33">
        <v>0.56944444444444442</v>
      </c>
      <c r="C2770" s="10" t="s">
        <v>333</v>
      </c>
      <c r="D2770" s="10">
        <v>0</v>
      </c>
      <c r="E2770" s="10" t="s">
        <v>190</v>
      </c>
      <c r="F2770" s="10">
        <v>1</v>
      </c>
      <c r="G2770" s="10" t="s">
        <v>231</v>
      </c>
      <c r="H2770" s="10" t="s">
        <v>322</v>
      </c>
      <c r="I2770" s="10" t="s">
        <v>83</v>
      </c>
      <c r="J2770" s="10">
        <v>4</v>
      </c>
      <c r="K2770" s="12">
        <v>44966</v>
      </c>
      <c r="L2770" s="33">
        <v>0.5763773148148148</v>
      </c>
      <c r="M2770" s="10">
        <v>1</v>
      </c>
      <c r="N2770" s="10" t="s">
        <v>84</v>
      </c>
      <c r="O2770" s="10">
        <v>3.66</v>
      </c>
      <c r="P2770" s="10">
        <v>0.26200000000000001</v>
      </c>
      <c r="Q2770" s="10">
        <v>222</v>
      </c>
      <c r="R2770" s="10" t="s">
        <v>85</v>
      </c>
      <c r="S2770" s="34">
        <f t="shared" si="314"/>
        <v>244.32921952000004</v>
      </c>
      <c r="T2770" s="10" t="s">
        <v>1201</v>
      </c>
      <c r="U2770" s="34" t="str">
        <f t="shared" si="315"/>
        <v/>
      </c>
      <c r="V2770" s="31" t="str">
        <f>IF(H2770="CHK",VLOOKUP(I2770,QCCHK,3,),IF(H2770="GUP",VLOOKUP(E2770,QCGUP,2,),IF(AND(H2770="ATP",OR(I2770="TN",I2770="TDN",I2770="TNO2-3",I2770="NO2-3")),VLOOKUP(E2770,QCREC_N,2,),IF(AND(H2770="NIC",OR(I2770="TN",I2770="TDN",I2770="TNO2-3",I2770="NO2-3")),VLOOKUP(E2770,QCNIC_N,2,),IF(AND(H2770="UREA",OR(I2770="TN",I2770="TDN",I2770="TNO2-3",I2770="NO2-3")),VLOOKUP(E2770,QCUREA_N,2,),IF(H2770="PER",VLOOKUP(I2770,QCPER,MATCH(E2770,QCACTUAL!$J$25:$AA$25,0),),IF(H2770="SPK",VLOOKUP(I2770,QCSPK,3,),IF(AND(H2770="ATP",OR(I2770="TP",I2770="TDP")),VLOOKUP(E2770,QCATP_P,2,),""))))))))</f>
        <v/>
      </c>
      <c r="W2770" s="31" t="str">
        <f t="shared" si="316"/>
        <v>TRUE</v>
      </c>
      <c r="X2770" s="31" t="str">
        <f t="shared" si="313"/>
        <v/>
      </c>
      <c r="Y2770" s="10" t="s">
        <v>1188</v>
      </c>
      <c r="Z2770" s="10" t="s">
        <v>910</v>
      </c>
      <c r="AF2770" s="12">
        <v>44966</v>
      </c>
      <c r="AH2770" s="10">
        <f>-2.9408*3.66^2+89.45*3.66-43.664</f>
        <v>244.32921952000004</v>
      </c>
      <c r="AI2770" s="10">
        <f>-1.7314*3.66^2+83.401*3.66-37.87</f>
        <v>244.18451815999998</v>
      </c>
      <c r="AK2770" s="10">
        <f>0.1051*3.66^2+65.423*3.66-19.469</f>
        <v>221.38705756000002</v>
      </c>
      <c r="AL2770" s="10" t="str">
        <f t="shared" si="311"/>
        <v>FALSE</v>
      </c>
      <c r="AM2770" s="10" t="str">
        <f t="shared" si="311"/>
        <v>y=-2.9408*3.66^2+89.45*3.66-43.664</v>
      </c>
      <c r="AN2770" s="10" t="str">
        <f t="shared" si="311"/>
        <v>y=-1.7314*3.66^2+83.401*3.66-37.87</v>
      </c>
      <c r="AO2770" s="10" t="str">
        <f t="shared" si="312"/>
        <v>FALSE</v>
      </c>
      <c r="AP2770" s="10" t="str">
        <f t="shared" si="312"/>
        <v>y=0.1051*3.66^2+65.423*3.66-19.469</v>
      </c>
      <c r="AQ2770" s="10" t="b">
        <f>IF(AND(I2770="TP",S2770&lt;=150),VLOOKUP(AF2770,TPCalibEq150!$AZ$2:$BB$55,3,),IF(AND(I2770="TDP",S2770&lt;=150),VLOOKUP(AF2770,TPCalibEq150!$AZ$2:$BB$55,3,)))</f>
        <v>0</v>
      </c>
      <c r="AR2770" s="10" t="str">
        <f>IF(AND(I2770="TP",S2770&lt;=300),VLOOKUP(AF2770,TPCalibEq300!$AZ$2:$BB$55,3,),IF(AND(I2770="TDP",S2770&lt;=300),VLOOKUP(AF2770,TPCalibEq300!$AZ$2:$BB$55,3,)))</f>
        <v>y=-2.9408x2+89.45x-43.664</v>
      </c>
      <c r="AS2770" s="10" t="str">
        <f>IF(AND(I2770="TP",S2770&lt;=500),VLOOKUP(AF2770,TPCalibEq500!$AZ$2:$BB$56,3,),IF(AND(I2770="TDP",S2770&lt;=500),VLOOKUP(AF2770,TPCalibEq500!$AZ$2:$BB$56,3,)))</f>
        <v>y=-1.7314x2+83.401x-37.87</v>
      </c>
      <c r="AT2770" s="10" t="b">
        <f>IF(AND(I2770="TN",S2770&lt;=2800),VLOOKUP(AF2770,TNCalibEq2500!$AZ$2:$BB$56,3,),IF(AND(I2770="TDN",S2770&lt;=2800),VLOOKUP(AF2770,TNCalibEq2500!$AZ$2:$BB$56,3,)))</f>
        <v>0</v>
      </c>
      <c r="AU2770" s="10" t="str">
        <f>IF(I2770="TP",VLOOKUP(AF2770,TPCalibEqFull!$AZ$2:$BB$56,3),IF(I2770="TDP",VLOOKUP(AF2770,TPCalibEqFull!$AZ$2:$BB$56,3),IF(I2770="TDN",VLOOKUP(AF2770,TNCalibEqFull!$AZ$1:$BB$56,3),IF(I2770="TN",VLOOKUP(AF2770,TNCalibEqFull!$AZ$1:$BB$56,3),FALSE))))</f>
        <v>y=0.1051x2+65.423x-19.469</v>
      </c>
      <c r="AV2770" s="10" t="str">
        <f t="shared" si="317"/>
        <v>0202 13:40:00-HST-0-C-1-SW-UKN</v>
      </c>
    </row>
    <row r="2771" spans="1:48" s="10" customFormat="1" x14ac:dyDescent="0.55000000000000004">
      <c r="A2771" s="32">
        <v>44960</v>
      </c>
      <c r="B2771" s="33">
        <v>0.45208333333333334</v>
      </c>
      <c r="C2771" s="10" t="s">
        <v>279</v>
      </c>
      <c r="D2771" s="10">
        <v>0</v>
      </c>
      <c r="E2771" s="10" t="s">
        <v>190</v>
      </c>
      <c r="F2771" s="10">
        <v>1</v>
      </c>
      <c r="G2771" s="10" t="s">
        <v>231</v>
      </c>
      <c r="H2771" s="10" t="s">
        <v>322</v>
      </c>
      <c r="I2771" s="10" t="s">
        <v>83</v>
      </c>
      <c r="J2771" s="10">
        <v>5</v>
      </c>
      <c r="K2771" s="12">
        <v>44966</v>
      </c>
      <c r="L2771" s="33">
        <v>0.57707175925925924</v>
      </c>
      <c r="M2771" s="10">
        <v>1</v>
      </c>
      <c r="N2771" s="10" t="s">
        <v>84</v>
      </c>
      <c r="O2771" s="10">
        <v>3.98</v>
      </c>
      <c r="P2771" s="10">
        <v>0.28599999999999998</v>
      </c>
      <c r="Q2771" s="10">
        <v>243</v>
      </c>
      <c r="R2771" s="10" t="s">
        <v>85</v>
      </c>
      <c r="S2771" s="34">
        <f t="shared" si="314"/>
        <v>266.63991143999999</v>
      </c>
      <c r="T2771" s="10" t="s">
        <v>1201</v>
      </c>
      <c r="U2771" s="34" t="str">
        <f t="shared" si="315"/>
        <v/>
      </c>
      <c r="V2771" s="31" t="str">
        <f>IF(H2771="CHK",VLOOKUP(I2771,QCCHK,3,),IF(H2771="GUP",VLOOKUP(E2771,QCGUP,2,),IF(AND(H2771="ATP",OR(I2771="TN",I2771="TDN",I2771="TNO2-3",I2771="NO2-3")),VLOOKUP(E2771,QCREC_N,2,),IF(AND(H2771="NIC",OR(I2771="TN",I2771="TDN",I2771="TNO2-3",I2771="NO2-3")),VLOOKUP(E2771,QCNIC_N,2,),IF(AND(H2771="UREA",OR(I2771="TN",I2771="TDN",I2771="TNO2-3",I2771="NO2-3")),VLOOKUP(E2771,QCUREA_N,2,),IF(H2771="PER",VLOOKUP(I2771,QCPER,MATCH(E2771,QCACTUAL!$J$25:$AA$25,0),),IF(H2771="SPK",VLOOKUP(I2771,QCSPK,3,),IF(AND(H2771="ATP",OR(I2771="TP",I2771="TDP")),VLOOKUP(E2771,QCATP_P,2,),""))))))))</f>
        <v/>
      </c>
      <c r="W2771" s="31" t="str">
        <f t="shared" si="316"/>
        <v>TRUE</v>
      </c>
      <c r="X2771" s="31" t="str">
        <f t="shared" si="313"/>
        <v/>
      </c>
      <c r="Y2771" s="10" t="s">
        <v>1188</v>
      </c>
      <c r="Z2771" s="10" t="s">
        <v>910</v>
      </c>
      <c r="AF2771" s="12">
        <v>44966</v>
      </c>
      <c r="AH2771" s="10">
        <f>-2.9408*3.98^2+89.45*3.98-43.664</f>
        <v>265.76355168000003</v>
      </c>
      <c r="AI2771" s="10">
        <f>-1.7314*3.98^2+83.401*3.98-37.87</f>
        <v>266.63991143999999</v>
      </c>
      <c r="AK2771" s="10">
        <f>0.1051*3.98^2+65.423*3.98-19.469</f>
        <v>242.57936603999997</v>
      </c>
      <c r="AL2771" s="10" t="str">
        <f t="shared" si="311"/>
        <v>FALSE</v>
      </c>
      <c r="AM2771" s="10" t="str">
        <f t="shared" si="311"/>
        <v>y=-2.9408*3.98^2+89.45*3.98-43.664</v>
      </c>
      <c r="AN2771" s="10" t="str">
        <f t="shared" si="311"/>
        <v>y=-1.7314*3.98^2+83.401*3.98-37.87</v>
      </c>
      <c r="AO2771" s="10" t="str">
        <f t="shared" si="312"/>
        <v>FALSE</v>
      </c>
      <c r="AP2771" s="10" t="str">
        <f t="shared" si="312"/>
        <v>y=0.1051*3.98^2+65.423*3.98-19.469</v>
      </c>
      <c r="AQ2771" s="10" t="b">
        <f>IF(AND(I2771="TP",S2771&lt;=150),VLOOKUP(AF2771,TPCalibEq150!$AZ$2:$BB$55,3,),IF(AND(I2771="TDP",S2771&lt;=150),VLOOKUP(AF2771,TPCalibEq150!$AZ$2:$BB$55,3,)))</f>
        <v>0</v>
      </c>
      <c r="AR2771" s="10" t="str">
        <f>IF(AND(I2771="TP",S2771&lt;=300),VLOOKUP(AF2771,TPCalibEq300!$AZ$2:$BB$55,3,),IF(AND(I2771="TDP",S2771&lt;=300),VLOOKUP(AF2771,TPCalibEq300!$AZ$2:$BB$55,3,)))</f>
        <v>y=-2.9408x2+89.45x-43.664</v>
      </c>
      <c r="AS2771" s="10" t="str">
        <f>IF(AND(I2771="TP",S2771&lt;=500),VLOOKUP(AF2771,TPCalibEq500!$AZ$2:$BB$56,3,),IF(AND(I2771="TDP",S2771&lt;=500),VLOOKUP(AF2771,TPCalibEq500!$AZ$2:$BB$56,3,)))</f>
        <v>y=-1.7314x2+83.401x-37.87</v>
      </c>
      <c r="AT2771" s="10" t="b">
        <f>IF(AND(I2771="TN",S2771&lt;=2800),VLOOKUP(AF2771,TNCalibEq2500!$AZ$2:$BB$56,3,),IF(AND(I2771="TDN",S2771&lt;=2800),VLOOKUP(AF2771,TNCalibEq2500!$AZ$2:$BB$56,3,)))</f>
        <v>0</v>
      </c>
      <c r="AU2771" s="10" t="str">
        <f>IF(I2771="TP",VLOOKUP(AF2771,TPCalibEqFull!$AZ$2:$BB$56,3),IF(I2771="TDP",VLOOKUP(AF2771,TPCalibEqFull!$AZ$2:$BB$56,3),IF(I2771="TDN",VLOOKUP(AF2771,TNCalibEqFull!$AZ$1:$BB$56,3),IF(I2771="TN",VLOOKUP(AF2771,TNCalibEqFull!$AZ$1:$BB$56,3),FALSE))))</f>
        <v>y=0.1051x2+65.423x-19.469</v>
      </c>
      <c r="AV2771" s="10" t="str">
        <f t="shared" si="317"/>
        <v>0203 10:51:00-EFK-0-C-1-SW-UKN</v>
      </c>
    </row>
    <row r="2772" spans="1:48" s="10" customFormat="1" x14ac:dyDescent="0.55000000000000004">
      <c r="A2772" s="32">
        <v>44960</v>
      </c>
      <c r="B2772" s="33">
        <v>0.45416666666666666</v>
      </c>
      <c r="C2772" s="10" t="s">
        <v>333</v>
      </c>
      <c r="D2772" s="10">
        <v>0</v>
      </c>
      <c r="E2772" s="10" t="s">
        <v>190</v>
      </c>
      <c r="F2772" s="10">
        <v>1</v>
      </c>
      <c r="G2772" s="10" t="s">
        <v>231</v>
      </c>
      <c r="H2772" s="10" t="s">
        <v>322</v>
      </c>
      <c r="I2772" s="10" t="s">
        <v>83</v>
      </c>
      <c r="J2772" s="10">
        <v>6</v>
      </c>
      <c r="K2772" s="12">
        <v>44966</v>
      </c>
      <c r="L2772" s="33">
        <v>0.57776620370370368</v>
      </c>
      <c r="M2772" s="10">
        <v>1</v>
      </c>
      <c r="N2772" s="10" t="s">
        <v>84</v>
      </c>
      <c r="O2772" s="10">
        <v>2.25</v>
      </c>
      <c r="P2772" s="10">
        <v>0.159</v>
      </c>
      <c r="Q2772" s="10">
        <v>129</v>
      </c>
      <c r="R2772" s="10" t="s">
        <v>85</v>
      </c>
      <c r="S2772" s="34">
        <f t="shared" si="314"/>
        <v>143.77675000000005</v>
      </c>
      <c r="T2772" s="10" t="s">
        <v>1201</v>
      </c>
      <c r="U2772" s="34" t="str">
        <f t="shared" si="315"/>
        <v/>
      </c>
      <c r="V2772" s="31" t="str">
        <f>IF(H2772="CHK",VLOOKUP(I2772,QCCHK,3,),IF(H2772="GUP",VLOOKUP(E2772,QCGUP,2,),IF(AND(H2772="ATP",OR(I2772="TN",I2772="TDN",I2772="TNO2-3",I2772="NO2-3")),VLOOKUP(E2772,QCREC_N,2,),IF(AND(H2772="NIC",OR(I2772="TN",I2772="TDN",I2772="TNO2-3",I2772="NO2-3")),VLOOKUP(E2772,QCNIC_N,2,),IF(AND(H2772="UREA",OR(I2772="TN",I2772="TDN",I2772="TNO2-3",I2772="NO2-3")),VLOOKUP(E2772,QCUREA_N,2,),IF(H2772="PER",VLOOKUP(I2772,QCPER,MATCH(E2772,QCACTUAL!$J$25:$AA$25,0),),IF(H2772="SPK",VLOOKUP(I2772,QCSPK,3,),IF(AND(H2772="ATP",OR(I2772="TP",I2772="TDP")),VLOOKUP(E2772,QCATP_P,2,),""))))))))</f>
        <v/>
      </c>
      <c r="W2772" s="31" t="str">
        <f t="shared" si="316"/>
        <v>TRUE</v>
      </c>
      <c r="X2772" s="31" t="str">
        <f t="shared" si="313"/>
        <v/>
      </c>
      <c r="Y2772" s="10" t="s">
        <v>1188</v>
      </c>
      <c r="Z2772" s="10" t="s">
        <v>910</v>
      </c>
      <c r="AF2772" s="12">
        <v>44966</v>
      </c>
      <c r="AG2772" s="10">
        <f>-11.204*2.25^2+113.68*2.25-55.283</f>
        <v>143.77675000000005</v>
      </c>
      <c r="AH2772" s="10">
        <f>-2.9408*2.25^2+89.45*2.25-43.664</f>
        <v>142.71070000000003</v>
      </c>
      <c r="AI2772" s="10">
        <f>-1.7314*2.25^2+83.401*2.25-37.87</f>
        <v>141.01703749999999</v>
      </c>
      <c r="AK2772" s="10">
        <f>0.1051*2.25^2+65.423*2.25-19.469</f>
        <v>128.26481875000002</v>
      </c>
      <c r="AL2772" s="10" t="str">
        <f t="shared" si="311"/>
        <v>y=-11.204*2.25^2+113.68*2.25-55.283</v>
      </c>
      <c r="AM2772" s="10" t="str">
        <f t="shared" si="311"/>
        <v>y=-2.9408*2.25^2+89.45*2.25-43.664</v>
      </c>
      <c r="AN2772" s="10" t="str">
        <f t="shared" si="311"/>
        <v>y=-1.7314*2.25^2+83.401*2.25-37.87</v>
      </c>
      <c r="AO2772" s="10" t="str">
        <f t="shared" si="312"/>
        <v>FALSE</v>
      </c>
      <c r="AP2772" s="10" t="str">
        <f t="shared" si="312"/>
        <v>y=0.1051*2.25^2+65.423*2.25-19.469</v>
      </c>
      <c r="AQ2772" s="10" t="str">
        <f>IF(AND(I2772="TP",S2772&lt;=150),VLOOKUP(AF2772,TPCalibEq150!$AZ$2:$BB$55,3,),IF(AND(I2772="TDP",S2772&lt;=150),VLOOKUP(AF2772,TPCalibEq150!$AZ$2:$BB$55,3,)))</f>
        <v>y=-11.204x2+113.68x-55.283</v>
      </c>
      <c r="AR2772" s="10" t="str">
        <f>IF(AND(I2772="TP",S2772&lt;=300),VLOOKUP(AF2772,TPCalibEq300!$AZ$2:$BB$55,3,),IF(AND(I2772="TDP",S2772&lt;=300),VLOOKUP(AF2772,TPCalibEq300!$AZ$2:$BB$55,3,)))</f>
        <v>y=-2.9408x2+89.45x-43.664</v>
      </c>
      <c r="AS2772" s="10" t="str">
        <f>IF(AND(I2772="TP",S2772&lt;=500),VLOOKUP(AF2772,TPCalibEq500!$AZ$2:$BB$56,3,),IF(AND(I2772="TDP",S2772&lt;=500),VLOOKUP(AF2772,TPCalibEq500!$AZ$2:$BB$56,3,)))</f>
        <v>y=-1.7314x2+83.401x-37.87</v>
      </c>
      <c r="AT2772" s="10" t="b">
        <f>IF(AND(I2772="TN",S2772&lt;=2800),VLOOKUP(AF2772,TNCalibEq2500!$AZ$2:$BB$56,3,),IF(AND(I2772="TDN",S2772&lt;=2800),VLOOKUP(AF2772,TNCalibEq2500!$AZ$2:$BB$56,3,)))</f>
        <v>0</v>
      </c>
      <c r="AU2772" s="10" t="str">
        <f>IF(I2772="TP",VLOOKUP(AF2772,TPCalibEqFull!$AZ$2:$BB$56,3),IF(I2772="TDP",VLOOKUP(AF2772,TPCalibEqFull!$AZ$2:$BB$56,3),IF(I2772="TDN",VLOOKUP(AF2772,TNCalibEqFull!$AZ$1:$BB$56,3),IF(I2772="TN",VLOOKUP(AF2772,TNCalibEqFull!$AZ$1:$BB$56,3),FALSE))))</f>
        <v>y=0.1051x2+65.423x-19.469</v>
      </c>
      <c r="AV2772" s="10" t="str">
        <f t="shared" si="317"/>
        <v>0203 10:54:00-HST-0-C-1-SW-UKN</v>
      </c>
    </row>
    <row r="2773" spans="1:48" s="10" customFormat="1" x14ac:dyDescent="0.55000000000000004">
      <c r="A2773" s="32">
        <v>44963</v>
      </c>
      <c r="B2773" s="33">
        <v>0.31666666666666665</v>
      </c>
      <c r="C2773" s="10" t="s">
        <v>279</v>
      </c>
      <c r="D2773" s="10">
        <v>0</v>
      </c>
      <c r="E2773" s="10" t="s">
        <v>190</v>
      </c>
      <c r="F2773" s="10">
        <v>1</v>
      </c>
      <c r="G2773" s="10" t="s">
        <v>231</v>
      </c>
      <c r="H2773" s="10" t="s">
        <v>322</v>
      </c>
      <c r="I2773" s="10" t="s">
        <v>83</v>
      </c>
      <c r="J2773" s="10">
        <v>7</v>
      </c>
      <c r="K2773" s="12">
        <v>44966</v>
      </c>
      <c r="L2773" s="33">
        <v>0.57846064814814813</v>
      </c>
      <c r="M2773" s="10">
        <v>1</v>
      </c>
      <c r="N2773" s="10" t="s">
        <v>84</v>
      </c>
      <c r="O2773" s="10">
        <v>2.8</v>
      </c>
      <c r="P2773" s="10">
        <v>0.2</v>
      </c>
      <c r="Q2773" s="10">
        <v>165</v>
      </c>
      <c r="R2773" s="10" t="s">
        <v>85</v>
      </c>
      <c r="S2773" s="34">
        <f t="shared" si="314"/>
        <v>183.74012799999997</v>
      </c>
      <c r="T2773" s="10" t="s">
        <v>1201</v>
      </c>
      <c r="U2773" s="34" t="str">
        <f t="shared" si="315"/>
        <v/>
      </c>
      <c r="V2773" s="31" t="str">
        <f>IF(H2773="CHK",VLOOKUP(I2773,QCCHK,3,),IF(H2773="GUP",VLOOKUP(E2773,QCGUP,2,),IF(AND(H2773="ATP",OR(I2773="TN",I2773="TDN",I2773="TNO2-3",I2773="NO2-3")),VLOOKUP(E2773,QCREC_N,2,),IF(AND(H2773="NIC",OR(I2773="TN",I2773="TDN",I2773="TNO2-3",I2773="NO2-3")),VLOOKUP(E2773,QCNIC_N,2,),IF(AND(H2773="UREA",OR(I2773="TN",I2773="TDN",I2773="TNO2-3",I2773="NO2-3")),VLOOKUP(E2773,QCUREA_N,2,),IF(H2773="PER",VLOOKUP(I2773,QCPER,MATCH(E2773,QCACTUAL!$J$25:$AA$25,0),),IF(H2773="SPK",VLOOKUP(I2773,QCSPK,3,),IF(AND(H2773="ATP",OR(I2773="TP",I2773="TDP")),VLOOKUP(E2773,QCATP_P,2,),""))))))))</f>
        <v/>
      </c>
      <c r="W2773" s="31" t="str">
        <f t="shared" si="316"/>
        <v>TRUE</v>
      </c>
      <c r="X2773" s="31" t="str">
        <f t="shared" si="313"/>
        <v/>
      </c>
      <c r="Y2773" s="10" t="s">
        <v>1188</v>
      </c>
      <c r="Z2773" s="10" t="s">
        <v>910</v>
      </c>
      <c r="AF2773" s="12">
        <v>44966</v>
      </c>
      <c r="AH2773" s="10">
        <f>-2.9408*2.8^2+89.45*2.8-43.664</f>
        <v>183.74012799999997</v>
      </c>
      <c r="AI2773" s="10">
        <f>-1.7314*2.8^2+83.401*2.8-37.87</f>
        <v>182.07862399999996</v>
      </c>
      <c r="AK2773" s="10">
        <f>0.1051*2.8^2+65.423*2.8-19.469</f>
        <v>164.53938399999998</v>
      </c>
      <c r="AL2773" s="10" t="str">
        <f t="shared" si="311"/>
        <v>FALSE</v>
      </c>
      <c r="AM2773" s="10" t="str">
        <f t="shared" si="311"/>
        <v>y=-2.9408*2.8^2+89.45*2.8-43.664</v>
      </c>
      <c r="AN2773" s="10" t="str">
        <f t="shared" si="311"/>
        <v>y=-1.7314*2.8^2+83.401*2.8-37.87</v>
      </c>
      <c r="AO2773" s="10" t="str">
        <f t="shared" si="312"/>
        <v>FALSE</v>
      </c>
      <c r="AP2773" s="10" t="str">
        <f t="shared" si="312"/>
        <v>y=0.1051*2.8^2+65.423*2.8-19.469</v>
      </c>
      <c r="AQ2773" s="10" t="b">
        <f>IF(AND(I2773="TP",S2773&lt;=150),VLOOKUP(AF2773,TPCalibEq150!$AZ$2:$BB$55,3,),IF(AND(I2773="TDP",S2773&lt;=150),VLOOKUP(AF2773,TPCalibEq150!$AZ$2:$BB$55,3,)))</f>
        <v>0</v>
      </c>
      <c r="AR2773" s="10" t="str">
        <f>IF(AND(I2773="TP",S2773&lt;=300),VLOOKUP(AF2773,TPCalibEq300!$AZ$2:$BB$55,3,),IF(AND(I2773="TDP",S2773&lt;=300),VLOOKUP(AF2773,TPCalibEq300!$AZ$2:$BB$55,3,)))</f>
        <v>y=-2.9408x2+89.45x-43.664</v>
      </c>
      <c r="AS2773" s="10" t="str">
        <f>IF(AND(I2773="TP",S2773&lt;=500),VLOOKUP(AF2773,TPCalibEq500!$AZ$2:$BB$56,3,),IF(AND(I2773="TDP",S2773&lt;=500),VLOOKUP(AF2773,TPCalibEq500!$AZ$2:$BB$56,3,)))</f>
        <v>y=-1.7314x2+83.401x-37.87</v>
      </c>
      <c r="AT2773" s="10" t="b">
        <f>IF(AND(I2773="TN",S2773&lt;=2800),VLOOKUP(AF2773,TNCalibEq2500!$AZ$2:$BB$56,3,),IF(AND(I2773="TDN",S2773&lt;=2800),VLOOKUP(AF2773,TNCalibEq2500!$AZ$2:$BB$56,3,)))</f>
        <v>0</v>
      </c>
      <c r="AU2773" s="10" t="str">
        <f>IF(I2773="TP",VLOOKUP(AF2773,TPCalibEqFull!$AZ$2:$BB$56,3),IF(I2773="TDP",VLOOKUP(AF2773,TPCalibEqFull!$AZ$2:$BB$56,3),IF(I2773="TDN",VLOOKUP(AF2773,TNCalibEqFull!$AZ$1:$BB$56,3),IF(I2773="TN",VLOOKUP(AF2773,TNCalibEqFull!$AZ$1:$BB$56,3),FALSE))))</f>
        <v>y=0.1051x2+65.423x-19.469</v>
      </c>
      <c r="AV2773" s="10" t="str">
        <f t="shared" si="317"/>
        <v>0206 07:36:00-EFK-0-C-1-SW-UKN</v>
      </c>
    </row>
    <row r="2774" spans="1:48" s="10" customFormat="1" x14ac:dyDescent="0.55000000000000004">
      <c r="A2774" s="32">
        <v>44963</v>
      </c>
      <c r="B2774" s="33">
        <v>0.27986111111111112</v>
      </c>
      <c r="C2774" s="10" t="s">
        <v>333</v>
      </c>
      <c r="D2774" s="10">
        <v>0</v>
      </c>
      <c r="E2774" s="10" t="s">
        <v>190</v>
      </c>
      <c r="F2774" s="10">
        <v>1</v>
      </c>
      <c r="G2774" s="10" t="s">
        <v>231</v>
      </c>
      <c r="H2774" s="10" t="s">
        <v>322</v>
      </c>
      <c r="I2774" s="10" t="s">
        <v>83</v>
      </c>
      <c r="J2774" s="10">
        <v>8</v>
      </c>
      <c r="K2774" s="12">
        <v>44966</v>
      </c>
      <c r="L2774" s="33">
        <v>0.57915509259259257</v>
      </c>
      <c r="M2774" s="10">
        <v>1</v>
      </c>
      <c r="N2774" s="10" t="s">
        <v>84</v>
      </c>
      <c r="O2774" s="10">
        <v>1.27</v>
      </c>
      <c r="P2774" s="10">
        <v>8.7499999999999994E-2</v>
      </c>
      <c r="Q2774" s="10">
        <v>64.900000000000006</v>
      </c>
      <c r="R2774" s="10" t="s">
        <v>85</v>
      </c>
      <c r="S2774" s="34">
        <f t="shared" si="314"/>
        <v>71.019668400000015</v>
      </c>
      <c r="T2774" s="10" t="s">
        <v>1201</v>
      </c>
      <c r="U2774" s="34" t="str">
        <f t="shared" si="315"/>
        <v/>
      </c>
      <c r="V2774" s="31" t="str">
        <f>IF(H2774="CHK",VLOOKUP(I2774,QCCHK,3,),IF(H2774="GUP",VLOOKUP(E2774,QCGUP,2,),IF(AND(H2774="ATP",OR(I2774="TN",I2774="TDN",I2774="TNO2-3",I2774="NO2-3")),VLOOKUP(E2774,QCREC_N,2,),IF(AND(H2774="NIC",OR(I2774="TN",I2774="TDN",I2774="TNO2-3",I2774="NO2-3")),VLOOKUP(E2774,QCNIC_N,2,),IF(AND(H2774="UREA",OR(I2774="TN",I2774="TDN",I2774="TNO2-3",I2774="NO2-3")),VLOOKUP(E2774,QCUREA_N,2,),IF(H2774="PER",VLOOKUP(I2774,QCPER,MATCH(E2774,QCACTUAL!$J$25:$AA$25,0),),IF(H2774="SPK",VLOOKUP(I2774,QCSPK,3,),IF(AND(H2774="ATP",OR(I2774="TP",I2774="TDP")),VLOOKUP(E2774,QCATP_P,2,),""))))))))</f>
        <v/>
      </c>
      <c r="W2774" s="31" t="str">
        <f t="shared" si="316"/>
        <v>TRUE</v>
      </c>
      <c r="X2774" s="31" t="str">
        <f t="shared" si="313"/>
        <v/>
      </c>
      <c r="Y2774" s="10" t="s">
        <v>1188</v>
      </c>
      <c r="Z2774" s="10" t="s">
        <v>910</v>
      </c>
      <c r="AF2774" s="12">
        <v>44966</v>
      </c>
      <c r="AG2774" s="10">
        <f>-11.204*1.27^2+113.68*1.27-55.283</f>
        <v>71.019668400000015</v>
      </c>
      <c r="AH2774" s="10">
        <f>-2.9408*1.27^2+89.45*1.27-43.664</f>
        <v>65.194283679999998</v>
      </c>
      <c r="AI2774" s="10">
        <f>-1.7314*1.27^2+83.401*1.27-37.87</f>
        <v>65.256694939999988</v>
      </c>
      <c r="AK2774" s="10">
        <f>0.1051*1.27^2+65.423*1.27-19.469</f>
        <v>63.787725790000003</v>
      </c>
      <c r="AL2774" s="10" t="str">
        <f t="shared" si="311"/>
        <v>y=-11.204*1.27^2+113.68*1.27-55.283</v>
      </c>
      <c r="AM2774" s="10" t="str">
        <f t="shared" si="311"/>
        <v>y=-2.9408*1.27^2+89.45*1.27-43.664</v>
      </c>
      <c r="AN2774" s="10" t="str">
        <f t="shared" si="311"/>
        <v>y=-1.7314*1.27^2+83.401*1.27-37.87</v>
      </c>
      <c r="AO2774" s="10" t="str">
        <f t="shared" si="312"/>
        <v>FALSE</v>
      </c>
      <c r="AP2774" s="10" t="str">
        <f t="shared" si="312"/>
        <v>y=0.1051*1.27^2+65.423*1.27-19.469</v>
      </c>
      <c r="AQ2774" s="10" t="str">
        <f>IF(AND(I2774="TP",S2774&lt;=150),VLOOKUP(AF2774,TPCalibEq150!$AZ$2:$BB$55,3,),IF(AND(I2774="TDP",S2774&lt;=150),VLOOKUP(AF2774,TPCalibEq150!$AZ$2:$BB$55,3,)))</f>
        <v>y=-11.204x2+113.68x-55.283</v>
      </c>
      <c r="AR2774" s="10" t="str">
        <f>IF(AND(I2774="TP",S2774&lt;=300),VLOOKUP(AF2774,TPCalibEq300!$AZ$2:$BB$55,3,),IF(AND(I2774="TDP",S2774&lt;=300),VLOOKUP(AF2774,TPCalibEq300!$AZ$2:$BB$55,3,)))</f>
        <v>y=-2.9408x2+89.45x-43.664</v>
      </c>
      <c r="AS2774" s="10" t="str">
        <f>IF(AND(I2774="TP",S2774&lt;=500),VLOOKUP(AF2774,TPCalibEq500!$AZ$2:$BB$56,3,),IF(AND(I2774="TDP",S2774&lt;=500),VLOOKUP(AF2774,TPCalibEq500!$AZ$2:$BB$56,3,)))</f>
        <v>y=-1.7314x2+83.401x-37.87</v>
      </c>
      <c r="AT2774" s="10" t="b">
        <f>IF(AND(I2774="TN",S2774&lt;=2800),VLOOKUP(AF2774,TNCalibEq2500!$AZ$2:$BB$56,3,),IF(AND(I2774="TDN",S2774&lt;=2800),VLOOKUP(AF2774,TNCalibEq2500!$AZ$2:$BB$56,3,)))</f>
        <v>0</v>
      </c>
      <c r="AU2774" s="10" t="str">
        <f>IF(I2774="TP",VLOOKUP(AF2774,TPCalibEqFull!$AZ$2:$BB$56,3),IF(I2774="TDP",VLOOKUP(AF2774,TPCalibEqFull!$AZ$2:$BB$56,3),IF(I2774="TDN",VLOOKUP(AF2774,TNCalibEqFull!$AZ$1:$BB$56,3),IF(I2774="TN",VLOOKUP(AF2774,TNCalibEqFull!$AZ$1:$BB$56,3),FALSE))))</f>
        <v>y=0.1051x2+65.423x-19.469</v>
      </c>
      <c r="AV2774" s="10" t="str">
        <f t="shared" si="317"/>
        <v>0206 06:43:00-HST-0-C-1-SW-UKN</v>
      </c>
    </row>
    <row r="2775" spans="1:48" s="10" customFormat="1" x14ac:dyDescent="0.55000000000000004">
      <c r="A2775" s="32">
        <v>44964</v>
      </c>
      <c r="B2775" s="33">
        <v>0.22291666666666665</v>
      </c>
      <c r="C2775" s="10" t="s">
        <v>279</v>
      </c>
      <c r="D2775" s="10">
        <v>0</v>
      </c>
      <c r="E2775" s="10" t="s">
        <v>190</v>
      </c>
      <c r="F2775" s="10">
        <v>1</v>
      </c>
      <c r="G2775" s="10" t="s">
        <v>231</v>
      </c>
      <c r="H2775" s="10" t="s">
        <v>322</v>
      </c>
      <c r="I2775" s="10" t="s">
        <v>83</v>
      </c>
      <c r="J2775" s="10">
        <v>9</v>
      </c>
      <c r="K2775" s="12">
        <v>44966</v>
      </c>
      <c r="L2775" s="33">
        <v>0.57984953703703701</v>
      </c>
      <c r="M2775" s="10">
        <v>1</v>
      </c>
      <c r="N2775" s="10" t="s">
        <v>84</v>
      </c>
      <c r="O2775" s="10">
        <v>2.41</v>
      </c>
      <c r="P2775" s="10">
        <v>0.17100000000000001</v>
      </c>
      <c r="Q2775" s="10">
        <v>139</v>
      </c>
      <c r="R2775" s="10" t="s">
        <v>85</v>
      </c>
      <c r="S2775" s="34">
        <f t="shared" si="314"/>
        <v>154.83003952000001</v>
      </c>
      <c r="T2775" s="10" t="s">
        <v>1201</v>
      </c>
      <c r="U2775" s="34" t="str">
        <f t="shared" si="315"/>
        <v/>
      </c>
      <c r="V2775" s="31" t="str">
        <f>IF(H2775="CHK",VLOOKUP(I2775,QCCHK,3,),IF(H2775="GUP",VLOOKUP(E2775,QCGUP,2,),IF(AND(H2775="ATP",OR(I2775="TN",I2775="TDN",I2775="TNO2-3",I2775="NO2-3")),VLOOKUP(E2775,QCREC_N,2,),IF(AND(H2775="NIC",OR(I2775="TN",I2775="TDN",I2775="TNO2-3",I2775="NO2-3")),VLOOKUP(E2775,QCNIC_N,2,),IF(AND(H2775="UREA",OR(I2775="TN",I2775="TDN",I2775="TNO2-3",I2775="NO2-3")),VLOOKUP(E2775,QCUREA_N,2,),IF(H2775="PER",VLOOKUP(I2775,QCPER,MATCH(E2775,QCACTUAL!$J$25:$AA$25,0),),IF(H2775="SPK",VLOOKUP(I2775,QCSPK,3,),IF(AND(H2775="ATP",OR(I2775="TP",I2775="TDP")),VLOOKUP(E2775,QCATP_P,2,),""))))))))</f>
        <v/>
      </c>
      <c r="W2775" s="31" t="str">
        <f t="shared" si="316"/>
        <v>TRUE</v>
      </c>
      <c r="X2775" s="31" t="str">
        <f t="shared" si="313"/>
        <v/>
      </c>
      <c r="Y2775" s="10" t="s">
        <v>1188</v>
      </c>
      <c r="Z2775" s="10" t="s">
        <v>910</v>
      </c>
      <c r="AF2775" s="12">
        <v>44966</v>
      </c>
      <c r="AG2775" s="10">
        <f>-11.204*2.41^2+113.68*2.41-55.283</f>
        <v>153.61184760000003</v>
      </c>
      <c r="AH2775" s="10">
        <f>-2.9408*2.41^2+89.45*2.41-43.664</f>
        <v>154.83003952000001</v>
      </c>
      <c r="AI2775" s="10">
        <f>-1.7314*2.41^2+83.401*2.41-37.87</f>
        <v>153.07026565999999</v>
      </c>
      <c r="AK2775" s="10">
        <f>0.1051*2.41^2+65.423*2.41-19.469</f>
        <v>138.81086131000001</v>
      </c>
      <c r="AL2775" s="10" t="str">
        <f t="shared" si="311"/>
        <v>FALSE</v>
      </c>
      <c r="AM2775" s="10" t="str">
        <f t="shared" si="311"/>
        <v>y=-2.9408*2.41^2+89.45*2.41-43.664</v>
      </c>
      <c r="AN2775" s="10" t="str">
        <f t="shared" si="311"/>
        <v>y=-1.7314*2.41^2+83.401*2.41-37.87</v>
      </c>
      <c r="AO2775" s="10" t="str">
        <f t="shared" si="312"/>
        <v>FALSE</v>
      </c>
      <c r="AP2775" s="10" t="str">
        <f t="shared" si="312"/>
        <v>y=0.1051*2.41^2+65.423*2.41-19.469</v>
      </c>
      <c r="AQ2775" s="10" t="b">
        <f>IF(AND(I2775="TP",S2775&lt;=150),VLOOKUP(AF2775,TPCalibEq150!$AZ$2:$BB$55,3,),IF(AND(I2775="TDP",S2775&lt;=150),VLOOKUP(AF2775,TPCalibEq150!$AZ$2:$BB$55,3,)))</f>
        <v>0</v>
      </c>
      <c r="AR2775" s="10" t="str">
        <f>IF(AND(I2775="TP",S2775&lt;=300),VLOOKUP(AF2775,TPCalibEq300!$AZ$2:$BB$55,3,),IF(AND(I2775="TDP",S2775&lt;=300),VLOOKUP(AF2775,TPCalibEq300!$AZ$2:$BB$55,3,)))</f>
        <v>y=-2.9408x2+89.45x-43.664</v>
      </c>
      <c r="AS2775" s="10" t="str">
        <f>IF(AND(I2775="TP",S2775&lt;=500),VLOOKUP(AF2775,TPCalibEq500!$AZ$2:$BB$56,3,),IF(AND(I2775="TDP",S2775&lt;=500),VLOOKUP(AF2775,TPCalibEq500!$AZ$2:$BB$56,3,)))</f>
        <v>y=-1.7314x2+83.401x-37.87</v>
      </c>
      <c r="AT2775" s="10" t="b">
        <f>IF(AND(I2775="TN",S2775&lt;=2800),VLOOKUP(AF2775,TNCalibEq2500!$AZ$2:$BB$56,3,),IF(AND(I2775="TDN",S2775&lt;=2800),VLOOKUP(AF2775,TNCalibEq2500!$AZ$2:$BB$56,3,)))</f>
        <v>0</v>
      </c>
      <c r="AU2775" s="10" t="str">
        <f>IF(I2775="TP",VLOOKUP(AF2775,TPCalibEqFull!$AZ$2:$BB$56,3),IF(I2775="TDP",VLOOKUP(AF2775,TPCalibEqFull!$AZ$2:$BB$56,3),IF(I2775="TDN",VLOOKUP(AF2775,TNCalibEqFull!$AZ$1:$BB$56,3),IF(I2775="TN",VLOOKUP(AF2775,TNCalibEqFull!$AZ$1:$BB$56,3),FALSE))))</f>
        <v>y=0.1051x2+65.423x-19.469</v>
      </c>
      <c r="AV2775" s="10" t="str">
        <f t="shared" si="317"/>
        <v>0207 05:21:00-EFK-0-C-1-SW-UKN</v>
      </c>
    </row>
    <row r="2776" spans="1:48" s="10" customFormat="1" x14ac:dyDescent="0.55000000000000004">
      <c r="A2776" s="32">
        <v>44964</v>
      </c>
      <c r="B2776" s="33">
        <v>0.22777777777777777</v>
      </c>
      <c r="C2776" s="10" t="s">
        <v>333</v>
      </c>
      <c r="D2776" s="10">
        <v>0</v>
      </c>
      <c r="E2776" s="10" t="s">
        <v>190</v>
      </c>
      <c r="F2776" s="10">
        <v>1</v>
      </c>
      <c r="G2776" s="10" t="s">
        <v>231</v>
      </c>
      <c r="H2776" s="10" t="s">
        <v>322</v>
      </c>
      <c r="I2776" s="10" t="s">
        <v>83</v>
      </c>
      <c r="J2776" s="10">
        <v>10</v>
      </c>
      <c r="K2776" s="12">
        <v>44966</v>
      </c>
      <c r="L2776" s="33">
        <v>0.58053240740740741</v>
      </c>
      <c r="M2776" s="10">
        <v>1</v>
      </c>
      <c r="N2776" s="10" t="s">
        <v>84</v>
      </c>
      <c r="O2776" s="10">
        <v>2.4500000000000002</v>
      </c>
      <c r="P2776" s="10">
        <v>0.17399999999999999</v>
      </c>
      <c r="Q2776" s="10">
        <v>142</v>
      </c>
      <c r="R2776" s="10" t="s">
        <v>85</v>
      </c>
      <c r="S2776" s="34">
        <f t="shared" si="314"/>
        <v>157.83634800000004</v>
      </c>
      <c r="T2776" s="10" t="s">
        <v>1201</v>
      </c>
      <c r="U2776" s="34" t="str">
        <f t="shared" si="315"/>
        <v/>
      </c>
      <c r="V2776" s="31" t="str">
        <f>IF(H2776="CHK",VLOOKUP(I2776,QCCHK,3,),IF(H2776="GUP",VLOOKUP(E2776,QCGUP,2,),IF(AND(H2776="ATP",OR(I2776="TN",I2776="TDN",I2776="TNO2-3",I2776="NO2-3")),VLOOKUP(E2776,QCREC_N,2,),IF(AND(H2776="NIC",OR(I2776="TN",I2776="TDN",I2776="TNO2-3",I2776="NO2-3")),VLOOKUP(E2776,QCNIC_N,2,),IF(AND(H2776="UREA",OR(I2776="TN",I2776="TDN",I2776="TNO2-3",I2776="NO2-3")),VLOOKUP(E2776,QCUREA_N,2,),IF(H2776="PER",VLOOKUP(I2776,QCPER,MATCH(E2776,QCACTUAL!$J$25:$AA$25,0),),IF(H2776="SPK",VLOOKUP(I2776,QCSPK,3,),IF(AND(H2776="ATP",OR(I2776="TP",I2776="TDP")),VLOOKUP(E2776,QCATP_P,2,),""))))))))</f>
        <v/>
      </c>
      <c r="W2776" s="31" t="str">
        <f t="shared" si="316"/>
        <v>TRUE</v>
      </c>
      <c r="X2776" s="31" t="str">
        <f t="shared" si="313"/>
        <v/>
      </c>
      <c r="Y2776" s="10" t="s">
        <v>1188</v>
      </c>
      <c r="Z2776" s="10" t="s">
        <v>910</v>
      </c>
      <c r="AF2776" s="12">
        <v>44966</v>
      </c>
      <c r="AG2776" s="10">
        <f>-11.204*2.45^2+113.68*2.45-55.283</f>
        <v>155.98099000000002</v>
      </c>
      <c r="AH2776" s="10">
        <f>-2.9408*2.45^2+89.45*2.45-43.664</f>
        <v>157.83634800000004</v>
      </c>
      <c r="AI2776" s="10">
        <f>-1.7314*2.45^2+83.401*2.45-37.87</f>
        <v>156.06972149999999</v>
      </c>
      <c r="AK2776" s="10">
        <f>0.1051*2.45^2+65.423*2.45-19.469</f>
        <v>141.44821275000004</v>
      </c>
      <c r="AL2776" s="10" t="str">
        <f t="shared" si="311"/>
        <v>FALSE</v>
      </c>
      <c r="AM2776" s="10" t="str">
        <f t="shared" si="311"/>
        <v>y=-2.9408*2.45^2+89.45*2.45-43.664</v>
      </c>
      <c r="AN2776" s="10" t="str">
        <f t="shared" si="311"/>
        <v>y=-1.7314*2.45^2+83.401*2.45-37.87</v>
      </c>
      <c r="AO2776" s="10" t="str">
        <f t="shared" si="312"/>
        <v>FALSE</v>
      </c>
      <c r="AP2776" s="10" t="str">
        <f t="shared" si="312"/>
        <v>y=0.1051*2.45^2+65.423*2.45-19.469</v>
      </c>
      <c r="AQ2776" s="10" t="b">
        <f>IF(AND(I2776="TP",S2776&lt;=150),VLOOKUP(AF2776,TPCalibEq150!$AZ$2:$BB$55,3,),IF(AND(I2776="TDP",S2776&lt;=150),VLOOKUP(AF2776,TPCalibEq150!$AZ$2:$BB$55,3,)))</f>
        <v>0</v>
      </c>
      <c r="AR2776" s="10" t="str">
        <f>IF(AND(I2776="TP",S2776&lt;=300),VLOOKUP(AF2776,TPCalibEq300!$AZ$2:$BB$55,3,),IF(AND(I2776="TDP",S2776&lt;=300),VLOOKUP(AF2776,TPCalibEq300!$AZ$2:$BB$55,3,)))</f>
        <v>y=-2.9408x2+89.45x-43.664</v>
      </c>
      <c r="AS2776" s="10" t="str">
        <f>IF(AND(I2776="TP",S2776&lt;=500),VLOOKUP(AF2776,TPCalibEq500!$AZ$2:$BB$56,3,),IF(AND(I2776="TDP",S2776&lt;=500),VLOOKUP(AF2776,TPCalibEq500!$AZ$2:$BB$56,3,)))</f>
        <v>y=-1.7314x2+83.401x-37.87</v>
      </c>
      <c r="AT2776" s="10" t="b">
        <f>IF(AND(I2776="TN",S2776&lt;=2800),VLOOKUP(AF2776,TNCalibEq2500!$AZ$2:$BB$56,3,),IF(AND(I2776="TDN",S2776&lt;=2800),VLOOKUP(AF2776,TNCalibEq2500!$AZ$2:$BB$56,3,)))</f>
        <v>0</v>
      </c>
      <c r="AU2776" s="10" t="str">
        <f>IF(I2776="TP",VLOOKUP(AF2776,TPCalibEqFull!$AZ$2:$BB$56,3),IF(I2776="TDP",VLOOKUP(AF2776,TPCalibEqFull!$AZ$2:$BB$56,3),IF(I2776="TDN",VLOOKUP(AF2776,TNCalibEqFull!$AZ$1:$BB$56,3),IF(I2776="TN",VLOOKUP(AF2776,TNCalibEqFull!$AZ$1:$BB$56,3),FALSE))))</f>
        <v>y=0.1051x2+65.423x-19.469</v>
      </c>
      <c r="AV2776" s="10" t="str">
        <f t="shared" si="317"/>
        <v>0207 05:28:00-HST-0-C-1-SW-UKN</v>
      </c>
    </row>
    <row r="2777" spans="1:48" s="10" customFormat="1" x14ac:dyDescent="0.55000000000000004">
      <c r="A2777" s="32">
        <v>44964</v>
      </c>
      <c r="B2777" s="33">
        <v>0.22777777777777777</v>
      </c>
      <c r="C2777" s="10" t="s">
        <v>333</v>
      </c>
      <c r="D2777" s="10">
        <v>0</v>
      </c>
      <c r="E2777" s="10" t="s">
        <v>190</v>
      </c>
      <c r="F2777" s="10">
        <v>1</v>
      </c>
      <c r="G2777" s="10" t="s">
        <v>231</v>
      </c>
      <c r="H2777" s="10" t="s">
        <v>233</v>
      </c>
      <c r="I2777" s="10" t="s">
        <v>83</v>
      </c>
      <c r="J2777" s="10">
        <v>10</v>
      </c>
      <c r="K2777" s="12">
        <v>44966</v>
      </c>
      <c r="L2777" s="33">
        <v>0.58123842592592589</v>
      </c>
      <c r="M2777" s="10">
        <v>1</v>
      </c>
      <c r="N2777" s="10" t="s">
        <v>84</v>
      </c>
      <c r="O2777" s="10">
        <v>2.46</v>
      </c>
      <c r="P2777" s="10">
        <v>0.17399999999999999</v>
      </c>
      <c r="Q2777" s="10">
        <v>143</v>
      </c>
      <c r="R2777" s="10" t="s">
        <v>85</v>
      </c>
      <c r="S2777" s="34">
        <f t="shared" si="314"/>
        <v>158.58645472000001</v>
      </c>
      <c r="T2777" s="10" t="s">
        <v>1201</v>
      </c>
      <c r="U2777" s="34">
        <f t="shared" si="315"/>
        <v>0.47411672834699325</v>
      </c>
      <c r="V2777" s="31" t="str">
        <f>IF(H2777="CHK",VLOOKUP(I2777,QCCHK,3,),IF(H2777="GUP",VLOOKUP(E2777,QCGUP,2,),IF(AND(H2777="ATP",OR(I2777="TN",I2777="TDN",I2777="TNO2-3",I2777="NO2-3")),VLOOKUP(E2777,QCREC_N,2,),IF(AND(H2777="NIC",OR(I2777="TN",I2777="TDN",I2777="TNO2-3",I2777="NO2-3")),VLOOKUP(E2777,QCNIC_N,2,),IF(AND(H2777="UREA",OR(I2777="TN",I2777="TDN",I2777="TNO2-3",I2777="NO2-3")),VLOOKUP(E2777,QCUREA_N,2,),IF(H2777="PER",VLOOKUP(I2777,QCPER,MATCH(E2777,QCACTUAL!$J$25:$AA$25,0),),IF(H2777="SPK",VLOOKUP(I2777,QCSPK,3,),IF(AND(H2777="ATP",OR(I2777="TP",I2777="TDP")),VLOOKUP(E2777,QCATP_P,2,),""))))))))</f>
        <v/>
      </c>
      <c r="W2777" s="31" t="str">
        <f t="shared" si="316"/>
        <v>TRUE</v>
      </c>
      <c r="X2777" s="31" t="str">
        <f t="shared" si="313"/>
        <v>((ABS(rep1-rep2))/((rep1+rep2)/2)*100</v>
      </c>
      <c r="Y2777" s="10" t="s">
        <v>1188</v>
      </c>
      <c r="Z2777" s="10" t="s">
        <v>910</v>
      </c>
      <c r="AF2777" s="12">
        <v>44966</v>
      </c>
      <c r="AG2777" s="10">
        <f>-11.204*2.46^2+113.68*2.46-55.283</f>
        <v>156.56767359999998</v>
      </c>
      <c r="AH2777" s="10">
        <f>-2.9408*2.46^2+89.45*2.46-43.664</f>
        <v>158.58645472000001</v>
      </c>
      <c r="AI2777" s="10">
        <f>-1.7314*2.46^2+83.401*2.46-37.87</f>
        <v>156.81871975999999</v>
      </c>
      <c r="AK2777" s="10">
        <f>0.1051*2.46^2+65.423*2.46-19.469</f>
        <v>142.10760316000002</v>
      </c>
      <c r="AL2777" s="10" t="str">
        <f t="shared" si="311"/>
        <v>FALSE</v>
      </c>
      <c r="AM2777" s="10" t="str">
        <f t="shared" si="311"/>
        <v>y=-2.9408*2.46^2+89.45*2.46-43.664</v>
      </c>
      <c r="AN2777" s="10" t="str">
        <f t="shared" si="311"/>
        <v>y=-1.7314*2.46^2+83.401*2.46-37.87</v>
      </c>
      <c r="AO2777" s="10" t="str">
        <f t="shared" si="312"/>
        <v>FALSE</v>
      </c>
      <c r="AP2777" s="10" t="str">
        <f t="shared" si="312"/>
        <v>y=0.1051*2.46^2+65.423*2.46-19.469</v>
      </c>
      <c r="AQ2777" s="10" t="b">
        <f>IF(AND(I2777="TP",S2777&lt;=150),VLOOKUP(AF2777,TPCalibEq150!$AZ$2:$BB$55,3,),IF(AND(I2777="TDP",S2777&lt;=150),VLOOKUP(AF2777,TPCalibEq150!$AZ$2:$BB$55,3,)))</f>
        <v>0</v>
      </c>
      <c r="AR2777" s="10" t="str">
        <f>IF(AND(I2777="TP",S2777&lt;=300),VLOOKUP(AF2777,TPCalibEq300!$AZ$2:$BB$55,3,),IF(AND(I2777="TDP",S2777&lt;=300),VLOOKUP(AF2777,TPCalibEq300!$AZ$2:$BB$55,3,)))</f>
        <v>y=-2.9408x2+89.45x-43.664</v>
      </c>
      <c r="AS2777" s="10" t="str">
        <f>IF(AND(I2777="TP",S2777&lt;=500),VLOOKUP(AF2777,TPCalibEq500!$AZ$2:$BB$56,3,),IF(AND(I2777="TDP",S2777&lt;=500),VLOOKUP(AF2777,TPCalibEq500!$AZ$2:$BB$56,3,)))</f>
        <v>y=-1.7314x2+83.401x-37.87</v>
      </c>
      <c r="AT2777" s="10" t="b">
        <f>IF(AND(I2777="TN",S2777&lt;=2800),VLOOKUP(AF2777,TNCalibEq2500!$AZ$2:$BB$56,3,),IF(AND(I2777="TDN",S2777&lt;=2800),VLOOKUP(AF2777,TNCalibEq2500!$AZ$2:$BB$56,3,)))</f>
        <v>0</v>
      </c>
      <c r="AU2777" s="10" t="str">
        <f>IF(I2777="TP",VLOOKUP(AF2777,TPCalibEqFull!$AZ$2:$BB$56,3),IF(I2777="TDP",VLOOKUP(AF2777,TPCalibEqFull!$AZ$2:$BB$56,3),IF(I2777="TDN",VLOOKUP(AF2777,TNCalibEqFull!$AZ$1:$BB$56,3),IF(I2777="TN",VLOOKUP(AF2777,TNCalibEqFull!$AZ$1:$BB$56,3),FALSE))))</f>
        <v>y=0.1051x2+65.423x-19.469</v>
      </c>
      <c r="AV2777" s="10" t="str">
        <f t="shared" si="317"/>
        <v>0207 05:28:00-HST-0-C-1-SW-DUP</v>
      </c>
    </row>
    <row r="2778" spans="1:48" s="10" customFormat="1" x14ac:dyDescent="0.55000000000000004">
      <c r="A2778" s="32">
        <v>44964</v>
      </c>
      <c r="B2778" s="33">
        <v>0.22777777777777777</v>
      </c>
      <c r="C2778" s="10" t="s">
        <v>912</v>
      </c>
      <c r="D2778" s="10">
        <v>0</v>
      </c>
      <c r="E2778" s="10" t="s">
        <v>190</v>
      </c>
      <c r="F2778" s="10">
        <v>1</v>
      </c>
      <c r="G2778" s="10" t="s">
        <v>231</v>
      </c>
      <c r="H2778" s="10" t="s">
        <v>314</v>
      </c>
      <c r="I2778" s="10" t="s">
        <v>83</v>
      </c>
      <c r="J2778" s="10">
        <v>119</v>
      </c>
      <c r="K2778" s="12">
        <v>44966</v>
      </c>
      <c r="L2778" s="33">
        <v>0.58193287037037034</v>
      </c>
      <c r="M2778" s="10">
        <v>1</v>
      </c>
      <c r="N2778" s="10" t="s">
        <v>84</v>
      </c>
      <c r="O2778" s="10">
        <v>15.4</v>
      </c>
      <c r="P2778" s="10">
        <v>1.1000000000000001</v>
      </c>
      <c r="Q2778" s="10">
        <v>1010</v>
      </c>
      <c r="R2778" s="10" t="s">
        <v>85</v>
      </c>
      <c r="S2778" s="34">
        <f t="shared" si="314"/>
        <v>1012.970716</v>
      </c>
      <c r="T2778" s="10" t="s">
        <v>1201</v>
      </c>
      <c r="U2778" s="34">
        <f t="shared" si="315"/>
        <v>85.438426128000003</v>
      </c>
      <c r="V2778" s="31">
        <f>IF(H2778="CHK",VLOOKUP(I2778,QCCHK,3,),IF(H2778="GUP",VLOOKUP(E2778,QCGUP,2,),IF(AND(H2778="ATP",OR(I2778="TN",I2778="TDN",I2778="TNO2-3",I2778="NO2-3")),VLOOKUP(E2778,QCREC_N,2,),IF(AND(H2778="NIC",OR(I2778="TN",I2778="TDN",I2778="TNO2-3",I2778="NO2-3")),VLOOKUP(E2778,QCNIC_N,2,),IF(AND(H2778="UREA",OR(I2778="TN",I2778="TDN",I2778="TNO2-3",I2778="NO2-3")),VLOOKUP(E2778,QCUREA_N,2,),IF(H2778="PER",VLOOKUP(I2778,QCPER,MATCH(E2778,QCACTUAL!$J$25:$AA$25,0),),IF(H2778="SPK",VLOOKUP(I2778,QCSPK,3,),IF(AND(H2778="ATP",OR(I2778="TP",I2778="TDP")),VLOOKUP(E2778,QCATP_P,2,),""))))))))</f>
        <v>1000</v>
      </c>
      <c r="W2778" s="31" t="str">
        <f t="shared" si="316"/>
        <v>TRUE</v>
      </c>
      <c r="X2778" s="31" t="str">
        <f t="shared" si="313"/>
        <v>([spikedunkn]-[unkn])/[spike]*100</v>
      </c>
      <c r="Y2778" s="10" t="s">
        <v>1188</v>
      </c>
      <c r="Z2778" s="10" t="s">
        <v>910</v>
      </c>
      <c r="AF2778" s="12">
        <v>44966</v>
      </c>
      <c r="AK2778" s="10">
        <f>0.1051*15.4^2+65.423*15.4-19.469</f>
        <v>1012.970716</v>
      </c>
      <c r="AL2778" s="10" t="str">
        <f t="shared" si="311"/>
        <v>FALSE</v>
      </c>
      <c r="AM2778" s="10" t="str">
        <f t="shared" si="311"/>
        <v>FALSE</v>
      </c>
      <c r="AN2778" s="10" t="str">
        <f t="shared" si="311"/>
        <v>FALSE</v>
      </c>
      <c r="AO2778" s="10" t="str">
        <f t="shared" si="312"/>
        <v>FALSE</v>
      </c>
      <c r="AP2778" s="10" t="str">
        <f t="shared" si="312"/>
        <v>y=0.1051*15.4^2+65.423*15.4-19.469</v>
      </c>
      <c r="AQ2778" s="10" t="b">
        <f>IF(AND(I2778="TP",S2778&lt;=150),VLOOKUP(AF2778,TPCalibEq150!$AZ$2:$BB$55,3,),IF(AND(I2778="TDP",S2778&lt;=150),VLOOKUP(AF2778,TPCalibEq150!$AZ$2:$BB$55,3,)))</f>
        <v>0</v>
      </c>
      <c r="AR2778" s="10" t="b">
        <f>IF(AND(I2778="TP",S2778&lt;=300),VLOOKUP(AF2778,TPCalibEq300!$AZ$2:$BB$55,3,),IF(AND(I2778="TDP",S2778&lt;=300),VLOOKUP(AF2778,TPCalibEq300!$AZ$2:$BB$55,3,)))</f>
        <v>0</v>
      </c>
      <c r="AS2778" s="10" t="b">
        <f>IF(AND(I2778="TP",S2778&lt;=500),VLOOKUP(AF2778,TPCalibEq500!$AZ$2:$BB$56,3,),IF(AND(I2778="TDP",S2778&lt;=500),VLOOKUP(AF2778,TPCalibEq500!$AZ$2:$BB$56,3,)))</f>
        <v>0</v>
      </c>
      <c r="AT2778" s="10" t="b">
        <f>IF(AND(I2778="TN",S2778&lt;=2800),VLOOKUP(AF2778,TNCalibEq2500!$AZ$2:$BB$56,3,),IF(AND(I2778="TDN",S2778&lt;=2800),VLOOKUP(AF2778,TNCalibEq2500!$AZ$2:$BB$56,3,)))</f>
        <v>0</v>
      </c>
      <c r="AU2778" s="10" t="str">
        <f>IF(I2778="TP",VLOOKUP(AF2778,TPCalibEqFull!$AZ$2:$BB$56,3),IF(I2778="TDP",VLOOKUP(AF2778,TPCalibEqFull!$AZ$2:$BB$56,3),IF(I2778="TDN",VLOOKUP(AF2778,TNCalibEqFull!$AZ$1:$BB$56,3),IF(I2778="TN",VLOOKUP(AF2778,TNCalibEqFull!$AZ$1:$BB$56,3),FALSE))))</f>
        <v>y=0.1051x2+65.423x-19.469</v>
      </c>
      <c r="AV2778" s="10" t="str">
        <f t="shared" si="317"/>
        <v>0207 05:28:00-HST -0-C-1-SW-SPK</v>
      </c>
    </row>
    <row r="2779" spans="1:48" s="10" customFormat="1" x14ac:dyDescent="0.55000000000000004">
      <c r="A2779" s="32">
        <v>44966</v>
      </c>
      <c r="B2779" s="33">
        <v>0.375</v>
      </c>
      <c r="C2779" s="10" t="s">
        <v>70</v>
      </c>
      <c r="D2779" s="10" t="s">
        <v>71</v>
      </c>
      <c r="E2779" s="10" t="s">
        <v>901</v>
      </c>
      <c r="F2779" s="10">
        <v>1</v>
      </c>
      <c r="G2779" s="10" t="s">
        <v>73</v>
      </c>
      <c r="H2779" s="10" t="s">
        <v>207</v>
      </c>
      <c r="I2779" s="10" t="s">
        <v>83</v>
      </c>
      <c r="J2779" s="10">
        <v>199</v>
      </c>
      <c r="K2779" s="12">
        <v>44966</v>
      </c>
      <c r="L2779" s="33">
        <v>0.58263888888888882</v>
      </c>
      <c r="M2779" s="10">
        <v>1</v>
      </c>
      <c r="N2779" s="10" t="s">
        <v>84</v>
      </c>
      <c r="O2779" s="10">
        <v>7.77</v>
      </c>
      <c r="P2779" s="10">
        <v>0.56499999999999995</v>
      </c>
      <c r="Q2779" s="10">
        <v>495</v>
      </c>
      <c r="R2779" s="10" t="s">
        <v>85</v>
      </c>
      <c r="S2779" s="34">
        <f t="shared" si="314"/>
        <v>505.62613093999994</v>
      </c>
      <c r="T2779" s="10" t="s">
        <v>1201</v>
      </c>
      <c r="U2779" s="34">
        <f t="shared" si="315"/>
        <v>101.125226188</v>
      </c>
      <c r="V2779" s="31">
        <f>IF(H2779="CHK",VLOOKUP(I2779,QCCHK,3,),IF(H2779="GUP",VLOOKUP(E2779,QCGUP,2,),IF(AND(H2779="ATP",OR(I2779="TN",I2779="TDN",I2779="TNO2-3",I2779="NO2-3")),VLOOKUP(E2779,QCREC_N,2,),IF(AND(H2779="NIC",OR(I2779="TN",I2779="TDN",I2779="TNO2-3",I2779="NO2-3")),VLOOKUP(E2779,QCNIC_N,2,),IF(AND(H2779="UREA",OR(I2779="TN",I2779="TDN",I2779="TNO2-3",I2779="NO2-3")),VLOOKUP(E2779,QCUREA_N,2,),IF(H2779="PER",VLOOKUP(I2779,QCPER,MATCH(E2779,QCACTUAL!$J$25:$AA$25,0),),IF(H2779="SPK",VLOOKUP(I2779,QCSPK,3,),IF(AND(H2779="ATP",OR(I2779="TP",I2779="TDP")),VLOOKUP(E2779,QCATP_P,2,),""))))))))</f>
        <v>500</v>
      </c>
      <c r="W2779" s="31" t="str">
        <f t="shared" si="316"/>
        <v>TRUE</v>
      </c>
      <c r="X2779" s="31" t="str">
        <f t="shared" si="313"/>
        <v>[chk]/[actual]*100</v>
      </c>
      <c r="Y2779" s="10" t="s">
        <v>1188</v>
      </c>
      <c r="AF2779" s="12">
        <v>44966</v>
      </c>
      <c r="AI2779" s="10">
        <f>-1.7314*7.77^2+83.401*7.77-37.87</f>
        <v>505.62613093999994</v>
      </c>
      <c r="AK2779" s="10">
        <f>0.1051*7.77^2+65.423*7.77-19.469</f>
        <v>495.21290178999999</v>
      </c>
      <c r="AL2779" s="10" t="str">
        <f t="shared" si="311"/>
        <v>FALSE</v>
      </c>
      <c r="AM2779" s="10" t="str">
        <f t="shared" si="311"/>
        <v>FALSE</v>
      </c>
      <c r="AN2779" s="10" t="str">
        <f t="shared" si="311"/>
        <v>FALSE</v>
      </c>
      <c r="AO2779" s="10" t="str">
        <f t="shared" si="312"/>
        <v>FALSE</v>
      </c>
      <c r="AP2779" s="10" t="str">
        <f t="shared" si="312"/>
        <v>y=0.1051*7.77^2+65.423*7.77-19.469</v>
      </c>
      <c r="AQ2779" s="10" t="b">
        <f>IF(AND(I2779="TP",S2779&lt;=150),VLOOKUP(AF2779,TPCalibEq150!$AZ$2:$BB$55,3,),IF(AND(I2779="TDP",S2779&lt;=150),VLOOKUP(AF2779,TPCalibEq150!$AZ$2:$BB$55,3,)))</f>
        <v>0</v>
      </c>
      <c r="AR2779" s="10" t="b">
        <f>IF(AND(I2779="TP",S2779&lt;=300),VLOOKUP(AF2779,TPCalibEq300!$AZ$2:$BB$55,3,),IF(AND(I2779="TDP",S2779&lt;=300),VLOOKUP(AF2779,TPCalibEq300!$AZ$2:$BB$55,3,)))</f>
        <v>0</v>
      </c>
      <c r="AS2779" s="10" t="b">
        <f>IF(AND(I2779="TP",S2779&lt;=500),VLOOKUP(AF2779,TPCalibEq500!$AZ$2:$BB$56,3,),IF(AND(I2779="TDP",S2779&lt;=500),VLOOKUP(AF2779,TPCalibEq500!$AZ$2:$BB$56,3,)))</f>
        <v>0</v>
      </c>
      <c r="AT2779" s="10" t="b">
        <f>IF(AND(I2779="TN",S2779&lt;=2800),VLOOKUP(AF2779,TNCalibEq2500!$AZ$2:$BB$56,3,),IF(AND(I2779="TDN",S2779&lt;=2800),VLOOKUP(AF2779,TNCalibEq2500!$AZ$2:$BB$56,3,)))</f>
        <v>0</v>
      </c>
      <c r="AU2779" s="10" t="str">
        <f>IF(I2779="TP",VLOOKUP(AF2779,TPCalibEqFull!$AZ$2:$BB$56,3),IF(I2779="TDP",VLOOKUP(AF2779,TPCalibEqFull!$AZ$2:$BB$56,3),IF(I2779="TDN",VLOOKUP(AF2779,TNCalibEqFull!$AZ$1:$BB$56,3),IF(I2779="TN",VLOOKUP(AF2779,TNCalibEqFull!$AZ$1:$BB$56,3),FALSE))))</f>
        <v>y=0.1051x2+65.423x-19.469</v>
      </c>
      <c r="AV2779" s="10" t="str">
        <f t="shared" si="317"/>
        <v>0209 09:00:00-QAC-STD-D-1-DI-CHK</v>
      </c>
    </row>
    <row r="2780" spans="1:48" s="10" customFormat="1" x14ac:dyDescent="0.55000000000000004">
      <c r="A2780" s="32">
        <v>44963</v>
      </c>
      <c r="B2780" s="33">
        <v>0.33749999999999997</v>
      </c>
      <c r="C2780" s="10" t="s">
        <v>998</v>
      </c>
      <c r="D2780" s="10">
        <v>0</v>
      </c>
      <c r="E2780" s="10" t="s">
        <v>190</v>
      </c>
      <c r="F2780" s="10">
        <v>1</v>
      </c>
      <c r="G2780" s="10" t="s">
        <v>231</v>
      </c>
      <c r="H2780" s="10" t="s">
        <v>322</v>
      </c>
      <c r="I2780" s="10" t="s">
        <v>83</v>
      </c>
      <c r="J2780" s="10">
        <v>11</v>
      </c>
      <c r="K2780" s="12">
        <v>44966</v>
      </c>
      <c r="L2780" s="33">
        <v>0.58332175925925933</v>
      </c>
      <c r="M2780" s="10">
        <v>1</v>
      </c>
      <c r="N2780" s="10" t="s">
        <v>84</v>
      </c>
      <c r="O2780" s="10">
        <v>4.49</v>
      </c>
      <c r="P2780" s="10">
        <v>0.32300000000000001</v>
      </c>
      <c r="Q2780" s="10">
        <v>277</v>
      </c>
      <c r="R2780" s="10" t="s">
        <v>85</v>
      </c>
      <c r="S2780" s="34">
        <f t="shared" si="314"/>
        <v>301.69529286</v>
      </c>
      <c r="T2780" s="10" t="s">
        <v>1201</v>
      </c>
      <c r="U2780" s="34" t="str">
        <f t="shared" si="315"/>
        <v/>
      </c>
      <c r="V2780" s="31" t="str">
        <f>IF(H2780="CHK",VLOOKUP(I2780,QCCHK,3,),IF(H2780="GUP",VLOOKUP(E2780,QCGUP,2,),IF(AND(H2780="ATP",OR(I2780="TN",I2780="TDN",I2780="TNO2-3",I2780="NO2-3")),VLOOKUP(E2780,QCREC_N,2,),IF(AND(H2780="NIC",OR(I2780="TN",I2780="TDN",I2780="TNO2-3",I2780="NO2-3")),VLOOKUP(E2780,QCNIC_N,2,),IF(AND(H2780="UREA",OR(I2780="TN",I2780="TDN",I2780="TNO2-3",I2780="NO2-3")),VLOOKUP(E2780,QCUREA_N,2,),IF(H2780="PER",VLOOKUP(I2780,QCPER,MATCH(E2780,QCACTUAL!$J$25:$AA$25,0),),IF(H2780="SPK",VLOOKUP(I2780,QCSPK,3,),IF(AND(H2780="ATP",OR(I2780="TP",I2780="TDP")),VLOOKUP(E2780,QCATP_P,2,),""))))))))</f>
        <v/>
      </c>
      <c r="W2780" s="31" t="str">
        <f t="shared" si="316"/>
        <v>TRUE</v>
      </c>
      <c r="X2780" s="31" t="str">
        <f t="shared" si="313"/>
        <v/>
      </c>
      <c r="Y2780" s="10" t="s">
        <v>1188</v>
      </c>
      <c r="Z2780" s="10" t="s">
        <v>910</v>
      </c>
      <c r="AF2780" s="12">
        <v>44966</v>
      </c>
      <c r="AH2780" s="10">
        <f>-2.9408*4.49^2+89.45*4.49-43.664</f>
        <v>298.67967792000002</v>
      </c>
      <c r="AI2780" s="10">
        <f>-1.7314*4.49^2+83.401*4.49-37.87</f>
        <v>301.69529286</v>
      </c>
      <c r="AK2780" s="10">
        <f>0.1051*4.49^2+65.423*4.49-19.469</f>
        <v>276.39909651000005</v>
      </c>
      <c r="AL2780" s="10" t="str">
        <f t="shared" si="311"/>
        <v>FALSE</v>
      </c>
      <c r="AM2780" s="10" t="str">
        <f t="shared" si="311"/>
        <v>FALSE</v>
      </c>
      <c r="AN2780" s="10" t="str">
        <f t="shared" si="311"/>
        <v>y=-1.7314*4.49^2+83.401*4.49-37.87</v>
      </c>
      <c r="AO2780" s="10" t="str">
        <f t="shared" si="312"/>
        <v>FALSE</v>
      </c>
      <c r="AP2780" s="10" t="str">
        <f t="shared" si="312"/>
        <v>y=0.1051*4.49^2+65.423*4.49-19.469</v>
      </c>
      <c r="AQ2780" s="10" t="b">
        <f>IF(AND(I2780="TP",S2780&lt;=150),VLOOKUP(AF2780,TPCalibEq150!$AZ$2:$BB$55,3,),IF(AND(I2780="TDP",S2780&lt;=150),VLOOKUP(AF2780,TPCalibEq150!$AZ$2:$BB$55,3,)))</f>
        <v>0</v>
      </c>
      <c r="AR2780" s="10" t="b">
        <f>IF(AND(I2780="TP",S2780&lt;=300),VLOOKUP(AF2780,TPCalibEq300!$AZ$2:$BB$55,3,),IF(AND(I2780="TDP",S2780&lt;=300),VLOOKUP(AF2780,TPCalibEq300!$AZ$2:$BB$55,3,)))</f>
        <v>0</v>
      </c>
      <c r="AS2780" s="10" t="str">
        <f>IF(AND(I2780="TP",S2780&lt;=500),VLOOKUP(AF2780,TPCalibEq500!$AZ$2:$BB$56,3,),IF(AND(I2780="TDP",S2780&lt;=500),VLOOKUP(AF2780,TPCalibEq500!$AZ$2:$BB$56,3,)))</f>
        <v>y=-1.7314x2+83.401x-37.87</v>
      </c>
      <c r="AT2780" s="10" t="b">
        <f>IF(AND(I2780="TN",S2780&lt;=2800),VLOOKUP(AF2780,TNCalibEq2500!$AZ$2:$BB$56,3,),IF(AND(I2780="TDN",S2780&lt;=2800),VLOOKUP(AF2780,TNCalibEq2500!$AZ$2:$BB$56,3,)))</f>
        <v>0</v>
      </c>
      <c r="AU2780" s="10" t="str">
        <f>IF(I2780="TP",VLOOKUP(AF2780,TPCalibEqFull!$AZ$2:$BB$56,3),IF(I2780="TDP",VLOOKUP(AF2780,TPCalibEqFull!$AZ$2:$BB$56,3),IF(I2780="TDN",VLOOKUP(AF2780,TNCalibEqFull!$AZ$1:$BB$56,3),IF(I2780="TN",VLOOKUP(AF2780,TNCalibEqFull!$AZ$1:$BB$56,3),FALSE))))</f>
        <v>y=0.1051x2+65.423x-19.469</v>
      </c>
      <c r="AV2780" s="10" t="str">
        <f t="shared" si="317"/>
        <v>0206 08:06:00-ELW-0-C-1-SW-UKN</v>
      </c>
    </row>
    <row r="2781" spans="1:48" s="10" customFormat="1" x14ac:dyDescent="0.55000000000000004">
      <c r="A2781" s="32">
        <v>44963</v>
      </c>
      <c r="B2781" s="33">
        <v>0.34930555555555554</v>
      </c>
      <c r="C2781" s="10" t="s">
        <v>260</v>
      </c>
      <c r="D2781" s="10">
        <v>0</v>
      </c>
      <c r="E2781" s="10" t="s">
        <v>190</v>
      </c>
      <c r="F2781" s="10">
        <v>1</v>
      </c>
      <c r="G2781" s="10" t="s">
        <v>231</v>
      </c>
      <c r="H2781" s="10" t="s">
        <v>322</v>
      </c>
      <c r="I2781" s="10" t="s">
        <v>83</v>
      </c>
      <c r="J2781" s="10">
        <v>12</v>
      </c>
      <c r="K2781" s="12">
        <v>44966</v>
      </c>
      <c r="L2781" s="33">
        <v>0.58401620370370366</v>
      </c>
      <c r="M2781" s="10">
        <v>1</v>
      </c>
      <c r="N2781" s="10" t="s">
        <v>84</v>
      </c>
      <c r="O2781" s="10">
        <v>5.62</v>
      </c>
      <c r="P2781" s="10">
        <v>0.40600000000000003</v>
      </c>
      <c r="Q2781" s="10">
        <v>352</v>
      </c>
      <c r="R2781" s="10" t="s">
        <v>85</v>
      </c>
      <c r="S2781" s="34">
        <f t="shared" si="314"/>
        <v>376.15838983999998</v>
      </c>
      <c r="T2781" s="10" t="s">
        <v>1201</v>
      </c>
      <c r="U2781" s="34" t="str">
        <f t="shared" si="315"/>
        <v/>
      </c>
      <c r="V2781" s="31" t="str">
        <f>IF(H2781="CHK",VLOOKUP(I2781,QCCHK,3,),IF(H2781="GUP",VLOOKUP(E2781,QCGUP,2,),IF(AND(H2781="ATP",OR(I2781="TN",I2781="TDN",I2781="TNO2-3",I2781="NO2-3")),VLOOKUP(E2781,QCREC_N,2,),IF(AND(H2781="NIC",OR(I2781="TN",I2781="TDN",I2781="TNO2-3",I2781="NO2-3")),VLOOKUP(E2781,QCNIC_N,2,),IF(AND(H2781="UREA",OR(I2781="TN",I2781="TDN",I2781="TNO2-3",I2781="NO2-3")),VLOOKUP(E2781,QCUREA_N,2,),IF(H2781="PER",VLOOKUP(I2781,QCPER,MATCH(E2781,QCACTUAL!$J$25:$AA$25,0),),IF(H2781="SPK",VLOOKUP(I2781,QCSPK,3,),IF(AND(H2781="ATP",OR(I2781="TP",I2781="TDP")),VLOOKUP(E2781,QCATP_P,2,),""))))))))</f>
        <v/>
      </c>
      <c r="W2781" s="31" t="str">
        <f t="shared" si="316"/>
        <v>TRUE</v>
      </c>
      <c r="X2781" s="31" t="str">
        <f t="shared" si="313"/>
        <v/>
      </c>
      <c r="Y2781" s="10" t="s">
        <v>1188</v>
      </c>
      <c r="Z2781" s="10" t="s">
        <v>910</v>
      </c>
      <c r="AF2781" s="12">
        <v>44966</v>
      </c>
      <c r="AI2781" s="10">
        <f>-1.7314*5.62^2+83.401*5.62-37.87</f>
        <v>376.15838983999998</v>
      </c>
      <c r="AK2781" s="10">
        <f>0.1051*5.62^2+65.423*5.62-19.469</f>
        <v>351.52778044000002</v>
      </c>
      <c r="AL2781" s="10" t="str">
        <f t="shared" si="311"/>
        <v>FALSE</v>
      </c>
      <c r="AM2781" s="10" t="str">
        <f t="shared" si="311"/>
        <v>FALSE</v>
      </c>
      <c r="AN2781" s="10" t="str">
        <f t="shared" si="311"/>
        <v>y=-1.7314*5.62^2+83.401*5.62-37.87</v>
      </c>
      <c r="AO2781" s="10" t="str">
        <f t="shared" si="312"/>
        <v>FALSE</v>
      </c>
      <c r="AP2781" s="10" t="str">
        <f t="shared" si="312"/>
        <v>y=0.1051*5.62^2+65.423*5.62-19.469</v>
      </c>
      <c r="AQ2781" s="10" t="b">
        <f>IF(AND(I2781="TP",S2781&lt;=150),VLOOKUP(AF2781,TPCalibEq150!$AZ$2:$BB$55,3,),IF(AND(I2781="TDP",S2781&lt;=150),VLOOKUP(AF2781,TPCalibEq150!$AZ$2:$BB$55,3,)))</f>
        <v>0</v>
      </c>
      <c r="AR2781" s="10" t="b">
        <f>IF(AND(I2781="TP",S2781&lt;=300),VLOOKUP(AF2781,TPCalibEq300!$AZ$2:$BB$55,3,),IF(AND(I2781="TDP",S2781&lt;=300),VLOOKUP(AF2781,TPCalibEq300!$AZ$2:$BB$55,3,)))</f>
        <v>0</v>
      </c>
      <c r="AS2781" s="10" t="str">
        <f>IF(AND(I2781="TP",S2781&lt;=500),VLOOKUP(AF2781,TPCalibEq500!$AZ$2:$BB$56,3,),IF(AND(I2781="TDP",S2781&lt;=500),VLOOKUP(AF2781,TPCalibEq500!$AZ$2:$BB$56,3,)))</f>
        <v>y=-1.7314x2+83.401x-37.87</v>
      </c>
      <c r="AT2781" s="10" t="b">
        <f>IF(AND(I2781="TN",S2781&lt;=2800),VLOOKUP(AF2781,TNCalibEq2500!$AZ$2:$BB$56,3,),IF(AND(I2781="TDN",S2781&lt;=2800),VLOOKUP(AF2781,TNCalibEq2500!$AZ$2:$BB$56,3,)))</f>
        <v>0</v>
      </c>
      <c r="AU2781" s="10" t="str">
        <f>IF(I2781="TP",VLOOKUP(AF2781,TPCalibEqFull!$AZ$2:$BB$56,3),IF(I2781="TDP",VLOOKUP(AF2781,TPCalibEqFull!$AZ$2:$BB$56,3),IF(I2781="TDN",VLOOKUP(AF2781,TNCalibEqFull!$AZ$1:$BB$56,3),IF(I2781="TN",VLOOKUP(AF2781,TNCalibEqFull!$AZ$1:$BB$56,3),FALSE))))</f>
        <v>y=0.1051x2+65.423x-19.469</v>
      </c>
      <c r="AV2781" s="10" t="str">
        <f t="shared" si="317"/>
        <v>0206 08:23:00-EFC-0-C-1-SW-UKN</v>
      </c>
    </row>
    <row r="2782" spans="1:48" s="10" customFormat="1" x14ac:dyDescent="0.55000000000000004">
      <c r="A2782" s="32">
        <v>44963</v>
      </c>
      <c r="B2782" s="33">
        <v>0.3611111111111111</v>
      </c>
      <c r="C2782" s="10" t="s">
        <v>543</v>
      </c>
      <c r="D2782" s="10">
        <v>0</v>
      </c>
      <c r="E2782" s="10" t="s">
        <v>190</v>
      </c>
      <c r="F2782" s="10">
        <v>1</v>
      </c>
      <c r="G2782" s="10" t="s">
        <v>231</v>
      </c>
      <c r="H2782" s="10" t="s">
        <v>322</v>
      </c>
      <c r="I2782" s="10" t="s">
        <v>83</v>
      </c>
      <c r="J2782" s="10">
        <v>13</v>
      </c>
      <c r="K2782" s="12">
        <v>44966</v>
      </c>
      <c r="L2782" s="33">
        <v>0.58469907407407407</v>
      </c>
      <c r="M2782" s="10">
        <v>1</v>
      </c>
      <c r="N2782" s="10" t="s">
        <v>84</v>
      </c>
      <c r="O2782" s="10">
        <v>0.64400000000000002</v>
      </c>
      <c r="P2782" s="10">
        <v>4.2799999999999998E-2</v>
      </c>
      <c r="Q2782" s="10">
        <v>23.7</v>
      </c>
      <c r="R2782" s="10" t="s">
        <v>85</v>
      </c>
      <c r="S2782" s="34">
        <f t="shared" si="314"/>
        <v>23.7</v>
      </c>
      <c r="T2782" s="10" t="s">
        <v>1201</v>
      </c>
      <c r="U2782" s="34" t="str">
        <f t="shared" si="315"/>
        <v/>
      </c>
      <c r="V2782" s="31" t="str">
        <f>IF(H2782="CHK",VLOOKUP(I2782,QCCHK,3,),IF(H2782="GUP",VLOOKUP(E2782,QCGUP,2,),IF(AND(H2782="ATP",OR(I2782="TN",I2782="TDN",I2782="TNO2-3",I2782="NO2-3")),VLOOKUP(E2782,QCREC_N,2,),IF(AND(H2782="NIC",OR(I2782="TN",I2782="TDN",I2782="TNO2-3",I2782="NO2-3")),VLOOKUP(E2782,QCNIC_N,2,),IF(AND(H2782="UREA",OR(I2782="TN",I2782="TDN",I2782="TNO2-3",I2782="NO2-3")),VLOOKUP(E2782,QCUREA_N,2,),IF(H2782="PER",VLOOKUP(I2782,QCPER,MATCH(E2782,QCACTUAL!$J$25:$AA$25,0),),IF(H2782="SPK",VLOOKUP(I2782,QCSPK,3,),IF(AND(H2782="ATP",OR(I2782="TP",I2782="TDP")),VLOOKUP(E2782,QCATP_P,2,),""))))))))</f>
        <v/>
      </c>
      <c r="W2782" s="31" t="str">
        <f t="shared" si="316"/>
        <v>TRUE</v>
      </c>
      <c r="X2782" s="31" t="str">
        <f t="shared" si="313"/>
        <v/>
      </c>
      <c r="Y2782" s="10" t="s">
        <v>1188</v>
      </c>
      <c r="Z2782" s="10" t="s">
        <v>910</v>
      </c>
      <c r="AF2782" s="12">
        <v>44966</v>
      </c>
      <c r="AG2782" s="10">
        <f>-11.204*0.644^2+113.68*0.644-55.283</f>
        <v>13.280217856000007</v>
      </c>
      <c r="AH2782" s="10">
        <f>-2.9408*0.644^2+89.45*0.644-43.664</f>
        <v>12.722144371200002</v>
      </c>
      <c r="AI2782" s="10">
        <f>-1.7314*0.644^2+83.401*0.644-37.87</f>
        <v>15.122170089599997</v>
      </c>
      <c r="AK2782" s="10">
        <f>0.1051*0.644^2+65.423*0.644-19.469</f>
        <v>22.707000753599999</v>
      </c>
      <c r="AL2782" s="10" t="str">
        <f t="shared" si="311"/>
        <v>y=-11.204*0.644^2+113.68*0.644-55.283</v>
      </c>
      <c r="AM2782" s="10" t="str">
        <f t="shared" si="311"/>
        <v>y=-2.9408*0.644^2+89.45*0.644-43.664</v>
      </c>
      <c r="AN2782" s="10" t="str">
        <f t="shared" si="311"/>
        <v>y=-1.7314*0.644^2+83.401*0.644-37.87</v>
      </c>
      <c r="AO2782" s="10" t="str">
        <f t="shared" si="312"/>
        <v>FALSE</v>
      </c>
      <c r="AP2782" s="10" t="str">
        <f t="shared" si="312"/>
        <v>y=0.1051*0.644^2+65.423*0.644-19.469</v>
      </c>
      <c r="AQ2782" s="10" t="str">
        <f>IF(AND(I2782="TP",S2782&lt;=150),VLOOKUP(AF2782,TPCalibEq150!$AZ$2:$BB$55,3,),IF(AND(I2782="TDP",S2782&lt;=150),VLOOKUP(AF2782,TPCalibEq150!$AZ$2:$BB$55,3,)))</f>
        <v>y=-11.204x2+113.68x-55.283</v>
      </c>
      <c r="AR2782" s="10" t="str">
        <f>IF(AND(I2782="TP",S2782&lt;=300),VLOOKUP(AF2782,TPCalibEq300!$AZ$2:$BB$55,3,),IF(AND(I2782="TDP",S2782&lt;=300),VLOOKUP(AF2782,TPCalibEq300!$AZ$2:$BB$55,3,)))</f>
        <v>y=-2.9408x2+89.45x-43.664</v>
      </c>
      <c r="AS2782" s="10" t="str">
        <f>IF(AND(I2782="TP",S2782&lt;=500),VLOOKUP(AF2782,TPCalibEq500!$AZ$2:$BB$56,3,),IF(AND(I2782="TDP",S2782&lt;=500),VLOOKUP(AF2782,TPCalibEq500!$AZ$2:$BB$56,3,)))</f>
        <v>y=-1.7314x2+83.401x-37.87</v>
      </c>
      <c r="AT2782" s="10" t="b">
        <f>IF(AND(I2782="TN",S2782&lt;=2800),VLOOKUP(AF2782,TNCalibEq2500!$AZ$2:$BB$56,3,),IF(AND(I2782="TDN",S2782&lt;=2800),VLOOKUP(AF2782,TNCalibEq2500!$AZ$2:$BB$56,3,)))</f>
        <v>0</v>
      </c>
      <c r="AU2782" s="10" t="str">
        <f>IF(I2782="TP",VLOOKUP(AF2782,TPCalibEqFull!$AZ$2:$BB$56,3),IF(I2782="TDP",VLOOKUP(AF2782,TPCalibEqFull!$AZ$2:$BB$56,3),IF(I2782="TDN",VLOOKUP(AF2782,TNCalibEqFull!$AZ$1:$BB$56,3),IF(I2782="TN",VLOOKUP(AF2782,TNCalibEqFull!$AZ$1:$BB$56,3),FALSE))))</f>
        <v>y=0.1051x2+65.423x-19.469</v>
      </c>
      <c r="AV2782" s="10" t="str">
        <f t="shared" si="317"/>
        <v>0206 08:40:00-SAR-0-C-1-SW-UKN</v>
      </c>
    </row>
    <row r="2783" spans="1:48" s="10" customFormat="1" x14ac:dyDescent="0.55000000000000004">
      <c r="A2783" s="32">
        <v>44963</v>
      </c>
      <c r="B2783" s="33">
        <v>0.37916666666666665</v>
      </c>
      <c r="C2783" s="10" t="s">
        <v>361</v>
      </c>
      <c r="D2783" s="10">
        <v>0</v>
      </c>
      <c r="E2783" s="10" t="s">
        <v>190</v>
      </c>
      <c r="F2783" s="10">
        <v>1</v>
      </c>
      <c r="G2783" s="10" t="s">
        <v>231</v>
      </c>
      <c r="H2783" s="10" t="s">
        <v>322</v>
      </c>
      <c r="I2783" s="10" t="s">
        <v>83</v>
      </c>
      <c r="J2783" s="10">
        <v>14</v>
      </c>
      <c r="K2783" s="12">
        <v>44966</v>
      </c>
      <c r="L2783" s="33">
        <v>0.58538194444444447</v>
      </c>
      <c r="M2783" s="10">
        <v>1</v>
      </c>
      <c r="N2783" s="10" t="s">
        <v>84</v>
      </c>
      <c r="O2783" s="10">
        <v>0.66800000000000004</v>
      </c>
      <c r="P2783" s="10">
        <v>4.4699999999999997E-2</v>
      </c>
      <c r="Q2783" s="10">
        <v>25.2</v>
      </c>
      <c r="R2783" s="10" t="s">
        <v>85</v>
      </c>
      <c r="S2783" s="34">
        <f t="shared" si="314"/>
        <v>25.2</v>
      </c>
      <c r="T2783" s="10" t="s">
        <v>1201</v>
      </c>
      <c r="U2783" s="34" t="str">
        <f t="shared" si="315"/>
        <v/>
      </c>
      <c r="V2783" s="31" t="str">
        <f>IF(H2783="CHK",VLOOKUP(I2783,QCCHK,3,),IF(H2783="GUP",VLOOKUP(E2783,QCGUP,2,),IF(AND(H2783="ATP",OR(I2783="TN",I2783="TDN",I2783="TNO2-3",I2783="NO2-3")),VLOOKUP(E2783,QCREC_N,2,),IF(AND(H2783="NIC",OR(I2783="TN",I2783="TDN",I2783="TNO2-3",I2783="NO2-3")),VLOOKUP(E2783,QCNIC_N,2,),IF(AND(H2783="UREA",OR(I2783="TN",I2783="TDN",I2783="TNO2-3",I2783="NO2-3")),VLOOKUP(E2783,QCUREA_N,2,),IF(H2783="PER",VLOOKUP(I2783,QCPER,MATCH(E2783,QCACTUAL!$J$25:$AA$25,0),),IF(H2783="SPK",VLOOKUP(I2783,QCSPK,3,),IF(AND(H2783="ATP",OR(I2783="TP",I2783="TDP")),VLOOKUP(E2783,QCATP_P,2,),""))))))))</f>
        <v/>
      </c>
      <c r="W2783" s="31" t="str">
        <f t="shared" si="316"/>
        <v>TRUE</v>
      </c>
      <c r="X2783" s="31" t="str">
        <f t="shared" si="313"/>
        <v/>
      </c>
      <c r="Y2783" s="10" t="s">
        <v>1188</v>
      </c>
      <c r="Z2783" s="10" t="s">
        <v>910</v>
      </c>
      <c r="AF2783" s="12">
        <v>44966</v>
      </c>
      <c r="AG2783" s="10">
        <f>-11.204*0.668^2+113.68*0.668-55.283</f>
        <v>15.655746304000004</v>
      </c>
      <c r="AH2783" s="10">
        <f>-2.9408*0.668^2+89.45*0.668-43.664</f>
        <v>14.776344460800004</v>
      </c>
      <c r="AI2783" s="10">
        <f>-1.7314*0.668^2+83.401*0.668-37.87</f>
        <v>17.069275766400004</v>
      </c>
      <c r="AK2783" s="10">
        <f>0.1051*0.668^2+65.423*0.668-19.469</f>
        <v>24.280462142400005</v>
      </c>
      <c r="AL2783" s="10" t="str">
        <f t="shared" si="311"/>
        <v>y=-11.204*0.668^2+113.68*0.668-55.283</v>
      </c>
      <c r="AM2783" s="10" t="str">
        <f t="shared" si="311"/>
        <v>y=-2.9408*0.668^2+89.45*0.668-43.664</v>
      </c>
      <c r="AN2783" s="10" t="str">
        <f t="shared" si="311"/>
        <v>y=-1.7314*0.668^2+83.401*0.668-37.87</v>
      </c>
      <c r="AO2783" s="10" t="str">
        <f t="shared" si="312"/>
        <v>FALSE</v>
      </c>
      <c r="AP2783" s="10" t="str">
        <f t="shared" si="312"/>
        <v>y=0.1051*0.668^2+65.423*0.668-19.469</v>
      </c>
      <c r="AQ2783" s="10" t="str">
        <f>IF(AND(I2783="TP",S2783&lt;=150),VLOOKUP(AF2783,TPCalibEq150!$AZ$2:$BB$55,3,),IF(AND(I2783="TDP",S2783&lt;=150),VLOOKUP(AF2783,TPCalibEq150!$AZ$2:$BB$55,3,)))</f>
        <v>y=-11.204x2+113.68x-55.283</v>
      </c>
      <c r="AR2783" s="10" t="str">
        <f>IF(AND(I2783="TP",S2783&lt;=300),VLOOKUP(AF2783,TPCalibEq300!$AZ$2:$BB$55,3,),IF(AND(I2783="TDP",S2783&lt;=300),VLOOKUP(AF2783,TPCalibEq300!$AZ$2:$BB$55,3,)))</f>
        <v>y=-2.9408x2+89.45x-43.664</v>
      </c>
      <c r="AS2783" s="10" t="str">
        <f>IF(AND(I2783="TP",S2783&lt;=500),VLOOKUP(AF2783,TPCalibEq500!$AZ$2:$BB$56,3,),IF(AND(I2783="TDP",S2783&lt;=500),VLOOKUP(AF2783,TPCalibEq500!$AZ$2:$BB$56,3,)))</f>
        <v>y=-1.7314x2+83.401x-37.87</v>
      </c>
      <c r="AT2783" s="10" t="b">
        <f>IF(AND(I2783="TN",S2783&lt;=2800),VLOOKUP(AF2783,TNCalibEq2500!$AZ$2:$BB$56,3,),IF(AND(I2783="TDN",S2783&lt;=2800),VLOOKUP(AF2783,TNCalibEq2500!$AZ$2:$BB$56,3,)))</f>
        <v>0</v>
      </c>
      <c r="AU2783" s="10" t="str">
        <f>IF(I2783="TP",VLOOKUP(AF2783,TPCalibEqFull!$AZ$2:$BB$56,3),IF(I2783="TDP",VLOOKUP(AF2783,TPCalibEqFull!$AZ$2:$BB$56,3),IF(I2783="TDN",VLOOKUP(AF2783,TNCalibEqFull!$AZ$1:$BB$56,3),IF(I2783="TN",VLOOKUP(AF2783,TNCalibEqFull!$AZ$1:$BB$56,3),FALSE))))</f>
        <v>y=0.1051x2+65.423x-19.469</v>
      </c>
      <c r="AV2783" s="10" t="str">
        <f t="shared" si="317"/>
        <v>0206 09:06:00-USR-0-C-1-SW-UKN</v>
      </c>
    </row>
    <row r="2784" spans="1:48" s="10" customFormat="1" x14ac:dyDescent="0.55000000000000004">
      <c r="A2784" s="32">
        <v>44963</v>
      </c>
      <c r="B2784" s="33">
        <v>0.39305555555555555</v>
      </c>
      <c r="C2784" s="10" t="s">
        <v>351</v>
      </c>
      <c r="D2784" s="10">
        <v>0</v>
      </c>
      <c r="E2784" s="10" t="s">
        <v>190</v>
      </c>
      <c r="F2784" s="10">
        <v>1</v>
      </c>
      <c r="G2784" s="10" t="s">
        <v>231</v>
      </c>
      <c r="H2784" s="10" t="s">
        <v>322</v>
      </c>
      <c r="I2784" s="10" t="s">
        <v>83</v>
      </c>
      <c r="J2784" s="10">
        <v>15</v>
      </c>
      <c r="K2784" s="12">
        <v>44966</v>
      </c>
      <c r="L2784" s="33">
        <v>0.58607638888888891</v>
      </c>
      <c r="M2784" s="10">
        <v>1</v>
      </c>
      <c r="N2784" s="10" t="s">
        <v>84</v>
      </c>
      <c r="O2784" s="10">
        <v>0.80500000000000005</v>
      </c>
      <c r="P2784" s="10">
        <v>5.45E-2</v>
      </c>
      <c r="Q2784" s="10">
        <v>34.200000000000003</v>
      </c>
      <c r="R2784" s="10" t="s">
        <v>85</v>
      </c>
      <c r="S2784" s="34">
        <f t="shared" si="314"/>
        <v>34.200000000000003</v>
      </c>
      <c r="T2784" s="10" t="s">
        <v>1201</v>
      </c>
      <c r="U2784" s="34" t="str">
        <f t="shared" si="315"/>
        <v/>
      </c>
      <c r="V2784" s="31" t="str">
        <f>IF(H2784="CHK",VLOOKUP(I2784,QCCHK,3,),IF(H2784="GUP",VLOOKUP(E2784,QCGUP,2,),IF(AND(H2784="ATP",OR(I2784="TN",I2784="TDN",I2784="TNO2-3",I2784="NO2-3")),VLOOKUP(E2784,QCREC_N,2,),IF(AND(H2784="NIC",OR(I2784="TN",I2784="TDN",I2784="TNO2-3",I2784="NO2-3")),VLOOKUP(E2784,QCNIC_N,2,),IF(AND(H2784="UREA",OR(I2784="TN",I2784="TDN",I2784="TNO2-3",I2784="NO2-3")),VLOOKUP(E2784,QCUREA_N,2,),IF(H2784="PER",VLOOKUP(I2784,QCPER,MATCH(E2784,QCACTUAL!$J$25:$AA$25,0),),IF(H2784="SPK",VLOOKUP(I2784,QCSPK,3,),IF(AND(H2784="ATP",OR(I2784="TP",I2784="TDP")),VLOOKUP(E2784,QCATP_P,2,),""))))))))</f>
        <v/>
      </c>
      <c r="W2784" s="31" t="str">
        <f t="shared" si="316"/>
        <v>TRUE</v>
      </c>
      <c r="X2784" s="31" t="str">
        <f t="shared" si="313"/>
        <v/>
      </c>
      <c r="Y2784" s="10" t="s">
        <v>1188</v>
      </c>
      <c r="Z2784" s="10" t="s">
        <v>910</v>
      </c>
      <c r="AF2784" s="12">
        <v>44966</v>
      </c>
      <c r="AG2784" s="10">
        <f>-11.204*0.805^2+113.68*0.805-55.283</f>
        <v>28.968927900000011</v>
      </c>
      <c r="AH2784" s="10">
        <f>-2.9408*0.805^2+89.45*0.805-43.664</f>
        <v>26.43753808000001</v>
      </c>
      <c r="AI2784" s="10">
        <f>-1.7314*0.805^2+83.401*0.805-37.87</f>
        <v>28.145814515000005</v>
      </c>
      <c r="AK2784" s="10">
        <f>0.1051*0.805^2+65.423*0.805-19.469</f>
        <v>33.264622427500008</v>
      </c>
      <c r="AL2784" s="10" t="str">
        <f t="shared" si="311"/>
        <v>y=-11.204*0.805^2+113.68*0.805-55.283</v>
      </c>
      <c r="AM2784" s="10" t="str">
        <f t="shared" si="311"/>
        <v>y=-2.9408*0.805^2+89.45*0.805-43.664</v>
      </c>
      <c r="AN2784" s="10" t="str">
        <f t="shared" si="311"/>
        <v>y=-1.7314*0.805^2+83.401*0.805-37.87</v>
      </c>
      <c r="AO2784" s="10" t="str">
        <f t="shared" si="312"/>
        <v>FALSE</v>
      </c>
      <c r="AP2784" s="10" t="str">
        <f t="shared" si="312"/>
        <v>y=0.1051*0.805^2+65.423*0.805-19.469</v>
      </c>
      <c r="AQ2784" s="10" t="str">
        <f>IF(AND(I2784="TP",S2784&lt;=150),VLOOKUP(AF2784,TPCalibEq150!$AZ$2:$BB$55,3,),IF(AND(I2784="TDP",S2784&lt;=150),VLOOKUP(AF2784,TPCalibEq150!$AZ$2:$BB$55,3,)))</f>
        <v>y=-11.204x2+113.68x-55.283</v>
      </c>
      <c r="AR2784" s="10" t="str">
        <f>IF(AND(I2784="TP",S2784&lt;=300),VLOOKUP(AF2784,TPCalibEq300!$AZ$2:$BB$55,3,),IF(AND(I2784="TDP",S2784&lt;=300),VLOOKUP(AF2784,TPCalibEq300!$AZ$2:$BB$55,3,)))</f>
        <v>y=-2.9408x2+89.45x-43.664</v>
      </c>
      <c r="AS2784" s="10" t="str">
        <f>IF(AND(I2784="TP",S2784&lt;=500),VLOOKUP(AF2784,TPCalibEq500!$AZ$2:$BB$56,3,),IF(AND(I2784="TDP",S2784&lt;=500),VLOOKUP(AF2784,TPCalibEq500!$AZ$2:$BB$56,3,)))</f>
        <v>y=-1.7314x2+83.401x-37.87</v>
      </c>
      <c r="AT2784" s="10" t="b">
        <f>IF(AND(I2784="TN",S2784&lt;=2800),VLOOKUP(AF2784,TNCalibEq2500!$AZ$2:$BB$56,3,),IF(AND(I2784="TDN",S2784&lt;=2800),VLOOKUP(AF2784,TNCalibEq2500!$AZ$2:$BB$56,3,)))</f>
        <v>0</v>
      </c>
      <c r="AU2784" s="10" t="str">
        <f>IF(I2784="TP",VLOOKUP(AF2784,TPCalibEqFull!$AZ$2:$BB$56,3),IF(I2784="TDP",VLOOKUP(AF2784,TPCalibEqFull!$AZ$2:$BB$56,3),IF(I2784="TDN",VLOOKUP(AF2784,TNCalibEqFull!$AZ$1:$BB$56,3),IF(I2784="TN",VLOOKUP(AF2784,TNCalibEqFull!$AZ$1:$BB$56,3),FALSE))))</f>
        <v>y=0.1051x2+65.423x-19.469</v>
      </c>
      <c r="AV2784" s="10" t="str">
        <f t="shared" si="317"/>
        <v>0206 09:26:00-SHC-0-C-1-SW-UKN</v>
      </c>
    </row>
    <row r="2785" spans="1:48" s="10" customFormat="1" x14ac:dyDescent="0.55000000000000004">
      <c r="A2785" s="32">
        <v>44963</v>
      </c>
      <c r="B2785" s="33">
        <v>0.4055555555555555</v>
      </c>
      <c r="C2785" s="10" t="s">
        <v>355</v>
      </c>
      <c r="D2785" s="10">
        <v>0</v>
      </c>
      <c r="E2785" s="10" t="s">
        <v>190</v>
      </c>
      <c r="F2785" s="10">
        <v>1</v>
      </c>
      <c r="G2785" s="10" t="s">
        <v>231</v>
      </c>
      <c r="H2785" s="10" t="s">
        <v>322</v>
      </c>
      <c r="I2785" s="10" t="s">
        <v>83</v>
      </c>
      <c r="J2785" s="10">
        <v>16</v>
      </c>
      <c r="K2785" s="12">
        <v>44966</v>
      </c>
      <c r="L2785" s="33">
        <v>0.58677083333333335</v>
      </c>
      <c r="M2785" s="10">
        <v>1</v>
      </c>
      <c r="N2785" s="10" t="s">
        <v>84</v>
      </c>
      <c r="O2785" s="10">
        <v>1.55</v>
      </c>
      <c r="P2785" s="10">
        <v>0.107</v>
      </c>
      <c r="Q2785" s="10">
        <v>83</v>
      </c>
      <c r="R2785" s="10" t="s">
        <v>85</v>
      </c>
      <c r="S2785" s="34">
        <f t="shared" si="314"/>
        <v>94.00339000000001</v>
      </c>
      <c r="T2785" s="10" t="s">
        <v>1201</v>
      </c>
      <c r="U2785" s="34" t="str">
        <f t="shared" si="315"/>
        <v/>
      </c>
      <c r="V2785" s="31" t="str">
        <f>IF(H2785="CHK",VLOOKUP(I2785,QCCHK,3,),IF(H2785="GUP",VLOOKUP(E2785,QCGUP,2,),IF(AND(H2785="ATP",OR(I2785="TN",I2785="TDN",I2785="TNO2-3",I2785="NO2-3")),VLOOKUP(E2785,QCREC_N,2,),IF(AND(H2785="NIC",OR(I2785="TN",I2785="TDN",I2785="TNO2-3",I2785="NO2-3")),VLOOKUP(E2785,QCNIC_N,2,),IF(AND(H2785="UREA",OR(I2785="TN",I2785="TDN",I2785="TNO2-3",I2785="NO2-3")),VLOOKUP(E2785,QCUREA_N,2,),IF(H2785="PER",VLOOKUP(I2785,QCPER,MATCH(E2785,QCACTUAL!$J$25:$AA$25,0),),IF(H2785="SPK",VLOOKUP(I2785,QCSPK,3,),IF(AND(H2785="ATP",OR(I2785="TP",I2785="TDP")),VLOOKUP(E2785,QCATP_P,2,),""))))))))</f>
        <v/>
      </c>
      <c r="W2785" s="31" t="str">
        <f t="shared" si="316"/>
        <v>TRUE</v>
      </c>
      <c r="X2785" s="31" t="str">
        <f t="shared" si="313"/>
        <v/>
      </c>
      <c r="Y2785" s="10" t="s">
        <v>1188</v>
      </c>
      <c r="Z2785" s="10" t="s">
        <v>910</v>
      </c>
      <c r="AF2785" s="12">
        <v>44966</v>
      </c>
      <c r="AG2785" s="10">
        <f>-11.204*1.55^2+113.68*1.55-55.283</f>
        <v>94.00339000000001</v>
      </c>
      <c r="AH2785" s="10">
        <f>-2.9408*1.55^2+89.45*1.55-43.664</f>
        <v>87.918228000000013</v>
      </c>
      <c r="AI2785" s="10">
        <f>-1.7314*1.55^2+83.401*1.55-37.87</f>
        <v>87.241861499999999</v>
      </c>
      <c r="AK2785" s="10">
        <f>0.1051*1.55^2+65.423*1.55-19.469</f>
        <v>82.189152750000005</v>
      </c>
      <c r="AL2785" s="10" t="str">
        <f t="shared" si="311"/>
        <v>y=-11.204*1.55^2+113.68*1.55-55.283</v>
      </c>
      <c r="AM2785" s="10" t="str">
        <f t="shared" si="311"/>
        <v>y=-2.9408*1.55^2+89.45*1.55-43.664</v>
      </c>
      <c r="AN2785" s="10" t="str">
        <f t="shared" si="311"/>
        <v>y=-1.7314*1.55^2+83.401*1.55-37.87</v>
      </c>
      <c r="AO2785" s="10" t="str">
        <f t="shared" si="312"/>
        <v>FALSE</v>
      </c>
      <c r="AP2785" s="10" t="str">
        <f t="shared" si="312"/>
        <v>y=0.1051*1.55^2+65.423*1.55-19.469</v>
      </c>
      <c r="AQ2785" s="10" t="str">
        <f>IF(AND(I2785="TP",S2785&lt;=150),VLOOKUP(AF2785,TPCalibEq150!$AZ$2:$BB$55,3,),IF(AND(I2785="TDP",S2785&lt;=150),VLOOKUP(AF2785,TPCalibEq150!$AZ$2:$BB$55,3,)))</f>
        <v>y=-11.204x2+113.68x-55.283</v>
      </c>
      <c r="AR2785" s="10" t="str">
        <f>IF(AND(I2785="TP",S2785&lt;=300),VLOOKUP(AF2785,TPCalibEq300!$AZ$2:$BB$55,3,),IF(AND(I2785="TDP",S2785&lt;=300),VLOOKUP(AF2785,TPCalibEq300!$AZ$2:$BB$55,3,)))</f>
        <v>y=-2.9408x2+89.45x-43.664</v>
      </c>
      <c r="AS2785" s="10" t="str">
        <f>IF(AND(I2785="TP",S2785&lt;=500),VLOOKUP(AF2785,TPCalibEq500!$AZ$2:$BB$56,3,),IF(AND(I2785="TDP",S2785&lt;=500),VLOOKUP(AF2785,TPCalibEq500!$AZ$2:$BB$56,3,)))</f>
        <v>y=-1.7314x2+83.401x-37.87</v>
      </c>
      <c r="AT2785" s="10" t="b">
        <f>IF(AND(I2785="TN",S2785&lt;=2800),VLOOKUP(AF2785,TNCalibEq2500!$AZ$2:$BB$56,3,),IF(AND(I2785="TDN",S2785&lt;=2800),VLOOKUP(AF2785,TNCalibEq2500!$AZ$2:$BB$56,3,)))</f>
        <v>0</v>
      </c>
      <c r="AU2785" s="10" t="str">
        <f>IF(I2785="TP",VLOOKUP(AF2785,TPCalibEqFull!$AZ$2:$BB$56,3),IF(I2785="TDP",VLOOKUP(AF2785,TPCalibEqFull!$AZ$2:$BB$56,3),IF(I2785="TDN",VLOOKUP(AF2785,TNCalibEqFull!$AZ$1:$BB$56,3),IF(I2785="TN",VLOOKUP(AF2785,TNCalibEqFull!$AZ$1:$BB$56,3),FALSE))))</f>
        <v>y=0.1051x2+65.423x-19.469</v>
      </c>
      <c r="AV2785" s="10" t="str">
        <f t="shared" si="317"/>
        <v>0206 09:44:00-SLT-0-C-1-SW-UKN</v>
      </c>
    </row>
    <row r="2786" spans="1:48" s="10" customFormat="1" x14ac:dyDescent="0.55000000000000004">
      <c r="A2786" s="32">
        <v>44963</v>
      </c>
      <c r="B2786" s="33">
        <v>0.4236111111111111</v>
      </c>
      <c r="C2786" s="10" t="s">
        <v>310</v>
      </c>
      <c r="D2786" s="10">
        <v>0</v>
      </c>
      <c r="E2786" s="10">
        <v>580</v>
      </c>
      <c r="F2786" s="10">
        <v>1</v>
      </c>
      <c r="G2786" s="10" t="s">
        <v>231</v>
      </c>
      <c r="H2786" s="10" t="s">
        <v>322</v>
      </c>
      <c r="I2786" s="10" t="s">
        <v>83</v>
      </c>
      <c r="J2786" s="10">
        <v>17</v>
      </c>
      <c r="K2786" s="12">
        <v>44966</v>
      </c>
      <c r="L2786" s="33">
        <v>0.58746527777777779</v>
      </c>
      <c r="M2786" s="10">
        <v>1</v>
      </c>
      <c r="N2786" s="10" t="s">
        <v>84</v>
      </c>
      <c r="O2786" s="10">
        <v>2.64</v>
      </c>
      <c r="P2786" s="10">
        <v>0.188</v>
      </c>
      <c r="Q2786" s="10">
        <v>155</v>
      </c>
      <c r="R2786" s="10" t="s">
        <v>85</v>
      </c>
      <c r="S2786" s="34">
        <f t="shared" si="314"/>
        <v>171.98780032000002</v>
      </c>
      <c r="T2786" s="10" t="s">
        <v>1201</v>
      </c>
      <c r="U2786" s="34" t="str">
        <f t="shared" si="315"/>
        <v/>
      </c>
      <c r="V2786" s="31" t="str">
        <f>IF(H2786="CHK",VLOOKUP(I2786,QCCHK,3,),IF(H2786="GUP",VLOOKUP(E2786,QCGUP,2,),IF(AND(H2786="ATP",OR(I2786="TN",I2786="TDN",I2786="TNO2-3",I2786="NO2-3")),VLOOKUP(E2786,QCREC_N,2,),IF(AND(H2786="NIC",OR(I2786="TN",I2786="TDN",I2786="TNO2-3",I2786="NO2-3")),VLOOKUP(E2786,QCNIC_N,2,),IF(AND(H2786="UREA",OR(I2786="TN",I2786="TDN",I2786="TNO2-3",I2786="NO2-3")),VLOOKUP(E2786,QCUREA_N,2,),IF(H2786="PER",VLOOKUP(I2786,QCPER,MATCH(E2786,QCACTUAL!$J$25:$AA$25,0),),IF(H2786="SPK",VLOOKUP(I2786,QCSPK,3,),IF(AND(H2786="ATP",OR(I2786="TP",I2786="TDP")),VLOOKUP(E2786,QCATP_P,2,),""))))))))</f>
        <v/>
      </c>
      <c r="W2786" s="31" t="str">
        <f t="shared" si="316"/>
        <v>TRUE</v>
      </c>
      <c r="X2786" s="31" t="str">
        <f t="shared" si="313"/>
        <v/>
      </c>
      <c r="Y2786" s="10" t="s">
        <v>1188</v>
      </c>
      <c r="Z2786" s="10" t="s">
        <v>910</v>
      </c>
      <c r="AF2786" s="12">
        <v>44966</v>
      </c>
      <c r="AH2786" s="10">
        <f>-2.9408*2.64^2+89.45*2.64-43.664</f>
        <v>171.98780032000002</v>
      </c>
      <c r="AI2786" s="10">
        <f>-1.7314*2.64^2+83.401*2.64-37.87</f>
        <v>170.24147456</v>
      </c>
      <c r="AK2786" s="10">
        <f>0.1051*2.64^2+65.423*2.64-19.469</f>
        <v>153.98022496000002</v>
      </c>
      <c r="AL2786" s="10" t="str">
        <f t="shared" si="311"/>
        <v>FALSE</v>
      </c>
      <c r="AM2786" s="10" t="str">
        <f t="shared" si="311"/>
        <v>y=-2.9408*2.64^2+89.45*2.64-43.664</v>
      </c>
      <c r="AN2786" s="10" t="str">
        <f t="shared" si="311"/>
        <v>y=-1.7314*2.64^2+83.401*2.64-37.87</v>
      </c>
      <c r="AO2786" s="10" t="str">
        <f t="shared" si="312"/>
        <v>FALSE</v>
      </c>
      <c r="AP2786" s="10" t="str">
        <f t="shared" si="312"/>
        <v>y=0.1051*2.64^2+65.423*2.64-19.469</v>
      </c>
      <c r="AQ2786" s="10" t="b">
        <f>IF(AND(I2786="TP",S2786&lt;=150),VLOOKUP(AF2786,TPCalibEq150!$AZ$2:$BB$55,3,),IF(AND(I2786="TDP",S2786&lt;=150),VLOOKUP(AF2786,TPCalibEq150!$AZ$2:$BB$55,3,)))</f>
        <v>0</v>
      </c>
      <c r="AR2786" s="10" t="str">
        <f>IF(AND(I2786="TP",S2786&lt;=300),VLOOKUP(AF2786,TPCalibEq300!$AZ$2:$BB$55,3,),IF(AND(I2786="TDP",S2786&lt;=300),VLOOKUP(AF2786,TPCalibEq300!$AZ$2:$BB$55,3,)))</f>
        <v>y=-2.9408x2+89.45x-43.664</v>
      </c>
      <c r="AS2786" s="10" t="str">
        <f>IF(AND(I2786="TP",S2786&lt;=500),VLOOKUP(AF2786,TPCalibEq500!$AZ$2:$BB$56,3,),IF(AND(I2786="TDP",S2786&lt;=500),VLOOKUP(AF2786,TPCalibEq500!$AZ$2:$BB$56,3,)))</f>
        <v>y=-1.7314x2+83.401x-37.87</v>
      </c>
      <c r="AT2786" s="10" t="b">
        <f>IF(AND(I2786="TN",S2786&lt;=2800),VLOOKUP(AF2786,TNCalibEq2500!$AZ$2:$BB$56,3,),IF(AND(I2786="TDN",S2786&lt;=2800),VLOOKUP(AF2786,TNCalibEq2500!$AZ$2:$BB$56,3,)))</f>
        <v>0</v>
      </c>
      <c r="AU2786" s="10" t="str">
        <f>IF(I2786="TP",VLOOKUP(AF2786,TPCalibEqFull!$AZ$2:$BB$56,3),IF(I2786="TDP",VLOOKUP(AF2786,TPCalibEqFull!$AZ$2:$BB$56,3),IF(I2786="TDN",VLOOKUP(AF2786,TNCalibEqFull!$AZ$1:$BB$56,3),IF(I2786="TN",VLOOKUP(AF2786,TNCalibEqFull!$AZ$1:$BB$56,3),FALSE))))</f>
        <v>y=0.1051x2+65.423x-19.469</v>
      </c>
      <c r="AV2786" s="10" t="str">
        <f t="shared" si="317"/>
        <v>0206 10:10:00-ELI-0-580-1-SW-UKN</v>
      </c>
    </row>
    <row r="2787" spans="1:48" s="10" customFormat="1" x14ac:dyDescent="0.55000000000000004">
      <c r="A2787" s="32">
        <v>44963</v>
      </c>
      <c r="B2787" s="33">
        <v>0.44930555555555557</v>
      </c>
      <c r="C2787" s="10" t="s">
        <v>999</v>
      </c>
      <c r="D2787" s="10">
        <v>0</v>
      </c>
      <c r="E2787" s="10" t="s">
        <v>190</v>
      </c>
      <c r="F2787" s="10">
        <v>1</v>
      </c>
      <c r="G2787" s="10" t="s">
        <v>231</v>
      </c>
      <c r="H2787" s="10" t="s">
        <v>322</v>
      </c>
      <c r="I2787" s="10" t="s">
        <v>83</v>
      </c>
      <c r="J2787" s="10">
        <v>18</v>
      </c>
      <c r="K2787" s="12">
        <v>44966</v>
      </c>
      <c r="L2787" s="33">
        <v>0.58817129629629628</v>
      </c>
      <c r="M2787" s="10">
        <v>1</v>
      </c>
      <c r="N2787" s="10" t="s">
        <v>84</v>
      </c>
      <c r="O2787" s="10">
        <v>1.26</v>
      </c>
      <c r="P2787" s="10">
        <v>8.6400000000000005E-2</v>
      </c>
      <c r="Q2787" s="10">
        <v>64.099999999999994</v>
      </c>
      <c r="R2787" s="10" t="s">
        <v>85</v>
      </c>
      <c r="S2787" s="34">
        <f t="shared" si="314"/>
        <v>70.166329600000012</v>
      </c>
      <c r="T2787" s="10" t="s">
        <v>1201</v>
      </c>
      <c r="U2787" s="34" t="str">
        <f t="shared" si="315"/>
        <v/>
      </c>
      <c r="V2787" s="31" t="str">
        <f>IF(H2787="CHK",VLOOKUP(I2787,QCCHK,3,),IF(H2787="GUP",VLOOKUP(E2787,QCGUP,2,),IF(AND(H2787="ATP",OR(I2787="TN",I2787="TDN",I2787="TNO2-3",I2787="NO2-3")),VLOOKUP(E2787,QCREC_N,2,),IF(AND(H2787="NIC",OR(I2787="TN",I2787="TDN",I2787="TNO2-3",I2787="NO2-3")),VLOOKUP(E2787,QCNIC_N,2,),IF(AND(H2787="UREA",OR(I2787="TN",I2787="TDN",I2787="TNO2-3",I2787="NO2-3")),VLOOKUP(E2787,QCUREA_N,2,),IF(H2787="PER",VLOOKUP(I2787,QCPER,MATCH(E2787,QCACTUAL!$J$25:$AA$25,0),),IF(H2787="SPK",VLOOKUP(I2787,QCSPK,3,),IF(AND(H2787="ATP",OR(I2787="TP",I2787="TDP")),VLOOKUP(E2787,QCATP_P,2,),""))))))))</f>
        <v/>
      </c>
      <c r="W2787" s="31" t="str">
        <f t="shared" si="316"/>
        <v>TRUE</v>
      </c>
      <c r="X2787" s="31" t="str">
        <f t="shared" si="313"/>
        <v/>
      </c>
      <c r="Y2787" s="10" t="s">
        <v>1188</v>
      </c>
      <c r="Z2787" s="10" t="s">
        <v>910</v>
      </c>
      <c r="AF2787" s="12">
        <v>44966</v>
      </c>
      <c r="AG2787" s="10">
        <f>-11.204*1.26^2+113.68*1.26-55.283</f>
        <v>70.166329600000012</v>
      </c>
      <c r="AH2787" s="10">
        <f>-2.9408*1.26^2+89.45*1.26-43.664</f>
        <v>64.374185920000002</v>
      </c>
      <c r="AI2787" s="10">
        <f>-1.7314*1.26^2+83.401*1.26-37.87</f>
        <v>64.466489359999997</v>
      </c>
      <c r="AK2787" s="10">
        <f>0.1051*1.26^2+65.423*1.26-19.469</f>
        <v>63.130836760000001</v>
      </c>
      <c r="AL2787" s="10" t="str">
        <f t="shared" si="311"/>
        <v>y=-11.204*1.26^2+113.68*1.26-55.283</v>
      </c>
      <c r="AM2787" s="10" t="str">
        <f t="shared" si="311"/>
        <v>y=-2.9408*1.26^2+89.45*1.26-43.664</v>
      </c>
      <c r="AN2787" s="10" t="str">
        <f t="shared" si="311"/>
        <v>y=-1.7314*1.26^2+83.401*1.26-37.87</v>
      </c>
      <c r="AO2787" s="10" t="str">
        <f t="shared" si="312"/>
        <v>FALSE</v>
      </c>
      <c r="AP2787" s="10" t="str">
        <f t="shared" si="312"/>
        <v>y=0.1051*1.26^2+65.423*1.26-19.469</v>
      </c>
      <c r="AQ2787" s="10" t="str">
        <f>IF(AND(I2787="TP",S2787&lt;=150),VLOOKUP(AF2787,TPCalibEq150!$AZ$2:$BB$55,3,),IF(AND(I2787="TDP",S2787&lt;=150),VLOOKUP(AF2787,TPCalibEq150!$AZ$2:$BB$55,3,)))</f>
        <v>y=-11.204x2+113.68x-55.283</v>
      </c>
      <c r="AR2787" s="10" t="str">
        <f>IF(AND(I2787="TP",S2787&lt;=300),VLOOKUP(AF2787,TPCalibEq300!$AZ$2:$BB$55,3,),IF(AND(I2787="TDP",S2787&lt;=300),VLOOKUP(AF2787,TPCalibEq300!$AZ$2:$BB$55,3,)))</f>
        <v>y=-2.9408x2+89.45x-43.664</v>
      </c>
      <c r="AS2787" s="10" t="str">
        <f>IF(AND(I2787="TP",S2787&lt;=500),VLOOKUP(AF2787,TPCalibEq500!$AZ$2:$BB$56,3,),IF(AND(I2787="TDP",S2787&lt;=500),VLOOKUP(AF2787,TPCalibEq500!$AZ$2:$BB$56,3,)))</f>
        <v>y=-1.7314x2+83.401x-37.87</v>
      </c>
      <c r="AT2787" s="10" t="b">
        <f>IF(AND(I2787="TN",S2787&lt;=2800),VLOOKUP(AF2787,TNCalibEq2500!$AZ$2:$BB$56,3,),IF(AND(I2787="TDN",S2787&lt;=2800),VLOOKUP(AF2787,TNCalibEq2500!$AZ$2:$BB$56,3,)))</f>
        <v>0</v>
      </c>
      <c r="AU2787" s="10" t="str">
        <f>IF(I2787="TP",VLOOKUP(AF2787,TPCalibEqFull!$AZ$2:$BB$56,3),IF(I2787="TDP",VLOOKUP(AF2787,TPCalibEqFull!$AZ$2:$BB$56,3),IF(I2787="TDN",VLOOKUP(AF2787,TNCalibEqFull!$AZ$1:$BB$56,3),IF(I2787="TN",VLOOKUP(AF2787,TNCalibEqFull!$AZ$1:$BB$56,3),FALSE))))</f>
        <v>y=0.1051x2+65.423x-19.469</v>
      </c>
      <c r="AV2787" s="10" t="str">
        <f t="shared" si="317"/>
        <v>0206 10:47:00-EAW-0-C-1-SW-UKN</v>
      </c>
    </row>
    <row r="2788" spans="1:48" s="10" customFormat="1" x14ac:dyDescent="0.55000000000000004">
      <c r="A2788" s="32">
        <v>44963</v>
      </c>
      <c r="B2788" s="33">
        <v>0.4604166666666667</v>
      </c>
      <c r="C2788" s="10" t="s">
        <v>613</v>
      </c>
      <c r="D2788" s="10">
        <v>0</v>
      </c>
      <c r="E2788" s="10" t="s">
        <v>190</v>
      </c>
      <c r="F2788" s="10">
        <v>1</v>
      </c>
      <c r="G2788" s="10" t="s">
        <v>231</v>
      </c>
      <c r="H2788" s="10" t="s">
        <v>322</v>
      </c>
      <c r="I2788" s="10" t="s">
        <v>83</v>
      </c>
      <c r="J2788" s="10">
        <v>19</v>
      </c>
      <c r="K2788" s="12">
        <v>44966</v>
      </c>
      <c r="L2788" s="33">
        <v>0.58886574074074072</v>
      </c>
      <c r="M2788" s="10">
        <v>1</v>
      </c>
      <c r="N2788" s="10" t="s">
        <v>84</v>
      </c>
      <c r="O2788" s="10">
        <v>1.82</v>
      </c>
      <c r="P2788" s="10">
        <v>0.127</v>
      </c>
      <c r="Q2788" s="10">
        <v>101</v>
      </c>
      <c r="R2788" s="10" t="s">
        <v>85</v>
      </c>
      <c r="S2788" s="34">
        <f t="shared" si="314"/>
        <v>114.50247040000001</v>
      </c>
      <c r="T2788" s="10" t="s">
        <v>1201</v>
      </c>
      <c r="U2788" s="34" t="str">
        <f t="shared" si="315"/>
        <v/>
      </c>
      <c r="V2788" s="31" t="str">
        <f>IF(H2788="CHK",VLOOKUP(I2788,QCCHK,3,),IF(H2788="GUP",VLOOKUP(E2788,QCGUP,2,),IF(AND(H2788="ATP",OR(I2788="TN",I2788="TDN",I2788="TNO2-3",I2788="NO2-3")),VLOOKUP(E2788,QCREC_N,2,),IF(AND(H2788="NIC",OR(I2788="TN",I2788="TDN",I2788="TNO2-3",I2788="NO2-3")),VLOOKUP(E2788,QCNIC_N,2,),IF(AND(H2788="UREA",OR(I2788="TN",I2788="TDN",I2788="TNO2-3",I2788="NO2-3")),VLOOKUP(E2788,QCUREA_N,2,),IF(H2788="PER",VLOOKUP(I2788,QCPER,MATCH(E2788,QCACTUAL!$J$25:$AA$25,0),),IF(H2788="SPK",VLOOKUP(I2788,QCSPK,3,),IF(AND(H2788="ATP",OR(I2788="TP",I2788="TDP")),VLOOKUP(E2788,QCATP_P,2,),""))))))))</f>
        <v/>
      </c>
      <c r="W2788" s="31" t="str">
        <f t="shared" si="316"/>
        <v>TRUE</v>
      </c>
      <c r="X2788" s="31" t="str">
        <f t="shared" si="313"/>
        <v/>
      </c>
      <c r="Y2788" s="10" t="s">
        <v>1188</v>
      </c>
      <c r="Z2788" s="10" t="s">
        <v>910</v>
      </c>
      <c r="AF2788" s="12">
        <v>44966</v>
      </c>
      <c r="AG2788" s="10">
        <f>-11.204*1.82^2+113.68*1.82-55.283</f>
        <v>114.50247040000001</v>
      </c>
      <c r="AH2788" s="10">
        <f>-2.9408*1.82^2+89.45*1.82-43.664</f>
        <v>109.39389408000001</v>
      </c>
      <c r="AI2788" s="10">
        <f>-1.7314*1.82^2+83.401*1.82-37.87</f>
        <v>108.18473064</v>
      </c>
      <c r="AK2788" s="10">
        <f>0.1051*1.82^2+65.423*1.82-19.469</f>
        <v>99.948993239999993</v>
      </c>
      <c r="AL2788" s="10" t="str">
        <f t="shared" si="311"/>
        <v>y=-11.204*1.82^2+113.68*1.82-55.283</v>
      </c>
      <c r="AM2788" s="10" t="str">
        <f t="shared" si="311"/>
        <v>y=-2.9408*1.82^2+89.45*1.82-43.664</v>
      </c>
      <c r="AN2788" s="10" t="str">
        <f t="shared" si="311"/>
        <v>y=-1.7314*1.82^2+83.401*1.82-37.87</v>
      </c>
      <c r="AO2788" s="10" t="str">
        <f t="shared" si="312"/>
        <v>FALSE</v>
      </c>
      <c r="AP2788" s="10" t="str">
        <f t="shared" si="312"/>
        <v>y=0.1051*1.82^2+65.423*1.82-19.469</v>
      </c>
      <c r="AQ2788" s="10" t="str">
        <f>IF(AND(I2788="TP",S2788&lt;=150),VLOOKUP(AF2788,TPCalibEq150!$AZ$2:$BB$55,3,),IF(AND(I2788="TDP",S2788&lt;=150),VLOOKUP(AF2788,TPCalibEq150!$AZ$2:$BB$55,3,)))</f>
        <v>y=-11.204x2+113.68x-55.283</v>
      </c>
      <c r="AR2788" s="10" t="str">
        <f>IF(AND(I2788="TP",S2788&lt;=300),VLOOKUP(AF2788,TPCalibEq300!$AZ$2:$BB$55,3,),IF(AND(I2788="TDP",S2788&lt;=300),VLOOKUP(AF2788,TPCalibEq300!$AZ$2:$BB$55,3,)))</f>
        <v>y=-2.9408x2+89.45x-43.664</v>
      </c>
      <c r="AS2788" s="10" t="str">
        <f>IF(AND(I2788="TP",S2788&lt;=500),VLOOKUP(AF2788,TPCalibEq500!$AZ$2:$BB$56,3,),IF(AND(I2788="TDP",S2788&lt;=500),VLOOKUP(AF2788,TPCalibEq500!$AZ$2:$BB$56,3,)))</f>
        <v>y=-1.7314x2+83.401x-37.87</v>
      </c>
      <c r="AT2788" s="10" t="b">
        <f>IF(AND(I2788="TN",S2788&lt;=2800),VLOOKUP(AF2788,TNCalibEq2500!$AZ$2:$BB$56,3,),IF(AND(I2788="TDN",S2788&lt;=2800),VLOOKUP(AF2788,TNCalibEq2500!$AZ$2:$BB$56,3,)))</f>
        <v>0</v>
      </c>
      <c r="AU2788" s="10" t="str">
        <f>IF(I2788="TP",VLOOKUP(AF2788,TPCalibEqFull!$AZ$2:$BB$56,3),IF(I2788="TDP",VLOOKUP(AF2788,TPCalibEqFull!$AZ$2:$BB$56,3),IF(I2788="TDN",VLOOKUP(AF2788,TNCalibEqFull!$AZ$1:$BB$56,3),IF(I2788="TN",VLOOKUP(AF2788,TNCalibEqFull!$AZ$1:$BB$56,3),FALSE))))</f>
        <v>y=0.1051x2+65.423x-19.469</v>
      </c>
      <c r="AV2788" s="10" t="str">
        <f t="shared" si="317"/>
        <v>0206 11:03:00-FVC-0-C-1-SW-UKN</v>
      </c>
    </row>
    <row r="2789" spans="1:48" s="10" customFormat="1" x14ac:dyDescent="0.55000000000000004">
      <c r="A2789" s="32">
        <v>44963</v>
      </c>
      <c r="B2789" s="33">
        <v>0.4604166666666667</v>
      </c>
      <c r="C2789" s="10" t="s">
        <v>613</v>
      </c>
      <c r="D2789" s="10">
        <v>0</v>
      </c>
      <c r="E2789" s="10" t="s">
        <v>190</v>
      </c>
      <c r="F2789" s="10">
        <v>2</v>
      </c>
      <c r="G2789" s="10" t="s">
        <v>231</v>
      </c>
      <c r="H2789" s="10" t="s">
        <v>322</v>
      </c>
      <c r="I2789" s="10" t="s">
        <v>83</v>
      </c>
      <c r="J2789" s="10">
        <v>20</v>
      </c>
      <c r="K2789" s="12">
        <v>44966</v>
      </c>
      <c r="L2789" s="33">
        <v>0.58954861111111112</v>
      </c>
      <c r="M2789" s="10">
        <v>1</v>
      </c>
      <c r="N2789" s="10" t="s">
        <v>84</v>
      </c>
      <c r="O2789" s="10">
        <v>2.92</v>
      </c>
      <c r="P2789" s="10">
        <v>0.20799999999999999</v>
      </c>
      <c r="Q2789" s="10">
        <v>173</v>
      </c>
      <c r="R2789" s="10" t="s">
        <v>85</v>
      </c>
      <c r="S2789" s="34">
        <f t="shared" si="314"/>
        <v>192.45556288</v>
      </c>
      <c r="T2789" s="10" t="s">
        <v>1201</v>
      </c>
      <c r="U2789" s="34" t="str">
        <f t="shared" si="315"/>
        <v/>
      </c>
      <c r="V2789" s="31" t="str">
        <f>IF(H2789="CHK",VLOOKUP(I2789,QCCHK,3,),IF(H2789="GUP",VLOOKUP(E2789,QCGUP,2,),IF(AND(H2789="ATP",OR(I2789="TN",I2789="TDN",I2789="TNO2-3",I2789="NO2-3")),VLOOKUP(E2789,QCREC_N,2,),IF(AND(H2789="NIC",OR(I2789="TN",I2789="TDN",I2789="TNO2-3",I2789="NO2-3")),VLOOKUP(E2789,QCNIC_N,2,),IF(AND(H2789="UREA",OR(I2789="TN",I2789="TDN",I2789="TNO2-3",I2789="NO2-3")),VLOOKUP(E2789,QCUREA_N,2,),IF(H2789="PER",VLOOKUP(I2789,QCPER,MATCH(E2789,QCACTUAL!$J$25:$AA$25,0),),IF(H2789="SPK",VLOOKUP(I2789,QCSPK,3,),IF(AND(H2789="ATP",OR(I2789="TP",I2789="TDP")),VLOOKUP(E2789,QCATP_P,2,),""))))))))</f>
        <v/>
      </c>
      <c r="W2789" s="31" t="str">
        <f t="shared" si="316"/>
        <v>TRUE</v>
      </c>
      <c r="X2789" s="31" t="str">
        <f t="shared" si="313"/>
        <v/>
      </c>
      <c r="Y2789" s="10" t="s">
        <v>1188</v>
      </c>
      <c r="Z2789" s="10" t="s">
        <v>910</v>
      </c>
      <c r="AF2789" s="12">
        <v>44966</v>
      </c>
      <c r="AH2789" s="10">
        <f>-2.9408*2.92^2+89.45*2.92-43.664</f>
        <v>192.45556288</v>
      </c>
      <c r="AI2789" s="10">
        <f>-1.7314*2.92^2+83.401*2.92-37.87</f>
        <v>190.89831103999998</v>
      </c>
      <c r="AK2789" s="10">
        <f>0.1051*2.92^2+65.423*2.92-19.469</f>
        <v>172.46228464000001</v>
      </c>
      <c r="AL2789" s="10" t="str">
        <f t="shared" si="311"/>
        <v>FALSE</v>
      </c>
      <c r="AM2789" s="10" t="str">
        <f t="shared" si="311"/>
        <v>y=-2.9408*2.92^2+89.45*2.92-43.664</v>
      </c>
      <c r="AN2789" s="10" t="str">
        <f t="shared" si="311"/>
        <v>y=-1.7314*2.92^2+83.401*2.92-37.87</v>
      </c>
      <c r="AO2789" s="10" t="str">
        <f t="shared" si="312"/>
        <v>FALSE</v>
      </c>
      <c r="AP2789" s="10" t="str">
        <f t="shared" si="312"/>
        <v>y=0.1051*2.92^2+65.423*2.92-19.469</v>
      </c>
      <c r="AQ2789" s="10" t="b">
        <f>IF(AND(I2789="TP",S2789&lt;=150),VLOOKUP(AF2789,TPCalibEq150!$AZ$2:$BB$55,3,),IF(AND(I2789="TDP",S2789&lt;=150),VLOOKUP(AF2789,TPCalibEq150!$AZ$2:$BB$55,3,)))</f>
        <v>0</v>
      </c>
      <c r="AR2789" s="10" t="str">
        <f>IF(AND(I2789="TP",S2789&lt;=300),VLOOKUP(AF2789,TPCalibEq300!$AZ$2:$BB$55,3,),IF(AND(I2789="TDP",S2789&lt;=300),VLOOKUP(AF2789,TPCalibEq300!$AZ$2:$BB$55,3,)))</f>
        <v>y=-2.9408x2+89.45x-43.664</v>
      </c>
      <c r="AS2789" s="10" t="str">
        <f>IF(AND(I2789="TP",S2789&lt;=500),VLOOKUP(AF2789,TPCalibEq500!$AZ$2:$BB$56,3,),IF(AND(I2789="TDP",S2789&lt;=500),VLOOKUP(AF2789,TPCalibEq500!$AZ$2:$BB$56,3,)))</f>
        <v>y=-1.7314x2+83.401x-37.87</v>
      </c>
      <c r="AT2789" s="10" t="b">
        <f>IF(AND(I2789="TN",S2789&lt;=2800),VLOOKUP(AF2789,TNCalibEq2500!$AZ$2:$BB$56,3,),IF(AND(I2789="TDN",S2789&lt;=2800),VLOOKUP(AF2789,TNCalibEq2500!$AZ$2:$BB$56,3,)))</f>
        <v>0</v>
      </c>
      <c r="AU2789" s="10" t="str">
        <f>IF(I2789="TP",VLOOKUP(AF2789,TPCalibEqFull!$AZ$2:$BB$56,3),IF(I2789="TDP",VLOOKUP(AF2789,TPCalibEqFull!$AZ$2:$BB$56,3),IF(I2789="TDN",VLOOKUP(AF2789,TNCalibEqFull!$AZ$1:$BB$56,3),IF(I2789="TN",VLOOKUP(AF2789,TNCalibEqFull!$AZ$1:$BB$56,3),FALSE))))</f>
        <v>y=0.1051x2+65.423x-19.469</v>
      </c>
      <c r="AV2789" s="10" t="str">
        <f t="shared" si="317"/>
        <v>0206 11:03:00-FVC-0-C-2-SW-UKN</v>
      </c>
    </row>
    <row r="2790" spans="1:48" s="10" customFormat="1" x14ac:dyDescent="0.55000000000000004">
      <c r="A2790" s="32">
        <v>44963</v>
      </c>
      <c r="B2790" s="33">
        <v>0.4604166666666667</v>
      </c>
      <c r="C2790" s="10" t="s">
        <v>613</v>
      </c>
      <c r="D2790" s="10">
        <v>0</v>
      </c>
      <c r="E2790" s="10" t="s">
        <v>190</v>
      </c>
      <c r="F2790" s="10">
        <v>2</v>
      </c>
      <c r="G2790" s="10" t="s">
        <v>231</v>
      </c>
      <c r="H2790" s="10" t="s">
        <v>233</v>
      </c>
      <c r="I2790" s="10" t="s">
        <v>83</v>
      </c>
      <c r="J2790" s="10">
        <v>20</v>
      </c>
      <c r="K2790" s="12">
        <v>44966</v>
      </c>
      <c r="L2790" s="33">
        <v>0.59024305555555556</v>
      </c>
      <c r="M2790" s="10">
        <v>1</v>
      </c>
      <c r="N2790" s="10" t="s">
        <v>84</v>
      </c>
      <c r="O2790" s="10">
        <v>2.93</v>
      </c>
      <c r="P2790" s="10">
        <v>0.20799999999999999</v>
      </c>
      <c r="Q2790" s="10">
        <v>174</v>
      </c>
      <c r="R2790" s="10" t="s">
        <v>85</v>
      </c>
      <c r="S2790" s="34">
        <f t="shared" si="314"/>
        <v>193.17802608</v>
      </c>
      <c r="T2790" s="10" t="s">
        <v>1201</v>
      </c>
      <c r="U2790" s="34">
        <f t="shared" si="315"/>
        <v>0.37468893824750865</v>
      </c>
      <c r="V2790" s="31" t="str">
        <f>IF(H2790="CHK",VLOOKUP(I2790,QCCHK,3,),IF(H2790="GUP",VLOOKUP(E2790,QCGUP,2,),IF(AND(H2790="ATP",OR(I2790="TN",I2790="TDN",I2790="TNO2-3",I2790="NO2-3")),VLOOKUP(E2790,QCREC_N,2,),IF(AND(H2790="NIC",OR(I2790="TN",I2790="TDN",I2790="TNO2-3",I2790="NO2-3")),VLOOKUP(E2790,QCNIC_N,2,),IF(AND(H2790="UREA",OR(I2790="TN",I2790="TDN",I2790="TNO2-3",I2790="NO2-3")),VLOOKUP(E2790,QCUREA_N,2,),IF(H2790="PER",VLOOKUP(I2790,QCPER,MATCH(E2790,QCACTUAL!$J$25:$AA$25,0),),IF(H2790="SPK",VLOOKUP(I2790,QCSPK,3,),IF(AND(H2790="ATP",OR(I2790="TP",I2790="TDP")),VLOOKUP(E2790,QCATP_P,2,),""))))))))</f>
        <v/>
      </c>
      <c r="W2790" s="31" t="str">
        <f t="shared" si="316"/>
        <v>TRUE</v>
      </c>
      <c r="X2790" s="31" t="str">
        <f t="shared" si="313"/>
        <v>((ABS(rep1-rep2))/((rep1+rep2)/2)*100</v>
      </c>
      <c r="Y2790" s="10" t="s">
        <v>1188</v>
      </c>
      <c r="Z2790" s="10" t="s">
        <v>910</v>
      </c>
      <c r="AF2790" s="12">
        <v>44966</v>
      </c>
      <c r="AH2790" s="10">
        <f>-2.9408*2.93^2+89.45*2.93-43.664</f>
        <v>193.17802608</v>
      </c>
      <c r="AI2790" s="10">
        <f>-1.7314*2.93^2+83.401*2.93-37.87</f>
        <v>191.63103414</v>
      </c>
      <c r="AK2790" s="10">
        <f>0.1051*2.93^2+65.423*2.93-19.469</f>
        <v>173.12266299000001</v>
      </c>
      <c r="AL2790" s="10" t="str">
        <f t="shared" si="311"/>
        <v>FALSE</v>
      </c>
      <c r="AM2790" s="10" t="str">
        <f t="shared" si="311"/>
        <v>y=-2.9408*2.93^2+89.45*2.93-43.664</v>
      </c>
      <c r="AN2790" s="10" t="str">
        <f t="shared" si="311"/>
        <v>y=-1.7314*2.93^2+83.401*2.93-37.87</v>
      </c>
      <c r="AO2790" s="10" t="str">
        <f t="shared" si="312"/>
        <v>FALSE</v>
      </c>
      <c r="AP2790" s="10" t="str">
        <f t="shared" si="312"/>
        <v>y=0.1051*2.93^2+65.423*2.93-19.469</v>
      </c>
      <c r="AQ2790" s="10" t="b">
        <f>IF(AND(I2790="TP",S2790&lt;=150),VLOOKUP(AF2790,TPCalibEq150!$AZ$2:$BB$55,3,),IF(AND(I2790="TDP",S2790&lt;=150),VLOOKUP(AF2790,TPCalibEq150!$AZ$2:$BB$55,3,)))</f>
        <v>0</v>
      </c>
      <c r="AR2790" s="10" t="str">
        <f>IF(AND(I2790="TP",S2790&lt;=300),VLOOKUP(AF2790,TPCalibEq300!$AZ$2:$BB$55,3,),IF(AND(I2790="TDP",S2790&lt;=300),VLOOKUP(AF2790,TPCalibEq300!$AZ$2:$BB$55,3,)))</f>
        <v>y=-2.9408x2+89.45x-43.664</v>
      </c>
      <c r="AS2790" s="10" t="str">
        <f>IF(AND(I2790="TP",S2790&lt;=500),VLOOKUP(AF2790,TPCalibEq500!$AZ$2:$BB$56,3,),IF(AND(I2790="TDP",S2790&lt;=500),VLOOKUP(AF2790,TPCalibEq500!$AZ$2:$BB$56,3,)))</f>
        <v>y=-1.7314x2+83.401x-37.87</v>
      </c>
      <c r="AT2790" s="10" t="b">
        <f>IF(AND(I2790="TN",S2790&lt;=2800),VLOOKUP(AF2790,TNCalibEq2500!$AZ$2:$BB$56,3,),IF(AND(I2790="TDN",S2790&lt;=2800),VLOOKUP(AF2790,TNCalibEq2500!$AZ$2:$BB$56,3,)))</f>
        <v>0</v>
      </c>
      <c r="AU2790" s="10" t="str">
        <f>IF(I2790="TP",VLOOKUP(AF2790,TPCalibEqFull!$AZ$2:$BB$56,3),IF(I2790="TDP",VLOOKUP(AF2790,TPCalibEqFull!$AZ$2:$BB$56,3),IF(I2790="TDN",VLOOKUP(AF2790,TNCalibEqFull!$AZ$1:$BB$56,3),IF(I2790="TN",VLOOKUP(AF2790,TNCalibEqFull!$AZ$1:$BB$56,3),FALSE))))</f>
        <v>y=0.1051x2+65.423x-19.469</v>
      </c>
      <c r="AV2790" s="10" t="str">
        <f t="shared" si="317"/>
        <v>0206 11:03:00-FVC-0-C-2-SW-DUP</v>
      </c>
    </row>
    <row r="2791" spans="1:48" s="10" customFormat="1" x14ac:dyDescent="0.55000000000000004">
      <c r="A2791" s="32">
        <v>44963</v>
      </c>
      <c r="B2791" s="33">
        <v>0.4604166666666667</v>
      </c>
      <c r="C2791" s="10" t="s">
        <v>613</v>
      </c>
      <c r="D2791" s="10">
        <v>0</v>
      </c>
      <c r="E2791" s="10" t="s">
        <v>190</v>
      </c>
      <c r="F2791" s="10">
        <v>2</v>
      </c>
      <c r="G2791" s="10" t="s">
        <v>231</v>
      </c>
      <c r="H2791" s="10" t="s">
        <v>314</v>
      </c>
      <c r="I2791" s="10" t="s">
        <v>83</v>
      </c>
      <c r="J2791" s="10">
        <v>120</v>
      </c>
      <c r="K2791" s="12">
        <v>44966</v>
      </c>
      <c r="L2791" s="33">
        <v>0.5909375</v>
      </c>
      <c r="M2791" s="10">
        <v>1</v>
      </c>
      <c r="N2791" s="10" t="s">
        <v>84</v>
      </c>
      <c r="O2791" s="10">
        <v>17.2</v>
      </c>
      <c r="P2791" s="10">
        <v>1.23</v>
      </c>
      <c r="Q2791" s="10">
        <v>1140</v>
      </c>
      <c r="R2791" s="10" t="s">
        <v>85</v>
      </c>
      <c r="S2791" s="34">
        <f t="shared" si="314"/>
        <v>1140</v>
      </c>
      <c r="T2791" s="10" t="s">
        <v>1201</v>
      </c>
      <c r="U2791" s="34">
        <f t="shared" si="315"/>
        <v>94.682197392000006</v>
      </c>
      <c r="V2791" s="31">
        <f>IF(H2791="CHK",VLOOKUP(I2791,QCCHK,3,),IF(H2791="GUP",VLOOKUP(E2791,QCGUP,2,),IF(AND(H2791="ATP",OR(I2791="TN",I2791="TDN",I2791="TNO2-3",I2791="NO2-3")),VLOOKUP(E2791,QCREC_N,2,),IF(AND(H2791="NIC",OR(I2791="TN",I2791="TDN",I2791="TNO2-3",I2791="NO2-3")),VLOOKUP(E2791,QCNIC_N,2,),IF(AND(H2791="UREA",OR(I2791="TN",I2791="TDN",I2791="TNO2-3",I2791="NO2-3")),VLOOKUP(E2791,QCUREA_N,2,),IF(H2791="PER",VLOOKUP(I2791,QCPER,MATCH(E2791,QCACTUAL!$J$25:$AA$25,0),),IF(H2791="SPK",VLOOKUP(I2791,QCSPK,3,),IF(AND(H2791="ATP",OR(I2791="TP",I2791="TDP")),VLOOKUP(E2791,QCATP_P,2,),""))))))))</f>
        <v>1000</v>
      </c>
      <c r="W2791" s="31" t="str">
        <f t="shared" si="316"/>
        <v>TRUE</v>
      </c>
      <c r="X2791" s="31" t="str">
        <f t="shared" si="313"/>
        <v>([spikedunkn]-[unkn])/[spike]*100</v>
      </c>
      <c r="Y2791" s="10" t="s">
        <v>1188</v>
      </c>
      <c r="Z2791" s="10" t="s">
        <v>910</v>
      </c>
      <c r="AF2791" s="12">
        <v>44966</v>
      </c>
      <c r="AK2791" s="10">
        <f>0.1051*17.2^2+65.423*17.2-19.469</f>
        <v>1136.8993839999998</v>
      </c>
      <c r="AL2791" s="10" t="str">
        <f t="shared" si="311"/>
        <v>FALSE</v>
      </c>
      <c r="AM2791" s="10" t="str">
        <f t="shared" si="311"/>
        <v>FALSE</v>
      </c>
      <c r="AN2791" s="10" t="str">
        <f t="shared" si="311"/>
        <v>FALSE</v>
      </c>
      <c r="AO2791" s="10" t="str">
        <f t="shared" si="312"/>
        <v>FALSE</v>
      </c>
      <c r="AP2791" s="10" t="str">
        <f t="shared" si="312"/>
        <v>y=0.1051*17.2^2+65.423*17.2-19.469</v>
      </c>
      <c r="AQ2791" s="10" t="b">
        <f>IF(AND(I2791="TP",S2791&lt;=150),VLOOKUP(AF2791,TPCalibEq150!$AZ$2:$BB$55,3,),IF(AND(I2791="TDP",S2791&lt;=150),VLOOKUP(AF2791,TPCalibEq150!$AZ$2:$BB$55,3,)))</f>
        <v>0</v>
      </c>
      <c r="AR2791" s="10" t="b">
        <f>IF(AND(I2791="TP",S2791&lt;=300),VLOOKUP(AF2791,TPCalibEq300!$AZ$2:$BB$55,3,),IF(AND(I2791="TDP",S2791&lt;=300),VLOOKUP(AF2791,TPCalibEq300!$AZ$2:$BB$55,3,)))</f>
        <v>0</v>
      </c>
      <c r="AS2791" s="10" t="b">
        <f>IF(AND(I2791="TP",S2791&lt;=500),VLOOKUP(AF2791,TPCalibEq500!$AZ$2:$BB$56,3,),IF(AND(I2791="TDP",S2791&lt;=500),VLOOKUP(AF2791,TPCalibEq500!$AZ$2:$BB$56,3,)))</f>
        <v>0</v>
      </c>
      <c r="AT2791" s="10" t="b">
        <f>IF(AND(I2791="TN",S2791&lt;=2800),VLOOKUP(AF2791,TNCalibEq2500!$AZ$2:$BB$56,3,),IF(AND(I2791="TDN",S2791&lt;=2800),VLOOKUP(AF2791,TNCalibEq2500!$AZ$2:$BB$56,3,)))</f>
        <v>0</v>
      </c>
      <c r="AU2791" s="10" t="str">
        <f>IF(I2791="TP",VLOOKUP(AF2791,TPCalibEqFull!$AZ$2:$BB$56,3),IF(I2791="TDP",VLOOKUP(AF2791,TPCalibEqFull!$AZ$2:$BB$56,3),IF(I2791="TDN",VLOOKUP(AF2791,TNCalibEqFull!$AZ$1:$BB$56,3),IF(I2791="TN",VLOOKUP(AF2791,TNCalibEqFull!$AZ$1:$BB$56,3),FALSE))))</f>
        <v>y=0.1051x2+65.423x-19.469</v>
      </c>
      <c r="AV2791" s="10" t="str">
        <f t="shared" si="317"/>
        <v>0206 11:03:00-FVC-0-C-2-SW-SPK</v>
      </c>
    </row>
    <row r="2792" spans="1:48" s="10" customFormat="1" x14ac:dyDescent="0.55000000000000004">
      <c r="A2792" s="32">
        <v>44966</v>
      </c>
      <c r="B2792" s="33">
        <v>0.375</v>
      </c>
      <c r="C2792" s="10" t="s">
        <v>70</v>
      </c>
      <c r="D2792" s="10" t="s">
        <v>71</v>
      </c>
      <c r="E2792" s="10" t="s">
        <v>901</v>
      </c>
      <c r="F2792" s="10">
        <v>1</v>
      </c>
      <c r="G2792" s="10" t="s">
        <v>73</v>
      </c>
      <c r="H2792" s="10" t="s">
        <v>207</v>
      </c>
      <c r="I2792" s="10" t="s">
        <v>83</v>
      </c>
      <c r="J2792" s="10">
        <v>200</v>
      </c>
      <c r="K2792" s="12">
        <v>44966</v>
      </c>
      <c r="L2792" s="33">
        <v>0.59164351851851849</v>
      </c>
      <c r="M2792" s="10">
        <v>1</v>
      </c>
      <c r="N2792" s="10" t="s">
        <v>84</v>
      </c>
      <c r="O2792" s="10">
        <v>7.6</v>
      </c>
      <c r="P2792" s="10">
        <v>0.54600000000000004</v>
      </c>
      <c r="Q2792" s="10">
        <v>484</v>
      </c>
      <c r="R2792" s="10" t="s">
        <v>85</v>
      </c>
      <c r="S2792" s="34">
        <f t="shared" si="314"/>
        <v>495.97193599999991</v>
      </c>
      <c r="T2792" s="10" t="s">
        <v>1201</v>
      </c>
      <c r="U2792" s="34">
        <f t="shared" si="315"/>
        <v>99.19438719999998</v>
      </c>
      <c r="V2792" s="31">
        <f>IF(H2792="CHK",VLOOKUP(I2792,QCCHK,3,),IF(H2792="GUP",VLOOKUP(E2792,QCGUP,2,),IF(AND(H2792="ATP",OR(I2792="TN",I2792="TDN",I2792="TNO2-3",I2792="NO2-3")),VLOOKUP(E2792,QCREC_N,2,),IF(AND(H2792="NIC",OR(I2792="TN",I2792="TDN",I2792="TNO2-3",I2792="NO2-3")),VLOOKUP(E2792,QCNIC_N,2,),IF(AND(H2792="UREA",OR(I2792="TN",I2792="TDN",I2792="TNO2-3",I2792="NO2-3")),VLOOKUP(E2792,QCUREA_N,2,),IF(H2792="PER",VLOOKUP(I2792,QCPER,MATCH(E2792,QCACTUAL!$J$25:$AA$25,0),),IF(H2792="SPK",VLOOKUP(I2792,QCSPK,3,),IF(AND(H2792="ATP",OR(I2792="TP",I2792="TDP")),VLOOKUP(E2792,QCATP_P,2,),""))))))))</f>
        <v>500</v>
      </c>
      <c r="W2792" s="31" t="str">
        <f t="shared" si="316"/>
        <v>TRUE</v>
      </c>
      <c r="X2792" s="31" t="str">
        <f t="shared" si="313"/>
        <v>[chk]/[actual]*100</v>
      </c>
      <c r="Y2792" s="10" t="s">
        <v>1188</v>
      </c>
      <c r="AF2792" s="12">
        <v>44966</v>
      </c>
      <c r="AI2792" s="10">
        <f>-1.7314*7.6^2+83.401*7.6-37.87</f>
        <v>495.97193599999991</v>
      </c>
      <c r="AK2792" s="10">
        <f>0.1051*7.6^2+65.423*7.6-19.469</f>
        <v>483.81637599999999</v>
      </c>
      <c r="AL2792" s="10" t="str">
        <f t="shared" si="311"/>
        <v>FALSE</v>
      </c>
      <c r="AM2792" s="10" t="str">
        <f t="shared" si="311"/>
        <v>FALSE</v>
      </c>
      <c r="AN2792" s="10" t="str">
        <f t="shared" si="311"/>
        <v>y=-1.7314*7.6^2+83.401*7.6-37.87</v>
      </c>
      <c r="AO2792" s="10" t="str">
        <f t="shared" si="312"/>
        <v>FALSE</v>
      </c>
      <c r="AP2792" s="10" t="str">
        <f t="shared" si="312"/>
        <v>y=0.1051*7.6^2+65.423*7.6-19.469</v>
      </c>
      <c r="AQ2792" s="10" t="b">
        <f>IF(AND(I2792="TP",S2792&lt;=150),VLOOKUP(AF2792,TPCalibEq150!$AZ$2:$BB$55,3,),IF(AND(I2792="TDP",S2792&lt;=150),VLOOKUP(AF2792,TPCalibEq150!$AZ$2:$BB$55,3,)))</f>
        <v>0</v>
      </c>
      <c r="AR2792" s="10" t="b">
        <f>IF(AND(I2792="TP",S2792&lt;=300),VLOOKUP(AF2792,TPCalibEq300!$AZ$2:$BB$55,3,),IF(AND(I2792="TDP",S2792&lt;=300),VLOOKUP(AF2792,TPCalibEq300!$AZ$2:$BB$55,3,)))</f>
        <v>0</v>
      </c>
      <c r="AS2792" s="10" t="str">
        <f>IF(AND(I2792="TP",S2792&lt;=500),VLOOKUP(AF2792,TPCalibEq500!$AZ$2:$BB$56,3,),IF(AND(I2792="TDP",S2792&lt;=500),VLOOKUP(AF2792,TPCalibEq500!$AZ$2:$BB$56,3,)))</f>
        <v>y=-1.7314x2+83.401x-37.87</v>
      </c>
      <c r="AT2792" s="10" t="b">
        <f>IF(AND(I2792="TN",S2792&lt;=2800),VLOOKUP(AF2792,TNCalibEq2500!$AZ$2:$BB$56,3,),IF(AND(I2792="TDN",S2792&lt;=2800),VLOOKUP(AF2792,TNCalibEq2500!$AZ$2:$BB$56,3,)))</f>
        <v>0</v>
      </c>
      <c r="AU2792" s="10" t="str">
        <f>IF(I2792="TP",VLOOKUP(AF2792,TPCalibEqFull!$AZ$2:$BB$56,3),IF(I2792="TDP",VLOOKUP(AF2792,TPCalibEqFull!$AZ$2:$BB$56,3),IF(I2792="TDN",VLOOKUP(AF2792,TNCalibEqFull!$AZ$1:$BB$56,3),IF(I2792="TN",VLOOKUP(AF2792,TNCalibEqFull!$AZ$1:$BB$56,3),FALSE))))</f>
        <v>y=0.1051x2+65.423x-19.469</v>
      </c>
      <c r="AV2792" s="10" t="str">
        <f t="shared" si="317"/>
        <v>0209 09:00:00-QAC-STD-D-1-DI-CHK</v>
      </c>
    </row>
    <row r="2793" spans="1:48" s="10" customFormat="1" x14ac:dyDescent="0.55000000000000004">
      <c r="A2793" s="32">
        <v>44963</v>
      </c>
      <c r="B2793" s="33">
        <v>0.46875</v>
      </c>
      <c r="C2793" s="10" t="s">
        <v>250</v>
      </c>
      <c r="D2793" s="10">
        <v>0</v>
      </c>
      <c r="E2793" s="10" t="s">
        <v>190</v>
      </c>
      <c r="F2793" s="10">
        <v>1</v>
      </c>
      <c r="G2793" s="10" t="s">
        <v>231</v>
      </c>
      <c r="H2793" s="10" t="s">
        <v>322</v>
      </c>
      <c r="I2793" s="10" t="s">
        <v>83</v>
      </c>
      <c r="J2793" s="10">
        <v>21</v>
      </c>
      <c r="K2793" s="12">
        <v>44966</v>
      </c>
      <c r="L2793" s="33">
        <v>0.59234953703703697</v>
      </c>
      <c r="M2793" s="10">
        <v>1</v>
      </c>
      <c r="N2793" s="10" t="s">
        <v>84</v>
      </c>
      <c r="O2793" s="10">
        <v>1.7</v>
      </c>
      <c r="P2793" s="10">
        <v>0.11799999999999999</v>
      </c>
      <c r="Q2793" s="10">
        <v>92.5</v>
      </c>
      <c r="R2793" s="10" t="s">
        <v>85</v>
      </c>
      <c r="S2793" s="34">
        <f t="shared" si="314"/>
        <v>105.59344</v>
      </c>
      <c r="T2793" s="10" t="s">
        <v>1201</v>
      </c>
      <c r="U2793" s="34" t="str">
        <f t="shared" si="315"/>
        <v/>
      </c>
      <c r="V2793" s="31" t="str">
        <f>IF(H2793="CHK",VLOOKUP(I2793,QCCHK,3,),IF(H2793="GUP",VLOOKUP(E2793,QCGUP,2,),IF(AND(H2793="ATP",OR(I2793="TN",I2793="TDN",I2793="TNO2-3",I2793="NO2-3")),VLOOKUP(E2793,QCREC_N,2,),IF(AND(H2793="NIC",OR(I2793="TN",I2793="TDN",I2793="TNO2-3",I2793="NO2-3")),VLOOKUP(E2793,QCNIC_N,2,),IF(AND(H2793="UREA",OR(I2793="TN",I2793="TDN",I2793="TNO2-3",I2793="NO2-3")),VLOOKUP(E2793,QCUREA_N,2,),IF(H2793="PER",VLOOKUP(I2793,QCPER,MATCH(E2793,QCACTUAL!$J$25:$AA$25,0),),IF(H2793="SPK",VLOOKUP(I2793,QCSPK,3,),IF(AND(H2793="ATP",OR(I2793="TP",I2793="TDP")),VLOOKUP(E2793,QCATP_P,2,),""))))))))</f>
        <v/>
      </c>
      <c r="W2793" s="31" t="str">
        <f t="shared" si="316"/>
        <v>TRUE</v>
      </c>
      <c r="X2793" s="31" t="str">
        <f t="shared" si="313"/>
        <v/>
      </c>
      <c r="Y2793" s="10" t="s">
        <v>1188</v>
      </c>
      <c r="Z2793" s="10" t="s">
        <v>910</v>
      </c>
      <c r="AF2793" s="12">
        <v>44966</v>
      </c>
      <c r="AG2793" s="10">
        <f>-11.204*1.7^2+113.68*1.7-55.283</f>
        <v>105.59344</v>
      </c>
      <c r="AH2793" s="10">
        <f>-2.9408*1.7^2+89.45*1.7-43.664</f>
        <v>99.902088000000006</v>
      </c>
      <c r="AI2793" s="10">
        <f>-1.7314*1.7^2+83.401*1.7-37.87</f>
        <v>98.907953999999989</v>
      </c>
      <c r="AK2793" s="10">
        <f>0.1051*1.7^2+65.423*1.7-19.469</f>
        <v>92.053838999999982</v>
      </c>
      <c r="AL2793" s="10" t="str">
        <f t="shared" si="311"/>
        <v>y=-11.204*1.7^2+113.68*1.7-55.283</v>
      </c>
      <c r="AM2793" s="10" t="str">
        <f t="shared" si="311"/>
        <v>y=-2.9408*1.7^2+89.45*1.7-43.664</v>
      </c>
      <c r="AN2793" s="10" t="str">
        <f t="shared" si="311"/>
        <v>y=-1.7314*1.7^2+83.401*1.7-37.87</v>
      </c>
      <c r="AO2793" s="10" t="str">
        <f t="shared" si="312"/>
        <v>FALSE</v>
      </c>
      <c r="AP2793" s="10" t="str">
        <f t="shared" si="312"/>
        <v>y=0.1051*1.7^2+65.423*1.7-19.469</v>
      </c>
      <c r="AQ2793" s="10" t="str">
        <f>IF(AND(I2793="TP",S2793&lt;=150),VLOOKUP(AF2793,TPCalibEq150!$AZ$2:$BB$55,3,),IF(AND(I2793="TDP",S2793&lt;=150),VLOOKUP(AF2793,TPCalibEq150!$AZ$2:$BB$55,3,)))</f>
        <v>y=-11.204x2+113.68x-55.283</v>
      </c>
      <c r="AR2793" s="10" t="str">
        <f>IF(AND(I2793="TP",S2793&lt;=300),VLOOKUP(AF2793,TPCalibEq300!$AZ$2:$BB$55,3,),IF(AND(I2793="TDP",S2793&lt;=300),VLOOKUP(AF2793,TPCalibEq300!$AZ$2:$BB$55,3,)))</f>
        <v>y=-2.9408x2+89.45x-43.664</v>
      </c>
      <c r="AS2793" s="10" t="str">
        <f>IF(AND(I2793="TP",S2793&lt;=500),VLOOKUP(AF2793,TPCalibEq500!$AZ$2:$BB$56,3,),IF(AND(I2793="TDP",S2793&lt;=500),VLOOKUP(AF2793,TPCalibEq500!$AZ$2:$BB$56,3,)))</f>
        <v>y=-1.7314x2+83.401x-37.87</v>
      </c>
      <c r="AT2793" s="10" t="b">
        <f>IF(AND(I2793="TN",S2793&lt;=2800),VLOOKUP(AF2793,TNCalibEq2500!$AZ$2:$BB$56,3,),IF(AND(I2793="TDN",S2793&lt;=2800),VLOOKUP(AF2793,TNCalibEq2500!$AZ$2:$BB$56,3,)))</f>
        <v>0</v>
      </c>
      <c r="AU2793" s="10" t="str">
        <f>IF(I2793="TP",VLOOKUP(AF2793,TPCalibEqFull!$AZ$2:$BB$56,3),IF(I2793="TDP",VLOOKUP(AF2793,TPCalibEqFull!$AZ$2:$BB$56,3),IF(I2793="TDN",VLOOKUP(AF2793,TNCalibEqFull!$AZ$1:$BB$56,3),IF(I2793="TN",VLOOKUP(AF2793,TNCalibEqFull!$AZ$1:$BB$56,3),FALSE))))</f>
        <v>y=0.1051x2+65.423x-19.469</v>
      </c>
      <c r="AV2793" s="10" t="str">
        <f t="shared" si="317"/>
        <v>0206 11:15:00-EFB-0-C-1-SW-UKN</v>
      </c>
    </row>
    <row r="2794" spans="1:48" s="10" customFormat="1" x14ac:dyDescent="0.55000000000000004">
      <c r="A2794" s="32">
        <v>44963</v>
      </c>
      <c r="B2794" s="33">
        <v>0.47916666666666669</v>
      </c>
      <c r="C2794" s="10" t="s">
        <v>326</v>
      </c>
      <c r="D2794" s="10">
        <v>0</v>
      </c>
      <c r="E2794" s="10" t="s">
        <v>190</v>
      </c>
      <c r="F2794" s="10">
        <v>1</v>
      </c>
      <c r="G2794" s="10" t="s">
        <v>231</v>
      </c>
      <c r="H2794" s="10" t="s">
        <v>322</v>
      </c>
      <c r="I2794" s="10" t="s">
        <v>83</v>
      </c>
      <c r="J2794" s="10">
        <v>22</v>
      </c>
      <c r="K2794" s="12">
        <v>44966</v>
      </c>
      <c r="L2794" s="33">
        <v>0.59303240740740748</v>
      </c>
      <c r="M2794" s="10">
        <v>1</v>
      </c>
      <c r="N2794" s="10" t="s">
        <v>84</v>
      </c>
      <c r="O2794" s="10">
        <v>0.99099999999999999</v>
      </c>
      <c r="P2794" s="10">
        <v>6.7400000000000002E-2</v>
      </c>
      <c r="Q2794" s="10">
        <v>46.3</v>
      </c>
      <c r="R2794" s="10" t="s">
        <v>85</v>
      </c>
      <c r="S2794" s="34">
        <f t="shared" si="314"/>
        <v>46.370644475999995</v>
      </c>
      <c r="T2794" s="10" t="s">
        <v>1201</v>
      </c>
      <c r="U2794" s="34" t="str">
        <f t="shared" si="315"/>
        <v/>
      </c>
      <c r="V2794" s="31" t="str">
        <f>IF(H2794="CHK",VLOOKUP(I2794,QCCHK,3,),IF(H2794="GUP",VLOOKUP(E2794,QCGUP,2,),IF(AND(H2794="ATP",OR(I2794="TN",I2794="TDN",I2794="TNO2-3",I2794="NO2-3")),VLOOKUP(E2794,QCREC_N,2,),IF(AND(H2794="NIC",OR(I2794="TN",I2794="TDN",I2794="TNO2-3",I2794="NO2-3")),VLOOKUP(E2794,QCNIC_N,2,),IF(AND(H2794="UREA",OR(I2794="TN",I2794="TDN",I2794="TNO2-3",I2794="NO2-3")),VLOOKUP(E2794,QCUREA_N,2,),IF(H2794="PER",VLOOKUP(I2794,QCPER,MATCH(E2794,QCACTUAL!$J$25:$AA$25,0),),IF(H2794="SPK",VLOOKUP(I2794,QCSPK,3,),IF(AND(H2794="ATP",OR(I2794="TP",I2794="TDP")),VLOOKUP(E2794,QCATP_P,2,),""))))))))</f>
        <v/>
      </c>
      <c r="W2794" s="31" t="str">
        <f t="shared" si="316"/>
        <v>TRUE</v>
      </c>
      <c r="X2794" s="31" t="str">
        <f t="shared" si="313"/>
        <v/>
      </c>
      <c r="Y2794" s="10" t="s">
        <v>1188</v>
      </c>
      <c r="Z2794" s="10" t="s">
        <v>910</v>
      </c>
      <c r="AF2794" s="12">
        <v>44966</v>
      </c>
      <c r="AG2794" s="10">
        <f>-11.204*0.991^2+113.68*0.991-55.283</f>
        <v>46.370644475999995</v>
      </c>
      <c r="AH2794" s="10">
        <f>-2.9408*0.991^2+89.45*0.991-43.664</f>
        <v>42.092846195200011</v>
      </c>
      <c r="AI2794" s="10">
        <f>-1.7314*0.991^2+83.401*0.991-37.87</f>
        <v>43.0800159566</v>
      </c>
      <c r="AK2794" s="10">
        <f>0.1051*0.991^2+65.423*0.991-19.469</f>
        <v>45.468409713099994</v>
      </c>
      <c r="AL2794" s="10" t="str">
        <f t="shared" si="311"/>
        <v>y=-11.204*0.991^2+113.68*0.991-55.283</v>
      </c>
      <c r="AM2794" s="10" t="str">
        <f t="shared" si="311"/>
        <v>y=-2.9408*0.991^2+89.45*0.991-43.664</v>
      </c>
      <c r="AN2794" s="10" t="str">
        <f t="shared" si="311"/>
        <v>y=-1.7314*0.991^2+83.401*0.991-37.87</v>
      </c>
      <c r="AO2794" s="10" t="str">
        <f t="shared" si="312"/>
        <v>FALSE</v>
      </c>
      <c r="AP2794" s="10" t="str">
        <f t="shared" si="312"/>
        <v>y=0.1051*0.991^2+65.423*0.991-19.469</v>
      </c>
      <c r="AQ2794" s="10" t="str">
        <f>IF(AND(I2794="TP",S2794&lt;=150),VLOOKUP(AF2794,TPCalibEq150!$AZ$2:$BB$55,3,),IF(AND(I2794="TDP",S2794&lt;=150),VLOOKUP(AF2794,TPCalibEq150!$AZ$2:$BB$55,3,)))</f>
        <v>y=-11.204x2+113.68x-55.283</v>
      </c>
      <c r="AR2794" s="10" t="str">
        <f>IF(AND(I2794="TP",S2794&lt;=300),VLOOKUP(AF2794,TPCalibEq300!$AZ$2:$BB$55,3,),IF(AND(I2794="TDP",S2794&lt;=300),VLOOKUP(AF2794,TPCalibEq300!$AZ$2:$BB$55,3,)))</f>
        <v>y=-2.9408x2+89.45x-43.664</v>
      </c>
      <c r="AS2794" s="10" t="str">
        <f>IF(AND(I2794="TP",S2794&lt;=500),VLOOKUP(AF2794,TPCalibEq500!$AZ$2:$BB$56,3,),IF(AND(I2794="TDP",S2794&lt;=500),VLOOKUP(AF2794,TPCalibEq500!$AZ$2:$BB$56,3,)))</f>
        <v>y=-1.7314x2+83.401x-37.87</v>
      </c>
      <c r="AT2794" s="10" t="b">
        <f>IF(AND(I2794="TN",S2794&lt;=2800),VLOOKUP(AF2794,TNCalibEq2500!$AZ$2:$BB$56,3,),IF(AND(I2794="TDN",S2794&lt;=2800),VLOOKUP(AF2794,TNCalibEq2500!$AZ$2:$BB$56,3,)))</f>
        <v>0</v>
      </c>
      <c r="AU2794" s="10" t="str">
        <f>IF(I2794="TP",VLOOKUP(AF2794,TPCalibEqFull!$AZ$2:$BB$56,3),IF(I2794="TDP",VLOOKUP(AF2794,TPCalibEqFull!$AZ$2:$BB$56,3),IF(I2794="TDN",VLOOKUP(AF2794,TNCalibEqFull!$AZ$1:$BB$56,3),IF(I2794="TN",VLOOKUP(AF2794,TNCalibEqFull!$AZ$1:$BB$56,3),FALSE))))</f>
        <v>y=0.1051x2+65.423x-19.469</v>
      </c>
      <c r="AV2794" s="10" t="str">
        <f t="shared" si="317"/>
        <v>0206 11:30:00-GRR-0-C-1-SW-UKN</v>
      </c>
    </row>
    <row r="2795" spans="1:48" s="10" customFormat="1" x14ac:dyDescent="0.55000000000000004">
      <c r="A2795" s="32">
        <v>44963</v>
      </c>
      <c r="B2795" s="33">
        <v>0.4909722222222222</v>
      </c>
      <c r="C2795" s="10" t="s">
        <v>416</v>
      </c>
      <c r="D2795" s="10">
        <v>0</v>
      </c>
      <c r="E2795" s="10" t="s">
        <v>190</v>
      </c>
      <c r="F2795" s="10">
        <v>1</v>
      </c>
      <c r="G2795" s="10" t="s">
        <v>231</v>
      </c>
      <c r="H2795" s="10" t="s">
        <v>322</v>
      </c>
      <c r="I2795" s="10" t="s">
        <v>83</v>
      </c>
      <c r="J2795" s="10">
        <v>23</v>
      </c>
      <c r="K2795" s="12">
        <v>44966</v>
      </c>
      <c r="L2795" s="33">
        <v>0.59373842592592596</v>
      </c>
      <c r="M2795" s="10">
        <v>1</v>
      </c>
      <c r="N2795" s="10" t="s">
        <v>84</v>
      </c>
      <c r="O2795" s="10">
        <v>4.1500000000000004</v>
      </c>
      <c r="P2795" s="10">
        <v>0.29799999999999999</v>
      </c>
      <c r="Q2795" s="10">
        <v>254</v>
      </c>
      <c r="R2795" s="10" t="s">
        <v>85</v>
      </c>
      <c r="S2795" s="34">
        <f t="shared" si="314"/>
        <v>278.42511350000001</v>
      </c>
      <c r="T2795" s="10" t="s">
        <v>1201</v>
      </c>
      <c r="U2795" s="34" t="str">
        <f t="shared" si="315"/>
        <v/>
      </c>
      <c r="V2795" s="31" t="str">
        <f>IF(H2795="CHK",VLOOKUP(I2795,QCCHK,3,),IF(H2795="GUP",VLOOKUP(E2795,QCGUP,2,),IF(AND(H2795="ATP",OR(I2795="TN",I2795="TDN",I2795="TNO2-3",I2795="NO2-3")),VLOOKUP(E2795,QCREC_N,2,),IF(AND(H2795="NIC",OR(I2795="TN",I2795="TDN",I2795="TNO2-3",I2795="NO2-3")),VLOOKUP(E2795,QCNIC_N,2,),IF(AND(H2795="UREA",OR(I2795="TN",I2795="TDN",I2795="TNO2-3",I2795="NO2-3")),VLOOKUP(E2795,QCUREA_N,2,),IF(H2795="PER",VLOOKUP(I2795,QCPER,MATCH(E2795,QCACTUAL!$J$25:$AA$25,0),),IF(H2795="SPK",VLOOKUP(I2795,QCSPK,3,),IF(AND(H2795="ATP",OR(I2795="TP",I2795="TDP")),VLOOKUP(E2795,QCATP_P,2,),""))))))))</f>
        <v/>
      </c>
      <c r="W2795" s="31" t="str">
        <f t="shared" si="316"/>
        <v>TRUE</v>
      </c>
      <c r="X2795" s="31" t="str">
        <f t="shared" si="313"/>
        <v/>
      </c>
      <c r="Y2795" s="10" t="s">
        <v>1188</v>
      </c>
      <c r="Z2795" s="10" t="s">
        <v>910</v>
      </c>
      <c r="AF2795" s="12">
        <v>44966</v>
      </c>
      <c r="AH2795" s="10">
        <f>-2.9408*4.15^2+89.45*4.15-43.664</f>
        <v>276.90557200000001</v>
      </c>
      <c r="AI2795" s="10">
        <f>-1.7314*4.15^2+83.401*4.15-37.87</f>
        <v>278.42511350000001</v>
      </c>
      <c r="AK2795" s="10">
        <f>0.1051*4.15^2+65.423*4.15-19.469</f>
        <v>253.84653475000005</v>
      </c>
      <c r="AL2795" s="10" t="str">
        <f t="shared" si="311"/>
        <v>FALSE</v>
      </c>
      <c r="AM2795" s="10" t="str">
        <f t="shared" si="311"/>
        <v>y=-2.9408*4.15^2+89.45*4.15-43.664</v>
      </c>
      <c r="AN2795" s="10" t="str">
        <f t="shared" si="311"/>
        <v>y=-1.7314*4.15^2+83.401*4.15-37.87</v>
      </c>
      <c r="AO2795" s="10" t="str">
        <f t="shared" si="312"/>
        <v>FALSE</v>
      </c>
      <c r="AP2795" s="10" t="str">
        <f t="shared" si="312"/>
        <v>y=0.1051*4.15^2+65.423*4.15-19.469</v>
      </c>
      <c r="AQ2795" s="10" t="b">
        <f>IF(AND(I2795="TP",S2795&lt;=150),VLOOKUP(AF2795,TPCalibEq150!$AZ$2:$BB$55,3,),IF(AND(I2795="TDP",S2795&lt;=150),VLOOKUP(AF2795,TPCalibEq150!$AZ$2:$BB$55,3,)))</f>
        <v>0</v>
      </c>
      <c r="AR2795" s="10" t="str">
        <f>IF(AND(I2795="TP",S2795&lt;=300),VLOOKUP(AF2795,TPCalibEq300!$AZ$2:$BB$55,3,),IF(AND(I2795="TDP",S2795&lt;=300),VLOOKUP(AF2795,TPCalibEq300!$AZ$2:$BB$55,3,)))</f>
        <v>y=-2.9408x2+89.45x-43.664</v>
      </c>
      <c r="AS2795" s="10" t="str">
        <f>IF(AND(I2795="TP",S2795&lt;=500),VLOOKUP(AF2795,TPCalibEq500!$AZ$2:$BB$56,3,),IF(AND(I2795="TDP",S2795&lt;=500),VLOOKUP(AF2795,TPCalibEq500!$AZ$2:$BB$56,3,)))</f>
        <v>y=-1.7314x2+83.401x-37.87</v>
      </c>
      <c r="AT2795" s="10" t="b">
        <f>IF(AND(I2795="TN",S2795&lt;=2800),VLOOKUP(AF2795,TNCalibEq2500!$AZ$2:$BB$56,3,),IF(AND(I2795="TDN",S2795&lt;=2800),VLOOKUP(AF2795,TNCalibEq2500!$AZ$2:$BB$56,3,)))</f>
        <v>0</v>
      </c>
      <c r="AU2795" s="10" t="str">
        <f>IF(I2795="TP",VLOOKUP(AF2795,TPCalibEqFull!$AZ$2:$BB$56,3),IF(I2795="TDP",VLOOKUP(AF2795,TPCalibEqFull!$AZ$2:$BB$56,3),IF(I2795="TDN",VLOOKUP(AF2795,TNCalibEqFull!$AZ$1:$BB$56,3),IF(I2795="TN",VLOOKUP(AF2795,TNCalibEqFull!$AZ$1:$BB$56,3),FALSE))))</f>
        <v>y=0.1051x2+65.423x-19.469</v>
      </c>
      <c r="AV2795" s="10" t="str">
        <f t="shared" si="317"/>
        <v>0206 11:47:00-CWL-0-C-1-SW-UKN</v>
      </c>
    </row>
    <row r="2796" spans="1:48" s="10" customFormat="1" x14ac:dyDescent="0.55000000000000004">
      <c r="A2796" s="32">
        <v>44963</v>
      </c>
      <c r="B2796" s="33">
        <v>0.61875000000000002</v>
      </c>
      <c r="C2796" s="10" t="s">
        <v>408</v>
      </c>
      <c r="D2796" s="10">
        <v>0</v>
      </c>
      <c r="E2796" s="10">
        <v>560</v>
      </c>
      <c r="F2796" s="10">
        <v>1</v>
      </c>
      <c r="G2796" s="10" t="s">
        <v>231</v>
      </c>
      <c r="H2796" s="10" t="s">
        <v>322</v>
      </c>
      <c r="I2796" s="10" t="s">
        <v>83</v>
      </c>
      <c r="J2796" s="10">
        <v>24</v>
      </c>
      <c r="K2796" s="12">
        <v>44966</v>
      </c>
      <c r="L2796" s="33">
        <v>0.59442129629629636</v>
      </c>
      <c r="M2796" s="10">
        <v>1</v>
      </c>
      <c r="N2796" s="10" t="s">
        <v>84</v>
      </c>
      <c r="O2796" s="10">
        <v>2.21</v>
      </c>
      <c r="P2796" s="10">
        <v>0.155</v>
      </c>
      <c r="Q2796" s="10">
        <v>127</v>
      </c>
      <c r="R2796" s="10" t="s">
        <v>85</v>
      </c>
      <c r="S2796" s="34">
        <f t="shared" si="314"/>
        <v>141.22834360000002</v>
      </c>
      <c r="T2796" s="10" t="s">
        <v>1201</v>
      </c>
      <c r="U2796" s="34" t="str">
        <f t="shared" si="315"/>
        <v/>
      </c>
      <c r="V2796" s="31" t="str">
        <f>IF(H2796="CHK",VLOOKUP(I2796,QCCHK,3,),IF(H2796="GUP",VLOOKUP(E2796,QCGUP,2,),IF(AND(H2796="ATP",OR(I2796="TN",I2796="TDN",I2796="TNO2-3",I2796="NO2-3")),VLOOKUP(E2796,QCREC_N,2,),IF(AND(H2796="NIC",OR(I2796="TN",I2796="TDN",I2796="TNO2-3",I2796="NO2-3")),VLOOKUP(E2796,QCNIC_N,2,),IF(AND(H2796="UREA",OR(I2796="TN",I2796="TDN",I2796="TNO2-3",I2796="NO2-3")),VLOOKUP(E2796,QCUREA_N,2,),IF(H2796="PER",VLOOKUP(I2796,QCPER,MATCH(E2796,QCACTUAL!$J$25:$AA$25,0),),IF(H2796="SPK",VLOOKUP(I2796,QCSPK,3,),IF(AND(H2796="ATP",OR(I2796="TP",I2796="TDP")),VLOOKUP(E2796,QCATP_P,2,),""))))))))</f>
        <v/>
      </c>
      <c r="W2796" s="31" t="str">
        <f t="shared" si="316"/>
        <v>TRUE</v>
      </c>
      <c r="X2796" s="31" t="str">
        <f t="shared" si="313"/>
        <v/>
      </c>
      <c r="Y2796" s="10" t="s">
        <v>1188</v>
      </c>
      <c r="Z2796" s="10" t="s">
        <v>910</v>
      </c>
      <c r="AF2796" s="12">
        <v>44966</v>
      </c>
      <c r="AG2796" s="10">
        <f>-11.204*2.21^2+113.68*2.21-55.283</f>
        <v>141.22834360000002</v>
      </c>
      <c r="AH2796" s="10">
        <f>-2.9408*2.21^2+89.45*2.21-43.664</f>
        <v>139.65733872000004</v>
      </c>
      <c r="AI2796" s="10">
        <f>-1.7314*2.21^2+83.401*2.21-37.87</f>
        <v>137.98987925999998</v>
      </c>
      <c r="AK2796" s="10">
        <f>0.1051*2.21^2+65.423*2.21-19.469</f>
        <v>125.62914891000003</v>
      </c>
      <c r="AL2796" s="10" t="str">
        <f t="shared" si="311"/>
        <v>y=-11.204*2.21^2+113.68*2.21-55.283</v>
      </c>
      <c r="AM2796" s="10" t="str">
        <f t="shared" si="311"/>
        <v>y=-2.9408*2.21^2+89.45*2.21-43.664</v>
      </c>
      <c r="AN2796" s="10" t="str">
        <f t="shared" si="311"/>
        <v>y=-1.7314*2.21^2+83.401*2.21-37.87</v>
      </c>
      <c r="AO2796" s="10" t="str">
        <f t="shared" si="312"/>
        <v>FALSE</v>
      </c>
      <c r="AP2796" s="10" t="str">
        <f t="shared" si="312"/>
        <v>y=0.1051*2.21^2+65.423*2.21-19.469</v>
      </c>
      <c r="AQ2796" s="10" t="str">
        <f>IF(AND(I2796="TP",S2796&lt;=150),VLOOKUP(AF2796,TPCalibEq150!$AZ$2:$BB$55,3,),IF(AND(I2796="TDP",S2796&lt;=150),VLOOKUP(AF2796,TPCalibEq150!$AZ$2:$BB$55,3,)))</f>
        <v>y=-11.204x2+113.68x-55.283</v>
      </c>
      <c r="AR2796" s="10" t="str">
        <f>IF(AND(I2796="TP",S2796&lt;=300),VLOOKUP(AF2796,TPCalibEq300!$AZ$2:$BB$55,3,),IF(AND(I2796="TDP",S2796&lt;=300),VLOOKUP(AF2796,TPCalibEq300!$AZ$2:$BB$55,3,)))</f>
        <v>y=-2.9408x2+89.45x-43.664</v>
      </c>
      <c r="AS2796" s="10" t="str">
        <f>IF(AND(I2796="TP",S2796&lt;=500),VLOOKUP(AF2796,TPCalibEq500!$AZ$2:$BB$56,3,),IF(AND(I2796="TDP",S2796&lt;=500),VLOOKUP(AF2796,TPCalibEq500!$AZ$2:$BB$56,3,)))</f>
        <v>y=-1.7314x2+83.401x-37.87</v>
      </c>
      <c r="AT2796" s="10" t="b">
        <f>IF(AND(I2796="TN",S2796&lt;=2800),VLOOKUP(AF2796,TNCalibEq2500!$AZ$2:$BB$56,3,),IF(AND(I2796="TDN",S2796&lt;=2800),VLOOKUP(AF2796,TNCalibEq2500!$AZ$2:$BB$56,3,)))</f>
        <v>0</v>
      </c>
      <c r="AU2796" s="10" t="str">
        <f>IF(I2796="TP",VLOOKUP(AF2796,TPCalibEqFull!$AZ$2:$BB$56,3),IF(I2796="TDP",VLOOKUP(AF2796,TPCalibEqFull!$AZ$2:$BB$56,3),IF(I2796="TDN",VLOOKUP(AF2796,TNCalibEqFull!$AZ$1:$BB$56,3),IF(I2796="TN",VLOOKUP(AF2796,TNCalibEqFull!$AZ$1:$BB$56,3),FALSE))))</f>
        <v>y=0.1051x2+65.423x-19.469</v>
      </c>
      <c r="AV2796" s="10" t="str">
        <f t="shared" si="317"/>
        <v>0206 14:51:00-CLC-0-560-1-SW-UKN</v>
      </c>
    </row>
    <row r="2797" spans="1:48" s="10" customFormat="1" x14ac:dyDescent="0.55000000000000004">
      <c r="A2797" s="32">
        <v>44963</v>
      </c>
      <c r="B2797" s="33">
        <v>0.59722222222222221</v>
      </c>
      <c r="C2797" s="10" t="s">
        <v>214</v>
      </c>
      <c r="D2797" s="10">
        <v>0</v>
      </c>
      <c r="E2797" s="10">
        <v>610</v>
      </c>
      <c r="F2797" s="10">
        <v>1</v>
      </c>
      <c r="G2797" s="10" t="s">
        <v>231</v>
      </c>
      <c r="H2797" s="10" t="s">
        <v>322</v>
      </c>
      <c r="I2797" s="10" t="s">
        <v>83</v>
      </c>
      <c r="J2797" s="10">
        <v>25</v>
      </c>
      <c r="K2797" s="12">
        <v>44966</v>
      </c>
      <c r="L2797" s="33">
        <v>0.5951157407407407</v>
      </c>
      <c r="M2797" s="10">
        <v>1</v>
      </c>
      <c r="N2797" s="10" t="s">
        <v>84</v>
      </c>
      <c r="O2797" s="10">
        <v>4.08</v>
      </c>
      <c r="P2797" s="10">
        <v>0.29199999999999998</v>
      </c>
      <c r="Q2797" s="10">
        <v>249</v>
      </c>
      <c r="R2797" s="10" t="s">
        <v>85</v>
      </c>
      <c r="S2797" s="34">
        <f t="shared" si="314"/>
        <v>273.58450303999996</v>
      </c>
      <c r="T2797" s="10" t="s">
        <v>1201</v>
      </c>
      <c r="U2797" s="34" t="str">
        <f t="shared" si="315"/>
        <v/>
      </c>
      <c r="V2797" s="31" t="str">
        <f>IF(H2797="CHK",VLOOKUP(I2797,QCCHK,3,),IF(H2797="GUP",VLOOKUP(E2797,QCGUP,2,),IF(AND(H2797="ATP",OR(I2797="TN",I2797="TDN",I2797="TNO2-3",I2797="NO2-3")),VLOOKUP(E2797,QCREC_N,2,),IF(AND(H2797="NIC",OR(I2797="TN",I2797="TDN",I2797="TNO2-3",I2797="NO2-3")),VLOOKUP(E2797,QCNIC_N,2,),IF(AND(H2797="UREA",OR(I2797="TN",I2797="TDN",I2797="TNO2-3",I2797="NO2-3")),VLOOKUP(E2797,QCUREA_N,2,),IF(H2797="PER",VLOOKUP(I2797,QCPER,MATCH(E2797,QCACTUAL!$J$25:$AA$25,0),),IF(H2797="SPK",VLOOKUP(I2797,QCSPK,3,),IF(AND(H2797="ATP",OR(I2797="TP",I2797="TDP")),VLOOKUP(E2797,QCATP_P,2,),""))))))))</f>
        <v/>
      </c>
      <c r="W2797" s="31" t="str">
        <f t="shared" si="316"/>
        <v>TRUE</v>
      </c>
      <c r="X2797" s="31" t="str">
        <f t="shared" si="313"/>
        <v/>
      </c>
      <c r="Y2797" s="10" t="s">
        <v>1188</v>
      </c>
      <c r="Z2797" s="10" t="s">
        <v>910</v>
      </c>
      <c r="AF2797" s="12">
        <v>44966</v>
      </c>
      <c r="AH2797" s="10">
        <f>-2.9408*4.08^2+89.45*4.08-43.664</f>
        <v>272.33826688000005</v>
      </c>
      <c r="AI2797" s="10">
        <f>-1.7314*4.08^2+83.401*4.08-37.87</f>
        <v>273.58450303999996</v>
      </c>
      <c r="AK2797" s="10">
        <f>0.1051*4.08^2+65.423*4.08-19.469</f>
        <v>249.20637663999997</v>
      </c>
      <c r="AL2797" s="10" t="str">
        <f t="shared" ref="AL2797:AN2860" si="318">IF($O2797="", "", IF(AQ2797&lt;&gt;"", SUBSTITUTE(SUBSTITUTE(AQ2797, "x", "*"&amp;$O2797&amp;"^", 1), "x", "*"&amp;$O2797, 1), ""))</f>
        <v>FALSE</v>
      </c>
      <c r="AM2797" s="10" t="str">
        <f t="shared" si="318"/>
        <v>y=-2.9408*4.08^2+89.45*4.08-43.664</v>
      </c>
      <c r="AN2797" s="10" t="str">
        <f t="shared" si="318"/>
        <v>y=-1.7314*4.08^2+83.401*4.08-37.87</v>
      </c>
      <c r="AO2797" s="10" t="str">
        <f t="shared" ref="AO2797:AP2860" si="319">IF($O2797="", "FALSE", IF(AT2797&lt;&gt;"FALSE", SUBSTITUTE(SUBSTITUTE(AT2797, "x", "*"&amp;$O2797&amp;"^", 1), "x", "*"&amp;$O2797, 1), ""))</f>
        <v>FALSE</v>
      </c>
      <c r="AP2797" s="10" t="str">
        <f t="shared" si="319"/>
        <v>y=0.1051*4.08^2+65.423*4.08-19.469</v>
      </c>
      <c r="AQ2797" s="10" t="b">
        <f>IF(AND(I2797="TP",S2797&lt;=150),VLOOKUP(AF2797,TPCalibEq150!$AZ$2:$BB$55,3,),IF(AND(I2797="TDP",S2797&lt;=150),VLOOKUP(AF2797,TPCalibEq150!$AZ$2:$BB$55,3,)))</f>
        <v>0</v>
      </c>
      <c r="AR2797" s="10" t="str">
        <f>IF(AND(I2797="TP",S2797&lt;=300),VLOOKUP(AF2797,TPCalibEq300!$AZ$2:$BB$55,3,),IF(AND(I2797="TDP",S2797&lt;=300),VLOOKUP(AF2797,TPCalibEq300!$AZ$2:$BB$55,3,)))</f>
        <v>y=-2.9408x2+89.45x-43.664</v>
      </c>
      <c r="AS2797" s="10" t="str">
        <f>IF(AND(I2797="TP",S2797&lt;=500),VLOOKUP(AF2797,TPCalibEq500!$AZ$2:$BB$56,3,),IF(AND(I2797="TDP",S2797&lt;=500),VLOOKUP(AF2797,TPCalibEq500!$AZ$2:$BB$56,3,)))</f>
        <v>y=-1.7314x2+83.401x-37.87</v>
      </c>
      <c r="AT2797" s="10" t="b">
        <f>IF(AND(I2797="TN",S2797&lt;=2800),VLOOKUP(AF2797,TNCalibEq2500!$AZ$2:$BB$56,3,),IF(AND(I2797="TDN",S2797&lt;=2800),VLOOKUP(AF2797,TNCalibEq2500!$AZ$2:$BB$56,3,)))</f>
        <v>0</v>
      </c>
      <c r="AU2797" s="10" t="str">
        <f>IF(I2797="TP",VLOOKUP(AF2797,TPCalibEqFull!$AZ$2:$BB$56,3),IF(I2797="TDP",VLOOKUP(AF2797,TPCalibEqFull!$AZ$2:$BB$56,3),IF(I2797="TDN",VLOOKUP(AF2797,TNCalibEqFull!$AZ$1:$BB$56,3),IF(I2797="TN",VLOOKUP(AF2797,TNCalibEqFull!$AZ$1:$BB$56,3),FALSE))))</f>
        <v>y=0.1051x2+65.423x-19.469</v>
      </c>
      <c r="AV2797" s="10" t="str">
        <f t="shared" si="317"/>
        <v>0206 14:20:00-DAM-0-610-1-SW-UKN</v>
      </c>
    </row>
    <row r="2798" spans="1:48" s="10" customFormat="1" x14ac:dyDescent="0.55000000000000004">
      <c r="A2798" s="32">
        <v>44963</v>
      </c>
      <c r="B2798" s="33">
        <v>0.59722222222222221</v>
      </c>
      <c r="C2798" s="10" t="s">
        <v>214</v>
      </c>
      <c r="D2798" s="10">
        <v>0</v>
      </c>
      <c r="E2798" s="10" t="s">
        <v>190</v>
      </c>
      <c r="F2798" s="10">
        <v>1</v>
      </c>
      <c r="G2798" s="10" t="s">
        <v>231</v>
      </c>
      <c r="H2798" s="10" t="s">
        <v>233</v>
      </c>
      <c r="I2798" s="10" t="s">
        <v>83</v>
      </c>
      <c r="J2798" s="10">
        <v>25</v>
      </c>
      <c r="K2798" s="12">
        <v>44966</v>
      </c>
      <c r="L2798" s="33">
        <v>0.5957986111111111</v>
      </c>
      <c r="M2798" s="10">
        <v>1</v>
      </c>
      <c r="N2798" s="10" t="s">
        <v>84</v>
      </c>
      <c r="O2798" s="10">
        <v>4.08</v>
      </c>
      <c r="P2798" s="10">
        <v>0.29299999999999998</v>
      </c>
      <c r="Q2798" s="10">
        <v>249</v>
      </c>
      <c r="R2798" s="10" t="s">
        <v>85</v>
      </c>
      <c r="S2798" s="34">
        <f t="shared" si="314"/>
        <v>273.58450303999996</v>
      </c>
      <c r="T2798" s="10" t="s">
        <v>1201</v>
      </c>
      <c r="U2798" s="34">
        <f t="shared" si="315"/>
        <v>0</v>
      </c>
      <c r="V2798" s="31" t="str">
        <f>IF(H2798="CHK",VLOOKUP(I2798,QCCHK,3,),IF(H2798="GUP",VLOOKUP(E2798,QCGUP,2,),IF(AND(H2798="ATP",OR(I2798="TN",I2798="TDN",I2798="TNO2-3",I2798="NO2-3")),VLOOKUP(E2798,QCREC_N,2,),IF(AND(H2798="NIC",OR(I2798="TN",I2798="TDN",I2798="TNO2-3",I2798="NO2-3")),VLOOKUP(E2798,QCNIC_N,2,),IF(AND(H2798="UREA",OR(I2798="TN",I2798="TDN",I2798="TNO2-3",I2798="NO2-3")),VLOOKUP(E2798,QCUREA_N,2,),IF(H2798="PER",VLOOKUP(I2798,QCPER,MATCH(E2798,QCACTUAL!$J$25:$AA$25,0),),IF(H2798="SPK",VLOOKUP(I2798,QCSPK,3,),IF(AND(H2798="ATP",OR(I2798="TP",I2798="TDP")),VLOOKUP(E2798,QCATP_P,2,),""))))))))</f>
        <v/>
      </c>
      <c r="W2798" s="31" t="str">
        <f t="shared" si="316"/>
        <v>TRUE</v>
      </c>
      <c r="X2798" s="31" t="str">
        <f t="shared" si="313"/>
        <v>((ABS(rep1-rep2))/((rep1+rep2)/2)*100</v>
      </c>
      <c r="Y2798" s="10" t="s">
        <v>1188</v>
      </c>
      <c r="Z2798" s="10" t="s">
        <v>910</v>
      </c>
      <c r="AF2798" s="12">
        <v>44966</v>
      </c>
      <c r="AH2798" s="10">
        <f>-2.9408*4.08^2+89.45*4.08-43.664</f>
        <v>272.33826688000005</v>
      </c>
      <c r="AI2798" s="10">
        <f>-1.7314*4.08^2+83.401*4.08-37.87</f>
        <v>273.58450303999996</v>
      </c>
      <c r="AK2798" s="10">
        <f>0.1051*4.08^2+65.423*4.08-19.469</f>
        <v>249.20637663999997</v>
      </c>
      <c r="AL2798" s="10" t="str">
        <f t="shared" si="318"/>
        <v>FALSE</v>
      </c>
      <c r="AM2798" s="10" t="str">
        <f t="shared" si="318"/>
        <v>y=-2.9408*4.08^2+89.45*4.08-43.664</v>
      </c>
      <c r="AN2798" s="10" t="str">
        <f t="shared" si="318"/>
        <v>y=-1.7314*4.08^2+83.401*4.08-37.87</v>
      </c>
      <c r="AO2798" s="10" t="str">
        <f t="shared" si="319"/>
        <v>FALSE</v>
      </c>
      <c r="AP2798" s="10" t="str">
        <f t="shared" si="319"/>
        <v>y=0.1051*4.08^2+65.423*4.08-19.469</v>
      </c>
      <c r="AQ2798" s="10" t="b">
        <f>IF(AND(I2798="TP",S2798&lt;=150),VLOOKUP(AF2798,TPCalibEq150!$AZ$2:$BB$55,3,),IF(AND(I2798="TDP",S2798&lt;=150),VLOOKUP(AF2798,TPCalibEq150!$AZ$2:$BB$55,3,)))</f>
        <v>0</v>
      </c>
      <c r="AR2798" s="10" t="str">
        <f>IF(AND(I2798="TP",S2798&lt;=300),VLOOKUP(AF2798,TPCalibEq300!$AZ$2:$BB$55,3,),IF(AND(I2798="TDP",S2798&lt;=300),VLOOKUP(AF2798,TPCalibEq300!$AZ$2:$BB$55,3,)))</f>
        <v>y=-2.9408x2+89.45x-43.664</v>
      </c>
      <c r="AS2798" s="10" t="str">
        <f>IF(AND(I2798="TP",S2798&lt;=500),VLOOKUP(AF2798,TPCalibEq500!$AZ$2:$BB$56,3,),IF(AND(I2798="TDP",S2798&lt;=500),VLOOKUP(AF2798,TPCalibEq500!$AZ$2:$BB$56,3,)))</f>
        <v>y=-1.7314x2+83.401x-37.87</v>
      </c>
      <c r="AT2798" s="10" t="b">
        <f>IF(AND(I2798="TN",S2798&lt;=2800),VLOOKUP(AF2798,TNCalibEq2500!$AZ$2:$BB$56,3,),IF(AND(I2798="TDN",S2798&lt;=2800),VLOOKUP(AF2798,TNCalibEq2500!$AZ$2:$BB$56,3,)))</f>
        <v>0</v>
      </c>
      <c r="AU2798" s="10" t="str">
        <f>IF(I2798="TP",VLOOKUP(AF2798,TPCalibEqFull!$AZ$2:$BB$56,3),IF(I2798="TDP",VLOOKUP(AF2798,TPCalibEqFull!$AZ$2:$BB$56,3),IF(I2798="TDN",VLOOKUP(AF2798,TNCalibEqFull!$AZ$1:$BB$56,3),IF(I2798="TN",VLOOKUP(AF2798,TNCalibEqFull!$AZ$1:$BB$56,3),FALSE))))</f>
        <v>y=0.1051x2+65.423x-19.469</v>
      </c>
      <c r="AV2798" s="10" t="str">
        <f t="shared" si="317"/>
        <v>0206 14:20:00-DAM-0-C-1-SW-DUP</v>
      </c>
    </row>
    <row r="2799" spans="1:48" s="10" customFormat="1" x14ac:dyDescent="0.55000000000000004">
      <c r="A2799" s="32">
        <v>44963</v>
      </c>
      <c r="B2799" s="33">
        <v>0.59722222222222221</v>
      </c>
      <c r="C2799" s="10" t="s">
        <v>214</v>
      </c>
      <c r="D2799" s="10">
        <v>0</v>
      </c>
      <c r="E2799" s="10" t="s">
        <v>190</v>
      </c>
      <c r="F2799" s="10">
        <v>1</v>
      </c>
      <c r="G2799" s="10" t="s">
        <v>231</v>
      </c>
      <c r="H2799" s="10" t="s">
        <v>314</v>
      </c>
      <c r="I2799" s="10" t="s">
        <v>83</v>
      </c>
      <c r="J2799" s="10">
        <v>114</v>
      </c>
      <c r="K2799" s="12">
        <v>44966</v>
      </c>
      <c r="L2799" s="33">
        <v>0.59650462962962958</v>
      </c>
      <c r="M2799" s="10">
        <v>1</v>
      </c>
      <c r="N2799" s="10" t="s">
        <v>84</v>
      </c>
      <c r="O2799" s="10">
        <v>3.1</v>
      </c>
      <c r="P2799" s="10">
        <v>0.221</v>
      </c>
      <c r="Q2799" s="10">
        <v>185</v>
      </c>
      <c r="R2799" s="10" t="s">
        <v>85</v>
      </c>
      <c r="S2799" s="34">
        <f t="shared" si="314"/>
        <v>205.369912</v>
      </c>
      <c r="T2799" s="10" t="s">
        <v>1201</v>
      </c>
      <c r="U2799" s="34">
        <f t="shared" si="315"/>
        <v>-6.8214591039999952</v>
      </c>
      <c r="V2799" s="31">
        <f>IF(H2799="CHK",VLOOKUP(I2799,QCCHK,3,),IF(H2799="GUP",VLOOKUP(E2799,QCGUP,2,),IF(AND(H2799="ATP",OR(I2799="TN",I2799="TDN",I2799="TNO2-3",I2799="NO2-3")),VLOOKUP(E2799,QCREC_N,2,),IF(AND(H2799="NIC",OR(I2799="TN",I2799="TDN",I2799="TNO2-3",I2799="NO2-3")),VLOOKUP(E2799,QCNIC_N,2,),IF(AND(H2799="UREA",OR(I2799="TN",I2799="TDN",I2799="TNO2-3",I2799="NO2-3")),VLOOKUP(E2799,QCUREA_N,2,),IF(H2799="PER",VLOOKUP(I2799,QCPER,MATCH(E2799,QCACTUAL!$J$25:$AA$25,0),),IF(H2799="SPK",VLOOKUP(I2799,QCSPK,3,),IF(AND(H2799="ATP",OR(I2799="TP",I2799="TDP")),VLOOKUP(E2799,QCATP_P,2,),""))))))))</f>
        <v>1000</v>
      </c>
      <c r="W2799" s="31" t="str">
        <f t="shared" si="316"/>
        <v>FALSE</v>
      </c>
      <c r="X2799" s="31" t="str">
        <f t="shared" si="313"/>
        <v>([spikedunkn]-[unkn])/[spike]*100</v>
      </c>
      <c r="Y2799" s="10" t="s">
        <v>1188</v>
      </c>
      <c r="Z2799" s="10" t="s">
        <v>910</v>
      </c>
      <c r="AF2799" s="12">
        <v>44966</v>
      </c>
      <c r="AH2799" s="10">
        <f>-2.9408*3.1^2+89.45*3.1-43.664</f>
        <v>205.369912</v>
      </c>
      <c r="AI2799" s="10">
        <f>-1.7314*3.1^2+83.401*3.1-37.87</f>
        <v>204.03434599999997</v>
      </c>
      <c r="AK2799" s="10">
        <f>0.1051*3.1^2+65.423*3.1-19.469</f>
        <v>184.35231100000001</v>
      </c>
      <c r="AL2799" s="10" t="str">
        <f t="shared" si="318"/>
        <v>FALSE</v>
      </c>
      <c r="AM2799" s="10" t="str">
        <f t="shared" si="318"/>
        <v>y=-2.9408*3.1^2+89.45*3.1-43.664</v>
      </c>
      <c r="AN2799" s="10" t="str">
        <f t="shared" si="318"/>
        <v>y=-1.7314*3.1^2+83.401*3.1-37.87</v>
      </c>
      <c r="AO2799" s="10" t="str">
        <f t="shared" si="319"/>
        <v>FALSE</v>
      </c>
      <c r="AP2799" s="10" t="str">
        <f t="shared" si="319"/>
        <v>y=0.1051*3.1^2+65.423*3.1-19.469</v>
      </c>
      <c r="AQ2799" s="10" t="b">
        <f>IF(AND(I2799="TP",S2799&lt;=150),VLOOKUP(AF2799,TPCalibEq150!$AZ$2:$BB$55,3,),IF(AND(I2799="TDP",S2799&lt;=150),VLOOKUP(AF2799,TPCalibEq150!$AZ$2:$BB$55,3,)))</f>
        <v>0</v>
      </c>
      <c r="AR2799" s="10" t="str">
        <f>IF(AND(I2799="TP",S2799&lt;=300),VLOOKUP(AF2799,TPCalibEq300!$AZ$2:$BB$55,3,),IF(AND(I2799="TDP",S2799&lt;=300),VLOOKUP(AF2799,TPCalibEq300!$AZ$2:$BB$55,3,)))</f>
        <v>y=-2.9408x2+89.45x-43.664</v>
      </c>
      <c r="AS2799" s="10" t="str">
        <f>IF(AND(I2799="TP",S2799&lt;=500),VLOOKUP(AF2799,TPCalibEq500!$AZ$2:$BB$56,3,),IF(AND(I2799="TDP",S2799&lt;=500),VLOOKUP(AF2799,TPCalibEq500!$AZ$2:$BB$56,3,)))</f>
        <v>y=-1.7314x2+83.401x-37.87</v>
      </c>
      <c r="AT2799" s="10" t="b">
        <f>IF(AND(I2799="TN",S2799&lt;=2800),VLOOKUP(AF2799,TNCalibEq2500!$AZ$2:$BB$56,3,),IF(AND(I2799="TDN",S2799&lt;=2800),VLOOKUP(AF2799,TNCalibEq2500!$AZ$2:$BB$56,3,)))</f>
        <v>0</v>
      </c>
      <c r="AU2799" s="10" t="str">
        <f>IF(I2799="TP",VLOOKUP(AF2799,TPCalibEqFull!$AZ$2:$BB$56,3),IF(I2799="TDP",VLOOKUP(AF2799,TPCalibEqFull!$AZ$2:$BB$56,3),IF(I2799="TDN",VLOOKUP(AF2799,TNCalibEqFull!$AZ$1:$BB$56,3),IF(I2799="TN",VLOOKUP(AF2799,TNCalibEqFull!$AZ$1:$BB$56,3),FALSE))))</f>
        <v>y=0.1051x2+65.423x-19.469</v>
      </c>
      <c r="AV2799" s="10" t="str">
        <f t="shared" si="317"/>
        <v>0206 14:20:00-DAM-0-C-1-SW-SPK</v>
      </c>
    </row>
    <row r="2800" spans="1:48" s="10" customFormat="1" x14ac:dyDescent="0.55000000000000004">
      <c r="A2800" s="32">
        <v>44966</v>
      </c>
      <c r="B2800" s="33">
        <v>0.375</v>
      </c>
      <c r="C2800" s="10" t="s">
        <v>70</v>
      </c>
      <c r="D2800" s="10" t="s">
        <v>71</v>
      </c>
      <c r="E2800" s="10" t="s">
        <v>901</v>
      </c>
      <c r="F2800" s="10">
        <v>1</v>
      </c>
      <c r="G2800" s="10" t="s">
        <v>73</v>
      </c>
      <c r="H2800" s="10" t="s">
        <v>207</v>
      </c>
      <c r="I2800" s="10" t="s">
        <v>83</v>
      </c>
      <c r="J2800" s="10">
        <v>200</v>
      </c>
      <c r="K2800" s="12">
        <v>44966</v>
      </c>
      <c r="L2800" s="33">
        <v>0.59719907407407413</v>
      </c>
      <c r="M2800" s="10">
        <v>1</v>
      </c>
      <c r="N2800" s="10" t="s">
        <v>84</v>
      </c>
      <c r="O2800" s="10">
        <v>7.59</v>
      </c>
      <c r="P2800" s="10">
        <v>0.54600000000000004</v>
      </c>
      <c r="Q2800" s="10">
        <v>483</v>
      </c>
      <c r="R2800" s="10" t="s">
        <v>85</v>
      </c>
      <c r="S2800" s="34">
        <f t="shared" si="314"/>
        <v>495.40092565999987</v>
      </c>
      <c r="T2800" s="10" t="s">
        <v>1201</v>
      </c>
      <c r="U2800" s="34">
        <f t="shared" si="315"/>
        <v>99.080185131999983</v>
      </c>
      <c r="V2800" s="31">
        <f>IF(H2800="CHK",VLOOKUP(I2800,QCCHK,3,),IF(H2800="GUP",VLOOKUP(E2800,QCGUP,2,),IF(AND(H2800="ATP",OR(I2800="TN",I2800="TDN",I2800="TNO2-3",I2800="NO2-3")),VLOOKUP(E2800,QCREC_N,2,),IF(AND(H2800="NIC",OR(I2800="TN",I2800="TDN",I2800="TNO2-3",I2800="NO2-3")),VLOOKUP(E2800,QCNIC_N,2,),IF(AND(H2800="UREA",OR(I2800="TN",I2800="TDN",I2800="TNO2-3",I2800="NO2-3")),VLOOKUP(E2800,QCUREA_N,2,),IF(H2800="PER",VLOOKUP(I2800,QCPER,MATCH(E2800,QCACTUAL!$J$25:$AA$25,0),),IF(H2800="SPK",VLOOKUP(I2800,QCSPK,3,),IF(AND(H2800="ATP",OR(I2800="TP",I2800="TDP")),VLOOKUP(E2800,QCATP_P,2,),""))))))))</f>
        <v>500</v>
      </c>
      <c r="W2800" s="31" t="str">
        <f t="shared" si="316"/>
        <v>TRUE</v>
      </c>
      <c r="X2800" s="31" t="str">
        <f t="shared" si="313"/>
        <v>[chk]/[actual]*100</v>
      </c>
      <c r="Y2800" s="10" t="s">
        <v>1188</v>
      </c>
      <c r="AF2800" s="12">
        <v>44966</v>
      </c>
      <c r="AI2800" s="10">
        <f>-1.7314*7.59^2+83.401*7.59-37.87</f>
        <v>495.40092565999987</v>
      </c>
      <c r="AK2800" s="10">
        <f>0.1051*7.59^2+65.423*7.59-19.469</f>
        <v>483.14618130999997</v>
      </c>
      <c r="AL2800" s="10" t="str">
        <f t="shared" si="318"/>
        <v>FALSE</v>
      </c>
      <c r="AM2800" s="10" t="str">
        <f t="shared" si="318"/>
        <v>FALSE</v>
      </c>
      <c r="AN2800" s="10" t="str">
        <f t="shared" si="318"/>
        <v>y=-1.7314*7.59^2+83.401*7.59-37.87</v>
      </c>
      <c r="AO2800" s="10" t="str">
        <f t="shared" si="319"/>
        <v>FALSE</v>
      </c>
      <c r="AP2800" s="10" t="str">
        <f t="shared" si="319"/>
        <v>y=0.1051*7.59^2+65.423*7.59-19.469</v>
      </c>
      <c r="AQ2800" s="10" t="b">
        <f>IF(AND(I2800="TP",S2800&lt;=150),VLOOKUP(AF2800,TPCalibEq150!$AZ$2:$BB$55,3,),IF(AND(I2800="TDP",S2800&lt;=150),VLOOKUP(AF2800,TPCalibEq150!$AZ$2:$BB$55,3,)))</f>
        <v>0</v>
      </c>
      <c r="AR2800" s="10" t="b">
        <f>IF(AND(I2800="TP",S2800&lt;=300),VLOOKUP(AF2800,TPCalibEq300!$AZ$2:$BB$55,3,),IF(AND(I2800="TDP",S2800&lt;=300),VLOOKUP(AF2800,TPCalibEq300!$AZ$2:$BB$55,3,)))</f>
        <v>0</v>
      </c>
      <c r="AS2800" s="10" t="str">
        <f>IF(AND(I2800="TP",S2800&lt;=500),VLOOKUP(AF2800,TPCalibEq500!$AZ$2:$BB$56,3,),IF(AND(I2800="TDP",S2800&lt;=500),VLOOKUP(AF2800,TPCalibEq500!$AZ$2:$BB$56,3,)))</f>
        <v>y=-1.7314x2+83.401x-37.87</v>
      </c>
      <c r="AT2800" s="10" t="b">
        <f>IF(AND(I2800="TN",S2800&lt;=2800),VLOOKUP(AF2800,TNCalibEq2500!$AZ$2:$BB$56,3,),IF(AND(I2800="TDN",S2800&lt;=2800),VLOOKUP(AF2800,TNCalibEq2500!$AZ$2:$BB$56,3,)))</f>
        <v>0</v>
      </c>
      <c r="AU2800" s="10" t="str">
        <f>IF(I2800="TP",VLOOKUP(AF2800,TPCalibEqFull!$AZ$2:$BB$56,3),IF(I2800="TDP",VLOOKUP(AF2800,TPCalibEqFull!$AZ$2:$BB$56,3),IF(I2800="TDN",VLOOKUP(AF2800,TNCalibEqFull!$AZ$1:$BB$56,3),IF(I2800="TN",VLOOKUP(AF2800,TNCalibEqFull!$AZ$1:$BB$56,3),FALSE))))</f>
        <v>y=0.1051x2+65.423x-19.469</v>
      </c>
      <c r="AV2800" s="10" t="str">
        <f t="shared" si="317"/>
        <v>0209 09:00:00-QAC-STD-D-1-DI-CHK</v>
      </c>
    </row>
    <row r="2801" spans="1:48" s="10" customFormat="1" x14ac:dyDescent="0.55000000000000004">
      <c r="A2801" s="32">
        <v>44965</v>
      </c>
      <c r="B2801" s="33">
        <v>0.47164351851851855</v>
      </c>
      <c r="C2801" s="10" t="s">
        <v>431</v>
      </c>
      <c r="D2801" s="10">
        <v>0</v>
      </c>
      <c r="E2801" s="10">
        <v>500</v>
      </c>
      <c r="F2801" s="10">
        <v>1</v>
      </c>
      <c r="G2801" s="10" t="s">
        <v>231</v>
      </c>
      <c r="H2801" s="10" t="s">
        <v>322</v>
      </c>
      <c r="I2801" s="10" t="s">
        <v>83</v>
      </c>
      <c r="J2801" s="10">
        <v>26</v>
      </c>
      <c r="K2801" s="12">
        <v>44966</v>
      </c>
      <c r="L2801" s="33">
        <v>0.59789351851851846</v>
      </c>
      <c r="M2801" s="10">
        <v>1</v>
      </c>
      <c r="N2801" s="10" t="s">
        <v>84</v>
      </c>
      <c r="O2801" s="10">
        <v>1.44</v>
      </c>
      <c r="P2801" s="10">
        <v>9.9400000000000002E-2</v>
      </c>
      <c r="Q2801" s="10">
        <v>75.900000000000006</v>
      </c>
      <c r="R2801" s="10" t="s">
        <v>85</v>
      </c>
      <c r="S2801" s="34">
        <f t="shared" si="314"/>
        <v>85.183585600000001</v>
      </c>
      <c r="T2801" s="10" t="s">
        <v>1201</v>
      </c>
      <c r="U2801" s="34" t="str">
        <f t="shared" si="315"/>
        <v/>
      </c>
      <c r="V2801" s="31" t="str">
        <f>IF(H2801="CHK",VLOOKUP(I2801,QCCHK,3,),IF(H2801="GUP",VLOOKUP(E2801,QCGUP,2,),IF(AND(H2801="ATP",OR(I2801="TN",I2801="TDN",I2801="TNO2-3",I2801="NO2-3")),VLOOKUP(E2801,QCREC_N,2,),IF(AND(H2801="NIC",OR(I2801="TN",I2801="TDN",I2801="TNO2-3",I2801="NO2-3")),VLOOKUP(E2801,QCNIC_N,2,),IF(AND(H2801="UREA",OR(I2801="TN",I2801="TDN",I2801="TNO2-3",I2801="NO2-3")),VLOOKUP(E2801,QCUREA_N,2,),IF(H2801="PER",VLOOKUP(I2801,QCPER,MATCH(E2801,QCACTUAL!$J$25:$AA$25,0),),IF(H2801="SPK",VLOOKUP(I2801,QCSPK,3,),IF(AND(H2801="ATP",OR(I2801="TP",I2801="TDP")),VLOOKUP(E2801,QCATP_P,2,),""))))))))</f>
        <v/>
      </c>
      <c r="W2801" s="31" t="str">
        <f t="shared" si="316"/>
        <v>TRUE</v>
      </c>
      <c r="X2801" s="31" t="str">
        <f t="shared" si="313"/>
        <v/>
      </c>
      <c r="Y2801" s="10" t="s">
        <v>1188</v>
      </c>
      <c r="AF2801" s="12">
        <v>44966</v>
      </c>
      <c r="AG2801" s="10">
        <f>-11.204*1.44^2+113.68*1.44-55.283</f>
        <v>85.183585600000001</v>
      </c>
      <c r="AH2801" s="10">
        <f>-2.9408*1.44^2+89.45*1.44-43.664</f>
        <v>79.045957119999997</v>
      </c>
      <c r="AI2801" s="10">
        <f>-1.7314*1.44^2+83.401*1.44-37.87</f>
        <v>78.637208959999981</v>
      </c>
      <c r="AK2801" s="10">
        <f>0.1051*1.44^2+65.423*1.44-19.469</f>
        <v>74.958055360000003</v>
      </c>
      <c r="AL2801" s="10" t="str">
        <f t="shared" si="318"/>
        <v>y=-11.204*1.44^2+113.68*1.44-55.283</v>
      </c>
      <c r="AM2801" s="10" t="str">
        <f t="shared" si="318"/>
        <v>y=-2.9408*1.44^2+89.45*1.44-43.664</v>
      </c>
      <c r="AN2801" s="10" t="str">
        <f t="shared" si="318"/>
        <v>y=-1.7314*1.44^2+83.401*1.44-37.87</v>
      </c>
      <c r="AO2801" s="10" t="str">
        <f t="shared" si="319"/>
        <v>FALSE</v>
      </c>
      <c r="AP2801" s="10" t="str">
        <f t="shared" si="319"/>
        <v>y=0.1051*1.44^2+65.423*1.44-19.469</v>
      </c>
      <c r="AQ2801" s="10" t="str">
        <f>IF(AND(I2801="TP",S2801&lt;=150),VLOOKUP(AF2801,TPCalibEq150!$AZ$2:$BB$55,3,),IF(AND(I2801="TDP",S2801&lt;=150),VLOOKUP(AF2801,TPCalibEq150!$AZ$2:$BB$55,3,)))</f>
        <v>y=-11.204x2+113.68x-55.283</v>
      </c>
      <c r="AR2801" s="10" t="str">
        <f>IF(AND(I2801="TP",S2801&lt;=300),VLOOKUP(AF2801,TPCalibEq300!$AZ$2:$BB$55,3,),IF(AND(I2801="TDP",S2801&lt;=300),VLOOKUP(AF2801,TPCalibEq300!$AZ$2:$BB$55,3,)))</f>
        <v>y=-2.9408x2+89.45x-43.664</v>
      </c>
      <c r="AS2801" s="10" t="str">
        <f>IF(AND(I2801="TP",S2801&lt;=500),VLOOKUP(AF2801,TPCalibEq500!$AZ$2:$BB$56,3,),IF(AND(I2801="TDP",S2801&lt;=500),VLOOKUP(AF2801,TPCalibEq500!$AZ$2:$BB$56,3,)))</f>
        <v>y=-1.7314x2+83.401x-37.87</v>
      </c>
      <c r="AT2801" s="10" t="b">
        <f>IF(AND(I2801="TN",S2801&lt;=2800),VLOOKUP(AF2801,TNCalibEq2500!$AZ$2:$BB$56,3,),IF(AND(I2801="TDN",S2801&lt;=2800),VLOOKUP(AF2801,TNCalibEq2500!$AZ$2:$BB$56,3,)))</f>
        <v>0</v>
      </c>
      <c r="AU2801" s="10" t="str">
        <f>IF(I2801="TP",VLOOKUP(AF2801,TPCalibEqFull!$AZ$2:$BB$56,3),IF(I2801="TDP",VLOOKUP(AF2801,TPCalibEqFull!$AZ$2:$BB$56,3),IF(I2801="TDN",VLOOKUP(AF2801,TNCalibEqFull!$AZ$1:$BB$56,3),IF(I2801="TN",VLOOKUP(AF2801,TNCalibEqFull!$AZ$1:$BB$56,3),FALSE))))</f>
        <v>y=0.1051x2+65.423x-19.469</v>
      </c>
      <c r="AV2801" s="10" t="str">
        <f t="shared" si="317"/>
        <v>0208 11:19:10-EUS-0-500-1-SW-UKN</v>
      </c>
    </row>
    <row r="2802" spans="1:48" s="10" customFormat="1" x14ac:dyDescent="0.55000000000000004">
      <c r="A2802" s="32">
        <v>44965</v>
      </c>
      <c r="B2802" s="33">
        <v>0.47395833333333331</v>
      </c>
      <c r="C2802" s="10" t="s">
        <v>431</v>
      </c>
      <c r="D2802" s="10">
        <v>5</v>
      </c>
      <c r="E2802" s="10" t="s">
        <v>190</v>
      </c>
      <c r="F2802" s="10">
        <v>1</v>
      </c>
      <c r="G2802" s="10" t="s">
        <v>231</v>
      </c>
      <c r="H2802" s="10" t="s">
        <v>322</v>
      </c>
      <c r="I2802" s="10" t="s">
        <v>83</v>
      </c>
      <c r="J2802" s="10">
        <v>27</v>
      </c>
      <c r="K2802" s="12">
        <v>44966</v>
      </c>
      <c r="L2802" s="33">
        <v>0.59858796296296302</v>
      </c>
      <c r="M2802" s="10">
        <v>1</v>
      </c>
      <c r="N2802" s="10" t="s">
        <v>84</v>
      </c>
      <c r="O2802" s="10">
        <v>2.0699999999999998</v>
      </c>
      <c r="P2802" s="10">
        <v>0.14499999999999999</v>
      </c>
      <c r="Q2802" s="10">
        <v>117</v>
      </c>
      <c r="R2802" s="10" t="s">
        <v>85</v>
      </c>
      <c r="S2802" s="34">
        <f t="shared" si="314"/>
        <v>132.0265804</v>
      </c>
      <c r="T2802" s="10" t="s">
        <v>1201</v>
      </c>
      <c r="U2802" s="34" t="str">
        <f t="shared" si="315"/>
        <v/>
      </c>
      <c r="V2802" s="31" t="str">
        <f>IF(H2802="CHK",VLOOKUP(I2802,QCCHK,3,),IF(H2802="GUP",VLOOKUP(E2802,QCGUP,2,),IF(AND(H2802="ATP",OR(I2802="TN",I2802="TDN",I2802="TNO2-3",I2802="NO2-3")),VLOOKUP(E2802,QCREC_N,2,),IF(AND(H2802="NIC",OR(I2802="TN",I2802="TDN",I2802="TNO2-3",I2802="NO2-3")),VLOOKUP(E2802,QCNIC_N,2,),IF(AND(H2802="UREA",OR(I2802="TN",I2802="TDN",I2802="TNO2-3",I2802="NO2-3")),VLOOKUP(E2802,QCUREA_N,2,),IF(H2802="PER",VLOOKUP(I2802,QCPER,MATCH(E2802,QCACTUAL!$J$25:$AA$25,0),),IF(H2802="SPK",VLOOKUP(I2802,QCSPK,3,),IF(AND(H2802="ATP",OR(I2802="TP",I2802="TDP")),VLOOKUP(E2802,QCATP_P,2,),""))))))))</f>
        <v/>
      </c>
      <c r="W2802" s="31" t="str">
        <f t="shared" si="316"/>
        <v>TRUE</v>
      </c>
      <c r="X2802" s="31" t="str">
        <f t="shared" si="313"/>
        <v/>
      </c>
      <c r="Y2802" s="10" t="s">
        <v>1188</v>
      </c>
      <c r="AF2802" s="12">
        <v>44966</v>
      </c>
      <c r="AG2802" s="10">
        <f>-11.204*2.07^2+113.68*2.07-55.283</f>
        <v>132.0265804</v>
      </c>
      <c r="AH2802" s="10">
        <f>-2.9408*2.07^2+89.45*2.07-43.664</f>
        <v>128.89646607999998</v>
      </c>
      <c r="AI2802" s="10">
        <f>-1.7314*2.07^2+83.401*2.07-37.87</f>
        <v>127.35119413999999</v>
      </c>
      <c r="AK2802" s="10">
        <f>0.1051*2.07^2+65.423*2.07-19.469</f>
        <v>116.40695299000001</v>
      </c>
      <c r="AL2802" s="10" t="str">
        <f t="shared" si="318"/>
        <v>y=-11.204*2.07^2+113.68*2.07-55.283</v>
      </c>
      <c r="AM2802" s="10" t="str">
        <f t="shared" si="318"/>
        <v>y=-2.9408*2.07^2+89.45*2.07-43.664</v>
      </c>
      <c r="AN2802" s="10" t="str">
        <f t="shared" si="318"/>
        <v>y=-1.7314*2.07^2+83.401*2.07-37.87</v>
      </c>
      <c r="AO2802" s="10" t="str">
        <f t="shared" si="319"/>
        <v>FALSE</v>
      </c>
      <c r="AP2802" s="10" t="str">
        <f t="shared" si="319"/>
        <v>y=0.1051*2.07^2+65.423*2.07-19.469</v>
      </c>
      <c r="AQ2802" s="10" t="str">
        <f>IF(AND(I2802="TP",S2802&lt;=150),VLOOKUP(AF2802,TPCalibEq150!$AZ$2:$BB$55,3,),IF(AND(I2802="TDP",S2802&lt;=150),VLOOKUP(AF2802,TPCalibEq150!$AZ$2:$BB$55,3,)))</f>
        <v>y=-11.204x2+113.68x-55.283</v>
      </c>
      <c r="AR2802" s="10" t="str">
        <f>IF(AND(I2802="TP",S2802&lt;=300),VLOOKUP(AF2802,TPCalibEq300!$AZ$2:$BB$55,3,),IF(AND(I2802="TDP",S2802&lt;=300),VLOOKUP(AF2802,TPCalibEq300!$AZ$2:$BB$55,3,)))</f>
        <v>y=-2.9408x2+89.45x-43.664</v>
      </c>
      <c r="AS2802" s="10" t="str">
        <f>IF(AND(I2802="TP",S2802&lt;=500),VLOOKUP(AF2802,TPCalibEq500!$AZ$2:$BB$56,3,),IF(AND(I2802="TDP",S2802&lt;=500),VLOOKUP(AF2802,TPCalibEq500!$AZ$2:$BB$56,3,)))</f>
        <v>y=-1.7314x2+83.401x-37.87</v>
      </c>
      <c r="AT2802" s="10" t="b">
        <f>IF(AND(I2802="TN",S2802&lt;=2800),VLOOKUP(AF2802,TNCalibEq2500!$AZ$2:$BB$56,3,),IF(AND(I2802="TDN",S2802&lt;=2800),VLOOKUP(AF2802,TNCalibEq2500!$AZ$2:$BB$56,3,)))</f>
        <v>0</v>
      </c>
      <c r="AU2802" s="10" t="str">
        <f>IF(I2802="TP",VLOOKUP(AF2802,TPCalibEqFull!$AZ$2:$BB$56,3),IF(I2802="TDP",VLOOKUP(AF2802,TPCalibEqFull!$AZ$2:$BB$56,3),IF(I2802="TDN",VLOOKUP(AF2802,TNCalibEqFull!$AZ$1:$BB$56,3),IF(I2802="TN",VLOOKUP(AF2802,TNCalibEqFull!$AZ$1:$BB$56,3),FALSE))))</f>
        <v>y=0.1051x2+65.423x-19.469</v>
      </c>
      <c r="AV2802" s="10" t="str">
        <f t="shared" si="317"/>
        <v>0208 11:22:30-EUS-5-C-1-SW-UKN</v>
      </c>
    </row>
    <row r="2803" spans="1:48" s="10" customFormat="1" x14ac:dyDescent="0.55000000000000004">
      <c r="A2803" s="32">
        <v>44965</v>
      </c>
      <c r="B2803" s="33">
        <v>0.46828703703703706</v>
      </c>
      <c r="C2803" s="10" t="s">
        <v>618</v>
      </c>
      <c r="D2803" s="10">
        <v>0</v>
      </c>
      <c r="E2803" s="10">
        <v>700</v>
      </c>
      <c r="F2803" s="10">
        <v>1</v>
      </c>
      <c r="G2803" s="10" t="s">
        <v>231</v>
      </c>
      <c r="H2803" s="10" t="s">
        <v>322</v>
      </c>
      <c r="I2803" s="10" t="s">
        <v>83</v>
      </c>
      <c r="J2803" s="10">
        <v>28</v>
      </c>
      <c r="K2803" s="12">
        <v>44966</v>
      </c>
      <c r="L2803" s="33">
        <v>0.59927083333333331</v>
      </c>
      <c r="M2803" s="10">
        <v>1</v>
      </c>
      <c r="N2803" s="10" t="s">
        <v>84</v>
      </c>
      <c r="O2803" s="10">
        <v>3.71</v>
      </c>
      <c r="P2803" s="10">
        <v>0.26500000000000001</v>
      </c>
      <c r="Q2803" s="10">
        <v>225</v>
      </c>
      <c r="R2803" s="10" t="s">
        <v>85</v>
      </c>
      <c r="S2803" s="34">
        <f t="shared" si="314"/>
        <v>247.71803472000005</v>
      </c>
      <c r="T2803" s="10" t="s">
        <v>1201</v>
      </c>
      <c r="U2803" s="34" t="str">
        <f t="shared" si="315"/>
        <v/>
      </c>
      <c r="V2803" s="31" t="str">
        <f>IF(H2803="CHK",VLOOKUP(I2803,QCCHK,3,),IF(H2803="GUP",VLOOKUP(E2803,QCGUP,2,),IF(AND(H2803="ATP",OR(I2803="TN",I2803="TDN",I2803="TNO2-3",I2803="NO2-3")),VLOOKUP(E2803,QCREC_N,2,),IF(AND(H2803="NIC",OR(I2803="TN",I2803="TDN",I2803="TNO2-3",I2803="NO2-3")),VLOOKUP(E2803,QCNIC_N,2,),IF(AND(H2803="UREA",OR(I2803="TN",I2803="TDN",I2803="TNO2-3",I2803="NO2-3")),VLOOKUP(E2803,QCUREA_N,2,),IF(H2803="PER",VLOOKUP(I2803,QCPER,MATCH(E2803,QCACTUAL!$J$25:$AA$25,0),),IF(H2803="SPK",VLOOKUP(I2803,QCSPK,3,),IF(AND(H2803="ATP",OR(I2803="TP",I2803="TDP")),VLOOKUP(E2803,QCATP_P,2,),""))))))))</f>
        <v/>
      </c>
      <c r="W2803" s="31" t="str">
        <f t="shared" si="316"/>
        <v>TRUE</v>
      </c>
      <c r="X2803" s="31" t="str">
        <f t="shared" si="313"/>
        <v/>
      </c>
      <c r="Y2803" s="10" t="s">
        <v>1188</v>
      </c>
      <c r="AF2803" s="12">
        <v>44966</v>
      </c>
      <c r="AH2803" s="10">
        <f>-2.9408*3.71^2+89.45*3.71-43.664</f>
        <v>247.71803472000005</v>
      </c>
      <c r="AI2803" s="10">
        <f>-1.7314*3.71^2+83.401*3.71-37.87</f>
        <v>247.71654725999997</v>
      </c>
      <c r="AK2803" s="10">
        <f>0.1051*3.71^2+65.423*3.71-19.469</f>
        <v>224.69693691000003</v>
      </c>
      <c r="AL2803" s="10" t="str">
        <f t="shared" si="318"/>
        <v>FALSE</v>
      </c>
      <c r="AM2803" s="10" t="str">
        <f t="shared" si="318"/>
        <v>y=-2.9408*3.71^2+89.45*3.71-43.664</v>
      </c>
      <c r="AN2803" s="10" t="str">
        <f t="shared" si="318"/>
        <v>y=-1.7314*3.71^2+83.401*3.71-37.87</v>
      </c>
      <c r="AO2803" s="10" t="str">
        <f t="shared" si="319"/>
        <v>FALSE</v>
      </c>
      <c r="AP2803" s="10" t="str">
        <f t="shared" si="319"/>
        <v>y=0.1051*3.71^2+65.423*3.71-19.469</v>
      </c>
      <c r="AQ2803" s="10" t="b">
        <f>IF(AND(I2803="TP",S2803&lt;=150),VLOOKUP(AF2803,TPCalibEq150!$AZ$2:$BB$55,3,),IF(AND(I2803="TDP",S2803&lt;=150),VLOOKUP(AF2803,TPCalibEq150!$AZ$2:$BB$55,3,)))</f>
        <v>0</v>
      </c>
      <c r="AR2803" s="10" t="str">
        <f>IF(AND(I2803="TP",S2803&lt;=300),VLOOKUP(AF2803,TPCalibEq300!$AZ$2:$BB$55,3,),IF(AND(I2803="TDP",S2803&lt;=300),VLOOKUP(AF2803,TPCalibEq300!$AZ$2:$BB$55,3,)))</f>
        <v>y=-2.9408x2+89.45x-43.664</v>
      </c>
      <c r="AS2803" s="10" t="str">
        <f>IF(AND(I2803="TP",S2803&lt;=500),VLOOKUP(AF2803,TPCalibEq500!$AZ$2:$BB$56,3,),IF(AND(I2803="TDP",S2803&lt;=500),VLOOKUP(AF2803,TPCalibEq500!$AZ$2:$BB$56,3,)))</f>
        <v>y=-1.7314x2+83.401x-37.87</v>
      </c>
      <c r="AT2803" s="10" t="b">
        <f>IF(AND(I2803="TN",S2803&lt;=2800),VLOOKUP(AF2803,TNCalibEq2500!$AZ$2:$BB$56,3,),IF(AND(I2803="TDN",S2803&lt;=2800),VLOOKUP(AF2803,TNCalibEq2500!$AZ$2:$BB$56,3,)))</f>
        <v>0</v>
      </c>
      <c r="AU2803" s="10" t="str">
        <f>IF(I2803="TP",VLOOKUP(AF2803,TPCalibEqFull!$AZ$2:$BB$56,3),IF(I2803="TDP",VLOOKUP(AF2803,TPCalibEqFull!$AZ$2:$BB$56,3),IF(I2803="TDN",VLOOKUP(AF2803,TNCalibEqFull!$AZ$1:$BB$56,3),IF(I2803="TN",VLOOKUP(AF2803,TNCalibEqFull!$AZ$1:$BB$56,3),FALSE))))</f>
        <v>y=0.1051x2+65.423x-19.469</v>
      </c>
      <c r="AV2803" s="10" t="str">
        <f t="shared" si="317"/>
        <v>0208 11:14:20-ECP-0-700-1-SW-UKN</v>
      </c>
    </row>
    <row r="2804" spans="1:48" s="10" customFormat="1" x14ac:dyDescent="0.55000000000000004">
      <c r="A2804" s="32">
        <v>44965</v>
      </c>
      <c r="B2804" s="33">
        <v>0.46828703703703706</v>
      </c>
      <c r="C2804" s="10" t="s">
        <v>618</v>
      </c>
      <c r="D2804" s="10">
        <v>0</v>
      </c>
      <c r="E2804" s="10">
        <v>700</v>
      </c>
      <c r="F2804" s="10">
        <v>2</v>
      </c>
      <c r="G2804" s="10" t="s">
        <v>231</v>
      </c>
      <c r="H2804" s="10" t="s">
        <v>322</v>
      </c>
      <c r="I2804" s="10" t="s">
        <v>83</v>
      </c>
      <c r="J2804" s="10">
        <v>29</v>
      </c>
      <c r="K2804" s="12">
        <v>44966</v>
      </c>
      <c r="L2804" s="33">
        <v>0.59996527777777775</v>
      </c>
      <c r="M2804" s="10">
        <v>1</v>
      </c>
      <c r="N2804" s="10" t="s">
        <v>84</v>
      </c>
      <c r="O2804" s="10">
        <v>3.42</v>
      </c>
      <c r="P2804" s="10">
        <v>0.246</v>
      </c>
      <c r="Q2804" s="10">
        <v>206</v>
      </c>
      <c r="R2804" s="10" t="s">
        <v>85</v>
      </c>
      <c r="S2804" s="34">
        <f t="shared" si="314"/>
        <v>227.85822688000002</v>
      </c>
      <c r="T2804" s="10" t="s">
        <v>1201</v>
      </c>
      <c r="U2804" s="34" t="str">
        <f t="shared" si="315"/>
        <v/>
      </c>
      <c r="V2804" s="31" t="str">
        <f>IF(H2804="CHK",VLOOKUP(I2804,QCCHK,3,),IF(H2804="GUP",VLOOKUP(E2804,QCGUP,2,),IF(AND(H2804="ATP",OR(I2804="TN",I2804="TDN",I2804="TNO2-3",I2804="NO2-3")),VLOOKUP(E2804,QCREC_N,2,),IF(AND(H2804="NIC",OR(I2804="TN",I2804="TDN",I2804="TNO2-3",I2804="NO2-3")),VLOOKUP(E2804,QCNIC_N,2,),IF(AND(H2804="UREA",OR(I2804="TN",I2804="TDN",I2804="TNO2-3",I2804="NO2-3")),VLOOKUP(E2804,QCUREA_N,2,),IF(H2804="PER",VLOOKUP(I2804,QCPER,MATCH(E2804,QCACTUAL!$J$25:$AA$25,0),),IF(H2804="SPK",VLOOKUP(I2804,QCSPK,3,),IF(AND(H2804="ATP",OR(I2804="TP",I2804="TDP")),VLOOKUP(E2804,QCATP_P,2,),""))))))))</f>
        <v/>
      </c>
      <c r="W2804" s="31" t="str">
        <f t="shared" si="316"/>
        <v>TRUE</v>
      </c>
      <c r="X2804" s="31" t="str">
        <f t="shared" si="313"/>
        <v/>
      </c>
      <c r="Y2804" s="10" t="s">
        <v>1188</v>
      </c>
      <c r="AF2804" s="12">
        <v>44966</v>
      </c>
      <c r="AH2804" s="10">
        <f>-2.9408*3.42^2+89.45*3.42-43.664</f>
        <v>227.85822688000002</v>
      </c>
      <c r="AI2804" s="10">
        <f>-1.7314*3.42^2+83.401*3.42-37.87</f>
        <v>227.11027303999992</v>
      </c>
      <c r="AK2804" s="10">
        <f>0.1051*3.42^2+65.423*3.42-19.469</f>
        <v>205.50695164000001</v>
      </c>
      <c r="AL2804" s="10" t="str">
        <f t="shared" si="318"/>
        <v>FALSE</v>
      </c>
      <c r="AM2804" s="10" t="str">
        <f t="shared" si="318"/>
        <v>y=-2.9408*3.42^2+89.45*3.42-43.664</v>
      </c>
      <c r="AN2804" s="10" t="str">
        <f t="shared" si="318"/>
        <v>y=-1.7314*3.42^2+83.401*3.42-37.87</v>
      </c>
      <c r="AO2804" s="10" t="str">
        <f t="shared" si="319"/>
        <v>FALSE</v>
      </c>
      <c r="AP2804" s="10" t="str">
        <f t="shared" si="319"/>
        <v>y=0.1051*3.42^2+65.423*3.42-19.469</v>
      </c>
      <c r="AQ2804" s="10" t="b">
        <f>IF(AND(I2804="TP",S2804&lt;=150),VLOOKUP(AF2804,TPCalibEq150!$AZ$2:$BB$55,3,),IF(AND(I2804="TDP",S2804&lt;=150),VLOOKUP(AF2804,TPCalibEq150!$AZ$2:$BB$55,3,)))</f>
        <v>0</v>
      </c>
      <c r="AR2804" s="10" t="str">
        <f>IF(AND(I2804="TP",S2804&lt;=300),VLOOKUP(AF2804,TPCalibEq300!$AZ$2:$BB$55,3,),IF(AND(I2804="TDP",S2804&lt;=300),VLOOKUP(AF2804,TPCalibEq300!$AZ$2:$BB$55,3,)))</f>
        <v>y=-2.9408x2+89.45x-43.664</v>
      </c>
      <c r="AS2804" s="10" t="str">
        <f>IF(AND(I2804="TP",S2804&lt;=500),VLOOKUP(AF2804,TPCalibEq500!$AZ$2:$BB$56,3,),IF(AND(I2804="TDP",S2804&lt;=500),VLOOKUP(AF2804,TPCalibEq500!$AZ$2:$BB$56,3,)))</f>
        <v>y=-1.7314x2+83.401x-37.87</v>
      </c>
      <c r="AT2804" s="10" t="b">
        <f>IF(AND(I2804="TN",S2804&lt;=2800),VLOOKUP(AF2804,TNCalibEq2500!$AZ$2:$BB$56,3,),IF(AND(I2804="TDN",S2804&lt;=2800),VLOOKUP(AF2804,TNCalibEq2500!$AZ$2:$BB$56,3,)))</f>
        <v>0</v>
      </c>
      <c r="AU2804" s="10" t="str">
        <f>IF(I2804="TP",VLOOKUP(AF2804,TPCalibEqFull!$AZ$2:$BB$56,3),IF(I2804="TDP",VLOOKUP(AF2804,TPCalibEqFull!$AZ$2:$BB$56,3),IF(I2804="TDN",VLOOKUP(AF2804,TNCalibEqFull!$AZ$1:$BB$56,3),IF(I2804="TN",VLOOKUP(AF2804,TNCalibEqFull!$AZ$1:$BB$56,3),FALSE))))</f>
        <v>y=0.1051x2+65.423x-19.469</v>
      </c>
      <c r="AV2804" s="10" t="str">
        <f t="shared" si="317"/>
        <v>0208 11:14:20-ECP-0-700-2-SW-UKN</v>
      </c>
    </row>
    <row r="2805" spans="1:48" s="10" customFormat="1" x14ac:dyDescent="0.55000000000000004">
      <c r="A2805" s="32">
        <v>44965</v>
      </c>
      <c r="B2805" s="33">
        <v>0.46828703703703706</v>
      </c>
      <c r="C2805" s="10" t="s">
        <v>618</v>
      </c>
      <c r="D2805" s="10">
        <v>0</v>
      </c>
      <c r="E2805" s="10">
        <v>700</v>
      </c>
      <c r="F2805" s="10">
        <v>2</v>
      </c>
      <c r="G2805" s="10" t="s">
        <v>231</v>
      </c>
      <c r="H2805" s="10" t="s">
        <v>233</v>
      </c>
      <c r="I2805" s="10" t="s">
        <v>83</v>
      </c>
      <c r="J2805" s="10">
        <v>29</v>
      </c>
      <c r="K2805" s="12">
        <v>44966</v>
      </c>
      <c r="L2805" s="33">
        <v>0.60064814814814815</v>
      </c>
      <c r="M2805" s="10">
        <v>1</v>
      </c>
      <c r="N2805" s="10" t="s">
        <v>84</v>
      </c>
      <c r="O2805" s="10">
        <v>3.43</v>
      </c>
      <c r="P2805" s="10">
        <v>0.245</v>
      </c>
      <c r="Q2805" s="10">
        <v>206</v>
      </c>
      <c r="R2805" s="10" t="s">
        <v>85</v>
      </c>
      <c r="S2805" s="34">
        <f t="shared" si="314"/>
        <v>228.55128208000002</v>
      </c>
      <c r="T2805" s="10" t="s">
        <v>1201</v>
      </c>
      <c r="U2805" s="34">
        <f t="shared" si="315"/>
        <v>0.30369884342648218</v>
      </c>
      <c r="V2805" s="31" t="str">
        <f>IF(H2805="CHK",VLOOKUP(I2805,QCCHK,3,),IF(H2805="GUP",VLOOKUP(E2805,QCGUP,2,),IF(AND(H2805="ATP",OR(I2805="TN",I2805="TDN",I2805="TNO2-3",I2805="NO2-3")),VLOOKUP(E2805,QCREC_N,2,),IF(AND(H2805="NIC",OR(I2805="TN",I2805="TDN",I2805="TNO2-3",I2805="NO2-3")),VLOOKUP(E2805,QCNIC_N,2,),IF(AND(H2805="UREA",OR(I2805="TN",I2805="TDN",I2805="TNO2-3",I2805="NO2-3")),VLOOKUP(E2805,QCUREA_N,2,),IF(H2805="PER",VLOOKUP(I2805,QCPER,MATCH(E2805,QCACTUAL!$J$25:$AA$25,0),),IF(H2805="SPK",VLOOKUP(I2805,QCSPK,3,),IF(AND(H2805="ATP",OR(I2805="TP",I2805="TDP")),VLOOKUP(E2805,QCATP_P,2,),""))))))))</f>
        <v/>
      </c>
      <c r="W2805" s="31" t="str">
        <f t="shared" si="316"/>
        <v>TRUE</v>
      </c>
      <c r="X2805" s="31" t="str">
        <f t="shared" si="313"/>
        <v>((ABS(rep1-rep2))/((rep1+rep2)/2)*100</v>
      </c>
      <c r="Y2805" s="10" t="s">
        <v>1188</v>
      </c>
      <c r="AF2805" s="12">
        <v>44966</v>
      </c>
      <c r="AH2805" s="10">
        <f>-2.9408*3.43^2+89.45*3.43-43.664</f>
        <v>228.55128208000002</v>
      </c>
      <c r="AI2805" s="10">
        <f>-1.7314*3.43^2+83.401*3.43-37.87</f>
        <v>227.82568213999997</v>
      </c>
      <c r="AK2805" s="10">
        <f>0.1051*3.43^2+65.423*3.43-19.469</f>
        <v>206.16838099</v>
      </c>
      <c r="AL2805" s="10" t="str">
        <f t="shared" si="318"/>
        <v>FALSE</v>
      </c>
      <c r="AM2805" s="10" t="str">
        <f t="shared" si="318"/>
        <v>y=-2.9408*3.43^2+89.45*3.43-43.664</v>
      </c>
      <c r="AN2805" s="10" t="str">
        <f t="shared" si="318"/>
        <v>y=-1.7314*3.43^2+83.401*3.43-37.87</v>
      </c>
      <c r="AO2805" s="10" t="str">
        <f t="shared" si="319"/>
        <v>FALSE</v>
      </c>
      <c r="AP2805" s="10" t="str">
        <f t="shared" si="319"/>
        <v>y=0.1051*3.43^2+65.423*3.43-19.469</v>
      </c>
      <c r="AQ2805" s="10" t="b">
        <f>IF(AND(I2805="TP",S2805&lt;=150),VLOOKUP(AF2805,TPCalibEq150!$AZ$2:$BB$55,3,),IF(AND(I2805="TDP",S2805&lt;=150),VLOOKUP(AF2805,TPCalibEq150!$AZ$2:$BB$55,3,)))</f>
        <v>0</v>
      </c>
      <c r="AR2805" s="10" t="str">
        <f>IF(AND(I2805="TP",S2805&lt;=300),VLOOKUP(AF2805,TPCalibEq300!$AZ$2:$BB$55,3,),IF(AND(I2805="TDP",S2805&lt;=300),VLOOKUP(AF2805,TPCalibEq300!$AZ$2:$BB$55,3,)))</f>
        <v>y=-2.9408x2+89.45x-43.664</v>
      </c>
      <c r="AS2805" s="10" t="str">
        <f>IF(AND(I2805="TP",S2805&lt;=500),VLOOKUP(AF2805,TPCalibEq500!$AZ$2:$BB$56,3,),IF(AND(I2805="TDP",S2805&lt;=500),VLOOKUP(AF2805,TPCalibEq500!$AZ$2:$BB$56,3,)))</f>
        <v>y=-1.7314x2+83.401x-37.87</v>
      </c>
      <c r="AT2805" s="10" t="b">
        <f>IF(AND(I2805="TN",S2805&lt;=2800),VLOOKUP(AF2805,TNCalibEq2500!$AZ$2:$BB$56,3,),IF(AND(I2805="TDN",S2805&lt;=2800),VLOOKUP(AF2805,TNCalibEq2500!$AZ$2:$BB$56,3,)))</f>
        <v>0</v>
      </c>
      <c r="AU2805" s="10" t="str">
        <f>IF(I2805="TP",VLOOKUP(AF2805,TPCalibEqFull!$AZ$2:$BB$56,3),IF(I2805="TDP",VLOOKUP(AF2805,TPCalibEqFull!$AZ$2:$BB$56,3),IF(I2805="TDN",VLOOKUP(AF2805,TNCalibEqFull!$AZ$1:$BB$56,3),IF(I2805="TN",VLOOKUP(AF2805,TNCalibEqFull!$AZ$1:$BB$56,3),FALSE))))</f>
        <v>y=0.1051x2+65.423x-19.469</v>
      </c>
      <c r="AV2805" s="10" t="str">
        <f t="shared" si="317"/>
        <v>0208 11:14:20-ECP-0-700-2-SW-DUP</v>
      </c>
    </row>
    <row r="2806" spans="1:48" s="10" customFormat="1" x14ac:dyDescent="0.55000000000000004">
      <c r="A2806" s="32">
        <v>44965</v>
      </c>
      <c r="B2806" s="33">
        <v>0.46828703703703706</v>
      </c>
      <c r="C2806" s="10" t="s">
        <v>618</v>
      </c>
      <c r="D2806" s="10">
        <v>0</v>
      </c>
      <c r="E2806" s="10">
        <v>700</v>
      </c>
      <c r="F2806" s="10">
        <v>2</v>
      </c>
      <c r="G2806" s="10" t="s">
        <v>231</v>
      </c>
      <c r="H2806" s="10" t="s">
        <v>314</v>
      </c>
      <c r="I2806" s="10" t="s">
        <v>83</v>
      </c>
      <c r="J2806" s="10">
        <v>122</v>
      </c>
      <c r="K2806" s="12">
        <v>44966</v>
      </c>
      <c r="L2806" s="33">
        <v>0.60135416666666663</v>
      </c>
      <c r="M2806" s="10">
        <v>1</v>
      </c>
      <c r="N2806" s="10" t="s">
        <v>84</v>
      </c>
      <c r="O2806" s="10">
        <v>18.7</v>
      </c>
      <c r="P2806" s="10">
        <v>1.33</v>
      </c>
      <c r="Q2806" s="10">
        <v>1240</v>
      </c>
      <c r="R2806" s="10" t="s">
        <v>85</v>
      </c>
      <c r="S2806" s="34">
        <f t="shared" si="314"/>
        <v>1240.6935189999999</v>
      </c>
      <c r="T2806" s="10" t="s">
        <v>1201</v>
      </c>
      <c r="U2806" s="34">
        <f t="shared" si="315"/>
        <v>101.21422369199999</v>
      </c>
      <c r="V2806" s="31">
        <f>IF(H2806="CHK",VLOOKUP(I2806,QCCHK,3,),IF(H2806="GUP",VLOOKUP(E2806,QCGUP,2,),IF(AND(H2806="ATP",OR(I2806="TN",I2806="TDN",I2806="TNO2-3",I2806="NO2-3")),VLOOKUP(E2806,QCREC_N,2,),IF(AND(H2806="NIC",OR(I2806="TN",I2806="TDN",I2806="TNO2-3",I2806="NO2-3")),VLOOKUP(E2806,QCNIC_N,2,),IF(AND(H2806="UREA",OR(I2806="TN",I2806="TDN",I2806="TNO2-3",I2806="NO2-3")),VLOOKUP(E2806,QCUREA_N,2,),IF(H2806="PER",VLOOKUP(I2806,QCPER,MATCH(E2806,QCACTUAL!$J$25:$AA$25,0),),IF(H2806="SPK",VLOOKUP(I2806,QCSPK,3,),IF(AND(H2806="ATP",OR(I2806="TP",I2806="TDP")),VLOOKUP(E2806,QCATP_P,2,),""))))))))</f>
        <v>1000</v>
      </c>
      <c r="W2806" s="31" t="str">
        <f t="shared" si="316"/>
        <v>TRUE</v>
      </c>
      <c r="X2806" s="31" t="str">
        <f t="shared" si="313"/>
        <v>([spikedunkn]-[unkn])/[spike]*100</v>
      </c>
      <c r="Y2806" s="10" t="s">
        <v>1188</v>
      </c>
      <c r="AF2806" s="12">
        <v>44966</v>
      </c>
      <c r="AK2806" s="10">
        <f>0.1051*18.7^2+65.423*18.7-19.469</f>
        <v>1240.6935189999999</v>
      </c>
      <c r="AL2806" s="10" t="str">
        <f t="shared" si="318"/>
        <v>FALSE</v>
      </c>
      <c r="AM2806" s="10" t="str">
        <f t="shared" si="318"/>
        <v>FALSE</v>
      </c>
      <c r="AN2806" s="10" t="str">
        <f t="shared" si="318"/>
        <v>FALSE</v>
      </c>
      <c r="AO2806" s="10" t="str">
        <f t="shared" si="319"/>
        <v>FALSE</v>
      </c>
      <c r="AP2806" s="10" t="str">
        <f t="shared" si="319"/>
        <v>y=0.1051*18.7^2+65.423*18.7-19.469</v>
      </c>
      <c r="AQ2806" s="10" t="b">
        <f>IF(AND(I2806="TP",S2806&lt;=150),VLOOKUP(AF2806,TPCalibEq150!$AZ$2:$BB$55,3,),IF(AND(I2806="TDP",S2806&lt;=150),VLOOKUP(AF2806,TPCalibEq150!$AZ$2:$BB$55,3,)))</f>
        <v>0</v>
      </c>
      <c r="AR2806" s="10" t="b">
        <f>IF(AND(I2806="TP",S2806&lt;=300),VLOOKUP(AF2806,TPCalibEq300!$AZ$2:$BB$55,3,),IF(AND(I2806="TDP",S2806&lt;=300),VLOOKUP(AF2806,TPCalibEq300!$AZ$2:$BB$55,3,)))</f>
        <v>0</v>
      </c>
      <c r="AS2806" s="10" t="b">
        <f>IF(AND(I2806="TP",S2806&lt;=500),VLOOKUP(AF2806,TPCalibEq500!$AZ$2:$BB$56,3,),IF(AND(I2806="TDP",S2806&lt;=500),VLOOKUP(AF2806,TPCalibEq500!$AZ$2:$BB$56,3,)))</f>
        <v>0</v>
      </c>
      <c r="AT2806" s="10" t="b">
        <f>IF(AND(I2806="TN",S2806&lt;=2800),VLOOKUP(AF2806,TNCalibEq2500!$AZ$2:$BB$56,3,),IF(AND(I2806="TDN",S2806&lt;=2800),VLOOKUP(AF2806,TNCalibEq2500!$AZ$2:$BB$56,3,)))</f>
        <v>0</v>
      </c>
      <c r="AU2806" s="10" t="str">
        <f>IF(I2806="TP",VLOOKUP(AF2806,TPCalibEqFull!$AZ$2:$BB$56,3),IF(I2806="TDP",VLOOKUP(AF2806,TPCalibEqFull!$AZ$2:$BB$56,3),IF(I2806="TDN",VLOOKUP(AF2806,TNCalibEqFull!$AZ$1:$BB$56,3),IF(I2806="TN",VLOOKUP(AF2806,TNCalibEqFull!$AZ$1:$BB$56,3),FALSE))))</f>
        <v>y=0.1051x2+65.423x-19.469</v>
      </c>
      <c r="AV2806" s="10" t="str">
        <f t="shared" si="317"/>
        <v>0208 11:14:20-ECP-0-700-2-SW-SPK</v>
      </c>
    </row>
    <row r="2807" spans="1:48" s="10" customFormat="1" x14ac:dyDescent="0.55000000000000004">
      <c r="A2807" s="32">
        <v>44966</v>
      </c>
      <c r="B2807" s="33">
        <v>0.375</v>
      </c>
      <c r="C2807" s="10" t="s">
        <v>70</v>
      </c>
      <c r="D2807" s="10" t="s">
        <v>71</v>
      </c>
      <c r="E2807" s="10" t="s">
        <v>901</v>
      </c>
      <c r="F2807" s="10">
        <v>1</v>
      </c>
      <c r="G2807" s="10" t="s">
        <v>73</v>
      </c>
      <c r="H2807" s="10" t="s">
        <v>207</v>
      </c>
      <c r="I2807" s="10" t="s">
        <v>83</v>
      </c>
      <c r="J2807" s="10">
        <v>201</v>
      </c>
      <c r="K2807" s="12">
        <v>44966</v>
      </c>
      <c r="L2807" s="33">
        <v>0.60206018518518511</v>
      </c>
      <c r="M2807" s="10">
        <v>1</v>
      </c>
      <c r="N2807" s="10" t="s">
        <v>84</v>
      </c>
      <c r="O2807" s="10">
        <v>8.08</v>
      </c>
      <c r="P2807" s="10">
        <v>0.58399999999999996</v>
      </c>
      <c r="Q2807" s="10">
        <v>516</v>
      </c>
      <c r="R2807" s="10" t="s">
        <v>85</v>
      </c>
      <c r="S2807" s="34">
        <f t="shared" si="314"/>
        <v>516.01044063999996</v>
      </c>
      <c r="T2807" s="10" t="s">
        <v>1201</v>
      </c>
      <c r="U2807" s="34">
        <f t="shared" si="315"/>
        <v>103.20208812799999</v>
      </c>
      <c r="V2807" s="31">
        <f>IF(H2807="CHK",VLOOKUP(I2807,QCCHK,3,),IF(H2807="GUP",VLOOKUP(E2807,QCGUP,2,),IF(AND(H2807="ATP",OR(I2807="TN",I2807="TDN",I2807="TNO2-3",I2807="NO2-3")),VLOOKUP(E2807,QCREC_N,2,),IF(AND(H2807="NIC",OR(I2807="TN",I2807="TDN",I2807="TNO2-3",I2807="NO2-3")),VLOOKUP(E2807,QCNIC_N,2,),IF(AND(H2807="UREA",OR(I2807="TN",I2807="TDN",I2807="TNO2-3",I2807="NO2-3")),VLOOKUP(E2807,QCUREA_N,2,),IF(H2807="PER",VLOOKUP(I2807,QCPER,MATCH(E2807,QCACTUAL!$J$25:$AA$25,0),),IF(H2807="SPK",VLOOKUP(I2807,QCSPK,3,),IF(AND(H2807="ATP",OR(I2807="TP",I2807="TDP")),VLOOKUP(E2807,QCATP_P,2,),""))))))))</f>
        <v>500</v>
      </c>
      <c r="W2807" s="31" t="str">
        <f t="shared" si="316"/>
        <v>TRUE</v>
      </c>
      <c r="X2807" s="31" t="str">
        <f t="shared" si="313"/>
        <v>[chk]/[actual]*100</v>
      </c>
      <c r="Y2807" s="10" t="s">
        <v>1188</v>
      </c>
      <c r="AF2807" s="12">
        <v>44966</v>
      </c>
      <c r="AK2807" s="10">
        <f>0.1051*8.08^2+65.423*8.08-19.469</f>
        <v>516.01044063999996</v>
      </c>
      <c r="AL2807" s="10" t="str">
        <f t="shared" si="318"/>
        <v>FALSE</v>
      </c>
      <c r="AM2807" s="10" t="str">
        <f t="shared" si="318"/>
        <v>FALSE</v>
      </c>
      <c r="AN2807" s="10" t="str">
        <f t="shared" si="318"/>
        <v>FALSE</v>
      </c>
      <c r="AO2807" s="10" t="str">
        <f t="shared" si="319"/>
        <v>FALSE</v>
      </c>
      <c r="AP2807" s="10" t="str">
        <f t="shared" si="319"/>
        <v>y=0.1051*8.08^2+65.423*8.08-19.469</v>
      </c>
      <c r="AQ2807" s="10" t="b">
        <f>IF(AND(I2807="TP",S2807&lt;=150),VLOOKUP(AF2807,TPCalibEq150!$AZ$2:$BB$55,3,),IF(AND(I2807="TDP",S2807&lt;=150),VLOOKUP(AF2807,TPCalibEq150!$AZ$2:$BB$55,3,)))</f>
        <v>0</v>
      </c>
      <c r="AR2807" s="10" t="b">
        <f>IF(AND(I2807="TP",S2807&lt;=300),VLOOKUP(AF2807,TPCalibEq300!$AZ$2:$BB$55,3,),IF(AND(I2807="TDP",S2807&lt;=300),VLOOKUP(AF2807,TPCalibEq300!$AZ$2:$BB$55,3,)))</f>
        <v>0</v>
      </c>
      <c r="AS2807" s="10" t="b">
        <f>IF(AND(I2807="TP",S2807&lt;=500),VLOOKUP(AF2807,TPCalibEq500!$AZ$2:$BB$56,3,),IF(AND(I2807="TDP",S2807&lt;=500),VLOOKUP(AF2807,TPCalibEq500!$AZ$2:$BB$56,3,)))</f>
        <v>0</v>
      </c>
      <c r="AT2807" s="10" t="b">
        <f>IF(AND(I2807="TN",S2807&lt;=2800),VLOOKUP(AF2807,TNCalibEq2500!$AZ$2:$BB$56,3,),IF(AND(I2807="TDN",S2807&lt;=2800),VLOOKUP(AF2807,TNCalibEq2500!$AZ$2:$BB$56,3,)))</f>
        <v>0</v>
      </c>
      <c r="AU2807" s="10" t="str">
        <f>IF(I2807="TP",VLOOKUP(AF2807,TPCalibEqFull!$AZ$2:$BB$56,3),IF(I2807="TDP",VLOOKUP(AF2807,TPCalibEqFull!$AZ$2:$BB$56,3),IF(I2807="TDN",VLOOKUP(AF2807,TNCalibEqFull!$AZ$1:$BB$56,3),IF(I2807="TN",VLOOKUP(AF2807,TNCalibEqFull!$AZ$1:$BB$56,3),FALSE))))</f>
        <v>y=0.1051x2+65.423x-19.469</v>
      </c>
      <c r="AV2807" s="10" t="str">
        <f t="shared" si="317"/>
        <v>0209 09:00:00-QAC-STD-D-1-DI-CHK</v>
      </c>
    </row>
    <row r="2808" spans="1:48" s="10" customFormat="1" x14ac:dyDescent="0.55000000000000004">
      <c r="A2808" s="32">
        <v>44965</v>
      </c>
      <c r="B2808" s="33">
        <v>0.49027777777777781</v>
      </c>
      <c r="C2808" s="10" t="s">
        <v>618</v>
      </c>
      <c r="D2808" s="10">
        <v>5</v>
      </c>
      <c r="E2808" s="10">
        <v>660</v>
      </c>
      <c r="F2808" s="10">
        <v>1</v>
      </c>
      <c r="G2808" s="10" t="s">
        <v>231</v>
      </c>
      <c r="H2808" s="10" t="s">
        <v>322</v>
      </c>
      <c r="I2808" s="10" t="s">
        <v>83</v>
      </c>
      <c r="J2808" s="10">
        <v>30</v>
      </c>
      <c r="K2808" s="12">
        <v>44966</v>
      </c>
      <c r="L2808" s="33">
        <v>0.60274305555555552</v>
      </c>
      <c r="M2808" s="10">
        <v>1</v>
      </c>
      <c r="N2808" s="10" t="s">
        <v>84</v>
      </c>
      <c r="O2808" s="10">
        <v>3.46</v>
      </c>
      <c r="P2808" s="10">
        <v>0.248</v>
      </c>
      <c r="Q2808" s="10">
        <v>209</v>
      </c>
      <c r="R2808" s="10" t="s">
        <v>85</v>
      </c>
      <c r="S2808" s="34">
        <f t="shared" si="314"/>
        <v>230.62691872000005</v>
      </c>
      <c r="T2808" s="10" t="s">
        <v>1201</v>
      </c>
      <c r="U2808" s="34" t="str">
        <f t="shared" si="315"/>
        <v/>
      </c>
      <c r="V2808" s="31" t="str">
        <f>IF(H2808="CHK",VLOOKUP(I2808,QCCHK,3,),IF(H2808="GUP",VLOOKUP(E2808,QCGUP,2,),IF(AND(H2808="ATP",OR(I2808="TN",I2808="TDN",I2808="TNO2-3",I2808="NO2-3")),VLOOKUP(E2808,QCREC_N,2,),IF(AND(H2808="NIC",OR(I2808="TN",I2808="TDN",I2808="TNO2-3",I2808="NO2-3")),VLOOKUP(E2808,QCNIC_N,2,),IF(AND(H2808="UREA",OR(I2808="TN",I2808="TDN",I2808="TNO2-3",I2808="NO2-3")),VLOOKUP(E2808,QCUREA_N,2,),IF(H2808="PER",VLOOKUP(I2808,QCPER,MATCH(E2808,QCACTUAL!$J$25:$AA$25,0),),IF(H2808="SPK",VLOOKUP(I2808,QCSPK,3,),IF(AND(H2808="ATP",OR(I2808="TP",I2808="TDP")),VLOOKUP(E2808,QCATP_P,2,),""))))))))</f>
        <v/>
      </c>
      <c r="W2808" s="31" t="str">
        <f t="shared" si="316"/>
        <v>TRUE</v>
      </c>
      <c r="X2808" s="31" t="str">
        <f t="shared" si="313"/>
        <v/>
      </c>
      <c r="Y2808" s="10" t="s">
        <v>1188</v>
      </c>
      <c r="AF2808" s="12">
        <v>44966</v>
      </c>
      <c r="AH2808" s="10">
        <f>-2.9408*3.46^2+89.45*3.46-43.664</f>
        <v>230.62691872000005</v>
      </c>
      <c r="AI2808" s="10">
        <f>-1.7314*3.46^2+83.401*3.46-37.87</f>
        <v>229.96983175999998</v>
      </c>
      <c r="AK2808" s="10">
        <f>0.1051*3.46^2+65.423*3.46-19.469</f>
        <v>208.15279516000001</v>
      </c>
      <c r="AL2808" s="10" t="str">
        <f t="shared" si="318"/>
        <v>FALSE</v>
      </c>
      <c r="AM2808" s="10" t="str">
        <f t="shared" si="318"/>
        <v>y=-2.9408*3.46^2+89.45*3.46-43.664</v>
      </c>
      <c r="AN2808" s="10" t="str">
        <f t="shared" si="318"/>
        <v>y=-1.7314*3.46^2+83.401*3.46-37.87</v>
      </c>
      <c r="AO2808" s="10" t="str">
        <f t="shared" si="319"/>
        <v>FALSE</v>
      </c>
      <c r="AP2808" s="10" t="str">
        <f t="shared" si="319"/>
        <v>y=0.1051*3.46^2+65.423*3.46-19.469</v>
      </c>
      <c r="AQ2808" s="10" t="b">
        <f>IF(AND(I2808="TP",S2808&lt;=150),VLOOKUP(AF2808,TPCalibEq150!$AZ$2:$BB$55,3,),IF(AND(I2808="TDP",S2808&lt;=150),VLOOKUP(AF2808,TPCalibEq150!$AZ$2:$BB$55,3,)))</f>
        <v>0</v>
      </c>
      <c r="AR2808" s="10" t="str">
        <f>IF(AND(I2808="TP",S2808&lt;=300),VLOOKUP(AF2808,TPCalibEq300!$AZ$2:$BB$55,3,),IF(AND(I2808="TDP",S2808&lt;=300),VLOOKUP(AF2808,TPCalibEq300!$AZ$2:$BB$55,3,)))</f>
        <v>y=-2.9408x2+89.45x-43.664</v>
      </c>
      <c r="AS2808" s="10" t="str">
        <f>IF(AND(I2808="TP",S2808&lt;=500),VLOOKUP(AF2808,TPCalibEq500!$AZ$2:$BB$56,3,),IF(AND(I2808="TDP",S2808&lt;=500),VLOOKUP(AF2808,TPCalibEq500!$AZ$2:$BB$56,3,)))</f>
        <v>y=-1.7314x2+83.401x-37.87</v>
      </c>
      <c r="AT2808" s="10" t="b">
        <f>IF(AND(I2808="TN",S2808&lt;=2800),VLOOKUP(AF2808,TNCalibEq2500!$AZ$2:$BB$56,3,),IF(AND(I2808="TDN",S2808&lt;=2800),VLOOKUP(AF2808,TNCalibEq2500!$AZ$2:$BB$56,3,)))</f>
        <v>0</v>
      </c>
      <c r="AU2808" s="10" t="str">
        <f>IF(I2808="TP",VLOOKUP(AF2808,TPCalibEqFull!$AZ$2:$BB$56,3),IF(I2808="TDP",VLOOKUP(AF2808,TPCalibEqFull!$AZ$2:$BB$56,3),IF(I2808="TDN",VLOOKUP(AF2808,TNCalibEqFull!$AZ$1:$BB$56,3),IF(I2808="TN",VLOOKUP(AF2808,TNCalibEqFull!$AZ$1:$BB$56,3),FALSE))))</f>
        <v>y=0.1051x2+65.423x-19.469</v>
      </c>
      <c r="AV2808" s="10" t="str">
        <f t="shared" si="317"/>
        <v>0208 11:46:00-ECP-5-660-1-SW-UKN</v>
      </c>
    </row>
    <row r="2809" spans="1:48" s="10" customFormat="1" x14ac:dyDescent="0.55000000000000004">
      <c r="A2809" s="32">
        <v>44965</v>
      </c>
      <c r="B2809" s="33">
        <v>0.4927083333333333</v>
      </c>
      <c r="C2809" s="10" t="s">
        <v>618</v>
      </c>
      <c r="D2809" s="10">
        <v>10</v>
      </c>
      <c r="E2809" s="10">
        <v>700</v>
      </c>
      <c r="F2809" s="10">
        <v>1</v>
      </c>
      <c r="G2809" s="10" t="s">
        <v>231</v>
      </c>
      <c r="H2809" s="10" t="s">
        <v>322</v>
      </c>
      <c r="I2809" s="10" t="s">
        <v>83</v>
      </c>
      <c r="J2809" s="10">
        <v>31</v>
      </c>
      <c r="K2809" s="12">
        <v>44966</v>
      </c>
      <c r="L2809" s="33">
        <v>0.603449074074074</v>
      </c>
      <c r="M2809" s="10">
        <v>1</v>
      </c>
      <c r="N2809" s="10" t="s">
        <v>84</v>
      </c>
      <c r="O2809" s="10">
        <v>2.4500000000000002</v>
      </c>
      <c r="P2809" s="10">
        <v>0.17299999999999999</v>
      </c>
      <c r="Q2809" s="10">
        <v>142</v>
      </c>
      <c r="R2809" s="10" t="s">
        <v>85</v>
      </c>
      <c r="S2809" s="34">
        <f t="shared" si="314"/>
        <v>157.83634800000004</v>
      </c>
      <c r="T2809" s="10" t="s">
        <v>1201</v>
      </c>
      <c r="U2809" s="34" t="str">
        <f t="shared" si="315"/>
        <v/>
      </c>
      <c r="V2809" s="31" t="str">
        <f>IF(H2809="CHK",VLOOKUP(I2809,QCCHK,3,),IF(H2809="GUP",VLOOKUP(E2809,QCGUP,2,),IF(AND(H2809="ATP",OR(I2809="TN",I2809="TDN",I2809="TNO2-3",I2809="NO2-3")),VLOOKUP(E2809,QCREC_N,2,),IF(AND(H2809="NIC",OR(I2809="TN",I2809="TDN",I2809="TNO2-3",I2809="NO2-3")),VLOOKUP(E2809,QCNIC_N,2,),IF(AND(H2809="UREA",OR(I2809="TN",I2809="TDN",I2809="TNO2-3",I2809="NO2-3")),VLOOKUP(E2809,QCUREA_N,2,),IF(H2809="PER",VLOOKUP(I2809,QCPER,MATCH(E2809,QCACTUAL!$J$25:$AA$25,0),),IF(H2809="SPK",VLOOKUP(I2809,QCSPK,3,),IF(AND(H2809="ATP",OR(I2809="TP",I2809="TDP")),VLOOKUP(E2809,QCATP_P,2,),""))))))))</f>
        <v/>
      </c>
      <c r="W2809" s="31" t="str">
        <f t="shared" si="316"/>
        <v>TRUE</v>
      </c>
      <c r="X2809" s="31" t="str">
        <f t="shared" si="313"/>
        <v/>
      </c>
      <c r="Y2809" s="10" t="s">
        <v>1188</v>
      </c>
      <c r="AF2809" s="12">
        <v>44966</v>
      </c>
      <c r="AG2809" s="10">
        <f>-11.204*2.45^2+113.68*2.45-55.283</f>
        <v>155.98099000000002</v>
      </c>
      <c r="AH2809" s="10">
        <f>-2.9408*2.45^2+89.45*2.45-43.664</f>
        <v>157.83634800000004</v>
      </c>
      <c r="AI2809" s="10">
        <f>-1.7314*2.45^2+83.401*2.45-37.87</f>
        <v>156.06972149999999</v>
      </c>
      <c r="AK2809" s="10">
        <f>0.1051*2.45^2+65.423*2.45-19.469</f>
        <v>141.44821275000004</v>
      </c>
      <c r="AL2809" s="10" t="str">
        <f t="shared" si="318"/>
        <v>FALSE</v>
      </c>
      <c r="AM2809" s="10" t="str">
        <f t="shared" si="318"/>
        <v>y=-2.9408*2.45^2+89.45*2.45-43.664</v>
      </c>
      <c r="AN2809" s="10" t="str">
        <f t="shared" si="318"/>
        <v>y=-1.7314*2.45^2+83.401*2.45-37.87</v>
      </c>
      <c r="AO2809" s="10" t="str">
        <f t="shared" si="319"/>
        <v>FALSE</v>
      </c>
      <c r="AP2809" s="10" t="str">
        <f t="shared" si="319"/>
        <v>y=0.1051*2.45^2+65.423*2.45-19.469</v>
      </c>
      <c r="AQ2809" s="10" t="b">
        <f>IF(AND(I2809="TP",S2809&lt;=150),VLOOKUP(AF2809,TPCalibEq150!$AZ$2:$BB$55,3,),IF(AND(I2809="TDP",S2809&lt;=150),VLOOKUP(AF2809,TPCalibEq150!$AZ$2:$BB$55,3,)))</f>
        <v>0</v>
      </c>
      <c r="AR2809" s="10" t="str">
        <f>IF(AND(I2809="TP",S2809&lt;=300),VLOOKUP(AF2809,TPCalibEq300!$AZ$2:$BB$55,3,),IF(AND(I2809="TDP",S2809&lt;=300),VLOOKUP(AF2809,TPCalibEq300!$AZ$2:$BB$55,3,)))</f>
        <v>y=-2.9408x2+89.45x-43.664</v>
      </c>
      <c r="AS2809" s="10" t="str">
        <f>IF(AND(I2809="TP",S2809&lt;=500),VLOOKUP(AF2809,TPCalibEq500!$AZ$2:$BB$56,3,),IF(AND(I2809="TDP",S2809&lt;=500),VLOOKUP(AF2809,TPCalibEq500!$AZ$2:$BB$56,3,)))</f>
        <v>y=-1.7314x2+83.401x-37.87</v>
      </c>
      <c r="AT2809" s="10" t="b">
        <f>IF(AND(I2809="TN",S2809&lt;=2800),VLOOKUP(AF2809,TNCalibEq2500!$AZ$2:$BB$56,3,),IF(AND(I2809="TDN",S2809&lt;=2800),VLOOKUP(AF2809,TNCalibEq2500!$AZ$2:$BB$56,3,)))</f>
        <v>0</v>
      </c>
      <c r="AU2809" s="10" t="str">
        <f>IF(I2809="TP",VLOOKUP(AF2809,TPCalibEqFull!$AZ$2:$BB$56,3),IF(I2809="TDP",VLOOKUP(AF2809,TPCalibEqFull!$AZ$2:$BB$56,3),IF(I2809="TDN",VLOOKUP(AF2809,TNCalibEqFull!$AZ$1:$BB$56,3),IF(I2809="TN",VLOOKUP(AF2809,TNCalibEqFull!$AZ$1:$BB$56,3),FALSE))))</f>
        <v>y=0.1051x2+65.423x-19.469</v>
      </c>
      <c r="AV2809" s="10" t="str">
        <f t="shared" si="317"/>
        <v>0208 11:49:30-ECP-10-700-1-SW-UKN</v>
      </c>
    </row>
    <row r="2810" spans="1:48" s="10" customFormat="1" x14ac:dyDescent="0.55000000000000004">
      <c r="A2810" s="32">
        <v>44965</v>
      </c>
      <c r="B2810" s="33">
        <v>0.49502314814814818</v>
      </c>
      <c r="C2810" s="10" t="s">
        <v>618</v>
      </c>
      <c r="D2810" s="10">
        <v>20</v>
      </c>
      <c r="E2810" s="10" t="s">
        <v>190</v>
      </c>
      <c r="F2810" s="10">
        <v>1</v>
      </c>
      <c r="G2810" s="10" t="s">
        <v>231</v>
      </c>
      <c r="H2810" s="10" t="s">
        <v>322</v>
      </c>
      <c r="I2810" s="10" t="s">
        <v>83</v>
      </c>
      <c r="J2810" s="10">
        <v>32</v>
      </c>
      <c r="K2810" s="12">
        <v>44966</v>
      </c>
      <c r="L2810" s="33">
        <v>0.60415509259259259</v>
      </c>
      <c r="M2810" s="10">
        <v>1</v>
      </c>
      <c r="N2810" s="10" t="s">
        <v>84</v>
      </c>
      <c r="O2810" s="10">
        <v>3.81</v>
      </c>
      <c r="P2810" s="10">
        <v>0.27100000000000002</v>
      </c>
      <c r="Q2810" s="10">
        <v>232</v>
      </c>
      <c r="R2810" s="10" t="s">
        <v>85</v>
      </c>
      <c r="S2810" s="34">
        <f t="shared" si="314"/>
        <v>254.75463445999998</v>
      </c>
      <c r="T2810" s="10" t="s">
        <v>1201</v>
      </c>
      <c r="U2810" s="34" t="str">
        <f t="shared" si="315"/>
        <v/>
      </c>
      <c r="V2810" s="31" t="str">
        <f>IF(H2810="CHK",VLOOKUP(I2810,QCCHK,3,),IF(H2810="GUP",VLOOKUP(E2810,QCGUP,2,),IF(AND(H2810="ATP",OR(I2810="TN",I2810="TDN",I2810="TNO2-3",I2810="NO2-3")),VLOOKUP(E2810,QCREC_N,2,),IF(AND(H2810="NIC",OR(I2810="TN",I2810="TDN",I2810="TNO2-3",I2810="NO2-3")),VLOOKUP(E2810,QCNIC_N,2,),IF(AND(H2810="UREA",OR(I2810="TN",I2810="TDN",I2810="TNO2-3",I2810="NO2-3")),VLOOKUP(E2810,QCUREA_N,2,),IF(H2810="PER",VLOOKUP(I2810,QCPER,MATCH(E2810,QCACTUAL!$J$25:$AA$25,0),),IF(H2810="SPK",VLOOKUP(I2810,QCSPK,3,),IF(AND(H2810="ATP",OR(I2810="TP",I2810="TDP")),VLOOKUP(E2810,QCATP_P,2,),""))))))))</f>
        <v/>
      </c>
      <c r="W2810" s="31" t="str">
        <f t="shared" si="316"/>
        <v>TRUE</v>
      </c>
      <c r="X2810" s="31" t="str">
        <f t="shared" si="313"/>
        <v/>
      </c>
      <c r="Y2810" s="10" t="s">
        <v>1188</v>
      </c>
      <c r="AF2810" s="12">
        <v>44966</v>
      </c>
      <c r="AH2810" s="10">
        <f>-2.9408*3.81^2+89.45*3.81-43.664</f>
        <v>254.45155312000003</v>
      </c>
      <c r="AI2810" s="10">
        <f>-1.7314*3.81^2+83.401*3.81-37.87</f>
        <v>254.75463445999998</v>
      </c>
      <c r="AK2810" s="10">
        <f>0.1051*3.81^2+65.423*3.81-19.469</f>
        <v>231.31827211000001</v>
      </c>
      <c r="AL2810" s="10" t="str">
        <f t="shared" si="318"/>
        <v>FALSE</v>
      </c>
      <c r="AM2810" s="10" t="str">
        <f t="shared" si="318"/>
        <v>y=-2.9408*3.81^2+89.45*3.81-43.664</v>
      </c>
      <c r="AN2810" s="10" t="str">
        <f t="shared" si="318"/>
        <v>y=-1.7314*3.81^2+83.401*3.81-37.87</v>
      </c>
      <c r="AO2810" s="10" t="str">
        <f t="shared" si="319"/>
        <v>FALSE</v>
      </c>
      <c r="AP2810" s="10" t="str">
        <f t="shared" si="319"/>
        <v>y=0.1051*3.81^2+65.423*3.81-19.469</v>
      </c>
      <c r="AQ2810" s="10" t="b">
        <f>IF(AND(I2810="TP",S2810&lt;=150),VLOOKUP(AF2810,TPCalibEq150!$AZ$2:$BB$55,3,),IF(AND(I2810="TDP",S2810&lt;=150),VLOOKUP(AF2810,TPCalibEq150!$AZ$2:$BB$55,3,)))</f>
        <v>0</v>
      </c>
      <c r="AR2810" s="10" t="str">
        <f>IF(AND(I2810="TP",S2810&lt;=300),VLOOKUP(AF2810,TPCalibEq300!$AZ$2:$BB$55,3,),IF(AND(I2810="TDP",S2810&lt;=300),VLOOKUP(AF2810,TPCalibEq300!$AZ$2:$BB$55,3,)))</f>
        <v>y=-2.9408x2+89.45x-43.664</v>
      </c>
      <c r="AS2810" s="10" t="str">
        <f>IF(AND(I2810="TP",S2810&lt;=500),VLOOKUP(AF2810,TPCalibEq500!$AZ$2:$BB$56,3,),IF(AND(I2810="TDP",S2810&lt;=500),VLOOKUP(AF2810,TPCalibEq500!$AZ$2:$BB$56,3,)))</f>
        <v>y=-1.7314x2+83.401x-37.87</v>
      </c>
      <c r="AT2810" s="10" t="b">
        <f>IF(AND(I2810="TN",S2810&lt;=2800),VLOOKUP(AF2810,TNCalibEq2500!$AZ$2:$BB$56,3,),IF(AND(I2810="TDN",S2810&lt;=2800),VLOOKUP(AF2810,TNCalibEq2500!$AZ$2:$BB$56,3,)))</f>
        <v>0</v>
      </c>
      <c r="AU2810" s="10" t="str">
        <f>IF(I2810="TP",VLOOKUP(AF2810,TPCalibEqFull!$AZ$2:$BB$56,3),IF(I2810="TDP",VLOOKUP(AF2810,TPCalibEqFull!$AZ$2:$BB$56,3),IF(I2810="TDN",VLOOKUP(AF2810,TNCalibEqFull!$AZ$1:$BB$56,3),IF(I2810="TN",VLOOKUP(AF2810,TNCalibEqFull!$AZ$1:$BB$56,3),FALSE))))</f>
        <v>y=0.1051x2+65.423x-19.469</v>
      </c>
      <c r="AV2810" s="10" t="str">
        <f t="shared" si="317"/>
        <v>0208 11:52:50-ECP-20-C-1-SW-UKN</v>
      </c>
    </row>
    <row r="2811" spans="1:48" s="10" customFormat="1" x14ac:dyDescent="0.55000000000000004">
      <c r="A2811" s="32">
        <v>44965</v>
      </c>
      <c r="B2811" s="33">
        <v>0.49745370370370368</v>
      </c>
      <c r="C2811" s="10" t="s">
        <v>618</v>
      </c>
      <c r="D2811" s="10">
        <v>33</v>
      </c>
      <c r="E2811" s="10" t="s">
        <v>190</v>
      </c>
      <c r="F2811" s="10">
        <v>1</v>
      </c>
      <c r="G2811" s="10" t="s">
        <v>231</v>
      </c>
      <c r="H2811" s="10" t="s">
        <v>322</v>
      </c>
      <c r="I2811" s="10" t="s">
        <v>83</v>
      </c>
      <c r="J2811" s="10">
        <v>33</v>
      </c>
      <c r="K2811" s="12">
        <v>44966</v>
      </c>
      <c r="L2811" s="33">
        <v>0.60486111111111118</v>
      </c>
      <c r="M2811" s="10">
        <v>1</v>
      </c>
      <c r="N2811" s="10" t="s">
        <v>84</v>
      </c>
      <c r="O2811" s="10">
        <v>2.59</v>
      </c>
      <c r="P2811" s="10">
        <v>0.182</v>
      </c>
      <c r="Q2811" s="10">
        <v>151</v>
      </c>
      <c r="R2811" s="10" t="s">
        <v>85</v>
      </c>
      <c r="S2811" s="34">
        <f t="shared" si="314"/>
        <v>168.28431952</v>
      </c>
      <c r="T2811" s="10" t="s">
        <v>1201</v>
      </c>
      <c r="U2811" s="34" t="str">
        <f t="shared" si="315"/>
        <v/>
      </c>
      <c r="V2811" s="31" t="str">
        <f>IF(H2811="CHK",VLOOKUP(I2811,QCCHK,3,),IF(H2811="GUP",VLOOKUP(E2811,QCGUP,2,),IF(AND(H2811="ATP",OR(I2811="TN",I2811="TDN",I2811="TNO2-3",I2811="NO2-3")),VLOOKUP(E2811,QCREC_N,2,),IF(AND(H2811="NIC",OR(I2811="TN",I2811="TDN",I2811="TNO2-3",I2811="NO2-3")),VLOOKUP(E2811,QCNIC_N,2,),IF(AND(H2811="UREA",OR(I2811="TN",I2811="TDN",I2811="TNO2-3",I2811="NO2-3")),VLOOKUP(E2811,QCUREA_N,2,),IF(H2811="PER",VLOOKUP(I2811,QCPER,MATCH(E2811,QCACTUAL!$J$25:$AA$25,0),),IF(H2811="SPK",VLOOKUP(I2811,QCSPK,3,),IF(AND(H2811="ATP",OR(I2811="TP",I2811="TDP")),VLOOKUP(E2811,QCATP_P,2,),""))))))))</f>
        <v/>
      </c>
      <c r="W2811" s="31" t="str">
        <f t="shared" si="316"/>
        <v>TRUE</v>
      </c>
      <c r="X2811" s="31" t="str">
        <f t="shared" si="313"/>
        <v/>
      </c>
      <c r="Y2811" s="10" t="s">
        <v>1188</v>
      </c>
      <c r="AF2811" s="12">
        <v>44966</v>
      </c>
      <c r="AH2811" s="10">
        <f>-2.9408*2.59^2+89.45*2.59-43.664</f>
        <v>168.28431952</v>
      </c>
      <c r="AI2811" s="10">
        <f>-1.7314*2.59^2+83.401*2.59-37.87</f>
        <v>166.52418565999997</v>
      </c>
      <c r="AK2811" s="10">
        <f>0.1051*2.59^2+65.423*2.59-19.469</f>
        <v>150.68159131000002</v>
      </c>
      <c r="AL2811" s="10" t="str">
        <f t="shared" si="318"/>
        <v>FALSE</v>
      </c>
      <c r="AM2811" s="10" t="str">
        <f t="shared" si="318"/>
        <v>y=-2.9408*2.59^2+89.45*2.59-43.664</v>
      </c>
      <c r="AN2811" s="10" t="str">
        <f t="shared" si="318"/>
        <v>y=-1.7314*2.59^2+83.401*2.59-37.87</v>
      </c>
      <c r="AO2811" s="10" t="str">
        <f t="shared" si="319"/>
        <v>FALSE</v>
      </c>
      <c r="AP2811" s="10" t="str">
        <f t="shared" si="319"/>
        <v>y=0.1051*2.59^2+65.423*2.59-19.469</v>
      </c>
      <c r="AQ2811" s="10" t="b">
        <f>IF(AND(I2811="TP",S2811&lt;=150),VLOOKUP(AF2811,TPCalibEq150!$AZ$2:$BB$55,3,),IF(AND(I2811="TDP",S2811&lt;=150),VLOOKUP(AF2811,TPCalibEq150!$AZ$2:$BB$55,3,)))</f>
        <v>0</v>
      </c>
      <c r="AR2811" s="10" t="str">
        <f>IF(AND(I2811="TP",S2811&lt;=300),VLOOKUP(AF2811,TPCalibEq300!$AZ$2:$BB$55,3,),IF(AND(I2811="TDP",S2811&lt;=300),VLOOKUP(AF2811,TPCalibEq300!$AZ$2:$BB$55,3,)))</f>
        <v>y=-2.9408x2+89.45x-43.664</v>
      </c>
      <c r="AS2811" s="10" t="str">
        <f>IF(AND(I2811="TP",S2811&lt;=500),VLOOKUP(AF2811,TPCalibEq500!$AZ$2:$BB$56,3,),IF(AND(I2811="TDP",S2811&lt;=500),VLOOKUP(AF2811,TPCalibEq500!$AZ$2:$BB$56,3,)))</f>
        <v>y=-1.7314x2+83.401x-37.87</v>
      </c>
      <c r="AT2811" s="10" t="b">
        <f>IF(AND(I2811="TN",S2811&lt;=2800),VLOOKUP(AF2811,TNCalibEq2500!$AZ$2:$BB$56,3,),IF(AND(I2811="TDN",S2811&lt;=2800),VLOOKUP(AF2811,TNCalibEq2500!$AZ$2:$BB$56,3,)))</f>
        <v>0</v>
      </c>
      <c r="AU2811" s="10" t="str">
        <f>IF(I2811="TP",VLOOKUP(AF2811,TPCalibEqFull!$AZ$2:$BB$56,3),IF(I2811="TDP",VLOOKUP(AF2811,TPCalibEqFull!$AZ$2:$BB$56,3),IF(I2811="TDN",VLOOKUP(AF2811,TNCalibEqFull!$AZ$1:$BB$56,3),IF(I2811="TN",VLOOKUP(AF2811,TNCalibEqFull!$AZ$1:$BB$56,3),FALSE))))</f>
        <v>y=0.1051x2+65.423x-19.469</v>
      </c>
      <c r="AV2811" s="10" t="str">
        <f t="shared" si="317"/>
        <v>0208 11:56:20-ECP-33-C-1-SW-UKN</v>
      </c>
    </row>
    <row r="2812" spans="1:48" s="10" customFormat="1" x14ac:dyDescent="0.55000000000000004">
      <c r="A2812" s="32">
        <v>44965</v>
      </c>
      <c r="B2812" s="33">
        <v>0.50439814814814821</v>
      </c>
      <c r="C2812" s="10" t="s">
        <v>661</v>
      </c>
      <c r="D2812" s="10">
        <v>0</v>
      </c>
      <c r="E2812" s="10">
        <v>660</v>
      </c>
      <c r="F2812" s="10">
        <v>1</v>
      </c>
      <c r="G2812" s="10" t="s">
        <v>231</v>
      </c>
      <c r="H2812" s="10" t="s">
        <v>322</v>
      </c>
      <c r="I2812" s="10" t="s">
        <v>83</v>
      </c>
      <c r="J2812" s="10">
        <v>34</v>
      </c>
      <c r="K2812" s="12">
        <v>44966</v>
      </c>
      <c r="L2812" s="33">
        <v>0.60554398148148147</v>
      </c>
      <c r="M2812" s="10">
        <v>1</v>
      </c>
      <c r="N2812" s="10" t="s">
        <v>84</v>
      </c>
      <c r="O2812" s="10">
        <v>2.48</v>
      </c>
      <c r="P2812" s="10">
        <v>0.17399999999999999</v>
      </c>
      <c r="Q2812" s="10">
        <v>144</v>
      </c>
      <c r="R2812" s="10" t="s">
        <v>85</v>
      </c>
      <c r="S2812" s="34">
        <f t="shared" si="314"/>
        <v>160.08490368000002</v>
      </c>
      <c r="T2812" s="10" t="s">
        <v>1201</v>
      </c>
      <c r="U2812" s="34" t="str">
        <f t="shared" si="315"/>
        <v/>
      </c>
      <c r="V2812" s="31" t="str">
        <f>IF(H2812="CHK",VLOOKUP(I2812,QCCHK,3,),IF(H2812="GUP",VLOOKUP(E2812,QCGUP,2,),IF(AND(H2812="ATP",OR(I2812="TN",I2812="TDN",I2812="TNO2-3",I2812="NO2-3")),VLOOKUP(E2812,QCREC_N,2,),IF(AND(H2812="NIC",OR(I2812="TN",I2812="TDN",I2812="TNO2-3",I2812="NO2-3")),VLOOKUP(E2812,QCNIC_N,2,),IF(AND(H2812="UREA",OR(I2812="TN",I2812="TDN",I2812="TNO2-3",I2812="NO2-3")),VLOOKUP(E2812,QCUREA_N,2,),IF(H2812="PER",VLOOKUP(I2812,QCPER,MATCH(E2812,QCACTUAL!$J$25:$AA$25,0),),IF(H2812="SPK",VLOOKUP(I2812,QCSPK,3,),IF(AND(H2812="ATP",OR(I2812="TP",I2812="TDP")),VLOOKUP(E2812,QCATP_P,2,),""))))))))</f>
        <v/>
      </c>
      <c r="W2812" s="31" t="str">
        <f t="shared" si="316"/>
        <v>TRUE</v>
      </c>
      <c r="X2812" s="31" t="str">
        <f t="shared" si="313"/>
        <v/>
      </c>
      <c r="Y2812" s="10" t="s">
        <v>1188</v>
      </c>
      <c r="AF2812" s="12">
        <v>44966</v>
      </c>
      <c r="AG2812" s="10">
        <f>-11.204*2.48^2+113.68*2.48-55.283</f>
        <v>157.73431840000001</v>
      </c>
      <c r="AH2812" s="10">
        <f>-2.9408*2.48^2+89.45*2.48-43.664</f>
        <v>160.08490368000002</v>
      </c>
      <c r="AI2812" s="10">
        <f>-1.7314*2.48^2+83.401*2.48-37.87</f>
        <v>158.31567743999997</v>
      </c>
      <c r="AK2812" s="10">
        <f>0.1051*2.48^2+65.423*2.48-19.469</f>
        <v>143.42644704000003</v>
      </c>
      <c r="AL2812" s="10" t="str">
        <f t="shared" si="318"/>
        <v>FALSE</v>
      </c>
      <c r="AM2812" s="10" t="str">
        <f t="shared" si="318"/>
        <v>y=-2.9408*2.48^2+89.45*2.48-43.664</v>
      </c>
      <c r="AN2812" s="10" t="str">
        <f t="shared" si="318"/>
        <v>y=-1.7314*2.48^2+83.401*2.48-37.87</v>
      </c>
      <c r="AO2812" s="10" t="str">
        <f t="shared" si="319"/>
        <v>FALSE</v>
      </c>
      <c r="AP2812" s="10" t="str">
        <f t="shared" si="319"/>
        <v>y=0.1051*2.48^2+65.423*2.48-19.469</v>
      </c>
      <c r="AQ2812" s="10" t="b">
        <f>IF(AND(I2812="TP",S2812&lt;=150),VLOOKUP(AF2812,TPCalibEq150!$AZ$2:$BB$55,3,),IF(AND(I2812="TDP",S2812&lt;=150),VLOOKUP(AF2812,TPCalibEq150!$AZ$2:$BB$55,3,)))</f>
        <v>0</v>
      </c>
      <c r="AR2812" s="10" t="str">
        <f>IF(AND(I2812="TP",S2812&lt;=300),VLOOKUP(AF2812,TPCalibEq300!$AZ$2:$BB$55,3,),IF(AND(I2812="TDP",S2812&lt;=300),VLOOKUP(AF2812,TPCalibEq300!$AZ$2:$BB$55,3,)))</f>
        <v>y=-2.9408x2+89.45x-43.664</v>
      </c>
      <c r="AS2812" s="10" t="str">
        <f>IF(AND(I2812="TP",S2812&lt;=500),VLOOKUP(AF2812,TPCalibEq500!$AZ$2:$BB$56,3,),IF(AND(I2812="TDP",S2812&lt;=500),VLOOKUP(AF2812,TPCalibEq500!$AZ$2:$BB$56,3,)))</f>
        <v>y=-1.7314x2+83.401x-37.87</v>
      </c>
      <c r="AT2812" s="10" t="b">
        <f>IF(AND(I2812="TN",S2812&lt;=2800),VLOOKUP(AF2812,TNCalibEq2500!$AZ$2:$BB$56,3,),IF(AND(I2812="TDN",S2812&lt;=2800),VLOOKUP(AF2812,TNCalibEq2500!$AZ$2:$BB$56,3,)))</f>
        <v>0</v>
      </c>
      <c r="AU2812" s="10" t="str">
        <f>IF(I2812="TP",VLOOKUP(AF2812,TPCalibEqFull!$AZ$2:$BB$56,3),IF(I2812="TDP",VLOOKUP(AF2812,TPCalibEqFull!$AZ$2:$BB$56,3),IF(I2812="TDN",VLOOKUP(AF2812,TNCalibEqFull!$AZ$1:$BB$56,3),IF(I2812="TN",VLOOKUP(AF2812,TNCalibEqFull!$AZ$1:$BB$56,3),FALSE))))</f>
        <v>y=0.1051x2+65.423x-19.469</v>
      </c>
      <c r="AV2812" s="10" t="str">
        <f t="shared" si="317"/>
        <v>0208 12:06:20-ENN-0-660-1-SW-UKN</v>
      </c>
    </row>
    <row r="2813" spans="1:48" s="10" customFormat="1" x14ac:dyDescent="0.55000000000000004">
      <c r="A2813" s="32">
        <v>44965</v>
      </c>
      <c r="B2813" s="33">
        <v>0.50706018518518514</v>
      </c>
      <c r="C2813" s="10" t="s">
        <v>661</v>
      </c>
      <c r="D2813" s="10">
        <v>5</v>
      </c>
      <c r="E2813" s="10">
        <v>700</v>
      </c>
      <c r="F2813" s="10">
        <v>1</v>
      </c>
      <c r="G2813" s="10" t="s">
        <v>231</v>
      </c>
      <c r="H2813" s="10" t="s">
        <v>322</v>
      </c>
      <c r="I2813" s="10" t="s">
        <v>83</v>
      </c>
      <c r="J2813" s="10">
        <v>35</v>
      </c>
      <c r="K2813" s="12">
        <v>44966</v>
      </c>
      <c r="L2813" s="33">
        <v>0.60625000000000007</v>
      </c>
      <c r="M2813" s="10">
        <v>1</v>
      </c>
      <c r="N2813" s="10" t="s">
        <v>84</v>
      </c>
      <c r="O2813" s="10">
        <v>3.34</v>
      </c>
      <c r="P2813" s="10">
        <v>0.23899999999999999</v>
      </c>
      <c r="Q2813" s="10">
        <v>201</v>
      </c>
      <c r="R2813" s="10" t="s">
        <v>85</v>
      </c>
      <c r="S2813" s="34">
        <f t="shared" si="314"/>
        <v>222.29261151999998</v>
      </c>
      <c r="T2813" s="10" t="s">
        <v>1201</v>
      </c>
      <c r="U2813" s="34" t="str">
        <f t="shared" si="315"/>
        <v/>
      </c>
      <c r="V2813" s="31" t="str">
        <f>IF(H2813="CHK",VLOOKUP(I2813,QCCHK,3,),IF(H2813="GUP",VLOOKUP(E2813,QCGUP,2,),IF(AND(H2813="ATP",OR(I2813="TN",I2813="TDN",I2813="TNO2-3",I2813="NO2-3")),VLOOKUP(E2813,QCREC_N,2,),IF(AND(H2813="NIC",OR(I2813="TN",I2813="TDN",I2813="TNO2-3",I2813="NO2-3")),VLOOKUP(E2813,QCNIC_N,2,),IF(AND(H2813="UREA",OR(I2813="TN",I2813="TDN",I2813="TNO2-3",I2813="NO2-3")),VLOOKUP(E2813,QCUREA_N,2,),IF(H2813="PER",VLOOKUP(I2813,QCPER,MATCH(E2813,QCACTUAL!$J$25:$AA$25,0),),IF(H2813="SPK",VLOOKUP(I2813,QCSPK,3,),IF(AND(H2813="ATP",OR(I2813="TP",I2813="TDP")),VLOOKUP(E2813,QCATP_P,2,),""))))))))</f>
        <v/>
      </c>
      <c r="W2813" s="31" t="str">
        <f t="shared" si="316"/>
        <v>TRUE</v>
      </c>
      <c r="X2813" s="31" t="str">
        <f t="shared" si="313"/>
        <v/>
      </c>
      <c r="Y2813" s="10" t="s">
        <v>1188</v>
      </c>
      <c r="AF2813" s="12">
        <v>44966</v>
      </c>
      <c r="AH2813" s="10">
        <f>-2.9408*3.34^2+89.45*3.34-43.664</f>
        <v>222.29261151999998</v>
      </c>
      <c r="AI2813" s="10">
        <f>-1.7314*3.34^2+83.401*3.34-37.87</f>
        <v>221.37453415999994</v>
      </c>
      <c r="AK2813" s="10">
        <f>0.1051*3.34^2+65.423*3.34-19.469</f>
        <v>200.21627356000002</v>
      </c>
      <c r="AL2813" s="10" t="str">
        <f t="shared" si="318"/>
        <v>FALSE</v>
      </c>
      <c r="AM2813" s="10" t="str">
        <f t="shared" si="318"/>
        <v>y=-2.9408*3.34^2+89.45*3.34-43.664</v>
      </c>
      <c r="AN2813" s="10" t="str">
        <f t="shared" si="318"/>
        <v>y=-1.7314*3.34^2+83.401*3.34-37.87</v>
      </c>
      <c r="AO2813" s="10" t="str">
        <f t="shared" si="319"/>
        <v>FALSE</v>
      </c>
      <c r="AP2813" s="10" t="str">
        <f t="shared" si="319"/>
        <v>y=0.1051*3.34^2+65.423*3.34-19.469</v>
      </c>
      <c r="AQ2813" s="10" t="b">
        <f>IF(AND(I2813="TP",S2813&lt;=150),VLOOKUP(AF2813,TPCalibEq150!$AZ$2:$BB$55,3,),IF(AND(I2813="TDP",S2813&lt;=150),VLOOKUP(AF2813,TPCalibEq150!$AZ$2:$BB$55,3,)))</f>
        <v>0</v>
      </c>
      <c r="AR2813" s="10" t="str">
        <f>IF(AND(I2813="TP",S2813&lt;=300),VLOOKUP(AF2813,TPCalibEq300!$AZ$2:$BB$55,3,),IF(AND(I2813="TDP",S2813&lt;=300),VLOOKUP(AF2813,TPCalibEq300!$AZ$2:$BB$55,3,)))</f>
        <v>y=-2.9408x2+89.45x-43.664</v>
      </c>
      <c r="AS2813" s="10" t="str">
        <f>IF(AND(I2813="TP",S2813&lt;=500),VLOOKUP(AF2813,TPCalibEq500!$AZ$2:$BB$56,3,),IF(AND(I2813="TDP",S2813&lt;=500),VLOOKUP(AF2813,TPCalibEq500!$AZ$2:$BB$56,3,)))</f>
        <v>y=-1.7314x2+83.401x-37.87</v>
      </c>
      <c r="AT2813" s="10" t="b">
        <f>IF(AND(I2813="TN",S2813&lt;=2800),VLOOKUP(AF2813,TNCalibEq2500!$AZ$2:$BB$56,3,),IF(AND(I2813="TDN",S2813&lt;=2800),VLOOKUP(AF2813,TNCalibEq2500!$AZ$2:$BB$56,3,)))</f>
        <v>0</v>
      </c>
      <c r="AU2813" s="10" t="str">
        <f>IF(I2813="TP",VLOOKUP(AF2813,TPCalibEqFull!$AZ$2:$BB$56,3),IF(I2813="TDP",VLOOKUP(AF2813,TPCalibEqFull!$AZ$2:$BB$56,3),IF(I2813="TDN",VLOOKUP(AF2813,TNCalibEqFull!$AZ$1:$BB$56,3),IF(I2813="TN",VLOOKUP(AF2813,TNCalibEqFull!$AZ$1:$BB$56,3),FALSE))))</f>
        <v>y=0.1051x2+65.423x-19.469</v>
      </c>
      <c r="AV2813" s="10" t="str">
        <f t="shared" si="317"/>
        <v>0208 12:10:10-ENN-5-700-1-SW-UKN</v>
      </c>
    </row>
    <row r="2814" spans="1:48" s="10" customFormat="1" x14ac:dyDescent="0.55000000000000004">
      <c r="A2814" s="32">
        <v>44965</v>
      </c>
      <c r="B2814" s="33">
        <v>0.50949074074074074</v>
      </c>
      <c r="C2814" s="10" t="s">
        <v>661</v>
      </c>
      <c r="D2814" s="10">
        <v>10</v>
      </c>
      <c r="E2814" s="10">
        <v>700</v>
      </c>
      <c r="F2814" s="10">
        <v>1</v>
      </c>
      <c r="G2814" s="10" t="s">
        <v>231</v>
      </c>
      <c r="H2814" s="10" t="s">
        <v>322</v>
      </c>
      <c r="I2814" s="10" t="s">
        <v>83</v>
      </c>
      <c r="J2814" s="10">
        <v>36</v>
      </c>
      <c r="K2814" s="12">
        <v>44966</v>
      </c>
      <c r="L2814" s="33">
        <v>0.6069444444444444</v>
      </c>
      <c r="M2814" s="10">
        <v>1</v>
      </c>
      <c r="N2814" s="10" t="s">
        <v>84</v>
      </c>
      <c r="O2814" s="10">
        <v>3.51</v>
      </c>
      <c r="P2814" s="10">
        <v>0.246</v>
      </c>
      <c r="Q2814" s="10">
        <v>212</v>
      </c>
      <c r="R2814" s="10" t="s">
        <v>85</v>
      </c>
      <c r="S2814" s="34">
        <f t="shared" si="314"/>
        <v>234.07454991999998</v>
      </c>
      <c r="T2814" s="10" t="s">
        <v>1201</v>
      </c>
      <c r="U2814" s="34" t="str">
        <f t="shared" si="315"/>
        <v/>
      </c>
      <c r="V2814" s="31" t="str">
        <f>IF(H2814="CHK",VLOOKUP(I2814,QCCHK,3,),IF(H2814="GUP",VLOOKUP(E2814,QCGUP,2,),IF(AND(H2814="ATP",OR(I2814="TN",I2814="TDN",I2814="TNO2-3",I2814="NO2-3")),VLOOKUP(E2814,QCREC_N,2,),IF(AND(H2814="NIC",OR(I2814="TN",I2814="TDN",I2814="TNO2-3",I2814="NO2-3")),VLOOKUP(E2814,QCNIC_N,2,),IF(AND(H2814="UREA",OR(I2814="TN",I2814="TDN",I2814="TNO2-3",I2814="NO2-3")),VLOOKUP(E2814,QCUREA_N,2,),IF(H2814="PER",VLOOKUP(I2814,QCPER,MATCH(E2814,QCACTUAL!$J$25:$AA$25,0),),IF(H2814="SPK",VLOOKUP(I2814,QCSPK,3,),IF(AND(H2814="ATP",OR(I2814="TP",I2814="TDP")),VLOOKUP(E2814,QCATP_P,2,),""))))))))</f>
        <v/>
      </c>
      <c r="W2814" s="31" t="str">
        <f t="shared" si="316"/>
        <v>TRUE</v>
      </c>
      <c r="X2814" s="31" t="str">
        <f t="shared" si="313"/>
        <v/>
      </c>
      <c r="Y2814" s="10" t="s">
        <v>1188</v>
      </c>
      <c r="AF2814" s="12">
        <v>44966</v>
      </c>
      <c r="AH2814" s="10">
        <f>-2.9408*3.51^2+89.45*3.51-43.664</f>
        <v>234.07454991999998</v>
      </c>
      <c r="AI2814" s="10">
        <f>-1.7314*3.51^2+83.401*3.51-37.87</f>
        <v>233.53648885999996</v>
      </c>
      <c r="AK2814" s="10">
        <f>0.1051*3.51^2+65.423*3.51-19.469</f>
        <v>211.46057250999999</v>
      </c>
      <c r="AL2814" s="10" t="str">
        <f t="shared" si="318"/>
        <v>FALSE</v>
      </c>
      <c r="AM2814" s="10" t="str">
        <f t="shared" si="318"/>
        <v>y=-2.9408*3.51^2+89.45*3.51-43.664</v>
      </c>
      <c r="AN2814" s="10" t="str">
        <f t="shared" si="318"/>
        <v>y=-1.7314*3.51^2+83.401*3.51-37.87</v>
      </c>
      <c r="AO2814" s="10" t="str">
        <f t="shared" si="319"/>
        <v>FALSE</v>
      </c>
      <c r="AP2814" s="10" t="str">
        <f t="shared" si="319"/>
        <v>y=0.1051*3.51^2+65.423*3.51-19.469</v>
      </c>
      <c r="AQ2814" s="10" t="b">
        <f>IF(AND(I2814="TP",S2814&lt;=150),VLOOKUP(AF2814,TPCalibEq150!$AZ$2:$BB$55,3,),IF(AND(I2814="TDP",S2814&lt;=150),VLOOKUP(AF2814,TPCalibEq150!$AZ$2:$BB$55,3,)))</f>
        <v>0</v>
      </c>
      <c r="AR2814" s="10" t="str">
        <f>IF(AND(I2814="TP",S2814&lt;=300),VLOOKUP(AF2814,TPCalibEq300!$AZ$2:$BB$55,3,),IF(AND(I2814="TDP",S2814&lt;=300),VLOOKUP(AF2814,TPCalibEq300!$AZ$2:$BB$55,3,)))</f>
        <v>y=-2.9408x2+89.45x-43.664</v>
      </c>
      <c r="AS2814" s="10" t="str">
        <f>IF(AND(I2814="TP",S2814&lt;=500),VLOOKUP(AF2814,TPCalibEq500!$AZ$2:$BB$56,3,),IF(AND(I2814="TDP",S2814&lt;=500),VLOOKUP(AF2814,TPCalibEq500!$AZ$2:$BB$56,3,)))</f>
        <v>y=-1.7314x2+83.401x-37.87</v>
      </c>
      <c r="AT2814" s="10" t="b">
        <f>IF(AND(I2814="TN",S2814&lt;=2800),VLOOKUP(AF2814,TNCalibEq2500!$AZ$2:$BB$56,3,),IF(AND(I2814="TDN",S2814&lt;=2800),VLOOKUP(AF2814,TNCalibEq2500!$AZ$2:$BB$56,3,)))</f>
        <v>0</v>
      </c>
      <c r="AU2814" s="10" t="str">
        <f>IF(I2814="TP",VLOOKUP(AF2814,TPCalibEqFull!$AZ$2:$BB$56,3),IF(I2814="TDP",VLOOKUP(AF2814,TPCalibEqFull!$AZ$2:$BB$56,3),IF(I2814="TDN",VLOOKUP(AF2814,TNCalibEqFull!$AZ$1:$BB$56,3),IF(I2814="TN",VLOOKUP(AF2814,TNCalibEqFull!$AZ$1:$BB$56,3),FALSE))))</f>
        <v>y=0.1051x2+65.423x-19.469</v>
      </c>
      <c r="AV2814" s="10" t="str">
        <f t="shared" si="317"/>
        <v>0208 12:13:40-ENN-10-700-1-SW-UKN</v>
      </c>
    </row>
    <row r="2815" spans="1:48" s="10" customFormat="1" x14ac:dyDescent="0.55000000000000004">
      <c r="A2815" s="32">
        <v>44965</v>
      </c>
      <c r="B2815" s="33">
        <v>0.51180555555555551</v>
      </c>
      <c r="C2815" s="10" t="s">
        <v>661</v>
      </c>
      <c r="D2815" s="10">
        <v>20</v>
      </c>
      <c r="E2815" s="10" t="s">
        <v>190</v>
      </c>
      <c r="F2815" s="10">
        <v>1</v>
      </c>
      <c r="G2815" s="10" t="s">
        <v>231</v>
      </c>
      <c r="H2815" s="10" t="s">
        <v>322</v>
      </c>
      <c r="I2815" s="10" t="s">
        <v>83</v>
      </c>
      <c r="J2815" s="10">
        <v>37</v>
      </c>
      <c r="K2815" s="12">
        <v>44966</v>
      </c>
      <c r="L2815" s="33">
        <v>0.60763888888888895</v>
      </c>
      <c r="M2815" s="10">
        <v>1</v>
      </c>
      <c r="N2815" s="10" t="s">
        <v>84</v>
      </c>
      <c r="O2815" s="10">
        <v>2.5099999999999998</v>
      </c>
      <c r="P2815" s="10">
        <v>0.17699999999999999</v>
      </c>
      <c r="Q2815" s="10">
        <v>146</v>
      </c>
      <c r="R2815" s="10" t="s">
        <v>85</v>
      </c>
      <c r="S2815" s="34">
        <f t="shared" si="314"/>
        <v>162.32816592</v>
      </c>
      <c r="T2815" s="10" t="s">
        <v>1201</v>
      </c>
      <c r="U2815" s="34" t="str">
        <f t="shared" si="315"/>
        <v/>
      </c>
      <c r="V2815" s="31" t="str">
        <f>IF(H2815="CHK",VLOOKUP(I2815,QCCHK,3,),IF(H2815="GUP",VLOOKUP(E2815,QCGUP,2,),IF(AND(H2815="ATP",OR(I2815="TN",I2815="TDN",I2815="TNO2-3",I2815="NO2-3")),VLOOKUP(E2815,QCREC_N,2,),IF(AND(H2815="NIC",OR(I2815="TN",I2815="TDN",I2815="TNO2-3",I2815="NO2-3")),VLOOKUP(E2815,QCNIC_N,2,),IF(AND(H2815="UREA",OR(I2815="TN",I2815="TDN",I2815="TNO2-3",I2815="NO2-3")),VLOOKUP(E2815,QCUREA_N,2,),IF(H2815="PER",VLOOKUP(I2815,QCPER,MATCH(E2815,QCACTUAL!$J$25:$AA$25,0),),IF(H2815="SPK",VLOOKUP(I2815,QCSPK,3,),IF(AND(H2815="ATP",OR(I2815="TP",I2815="TDP")),VLOOKUP(E2815,QCATP_P,2,),""))))))))</f>
        <v/>
      </c>
      <c r="W2815" s="31" t="str">
        <f t="shared" si="316"/>
        <v>TRUE</v>
      </c>
      <c r="X2815" s="31" t="str">
        <f t="shared" ref="X2815:X2878" si="320">IF(ISNA(VLOOKUP(H2815,QCEQUATIONS,2,)),"",(VLOOKUP(H2815,QCEQUATIONS,2,)))</f>
        <v/>
      </c>
      <c r="Y2815" s="10" t="s">
        <v>1188</v>
      </c>
      <c r="AF2815" s="12">
        <v>44966</v>
      </c>
      <c r="AG2815" s="10">
        <f>-11.204*2.51^2+113.68*2.51-55.283</f>
        <v>159.46747959999999</v>
      </c>
      <c r="AH2815" s="10">
        <f>-2.9408*2.51^2+89.45*2.51-43.664</f>
        <v>162.32816592</v>
      </c>
      <c r="AI2815" s="10">
        <f>-1.7314*2.51^2+83.401*2.51-37.87</f>
        <v>160.55851685999997</v>
      </c>
      <c r="AK2815" s="10">
        <f>0.1051*2.51^2+65.423*2.51-19.469</f>
        <v>145.40487050999999</v>
      </c>
      <c r="AL2815" s="10" t="str">
        <f t="shared" si="318"/>
        <v>FALSE</v>
      </c>
      <c r="AM2815" s="10" t="str">
        <f t="shared" si="318"/>
        <v>y=-2.9408*2.51^2+89.45*2.51-43.664</v>
      </c>
      <c r="AN2815" s="10" t="str">
        <f t="shared" si="318"/>
        <v>y=-1.7314*2.51^2+83.401*2.51-37.87</v>
      </c>
      <c r="AO2815" s="10" t="str">
        <f t="shared" si="319"/>
        <v>FALSE</v>
      </c>
      <c r="AP2815" s="10" t="str">
        <f t="shared" si="319"/>
        <v>y=0.1051*2.51^2+65.423*2.51-19.469</v>
      </c>
      <c r="AQ2815" s="10" t="b">
        <f>IF(AND(I2815="TP",S2815&lt;=150),VLOOKUP(AF2815,TPCalibEq150!$AZ$2:$BB$55,3,),IF(AND(I2815="TDP",S2815&lt;=150),VLOOKUP(AF2815,TPCalibEq150!$AZ$2:$BB$55,3,)))</f>
        <v>0</v>
      </c>
      <c r="AR2815" s="10" t="str">
        <f>IF(AND(I2815="TP",S2815&lt;=300),VLOOKUP(AF2815,TPCalibEq300!$AZ$2:$BB$55,3,),IF(AND(I2815="TDP",S2815&lt;=300),VLOOKUP(AF2815,TPCalibEq300!$AZ$2:$BB$55,3,)))</f>
        <v>y=-2.9408x2+89.45x-43.664</v>
      </c>
      <c r="AS2815" s="10" t="str">
        <f>IF(AND(I2815="TP",S2815&lt;=500),VLOOKUP(AF2815,TPCalibEq500!$AZ$2:$BB$56,3,),IF(AND(I2815="TDP",S2815&lt;=500),VLOOKUP(AF2815,TPCalibEq500!$AZ$2:$BB$56,3,)))</f>
        <v>y=-1.7314x2+83.401x-37.87</v>
      </c>
      <c r="AT2815" s="10" t="b">
        <f>IF(AND(I2815="TN",S2815&lt;=2800),VLOOKUP(AF2815,TNCalibEq2500!$AZ$2:$BB$56,3,),IF(AND(I2815="TDN",S2815&lt;=2800),VLOOKUP(AF2815,TNCalibEq2500!$AZ$2:$BB$56,3,)))</f>
        <v>0</v>
      </c>
      <c r="AU2815" s="10" t="str">
        <f>IF(I2815="TP",VLOOKUP(AF2815,TPCalibEqFull!$AZ$2:$BB$56,3),IF(I2815="TDP",VLOOKUP(AF2815,TPCalibEqFull!$AZ$2:$BB$56,3),IF(I2815="TDN",VLOOKUP(AF2815,TNCalibEqFull!$AZ$1:$BB$56,3),IF(I2815="TN",VLOOKUP(AF2815,TNCalibEqFull!$AZ$1:$BB$56,3),FALSE))))</f>
        <v>y=0.1051x2+65.423x-19.469</v>
      </c>
      <c r="AV2815" s="10" t="str">
        <f t="shared" si="317"/>
        <v>0208 12:17:00-ENN-20-C-1-SW-UKN</v>
      </c>
    </row>
    <row r="2816" spans="1:48" s="10" customFormat="1" x14ac:dyDescent="0.55000000000000004">
      <c r="A2816" s="32">
        <v>44965</v>
      </c>
      <c r="B2816" s="33">
        <v>0.51412037037037039</v>
      </c>
      <c r="C2816" s="10" t="s">
        <v>661</v>
      </c>
      <c r="D2816" s="10">
        <v>23</v>
      </c>
      <c r="E2816" s="10" t="s">
        <v>190</v>
      </c>
      <c r="F2816" s="10">
        <v>1</v>
      </c>
      <c r="G2816" s="10" t="s">
        <v>231</v>
      </c>
      <c r="H2816" s="10" t="s">
        <v>322</v>
      </c>
      <c r="I2816" s="10" t="s">
        <v>83</v>
      </c>
      <c r="J2816" s="10">
        <v>38</v>
      </c>
      <c r="K2816" s="12">
        <v>44966</v>
      </c>
      <c r="L2816" s="33">
        <v>0.60834490740740743</v>
      </c>
      <c r="M2816" s="10">
        <v>1</v>
      </c>
      <c r="N2816" s="10" t="s">
        <v>84</v>
      </c>
      <c r="O2816" s="10">
        <v>3.4</v>
      </c>
      <c r="P2816" s="10">
        <v>0.24199999999999999</v>
      </c>
      <c r="Q2816" s="10">
        <v>205</v>
      </c>
      <c r="R2816" s="10" t="s">
        <v>85</v>
      </c>
      <c r="S2816" s="34">
        <f t="shared" ref="S2816:S2879" si="321">IF(OR(AND(I2816&lt;&gt;"TP", I2816&lt;&gt;"TDP",I2816&lt;&gt;"TN", I2816&lt;&gt;"TDN"),H2816="CAL"), Q2816*M2816, IF(OR(AND(I2816="TN", Q2816&gt;2500), AND(I2816="TDN", Q2816&gt;2500)),MAX(Q2816, AK2816)*M2816, IF(OR(AND(I2816="TN", Q2816&lt;=2500), AND(I2816="TDN", Q2816&lt;=2500)),MAX(Q2816, AJ2816,AK2816)*M2816, IF(OR(AND(I2816="TP",Q2816&gt;500), AND(I2816="TDP", Q2816&gt;500)),MAX(Q2816,AK2816)*M2816,IF(OR(AND(I2816="TP",Q2816&lt;=150), AND(I2816="TDP", Q2816&lt;=150)),MAX(Q2816,AG2816:AI2816,AK2816)*M2816,IF(OR(AND(I2816="TP",Q2816&lt;=300), AND(I2816="TDP", Q2816&lt;=300)),MAX(Q2816,AH2816,AI2816,AK2816)*M2816,IF(OR(AND(I2816="TP",Q2816&lt;=500), AND(I2816="TDP", Q2816&lt;=500)),MAX(Q2816,AI2816,AK2816)*M2816,"")))))))</f>
        <v>226.47035199999999</v>
      </c>
      <c r="T2816" s="10" t="s">
        <v>1201</v>
      </c>
      <c r="U2816" s="34" t="str">
        <f t="shared" si="315"/>
        <v/>
      </c>
      <c r="V2816" s="31" t="str">
        <f>IF(H2816="CHK",VLOOKUP(I2816,QCCHK,3,),IF(H2816="GUP",VLOOKUP(E2816,QCGUP,2,),IF(AND(H2816="ATP",OR(I2816="TN",I2816="TDN",I2816="TNO2-3",I2816="NO2-3")),VLOOKUP(E2816,QCREC_N,2,),IF(AND(H2816="NIC",OR(I2816="TN",I2816="TDN",I2816="TNO2-3",I2816="NO2-3")),VLOOKUP(E2816,QCNIC_N,2,),IF(AND(H2816="UREA",OR(I2816="TN",I2816="TDN",I2816="TNO2-3",I2816="NO2-3")),VLOOKUP(E2816,QCUREA_N,2,),IF(H2816="PER",VLOOKUP(I2816,QCPER,MATCH(E2816,QCACTUAL!$J$25:$AA$25,0),),IF(H2816="SPK",VLOOKUP(I2816,QCSPK,3,),IF(AND(H2816="ATP",OR(I2816="TP",I2816="TDP")),VLOOKUP(E2816,QCATP_P,2,),""))))))))</f>
        <v/>
      </c>
      <c r="W2816" s="31" t="str">
        <f t="shared" si="316"/>
        <v>TRUE</v>
      </c>
      <c r="X2816" s="31" t="str">
        <f t="shared" si="320"/>
        <v/>
      </c>
      <c r="Y2816" s="10" t="s">
        <v>1188</v>
      </c>
      <c r="AF2816" s="12">
        <v>44966</v>
      </c>
      <c r="AH2816" s="10">
        <f>-2.9408*3.4^2+89.45*3.4-43.664</f>
        <v>226.47035199999999</v>
      </c>
      <c r="AI2816" s="10">
        <f>-1.7314*3.4^2+83.401*3.4-37.87</f>
        <v>225.67841599999997</v>
      </c>
      <c r="AK2816" s="10">
        <f>0.1051*3.4^2+65.423*3.4-19.469</f>
        <v>204.184156</v>
      </c>
      <c r="AL2816" s="10" t="str">
        <f t="shared" si="318"/>
        <v>FALSE</v>
      </c>
      <c r="AM2816" s="10" t="str">
        <f t="shared" si="318"/>
        <v>y=-2.9408*3.4^2+89.45*3.4-43.664</v>
      </c>
      <c r="AN2816" s="10" t="str">
        <f t="shared" si="318"/>
        <v>y=-1.7314*3.4^2+83.401*3.4-37.87</v>
      </c>
      <c r="AO2816" s="10" t="str">
        <f t="shared" si="319"/>
        <v>FALSE</v>
      </c>
      <c r="AP2816" s="10" t="str">
        <f t="shared" si="319"/>
        <v>y=0.1051*3.4^2+65.423*3.4-19.469</v>
      </c>
      <c r="AQ2816" s="10" t="b">
        <f>IF(AND(I2816="TP",S2816&lt;=150),VLOOKUP(AF2816,TPCalibEq150!$AZ$2:$BB$55,3,),IF(AND(I2816="TDP",S2816&lt;=150),VLOOKUP(AF2816,TPCalibEq150!$AZ$2:$BB$55,3,)))</f>
        <v>0</v>
      </c>
      <c r="AR2816" s="10" t="str">
        <f>IF(AND(I2816="TP",S2816&lt;=300),VLOOKUP(AF2816,TPCalibEq300!$AZ$2:$BB$55,3,),IF(AND(I2816="TDP",S2816&lt;=300),VLOOKUP(AF2816,TPCalibEq300!$AZ$2:$BB$55,3,)))</f>
        <v>y=-2.9408x2+89.45x-43.664</v>
      </c>
      <c r="AS2816" s="10" t="str">
        <f>IF(AND(I2816="TP",S2816&lt;=500),VLOOKUP(AF2816,TPCalibEq500!$AZ$2:$BB$56,3,),IF(AND(I2816="TDP",S2816&lt;=500),VLOOKUP(AF2816,TPCalibEq500!$AZ$2:$BB$56,3,)))</f>
        <v>y=-1.7314x2+83.401x-37.87</v>
      </c>
      <c r="AT2816" s="10" t="b">
        <f>IF(AND(I2816="TN",S2816&lt;=2800),VLOOKUP(AF2816,TNCalibEq2500!$AZ$2:$BB$56,3,),IF(AND(I2816="TDN",S2816&lt;=2800),VLOOKUP(AF2816,TNCalibEq2500!$AZ$2:$BB$56,3,)))</f>
        <v>0</v>
      </c>
      <c r="AU2816" s="10" t="str">
        <f>IF(I2816="TP",VLOOKUP(AF2816,TPCalibEqFull!$AZ$2:$BB$56,3),IF(I2816="TDP",VLOOKUP(AF2816,TPCalibEqFull!$AZ$2:$BB$56,3),IF(I2816="TDN",VLOOKUP(AF2816,TNCalibEqFull!$AZ$1:$BB$56,3),IF(I2816="TN",VLOOKUP(AF2816,TNCalibEqFull!$AZ$1:$BB$56,3),FALSE))))</f>
        <v>y=0.1051x2+65.423x-19.469</v>
      </c>
      <c r="AV2816" s="10" t="str">
        <f t="shared" si="317"/>
        <v>0208 12:20:20-ENN-23-C-1-SW-UKN</v>
      </c>
    </row>
    <row r="2817" spans="1:48" s="10" customFormat="1" x14ac:dyDescent="0.55000000000000004">
      <c r="A2817" s="32">
        <v>44965</v>
      </c>
      <c r="B2817" s="33">
        <v>0.43796296296296294</v>
      </c>
      <c r="C2817" s="10" t="s">
        <v>646</v>
      </c>
      <c r="D2817" s="10">
        <v>0</v>
      </c>
      <c r="E2817" s="10">
        <v>800</v>
      </c>
      <c r="F2817" s="10">
        <v>1</v>
      </c>
      <c r="G2817" s="10" t="s">
        <v>231</v>
      </c>
      <c r="H2817" s="10" t="s">
        <v>322</v>
      </c>
      <c r="I2817" s="10" t="s">
        <v>83</v>
      </c>
      <c r="J2817" s="10">
        <v>39</v>
      </c>
      <c r="K2817" s="12">
        <v>44966</v>
      </c>
      <c r="L2817" s="33">
        <v>0.60902777777777783</v>
      </c>
      <c r="M2817" s="10">
        <v>1</v>
      </c>
      <c r="N2817" s="10" t="s">
        <v>84</v>
      </c>
      <c r="O2817" s="10">
        <v>3.48</v>
      </c>
      <c r="P2817" s="10">
        <v>0.248</v>
      </c>
      <c r="Q2817" s="10">
        <v>210</v>
      </c>
      <c r="R2817" s="10" t="s">
        <v>85</v>
      </c>
      <c r="S2817" s="34">
        <f t="shared" si="321"/>
        <v>232.00773568</v>
      </c>
      <c r="T2817" s="10" t="s">
        <v>1201</v>
      </c>
      <c r="U2817" s="34" t="str">
        <f t="shared" si="315"/>
        <v/>
      </c>
      <c r="V2817" s="31" t="str">
        <f>IF(H2817="CHK",VLOOKUP(I2817,QCCHK,3,),IF(H2817="GUP",VLOOKUP(E2817,QCGUP,2,),IF(AND(H2817="ATP",OR(I2817="TN",I2817="TDN",I2817="TNO2-3",I2817="NO2-3")),VLOOKUP(E2817,QCREC_N,2,),IF(AND(H2817="NIC",OR(I2817="TN",I2817="TDN",I2817="TNO2-3",I2817="NO2-3")),VLOOKUP(E2817,QCNIC_N,2,),IF(AND(H2817="UREA",OR(I2817="TN",I2817="TDN",I2817="TNO2-3",I2817="NO2-3")),VLOOKUP(E2817,QCUREA_N,2,),IF(H2817="PER",VLOOKUP(I2817,QCPER,MATCH(E2817,QCACTUAL!$J$25:$AA$25,0),),IF(H2817="SPK",VLOOKUP(I2817,QCSPK,3,),IF(AND(H2817="ATP",OR(I2817="TP",I2817="TDP")),VLOOKUP(E2817,QCATP_P,2,),""))))))))</f>
        <v/>
      </c>
      <c r="W2817" s="31" t="str">
        <f t="shared" si="316"/>
        <v>TRUE</v>
      </c>
      <c r="X2817" s="31" t="str">
        <f t="shared" si="320"/>
        <v/>
      </c>
      <c r="Y2817" s="10" t="s">
        <v>1188</v>
      </c>
      <c r="AF2817" s="12">
        <v>44966</v>
      </c>
      <c r="AH2817" s="10">
        <f>-2.9408*3.48^2+89.45*3.48-43.664</f>
        <v>232.00773568</v>
      </c>
      <c r="AI2817" s="10">
        <f>-1.7314*3.48^2+83.401*3.48-37.87</f>
        <v>231.39753343999996</v>
      </c>
      <c r="AK2817" s="10">
        <f>0.1051*3.48^2+65.423*3.48-19.469</f>
        <v>209.47584304000003</v>
      </c>
      <c r="AL2817" s="10" t="str">
        <f t="shared" si="318"/>
        <v>FALSE</v>
      </c>
      <c r="AM2817" s="10" t="str">
        <f t="shared" si="318"/>
        <v>y=-2.9408*3.48^2+89.45*3.48-43.664</v>
      </c>
      <c r="AN2817" s="10" t="str">
        <f t="shared" si="318"/>
        <v>y=-1.7314*3.48^2+83.401*3.48-37.87</v>
      </c>
      <c r="AO2817" s="10" t="str">
        <f t="shared" si="319"/>
        <v>FALSE</v>
      </c>
      <c r="AP2817" s="10" t="str">
        <f t="shared" si="319"/>
        <v>y=0.1051*3.48^2+65.423*3.48-19.469</v>
      </c>
      <c r="AQ2817" s="10" t="b">
        <f>IF(AND(I2817="TP",S2817&lt;=150),VLOOKUP(AF2817,TPCalibEq150!$AZ$2:$BB$55,3,),IF(AND(I2817="TDP",S2817&lt;=150),VLOOKUP(AF2817,TPCalibEq150!$AZ$2:$BB$55,3,)))</f>
        <v>0</v>
      </c>
      <c r="AR2817" s="10" t="str">
        <f>IF(AND(I2817="TP",S2817&lt;=300),VLOOKUP(AF2817,TPCalibEq300!$AZ$2:$BB$55,3,),IF(AND(I2817="TDP",S2817&lt;=300),VLOOKUP(AF2817,TPCalibEq300!$AZ$2:$BB$55,3,)))</f>
        <v>y=-2.9408x2+89.45x-43.664</v>
      </c>
      <c r="AS2817" s="10" t="str">
        <f>IF(AND(I2817="TP",S2817&lt;=500),VLOOKUP(AF2817,TPCalibEq500!$AZ$2:$BB$56,3,),IF(AND(I2817="TDP",S2817&lt;=500),VLOOKUP(AF2817,TPCalibEq500!$AZ$2:$BB$56,3,)))</f>
        <v>y=-1.7314x2+83.401x-37.87</v>
      </c>
      <c r="AT2817" s="10" t="b">
        <f>IF(AND(I2817="TN",S2817&lt;=2800),VLOOKUP(AF2817,TNCalibEq2500!$AZ$2:$BB$56,3,),IF(AND(I2817="TDN",S2817&lt;=2800),VLOOKUP(AF2817,TNCalibEq2500!$AZ$2:$BB$56,3,)))</f>
        <v>0</v>
      </c>
      <c r="AU2817" s="10" t="str">
        <f>IF(I2817="TP",VLOOKUP(AF2817,TPCalibEqFull!$AZ$2:$BB$56,3),IF(I2817="TDP",VLOOKUP(AF2817,TPCalibEqFull!$AZ$2:$BB$56,3),IF(I2817="TDN",VLOOKUP(AF2817,TNCalibEqFull!$AZ$1:$BB$56,3),IF(I2817="TN",VLOOKUP(AF2817,TNCalibEqFull!$AZ$1:$BB$56,3),FALSE))))</f>
        <v>y=0.1051x2+65.423x-19.469</v>
      </c>
      <c r="AV2817" s="10" t="str">
        <f t="shared" si="317"/>
        <v>0208 10:30:40-EMB-0-800-1-SW-UKN</v>
      </c>
    </row>
    <row r="2818" spans="1:48" s="10" customFormat="1" x14ac:dyDescent="0.55000000000000004">
      <c r="A2818" s="32">
        <v>44965</v>
      </c>
      <c r="B2818" s="33">
        <v>0.43796296296296294</v>
      </c>
      <c r="C2818" s="10" t="s">
        <v>646</v>
      </c>
      <c r="D2818" s="10">
        <v>0</v>
      </c>
      <c r="E2818" s="10">
        <v>800</v>
      </c>
      <c r="F2818" s="10">
        <v>1</v>
      </c>
      <c r="G2818" s="10" t="s">
        <v>231</v>
      </c>
      <c r="H2818" s="10" t="s">
        <v>233</v>
      </c>
      <c r="I2818" s="10" t="s">
        <v>83</v>
      </c>
      <c r="J2818" s="10">
        <v>39</v>
      </c>
      <c r="K2818" s="12">
        <v>44966</v>
      </c>
      <c r="L2818" s="33">
        <v>0.60972222222222217</v>
      </c>
      <c r="M2818" s="10">
        <v>1</v>
      </c>
      <c r="N2818" s="10" t="s">
        <v>84</v>
      </c>
      <c r="O2818" s="10">
        <v>3.47</v>
      </c>
      <c r="P2818" s="10">
        <v>0.248</v>
      </c>
      <c r="Q2818" s="10">
        <v>209</v>
      </c>
      <c r="R2818" s="10" t="s">
        <v>85</v>
      </c>
      <c r="S2818" s="34">
        <f t="shared" si="321"/>
        <v>231.31762128000003</v>
      </c>
      <c r="T2818" s="10" t="s">
        <v>1201</v>
      </c>
      <c r="U2818" s="34">
        <f t="shared" ref="U2818:U2881" si="322">IF(OR(H2818="CHK",H2818="ATP",H2818="GUP",H2818="PER", H2818="NIC", H2818="UREA"),(S2818/V2818*100),IF(H2818="DUP",((ABS(S2818-S2817))/((S2817+S2818)/2))*100,IF(H2818="SPK",((S2818-S2817)/V2818*100),IF(OR(H2818="LAB",H2818="FLD",H2818="ESF"),S2818,""))))</f>
        <v>0.29789623625522815</v>
      </c>
      <c r="V2818" s="31" t="str">
        <f>IF(H2818="CHK",VLOOKUP(I2818,QCCHK,3,),IF(H2818="GUP",VLOOKUP(E2818,QCGUP,2,),IF(AND(H2818="ATP",OR(I2818="TN",I2818="TDN",I2818="TNO2-3",I2818="NO2-3")),VLOOKUP(E2818,QCREC_N,2,),IF(AND(H2818="NIC",OR(I2818="TN",I2818="TDN",I2818="TNO2-3",I2818="NO2-3")),VLOOKUP(E2818,QCNIC_N,2,),IF(AND(H2818="UREA",OR(I2818="TN",I2818="TDN",I2818="TNO2-3",I2818="NO2-3")),VLOOKUP(E2818,QCUREA_N,2,),IF(H2818="PER",VLOOKUP(I2818,QCPER,MATCH(E2818,QCACTUAL!$J$25:$AA$25,0),),IF(H2818="SPK",VLOOKUP(I2818,QCSPK,3,),IF(AND(H2818="ATP",OR(I2818="TP",I2818="TDP")),VLOOKUP(E2818,QCATP_P,2,),""))))))))</f>
        <v/>
      </c>
      <c r="W2818" s="31" t="str">
        <f t="shared" ref="W2818:W2881" si="323">IF(AND(OR(H2818="PER",H2818="ATP",H2818="GUP",H2818="CHK",H2818="SPK", H2818="NIC"),OR(U2818&gt;125,U2818&lt;75)),"FALSE",IF(AND(H2818="DUP",OR(U2818&gt;25, U2818&lt;-25)),"FALSE",IF(AND(OR(H2818="LAB",H2818="FLD",H2818="ESF"),U2818&gt;15),"FALSE","TRUE")))</f>
        <v>TRUE</v>
      </c>
      <c r="X2818" s="31" t="str">
        <f t="shared" si="320"/>
        <v>((ABS(rep1-rep2))/((rep1+rep2)/2)*100</v>
      </c>
      <c r="Y2818" s="10" t="s">
        <v>1188</v>
      </c>
      <c r="AF2818" s="12">
        <v>44966</v>
      </c>
      <c r="AH2818" s="10">
        <f>-2.9408*3.47^2+89.45*3.47-43.664</f>
        <v>231.31762128000003</v>
      </c>
      <c r="AI2818" s="10">
        <f>-1.7314*3.47^2+83.401*3.47-37.87</f>
        <v>230.68385574000001</v>
      </c>
      <c r="AK2818" s="10">
        <f>0.1051*3.47^2+65.423*3.47-19.469</f>
        <v>208.81430859000002</v>
      </c>
      <c r="AL2818" s="10" t="str">
        <f t="shared" si="318"/>
        <v>FALSE</v>
      </c>
      <c r="AM2818" s="10" t="str">
        <f t="shared" si="318"/>
        <v>y=-2.9408*3.47^2+89.45*3.47-43.664</v>
      </c>
      <c r="AN2818" s="10" t="str">
        <f t="shared" si="318"/>
        <v>y=-1.7314*3.47^2+83.401*3.47-37.87</v>
      </c>
      <c r="AO2818" s="10" t="str">
        <f t="shared" si="319"/>
        <v>FALSE</v>
      </c>
      <c r="AP2818" s="10" t="str">
        <f t="shared" si="319"/>
        <v>y=0.1051*3.47^2+65.423*3.47-19.469</v>
      </c>
      <c r="AQ2818" s="10" t="b">
        <f>IF(AND(I2818="TP",S2818&lt;=150),VLOOKUP(AF2818,TPCalibEq150!$AZ$2:$BB$55,3,),IF(AND(I2818="TDP",S2818&lt;=150),VLOOKUP(AF2818,TPCalibEq150!$AZ$2:$BB$55,3,)))</f>
        <v>0</v>
      </c>
      <c r="AR2818" s="10" t="str">
        <f>IF(AND(I2818="TP",S2818&lt;=300),VLOOKUP(AF2818,TPCalibEq300!$AZ$2:$BB$55,3,),IF(AND(I2818="TDP",S2818&lt;=300),VLOOKUP(AF2818,TPCalibEq300!$AZ$2:$BB$55,3,)))</f>
        <v>y=-2.9408x2+89.45x-43.664</v>
      </c>
      <c r="AS2818" s="10" t="str">
        <f>IF(AND(I2818="TP",S2818&lt;=500),VLOOKUP(AF2818,TPCalibEq500!$AZ$2:$BB$56,3,),IF(AND(I2818="TDP",S2818&lt;=500),VLOOKUP(AF2818,TPCalibEq500!$AZ$2:$BB$56,3,)))</f>
        <v>y=-1.7314x2+83.401x-37.87</v>
      </c>
      <c r="AT2818" s="10" t="b">
        <f>IF(AND(I2818="TN",S2818&lt;=2800),VLOOKUP(AF2818,TNCalibEq2500!$AZ$2:$BB$56,3,),IF(AND(I2818="TDN",S2818&lt;=2800),VLOOKUP(AF2818,TNCalibEq2500!$AZ$2:$BB$56,3,)))</f>
        <v>0</v>
      </c>
      <c r="AU2818" s="10" t="str">
        <f>IF(I2818="TP",VLOOKUP(AF2818,TPCalibEqFull!$AZ$2:$BB$56,3),IF(I2818="TDP",VLOOKUP(AF2818,TPCalibEqFull!$AZ$2:$BB$56,3),IF(I2818="TDN",VLOOKUP(AF2818,TNCalibEqFull!$AZ$1:$BB$56,3),IF(I2818="TN",VLOOKUP(AF2818,TNCalibEqFull!$AZ$1:$BB$56,3),FALSE))))</f>
        <v>y=0.1051x2+65.423x-19.469</v>
      </c>
      <c r="AV2818" s="10" t="str">
        <f t="shared" ref="AV2818:AV2881" si="324">TEXT(A2818, "MMDD")&amp;" "&amp;TEXT(B2818, "HH:MM:SS")&amp;"-"&amp;C2818&amp;"-"&amp;D2818&amp;"-"&amp;E2818&amp;"-"&amp;F2818&amp;"-"&amp;G2818&amp;"-"&amp;H2818</f>
        <v>0208 10:30:40-EMB-0-800-1-SW-DUP</v>
      </c>
    </row>
    <row r="2819" spans="1:48" s="10" customFormat="1" x14ac:dyDescent="0.55000000000000004">
      <c r="A2819" s="32">
        <v>44965</v>
      </c>
      <c r="B2819" s="33">
        <v>0.43796296296296294</v>
      </c>
      <c r="C2819" s="10" t="s">
        <v>646</v>
      </c>
      <c r="D2819" s="10">
        <v>0</v>
      </c>
      <c r="E2819" s="10">
        <v>800</v>
      </c>
      <c r="F2819" s="10">
        <v>1</v>
      </c>
      <c r="G2819" s="10" t="s">
        <v>231</v>
      </c>
      <c r="H2819" s="10" t="s">
        <v>314</v>
      </c>
      <c r="I2819" s="10" t="s">
        <v>83</v>
      </c>
      <c r="J2819" s="10">
        <v>123</v>
      </c>
      <c r="K2819" s="12">
        <v>44966</v>
      </c>
      <c r="L2819" s="33">
        <v>0.6104398148148148</v>
      </c>
      <c r="M2819" s="10">
        <v>1</v>
      </c>
      <c r="N2819" s="10" t="s">
        <v>84</v>
      </c>
      <c r="O2819" s="10">
        <v>20.7</v>
      </c>
      <c r="P2819" s="10">
        <v>1.46</v>
      </c>
      <c r="Q2819" s="10">
        <v>1380</v>
      </c>
      <c r="R2819" s="10" t="s">
        <v>85</v>
      </c>
      <c r="S2819" s="34">
        <f t="shared" si="321"/>
        <v>1380</v>
      </c>
      <c r="T2819" s="10" t="s">
        <v>1201</v>
      </c>
      <c r="U2819" s="34">
        <f t="shared" si="322"/>
        <v>114.86823787199999</v>
      </c>
      <c r="V2819" s="31">
        <f>IF(H2819="CHK",VLOOKUP(I2819,QCCHK,3,),IF(H2819="GUP",VLOOKUP(E2819,QCGUP,2,),IF(AND(H2819="ATP",OR(I2819="TN",I2819="TDN",I2819="TNO2-3",I2819="NO2-3")),VLOOKUP(E2819,QCREC_N,2,),IF(AND(H2819="NIC",OR(I2819="TN",I2819="TDN",I2819="TNO2-3",I2819="NO2-3")),VLOOKUP(E2819,QCNIC_N,2,),IF(AND(H2819="UREA",OR(I2819="TN",I2819="TDN",I2819="TNO2-3",I2819="NO2-3")),VLOOKUP(E2819,QCUREA_N,2,),IF(H2819="PER",VLOOKUP(I2819,QCPER,MATCH(E2819,QCACTUAL!$J$25:$AA$25,0),),IF(H2819="SPK",VLOOKUP(I2819,QCSPK,3,),IF(AND(H2819="ATP",OR(I2819="TP",I2819="TDP")),VLOOKUP(E2819,QCATP_P,2,),""))))))))</f>
        <v>1000</v>
      </c>
      <c r="W2819" s="31" t="str">
        <f t="shared" si="323"/>
        <v>TRUE</v>
      </c>
      <c r="X2819" s="31" t="str">
        <f t="shared" si="320"/>
        <v>([spikedunkn]-[unkn])/[spike]*100</v>
      </c>
      <c r="Y2819" s="10" t="s">
        <v>1188</v>
      </c>
      <c r="AF2819" s="12">
        <v>44966</v>
      </c>
      <c r="AK2819" s="10">
        <f>0.1051*20.7^2+65.423*20.7-19.469</f>
        <v>1379.8213989999999</v>
      </c>
      <c r="AL2819" s="10" t="str">
        <f t="shared" si="318"/>
        <v>FALSE</v>
      </c>
      <c r="AM2819" s="10" t="str">
        <f t="shared" si="318"/>
        <v>FALSE</v>
      </c>
      <c r="AN2819" s="10" t="str">
        <f t="shared" si="318"/>
        <v>FALSE</v>
      </c>
      <c r="AO2819" s="10" t="str">
        <f t="shared" si="319"/>
        <v>FALSE</v>
      </c>
      <c r="AP2819" s="10" t="str">
        <f t="shared" si="319"/>
        <v>y=0.1051*20.7^2+65.423*20.7-19.469</v>
      </c>
      <c r="AQ2819" s="10" t="b">
        <f>IF(AND(I2819="TP",S2819&lt;=150),VLOOKUP(AF2819,TPCalibEq150!$AZ$2:$BB$55,3,),IF(AND(I2819="TDP",S2819&lt;=150),VLOOKUP(AF2819,TPCalibEq150!$AZ$2:$BB$55,3,)))</f>
        <v>0</v>
      </c>
      <c r="AR2819" s="10" t="b">
        <f>IF(AND(I2819="TP",S2819&lt;=300),VLOOKUP(AF2819,TPCalibEq300!$AZ$2:$BB$55,3,),IF(AND(I2819="TDP",S2819&lt;=300),VLOOKUP(AF2819,TPCalibEq300!$AZ$2:$BB$55,3,)))</f>
        <v>0</v>
      </c>
      <c r="AS2819" s="10" t="b">
        <f>IF(AND(I2819="TP",S2819&lt;=500),VLOOKUP(AF2819,TPCalibEq500!$AZ$2:$BB$56,3,),IF(AND(I2819="TDP",S2819&lt;=500),VLOOKUP(AF2819,TPCalibEq500!$AZ$2:$BB$56,3,)))</f>
        <v>0</v>
      </c>
      <c r="AT2819" s="10" t="b">
        <f>IF(AND(I2819="TN",S2819&lt;=2800),VLOOKUP(AF2819,TNCalibEq2500!$AZ$2:$BB$56,3,),IF(AND(I2819="TDN",S2819&lt;=2800),VLOOKUP(AF2819,TNCalibEq2500!$AZ$2:$BB$56,3,)))</f>
        <v>0</v>
      </c>
      <c r="AU2819" s="10" t="str">
        <f>IF(I2819="TP",VLOOKUP(AF2819,TPCalibEqFull!$AZ$2:$BB$56,3),IF(I2819="TDP",VLOOKUP(AF2819,TPCalibEqFull!$AZ$2:$BB$56,3),IF(I2819="TDN",VLOOKUP(AF2819,TNCalibEqFull!$AZ$1:$BB$56,3),IF(I2819="TN",VLOOKUP(AF2819,TNCalibEqFull!$AZ$1:$BB$56,3),FALSE))))</f>
        <v>y=0.1051x2+65.423x-19.469</v>
      </c>
      <c r="AV2819" s="10" t="str">
        <f t="shared" si="324"/>
        <v>0208 10:30:40-EMB-0-800-1-SW-SPK</v>
      </c>
    </row>
    <row r="2820" spans="1:48" s="10" customFormat="1" x14ac:dyDescent="0.55000000000000004">
      <c r="A2820" s="32">
        <v>44966</v>
      </c>
      <c r="B2820" s="33">
        <v>0.375</v>
      </c>
      <c r="C2820" s="10" t="s">
        <v>70</v>
      </c>
      <c r="D2820" s="10" t="s">
        <v>71</v>
      </c>
      <c r="E2820" s="10" t="s">
        <v>901</v>
      </c>
      <c r="F2820" s="10">
        <v>1</v>
      </c>
      <c r="G2820" s="10" t="s">
        <v>73</v>
      </c>
      <c r="H2820" s="10" t="s">
        <v>207</v>
      </c>
      <c r="I2820" s="10" t="s">
        <v>83</v>
      </c>
      <c r="J2820" s="10">
        <v>201</v>
      </c>
      <c r="K2820" s="12">
        <v>44966</v>
      </c>
      <c r="L2820" s="33">
        <v>0.61113425925925924</v>
      </c>
      <c r="M2820" s="10">
        <v>1</v>
      </c>
      <c r="N2820" s="10" t="s">
        <v>84</v>
      </c>
      <c r="O2820" s="10">
        <v>8.1</v>
      </c>
      <c r="P2820" s="10">
        <v>0.58299999999999996</v>
      </c>
      <c r="Q2820" s="10">
        <v>517</v>
      </c>
      <c r="R2820" s="10" t="s">
        <v>85</v>
      </c>
      <c r="S2820" s="34">
        <f t="shared" si="321"/>
        <v>517.35291099999995</v>
      </c>
      <c r="T2820" s="10" t="s">
        <v>1201</v>
      </c>
      <c r="U2820" s="34">
        <f t="shared" si="322"/>
        <v>103.47058219999998</v>
      </c>
      <c r="V2820" s="31">
        <f>IF(H2820="CHK",VLOOKUP(I2820,QCCHK,3,),IF(H2820="GUP",VLOOKUP(E2820,QCGUP,2,),IF(AND(H2820="ATP",OR(I2820="TN",I2820="TDN",I2820="TNO2-3",I2820="NO2-3")),VLOOKUP(E2820,QCREC_N,2,),IF(AND(H2820="NIC",OR(I2820="TN",I2820="TDN",I2820="TNO2-3",I2820="NO2-3")),VLOOKUP(E2820,QCNIC_N,2,),IF(AND(H2820="UREA",OR(I2820="TN",I2820="TDN",I2820="TNO2-3",I2820="NO2-3")),VLOOKUP(E2820,QCUREA_N,2,),IF(H2820="PER",VLOOKUP(I2820,QCPER,MATCH(E2820,QCACTUAL!$J$25:$AA$25,0),),IF(H2820="SPK",VLOOKUP(I2820,QCSPK,3,),IF(AND(H2820="ATP",OR(I2820="TP",I2820="TDP")),VLOOKUP(E2820,QCATP_P,2,),""))))))))</f>
        <v>500</v>
      </c>
      <c r="W2820" s="31" t="str">
        <f t="shared" si="323"/>
        <v>TRUE</v>
      </c>
      <c r="X2820" s="31" t="str">
        <f t="shared" si="320"/>
        <v>[chk]/[actual]*100</v>
      </c>
      <c r="Y2820" s="10" t="s">
        <v>1188</v>
      </c>
      <c r="AF2820" s="12">
        <v>44966</v>
      </c>
      <c r="AK2820" s="10">
        <f>0.1051*8.1^2+65.423*8.1-19.469</f>
        <v>517.35291099999995</v>
      </c>
      <c r="AL2820" s="10" t="str">
        <f t="shared" si="318"/>
        <v>FALSE</v>
      </c>
      <c r="AM2820" s="10" t="str">
        <f t="shared" si="318"/>
        <v>FALSE</v>
      </c>
      <c r="AN2820" s="10" t="str">
        <f t="shared" si="318"/>
        <v>FALSE</v>
      </c>
      <c r="AO2820" s="10" t="str">
        <f t="shared" si="319"/>
        <v>FALSE</v>
      </c>
      <c r="AP2820" s="10" t="str">
        <f t="shared" si="319"/>
        <v>y=0.1051*8.1^2+65.423*8.1-19.469</v>
      </c>
      <c r="AQ2820" s="10" t="b">
        <f>IF(AND(I2820="TP",S2820&lt;=150),VLOOKUP(AF2820,TPCalibEq150!$AZ$2:$BB$55,3,),IF(AND(I2820="TDP",S2820&lt;=150),VLOOKUP(AF2820,TPCalibEq150!$AZ$2:$BB$55,3,)))</f>
        <v>0</v>
      </c>
      <c r="AR2820" s="10" t="b">
        <f>IF(AND(I2820="TP",S2820&lt;=300),VLOOKUP(AF2820,TPCalibEq300!$AZ$2:$BB$55,3,),IF(AND(I2820="TDP",S2820&lt;=300),VLOOKUP(AF2820,TPCalibEq300!$AZ$2:$BB$55,3,)))</f>
        <v>0</v>
      </c>
      <c r="AS2820" s="10" t="b">
        <f>IF(AND(I2820="TP",S2820&lt;=500),VLOOKUP(AF2820,TPCalibEq500!$AZ$2:$BB$56,3,),IF(AND(I2820="TDP",S2820&lt;=500),VLOOKUP(AF2820,TPCalibEq500!$AZ$2:$BB$56,3,)))</f>
        <v>0</v>
      </c>
      <c r="AT2820" s="10" t="b">
        <f>IF(AND(I2820="TN",S2820&lt;=2800),VLOOKUP(AF2820,TNCalibEq2500!$AZ$2:$BB$56,3,),IF(AND(I2820="TDN",S2820&lt;=2800),VLOOKUP(AF2820,TNCalibEq2500!$AZ$2:$BB$56,3,)))</f>
        <v>0</v>
      </c>
      <c r="AU2820" s="10" t="str">
        <f>IF(I2820="TP",VLOOKUP(AF2820,TPCalibEqFull!$AZ$2:$BB$56,3),IF(I2820="TDP",VLOOKUP(AF2820,TPCalibEqFull!$AZ$2:$BB$56,3),IF(I2820="TDN",VLOOKUP(AF2820,TNCalibEqFull!$AZ$1:$BB$56,3),IF(I2820="TN",VLOOKUP(AF2820,TNCalibEqFull!$AZ$1:$BB$56,3),FALSE))))</f>
        <v>y=0.1051x2+65.423x-19.469</v>
      </c>
      <c r="AV2820" s="10" t="str">
        <f t="shared" si="324"/>
        <v>0209 09:00:00-QAC-STD-D-1-DI-CHK</v>
      </c>
    </row>
    <row r="2821" spans="1:48" s="10" customFormat="1" x14ac:dyDescent="0.55000000000000004">
      <c r="A2821" s="32">
        <v>44965</v>
      </c>
      <c r="B2821" s="33">
        <v>0.44027777777777777</v>
      </c>
      <c r="C2821" s="10" t="s">
        <v>646</v>
      </c>
      <c r="D2821" s="10">
        <v>5</v>
      </c>
      <c r="E2821" s="10">
        <v>800</v>
      </c>
      <c r="F2821" s="10">
        <v>1</v>
      </c>
      <c r="G2821" s="10" t="s">
        <v>231</v>
      </c>
      <c r="H2821" s="10" t="s">
        <v>322</v>
      </c>
      <c r="I2821" s="10" t="s">
        <v>83</v>
      </c>
      <c r="J2821" s="10">
        <v>40</v>
      </c>
      <c r="K2821" s="12">
        <v>44966</v>
      </c>
      <c r="L2821" s="33">
        <v>0.61181712962962964</v>
      </c>
      <c r="M2821" s="10">
        <v>1</v>
      </c>
      <c r="N2821" s="10" t="s">
        <v>84</v>
      </c>
      <c r="O2821" s="10">
        <v>3.64</v>
      </c>
      <c r="P2821" s="10">
        <v>0.25900000000000001</v>
      </c>
      <c r="Q2821" s="10">
        <v>221</v>
      </c>
      <c r="R2821" s="10" t="s">
        <v>85</v>
      </c>
      <c r="S2821" s="34">
        <f t="shared" si="321"/>
        <v>242.96957632000004</v>
      </c>
      <c r="T2821" s="10" t="s">
        <v>1201</v>
      </c>
      <c r="U2821" s="34" t="str">
        <f t="shared" si="322"/>
        <v/>
      </c>
      <c r="V2821" s="31" t="str">
        <f>IF(H2821="CHK",VLOOKUP(I2821,QCCHK,3,),IF(H2821="GUP",VLOOKUP(E2821,QCGUP,2,),IF(AND(H2821="ATP",OR(I2821="TN",I2821="TDN",I2821="TNO2-3",I2821="NO2-3")),VLOOKUP(E2821,QCREC_N,2,),IF(AND(H2821="NIC",OR(I2821="TN",I2821="TDN",I2821="TNO2-3",I2821="NO2-3")),VLOOKUP(E2821,QCNIC_N,2,),IF(AND(H2821="UREA",OR(I2821="TN",I2821="TDN",I2821="TNO2-3",I2821="NO2-3")),VLOOKUP(E2821,QCUREA_N,2,),IF(H2821="PER",VLOOKUP(I2821,QCPER,MATCH(E2821,QCACTUAL!$J$25:$AA$25,0),),IF(H2821="SPK",VLOOKUP(I2821,QCSPK,3,),IF(AND(H2821="ATP",OR(I2821="TP",I2821="TDP")),VLOOKUP(E2821,QCATP_P,2,),""))))))))</f>
        <v/>
      </c>
      <c r="W2821" s="31" t="str">
        <f t="shared" si="323"/>
        <v>TRUE</v>
      </c>
      <c r="X2821" s="31" t="str">
        <f t="shared" si="320"/>
        <v/>
      </c>
      <c r="Y2821" s="10" t="s">
        <v>1188</v>
      </c>
      <c r="AF2821" s="12">
        <v>44966</v>
      </c>
      <c r="AH2821" s="10">
        <f>-2.9408*3.64^2+89.45*3.64-43.664</f>
        <v>242.96957632000004</v>
      </c>
      <c r="AI2821" s="10">
        <f>-1.7314*3.64^2+83.401*3.64-37.87</f>
        <v>242.76928255999997</v>
      </c>
      <c r="AK2821" s="10">
        <f>0.1051*3.64^2+65.423*3.64-19.469</f>
        <v>220.06325296000003</v>
      </c>
      <c r="AL2821" s="10" t="str">
        <f t="shared" si="318"/>
        <v>FALSE</v>
      </c>
      <c r="AM2821" s="10" t="str">
        <f t="shared" si="318"/>
        <v>y=-2.9408*3.64^2+89.45*3.64-43.664</v>
      </c>
      <c r="AN2821" s="10" t="str">
        <f t="shared" si="318"/>
        <v>y=-1.7314*3.64^2+83.401*3.64-37.87</v>
      </c>
      <c r="AO2821" s="10" t="str">
        <f t="shared" si="319"/>
        <v>FALSE</v>
      </c>
      <c r="AP2821" s="10" t="str">
        <f t="shared" si="319"/>
        <v>y=0.1051*3.64^2+65.423*3.64-19.469</v>
      </c>
      <c r="AQ2821" s="10" t="b">
        <f>IF(AND(I2821="TP",S2821&lt;=150),VLOOKUP(AF2821,TPCalibEq150!$AZ$2:$BB$55,3,),IF(AND(I2821="TDP",S2821&lt;=150),VLOOKUP(AF2821,TPCalibEq150!$AZ$2:$BB$55,3,)))</f>
        <v>0</v>
      </c>
      <c r="AR2821" s="10" t="str">
        <f>IF(AND(I2821="TP",S2821&lt;=300),VLOOKUP(AF2821,TPCalibEq300!$AZ$2:$BB$55,3,),IF(AND(I2821="TDP",S2821&lt;=300),VLOOKUP(AF2821,TPCalibEq300!$AZ$2:$BB$55,3,)))</f>
        <v>y=-2.9408x2+89.45x-43.664</v>
      </c>
      <c r="AS2821" s="10" t="str">
        <f>IF(AND(I2821="TP",S2821&lt;=500),VLOOKUP(AF2821,TPCalibEq500!$AZ$2:$BB$56,3,),IF(AND(I2821="TDP",S2821&lt;=500),VLOOKUP(AF2821,TPCalibEq500!$AZ$2:$BB$56,3,)))</f>
        <v>y=-1.7314x2+83.401x-37.87</v>
      </c>
      <c r="AT2821" s="10" t="b">
        <f>IF(AND(I2821="TN",S2821&lt;=2800),VLOOKUP(AF2821,TNCalibEq2500!$AZ$2:$BB$56,3,),IF(AND(I2821="TDN",S2821&lt;=2800),VLOOKUP(AF2821,TNCalibEq2500!$AZ$2:$BB$56,3,)))</f>
        <v>0</v>
      </c>
      <c r="AU2821" s="10" t="str">
        <f>IF(I2821="TP",VLOOKUP(AF2821,TPCalibEqFull!$AZ$2:$BB$56,3),IF(I2821="TDP",VLOOKUP(AF2821,TPCalibEqFull!$AZ$2:$BB$56,3),IF(I2821="TDN",VLOOKUP(AF2821,TNCalibEqFull!$AZ$1:$BB$56,3),IF(I2821="TN",VLOOKUP(AF2821,TNCalibEqFull!$AZ$1:$BB$56,3),FALSE))))</f>
        <v>y=0.1051x2+65.423x-19.469</v>
      </c>
      <c r="AV2821" s="10" t="str">
        <f t="shared" si="324"/>
        <v>0208 10:34:00-EMB-5-800-1-SW-UKN</v>
      </c>
    </row>
    <row r="2822" spans="1:48" s="10" customFormat="1" x14ac:dyDescent="0.55000000000000004">
      <c r="A2822" s="32">
        <v>44965</v>
      </c>
      <c r="B2822" s="33">
        <v>0.44259259259259259</v>
      </c>
      <c r="C2822" s="10" t="s">
        <v>646</v>
      </c>
      <c r="D2822" s="10">
        <v>10</v>
      </c>
      <c r="E2822" s="10">
        <v>800</v>
      </c>
      <c r="F2822" s="10">
        <v>1</v>
      </c>
      <c r="G2822" s="10" t="s">
        <v>231</v>
      </c>
      <c r="H2822" s="10" t="s">
        <v>322</v>
      </c>
      <c r="I2822" s="10" t="s">
        <v>83</v>
      </c>
      <c r="J2822" s="10">
        <v>41</v>
      </c>
      <c r="K2822" s="12">
        <v>44966</v>
      </c>
      <c r="L2822" s="33">
        <v>0.61251157407407408</v>
      </c>
      <c r="M2822" s="10">
        <v>1</v>
      </c>
      <c r="N2822" s="10" t="s">
        <v>84</v>
      </c>
      <c r="O2822" s="10">
        <v>2.38</v>
      </c>
      <c r="P2822" s="10">
        <v>0.16800000000000001</v>
      </c>
      <c r="Q2822" s="10">
        <v>138</v>
      </c>
      <c r="R2822" s="10" t="s">
        <v>85</v>
      </c>
      <c r="S2822" s="34">
        <f t="shared" si="321"/>
        <v>152.56913248000001</v>
      </c>
      <c r="T2822" s="10" t="s">
        <v>1201</v>
      </c>
      <c r="U2822" s="34" t="str">
        <f t="shared" si="322"/>
        <v/>
      </c>
      <c r="V2822" s="31" t="str">
        <f>IF(H2822="CHK",VLOOKUP(I2822,QCCHK,3,),IF(H2822="GUP",VLOOKUP(E2822,QCGUP,2,),IF(AND(H2822="ATP",OR(I2822="TN",I2822="TDN",I2822="TNO2-3",I2822="NO2-3")),VLOOKUP(E2822,QCREC_N,2,),IF(AND(H2822="NIC",OR(I2822="TN",I2822="TDN",I2822="TNO2-3",I2822="NO2-3")),VLOOKUP(E2822,QCNIC_N,2,),IF(AND(H2822="UREA",OR(I2822="TN",I2822="TDN",I2822="TNO2-3",I2822="NO2-3")),VLOOKUP(E2822,QCUREA_N,2,),IF(H2822="PER",VLOOKUP(I2822,QCPER,MATCH(E2822,QCACTUAL!$J$25:$AA$25,0),),IF(H2822="SPK",VLOOKUP(I2822,QCSPK,3,),IF(AND(H2822="ATP",OR(I2822="TP",I2822="TDP")),VLOOKUP(E2822,QCATP_P,2,),""))))))))</f>
        <v/>
      </c>
      <c r="W2822" s="31" t="str">
        <f t="shared" si="323"/>
        <v>TRUE</v>
      </c>
      <c r="X2822" s="31" t="str">
        <f t="shared" si="320"/>
        <v/>
      </c>
      <c r="Y2822" s="10" t="s">
        <v>1188</v>
      </c>
      <c r="AF2822" s="12">
        <v>44966</v>
      </c>
      <c r="AG2822" s="10">
        <f>-11.204*2.38^2+113.68*2.38-55.283</f>
        <v>151.81146239999998</v>
      </c>
      <c r="AH2822" s="10">
        <f>-2.9408*2.38^2+89.45*2.38-43.664</f>
        <v>152.56913248000001</v>
      </c>
      <c r="AI2822" s="10">
        <f>-1.7314*2.38^2+83.401*2.38-37.87</f>
        <v>150.81703783999998</v>
      </c>
      <c r="AK2822" s="10">
        <f>0.1051*2.38^2+65.423*2.38-19.469</f>
        <v>136.83306844000001</v>
      </c>
      <c r="AL2822" s="10" t="str">
        <f t="shared" si="318"/>
        <v>FALSE</v>
      </c>
      <c r="AM2822" s="10" t="str">
        <f t="shared" si="318"/>
        <v>y=-2.9408*2.38^2+89.45*2.38-43.664</v>
      </c>
      <c r="AN2822" s="10" t="str">
        <f t="shared" si="318"/>
        <v>y=-1.7314*2.38^2+83.401*2.38-37.87</v>
      </c>
      <c r="AO2822" s="10" t="str">
        <f t="shared" si="319"/>
        <v>FALSE</v>
      </c>
      <c r="AP2822" s="10" t="str">
        <f t="shared" si="319"/>
        <v>y=0.1051*2.38^2+65.423*2.38-19.469</v>
      </c>
      <c r="AQ2822" s="10" t="b">
        <f>IF(AND(I2822="TP",S2822&lt;=150),VLOOKUP(AF2822,TPCalibEq150!$AZ$2:$BB$55,3,),IF(AND(I2822="TDP",S2822&lt;=150),VLOOKUP(AF2822,TPCalibEq150!$AZ$2:$BB$55,3,)))</f>
        <v>0</v>
      </c>
      <c r="AR2822" s="10" t="str">
        <f>IF(AND(I2822="TP",S2822&lt;=300),VLOOKUP(AF2822,TPCalibEq300!$AZ$2:$BB$55,3,),IF(AND(I2822="TDP",S2822&lt;=300),VLOOKUP(AF2822,TPCalibEq300!$AZ$2:$BB$55,3,)))</f>
        <v>y=-2.9408x2+89.45x-43.664</v>
      </c>
      <c r="AS2822" s="10" t="str">
        <f>IF(AND(I2822="TP",S2822&lt;=500),VLOOKUP(AF2822,TPCalibEq500!$AZ$2:$BB$56,3,),IF(AND(I2822="TDP",S2822&lt;=500),VLOOKUP(AF2822,TPCalibEq500!$AZ$2:$BB$56,3,)))</f>
        <v>y=-1.7314x2+83.401x-37.87</v>
      </c>
      <c r="AT2822" s="10" t="b">
        <f>IF(AND(I2822="TN",S2822&lt;=2800),VLOOKUP(AF2822,TNCalibEq2500!$AZ$2:$BB$56,3,),IF(AND(I2822="TDN",S2822&lt;=2800),VLOOKUP(AF2822,TNCalibEq2500!$AZ$2:$BB$56,3,)))</f>
        <v>0</v>
      </c>
      <c r="AU2822" s="10" t="str">
        <f>IF(I2822="TP",VLOOKUP(AF2822,TPCalibEqFull!$AZ$2:$BB$56,3),IF(I2822="TDP",VLOOKUP(AF2822,TPCalibEqFull!$AZ$2:$BB$56,3),IF(I2822="TDN",VLOOKUP(AF2822,TNCalibEqFull!$AZ$1:$BB$56,3),IF(I2822="TN",VLOOKUP(AF2822,TNCalibEqFull!$AZ$1:$BB$56,3),FALSE))))</f>
        <v>y=0.1051x2+65.423x-19.469</v>
      </c>
      <c r="AV2822" s="10" t="str">
        <f t="shared" si="324"/>
        <v>0208 10:37:20-EMB-10-800-1-SW-UKN</v>
      </c>
    </row>
    <row r="2823" spans="1:48" s="10" customFormat="1" x14ac:dyDescent="0.55000000000000004">
      <c r="A2823" s="32">
        <v>44965</v>
      </c>
      <c r="B2823" s="33">
        <v>0.44490740740740736</v>
      </c>
      <c r="C2823" s="10" t="s">
        <v>646</v>
      </c>
      <c r="D2823" s="10">
        <v>20</v>
      </c>
      <c r="E2823" s="10" t="s">
        <v>190</v>
      </c>
      <c r="F2823" s="10">
        <v>1</v>
      </c>
      <c r="G2823" s="10" t="s">
        <v>231</v>
      </c>
      <c r="H2823" s="10" t="s">
        <v>322</v>
      </c>
      <c r="I2823" s="10" t="s">
        <v>83</v>
      </c>
      <c r="J2823" s="10">
        <v>42</v>
      </c>
      <c r="K2823" s="12">
        <v>44966</v>
      </c>
      <c r="L2823" s="33">
        <v>0.61320601851851853</v>
      </c>
      <c r="M2823" s="10">
        <v>1</v>
      </c>
      <c r="N2823" s="10" t="s">
        <v>84</v>
      </c>
      <c r="O2823" s="10">
        <v>3.1</v>
      </c>
      <c r="P2823" s="10">
        <v>0.22</v>
      </c>
      <c r="Q2823" s="10">
        <v>185</v>
      </c>
      <c r="R2823" s="10" t="s">
        <v>85</v>
      </c>
      <c r="S2823" s="34">
        <f t="shared" si="321"/>
        <v>205.369912</v>
      </c>
      <c r="T2823" s="10" t="s">
        <v>1201</v>
      </c>
      <c r="U2823" s="34" t="str">
        <f t="shared" si="322"/>
        <v/>
      </c>
      <c r="V2823" s="31" t="str">
        <f>IF(H2823="CHK",VLOOKUP(I2823,QCCHK,3,),IF(H2823="GUP",VLOOKUP(E2823,QCGUP,2,),IF(AND(H2823="ATP",OR(I2823="TN",I2823="TDN",I2823="TNO2-3",I2823="NO2-3")),VLOOKUP(E2823,QCREC_N,2,),IF(AND(H2823="NIC",OR(I2823="TN",I2823="TDN",I2823="TNO2-3",I2823="NO2-3")),VLOOKUP(E2823,QCNIC_N,2,),IF(AND(H2823="UREA",OR(I2823="TN",I2823="TDN",I2823="TNO2-3",I2823="NO2-3")),VLOOKUP(E2823,QCUREA_N,2,),IF(H2823="PER",VLOOKUP(I2823,QCPER,MATCH(E2823,QCACTUAL!$J$25:$AA$25,0),),IF(H2823="SPK",VLOOKUP(I2823,QCSPK,3,),IF(AND(H2823="ATP",OR(I2823="TP",I2823="TDP")),VLOOKUP(E2823,QCATP_P,2,),""))))))))</f>
        <v/>
      </c>
      <c r="W2823" s="31" t="str">
        <f t="shared" si="323"/>
        <v>TRUE</v>
      </c>
      <c r="X2823" s="31" t="str">
        <f t="shared" si="320"/>
        <v/>
      </c>
      <c r="Y2823" s="10" t="s">
        <v>1188</v>
      </c>
      <c r="AF2823" s="12">
        <v>44966</v>
      </c>
      <c r="AH2823" s="10">
        <f>-2.9408*3.1^2+89.45*3.1-43.664</f>
        <v>205.369912</v>
      </c>
      <c r="AI2823" s="10">
        <f>-1.7314*3.1^2+83.401*3.1-37.87</f>
        <v>204.03434599999997</v>
      </c>
      <c r="AK2823" s="10">
        <f>0.1051*3.1^2+65.423*3.1-19.469</f>
        <v>184.35231100000001</v>
      </c>
      <c r="AL2823" s="10" t="str">
        <f t="shared" si="318"/>
        <v>FALSE</v>
      </c>
      <c r="AM2823" s="10" t="str">
        <f t="shared" si="318"/>
        <v>y=-2.9408*3.1^2+89.45*3.1-43.664</v>
      </c>
      <c r="AN2823" s="10" t="str">
        <f t="shared" si="318"/>
        <v>y=-1.7314*3.1^2+83.401*3.1-37.87</v>
      </c>
      <c r="AO2823" s="10" t="str">
        <f t="shared" si="319"/>
        <v>FALSE</v>
      </c>
      <c r="AP2823" s="10" t="str">
        <f t="shared" si="319"/>
        <v>y=0.1051*3.1^2+65.423*3.1-19.469</v>
      </c>
      <c r="AQ2823" s="10" t="b">
        <f>IF(AND(I2823="TP",S2823&lt;=150),VLOOKUP(AF2823,TPCalibEq150!$AZ$2:$BB$55,3,),IF(AND(I2823="TDP",S2823&lt;=150),VLOOKUP(AF2823,TPCalibEq150!$AZ$2:$BB$55,3,)))</f>
        <v>0</v>
      </c>
      <c r="AR2823" s="10" t="str">
        <f>IF(AND(I2823="TP",S2823&lt;=300),VLOOKUP(AF2823,TPCalibEq300!$AZ$2:$BB$55,3,),IF(AND(I2823="TDP",S2823&lt;=300),VLOOKUP(AF2823,TPCalibEq300!$AZ$2:$BB$55,3,)))</f>
        <v>y=-2.9408x2+89.45x-43.664</v>
      </c>
      <c r="AS2823" s="10" t="str">
        <f>IF(AND(I2823="TP",S2823&lt;=500),VLOOKUP(AF2823,TPCalibEq500!$AZ$2:$BB$56,3,),IF(AND(I2823="TDP",S2823&lt;=500),VLOOKUP(AF2823,TPCalibEq500!$AZ$2:$BB$56,3,)))</f>
        <v>y=-1.7314x2+83.401x-37.87</v>
      </c>
      <c r="AT2823" s="10" t="b">
        <f>IF(AND(I2823="TN",S2823&lt;=2800),VLOOKUP(AF2823,TNCalibEq2500!$AZ$2:$BB$56,3,),IF(AND(I2823="TDN",S2823&lt;=2800),VLOOKUP(AF2823,TNCalibEq2500!$AZ$2:$BB$56,3,)))</f>
        <v>0</v>
      </c>
      <c r="AU2823" s="10" t="str">
        <f>IF(I2823="TP",VLOOKUP(AF2823,TPCalibEqFull!$AZ$2:$BB$56,3),IF(I2823="TDP",VLOOKUP(AF2823,TPCalibEqFull!$AZ$2:$BB$56,3),IF(I2823="TDN",VLOOKUP(AF2823,TNCalibEqFull!$AZ$1:$BB$56,3),IF(I2823="TN",VLOOKUP(AF2823,TNCalibEqFull!$AZ$1:$BB$56,3),FALSE))))</f>
        <v>y=0.1051x2+65.423x-19.469</v>
      </c>
      <c r="AV2823" s="10" t="str">
        <f t="shared" si="324"/>
        <v>0208 10:40:40-EMB-20-C-1-SW-UKN</v>
      </c>
    </row>
    <row r="2824" spans="1:48" s="10" customFormat="1" x14ac:dyDescent="0.55000000000000004">
      <c r="A2824" s="32">
        <v>44965</v>
      </c>
      <c r="B2824" s="33">
        <v>0.44780092592592591</v>
      </c>
      <c r="C2824" s="10" t="s">
        <v>646</v>
      </c>
      <c r="D2824" s="10">
        <v>69</v>
      </c>
      <c r="E2824" s="10" t="s">
        <v>190</v>
      </c>
      <c r="F2824" s="10">
        <v>1</v>
      </c>
      <c r="G2824" s="10" t="s">
        <v>231</v>
      </c>
      <c r="H2824" s="10" t="s">
        <v>322</v>
      </c>
      <c r="I2824" s="10" t="s">
        <v>83</v>
      </c>
      <c r="J2824" s="10">
        <v>43</v>
      </c>
      <c r="K2824" s="12">
        <v>44966</v>
      </c>
      <c r="L2824" s="33">
        <v>0.61388888888888882</v>
      </c>
      <c r="M2824" s="10">
        <v>1</v>
      </c>
      <c r="N2824" s="10" t="s">
        <v>84</v>
      </c>
      <c r="O2824" s="10">
        <v>3.83</v>
      </c>
      <c r="P2824" s="10">
        <v>0.27400000000000002</v>
      </c>
      <c r="Q2824" s="10">
        <v>233</v>
      </c>
      <c r="R2824" s="10" t="s">
        <v>85</v>
      </c>
      <c r="S2824" s="34">
        <f t="shared" si="321"/>
        <v>256.15809654000003</v>
      </c>
      <c r="T2824" s="10" t="s">
        <v>1201</v>
      </c>
      <c r="U2824" s="34" t="str">
        <f t="shared" si="322"/>
        <v/>
      </c>
      <c r="V2824" s="31" t="str">
        <f>IF(H2824="CHK",VLOOKUP(I2824,QCCHK,3,),IF(H2824="GUP",VLOOKUP(E2824,QCGUP,2,),IF(AND(H2824="ATP",OR(I2824="TN",I2824="TDN",I2824="TNO2-3",I2824="NO2-3")),VLOOKUP(E2824,QCREC_N,2,),IF(AND(H2824="NIC",OR(I2824="TN",I2824="TDN",I2824="TNO2-3",I2824="NO2-3")),VLOOKUP(E2824,QCNIC_N,2,),IF(AND(H2824="UREA",OR(I2824="TN",I2824="TDN",I2824="TNO2-3",I2824="NO2-3")),VLOOKUP(E2824,QCUREA_N,2,),IF(H2824="PER",VLOOKUP(I2824,QCPER,MATCH(E2824,QCACTUAL!$J$25:$AA$25,0),),IF(H2824="SPK",VLOOKUP(I2824,QCSPK,3,),IF(AND(H2824="ATP",OR(I2824="TP",I2824="TDP")),VLOOKUP(E2824,QCATP_P,2,),""))))))))</f>
        <v/>
      </c>
      <c r="W2824" s="31" t="str">
        <f t="shared" si="323"/>
        <v>TRUE</v>
      </c>
      <c r="X2824" s="31" t="str">
        <f t="shared" si="320"/>
        <v/>
      </c>
      <c r="Y2824" s="10" t="s">
        <v>1188</v>
      </c>
      <c r="AF2824" s="12">
        <v>44966</v>
      </c>
      <c r="AH2824" s="10">
        <f>-2.9408*3.83^2+89.45*3.83-43.664</f>
        <v>255.79119888000002</v>
      </c>
      <c r="AI2824" s="10">
        <f>-1.7314*3.83^2+83.401*3.83-37.87</f>
        <v>256.15809654000003</v>
      </c>
      <c r="AK2824" s="10">
        <f>0.1051*3.83^2+65.423*3.83-19.469</f>
        <v>232.64279139000001</v>
      </c>
      <c r="AL2824" s="10" t="str">
        <f t="shared" si="318"/>
        <v>FALSE</v>
      </c>
      <c r="AM2824" s="10" t="str">
        <f t="shared" si="318"/>
        <v>y=-2.9408*3.83^2+89.45*3.83-43.664</v>
      </c>
      <c r="AN2824" s="10" t="str">
        <f t="shared" si="318"/>
        <v>y=-1.7314*3.83^2+83.401*3.83-37.87</v>
      </c>
      <c r="AO2824" s="10" t="str">
        <f t="shared" si="319"/>
        <v>FALSE</v>
      </c>
      <c r="AP2824" s="10" t="str">
        <f t="shared" si="319"/>
        <v>y=0.1051*3.83^2+65.423*3.83-19.469</v>
      </c>
      <c r="AQ2824" s="10" t="b">
        <f>IF(AND(I2824="TP",S2824&lt;=150),VLOOKUP(AF2824,TPCalibEq150!$AZ$2:$BB$55,3,),IF(AND(I2824="TDP",S2824&lt;=150),VLOOKUP(AF2824,TPCalibEq150!$AZ$2:$BB$55,3,)))</f>
        <v>0</v>
      </c>
      <c r="AR2824" s="10" t="str">
        <f>IF(AND(I2824="TP",S2824&lt;=300),VLOOKUP(AF2824,TPCalibEq300!$AZ$2:$BB$55,3,),IF(AND(I2824="TDP",S2824&lt;=300),VLOOKUP(AF2824,TPCalibEq300!$AZ$2:$BB$55,3,)))</f>
        <v>y=-2.9408x2+89.45x-43.664</v>
      </c>
      <c r="AS2824" s="10" t="str">
        <f>IF(AND(I2824="TP",S2824&lt;=500),VLOOKUP(AF2824,TPCalibEq500!$AZ$2:$BB$56,3,),IF(AND(I2824="TDP",S2824&lt;=500),VLOOKUP(AF2824,TPCalibEq500!$AZ$2:$BB$56,3,)))</f>
        <v>y=-1.7314x2+83.401x-37.87</v>
      </c>
      <c r="AT2824" s="10" t="b">
        <f>IF(AND(I2824="TN",S2824&lt;=2800),VLOOKUP(AF2824,TNCalibEq2500!$AZ$2:$BB$56,3,),IF(AND(I2824="TDN",S2824&lt;=2800),VLOOKUP(AF2824,TNCalibEq2500!$AZ$2:$BB$56,3,)))</f>
        <v>0</v>
      </c>
      <c r="AU2824" s="10" t="str">
        <f>IF(I2824="TP",VLOOKUP(AF2824,TPCalibEqFull!$AZ$2:$BB$56,3),IF(I2824="TDP",VLOOKUP(AF2824,TPCalibEqFull!$AZ$2:$BB$56,3),IF(I2824="TDN",VLOOKUP(AF2824,TNCalibEqFull!$AZ$1:$BB$56,3),IF(I2824="TN",VLOOKUP(AF2824,TNCalibEqFull!$AZ$1:$BB$56,3),FALSE))))</f>
        <v>y=0.1051x2+65.423x-19.469</v>
      </c>
      <c r="AV2824" s="10" t="str">
        <f t="shared" si="324"/>
        <v>0208 10:44:50-EMB-69-C-1-SW-UKN</v>
      </c>
    </row>
    <row r="2825" spans="1:48" s="10" customFormat="1" x14ac:dyDescent="0.55000000000000004">
      <c r="A2825" s="32">
        <v>44965</v>
      </c>
      <c r="B2825" s="33">
        <v>0.39953703703703702</v>
      </c>
      <c r="C2825" s="10" t="s">
        <v>287</v>
      </c>
      <c r="D2825" s="10">
        <v>0</v>
      </c>
      <c r="E2825" s="10">
        <v>800</v>
      </c>
      <c r="F2825" s="10">
        <v>1</v>
      </c>
      <c r="G2825" s="10" t="s">
        <v>231</v>
      </c>
      <c r="H2825" s="10" t="s">
        <v>322</v>
      </c>
      <c r="I2825" s="10" t="s">
        <v>83</v>
      </c>
      <c r="J2825" s="10">
        <v>44</v>
      </c>
      <c r="K2825" s="12">
        <v>44966</v>
      </c>
      <c r="L2825" s="33">
        <v>0.61458333333333337</v>
      </c>
      <c r="M2825" s="10">
        <v>1</v>
      </c>
      <c r="N2825" s="10" t="s">
        <v>84</v>
      </c>
      <c r="O2825" s="10">
        <v>3.32</v>
      </c>
      <c r="P2825" s="10">
        <v>0.23699999999999999</v>
      </c>
      <c r="Q2825" s="10">
        <v>199</v>
      </c>
      <c r="R2825" s="10" t="s">
        <v>85</v>
      </c>
      <c r="S2825" s="34">
        <f t="shared" si="321"/>
        <v>220.89532608000002</v>
      </c>
      <c r="T2825" s="10" t="s">
        <v>1201</v>
      </c>
      <c r="U2825" s="34" t="str">
        <f t="shared" si="322"/>
        <v/>
      </c>
      <c r="V2825" s="31" t="str">
        <f>IF(H2825="CHK",VLOOKUP(I2825,QCCHK,3,),IF(H2825="GUP",VLOOKUP(E2825,QCGUP,2,),IF(AND(H2825="ATP",OR(I2825="TN",I2825="TDN",I2825="TNO2-3",I2825="NO2-3")),VLOOKUP(E2825,QCREC_N,2,),IF(AND(H2825="NIC",OR(I2825="TN",I2825="TDN",I2825="TNO2-3",I2825="NO2-3")),VLOOKUP(E2825,QCNIC_N,2,),IF(AND(H2825="UREA",OR(I2825="TN",I2825="TDN",I2825="TNO2-3",I2825="NO2-3")),VLOOKUP(E2825,QCUREA_N,2,),IF(H2825="PER",VLOOKUP(I2825,QCPER,MATCH(E2825,QCACTUAL!$J$25:$AA$25,0),),IF(H2825="SPK",VLOOKUP(I2825,QCSPK,3,),IF(AND(H2825="ATP",OR(I2825="TP",I2825="TDP")),VLOOKUP(E2825,QCATP_P,2,),""))))))))</f>
        <v/>
      </c>
      <c r="W2825" s="31" t="str">
        <f t="shared" si="323"/>
        <v>TRUE</v>
      </c>
      <c r="X2825" s="31" t="str">
        <f t="shared" si="320"/>
        <v/>
      </c>
      <c r="Y2825" s="10" t="s">
        <v>1188</v>
      </c>
      <c r="AF2825" s="12">
        <v>44966</v>
      </c>
      <c r="AH2825" s="10">
        <f>-2.9408*3.32^2+89.45*3.32-43.664</f>
        <v>220.89532608000002</v>
      </c>
      <c r="AI2825" s="10">
        <f>-1.7314*3.32^2+83.401*3.32-37.87</f>
        <v>219.93713663999995</v>
      </c>
      <c r="AK2825" s="10">
        <f>0.1051*3.32^2+65.423*3.32-19.469</f>
        <v>198.89381424000001</v>
      </c>
      <c r="AL2825" s="10" t="str">
        <f t="shared" si="318"/>
        <v>FALSE</v>
      </c>
      <c r="AM2825" s="10" t="str">
        <f t="shared" si="318"/>
        <v>y=-2.9408*3.32^2+89.45*3.32-43.664</v>
      </c>
      <c r="AN2825" s="10" t="str">
        <f t="shared" si="318"/>
        <v>y=-1.7314*3.32^2+83.401*3.32-37.87</v>
      </c>
      <c r="AO2825" s="10" t="str">
        <f t="shared" si="319"/>
        <v>FALSE</v>
      </c>
      <c r="AP2825" s="10" t="str">
        <f t="shared" si="319"/>
        <v>y=0.1051*3.32^2+65.423*3.32-19.469</v>
      </c>
      <c r="AQ2825" s="10" t="b">
        <f>IF(AND(I2825="TP",S2825&lt;=150),VLOOKUP(AF2825,TPCalibEq150!$AZ$2:$BB$55,3,),IF(AND(I2825="TDP",S2825&lt;=150),VLOOKUP(AF2825,TPCalibEq150!$AZ$2:$BB$55,3,)))</f>
        <v>0</v>
      </c>
      <c r="AR2825" s="10" t="str">
        <f>IF(AND(I2825="TP",S2825&lt;=300),VLOOKUP(AF2825,TPCalibEq300!$AZ$2:$BB$55,3,),IF(AND(I2825="TDP",S2825&lt;=300),VLOOKUP(AF2825,TPCalibEq300!$AZ$2:$BB$55,3,)))</f>
        <v>y=-2.9408x2+89.45x-43.664</v>
      </c>
      <c r="AS2825" s="10" t="str">
        <f>IF(AND(I2825="TP",S2825&lt;=500),VLOOKUP(AF2825,TPCalibEq500!$AZ$2:$BB$56,3,),IF(AND(I2825="TDP",S2825&lt;=500),VLOOKUP(AF2825,TPCalibEq500!$AZ$2:$BB$56,3,)))</f>
        <v>y=-1.7314x2+83.401x-37.87</v>
      </c>
      <c r="AT2825" s="10" t="b">
        <f>IF(AND(I2825="TN",S2825&lt;=2800),VLOOKUP(AF2825,TNCalibEq2500!$AZ$2:$BB$56,3,),IF(AND(I2825="TDN",S2825&lt;=2800),VLOOKUP(AF2825,TNCalibEq2500!$AZ$2:$BB$56,3,)))</f>
        <v>0</v>
      </c>
      <c r="AU2825" s="10" t="str">
        <f>IF(I2825="TP",VLOOKUP(AF2825,TPCalibEqFull!$AZ$2:$BB$56,3),IF(I2825="TDP",VLOOKUP(AF2825,TPCalibEqFull!$AZ$2:$BB$56,3),IF(I2825="TDN",VLOOKUP(AF2825,TNCalibEqFull!$AZ$1:$BB$56,3),IF(I2825="TN",VLOOKUP(AF2825,TNCalibEqFull!$AZ$1:$BB$56,3),FALSE))))</f>
        <v>y=0.1051x2+65.423x-19.469</v>
      </c>
      <c r="AV2825" s="10" t="str">
        <f t="shared" si="324"/>
        <v>0208 09:35:20-EFL-0-800-1-SW-UKN</v>
      </c>
    </row>
    <row r="2826" spans="1:48" s="10" customFormat="1" x14ac:dyDescent="0.55000000000000004">
      <c r="A2826" s="32">
        <v>44965</v>
      </c>
      <c r="B2826" s="33">
        <v>0.40185185185185185</v>
      </c>
      <c r="C2826" s="10" t="s">
        <v>287</v>
      </c>
      <c r="D2826" s="10">
        <v>5</v>
      </c>
      <c r="E2826" s="10">
        <v>800</v>
      </c>
      <c r="F2826" s="10">
        <v>1</v>
      </c>
      <c r="G2826" s="10" t="s">
        <v>231</v>
      </c>
      <c r="H2826" s="10" t="s">
        <v>322</v>
      </c>
      <c r="I2826" s="10" t="s">
        <v>83</v>
      </c>
      <c r="J2826" s="10">
        <v>45</v>
      </c>
      <c r="K2826" s="12">
        <v>44966</v>
      </c>
      <c r="L2826" s="33">
        <v>0.61526620370370366</v>
      </c>
      <c r="M2826" s="10">
        <v>1</v>
      </c>
      <c r="N2826" s="10" t="s">
        <v>84</v>
      </c>
      <c r="O2826" s="10">
        <v>3.01</v>
      </c>
      <c r="P2826" s="10">
        <v>0.21299999999999999</v>
      </c>
      <c r="Q2826" s="10">
        <v>179</v>
      </c>
      <c r="R2826" s="10" t="s">
        <v>85</v>
      </c>
      <c r="S2826" s="34">
        <f t="shared" si="321"/>
        <v>198.93655792000004</v>
      </c>
      <c r="T2826" s="10" t="s">
        <v>1201</v>
      </c>
      <c r="U2826" s="34" t="str">
        <f t="shared" si="322"/>
        <v/>
      </c>
      <c r="V2826" s="31" t="str">
        <f>IF(H2826="CHK",VLOOKUP(I2826,QCCHK,3,),IF(H2826="GUP",VLOOKUP(E2826,QCGUP,2,),IF(AND(H2826="ATP",OR(I2826="TN",I2826="TDN",I2826="TNO2-3",I2826="NO2-3")),VLOOKUP(E2826,QCREC_N,2,),IF(AND(H2826="NIC",OR(I2826="TN",I2826="TDN",I2826="TNO2-3",I2826="NO2-3")),VLOOKUP(E2826,QCNIC_N,2,),IF(AND(H2826="UREA",OR(I2826="TN",I2826="TDN",I2826="TNO2-3",I2826="NO2-3")),VLOOKUP(E2826,QCUREA_N,2,),IF(H2826="PER",VLOOKUP(I2826,QCPER,MATCH(E2826,QCACTUAL!$J$25:$AA$25,0),),IF(H2826="SPK",VLOOKUP(I2826,QCSPK,3,),IF(AND(H2826="ATP",OR(I2826="TP",I2826="TDP")),VLOOKUP(E2826,QCATP_P,2,),""))))))))</f>
        <v/>
      </c>
      <c r="W2826" s="31" t="str">
        <f t="shared" si="323"/>
        <v>TRUE</v>
      </c>
      <c r="X2826" s="31" t="str">
        <f t="shared" si="320"/>
        <v/>
      </c>
      <c r="Y2826" s="10" t="s">
        <v>1188</v>
      </c>
      <c r="AF2826" s="12">
        <v>44966</v>
      </c>
      <c r="AH2826" s="10">
        <f>-2.9408*3.01^2+89.45*3.01-43.664</f>
        <v>198.93655792000004</v>
      </c>
      <c r="AI2826" s="10">
        <f>-1.7314*3.01^2+83.401*3.01-37.87</f>
        <v>197.48035285999998</v>
      </c>
      <c r="AK2826" s="10">
        <f>0.1051*3.01^2+65.423*3.01-19.469</f>
        <v>178.40644650999999</v>
      </c>
      <c r="AL2826" s="10" t="str">
        <f t="shared" si="318"/>
        <v>FALSE</v>
      </c>
      <c r="AM2826" s="10" t="str">
        <f t="shared" si="318"/>
        <v>y=-2.9408*3.01^2+89.45*3.01-43.664</v>
      </c>
      <c r="AN2826" s="10" t="str">
        <f t="shared" si="318"/>
        <v>y=-1.7314*3.01^2+83.401*3.01-37.87</v>
      </c>
      <c r="AO2826" s="10" t="str">
        <f t="shared" si="319"/>
        <v>FALSE</v>
      </c>
      <c r="AP2826" s="10" t="str">
        <f t="shared" si="319"/>
        <v>y=0.1051*3.01^2+65.423*3.01-19.469</v>
      </c>
      <c r="AQ2826" s="10" t="b">
        <f>IF(AND(I2826="TP",S2826&lt;=150),VLOOKUP(AF2826,TPCalibEq150!$AZ$2:$BB$55,3,),IF(AND(I2826="TDP",S2826&lt;=150),VLOOKUP(AF2826,TPCalibEq150!$AZ$2:$BB$55,3,)))</f>
        <v>0</v>
      </c>
      <c r="AR2826" s="10" t="str">
        <f>IF(AND(I2826="TP",S2826&lt;=300),VLOOKUP(AF2826,TPCalibEq300!$AZ$2:$BB$55,3,),IF(AND(I2826="TDP",S2826&lt;=300),VLOOKUP(AF2826,TPCalibEq300!$AZ$2:$BB$55,3,)))</f>
        <v>y=-2.9408x2+89.45x-43.664</v>
      </c>
      <c r="AS2826" s="10" t="str">
        <f>IF(AND(I2826="TP",S2826&lt;=500),VLOOKUP(AF2826,TPCalibEq500!$AZ$2:$BB$56,3,),IF(AND(I2826="TDP",S2826&lt;=500),VLOOKUP(AF2826,TPCalibEq500!$AZ$2:$BB$56,3,)))</f>
        <v>y=-1.7314x2+83.401x-37.87</v>
      </c>
      <c r="AT2826" s="10" t="b">
        <f>IF(AND(I2826="TN",S2826&lt;=2800),VLOOKUP(AF2826,TNCalibEq2500!$AZ$2:$BB$56,3,),IF(AND(I2826="TDN",S2826&lt;=2800),VLOOKUP(AF2826,TNCalibEq2500!$AZ$2:$BB$56,3,)))</f>
        <v>0</v>
      </c>
      <c r="AU2826" s="10" t="str">
        <f>IF(I2826="TP",VLOOKUP(AF2826,TPCalibEqFull!$AZ$2:$BB$56,3),IF(I2826="TDP",VLOOKUP(AF2826,TPCalibEqFull!$AZ$2:$BB$56,3),IF(I2826="TDN",VLOOKUP(AF2826,TNCalibEqFull!$AZ$1:$BB$56,3),IF(I2826="TN",VLOOKUP(AF2826,TNCalibEqFull!$AZ$1:$BB$56,3),FALSE))))</f>
        <v>y=0.1051x2+65.423x-19.469</v>
      </c>
      <c r="AV2826" s="10" t="str">
        <f t="shared" si="324"/>
        <v>0208 09:38:40-EFL-5-800-1-SW-UKN</v>
      </c>
    </row>
    <row r="2827" spans="1:48" s="10" customFormat="1" x14ac:dyDescent="0.55000000000000004">
      <c r="A2827" s="32">
        <v>44965</v>
      </c>
      <c r="B2827" s="33">
        <v>0.40416666666666662</v>
      </c>
      <c r="C2827" s="10" t="s">
        <v>287</v>
      </c>
      <c r="D2827" s="10">
        <v>10</v>
      </c>
      <c r="E2827" s="10">
        <v>800</v>
      </c>
      <c r="F2827" s="10">
        <v>1</v>
      </c>
      <c r="G2827" s="10" t="s">
        <v>231</v>
      </c>
      <c r="H2827" s="10" t="s">
        <v>322</v>
      </c>
      <c r="I2827" s="10" t="s">
        <v>83</v>
      </c>
      <c r="J2827" s="10">
        <v>46</v>
      </c>
      <c r="K2827" s="12">
        <v>44966</v>
      </c>
      <c r="L2827" s="33">
        <v>0.61597222222222225</v>
      </c>
      <c r="M2827" s="10">
        <v>1</v>
      </c>
      <c r="N2827" s="10" t="s">
        <v>84</v>
      </c>
      <c r="O2827" s="10">
        <v>3.7</v>
      </c>
      <c r="P2827" s="10">
        <v>0.26300000000000001</v>
      </c>
      <c r="Q2827" s="10">
        <v>224</v>
      </c>
      <c r="R2827" s="10" t="s">
        <v>85</v>
      </c>
      <c r="S2827" s="34">
        <f t="shared" si="321"/>
        <v>247.04144800000006</v>
      </c>
      <c r="T2827" s="10" t="s">
        <v>1201</v>
      </c>
      <c r="U2827" s="34" t="str">
        <f t="shared" si="322"/>
        <v/>
      </c>
      <c r="V2827" s="31" t="str">
        <f>IF(H2827="CHK",VLOOKUP(I2827,QCCHK,3,),IF(H2827="GUP",VLOOKUP(E2827,QCGUP,2,),IF(AND(H2827="ATP",OR(I2827="TN",I2827="TDN",I2827="TNO2-3",I2827="NO2-3")),VLOOKUP(E2827,QCREC_N,2,),IF(AND(H2827="NIC",OR(I2827="TN",I2827="TDN",I2827="TNO2-3",I2827="NO2-3")),VLOOKUP(E2827,QCNIC_N,2,),IF(AND(H2827="UREA",OR(I2827="TN",I2827="TDN",I2827="TNO2-3",I2827="NO2-3")),VLOOKUP(E2827,QCUREA_N,2,),IF(H2827="PER",VLOOKUP(I2827,QCPER,MATCH(E2827,QCACTUAL!$J$25:$AA$25,0),),IF(H2827="SPK",VLOOKUP(I2827,QCSPK,3,),IF(AND(H2827="ATP",OR(I2827="TP",I2827="TDP")),VLOOKUP(E2827,QCATP_P,2,),""))))))))</f>
        <v/>
      </c>
      <c r="W2827" s="31" t="str">
        <f t="shared" si="323"/>
        <v>TRUE</v>
      </c>
      <c r="X2827" s="31" t="str">
        <f t="shared" si="320"/>
        <v/>
      </c>
      <c r="Y2827" s="10" t="s">
        <v>1188</v>
      </c>
      <c r="AF2827" s="12">
        <v>44966</v>
      </c>
      <c r="AH2827" s="10">
        <f>-2.9408*3.7^2+89.45*3.7-43.664</f>
        <v>247.04144800000006</v>
      </c>
      <c r="AI2827" s="10">
        <f>-1.7314*3.7^2+83.401*3.7-37.87</f>
        <v>247.01083399999999</v>
      </c>
      <c r="AK2827" s="10">
        <f>0.1051*3.7^2+65.423*3.7-19.469</f>
        <v>224.03491900000003</v>
      </c>
      <c r="AL2827" s="10" t="str">
        <f t="shared" si="318"/>
        <v>FALSE</v>
      </c>
      <c r="AM2827" s="10" t="str">
        <f t="shared" si="318"/>
        <v>y=-2.9408*3.7^2+89.45*3.7-43.664</v>
      </c>
      <c r="AN2827" s="10" t="str">
        <f t="shared" si="318"/>
        <v>y=-1.7314*3.7^2+83.401*3.7-37.87</v>
      </c>
      <c r="AO2827" s="10" t="str">
        <f t="shared" si="319"/>
        <v>FALSE</v>
      </c>
      <c r="AP2827" s="10" t="str">
        <f t="shared" si="319"/>
        <v>y=0.1051*3.7^2+65.423*3.7-19.469</v>
      </c>
      <c r="AQ2827" s="10" t="b">
        <f>IF(AND(I2827="TP",S2827&lt;=150),VLOOKUP(AF2827,TPCalibEq150!$AZ$2:$BB$55,3,),IF(AND(I2827="TDP",S2827&lt;=150),VLOOKUP(AF2827,TPCalibEq150!$AZ$2:$BB$55,3,)))</f>
        <v>0</v>
      </c>
      <c r="AR2827" s="10" t="str">
        <f>IF(AND(I2827="TP",S2827&lt;=300),VLOOKUP(AF2827,TPCalibEq300!$AZ$2:$BB$55,3,),IF(AND(I2827="TDP",S2827&lt;=300),VLOOKUP(AF2827,TPCalibEq300!$AZ$2:$BB$55,3,)))</f>
        <v>y=-2.9408x2+89.45x-43.664</v>
      </c>
      <c r="AS2827" s="10" t="str">
        <f>IF(AND(I2827="TP",S2827&lt;=500),VLOOKUP(AF2827,TPCalibEq500!$AZ$2:$BB$56,3,),IF(AND(I2827="TDP",S2827&lt;=500),VLOOKUP(AF2827,TPCalibEq500!$AZ$2:$BB$56,3,)))</f>
        <v>y=-1.7314x2+83.401x-37.87</v>
      </c>
      <c r="AT2827" s="10" t="b">
        <f>IF(AND(I2827="TN",S2827&lt;=2800),VLOOKUP(AF2827,TNCalibEq2500!$AZ$2:$BB$56,3,),IF(AND(I2827="TDN",S2827&lt;=2800),VLOOKUP(AF2827,TNCalibEq2500!$AZ$2:$BB$56,3,)))</f>
        <v>0</v>
      </c>
      <c r="AU2827" s="10" t="str">
        <f>IF(I2827="TP",VLOOKUP(AF2827,TPCalibEqFull!$AZ$2:$BB$56,3),IF(I2827="TDP",VLOOKUP(AF2827,TPCalibEqFull!$AZ$2:$BB$56,3),IF(I2827="TDN",VLOOKUP(AF2827,TNCalibEqFull!$AZ$1:$BB$56,3),IF(I2827="TN",VLOOKUP(AF2827,TNCalibEqFull!$AZ$1:$BB$56,3),FALSE))))</f>
        <v>y=0.1051x2+65.423x-19.469</v>
      </c>
      <c r="AV2827" s="10" t="str">
        <f t="shared" si="324"/>
        <v>0208 09:42:00-EFL-10-800-1-SW-UKN</v>
      </c>
    </row>
    <row r="2828" spans="1:48" s="10" customFormat="1" x14ac:dyDescent="0.55000000000000004">
      <c r="A2828" s="32">
        <v>44965</v>
      </c>
      <c r="B2828" s="33">
        <v>0.4069444444444445</v>
      </c>
      <c r="C2828" s="10" t="s">
        <v>287</v>
      </c>
      <c r="D2828" s="10">
        <v>20</v>
      </c>
      <c r="E2828" s="10">
        <v>800</v>
      </c>
      <c r="F2828" s="10">
        <v>1</v>
      </c>
      <c r="G2828" s="10" t="s">
        <v>231</v>
      </c>
      <c r="H2828" s="10" t="s">
        <v>322</v>
      </c>
      <c r="I2828" s="10" t="s">
        <v>83</v>
      </c>
      <c r="J2828" s="10">
        <v>47</v>
      </c>
      <c r="K2828" s="12">
        <v>44966</v>
      </c>
      <c r="L2828" s="33">
        <v>0.6166666666666667</v>
      </c>
      <c r="M2828" s="10">
        <v>1</v>
      </c>
      <c r="N2828" s="10" t="s">
        <v>84</v>
      </c>
      <c r="O2828" s="10">
        <v>2.63</v>
      </c>
      <c r="P2828" s="10">
        <v>0.185</v>
      </c>
      <c r="Q2828" s="10">
        <v>154</v>
      </c>
      <c r="R2828" s="10" t="s">
        <v>85</v>
      </c>
      <c r="S2828" s="34">
        <f t="shared" si="321"/>
        <v>171.24828048000001</v>
      </c>
      <c r="T2828" s="10" t="s">
        <v>1201</v>
      </c>
      <c r="U2828" s="34" t="str">
        <f t="shared" si="322"/>
        <v/>
      </c>
      <c r="V2828" s="31" t="str">
        <f>IF(H2828="CHK",VLOOKUP(I2828,QCCHK,3,),IF(H2828="GUP",VLOOKUP(E2828,QCGUP,2,),IF(AND(H2828="ATP",OR(I2828="TN",I2828="TDN",I2828="TNO2-3",I2828="NO2-3")),VLOOKUP(E2828,QCREC_N,2,),IF(AND(H2828="NIC",OR(I2828="TN",I2828="TDN",I2828="TNO2-3",I2828="NO2-3")),VLOOKUP(E2828,QCNIC_N,2,),IF(AND(H2828="UREA",OR(I2828="TN",I2828="TDN",I2828="TNO2-3",I2828="NO2-3")),VLOOKUP(E2828,QCUREA_N,2,),IF(H2828="PER",VLOOKUP(I2828,QCPER,MATCH(E2828,QCACTUAL!$J$25:$AA$25,0),),IF(H2828="SPK",VLOOKUP(I2828,QCSPK,3,),IF(AND(H2828="ATP",OR(I2828="TP",I2828="TDP")),VLOOKUP(E2828,QCATP_P,2,),""))))))))</f>
        <v/>
      </c>
      <c r="W2828" s="31" t="str">
        <f t="shared" si="323"/>
        <v>TRUE</v>
      </c>
      <c r="X2828" s="31" t="str">
        <f t="shared" si="320"/>
        <v/>
      </c>
      <c r="Y2828" s="10" t="s">
        <v>1188</v>
      </c>
      <c r="AF2828" s="12">
        <v>44966</v>
      </c>
      <c r="AH2828" s="10">
        <f>-2.9408*2.63^2+89.45*2.63-43.664</f>
        <v>171.24828048000001</v>
      </c>
      <c r="AI2828" s="10">
        <f>-1.7314*2.63^2+83.401*2.63-37.87</f>
        <v>169.49870934</v>
      </c>
      <c r="AK2828" s="10">
        <f>0.1051*2.63^2+65.423*2.63-19.469</f>
        <v>153.32045619000002</v>
      </c>
      <c r="AL2828" s="10" t="str">
        <f t="shared" si="318"/>
        <v>FALSE</v>
      </c>
      <c r="AM2828" s="10" t="str">
        <f t="shared" si="318"/>
        <v>y=-2.9408*2.63^2+89.45*2.63-43.664</v>
      </c>
      <c r="AN2828" s="10" t="str">
        <f t="shared" si="318"/>
        <v>y=-1.7314*2.63^2+83.401*2.63-37.87</v>
      </c>
      <c r="AO2828" s="10" t="str">
        <f t="shared" si="319"/>
        <v>FALSE</v>
      </c>
      <c r="AP2828" s="10" t="str">
        <f t="shared" si="319"/>
        <v>y=0.1051*2.63^2+65.423*2.63-19.469</v>
      </c>
      <c r="AQ2828" s="10" t="b">
        <f>IF(AND(I2828="TP",S2828&lt;=150),VLOOKUP(AF2828,TPCalibEq150!$AZ$2:$BB$55,3,),IF(AND(I2828="TDP",S2828&lt;=150),VLOOKUP(AF2828,TPCalibEq150!$AZ$2:$BB$55,3,)))</f>
        <v>0</v>
      </c>
      <c r="AR2828" s="10" t="str">
        <f>IF(AND(I2828="TP",S2828&lt;=300),VLOOKUP(AF2828,TPCalibEq300!$AZ$2:$BB$55,3,),IF(AND(I2828="TDP",S2828&lt;=300),VLOOKUP(AF2828,TPCalibEq300!$AZ$2:$BB$55,3,)))</f>
        <v>y=-2.9408x2+89.45x-43.664</v>
      </c>
      <c r="AS2828" s="10" t="str">
        <f>IF(AND(I2828="TP",S2828&lt;=500),VLOOKUP(AF2828,TPCalibEq500!$AZ$2:$BB$56,3,),IF(AND(I2828="TDP",S2828&lt;=500),VLOOKUP(AF2828,TPCalibEq500!$AZ$2:$BB$56,3,)))</f>
        <v>y=-1.7314x2+83.401x-37.87</v>
      </c>
      <c r="AT2828" s="10" t="b">
        <f>IF(AND(I2828="TN",S2828&lt;=2800),VLOOKUP(AF2828,TNCalibEq2500!$AZ$2:$BB$56,3,),IF(AND(I2828="TDN",S2828&lt;=2800),VLOOKUP(AF2828,TNCalibEq2500!$AZ$2:$BB$56,3,)))</f>
        <v>0</v>
      </c>
      <c r="AU2828" s="10" t="str">
        <f>IF(I2828="TP",VLOOKUP(AF2828,TPCalibEqFull!$AZ$2:$BB$56,3),IF(I2828="TDP",VLOOKUP(AF2828,TPCalibEqFull!$AZ$2:$BB$56,3),IF(I2828="TDN",VLOOKUP(AF2828,TNCalibEqFull!$AZ$1:$BB$56,3),IF(I2828="TN",VLOOKUP(AF2828,TNCalibEqFull!$AZ$1:$BB$56,3),FALSE))))</f>
        <v>y=0.1051x2+65.423x-19.469</v>
      </c>
      <c r="AV2828" s="10" t="str">
        <f t="shared" si="324"/>
        <v>0208 09:46:00-EFL-20-800-1-SW-UKN</v>
      </c>
    </row>
    <row r="2829" spans="1:48" s="10" customFormat="1" x14ac:dyDescent="0.55000000000000004">
      <c r="A2829" s="32">
        <v>44965</v>
      </c>
      <c r="B2829" s="33">
        <v>0.4069444444444445</v>
      </c>
      <c r="C2829" s="10" t="s">
        <v>287</v>
      </c>
      <c r="D2829" s="10">
        <v>20</v>
      </c>
      <c r="E2829" s="10">
        <v>800</v>
      </c>
      <c r="F2829" s="10">
        <v>2</v>
      </c>
      <c r="G2829" s="10" t="s">
        <v>231</v>
      </c>
      <c r="H2829" s="10" t="s">
        <v>322</v>
      </c>
      <c r="I2829" s="10" t="s">
        <v>83</v>
      </c>
      <c r="J2829" s="10">
        <v>48</v>
      </c>
      <c r="K2829" s="12">
        <v>44966</v>
      </c>
      <c r="L2829" s="33">
        <v>0.61737268518518518</v>
      </c>
      <c r="M2829" s="10">
        <v>1</v>
      </c>
      <c r="N2829" s="10" t="s">
        <v>84</v>
      </c>
      <c r="O2829" s="10">
        <v>4.6900000000000004</v>
      </c>
      <c r="P2829" s="10">
        <v>0.33600000000000002</v>
      </c>
      <c r="Q2829" s="10">
        <v>290</v>
      </c>
      <c r="R2829" s="10" t="s">
        <v>85</v>
      </c>
      <c r="S2829" s="34">
        <f t="shared" si="321"/>
        <v>315.19664245999996</v>
      </c>
      <c r="T2829" s="10" t="s">
        <v>1201</v>
      </c>
      <c r="U2829" s="34" t="str">
        <f t="shared" si="322"/>
        <v/>
      </c>
      <c r="V2829" s="31" t="str">
        <f>IF(H2829="CHK",VLOOKUP(I2829,QCCHK,3,),IF(H2829="GUP",VLOOKUP(E2829,QCGUP,2,),IF(AND(H2829="ATP",OR(I2829="TN",I2829="TDN",I2829="TNO2-3",I2829="NO2-3")),VLOOKUP(E2829,QCREC_N,2,),IF(AND(H2829="NIC",OR(I2829="TN",I2829="TDN",I2829="TNO2-3",I2829="NO2-3")),VLOOKUP(E2829,QCNIC_N,2,),IF(AND(H2829="UREA",OR(I2829="TN",I2829="TDN",I2829="TNO2-3",I2829="NO2-3")),VLOOKUP(E2829,QCUREA_N,2,),IF(H2829="PER",VLOOKUP(I2829,QCPER,MATCH(E2829,QCACTUAL!$J$25:$AA$25,0),),IF(H2829="SPK",VLOOKUP(I2829,QCSPK,3,),IF(AND(H2829="ATP",OR(I2829="TP",I2829="TDP")),VLOOKUP(E2829,QCATP_P,2,),""))))))))</f>
        <v/>
      </c>
      <c r="W2829" s="31" t="str">
        <f t="shared" si="323"/>
        <v>TRUE</v>
      </c>
      <c r="X2829" s="31" t="str">
        <f t="shared" si="320"/>
        <v/>
      </c>
      <c r="Y2829" s="10" t="s">
        <v>1188</v>
      </c>
      <c r="AF2829" s="12">
        <v>44966</v>
      </c>
      <c r="AH2829" s="10">
        <f>-2.9408*4.69^2+89.45*4.69-43.664</f>
        <v>311.17036912000003</v>
      </c>
      <c r="AI2829" s="10">
        <f>-1.7314*4.69^2+83.401*4.69-37.87</f>
        <v>315.19664245999996</v>
      </c>
      <c r="AK2829" s="10">
        <f>0.1051*4.69^2+65.423*4.69-19.469</f>
        <v>289.67666011000006</v>
      </c>
      <c r="AL2829" s="10" t="str">
        <f t="shared" si="318"/>
        <v>FALSE</v>
      </c>
      <c r="AM2829" s="10" t="str">
        <f t="shared" si="318"/>
        <v>FALSE</v>
      </c>
      <c r="AN2829" s="10" t="str">
        <f t="shared" si="318"/>
        <v>y=-1.7314*4.69^2+83.401*4.69-37.87</v>
      </c>
      <c r="AO2829" s="10" t="str">
        <f t="shared" si="319"/>
        <v>FALSE</v>
      </c>
      <c r="AP2829" s="10" t="str">
        <f t="shared" si="319"/>
        <v>y=0.1051*4.69^2+65.423*4.69-19.469</v>
      </c>
      <c r="AQ2829" s="10" t="b">
        <f>IF(AND(I2829="TP",S2829&lt;=150),VLOOKUP(AF2829,TPCalibEq150!$AZ$2:$BB$55,3,),IF(AND(I2829="TDP",S2829&lt;=150),VLOOKUP(AF2829,TPCalibEq150!$AZ$2:$BB$55,3,)))</f>
        <v>0</v>
      </c>
      <c r="AR2829" s="10" t="b">
        <f>IF(AND(I2829="TP",S2829&lt;=300),VLOOKUP(AF2829,TPCalibEq300!$AZ$2:$BB$55,3,),IF(AND(I2829="TDP",S2829&lt;=300),VLOOKUP(AF2829,TPCalibEq300!$AZ$2:$BB$55,3,)))</f>
        <v>0</v>
      </c>
      <c r="AS2829" s="10" t="str">
        <f>IF(AND(I2829="TP",S2829&lt;=500),VLOOKUP(AF2829,TPCalibEq500!$AZ$2:$BB$56,3,),IF(AND(I2829="TDP",S2829&lt;=500),VLOOKUP(AF2829,TPCalibEq500!$AZ$2:$BB$56,3,)))</f>
        <v>y=-1.7314x2+83.401x-37.87</v>
      </c>
      <c r="AT2829" s="10" t="b">
        <f>IF(AND(I2829="TN",S2829&lt;=2800),VLOOKUP(AF2829,TNCalibEq2500!$AZ$2:$BB$56,3,),IF(AND(I2829="TDN",S2829&lt;=2800),VLOOKUP(AF2829,TNCalibEq2500!$AZ$2:$BB$56,3,)))</f>
        <v>0</v>
      </c>
      <c r="AU2829" s="10" t="str">
        <f>IF(I2829="TP",VLOOKUP(AF2829,TPCalibEqFull!$AZ$2:$BB$56,3),IF(I2829="TDP",VLOOKUP(AF2829,TPCalibEqFull!$AZ$2:$BB$56,3),IF(I2829="TDN",VLOOKUP(AF2829,TNCalibEqFull!$AZ$1:$BB$56,3),IF(I2829="TN",VLOOKUP(AF2829,TNCalibEqFull!$AZ$1:$BB$56,3),FALSE))))</f>
        <v>y=0.1051x2+65.423x-19.469</v>
      </c>
      <c r="AV2829" s="10" t="str">
        <f t="shared" si="324"/>
        <v>0208 09:46:00-EFL-20-800-2-SW-UKN</v>
      </c>
    </row>
    <row r="2830" spans="1:48" s="10" customFormat="1" x14ac:dyDescent="0.55000000000000004">
      <c r="A2830" s="32">
        <v>44965</v>
      </c>
      <c r="B2830" s="33">
        <v>0.41111111111111115</v>
      </c>
      <c r="C2830" s="10" t="s">
        <v>287</v>
      </c>
      <c r="D2830" s="10">
        <v>48</v>
      </c>
      <c r="E2830" s="10" t="s">
        <v>190</v>
      </c>
      <c r="F2830" s="10">
        <v>1</v>
      </c>
      <c r="G2830" s="10" t="s">
        <v>231</v>
      </c>
      <c r="H2830" s="10" t="s">
        <v>322</v>
      </c>
      <c r="I2830" s="10" t="s">
        <v>83</v>
      </c>
      <c r="J2830" s="10">
        <v>49</v>
      </c>
      <c r="K2830" s="12">
        <v>44966</v>
      </c>
      <c r="L2830" s="33">
        <v>0.61806712962962962</v>
      </c>
      <c r="M2830" s="10">
        <v>1</v>
      </c>
      <c r="N2830" s="10" t="s">
        <v>84</v>
      </c>
      <c r="O2830" s="10">
        <v>3.83</v>
      </c>
      <c r="P2830" s="10">
        <v>0.27300000000000002</v>
      </c>
      <c r="Q2830" s="10">
        <v>233</v>
      </c>
      <c r="R2830" s="10" t="s">
        <v>85</v>
      </c>
      <c r="S2830" s="34">
        <f t="shared" si="321"/>
        <v>256.15809654000003</v>
      </c>
      <c r="T2830" s="10" t="s">
        <v>1201</v>
      </c>
      <c r="U2830" s="34" t="str">
        <f t="shared" si="322"/>
        <v/>
      </c>
      <c r="V2830" s="31" t="str">
        <f>IF(H2830="CHK",VLOOKUP(I2830,QCCHK,3,),IF(H2830="GUP",VLOOKUP(E2830,QCGUP,2,),IF(AND(H2830="ATP",OR(I2830="TN",I2830="TDN",I2830="TNO2-3",I2830="NO2-3")),VLOOKUP(E2830,QCREC_N,2,),IF(AND(H2830="NIC",OR(I2830="TN",I2830="TDN",I2830="TNO2-3",I2830="NO2-3")),VLOOKUP(E2830,QCNIC_N,2,),IF(AND(H2830="UREA",OR(I2830="TN",I2830="TDN",I2830="TNO2-3",I2830="NO2-3")),VLOOKUP(E2830,QCUREA_N,2,),IF(H2830="PER",VLOOKUP(I2830,QCPER,MATCH(E2830,QCACTUAL!$J$25:$AA$25,0),),IF(H2830="SPK",VLOOKUP(I2830,QCSPK,3,),IF(AND(H2830="ATP",OR(I2830="TP",I2830="TDP")),VLOOKUP(E2830,QCATP_P,2,),""))))))))</f>
        <v/>
      </c>
      <c r="W2830" s="31" t="str">
        <f t="shared" si="323"/>
        <v>TRUE</v>
      </c>
      <c r="X2830" s="31" t="str">
        <f t="shared" si="320"/>
        <v/>
      </c>
      <c r="Y2830" s="10" t="s">
        <v>1188</v>
      </c>
      <c r="AF2830" s="12">
        <v>44966</v>
      </c>
      <c r="AH2830" s="10">
        <f>-2.9408*3.83^2+89.45*3.83-43.664</f>
        <v>255.79119888000002</v>
      </c>
      <c r="AI2830" s="10">
        <f>-1.7314*3.83^2+83.401*3.83-37.87</f>
        <v>256.15809654000003</v>
      </c>
      <c r="AK2830" s="10">
        <f>0.1051*3.83^2+65.423*3.83-19.469</f>
        <v>232.64279139000001</v>
      </c>
      <c r="AL2830" s="10" t="str">
        <f t="shared" si="318"/>
        <v>FALSE</v>
      </c>
      <c r="AM2830" s="10" t="str">
        <f t="shared" si="318"/>
        <v>y=-2.9408*3.83^2+89.45*3.83-43.664</v>
      </c>
      <c r="AN2830" s="10" t="str">
        <f t="shared" si="318"/>
        <v>y=-1.7314*3.83^2+83.401*3.83-37.87</v>
      </c>
      <c r="AO2830" s="10" t="str">
        <f t="shared" si="319"/>
        <v>FALSE</v>
      </c>
      <c r="AP2830" s="10" t="str">
        <f t="shared" si="319"/>
        <v>y=0.1051*3.83^2+65.423*3.83-19.469</v>
      </c>
      <c r="AQ2830" s="10" t="b">
        <f>IF(AND(I2830="TP",S2830&lt;=150),VLOOKUP(AF2830,TPCalibEq150!$AZ$2:$BB$55,3,),IF(AND(I2830="TDP",S2830&lt;=150),VLOOKUP(AF2830,TPCalibEq150!$AZ$2:$BB$55,3,)))</f>
        <v>0</v>
      </c>
      <c r="AR2830" s="10" t="str">
        <f>IF(AND(I2830="TP",S2830&lt;=300),VLOOKUP(AF2830,TPCalibEq300!$AZ$2:$BB$55,3,),IF(AND(I2830="TDP",S2830&lt;=300),VLOOKUP(AF2830,TPCalibEq300!$AZ$2:$BB$55,3,)))</f>
        <v>y=-2.9408x2+89.45x-43.664</v>
      </c>
      <c r="AS2830" s="10" t="str">
        <f>IF(AND(I2830="TP",S2830&lt;=500),VLOOKUP(AF2830,TPCalibEq500!$AZ$2:$BB$56,3,),IF(AND(I2830="TDP",S2830&lt;=500),VLOOKUP(AF2830,TPCalibEq500!$AZ$2:$BB$56,3,)))</f>
        <v>y=-1.7314x2+83.401x-37.87</v>
      </c>
      <c r="AT2830" s="10" t="b">
        <f>IF(AND(I2830="TN",S2830&lt;=2800),VLOOKUP(AF2830,TNCalibEq2500!$AZ$2:$BB$56,3,),IF(AND(I2830="TDN",S2830&lt;=2800),VLOOKUP(AF2830,TNCalibEq2500!$AZ$2:$BB$56,3,)))</f>
        <v>0</v>
      </c>
      <c r="AU2830" s="10" t="str">
        <f>IF(I2830="TP",VLOOKUP(AF2830,TPCalibEqFull!$AZ$2:$BB$56,3),IF(I2830="TDP",VLOOKUP(AF2830,TPCalibEqFull!$AZ$2:$BB$56,3),IF(I2830="TDN",VLOOKUP(AF2830,TNCalibEqFull!$AZ$1:$BB$56,3),IF(I2830="TN",VLOOKUP(AF2830,TNCalibEqFull!$AZ$1:$BB$56,3),FALSE))))</f>
        <v>y=0.1051x2+65.423x-19.469</v>
      </c>
      <c r="AV2830" s="10" t="str">
        <f t="shared" si="324"/>
        <v>0208 09:52:00-EFL-48-C-1-SW-UKN</v>
      </c>
    </row>
    <row r="2831" spans="1:48" s="10" customFormat="1" x14ac:dyDescent="0.55000000000000004">
      <c r="A2831" s="32">
        <v>44965</v>
      </c>
      <c r="B2831" s="33">
        <v>0.41111111111111115</v>
      </c>
      <c r="C2831" s="10" t="s">
        <v>287</v>
      </c>
      <c r="D2831" s="10">
        <v>48</v>
      </c>
      <c r="E2831" s="10" t="s">
        <v>190</v>
      </c>
      <c r="F2831" s="10">
        <v>1</v>
      </c>
      <c r="G2831" s="10" t="s">
        <v>231</v>
      </c>
      <c r="H2831" s="10" t="s">
        <v>233</v>
      </c>
      <c r="I2831" s="10" t="s">
        <v>83</v>
      </c>
      <c r="J2831" s="10">
        <v>49</v>
      </c>
      <c r="K2831" s="12">
        <v>44966</v>
      </c>
      <c r="L2831" s="33">
        <v>0.61876157407407406</v>
      </c>
      <c r="M2831" s="10">
        <v>1</v>
      </c>
      <c r="N2831" s="10" t="s">
        <v>84</v>
      </c>
      <c r="O2831" s="10">
        <v>3.83</v>
      </c>
      <c r="P2831" s="10">
        <v>0.27300000000000002</v>
      </c>
      <c r="Q2831" s="10">
        <v>233</v>
      </c>
      <c r="R2831" s="10" t="s">
        <v>85</v>
      </c>
      <c r="S2831" s="34">
        <f t="shared" si="321"/>
        <v>256.15809654000003</v>
      </c>
      <c r="T2831" s="10" t="s">
        <v>1201</v>
      </c>
      <c r="U2831" s="34">
        <f t="shared" si="322"/>
        <v>0</v>
      </c>
      <c r="V2831" s="31" t="str">
        <f>IF(H2831="CHK",VLOOKUP(I2831,QCCHK,3,),IF(H2831="GUP",VLOOKUP(E2831,QCGUP,2,),IF(AND(H2831="ATP",OR(I2831="TN",I2831="TDN",I2831="TNO2-3",I2831="NO2-3")),VLOOKUP(E2831,QCREC_N,2,),IF(AND(H2831="NIC",OR(I2831="TN",I2831="TDN",I2831="TNO2-3",I2831="NO2-3")),VLOOKUP(E2831,QCNIC_N,2,),IF(AND(H2831="UREA",OR(I2831="TN",I2831="TDN",I2831="TNO2-3",I2831="NO2-3")),VLOOKUP(E2831,QCUREA_N,2,),IF(H2831="PER",VLOOKUP(I2831,QCPER,MATCH(E2831,QCACTUAL!$J$25:$AA$25,0),),IF(H2831="SPK",VLOOKUP(I2831,QCSPK,3,),IF(AND(H2831="ATP",OR(I2831="TP",I2831="TDP")),VLOOKUP(E2831,QCATP_P,2,),""))))))))</f>
        <v/>
      </c>
      <c r="W2831" s="31" t="str">
        <f t="shared" si="323"/>
        <v>TRUE</v>
      </c>
      <c r="X2831" s="31" t="str">
        <f t="shared" si="320"/>
        <v>((ABS(rep1-rep2))/((rep1+rep2)/2)*100</v>
      </c>
      <c r="Y2831" s="10" t="s">
        <v>1188</v>
      </c>
      <c r="AF2831" s="12">
        <v>44966</v>
      </c>
      <c r="AH2831" s="10">
        <f>-2.9408*3.83^2+89.45*3.83-43.664</f>
        <v>255.79119888000002</v>
      </c>
      <c r="AI2831" s="10">
        <f>-1.7314*3.83^2+83.401*3.83-37.87</f>
        <v>256.15809654000003</v>
      </c>
      <c r="AK2831" s="10">
        <f>0.1051*3.83^2+65.423*3.83-19.469</f>
        <v>232.64279139000001</v>
      </c>
      <c r="AL2831" s="10" t="str">
        <f t="shared" si="318"/>
        <v>FALSE</v>
      </c>
      <c r="AM2831" s="10" t="str">
        <f t="shared" si="318"/>
        <v>y=-2.9408*3.83^2+89.45*3.83-43.664</v>
      </c>
      <c r="AN2831" s="10" t="str">
        <f t="shared" si="318"/>
        <v>y=-1.7314*3.83^2+83.401*3.83-37.87</v>
      </c>
      <c r="AO2831" s="10" t="str">
        <f t="shared" si="319"/>
        <v>FALSE</v>
      </c>
      <c r="AP2831" s="10" t="str">
        <f t="shared" si="319"/>
        <v>y=0.1051*3.83^2+65.423*3.83-19.469</v>
      </c>
      <c r="AQ2831" s="10" t="b">
        <f>IF(AND(I2831="TP",S2831&lt;=150),VLOOKUP(AF2831,TPCalibEq150!$AZ$2:$BB$55,3,),IF(AND(I2831="TDP",S2831&lt;=150),VLOOKUP(AF2831,TPCalibEq150!$AZ$2:$BB$55,3,)))</f>
        <v>0</v>
      </c>
      <c r="AR2831" s="10" t="str">
        <f>IF(AND(I2831="TP",S2831&lt;=300),VLOOKUP(AF2831,TPCalibEq300!$AZ$2:$BB$55,3,),IF(AND(I2831="TDP",S2831&lt;=300),VLOOKUP(AF2831,TPCalibEq300!$AZ$2:$BB$55,3,)))</f>
        <v>y=-2.9408x2+89.45x-43.664</v>
      </c>
      <c r="AS2831" s="10" t="str">
        <f>IF(AND(I2831="TP",S2831&lt;=500),VLOOKUP(AF2831,TPCalibEq500!$AZ$2:$BB$56,3,),IF(AND(I2831="TDP",S2831&lt;=500),VLOOKUP(AF2831,TPCalibEq500!$AZ$2:$BB$56,3,)))</f>
        <v>y=-1.7314x2+83.401x-37.87</v>
      </c>
      <c r="AT2831" s="10" t="b">
        <f>IF(AND(I2831="TN",S2831&lt;=2800),VLOOKUP(AF2831,TNCalibEq2500!$AZ$2:$BB$56,3,),IF(AND(I2831="TDN",S2831&lt;=2800),VLOOKUP(AF2831,TNCalibEq2500!$AZ$2:$BB$56,3,)))</f>
        <v>0</v>
      </c>
      <c r="AU2831" s="10" t="str">
        <f>IF(I2831="TP",VLOOKUP(AF2831,TPCalibEqFull!$AZ$2:$BB$56,3),IF(I2831="TDP",VLOOKUP(AF2831,TPCalibEqFull!$AZ$2:$BB$56,3),IF(I2831="TDN",VLOOKUP(AF2831,TNCalibEqFull!$AZ$1:$BB$56,3),IF(I2831="TN",VLOOKUP(AF2831,TNCalibEqFull!$AZ$1:$BB$56,3),FALSE))))</f>
        <v>y=0.1051x2+65.423x-19.469</v>
      </c>
      <c r="AV2831" s="10" t="str">
        <f t="shared" si="324"/>
        <v>0208 09:52:00-EFL-48-C-1-SW-DUP</v>
      </c>
    </row>
    <row r="2832" spans="1:48" s="10" customFormat="1" x14ac:dyDescent="0.55000000000000004">
      <c r="A2832" s="32">
        <v>44965</v>
      </c>
      <c r="B2832" s="33">
        <v>0.41111111111111115</v>
      </c>
      <c r="C2832" s="10" t="s">
        <v>287</v>
      </c>
      <c r="D2832" s="10">
        <v>48</v>
      </c>
      <c r="E2832" s="10" t="s">
        <v>190</v>
      </c>
      <c r="F2832" s="10">
        <v>1</v>
      </c>
      <c r="G2832" s="10" t="s">
        <v>231</v>
      </c>
      <c r="H2832" s="10" t="s">
        <v>314</v>
      </c>
      <c r="I2832" s="10" t="s">
        <v>83</v>
      </c>
      <c r="J2832" s="10">
        <v>124</v>
      </c>
      <c r="K2832" s="12">
        <v>44966</v>
      </c>
      <c r="L2832" s="33">
        <v>0.6194560185185185</v>
      </c>
      <c r="M2832" s="10">
        <v>1</v>
      </c>
      <c r="N2832" s="10" t="s">
        <v>84</v>
      </c>
      <c r="O2832" s="10">
        <v>17.7</v>
      </c>
      <c r="P2832" s="10">
        <v>1.25</v>
      </c>
      <c r="Q2832" s="10">
        <v>1170</v>
      </c>
      <c r="R2832" s="10" t="s">
        <v>85</v>
      </c>
      <c r="S2832" s="34">
        <f t="shared" si="321"/>
        <v>1171.4448789999999</v>
      </c>
      <c r="T2832" s="10" t="s">
        <v>1201</v>
      </c>
      <c r="U2832" s="34">
        <f t="shared" si="322"/>
        <v>91.528678245999984</v>
      </c>
      <c r="V2832" s="31">
        <f>IF(H2832="CHK",VLOOKUP(I2832,QCCHK,3,),IF(H2832="GUP",VLOOKUP(E2832,QCGUP,2,),IF(AND(H2832="ATP",OR(I2832="TN",I2832="TDN",I2832="TNO2-3",I2832="NO2-3")),VLOOKUP(E2832,QCREC_N,2,),IF(AND(H2832="NIC",OR(I2832="TN",I2832="TDN",I2832="TNO2-3",I2832="NO2-3")),VLOOKUP(E2832,QCNIC_N,2,),IF(AND(H2832="UREA",OR(I2832="TN",I2832="TDN",I2832="TNO2-3",I2832="NO2-3")),VLOOKUP(E2832,QCUREA_N,2,),IF(H2832="PER",VLOOKUP(I2832,QCPER,MATCH(E2832,QCACTUAL!$J$25:$AA$25,0),),IF(H2832="SPK",VLOOKUP(I2832,QCSPK,3,),IF(AND(H2832="ATP",OR(I2832="TP",I2832="TDP")),VLOOKUP(E2832,QCATP_P,2,),""))))))))</f>
        <v>1000</v>
      </c>
      <c r="W2832" s="31" t="str">
        <f t="shared" si="323"/>
        <v>TRUE</v>
      </c>
      <c r="X2832" s="31" t="str">
        <f t="shared" si="320"/>
        <v>([spikedunkn]-[unkn])/[spike]*100</v>
      </c>
      <c r="Y2832" s="10" t="s">
        <v>1188</v>
      </c>
      <c r="AF2832" s="12">
        <v>44966</v>
      </c>
      <c r="AK2832" s="10">
        <f>0.1051*17.7^2+65.423*17.7-19.469</f>
        <v>1171.4448789999999</v>
      </c>
      <c r="AL2832" s="10" t="str">
        <f t="shared" si="318"/>
        <v>FALSE</v>
      </c>
      <c r="AM2832" s="10" t="str">
        <f t="shared" si="318"/>
        <v>FALSE</v>
      </c>
      <c r="AN2832" s="10" t="str">
        <f t="shared" si="318"/>
        <v>FALSE</v>
      </c>
      <c r="AO2832" s="10" t="str">
        <f t="shared" si="319"/>
        <v>FALSE</v>
      </c>
      <c r="AP2832" s="10" t="str">
        <f t="shared" si="319"/>
        <v>y=0.1051*17.7^2+65.423*17.7-19.469</v>
      </c>
      <c r="AQ2832" s="10" t="b">
        <f>IF(AND(I2832="TP",S2832&lt;=150),VLOOKUP(AF2832,TPCalibEq150!$AZ$2:$BB$55,3,),IF(AND(I2832="TDP",S2832&lt;=150),VLOOKUP(AF2832,TPCalibEq150!$AZ$2:$BB$55,3,)))</f>
        <v>0</v>
      </c>
      <c r="AR2832" s="10" t="b">
        <f>IF(AND(I2832="TP",S2832&lt;=300),VLOOKUP(AF2832,TPCalibEq300!$AZ$2:$BB$55,3,),IF(AND(I2832="TDP",S2832&lt;=300),VLOOKUP(AF2832,TPCalibEq300!$AZ$2:$BB$55,3,)))</f>
        <v>0</v>
      </c>
      <c r="AS2832" s="10" t="b">
        <f>IF(AND(I2832="TP",S2832&lt;=500),VLOOKUP(AF2832,TPCalibEq500!$AZ$2:$BB$56,3,),IF(AND(I2832="TDP",S2832&lt;=500),VLOOKUP(AF2832,TPCalibEq500!$AZ$2:$BB$56,3,)))</f>
        <v>0</v>
      </c>
      <c r="AT2832" s="10" t="b">
        <f>IF(AND(I2832="TN",S2832&lt;=2800),VLOOKUP(AF2832,TNCalibEq2500!$AZ$2:$BB$56,3,),IF(AND(I2832="TDN",S2832&lt;=2800),VLOOKUP(AF2832,TNCalibEq2500!$AZ$2:$BB$56,3,)))</f>
        <v>0</v>
      </c>
      <c r="AU2832" s="10" t="str">
        <f>IF(I2832="TP",VLOOKUP(AF2832,TPCalibEqFull!$AZ$2:$BB$56,3),IF(I2832="TDP",VLOOKUP(AF2832,TPCalibEqFull!$AZ$2:$BB$56,3),IF(I2832="TDN",VLOOKUP(AF2832,TNCalibEqFull!$AZ$1:$BB$56,3),IF(I2832="TN",VLOOKUP(AF2832,TNCalibEqFull!$AZ$1:$BB$56,3),FALSE))))</f>
        <v>y=0.1051x2+65.423x-19.469</v>
      </c>
      <c r="AV2832" s="10" t="str">
        <f t="shared" si="324"/>
        <v>0208 09:52:00-EFL-48-C-1-SW-SPK</v>
      </c>
    </row>
    <row r="2833" spans="1:48" s="10" customFormat="1" x14ac:dyDescent="0.55000000000000004">
      <c r="A2833" s="32">
        <v>44966</v>
      </c>
      <c r="B2833" s="33">
        <v>0.375</v>
      </c>
      <c r="C2833" s="10" t="s">
        <v>70</v>
      </c>
      <c r="D2833" s="10" t="s">
        <v>71</v>
      </c>
      <c r="E2833" s="10" t="s">
        <v>901</v>
      </c>
      <c r="F2833" s="10">
        <v>1</v>
      </c>
      <c r="G2833" s="10" t="s">
        <v>73</v>
      </c>
      <c r="H2833" s="10" t="s">
        <v>207</v>
      </c>
      <c r="I2833" s="10" t="s">
        <v>83</v>
      </c>
      <c r="J2833" s="10">
        <v>202</v>
      </c>
      <c r="K2833" s="12">
        <v>44966</v>
      </c>
      <c r="L2833" s="33">
        <v>0.62015046296296295</v>
      </c>
      <c r="M2833" s="10">
        <v>1</v>
      </c>
      <c r="N2833" s="10" t="s">
        <v>84</v>
      </c>
      <c r="O2833" s="10">
        <v>8.1</v>
      </c>
      <c r="P2833" s="10">
        <v>0.58399999999999996</v>
      </c>
      <c r="Q2833" s="10">
        <v>517</v>
      </c>
      <c r="R2833" s="10" t="s">
        <v>85</v>
      </c>
      <c r="S2833" s="34">
        <f t="shared" si="321"/>
        <v>517.35291099999995</v>
      </c>
      <c r="T2833" s="10" t="s">
        <v>1201</v>
      </c>
      <c r="U2833" s="34">
        <f t="shared" si="322"/>
        <v>103.47058219999998</v>
      </c>
      <c r="V2833" s="31">
        <f>IF(H2833="CHK",VLOOKUP(I2833,QCCHK,3,),IF(H2833="GUP",VLOOKUP(E2833,QCGUP,2,),IF(AND(H2833="ATP",OR(I2833="TN",I2833="TDN",I2833="TNO2-3",I2833="NO2-3")),VLOOKUP(E2833,QCREC_N,2,),IF(AND(H2833="NIC",OR(I2833="TN",I2833="TDN",I2833="TNO2-3",I2833="NO2-3")),VLOOKUP(E2833,QCNIC_N,2,),IF(AND(H2833="UREA",OR(I2833="TN",I2833="TDN",I2833="TNO2-3",I2833="NO2-3")),VLOOKUP(E2833,QCUREA_N,2,),IF(H2833="PER",VLOOKUP(I2833,QCPER,MATCH(E2833,QCACTUAL!$J$25:$AA$25,0),),IF(H2833="SPK",VLOOKUP(I2833,QCSPK,3,),IF(AND(H2833="ATP",OR(I2833="TP",I2833="TDP")),VLOOKUP(E2833,QCATP_P,2,),""))))))))</f>
        <v>500</v>
      </c>
      <c r="W2833" s="31" t="str">
        <f t="shared" si="323"/>
        <v>TRUE</v>
      </c>
      <c r="X2833" s="31" t="str">
        <f t="shared" si="320"/>
        <v>[chk]/[actual]*100</v>
      </c>
      <c r="Y2833" s="10" t="s">
        <v>1188</v>
      </c>
      <c r="AF2833" s="12">
        <v>44966</v>
      </c>
      <c r="AK2833" s="10">
        <f>0.1051*8.1^2+65.423*8.1-19.469</f>
        <v>517.35291099999995</v>
      </c>
      <c r="AL2833" s="10" t="str">
        <f t="shared" si="318"/>
        <v>FALSE</v>
      </c>
      <c r="AM2833" s="10" t="str">
        <f t="shared" si="318"/>
        <v>FALSE</v>
      </c>
      <c r="AN2833" s="10" t="str">
        <f t="shared" si="318"/>
        <v>FALSE</v>
      </c>
      <c r="AO2833" s="10" t="str">
        <f t="shared" si="319"/>
        <v>FALSE</v>
      </c>
      <c r="AP2833" s="10" t="str">
        <f t="shared" si="319"/>
        <v>y=0.1051*8.1^2+65.423*8.1-19.469</v>
      </c>
      <c r="AQ2833" s="10" t="b">
        <f>IF(AND(I2833="TP",S2833&lt;=150),VLOOKUP(AF2833,TPCalibEq150!$AZ$2:$BB$55,3,),IF(AND(I2833="TDP",S2833&lt;=150),VLOOKUP(AF2833,TPCalibEq150!$AZ$2:$BB$55,3,)))</f>
        <v>0</v>
      </c>
      <c r="AR2833" s="10" t="b">
        <f>IF(AND(I2833="TP",S2833&lt;=300),VLOOKUP(AF2833,TPCalibEq300!$AZ$2:$BB$55,3,),IF(AND(I2833="TDP",S2833&lt;=300),VLOOKUP(AF2833,TPCalibEq300!$AZ$2:$BB$55,3,)))</f>
        <v>0</v>
      </c>
      <c r="AS2833" s="10" t="b">
        <f>IF(AND(I2833="TP",S2833&lt;=500),VLOOKUP(AF2833,TPCalibEq500!$AZ$2:$BB$56,3,),IF(AND(I2833="TDP",S2833&lt;=500),VLOOKUP(AF2833,TPCalibEq500!$AZ$2:$BB$56,3,)))</f>
        <v>0</v>
      </c>
      <c r="AT2833" s="10" t="b">
        <f>IF(AND(I2833="TN",S2833&lt;=2800),VLOOKUP(AF2833,TNCalibEq2500!$AZ$2:$BB$56,3,),IF(AND(I2833="TDN",S2833&lt;=2800),VLOOKUP(AF2833,TNCalibEq2500!$AZ$2:$BB$56,3,)))</f>
        <v>0</v>
      </c>
      <c r="AU2833" s="10" t="str">
        <f>IF(I2833="TP",VLOOKUP(AF2833,TPCalibEqFull!$AZ$2:$BB$56,3),IF(I2833="TDP",VLOOKUP(AF2833,TPCalibEqFull!$AZ$2:$BB$56,3),IF(I2833="TDN",VLOOKUP(AF2833,TNCalibEqFull!$AZ$1:$BB$56,3),IF(I2833="TN",VLOOKUP(AF2833,TNCalibEqFull!$AZ$1:$BB$56,3),FALSE))))</f>
        <v>y=0.1051x2+65.423x-19.469</v>
      </c>
      <c r="AV2833" s="10" t="str">
        <f t="shared" si="324"/>
        <v>0209 09:00:00-QAC-STD-D-1-DI-CHK</v>
      </c>
    </row>
    <row r="2834" spans="1:48" s="10" customFormat="1" x14ac:dyDescent="0.55000000000000004">
      <c r="A2834" s="32">
        <v>44965</v>
      </c>
      <c r="B2834" s="33">
        <v>0.37777777777777777</v>
      </c>
      <c r="C2834" s="10" t="s">
        <v>428</v>
      </c>
      <c r="D2834" s="10">
        <v>0</v>
      </c>
      <c r="E2834" s="10">
        <v>800</v>
      </c>
      <c r="F2834" s="10">
        <v>1</v>
      </c>
      <c r="G2834" s="10" t="s">
        <v>231</v>
      </c>
      <c r="H2834" s="10" t="s">
        <v>322</v>
      </c>
      <c r="I2834" s="10" t="s">
        <v>83</v>
      </c>
      <c r="J2834" s="10">
        <v>50</v>
      </c>
      <c r="K2834" s="12">
        <v>44966</v>
      </c>
      <c r="L2834" s="33">
        <v>0.62084490740740739</v>
      </c>
      <c r="M2834" s="10">
        <v>1</v>
      </c>
      <c r="N2834" s="10" t="s">
        <v>84</v>
      </c>
      <c r="O2834" s="10">
        <v>3.82</v>
      </c>
      <c r="P2834" s="10">
        <v>0.27100000000000002</v>
      </c>
      <c r="Q2834" s="10">
        <v>232</v>
      </c>
      <c r="R2834" s="10" t="s">
        <v>85</v>
      </c>
      <c r="S2834" s="34">
        <f t="shared" si="321"/>
        <v>255.45653863999996</v>
      </c>
      <c r="T2834" s="10" t="s">
        <v>1201</v>
      </c>
      <c r="U2834" s="34" t="str">
        <f t="shared" si="322"/>
        <v/>
      </c>
      <c r="V2834" s="31" t="str">
        <f>IF(H2834="CHK",VLOOKUP(I2834,QCCHK,3,),IF(H2834="GUP",VLOOKUP(E2834,QCGUP,2,),IF(AND(H2834="ATP",OR(I2834="TN",I2834="TDN",I2834="TNO2-3",I2834="NO2-3")),VLOOKUP(E2834,QCREC_N,2,),IF(AND(H2834="NIC",OR(I2834="TN",I2834="TDN",I2834="TNO2-3",I2834="NO2-3")),VLOOKUP(E2834,QCNIC_N,2,),IF(AND(H2834="UREA",OR(I2834="TN",I2834="TDN",I2834="TNO2-3",I2834="NO2-3")),VLOOKUP(E2834,QCUREA_N,2,),IF(H2834="PER",VLOOKUP(I2834,QCPER,MATCH(E2834,QCACTUAL!$J$25:$AA$25,0),),IF(H2834="SPK",VLOOKUP(I2834,QCSPK,3,),IF(AND(H2834="ATP",OR(I2834="TP",I2834="TDP")),VLOOKUP(E2834,QCATP_P,2,),""))))))))</f>
        <v/>
      </c>
      <c r="W2834" s="31" t="str">
        <f t="shared" si="323"/>
        <v>TRUE</v>
      </c>
      <c r="X2834" s="31" t="str">
        <f t="shared" si="320"/>
        <v/>
      </c>
      <c r="Y2834" s="10" t="s">
        <v>1188</v>
      </c>
      <c r="AF2834" s="12">
        <v>44966</v>
      </c>
      <c r="AH2834" s="10">
        <f>-2.9408*3.82^2+89.45*3.82-43.664</f>
        <v>255.12167008000006</v>
      </c>
      <c r="AI2834" s="10">
        <f>-1.7314*3.82^2+83.401*3.82-37.87</f>
        <v>255.45653863999996</v>
      </c>
      <c r="AK2834" s="10">
        <f>0.1051*3.82^2+65.423*3.82-19.469</f>
        <v>231.98052124</v>
      </c>
      <c r="AL2834" s="10" t="str">
        <f t="shared" si="318"/>
        <v>FALSE</v>
      </c>
      <c r="AM2834" s="10" t="str">
        <f t="shared" si="318"/>
        <v>y=-2.9408*3.82^2+89.45*3.82-43.664</v>
      </c>
      <c r="AN2834" s="10" t="str">
        <f t="shared" si="318"/>
        <v>y=-1.7314*3.82^2+83.401*3.82-37.87</v>
      </c>
      <c r="AO2834" s="10" t="str">
        <f t="shared" si="319"/>
        <v>FALSE</v>
      </c>
      <c r="AP2834" s="10" t="str">
        <f t="shared" si="319"/>
        <v>y=0.1051*3.82^2+65.423*3.82-19.469</v>
      </c>
      <c r="AQ2834" s="10" t="b">
        <f>IF(AND(I2834="TP",S2834&lt;=150),VLOOKUP(AF2834,TPCalibEq150!$AZ$2:$BB$55,3,),IF(AND(I2834="TDP",S2834&lt;=150),VLOOKUP(AF2834,TPCalibEq150!$AZ$2:$BB$55,3,)))</f>
        <v>0</v>
      </c>
      <c r="AR2834" s="10" t="str">
        <f>IF(AND(I2834="TP",S2834&lt;=300),VLOOKUP(AF2834,TPCalibEq300!$AZ$2:$BB$55,3,),IF(AND(I2834="TDP",S2834&lt;=300),VLOOKUP(AF2834,TPCalibEq300!$AZ$2:$BB$55,3,)))</f>
        <v>y=-2.9408x2+89.45x-43.664</v>
      </c>
      <c r="AS2834" s="10" t="str">
        <f>IF(AND(I2834="TP",S2834&lt;=500),VLOOKUP(AF2834,TPCalibEq500!$AZ$2:$BB$56,3,),IF(AND(I2834="TDP",S2834&lt;=500),VLOOKUP(AF2834,TPCalibEq500!$AZ$2:$BB$56,3,)))</f>
        <v>y=-1.7314x2+83.401x-37.87</v>
      </c>
      <c r="AT2834" s="10" t="b">
        <f>IF(AND(I2834="TN",S2834&lt;=2800),VLOOKUP(AF2834,TNCalibEq2500!$AZ$2:$BB$56,3,),IF(AND(I2834="TDN",S2834&lt;=2800),VLOOKUP(AF2834,TNCalibEq2500!$AZ$2:$BB$56,3,)))</f>
        <v>0</v>
      </c>
      <c r="AU2834" s="10" t="str">
        <f>IF(I2834="TP",VLOOKUP(AF2834,TPCalibEqFull!$AZ$2:$BB$56,3),IF(I2834="TDP",VLOOKUP(AF2834,TPCalibEqFull!$AZ$2:$BB$56,3),IF(I2834="TDN",VLOOKUP(AF2834,TNCalibEqFull!$AZ$1:$BB$56,3),IF(I2834="TN",VLOOKUP(AF2834,TNCalibEqFull!$AZ$1:$BB$56,3),FALSE))))</f>
        <v>y=0.1051x2+65.423x-19.469</v>
      </c>
      <c r="AV2834" s="10" t="str">
        <f t="shared" si="324"/>
        <v>0208 09:04:00-EOF-0-800-1-SW-UKN</v>
      </c>
    </row>
    <row r="2835" spans="1:48" s="10" customFormat="1" x14ac:dyDescent="0.55000000000000004">
      <c r="A2835" s="32">
        <v>44965</v>
      </c>
      <c r="B2835" s="33">
        <v>0.37986111111111115</v>
      </c>
      <c r="C2835" s="10" t="s">
        <v>428</v>
      </c>
      <c r="D2835" s="10">
        <v>5</v>
      </c>
      <c r="E2835" s="10">
        <v>800</v>
      </c>
      <c r="F2835" s="10">
        <v>1</v>
      </c>
      <c r="G2835" s="10" t="s">
        <v>231</v>
      </c>
      <c r="H2835" s="10" t="s">
        <v>322</v>
      </c>
      <c r="I2835" s="10" t="s">
        <v>83</v>
      </c>
      <c r="J2835" s="10">
        <v>51</v>
      </c>
      <c r="K2835" s="12">
        <v>44966</v>
      </c>
      <c r="L2835" s="33">
        <v>0.62153935185185183</v>
      </c>
      <c r="M2835" s="10">
        <v>1</v>
      </c>
      <c r="N2835" s="10" t="s">
        <v>84</v>
      </c>
      <c r="O2835" s="10">
        <v>2.7</v>
      </c>
      <c r="P2835" s="10">
        <v>0.191</v>
      </c>
      <c r="Q2835" s="10">
        <v>159</v>
      </c>
      <c r="R2835" s="10" t="s">
        <v>85</v>
      </c>
      <c r="S2835" s="34">
        <f t="shared" si="321"/>
        <v>176.41256800000002</v>
      </c>
      <c r="T2835" s="10" t="s">
        <v>1201</v>
      </c>
      <c r="U2835" s="34" t="str">
        <f t="shared" si="322"/>
        <v/>
      </c>
      <c r="V2835" s="31" t="str">
        <f>IF(H2835="CHK",VLOOKUP(I2835,QCCHK,3,),IF(H2835="GUP",VLOOKUP(E2835,QCGUP,2,),IF(AND(H2835="ATP",OR(I2835="TN",I2835="TDN",I2835="TNO2-3",I2835="NO2-3")),VLOOKUP(E2835,QCREC_N,2,),IF(AND(H2835="NIC",OR(I2835="TN",I2835="TDN",I2835="TNO2-3",I2835="NO2-3")),VLOOKUP(E2835,QCNIC_N,2,),IF(AND(H2835="UREA",OR(I2835="TN",I2835="TDN",I2835="TNO2-3",I2835="NO2-3")),VLOOKUP(E2835,QCUREA_N,2,),IF(H2835="PER",VLOOKUP(I2835,QCPER,MATCH(E2835,QCACTUAL!$J$25:$AA$25,0),),IF(H2835="SPK",VLOOKUP(I2835,QCSPK,3,),IF(AND(H2835="ATP",OR(I2835="TP",I2835="TDP")),VLOOKUP(E2835,QCATP_P,2,),""))))))))</f>
        <v/>
      </c>
      <c r="W2835" s="31" t="str">
        <f t="shared" si="323"/>
        <v>TRUE</v>
      </c>
      <c r="X2835" s="31" t="str">
        <f t="shared" si="320"/>
        <v/>
      </c>
      <c r="Y2835" s="10" t="s">
        <v>1188</v>
      </c>
      <c r="AF2835" s="12">
        <v>44966</v>
      </c>
      <c r="AH2835" s="10">
        <f>-2.9408*2.7^2+89.45*2.7-43.664</f>
        <v>176.41256800000002</v>
      </c>
      <c r="AI2835" s="10">
        <f>-1.7314*2.7^2+83.401*2.7-37.87</f>
        <v>174.69079400000001</v>
      </c>
      <c r="AK2835" s="10">
        <f>0.1051*2.7^2+65.423*2.7-19.469</f>
        <v>157.93927900000003</v>
      </c>
      <c r="AL2835" s="10" t="str">
        <f t="shared" si="318"/>
        <v>FALSE</v>
      </c>
      <c r="AM2835" s="10" t="str">
        <f t="shared" si="318"/>
        <v>y=-2.9408*2.7^2+89.45*2.7-43.664</v>
      </c>
      <c r="AN2835" s="10" t="str">
        <f t="shared" si="318"/>
        <v>y=-1.7314*2.7^2+83.401*2.7-37.87</v>
      </c>
      <c r="AO2835" s="10" t="str">
        <f t="shared" si="319"/>
        <v>FALSE</v>
      </c>
      <c r="AP2835" s="10" t="str">
        <f t="shared" si="319"/>
        <v>y=0.1051*2.7^2+65.423*2.7-19.469</v>
      </c>
      <c r="AQ2835" s="10" t="b">
        <f>IF(AND(I2835="TP",S2835&lt;=150),VLOOKUP(AF2835,TPCalibEq150!$AZ$2:$BB$55,3,),IF(AND(I2835="TDP",S2835&lt;=150),VLOOKUP(AF2835,TPCalibEq150!$AZ$2:$BB$55,3,)))</f>
        <v>0</v>
      </c>
      <c r="AR2835" s="10" t="str">
        <f>IF(AND(I2835="TP",S2835&lt;=300),VLOOKUP(AF2835,TPCalibEq300!$AZ$2:$BB$55,3,),IF(AND(I2835="TDP",S2835&lt;=300),VLOOKUP(AF2835,TPCalibEq300!$AZ$2:$BB$55,3,)))</f>
        <v>y=-2.9408x2+89.45x-43.664</v>
      </c>
      <c r="AS2835" s="10" t="str">
        <f>IF(AND(I2835="TP",S2835&lt;=500),VLOOKUP(AF2835,TPCalibEq500!$AZ$2:$BB$56,3,),IF(AND(I2835="TDP",S2835&lt;=500),VLOOKUP(AF2835,TPCalibEq500!$AZ$2:$BB$56,3,)))</f>
        <v>y=-1.7314x2+83.401x-37.87</v>
      </c>
      <c r="AT2835" s="10" t="b">
        <f>IF(AND(I2835="TN",S2835&lt;=2800),VLOOKUP(AF2835,TNCalibEq2500!$AZ$2:$BB$56,3,),IF(AND(I2835="TDN",S2835&lt;=2800),VLOOKUP(AF2835,TNCalibEq2500!$AZ$2:$BB$56,3,)))</f>
        <v>0</v>
      </c>
      <c r="AU2835" s="10" t="str">
        <f>IF(I2835="TP",VLOOKUP(AF2835,TPCalibEqFull!$AZ$2:$BB$56,3),IF(I2835="TDP",VLOOKUP(AF2835,TPCalibEqFull!$AZ$2:$BB$56,3),IF(I2835="TDN",VLOOKUP(AF2835,TNCalibEqFull!$AZ$1:$BB$56,3),IF(I2835="TN",VLOOKUP(AF2835,TNCalibEqFull!$AZ$1:$BB$56,3),FALSE))))</f>
        <v>y=0.1051x2+65.423x-19.469</v>
      </c>
      <c r="AV2835" s="10" t="str">
        <f t="shared" si="324"/>
        <v>0208 09:07:00-EOF-5-800-1-SW-UKN</v>
      </c>
    </row>
    <row r="2836" spans="1:48" s="10" customFormat="1" x14ac:dyDescent="0.55000000000000004">
      <c r="A2836" s="32">
        <v>44965</v>
      </c>
      <c r="B2836" s="33">
        <v>0.38263888888888892</v>
      </c>
      <c r="C2836" s="10" t="s">
        <v>428</v>
      </c>
      <c r="D2836" s="10">
        <v>10</v>
      </c>
      <c r="E2836" s="10">
        <v>800</v>
      </c>
      <c r="F2836" s="10">
        <v>1</v>
      </c>
      <c r="G2836" s="10" t="s">
        <v>231</v>
      </c>
      <c r="H2836" s="10" t="s">
        <v>322</v>
      </c>
      <c r="I2836" s="10" t="s">
        <v>83</v>
      </c>
      <c r="J2836" s="10">
        <v>52</v>
      </c>
      <c r="K2836" s="12">
        <v>44966</v>
      </c>
      <c r="L2836" s="33">
        <v>0.62223379629629627</v>
      </c>
      <c r="M2836" s="10">
        <v>1</v>
      </c>
      <c r="N2836" s="10" t="s">
        <v>84</v>
      </c>
      <c r="O2836" s="10">
        <v>2.46</v>
      </c>
      <c r="P2836" s="10">
        <v>0.17299999999999999</v>
      </c>
      <c r="Q2836" s="10">
        <v>143</v>
      </c>
      <c r="R2836" s="10" t="s">
        <v>85</v>
      </c>
      <c r="S2836" s="34">
        <f t="shared" si="321"/>
        <v>158.58645472000001</v>
      </c>
      <c r="T2836" s="10" t="s">
        <v>1201</v>
      </c>
      <c r="U2836" s="34" t="str">
        <f t="shared" si="322"/>
        <v/>
      </c>
      <c r="V2836" s="31" t="str">
        <f>IF(H2836="CHK",VLOOKUP(I2836,QCCHK,3,),IF(H2836="GUP",VLOOKUP(E2836,QCGUP,2,),IF(AND(H2836="ATP",OR(I2836="TN",I2836="TDN",I2836="TNO2-3",I2836="NO2-3")),VLOOKUP(E2836,QCREC_N,2,),IF(AND(H2836="NIC",OR(I2836="TN",I2836="TDN",I2836="TNO2-3",I2836="NO2-3")),VLOOKUP(E2836,QCNIC_N,2,),IF(AND(H2836="UREA",OR(I2836="TN",I2836="TDN",I2836="TNO2-3",I2836="NO2-3")),VLOOKUP(E2836,QCUREA_N,2,),IF(H2836="PER",VLOOKUP(I2836,QCPER,MATCH(E2836,QCACTUAL!$J$25:$AA$25,0),),IF(H2836="SPK",VLOOKUP(I2836,QCSPK,3,),IF(AND(H2836="ATP",OR(I2836="TP",I2836="TDP")),VLOOKUP(E2836,QCATP_P,2,),""))))))))</f>
        <v/>
      </c>
      <c r="W2836" s="31" t="str">
        <f t="shared" si="323"/>
        <v>TRUE</v>
      </c>
      <c r="X2836" s="31" t="str">
        <f t="shared" si="320"/>
        <v/>
      </c>
      <c r="Y2836" s="10" t="s">
        <v>1188</v>
      </c>
      <c r="AF2836" s="12">
        <v>44966</v>
      </c>
      <c r="AG2836" s="10">
        <f>-11.204*2.46^2+113.68*2.46-55.283</f>
        <v>156.56767359999998</v>
      </c>
      <c r="AH2836" s="10">
        <f>-2.9408*2.46^2+89.45*2.46-43.664</f>
        <v>158.58645472000001</v>
      </c>
      <c r="AI2836" s="10">
        <f>-1.7314*2.46^2+83.401*2.46-37.87</f>
        <v>156.81871975999999</v>
      </c>
      <c r="AK2836" s="10">
        <f>0.1051*2.46^2+65.423*2.46-19.469</f>
        <v>142.10760316000002</v>
      </c>
      <c r="AL2836" s="10" t="str">
        <f t="shared" si="318"/>
        <v>FALSE</v>
      </c>
      <c r="AM2836" s="10" t="str">
        <f t="shared" si="318"/>
        <v>y=-2.9408*2.46^2+89.45*2.46-43.664</v>
      </c>
      <c r="AN2836" s="10" t="str">
        <f t="shared" si="318"/>
        <v>y=-1.7314*2.46^2+83.401*2.46-37.87</v>
      </c>
      <c r="AO2836" s="10" t="str">
        <f t="shared" si="319"/>
        <v>FALSE</v>
      </c>
      <c r="AP2836" s="10" t="str">
        <f t="shared" si="319"/>
        <v>y=0.1051*2.46^2+65.423*2.46-19.469</v>
      </c>
      <c r="AQ2836" s="10" t="b">
        <f>IF(AND(I2836="TP",S2836&lt;=150),VLOOKUP(AF2836,TPCalibEq150!$AZ$2:$BB$55,3,),IF(AND(I2836="TDP",S2836&lt;=150),VLOOKUP(AF2836,TPCalibEq150!$AZ$2:$BB$55,3,)))</f>
        <v>0</v>
      </c>
      <c r="AR2836" s="10" t="str">
        <f>IF(AND(I2836="TP",S2836&lt;=300),VLOOKUP(AF2836,TPCalibEq300!$AZ$2:$BB$55,3,),IF(AND(I2836="TDP",S2836&lt;=300),VLOOKUP(AF2836,TPCalibEq300!$AZ$2:$BB$55,3,)))</f>
        <v>y=-2.9408x2+89.45x-43.664</v>
      </c>
      <c r="AS2836" s="10" t="str">
        <f>IF(AND(I2836="TP",S2836&lt;=500),VLOOKUP(AF2836,TPCalibEq500!$AZ$2:$BB$56,3,),IF(AND(I2836="TDP",S2836&lt;=500),VLOOKUP(AF2836,TPCalibEq500!$AZ$2:$BB$56,3,)))</f>
        <v>y=-1.7314x2+83.401x-37.87</v>
      </c>
      <c r="AT2836" s="10" t="b">
        <f>IF(AND(I2836="TN",S2836&lt;=2800),VLOOKUP(AF2836,TNCalibEq2500!$AZ$2:$BB$56,3,),IF(AND(I2836="TDN",S2836&lt;=2800),VLOOKUP(AF2836,TNCalibEq2500!$AZ$2:$BB$56,3,)))</f>
        <v>0</v>
      </c>
      <c r="AU2836" s="10" t="str">
        <f>IF(I2836="TP",VLOOKUP(AF2836,TPCalibEqFull!$AZ$2:$BB$56,3),IF(I2836="TDP",VLOOKUP(AF2836,TPCalibEqFull!$AZ$2:$BB$56,3),IF(I2836="TDN",VLOOKUP(AF2836,TNCalibEqFull!$AZ$1:$BB$56,3),IF(I2836="TN",VLOOKUP(AF2836,TNCalibEqFull!$AZ$1:$BB$56,3),FALSE))))</f>
        <v>y=0.1051x2+65.423x-19.469</v>
      </c>
      <c r="AV2836" s="10" t="str">
        <f t="shared" si="324"/>
        <v>0208 09:11:00-EOF-10-800-1-SW-UKN</v>
      </c>
    </row>
    <row r="2837" spans="1:48" s="10" customFormat="1" x14ac:dyDescent="0.55000000000000004">
      <c r="A2837" s="32">
        <v>44965</v>
      </c>
      <c r="B2837" s="33">
        <v>0.38472222222222219</v>
      </c>
      <c r="C2837" s="10" t="s">
        <v>428</v>
      </c>
      <c r="D2837" s="10">
        <v>20</v>
      </c>
      <c r="E2837" s="10" t="s">
        <v>190</v>
      </c>
      <c r="F2837" s="10">
        <v>1</v>
      </c>
      <c r="G2837" s="10" t="s">
        <v>231</v>
      </c>
      <c r="H2837" s="10" t="s">
        <v>322</v>
      </c>
      <c r="I2837" s="10" t="s">
        <v>83</v>
      </c>
      <c r="J2837" s="10">
        <v>53</v>
      </c>
      <c r="K2837" s="12">
        <v>44966</v>
      </c>
      <c r="L2837" s="33">
        <v>0.62292824074074071</v>
      </c>
      <c r="M2837" s="10">
        <v>1</v>
      </c>
      <c r="N2837" s="10" t="s">
        <v>84</v>
      </c>
      <c r="O2837" s="10">
        <v>3.6</v>
      </c>
      <c r="P2837" s="10">
        <v>0.25600000000000001</v>
      </c>
      <c r="Q2837" s="10">
        <v>218</v>
      </c>
      <c r="R2837" s="10" t="s">
        <v>85</v>
      </c>
      <c r="S2837" s="34">
        <f t="shared" si="321"/>
        <v>240.24323200000003</v>
      </c>
      <c r="T2837" s="10" t="s">
        <v>1201</v>
      </c>
      <c r="U2837" s="34" t="str">
        <f t="shared" si="322"/>
        <v/>
      </c>
      <c r="V2837" s="31" t="str">
        <f>IF(H2837="CHK",VLOOKUP(I2837,QCCHK,3,),IF(H2837="GUP",VLOOKUP(E2837,QCGUP,2,),IF(AND(H2837="ATP",OR(I2837="TN",I2837="TDN",I2837="TNO2-3",I2837="NO2-3")),VLOOKUP(E2837,QCREC_N,2,),IF(AND(H2837="NIC",OR(I2837="TN",I2837="TDN",I2837="TNO2-3",I2837="NO2-3")),VLOOKUP(E2837,QCNIC_N,2,),IF(AND(H2837="UREA",OR(I2837="TN",I2837="TDN",I2837="TNO2-3",I2837="NO2-3")),VLOOKUP(E2837,QCUREA_N,2,),IF(H2837="PER",VLOOKUP(I2837,QCPER,MATCH(E2837,QCACTUAL!$J$25:$AA$25,0),),IF(H2837="SPK",VLOOKUP(I2837,QCSPK,3,),IF(AND(H2837="ATP",OR(I2837="TP",I2837="TDP")),VLOOKUP(E2837,QCATP_P,2,),""))))))))</f>
        <v/>
      </c>
      <c r="W2837" s="31" t="str">
        <f t="shared" si="323"/>
        <v>TRUE</v>
      </c>
      <c r="X2837" s="31" t="str">
        <f t="shared" si="320"/>
        <v/>
      </c>
      <c r="Y2837" s="10" t="s">
        <v>1188</v>
      </c>
      <c r="AF2837" s="12">
        <v>44966</v>
      </c>
      <c r="AH2837" s="10">
        <f>-2.9408*3.6^2+89.45*3.6-43.664</f>
        <v>240.24323200000003</v>
      </c>
      <c r="AI2837" s="10">
        <f>-1.7314*3.6^2+83.401*3.6-37.87</f>
        <v>239.93465600000002</v>
      </c>
      <c r="AK2837" s="10">
        <f>0.1051*3.6^2+65.423*3.6-19.469</f>
        <v>217.41589600000003</v>
      </c>
      <c r="AL2837" s="10" t="str">
        <f t="shared" si="318"/>
        <v>FALSE</v>
      </c>
      <c r="AM2837" s="10" t="str">
        <f t="shared" si="318"/>
        <v>y=-2.9408*3.6^2+89.45*3.6-43.664</v>
      </c>
      <c r="AN2837" s="10" t="str">
        <f t="shared" si="318"/>
        <v>y=-1.7314*3.6^2+83.401*3.6-37.87</v>
      </c>
      <c r="AO2837" s="10" t="str">
        <f t="shared" si="319"/>
        <v>FALSE</v>
      </c>
      <c r="AP2837" s="10" t="str">
        <f t="shared" si="319"/>
        <v>y=0.1051*3.6^2+65.423*3.6-19.469</v>
      </c>
      <c r="AQ2837" s="10" t="b">
        <f>IF(AND(I2837="TP",S2837&lt;=150),VLOOKUP(AF2837,TPCalibEq150!$AZ$2:$BB$55,3,),IF(AND(I2837="TDP",S2837&lt;=150),VLOOKUP(AF2837,TPCalibEq150!$AZ$2:$BB$55,3,)))</f>
        <v>0</v>
      </c>
      <c r="AR2837" s="10" t="str">
        <f>IF(AND(I2837="TP",S2837&lt;=300),VLOOKUP(AF2837,TPCalibEq300!$AZ$2:$BB$55,3,),IF(AND(I2837="TDP",S2837&lt;=300),VLOOKUP(AF2837,TPCalibEq300!$AZ$2:$BB$55,3,)))</f>
        <v>y=-2.9408x2+89.45x-43.664</v>
      </c>
      <c r="AS2837" s="10" t="str">
        <f>IF(AND(I2837="TP",S2837&lt;=500),VLOOKUP(AF2837,TPCalibEq500!$AZ$2:$BB$56,3,),IF(AND(I2837="TDP",S2837&lt;=500),VLOOKUP(AF2837,TPCalibEq500!$AZ$2:$BB$56,3,)))</f>
        <v>y=-1.7314x2+83.401x-37.87</v>
      </c>
      <c r="AT2837" s="10" t="b">
        <f>IF(AND(I2837="TN",S2837&lt;=2800),VLOOKUP(AF2837,TNCalibEq2500!$AZ$2:$BB$56,3,),IF(AND(I2837="TDN",S2837&lt;=2800),VLOOKUP(AF2837,TNCalibEq2500!$AZ$2:$BB$56,3,)))</f>
        <v>0</v>
      </c>
      <c r="AU2837" s="10" t="str">
        <f>IF(I2837="TP",VLOOKUP(AF2837,TPCalibEqFull!$AZ$2:$BB$56,3),IF(I2837="TDP",VLOOKUP(AF2837,TPCalibEqFull!$AZ$2:$BB$56,3),IF(I2837="TDN",VLOOKUP(AF2837,TNCalibEqFull!$AZ$1:$BB$56,3),IF(I2837="TN",VLOOKUP(AF2837,TNCalibEqFull!$AZ$1:$BB$56,3),FALSE))))</f>
        <v>y=0.1051x2+65.423x-19.469</v>
      </c>
      <c r="AV2837" s="10" t="str">
        <f t="shared" si="324"/>
        <v>0208 09:14:00-EOF-20-C-1-SW-UKN</v>
      </c>
    </row>
    <row r="2838" spans="1:48" s="10" customFormat="1" x14ac:dyDescent="0.55000000000000004">
      <c r="A2838" s="32">
        <v>44965</v>
      </c>
      <c r="B2838" s="33">
        <v>0.38877314814814817</v>
      </c>
      <c r="C2838" s="10" t="s">
        <v>428</v>
      </c>
      <c r="D2838" s="10">
        <v>80</v>
      </c>
      <c r="E2838" s="10" t="s">
        <v>190</v>
      </c>
      <c r="F2838" s="10">
        <v>1</v>
      </c>
      <c r="G2838" s="10" t="s">
        <v>231</v>
      </c>
      <c r="H2838" s="10" t="s">
        <v>322</v>
      </c>
      <c r="I2838" s="10" t="s">
        <v>83</v>
      </c>
      <c r="J2838" s="10">
        <v>54</v>
      </c>
      <c r="K2838" s="12">
        <v>44966</v>
      </c>
      <c r="L2838" s="33">
        <v>0.62362268518518515</v>
      </c>
      <c r="M2838" s="10">
        <v>1</v>
      </c>
      <c r="N2838" s="10" t="s">
        <v>84</v>
      </c>
      <c r="O2838" s="10">
        <v>3.64</v>
      </c>
      <c r="P2838" s="10">
        <v>0.25900000000000001</v>
      </c>
      <c r="Q2838" s="10">
        <v>221</v>
      </c>
      <c r="R2838" s="10" t="s">
        <v>85</v>
      </c>
      <c r="S2838" s="34">
        <f t="shared" si="321"/>
        <v>242.96957632000004</v>
      </c>
      <c r="T2838" s="10" t="s">
        <v>1201</v>
      </c>
      <c r="U2838" s="34" t="str">
        <f t="shared" si="322"/>
        <v/>
      </c>
      <c r="V2838" s="31" t="str">
        <f>IF(H2838="CHK",VLOOKUP(I2838,QCCHK,3,),IF(H2838="GUP",VLOOKUP(E2838,QCGUP,2,),IF(AND(H2838="ATP",OR(I2838="TN",I2838="TDN",I2838="TNO2-3",I2838="NO2-3")),VLOOKUP(E2838,QCREC_N,2,),IF(AND(H2838="NIC",OR(I2838="TN",I2838="TDN",I2838="TNO2-3",I2838="NO2-3")),VLOOKUP(E2838,QCNIC_N,2,),IF(AND(H2838="UREA",OR(I2838="TN",I2838="TDN",I2838="TNO2-3",I2838="NO2-3")),VLOOKUP(E2838,QCUREA_N,2,),IF(H2838="PER",VLOOKUP(I2838,QCPER,MATCH(E2838,QCACTUAL!$J$25:$AA$25,0),),IF(H2838="SPK",VLOOKUP(I2838,QCSPK,3,),IF(AND(H2838="ATP",OR(I2838="TP",I2838="TDP")),VLOOKUP(E2838,QCATP_P,2,),""))))))))</f>
        <v/>
      </c>
      <c r="W2838" s="31" t="str">
        <f t="shared" si="323"/>
        <v>TRUE</v>
      </c>
      <c r="X2838" s="31" t="str">
        <f t="shared" si="320"/>
        <v/>
      </c>
      <c r="Y2838" s="10" t="s">
        <v>1188</v>
      </c>
      <c r="AF2838" s="12">
        <v>44966</v>
      </c>
      <c r="AH2838" s="10">
        <f>-2.9408*3.64^2+89.45*3.64-43.664</f>
        <v>242.96957632000004</v>
      </c>
      <c r="AI2838" s="10">
        <f>-1.7314*3.64^2+83.401*3.64-37.87</f>
        <v>242.76928255999997</v>
      </c>
      <c r="AK2838" s="10">
        <f>0.1051*3.64^2+65.423*3.64-19.469</f>
        <v>220.06325296000003</v>
      </c>
      <c r="AL2838" s="10" t="str">
        <f t="shared" si="318"/>
        <v>FALSE</v>
      </c>
      <c r="AM2838" s="10" t="str">
        <f t="shared" si="318"/>
        <v>y=-2.9408*3.64^2+89.45*3.64-43.664</v>
      </c>
      <c r="AN2838" s="10" t="str">
        <f t="shared" si="318"/>
        <v>y=-1.7314*3.64^2+83.401*3.64-37.87</v>
      </c>
      <c r="AO2838" s="10" t="str">
        <f t="shared" si="319"/>
        <v>FALSE</v>
      </c>
      <c r="AP2838" s="10" t="str">
        <f t="shared" si="319"/>
        <v>y=0.1051*3.64^2+65.423*3.64-19.469</v>
      </c>
      <c r="AQ2838" s="10" t="b">
        <f>IF(AND(I2838="TP",S2838&lt;=150),VLOOKUP(AF2838,TPCalibEq150!$AZ$2:$BB$55,3,),IF(AND(I2838="TDP",S2838&lt;=150),VLOOKUP(AF2838,TPCalibEq150!$AZ$2:$BB$55,3,)))</f>
        <v>0</v>
      </c>
      <c r="AR2838" s="10" t="str">
        <f>IF(AND(I2838="TP",S2838&lt;=300),VLOOKUP(AF2838,TPCalibEq300!$AZ$2:$BB$55,3,),IF(AND(I2838="TDP",S2838&lt;=300),VLOOKUP(AF2838,TPCalibEq300!$AZ$2:$BB$55,3,)))</f>
        <v>y=-2.9408x2+89.45x-43.664</v>
      </c>
      <c r="AS2838" s="10" t="str">
        <f>IF(AND(I2838="TP",S2838&lt;=500),VLOOKUP(AF2838,TPCalibEq500!$AZ$2:$BB$56,3,),IF(AND(I2838="TDP",S2838&lt;=500),VLOOKUP(AF2838,TPCalibEq500!$AZ$2:$BB$56,3,)))</f>
        <v>y=-1.7314x2+83.401x-37.87</v>
      </c>
      <c r="AT2838" s="10" t="b">
        <f>IF(AND(I2838="TN",S2838&lt;=2800),VLOOKUP(AF2838,TNCalibEq2500!$AZ$2:$BB$56,3,),IF(AND(I2838="TDN",S2838&lt;=2800),VLOOKUP(AF2838,TNCalibEq2500!$AZ$2:$BB$56,3,)))</f>
        <v>0</v>
      </c>
      <c r="AU2838" s="10" t="str">
        <f>IF(I2838="TP",VLOOKUP(AF2838,TPCalibEqFull!$AZ$2:$BB$56,3),IF(I2838="TDP",VLOOKUP(AF2838,TPCalibEqFull!$AZ$2:$BB$56,3),IF(I2838="TDN",VLOOKUP(AF2838,TNCalibEqFull!$AZ$1:$BB$56,3),IF(I2838="TN",VLOOKUP(AF2838,TNCalibEqFull!$AZ$1:$BB$56,3),FALSE))))</f>
        <v>y=0.1051x2+65.423x-19.469</v>
      </c>
      <c r="AV2838" s="10" t="str">
        <f t="shared" si="324"/>
        <v>0208 09:19:50-EOF-80-C-1-SW-UKN</v>
      </c>
    </row>
    <row r="2839" spans="1:48" s="10" customFormat="1" x14ac:dyDescent="0.55000000000000004">
      <c r="A2839" s="32">
        <v>44965</v>
      </c>
      <c r="B2839" s="33">
        <v>0.4201388888888889</v>
      </c>
      <c r="C2839" s="10" t="s">
        <v>611</v>
      </c>
      <c r="D2839" s="10">
        <v>0</v>
      </c>
      <c r="E2839" s="10">
        <v>800</v>
      </c>
      <c r="F2839" s="10">
        <v>1</v>
      </c>
      <c r="G2839" s="10" t="s">
        <v>231</v>
      </c>
      <c r="H2839" s="10" t="s">
        <v>322</v>
      </c>
      <c r="I2839" s="10" t="s">
        <v>83</v>
      </c>
      <c r="J2839" s="10">
        <v>55</v>
      </c>
      <c r="K2839" s="12">
        <v>44966</v>
      </c>
      <c r="L2839" s="33">
        <v>0.6243171296296296</v>
      </c>
      <c r="M2839" s="10">
        <v>1</v>
      </c>
      <c r="N2839" s="10" t="s">
        <v>84</v>
      </c>
      <c r="O2839" s="10">
        <v>3.64</v>
      </c>
      <c r="P2839" s="10">
        <v>0.26</v>
      </c>
      <c r="Q2839" s="10">
        <v>221</v>
      </c>
      <c r="R2839" s="10" t="s">
        <v>85</v>
      </c>
      <c r="S2839" s="34">
        <f t="shared" si="321"/>
        <v>242.96957632000004</v>
      </c>
      <c r="T2839" s="10" t="s">
        <v>1201</v>
      </c>
      <c r="U2839" s="34" t="str">
        <f t="shared" si="322"/>
        <v/>
      </c>
      <c r="V2839" s="31" t="str">
        <f>IF(H2839="CHK",VLOOKUP(I2839,QCCHK,3,),IF(H2839="GUP",VLOOKUP(E2839,QCGUP,2,),IF(AND(H2839="ATP",OR(I2839="TN",I2839="TDN",I2839="TNO2-3",I2839="NO2-3")),VLOOKUP(E2839,QCREC_N,2,),IF(AND(H2839="NIC",OR(I2839="TN",I2839="TDN",I2839="TNO2-3",I2839="NO2-3")),VLOOKUP(E2839,QCNIC_N,2,),IF(AND(H2839="UREA",OR(I2839="TN",I2839="TDN",I2839="TNO2-3",I2839="NO2-3")),VLOOKUP(E2839,QCUREA_N,2,),IF(H2839="PER",VLOOKUP(I2839,QCPER,MATCH(E2839,QCACTUAL!$J$25:$AA$25,0),),IF(H2839="SPK",VLOOKUP(I2839,QCSPK,3,),IF(AND(H2839="ATP",OR(I2839="TP",I2839="TDP")),VLOOKUP(E2839,QCATP_P,2,),""))))))))</f>
        <v/>
      </c>
      <c r="W2839" s="31" t="str">
        <f t="shared" si="323"/>
        <v>TRUE</v>
      </c>
      <c r="X2839" s="31" t="str">
        <f t="shared" si="320"/>
        <v/>
      </c>
      <c r="Y2839" s="10" t="s">
        <v>1188</v>
      </c>
      <c r="AF2839" s="12">
        <v>44966</v>
      </c>
      <c r="AH2839" s="10">
        <f>-2.9408*3.64^2+89.45*3.64-43.664</f>
        <v>242.96957632000004</v>
      </c>
      <c r="AI2839" s="10">
        <f>-1.7314*3.64^2+83.401*3.64-37.87</f>
        <v>242.76928255999997</v>
      </c>
      <c r="AK2839" s="10">
        <f>0.1051*3.64^2+65.423*3.64-19.469</f>
        <v>220.06325296000003</v>
      </c>
      <c r="AL2839" s="10" t="str">
        <f t="shared" si="318"/>
        <v>FALSE</v>
      </c>
      <c r="AM2839" s="10" t="str">
        <f t="shared" si="318"/>
        <v>y=-2.9408*3.64^2+89.45*3.64-43.664</v>
      </c>
      <c r="AN2839" s="10" t="str">
        <f t="shared" si="318"/>
        <v>y=-1.7314*3.64^2+83.401*3.64-37.87</v>
      </c>
      <c r="AO2839" s="10" t="str">
        <f t="shared" si="319"/>
        <v>FALSE</v>
      </c>
      <c r="AP2839" s="10" t="str">
        <f t="shared" si="319"/>
        <v>y=0.1051*3.64^2+65.423*3.64-19.469</v>
      </c>
      <c r="AQ2839" s="10" t="b">
        <f>IF(AND(I2839="TP",S2839&lt;=150),VLOOKUP(AF2839,TPCalibEq150!$AZ$2:$BB$55,3,),IF(AND(I2839="TDP",S2839&lt;=150),VLOOKUP(AF2839,TPCalibEq150!$AZ$2:$BB$55,3,)))</f>
        <v>0</v>
      </c>
      <c r="AR2839" s="10" t="str">
        <f>IF(AND(I2839="TP",S2839&lt;=300),VLOOKUP(AF2839,TPCalibEq300!$AZ$2:$BB$55,3,),IF(AND(I2839="TDP",S2839&lt;=300),VLOOKUP(AF2839,TPCalibEq300!$AZ$2:$BB$55,3,)))</f>
        <v>y=-2.9408x2+89.45x-43.664</v>
      </c>
      <c r="AS2839" s="10" t="str">
        <f>IF(AND(I2839="TP",S2839&lt;=500),VLOOKUP(AF2839,TPCalibEq500!$AZ$2:$BB$56,3,),IF(AND(I2839="TDP",S2839&lt;=500),VLOOKUP(AF2839,TPCalibEq500!$AZ$2:$BB$56,3,)))</f>
        <v>y=-1.7314x2+83.401x-37.87</v>
      </c>
      <c r="AT2839" s="10" t="b">
        <f>IF(AND(I2839="TN",S2839&lt;=2800),VLOOKUP(AF2839,TNCalibEq2500!$AZ$2:$BB$56,3,),IF(AND(I2839="TDN",S2839&lt;=2800),VLOOKUP(AF2839,TNCalibEq2500!$AZ$2:$BB$56,3,)))</f>
        <v>0</v>
      </c>
      <c r="AU2839" s="10" t="str">
        <f>IF(I2839="TP",VLOOKUP(AF2839,TPCalibEqFull!$AZ$2:$BB$56,3),IF(I2839="TDP",VLOOKUP(AF2839,TPCalibEqFull!$AZ$2:$BB$56,3),IF(I2839="TDN",VLOOKUP(AF2839,TNCalibEqFull!$AZ$1:$BB$56,3),IF(I2839="TN",VLOOKUP(AF2839,TNCalibEqFull!$AZ$1:$BB$56,3),FALSE))))</f>
        <v>y=0.1051x2+65.423x-19.469</v>
      </c>
      <c r="AV2839" s="10" t="str">
        <f t="shared" si="324"/>
        <v>0208 10:05:00-BUO-0-800-1-SW-UKN</v>
      </c>
    </row>
    <row r="2840" spans="1:48" s="10" customFormat="1" x14ac:dyDescent="0.55000000000000004">
      <c r="A2840" s="32">
        <v>44965</v>
      </c>
      <c r="B2840" s="33">
        <v>0.42291666666666666</v>
      </c>
      <c r="C2840" s="10" t="s">
        <v>611</v>
      </c>
      <c r="D2840" s="10">
        <v>5</v>
      </c>
      <c r="E2840" s="10">
        <v>800</v>
      </c>
      <c r="F2840" s="10">
        <v>1</v>
      </c>
      <c r="G2840" s="10" t="s">
        <v>231</v>
      </c>
      <c r="H2840" s="10" t="s">
        <v>322</v>
      </c>
      <c r="I2840" s="10" t="s">
        <v>83</v>
      </c>
      <c r="J2840" s="10">
        <v>56</v>
      </c>
      <c r="K2840" s="12">
        <v>44966</v>
      </c>
      <c r="L2840" s="33">
        <v>0.62501157407407404</v>
      </c>
      <c r="M2840" s="10">
        <v>1</v>
      </c>
      <c r="N2840" s="10" t="s">
        <v>84</v>
      </c>
      <c r="O2840" s="10">
        <v>2.4500000000000002</v>
      </c>
      <c r="P2840" s="10">
        <v>0.17199999999999999</v>
      </c>
      <c r="Q2840" s="10">
        <v>142</v>
      </c>
      <c r="R2840" s="10" t="s">
        <v>85</v>
      </c>
      <c r="S2840" s="34">
        <f t="shared" si="321"/>
        <v>157.83634800000004</v>
      </c>
      <c r="T2840" s="10" t="s">
        <v>1201</v>
      </c>
      <c r="U2840" s="34" t="str">
        <f t="shared" si="322"/>
        <v/>
      </c>
      <c r="V2840" s="31" t="str">
        <f>IF(H2840="CHK",VLOOKUP(I2840,QCCHK,3,),IF(H2840="GUP",VLOOKUP(E2840,QCGUP,2,),IF(AND(H2840="ATP",OR(I2840="TN",I2840="TDN",I2840="TNO2-3",I2840="NO2-3")),VLOOKUP(E2840,QCREC_N,2,),IF(AND(H2840="NIC",OR(I2840="TN",I2840="TDN",I2840="TNO2-3",I2840="NO2-3")),VLOOKUP(E2840,QCNIC_N,2,),IF(AND(H2840="UREA",OR(I2840="TN",I2840="TDN",I2840="TNO2-3",I2840="NO2-3")),VLOOKUP(E2840,QCUREA_N,2,),IF(H2840="PER",VLOOKUP(I2840,QCPER,MATCH(E2840,QCACTUAL!$J$25:$AA$25,0),),IF(H2840="SPK",VLOOKUP(I2840,QCSPK,3,),IF(AND(H2840="ATP",OR(I2840="TP",I2840="TDP")),VLOOKUP(E2840,QCATP_P,2,),""))))))))</f>
        <v/>
      </c>
      <c r="W2840" s="31" t="str">
        <f t="shared" si="323"/>
        <v>TRUE</v>
      </c>
      <c r="X2840" s="31" t="str">
        <f t="shared" si="320"/>
        <v/>
      </c>
      <c r="Y2840" s="10" t="s">
        <v>1188</v>
      </c>
      <c r="AF2840" s="12">
        <v>44966</v>
      </c>
      <c r="AG2840" s="10">
        <f>-11.204*2.45^2+113.68*2.45-55.283</f>
        <v>155.98099000000002</v>
      </c>
      <c r="AH2840" s="10">
        <f>-2.9408*2.45^2+89.45*2.45-43.664</f>
        <v>157.83634800000004</v>
      </c>
      <c r="AI2840" s="10">
        <f>-1.7314*2.45^2+83.401*2.45-37.87</f>
        <v>156.06972149999999</v>
      </c>
      <c r="AK2840" s="10">
        <f>0.1051*2.45^2+65.423*2.45-19.469</f>
        <v>141.44821275000004</v>
      </c>
      <c r="AL2840" s="10" t="str">
        <f t="shared" si="318"/>
        <v>FALSE</v>
      </c>
      <c r="AM2840" s="10" t="str">
        <f t="shared" si="318"/>
        <v>y=-2.9408*2.45^2+89.45*2.45-43.664</v>
      </c>
      <c r="AN2840" s="10" t="str">
        <f t="shared" si="318"/>
        <v>y=-1.7314*2.45^2+83.401*2.45-37.87</v>
      </c>
      <c r="AO2840" s="10" t="str">
        <f t="shared" si="319"/>
        <v>FALSE</v>
      </c>
      <c r="AP2840" s="10" t="str">
        <f t="shared" si="319"/>
        <v>y=0.1051*2.45^2+65.423*2.45-19.469</v>
      </c>
      <c r="AQ2840" s="10" t="b">
        <f>IF(AND(I2840="TP",S2840&lt;=150),VLOOKUP(AF2840,TPCalibEq150!$AZ$2:$BB$55,3,),IF(AND(I2840="TDP",S2840&lt;=150),VLOOKUP(AF2840,TPCalibEq150!$AZ$2:$BB$55,3,)))</f>
        <v>0</v>
      </c>
      <c r="AR2840" s="10" t="str">
        <f>IF(AND(I2840="TP",S2840&lt;=300),VLOOKUP(AF2840,TPCalibEq300!$AZ$2:$BB$55,3,),IF(AND(I2840="TDP",S2840&lt;=300),VLOOKUP(AF2840,TPCalibEq300!$AZ$2:$BB$55,3,)))</f>
        <v>y=-2.9408x2+89.45x-43.664</v>
      </c>
      <c r="AS2840" s="10" t="str">
        <f>IF(AND(I2840="TP",S2840&lt;=500),VLOOKUP(AF2840,TPCalibEq500!$AZ$2:$BB$56,3,),IF(AND(I2840="TDP",S2840&lt;=500),VLOOKUP(AF2840,TPCalibEq500!$AZ$2:$BB$56,3,)))</f>
        <v>y=-1.7314x2+83.401x-37.87</v>
      </c>
      <c r="AT2840" s="10" t="b">
        <f>IF(AND(I2840="TN",S2840&lt;=2800),VLOOKUP(AF2840,TNCalibEq2500!$AZ$2:$BB$56,3,),IF(AND(I2840="TDN",S2840&lt;=2800),VLOOKUP(AF2840,TNCalibEq2500!$AZ$2:$BB$56,3,)))</f>
        <v>0</v>
      </c>
      <c r="AU2840" s="10" t="str">
        <f>IF(I2840="TP",VLOOKUP(AF2840,TPCalibEqFull!$AZ$2:$BB$56,3),IF(I2840="TDP",VLOOKUP(AF2840,TPCalibEqFull!$AZ$2:$BB$56,3),IF(I2840="TDN",VLOOKUP(AF2840,TNCalibEqFull!$AZ$1:$BB$56,3),IF(I2840="TN",VLOOKUP(AF2840,TNCalibEqFull!$AZ$1:$BB$56,3),FALSE))))</f>
        <v>y=0.1051x2+65.423x-19.469</v>
      </c>
      <c r="AV2840" s="10" t="str">
        <f t="shared" si="324"/>
        <v>0208 10:09:00-BUO-5-800-1-SW-UKN</v>
      </c>
    </row>
    <row r="2841" spans="1:48" s="10" customFormat="1" x14ac:dyDescent="0.55000000000000004">
      <c r="A2841" s="32">
        <v>44965</v>
      </c>
      <c r="B2841" s="33">
        <v>0.42499999999999999</v>
      </c>
      <c r="C2841" s="10" t="s">
        <v>611</v>
      </c>
      <c r="D2841" s="10">
        <v>10</v>
      </c>
      <c r="E2841" s="10">
        <v>800</v>
      </c>
      <c r="F2841" s="10">
        <v>1</v>
      </c>
      <c r="G2841" s="10" t="s">
        <v>231</v>
      </c>
      <c r="H2841" s="10" t="s">
        <v>322</v>
      </c>
      <c r="I2841" s="10" t="s">
        <v>83</v>
      </c>
      <c r="J2841" s="10">
        <v>57</v>
      </c>
      <c r="K2841" s="12">
        <v>44966</v>
      </c>
      <c r="L2841" s="33">
        <v>0.62569444444444444</v>
      </c>
      <c r="M2841" s="10">
        <v>1</v>
      </c>
      <c r="N2841" s="10" t="s">
        <v>84</v>
      </c>
      <c r="O2841" s="10">
        <v>4.88</v>
      </c>
      <c r="P2841" s="10">
        <v>0.34899999999999998</v>
      </c>
      <c r="Q2841" s="10">
        <v>303</v>
      </c>
      <c r="R2841" s="10" t="s">
        <v>85</v>
      </c>
      <c r="S2841" s="34">
        <f t="shared" si="321"/>
        <v>327.89462784</v>
      </c>
      <c r="T2841" s="10" t="s">
        <v>1201</v>
      </c>
      <c r="U2841" s="34" t="str">
        <f t="shared" si="322"/>
        <v/>
      </c>
      <c r="V2841" s="31" t="str">
        <f>IF(H2841="CHK",VLOOKUP(I2841,QCCHK,3,),IF(H2841="GUP",VLOOKUP(E2841,QCGUP,2,),IF(AND(H2841="ATP",OR(I2841="TN",I2841="TDN",I2841="TNO2-3",I2841="NO2-3")),VLOOKUP(E2841,QCREC_N,2,),IF(AND(H2841="NIC",OR(I2841="TN",I2841="TDN",I2841="TNO2-3",I2841="NO2-3")),VLOOKUP(E2841,QCNIC_N,2,),IF(AND(H2841="UREA",OR(I2841="TN",I2841="TDN",I2841="TNO2-3",I2841="NO2-3")),VLOOKUP(E2841,QCUREA_N,2,),IF(H2841="PER",VLOOKUP(I2841,QCPER,MATCH(E2841,QCACTUAL!$J$25:$AA$25,0),),IF(H2841="SPK",VLOOKUP(I2841,QCSPK,3,),IF(AND(H2841="ATP",OR(I2841="TP",I2841="TDP")),VLOOKUP(E2841,QCATP_P,2,),""))))))))</f>
        <v/>
      </c>
      <c r="W2841" s="31" t="str">
        <f t="shared" si="323"/>
        <v>TRUE</v>
      </c>
      <c r="X2841" s="31" t="str">
        <f t="shared" si="320"/>
        <v/>
      </c>
      <c r="Y2841" s="10" t="s">
        <v>1188</v>
      </c>
      <c r="AF2841" s="12">
        <v>44966</v>
      </c>
      <c r="AI2841" s="10">
        <f>-1.7314*4.88^2+83.401*4.88-37.87</f>
        <v>327.89462784</v>
      </c>
      <c r="AK2841" s="10">
        <f>0.1051*4.88^2+65.423*4.88-19.469</f>
        <v>302.29813344000002</v>
      </c>
      <c r="AL2841" s="10" t="str">
        <f t="shared" si="318"/>
        <v>FALSE</v>
      </c>
      <c r="AM2841" s="10" t="str">
        <f t="shared" si="318"/>
        <v>FALSE</v>
      </c>
      <c r="AN2841" s="10" t="str">
        <f t="shared" si="318"/>
        <v>y=-1.7314*4.88^2+83.401*4.88-37.87</v>
      </c>
      <c r="AO2841" s="10" t="str">
        <f t="shared" si="319"/>
        <v>FALSE</v>
      </c>
      <c r="AP2841" s="10" t="str">
        <f t="shared" si="319"/>
        <v>y=0.1051*4.88^2+65.423*4.88-19.469</v>
      </c>
      <c r="AQ2841" s="10" t="b">
        <f>IF(AND(I2841="TP",S2841&lt;=150),VLOOKUP(AF2841,TPCalibEq150!$AZ$2:$BB$55,3,),IF(AND(I2841="TDP",S2841&lt;=150),VLOOKUP(AF2841,TPCalibEq150!$AZ$2:$BB$55,3,)))</f>
        <v>0</v>
      </c>
      <c r="AR2841" s="10" t="b">
        <f>IF(AND(I2841="TP",S2841&lt;=300),VLOOKUP(AF2841,TPCalibEq300!$AZ$2:$BB$55,3,),IF(AND(I2841="TDP",S2841&lt;=300),VLOOKUP(AF2841,TPCalibEq300!$AZ$2:$BB$55,3,)))</f>
        <v>0</v>
      </c>
      <c r="AS2841" s="10" t="str">
        <f>IF(AND(I2841="TP",S2841&lt;=500),VLOOKUP(AF2841,TPCalibEq500!$AZ$2:$BB$56,3,),IF(AND(I2841="TDP",S2841&lt;=500),VLOOKUP(AF2841,TPCalibEq500!$AZ$2:$BB$56,3,)))</f>
        <v>y=-1.7314x2+83.401x-37.87</v>
      </c>
      <c r="AT2841" s="10" t="b">
        <f>IF(AND(I2841="TN",S2841&lt;=2800),VLOOKUP(AF2841,TNCalibEq2500!$AZ$2:$BB$56,3,),IF(AND(I2841="TDN",S2841&lt;=2800),VLOOKUP(AF2841,TNCalibEq2500!$AZ$2:$BB$56,3,)))</f>
        <v>0</v>
      </c>
      <c r="AU2841" s="10" t="str">
        <f>IF(I2841="TP",VLOOKUP(AF2841,TPCalibEqFull!$AZ$2:$BB$56,3),IF(I2841="TDP",VLOOKUP(AF2841,TPCalibEqFull!$AZ$2:$BB$56,3),IF(I2841="TDN",VLOOKUP(AF2841,TNCalibEqFull!$AZ$1:$BB$56,3),IF(I2841="TN",VLOOKUP(AF2841,TNCalibEqFull!$AZ$1:$BB$56,3),FALSE))))</f>
        <v>y=0.1051x2+65.423x-19.469</v>
      </c>
      <c r="AV2841" s="10" t="str">
        <f t="shared" si="324"/>
        <v>0208 10:12:00-BUO-10-800-1-SW-UKN</v>
      </c>
    </row>
    <row r="2842" spans="1:48" s="10" customFormat="1" x14ac:dyDescent="0.55000000000000004">
      <c r="A2842" s="32">
        <v>44965</v>
      </c>
      <c r="B2842" s="33">
        <v>0.42777777777777781</v>
      </c>
      <c r="C2842" s="10" t="s">
        <v>611</v>
      </c>
      <c r="D2842" s="10">
        <v>20</v>
      </c>
      <c r="E2842" s="10" t="s">
        <v>190</v>
      </c>
      <c r="F2842" s="10">
        <v>1</v>
      </c>
      <c r="G2842" s="10" t="s">
        <v>231</v>
      </c>
      <c r="H2842" s="10" t="s">
        <v>322</v>
      </c>
      <c r="I2842" s="10" t="s">
        <v>83</v>
      </c>
      <c r="J2842" s="10">
        <v>58</v>
      </c>
      <c r="K2842" s="12">
        <v>44966</v>
      </c>
      <c r="L2842" s="33">
        <v>0.62638888888888888</v>
      </c>
      <c r="M2842" s="10">
        <v>1</v>
      </c>
      <c r="N2842" s="10" t="s">
        <v>84</v>
      </c>
      <c r="O2842" s="10">
        <v>3.91</v>
      </c>
      <c r="P2842" s="10">
        <v>0.27900000000000003</v>
      </c>
      <c r="Q2842" s="10">
        <v>238</v>
      </c>
      <c r="R2842" s="10" t="s">
        <v>85</v>
      </c>
      <c r="S2842" s="34">
        <f t="shared" si="321"/>
        <v>261.75809365999999</v>
      </c>
      <c r="T2842" s="10" t="s">
        <v>1201</v>
      </c>
      <c r="U2842" s="34" t="str">
        <f t="shared" si="322"/>
        <v/>
      </c>
      <c r="V2842" s="31" t="str">
        <f>IF(H2842="CHK",VLOOKUP(I2842,QCCHK,3,),IF(H2842="GUP",VLOOKUP(E2842,QCGUP,2,),IF(AND(H2842="ATP",OR(I2842="TN",I2842="TDN",I2842="TNO2-3",I2842="NO2-3")),VLOOKUP(E2842,QCREC_N,2,),IF(AND(H2842="NIC",OR(I2842="TN",I2842="TDN",I2842="TNO2-3",I2842="NO2-3")),VLOOKUP(E2842,QCNIC_N,2,),IF(AND(H2842="UREA",OR(I2842="TN",I2842="TDN",I2842="TNO2-3",I2842="NO2-3")),VLOOKUP(E2842,QCUREA_N,2,),IF(H2842="PER",VLOOKUP(I2842,QCPER,MATCH(E2842,QCACTUAL!$J$25:$AA$25,0),),IF(H2842="SPK",VLOOKUP(I2842,QCSPK,3,),IF(AND(H2842="ATP",OR(I2842="TP",I2842="TDP")),VLOOKUP(E2842,QCATP_P,2,),""))))))))</f>
        <v/>
      </c>
      <c r="W2842" s="31" t="str">
        <f t="shared" si="323"/>
        <v>TRUE</v>
      </c>
      <c r="X2842" s="31" t="str">
        <f t="shared" si="320"/>
        <v/>
      </c>
      <c r="Y2842" s="10" t="s">
        <v>1188</v>
      </c>
      <c r="AF2842" s="12">
        <v>44966</v>
      </c>
      <c r="AH2842" s="10">
        <f>-2.9408*3.91^2+89.45*3.91-43.664</f>
        <v>261.12625552000003</v>
      </c>
      <c r="AI2842" s="10">
        <f>-1.7314*3.91^2+83.401*3.91-37.87</f>
        <v>261.75809365999999</v>
      </c>
      <c r="AK2842" s="10">
        <f>0.1051*3.91^2+65.423*3.91-19.469</f>
        <v>237.94170931000002</v>
      </c>
      <c r="AL2842" s="10" t="str">
        <f t="shared" si="318"/>
        <v>FALSE</v>
      </c>
      <c r="AM2842" s="10" t="str">
        <f t="shared" si="318"/>
        <v>y=-2.9408*3.91^2+89.45*3.91-43.664</v>
      </c>
      <c r="AN2842" s="10" t="str">
        <f t="shared" si="318"/>
        <v>y=-1.7314*3.91^2+83.401*3.91-37.87</v>
      </c>
      <c r="AO2842" s="10" t="str">
        <f t="shared" si="319"/>
        <v>FALSE</v>
      </c>
      <c r="AP2842" s="10" t="str">
        <f t="shared" si="319"/>
        <v>y=0.1051*3.91^2+65.423*3.91-19.469</v>
      </c>
      <c r="AQ2842" s="10" t="b">
        <f>IF(AND(I2842="TP",S2842&lt;=150),VLOOKUP(AF2842,TPCalibEq150!$AZ$2:$BB$55,3,),IF(AND(I2842="TDP",S2842&lt;=150),VLOOKUP(AF2842,TPCalibEq150!$AZ$2:$BB$55,3,)))</f>
        <v>0</v>
      </c>
      <c r="AR2842" s="10" t="str">
        <f>IF(AND(I2842="TP",S2842&lt;=300),VLOOKUP(AF2842,TPCalibEq300!$AZ$2:$BB$55,3,),IF(AND(I2842="TDP",S2842&lt;=300),VLOOKUP(AF2842,TPCalibEq300!$AZ$2:$BB$55,3,)))</f>
        <v>y=-2.9408x2+89.45x-43.664</v>
      </c>
      <c r="AS2842" s="10" t="str">
        <f>IF(AND(I2842="TP",S2842&lt;=500),VLOOKUP(AF2842,TPCalibEq500!$AZ$2:$BB$56,3,),IF(AND(I2842="TDP",S2842&lt;=500),VLOOKUP(AF2842,TPCalibEq500!$AZ$2:$BB$56,3,)))</f>
        <v>y=-1.7314x2+83.401x-37.87</v>
      </c>
      <c r="AT2842" s="10" t="b">
        <f>IF(AND(I2842="TN",S2842&lt;=2800),VLOOKUP(AF2842,TNCalibEq2500!$AZ$2:$BB$56,3,),IF(AND(I2842="TDN",S2842&lt;=2800),VLOOKUP(AF2842,TNCalibEq2500!$AZ$2:$BB$56,3,)))</f>
        <v>0</v>
      </c>
      <c r="AU2842" s="10" t="str">
        <f>IF(I2842="TP",VLOOKUP(AF2842,TPCalibEqFull!$AZ$2:$BB$56,3),IF(I2842="TDP",VLOOKUP(AF2842,TPCalibEqFull!$AZ$2:$BB$56,3),IF(I2842="TDN",VLOOKUP(AF2842,TNCalibEqFull!$AZ$1:$BB$56,3),IF(I2842="TN",VLOOKUP(AF2842,TNCalibEqFull!$AZ$1:$BB$56,3),FALSE))))</f>
        <v>y=0.1051x2+65.423x-19.469</v>
      </c>
      <c r="AV2842" s="10" t="str">
        <f t="shared" si="324"/>
        <v>0208 10:16:00-BUO-20-C-1-SW-UKN</v>
      </c>
    </row>
    <row r="2843" spans="1:48" s="10" customFormat="1" x14ac:dyDescent="0.55000000000000004">
      <c r="A2843" s="32">
        <v>44965</v>
      </c>
      <c r="B2843" s="33">
        <v>0.43055555555555558</v>
      </c>
      <c r="C2843" s="10" t="s">
        <v>611</v>
      </c>
      <c r="D2843" s="10">
        <v>46</v>
      </c>
      <c r="E2843" s="10" t="s">
        <v>190</v>
      </c>
      <c r="F2843" s="10">
        <v>1</v>
      </c>
      <c r="G2843" s="10" t="s">
        <v>231</v>
      </c>
      <c r="H2843" s="10" t="s">
        <v>322</v>
      </c>
      <c r="I2843" s="10" t="s">
        <v>83</v>
      </c>
      <c r="J2843" s="10">
        <v>59</v>
      </c>
      <c r="K2843" s="12">
        <v>44966</v>
      </c>
      <c r="L2843" s="33">
        <v>0.62707175925925929</v>
      </c>
      <c r="M2843" s="10">
        <v>1</v>
      </c>
      <c r="N2843" s="10" t="s">
        <v>84</v>
      </c>
      <c r="O2843" s="10">
        <v>3.28</v>
      </c>
      <c r="P2843" s="10">
        <v>0.23400000000000001</v>
      </c>
      <c r="Q2843" s="10">
        <v>197</v>
      </c>
      <c r="R2843" s="10" t="s">
        <v>85</v>
      </c>
      <c r="S2843" s="34">
        <f t="shared" si="321"/>
        <v>218.09369728000001</v>
      </c>
      <c r="T2843" s="10" t="s">
        <v>1201</v>
      </c>
      <c r="U2843" s="34" t="str">
        <f t="shared" si="322"/>
        <v/>
      </c>
      <c r="V2843" s="31" t="str">
        <f>IF(H2843="CHK",VLOOKUP(I2843,QCCHK,3,),IF(H2843="GUP",VLOOKUP(E2843,QCGUP,2,),IF(AND(H2843="ATP",OR(I2843="TN",I2843="TDN",I2843="TNO2-3",I2843="NO2-3")),VLOOKUP(E2843,QCREC_N,2,),IF(AND(H2843="NIC",OR(I2843="TN",I2843="TDN",I2843="TNO2-3",I2843="NO2-3")),VLOOKUP(E2843,QCNIC_N,2,),IF(AND(H2843="UREA",OR(I2843="TN",I2843="TDN",I2843="TNO2-3",I2843="NO2-3")),VLOOKUP(E2843,QCUREA_N,2,),IF(H2843="PER",VLOOKUP(I2843,QCPER,MATCH(E2843,QCACTUAL!$J$25:$AA$25,0),),IF(H2843="SPK",VLOOKUP(I2843,QCSPK,3,),IF(AND(H2843="ATP",OR(I2843="TP",I2843="TDP")),VLOOKUP(E2843,QCATP_P,2,),""))))))))</f>
        <v/>
      </c>
      <c r="W2843" s="31" t="str">
        <f t="shared" si="323"/>
        <v>TRUE</v>
      </c>
      <c r="X2843" s="31" t="str">
        <f t="shared" si="320"/>
        <v/>
      </c>
      <c r="Y2843" s="10" t="s">
        <v>1188</v>
      </c>
      <c r="AF2843" s="12">
        <v>44966</v>
      </c>
      <c r="AH2843" s="10">
        <f>-2.9408*3.28^2+89.45*3.28-43.664</f>
        <v>218.09369728000001</v>
      </c>
      <c r="AI2843" s="10">
        <f>-1.7314*3.28^2+83.401*3.28-37.87</f>
        <v>217.05818623999997</v>
      </c>
      <c r="AK2843" s="10">
        <f>0.1051*3.28^2+65.423*3.28-19.469</f>
        <v>196.24914784000001</v>
      </c>
      <c r="AL2843" s="10" t="str">
        <f t="shared" si="318"/>
        <v>FALSE</v>
      </c>
      <c r="AM2843" s="10" t="str">
        <f t="shared" si="318"/>
        <v>y=-2.9408*3.28^2+89.45*3.28-43.664</v>
      </c>
      <c r="AN2843" s="10" t="str">
        <f t="shared" si="318"/>
        <v>y=-1.7314*3.28^2+83.401*3.28-37.87</v>
      </c>
      <c r="AO2843" s="10" t="str">
        <f t="shared" si="319"/>
        <v>FALSE</v>
      </c>
      <c r="AP2843" s="10" t="str">
        <f t="shared" si="319"/>
        <v>y=0.1051*3.28^2+65.423*3.28-19.469</v>
      </c>
      <c r="AQ2843" s="10" t="b">
        <f>IF(AND(I2843="TP",S2843&lt;=150),VLOOKUP(AF2843,TPCalibEq150!$AZ$2:$BB$55,3,),IF(AND(I2843="TDP",S2843&lt;=150),VLOOKUP(AF2843,TPCalibEq150!$AZ$2:$BB$55,3,)))</f>
        <v>0</v>
      </c>
      <c r="AR2843" s="10" t="str">
        <f>IF(AND(I2843="TP",S2843&lt;=300),VLOOKUP(AF2843,TPCalibEq300!$AZ$2:$BB$55,3,),IF(AND(I2843="TDP",S2843&lt;=300),VLOOKUP(AF2843,TPCalibEq300!$AZ$2:$BB$55,3,)))</f>
        <v>y=-2.9408x2+89.45x-43.664</v>
      </c>
      <c r="AS2843" s="10" t="str">
        <f>IF(AND(I2843="TP",S2843&lt;=500),VLOOKUP(AF2843,TPCalibEq500!$AZ$2:$BB$56,3,),IF(AND(I2843="TDP",S2843&lt;=500),VLOOKUP(AF2843,TPCalibEq500!$AZ$2:$BB$56,3,)))</f>
        <v>y=-1.7314x2+83.401x-37.87</v>
      </c>
      <c r="AT2843" s="10" t="b">
        <f>IF(AND(I2843="TN",S2843&lt;=2800),VLOOKUP(AF2843,TNCalibEq2500!$AZ$2:$BB$56,3,),IF(AND(I2843="TDN",S2843&lt;=2800),VLOOKUP(AF2843,TNCalibEq2500!$AZ$2:$BB$56,3,)))</f>
        <v>0</v>
      </c>
      <c r="AU2843" s="10" t="str">
        <f>IF(I2843="TP",VLOOKUP(AF2843,TPCalibEqFull!$AZ$2:$BB$56,3),IF(I2843="TDP",VLOOKUP(AF2843,TPCalibEqFull!$AZ$2:$BB$56,3),IF(I2843="TDN",VLOOKUP(AF2843,TNCalibEqFull!$AZ$1:$BB$56,3),IF(I2843="TN",VLOOKUP(AF2843,TNCalibEqFull!$AZ$1:$BB$56,3),FALSE))))</f>
        <v>y=0.1051x2+65.423x-19.469</v>
      </c>
      <c r="AV2843" s="10" t="str">
        <f t="shared" si="324"/>
        <v>0208 10:20:00-BUO-46-C-1-SW-UKN</v>
      </c>
    </row>
    <row r="2844" spans="1:48" s="10" customFormat="1" x14ac:dyDescent="0.55000000000000004">
      <c r="A2844" s="32">
        <v>44965</v>
      </c>
      <c r="B2844" s="33">
        <v>0.43055555555555558</v>
      </c>
      <c r="C2844" s="10" t="s">
        <v>611</v>
      </c>
      <c r="D2844" s="10">
        <v>46</v>
      </c>
      <c r="E2844" s="10" t="s">
        <v>190</v>
      </c>
      <c r="F2844" s="10">
        <v>1</v>
      </c>
      <c r="G2844" s="10" t="s">
        <v>231</v>
      </c>
      <c r="H2844" s="10" t="s">
        <v>233</v>
      </c>
      <c r="I2844" s="10" t="s">
        <v>83</v>
      </c>
      <c r="J2844" s="10">
        <v>59</v>
      </c>
      <c r="K2844" s="12">
        <v>44966</v>
      </c>
      <c r="L2844" s="33">
        <v>0.62776620370370373</v>
      </c>
      <c r="M2844" s="10">
        <v>1</v>
      </c>
      <c r="N2844" s="10" t="s">
        <v>84</v>
      </c>
      <c r="O2844" s="10">
        <v>3.27</v>
      </c>
      <c r="P2844" s="10">
        <v>0.23200000000000001</v>
      </c>
      <c r="Q2844" s="10">
        <v>196</v>
      </c>
      <c r="R2844" s="10" t="s">
        <v>85</v>
      </c>
      <c r="S2844" s="34">
        <f t="shared" si="321"/>
        <v>217.39181968000003</v>
      </c>
      <c r="T2844" s="10" t="s">
        <v>1201</v>
      </c>
      <c r="U2844" s="34">
        <f t="shared" si="322"/>
        <v>0.32234256831299274</v>
      </c>
      <c r="V2844" s="31" t="str">
        <f>IF(H2844="CHK",VLOOKUP(I2844,QCCHK,3,),IF(H2844="GUP",VLOOKUP(E2844,QCGUP,2,),IF(AND(H2844="ATP",OR(I2844="TN",I2844="TDN",I2844="TNO2-3",I2844="NO2-3")),VLOOKUP(E2844,QCREC_N,2,),IF(AND(H2844="NIC",OR(I2844="TN",I2844="TDN",I2844="TNO2-3",I2844="NO2-3")),VLOOKUP(E2844,QCNIC_N,2,),IF(AND(H2844="UREA",OR(I2844="TN",I2844="TDN",I2844="TNO2-3",I2844="NO2-3")),VLOOKUP(E2844,QCUREA_N,2,),IF(H2844="PER",VLOOKUP(I2844,QCPER,MATCH(E2844,QCACTUAL!$J$25:$AA$25,0),),IF(H2844="SPK",VLOOKUP(I2844,QCSPK,3,),IF(AND(H2844="ATP",OR(I2844="TP",I2844="TDP")),VLOOKUP(E2844,QCATP_P,2,),""))))))))</f>
        <v/>
      </c>
      <c r="W2844" s="31" t="str">
        <f t="shared" si="323"/>
        <v>TRUE</v>
      </c>
      <c r="X2844" s="31" t="str">
        <f t="shared" si="320"/>
        <v>((ABS(rep1-rep2))/((rep1+rep2)/2)*100</v>
      </c>
      <c r="Y2844" s="10" t="s">
        <v>1188</v>
      </c>
      <c r="AF2844" s="12">
        <v>44966</v>
      </c>
      <c r="AH2844" s="10">
        <f>-2.9408*3.27^2+89.45*3.27-43.664</f>
        <v>217.39181968000003</v>
      </c>
      <c r="AI2844" s="10">
        <f>-1.7314*3.27^2+83.401*3.27-37.87</f>
        <v>216.33758294</v>
      </c>
      <c r="AK2844" s="10">
        <f>0.1051*3.27^2+65.423*3.27-19.469</f>
        <v>195.58803379</v>
      </c>
      <c r="AL2844" s="10" t="str">
        <f t="shared" si="318"/>
        <v>FALSE</v>
      </c>
      <c r="AM2844" s="10" t="str">
        <f t="shared" si="318"/>
        <v>y=-2.9408*3.27^2+89.45*3.27-43.664</v>
      </c>
      <c r="AN2844" s="10" t="str">
        <f t="shared" si="318"/>
        <v>y=-1.7314*3.27^2+83.401*3.27-37.87</v>
      </c>
      <c r="AO2844" s="10" t="str">
        <f t="shared" si="319"/>
        <v>FALSE</v>
      </c>
      <c r="AP2844" s="10" t="str">
        <f t="shared" si="319"/>
        <v>y=0.1051*3.27^2+65.423*3.27-19.469</v>
      </c>
      <c r="AQ2844" s="10" t="b">
        <f>IF(AND(I2844="TP",S2844&lt;=150),VLOOKUP(AF2844,TPCalibEq150!$AZ$2:$BB$55,3,),IF(AND(I2844="TDP",S2844&lt;=150),VLOOKUP(AF2844,TPCalibEq150!$AZ$2:$BB$55,3,)))</f>
        <v>0</v>
      </c>
      <c r="AR2844" s="10" t="str">
        <f>IF(AND(I2844="TP",S2844&lt;=300),VLOOKUP(AF2844,TPCalibEq300!$AZ$2:$BB$55,3,),IF(AND(I2844="TDP",S2844&lt;=300),VLOOKUP(AF2844,TPCalibEq300!$AZ$2:$BB$55,3,)))</f>
        <v>y=-2.9408x2+89.45x-43.664</v>
      </c>
      <c r="AS2844" s="10" t="str">
        <f>IF(AND(I2844="TP",S2844&lt;=500),VLOOKUP(AF2844,TPCalibEq500!$AZ$2:$BB$56,3,),IF(AND(I2844="TDP",S2844&lt;=500),VLOOKUP(AF2844,TPCalibEq500!$AZ$2:$BB$56,3,)))</f>
        <v>y=-1.7314x2+83.401x-37.87</v>
      </c>
      <c r="AT2844" s="10" t="b">
        <f>IF(AND(I2844="TN",S2844&lt;=2800),VLOOKUP(AF2844,TNCalibEq2500!$AZ$2:$BB$56,3,),IF(AND(I2844="TDN",S2844&lt;=2800),VLOOKUP(AF2844,TNCalibEq2500!$AZ$2:$BB$56,3,)))</f>
        <v>0</v>
      </c>
      <c r="AU2844" s="10" t="str">
        <f>IF(I2844="TP",VLOOKUP(AF2844,TPCalibEqFull!$AZ$2:$BB$56,3),IF(I2844="TDP",VLOOKUP(AF2844,TPCalibEqFull!$AZ$2:$BB$56,3),IF(I2844="TDN",VLOOKUP(AF2844,TNCalibEqFull!$AZ$1:$BB$56,3),IF(I2844="TN",VLOOKUP(AF2844,TNCalibEqFull!$AZ$1:$BB$56,3),FALSE))))</f>
        <v>y=0.1051x2+65.423x-19.469</v>
      </c>
      <c r="AV2844" s="10" t="str">
        <f t="shared" si="324"/>
        <v>0208 10:20:00-BUO-46-C-1-SW-DUP</v>
      </c>
    </row>
    <row r="2845" spans="1:48" s="10" customFormat="1" x14ac:dyDescent="0.55000000000000004">
      <c r="A2845" s="32">
        <v>44965</v>
      </c>
      <c r="B2845" s="33">
        <v>0.43055555555555558</v>
      </c>
      <c r="C2845" s="10" t="s">
        <v>611</v>
      </c>
      <c r="D2845" s="10">
        <v>46</v>
      </c>
      <c r="E2845" s="10" t="s">
        <v>190</v>
      </c>
      <c r="F2845" s="10">
        <v>1</v>
      </c>
      <c r="G2845" s="10" t="s">
        <v>231</v>
      </c>
      <c r="H2845" s="10" t="s">
        <v>314</v>
      </c>
      <c r="I2845" s="10" t="s">
        <v>83</v>
      </c>
      <c r="J2845" s="10">
        <v>125</v>
      </c>
      <c r="K2845" s="12">
        <v>44966</v>
      </c>
      <c r="L2845" s="33">
        <v>0.62846064814814817</v>
      </c>
      <c r="M2845" s="10">
        <v>1</v>
      </c>
      <c r="N2845" s="10" t="s">
        <v>84</v>
      </c>
      <c r="O2845" s="10">
        <v>20.7</v>
      </c>
      <c r="P2845" s="10">
        <v>1.46</v>
      </c>
      <c r="Q2845" s="10">
        <v>1380</v>
      </c>
      <c r="R2845" s="10" t="s">
        <v>85</v>
      </c>
      <c r="S2845" s="34">
        <f t="shared" si="321"/>
        <v>1380</v>
      </c>
      <c r="T2845" s="10" t="s">
        <v>1201</v>
      </c>
      <c r="U2845" s="34">
        <f t="shared" si="322"/>
        <v>116.26081803199999</v>
      </c>
      <c r="V2845" s="31">
        <f>IF(H2845="CHK",VLOOKUP(I2845,QCCHK,3,),IF(H2845="GUP",VLOOKUP(E2845,QCGUP,2,),IF(AND(H2845="ATP",OR(I2845="TN",I2845="TDN",I2845="TNO2-3",I2845="NO2-3")),VLOOKUP(E2845,QCREC_N,2,),IF(AND(H2845="NIC",OR(I2845="TN",I2845="TDN",I2845="TNO2-3",I2845="NO2-3")),VLOOKUP(E2845,QCNIC_N,2,),IF(AND(H2845="UREA",OR(I2845="TN",I2845="TDN",I2845="TNO2-3",I2845="NO2-3")),VLOOKUP(E2845,QCUREA_N,2,),IF(H2845="PER",VLOOKUP(I2845,QCPER,MATCH(E2845,QCACTUAL!$J$25:$AA$25,0),),IF(H2845="SPK",VLOOKUP(I2845,QCSPK,3,),IF(AND(H2845="ATP",OR(I2845="TP",I2845="TDP")),VLOOKUP(E2845,QCATP_P,2,),""))))))))</f>
        <v>1000</v>
      </c>
      <c r="W2845" s="31" t="str">
        <f t="shared" si="323"/>
        <v>TRUE</v>
      </c>
      <c r="X2845" s="31" t="str">
        <f t="shared" si="320"/>
        <v>([spikedunkn]-[unkn])/[spike]*100</v>
      </c>
      <c r="Y2845" s="10" t="s">
        <v>1188</v>
      </c>
      <c r="AF2845" s="12">
        <v>44966</v>
      </c>
      <c r="AK2845" s="10">
        <f>0.1051*20.7^2+65.423*20.7-19.469</f>
        <v>1379.8213989999999</v>
      </c>
      <c r="AL2845" s="10" t="str">
        <f t="shared" si="318"/>
        <v>FALSE</v>
      </c>
      <c r="AM2845" s="10" t="str">
        <f t="shared" si="318"/>
        <v>FALSE</v>
      </c>
      <c r="AN2845" s="10" t="str">
        <f t="shared" si="318"/>
        <v>FALSE</v>
      </c>
      <c r="AO2845" s="10" t="str">
        <f t="shared" si="319"/>
        <v>FALSE</v>
      </c>
      <c r="AP2845" s="10" t="str">
        <f t="shared" si="319"/>
        <v>y=0.1051*20.7^2+65.423*20.7-19.469</v>
      </c>
      <c r="AQ2845" s="10" t="b">
        <f>IF(AND(I2845="TP",S2845&lt;=150),VLOOKUP(AF2845,TPCalibEq150!$AZ$2:$BB$55,3,),IF(AND(I2845="TDP",S2845&lt;=150),VLOOKUP(AF2845,TPCalibEq150!$AZ$2:$BB$55,3,)))</f>
        <v>0</v>
      </c>
      <c r="AR2845" s="10" t="b">
        <f>IF(AND(I2845="TP",S2845&lt;=300),VLOOKUP(AF2845,TPCalibEq300!$AZ$2:$BB$55,3,),IF(AND(I2845="TDP",S2845&lt;=300),VLOOKUP(AF2845,TPCalibEq300!$AZ$2:$BB$55,3,)))</f>
        <v>0</v>
      </c>
      <c r="AS2845" s="10" t="b">
        <f>IF(AND(I2845="TP",S2845&lt;=500),VLOOKUP(AF2845,TPCalibEq500!$AZ$2:$BB$56,3,),IF(AND(I2845="TDP",S2845&lt;=500),VLOOKUP(AF2845,TPCalibEq500!$AZ$2:$BB$56,3,)))</f>
        <v>0</v>
      </c>
      <c r="AT2845" s="10" t="b">
        <f>IF(AND(I2845="TN",S2845&lt;=2800),VLOOKUP(AF2845,TNCalibEq2500!$AZ$2:$BB$56,3,),IF(AND(I2845="TDN",S2845&lt;=2800),VLOOKUP(AF2845,TNCalibEq2500!$AZ$2:$BB$56,3,)))</f>
        <v>0</v>
      </c>
      <c r="AU2845" s="10" t="str">
        <f>IF(I2845="TP",VLOOKUP(AF2845,TPCalibEqFull!$AZ$2:$BB$56,3),IF(I2845="TDP",VLOOKUP(AF2845,TPCalibEqFull!$AZ$2:$BB$56,3),IF(I2845="TDN",VLOOKUP(AF2845,TNCalibEqFull!$AZ$1:$BB$56,3),IF(I2845="TN",VLOOKUP(AF2845,TNCalibEqFull!$AZ$1:$BB$56,3),FALSE))))</f>
        <v>y=0.1051x2+65.423x-19.469</v>
      </c>
      <c r="AV2845" s="10" t="str">
        <f t="shared" si="324"/>
        <v>0208 10:20:00-BUO-46-C-1-SW-SPK</v>
      </c>
    </row>
    <row r="2846" spans="1:48" s="10" customFormat="1" x14ac:dyDescent="0.55000000000000004">
      <c r="A2846" s="32">
        <v>44966</v>
      </c>
      <c r="B2846" s="33">
        <v>0.375</v>
      </c>
      <c r="C2846" s="10" t="s">
        <v>70</v>
      </c>
      <c r="D2846" s="10" t="s">
        <v>71</v>
      </c>
      <c r="E2846" s="10" t="s">
        <v>901</v>
      </c>
      <c r="F2846" s="10">
        <v>1</v>
      </c>
      <c r="G2846" s="10" t="s">
        <v>73</v>
      </c>
      <c r="H2846" s="10" t="s">
        <v>207</v>
      </c>
      <c r="I2846" s="10" t="s">
        <v>83</v>
      </c>
      <c r="J2846" s="10">
        <v>202</v>
      </c>
      <c r="K2846" s="12">
        <v>44966</v>
      </c>
      <c r="L2846" s="33">
        <v>0.62915509259259261</v>
      </c>
      <c r="M2846" s="10">
        <v>1</v>
      </c>
      <c r="N2846" s="10" t="s">
        <v>84</v>
      </c>
      <c r="O2846" s="10">
        <v>8.16</v>
      </c>
      <c r="P2846" s="10">
        <v>0.58399999999999996</v>
      </c>
      <c r="Q2846" s="10">
        <v>521</v>
      </c>
      <c r="R2846" s="10" t="s">
        <v>85</v>
      </c>
      <c r="S2846" s="34">
        <f t="shared" si="321"/>
        <v>521.38082655999995</v>
      </c>
      <c r="T2846" s="10" t="s">
        <v>1201</v>
      </c>
      <c r="U2846" s="34">
        <f t="shared" si="322"/>
        <v>104.27616531199999</v>
      </c>
      <c r="V2846" s="31">
        <f>IF(H2846="CHK",VLOOKUP(I2846,QCCHK,3,),IF(H2846="GUP",VLOOKUP(E2846,QCGUP,2,),IF(AND(H2846="ATP",OR(I2846="TN",I2846="TDN",I2846="TNO2-3",I2846="NO2-3")),VLOOKUP(E2846,QCREC_N,2,),IF(AND(H2846="NIC",OR(I2846="TN",I2846="TDN",I2846="TNO2-3",I2846="NO2-3")),VLOOKUP(E2846,QCNIC_N,2,),IF(AND(H2846="UREA",OR(I2846="TN",I2846="TDN",I2846="TNO2-3",I2846="NO2-3")),VLOOKUP(E2846,QCUREA_N,2,),IF(H2846="PER",VLOOKUP(I2846,QCPER,MATCH(E2846,QCACTUAL!$J$25:$AA$25,0),),IF(H2846="SPK",VLOOKUP(I2846,QCSPK,3,),IF(AND(H2846="ATP",OR(I2846="TP",I2846="TDP")),VLOOKUP(E2846,QCATP_P,2,),""))))))))</f>
        <v>500</v>
      </c>
      <c r="W2846" s="31" t="str">
        <f t="shared" si="323"/>
        <v>TRUE</v>
      </c>
      <c r="X2846" s="31" t="str">
        <f t="shared" si="320"/>
        <v>[chk]/[actual]*100</v>
      </c>
      <c r="Y2846" s="10" t="s">
        <v>1188</v>
      </c>
      <c r="AF2846" s="12">
        <v>44966</v>
      </c>
      <c r="AK2846" s="10">
        <f>0.1051*8.16^2+65.423*8.16-19.469</f>
        <v>521.38082655999995</v>
      </c>
      <c r="AL2846" s="10" t="str">
        <f t="shared" si="318"/>
        <v>FALSE</v>
      </c>
      <c r="AM2846" s="10" t="str">
        <f t="shared" si="318"/>
        <v>FALSE</v>
      </c>
      <c r="AN2846" s="10" t="str">
        <f t="shared" si="318"/>
        <v>FALSE</v>
      </c>
      <c r="AO2846" s="10" t="str">
        <f t="shared" si="319"/>
        <v>FALSE</v>
      </c>
      <c r="AP2846" s="10" t="str">
        <f t="shared" si="319"/>
        <v>y=0.1051*8.16^2+65.423*8.16-19.469</v>
      </c>
      <c r="AQ2846" s="10" t="b">
        <f>IF(AND(I2846="TP",S2846&lt;=150),VLOOKUP(AF2846,TPCalibEq150!$AZ$2:$BB$55,3,),IF(AND(I2846="TDP",S2846&lt;=150),VLOOKUP(AF2846,TPCalibEq150!$AZ$2:$BB$55,3,)))</f>
        <v>0</v>
      </c>
      <c r="AR2846" s="10" t="b">
        <f>IF(AND(I2846="TP",S2846&lt;=300),VLOOKUP(AF2846,TPCalibEq300!$AZ$2:$BB$55,3,),IF(AND(I2846="TDP",S2846&lt;=300),VLOOKUP(AF2846,TPCalibEq300!$AZ$2:$BB$55,3,)))</f>
        <v>0</v>
      </c>
      <c r="AS2846" s="10" t="b">
        <f>IF(AND(I2846="TP",S2846&lt;=500),VLOOKUP(AF2846,TPCalibEq500!$AZ$2:$BB$56,3,),IF(AND(I2846="TDP",S2846&lt;=500),VLOOKUP(AF2846,TPCalibEq500!$AZ$2:$BB$56,3,)))</f>
        <v>0</v>
      </c>
      <c r="AT2846" s="10" t="b">
        <f>IF(AND(I2846="TN",S2846&lt;=2800),VLOOKUP(AF2846,TNCalibEq2500!$AZ$2:$BB$56,3,),IF(AND(I2846="TDN",S2846&lt;=2800),VLOOKUP(AF2846,TNCalibEq2500!$AZ$2:$BB$56,3,)))</f>
        <v>0</v>
      </c>
      <c r="AU2846" s="10" t="str">
        <f>IF(I2846="TP",VLOOKUP(AF2846,TPCalibEqFull!$AZ$2:$BB$56,3),IF(I2846="TDP",VLOOKUP(AF2846,TPCalibEqFull!$AZ$2:$BB$56,3),IF(I2846="TDN",VLOOKUP(AF2846,TNCalibEqFull!$AZ$1:$BB$56,3),IF(I2846="TN",VLOOKUP(AF2846,TNCalibEqFull!$AZ$1:$BB$56,3),FALSE))))</f>
        <v>y=0.1051x2+65.423x-19.469</v>
      </c>
      <c r="AV2846" s="10" t="str">
        <f t="shared" si="324"/>
        <v>0209 09:00:00-QAC-STD-D-1-DI-CHK</v>
      </c>
    </row>
    <row r="2847" spans="1:48" s="10" customFormat="1" x14ac:dyDescent="0.55000000000000004">
      <c r="A2847" s="32">
        <v>44958</v>
      </c>
      <c r="B2847" s="33">
        <v>0.50138888888888888</v>
      </c>
      <c r="C2847" s="10" t="s">
        <v>279</v>
      </c>
      <c r="D2847" s="10">
        <v>0</v>
      </c>
      <c r="E2847" s="10" t="s">
        <v>911</v>
      </c>
      <c r="F2847" s="10">
        <v>1</v>
      </c>
      <c r="G2847" s="10" t="s">
        <v>231</v>
      </c>
      <c r="H2847" s="10" t="s">
        <v>322</v>
      </c>
      <c r="I2847" s="10" t="s">
        <v>266</v>
      </c>
      <c r="J2847" s="10">
        <v>60</v>
      </c>
      <c r="K2847" s="12">
        <v>44966</v>
      </c>
      <c r="L2847" s="33">
        <v>0.62984953703703705</v>
      </c>
      <c r="M2847" s="10">
        <v>1</v>
      </c>
      <c r="N2847" s="10" t="s">
        <v>84</v>
      </c>
      <c r="O2847" s="10">
        <v>2.4900000000000002</v>
      </c>
      <c r="P2847" s="10">
        <v>0.17499999999999999</v>
      </c>
      <c r="Q2847" s="10">
        <v>145</v>
      </c>
      <c r="R2847" s="10" t="s">
        <v>85</v>
      </c>
      <c r="S2847" s="34">
        <f t="shared" si="321"/>
        <v>160.83324592000002</v>
      </c>
      <c r="T2847" s="10" t="s">
        <v>1201</v>
      </c>
      <c r="U2847" s="34" t="str">
        <f t="shared" si="322"/>
        <v/>
      </c>
      <c r="V2847" s="31" t="str">
        <f>IF(H2847="CHK",VLOOKUP(I2847,QCCHK,3,),IF(H2847="GUP",VLOOKUP(E2847,QCGUP,2,),IF(AND(H2847="ATP",OR(I2847="TN",I2847="TDN",I2847="TNO2-3",I2847="NO2-3")),VLOOKUP(E2847,QCREC_N,2,),IF(AND(H2847="NIC",OR(I2847="TN",I2847="TDN",I2847="TNO2-3",I2847="NO2-3")),VLOOKUP(E2847,QCNIC_N,2,),IF(AND(H2847="UREA",OR(I2847="TN",I2847="TDN",I2847="TNO2-3",I2847="NO2-3")),VLOOKUP(E2847,QCUREA_N,2,),IF(H2847="PER",VLOOKUP(I2847,QCPER,MATCH(E2847,QCACTUAL!$J$25:$AA$25,0),),IF(H2847="SPK",VLOOKUP(I2847,QCSPK,3,),IF(AND(H2847="ATP",OR(I2847="TP",I2847="TDP")),VLOOKUP(E2847,QCATP_P,2,),""))))))))</f>
        <v/>
      </c>
      <c r="W2847" s="31" t="str">
        <f t="shared" si="323"/>
        <v>TRUE</v>
      </c>
      <c r="X2847" s="31" t="str">
        <f t="shared" si="320"/>
        <v/>
      </c>
      <c r="Y2847" s="10" t="s">
        <v>1188</v>
      </c>
      <c r="Z2847" s="10" t="s">
        <v>910</v>
      </c>
      <c r="AF2847" s="12">
        <v>44966</v>
      </c>
      <c r="AG2847" s="10">
        <f>-11.204*2.49^2+113.68*2.49-55.283</f>
        <v>158.31427960000002</v>
      </c>
      <c r="AH2847" s="10">
        <f>-2.9408*2.49^2+89.45*2.49-43.664</f>
        <v>160.83324592000002</v>
      </c>
      <c r="AI2847" s="10">
        <f>-1.7314*2.49^2+83.401*2.49-37.87</f>
        <v>159.06363686</v>
      </c>
      <c r="AK2847" s="10">
        <f>0.1051*2.49^2+65.423*2.49-19.469</f>
        <v>144.08590051000002</v>
      </c>
      <c r="AL2847" s="10" t="str">
        <f t="shared" si="318"/>
        <v>FALSE</v>
      </c>
      <c r="AM2847" s="10" t="str">
        <f t="shared" si="318"/>
        <v>y=-2.9408*2.49^2+89.45*2.49-43.664</v>
      </c>
      <c r="AN2847" s="10" t="str">
        <f t="shared" si="318"/>
        <v>y=-1.7314*2.49^2+83.401*2.49-37.87</v>
      </c>
      <c r="AO2847" s="10" t="str">
        <f t="shared" si="319"/>
        <v>FALSE</v>
      </c>
      <c r="AP2847" s="10" t="str">
        <f t="shared" si="319"/>
        <v>y=0.1051*2.49^2+65.423*2.49-19.469</v>
      </c>
      <c r="AQ2847" s="10" t="b">
        <f>IF(AND(I2847="TP",S2847&lt;=150),VLOOKUP(AF2847,TPCalibEq150!$AZ$2:$BB$55,3,),IF(AND(I2847="TDP",S2847&lt;=150),VLOOKUP(AF2847,TPCalibEq150!$AZ$2:$BB$55,3,)))</f>
        <v>0</v>
      </c>
      <c r="AR2847" s="10" t="str">
        <f>IF(AND(I2847="TP",S2847&lt;=300),VLOOKUP(AF2847,TPCalibEq300!$AZ$2:$BB$55,3,),IF(AND(I2847="TDP",S2847&lt;=300),VLOOKUP(AF2847,TPCalibEq300!$AZ$2:$BB$55,3,)))</f>
        <v>y=-2.9408x2+89.45x-43.664</v>
      </c>
      <c r="AS2847" s="10" t="str">
        <f>IF(AND(I2847="TP",S2847&lt;=500),VLOOKUP(AF2847,TPCalibEq500!$AZ$2:$BB$56,3,),IF(AND(I2847="TDP",S2847&lt;=500),VLOOKUP(AF2847,TPCalibEq500!$AZ$2:$BB$56,3,)))</f>
        <v>y=-1.7314x2+83.401x-37.87</v>
      </c>
      <c r="AT2847" s="10" t="b">
        <f>IF(AND(I2847="TN",S2847&lt;=2800),VLOOKUP(AF2847,TNCalibEq2500!$AZ$2:$BB$56,3,),IF(AND(I2847="TDN",S2847&lt;=2800),VLOOKUP(AF2847,TNCalibEq2500!$AZ$2:$BB$56,3,)))</f>
        <v>0</v>
      </c>
      <c r="AU2847" s="10" t="str">
        <f>IF(I2847="TP",VLOOKUP(AF2847,TPCalibEqFull!$AZ$2:$BB$56,3),IF(I2847="TDP",VLOOKUP(AF2847,TPCalibEqFull!$AZ$2:$BB$56,3),IF(I2847="TDN",VLOOKUP(AF2847,TNCalibEqFull!$AZ$1:$BB$56,3),IF(I2847="TN",VLOOKUP(AF2847,TNCalibEqFull!$AZ$1:$BB$56,3),FALSE))))</f>
        <v>y=0.1051x2+65.423x-19.469</v>
      </c>
      <c r="AV2847" s="10" t="str">
        <f t="shared" si="324"/>
        <v>0201 12:02:00-EFK-0-FIL-1-SW-UKN</v>
      </c>
    </row>
    <row r="2848" spans="1:48" s="10" customFormat="1" x14ac:dyDescent="0.55000000000000004">
      <c r="A2848" s="32">
        <v>44958</v>
      </c>
      <c r="B2848" s="33">
        <v>0.50347222222222221</v>
      </c>
      <c r="C2848" s="10" t="s">
        <v>333</v>
      </c>
      <c r="D2848" s="10">
        <v>0</v>
      </c>
      <c r="E2848" s="10" t="s">
        <v>911</v>
      </c>
      <c r="F2848" s="10">
        <v>1</v>
      </c>
      <c r="G2848" s="10" t="s">
        <v>231</v>
      </c>
      <c r="H2848" s="10" t="s">
        <v>322</v>
      </c>
      <c r="I2848" s="10" t="s">
        <v>266</v>
      </c>
      <c r="J2848" s="10">
        <v>61</v>
      </c>
      <c r="K2848" s="12">
        <v>44966</v>
      </c>
      <c r="L2848" s="33">
        <v>0.63055555555555554</v>
      </c>
      <c r="M2848" s="10">
        <v>1</v>
      </c>
      <c r="N2848" s="10" t="s">
        <v>84</v>
      </c>
      <c r="O2848" s="10">
        <v>2.54</v>
      </c>
      <c r="P2848" s="10">
        <v>0.17899999999999999</v>
      </c>
      <c r="Q2848" s="10">
        <v>148</v>
      </c>
      <c r="R2848" s="10" t="s">
        <v>85</v>
      </c>
      <c r="S2848" s="34">
        <f t="shared" si="321"/>
        <v>164.56613471999998</v>
      </c>
      <c r="T2848" s="10" t="s">
        <v>1201</v>
      </c>
      <c r="U2848" s="34" t="str">
        <f t="shared" si="322"/>
        <v/>
      </c>
      <c r="V2848" s="31" t="str">
        <f>IF(H2848="CHK",VLOOKUP(I2848,QCCHK,3,),IF(H2848="GUP",VLOOKUP(E2848,QCGUP,2,),IF(AND(H2848="ATP",OR(I2848="TN",I2848="TDN",I2848="TNO2-3",I2848="NO2-3")),VLOOKUP(E2848,QCREC_N,2,),IF(AND(H2848="NIC",OR(I2848="TN",I2848="TDN",I2848="TNO2-3",I2848="NO2-3")),VLOOKUP(E2848,QCNIC_N,2,),IF(AND(H2848="UREA",OR(I2848="TN",I2848="TDN",I2848="TNO2-3",I2848="NO2-3")),VLOOKUP(E2848,QCUREA_N,2,),IF(H2848="PER",VLOOKUP(I2848,QCPER,MATCH(E2848,QCACTUAL!$J$25:$AA$25,0),),IF(H2848="SPK",VLOOKUP(I2848,QCSPK,3,),IF(AND(H2848="ATP",OR(I2848="TP",I2848="TDP")),VLOOKUP(E2848,QCATP_P,2,),""))))))))</f>
        <v/>
      </c>
      <c r="W2848" s="31" t="str">
        <f t="shared" si="323"/>
        <v>TRUE</v>
      </c>
      <c r="X2848" s="31" t="str">
        <f t="shared" si="320"/>
        <v/>
      </c>
      <c r="Y2848" s="10" t="s">
        <v>1188</v>
      </c>
      <c r="Z2848" s="10" t="s">
        <v>910</v>
      </c>
      <c r="AF2848" s="12">
        <v>44966</v>
      </c>
      <c r="AG2848" s="10">
        <f>-11.204*2.54^2+113.68*2.54-55.283</f>
        <v>161.18047360000003</v>
      </c>
      <c r="AH2848" s="10">
        <f>-2.9408*2.54^2+89.45*2.54-43.664</f>
        <v>164.56613471999998</v>
      </c>
      <c r="AI2848" s="10">
        <f>-1.7314*2.54^2+83.401*2.54-37.87</f>
        <v>162.79823976</v>
      </c>
      <c r="AK2848" s="10">
        <f>0.1051*2.54^2+65.423*2.54-19.469</f>
        <v>147.38348316</v>
      </c>
      <c r="AL2848" s="10" t="str">
        <f t="shared" si="318"/>
        <v>FALSE</v>
      </c>
      <c r="AM2848" s="10" t="str">
        <f t="shared" si="318"/>
        <v>y=-2.9408*2.54^2+89.45*2.54-43.664</v>
      </c>
      <c r="AN2848" s="10" t="str">
        <f t="shared" si="318"/>
        <v>y=-1.7314*2.54^2+83.401*2.54-37.87</v>
      </c>
      <c r="AO2848" s="10" t="str">
        <f t="shared" si="319"/>
        <v>FALSE</v>
      </c>
      <c r="AP2848" s="10" t="str">
        <f t="shared" si="319"/>
        <v>y=0.1051*2.54^2+65.423*2.54-19.469</v>
      </c>
      <c r="AQ2848" s="10" t="b">
        <f>IF(AND(I2848="TP",S2848&lt;=150),VLOOKUP(AF2848,TPCalibEq150!$AZ$2:$BB$55,3,),IF(AND(I2848="TDP",S2848&lt;=150),VLOOKUP(AF2848,TPCalibEq150!$AZ$2:$BB$55,3,)))</f>
        <v>0</v>
      </c>
      <c r="AR2848" s="10" t="str">
        <f>IF(AND(I2848="TP",S2848&lt;=300),VLOOKUP(AF2848,TPCalibEq300!$AZ$2:$BB$55,3,),IF(AND(I2848="TDP",S2848&lt;=300),VLOOKUP(AF2848,TPCalibEq300!$AZ$2:$BB$55,3,)))</f>
        <v>y=-2.9408x2+89.45x-43.664</v>
      </c>
      <c r="AS2848" s="10" t="str">
        <f>IF(AND(I2848="TP",S2848&lt;=500),VLOOKUP(AF2848,TPCalibEq500!$AZ$2:$BB$56,3,),IF(AND(I2848="TDP",S2848&lt;=500),VLOOKUP(AF2848,TPCalibEq500!$AZ$2:$BB$56,3,)))</f>
        <v>y=-1.7314x2+83.401x-37.87</v>
      </c>
      <c r="AT2848" s="10" t="b">
        <f>IF(AND(I2848="TN",S2848&lt;=2800),VLOOKUP(AF2848,TNCalibEq2500!$AZ$2:$BB$56,3,),IF(AND(I2848="TDN",S2848&lt;=2800),VLOOKUP(AF2848,TNCalibEq2500!$AZ$2:$BB$56,3,)))</f>
        <v>0</v>
      </c>
      <c r="AU2848" s="10" t="str">
        <f>IF(I2848="TP",VLOOKUP(AF2848,TPCalibEqFull!$AZ$2:$BB$56,3),IF(I2848="TDP",VLOOKUP(AF2848,TPCalibEqFull!$AZ$2:$BB$56,3),IF(I2848="TDN",VLOOKUP(AF2848,TNCalibEqFull!$AZ$1:$BB$56,3),IF(I2848="TN",VLOOKUP(AF2848,TNCalibEqFull!$AZ$1:$BB$56,3),FALSE))))</f>
        <v>y=0.1051x2+65.423x-19.469</v>
      </c>
      <c r="AV2848" s="10" t="str">
        <f t="shared" si="324"/>
        <v>0201 12:05:00-HST-0-FIL-1-SW-UKN</v>
      </c>
    </row>
    <row r="2849" spans="1:48" s="10" customFormat="1" x14ac:dyDescent="0.55000000000000004">
      <c r="A2849" s="32">
        <v>44959</v>
      </c>
      <c r="B2849" s="33">
        <v>0.58194444444444449</v>
      </c>
      <c r="C2849" s="10" t="s">
        <v>279</v>
      </c>
      <c r="D2849" s="10">
        <v>0</v>
      </c>
      <c r="E2849" s="10" t="s">
        <v>911</v>
      </c>
      <c r="F2849" s="10">
        <v>1</v>
      </c>
      <c r="G2849" s="10" t="s">
        <v>231</v>
      </c>
      <c r="H2849" s="10" t="s">
        <v>322</v>
      </c>
      <c r="I2849" s="10" t="s">
        <v>266</v>
      </c>
      <c r="J2849" s="10">
        <v>62</v>
      </c>
      <c r="K2849" s="12">
        <v>44966</v>
      </c>
      <c r="L2849" s="33">
        <v>0.63124999999999998</v>
      </c>
      <c r="M2849" s="10">
        <v>1</v>
      </c>
      <c r="N2849" s="10" t="s">
        <v>84</v>
      </c>
      <c r="O2849" s="10">
        <v>5.17</v>
      </c>
      <c r="P2849" s="10">
        <v>0.37</v>
      </c>
      <c r="Q2849" s="10">
        <v>322</v>
      </c>
      <c r="R2849" s="10" t="s">
        <v>85</v>
      </c>
      <c r="S2849" s="34">
        <f t="shared" si="321"/>
        <v>347.03475253999994</v>
      </c>
      <c r="T2849" s="10" t="s">
        <v>1201</v>
      </c>
      <c r="U2849" s="34" t="str">
        <f t="shared" si="322"/>
        <v/>
      </c>
      <c r="V2849" s="31" t="str">
        <f>IF(H2849="CHK",VLOOKUP(I2849,QCCHK,3,),IF(H2849="GUP",VLOOKUP(E2849,QCGUP,2,),IF(AND(H2849="ATP",OR(I2849="TN",I2849="TDN",I2849="TNO2-3",I2849="NO2-3")),VLOOKUP(E2849,QCREC_N,2,),IF(AND(H2849="NIC",OR(I2849="TN",I2849="TDN",I2849="TNO2-3",I2849="NO2-3")),VLOOKUP(E2849,QCNIC_N,2,),IF(AND(H2849="UREA",OR(I2849="TN",I2849="TDN",I2849="TNO2-3",I2849="NO2-3")),VLOOKUP(E2849,QCUREA_N,2,),IF(H2849="PER",VLOOKUP(I2849,QCPER,MATCH(E2849,QCACTUAL!$J$25:$AA$25,0),),IF(H2849="SPK",VLOOKUP(I2849,QCSPK,3,),IF(AND(H2849="ATP",OR(I2849="TP",I2849="TDP")),VLOOKUP(E2849,QCATP_P,2,),""))))))))</f>
        <v/>
      </c>
      <c r="W2849" s="31" t="str">
        <f t="shared" si="323"/>
        <v>TRUE</v>
      </c>
      <c r="X2849" s="31" t="str">
        <f t="shared" si="320"/>
        <v/>
      </c>
      <c r="Y2849" s="10" t="s">
        <v>1188</v>
      </c>
      <c r="Z2849" s="10" t="s">
        <v>910</v>
      </c>
      <c r="AF2849" s="12">
        <v>44966</v>
      </c>
      <c r="AI2849" s="10">
        <f>-1.7314*5.17^2+83.401*5.17-37.87</f>
        <v>347.03475253999994</v>
      </c>
      <c r="AK2849" s="10">
        <f>0.1051*5.17^2+65.423*5.17-19.469</f>
        <v>321.57711739000001</v>
      </c>
      <c r="AL2849" s="10" t="str">
        <f t="shared" si="318"/>
        <v>FALSE</v>
      </c>
      <c r="AM2849" s="10" t="str">
        <f t="shared" si="318"/>
        <v>FALSE</v>
      </c>
      <c r="AN2849" s="10" t="str">
        <f t="shared" si="318"/>
        <v>y=-1.7314*5.17^2+83.401*5.17-37.87</v>
      </c>
      <c r="AO2849" s="10" t="str">
        <f t="shared" si="319"/>
        <v>FALSE</v>
      </c>
      <c r="AP2849" s="10" t="str">
        <f t="shared" si="319"/>
        <v>y=0.1051*5.17^2+65.423*5.17-19.469</v>
      </c>
      <c r="AQ2849" s="10" t="b">
        <f>IF(AND(I2849="TP",S2849&lt;=150),VLOOKUP(AF2849,TPCalibEq150!$AZ$2:$BB$55,3,),IF(AND(I2849="TDP",S2849&lt;=150),VLOOKUP(AF2849,TPCalibEq150!$AZ$2:$BB$55,3,)))</f>
        <v>0</v>
      </c>
      <c r="AR2849" s="10" t="b">
        <f>IF(AND(I2849="TP",S2849&lt;=300),VLOOKUP(AF2849,TPCalibEq300!$AZ$2:$BB$55,3,),IF(AND(I2849="TDP",S2849&lt;=300),VLOOKUP(AF2849,TPCalibEq300!$AZ$2:$BB$55,3,)))</f>
        <v>0</v>
      </c>
      <c r="AS2849" s="10" t="str">
        <f>IF(AND(I2849="TP",S2849&lt;=500),VLOOKUP(AF2849,TPCalibEq500!$AZ$2:$BB$56,3,),IF(AND(I2849="TDP",S2849&lt;=500),VLOOKUP(AF2849,TPCalibEq500!$AZ$2:$BB$56,3,)))</f>
        <v>y=-1.7314x2+83.401x-37.87</v>
      </c>
      <c r="AT2849" s="10" t="b">
        <f>IF(AND(I2849="TN",S2849&lt;=2800),VLOOKUP(AF2849,TNCalibEq2500!$AZ$2:$BB$56,3,),IF(AND(I2849="TDN",S2849&lt;=2800),VLOOKUP(AF2849,TNCalibEq2500!$AZ$2:$BB$56,3,)))</f>
        <v>0</v>
      </c>
      <c r="AU2849" s="10" t="str">
        <f>IF(I2849="TP",VLOOKUP(AF2849,TPCalibEqFull!$AZ$2:$BB$56,3),IF(I2849="TDP",VLOOKUP(AF2849,TPCalibEqFull!$AZ$2:$BB$56,3),IF(I2849="TDN",VLOOKUP(AF2849,TNCalibEqFull!$AZ$1:$BB$56,3),IF(I2849="TN",VLOOKUP(AF2849,TNCalibEqFull!$AZ$1:$BB$56,3),FALSE))))</f>
        <v>y=0.1051x2+65.423x-19.469</v>
      </c>
      <c r="AV2849" s="10" t="str">
        <f t="shared" si="324"/>
        <v>0202 13:58:00-EFK-0-FIL-1-SW-UKN</v>
      </c>
    </row>
    <row r="2850" spans="1:48" s="10" customFormat="1" x14ac:dyDescent="0.55000000000000004">
      <c r="A2850" s="32">
        <v>44959</v>
      </c>
      <c r="B2850" s="33">
        <v>0.56944444444444442</v>
      </c>
      <c r="C2850" s="10" t="s">
        <v>333</v>
      </c>
      <c r="D2850" s="10">
        <v>0</v>
      </c>
      <c r="E2850" s="10" t="s">
        <v>911</v>
      </c>
      <c r="F2850" s="10">
        <v>1</v>
      </c>
      <c r="G2850" s="10" t="s">
        <v>231</v>
      </c>
      <c r="H2850" s="10" t="s">
        <v>322</v>
      </c>
      <c r="I2850" s="10" t="s">
        <v>266</v>
      </c>
      <c r="J2850" s="10">
        <v>63</v>
      </c>
      <c r="K2850" s="12">
        <v>44966</v>
      </c>
      <c r="L2850" s="33">
        <v>0.63196759259259261</v>
      </c>
      <c r="M2850" s="10">
        <v>1</v>
      </c>
      <c r="N2850" s="10" t="s">
        <v>84</v>
      </c>
      <c r="O2850" s="10">
        <v>5.39</v>
      </c>
      <c r="P2850" s="10">
        <v>0.38600000000000001</v>
      </c>
      <c r="Q2850" s="10">
        <v>336</v>
      </c>
      <c r="R2850" s="10" t="s">
        <v>85</v>
      </c>
      <c r="S2850" s="34">
        <f t="shared" si="321"/>
        <v>361.36058405999995</v>
      </c>
      <c r="T2850" s="10" t="s">
        <v>1201</v>
      </c>
      <c r="U2850" s="34" t="str">
        <f t="shared" si="322"/>
        <v/>
      </c>
      <c r="V2850" s="31" t="str">
        <f>IF(H2850="CHK",VLOOKUP(I2850,QCCHK,3,),IF(H2850="GUP",VLOOKUP(E2850,QCGUP,2,),IF(AND(H2850="ATP",OR(I2850="TN",I2850="TDN",I2850="TNO2-3",I2850="NO2-3")),VLOOKUP(E2850,QCREC_N,2,),IF(AND(H2850="NIC",OR(I2850="TN",I2850="TDN",I2850="TNO2-3",I2850="NO2-3")),VLOOKUP(E2850,QCNIC_N,2,),IF(AND(H2850="UREA",OR(I2850="TN",I2850="TDN",I2850="TNO2-3",I2850="NO2-3")),VLOOKUP(E2850,QCUREA_N,2,),IF(H2850="PER",VLOOKUP(I2850,QCPER,MATCH(E2850,QCACTUAL!$J$25:$AA$25,0),),IF(H2850="SPK",VLOOKUP(I2850,QCSPK,3,),IF(AND(H2850="ATP",OR(I2850="TP",I2850="TDP")),VLOOKUP(E2850,QCATP_P,2,),""))))))))</f>
        <v/>
      </c>
      <c r="W2850" s="31" t="str">
        <f t="shared" si="323"/>
        <v>TRUE</v>
      </c>
      <c r="X2850" s="31" t="str">
        <f t="shared" si="320"/>
        <v/>
      </c>
      <c r="Y2850" s="10" t="s">
        <v>1188</v>
      </c>
      <c r="Z2850" s="10" t="s">
        <v>910</v>
      </c>
      <c r="AF2850" s="12">
        <v>44966</v>
      </c>
      <c r="AI2850" s="10">
        <f>-1.7314*5.39^2+83.401*5.39-37.87</f>
        <v>361.36058405999995</v>
      </c>
      <c r="AK2850" s="10">
        <f>0.1051*5.39^2+65.423*5.39-19.469</f>
        <v>336.21434571000003</v>
      </c>
      <c r="AL2850" s="10" t="str">
        <f t="shared" si="318"/>
        <v>FALSE</v>
      </c>
      <c r="AM2850" s="10" t="str">
        <f t="shared" si="318"/>
        <v>FALSE</v>
      </c>
      <c r="AN2850" s="10" t="str">
        <f t="shared" si="318"/>
        <v>y=-1.7314*5.39^2+83.401*5.39-37.87</v>
      </c>
      <c r="AO2850" s="10" t="str">
        <f t="shared" si="319"/>
        <v>FALSE</v>
      </c>
      <c r="AP2850" s="10" t="str">
        <f t="shared" si="319"/>
        <v>y=0.1051*5.39^2+65.423*5.39-19.469</v>
      </c>
      <c r="AQ2850" s="10" t="b">
        <f>IF(AND(I2850="TP",S2850&lt;=150),VLOOKUP(AF2850,TPCalibEq150!$AZ$2:$BB$55,3,),IF(AND(I2850="TDP",S2850&lt;=150),VLOOKUP(AF2850,TPCalibEq150!$AZ$2:$BB$55,3,)))</f>
        <v>0</v>
      </c>
      <c r="AR2850" s="10" t="b">
        <f>IF(AND(I2850="TP",S2850&lt;=300),VLOOKUP(AF2850,TPCalibEq300!$AZ$2:$BB$55,3,),IF(AND(I2850="TDP",S2850&lt;=300),VLOOKUP(AF2850,TPCalibEq300!$AZ$2:$BB$55,3,)))</f>
        <v>0</v>
      </c>
      <c r="AS2850" s="10" t="str">
        <f>IF(AND(I2850="TP",S2850&lt;=500),VLOOKUP(AF2850,TPCalibEq500!$AZ$2:$BB$56,3,),IF(AND(I2850="TDP",S2850&lt;=500),VLOOKUP(AF2850,TPCalibEq500!$AZ$2:$BB$56,3,)))</f>
        <v>y=-1.7314x2+83.401x-37.87</v>
      </c>
      <c r="AT2850" s="10" t="b">
        <f>IF(AND(I2850="TN",S2850&lt;=2800),VLOOKUP(AF2850,TNCalibEq2500!$AZ$2:$BB$56,3,),IF(AND(I2850="TDN",S2850&lt;=2800),VLOOKUP(AF2850,TNCalibEq2500!$AZ$2:$BB$56,3,)))</f>
        <v>0</v>
      </c>
      <c r="AU2850" s="10" t="str">
        <f>IF(I2850="TP",VLOOKUP(AF2850,TPCalibEqFull!$AZ$2:$BB$56,3),IF(I2850="TDP",VLOOKUP(AF2850,TPCalibEqFull!$AZ$2:$BB$56,3),IF(I2850="TDN",VLOOKUP(AF2850,TNCalibEqFull!$AZ$1:$BB$56,3),IF(I2850="TN",VLOOKUP(AF2850,TNCalibEqFull!$AZ$1:$BB$56,3),FALSE))))</f>
        <v>y=0.1051x2+65.423x-19.469</v>
      </c>
      <c r="AV2850" s="10" t="str">
        <f t="shared" si="324"/>
        <v>0202 13:40:00-HST-0-FIL-1-SW-UKN</v>
      </c>
    </row>
    <row r="2851" spans="1:48" s="10" customFormat="1" x14ac:dyDescent="0.55000000000000004">
      <c r="A2851" s="32">
        <v>44960</v>
      </c>
      <c r="B2851" s="33">
        <v>0.45208333333333334</v>
      </c>
      <c r="C2851" s="10" t="s">
        <v>279</v>
      </c>
      <c r="D2851" s="10">
        <v>0</v>
      </c>
      <c r="E2851" s="10" t="s">
        <v>911</v>
      </c>
      <c r="F2851" s="10">
        <v>1</v>
      </c>
      <c r="G2851" s="10" t="s">
        <v>231</v>
      </c>
      <c r="H2851" s="10" t="s">
        <v>322</v>
      </c>
      <c r="I2851" s="10" t="s">
        <v>266</v>
      </c>
      <c r="J2851" s="10">
        <v>64</v>
      </c>
      <c r="K2851" s="12">
        <v>44966</v>
      </c>
      <c r="L2851" s="33">
        <v>0.63266203703703705</v>
      </c>
      <c r="M2851" s="10">
        <v>1</v>
      </c>
      <c r="N2851" s="10" t="s">
        <v>84</v>
      </c>
      <c r="O2851" s="10">
        <v>3.47</v>
      </c>
      <c r="P2851" s="10">
        <v>0.247</v>
      </c>
      <c r="Q2851" s="10">
        <v>210</v>
      </c>
      <c r="R2851" s="10" t="s">
        <v>85</v>
      </c>
      <c r="S2851" s="34">
        <f t="shared" si="321"/>
        <v>231.31762128000003</v>
      </c>
      <c r="T2851" s="10" t="s">
        <v>1201</v>
      </c>
      <c r="U2851" s="34" t="str">
        <f t="shared" si="322"/>
        <v/>
      </c>
      <c r="V2851" s="31" t="str">
        <f>IF(H2851="CHK",VLOOKUP(I2851,QCCHK,3,),IF(H2851="GUP",VLOOKUP(E2851,QCGUP,2,),IF(AND(H2851="ATP",OR(I2851="TN",I2851="TDN",I2851="TNO2-3",I2851="NO2-3")),VLOOKUP(E2851,QCREC_N,2,),IF(AND(H2851="NIC",OR(I2851="TN",I2851="TDN",I2851="TNO2-3",I2851="NO2-3")),VLOOKUP(E2851,QCNIC_N,2,),IF(AND(H2851="UREA",OR(I2851="TN",I2851="TDN",I2851="TNO2-3",I2851="NO2-3")),VLOOKUP(E2851,QCUREA_N,2,),IF(H2851="PER",VLOOKUP(I2851,QCPER,MATCH(E2851,QCACTUAL!$J$25:$AA$25,0),),IF(H2851="SPK",VLOOKUP(I2851,QCSPK,3,),IF(AND(H2851="ATP",OR(I2851="TP",I2851="TDP")),VLOOKUP(E2851,QCATP_P,2,),""))))))))</f>
        <v/>
      </c>
      <c r="W2851" s="31" t="str">
        <f t="shared" si="323"/>
        <v>TRUE</v>
      </c>
      <c r="X2851" s="31" t="str">
        <f t="shared" si="320"/>
        <v/>
      </c>
      <c r="Y2851" s="10" t="s">
        <v>1188</v>
      </c>
      <c r="Z2851" s="10" t="s">
        <v>910</v>
      </c>
      <c r="AF2851" s="12">
        <v>44966</v>
      </c>
      <c r="AH2851" s="10">
        <f>-2.9408*3.47^2+89.45*3.47-43.664</f>
        <v>231.31762128000003</v>
      </c>
      <c r="AI2851" s="10">
        <f>-1.7314*3.47^2+83.401*3.47-37.87</f>
        <v>230.68385574000001</v>
      </c>
      <c r="AK2851" s="10">
        <f>0.1051*3.47^2+65.423*3.47-19.469</f>
        <v>208.81430859000002</v>
      </c>
      <c r="AL2851" s="10" t="str">
        <f t="shared" si="318"/>
        <v>FALSE</v>
      </c>
      <c r="AM2851" s="10" t="str">
        <f t="shared" si="318"/>
        <v>y=-2.9408*3.47^2+89.45*3.47-43.664</v>
      </c>
      <c r="AN2851" s="10" t="str">
        <f t="shared" si="318"/>
        <v>y=-1.7314*3.47^2+83.401*3.47-37.87</v>
      </c>
      <c r="AO2851" s="10" t="str">
        <f t="shared" si="319"/>
        <v>FALSE</v>
      </c>
      <c r="AP2851" s="10" t="str">
        <f t="shared" si="319"/>
        <v>y=0.1051*3.47^2+65.423*3.47-19.469</v>
      </c>
      <c r="AQ2851" s="10" t="b">
        <f>IF(AND(I2851="TP",S2851&lt;=150),VLOOKUP(AF2851,TPCalibEq150!$AZ$2:$BB$55,3,),IF(AND(I2851="TDP",S2851&lt;=150),VLOOKUP(AF2851,TPCalibEq150!$AZ$2:$BB$55,3,)))</f>
        <v>0</v>
      </c>
      <c r="AR2851" s="10" t="str">
        <f>IF(AND(I2851="TP",S2851&lt;=300),VLOOKUP(AF2851,TPCalibEq300!$AZ$2:$BB$55,3,),IF(AND(I2851="TDP",S2851&lt;=300),VLOOKUP(AF2851,TPCalibEq300!$AZ$2:$BB$55,3,)))</f>
        <v>y=-2.9408x2+89.45x-43.664</v>
      </c>
      <c r="AS2851" s="10" t="str">
        <f>IF(AND(I2851="TP",S2851&lt;=500),VLOOKUP(AF2851,TPCalibEq500!$AZ$2:$BB$56,3,),IF(AND(I2851="TDP",S2851&lt;=500),VLOOKUP(AF2851,TPCalibEq500!$AZ$2:$BB$56,3,)))</f>
        <v>y=-1.7314x2+83.401x-37.87</v>
      </c>
      <c r="AT2851" s="10" t="b">
        <f>IF(AND(I2851="TN",S2851&lt;=2800),VLOOKUP(AF2851,TNCalibEq2500!$AZ$2:$BB$56,3,),IF(AND(I2851="TDN",S2851&lt;=2800),VLOOKUP(AF2851,TNCalibEq2500!$AZ$2:$BB$56,3,)))</f>
        <v>0</v>
      </c>
      <c r="AU2851" s="10" t="str">
        <f>IF(I2851="TP",VLOOKUP(AF2851,TPCalibEqFull!$AZ$2:$BB$56,3),IF(I2851="TDP",VLOOKUP(AF2851,TPCalibEqFull!$AZ$2:$BB$56,3),IF(I2851="TDN",VLOOKUP(AF2851,TNCalibEqFull!$AZ$1:$BB$56,3),IF(I2851="TN",VLOOKUP(AF2851,TNCalibEqFull!$AZ$1:$BB$56,3),FALSE))))</f>
        <v>y=0.1051x2+65.423x-19.469</v>
      </c>
      <c r="AV2851" s="10" t="str">
        <f t="shared" si="324"/>
        <v>0203 10:51:00-EFK-0-FIL-1-SW-UKN</v>
      </c>
    </row>
    <row r="2852" spans="1:48" s="10" customFormat="1" x14ac:dyDescent="0.55000000000000004">
      <c r="A2852" s="32">
        <v>44960</v>
      </c>
      <c r="B2852" s="33">
        <v>0.45416666666666666</v>
      </c>
      <c r="C2852" s="10" t="s">
        <v>333</v>
      </c>
      <c r="D2852" s="10">
        <v>0</v>
      </c>
      <c r="E2852" s="10" t="s">
        <v>911</v>
      </c>
      <c r="F2852" s="10">
        <v>1</v>
      </c>
      <c r="G2852" s="10" t="s">
        <v>231</v>
      </c>
      <c r="H2852" s="10" t="s">
        <v>322</v>
      </c>
      <c r="I2852" s="10" t="s">
        <v>266</v>
      </c>
      <c r="J2852" s="10">
        <v>65</v>
      </c>
      <c r="K2852" s="12">
        <v>44966</v>
      </c>
      <c r="L2852" s="33">
        <v>0.63335648148148149</v>
      </c>
      <c r="M2852" s="10">
        <v>1</v>
      </c>
      <c r="N2852" s="10" t="s">
        <v>84</v>
      </c>
      <c r="O2852" s="10">
        <v>2.1800000000000002</v>
      </c>
      <c r="P2852" s="10">
        <v>0.152</v>
      </c>
      <c r="Q2852" s="10">
        <v>125</v>
      </c>
      <c r="R2852" s="10" t="s">
        <v>85</v>
      </c>
      <c r="S2852" s="34">
        <f t="shared" si="321"/>
        <v>139.2935104</v>
      </c>
      <c r="T2852" s="10" t="s">
        <v>1201</v>
      </c>
      <c r="U2852" s="34" t="str">
        <f t="shared" si="322"/>
        <v/>
      </c>
      <c r="V2852" s="31" t="str">
        <f>IF(H2852="CHK",VLOOKUP(I2852,QCCHK,3,),IF(H2852="GUP",VLOOKUP(E2852,QCGUP,2,),IF(AND(H2852="ATP",OR(I2852="TN",I2852="TDN",I2852="TNO2-3",I2852="NO2-3")),VLOOKUP(E2852,QCREC_N,2,),IF(AND(H2852="NIC",OR(I2852="TN",I2852="TDN",I2852="TNO2-3",I2852="NO2-3")),VLOOKUP(E2852,QCNIC_N,2,),IF(AND(H2852="UREA",OR(I2852="TN",I2852="TDN",I2852="TNO2-3",I2852="NO2-3")),VLOOKUP(E2852,QCUREA_N,2,),IF(H2852="PER",VLOOKUP(I2852,QCPER,MATCH(E2852,QCACTUAL!$J$25:$AA$25,0),),IF(H2852="SPK",VLOOKUP(I2852,QCSPK,3,),IF(AND(H2852="ATP",OR(I2852="TP",I2852="TDP")),VLOOKUP(E2852,QCATP_P,2,),""))))))))</f>
        <v/>
      </c>
      <c r="W2852" s="31" t="str">
        <f t="shared" si="323"/>
        <v>TRUE</v>
      </c>
      <c r="X2852" s="31" t="str">
        <f t="shared" si="320"/>
        <v/>
      </c>
      <c r="Y2852" s="10" t="s">
        <v>1188</v>
      </c>
      <c r="Z2852" s="10" t="s">
        <v>910</v>
      </c>
      <c r="AF2852" s="12">
        <v>44966</v>
      </c>
      <c r="AG2852" s="10">
        <f>-11.204*2.18^2+113.68*2.18-55.283</f>
        <v>139.2935104</v>
      </c>
      <c r="AH2852" s="10">
        <f>-2.9408*2.18^2+89.45*2.18-43.664</f>
        <v>137.36114208000004</v>
      </c>
      <c r="AI2852" s="10">
        <f>-1.7314*2.18^2+83.401*2.18-37.87</f>
        <v>135.71587463999998</v>
      </c>
      <c r="AK2852" s="10">
        <f>0.1051*2.18^2+65.423*2.18-19.469</f>
        <v>123.65261724000001</v>
      </c>
      <c r="AL2852" s="10" t="str">
        <f t="shared" si="318"/>
        <v>y=-11.204*2.18^2+113.68*2.18-55.283</v>
      </c>
      <c r="AM2852" s="10" t="str">
        <f t="shared" si="318"/>
        <v>y=-2.9408*2.18^2+89.45*2.18-43.664</v>
      </c>
      <c r="AN2852" s="10" t="str">
        <f t="shared" si="318"/>
        <v>y=-1.7314*2.18^2+83.401*2.18-37.87</v>
      </c>
      <c r="AO2852" s="10" t="str">
        <f t="shared" si="319"/>
        <v>FALSE</v>
      </c>
      <c r="AP2852" s="10" t="str">
        <f t="shared" si="319"/>
        <v>y=0.1051*2.18^2+65.423*2.18-19.469</v>
      </c>
      <c r="AQ2852" s="10" t="str">
        <f>IF(AND(I2852="TP",S2852&lt;=150),VLOOKUP(AF2852,TPCalibEq150!$AZ$2:$BB$55,3,),IF(AND(I2852="TDP",S2852&lt;=150),VLOOKUP(AF2852,TPCalibEq150!$AZ$2:$BB$55,3,)))</f>
        <v>y=-11.204x2+113.68x-55.283</v>
      </c>
      <c r="AR2852" s="10" t="str">
        <f>IF(AND(I2852="TP",S2852&lt;=300),VLOOKUP(AF2852,TPCalibEq300!$AZ$2:$BB$55,3,),IF(AND(I2852="TDP",S2852&lt;=300),VLOOKUP(AF2852,TPCalibEq300!$AZ$2:$BB$55,3,)))</f>
        <v>y=-2.9408x2+89.45x-43.664</v>
      </c>
      <c r="AS2852" s="10" t="str">
        <f>IF(AND(I2852="TP",S2852&lt;=500),VLOOKUP(AF2852,TPCalibEq500!$AZ$2:$BB$56,3,),IF(AND(I2852="TDP",S2852&lt;=500),VLOOKUP(AF2852,TPCalibEq500!$AZ$2:$BB$56,3,)))</f>
        <v>y=-1.7314x2+83.401x-37.87</v>
      </c>
      <c r="AT2852" s="10" t="b">
        <f>IF(AND(I2852="TN",S2852&lt;=2800),VLOOKUP(AF2852,TNCalibEq2500!$AZ$2:$BB$56,3,),IF(AND(I2852="TDN",S2852&lt;=2800),VLOOKUP(AF2852,TNCalibEq2500!$AZ$2:$BB$56,3,)))</f>
        <v>0</v>
      </c>
      <c r="AU2852" s="10" t="str">
        <f>IF(I2852="TP",VLOOKUP(AF2852,TPCalibEqFull!$AZ$2:$BB$56,3),IF(I2852="TDP",VLOOKUP(AF2852,TPCalibEqFull!$AZ$2:$BB$56,3),IF(I2852="TDN",VLOOKUP(AF2852,TNCalibEqFull!$AZ$1:$BB$56,3),IF(I2852="TN",VLOOKUP(AF2852,TNCalibEqFull!$AZ$1:$BB$56,3),FALSE))))</f>
        <v>y=0.1051x2+65.423x-19.469</v>
      </c>
      <c r="AV2852" s="10" t="str">
        <f t="shared" si="324"/>
        <v>0203 10:54:00-HST-0-FIL-1-SW-UKN</v>
      </c>
    </row>
    <row r="2853" spans="1:48" s="10" customFormat="1" x14ac:dyDescent="0.55000000000000004">
      <c r="A2853" s="32">
        <v>44963</v>
      </c>
      <c r="B2853" s="33">
        <v>0.31666666666666665</v>
      </c>
      <c r="C2853" s="10" t="s">
        <v>279</v>
      </c>
      <c r="D2853" s="10">
        <v>0</v>
      </c>
      <c r="E2853" s="10" t="s">
        <v>911</v>
      </c>
      <c r="F2853" s="10">
        <v>1</v>
      </c>
      <c r="G2853" s="10" t="s">
        <v>231</v>
      </c>
      <c r="H2853" s="10" t="s">
        <v>322</v>
      </c>
      <c r="I2853" s="10" t="s">
        <v>266</v>
      </c>
      <c r="J2853" s="10">
        <v>66</v>
      </c>
      <c r="K2853" s="12">
        <v>44966</v>
      </c>
      <c r="L2853" s="33">
        <v>0.63405092592592593</v>
      </c>
      <c r="M2853" s="10">
        <v>1</v>
      </c>
      <c r="N2853" s="10" t="s">
        <v>84</v>
      </c>
      <c r="O2853" s="10">
        <v>3.31</v>
      </c>
      <c r="P2853" s="10">
        <v>0.23499999999999999</v>
      </c>
      <c r="Q2853" s="10">
        <v>199</v>
      </c>
      <c r="R2853" s="10" t="s">
        <v>85</v>
      </c>
      <c r="S2853" s="34">
        <f t="shared" si="321"/>
        <v>220.19580112</v>
      </c>
      <c r="T2853" s="10" t="s">
        <v>1201</v>
      </c>
      <c r="U2853" s="34" t="str">
        <f t="shared" si="322"/>
        <v/>
      </c>
      <c r="V2853" s="31" t="str">
        <f>IF(H2853="CHK",VLOOKUP(I2853,QCCHK,3,),IF(H2853="GUP",VLOOKUP(E2853,QCGUP,2,),IF(AND(H2853="ATP",OR(I2853="TN",I2853="TDN",I2853="TNO2-3",I2853="NO2-3")),VLOOKUP(E2853,QCREC_N,2,),IF(AND(H2853="NIC",OR(I2853="TN",I2853="TDN",I2853="TNO2-3",I2853="NO2-3")),VLOOKUP(E2853,QCNIC_N,2,),IF(AND(H2853="UREA",OR(I2853="TN",I2853="TDN",I2853="TNO2-3",I2853="NO2-3")),VLOOKUP(E2853,QCUREA_N,2,),IF(H2853="PER",VLOOKUP(I2853,QCPER,MATCH(E2853,QCACTUAL!$J$25:$AA$25,0),),IF(H2853="SPK",VLOOKUP(I2853,QCSPK,3,),IF(AND(H2853="ATP",OR(I2853="TP",I2853="TDP")),VLOOKUP(E2853,QCATP_P,2,),""))))))))</f>
        <v/>
      </c>
      <c r="W2853" s="31" t="str">
        <f t="shared" si="323"/>
        <v>TRUE</v>
      </c>
      <c r="X2853" s="31" t="str">
        <f t="shared" si="320"/>
        <v/>
      </c>
      <c r="Y2853" s="10" t="s">
        <v>1188</v>
      </c>
      <c r="Z2853" s="10" t="s">
        <v>910</v>
      </c>
      <c r="AF2853" s="12">
        <v>44966</v>
      </c>
      <c r="AH2853" s="10">
        <f>-2.9408*3.31^2+89.45*3.31-43.664</f>
        <v>220.19580112</v>
      </c>
      <c r="AI2853" s="10">
        <f>-1.7314*3.31^2+83.401*3.31-37.87</f>
        <v>219.21791845999996</v>
      </c>
      <c r="AK2853" s="10">
        <f>0.1051*3.31^2+65.423*3.31-19.469</f>
        <v>198.23261611000001</v>
      </c>
      <c r="AL2853" s="10" t="str">
        <f t="shared" si="318"/>
        <v>FALSE</v>
      </c>
      <c r="AM2853" s="10" t="str">
        <f t="shared" si="318"/>
        <v>y=-2.9408*3.31^2+89.45*3.31-43.664</v>
      </c>
      <c r="AN2853" s="10" t="str">
        <f t="shared" si="318"/>
        <v>y=-1.7314*3.31^2+83.401*3.31-37.87</v>
      </c>
      <c r="AO2853" s="10" t="str">
        <f t="shared" si="319"/>
        <v>FALSE</v>
      </c>
      <c r="AP2853" s="10" t="str">
        <f t="shared" si="319"/>
        <v>y=0.1051*3.31^2+65.423*3.31-19.469</v>
      </c>
      <c r="AQ2853" s="10" t="b">
        <f>IF(AND(I2853="TP",S2853&lt;=150),VLOOKUP(AF2853,TPCalibEq150!$AZ$2:$BB$55,3,),IF(AND(I2853="TDP",S2853&lt;=150),VLOOKUP(AF2853,TPCalibEq150!$AZ$2:$BB$55,3,)))</f>
        <v>0</v>
      </c>
      <c r="AR2853" s="10" t="str">
        <f>IF(AND(I2853="TP",S2853&lt;=300),VLOOKUP(AF2853,TPCalibEq300!$AZ$2:$BB$55,3,),IF(AND(I2853="TDP",S2853&lt;=300),VLOOKUP(AF2853,TPCalibEq300!$AZ$2:$BB$55,3,)))</f>
        <v>y=-2.9408x2+89.45x-43.664</v>
      </c>
      <c r="AS2853" s="10" t="str">
        <f>IF(AND(I2853="TP",S2853&lt;=500),VLOOKUP(AF2853,TPCalibEq500!$AZ$2:$BB$56,3,),IF(AND(I2853="TDP",S2853&lt;=500),VLOOKUP(AF2853,TPCalibEq500!$AZ$2:$BB$56,3,)))</f>
        <v>y=-1.7314x2+83.401x-37.87</v>
      </c>
      <c r="AT2853" s="10" t="b">
        <f>IF(AND(I2853="TN",S2853&lt;=2800),VLOOKUP(AF2853,TNCalibEq2500!$AZ$2:$BB$56,3,),IF(AND(I2853="TDN",S2853&lt;=2800),VLOOKUP(AF2853,TNCalibEq2500!$AZ$2:$BB$56,3,)))</f>
        <v>0</v>
      </c>
      <c r="AU2853" s="10" t="str">
        <f>IF(I2853="TP",VLOOKUP(AF2853,TPCalibEqFull!$AZ$2:$BB$56,3),IF(I2853="TDP",VLOOKUP(AF2853,TPCalibEqFull!$AZ$2:$BB$56,3),IF(I2853="TDN",VLOOKUP(AF2853,TNCalibEqFull!$AZ$1:$BB$56,3),IF(I2853="TN",VLOOKUP(AF2853,TNCalibEqFull!$AZ$1:$BB$56,3),FALSE))))</f>
        <v>y=0.1051x2+65.423x-19.469</v>
      </c>
      <c r="AV2853" s="10" t="str">
        <f t="shared" si="324"/>
        <v>0206 07:36:00-EFK-0-FIL-1-SW-UKN</v>
      </c>
    </row>
    <row r="2854" spans="1:48" s="10" customFormat="1" x14ac:dyDescent="0.55000000000000004">
      <c r="A2854" s="32">
        <v>44963</v>
      </c>
      <c r="B2854" s="33">
        <v>0.27986111111111112</v>
      </c>
      <c r="C2854" s="10" t="s">
        <v>333</v>
      </c>
      <c r="D2854" s="10">
        <v>0</v>
      </c>
      <c r="E2854" s="10" t="s">
        <v>911</v>
      </c>
      <c r="F2854" s="10">
        <v>1</v>
      </c>
      <c r="G2854" s="10" t="s">
        <v>231</v>
      </c>
      <c r="H2854" s="10" t="s">
        <v>322</v>
      </c>
      <c r="I2854" s="10" t="s">
        <v>266</v>
      </c>
      <c r="J2854" s="10">
        <v>67</v>
      </c>
      <c r="K2854" s="12">
        <v>44966</v>
      </c>
      <c r="L2854" s="33">
        <v>0.63474537037037038</v>
      </c>
      <c r="M2854" s="10">
        <v>1</v>
      </c>
      <c r="N2854" s="10" t="s">
        <v>84</v>
      </c>
      <c r="O2854" s="10">
        <v>1.35</v>
      </c>
      <c r="P2854" s="10">
        <v>9.2499999999999999E-2</v>
      </c>
      <c r="Q2854" s="10">
        <v>69.7</v>
      </c>
      <c r="R2854" s="10" t="s">
        <v>85</v>
      </c>
      <c r="S2854" s="34">
        <f t="shared" si="321"/>
        <v>77.765710000000027</v>
      </c>
      <c r="T2854" s="10" t="s">
        <v>1201</v>
      </c>
      <c r="U2854" s="34" t="str">
        <f t="shared" si="322"/>
        <v/>
      </c>
      <c r="V2854" s="31" t="str">
        <f>IF(H2854="CHK",VLOOKUP(I2854,QCCHK,3,),IF(H2854="GUP",VLOOKUP(E2854,QCGUP,2,),IF(AND(H2854="ATP",OR(I2854="TN",I2854="TDN",I2854="TNO2-3",I2854="NO2-3")),VLOOKUP(E2854,QCREC_N,2,),IF(AND(H2854="NIC",OR(I2854="TN",I2854="TDN",I2854="TNO2-3",I2854="NO2-3")),VLOOKUP(E2854,QCNIC_N,2,),IF(AND(H2854="UREA",OR(I2854="TN",I2854="TDN",I2854="TNO2-3",I2854="NO2-3")),VLOOKUP(E2854,QCUREA_N,2,),IF(H2854="PER",VLOOKUP(I2854,QCPER,MATCH(E2854,QCACTUAL!$J$25:$AA$25,0),),IF(H2854="SPK",VLOOKUP(I2854,QCSPK,3,),IF(AND(H2854="ATP",OR(I2854="TP",I2854="TDP")),VLOOKUP(E2854,QCATP_P,2,),""))))))))</f>
        <v/>
      </c>
      <c r="W2854" s="31" t="str">
        <f t="shared" si="323"/>
        <v>TRUE</v>
      </c>
      <c r="X2854" s="31" t="str">
        <f t="shared" si="320"/>
        <v/>
      </c>
      <c r="Y2854" s="10" t="s">
        <v>1188</v>
      </c>
      <c r="Z2854" s="10" t="s">
        <v>910</v>
      </c>
      <c r="AF2854" s="12">
        <v>44966</v>
      </c>
      <c r="AG2854" s="10">
        <f>-11.204*1.35^2+113.68*1.35-55.283</f>
        <v>77.765710000000027</v>
      </c>
      <c r="AH2854" s="10">
        <f>-2.9408*1.35^2+89.45*1.35-43.664</f>
        <v>71.733892000000012</v>
      </c>
      <c r="AI2854" s="10">
        <f>-1.7314*1.35^2+83.401*1.35-37.87</f>
        <v>71.565873500000009</v>
      </c>
      <c r="AK2854" s="10">
        <f>0.1051*1.35^2+65.423*1.35-19.469</f>
        <v>69.043594750000011</v>
      </c>
      <c r="AL2854" s="10" t="str">
        <f t="shared" si="318"/>
        <v>y=-11.204*1.35^2+113.68*1.35-55.283</v>
      </c>
      <c r="AM2854" s="10" t="str">
        <f t="shared" si="318"/>
        <v>y=-2.9408*1.35^2+89.45*1.35-43.664</v>
      </c>
      <c r="AN2854" s="10" t="str">
        <f t="shared" si="318"/>
        <v>y=-1.7314*1.35^2+83.401*1.35-37.87</v>
      </c>
      <c r="AO2854" s="10" t="str">
        <f t="shared" si="319"/>
        <v>FALSE</v>
      </c>
      <c r="AP2854" s="10" t="str">
        <f t="shared" si="319"/>
        <v>y=0.1051*1.35^2+65.423*1.35-19.469</v>
      </c>
      <c r="AQ2854" s="10" t="str">
        <f>IF(AND(I2854="TP",S2854&lt;=150),VLOOKUP(AF2854,TPCalibEq150!$AZ$2:$BB$55,3,),IF(AND(I2854="TDP",S2854&lt;=150),VLOOKUP(AF2854,TPCalibEq150!$AZ$2:$BB$55,3,)))</f>
        <v>y=-11.204x2+113.68x-55.283</v>
      </c>
      <c r="AR2854" s="10" t="str">
        <f>IF(AND(I2854="TP",S2854&lt;=300),VLOOKUP(AF2854,TPCalibEq300!$AZ$2:$BB$55,3,),IF(AND(I2854="TDP",S2854&lt;=300),VLOOKUP(AF2854,TPCalibEq300!$AZ$2:$BB$55,3,)))</f>
        <v>y=-2.9408x2+89.45x-43.664</v>
      </c>
      <c r="AS2854" s="10" t="str">
        <f>IF(AND(I2854="TP",S2854&lt;=500),VLOOKUP(AF2854,TPCalibEq500!$AZ$2:$BB$56,3,),IF(AND(I2854="TDP",S2854&lt;=500),VLOOKUP(AF2854,TPCalibEq500!$AZ$2:$BB$56,3,)))</f>
        <v>y=-1.7314x2+83.401x-37.87</v>
      </c>
      <c r="AT2854" s="10" t="b">
        <f>IF(AND(I2854="TN",S2854&lt;=2800),VLOOKUP(AF2854,TNCalibEq2500!$AZ$2:$BB$56,3,),IF(AND(I2854="TDN",S2854&lt;=2800),VLOOKUP(AF2854,TNCalibEq2500!$AZ$2:$BB$56,3,)))</f>
        <v>0</v>
      </c>
      <c r="AU2854" s="10" t="str">
        <f>IF(I2854="TP",VLOOKUP(AF2854,TPCalibEqFull!$AZ$2:$BB$56,3),IF(I2854="TDP",VLOOKUP(AF2854,TPCalibEqFull!$AZ$2:$BB$56,3),IF(I2854="TDN",VLOOKUP(AF2854,TNCalibEqFull!$AZ$1:$BB$56,3),IF(I2854="TN",VLOOKUP(AF2854,TNCalibEqFull!$AZ$1:$BB$56,3),FALSE))))</f>
        <v>y=0.1051x2+65.423x-19.469</v>
      </c>
      <c r="AV2854" s="10" t="str">
        <f t="shared" si="324"/>
        <v>0206 06:43:00-HST-0-FIL-1-SW-UKN</v>
      </c>
    </row>
    <row r="2855" spans="1:48" s="10" customFormat="1" x14ac:dyDescent="0.55000000000000004">
      <c r="A2855" s="32">
        <v>44964</v>
      </c>
      <c r="B2855" s="33">
        <v>0.22291666666666665</v>
      </c>
      <c r="C2855" s="10" t="s">
        <v>279</v>
      </c>
      <c r="D2855" s="10">
        <v>0</v>
      </c>
      <c r="E2855" s="10" t="s">
        <v>911</v>
      </c>
      <c r="F2855" s="10">
        <v>1</v>
      </c>
      <c r="G2855" s="10" t="s">
        <v>231</v>
      </c>
      <c r="H2855" s="10" t="s">
        <v>322</v>
      </c>
      <c r="I2855" s="10" t="s">
        <v>266</v>
      </c>
      <c r="J2855" s="10">
        <v>68</v>
      </c>
      <c r="K2855" s="12">
        <v>44966</v>
      </c>
      <c r="L2855" s="33">
        <v>0.63543981481481482</v>
      </c>
      <c r="M2855" s="10">
        <v>1</v>
      </c>
      <c r="N2855" s="10" t="s">
        <v>84</v>
      </c>
      <c r="O2855" s="10">
        <v>2.83</v>
      </c>
      <c r="P2855" s="10">
        <v>0.2</v>
      </c>
      <c r="Q2855" s="10">
        <v>167</v>
      </c>
      <c r="R2855" s="10" t="s">
        <v>85</v>
      </c>
      <c r="S2855" s="34">
        <f t="shared" si="321"/>
        <v>185.92692688</v>
      </c>
      <c r="T2855" s="10" t="s">
        <v>1201</v>
      </c>
      <c r="U2855" s="34" t="str">
        <f t="shared" si="322"/>
        <v/>
      </c>
      <c r="V2855" s="31" t="str">
        <f>IF(H2855="CHK",VLOOKUP(I2855,QCCHK,3,),IF(H2855="GUP",VLOOKUP(E2855,QCGUP,2,),IF(AND(H2855="ATP",OR(I2855="TN",I2855="TDN",I2855="TNO2-3",I2855="NO2-3")),VLOOKUP(E2855,QCREC_N,2,),IF(AND(H2855="NIC",OR(I2855="TN",I2855="TDN",I2855="TNO2-3",I2855="NO2-3")),VLOOKUP(E2855,QCNIC_N,2,),IF(AND(H2855="UREA",OR(I2855="TN",I2855="TDN",I2855="TNO2-3",I2855="NO2-3")),VLOOKUP(E2855,QCUREA_N,2,),IF(H2855="PER",VLOOKUP(I2855,QCPER,MATCH(E2855,QCACTUAL!$J$25:$AA$25,0),),IF(H2855="SPK",VLOOKUP(I2855,QCSPK,3,),IF(AND(H2855="ATP",OR(I2855="TP",I2855="TDP")),VLOOKUP(E2855,QCATP_P,2,),""))))))))</f>
        <v/>
      </c>
      <c r="W2855" s="31" t="str">
        <f t="shared" si="323"/>
        <v>TRUE</v>
      </c>
      <c r="X2855" s="31" t="str">
        <f t="shared" si="320"/>
        <v/>
      </c>
      <c r="Y2855" s="10" t="s">
        <v>1188</v>
      </c>
      <c r="Z2855" s="10" t="s">
        <v>910</v>
      </c>
      <c r="AF2855" s="12">
        <v>44966</v>
      </c>
      <c r="AH2855" s="10">
        <f>-2.9408*2.83^2+89.45*2.83-43.664</f>
        <v>185.92692688</v>
      </c>
      <c r="AI2855" s="10">
        <f>-1.7314*2.83^2+83.401*2.83-37.87</f>
        <v>184.28822054</v>
      </c>
      <c r="AK2855" s="10">
        <f>0.1051*2.83^2+65.423*2.83-19.469</f>
        <v>166.51982539000002</v>
      </c>
      <c r="AL2855" s="10" t="str">
        <f t="shared" si="318"/>
        <v>FALSE</v>
      </c>
      <c r="AM2855" s="10" t="str">
        <f t="shared" si="318"/>
        <v>y=-2.9408*2.83^2+89.45*2.83-43.664</v>
      </c>
      <c r="AN2855" s="10" t="str">
        <f t="shared" si="318"/>
        <v>y=-1.7314*2.83^2+83.401*2.83-37.87</v>
      </c>
      <c r="AO2855" s="10" t="str">
        <f t="shared" si="319"/>
        <v>FALSE</v>
      </c>
      <c r="AP2855" s="10" t="str">
        <f t="shared" si="319"/>
        <v>y=0.1051*2.83^2+65.423*2.83-19.469</v>
      </c>
      <c r="AQ2855" s="10" t="b">
        <f>IF(AND(I2855="TP",S2855&lt;=150),VLOOKUP(AF2855,TPCalibEq150!$AZ$2:$BB$55,3,),IF(AND(I2855="TDP",S2855&lt;=150),VLOOKUP(AF2855,TPCalibEq150!$AZ$2:$BB$55,3,)))</f>
        <v>0</v>
      </c>
      <c r="AR2855" s="10" t="str">
        <f>IF(AND(I2855="TP",S2855&lt;=300),VLOOKUP(AF2855,TPCalibEq300!$AZ$2:$BB$55,3,),IF(AND(I2855="TDP",S2855&lt;=300),VLOOKUP(AF2855,TPCalibEq300!$AZ$2:$BB$55,3,)))</f>
        <v>y=-2.9408x2+89.45x-43.664</v>
      </c>
      <c r="AS2855" s="10" t="str">
        <f>IF(AND(I2855="TP",S2855&lt;=500),VLOOKUP(AF2855,TPCalibEq500!$AZ$2:$BB$56,3,),IF(AND(I2855="TDP",S2855&lt;=500),VLOOKUP(AF2855,TPCalibEq500!$AZ$2:$BB$56,3,)))</f>
        <v>y=-1.7314x2+83.401x-37.87</v>
      </c>
      <c r="AT2855" s="10" t="b">
        <f>IF(AND(I2855="TN",S2855&lt;=2800),VLOOKUP(AF2855,TNCalibEq2500!$AZ$2:$BB$56,3,),IF(AND(I2855="TDN",S2855&lt;=2800),VLOOKUP(AF2855,TNCalibEq2500!$AZ$2:$BB$56,3,)))</f>
        <v>0</v>
      </c>
      <c r="AU2855" s="10" t="str">
        <f>IF(I2855="TP",VLOOKUP(AF2855,TPCalibEqFull!$AZ$2:$BB$56,3),IF(I2855="TDP",VLOOKUP(AF2855,TPCalibEqFull!$AZ$2:$BB$56,3),IF(I2855="TDN",VLOOKUP(AF2855,TNCalibEqFull!$AZ$1:$BB$56,3),IF(I2855="TN",VLOOKUP(AF2855,TNCalibEqFull!$AZ$1:$BB$56,3),FALSE))))</f>
        <v>y=0.1051x2+65.423x-19.469</v>
      </c>
      <c r="AV2855" s="10" t="str">
        <f t="shared" si="324"/>
        <v>0207 05:21:00-EFK-0-FIL-1-SW-UKN</v>
      </c>
    </row>
    <row r="2856" spans="1:48" s="10" customFormat="1" x14ac:dyDescent="0.55000000000000004">
      <c r="A2856" s="32">
        <v>44964</v>
      </c>
      <c r="B2856" s="33">
        <v>0.22777777777777777</v>
      </c>
      <c r="C2856" s="10" t="s">
        <v>333</v>
      </c>
      <c r="D2856" s="10">
        <v>0</v>
      </c>
      <c r="E2856" s="10" t="s">
        <v>911</v>
      </c>
      <c r="F2856" s="10">
        <v>1</v>
      </c>
      <c r="G2856" s="10" t="s">
        <v>231</v>
      </c>
      <c r="H2856" s="10" t="s">
        <v>322</v>
      </c>
      <c r="I2856" s="10" t="s">
        <v>266</v>
      </c>
      <c r="J2856" s="10">
        <v>69</v>
      </c>
      <c r="K2856" s="12">
        <v>44966</v>
      </c>
      <c r="L2856" s="33">
        <v>0.63612268518518522</v>
      </c>
      <c r="M2856" s="10">
        <v>1</v>
      </c>
      <c r="N2856" s="10" t="s">
        <v>84</v>
      </c>
      <c r="O2856" s="10">
        <v>1.18</v>
      </c>
      <c r="P2856" s="10">
        <v>7.9799999999999996E-2</v>
      </c>
      <c r="Q2856" s="10">
        <v>58.9</v>
      </c>
      <c r="R2856" s="10" t="s">
        <v>85</v>
      </c>
      <c r="S2856" s="34">
        <f t="shared" si="321"/>
        <v>63.258950400000003</v>
      </c>
      <c r="T2856" s="10" t="s">
        <v>1201</v>
      </c>
      <c r="U2856" s="34" t="str">
        <f t="shared" si="322"/>
        <v/>
      </c>
      <c r="V2856" s="31" t="str">
        <f>IF(H2856="CHK",VLOOKUP(I2856,QCCHK,3,),IF(H2856="GUP",VLOOKUP(E2856,QCGUP,2,),IF(AND(H2856="ATP",OR(I2856="TN",I2856="TDN",I2856="TNO2-3",I2856="NO2-3")),VLOOKUP(E2856,QCREC_N,2,),IF(AND(H2856="NIC",OR(I2856="TN",I2856="TDN",I2856="TNO2-3",I2856="NO2-3")),VLOOKUP(E2856,QCNIC_N,2,),IF(AND(H2856="UREA",OR(I2856="TN",I2856="TDN",I2856="TNO2-3",I2856="NO2-3")),VLOOKUP(E2856,QCUREA_N,2,),IF(H2856="PER",VLOOKUP(I2856,QCPER,MATCH(E2856,QCACTUAL!$J$25:$AA$25,0),),IF(H2856="SPK",VLOOKUP(I2856,QCSPK,3,),IF(AND(H2856="ATP",OR(I2856="TP",I2856="TDP")),VLOOKUP(E2856,QCATP_P,2,),""))))))))</f>
        <v/>
      </c>
      <c r="W2856" s="31" t="str">
        <f t="shared" si="323"/>
        <v>TRUE</v>
      </c>
      <c r="X2856" s="31" t="str">
        <f t="shared" si="320"/>
        <v/>
      </c>
      <c r="Y2856" s="10" t="s">
        <v>1188</v>
      </c>
      <c r="Z2856" s="10" t="s">
        <v>910</v>
      </c>
      <c r="AF2856" s="12">
        <v>44966</v>
      </c>
      <c r="AG2856" s="10">
        <f>-11.204*1.18^2+113.68*1.18-55.283</f>
        <v>63.258950400000003</v>
      </c>
      <c r="AH2856" s="10">
        <f>-2.9408*1.18^2+89.45*1.18-43.664</f>
        <v>57.792230079999996</v>
      </c>
      <c r="AI2856" s="10">
        <f>-1.7314*1.18^2+83.401*1.18-37.87</f>
        <v>58.132378640000006</v>
      </c>
      <c r="AK2856" s="10">
        <f>0.1051*1.18^2+65.423*1.18-19.469</f>
        <v>57.876481239999997</v>
      </c>
      <c r="AL2856" s="10" t="str">
        <f t="shared" si="318"/>
        <v>y=-11.204*1.18^2+113.68*1.18-55.283</v>
      </c>
      <c r="AM2856" s="10" t="str">
        <f t="shared" si="318"/>
        <v>y=-2.9408*1.18^2+89.45*1.18-43.664</v>
      </c>
      <c r="AN2856" s="10" t="str">
        <f t="shared" si="318"/>
        <v>y=-1.7314*1.18^2+83.401*1.18-37.87</v>
      </c>
      <c r="AO2856" s="10" t="str">
        <f t="shared" si="319"/>
        <v>FALSE</v>
      </c>
      <c r="AP2856" s="10" t="str">
        <f t="shared" si="319"/>
        <v>y=0.1051*1.18^2+65.423*1.18-19.469</v>
      </c>
      <c r="AQ2856" s="10" t="str">
        <f>IF(AND(I2856="TP",S2856&lt;=150),VLOOKUP(AF2856,TPCalibEq150!$AZ$2:$BB$55,3,),IF(AND(I2856="TDP",S2856&lt;=150),VLOOKUP(AF2856,TPCalibEq150!$AZ$2:$BB$55,3,)))</f>
        <v>y=-11.204x2+113.68x-55.283</v>
      </c>
      <c r="AR2856" s="10" t="str">
        <f>IF(AND(I2856="TP",S2856&lt;=300),VLOOKUP(AF2856,TPCalibEq300!$AZ$2:$BB$55,3,),IF(AND(I2856="TDP",S2856&lt;=300),VLOOKUP(AF2856,TPCalibEq300!$AZ$2:$BB$55,3,)))</f>
        <v>y=-2.9408x2+89.45x-43.664</v>
      </c>
      <c r="AS2856" s="10" t="str">
        <f>IF(AND(I2856="TP",S2856&lt;=500),VLOOKUP(AF2856,TPCalibEq500!$AZ$2:$BB$56,3,),IF(AND(I2856="TDP",S2856&lt;=500),VLOOKUP(AF2856,TPCalibEq500!$AZ$2:$BB$56,3,)))</f>
        <v>y=-1.7314x2+83.401x-37.87</v>
      </c>
      <c r="AT2856" s="10" t="b">
        <f>IF(AND(I2856="TN",S2856&lt;=2800),VLOOKUP(AF2856,TNCalibEq2500!$AZ$2:$BB$56,3,),IF(AND(I2856="TDN",S2856&lt;=2800),VLOOKUP(AF2856,TNCalibEq2500!$AZ$2:$BB$56,3,)))</f>
        <v>0</v>
      </c>
      <c r="AU2856" s="10" t="str">
        <f>IF(I2856="TP",VLOOKUP(AF2856,TPCalibEqFull!$AZ$2:$BB$56,3),IF(I2856="TDP",VLOOKUP(AF2856,TPCalibEqFull!$AZ$2:$BB$56,3),IF(I2856="TDN",VLOOKUP(AF2856,TNCalibEqFull!$AZ$1:$BB$56,3),IF(I2856="TN",VLOOKUP(AF2856,TNCalibEqFull!$AZ$1:$BB$56,3),FALSE))))</f>
        <v>y=0.1051x2+65.423x-19.469</v>
      </c>
      <c r="AV2856" s="10" t="str">
        <f t="shared" si="324"/>
        <v>0207 05:28:00-HST-0-FIL-1-SW-UKN</v>
      </c>
    </row>
    <row r="2857" spans="1:48" s="10" customFormat="1" x14ac:dyDescent="0.55000000000000004">
      <c r="A2857" s="32">
        <v>44964</v>
      </c>
      <c r="B2857" s="33">
        <v>0.22777777777777777</v>
      </c>
      <c r="C2857" s="10" t="s">
        <v>333</v>
      </c>
      <c r="D2857" s="10">
        <v>0</v>
      </c>
      <c r="E2857" s="10" t="s">
        <v>911</v>
      </c>
      <c r="F2857" s="10">
        <v>1</v>
      </c>
      <c r="G2857" s="10" t="s">
        <v>231</v>
      </c>
      <c r="H2857" s="10" t="s">
        <v>233</v>
      </c>
      <c r="I2857" s="10" t="s">
        <v>266</v>
      </c>
      <c r="J2857" s="10">
        <v>69</v>
      </c>
      <c r="K2857" s="12">
        <v>44966</v>
      </c>
      <c r="L2857" s="33">
        <v>0.6368287037037037</v>
      </c>
      <c r="M2857" s="10">
        <v>1</v>
      </c>
      <c r="N2857" s="10" t="s">
        <v>84</v>
      </c>
      <c r="O2857" s="10">
        <v>1.1599999999999999</v>
      </c>
      <c r="P2857" s="10">
        <v>7.8799999999999995E-2</v>
      </c>
      <c r="Q2857" s="10">
        <v>57.6</v>
      </c>
      <c r="R2857" s="10" t="s">
        <v>85</v>
      </c>
      <c r="S2857" s="34">
        <f t="shared" si="321"/>
        <v>61.509697599999996</v>
      </c>
      <c r="T2857" s="10" t="s">
        <v>1201</v>
      </c>
      <c r="U2857" s="34">
        <f t="shared" si="322"/>
        <v>2.8039941572501577</v>
      </c>
      <c r="V2857" s="31" t="str">
        <f>IF(H2857="CHK",VLOOKUP(I2857,QCCHK,3,),IF(H2857="GUP",VLOOKUP(E2857,QCGUP,2,),IF(AND(H2857="ATP",OR(I2857="TN",I2857="TDN",I2857="TNO2-3",I2857="NO2-3")),VLOOKUP(E2857,QCREC_N,2,),IF(AND(H2857="NIC",OR(I2857="TN",I2857="TDN",I2857="TNO2-3",I2857="NO2-3")),VLOOKUP(E2857,QCNIC_N,2,),IF(AND(H2857="UREA",OR(I2857="TN",I2857="TDN",I2857="TNO2-3",I2857="NO2-3")),VLOOKUP(E2857,QCUREA_N,2,),IF(H2857="PER",VLOOKUP(I2857,QCPER,MATCH(E2857,QCACTUAL!$J$25:$AA$25,0),),IF(H2857="SPK",VLOOKUP(I2857,QCSPK,3,),IF(AND(H2857="ATP",OR(I2857="TP",I2857="TDP")),VLOOKUP(E2857,QCATP_P,2,),""))))))))</f>
        <v/>
      </c>
      <c r="W2857" s="31" t="str">
        <f t="shared" si="323"/>
        <v>TRUE</v>
      </c>
      <c r="X2857" s="31" t="str">
        <f t="shared" si="320"/>
        <v>((ABS(rep1-rep2))/((rep1+rep2)/2)*100</v>
      </c>
      <c r="Y2857" s="10" t="s">
        <v>1188</v>
      </c>
      <c r="Z2857" s="10" t="s">
        <v>910</v>
      </c>
      <c r="AF2857" s="12">
        <v>44966</v>
      </c>
      <c r="AG2857" s="10">
        <f>-11.204*1.16^2+113.68*1.16-55.283</f>
        <v>61.509697599999996</v>
      </c>
      <c r="AH2857" s="10">
        <f>-2.9408*1.16^2+89.45*1.16-43.664</f>
        <v>56.140859520000006</v>
      </c>
      <c r="AI2857" s="10">
        <f>-1.7314*1.16^2+83.401*1.16-37.87</f>
        <v>56.54538815999998</v>
      </c>
      <c r="AK2857" s="10">
        <f>0.1051*1.16^2+65.423*1.16-19.469</f>
        <v>56.563102559999997</v>
      </c>
      <c r="AL2857" s="10" t="str">
        <f t="shared" si="318"/>
        <v>y=-11.204*1.16^2+113.68*1.16-55.283</v>
      </c>
      <c r="AM2857" s="10" t="str">
        <f t="shared" si="318"/>
        <v>y=-2.9408*1.16^2+89.45*1.16-43.664</v>
      </c>
      <c r="AN2857" s="10" t="str">
        <f t="shared" si="318"/>
        <v>y=-1.7314*1.16^2+83.401*1.16-37.87</v>
      </c>
      <c r="AO2857" s="10" t="str">
        <f t="shared" si="319"/>
        <v>FALSE</v>
      </c>
      <c r="AP2857" s="10" t="str">
        <f t="shared" si="319"/>
        <v>y=0.1051*1.16^2+65.423*1.16-19.469</v>
      </c>
      <c r="AQ2857" s="10" t="str">
        <f>IF(AND(I2857="TP",S2857&lt;=150),VLOOKUP(AF2857,TPCalibEq150!$AZ$2:$BB$55,3,),IF(AND(I2857="TDP",S2857&lt;=150),VLOOKUP(AF2857,TPCalibEq150!$AZ$2:$BB$55,3,)))</f>
        <v>y=-11.204x2+113.68x-55.283</v>
      </c>
      <c r="AR2857" s="10" t="str">
        <f>IF(AND(I2857="TP",S2857&lt;=300),VLOOKUP(AF2857,TPCalibEq300!$AZ$2:$BB$55,3,),IF(AND(I2857="TDP",S2857&lt;=300),VLOOKUP(AF2857,TPCalibEq300!$AZ$2:$BB$55,3,)))</f>
        <v>y=-2.9408x2+89.45x-43.664</v>
      </c>
      <c r="AS2857" s="10" t="str">
        <f>IF(AND(I2857="TP",S2857&lt;=500),VLOOKUP(AF2857,TPCalibEq500!$AZ$2:$BB$56,3,),IF(AND(I2857="TDP",S2857&lt;=500),VLOOKUP(AF2857,TPCalibEq500!$AZ$2:$BB$56,3,)))</f>
        <v>y=-1.7314x2+83.401x-37.87</v>
      </c>
      <c r="AT2857" s="10" t="b">
        <f>IF(AND(I2857="TN",S2857&lt;=2800),VLOOKUP(AF2857,TNCalibEq2500!$AZ$2:$BB$56,3,),IF(AND(I2857="TDN",S2857&lt;=2800),VLOOKUP(AF2857,TNCalibEq2500!$AZ$2:$BB$56,3,)))</f>
        <v>0</v>
      </c>
      <c r="AU2857" s="10" t="str">
        <f>IF(I2857="TP",VLOOKUP(AF2857,TPCalibEqFull!$AZ$2:$BB$56,3),IF(I2857="TDP",VLOOKUP(AF2857,TPCalibEqFull!$AZ$2:$BB$56,3),IF(I2857="TDN",VLOOKUP(AF2857,TNCalibEqFull!$AZ$1:$BB$56,3),IF(I2857="TN",VLOOKUP(AF2857,TNCalibEqFull!$AZ$1:$BB$56,3),FALSE))))</f>
        <v>y=0.1051x2+65.423x-19.469</v>
      </c>
      <c r="AV2857" s="10" t="str">
        <f t="shared" si="324"/>
        <v>0207 05:28:00-HST-0-FIL-1-SW-DUP</v>
      </c>
    </row>
    <row r="2858" spans="1:48" s="10" customFormat="1" x14ac:dyDescent="0.55000000000000004">
      <c r="A2858" s="32">
        <v>44964</v>
      </c>
      <c r="B2858" s="33">
        <v>0.22777777777777777</v>
      </c>
      <c r="C2858" s="10" t="s">
        <v>912</v>
      </c>
      <c r="D2858" s="10">
        <v>0</v>
      </c>
      <c r="E2858" s="10" t="s">
        <v>911</v>
      </c>
      <c r="F2858" s="10">
        <v>1</v>
      </c>
      <c r="G2858" s="10" t="s">
        <v>231</v>
      </c>
      <c r="H2858" s="10" t="s">
        <v>314</v>
      </c>
      <c r="I2858" s="10" t="s">
        <v>266</v>
      </c>
      <c r="J2858" s="10">
        <v>126</v>
      </c>
      <c r="K2858" s="12">
        <v>44966</v>
      </c>
      <c r="L2858" s="33">
        <v>0.63753472222222218</v>
      </c>
      <c r="M2858" s="10">
        <v>1</v>
      </c>
      <c r="N2858" s="10" t="s">
        <v>84</v>
      </c>
      <c r="O2858" s="10">
        <v>17.5</v>
      </c>
      <c r="P2858" s="10">
        <v>1.24</v>
      </c>
      <c r="Q2858" s="10">
        <v>1160</v>
      </c>
      <c r="R2858" s="10" t="s">
        <v>85</v>
      </c>
      <c r="S2858" s="34">
        <f t="shared" si="321"/>
        <v>1160</v>
      </c>
      <c r="T2858" s="10" t="s">
        <v>1201</v>
      </c>
      <c r="U2858" s="34">
        <f t="shared" si="322"/>
        <v>109.84903024000002</v>
      </c>
      <c r="V2858" s="31">
        <f>IF(H2858="CHK",VLOOKUP(I2858,QCCHK,3,),IF(H2858="GUP",VLOOKUP(E2858,QCGUP,2,),IF(AND(H2858="ATP",OR(I2858="TN",I2858="TDN",I2858="TNO2-3",I2858="NO2-3")),VLOOKUP(E2858,QCREC_N,2,),IF(AND(H2858="NIC",OR(I2858="TN",I2858="TDN",I2858="TNO2-3",I2858="NO2-3")),VLOOKUP(E2858,QCNIC_N,2,),IF(AND(H2858="UREA",OR(I2858="TN",I2858="TDN",I2858="TNO2-3",I2858="NO2-3")),VLOOKUP(E2858,QCUREA_N,2,),IF(H2858="PER",VLOOKUP(I2858,QCPER,MATCH(E2858,QCACTUAL!$J$25:$AA$25,0),),IF(H2858="SPK",VLOOKUP(I2858,QCSPK,3,),IF(AND(H2858="ATP",OR(I2858="TP",I2858="TDP")),VLOOKUP(E2858,QCATP_P,2,),""))))))))</f>
        <v>1000</v>
      </c>
      <c r="W2858" s="31" t="str">
        <f t="shared" si="323"/>
        <v>TRUE</v>
      </c>
      <c r="X2858" s="31" t="str">
        <f t="shared" si="320"/>
        <v>([spikedunkn]-[unkn])/[spike]*100</v>
      </c>
      <c r="Y2858" s="10" t="s">
        <v>1188</v>
      </c>
      <c r="Z2858" s="10" t="s">
        <v>910</v>
      </c>
      <c r="AF2858" s="12">
        <v>44966</v>
      </c>
      <c r="AK2858" s="10">
        <f>0.1051*17.5^2+65.423*17.5-19.469</f>
        <v>1157.6203750000002</v>
      </c>
      <c r="AL2858" s="10" t="str">
        <f t="shared" si="318"/>
        <v>FALSE</v>
      </c>
      <c r="AM2858" s="10" t="str">
        <f t="shared" si="318"/>
        <v>FALSE</v>
      </c>
      <c r="AN2858" s="10" t="str">
        <f t="shared" si="318"/>
        <v>FALSE</v>
      </c>
      <c r="AO2858" s="10" t="str">
        <f t="shared" si="319"/>
        <v>FALSE</v>
      </c>
      <c r="AP2858" s="10" t="str">
        <f t="shared" si="319"/>
        <v>y=0.1051*17.5^2+65.423*17.5-19.469</v>
      </c>
      <c r="AQ2858" s="10" t="b">
        <f>IF(AND(I2858="TP",S2858&lt;=150),VLOOKUP(AF2858,TPCalibEq150!$AZ$2:$BB$55,3,),IF(AND(I2858="TDP",S2858&lt;=150),VLOOKUP(AF2858,TPCalibEq150!$AZ$2:$BB$55,3,)))</f>
        <v>0</v>
      </c>
      <c r="AR2858" s="10" t="b">
        <f>IF(AND(I2858="TP",S2858&lt;=300),VLOOKUP(AF2858,TPCalibEq300!$AZ$2:$BB$55,3,),IF(AND(I2858="TDP",S2858&lt;=300),VLOOKUP(AF2858,TPCalibEq300!$AZ$2:$BB$55,3,)))</f>
        <v>0</v>
      </c>
      <c r="AS2858" s="10" t="b">
        <f>IF(AND(I2858="TP",S2858&lt;=500),VLOOKUP(AF2858,TPCalibEq500!$AZ$2:$BB$56,3,),IF(AND(I2858="TDP",S2858&lt;=500),VLOOKUP(AF2858,TPCalibEq500!$AZ$2:$BB$56,3,)))</f>
        <v>0</v>
      </c>
      <c r="AT2858" s="10" t="b">
        <f>IF(AND(I2858="TN",S2858&lt;=2800),VLOOKUP(AF2858,TNCalibEq2500!$AZ$2:$BB$56,3,),IF(AND(I2858="TDN",S2858&lt;=2800),VLOOKUP(AF2858,TNCalibEq2500!$AZ$2:$BB$56,3,)))</f>
        <v>0</v>
      </c>
      <c r="AU2858" s="10" t="str">
        <f>IF(I2858="TP",VLOOKUP(AF2858,TPCalibEqFull!$AZ$2:$BB$56,3),IF(I2858="TDP",VLOOKUP(AF2858,TPCalibEqFull!$AZ$2:$BB$56,3),IF(I2858="TDN",VLOOKUP(AF2858,TNCalibEqFull!$AZ$1:$BB$56,3),IF(I2858="TN",VLOOKUP(AF2858,TNCalibEqFull!$AZ$1:$BB$56,3),FALSE))))</f>
        <v>y=0.1051x2+65.423x-19.469</v>
      </c>
      <c r="AV2858" s="10" t="str">
        <f t="shared" si="324"/>
        <v>0207 05:28:00-HST -0-FIL-1-SW-SPK</v>
      </c>
    </row>
    <row r="2859" spans="1:48" s="10" customFormat="1" x14ac:dyDescent="0.55000000000000004">
      <c r="A2859" s="32">
        <v>44966</v>
      </c>
      <c r="B2859" s="33">
        <v>0.375</v>
      </c>
      <c r="C2859" s="10" t="s">
        <v>70</v>
      </c>
      <c r="D2859" s="10" t="s">
        <v>71</v>
      </c>
      <c r="E2859" s="10" t="s">
        <v>901</v>
      </c>
      <c r="F2859" s="10">
        <v>1</v>
      </c>
      <c r="G2859" s="10" t="s">
        <v>73</v>
      </c>
      <c r="H2859" s="10" t="s">
        <v>207</v>
      </c>
      <c r="I2859" s="10" t="s">
        <v>83</v>
      </c>
      <c r="J2859" s="10">
        <v>203</v>
      </c>
      <c r="K2859" s="12">
        <v>44966</v>
      </c>
      <c r="L2859" s="33">
        <v>0.63822916666666674</v>
      </c>
      <c r="M2859" s="10">
        <v>1</v>
      </c>
      <c r="N2859" s="10" t="s">
        <v>84</v>
      </c>
      <c r="O2859" s="10">
        <v>8.08</v>
      </c>
      <c r="P2859" s="10">
        <v>0.57699999999999996</v>
      </c>
      <c r="Q2859" s="10">
        <v>516</v>
      </c>
      <c r="R2859" s="10" t="s">
        <v>85</v>
      </c>
      <c r="S2859" s="34">
        <f t="shared" si="321"/>
        <v>516.01044063999996</v>
      </c>
      <c r="T2859" s="10" t="s">
        <v>1201</v>
      </c>
      <c r="U2859" s="34">
        <f t="shared" si="322"/>
        <v>103.20208812799999</v>
      </c>
      <c r="V2859" s="31">
        <f>IF(H2859="CHK",VLOOKUP(I2859,QCCHK,3,),IF(H2859="GUP",VLOOKUP(E2859,QCGUP,2,),IF(AND(H2859="ATP",OR(I2859="TN",I2859="TDN",I2859="TNO2-3",I2859="NO2-3")),VLOOKUP(E2859,QCREC_N,2,),IF(AND(H2859="NIC",OR(I2859="TN",I2859="TDN",I2859="TNO2-3",I2859="NO2-3")),VLOOKUP(E2859,QCNIC_N,2,),IF(AND(H2859="UREA",OR(I2859="TN",I2859="TDN",I2859="TNO2-3",I2859="NO2-3")),VLOOKUP(E2859,QCUREA_N,2,),IF(H2859="PER",VLOOKUP(I2859,QCPER,MATCH(E2859,QCACTUAL!$J$25:$AA$25,0),),IF(H2859="SPK",VLOOKUP(I2859,QCSPK,3,),IF(AND(H2859="ATP",OR(I2859="TP",I2859="TDP")),VLOOKUP(E2859,QCATP_P,2,),""))))))))</f>
        <v>500</v>
      </c>
      <c r="W2859" s="31" t="str">
        <f t="shared" si="323"/>
        <v>TRUE</v>
      </c>
      <c r="X2859" s="31" t="str">
        <f t="shared" si="320"/>
        <v>[chk]/[actual]*100</v>
      </c>
      <c r="Y2859" s="10" t="s">
        <v>1188</v>
      </c>
      <c r="AF2859" s="12">
        <v>44966</v>
      </c>
      <c r="AK2859" s="10">
        <f>0.1051*8.08^2+65.423*8.08-19.469</f>
        <v>516.01044063999996</v>
      </c>
      <c r="AL2859" s="10" t="str">
        <f t="shared" si="318"/>
        <v>FALSE</v>
      </c>
      <c r="AM2859" s="10" t="str">
        <f t="shared" si="318"/>
        <v>FALSE</v>
      </c>
      <c r="AN2859" s="10" t="str">
        <f t="shared" si="318"/>
        <v>FALSE</v>
      </c>
      <c r="AO2859" s="10" t="str">
        <f t="shared" si="319"/>
        <v>FALSE</v>
      </c>
      <c r="AP2859" s="10" t="str">
        <f t="shared" si="319"/>
        <v>y=0.1051*8.08^2+65.423*8.08-19.469</v>
      </c>
      <c r="AQ2859" s="10" t="b">
        <f>IF(AND(I2859="TP",S2859&lt;=150),VLOOKUP(AF2859,TPCalibEq150!$AZ$2:$BB$55,3,),IF(AND(I2859="TDP",S2859&lt;=150),VLOOKUP(AF2859,TPCalibEq150!$AZ$2:$BB$55,3,)))</f>
        <v>0</v>
      </c>
      <c r="AR2859" s="10" t="b">
        <f>IF(AND(I2859="TP",S2859&lt;=300),VLOOKUP(AF2859,TPCalibEq300!$AZ$2:$BB$55,3,),IF(AND(I2859="TDP",S2859&lt;=300),VLOOKUP(AF2859,TPCalibEq300!$AZ$2:$BB$55,3,)))</f>
        <v>0</v>
      </c>
      <c r="AS2859" s="10" t="b">
        <f>IF(AND(I2859="TP",S2859&lt;=500),VLOOKUP(AF2859,TPCalibEq500!$AZ$2:$BB$56,3,),IF(AND(I2859="TDP",S2859&lt;=500),VLOOKUP(AF2859,TPCalibEq500!$AZ$2:$BB$56,3,)))</f>
        <v>0</v>
      </c>
      <c r="AT2859" s="10" t="b">
        <f>IF(AND(I2859="TN",S2859&lt;=2800),VLOOKUP(AF2859,TNCalibEq2500!$AZ$2:$BB$56,3,),IF(AND(I2859="TDN",S2859&lt;=2800),VLOOKUP(AF2859,TNCalibEq2500!$AZ$2:$BB$56,3,)))</f>
        <v>0</v>
      </c>
      <c r="AU2859" s="10" t="str">
        <f>IF(I2859="TP",VLOOKUP(AF2859,TPCalibEqFull!$AZ$2:$BB$56,3),IF(I2859="TDP",VLOOKUP(AF2859,TPCalibEqFull!$AZ$2:$BB$56,3),IF(I2859="TDN",VLOOKUP(AF2859,TNCalibEqFull!$AZ$1:$BB$56,3),IF(I2859="TN",VLOOKUP(AF2859,TNCalibEqFull!$AZ$1:$BB$56,3),FALSE))))</f>
        <v>y=0.1051x2+65.423x-19.469</v>
      </c>
      <c r="AV2859" s="10" t="str">
        <f t="shared" si="324"/>
        <v>0209 09:00:00-QAC-STD-D-1-DI-CHK</v>
      </c>
    </row>
    <row r="2860" spans="1:48" s="10" customFormat="1" x14ac:dyDescent="0.55000000000000004">
      <c r="A2860" s="32">
        <v>44963</v>
      </c>
      <c r="B2860" s="33">
        <v>0.33749999999999997</v>
      </c>
      <c r="C2860" s="10" t="s">
        <v>998</v>
      </c>
      <c r="D2860" s="10">
        <v>0</v>
      </c>
      <c r="E2860" s="10" t="s">
        <v>911</v>
      </c>
      <c r="F2860" s="10">
        <v>1</v>
      </c>
      <c r="G2860" s="10" t="s">
        <v>231</v>
      </c>
      <c r="H2860" s="10" t="s">
        <v>322</v>
      </c>
      <c r="I2860" s="10" t="s">
        <v>266</v>
      </c>
      <c r="J2860" s="10">
        <v>70</v>
      </c>
      <c r="K2860" s="12">
        <v>44966</v>
      </c>
      <c r="L2860" s="33">
        <v>0.63893518518518522</v>
      </c>
      <c r="M2860" s="10">
        <v>1</v>
      </c>
      <c r="N2860" s="10" t="s">
        <v>84</v>
      </c>
      <c r="O2860" s="10">
        <v>4.3899999999999997</v>
      </c>
      <c r="P2860" s="10">
        <v>0.313</v>
      </c>
      <c r="Q2860" s="10">
        <v>270</v>
      </c>
      <c r="R2860" s="10" t="s">
        <v>85</v>
      </c>
      <c r="S2860" s="34">
        <f t="shared" si="321"/>
        <v>294.89267605999999</v>
      </c>
      <c r="T2860" s="10" t="s">
        <v>1201</v>
      </c>
      <c r="U2860" s="34" t="str">
        <f t="shared" si="322"/>
        <v/>
      </c>
      <c r="V2860" s="31" t="str">
        <f>IF(H2860="CHK",VLOOKUP(I2860,QCCHK,3,),IF(H2860="GUP",VLOOKUP(E2860,QCGUP,2,),IF(AND(H2860="ATP",OR(I2860="TN",I2860="TDN",I2860="TNO2-3",I2860="NO2-3")),VLOOKUP(E2860,QCREC_N,2,),IF(AND(H2860="NIC",OR(I2860="TN",I2860="TDN",I2860="TNO2-3",I2860="NO2-3")),VLOOKUP(E2860,QCNIC_N,2,),IF(AND(H2860="UREA",OR(I2860="TN",I2860="TDN",I2860="TNO2-3",I2860="NO2-3")),VLOOKUP(E2860,QCUREA_N,2,),IF(H2860="PER",VLOOKUP(I2860,QCPER,MATCH(E2860,QCACTUAL!$J$25:$AA$25,0),),IF(H2860="SPK",VLOOKUP(I2860,QCSPK,3,),IF(AND(H2860="ATP",OR(I2860="TP",I2860="TDP")),VLOOKUP(E2860,QCATP_P,2,),""))))))))</f>
        <v/>
      </c>
      <c r="W2860" s="31" t="str">
        <f t="shared" si="323"/>
        <v>TRUE</v>
      </c>
      <c r="X2860" s="31" t="str">
        <f t="shared" si="320"/>
        <v/>
      </c>
      <c r="Y2860" s="10" t="s">
        <v>1188</v>
      </c>
      <c r="Z2860" s="10" t="s">
        <v>910</v>
      </c>
      <c r="AF2860" s="12">
        <v>44966</v>
      </c>
      <c r="AH2860" s="10">
        <f>-2.9408*4.39^2+89.45*4.39-43.664</f>
        <v>292.34610831999998</v>
      </c>
      <c r="AI2860" s="10">
        <f>-1.7314*4.39^2+83.401*4.39-37.87</f>
        <v>294.89267605999999</v>
      </c>
      <c r="AK2860" s="10">
        <f>0.1051*4.39^2+65.423*4.39-19.469</f>
        <v>269.76346771000004</v>
      </c>
      <c r="AL2860" s="10" t="str">
        <f t="shared" si="318"/>
        <v>FALSE</v>
      </c>
      <c r="AM2860" s="10" t="str">
        <f t="shared" si="318"/>
        <v>y=-2.9408*4.39^2+89.45*4.39-43.664</v>
      </c>
      <c r="AN2860" s="10" t="str">
        <f t="shared" si="318"/>
        <v>y=-1.7314*4.39^2+83.401*4.39-37.87</v>
      </c>
      <c r="AO2860" s="10" t="str">
        <f t="shared" si="319"/>
        <v>FALSE</v>
      </c>
      <c r="AP2860" s="10" t="str">
        <f t="shared" si="319"/>
        <v>y=0.1051*4.39^2+65.423*4.39-19.469</v>
      </c>
      <c r="AQ2860" s="10" t="b">
        <f>IF(AND(I2860="TP",S2860&lt;=150),VLOOKUP(AF2860,TPCalibEq150!$AZ$2:$BB$55,3,),IF(AND(I2860="TDP",S2860&lt;=150),VLOOKUP(AF2860,TPCalibEq150!$AZ$2:$BB$55,3,)))</f>
        <v>0</v>
      </c>
      <c r="AR2860" s="10" t="str">
        <f>IF(AND(I2860="TP",S2860&lt;=300),VLOOKUP(AF2860,TPCalibEq300!$AZ$2:$BB$55,3,),IF(AND(I2860="TDP",S2860&lt;=300),VLOOKUP(AF2860,TPCalibEq300!$AZ$2:$BB$55,3,)))</f>
        <v>y=-2.9408x2+89.45x-43.664</v>
      </c>
      <c r="AS2860" s="10" t="str">
        <f>IF(AND(I2860="TP",S2860&lt;=500),VLOOKUP(AF2860,TPCalibEq500!$AZ$2:$BB$56,3,),IF(AND(I2860="TDP",S2860&lt;=500),VLOOKUP(AF2860,TPCalibEq500!$AZ$2:$BB$56,3,)))</f>
        <v>y=-1.7314x2+83.401x-37.87</v>
      </c>
      <c r="AT2860" s="10" t="b">
        <f>IF(AND(I2860="TN",S2860&lt;=2800),VLOOKUP(AF2860,TNCalibEq2500!$AZ$2:$BB$56,3,),IF(AND(I2860="TDN",S2860&lt;=2800),VLOOKUP(AF2860,TNCalibEq2500!$AZ$2:$BB$56,3,)))</f>
        <v>0</v>
      </c>
      <c r="AU2860" s="10" t="str">
        <f>IF(I2860="TP",VLOOKUP(AF2860,TPCalibEqFull!$AZ$2:$BB$56,3),IF(I2860="TDP",VLOOKUP(AF2860,TPCalibEqFull!$AZ$2:$BB$56,3),IF(I2860="TDN",VLOOKUP(AF2860,TNCalibEqFull!$AZ$1:$BB$56,3),IF(I2860="TN",VLOOKUP(AF2860,TNCalibEqFull!$AZ$1:$BB$56,3),FALSE))))</f>
        <v>y=0.1051x2+65.423x-19.469</v>
      </c>
      <c r="AV2860" s="10" t="str">
        <f t="shared" si="324"/>
        <v>0206 08:06:00-ELW-0-FIL-1-SW-UKN</v>
      </c>
    </row>
    <row r="2861" spans="1:48" s="10" customFormat="1" x14ac:dyDescent="0.55000000000000004">
      <c r="A2861" s="32">
        <v>44963</v>
      </c>
      <c r="B2861" s="33">
        <v>0.34930555555555554</v>
      </c>
      <c r="C2861" s="10" t="s">
        <v>260</v>
      </c>
      <c r="D2861" s="10">
        <v>0</v>
      </c>
      <c r="E2861" s="10" t="s">
        <v>911</v>
      </c>
      <c r="F2861" s="10">
        <v>1</v>
      </c>
      <c r="G2861" s="10" t="s">
        <v>231</v>
      </c>
      <c r="H2861" s="10" t="s">
        <v>322</v>
      </c>
      <c r="I2861" s="10" t="s">
        <v>266</v>
      </c>
      <c r="J2861" s="10">
        <v>71</v>
      </c>
      <c r="K2861" s="12">
        <v>44966</v>
      </c>
      <c r="L2861" s="33">
        <v>0.63962962962962966</v>
      </c>
      <c r="M2861" s="10">
        <v>1</v>
      </c>
      <c r="N2861" s="10" t="s">
        <v>84</v>
      </c>
      <c r="O2861" s="10">
        <v>5.29</v>
      </c>
      <c r="P2861" s="10">
        <v>0.379</v>
      </c>
      <c r="Q2861" s="10">
        <v>330</v>
      </c>
      <c r="R2861" s="10" t="s">
        <v>85</v>
      </c>
      <c r="S2861" s="34">
        <f t="shared" si="321"/>
        <v>354.86961925999998</v>
      </c>
      <c r="T2861" s="10" t="s">
        <v>1201</v>
      </c>
      <c r="U2861" s="34" t="str">
        <f t="shared" si="322"/>
        <v/>
      </c>
      <c r="V2861" s="31" t="str">
        <f>IF(H2861="CHK",VLOOKUP(I2861,QCCHK,3,),IF(H2861="GUP",VLOOKUP(E2861,QCGUP,2,),IF(AND(H2861="ATP",OR(I2861="TN",I2861="TDN",I2861="TNO2-3",I2861="NO2-3")),VLOOKUP(E2861,QCREC_N,2,),IF(AND(H2861="NIC",OR(I2861="TN",I2861="TDN",I2861="TNO2-3",I2861="NO2-3")),VLOOKUP(E2861,QCNIC_N,2,),IF(AND(H2861="UREA",OR(I2861="TN",I2861="TDN",I2861="TNO2-3",I2861="NO2-3")),VLOOKUP(E2861,QCUREA_N,2,),IF(H2861="PER",VLOOKUP(I2861,QCPER,MATCH(E2861,QCACTUAL!$J$25:$AA$25,0),),IF(H2861="SPK",VLOOKUP(I2861,QCSPK,3,),IF(AND(H2861="ATP",OR(I2861="TP",I2861="TDP")),VLOOKUP(E2861,QCATP_P,2,),""))))))))</f>
        <v/>
      </c>
      <c r="W2861" s="31" t="str">
        <f t="shared" si="323"/>
        <v>TRUE</v>
      </c>
      <c r="X2861" s="31" t="str">
        <f t="shared" si="320"/>
        <v/>
      </c>
      <c r="Y2861" s="10" t="s">
        <v>1188</v>
      </c>
      <c r="Z2861" s="10" t="s">
        <v>910</v>
      </c>
      <c r="AF2861" s="12">
        <v>44966</v>
      </c>
      <c r="AI2861" s="10">
        <f>-1.7314*5.29^2+83.401*5.29-37.87</f>
        <v>354.86961925999998</v>
      </c>
      <c r="AK2861" s="10">
        <f>0.1051*5.29^2+65.423*5.29-19.469</f>
        <v>329.55979890999998</v>
      </c>
      <c r="AL2861" s="10" t="str">
        <f t="shared" ref="AL2861:AN2924" si="325">IF($O2861="", "", IF(AQ2861&lt;&gt;"", SUBSTITUTE(SUBSTITUTE(AQ2861, "x", "*"&amp;$O2861&amp;"^", 1), "x", "*"&amp;$O2861, 1), ""))</f>
        <v>FALSE</v>
      </c>
      <c r="AM2861" s="10" t="str">
        <f t="shared" si="325"/>
        <v>FALSE</v>
      </c>
      <c r="AN2861" s="10" t="str">
        <f t="shared" si="325"/>
        <v>y=-1.7314*5.29^2+83.401*5.29-37.87</v>
      </c>
      <c r="AO2861" s="10" t="str">
        <f t="shared" ref="AO2861:AP2924" si="326">IF($O2861="", "FALSE", IF(AT2861&lt;&gt;"FALSE", SUBSTITUTE(SUBSTITUTE(AT2861, "x", "*"&amp;$O2861&amp;"^", 1), "x", "*"&amp;$O2861, 1), ""))</f>
        <v>FALSE</v>
      </c>
      <c r="AP2861" s="10" t="str">
        <f t="shared" si="326"/>
        <v>y=0.1051*5.29^2+65.423*5.29-19.469</v>
      </c>
      <c r="AQ2861" s="10" t="b">
        <f>IF(AND(I2861="TP",S2861&lt;=150),VLOOKUP(AF2861,TPCalibEq150!$AZ$2:$BB$55,3,),IF(AND(I2861="TDP",S2861&lt;=150),VLOOKUP(AF2861,TPCalibEq150!$AZ$2:$BB$55,3,)))</f>
        <v>0</v>
      </c>
      <c r="AR2861" s="10" t="b">
        <f>IF(AND(I2861="TP",S2861&lt;=300),VLOOKUP(AF2861,TPCalibEq300!$AZ$2:$BB$55,3,),IF(AND(I2861="TDP",S2861&lt;=300),VLOOKUP(AF2861,TPCalibEq300!$AZ$2:$BB$55,3,)))</f>
        <v>0</v>
      </c>
      <c r="AS2861" s="10" t="str">
        <f>IF(AND(I2861="TP",S2861&lt;=500),VLOOKUP(AF2861,TPCalibEq500!$AZ$2:$BB$56,3,),IF(AND(I2861="TDP",S2861&lt;=500),VLOOKUP(AF2861,TPCalibEq500!$AZ$2:$BB$56,3,)))</f>
        <v>y=-1.7314x2+83.401x-37.87</v>
      </c>
      <c r="AT2861" s="10" t="b">
        <f>IF(AND(I2861="TN",S2861&lt;=2800),VLOOKUP(AF2861,TNCalibEq2500!$AZ$2:$BB$56,3,),IF(AND(I2861="TDN",S2861&lt;=2800),VLOOKUP(AF2861,TNCalibEq2500!$AZ$2:$BB$56,3,)))</f>
        <v>0</v>
      </c>
      <c r="AU2861" s="10" t="str">
        <f>IF(I2861="TP",VLOOKUP(AF2861,TPCalibEqFull!$AZ$2:$BB$56,3),IF(I2861="TDP",VLOOKUP(AF2861,TPCalibEqFull!$AZ$2:$BB$56,3),IF(I2861="TDN",VLOOKUP(AF2861,TNCalibEqFull!$AZ$1:$BB$56,3),IF(I2861="TN",VLOOKUP(AF2861,TNCalibEqFull!$AZ$1:$BB$56,3),FALSE))))</f>
        <v>y=0.1051x2+65.423x-19.469</v>
      </c>
      <c r="AV2861" s="10" t="str">
        <f t="shared" si="324"/>
        <v>0206 08:23:00-EFC-0-FIL-1-SW-UKN</v>
      </c>
    </row>
    <row r="2862" spans="1:48" s="10" customFormat="1" x14ac:dyDescent="0.55000000000000004">
      <c r="A2862" s="32">
        <v>44963</v>
      </c>
      <c r="B2862" s="33">
        <v>0.3611111111111111</v>
      </c>
      <c r="C2862" s="10" t="s">
        <v>543</v>
      </c>
      <c r="D2862" s="10">
        <v>0</v>
      </c>
      <c r="E2862" s="10" t="s">
        <v>911</v>
      </c>
      <c r="F2862" s="10">
        <v>1</v>
      </c>
      <c r="G2862" s="10" t="s">
        <v>231</v>
      </c>
      <c r="H2862" s="10" t="s">
        <v>322</v>
      </c>
      <c r="I2862" s="10" t="s">
        <v>266</v>
      </c>
      <c r="J2862" s="10">
        <v>72</v>
      </c>
      <c r="K2862" s="12">
        <v>44966</v>
      </c>
      <c r="L2862" s="33">
        <v>0.64031249999999995</v>
      </c>
      <c r="M2862" s="10">
        <v>1</v>
      </c>
      <c r="N2862" s="10" t="s">
        <v>84</v>
      </c>
      <c r="O2862" s="10">
        <v>1.67</v>
      </c>
      <c r="P2862" s="10">
        <v>0.11600000000000001</v>
      </c>
      <c r="Q2862" s="10">
        <v>91</v>
      </c>
      <c r="R2862" s="10" t="s">
        <v>85</v>
      </c>
      <c r="S2862" s="34">
        <f t="shared" si="321"/>
        <v>103.31576439999999</v>
      </c>
      <c r="T2862" s="10" t="s">
        <v>1201</v>
      </c>
      <c r="U2862" s="34" t="str">
        <f t="shared" si="322"/>
        <v/>
      </c>
      <c r="V2862" s="31" t="str">
        <f>IF(H2862="CHK",VLOOKUP(I2862,QCCHK,3,),IF(H2862="GUP",VLOOKUP(E2862,QCGUP,2,),IF(AND(H2862="ATP",OR(I2862="TN",I2862="TDN",I2862="TNO2-3",I2862="NO2-3")),VLOOKUP(E2862,QCREC_N,2,),IF(AND(H2862="NIC",OR(I2862="TN",I2862="TDN",I2862="TNO2-3",I2862="NO2-3")),VLOOKUP(E2862,QCNIC_N,2,),IF(AND(H2862="UREA",OR(I2862="TN",I2862="TDN",I2862="TNO2-3",I2862="NO2-3")),VLOOKUP(E2862,QCUREA_N,2,),IF(H2862="PER",VLOOKUP(I2862,QCPER,MATCH(E2862,QCACTUAL!$J$25:$AA$25,0),),IF(H2862="SPK",VLOOKUP(I2862,QCSPK,3,),IF(AND(H2862="ATP",OR(I2862="TP",I2862="TDP")),VLOOKUP(E2862,QCATP_P,2,),""))))))))</f>
        <v/>
      </c>
      <c r="W2862" s="31" t="str">
        <f t="shared" si="323"/>
        <v>TRUE</v>
      </c>
      <c r="X2862" s="31" t="str">
        <f t="shared" si="320"/>
        <v/>
      </c>
      <c r="Y2862" s="10" t="s">
        <v>1188</v>
      </c>
      <c r="Z2862" s="10" t="s">
        <v>910</v>
      </c>
      <c r="AF2862" s="12">
        <v>44966</v>
      </c>
      <c r="AG2862" s="10">
        <f>-11.204*1.67^2+113.68*1.67-55.283</f>
        <v>103.31576439999999</v>
      </c>
      <c r="AH2862" s="10">
        <f>-2.9408*1.67^2+89.45*1.67-43.664</f>
        <v>97.515902879999985</v>
      </c>
      <c r="AI2862" s="10">
        <f>-1.7314*1.67^2+83.401*1.67-37.87</f>
        <v>96.580968539999986</v>
      </c>
      <c r="AK2862" s="10">
        <f>0.1051*1.67^2+65.423*1.67-19.469</f>
        <v>90.080523389999996</v>
      </c>
      <c r="AL2862" s="10" t="str">
        <f t="shared" si="325"/>
        <v>y=-11.204*1.67^2+113.68*1.67-55.283</v>
      </c>
      <c r="AM2862" s="10" t="str">
        <f t="shared" si="325"/>
        <v>y=-2.9408*1.67^2+89.45*1.67-43.664</v>
      </c>
      <c r="AN2862" s="10" t="str">
        <f t="shared" si="325"/>
        <v>y=-1.7314*1.67^2+83.401*1.67-37.87</v>
      </c>
      <c r="AO2862" s="10" t="str">
        <f t="shared" si="326"/>
        <v>FALSE</v>
      </c>
      <c r="AP2862" s="10" t="str">
        <f t="shared" si="326"/>
        <v>y=0.1051*1.67^2+65.423*1.67-19.469</v>
      </c>
      <c r="AQ2862" s="10" t="str">
        <f>IF(AND(I2862="TP",S2862&lt;=150),VLOOKUP(AF2862,TPCalibEq150!$AZ$2:$BB$55,3,),IF(AND(I2862="TDP",S2862&lt;=150),VLOOKUP(AF2862,TPCalibEq150!$AZ$2:$BB$55,3,)))</f>
        <v>y=-11.204x2+113.68x-55.283</v>
      </c>
      <c r="AR2862" s="10" t="str">
        <f>IF(AND(I2862="TP",S2862&lt;=300),VLOOKUP(AF2862,TPCalibEq300!$AZ$2:$BB$55,3,),IF(AND(I2862="TDP",S2862&lt;=300),VLOOKUP(AF2862,TPCalibEq300!$AZ$2:$BB$55,3,)))</f>
        <v>y=-2.9408x2+89.45x-43.664</v>
      </c>
      <c r="AS2862" s="10" t="str">
        <f>IF(AND(I2862="TP",S2862&lt;=500),VLOOKUP(AF2862,TPCalibEq500!$AZ$2:$BB$56,3,),IF(AND(I2862="TDP",S2862&lt;=500),VLOOKUP(AF2862,TPCalibEq500!$AZ$2:$BB$56,3,)))</f>
        <v>y=-1.7314x2+83.401x-37.87</v>
      </c>
      <c r="AT2862" s="10" t="b">
        <f>IF(AND(I2862="TN",S2862&lt;=2800),VLOOKUP(AF2862,TNCalibEq2500!$AZ$2:$BB$56,3,),IF(AND(I2862="TDN",S2862&lt;=2800),VLOOKUP(AF2862,TNCalibEq2500!$AZ$2:$BB$56,3,)))</f>
        <v>0</v>
      </c>
      <c r="AU2862" s="10" t="str">
        <f>IF(I2862="TP",VLOOKUP(AF2862,TPCalibEqFull!$AZ$2:$BB$56,3),IF(I2862="TDP",VLOOKUP(AF2862,TPCalibEqFull!$AZ$2:$BB$56,3),IF(I2862="TDN",VLOOKUP(AF2862,TNCalibEqFull!$AZ$1:$BB$56,3),IF(I2862="TN",VLOOKUP(AF2862,TNCalibEqFull!$AZ$1:$BB$56,3),FALSE))))</f>
        <v>y=0.1051x2+65.423x-19.469</v>
      </c>
      <c r="AV2862" s="10" t="str">
        <f t="shared" si="324"/>
        <v>0206 08:40:00-SAR-0-FIL-1-SW-UKN</v>
      </c>
    </row>
    <row r="2863" spans="1:48" s="10" customFormat="1" x14ac:dyDescent="0.55000000000000004">
      <c r="A2863" s="32">
        <v>44963</v>
      </c>
      <c r="B2863" s="33">
        <v>0.37916666666666665</v>
      </c>
      <c r="C2863" s="10" t="s">
        <v>361</v>
      </c>
      <c r="D2863" s="10">
        <v>0</v>
      </c>
      <c r="E2863" s="10" t="s">
        <v>911</v>
      </c>
      <c r="F2863" s="10">
        <v>1</v>
      </c>
      <c r="G2863" s="10" t="s">
        <v>231</v>
      </c>
      <c r="H2863" s="10" t="s">
        <v>322</v>
      </c>
      <c r="I2863" s="10" t="s">
        <v>266</v>
      </c>
      <c r="J2863" s="10">
        <v>73</v>
      </c>
      <c r="K2863" s="12">
        <v>44966</v>
      </c>
      <c r="L2863" s="33">
        <v>0.64101851851851854</v>
      </c>
      <c r="M2863" s="10">
        <v>1</v>
      </c>
      <c r="N2863" s="10" t="s">
        <v>84</v>
      </c>
      <c r="O2863" s="10">
        <v>1.51</v>
      </c>
      <c r="P2863" s="10">
        <v>0.10299999999999999</v>
      </c>
      <c r="Q2863" s="10">
        <v>80.5</v>
      </c>
      <c r="R2863" s="10" t="s">
        <v>85</v>
      </c>
      <c r="S2863" s="34">
        <f t="shared" si="321"/>
        <v>90.827559599999987</v>
      </c>
      <c r="T2863" s="10" t="s">
        <v>1201</v>
      </c>
      <c r="U2863" s="34" t="str">
        <f t="shared" si="322"/>
        <v/>
      </c>
      <c r="V2863" s="31" t="str">
        <f>IF(H2863="CHK",VLOOKUP(I2863,QCCHK,3,),IF(H2863="GUP",VLOOKUP(E2863,QCGUP,2,),IF(AND(H2863="ATP",OR(I2863="TN",I2863="TDN",I2863="TNO2-3",I2863="NO2-3")),VLOOKUP(E2863,QCREC_N,2,),IF(AND(H2863="NIC",OR(I2863="TN",I2863="TDN",I2863="TNO2-3",I2863="NO2-3")),VLOOKUP(E2863,QCNIC_N,2,),IF(AND(H2863="UREA",OR(I2863="TN",I2863="TDN",I2863="TNO2-3",I2863="NO2-3")),VLOOKUP(E2863,QCUREA_N,2,),IF(H2863="PER",VLOOKUP(I2863,QCPER,MATCH(E2863,QCACTUAL!$J$25:$AA$25,0),),IF(H2863="SPK",VLOOKUP(I2863,QCSPK,3,),IF(AND(H2863="ATP",OR(I2863="TP",I2863="TDP")),VLOOKUP(E2863,QCATP_P,2,),""))))))))</f>
        <v/>
      </c>
      <c r="W2863" s="31" t="str">
        <f t="shared" si="323"/>
        <v>TRUE</v>
      </c>
      <c r="X2863" s="31" t="str">
        <f t="shared" si="320"/>
        <v/>
      </c>
      <c r="Y2863" s="10" t="s">
        <v>1188</v>
      </c>
      <c r="Z2863" s="10" t="s">
        <v>910</v>
      </c>
      <c r="AF2863" s="12">
        <v>44966</v>
      </c>
      <c r="AG2863" s="10">
        <f>-11.204*1.51^2+113.68*1.51-55.283</f>
        <v>90.827559599999987</v>
      </c>
      <c r="AH2863" s="10">
        <f>-2.9408*1.51^2+89.45*1.51-43.664</f>
        <v>84.700181919999991</v>
      </c>
      <c r="AI2863" s="10">
        <f>-1.7314*1.51^2+83.401*1.51-37.87</f>
        <v>84.117744859999988</v>
      </c>
      <c r="AK2863" s="10">
        <f>0.1051*1.51^2+65.423*1.51-19.469</f>
        <v>79.559368510000013</v>
      </c>
      <c r="AL2863" s="10" t="str">
        <f t="shared" si="325"/>
        <v>y=-11.204*1.51^2+113.68*1.51-55.283</v>
      </c>
      <c r="AM2863" s="10" t="str">
        <f t="shared" si="325"/>
        <v>y=-2.9408*1.51^2+89.45*1.51-43.664</v>
      </c>
      <c r="AN2863" s="10" t="str">
        <f t="shared" si="325"/>
        <v>y=-1.7314*1.51^2+83.401*1.51-37.87</v>
      </c>
      <c r="AO2863" s="10" t="str">
        <f t="shared" si="326"/>
        <v>FALSE</v>
      </c>
      <c r="AP2863" s="10" t="str">
        <f t="shared" si="326"/>
        <v>y=0.1051*1.51^2+65.423*1.51-19.469</v>
      </c>
      <c r="AQ2863" s="10" t="str">
        <f>IF(AND(I2863="TP",S2863&lt;=150),VLOOKUP(AF2863,TPCalibEq150!$AZ$2:$BB$55,3,),IF(AND(I2863="TDP",S2863&lt;=150),VLOOKUP(AF2863,TPCalibEq150!$AZ$2:$BB$55,3,)))</f>
        <v>y=-11.204x2+113.68x-55.283</v>
      </c>
      <c r="AR2863" s="10" t="str">
        <f>IF(AND(I2863="TP",S2863&lt;=300),VLOOKUP(AF2863,TPCalibEq300!$AZ$2:$BB$55,3,),IF(AND(I2863="TDP",S2863&lt;=300),VLOOKUP(AF2863,TPCalibEq300!$AZ$2:$BB$55,3,)))</f>
        <v>y=-2.9408x2+89.45x-43.664</v>
      </c>
      <c r="AS2863" s="10" t="str">
        <f>IF(AND(I2863="TP",S2863&lt;=500),VLOOKUP(AF2863,TPCalibEq500!$AZ$2:$BB$56,3,),IF(AND(I2863="TDP",S2863&lt;=500),VLOOKUP(AF2863,TPCalibEq500!$AZ$2:$BB$56,3,)))</f>
        <v>y=-1.7314x2+83.401x-37.87</v>
      </c>
      <c r="AT2863" s="10" t="b">
        <f>IF(AND(I2863="TN",S2863&lt;=2800),VLOOKUP(AF2863,TNCalibEq2500!$AZ$2:$BB$56,3,),IF(AND(I2863="TDN",S2863&lt;=2800),VLOOKUP(AF2863,TNCalibEq2500!$AZ$2:$BB$56,3,)))</f>
        <v>0</v>
      </c>
      <c r="AU2863" s="10" t="str">
        <f>IF(I2863="TP",VLOOKUP(AF2863,TPCalibEqFull!$AZ$2:$BB$56,3),IF(I2863="TDP",VLOOKUP(AF2863,TPCalibEqFull!$AZ$2:$BB$56,3),IF(I2863="TDN",VLOOKUP(AF2863,TNCalibEqFull!$AZ$1:$BB$56,3),IF(I2863="TN",VLOOKUP(AF2863,TNCalibEqFull!$AZ$1:$BB$56,3),FALSE))))</f>
        <v>y=0.1051x2+65.423x-19.469</v>
      </c>
      <c r="AV2863" s="10" t="str">
        <f t="shared" si="324"/>
        <v>0206 09:06:00-USR-0-FIL-1-SW-UKN</v>
      </c>
    </row>
    <row r="2864" spans="1:48" s="10" customFormat="1" x14ac:dyDescent="0.55000000000000004">
      <c r="A2864" s="32">
        <v>44963</v>
      </c>
      <c r="B2864" s="33">
        <v>0.39305555555555555</v>
      </c>
      <c r="C2864" s="10" t="s">
        <v>351</v>
      </c>
      <c r="D2864" s="10">
        <v>0</v>
      </c>
      <c r="E2864" s="10" t="s">
        <v>911</v>
      </c>
      <c r="F2864" s="10">
        <v>1</v>
      </c>
      <c r="G2864" s="10" t="s">
        <v>231</v>
      </c>
      <c r="H2864" s="10" t="s">
        <v>322</v>
      </c>
      <c r="I2864" s="10" t="s">
        <v>266</v>
      </c>
      <c r="J2864" s="10">
        <v>74</v>
      </c>
      <c r="K2864" s="12">
        <v>44966</v>
      </c>
      <c r="L2864" s="33">
        <v>0.64171296296296299</v>
      </c>
      <c r="M2864" s="10">
        <v>1</v>
      </c>
      <c r="N2864" s="10" t="s">
        <v>84</v>
      </c>
      <c r="O2864" s="10">
        <v>0.626</v>
      </c>
      <c r="P2864" s="10">
        <v>4.0399999999999998E-2</v>
      </c>
      <c r="Q2864" s="10">
        <v>22.5</v>
      </c>
      <c r="R2864" s="10" t="s">
        <v>85</v>
      </c>
      <c r="S2864" s="34">
        <f t="shared" si="321"/>
        <v>22.5</v>
      </c>
      <c r="T2864" s="10" t="s">
        <v>1201</v>
      </c>
      <c r="U2864" s="34" t="str">
        <f t="shared" si="322"/>
        <v/>
      </c>
      <c r="V2864" s="31" t="str">
        <f>IF(H2864="CHK",VLOOKUP(I2864,QCCHK,3,),IF(H2864="GUP",VLOOKUP(E2864,QCGUP,2,),IF(AND(H2864="ATP",OR(I2864="TN",I2864="TDN",I2864="TNO2-3",I2864="NO2-3")),VLOOKUP(E2864,QCREC_N,2,),IF(AND(H2864="NIC",OR(I2864="TN",I2864="TDN",I2864="TNO2-3",I2864="NO2-3")),VLOOKUP(E2864,QCNIC_N,2,),IF(AND(H2864="UREA",OR(I2864="TN",I2864="TDN",I2864="TNO2-3",I2864="NO2-3")),VLOOKUP(E2864,QCUREA_N,2,),IF(H2864="PER",VLOOKUP(I2864,QCPER,MATCH(E2864,QCACTUAL!$J$25:$AA$25,0),),IF(H2864="SPK",VLOOKUP(I2864,QCSPK,3,),IF(AND(H2864="ATP",OR(I2864="TP",I2864="TDP")),VLOOKUP(E2864,QCATP_P,2,),""))))))))</f>
        <v/>
      </c>
      <c r="W2864" s="31" t="str">
        <f t="shared" si="323"/>
        <v>TRUE</v>
      </c>
      <c r="X2864" s="31" t="str">
        <f t="shared" si="320"/>
        <v/>
      </c>
      <c r="Y2864" s="10" t="s">
        <v>1188</v>
      </c>
      <c r="Z2864" s="10" t="s">
        <v>910</v>
      </c>
      <c r="AF2864" s="12">
        <v>44966</v>
      </c>
      <c r="AG2864" s="10">
        <f>-11.204*0.626^2+113.68*0.626-55.283</f>
        <v>11.490101295999992</v>
      </c>
      <c r="AH2864" s="10">
        <f>-2.9408*0.626^2+89.45*0.626-43.664</f>
        <v>11.179271059199998</v>
      </c>
      <c r="AI2864" s="10">
        <f>-1.7314*0.626^2+83.401*0.626-37.87</f>
        <v>13.660531893599995</v>
      </c>
      <c r="AK2864" s="10">
        <f>0.1051*0.626^2+65.423*0.626-19.469</f>
        <v>21.526984167600006</v>
      </c>
      <c r="AL2864" s="10" t="str">
        <f t="shared" si="325"/>
        <v>y=-11.204*0.626^2+113.68*0.626-55.283</v>
      </c>
      <c r="AM2864" s="10" t="str">
        <f t="shared" si="325"/>
        <v>y=-2.9408*0.626^2+89.45*0.626-43.664</v>
      </c>
      <c r="AN2864" s="10" t="str">
        <f t="shared" si="325"/>
        <v>y=-1.7314*0.626^2+83.401*0.626-37.87</v>
      </c>
      <c r="AO2864" s="10" t="str">
        <f t="shared" si="326"/>
        <v>FALSE</v>
      </c>
      <c r="AP2864" s="10" t="str">
        <f t="shared" si="326"/>
        <v>y=0.1051*0.626^2+65.423*0.626-19.469</v>
      </c>
      <c r="AQ2864" s="10" t="str">
        <f>IF(AND(I2864="TP",S2864&lt;=150),VLOOKUP(AF2864,TPCalibEq150!$AZ$2:$BB$55,3,),IF(AND(I2864="TDP",S2864&lt;=150),VLOOKUP(AF2864,TPCalibEq150!$AZ$2:$BB$55,3,)))</f>
        <v>y=-11.204x2+113.68x-55.283</v>
      </c>
      <c r="AR2864" s="10" t="str">
        <f>IF(AND(I2864="TP",S2864&lt;=300),VLOOKUP(AF2864,TPCalibEq300!$AZ$2:$BB$55,3,),IF(AND(I2864="TDP",S2864&lt;=300),VLOOKUP(AF2864,TPCalibEq300!$AZ$2:$BB$55,3,)))</f>
        <v>y=-2.9408x2+89.45x-43.664</v>
      </c>
      <c r="AS2864" s="10" t="str">
        <f>IF(AND(I2864="TP",S2864&lt;=500),VLOOKUP(AF2864,TPCalibEq500!$AZ$2:$BB$56,3,),IF(AND(I2864="TDP",S2864&lt;=500),VLOOKUP(AF2864,TPCalibEq500!$AZ$2:$BB$56,3,)))</f>
        <v>y=-1.7314x2+83.401x-37.87</v>
      </c>
      <c r="AT2864" s="10" t="b">
        <f>IF(AND(I2864="TN",S2864&lt;=2800),VLOOKUP(AF2864,TNCalibEq2500!$AZ$2:$BB$56,3,),IF(AND(I2864="TDN",S2864&lt;=2800),VLOOKUP(AF2864,TNCalibEq2500!$AZ$2:$BB$56,3,)))</f>
        <v>0</v>
      </c>
      <c r="AU2864" s="10" t="str">
        <f>IF(I2864="TP",VLOOKUP(AF2864,TPCalibEqFull!$AZ$2:$BB$56,3),IF(I2864="TDP",VLOOKUP(AF2864,TPCalibEqFull!$AZ$2:$BB$56,3),IF(I2864="TDN",VLOOKUP(AF2864,TNCalibEqFull!$AZ$1:$BB$56,3),IF(I2864="TN",VLOOKUP(AF2864,TNCalibEqFull!$AZ$1:$BB$56,3),FALSE))))</f>
        <v>y=0.1051x2+65.423x-19.469</v>
      </c>
      <c r="AV2864" s="10" t="str">
        <f t="shared" si="324"/>
        <v>0206 09:26:00-SHC-0-FIL-1-SW-UKN</v>
      </c>
    </row>
    <row r="2865" spans="1:48" s="10" customFormat="1" x14ac:dyDescent="0.55000000000000004">
      <c r="A2865" s="32">
        <v>44963</v>
      </c>
      <c r="B2865" s="33">
        <v>0.4055555555555555</v>
      </c>
      <c r="C2865" s="10" t="s">
        <v>355</v>
      </c>
      <c r="D2865" s="10">
        <v>0</v>
      </c>
      <c r="E2865" s="10" t="s">
        <v>911</v>
      </c>
      <c r="F2865" s="10">
        <v>1</v>
      </c>
      <c r="G2865" s="10" t="s">
        <v>231</v>
      </c>
      <c r="H2865" s="10" t="s">
        <v>322</v>
      </c>
      <c r="I2865" s="10" t="s">
        <v>266</v>
      </c>
      <c r="J2865" s="10">
        <v>75</v>
      </c>
      <c r="K2865" s="12">
        <v>44966</v>
      </c>
      <c r="L2865" s="33">
        <v>0.64239583333333339</v>
      </c>
      <c r="M2865" s="10">
        <v>1</v>
      </c>
      <c r="N2865" s="10" t="s">
        <v>84</v>
      </c>
      <c r="O2865" s="10">
        <v>0.61899999999999999</v>
      </c>
      <c r="P2865" s="10">
        <v>4.0399999999999998E-2</v>
      </c>
      <c r="Q2865" s="10">
        <v>22.1</v>
      </c>
      <c r="R2865" s="10" t="s">
        <v>85</v>
      </c>
      <c r="S2865" s="34">
        <f t="shared" si="321"/>
        <v>22.1</v>
      </c>
      <c r="T2865" s="10" t="s">
        <v>1201</v>
      </c>
      <c r="U2865" s="34" t="str">
        <f t="shared" si="322"/>
        <v/>
      </c>
      <c r="V2865" s="31" t="str">
        <f>IF(H2865="CHK",VLOOKUP(I2865,QCCHK,3,),IF(H2865="GUP",VLOOKUP(E2865,QCGUP,2,),IF(AND(H2865="ATP",OR(I2865="TN",I2865="TDN",I2865="TNO2-3",I2865="NO2-3")),VLOOKUP(E2865,QCREC_N,2,),IF(AND(H2865="NIC",OR(I2865="TN",I2865="TDN",I2865="TNO2-3",I2865="NO2-3")),VLOOKUP(E2865,QCNIC_N,2,),IF(AND(H2865="UREA",OR(I2865="TN",I2865="TDN",I2865="TNO2-3",I2865="NO2-3")),VLOOKUP(E2865,QCUREA_N,2,),IF(H2865="PER",VLOOKUP(I2865,QCPER,MATCH(E2865,QCACTUAL!$J$25:$AA$25,0),),IF(H2865="SPK",VLOOKUP(I2865,QCSPK,3,),IF(AND(H2865="ATP",OR(I2865="TP",I2865="TDP")),VLOOKUP(E2865,QCATP_P,2,),""))))))))</f>
        <v/>
      </c>
      <c r="W2865" s="31" t="str">
        <f t="shared" si="323"/>
        <v>TRUE</v>
      </c>
      <c r="X2865" s="31" t="str">
        <f t="shared" si="320"/>
        <v/>
      </c>
      <c r="Y2865" s="10" t="s">
        <v>1188</v>
      </c>
      <c r="Z2865" s="10" t="s">
        <v>910</v>
      </c>
      <c r="AF2865" s="12">
        <v>44966</v>
      </c>
      <c r="AG2865" s="10">
        <f>-11.204*0.619^2+113.68*0.619-55.283</f>
        <v>10.791984155999998</v>
      </c>
      <c r="AH2865" s="10">
        <f>-2.9408*0.619^2+89.45*0.619-43.664</f>
        <v>10.578750131200003</v>
      </c>
      <c r="AI2865" s="10">
        <f>-1.7314*0.619^2+83.401*0.619-37.87</f>
        <v>13.0918140446</v>
      </c>
      <c r="AK2865" s="10">
        <f>0.1051*0.619^2+65.423*0.619-19.469</f>
        <v>21.0681072211</v>
      </c>
      <c r="AL2865" s="10" t="str">
        <f t="shared" si="325"/>
        <v>y=-11.204*0.619^2+113.68*0.619-55.283</v>
      </c>
      <c r="AM2865" s="10" t="str">
        <f t="shared" si="325"/>
        <v>y=-2.9408*0.619^2+89.45*0.619-43.664</v>
      </c>
      <c r="AN2865" s="10" t="str">
        <f t="shared" si="325"/>
        <v>y=-1.7314*0.619^2+83.401*0.619-37.87</v>
      </c>
      <c r="AO2865" s="10" t="str">
        <f t="shared" si="326"/>
        <v>FALSE</v>
      </c>
      <c r="AP2865" s="10" t="str">
        <f t="shared" si="326"/>
        <v>y=0.1051*0.619^2+65.423*0.619-19.469</v>
      </c>
      <c r="AQ2865" s="10" t="str">
        <f>IF(AND(I2865="TP",S2865&lt;=150),VLOOKUP(AF2865,TPCalibEq150!$AZ$2:$BB$55,3,),IF(AND(I2865="TDP",S2865&lt;=150),VLOOKUP(AF2865,TPCalibEq150!$AZ$2:$BB$55,3,)))</f>
        <v>y=-11.204x2+113.68x-55.283</v>
      </c>
      <c r="AR2865" s="10" t="str">
        <f>IF(AND(I2865="TP",S2865&lt;=300),VLOOKUP(AF2865,TPCalibEq300!$AZ$2:$BB$55,3,),IF(AND(I2865="TDP",S2865&lt;=300),VLOOKUP(AF2865,TPCalibEq300!$AZ$2:$BB$55,3,)))</f>
        <v>y=-2.9408x2+89.45x-43.664</v>
      </c>
      <c r="AS2865" s="10" t="str">
        <f>IF(AND(I2865="TP",S2865&lt;=500),VLOOKUP(AF2865,TPCalibEq500!$AZ$2:$BB$56,3,),IF(AND(I2865="TDP",S2865&lt;=500),VLOOKUP(AF2865,TPCalibEq500!$AZ$2:$BB$56,3,)))</f>
        <v>y=-1.7314x2+83.401x-37.87</v>
      </c>
      <c r="AT2865" s="10" t="b">
        <f>IF(AND(I2865="TN",S2865&lt;=2800),VLOOKUP(AF2865,TNCalibEq2500!$AZ$2:$BB$56,3,),IF(AND(I2865="TDN",S2865&lt;=2800),VLOOKUP(AF2865,TNCalibEq2500!$AZ$2:$BB$56,3,)))</f>
        <v>0</v>
      </c>
      <c r="AU2865" s="10" t="str">
        <f>IF(I2865="TP",VLOOKUP(AF2865,TPCalibEqFull!$AZ$2:$BB$56,3),IF(I2865="TDP",VLOOKUP(AF2865,TPCalibEqFull!$AZ$2:$BB$56,3),IF(I2865="TDN",VLOOKUP(AF2865,TNCalibEqFull!$AZ$1:$BB$56,3),IF(I2865="TN",VLOOKUP(AF2865,TNCalibEqFull!$AZ$1:$BB$56,3),FALSE))))</f>
        <v>y=0.1051x2+65.423x-19.469</v>
      </c>
      <c r="AV2865" s="10" t="str">
        <f t="shared" si="324"/>
        <v>0206 09:44:00-SLT-0-FIL-1-SW-UKN</v>
      </c>
    </row>
    <row r="2866" spans="1:48" s="10" customFormat="1" x14ac:dyDescent="0.55000000000000004">
      <c r="A2866" s="32">
        <v>44963</v>
      </c>
      <c r="B2866" s="33">
        <v>0.4236111111111111</v>
      </c>
      <c r="C2866" s="10" t="s">
        <v>310</v>
      </c>
      <c r="D2866" s="10">
        <v>0</v>
      </c>
      <c r="E2866" s="10" t="s">
        <v>911</v>
      </c>
      <c r="F2866" s="10">
        <v>1</v>
      </c>
      <c r="G2866" s="10" t="s">
        <v>231</v>
      </c>
      <c r="H2866" s="10" t="s">
        <v>322</v>
      </c>
      <c r="I2866" s="10" t="s">
        <v>266</v>
      </c>
      <c r="J2866" s="10">
        <v>76</v>
      </c>
      <c r="K2866" s="12">
        <v>44966</v>
      </c>
      <c r="L2866" s="33">
        <v>0.64310185185185187</v>
      </c>
      <c r="M2866" s="10">
        <v>1</v>
      </c>
      <c r="N2866" s="10" t="s">
        <v>84</v>
      </c>
      <c r="O2866" s="10">
        <v>1.1599999999999999</v>
      </c>
      <c r="P2866" s="10">
        <v>7.8299999999999995E-2</v>
      </c>
      <c r="Q2866" s="10">
        <v>57.6</v>
      </c>
      <c r="R2866" s="10" t="s">
        <v>85</v>
      </c>
      <c r="S2866" s="34">
        <f t="shared" si="321"/>
        <v>61.509697599999996</v>
      </c>
      <c r="T2866" s="10" t="s">
        <v>1201</v>
      </c>
      <c r="U2866" s="34" t="str">
        <f t="shared" si="322"/>
        <v/>
      </c>
      <c r="V2866" s="31" t="str">
        <f>IF(H2866="CHK",VLOOKUP(I2866,QCCHK,3,),IF(H2866="GUP",VLOOKUP(E2866,QCGUP,2,),IF(AND(H2866="ATP",OR(I2866="TN",I2866="TDN",I2866="TNO2-3",I2866="NO2-3")),VLOOKUP(E2866,QCREC_N,2,),IF(AND(H2866="NIC",OR(I2866="TN",I2866="TDN",I2866="TNO2-3",I2866="NO2-3")),VLOOKUP(E2866,QCNIC_N,2,),IF(AND(H2866="UREA",OR(I2866="TN",I2866="TDN",I2866="TNO2-3",I2866="NO2-3")),VLOOKUP(E2866,QCUREA_N,2,),IF(H2866="PER",VLOOKUP(I2866,QCPER,MATCH(E2866,QCACTUAL!$J$25:$AA$25,0),),IF(H2866="SPK",VLOOKUP(I2866,QCSPK,3,),IF(AND(H2866="ATP",OR(I2866="TP",I2866="TDP")),VLOOKUP(E2866,QCATP_P,2,),""))))))))</f>
        <v/>
      </c>
      <c r="W2866" s="31" t="str">
        <f t="shared" si="323"/>
        <v>TRUE</v>
      </c>
      <c r="X2866" s="31" t="str">
        <f t="shared" si="320"/>
        <v/>
      </c>
      <c r="Y2866" s="10" t="s">
        <v>1188</v>
      </c>
      <c r="Z2866" s="10" t="s">
        <v>910</v>
      </c>
      <c r="AF2866" s="12">
        <v>44966</v>
      </c>
      <c r="AG2866" s="10">
        <f>-11.204*1.16^2+113.68*1.16-55.283</f>
        <v>61.509697599999996</v>
      </c>
      <c r="AH2866" s="10">
        <f>-2.9408*1.16^2+89.45*1.16-43.664</f>
        <v>56.140859520000006</v>
      </c>
      <c r="AI2866" s="10">
        <f>-1.7314*1.16^2+83.401*1.16-37.87</f>
        <v>56.54538815999998</v>
      </c>
      <c r="AK2866" s="10">
        <f>0.1051*1.16^2+65.423*1.16-19.469</f>
        <v>56.563102559999997</v>
      </c>
      <c r="AL2866" s="10" t="str">
        <f t="shared" si="325"/>
        <v>y=-11.204*1.16^2+113.68*1.16-55.283</v>
      </c>
      <c r="AM2866" s="10" t="str">
        <f t="shared" si="325"/>
        <v>y=-2.9408*1.16^2+89.45*1.16-43.664</v>
      </c>
      <c r="AN2866" s="10" t="str">
        <f t="shared" si="325"/>
        <v>y=-1.7314*1.16^2+83.401*1.16-37.87</v>
      </c>
      <c r="AO2866" s="10" t="str">
        <f t="shared" si="326"/>
        <v>FALSE</v>
      </c>
      <c r="AP2866" s="10" t="str">
        <f t="shared" si="326"/>
        <v>y=0.1051*1.16^2+65.423*1.16-19.469</v>
      </c>
      <c r="AQ2866" s="10" t="str">
        <f>IF(AND(I2866="TP",S2866&lt;=150),VLOOKUP(AF2866,TPCalibEq150!$AZ$2:$BB$55,3,),IF(AND(I2866="TDP",S2866&lt;=150),VLOOKUP(AF2866,TPCalibEq150!$AZ$2:$BB$55,3,)))</f>
        <v>y=-11.204x2+113.68x-55.283</v>
      </c>
      <c r="AR2866" s="10" t="str">
        <f>IF(AND(I2866="TP",S2866&lt;=300),VLOOKUP(AF2866,TPCalibEq300!$AZ$2:$BB$55,3,),IF(AND(I2866="TDP",S2866&lt;=300),VLOOKUP(AF2866,TPCalibEq300!$AZ$2:$BB$55,3,)))</f>
        <v>y=-2.9408x2+89.45x-43.664</v>
      </c>
      <c r="AS2866" s="10" t="str">
        <f>IF(AND(I2866="TP",S2866&lt;=500),VLOOKUP(AF2866,TPCalibEq500!$AZ$2:$BB$56,3,),IF(AND(I2866="TDP",S2866&lt;=500),VLOOKUP(AF2866,TPCalibEq500!$AZ$2:$BB$56,3,)))</f>
        <v>y=-1.7314x2+83.401x-37.87</v>
      </c>
      <c r="AT2866" s="10" t="b">
        <f>IF(AND(I2866="TN",S2866&lt;=2800),VLOOKUP(AF2866,TNCalibEq2500!$AZ$2:$BB$56,3,),IF(AND(I2866="TDN",S2866&lt;=2800),VLOOKUP(AF2866,TNCalibEq2500!$AZ$2:$BB$56,3,)))</f>
        <v>0</v>
      </c>
      <c r="AU2866" s="10" t="str">
        <f>IF(I2866="TP",VLOOKUP(AF2866,TPCalibEqFull!$AZ$2:$BB$56,3),IF(I2866="TDP",VLOOKUP(AF2866,TPCalibEqFull!$AZ$2:$BB$56,3),IF(I2866="TDN",VLOOKUP(AF2866,TNCalibEqFull!$AZ$1:$BB$56,3),IF(I2866="TN",VLOOKUP(AF2866,TNCalibEqFull!$AZ$1:$BB$56,3),FALSE))))</f>
        <v>y=0.1051x2+65.423x-19.469</v>
      </c>
      <c r="AV2866" s="10" t="str">
        <f t="shared" si="324"/>
        <v>0206 10:10:00-ELI-0-FIL-1-SW-UKN</v>
      </c>
    </row>
    <row r="2867" spans="1:48" s="10" customFormat="1" x14ac:dyDescent="0.55000000000000004">
      <c r="A2867" s="32">
        <v>44963</v>
      </c>
      <c r="B2867" s="33">
        <v>0.44930555555555557</v>
      </c>
      <c r="C2867" s="10" t="s">
        <v>999</v>
      </c>
      <c r="D2867" s="10">
        <v>0</v>
      </c>
      <c r="E2867" s="10" t="s">
        <v>911</v>
      </c>
      <c r="F2867" s="10">
        <v>1</v>
      </c>
      <c r="G2867" s="10" t="s">
        <v>231</v>
      </c>
      <c r="H2867" s="10" t="s">
        <v>322</v>
      </c>
      <c r="I2867" s="10" t="s">
        <v>266</v>
      </c>
      <c r="J2867" s="10">
        <v>77</v>
      </c>
      <c r="K2867" s="12">
        <v>44966</v>
      </c>
      <c r="L2867" s="33">
        <v>0.64380787037037035</v>
      </c>
      <c r="M2867" s="10">
        <v>1</v>
      </c>
      <c r="N2867" s="10" t="s">
        <v>84</v>
      </c>
      <c r="O2867" s="10">
        <v>1.02</v>
      </c>
      <c r="P2867" s="10">
        <v>6.8599999999999994E-2</v>
      </c>
      <c r="Q2867" s="10">
        <v>48.1</v>
      </c>
      <c r="R2867" s="10" t="s">
        <v>85</v>
      </c>
      <c r="S2867" s="34">
        <f t="shared" si="321"/>
        <v>49.013958400000007</v>
      </c>
      <c r="T2867" s="10" t="s">
        <v>1201</v>
      </c>
      <c r="U2867" s="34" t="str">
        <f t="shared" si="322"/>
        <v/>
      </c>
      <c r="V2867" s="31" t="str">
        <f>IF(H2867="CHK",VLOOKUP(I2867,QCCHK,3,),IF(H2867="GUP",VLOOKUP(E2867,QCGUP,2,),IF(AND(H2867="ATP",OR(I2867="TN",I2867="TDN",I2867="TNO2-3",I2867="NO2-3")),VLOOKUP(E2867,QCREC_N,2,),IF(AND(H2867="NIC",OR(I2867="TN",I2867="TDN",I2867="TNO2-3",I2867="NO2-3")),VLOOKUP(E2867,QCNIC_N,2,),IF(AND(H2867="UREA",OR(I2867="TN",I2867="TDN",I2867="TNO2-3",I2867="NO2-3")),VLOOKUP(E2867,QCUREA_N,2,),IF(H2867="PER",VLOOKUP(I2867,QCPER,MATCH(E2867,QCACTUAL!$J$25:$AA$25,0),),IF(H2867="SPK",VLOOKUP(I2867,QCSPK,3,),IF(AND(H2867="ATP",OR(I2867="TP",I2867="TDP")),VLOOKUP(E2867,QCATP_P,2,),""))))))))</f>
        <v/>
      </c>
      <c r="W2867" s="31" t="str">
        <f t="shared" si="323"/>
        <v>TRUE</v>
      </c>
      <c r="X2867" s="31" t="str">
        <f t="shared" si="320"/>
        <v/>
      </c>
      <c r="Y2867" s="10" t="s">
        <v>1188</v>
      </c>
      <c r="Z2867" s="10" t="s">
        <v>910</v>
      </c>
      <c r="AF2867" s="12">
        <v>44966</v>
      </c>
      <c r="AG2867" s="10">
        <f>-11.204*1.02^2+113.68*1.02-55.283</f>
        <v>49.013958400000007</v>
      </c>
      <c r="AH2867" s="10">
        <f>-2.9408*1.02^2+89.45*1.02-43.664</f>
        <v>44.515391680000008</v>
      </c>
      <c r="AI2867" s="10">
        <f>-1.7314*1.02^2+83.401*1.02-37.87</f>
        <v>45.397671440000003</v>
      </c>
      <c r="AK2867" s="10">
        <f>0.1051*1.02^2+65.423*1.02-19.469</f>
        <v>47.371806040000003</v>
      </c>
      <c r="AL2867" s="10" t="str">
        <f t="shared" si="325"/>
        <v>y=-11.204*1.02^2+113.68*1.02-55.283</v>
      </c>
      <c r="AM2867" s="10" t="str">
        <f t="shared" si="325"/>
        <v>y=-2.9408*1.02^2+89.45*1.02-43.664</v>
      </c>
      <c r="AN2867" s="10" t="str">
        <f t="shared" si="325"/>
        <v>y=-1.7314*1.02^2+83.401*1.02-37.87</v>
      </c>
      <c r="AO2867" s="10" t="str">
        <f t="shared" si="326"/>
        <v>FALSE</v>
      </c>
      <c r="AP2867" s="10" t="str">
        <f t="shared" si="326"/>
        <v>y=0.1051*1.02^2+65.423*1.02-19.469</v>
      </c>
      <c r="AQ2867" s="10" t="str">
        <f>IF(AND(I2867="TP",S2867&lt;=150),VLOOKUP(AF2867,TPCalibEq150!$AZ$2:$BB$55,3,),IF(AND(I2867="TDP",S2867&lt;=150),VLOOKUP(AF2867,TPCalibEq150!$AZ$2:$BB$55,3,)))</f>
        <v>y=-11.204x2+113.68x-55.283</v>
      </c>
      <c r="AR2867" s="10" t="str">
        <f>IF(AND(I2867="TP",S2867&lt;=300),VLOOKUP(AF2867,TPCalibEq300!$AZ$2:$BB$55,3,),IF(AND(I2867="TDP",S2867&lt;=300),VLOOKUP(AF2867,TPCalibEq300!$AZ$2:$BB$55,3,)))</f>
        <v>y=-2.9408x2+89.45x-43.664</v>
      </c>
      <c r="AS2867" s="10" t="str">
        <f>IF(AND(I2867="TP",S2867&lt;=500),VLOOKUP(AF2867,TPCalibEq500!$AZ$2:$BB$56,3,),IF(AND(I2867="TDP",S2867&lt;=500),VLOOKUP(AF2867,TPCalibEq500!$AZ$2:$BB$56,3,)))</f>
        <v>y=-1.7314x2+83.401x-37.87</v>
      </c>
      <c r="AT2867" s="10" t="b">
        <f>IF(AND(I2867="TN",S2867&lt;=2800),VLOOKUP(AF2867,TNCalibEq2500!$AZ$2:$BB$56,3,),IF(AND(I2867="TDN",S2867&lt;=2800),VLOOKUP(AF2867,TNCalibEq2500!$AZ$2:$BB$56,3,)))</f>
        <v>0</v>
      </c>
      <c r="AU2867" s="10" t="str">
        <f>IF(I2867="TP",VLOOKUP(AF2867,TPCalibEqFull!$AZ$2:$BB$56,3),IF(I2867="TDP",VLOOKUP(AF2867,TPCalibEqFull!$AZ$2:$BB$56,3),IF(I2867="TDN",VLOOKUP(AF2867,TNCalibEqFull!$AZ$1:$BB$56,3),IF(I2867="TN",VLOOKUP(AF2867,TNCalibEqFull!$AZ$1:$BB$56,3),FALSE))))</f>
        <v>y=0.1051x2+65.423x-19.469</v>
      </c>
      <c r="AV2867" s="10" t="str">
        <f t="shared" si="324"/>
        <v>0206 10:47:00-EAW-0-FIL-1-SW-UKN</v>
      </c>
    </row>
    <row r="2868" spans="1:48" s="10" customFormat="1" x14ac:dyDescent="0.55000000000000004">
      <c r="A2868" s="32">
        <v>44963</v>
      </c>
      <c r="B2868" s="33">
        <v>0.4604166666666667</v>
      </c>
      <c r="C2868" s="10" t="s">
        <v>613</v>
      </c>
      <c r="D2868" s="10">
        <v>0</v>
      </c>
      <c r="E2868" s="10" t="s">
        <v>911</v>
      </c>
      <c r="F2868" s="10">
        <v>1</v>
      </c>
      <c r="G2868" s="10" t="s">
        <v>231</v>
      </c>
      <c r="H2868" s="10" t="s">
        <v>322</v>
      </c>
      <c r="I2868" s="10" t="s">
        <v>266</v>
      </c>
      <c r="J2868" s="10">
        <v>78</v>
      </c>
      <c r="K2868" s="12">
        <v>44966</v>
      </c>
      <c r="L2868" s="33">
        <v>0.64452546296296298</v>
      </c>
      <c r="M2868" s="10">
        <v>1</v>
      </c>
      <c r="N2868" s="10" t="s">
        <v>84</v>
      </c>
      <c r="O2868" s="10">
        <v>1.36</v>
      </c>
      <c r="P2868" s="10">
        <v>9.2999999999999999E-2</v>
      </c>
      <c r="Q2868" s="10">
        <v>70.599999999999994</v>
      </c>
      <c r="R2868" s="10" t="s">
        <v>85</v>
      </c>
      <c r="S2868" s="34">
        <f t="shared" si="321"/>
        <v>78.598881600000013</v>
      </c>
      <c r="T2868" s="10" t="s">
        <v>1201</v>
      </c>
      <c r="U2868" s="34" t="str">
        <f t="shared" si="322"/>
        <v/>
      </c>
      <c r="V2868" s="31" t="str">
        <f>IF(H2868="CHK",VLOOKUP(I2868,QCCHK,3,),IF(H2868="GUP",VLOOKUP(E2868,QCGUP,2,),IF(AND(H2868="ATP",OR(I2868="TN",I2868="TDN",I2868="TNO2-3",I2868="NO2-3")),VLOOKUP(E2868,QCREC_N,2,),IF(AND(H2868="NIC",OR(I2868="TN",I2868="TDN",I2868="TNO2-3",I2868="NO2-3")),VLOOKUP(E2868,QCNIC_N,2,),IF(AND(H2868="UREA",OR(I2868="TN",I2868="TDN",I2868="TNO2-3",I2868="NO2-3")),VLOOKUP(E2868,QCUREA_N,2,),IF(H2868="PER",VLOOKUP(I2868,QCPER,MATCH(E2868,QCACTUAL!$J$25:$AA$25,0),),IF(H2868="SPK",VLOOKUP(I2868,QCSPK,3,),IF(AND(H2868="ATP",OR(I2868="TP",I2868="TDP")),VLOOKUP(E2868,QCATP_P,2,),""))))))))</f>
        <v/>
      </c>
      <c r="W2868" s="31" t="str">
        <f t="shared" si="323"/>
        <v>TRUE</v>
      </c>
      <c r="X2868" s="31" t="str">
        <f t="shared" si="320"/>
        <v/>
      </c>
      <c r="Y2868" s="10" t="s">
        <v>1188</v>
      </c>
      <c r="Z2868" s="10" t="s">
        <v>910</v>
      </c>
      <c r="AF2868" s="12">
        <v>44966</v>
      </c>
      <c r="AG2868" s="10">
        <f>-11.204*1.36^2+113.68*1.36-55.283</f>
        <v>78.598881600000013</v>
      </c>
      <c r="AH2868" s="10">
        <f>-2.9408*1.36^2+89.45*1.36-43.664</f>
        <v>72.548696320000019</v>
      </c>
      <c r="AI2868" s="10">
        <f>-1.7314*1.36^2+83.401*1.36-37.87</f>
        <v>72.352962560000009</v>
      </c>
      <c r="AK2868" s="10">
        <f>0.1051*1.36^2+65.423*1.36-19.469</f>
        <v>69.70067296000002</v>
      </c>
      <c r="AL2868" s="10" t="str">
        <f t="shared" si="325"/>
        <v>y=-11.204*1.36^2+113.68*1.36-55.283</v>
      </c>
      <c r="AM2868" s="10" t="str">
        <f t="shared" si="325"/>
        <v>y=-2.9408*1.36^2+89.45*1.36-43.664</v>
      </c>
      <c r="AN2868" s="10" t="str">
        <f t="shared" si="325"/>
        <v>y=-1.7314*1.36^2+83.401*1.36-37.87</v>
      </c>
      <c r="AO2868" s="10" t="str">
        <f t="shared" si="326"/>
        <v>FALSE</v>
      </c>
      <c r="AP2868" s="10" t="str">
        <f t="shared" si="326"/>
        <v>y=0.1051*1.36^2+65.423*1.36-19.469</v>
      </c>
      <c r="AQ2868" s="10" t="str">
        <f>IF(AND(I2868="TP",S2868&lt;=150),VLOOKUP(AF2868,TPCalibEq150!$AZ$2:$BB$55,3,),IF(AND(I2868="TDP",S2868&lt;=150),VLOOKUP(AF2868,TPCalibEq150!$AZ$2:$BB$55,3,)))</f>
        <v>y=-11.204x2+113.68x-55.283</v>
      </c>
      <c r="AR2868" s="10" t="str">
        <f>IF(AND(I2868="TP",S2868&lt;=300),VLOOKUP(AF2868,TPCalibEq300!$AZ$2:$BB$55,3,),IF(AND(I2868="TDP",S2868&lt;=300),VLOOKUP(AF2868,TPCalibEq300!$AZ$2:$BB$55,3,)))</f>
        <v>y=-2.9408x2+89.45x-43.664</v>
      </c>
      <c r="AS2868" s="10" t="str">
        <f>IF(AND(I2868="TP",S2868&lt;=500),VLOOKUP(AF2868,TPCalibEq500!$AZ$2:$BB$56,3,),IF(AND(I2868="TDP",S2868&lt;=500),VLOOKUP(AF2868,TPCalibEq500!$AZ$2:$BB$56,3,)))</f>
        <v>y=-1.7314x2+83.401x-37.87</v>
      </c>
      <c r="AT2868" s="10" t="b">
        <f>IF(AND(I2868="TN",S2868&lt;=2800),VLOOKUP(AF2868,TNCalibEq2500!$AZ$2:$BB$56,3,),IF(AND(I2868="TDN",S2868&lt;=2800),VLOOKUP(AF2868,TNCalibEq2500!$AZ$2:$BB$56,3,)))</f>
        <v>0</v>
      </c>
      <c r="AU2868" s="10" t="str">
        <f>IF(I2868="TP",VLOOKUP(AF2868,TPCalibEqFull!$AZ$2:$BB$56,3),IF(I2868="TDP",VLOOKUP(AF2868,TPCalibEqFull!$AZ$2:$BB$56,3),IF(I2868="TDN",VLOOKUP(AF2868,TNCalibEqFull!$AZ$1:$BB$56,3),IF(I2868="TN",VLOOKUP(AF2868,TNCalibEqFull!$AZ$1:$BB$56,3),FALSE))))</f>
        <v>y=0.1051x2+65.423x-19.469</v>
      </c>
      <c r="AV2868" s="10" t="str">
        <f t="shared" si="324"/>
        <v>0206 11:03:00-FVC-0-FIL-1-SW-UKN</v>
      </c>
    </row>
    <row r="2869" spans="1:48" s="10" customFormat="1" x14ac:dyDescent="0.55000000000000004">
      <c r="A2869" s="32">
        <v>44963</v>
      </c>
      <c r="B2869" s="33">
        <v>0.4604166666666667</v>
      </c>
      <c r="C2869" s="10" t="s">
        <v>613</v>
      </c>
      <c r="D2869" s="10">
        <v>0</v>
      </c>
      <c r="E2869" s="10" t="s">
        <v>911</v>
      </c>
      <c r="F2869" s="10">
        <v>2</v>
      </c>
      <c r="G2869" s="10" t="s">
        <v>231</v>
      </c>
      <c r="H2869" s="10" t="s">
        <v>322</v>
      </c>
      <c r="I2869" s="10" t="s">
        <v>266</v>
      </c>
      <c r="J2869" s="10">
        <v>79</v>
      </c>
      <c r="K2869" s="12">
        <v>44966</v>
      </c>
      <c r="L2869" s="33">
        <v>0.64521990740740742</v>
      </c>
      <c r="M2869" s="10">
        <v>1</v>
      </c>
      <c r="N2869" s="10" t="s">
        <v>84</v>
      </c>
      <c r="O2869" s="10">
        <v>2.29</v>
      </c>
      <c r="P2869" s="10">
        <v>0.159</v>
      </c>
      <c r="Q2869" s="10">
        <v>131</v>
      </c>
      <c r="R2869" s="10" t="s">
        <v>85</v>
      </c>
      <c r="S2869" s="34">
        <f t="shared" si="321"/>
        <v>146.28930359999998</v>
      </c>
      <c r="T2869" s="10" t="s">
        <v>1201</v>
      </c>
      <c r="U2869" s="34" t="str">
        <f t="shared" si="322"/>
        <v/>
      </c>
      <c r="V2869" s="31" t="str">
        <f>IF(H2869="CHK",VLOOKUP(I2869,QCCHK,3,),IF(H2869="GUP",VLOOKUP(E2869,QCGUP,2,),IF(AND(H2869="ATP",OR(I2869="TN",I2869="TDN",I2869="TNO2-3",I2869="NO2-3")),VLOOKUP(E2869,QCREC_N,2,),IF(AND(H2869="NIC",OR(I2869="TN",I2869="TDN",I2869="TNO2-3",I2869="NO2-3")),VLOOKUP(E2869,QCNIC_N,2,),IF(AND(H2869="UREA",OR(I2869="TN",I2869="TDN",I2869="TNO2-3",I2869="NO2-3")),VLOOKUP(E2869,QCUREA_N,2,),IF(H2869="PER",VLOOKUP(I2869,QCPER,MATCH(E2869,QCACTUAL!$J$25:$AA$25,0),),IF(H2869="SPK",VLOOKUP(I2869,QCSPK,3,),IF(AND(H2869="ATP",OR(I2869="TP",I2869="TDP")),VLOOKUP(E2869,QCATP_P,2,),""))))))))</f>
        <v/>
      </c>
      <c r="W2869" s="31" t="str">
        <f t="shared" si="323"/>
        <v>TRUE</v>
      </c>
      <c r="X2869" s="31" t="str">
        <f t="shared" si="320"/>
        <v/>
      </c>
      <c r="Y2869" s="10" t="s">
        <v>1188</v>
      </c>
      <c r="Z2869" s="10" t="s">
        <v>910</v>
      </c>
      <c r="AF2869" s="12">
        <v>44966</v>
      </c>
      <c r="AG2869" s="10">
        <f>-11.204*2.29^2+113.68*2.29-55.283</f>
        <v>146.28930359999998</v>
      </c>
      <c r="AH2869" s="10">
        <f>-2.9408*2.29^2+89.45*2.29-43.664</f>
        <v>145.75465072000003</v>
      </c>
      <c r="AI2869" s="10">
        <f>-1.7314*2.29^2+83.401*2.29-37.87</f>
        <v>144.03865526000001</v>
      </c>
      <c r="AK2869" s="10">
        <f>0.1051*2.29^2+65.423*2.29-19.469</f>
        <v>130.90082491000001</v>
      </c>
      <c r="AL2869" s="10" t="str">
        <f t="shared" si="325"/>
        <v>y=-11.204*2.29^2+113.68*2.29-55.283</v>
      </c>
      <c r="AM2869" s="10" t="str">
        <f t="shared" si="325"/>
        <v>y=-2.9408*2.29^2+89.45*2.29-43.664</v>
      </c>
      <c r="AN2869" s="10" t="str">
        <f t="shared" si="325"/>
        <v>y=-1.7314*2.29^2+83.401*2.29-37.87</v>
      </c>
      <c r="AO2869" s="10" t="str">
        <f t="shared" si="326"/>
        <v>FALSE</v>
      </c>
      <c r="AP2869" s="10" t="str">
        <f t="shared" si="326"/>
        <v>y=0.1051*2.29^2+65.423*2.29-19.469</v>
      </c>
      <c r="AQ2869" s="10" t="str">
        <f>IF(AND(I2869="TP",S2869&lt;=150),VLOOKUP(AF2869,TPCalibEq150!$AZ$2:$BB$55,3,),IF(AND(I2869="TDP",S2869&lt;=150),VLOOKUP(AF2869,TPCalibEq150!$AZ$2:$BB$55,3,)))</f>
        <v>y=-11.204x2+113.68x-55.283</v>
      </c>
      <c r="AR2869" s="10" t="str">
        <f>IF(AND(I2869="TP",S2869&lt;=300),VLOOKUP(AF2869,TPCalibEq300!$AZ$2:$BB$55,3,),IF(AND(I2869="TDP",S2869&lt;=300),VLOOKUP(AF2869,TPCalibEq300!$AZ$2:$BB$55,3,)))</f>
        <v>y=-2.9408x2+89.45x-43.664</v>
      </c>
      <c r="AS2869" s="10" t="str">
        <f>IF(AND(I2869="TP",S2869&lt;=500),VLOOKUP(AF2869,TPCalibEq500!$AZ$2:$BB$56,3,),IF(AND(I2869="TDP",S2869&lt;=500),VLOOKUP(AF2869,TPCalibEq500!$AZ$2:$BB$56,3,)))</f>
        <v>y=-1.7314x2+83.401x-37.87</v>
      </c>
      <c r="AT2869" s="10" t="b">
        <f>IF(AND(I2869="TN",S2869&lt;=2800),VLOOKUP(AF2869,TNCalibEq2500!$AZ$2:$BB$56,3,),IF(AND(I2869="TDN",S2869&lt;=2800),VLOOKUP(AF2869,TNCalibEq2500!$AZ$2:$BB$56,3,)))</f>
        <v>0</v>
      </c>
      <c r="AU2869" s="10" t="str">
        <f>IF(I2869="TP",VLOOKUP(AF2869,TPCalibEqFull!$AZ$2:$BB$56,3),IF(I2869="TDP",VLOOKUP(AF2869,TPCalibEqFull!$AZ$2:$BB$56,3),IF(I2869="TDN",VLOOKUP(AF2869,TNCalibEqFull!$AZ$1:$BB$56,3),IF(I2869="TN",VLOOKUP(AF2869,TNCalibEqFull!$AZ$1:$BB$56,3),FALSE))))</f>
        <v>y=0.1051x2+65.423x-19.469</v>
      </c>
      <c r="AV2869" s="10" t="str">
        <f t="shared" si="324"/>
        <v>0206 11:03:00-FVC-0-FIL-2-SW-UKN</v>
      </c>
    </row>
    <row r="2870" spans="1:48" s="10" customFormat="1" x14ac:dyDescent="0.55000000000000004">
      <c r="A2870" s="32">
        <v>44963</v>
      </c>
      <c r="B2870" s="33">
        <v>0.4604166666666667</v>
      </c>
      <c r="C2870" s="10" t="s">
        <v>613</v>
      </c>
      <c r="D2870" s="10">
        <v>0</v>
      </c>
      <c r="E2870" s="10" t="s">
        <v>911</v>
      </c>
      <c r="F2870" s="10">
        <v>2</v>
      </c>
      <c r="G2870" s="10" t="s">
        <v>231</v>
      </c>
      <c r="H2870" s="10" t="s">
        <v>233</v>
      </c>
      <c r="I2870" s="10" t="s">
        <v>266</v>
      </c>
      <c r="J2870" s="10">
        <v>79</v>
      </c>
      <c r="K2870" s="12">
        <v>44966</v>
      </c>
      <c r="L2870" s="33">
        <v>0.6459259259259259</v>
      </c>
      <c r="M2870" s="10">
        <v>1</v>
      </c>
      <c r="N2870" s="10" t="s">
        <v>84</v>
      </c>
      <c r="O2870" s="10">
        <v>2.29</v>
      </c>
      <c r="P2870" s="10">
        <v>0.16</v>
      </c>
      <c r="Q2870" s="10">
        <v>132</v>
      </c>
      <c r="R2870" s="10" t="s">
        <v>85</v>
      </c>
      <c r="S2870" s="34">
        <f t="shared" si="321"/>
        <v>146.28930359999998</v>
      </c>
      <c r="T2870" s="10" t="s">
        <v>1201</v>
      </c>
      <c r="U2870" s="34">
        <f t="shared" si="322"/>
        <v>0</v>
      </c>
      <c r="V2870" s="31" t="str">
        <f>IF(H2870="CHK",VLOOKUP(I2870,QCCHK,3,),IF(H2870="GUP",VLOOKUP(E2870,QCGUP,2,),IF(AND(H2870="ATP",OR(I2870="TN",I2870="TDN",I2870="TNO2-3",I2870="NO2-3")),VLOOKUP(E2870,QCREC_N,2,),IF(AND(H2870="NIC",OR(I2870="TN",I2870="TDN",I2870="TNO2-3",I2870="NO2-3")),VLOOKUP(E2870,QCNIC_N,2,),IF(AND(H2870="UREA",OR(I2870="TN",I2870="TDN",I2870="TNO2-3",I2870="NO2-3")),VLOOKUP(E2870,QCUREA_N,2,),IF(H2870="PER",VLOOKUP(I2870,QCPER,MATCH(E2870,QCACTUAL!$J$25:$AA$25,0),),IF(H2870="SPK",VLOOKUP(I2870,QCSPK,3,),IF(AND(H2870="ATP",OR(I2870="TP",I2870="TDP")),VLOOKUP(E2870,QCATP_P,2,),""))))))))</f>
        <v/>
      </c>
      <c r="W2870" s="31" t="str">
        <f t="shared" si="323"/>
        <v>TRUE</v>
      </c>
      <c r="X2870" s="31" t="str">
        <f t="shared" si="320"/>
        <v>((ABS(rep1-rep2))/((rep1+rep2)/2)*100</v>
      </c>
      <c r="Y2870" s="10" t="s">
        <v>1188</v>
      </c>
      <c r="Z2870" s="10" t="s">
        <v>910</v>
      </c>
      <c r="AF2870" s="12">
        <v>44966</v>
      </c>
      <c r="AG2870" s="10">
        <f>-11.204*2.29^2+113.68*2.29-55.283</f>
        <v>146.28930359999998</v>
      </c>
      <c r="AH2870" s="10">
        <f>-2.9408*2.29^2+89.45*2.29-43.664</f>
        <v>145.75465072000003</v>
      </c>
      <c r="AI2870" s="10">
        <f>-1.7314*2.29^2+83.401*2.29-37.87</f>
        <v>144.03865526000001</v>
      </c>
      <c r="AK2870" s="10">
        <f>0.1051*2.29^2+65.423*2.29-19.469</f>
        <v>130.90082491000001</v>
      </c>
      <c r="AL2870" s="10" t="str">
        <f t="shared" si="325"/>
        <v>y=-11.204*2.29^2+113.68*2.29-55.283</v>
      </c>
      <c r="AM2870" s="10" t="str">
        <f t="shared" si="325"/>
        <v>y=-2.9408*2.29^2+89.45*2.29-43.664</v>
      </c>
      <c r="AN2870" s="10" t="str">
        <f t="shared" si="325"/>
        <v>y=-1.7314*2.29^2+83.401*2.29-37.87</v>
      </c>
      <c r="AO2870" s="10" t="str">
        <f t="shared" si="326"/>
        <v>FALSE</v>
      </c>
      <c r="AP2870" s="10" t="str">
        <f t="shared" si="326"/>
        <v>y=0.1051*2.29^2+65.423*2.29-19.469</v>
      </c>
      <c r="AQ2870" s="10" t="str">
        <f>IF(AND(I2870="TP",S2870&lt;=150),VLOOKUP(AF2870,TPCalibEq150!$AZ$2:$BB$55,3,),IF(AND(I2870="TDP",S2870&lt;=150),VLOOKUP(AF2870,TPCalibEq150!$AZ$2:$BB$55,3,)))</f>
        <v>y=-11.204x2+113.68x-55.283</v>
      </c>
      <c r="AR2870" s="10" t="str">
        <f>IF(AND(I2870="TP",S2870&lt;=300),VLOOKUP(AF2870,TPCalibEq300!$AZ$2:$BB$55,3,),IF(AND(I2870="TDP",S2870&lt;=300),VLOOKUP(AF2870,TPCalibEq300!$AZ$2:$BB$55,3,)))</f>
        <v>y=-2.9408x2+89.45x-43.664</v>
      </c>
      <c r="AS2870" s="10" t="str">
        <f>IF(AND(I2870="TP",S2870&lt;=500),VLOOKUP(AF2870,TPCalibEq500!$AZ$2:$BB$56,3,),IF(AND(I2870="TDP",S2870&lt;=500),VLOOKUP(AF2870,TPCalibEq500!$AZ$2:$BB$56,3,)))</f>
        <v>y=-1.7314x2+83.401x-37.87</v>
      </c>
      <c r="AT2870" s="10" t="b">
        <f>IF(AND(I2870="TN",S2870&lt;=2800),VLOOKUP(AF2870,TNCalibEq2500!$AZ$2:$BB$56,3,),IF(AND(I2870="TDN",S2870&lt;=2800),VLOOKUP(AF2870,TNCalibEq2500!$AZ$2:$BB$56,3,)))</f>
        <v>0</v>
      </c>
      <c r="AU2870" s="10" t="str">
        <f>IF(I2870="TP",VLOOKUP(AF2870,TPCalibEqFull!$AZ$2:$BB$56,3),IF(I2870="TDP",VLOOKUP(AF2870,TPCalibEqFull!$AZ$2:$BB$56,3),IF(I2870="TDN",VLOOKUP(AF2870,TNCalibEqFull!$AZ$1:$BB$56,3),IF(I2870="TN",VLOOKUP(AF2870,TNCalibEqFull!$AZ$1:$BB$56,3),FALSE))))</f>
        <v>y=0.1051x2+65.423x-19.469</v>
      </c>
      <c r="AV2870" s="10" t="str">
        <f t="shared" si="324"/>
        <v>0206 11:03:00-FVC-0-FIL-2-SW-DUP</v>
      </c>
    </row>
    <row r="2871" spans="1:48" s="10" customFormat="1" x14ac:dyDescent="0.55000000000000004">
      <c r="A2871" s="32">
        <v>44963</v>
      </c>
      <c r="B2871" s="33">
        <v>0.4604166666666667</v>
      </c>
      <c r="C2871" s="10" t="s">
        <v>613</v>
      </c>
      <c r="D2871" s="10">
        <v>0</v>
      </c>
      <c r="E2871" s="10" t="s">
        <v>911</v>
      </c>
      <c r="F2871" s="10">
        <v>2</v>
      </c>
      <c r="G2871" s="10" t="s">
        <v>231</v>
      </c>
      <c r="H2871" s="10" t="s">
        <v>314</v>
      </c>
      <c r="I2871" s="10" t="s">
        <v>266</v>
      </c>
      <c r="J2871" s="10">
        <v>127</v>
      </c>
      <c r="K2871" s="12">
        <v>44966</v>
      </c>
      <c r="L2871" s="33">
        <v>0.6466319444444445</v>
      </c>
      <c r="M2871" s="10">
        <v>1</v>
      </c>
      <c r="N2871" s="10" t="s">
        <v>84</v>
      </c>
      <c r="O2871" s="10">
        <v>18.5</v>
      </c>
      <c r="P2871" s="10">
        <v>1.33</v>
      </c>
      <c r="Q2871" s="10">
        <v>1230</v>
      </c>
      <c r="R2871" s="10" t="s">
        <v>85</v>
      </c>
      <c r="S2871" s="34">
        <f t="shared" si="321"/>
        <v>1230</v>
      </c>
      <c r="T2871" s="10" t="s">
        <v>1201</v>
      </c>
      <c r="U2871" s="34">
        <f t="shared" si="322"/>
        <v>108.37106964</v>
      </c>
      <c r="V2871" s="31">
        <f>IF(H2871="CHK",VLOOKUP(I2871,QCCHK,3,),IF(H2871="GUP",VLOOKUP(E2871,QCGUP,2,),IF(AND(H2871="ATP",OR(I2871="TN",I2871="TDN",I2871="TNO2-3",I2871="NO2-3")),VLOOKUP(E2871,QCREC_N,2,),IF(AND(H2871="NIC",OR(I2871="TN",I2871="TDN",I2871="TNO2-3",I2871="NO2-3")),VLOOKUP(E2871,QCNIC_N,2,),IF(AND(H2871="UREA",OR(I2871="TN",I2871="TDN",I2871="TNO2-3",I2871="NO2-3")),VLOOKUP(E2871,QCUREA_N,2,),IF(H2871="PER",VLOOKUP(I2871,QCPER,MATCH(E2871,QCACTUAL!$J$25:$AA$25,0),),IF(H2871="SPK",VLOOKUP(I2871,QCSPK,3,),IF(AND(H2871="ATP",OR(I2871="TP",I2871="TDP")),VLOOKUP(E2871,QCATP_P,2,),""))))))))</f>
        <v>1000</v>
      </c>
      <c r="W2871" s="31" t="str">
        <f t="shared" si="323"/>
        <v>TRUE</v>
      </c>
      <c r="X2871" s="31" t="str">
        <f t="shared" si="320"/>
        <v>([spikedunkn]-[unkn])/[spike]*100</v>
      </c>
      <c r="Y2871" s="10" t="s">
        <v>1188</v>
      </c>
      <c r="Z2871" s="10" t="s">
        <v>910</v>
      </c>
      <c r="AF2871" s="12">
        <v>44966</v>
      </c>
      <c r="AK2871" s="10">
        <f>0.1051*18.5^2+65.423*18.5-19.469</f>
        <v>1226.8269749999999</v>
      </c>
      <c r="AL2871" s="10" t="str">
        <f t="shared" si="325"/>
        <v>FALSE</v>
      </c>
      <c r="AM2871" s="10" t="str">
        <f t="shared" si="325"/>
        <v>FALSE</v>
      </c>
      <c r="AN2871" s="10" t="str">
        <f t="shared" si="325"/>
        <v>FALSE</v>
      </c>
      <c r="AO2871" s="10" t="str">
        <f t="shared" si="326"/>
        <v>FALSE</v>
      </c>
      <c r="AP2871" s="10" t="str">
        <f t="shared" si="326"/>
        <v>y=0.1051*18.5^2+65.423*18.5-19.469</v>
      </c>
      <c r="AQ2871" s="10" t="b">
        <f>IF(AND(I2871="TP",S2871&lt;=150),VLOOKUP(AF2871,TPCalibEq150!$AZ$2:$BB$55,3,),IF(AND(I2871="TDP",S2871&lt;=150),VLOOKUP(AF2871,TPCalibEq150!$AZ$2:$BB$55,3,)))</f>
        <v>0</v>
      </c>
      <c r="AR2871" s="10" t="b">
        <f>IF(AND(I2871="TP",S2871&lt;=300),VLOOKUP(AF2871,TPCalibEq300!$AZ$2:$BB$55,3,),IF(AND(I2871="TDP",S2871&lt;=300),VLOOKUP(AF2871,TPCalibEq300!$AZ$2:$BB$55,3,)))</f>
        <v>0</v>
      </c>
      <c r="AS2871" s="10" t="b">
        <f>IF(AND(I2871="TP",S2871&lt;=500),VLOOKUP(AF2871,TPCalibEq500!$AZ$2:$BB$56,3,),IF(AND(I2871="TDP",S2871&lt;=500),VLOOKUP(AF2871,TPCalibEq500!$AZ$2:$BB$56,3,)))</f>
        <v>0</v>
      </c>
      <c r="AT2871" s="10" t="b">
        <f>IF(AND(I2871="TN",S2871&lt;=2800),VLOOKUP(AF2871,TNCalibEq2500!$AZ$2:$BB$56,3,),IF(AND(I2871="TDN",S2871&lt;=2800),VLOOKUP(AF2871,TNCalibEq2500!$AZ$2:$BB$56,3,)))</f>
        <v>0</v>
      </c>
      <c r="AU2871" s="10" t="str">
        <f>IF(I2871="TP",VLOOKUP(AF2871,TPCalibEqFull!$AZ$2:$BB$56,3),IF(I2871="TDP",VLOOKUP(AF2871,TPCalibEqFull!$AZ$2:$BB$56,3),IF(I2871="TDN",VLOOKUP(AF2871,TNCalibEqFull!$AZ$1:$BB$56,3),IF(I2871="TN",VLOOKUP(AF2871,TNCalibEqFull!$AZ$1:$BB$56,3),FALSE))))</f>
        <v>y=0.1051x2+65.423x-19.469</v>
      </c>
      <c r="AV2871" s="10" t="str">
        <f t="shared" si="324"/>
        <v>0206 11:03:00-FVC-0-FIL-2-SW-SPK</v>
      </c>
    </row>
    <row r="2872" spans="1:48" s="10" customFormat="1" x14ac:dyDescent="0.55000000000000004">
      <c r="A2872" s="32">
        <v>44966</v>
      </c>
      <c r="B2872" s="33">
        <v>0.375</v>
      </c>
      <c r="C2872" s="10" t="s">
        <v>70</v>
      </c>
      <c r="D2872" s="10" t="s">
        <v>71</v>
      </c>
      <c r="E2872" s="10" t="s">
        <v>901</v>
      </c>
      <c r="F2872" s="10">
        <v>1</v>
      </c>
      <c r="G2872" s="10" t="s">
        <v>73</v>
      </c>
      <c r="H2872" s="10" t="s">
        <v>207</v>
      </c>
      <c r="I2872" s="10" t="s">
        <v>83</v>
      </c>
      <c r="J2872" s="10">
        <v>203</v>
      </c>
      <c r="K2872" s="12">
        <v>44966</v>
      </c>
      <c r="L2872" s="33">
        <v>0.64733796296296298</v>
      </c>
      <c r="M2872" s="10">
        <v>1</v>
      </c>
      <c r="N2872" s="10" t="s">
        <v>84</v>
      </c>
      <c r="O2872" s="10">
        <v>8.1</v>
      </c>
      <c r="P2872" s="10">
        <v>0.57899999999999996</v>
      </c>
      <c r="Q2872" s="10">
        <v>517</v>
      </c>
      <c r="R2872" s="10" t="s">
        <v>85</v>
      </c>
      <c r="S2872" s="34">
        <f t="shared" si="321"/>
        <v>517.35291099999995</v>
      </c>
      <c r="T2872" s="10" t="s">
        <v>1201</v>
      </c>
      <c r="U2872" s="34">
        <f t="shared" si="322"/>
        <v>103.47058219999998</v>
      </c>
      <c r="V2872" s="31">
        <f>IF(H2872="CHK",VLOOKUP(I2872,QCCHK,3,),IF(H2872="GUP",VLOOKUP(E2872,QCGUP,2,),IF(AND(H2872="ATP",OR(I2872="TN",I2872="TDN",I2872="TNO2-3",I2872="NO2-3")),VLOOKUP(E2872,QCREC_N,2,),IF(AND(H2872="NIC",OR(I2872="TN",I2872="TDN",I2872="TNO2-3",I2872="NO2-3")),VLOOKUP(E2872,QCNIC_N,2,),IF(AND(H2872="UREA",OR(I2872="TN",I2872="TDN",I2872="TNO2-3",I2872="NO2-3")),VLOOKUP(E2872,QCUREA_N,2,),IF(H2872="PER",VLOOKUP(I2872,QCPER,MATCH(E2872,QCACTUAL!$J$25:$AA$25,0),),IF(H2872="SPK",VLOOKUP(I2872,QCSPK,3,),IF(AND(H2872="ATP",OR(I2872="TP",I2872="TDP")),VLOOKUP(E2872,QCATP_P,2,),""))))))))</f>
        <v>500</v>
      </c>
      <c r="W2872" s="31" t="str">
        <f t="shared" si="323"/>
        <v>TRUE</v>
      </c>
      <c r="X2872" s="31" t="str">
        <f t="shared" si="320"/>
        <v>[chk]/[actual]*100</v>
      </c>
      <c r="Y2872" s="10" t="s">
        <v>1188</v>
      </c>
      <c r="AF2872" s="12">
        <v>44966</v>
      </c>
      <c r="AK2872" s="10">
        <f>0.1051*8.1^2+65.423*8.1-19.469</f>
        <v>517.35291099999995</v>
      </c>
      <c r="AL2872" s="10" t="str">
        <f t="shared" si="325"/>
        <v>FALSE</v>
      </c>
      <c r="AM2872" s="10" t="str">
        <f t="shared" si="325"/>
        <v>FALSE</v>
      </c>
      <c r="AN2872" s="10" t="str">
        <f t="shared" si="325"/>
        <v>FALSE</v>
      </c>
      <c r="AO2872" s="10" t="str">
        <f t="shared" si="326"/>
        <v>FALSE</v>
      </c>
      <c r="AP2872" s="10" t="str">
        <f t="shared" si="326"/>
        <v>y=0.1051*8.1^2+65.423*8.1-19.469</v>
      </c>
      <c r="AQ2872" s="10" t="b">
        <f>IF(AND(I2872="TP",S2872&lt;=150),VLOOKUP(AF2872,TPCalibEq150!$AZ$2:$BB$55,3,),IF(AND(I2872="TDP",S2872&lt;=150),VLOOKUP(AF2872,TPCalibEq150!$AZ$2:$BB$55,3,)))</f>
        <v>0</v>
      </c>
      <c r="AR2872" s="10" t="b">
        <f>IF(AND(I2872="TP",S2872&lt;=300),VLOOKUP(AF2872,TPCalibEq300!$AZ$2:$BB$55,3,),IF(AND(I2872="TDP",S2872&lt;=300),VLOOKUP(AF2872,TPCalibEq300!$AZ$2:$BB$55,3,)))</f>
        <v>0</v>
      </c>
      <c r="AS2872" s="10" t="b">
        <f>IF(AND(I2872="TP",S2872&lt;=500),VLOOKUP(AF2872,TPCalibEq500!$AZ$2:$BB$56,3,),IF(AND(I2872="TDP",S2872&lt;=500),VLOOKUP(AF2872,TPCalibEq500!$AZ$2:$BB$56,3,)))</f>
        <v>0</v>
      </c>
      <c r="AT2872" s="10" t="b">
        <f>IF(AND(I2872="TN",S2872&lt;=2800),VLOOKUP(AF2872,TNCalibEq2500!$AZ$2:$BB$56,3,),IF(AND(I2872="TDN",S2872&lt;=2800),VLOOKUP(AF2872,TNCalibEq2500!$AZ$2:$BB$56,3,)))</f>
        <v>0</v>
      </c>
      <c r="AU2872" s="10" t="str">
        <f>IF(I2872="TP",VLOOKUP(AF2872,TPCalibEqFull!$AZ$2:$BB$56,3),IF(I2872="TDP",VLOOKUP(AF2872,TPCalibEqFull!$AZ$2:$BB$56,3),IF(I2872="TDN",VLOOKUP(AF2872,TNCalibEqFull!$AZ$1:$BB$56,3),IF(I2872="TN",VLOOKUP(AF2872,TNCalibEqFull!$AZ$1:$BB$56,3),FALSE))))</f>
        <v>y=0.1051x2+65.423x-19.469</v>
      </c>
      <c r="AV2872" s="10" t="str">
        <f t="shared" si="324"/>
        <v>0209 09:00:00-QAC-STD-D-1-DI-CHK</v>
      </c>
    </row>
    <row r="2873" spans="1:48" s="10" customFormat="1" x14ac:dyDescent="0.55000000000000004">
      <c r="A2873" s="32">
        <v>44963</v>
      </c>
      <c r="B2873" s="33">
        <v>0.46875</v>
      </c>
      <c r="C2873" s="10" t="s">
        <v>250</v>
      </c>
      <c r="D2873" s="10">
        <v>0</v>
      </c>
      <c r="E2873" s="10" t="s">
        <v>911</v>
      </c>
      <c r="F2873" s="10">
        <v>1</v>
      </c>
      <c r="G2873" s="10" t="s">
        <v>231</v>
      </c>
      <c r="H2873" s="10" t="s">
        <v>322</v>
      </c>
      <c r="I2873" s="10" t="s">
        <v>266</v>
      </c>
      <c r="J2873" s="10">
        <v>80</v>
      </c>
      <c r="K2873" s="12">
        <v>44966</v>
      </c>
      <c r="L2873" s="33">
        <v>0.64804398148148146</v>
      </c>
      <c r="M2873" s="10">
        <v>1</v>
      </c>
      <c r="N2873" s="10" t="s">
        <v>84</v>
      </c>
      <c r="O2873" s="10">
        <v>0.94499999999999995</v>
      </c>
      <c r="P2873" s="10">
        <v>6.3299999999999995E-2</v>
      </c>
      <c r="Q2873" s="10">
        <v>43.4</v>
      </c>
      <c r="R2873" s="10" t="s">
        <v>85</v>
      </c>
      <c r="S2873" s="34">
        <f t="shared" si="321"/>
        <v>43.4</v>
      </c>
      <c r="T2873" s="10" t="s">
        <v>1201</v>
      </c>
      <c r="U2873" s="34" t="str">
        <f t="shared" si="322"/>
        <v/>
      </c>
      <c r="V2873" s="31" t="str">
        <f>IF(H2873="CHK",VLOOKUP(I2873,QCCHK,3,),IF(H2873="GUP",VLOOKUP(E2873,QCGUP,2,),IF(AND(H2873="ATP",OR(I2873="TN",I2873="TDN",I2873="TNO2-3",I2873="NO2-3")),VLOOKUP(E2873,QCREC_N,2,),IF(AND(H2873="NIC",OR(I2873="TN",I2873="TDN",I2873="TNO2-3",I2873="NO2-3")),VLOOKUP(E2873,QCNIC_N,2,),IF(AND(H2873="UREA",OR(I2873="TN",I2873="TDN",I2873="TNO2-3",I2873="NO2-3")),VLOOKUP(E2873,QCUREA_N,2,),IF(H2873="PER",VLOOKUP(I2873,QCPER,MATCH(E2873,QCACTUAL!$J$25:$AA$25,0),),IF(H2873="SPK",VLOOKUP(I2873,QCSPK,3,),IF(AND(H2873="ATP",OR(I2873="TP",I2873="TDP")),VLOOKUP(E2873,QCATP_P,2,),""))))))))</f>
        <v/>
      </c>
      <c r="W2873" s="31" t="str">
        <f t="shared" si="323"/>
        <v>TRUE</v>
      </c>
      <c r="X2873" s="31" t="str">
        <f t="shared" si="320"/>
        <v/>
      </c>
      <c r="Y2873" s="10" t="s">
        <v>1188</v>
      </c>
      <c r="Z2873" s="10" t="s">
        <v>910</v>
      </c>
      <c r="AF2873" s="12">
        <v>44966</v>
      </c>
      <c r="AG2873" s="10">
        <f>-11.204*0.945^2+113.68*0.945-55.283</f>
        <v>42.139147899999998</v>
      </c>
      <c r="AH2873" s="10">
        <f>-2.9408*0.945^2+89.45*0.945-43.664</f>
        <v>38.240042079999995</v>
      </c>
      <c r="AI2873" s="10">
        <f>-1.7314*0.945^2+83.401*0.945-37.87</f>
        <v>39.397761514999992</v>
      </c>
      <c r="AK2873" s="10">
        <f>0.1051*0.945^2+65.423*0.945-19.469</f>
        <v>42.449591927499995</v>
      </c>
      <c r="AL2873" s="10" t="str">
        <f t="shared" si="325"/>
        <v>y=-11.204*0.945^2+113.68*0.945-55.283</v>
      </c>
      <c r="AM2873" s="10" t="str">
        <f t="shared" si="325"/>
        <v>y=-2.9408*0.945^2+89.45*0.945-43.664</v>
      </c>
      <c r="AN2873" s="10" t="str">
        <f t="shared" si="325"/>
        <v>y=-1.7314*0.945^2+83.401*0.945-37.87</v>
      </c>
      <c r="AO2873" s="10" t="str">
        <f t="shared" si="326"/>
        <v>FALSE</v>
      </c>
      <c r="AP2873" s="10" t="str">
        <f t="shared" si="326"/>
        <v>y=0.1051*0.945^2+65.423*0.945-19.469</v>
      </c>
      <c r="AQ2873" s="10" t="str">
        <f>IF(AND(I2873="TP",S2873&lt;=150),VLOOKUP(AF2873,TPCalibEq150!$AZ$2:$BB$55,3,),IF(AND(I2873="TDP",S2873&lt;=150),VLOOKUP(AF2873,TPCalibEq150!$AZ$2:$BB$55,3,)))</f>
        <v>y=-11.204x2+113.68x-55.283</v>
      </c>
      <c r="AR2873" s="10" t="str">
        <f>IF(AND(I2873="TP",S2873&lt;=300),VLOOKUP(AF2873,TPCalibEq300!$AZ$2:$BB$55,3,),IF(AND(I2873="TDP",S2873&lt;=300),VLOOKUP(AF2873,TPCalibEq300!$AZ$2:$BB$55,3,)))</f>
        <v>y=-2.9408x2+89.45x-43.664</v>
      </c>
      <c r="AS2873" s="10" t="str">
        <f>IF(AND(I2873="TP",S2873&lt;=500),VLOOKUP(AF2873,TPCalibEq500!$AZ$2:$BB$56,3,),IF(AND(I2873="TDP",S2873&lt;=500),VLOOKUP(AF2873,TPCalibEq500!$AZ$2:$BB$56,3,)))</f>
        <v>y=-1.7314x2+83.401x-37.87</v>
      </c>
      <c r="AT2873" s="10" t="b">
        <f>IF(AND(I2873="TN",S2873&lt;=2800),VLOOKUP(AF2873,TNCalibEq2500!$AZ$2:$BB$56,3,),IF(AND(I2873="TDN",S2873&lt;=2800),VLOOKUP(AF2873,TNCalibEq2500!$AZ$2:$BB$56,3,)))</f>
        <v>0</v>
      </c>
      <c r="AU2873" s="10" t="str">
        <f>IF(I2873="TP",VLOOKUP(AF2873,TPCalibEqFull!$AZ$2:$BB$56,3),IF(I2873="TDP",VLOOKUP(AF2873,TPCalibEqFull!$AZ$2:$BB$56,3),IF(I2873="TDN",VLOOKUP(AF2873,TNCalibEqFull!$AZ$1:$BB$56,3),IF(I2873="TN",VLOOKUP(AF2873,TNCalibEqFull!$AZ$1:$BB$56,3),FALSE))))</f>
        <v>y=0.1051x2+65.423x-19.469</v>
      </c>
      <c r="AV2873" s="10" t="str">
        <f t="shared" si="324"/>
        <v>0206 11:15:00-EFB-0-FIL-1-SW-UKN</v>
      </c>
    </row>
    <row r="2874" spans="1:48" s="10" customFormat="1" x14ac:dyDescent="0.55000000000000004">
      <c r="A2874" s="32">
        <v>44963</v>
      </c>
      <c r="B2874" s="33">
        <v>0.47916666666666669</v>
      </c>
      <c r="C2874" s="10" t="s">
        <v>326</v>
      </c>
      <c r="D2874" s="10">
        <v>0</v>
      </c>
      <c r="E2874" s="10" t="s">
        <v>911</v>
      </c>
      <c r="F2874" s="10">
        <v>1</v>
      </c>
      <c r="G2874" s="10" t="s">
        <v>231</v>
      </c>
      <c r="H2874" s="10" t="s">
        <v>322</v>
      </c>
      <c r="I2874" s="10" t="s">
        <v>266</v>
      </c>
      <c r="J2874" s="10">
        <v>81</v>
      </c>
      <c r="K2874" s="12">
        <v>44966</v>
      </c>
      <c r="L2874" s="33">
        <v>0.6487384259259259</v>
      </c>
      <c r="M2874" s="10">
        <v>1</v>
      </c>
      <c r="N2874" s="10" t="s">
        <v>84</v>
      </c>
      <c r="O2874" s="10">
        <v>1.97</v>
      </c>
      <c r="P2874" s="10">
        <v>0.13700000000000001</v>
      </c>
      <c r="Q2874" s="10">
        <v>111</v>
      </c>
      <c r="R2874" s="10" t="s">
        <v>85</v>
      </c>
      <c r="S2874" s="34">
        <f t="shared" si="321"/>
        <v>125.1849964</v>
      </c>
      <c r="T2874" s="10" t="s">
        <v>1201</v>
      </c>
      <c r="U2874" s="34" t="str">
        <f t="shared" si="322"/>
        <v/>
      </c>
      <c r="V2874" s="31" t="str">
        <f>IF(H2874="CHK",VLOOKUP(I2874,QCCHK,3,),IF(H2874="GUP",VLOOKUP(E2874,QCGUP,2,),IF(AND(H2874="ATP",OR(I2874="TN",I2874="TDN",I2874="TNO2-3",I2874="NO2-3")),VLOOKUP(E2874,QCREC_N,2,),IF(AND(H2874="NIC",OR(I2874="TN",I2874="TDN",I2874="TNO2-3",I2874="NO2-3")),VLOOKUP(E2874,QCNIC_N,2,),IF(AND(H2874="UREA",OR(I2874="TN",I2874="TDN",I2874="TNO2-3",I2874="NO2-3")),VLOOKUP(E2874,QCUREA_N,2,),IF(H2874="PER",VLOOKUP(I2874,QCPER,MATCH(E2874,QCACTUAL!$J$25:$AA$25,0),),IF(H2874="SPK",VLOOKUP(I2874,QCSPK,3,),IF(AND(H2874="ATP",OR(I2874="TP",I2874="TDP")),VLOOKUP(E2874,QCATP_P,2,),""))))))))</f>
        <v/>
      </c>
      <c r="W2874" s="31" t="str">
        <f t="shared" si="323"/>
        <v>TRUE</v>
      </c>
      <c r="X2874" s="31" t="str">
        <f t="shared" si="320"/>
        <v/>
      </c>
      <c r="Y2874" s="10" t="s">
        <v>1188</v>
      </c>
      <c r="Z2874" s="10" t="s">
        <v>910</v>
      </c>
      <c r="AF2874" s="12">
        <v>44966</v>
      </c>
      <c r="AG2874" s="10">
        <f>-11.204*1.97^2+113.68*1.97-55.283</f>
        <v>125.1849964</v>
      </c>
      <c r="AH2874" s="10">
        <f>-2.9408*1.97^2+89.45*1.97-43.664</f>
        <v>121.13954928</v>
      </c>
      <c r="AI2874" s="10">
        <f>-1.7314*1.97^2+83.401*1.97-37.87</f>
        <v>119.71057973999999</v>
      </c>
      <c r="AK2874" s="10">
        <f>0.1051*1.97^2+65.423*1.97-19.469</f>
        <v>109.82219259000001</v>
      </c>
      <c r="AL2874" s="10" t="str">
        <f t="shared" si="325"/>
        <v>y=-11.204*1.97^2+113.68*1.97-55.283</v>
      </c>
      <c r="AM2874" s="10" t="str">
        <f t="shared" si="325"/>
        <v>y=-2.9408*1.97^2+89.45*1.97-43.664</v>
      </c>
      <c r="AN2874" s="10" t="str">
        <f t="shared" si="325"/>
        <v>y=-1.7314*1.97^2+83.401*1.97-37.87</v>
      </c>
      <c r="AO2874" s="10" t="str">
        <f t="shared" si="326"/>
        <v>FALSE</v>
      </c>
      <c r="AP2874" s="10" t="str">
        <f t="shared" si="326"/>
        <v>y=0.1051*1.97^2+65.423*1.97-19.469</v>
      </c>
      <c r="AQ2874" s="10" t="str">
        <f>IF(AND(I2874="TP",S2874&lt;=150),VLOOKUP(AF2874,TPCalibEq150!$AZ$2:$BB$55,3,),IF(AND(I2874="TDP",S2874&lt;=150),VLOOKUP(AF2874,TPCalibEq150!$AZ$2:$BB$55,3,)))</f>
        <v>y=-11.204x2+113.68x-55.283</v>
      </c>
      <c r="AR2874" s="10" t="str">
        <f>IF(AND(I2874="TP",S2874&lt;=300),VLOOKUP(AF2874,TPCalibEq300!$AZ$2:$BB$55,3,),IF(AND(I2874="TDP",S2874&lt;=300),VLOOKUP(AF2874,TPCalibEq300!$AZ$2:$BB$55,3,)))</f>
        <v>y=-2.9408x2+89.45x-43.664</v>
      </c>
      <c r="AS2874" s="10" t="str">
        <f>IF(AND(I2874="TP",S2874&lt;=500),VLOOKUP(AF2874,TPCalibEq500!$AZ$2:$BB$56,3,),IF(AND(I2874="TDP",S2874&lt;=500),VLOOKUP(AF2874,TPCalibEq500!$AZ$2:$BB$56,3,)))</f>
        <v>y=-1.7314x2+83.401x-37.87</v>
      </c>
      <c r="AT2874" s="10" t="b">
        <f>IF(AND(I2874="TN",S2874&lt;=2800),VLOOKUP(AF2874,TNCalibEq2500!$AZ$2:$BB$56,3,),IF(AND(I2874="TDN",S2874&lt;=2800),VLOOKUP(AF2874,TNCalibEq2500!$AZ$2:$BB$56,3,)))</f>
        <v>0</v>
      </c>
      <c r="AU2874" s="10" t="str">
        <f>IF(I2874="TP",VLOOKUP(AF2874,TPCalibEqFull!$AZ$2:$BB$56,3),IF(I2874="TDP",VLOOKUP(AF2874,TPCalibEqFull!$AZ$2:$BB$56,3),IF(I2874="TDN",VLOOKUP(AF2874,TNCalibEqFull!$AZ$1:$BB$56,3),IF(I2874="TN",VLOOKUP(AF2874,TNCalibEqFull!$AZ$1:$BB$56,3),FALSE))))</f>
        <v>y=0.1051x2+65.423x-19.469</v>
      </c>
      <c r="AV2874" s="10" t="str">
        <f t="shared" si="324"/>
        <v>0206 11:30:00-GRR-0-FIL-1-SW-UKN</v>
      </c>
    </row>
    <row r="2875" spans="1:48" s="10" customFormat="1" x14ac:dyDescent="0.55000000000000004">
      <c r="A2875" s="32">
        <v>44963</v>
      </c>
      <c r="B2875" s="33">
        <v>0.4909722222222222</v>
      </c>
      <c r="C2875" s="10" t="s">
        <v>416</v>
      </c>
      <c r="D2875" s="10">
        <v>0</v>
      </c>
      <c r="E2875" s="10" t="s">
        <v>911</v>
      </c>
      <c r="F2875" s="10">
        <v>1</v>
      </c>
      <c r="G2875" s="10" t="s">
        <v>231</v>
      </c>
      <c r="H2875" s="10" t="s">
        <v>322</v>
      </c>
      <c r="I2875" s="10" t="s">
        <v>266</v>
      </c>
      <c r="J2875" s="10">
        <v>82</v>
      </c>
      <c r="K2875" s="12">
        <v>44966</v>
      </c>
      <c r="L2875" s="33">
        <v>0.64944444444444438</v>
      </c>
      <c r="M2875" s="10">
        <v>1</v>
      </c>
      <c r="N2875" s="10" t="s">
        <v>84</v>
      </c>
      <c r="O2875" s="10">
        <v>2.78</v>
      </c>
      <c r="P2875" s="10">
        <v>0.19500000000000001</v>
      </c>
      <c r="Q2875" s="10">
        <v>164</v>
      </c>
      <c r="R2875" s="10" t="s">
        <v>85</v>
      </c>
      <c r="S2875" s="34">
        <f t="shared" si="321"/>
        <v>182.27932127999998</v>
      </c>
      <c r="T2875" s="10" t="s">
        <v>1201</v>
      </c>
      <c r="U2875" s="34" t="str">
        <f t="shared" si="322"/>
        <v/>
      </c>
      <c r="V2875" s="31" t="str">
        <f>IF(H2875="CHK",VLOOKUP(I2875,QCCHK,3,),IF(H2875="GUP",VLOOKUP(E2875,QCGUP,2,),IF(AND(H2875="ATP",OR(I2875="TN",I2875="TDN",I2875="TNO2-3",I2875="NO2-3")),VLOOKUP(E2875,QCREC_N,2,),IF(AND(H2875="NIC",OR(I2875="TN",I2875="TDN",I2875="TNO2-3",I2875="NO2-3")),VLOOKUP(E2875,QCNIC_N,2,),IF(AND(H2875="UREA",OR(I2875="TN",I2875="TDN",I2875="TNO2-3",I2875="NO2-3")),VLOOKUP(E2875,QCUREA_N,2,),IF(H2875="PER",VLOOKUP(I2875,QCPER,MATCH(E2875,QCACTUAL!$J$25:$AA$25,0),),IF(H2875="SPK",VLOOKUP(I2875,QCSPK,3,),IF(AND(H2875="ATP",OR(I2875="TP",I2875="TDP")),VLOOKUP(E2875,QCATP_P,2,),""))))))))</f>
        <v/>
      </c>
      <c r="W2875" s="31" t="str">
        <f t="shared" si="323"/>
        <v>TRUE</v>
      </c>
      <c r="X2875" s="31" t="str">
        <f t="shared" si="320"/>
        <v/>
      </c>
      <c r="Y2875" s="10" t="s">
        <v>1188</v>
      </c>
      <c r="Z2875" s="10" t="s">
        <v>910</v>
      </c>
      <c r="AF2875" s="12">
        <v>44966</v>
      </c>
      <c r="AH2875" s="10">
        <f>-2.9408*2.78^2+89.45*2.78-43.664</f>
        <v>182.27932127999998</v>
      </c>
      <c r="AI2875" s="10">
        <f>-1.7314*2.78^2+83.401*2.78-37.87</f>
        <v>180.60382823999998</v>
      </c>
      <c r="AK2875" s="10">
        <f>0.1051*2.78^2+65.423*2.78-19.469</f>
        <v>163.21919484</v>
      </c>
      <c r="AL2875" s="10" t="str">
        <f t="shared" si="325"/>
        <v>FALSE</v>
      </c>
      <c r="AM2875" s="10" t="str">
        <f t="shared" si="325"/>
        <v>y=-2.9408*2.78^2+89.45*2.78-43.664</v>
      </c>
      <c r="AN2875" s="10" t="str">
        <f t="shared" si="325"/>
        <v>y=-1.7314*2.78^2+83.401*2.78-37.87</v>
      </c>
      <c r="AO2875" s="10" t="str">
        <f t="shared" si="326"/>
        <v>FALSE</v>
      </c>
      <c r="AP2875" s="10" t="str">
        <f t="shared" si="326"/>
        <v>y=0.1051*2.78^2+65.423*2.78-19.469</v>
      </c>
      <c r="AQ2875" s="10" t="b">
        <f>IF(AND(I2875="TP",S2875&lt;=150),VLOOKUP(AF2875,TPCalibEq150!$AZ$2:$BB$55,3,),IF(AND(I2875="TDP",S2875&lt;=150),VLOOKUP(AF2875,TPCalibEq150!$AZ$2:$BB$55,3,)))</f>
        <v>0</v>
      </c>
      <c r="AR2875" s="10" t="str">
        <f>IF(AND(I2875="TP",S2875&lt;=300),VLOOKUP(AF2875,TPCalibEq300!$AZ$2:$BB$55,3,),IF(AND(I2875="TDP",S2875&lt;=300),VLOOKUP(AF2875,TPCalibEq300!$AZ$2:$BB$55,3,)))</f>
        <v>y=-2.9408x2+89.45x-43.664</v>
      </c>
      <c r="AS2875" s="10" t="str">
        <f>IF(AND(I2875="TP",S2875&lt;=500),VLOOKUP(AF2875,TPCalibEq500!$AZ$2:$BB$56,3,),IF(AND(I2875="TDP",S2875&lt;=500),VLOOKUP(AF2875,TPCalibEq500!$AZ$2:$BB$56,3,)))</f>
        <v>y=-1.7314x2+83.401x-37.87</v>
      </c>
      <c r="AT2875" s="10" t="b">
        <f>IF(AND(I2875="TN",S2875&lt;=2800),VLOOKUP(AF2875,TNCalibEq2500!$AZ$2:$BB$56,3,),IF(AND(I2875="TDN",S2875&lt;=2800),VLOOKUP(AF2875,TNCalibEq2500!$AZ$2:$BB$56,3,)))</f>
        <v>0</v>
      </c>
      <c r="AU2875" s="10" t="str">
        <f>IF(I2875="TP",VLOOKUP(AF2875,TPCalibEqFull!$AZ$2:$BB$56,3),IF(I2875="TDP",VLOOKUP(AF2875,TPCalibEqFull!$AZ$2:$BB$56,3),IF(I2875="TDN",VLOOKUP(AF2875,TNCalibEqFull!$AZ$1:$BB$56,3),IF(I2875="TN",VLOOKUP(AF2875,TNCalibEqFull!$AZ$1:$BB$56,3),FALSE))))</f>
        <v>y=0.1051x2+65.423x-19.469</v>
      </c>
      <c r="AV2875" s="10" t="str">
        <f t="shared" si="324"/>
        <v>0206 11:47:00-CWL-0-FIL-1-SW-UKN</v>
      </c>
    </row>
    <row r="2876" spans="1:48" s="10" customFormat="1" x14ac:dyDescent="0.55000000000000004">
      <c r="A2876" s="32">
        <v>44963</v>
      </c>
      <c r="B2876" s="33">
        <v>0.61875000000000002</v>
      </c>
      <c r="C2876" s="10" t="s">
        <v>408</v>
      </c>
      <c r="D2876" s="10">
        <v>0</v>
      </c>
      <c r="E2876" s="10" t="s">
        <v>911</v>
      </c>
      <c r="F2876" s="10">
        <v>1</v>
      </c>
      <c r="G2876" s="10" t="s">
        <v>231</v>
      </c>
      <c r="H2876" s="10" t="s">
        <v>322</v>
      </c>
      <c r="I2876" s="10" t="s">
        <v>266</v>
      </c>
      <c r="J2876" s="10">
        <v>83</v>
      </c>
      <c r="K2876" s="12">
        <v>44966</v>
      </c>
      <c r="L2876" s="33">
        <v>0.65013888888888893</v>
      </c>
      <c r="M2876" s="10">
        <v>1</v>
      </c>
      <c r="N2876" s="10" t="s">
        <v>84</v>
      </c>
      <c r="O2876" s="10">
        <v>3.13</v>
      </c>
      <c r="P2876" s="10">
        <v>0.221</v>
      </c>
      <c r="Q2876" s="10">
        <v>187</v>
      </c>
      <c r="R2876" s="10" t="s">
        <v>85</v>
      </c>
      <c r="S2876" s="34">
        <f t="shared" si="321"/>
        <v>207.50377648</v>
      </c>
      <c r="T2876" s="10" t="s">
        <v>1201</v>
      </c>
      <c r="U2876" s="34" t="str">
        <f t="shared" si="322"/>
        <v/>
      </c>
      <c r="V2876" s="31" t="str">
        <f>IF(H2876="CHK",VLOOKUP(I2876,QCCHK,3,),IF(H2876="GUP",VLOOKUP(E2876,QCGUP,2,),IF(AND(H2876="ATP",OR(I2876="TN",I2876="TDN",I2876="TNO2-3",I2876="NO2-3")),VLOOKUP(E2876,QCREC_N,2,),IF(AND(H2876="NIC",OR(I2876="TN",I2876="TDN",I2876="TNO2-3",I2876="NO2-3")),VLOOKUP(E2876,QCNIC_N,2,),IF(AND(H2876="UREA",OR(I2876="TN",I2876="TDN",I2876="TNO2-3",I2876="NO2-3")),VLOOKUP(E2876,QCUREA_N,2,),IF(H2876="PER",VLOOKUP(I2876,QCPER,MATCH(E2876,QCACTUAL!$J$25:$AA$25,0),),IF(H2876="SPK",VLOOKUP(I2876,QCSPK,3,),IF(AND(H2876="ATP",OR(I2876="TP",I2876="TDP")),VLOOKUP(E2876,QCATP_P,2,),""))))))))</f>
        <v/>
      </c>
      <c r="W2876" s="31" t="str">
        <f t="shared" si="323"/>
        <v>TRUE</v>
      </c>
      <c r="X2876" s="31" t="str">
        <f t="shared" si="320"/>
        <v/>
      </c>
      <c r="Y2876" s="10" t="s">
        <v>1188</v>
      </c>
      <c r="Z2876" s="10" t="s">
        <v>910</v>
      </c>
      <c r="AF2876" s="12">
        <v>44966</v>
      </c>
      <c r="AH2876" s="10">
        <f>-2.9408*3.13^2+89.45*3.13-43.664</f>
        <v>207.50377648</v>
      </c>
      <c r="AI2876" s="10">
        <f>-1.7314*3.13^2+83.401*3.13-37.87</f>
        <v>206.21277733999997</v>
      </c>
      <c r="AK2876" s="10">
        <f>0.1051*3.13^2+65.423*3.13-19.469</f>
        <v>186.33464419000001</v>
      </c>
      <c r="AL2876" s="10" t="str">
        <f t="shared" si="325"/>
        <v>FALSE</v>
      </c>
      <c r="AM2876" s="10" t="str">
        <f t="shared" si="325"/>
        <v>y=-2.9408*3.13^2+89.45*3.13-43.664</v>
      </c>
      <c r="AN2876" s="10" t="str">
        <f t="shared" si="325"/>
        <v>y=-1.7314*3.13^2+83.401*3.13-37.87</v>
      </c>
      <c r="AO2876" s="10" t="str">
        <f t="shared" si="326"/>
        <v>FALSE</v>
      </c>
      <c r="AP2876" s="10" t="str">
        <f t="shared" si="326"/>
        <v>y=0.1051*3.13^2+65.423*3.13-19.469</v>
      </c>
      <c r="AQ2876" s="10" t="b">
        <f>IF(AND(I2876="TP",S2876&lt;=150),VLOOKUP(AF2876,TPCalibEq150!$AZ$2:$BB$55,3,),IF(AND(I2876="TDP",S2876&lt;=150),VLOOKUP(AF2876,TPCalibEq150!$AZ$2:$BB$55,3,)))</f>
        <v>0</v>
      </c>
      <c r="AR2876" s="10" t="str">
        <f>IF(AND(I2876="TP",S2876&lt;=300),VLOOKUP(AF2876,TPCalibEq300!$AZ$2:$BB$55,3,),IF(AND(I2876="TDP",S2876&lt;=300),VLOOKUP(AF2876,TPCalibEq300!$AZ$2:$BB$55,3,)))</f>
        <v>y=-2.9408x2+89.45x-43.664</v>
      </c>
      <c r="AS2876" s="10" t="str">
        <f>IF(AND(I2876="TP",S2876&lt;=500),VLOOKUP(AF2876,TPCalibEq500!$AZ$2:$BB$56,3,),IF(AND(I2876="TDP",S2876&lt;=500),VLOOKUP(AF2876,TPCalibEq500!$AZ$2:$BB$56,3,)))</f>
        <v>y=-1.7314x2+83.401x-37.87</v>
      </c>
      <c r="AT2876" s="10" t="b">
        <f>IF(AND(I2876="TN",S2876&lt;=2800),VLOOKUP(AF2876,TNCalibEq2500!$AZ$2:$BB$56,3,),IF(AND(I2876="TDN",S2876&lt;=2800),VLOOKUP(AF2876,TNCalibEq2500!$AZ$2:$BB$56,3,)))</f>
        <v>0</v>
      </c>
      <c r="AU2876" s="10" t="str">
        <f>IF(I2876="TP",VLOOKUP(AF2876,TPCalibEqFull!$AZ$2:$BB$56,3),IF(I2876="TDP",VLOOKUP(AF2876,TPCalibEqFull!$AZ$2:$BB$56,3),IF(I2876="TDN",VLOOKUP(AF2876,TNCalibEqFull!$AZ$1:$BB$56,3),IF(I2876="TN",VLOOKUP(AF2876,TNCalibEqFull!$AZ$1:$BB$56,3),FALSE))))</f>
        <v>y=0.1051x2+65.423x-19.469</v>
      </c>
      <c r="AV2876" s="10" t="str">
        <f t="shared" si="324"/>
        <v>0206 14:51:00-CLC-0-FIL-1-SW-UKN</v>
      </c>
    </row>
    <row r="2877" spans="1:48" s="10" customFormat="1" x14ac:dyDescent="0.55000000000000004">
      <c r="A2877" s="32">
        <v>44963</v>
      </c>
      <c r="B2877" s="33">
        <v>0.59722222222222221</v>
      </c>
      <c r="C2877" s="10" t="s">
        <v>214</v>
      </c>
      <c r="D2877" s="10">
        <v>0</v>
      </c>
      <c r="E2877" s="10" t="s">
        <v>911</v>
      </c>
      <c r="F2877" s="10">
        <v>1</v>
      </c>
      <c r="G2877" s="10" t="s">
        <v>231</v>
      </c>
      <c r="H2877" s="10" t="s">
        <v>322</v>
      </c>
      <c r="I2877" s="10" t="s">
        <v>266</v>
      </c>
      <c r="J2877" s="10">
        <v>84</v>
      </c>
      <c r="K2877" s="12">
        <v>44966</v>
      </c>
      <c r="L2877" s="33">
        <v>0.65083333333333326</v>
      </c>
      <c r="M2877" s="10">
        <v>1</v>
      </c>
      <c r="N2877" s="10" t="s">
        <v>84</v>
      </c>
      <c r="O2877" s="10">
        <v>3.1</v>
      </c>
      <c r="P2877" s="10">
        <v>0.219</v>
      </c>
      <c r="Q2877" s="10">
        <v>185</v>
      </c>
      <c r="R2877" s="10" t="s">
        <v>85</v>
      </c>
      <c r="S2877" s="34">
        <f t="shared" si="321"/>
        <v>205.369912</v>
      </c>
      <c r="T2877" s="10" t="s">
        <v>1201</v>
      </c>
      <c r="U2877" s="34" t="str">
        <f t="shared" si="322"/>
        <v/>
      </c>
      <c r="V2877" s="31" t="str">
        <f>IF(H2877="CHK",VLOOKUP(I2877,QCCHK,3,),IF(H2877="GUP",VLOOKUP(E2877,QCGUP,2,),IF(AND(H2877="ATP",OR(I2877="TN",I2877="TDN",I2877="TNO2-3",I2877="NO2-3")),VLOOKUP(E2877,QCREC_N,2,),IF(AND(H2877="NIC",OR(I2877="TN",I2877="TDN",I2877="TNO2-3",I2877="NO2-3")),VLOOKUP(E2877,QCNIC_N,2,),IF(AND(H2877="UREA",OR(I2877="TN",I2877="TDN",I2877="TNO2-3",I2877="NO2-3")),VLOOKUP(E2877,QCUREA_N,2,),IF(H2877="PER",VLOOKUP(I2877,QCPER,MATCH(E2877,QCACTUAL!$J$25:$AA$25,0),),IF(H2877="SPK",VLOOKUP(I2877,QCSPK,3,),IF(AND(H2877="ATP",OR(I2877="TP",I2877="TDP")),VLOOKUP(E2877,QCATP_P,2,),""))))))))</f>
        <v/>
      </c>
      <c r="W2877" s="31" t="str">
        <f t="shared" si="323"/>
        <v>TRUE</v>
      </c>
      <c r="X2877" s="31" t="str">
        <f t="shared" si="320"/>
        <v/>
      </c>
      <c r="Y2877" s="10" t="s">
        <v>1188</v>
      </c>
      <c r="Z2877" s="10" t="s">
        <v>910</v>
      </c>
      <c r="AF2877" s="12">
        <v>44966</v>
      </c>
      <c r="AH2877" s="10">
        <f>-2.9408*3.1^2+89.45*3.1-43.664</f>
        <v>205.369912</v>
      </c>
      <c r="AI2877" s="10">
        <f>-1.7314*3.1^2+83.401*3.1-37.87</f>
        <v>204.03434599999997</v>
      </c>
      <c r="AK2877" s="10">
        <f>0.1051*3.1^2+65.423*3.1-19.469</f>
        <v>184.35231100000001</v>
      </c>
      <c r="AL2877" s="10" t="str">
        <f t="shared" si="325"/>
        <v>FALSE</v>
      </c>
      <c r="AM2877" s="10" t="str">
        <f t="shared" si="325"/>
        <v>y=-2.9408*3.1^2+89.45*3.1-43.664</v>
      </c>
      <c r="AN2877" s="10" t="str">
        <f t="shared" si="325"/>
        <v>y=-1.7314*3.1^2+83.401*3.1-37.87</v>
      </c>
      <c r="AO2877" s="10" t="str">
        <f t="shared" si="326"/>
        <v>FALSE</v>
      </c>
      <c r="AP2877" s="10" t="str">
        <f t="shared" si="326"/>
        <v>y=0.1051*3.1^2+65.423*3.1-19.469</v>
      </c>
      <c r="AQ2877" s="10" t="b">
        <f>IF(AND(I2877="TP",S2877&lt;=150),VLOOKUP(AF2877,TPCalibEq150!$AZ$2:$BB$55,3,),IF(AND(I2877="TDP",S2877&lt;=150),VLOOKUP(AF2877,TPCalibEq150!$AZ$2:$BB$55,3,)))</f>
        <v>0</v>
      </c>
      <c r="AR2877" s="10" t="str">
        <f>IF(AND(I2877="TP",S2877&lt;=300),VLOOKUP(AF2877,TPCalibEq300!$AZ$2:$BB$55,3,),IF(AND(I2877="TDP",S2877&lt;=300),VLOOKUP(AF2877,TPCalibEq300!$AZ$2:$BB$55,3,)))</f>
        <v>y=-2.9408x2+89.45x-43.664</v>
      </c>
      <c r="AS2877" s="10" t="str">
        <f>IF(AND(I2877="TP",S2877&lt;=500),VLOOKUP(AF2877,TPCalibEq500!$AZ$2:$BB$56,3,),IF(AND(I2877="TDP",S2877&lt;=500),VLOOKUP(AF2877,TPCalibEq500!$AZ$2:$BB$56,3,)))</f>
        <v>y=-1.7314x2+83.401x-37.87</v>
      </c>
      <c r="AT2877" s="10" t="b">
        <f>IF(AND(I2877="TN",S2877&lt;=2800),VLOOKUP(AF2877,TNCalibEq2500!$AZ$2:$BB$56,3,),IF(AND(I2877="TDN",S2877&lt;=2800),VLOOKUP(AF2877,TNCalibEq2500!$AZ$2:$BB$56,3,)))</f>
        <v>0</v>
      </c>
      <c r="AU2877" s="10" t="str">
        <f>IF(I2877="TP",VLOOKUP(AF2877,TPCalibEqFull!$AZ$2:$BB$56,3),IF(I2877="TDP",VLOOKUP(AF2877,TPCalibEqFull!$AZ$2:$BB$56,3),IF(I2877="TDN",VLOOKUP(AF2877,TNCalibEqFull!$AZ$1:$BB$56,3),IF(I2877="TN",VLOOKUP(AF2877,TNCalibEqFull!$AZ$1:$BB$56,3),FALSE))))</f>
        <v>y=0.1051x2+65.423x-19.469</v>
      </c>
      <c r="AV2877" s="10" t="str">
        <f t="shared" si="324"/>
        <v>0206 14:20:00-DAM-0-FIL-1-SW-UKN</v>
      </c>
    </row>
    <row r="2878" spans="1:48" s="10" customFormat="1" x14ac:dyDescent="0.55000000000000004">
      <c r="A2878" s="32">
        <v>44963</v>
      </c>
      <c r="B2878" s="33">
        <v>0.59722222222222221</v>
      </c>
      <c r="C2878" s="10" t="s">
        <v>214</v>
      </c>
      <c r="D2878" s="10">
        <v>0</v>
      </c>
      <c r="E2878" s="10" t="s">
        <v>911</v>
      </c>
      <c r="F2878" s="10">
        <v>1</v>
      </c>
      <c r="G2878" s="10" t="s">
        <v>231</v>
      </c>
      <c r="H2878" s="10" t="s">
        <v>233</v>
      </c>
      <c r="I2878" s="10" t="s">
        <v>266</v>
      </c>
      <c r="J2878" s="10">
        <v>84</v>
      </c>
      <c r="K2878" s="12">
        <v>44966</v>
      </c>
      <c r="L2878" s="33">
        <v>0.65151620370370367</v>
      </c>
      <c r="M2878" s="10">
        <v>1</v>
      </c>
      <c r="N2878" s="10" t="s">
        <v>84</v>
      </c>
      <c r="O2878" s="10">
        <v>3.13</v>
      </c>
      <c r="P2878" s="10">
        <v>0.22</v>
      </c>
      <c r="Q2878" s="10">
        <v>187</v>
      </c>
      <c r="R2878" s="10" t="s">
        <v>85</v>
      </c>
      <c r="S2878" s="34">
        <f t="shared" si="321"/>
        <v>207.50377648</v>
      </c>
      <c r="T2878" s="10" t="s">
        <v>1201</v>
      </c>
      <c r="U2878" s="34">
        <f t="shared" si="322"/>
        <v>1.0336645514301726</v>
      </c>
      <c r="V2878" s="31" t="str">
        <f>IF(H2878="CHK",VLOOKUP(I2878,QCCHK,3,),IF(H2878="GUP",VLOOKUP(E2878,QCGUP,2,),IF(AND(H2878="ATP",OR(I2878="TN",I2878="TDN",I2878="TNO2-3",I2878="NO2-3")),VLOOKUP(E2878,QCREC_N,2,),IF(AND(H2878="NIC",OR(I2878="TN",I2878="TDN",I2878="TNO2-3",I2878="NO2-3")),VLOOKUP(E2878,QCNIC_N,2,),IF(AND(H2878="UREA",OR(I2878="TN",I2878="TDN",I2878="TNO2-3",I2878="NO2-3")),VLOOKUP(E2878,QCUREA_N,2,),IF(H2878="PER",VLOOKUP(I2878,QCPER,MATCH(E2878,QCACTUAL!$J$25:$AA$25,0),),IF(H2878="SPK",VLOOKUP(I2878,QCSPK,3,),IF(AND(H2878="ATP",OR(I2878="TP",I2878="TDP")),VLOOKUP(E2878,QCATP_P,2,),""))))))))</f>
        <v/>
      </c>
      <c r="W2878" s="31" t="str">
        <f t="shared" si="323"/>
        <v>TRUE</v>
      </c>
      <c r="X2878" s="31" t="str">
        <f t="shared" si="320"/>
        <v>((ABS(rep1-rep2))/((rep1+rep2)/2)*100</v>
      </c>
      <c r="Y2878" s="10" t="s">
        <v>1188</v>
      </c>
      <c r="Z2878" s="10" t="s">
        <v>910</v>
      </c>
      <c r="AF2878" s="12">
        <v>44966</v>
      </c>
      <c r="AH2878" s="10">
        <f>-2.9408*3.13^2+89.45*3.13-43.664</f>
        <v>207.50377648</v>
      </c>
      <c r="AI2878" s="10">
        <f>-1.7314*3.13^2+83.401*3.13-37.87</f>
        <v>206.21277733999997</v>
      </c>
      <c r="AK2878" s="10">
        <f>0.1051*3.13^2+65.423*3.13-19.469</f>
        <v>186.33464419000001</v>
      </c>
      <c r="AL2878" s="10" t="str">
        <f t="shared" si="325"/>
        <v>FALSE</v>
      </c>
      <c r="AM2878" s="10" t="str">
        <f t="shared" si="325"/>
        <v>y=-2.9408*3.13^2+89.45*3.13-43.664</v>
      </c>
      <c r="AN2878" s="10" t="str">
        <f t="shared" si="325"/>
        <v>y=-1.7314*3.13^2+83.401*3.13-37.87</v>
      </c>
      <c r="AO2878" s="10" t="str">
        <f t="shared" si="326"/>
        <v>FALSE</v>
      </c>
      <c r="AP2878" s="10" t="str">
        <f t="shared" si="326"/>
        <v>y=0.1051*3.13^2+65.423*3.13-19.469</v>
      </c>
      <c r="AQ2878" s="10" t="b">
        <f>IF(AND(I2878="TP",S2878&lt;=150),VLOOKUP(AF2878,TPCalibEq150!$AZ$2:$BB$55,3,),IF(AND(I2878="TDP",S2878&lt;=150),VLOOKUP(AF2878,TPCalibEq150!$AZ$2:$BB$55,3,)))</f>
        <v>0</v>
      </c>
      <c r="AR2878" s="10" t="str">
        <f>IF(AND(I2878="TP",S2878&lt;=300),VLOOKUP(AF2878,TPCalibEq300!$AZ$2:$BB$55,3,),IF(AND(I2878="TDP",S2878&lt;=300),VLOOKUP(AF2878,TPCalibEq300!$AZ$2:$BB$55,3,)))</f>
        <v>y=-2.9408x2+89.45x-43.664</v>
      </c>
      <c r="AS2878" s="10" t="str">
        <f>IF(AND(I2878="TP",S2878&lt;=500),VLOOKUP(AF2878,TPCalibEq500!$AZ$2:$BB$56,3,),IF(AND(I2878="TDP",S2878&lt;=500),VLOOKUP(AF2878,TPCalibEq500!$AZ$2:$BB$56,3,)))</f>
        <v>y=-1.7314x2+83.401x-37.87</v>
      </c>
      <c r="AT2878" s="10" t="b">
        <f>IF(AND(I2878="TN",S2878&lt;=2800),VLOOKUP(AF2878,TNCalibEq2500!$AZ$2:$BB$56,3,),IF(AND(I2878="TDN",S2878&lt;=2800),VLOOKUP(AF2878,TNCalibEq2500!$AZ$2:$BB$56,3,)))</f>
        <v>0</v>
      </c>
      <c r="AU2878" s="10" t="str">
        <f>IF(I2878="TP",VLOOKUP(AF2878,TPCalibEqFull!$AZ$2:$BB$56,3),IF(I2878="TDP",VLOOKUP(AF2878,TPCalibEqFull!$AZ$2:$BB$56,3),IF(I2878="TDN",VLOOKUP(AF2878,TNCalibEqFull!$AZ$1:$BB$56,3),IF(I2878="TN",VLOOKUP(AF2878,TNCalibEqFull!$AZ$1:$BB$56,3),FALSE))))</f>
        <v>y=0.1051x2+65.423x-19.469</v>
      </c>
      <c r="AV2878" s="10" t="str">
        <f t="shared" si="324"/>
        <v>0206 14:20:00-DAM-0-FIL-1-SW-DUP</v>
      </c>
    </row>
    <row r="2879" spans="1:48" s="10" customFormat="1" x14ac:dyDescent="0.55000000000000004">
      <c r="A2879" s="32">
        <v>44963</v>
      </c>
      <c r="B2879" s="33">
        <v>0.59722222222222221</v>
      </c>
      <c r="C2879" s="10" t="s">
        <v>214</v>
      </c>
      <c r="D2879" s="10">
        <v>0</v>
      </c>
      <c r="E2879" s="10" t="s">
        <v>911</v>
      </c>
      <c r="F2879" s="10">
        <v>1</v>
      </c>
      <c r="G2879" s="10" t="s">
        <v>231</v>
      </c>
      <c r="H2879" s="10" t="s">
        <v>314</v>
      </c>
      <c r="I2879" s="10" t="s">
        <v>266</v>
      </c>
      <c r="J2879" s="10">
        <v>114</v>
      </c>
      <c r="K2879" s="12">
        <v>44966</v>
      </c>
      <c r="L2879" s="33">
        <v>0.65222222222222226</v>
      </c>
      <c r="M2879" s="10">
        <v>1</v>
      </c>
      <c r="N2879" s="10" t="s">
        <v>84</v>
      </c>
      <c r="O2879" s="10">
        <v>3.19</v>
      </c>
      <c r="P2879" s="10">
        <v>0.22500000000000001</v>
      </c>
      <c r="Q2879" s="10">
        <v>191</v>
      </c>
      <c r="R2879" s="10" t="s">
        <v>85</v>
      </c>
      <c r="S2879" s="34">
        <f t="shared" si="321"/>
        <v>211.75562511999999</v>
      </c>
      <c r="T2879" s="10" t="s">
        <v>1201</v>
      </c>
      <c r="U2879" s="34">
        <f t="shared" si="322"/>
        <v>0.42518486399999911</v>
      </c>
      <c r="V2879" s="31">
        <f>IF(H2879="CHK",VLOOKUP(I2879,QCCHK,3,),IF(H2879="GUP",VLOOKUP(E2879,QCGUP,2,),IF(AND(H2879="ATP",OR(I2879="TN",I2879="TDN",I2879="TNO2-3",I2879="NO2-3")),VLOOKUP(E2879,QCREC_N,2,),IF(AND(H2879="NIC",OR(I2879="TN",I2879="TDN",I2879="TNO2-3",I2879="NO2-3")),VLOOKUP(E2879,QCNIC_N,2,),IF(AND(H2879="UREA",OR(I2879="TN",I2879="TDN",I2879="TNO2-3",I2879="NO2-3")),VLOOKUP(E2879,QCUREA_N,2,),IF(H2879="PER",VLOOKUP(I2879,QCPER,MATCH(E2879,QCACTUAL!$J$25:$AA$25,0),),IF(H2879="SPK",VLOOKUP(I2879,QCSPK,3,),IF(AND(H2879="ATP",OR(I2879="TP",I2879="TDP")),VLOOKUP(E2879,QCATP_P,2,),""))))))))</f>
        <v>1000</v>
      </c>
      <c r="W2879" s="31" t="str">
        <f t="shared" si="323"/>
        <v>FALSE</v>
      </c>
      <c r="X2879" s="31" t="str">
        <f t="shared" ref="X2879:X2942" si="327">IF(ISNA(VLOOKUP(H2879,QCEQUATIONS,2,)),"",(VLOOKUP(H2879,QCEQUATIONS,2,)))</f>
        <v>([spikedunkn]-[unkn])/[spike]*100</v>
      </c>
      <c r="Y2879" s="10" t="s">
        <v>1188</v>
      </c>
      <c r="Z2879" s="10" t="s">
        <v>910</v>
      </c>
      <c r="AF2879" s="12">
        <v>44966</v>
      </c>
      <c r="AH2879" s="10">
        <f>-2.9408*3.19^2+89.45*3.19-43.664</f>
        <v>211.75562511999999</v>
      </c>
      <c r="AI2879" s="10">
        <f>-1.7314*3.19^2+83.401*3.19-37.87</f>
        <v>210.56029046</v>
      </c>
      <c r="AK2879" s="10">
        <f>0.1051*3.19^2+65.423*3.19-19.469</f>
        <v>190.29987811000001</v>
      </c>
      <c r="AL2879" s="10" t="str">
        <f t="shared" si="325"/>
        <v>FALSE</v>
      </c>
      <c r="AM2879" s="10" t="str">
        <f t="shared" si="325"/>
        <v>y=-2.9408*3.19^2+89.45*3.19-43.664</v>
      </c>
      <c r="AN2879" s="10" t="str">
        <f t="shared" si="325"/>
        <v>y=-1.7314*3.19^2+83.401*3.19-37.87</v>
      </c>
      <c r="AO2879" s="10" t="str">
        <f t="shared" si="326"/>
        <v>FALSE</v>
      </c>
      <c r="AP2879" s="10" t="str">
        <f t="shared" si="326"/>
        <v>y=0.1051*3.19^2+65.423*3.19-19.469</v>
      </c>
      <c r="AQ2879" s="10" t="b">
        <f>IF(AND(I2879="TP",S2879&lt;=150),VLOOKUP(AF2879,TPCalibEq150!$AZ$2:$BB$55,3,),IF(AND(I2879="TDP",S2879&lt;=150),VLOOKUP(AF2879,TPCalibEq150!$AZ$2:$BB$55,3,)))</f>
        <v>0</v>
      </c>
      <c r="AR2879" s="10" t="str">
        <f>IF(AND(I2879="TP",S2879&lt;=300),VLOOKUP(AF2879,TPCalibEq300!$AZ$2:$BB$55,3,),IF(AND(I2879="TDP",S2879&lt;=300),VLOOKUP(AF2879,TPCalibEq300!$AZ$2:$BB$55,3,)))</f>
        <v>y=-2.9408x2+89.45x-43.664</v>
      </c>
      <c r="AS2879" s="10" t="str">
        <f>IF(AND(I2879="TP",S2879&lt;=500),VLOOKUP(AF2879,TPCalibEq500!$AZ$2:$BB$56,3,),IF(AND(I2879="TDP",S2879&lt;=500),VLOOKUP(AF2879,TPCalibEq500!$AZ$2:$BB$56,3,)))</f>
        <v>y=-1.7314x2+83.401x-37.87</v>
      </c>
      <c r="AT2879" s="10" t="b">
        <f>IF(AND(I2879="TN",S2879&lt;=2800),VLOOKUP(AF2879,TNCalibEq2500!$AZ$2:$BB$56,3,),IF(AND(I2879="TDN",S2879&lt;=2800),VLOOKUP(AF2879,TNCalibEq2500!$AZ$2:$BB$56,3,)))</f>
        <v>0</v>
      </c>
      <c r="AU2879" s="10" t="str">
        <f>IF(I2879="TP",VLOOKUP(AF2879,TPCalibEqFull!$AZ$2:$BB$56,3),IF(I2879="TDP",VLOOKUP(AF2879,TPCalibEqFull!$AZ$2:$BB$56,3),IF(I2879="TDN",VLOOKUP(AF2879,TNCalibEqFull!$AZ$1:$BB$56,3),IF(I2879="TN",VLOOKUP(AF2879,TNCalibEqFull!$AZ$1:$BB$56,3),FALSE))))</f>
        <v>y=0.1051x2+65.423x-19.469</v>
      </c>
      <c r="AV2879" s="10" t="str">
        <f t="shared" si="324"/>
        <v>0206 14:20:00-DAM-0-FIL-1-SW-SPK</v>
      </c>
    </row>
    <row r="2880" spans="1:48" s="10" customFormat="1" x14ac:dyDescent="0.55000000000000004">
      <c r="A2880" s="32">
        <v>44966</v>
      </c>
      <c r="B2880" s="33">
        <v>0.375</v>
      </c>
      <c r="C2880" s="10" t="s">
        <v>70</v>
      </c>
      <c r="D2880" s="10" t="s">
        <v>71</v>
      </c>
      <c r="E2880" s="10" t="s">
        <v>901</v>
      </c>
      <c r="F2880" s="10">
        <v>1</v>
      </c>
      <c r="G2880" s="10" t="s">
        <v>73</v>
      </c>
      <c r="H2880" s="10" t="s">
        <v>207</v>
      </c>
      <c r="I2880" s="10" t="s">
        <v>83</v>
      </c>
      <c r="J2880" s="10">
        <v>199</v>
      </c>
      <c r="K2880" s="12">
        <v>44966</v>
      </c>
      <c r="L2880" s="33">
        <v>0.65292824074074074</v>
      </c>
      <c r="M2880" s="10">
        <v>1</v>
      </c>
      <c r="N2880" s="10" t="s">
        <v>84</v>
      </c>
      <c r="O2880" s="10">
        <v>8.1199999999999992</v>
      </c>
      <c r="P2880" s="10">
        <v>0.57999999999999996</v>
      </c>
      <c r="Q2880" s="10">
        <v>518</v>
      </c>
      <c r="R2880" s="10" t="s">
        <v>85</v>
      </c>
      <c r="S2880" s="34">
        <f t="shared" ref="S2880:S2943" si="328">IF(OR(AND(I2880&lt;&gt;"TP", I2880&lt;&gt;"TDP",I2880&lt;&gt;"TN", I2880&lt;&gt;"TDN"),H2880="CAL"), Q2880*M2880, IF(OR(AND(I2880="TN", Q2880&gt;2500), AND(I2880="TDN", Q2880&gt;2500)),MAX(Q2880, AK2880)*M2880, IF(OR(AND(I2880="TN", Q2880&lt;=2500), AND(I2880="TDN", Q2880&lt;=2500)),MAX(Q2880, AJ2880,AK2880)*M2880, IF(OR(AND(I2880="TP",Q2880&gt;500), AND(I2880="TDP", Q2880&gt;500)),MAX(Q2880,AK2880)*M2880,IF(OR(AND(I2880="TP",Q2880&lt;=150), AND(I2880="TDP", Q2880&lt;=150)),MAX(Q2880,AG2880:AI2880,AK2880)*M2880,IF(OR(AND(I2880="TP",Q2880&lt;=300), AND(I2880="TDP", Q2880&lt;=300)),MAX(Q2880,AH2880,AI2880,AK2880)*M2880,IF(OR(AND(I2880="TP",Q2880&lt;=500), AND(I2880="TDP", Q2880&lt;=500)),MAX(Q2880,AI2880,AK2880)*M2880,"")))))))</f>
        <v>518.69546543999991</v>
      </c>
      <c r="T2880" s="10" t="s">
        <v>1201</v>
      </c>
      <c r="U2880" s="34">
        <f t="shared" si="322"/>
        <v>103.73909308799998</v>
      </c>
      <c r="V2880" s="31">
        <f>IF(H2880="CHK",VLOOKUP(I2880,QCCHK,3,),IF(H2880="GUP",VLOOKUP(E2880,QCGUP,2,),IF(AND(H2880="ATP",OR(I2880="TN",I2880="TDN",I2880="TNO2-3",I2880="NO2-3")),VLOOKUP(E2880,QCREC_N,2,),IF(AND(H2880="NIC",OR(I2880="TN",I2880="TDN",I2880="TNO2-3",I2880="NO2-3")),VLOOKUP(E2880,QCNIC_N,2,),IF(AND(H2880="UREA",OR(I2880="TN",I2880="TDN",I2880="TNO2-3",I2880="NO2-3")),VLOOKUP(E2880,QCUREA_N,2,),IF(H2880="PER",VLOOKUP(I2880,QCPER,MATCH(E2880,QCACTUAL!$J$25:$AA$25,0),),IF(H2880="SPK",VLOOKUP(I2880,QCSPK,3,),IF(AND(H2880="ATP",OR(I2880="TP",I2880="TDP")),VLOOKUP(E2880,QCATP_P,2,),""))))))))</f>
        <v>500</v>
      </c>
      <c r="W2880" s="31" t="str">
        <f t="shared" si="323"/>
        <v>TRUE</v>
      </c>
      <c r="X2880" s="31" t="str">
        <f t="shared" si="327"/>
        <v>[chk]/[actual]*100</v>
      </c>
      <c r="Y2880" s="10" t="s">
        <v>1188</v>
      </c>
      <c r="AF2880" s="12">
        <v>44966</v>
      </c>
      <c r="AK2880" s="10">
        <f>0.1051*8.12^2+65.423*8.12-19.469</f>
        <v>518.69546543999991</v>
      </c>
      <c r="AL2880" s="10" t="str">
        <f t="shared" si="325"/>
        <v>FALSE</v>
      </c>
      <c r="AM2880" s="10" t="str">
        <f t="shared" si="325"/>
        <v>FALSE</v>
      </c>
      <c r="AN2880" s="10" t="str">
        <f t="shared" si="325"/>
        <v>FALSE</v>
      </c>
      <c r="AO2880" s="10" t="str">
        <f t="shared" si="326"/>
        <v>FALSE</v>
      </c>
      <c r="AP2880" s="10" t="str">
        <f t="shared" si="326"/>
        <v>y=0.1051*8.12^2+65.423*8.12-19.469</v>
      </c>
      <c r="AQ2880" s="10" t="b">
        <f>IF(AND(I2880="TP",S2880&lt;=150),VLOOKUP(AF2880,TPCalibEq150!$AZ$2:$BB$55,3,),IF(AND(I2880="TDP",S2880&lt;=150),VLOOKUP(AF2880,TPCalibEq150!$AZ$2:$BB$55,3,)))</f>
        <v>0</v>
      </c>
      <c r="AR2880" s="10" t="b">
        <f>IF(AND(I2880="TP",S2880&lt;=300),VLOOKUP(AF2880,TPCalibEq300!$AZ$2:$BB$55,3,),IF(AND(I2880="TDP",S2880&lt;=300),VLOOKUP(AF2880,TPCalibEq300!$AZ$2:$BB$55,3,)))</f>
        <v>0</v>
      </c>
      <c r="AS2880" s="10" t="b">
        <f>IF(AND(I2880="TP",S2880&lt;=500),VLOOKUP(AF2880,TPCalibEq500!$AZ$2:$BB$56,3,),IF(AND(I2880="TDP",S2880&lt;=500),VLOOKUP(AF2880,TPCalibEq500!$AZ$2:$BB$56,3,)))</f>
        <v>0</v>
      </c>
      <c r="AT2880" s="10" t="b">
        <f>IF(AND(I2880="TN",S2880&lt;=2800),VLOOKUP(AF2880,TNCalibEq2500!$AZ$2:$BB$56,3,),IF(AND(I2880="TDN",S2880&lt;=2800),VLOOKUP(AF2880,TNCalibEq2500!$AZ$2:$BB$56,3,)))</f>
        <v>0</v>
      </c>
      <c r="AU2880" s="10" t="str">
        <f>IF(I2880="TP",VLOOKUP(AF2880,TPCalibEqFull!$AZ$2:$BB$56,3),IF(I2880="TDP",VLOOKUP(AF2880,TPCalibEqFull!$AZ$2:$BB$56,3),IF(I2880="TDN",VLOOKUP(AF2880,TNCalibEqFull!$AZ$1:$BB$56,3),IF(I2880="TN",VLOOKUP(AF2880,TNCalibEqFull!$AZ$1:$BB$56,3),FALSE))))</f>
        <v>y=0.1051x2+65.423x-19.469</v>
      </c>
      <c r="AV2880" s="10" t="str">
        <f t="shared" si="324"/>
        <v>0209 09:00:00-QAC-STD-D-1-DI-CHK</v>
      </c>
    </row>
    <row r="2881" spans="1:48" s="10" customFormat="1" x14ac:dyDescent="0.55000000000000004">
      <c r="A2881" s="32">
        <v>44965</v>
      </c>
      <c r="B2881" s="33">
        <v>0.47164351851851855</v>
      </c>
      <c r="C2881" s="10" t="s">
        <v>431</v>
      </c>
      <c r="D2881" s="10">
        <v>0</v>
      </c>
      <c r="E2881" s="10" t="s">
        <v>911</v>
      </c>
      <c r="F2881" s="10">
        <v>1</v>
      </c>
      <c r="G2881" s="10" t="s">
        <v>231</v>
      </c>
      <c r="H2881" s="10" t="s">
        <v>322</v>
      </c>
      <c r="I2881" s="10" t="s">
        <v>266</v>
      </c>
      <c r="J2881" s="10">
        <v>85</v>
      </c>
      <c r="K2881" s="12">
        <v>44966</v>
      </c>
      <c r="L2881" s="33">
        <v>0.65361111111111114</v>
      </c>
      <c r="M2881" s="10">
        <v>1</v>
      </c>
      <c r="N2881" s="10" t="s">
        <v>84</v>
      </c>
      <c r="O2881" s="10">
        <v>2.29</v>
      </c>
      <c r="P2881" s="10">
        <v>0.16</v>
      </c>
      <c r="Q2881" s="10">
        <v>132</v>
      </c>
      <c r="R2881" s="10" t="s">
        <v>85</v>
      </c>
      <c r="S2881" s="34">
        <f t="shared" si="328"/>
        <v>146.28930359999998</v>
      </c>
      <c r="T2881" s="10" t="s">
        <v>1201</v>
      </c>
      <c r="U2881" s="34" t="str">
        <f t="shared" si="322"/>
        <v/>
      </c>
      <c r="V2881" s="31" t="str">
        <f>IF(H2881="CHK",VLOOKUP(I2881,QCCHK,3,),IF(H2881="GUP",VLOOKUP(E2881,QCGUP,2,),IF(AND(H2881="ATP",OR(I2881="TN",I2881="TDN",I2881="TNO2-3",I2881="NO2-3")),VLOOKUP(E2881,QCREC_N,2,),IF(AND(H2881="NIC",OR(I2881="TN",I2881="TDN",I2881="TNO2-3",I2881="NO2-3")),VLOOKUP(E2881,QCNIC_N,2,),IF(AND(H2881="UREA",OR(I2881="TN",I2881="TDN",I2881="TNO2-3",I2881="NO2-3")),VLOOKUP(E2881,QCUREA_N,2,),IF(H2881="PER",VLOOKUP(I2881,QCPER,MATCH(E2881,QCACTUAL!$J$25:$AA$25,0),),IF(H2881="SPK",VLOOKUP(I2881,QCSPK,3,),IF(AND(H2881="ATP",OR(I2881="TP",I2881="TDP")),VLOOKUP(E2881,QCATP_P,2,),""))))))))</f>
        <v/>
      </c>
      <c r="W2881" s="31" t="str">
        <f t="shared" si="323"/>
        <v>TRUE</v>
      </c>
      <c r="X2881" s="31" t="str">
        <f t="shared" si="327"/>
        <v/>
      </c>
      <c r="Y2881" s="10" t="s">
        <v>1188</v>
      </c>
      <c r="AF2881" s="12">
        <v>44966</v>
      </c>
      <c r="AG2881" s="10">
        <f>-11.204*2.29^2+113.68*2.29-55.283</f>
        <v>146.28930359999998</v>
      </c>
      <c r="AH2881" s="10">
        <f>-2.9408*2.29^2+89.45*2.29-43.664</f>
        <v>145.75465072000003</v>
      </c>
      <c r="AI2881" s="10">
        <f>-1.7314*2.29^2+83.401*2.29-37.87</f>
        <v>144.03865526000001</v>
      </c>
      <c r="AK2881" s="10">
        <f>0.1051*2.29^2+65.423*2.29-19.469</f>
        <v>130.90082491000001</v>
      </c>
      <c r="AL2881" s="10" t="str">
        <f t="shared" si="325"/>
        <v>y=-11.204*2.29^2+113.68*2.29-55.283</v>
      </c>
      <c r="AM2881" s="10" t="str">
        <f t="shared" si="325"/>
        <v>y=-2.9408*2.29^2+89.45*2.29-43.664</v>
      </c>
      <c r="AN2881" s="10" t="str">
        <f t="shared" si="325"/>
        <v>y=-1.7314*2.29^2+83.401*2.29-37.87</v>
      </c>
      <c r="AO2881" s="10" t="str">
        <f t="shared" si="326"/>
        <v>FALSE</v>
      </c>
      <c r="AP2881" s="10" t="str">
        <f t="shared" si="326"/>
        <v>y=0.1051*2.29^2+65.423*2.29-19.469</v>
      </c>
      <c r="AQ2881" s="10" t="str">
        <f>IF(AND(I2881="TP",S2881&lt;=150),VLOOKUP(AF2881,TPCalibEq150!$AZ$2:$BB$55,3,),IF(AND(I2881="TDP",S2881&lt;=150),VLOOKUP(AF2881,TPCalibEq150!$AZ$2:$BB$55,3,)))</f>
        <v>y=-11.204x2+113.68x-55.283</v>
      </c>
      <c r="AR2881" s="10" t="str">
        <f>IF(AND(I2881="TP",S2881&lt;=300),VLOOKUP(AF2881,TPCalibEq300!$AZ$2:$BB$55,3,),IF(AND(I2881="TDP",S2881&lt;=300),VLOOKUP(AF2881,TPCalibEq300!$AZ$2:$BB$55,3,)))</f>
        <v>y=-2.9408x2+89.45x-43.664</v>
      </c>
      <c r="AS2881" s="10" t="str">
        <f>IF(AND(I2881="TP",S2881&lt;=500),VLOOKUP(AF2881,TPCalibEq500!$AZ$2:$BB$56,3,),IF(AND(I2881="TDP",S2881&lt;=500),VLOOKUP(AF2881,TPCalibEq500!$AZ$2:$BB$56,3,)))</f>
        <v>y=-1.7314x2+83.401x-37.87</v>
      </c>
      <c r="AT2881" s="10" t="b">
        <f>IF(AND(I2881="TN",S2881&lt;=2800),VLOOKUP(AF2881,TNCalibEq2500!$AZ$2:$BB$56,3,),IF(AND(I2881="TDN",S2881&lt;=2800),VLOOKUP(AF2881,TNCalibEq2500!$AZ$2:$BB$56,3,)))</f>
        <v>0</v>
      </c>
      <c r="AU2881" s="10" t="str">
        <f>IF(I2881="TP",VLOOKUP(AF2881,TPCalibEqFull!$AZ$2:$BB$56,3),IF(I2881="TDP",VLOOKUP(AF2881,TPCalibEqFull!$AZ$2:$BB$56,3),IF(I2881="TDN",VLOOKUP(AF2881,TNCalibEqFull!$AZ$1:$BB$56,3),IF(I2881="TN",VLOOKUP(AF2881,TNCalibEqFull!$AZ$1:$BB$56,3),FALSE))))</f>
        <v>y=0.1051x2+65.423x-19.469</v>
      </c>
      <c r="AV2881" s="10" t="str">
        <f t="shared" si="324"/>
        <v>0208 11:19:10-EUS-0-FIL-1-SW-UKN</v>
      </c>
    </row>
    <row r="2882" spans="1:48" s="10" customFormat="1" x14ac:dyDescent="0.55000000000000004">
      <c r="A2882" s="32">
        <v>44965</v>
      </c>
      <c r="B2882" s="33">
        <v>0.47395833333333331</v>
      </c>
      <c r="C2882" s="10" t="s">
        <v>431</v>
      </c>
      <c r="D2882" s="10">
        <v>5</v>
      </c>
      <c r="E2882" s="10" t="s">
        <v>911</v>
      </c>
      <c r="F2882" s="10">
        <v>1</v>
      </c>
      <c r="G2882" s="10" t="s">
        <v>231</v>
      </c>
      <c r="H2882" s="10" t="s">
        <v>322</v>
      </c>
      <c r="I2882" s="10" t="s">
        <v>266</v>
      </c>
      <c r="J2882" s="10">
        <v>86</v>
      </c>
      <c r="K2882" s="12">
        <v>44966</v>
      </c>
      <c r="L2882" s="33">
        <v>0.65430555555555558</v>
      </c>
      <c r="M2882" s="10">
        <v>1</v>
      </c>
      <c r="N2882" s="10" t="s">
        <v>84</v>
      </c>
      <c r="O2882" s="10">
        <v>2.2400000000000002</v>
      </c>
      <c r="P2882" s="10">
        <v>0.157</v>
      </c>
      <c r="Q2882" s="10">
        <v>129</v>
      </c>
      <c r="R2882" s="10" t="s">
        <v>85</v>
      </c>
      <c r="S2882" s="34">
        <f t="shared" si="328"/>
        <v>143.14300960000003</v>
      </c>
      <c r="T2882" s="10" t="s">
        <v>1201</v>
      </c>
      <c r="U2882" s="34" t="str">
        <f t="shared" ref="U2882:U2945" si="329">IF(OR(H2882="CHK",H2882="ATP",H2882="GUP",H2882="PER", H2882="NIC", H2882="UREA"),(S2882/V2882*100),IF(H2882="DUP",((ABS(S2882-S2881))/((S2881+S2882)/2))*100,IF(H2882="SPK",((S2882-S2881)/V2882*100),IF(OR(H2882="LAB",H2882="FLD",H2882="ESF"),S2882,""))))</f>
        <v/>
      </c>
      <c r="V2882" s="31" t="str">
        <f>IF(H2882="CHK",VLOOKUP(I2882,QCCHK,3,),IF(H2882="GUP",VLOOKUP(E2882,QCGUP,2,),IF(AND(H2882="ATP",OR(I2882="TN",I2882="TDN",I2882="TNO2-3",I2882="NO2-3")),VLOOKUP(E2882,QCREC_N,2,),IF(AND(H2882="NIC",OR(I2882="TN",I2882="TDN",I2882="TNO2-3",I2882="NO2-3")),VLOOKUP(E2882,QCNIC_N,2,),IF(AND(H2882="UREA",OR(I2882="TN",I2882="TDN",I2882="TNO2-3",I2882="NO2-3")),VLOOKUP(E2882,QCUREA_N,2,),IF(H2882="PER",VLOOKUP(I2882,QCPER,MATCH(E2882,QCACTUAL!$J$25:$AA$25,0),),IF(H2882="SPK",VLOOKUP(I2882,QCSPK,3,),IF(AND(H2882="ATP",OR(I2882="TP",I2882="TDP")),VLOOKUP(E2882,QCATP_P,2,),""))))))))</f>
        <v/>
      </c>
      <c r="W2882" s="31" t="str">
        <f t="shared" ref="W2882:W2945" si="330">IF(AND(OR(H2882="PER",H2882="ATP",H2882="GUP",H2882="CHK",H2882="SPK", H2882="NIC"),OR(U2882&gt;125,U2882&lt;75)),"FALSE",IF(AND(H2882="DUP",OR(U2882&gt;25, U2882&lt;-25)),"FALSE",IF(AND(OR(H2882="LAB",H2882="FLD",H2882="ESF"),U2882&gt;15),"FALSE","TRUE")))</f>
        <v>TRUE</v>
      </c>
      <c r="X2882" s="31" t="str">
        <f t="shared" si="327"/>
        <v/>
      </c>
      <c r="Y2882" s="10" t="s">
        <v>1188</v>
      </c>
      <c r="AF2882" s="12">
        <v>44966</v>
      </c>
      <c r="AG2882" s="10">
        <f>-11.204*2.24^2+113.68*2.24-55.283</f>
        <v>143.14300960000003</v>
      </c>
      <c r="AH2882" s="10">
        <f>-2.9408*2.24^2+89.45*2.24-43.664</f>
        <v>141.94824192000004</v>
      </c>
      <c r="AI2882" s="10">
        <f>-1.7314*2.24^2+83.401*2.24-37.87</f>
        <v>140.26076735999999</v>
      </c>
      <c r="AK2882" s="10">
        <f>0.1051*2.24^2+65.423*2.24-19.469</f>
        <v>127.60586976000002</v>
      </c>
      <c r="AL2882" s="10" t="str">
        <f t="shared" si="325"/>
        <v>y=-11.204*2.24^2+113.68*2.24-55.283</v>
      </c>
      <c r="AM2882" s="10" t="str">
        <f t="shared" si="325"/>
        <v>y=-2.9408*2.24^2+89.45*2.24-43.664</v>
      </c>
      <c r="AN2882" s="10" t="str">
        <f t="shared" si="325"/>
        <v>y=-1.7314*2.24^2+83.401*2.24-37.87</v>
      </c>
      <c r="AO2882" s="10" t="str">
        <f t="shared" si="326"/>
        <v>FALSE</v>
      </c>
      <c r="AP2882" s="10" t="str">
        <f t="shared" si="326"/>
        <v>y=0.1051*2.24^2+65.423*2.24-19.469</v>
      </c>
      <c r="AQ2882" s="10" t="str">
        <f>IF(AND(I2882="TP",S2882&lt;=150),VLOOKUP(AF2882,TPCalibEq150!$AZ$2:$BB$55,3,),IF(AND(I2882="TDP",S2882&lt;=150),VLOOKUP(AF2882,TPCalibEq150!$AZ$2:$BB$55,3,)))</f>
        <v>y=-11.204x2+113.68x-55.283</v>
      </c>
      <c r="AR2882" s="10" t="str">
        <f>IF(AND(I2882="TP",S2882&lt;=300),VLOOKUP(AF2882,TPCalibEq300!$AZ$2:$BB$55,3,),IF(AND(I2882="TDP",S2882&lt;=300),VLOOKUP(AF2882,TPCalibEq300!$AZ$2:$BB$55,3,)))</f>
        <v>y=-2.9408x2+89.45x-43.664</v>
      </c>
      <c r="AS2882" s="10" t="str">
        <f>IF(AND(I2882="TP",S2882&lt;=500),VLOOKUP(AF2882,TPCalibEq500!$AZ$2:$BB$56,3,),IF(AND(I2882="TDP",S2882&lt;=500),VLOOKUP(AF2882,TPCalibEq500!$AZ$2:$BB$56,3,)))</f>
        <v>y=-1.7314x2+83.401x-37.87</v>
      </c>
      <c r="AT2882" s="10" t="b">
        <f>IF(AND(I2882="TN",S2882&lt;=2800),VLOOKUP(AF2882,TNCalibEq2500!$AZ$2:$BB$56,3,),IF(AND(I2882="TDN",S2882&lt;=2800),VLOOKUP(AF2882,TNCalibEq2500!$AZ$2:$BB$56,3,)))</f>
        <v>0</v>
      </c>
      <c r="AU2882" s="10" t="str">
        <f>IF(I2882="TP",VLOOKUP(AF2882,TPCalibEqFull!$AZ$2:$BB$56,3),IF(I2882="TDP",VLOOKUP(AF2882,TPCalibEqFull!$AZ$2:$BB$56,3),IF(I2882="TDN",VLOOKUP(AF2882,TNCalibEqFull!$AZ$1:$BB$56,3),IF(I2882="TN",VLOOKUP(AF2882,TNCalibEqFull!$AZ$1:$BB$56,3),FALSE))))</f>
        <v>y=0.1051x2+65.423x-19.469</v>
      </c>
      <c r="AV2882" s="10" t="str">
        <f t="shared" ref="AV2882:AV2945" si="331">TEXT(A2882, "MMDD")&amp;" "&amp;TEXT(B2882, "HH:MM:SS")&amp;"-"&amp;C2882&amp;"-"&amp;D2882&amp;"-"&amp;E2882&amp;"-"&amp;F2882&amp;"-"&amp;G2882&amp;"-"&amp;H2882</f>
        <v>0208 11:22:30-EUS-5-FIL-1-SW-UKN</v>
      </c>
    </row>
    <row r="2883" spans="1:48" s="10" customFormat="1" x14ac:dyDescent="0.55000000000000004">
      <c r="A2883" s="32">
        <v>44965</v>
      </c>
      <c r="B2883" s="33">
        <v>0.46828703703703706</v>
      </c>
      <c r="C2883" s="10" t="s">
        <v>618</v>
      </c>
      <c r="D2883" s="10">
        <v>0</v>
      </c>
      <c r="E2883" s="10" t="s">
        <v>911</v>
      </c>
      <c r="F2883" s="10">
        <v>1</v>
      </c>
      <c r="G2883" s="10" t="s">
        <v>231</v>
      </c>
      <c r="H2883" s="10" t="s">
        <v>322</v>
      </c>
      <c r="I2883" s="10" t="s">
        <v>266</v>
      </c>
      <c r="J2883" s="10">
        <v>87</v>
      </c>
      <c r="K2883" s="12">
        <v>44966</v>
      </c>
      <c r="L2883" s="33">
        <v>0.65498842592592588</v>
      </c>
      <c r="M2883" s="10">
        <v>1</v>
      </c>
      <c r="N2883" s="10" t="s">
        <v>84</v>
      </c>
      <c r="O2883" s="10">
        <v>3.12</v>
      </c>
      <c r="P2883" s="10">
        <v>0.22</v>
      </c>
      <c r="Q2883" s="10">
        <v>186</v>
      </c>
      <c r="R2883" s="10" t="s">
        <v>85</v>
      </c>
      <c r="S2883" s="34">
        <f t="shared" si="328"/>
        <v>206.79307648000002</v>
      </c>
      <c r="T2883" s="10" t="s">
        <v>1201</v>
      </c>
      <c r="U2883" s="34" t="str">
        <f t="shared" si="329"/>
        <v/>
      </c>
      <c r="V2883" s="31" t="str">
        <f>IF(H2883="CHK",VLOOKUP(I2883,QCCHK,3,),IF(H2883="GUP",VLOOKUP(E2883,QCGUP,2,),IF(AND(H2883="ATP",OR(I2883="TN",I2883="TDN",I2883="TNO2-3",I2883="NO2-3")),VLOOKUP(E2883,QCREC_N,2,),IF(AND(H2883="NIC",OR(I2883="TN",I2883="TDN",I2883="TNO2-3",I2883="NO2-3")),VLOOKUP(E2883,QCNIC_N,2,),IF(AND(H2883="UREA",OR(I2883="TN",I2883="TDN",I2883="TNO2-3",I2883="NO2-3")),VLOOKUP(E2883,QCUREA_N,2,),IF(H2883="PER",VLOOKUP(I2883,QCPER,MATCH(E2883,QCACTUAL!$J$25:$AA$25,0),),IF(H2883="SPK",VLOOKUP(I2883,QCSPK,3,),IF(AND(H2883="ATP",OR(I2883="TP",I2883="TDP")),VLOOKUP(E2883,QCATP_P,2,),""))))))))</f>
        <v/>
      </c>
      <c r="W2883" s="31" t="str">
        <f t="shared" si="330"/>
        <v>TRUE</v>
      </c>
      <c r="X2883" s="31" t="str">
        <f t="shared" si="327"/>
        <v/>
      </c>
      <c r="Y2883" s="10" t="s">
        <v>1188</v>
      </c>
      <c r="AF2883" s="12">
        <v>44966</v>
      </c>
      <c r="AH2883" s="10">
        <f>-2.9408*3.12^2+89.45*3.12-43.664</f>
        <v>206.79307648000002</v>
      </c>
      <c r="AI2883" s="10">
        <f>-1.7314*3.12^2+83.401*3.12-37.87</f>
        <v>205.48697983999998</v>
      </c>
      <c r="AK2883" s="10">
        <f>0.1051*3.12^2+65.423*3.12-19.469</f>
        <v>185.67384544000001</v>
      </c>
      <c r="AL2883" s="10" t="str">
        <f t="shared" si="325"/>
        <v>FALSE</v>
      </c>
      <c r="AM2883" s="10" t="str">
        <f t="shared" si="325"/>
        <v>y=-2.9408*3.12^2+89.45*3.12-43.664</v>
      </c>
      <c r="AN2883" s="10" t="str">
        <f t="shared" si="325"/>
        <v>y=-1.7314*3.12^2+83.401*3.12-37.87</v>
      </c>
      <c r="AO2883" s="10" t="str">
        <f t="shared" si="326"/>
        <v>FALSE</v>
      </c>
      <c r="AP2883" s="10" t="str">
        <f t="shared" si="326"/>
        <v>y=0.1051*3.12^2+65.423*3.12-19.469</v>
      </c>
      <c r="AQ2883" s="10" t="b">
        <f>IF(AND(I2883="TP",S2883&lt;=150),VLOOKUP(AF2883,TPCalibEq150!$AZ$2:$BB$55,3,),IF(AND(I2883="TDP",S2883&lt;=150),VLOOKUP(AF2883,TPCalibEq150!$AZ$2:$BB$55,3,)))</f>
        <v>0</v>
      </c>
      <c r="AR2883" s="10" t="str">
        <f>IF(AND(I2883="TP",S2883&lt;=300),VLOOKUP(AF2883,TPCalibEq300!$AZ$2:$BB$55,3,),IF(AND(I2883="TDP",S2883&lt;=300),VLOOKUP(AF2883,TPCalibEq300!$AZ$2:$BB$55,3,)))</f>
        <v>y=-2.9408x2+89.45x-43.664</v>
      </c>
      <c r="AS2883" s="10" t="str">
        <f>IF(AND(I2883="TP",S2883&lt;=500),VLOOKUP(AF2883,TPCalibEq500!$AZ$2:$BB$56,3,),IF(AND(I2883="TDP",S2883&lt;=500),VLOOKUP(AF2883,TPCalibEq500!$AZ$2:$BB$56,3,)))</f>
        <v>y=-1.7314x2+83.401x-37.87</v>
      </c>
      <c r="AT2883" s="10" t="b">
        <f>IF(AND(I2883="TN",S2883&lt;=2800),VLOOKUP(AF2883,TNCalibEq2500!$AZ$2:$BB$56,3,),IF(AND(I2883="TDN",S2883&lt;=2800),VLOOKUP(AF2883,TNCalibEq2500!$AZ$2:$BB$56,3,)))</f>
        <v>0</v>
      </c>
      <c r="AU2883" s="10" t="str">
        <f>IF(I2883="TP",VLOOKUP(AF2883,TPCalibEqFull!$AZ$2:$BB$56,3),IF(I2883="TDP",VLOOKUP(AF2883,TPCalibEqFull!$AZ$2:$BB$56,3),IF(I2883="TDN",VLOOKUP(AF2883,TNCalibEqFull!$AZ$1:$BB$56,3),IF(I2883="TN",VLOOKUP(AF2883,TNCalibEqFull!$AZ$1:$BB$56,3),FALSE))))</f>
        <v>y=0.1051x2+65.423x-19.469</v>
      </c>
      <c r="AV2883" s="10" t="str">
        <f t="shared" si="331"/>
        <v>0208 11:14:20-ECP-0-FIL-1-SW-UKN</v>
      </c>
    </row>
    <row r="2884" spans="1:48" s="10" customFormat="1" x14ac:dyDescent="0.55000000000000004">
      <c r="A2884" s="32">
        <v>44965</v>
      </c>
      <c r="B2884" s="33">
        <v>0.46828703703703706</v>
      </c>
      <c r="C2884" s="10" t="s">
        <v>618</v>
      </c>
      <c r="D2884" s="10">
        <v>0</v>
      </c>
      <c r="E2884" s="10" t="s">
        <v>911</v>
      </c>
      <c r="F2884" s="10">
        <v>2</v>
      </c>
      <c r="G2884" s="10" t="s">
        <v>231</v>
      </c>
      <c r="H2884" s="10" t="s">
        <v>322</v>
      </c>
      <c r="I2884" s="10" t="s">
        <v>266</v>
      </c>
      <c r="J2884" s="10">
        <v>88</v>
      </c>
      <c r="K2884" s="12">
        <v>44966</v>
      </c>
      <c r="L2884" s="33">
        <v>0.65568287037037043</v>
      </c>
      <c r="M2884" s="10">
        <v>1</v>
      </c>
      <c r="N2884" s="10" t="s">
        <v>84</v>
      </c>
      <c r="O2884" s="10">
        <v>2.96</v>
      </c>
      <c r="P2884" s="10">
        <v>0.20899999999999999</v>
      </c>
      <c r="Q2884" s="10">
        <v>176</v>
      </c>
      <c r="R2884" s="10" t="s">
        <v>85</v>
      </c>
      <c r="S2884" s="34">
        <f t="shared" si="328"/>
        <v>195.34188671999999</v>
      </c>
      <c r="T2884" s="10" t="s">
        <v>1201</v>
      </c>
      <c r="U2884" s="34" t="str">
        <f t="shared" si="329"/>
        <v/>
      </c>
      <c r="V2884" s="31" t="str">
        <f>IF(H2884="CHK",VLOOKUP(I2884,QCCHK,3,),IF(H2884="GUP",VLOOKUP(E2884,QCGUP,2,),IF(AND(H2884="ATP",OR(I2884="TN",I2884="TDN",I2884="TNO2-3",I2884="NO2-3")),VLOOKUP(E2884,QCREC_N,2,),IF(AND(H2884="NIC",OR(I2884="TN",I2884="TDN",I2884="TNO2-3",I2884="NO2-3")),VLOOKUP(E2884,QCNIC_N,2,),IF(AND(H2884="UREA",OR(I2884="TN",I2884="TDN",I2884="TNO2-3",I2884="NO2-3")),VLOOKUP(E2884,QCUREA_N,2,),IF(H2884="PER",VLOOKUP(I2884,QCPER,MATCH(E2884,QCACTUAL!$J$25:$AA$25,0),),IF(H2884="SPK",VLOOKUP(I2884,QCSPK,3,),IF(AND(H2884="ATP",OR(I2884="TP",I2884="TDP")),VLOOKUP(E2884,QCATP_P,2,),""))))))))</f>
        <v/>
      </c>
      <c r="W2884" s="31" t="str">
        <f t="shared" si="330"/>
        <v>TRUE</v>
      </c>
      <c r="X2884" s="31" t="str">
        <f t="shared" si="327"/>
        <v/>
      </c>
      <c r="Y2884" s="10" t="s">
        <v>1188</v>
      </c>
      <c r="AF2884" s="12">
        <v>44966</v>
      </c>
      <c r="AH2884" s="10">
        <f>-2.9408*2.96^2+89.45*2.96-43.664</f>
        <v>195.34188671999999</v>
      </c>
      <c r="AI2884" s="10">
        <f>-1.7314*2.96^2+83.401*2.96-37.87</f>
        <v>193.82712575999997</v>
      </c>
      <c r="AK2884" s="10">
        <f>0.1051*2.96^2+65.423*2.96-19.469</f>
        <v>175.10392416000002</v>
      </c>
      <c r="AL2884" s="10" t="str">
        <f t="shared" si="325"/>
        <v>FALSE</v>
      </c>
      <c r="AM2884" s="10" t="str">
        <f t="shared" si="325"/>
        <v>y=-2.9408*2.96^2+89.45*2.96-43.664</v>
      </c>
      <c r="AN2884" s="10" t="str">
        <f t="shared" si="325"/>
        <v>y=-1.7314*2.96^2+83.401*2.96-37.87</v>
      </c>
      <c r="AO2884" s="10" t="str">
        <f t="shared" si="326"/>
        <v>FALSE</v>
      </c>
      <c r="AP2884" s="10" t="str">
        <f t="shared" si="326"/>
        <v>y=0.1051*2.96^2+65.423*2.96-19.469</v>
      </c>
      <c r="AQ2884" s="10" t="b">
        <f>IF(AND(I2884="TP",S2884&lt;=150),VLOOKUP(AF2884,TPCalibEq150!$AZ$2:$BB$55,3,),IF(AND(I2884="TDP",S2884&lt;=150),VLOOKUP(AF2884,TPCalibEq150!$AZ$2:$BB$55,3,)))</f>
        <v>0</v>
      </c>
      <c r="AR2884" s="10" t="str">
        <f>IF(AND(I2884="TP",S2884&lt;=300),VLOOKUP(AF2884,TPCalibEq300!$AZ$2:$BB$55,3,),IF(AND(I2884="TDP",S2884&lt;=300),VLOOKUP(AF2884,TPCalibEq300!$AZ$2:$BB$55,3,)))</f>
        <v>y=-2.9408x2+89.45x-43.664</v>
      </c>
      <c r="AS2884" s="10" t="str">
        <f>IF(AND(I2884="TP",S2884&lt;=500),VLOOKUP(AF2884,TPCalibEq500!$AZ$2:$BB$56,3,),IF(AND(I2884="TDP",S2884&lt;=500),VLOOKUP(AF2884,TPCalibEq500!$AZ$2:$BB$56,3,)))</f>
        <v>y=-1.7314x2+83.401x-37.87</v>
      </c>
      <c r="AT2884" s="10" t="b">
        <f>IF(AND(I2884="TN",S2884&lt;=2800),VLOOKUP(AF2884,TNCalibEq2500!$AZ$2:$BB$56,3,),IF(AND(I2884="TDN",S2884&lt;=2800),VLOOKUP(AF2884,TNCalibEq2500!$AZ$2:$BB$56,3,)))</f>
        <v>0</v>
      </c>
      <c r="AU2884" s="10" t="str">
        <f>IF(I2884="TP",VLOOKUP(AF2884,TPCalibEqFull!$AZ$2:$BB$56,3),IF(I2884="TDP",VLOOKUP(AF2884,TPCalibEqFull!$AZ$2:$BB$56,3),IF(I2884="TDN",VLOOKUP(AF2884,TNCalibEqFull!$AZ$1:$BB$56,3),IF(I2884="TN",VLOOKUP(AF2884,TNCalibEqFull!$AZ$1:$BB$56,3),FALSE))))</f>
        <v>y=0.1051x2+65.423x-19.469</v>
      </c>
      <c r="AV2884" s="10" t="str">
        <f t="shared" si="331"/>
        <v>0208 11:14:20-ECP-0-FIL-2-SW-UKN</v>
      </c>
    </row>
    <row r="2885" spans="1:48" s="10" customFormat="1" x14ac:dyDescent="0.55000000000000004">
      <c r="A2885" s="32">
        <v>44965</v>
      </c>
      <c r="B2885" s="33">
        <v>0.46828703703703706</v>
      </c>
      <c r="C2885" s="10" t="s">
        <v>618</v>
      </c>
      <c r="D2885" s="10">
        <v>0</v>
      </c>
      <c r="E2885" s="10" t="s">
        <v>911</v>
      </c>
      <c r="F2885" s="10">
        <v>2</v>
      </c>
      <c r="G2885" s="10" t="s">
        <v>231</v>
      </c>
      <c r="H2885" s="10" t="s">
        <v>233</v>
      </c>
      <c r="I2885" s="10" t="s">
        <v>266</v>
      </c>
      <c r="J2885" s="10">
        <v>88</v>
      </c>
      <c r="K2885" s="12">
        <v>44966</v>
      </c>
      <c r="L2885" s="33">
        <v>0.65637731481481476</v>
      </c>
      <c r="M2885" s="10">
        <v>1</v>
      </c>
      <c r="N2885" s="10" t="s">
        <v>84</v>
      </c>
      <c r="O2885" s="10">
        <v>2.95</v>
      </c>
      <c r="P2885" s="10">
        <v>0.20799999999999999</v>
      </c>
      <c r="Q2885" s="10">
        <v>175</v>
      </c>
      <c r="R2885" s="10" t="s">
        <v>85</v>
      </c>
      <c r="S2885" s="34">
        <f t="shared" si="328"/>
        <v>194.62118800000002</v>
      </c>
      <c r="T2885" s="10" t="s">
        <v>1201</v>
      </c>
      <c r="U2885" s="34">
        <f t="shared" si="329"/>
        <v>0.36962408326349705</v>
      </c>
      <c r="V2885" s="31" t="str">
        <f>IF(H2885="CHK",VLOOKUP(I2885,QCCHK,3,),IF(H2885="GUP",VLOOKUP(E2885,QCGUP,2,),IF(AND(H2885="ATP",OR(I2885="TN",I2885="TDN",I2885="TNO2-3",I2885="NO2-3")),VLOOKUP(E2885,QCREC_N,2,),IF(AND(H2885="NIC",OR(I2885="TN",I2885="TDN",I2885="TNO2-3",I2885="NO2-3")),VLOOKUP(E2885,QCNIC_N,2,),IF(AND(H2885="UREA",OR(I2885="TN",I2885="TDN",I2885="TNO2-3",I2885="NO2-3")),VLOOKUP(E2885,QCUREA_N,2,),IF(H2885="PER",VLOOKUP(I2885,QCPER,MATCH(E2885,QCACTUAL!$J$25:$AA$25,0),),IF(H2885="SPK",VLOOKUP(I2885,QCSPK,3,),IF(AND(H2885="ATP",OR(I2885="TP",I2885="TDP")),VLOOKUP(E2885,QCATP_P,2,),""))))))))</f>
        <v/>
      </c>
      <c r="W2885" s="31" t="str">
        <f t="shared" si="330"/>
        <v>TRUE</v>
      </c>
      <c r="X2885" s="31" t="str">
        <f t="shared" si="327"/>
        <v>((ABS(rep1-rep2))/((rep1+rep2)/2)*100</v>
      </c>
      <c r="Y2885" s="10" t="s">
        <v>1188</v>
      </c>
      <c r="AF2885" s="12">
        <v>44966</v>
      </c>
      <c r="AH2885" s="10">
        <f>-2.9408*2.95^2+89.45*2.95-43.664</f>
        <v>194.62118800000002</v>
      </c>
      <c r="AI2885" s="10">
        <f>-1.7314*2.95^2+83.401*2.95-37.87</f>
        <v>193.09544149999999</v>
      </c>
      <c r="AK2885" s="10">
        <f>0.1051*2.95^2+65.423*2.95-19.469</f>
        <v>174.44348275000004</v>
      </c>
      <c r="AL2885" s="10" t="str">
        <f t="shared" si="325"/>
        <v>FALSE</v>
      </c>
      <c r="AM2885" s="10" t="str">
        <f t="shared" si="325"/>
        <v>y=-2.9408*2.95^2+89.45*2.95-43.664</v>
      </c>
      <c r="AN2885" s="10" t="str">
        <f t="shared" si="325"/>
        <v>y=-1.7314*2.95^2+83.401*2.95-37.87</v>
      </c>
      <c r="AO2885" s="10" t="str">
        <f t="shared" si="326"/>
        <v>FALSE</v>
      </c>
      <c r="AP2885" s="10" t="str">
        <f t="shared" si="326"/>
        <v>y=0.1051*2.95^2+65.423*2.95-19.469</v>
      </c>
      <c r="AQ2885" s="10" t="b">
        <f>IF(AND(I2885="TP",S2885&lt;=150),VLOOKUP(AF2885,TPCalibEq150!$AZ$2:$BB$55,3,),IF(AND(I2885="TDP",S2885&lt;=150),VLOOKUP(AF2885,TPCalibEq150!$AZ$2:$BB$55,3,)))</f>
        <v>0</v>
      </c>
      <c r="AR2885" s="10" t="str">
        <f>IF(AND(I2885="TP",S2885&lt;=300),VLOOKUP(AF2885,TPCalibEq300!$AZ$2:$BB$55,3,),IF(AND(I2885="TDP",S2885&lt;=300),VLOOKUP(AF2885,TPCalibEq300!$AZ$2:$BB$55,3,)))</f>
        <v>y=-2.9408x2+89.45x-43.664</v>
      </c>
      <c r="AS2885" s="10" t="str">
        <f>IF(AND(I2885="TP",S2885&lt;=500),VLOOKUP(AF2885,TPCalibEq500!$AZ$2:$BB$56,3,),IF(AND(I2885="TDP",S2885&lt;=500),VLOOKUP(AF2885,TPCalibEq500!$AZ$2:$BB$56,3,)))</f>
        <v>y=-1.7314x2+83.401x-37.87</v>
      </c>
      <c r="AT2885" s="10" t="b">
        <f>IF(AND(I2885="TN",S2885&lt;=2800),VLOOKUP(AF2885,TNCalibEq2500!$AZ$2:$BB$56,3,),IF(AND(I2885="TDN",S2885&lt;=2800),VLOOKUP(AF2885,TNCalibEq2500!$AZ$2:$BB$56,3,)))</f>
        <v>0</v>
      </c>
      <c r="AU2885" s="10" t="str">
        <f>IF(I2885="TP",VLOOKUP(AF2885,TPCalibEqFull!$AZ$2:$BB$56,3),IF(I2885="TDP",VLOOKUP(AF2885,TPCalibEqFull!$AZ$2:$BB$56,3),IF(I2885="TDN",VLOOKUP(AF2885,TNCalibEqFull!$AZ$1:$BB$56,3),IF(I2885="TN",VLOOKUP(AF2885,TNCalibEqFull!$AZ$1:$BB$56,3),FALSE))))</f>
        <v>y=0.1051x2+65.423x-19.469</v>
      </c>
      <c r="AV2885" s="10" t="str">
        <f t="shared" si="331"/>
        <v>0208 11:14:20-ECP-0-FIL-2-SW-DUP</v>
      </c>
    </row>
    <row r="2886" spans="1:48" s="10" customFormat="1" x14ac:dyDescent="0.55000000000000004">
      <c r="A2886" s="32">
        <v>44965</v>
      </c>
      <c r="B2886" s="33">
        <v>0.46828703703703706</v>
      </c>
      <c r="C2886" s="10" t="s">
        <v>618</v>
      </c>
      <c r="D2886" s="10">
        <v>0</v>
      </c>
      <c r="E2886" s="10" t="s">
        <v>911</v>
      </c>
      <c r="F2886" s="10">
        <v>2</v>
      </c>
      <c r="G2886" s="10" t="s">
        <v>231</v>
      </c>
      <c r="H2886" s="10" t="s">
        <v>314</v>
      </c>
      <c r="I2886" s="10" t="s">
        <v>266</v>
      </c>
      <c r="J2886" s="10">
        <v>129</v>
      </c>
      <c r="K2886" s="12">
        <v>44966</v>
      </c>
      <c r="L2886" s="33">
        <v>0.65707175925925931</v>
      </c>
      <c r="M2886" s="10">
        <v>1</v>
      </c>
      <c r="N2886" s="10" t="s">
        <v>84</v>
      </c>
      <c r="O2886" s="10">
        <v>19.2</v>
      </c>
      <c r="P2886" s="10">
        <v>1.35</v>
      </c>
      <c r="Q2886" s="10">
        <v>1270</v>
      </c>
      <c r="R2886" s="10" t="s">
        <v>85</v>
      </c>
      <c r="S2886" s="34">
        <f t="shared" si="328"/>
        <v>1275.3966639999999</v>
      </c>
      <c r="T2886" s="10" t="s">
        <v>1201</v>
      </c>
      <c r="U2886" s="34">
        <f t="shared" si="329"/>
        <v>108.07754759999999</v>
      </c>
      <c r="V2886" s="31">
        <f>IF(H2886="CHK",VLOOKUP(I2886,QCCHK,3,),IF(H2886="GUP",VLOOKUP(E2886,QCGUP,2,),IF(AND(H2886="ATP",OR(I2886="TN",I2886="TDN",I2886="TNO2-3",I2886="NO2-3")),VLOOKUP(E2886,QCREC_N,2,),IF(AND(H2886="NIC",OR(I2886="TN",I2886="TDN",I2886="TNO2-3",I2886="NO2-3")),VLOOKUP(E2886,QCNIC_N,2,),IF(AND(H2886="UREA",OR(I2886="TN",I2886="TDN",I2886="TNO2-3",I2886="NO2-3")),VLOOKUP(E2886,QCUREA_N,2,),IF(H2886="PER",VLOOKUP(I2886,QCPER,MATCH(E2886,QCACTUAL!$J$25:$AA$25,0),),IF(H2886="SPK",VLOOKUP(I2886,QCSPK,3,),IF(AND(H2886="ATP",OR(I2886="TP",I2886="TDP")),VLOOKUP(E2886,QCATP_P,2,),""))))))))</f>
        <v>1000</v>
      </c>
      <c r="W2886" s="31" t="str">
        <f t="shared" si="330"/>
        <v>TRUE</v>
      </c>
      <c r="X2886" s="31" t="str">
        <f t="shared" si="327"/>
        <v>([spikedunkn]-[unkn])/[spike]*100</v>
      </c>
      <c r="Y2886" s="10" t="s">
        <v>1188</v>
      </c>
      <c r="AF2886" s="12">
        <v>44966</v>
      </c>
      <c r="AK2886" s="10">
        <f>0.1051*19.2^2+65.423*19.2-19.469</f>
        <v>1275.3966639999999</v>
      </c>
      <c r="AL2886" s="10" t="str">
        <f t="shared" si="325"/>
        <v>FALSE</v>
      </c>
      <c r="AM2886" s="10" t="str">
        <f t="shared" si="325"/>
        <v>FALSE</v>
      </c>
      <c r="AN2886" s="10" t="str">
        <f t="shared" si="325"/>
        <v>FALSE</v>
      </c>
      <c r="AO2886" s="10" t="str">
        <f t="shared" si="326"/>
        <v>FALSE</v>
      </c>
      <c r="AP2886" s="10" t="str">
        <f t="shared" si="326"/>
        <v>y=0.1051*19.2^2+65.423*19.2-19.469</v>
      </c>
      <c r="AQ2886" s="10" t="b">
        <f>IF(AND(I2886="TP",S2886&lt;=150),VLOOKUP(AF2886,TPCalibEq150!$AZ$2:$BB$55,3,),IF(AND(I2886="TDP",S2886&lt;=150),VLOOKUP(AF2886,TPCalibEq150!$AZ$2:$BB$55,3,)))</f>
        <v>0</v>
      </c>
      <c r="AR2886" s="10" t="b">
        <f>IF(AND(I2886="TP",S2886&lt;=300),VLOOKUP(AF2886,TPCalibEq300!$AZ$2:$BB$55,3,),IF(AND(I2886="TDP",S2886&lt;=300),VLOOKUP(AF2886,TPCalibEq300!$AZ$2:$BB$55,3,)))</f>
        <v>0</v>
      </c>
      <c r="AS2886" s="10" t="b">
        <f>IF(AND(I2886="TP",S2886&lt;=500),VLOOKUP(AF2886,TPCalibEq500!$AZ$2:$BB$56,3,),IF(AND(I2886="TDP",S2886&lt;=500),VLOOKUP(AF2886,TPCalibEq500!$AZ$2:$BB$56,3,)))</f>
        <v>0</v>
      </c>
      <c r="AT2886" s="10" t="b">
        <f>IF(AND(I2886="TN",S2886&lt;=2800),VLOOKUP(AF2886,TNCalibEq2500!$AZ$2:$BB$56,3,),IF(AND(I2886="TDN",S2886&lt;=2800),VLOOKUP(AF2886,TNCalibEq2500!$AZ$2:$BB$56,3,)))</f>
        <v>0</v>
      </c>
      <c r="AU2886" s="10" t="str">
        <f>IF(I2886="TP",VLOOKUP(AF2886,TPCalibEqFull!$AZ$2:$BB$56,3),IF(I2886="TDP",VLOOKUP(AF2886,TPCalibEqFull!$AZ$2:$BB$56,3),IF(I2886="TDN",VLOOKUP(AF2886,TNCalibEqFull!$AZ$1:$BB$56,3),IF(I2886="TN",VLOOKUP(AF2886,TNCalibEqFull!$AZ$1:$BB$56,3),FALSE))))</f>
        <v>y=0.1051x2+65.423x-19.469</v>
      </c>
      <c r="AV2886" s="10" t="str">
        <f t="shared" si="331"/>
        <v>0208 11:14:20-ECP-0-FIL-2-SW-SPK</v>
      </c>
    </row>
    <row r="2887" spans="1:48" s="10" customFormat="1" x14ac:dyDescent="0.55000000000000004">
      <c r="A2887" s="32">
        <v>44966</v>
      </c>
      <c r="B2887" s="33">
        <v>0.375</v>
      </c>
      <c r="C2887" s="10" t="s">
        <v>70</v>
      </c>
      <c r="D2887" s="10" t="s">
        <v>71</v>
      </c>
      <c r="E2887" s="10" t="s">
        <v>901</v>
      </c>
      <c r="F2887" s="10">
        <v>1</v>
      </c>
      <c r="G2887" s="10" t="s">
        <v>73</v>
      </c>
      <c r="H2887" s="10" t="s">
        <v>207</v>
      </c>
      <c r="I2887" s="10" t="s">
        <v>83</v>
      </c>
      <c r="J2887" s="10">
        <v>199</v>
      </c>
      <c r="K2887" s="12">
        <v>44966</v>
      </c>
      <c r="L2887" s="33">
        <v>0.65777777777777779</v>
      </c>
      <c r="M2887" s="10">
        <v>1</v>
      </c>
      <c r="N2887" s="10" t="s">
        <v>84</v>
      </c>
      <c r="O2887" s="10">
        <v>8.17</v>
      </c>
      <c r="P2887" s="10">
        <v>0.58199999999999996</v>
      </c>
      <c r="Q2887" s="10">
        <v>522</v>
      </c>
      <c r="R2887" s="10" t="s">
        <v>85</v>
      </c>
      <c r="S2887" s="34">
        <f t="shared" si="328"/>
        <v>522.05221938999989</v>
      </c>
      <c r="T2887" s="10" t="s">
        <v>1201</v>
      </c>
      <c r="U2887" s="34">
        <f t="shared" si="329"/>
        <v>104.41044387799998</v>
      </c>
      <c r="V2887" s="31">
        <f>IF(H2887="CHK",VLOOKUP(I2887,QCCHK,3,),IF(H2887="GUP",VLOOKUP(E2887,QCGUP,2,),IF(AND(H2887="ATP",OR(I2887="TN",I2887="TDN",I2887="TNO2-3",I2887="NO2-3")),VLOOKUP(E2887,QCREC_N,2,),IF(AND(H2887="NIC",OR(I2887="TN",I2887="TDN",I2887="TNO2-3",I2887="NO2-3")),VLOOKUP(E2887,QCNIC_N,2,),IF(AND(H2887="UREA",OR(I2887="TN",I2887="TDN",I2887="TNO2-3",I2887="NO2-3")),VLOOKUP(E2887,QCUREA_N,2,),IF(H2887="PER",VLOOKUP(I2887,QCPER,MATCH(E2887,QCACTUAL!$J$25:$AA$25,0),),IF(H2887="SPK",VLOOKUP(I2887,QCSPK,3,),IF(AND(H2887="ATP",OR(I2887="TP",I2887="TDP")),VLOOKUP(E2887,QCATP_P,2,),""))))))))</f>
        <v>500</v>
      </c>
      <c r="W2887" s="31" t="str">
        <f t="shared" si="330"/>
        <v>TRUE</v>
      </c>
      <c r="X2887" s="31" t="str">
        <f t="shared" si="327"/>
        <v>[chk]/[actual]*100</v>
      </c>
      <c r="Y2887" s="10" t="s">
        <v>1188</v>
      </c>
      <c r="AF2887" s="12">
        <v>44966</v>
      </c>
      <c r="AK2887" s="10">
        <f>0.1051*8.17^2+65.423*8.17-19.469</f>
        <v>522.05221938999989</v>
      </c>
      <c r="AL2887" s="10" t="str">
        <f t="shared" si="325"/>
        <v>FALSE</v>
      </c>
      <c r="AM2887" s="10" t="str">
        <f t="shared" si="325"/>
        <v>FALSE</v>
      </c>
      <c r="AN2887" s="10" t="str">
        <f t="shared" si="325"/>
        <v>FALSE</v>
      </c>
      <c r="AO2887" s="10" t="str">
        <f t="shared" si="326"/>
        <v>FALSE</v>
      </c>
      <c r="AP2887" s="10" t="str">
        <f t="shared" si="326"/>
        <v>y=0.1051*8.17^2+65.423*8.17-19.469</v>
      </c>
      <c r="AQ2887" s="10" t="b">
        <f>IF(AND(I2887="TP",S2887&lt;=150),VLOOKUP(AF2887,TPCalibEq150!$AZ$2:$BB$55,3,),IF(AND(I2887="TDP",S2887&lt;=150),VLOOKUP(AF2887,TPCalibEq150!$AZ$2:$BB$55,3,)))</f>
        <v>0</v>
      </c>
      <c r="AR2887" s="10" t="b">
        <f>IF(AND(I2887="TP",S2887&lt;=300),VLOOKUP(AF2887,TPCalibEq300!$AZ$2:$BB$55,3,),IF(AND(I2887="TDP",S2887&lt;=300),VLOOKUP(AF2887,TPCalibEq300!$AZ$2:$BB$55,3,)))</f>
        <v>0</v>
      </c>
      <c r="AS2887" s="10" t="b">
        <f>IF(AND(I2887="TP",S2887&lt;=500),VLOOKUP(AF2887,TPCalibEq500!$AZ$2:$BB$56,3,),IF(AND(I2887="TDP",S2887&lt;=500),VLOOKUP(AF2887,TPCalibEq500!$AZ$2:$BB$56,3,)))</f>
        <v>0</v>
      </c>
      <c r="AT2887" s="10" t="b">
        <f>IF(AND(I2887="TN",S2887&lt;=2800),VLOOKUP(AF2887,TNCalibEq2500!$AZ$2:$BB$56,3,),IF(AND(I2887="TDN",S2887&lt;=2800),VLOOKUP(AF2887,TNCalibEq2500!$AZ$2:$BB$56,3,)))</f>
        <v>0</v>
      </c>
      <c r="AU2887" s="10" t="str">
        <f>IF(I2887="TP",VLOOKUP(AF2887,TPCalibEqFull!$AZ$2:$BB$56,3),IF(I2887="TDP",VLOOKUP(AF2887,TPCalibEqFull!$AZ$2:$BB$56,3),IF(I2887="TDN",VLOOKUP(AF2887,TNCalibEqFull!$AZ$1:$BB$56,3),IF(I2887="TN",VLOOKUP(AF2887,TNCalibEqFull!$AZ$1:$BB$56,3),FALSE))))</f>
        <v>y=0.1051x2+65.423x-19.469</v>
      </c>
      <c r="AV2887" s="10" t="str">
        <f t="shared" si="331"/>
        <v>0209 09:00:00-QAC-STD-D-1-DI-CHK</v>
      </c>
    </row>
    <row r="2888" spans="1:48" s="10" customFormat="1" x14ac:dyDescent="0.55000000000000004">
      <c r="A2888" s="32">
        <v>44965</v>
      </c>
      <c r="B2888" s="33">
        <v>0.49027777777777781</v>
      </c>
      <c r="C2888" s="10" t="s">
        <v>618</v>
      </c>
      <c r="D2888" s="10">
        <v>5</v>
      </c>
      <c r="E2888" s="10" t="s">
        <v>911</v>
      </c>
      <c r="F2888" s="10">
        <v>1</v>
      </c>
      <c r="G2888" s="10" t="s">
        <v>231</v>
      </c>
      <c r="H2888" s="10" t="s">
        <v>322</v>
      </c>
      <c r="I2888" s="10" t="s">
        <v>266</v>
      </c>
      <c r="J2888" s="10">
        <v>89</v>
      </c>
      <c r="K2888" s="12">
        <v>44966</v>
      </c>
      <c r="L2888" s="33">
        <v>0.65844907407407405</v>
      </c>
      <c r="M2888" s="10">
        <v>1</v>
      </c>
      <c r="N2888" s="10" t="s">
        <v>84</v>
      </c>
      <c r="O2888" s="10">
        <v>2.94</v>
      </c>
      <c r="P2888" s="10">
        <v>0.20599999999999999</v>
      </c>
      <c r="Q2888" s="10">
        <v>174</v>
      </c>
      <c r="R2888" s="10" t="s">
        <v>85</v>
      </c>
      <c r="S2888" s="34">
        <f t="shared" si="328"/>
        <v>193.89990111999998</v>
      </c>
      <c r="T2888" s="10" t="s">
        <v>1201</v>
      </c>
      <c r="U2888" s="34" t="str">
        <f t="shared" si="329"/>
        <v/>
      </c>
      <c r="V2888" s="31" t="str">
        <f>IF(H2888="CHK",VLOOKUP(I2888,QCCHK,3,),IF(H2888="GUP",VLOOKUP(E2888,QCGUP,2,),IF(AND(H2888="ATP",OR(I2888="TN",I2888="TDN",I2888="TNO2-3",I2888="NO2-3")),VLOOKUP(E2888,QCREC_N,2,),IF(AND(H2888="NIC",OR(I2888="TN",I2888="TDN",I2888="TNO2-3",I2888="NO2-3")),VLOOKUP(E2888,QCNIC_N,2,),IF(AND(H2888="UREA",OR(I2888="TN",I2888="TDN",I2888="TNO2-3",I2888="NO2-3")),VLOOKUP(E2888,QCUREA_N,2,),IF(H2888="PER",VLOOKUP(I2888,QCPER,MATCH(E2888,QCACTUAL!$J$25:$AA$25,0),),IF(H2888="SPK",VLOOKUP(I2888,QCSPK,3,),IF(AND(H2888="ATP",OR(I2888="TP",I2888="TDP")),VLOOKUP(E2888,QCATP_P,2,),""))))))))</f>
        <v/>
      </c>
      <c r="W2888" s="31" t="str">
        <f t="shared" si="330"/>
        <v>TRUE</v>
      </c>
      <c r="X2888" s="31" t="str">
        <f t="shared" si="327"/>
        <v/>
      </c>
      <c r="Y2888" s="10" t="s">
        <v>1188</v>
      </c>
      <c r="AF2888" s="12">
        <v>44966</v>
      </c>
      <c r="AH2888" s="10">
        <f>-2.9408*2.94^2+89.45*2.94-43.664</f>
        <v>193.89990111999998</v>
      </c>
      <c r="AI2888" s="10">
        <f>-1.7314*2.94^2+83.401*2.94-37.87</f>
        <v>192.36341095999998</v>
      </c>
      <c r="AK2888" s="10">
        <f>0.1051*2.94^2+65.423*2.94-19.469</f>
        <v>173.78306236000003</v>
      </c>
      <c r="AL2888" s="10" t="str">
        <f t="shared" si="325"/>
        <v>FALSE</v>
      </c>
      <c r="AM2888" s="10" t="str">
        <f t="shared" si="325"/>
        <v>y=-2.9408*2.94^2+89.45*2.94-43.664</v>
      </c>
      <c r="AN2888" s="10" t="str">
        <f t="shared" si="325"/>
        <v>y=-1.7314*2.94^2+83.401*2.94-37.87</v>
      </c>
      <c r="AO2888" s="10" t="str">
        <f t="shared" si="326"/>
        <v>FALSE</v>
      </c>
      <c r="AP2888" s="10" t="str">
        <f t="shared" si="326"/>
        <v>y=0.1051*2.94^2+65.423*2.94-19.469</v>
      </c>
      <c r="AQ2888" s="10" t="b">
        <f>IF(AND(I2888="TP",S2888&lt;=150),VLOOKUP(AF2888,TPCalibEq150!$AZ$2:$BB$55,3,),IF(AND(I2888="TDP",S2888&lt;=150),VLOOKUP(AF2888,TPCalibEq150!$AZ$2:$BB$55,3,)))</f>
        <v>0</v>
      </c>
      <c r="AR2888" s="10" t="str">
        <f>IF(AND(I2888="TP",S2888&lt;=300),VLOOKUP(AF2888,TPCalibEq300!$AZ$2:$BB$55,3,),IF(AND(I2888="TDP",S2888&lt;=300),VLOOKUP(AF2888,TPCalibEq300!$AZ$2:$BB$55,3,)))</f>
        <v>y=-2.9408x2+89.45x-43.664</v>
      </c>
      <c r="AS2888" s="10" t="str">
        <f>IF(AND(I2888="TP",S2888&lt;=500),VLOOKUP(AF2888,TPCalibEq500!$AZ$2:$BB$56,3,),IF(AND(I2888="TDP",S2888&lt;=500),VLOOKUP(AF2888,TPCalibEq500!$AZ$2:$BB$56,3,)))</f>
        <v>y=-1.7314x2+83.401x-37.87</v>
      </c>
      <c r="AT2888" s="10" t="b">
        <f>IF(AND(I2888="TN",S2888&lt;=2800),VLOOKUP(AF2888,TNCalibEq2500!$AZ$2:$BB$56,3,),IF(AND(I2888="TDN",S2888&lt;=2800),VLOOKUP(AF2888,TNCalibEq2500!$AZ$2:$BB$56,3,)))</f>
        <v>0</v>
      </c>
      <c r="AU2888" s="10" t="str">
        <f>IF(I2888="TP",VLOOKUP(AF2888,TPCalibEqFull!$AZ$2:$BB$56,3),IF(I2888="TDP",VLOOKUP(AF2888,TPCalibEqFull!$AZ$2:$BB$56,3),IF(I2888="TDN",VLOOKUP(AF2888,TNCalibEqFull!$AZ$1:$BB$56,3),IF(I2888="TN",VLOOKUP(AF2888,TNCalibEqFull!$AZ$1:$BB$56,3),FALSE))))</f>
        <v>y=0.1051x2+65.423x-19.469</v>
      </c>
      <c r="AV2888" s="10" t="str">
        <f t="shared" si="331"/>
        <v>0208 11:46:00-ECP-5-FIL-1-SW-UKN</v>
      </c>
    </row>
    <row r="2889" spans="1:48" s="10" customFormat="1" x14ac:dyDescent="0.55000000000000004">
      <c r="A2889" s="32">
        <v>44965</v>
      </c>
      <c r="B2889" s="33">
        <v>0.4927083333333333</v>
      </c>
      <c r="C2889" s="10" t="s">
        <v>618</v>
      </c>
      <c r="D2889" s="10">
        <v>10</v>
      </c>
      <c r="E2889" s="10" t="s">
        <v>911</v>
      </c>
      <c r="F2889" s="10">
        <v>1</v>
      </c>
      <c r="G2889" s="10" t="s">
        <v>231</v>
      </c>
      <c r="H2889" s="10" t="s">
        <v>322</v>
      </c>
      <c r="I2889" s="10" t="s">
        <v>266</v>
      </c>
      <c r="J2889" s="10">
        <v>90</v>
      </c>
      <c r="K2889" s="12">
        <v>44966</v>
      </c>
      <c r="L2889" s="33">
        <v>0.65915509259259253</v>
      </c>
      <c r="M2889" s="10">
        <v>1</v>
      </c>
      <c r="N2889" s="10" t="s">
        <v>84</v>
      </c>
      <c r="O2889" s="10">
        <v>3.16</v>
      </c>
      <c r="P2889" s="10">
        <v>0.223</v>
      </c>
      <c r="Q2889" s="10">
        <v>189</v>
      </c>
      <c r="R2889" s="10" t="s">
        <v>85</v>
      </c>
      <c r="S2889" s="34">
        <f t="shared" si="328"/>
        <v>209.63234752000005</v>
      </c>
      <c r="T2889" s="10" t="s">
        <v>1201</v>
      </c>
      <c r="U2889" s="34" t="str">
        <f t="shared" si="329"/>
        <v/>
      </c>
      <c r="V2889" s="31" t="str">
        <f>IF(H2889="CHK",VLOOKUP(I2889,QCCHK,3,),IF(H2889="GUP",VLOOKUP(E2889,QCGUP,2,),IF(AND(H2889="ATP",OR(I2889="TN",I2889="TDN",I2889="TNO2-3",I2889="NO2-3")),VLOOKUP(E2889,QCREC_N,2,),IF(AND(H2889="NIC",OR(I2889="TN",I2889="TDN",I2889="TNO2-3",I2889="NO2-3")),VLOOKUP(E2889,QCNIC_N,2,),IF(AND(H2889="UREA",OR(I2889="TN",I2889="TDN",I2889="TNO2-3",I2889="NO2-3")),VLOOKUP(E2889,QCUREA_N,2,),IF(H2889="PER",VLOOKUP(I2889,QCPER,MATCH(E2889,QCACTUAL!$J$25:$AA$25,0),),IF(H2889="SPK",VLOOKUP(I2889,QCSPK,3,),IF(AND(H2889="ATP",OR(I2889="TP",I2889="TDP")),VLOOKUP(E2889,QCATP_P,2,),""))))))))</f>
        <v/>
      </c>
      <c r="W2889" s="31" t="str">
        <f t="shared" si="330"/>
        <v>TRUE</v>
      </c>
      <c r="X2889" s="31" t="str">
        <f t="shared" si="327"/>
        <v/>
      </c>
      <c r="Y2889" s="10" t="s">
        <v>1188</v>
      </c>
      <c r="AF2889" s="12">
        <v>44966</v>
      </c>
      <c r="AH2889" s="10">
        <f>-2.9408*3.16^2+89.45*3.16-43.664</f>
        <v>209.63234752000005</v>
      </c>
      <c r="AI2889" s="10">
        <f>-1.7314*3.16^2+83.401*3.16-37.87</f>
        <v>208.38809216000001</v>
      </c>
      <c r="AK2889" s="10">
        <f>0.1051*3.16^2+65.423*3.16-19.469</f>
        <v>188.31716656</v>
      </c>
      <c r="AL2889" s="10" t="str">
        <f t="shared" si="325"/>
        <v>FALSE</v>
      </c>
      <c r="AM2889" s="10" t="str">
        <f t="shared" si="325"/>
        <v>y=-2.9408*3.16^2+89.45*3.16-43.664</v>
      </c>
      <c r="AN2889" s="10" t="str">
        <f t="shared" si="325"/>
        <v>y=-1.7314*3.16^2+83.401*3.16-37.87</v>
      </c>
      <c r="AO2889" s="10" t="str">
        <f t="shared" si="326"/>
        <v>FALSE</v>
      </c>
      <c r="AP2889" s="10" t="str">
        <f t="shared" si="326"/>
        <v>y=0.1051*3.16^2+65.423*3.16-19.469</v>
      </c>
      <c r="AQ2889" s="10" t="b">
        <f>IF(AND(I2889="TP",S2889&lt;=150),VLOOKUP(AF2889,TPCalibEq150!$AZ$2:$BB$55,3,),IF(AND(I2889="TDP",S2889&lt;=150),VLOOKUP(AF2889,TPCalibEq150!$AZ$2:$BB$55,3,)))</f>
        <v>0</v>
      </c>
      <c r="AR2889" s="10" t="str">
        <f>IF(AND(I2889="TP",S2889&lt;=300),VLOOKUP(AF2889,TPCalibEq300!$AZ$2:$BB$55,3,),IF(AND(I2889="TDP",S2889&lt;=300),VLOOKUP(AF2889,TPCalibEq300!$AZ$2:$BB$55,3,)))</f>
        <v>y=-2.9408x2+89.45x-43.664</v>
      </c>
      <c r="AS2889" s="10" t="str">
        <f>IF(AND(I2889="TP",S2889&lt;=500),VLOOKUP(AF2889,TPCalibEq500!$AZ$2:$BB$56,3,),IF(AND(I2889="TDP",S2889&lt;=500),VLOOKUP(AF2889,TPCalibEq500!$AZ$2:$BB$56,3,)))</f>
        <v>y=-1.7314x2+83.401x-37.87</v>
      </c>
      <c r="AT2889" s="10" t="b">
        <f>IF(AND(I2889="TN",S2889&lt;=2800),VLOOKUP(AF2889,TNCalibEq2500!$AZ$2:$BB$56,3,),IF(AND(I2889="TDN",S2889&lt;=2800),VLOOKUP(AF2889,TNCalibEq2500!$AZ$2:$BB$56,3,)))</f>
        <v>0</v>
      </c>
      <c r="AU2889" s="10" t="str">
        <f>IF(I2889="TP",VLOOKUP(AF2889,TPCalibEqFull!$AZ$2:$BB$56,3),IF(I2889="TDP",VLOOKUP(AF2889,TPCalibEqFull!$AZ$2:$BB$56,3),IF(I2889="TDN",VLOOKUP(AF2889,TNCalibEqFull!$AZ$1:$BB$56,3),IF(I2889="TN",VLOOKUP(AF2889,TNCalibEqFull!$AZ$1:$BB$56,3),FALSE))))</f>
        <v>y=0.1051x2+65.423x-19.469</v>
      </c>
      <c r="AV2889" s="10" t="str">
        <f t="shared" si="331"/>
        <v>0208 11:49:30-ECP-10-FIL-1-SW-UKN</v>
      </c>
    </row>
    <row r="2890" spans="1:48" s="10" customFormat="1" x14ac:dyDescent="0.55000000000000004">
      <c r="A2890" s="32">
        <v>44965</v>
      </c>
      <c r="B2890" s="33">
        <v>0.49502314814814818</v>
      </c>
      <c r="C2890" s="10" t="s">
        <v>618</v>
      </c>
      <c r="D2890" s="10">
        <v>20</v>
      </c>
      <c r="E2890" s="10" t="s">
        <v>911</v>
      </c>
      <c r="F2890" s="10">
        <v>1</v>
      </c>
      <c r="G2890" s="10" t="s">
        <v>231</v>
      </c>
      <c r="H2890" s="10" t="s">
        <v>322</v>
      </c>
      <c r="I2890" s="10" t="s">
        <v>266</v>
      </c>
      <c r="J2890" s="10">
        <v>91</v>
      </c>
      <c r="K2890" s="12">
        <v>44966</v>
      </c>
      <c r="L2890" s="33">
        <v>0.65984953703703708</v>
      </c>
      <c r="M2890" s="10">
        <v>1</v>
      </c>
      <c r="N2890" s="10" t="s">
        <v>84</v>
      </c>
      <c r="O2890" s="10">
        <v>3.04</v>
      </c>
      <c r="P2890" s="10">
        <v>0.214</v>
      </c>
      <c r="Q2890" s="10">
        <v>181</v>
      </c>
      <c r="R2890" s="10" t="s">
        <v>85</v>
      </c>
      <c r="S2890" s="34">
        <f t="shared" si="328"/>
        <v>201.08630271999999</v>
      </c>
      <c r="T2890" s="10" t="s">
        <v>1201</v>
      </c>
      <c r="U2890" s="34" t="str">
        <f t="shared" si="329"/>
        <v/>
      </c>
      <c r="V2890" s="31" t="str">
        <f>IF(H2890="CHK",VLOOKUP(I2890,QCCHK,3,),IF(H2890="GUP",VLOOKUP(E2890,QCGUP,2,),IF(AND(H2890="ATP",OR(I2890="TN",I2890="TDN",I2890="TNO2-3",I2890="NO2-3")),VLOOKUP(E2890,QCREC_N,2,),IF(AND(H2890="NIC",OR(I2890="TN",I2890="TDN",I2890="TNO2-3",I2890="NO2-3")),VLOOKUP(E2890,QCNIC_N,2,),IF(AND(H2890="UREA",OR(I2890="TN",I2890="TDN",I2890="TNO2-3",I2890="NO2-3")),VLOOKUP(E2890,QCUREA_N,2,),IF(H2890="PER",VLOOKUP(I2890,QCPER,MATCH(E2890,QCACTUAL!$J$25:$AA$25,0),),IF(H2890="SPK",VLOOKUP(I2890,QCSPK,3,),IF(AND(H2890="ATP",OR(I2890="TP",I2890="TDP")),VLOOKUP(E2890,QCATP_P,2,),""))))))))</f>
        <v/>
      </c>
      <c r="W2890" s="31" t="str">
        <f t="shared" si="330"/>
        <v>TRUE</v>
      </c>
      <c r="X2890" s="31" t="str">
        <f t="shared" si="327"/>
        <v/>
      </c>
      <c r="Y2890" s="10" t="s">
        <v>1188</v>
      </c>
      <c r="AF2890" s="12">
        <v>44966</v>
      </c>
      <c r="AH2890" s="10">
        <f>-2.9408*3.04^2+89.45*3.04-43.664</f>
        <v>201.08630271999999</v>
      </c>
      <c r="AI2890" s="10">
        <f>-1.7314*3.04^2+83.401*3.04-37.87</f>
        <v>199.66813375999999</v>
      </c>
      <c r="AK2890" s="10">
        <f>0.1051*3.04^2+65.423*3.04-19.469</f>
        <v>180.38821215999999</v>
      </c>
      <c r="AL2890" s="10" t="str">
        <f t="shared" si="325"/>
        <v>FALSE</v>
      </c>
      <c r="AM2890" s="10" t="str">
        <f t="shared" si="325"/>
        <v>y=-2.9408*3.04^2+89.45*3.04-43.664</v>
      </c>
      <c r="AN2890" s="10" t="str">
        <f t="shared" si="325"/>
        <v>y=-1.7314*3.04^2+83.401*3.04-37.87</v>
      </c>
      <c r="AO2890" s="10" t="str">
        <f t="shared" si="326"/>
        <v>FALSE</v>
      </c>
      <c r="AP2890" s="10" t="str">
        <f t="shared" si="326"/>
        <v>y=0.1051*3.04^2+65.423*3.04-19.469</v>
      </c>
      <c r="AQ2890" s="10" t="b">
        <f>IF(AND(I2890="TP",S2890&lt;=150),VLOOKUP(AF2890,TPCalibEq150!$AZ$2:$BB$55,3,),IF(AND(I2890="TDP",S2890&lt;=150),VLOOKUP(AF2890,TPCalibEq150!$AZ$2:$BB$55,3,)))</f>
        <v>0</v>
      </c>
      <c r="AR2890" s="10" t="str">
        <f>IF(AND(I2890="TP",S2890&lt;=300),VLOOKUP(AF2890,TPCalibEq300!$AZ$2:$BB$55,3,),IF(AND(I2890="TDP",S2890&lt;=300),VLOOKUP(AF2890,TPCalibEq300!$AZ$2:$BB$55,3,)))</f>
        <v>y=-2.9408x2+89.45x-43.664</v>
      </c>
      <c r="AS2890" s="10" t="str">
        <f>IF(AND(I2890="TP",S2890&lt;=500),VLOOKUP(AF2890,TPCalibEq500!$AZ$2:$BB$56,3,),IF(AND(I2890="TDP",S2890&lt;=500),VLOOKUP(AF2890,TPCalibEq500!$AZ$2:$BB$56,3,)))</f>
        <v>y=-1.7314x2+83.401x-37.87</v>
      </c>
      <c r="AT2890" s="10" t="b">
        <f>IF(AND(I2890="TN",S2890&lt;=2800),VLOOKUP(AF2890,TNCalibEq2500!$AZ$2:$BB$56,3,),IF(AND(I2890="TDN",S2890&lt;=2800),VLOOKUP(AF2890,TNCalibEq2500!$AZ$2:$BB$56,3,)))</f>
        <v>0</v>
      </c>
      <c r="AU2890" s="10" t="str">
        <f>IF(I2890="TP",VLOOKUP(AF2890,TPCalibEqFull!$AZ$2:$BB$56,3),IF(I2890="TDP",VLOOKUP(AF2890,TPCalibEqFull!$AZ$2:$BB$56,3),IF(I2890="TDN",VLOOKUP(AF2890,TNCalibEqFull!$AZ$1:$BB$56,3),IF(I2890="TN",VLOOKUP(AF2890,TNCalibEqFull!$AZ$1:$BB$56,3),FALSE))))</f>
        <v>y=0.1051x2+65.423x-19.469</v>
      </c>
      <c r="AV2890" s="10" t="str">
        <f t="shared" si="331"/>
        <v>0208 11:52:50-ECP-20-FIL-1-SW-UKN</v>
      </c>
    </row>
    <row r="2891" spans="1:48" s="10" customFormat="1" x14ac:dyDescent="0.55000000000000004">
      <c r="A2891" s="32">
        <v>44965</v>
      </c>
      <c r="B2891" s="33">
        <v>0.49745370370370368</v>
      </c>
      <c r="C2891" s="10" t="s">
        <v>618</v>
      </c>
      <c r="D2891" s="10">
        <v>33</v>
      </c>
      <c r="E2891" s="10" t="s">
        <v>911</v>
      </c>
      <c r="F2891" s="10">
        <v>1</v>
      </c>
      <c r="G2891" s="10" t="s">
        <v>231</v>
      </c>
      <c r="H2891" s="10" t="s">
        <v>322</v>
      </c>
      <c r="I2891" s="10" t="s">
        <v>266</v>
      </c>
      <c r="J2891" s="10">
        <v>92</v>
      </c>
      <c r="K2891" s="12">
        <v>44966</v>
      </c>
      <c r="L2891" s="33">
        <v>0.66055555555555556</v>
      </c>
      <c r="M2891" s="10">
        <v>1</v>
      </c>
      <c r="N2891" s="10" t="s">
        <v>84</v>
      </c>
      <c r="O2891" s="10">
        <v>2.4500000000000002</v>
      </c>
      <c r="P2891" s="10">
        <v>0.17</v>
      </c>
      <c r="Q2891" s="10">
        <v>142</v>
      </c>
      <c r="R2891" s="10" t="s">
        <v>85</v>
      </c>
      <c r="S2891" s="34">
        <f t="shared" si="328"/>
        <v>157.83634800000004</v>
      </c>
      <c r="T2891" s="10" t="s">
        <v>1201</v>
      </c>
      <c r="U2891" s="34" t="str">
        <f t="shared" si="329"/>
        <v/>
      </c>
      <c r="V2891" s="31" t="str">
        <f>IF(H2891="CHK",VLOOKUP(I2891,QCCHK,3,),IF(H2891="GUP",VLOOKUP(E2891,QCGUP,2,),IF(AND(H2891="ATP",OR(I2891="TN",I2891="TDN",I2891="TNO2-3",I2891="NO2-3")),VLOOKUP(E2891,QCREC_N,2,),IF(AND(H2891="NIC",OR(I2891="TN",I2891="TDN",I2891="TNO2-3",I2891="NO2-3")),VLOOKUP(E2891,QCNIC_N,2,),IF(AND(H2891="UREA",OR(I2891="TN",I2891="TDN",I2891="TNO2-3",I2891="NO2-3")),VLOOKUP(E2891,QCUREA_N,2,),IF(H2891="PER",VLOOKUP(I2891,QCPER,MATCH(E2891,QCACTUAL!$J$25:$AA$25,0),),IF(H2891="SPK",VLOOKUP(I2891,QCSPK,3,),IF(AND(H2891="ATP",OR(I2891="TP",I2891="TDP")),VLOOKUP(E2891,QCATP_P,2,),""))))))))</f>
        <v/>
      </c>
      <c r="W2891" s="31" t="str">
        <f t="shared" si="330"/>
        <v>TRUE</v>
      </c>
      <c r="X2891" s="31" t="str">
        <f t="shared" si="327"/>
        <v/>
      </c>
      <c r="Y2891" s="10" t="s">
        <v>1188</v>
      </c>
      <c r="AF2891" s="12">
        <v>44966</v>
      </c>
      <c r="AG2891" s="10">
        <f>-11.204*2.45^2+113.68*2.45-55.283</f>
        <v>155.98099000000002</v>
      </c>
      <c r="AH2891" s="10">
        <f>-2.9408*2.45^2+89.45*2.45-43.664</f>
        <v>157.83634800000004</v>
      </c>
      <c r="AI2891" s="10">
        <f>-1.7314*2.45^2+83.401*2.45-37.87</f>
        <v>156.06972149999999</v>
      </c>
      <c r="AK2891" s="10">
        <f>0.1051*2.45^2+65.423*2.45-19.469</f>
        <v>141.44821275000004</v>
      </c>
      <c r="AL2891" s="10" t="str">
        <f t="shared" si="325"/>
        <v>FALSE</v>
      </c>
      <c r="AM2891" s="10" t="str">
        <f t="shared" si="325"/>
        <v>y=-2.9408*2.45^2+89.45*2.45-43.664</v>
      </c>
      <c r="AN2891" s="10" t="str">
        <f t="shared" si="325"/>
        <v>y=-1.7314*2.45^2+83.401*2.45-37.87</v>
      </c>
      <c r="AO2891" s="10" t="str">
        <f t="shared" si="326"/>
        <v>FALSE</v>
      </c>
      <c r="AP2891" s="10" t="str">
        <f t="shared" si="326"/>
        <v>y=0.1051*2.45^2+65.423*2.45-19.469</v>
      </c>
      <c r="AQ2891" s="10" t="b">
        <f>IF(AND(I2891="TP",S2891&lt;=150),VLOOKUP(AF2891,TPCalibEq150!$AZ$2:$BB$55,3,),IF(AND(I2891="TDP",S2891&lt;=150),VLOOKUP(AF2891,TPCalibEq150!$AZ$2:$BB$55,3,)))</f>
        <v>0</v>
      </c>
      <c r="AR2891" s="10" t="str">
        <f>IF(AND(I2891="TP",S2891&lt;=300),VLOOKUP(AF2891,TPCalibEq300!$AZ$2:$BB$55,3,),IF(AND(I2891="TDP",S2891&lt;=300),VLOOKUP(AF2891,TPCalibEq300!$AZ$2:$BB$55,3,)))</f>
        <v>y=-2.9408x2+89.45x-43.664</v>
      </c>
      <c r="AS2891" s="10" t="str">
        <f>IF(AND(I2891="TP",S2891&lt;=500),VLOOKUP(AF2891,TPCalibEq500!$AZ$2:$BB$56,3,),IF(AND(I2891="TDP",S2891&lt;=500),VLOOKUP(AF2891,TPCalibEq500!$AZ$2:$BB$56,3,)))</f>
        <v>y=-1.7314x2+83.401x-37.87</v>
      </c>
      <c r="AT2891" s="10" t="b">
        <f>IF(AND(I2891="TN",S2891&lt;=2800),VLOOKUP(AF2891,TNCalibEq2500!$AZ$2:$BB$56,3,),IF(AND(I2891="TDN",S2891&lt;=2800),VLOOKUP(AF2891,TNCalibEq2500!$AZ$2:$BB$56,3,)))</f>
        <v>0</v>
      </c>
      <c r="AU2891" s="10" t="str">
        <f>IF(I2891="TP",VLOOKUP(AF2891,TPCalibEqFull!$AZ$2:$BB$56,3),IF(I2891="TDP",VLOOKUP(AF2891,TPCalibEqFull!$AZ$2:$BB$56,3),IF(I2891="TDN",VLOOKUP(AF2891,TNCalibEqFull!$AZ$1:$BB$56,3),IF(I2891="TN",VLOOKUP(AF2891,TNCalibEqFull!$AZ$1:$BB$56,3),FALSE))))</f>
        <v>y=0.1051x2+65.423x-19.469</v>
      </c>
      <c r="AV2891" s="10" t="str">
        <f t="shared" si="331"/>
        <v>0208 11:56:20-ECP-33-FIL-1-SW-UKN</v>
      </c>
    </row>
    <row r="2892" spans="1:48" s="10" customFormat="1" x14ac:dyDescent="0.55000000000000004">
      <c r="A2892" s="32">
        <v>44965</v>
      </c>
      <c r="B2892" s="33">
        <v>0.50439814814814821</v>
      </c>
      <c r="C2892" s="10" t="s">
        <v>661</v>
      </c>
      <c r="D2892" s="10">
        <v>0</v>
      </c>
      <c r="E2892" s="10" t="s">
        <v>911</v>
      </c>
      <c r="F2892" s="10">
        <v>1</v>
      </c>
      <c r="G2892" s="10" t="s">
        <v>231</v>
      </c>
      <c r="H2892" s="10" t="s">
        <v>322</v>
      </c>
      <c r="I2892" s="10" t="s">
        <v>266</v>
      </c>
      <c r="J2892" s="10">
        <v>93</v>
      </c>
      <c r="K2892" s="12">
        <v>44966</v>
      </c>
      <c r="L2892" s="33">
        <v>0.66126157407407404</v>
      </c>
      <c r="M2892" s="10">
        <v>1</v>
      </c>
      <c r="N2892" s="10" t="s">
        <v>84</v>
      </c>
      <c r="O2892" s="10">
        <v>3.21</v>
      </c>
      <c r="P2892" s="10">
        <v>0.22600000000000001</v>
      </c>
      <c r="Q2892" s="10">
        <v>192</v>
      </c>
      <c r="R2892" s="10" t="s">
        <v>85</v>
      </c>
      <c r="S2892" s="34">
        <f t="shared" si="328"/>
        <v>213.16820272000001</v>
      </c>
      <c r="T2892" s="10" t="s">
        <v>1201</v>
      </c>
      <c r="U2892" s="34" t="str">
        <f t="shared" si="329"/>
        <v/>
      </c>
      <c r="V2892" s="31" t="str">
        <f>IF(H2892="CHK",VLOOKUP(I2892,QCCHK,3,),IF(H2892="GUP",VLOOKUP(E2892,QCGUP,2,),IF(AND(H2892="ATP",OR(I2892="TN",I2892="TDN",I2892="TNO2-3",I2892="NO2-3")),VLOOKUP(E2892,QCREC_N,2,),IF(AND(H2892="NIC",OR(I2892="TN",I2892="TDN",I2892="TNO2-3",I2892="NO2-3")),VLOOKUP(E2892,QCNIC_N,2,),IF(AND(H2892="UREA",OR(I2892="TN",I2892="TDN",I2892="TNO2-3",I2892="NO2-3")),VLOOKUP(E2892,QCUREA_N,2,),IF(H2892="PER",VLOOKUP(I2892,QCPER,MATCH(E2892,QCACTUAL!$J$25:$AA$25,0),),IF(H2892="SPK",VLOOKUP(I2892,QCSPK,3,),IF(AND(H2892="ATP",OR(I2892="TP",I2892="TDP")),VLOOKUP(E2892,QCATP_P,2,),""))))))))</f>
        <v/>
      </c>
      <c r="W2892" s="31" t="str">
        <f t="shared" si="330"/>
        <v>TRUE</v>
      </c>
      <c r="X2892" s="31" t="str">
        <f t="shared" si="327"/>
        <v/>
      </c>
      <c r="Y2892" s="10" t="s">
        <v>1188</v>
      </c>
      <c r="AF2892" s="12">
        <v>44966</v>
      </c>
      <c r="AH2892" s="10">
        <f>-2.9408*3.21^2+89.45*3.21-43.664</f>
        <v>213.16820272000001</v>
      </c>
      <c r="AI2892" s="10">
        <f>-1.7314*3.21^2+83.401*3.21-37.87</f>
        <v>212.00669125999997</v>
      </c>
      <c r="AK2892" s="10">
        <f>0.1051*3.21^2+65.423*3.21-19.469</f>
        <v>191.62179091000002</v>
      </c>
      <c r="AL2892" s="10" t="str">
        <f t="shared" si="325"/>
        <v>FALSE</v>
      </c>
      <c r="AM2892" s="10" t="str">
        <f t="shared" si="325"/>
        <v>y=-2.9408*3.21^2+89.45*3.21-43.664</v>
      </c>
      <c r="AN2892" s="10" t="str">
        <f t="shared" si="325"/>
        <v>y=-1.7314*3.21^2+83.401*3.21-37.87</v>
      </c>
      <c r="AO2892" s="10" t="str">
        <f t="shared" si="326"/>
        <v>FALSE</v>
      </c>
      <c r="AP2892" s="10" t="str">
        <f t="shared" si="326"/>
        <v>y=0.1051*3.21^2+65.423*3.21-19.469</v>
      </c>
      <c r="AQ2892" s="10" t="b">
        <f>IF(AND(I2892="TP",S2892&lt;=150),VLOOKUP(AF2892,TPCalibEq150!$AZ$2:$BB$55,3,),IF(AND(I2892="TDP",S2892&lt;=150),VLOOKUP(AF2892,TPCalibEq150!$AZ$2:$BB$55,3,)))</f>
        <v>0</v>
      </c>
      <c r="AR2892" s="10" t="str">
        <f>IF(AND(I2892="TP",S2892&lt;=300),VLOOKUP(AF2892,TPCalibEq300!$AZ$2:$BB$55,3,),IF(AND(I2892="TDP",S2892&lt;=300),VLOOKUP(AF2892,TPCalibEq300!$AZ$2:$BB$55,3,)))</f>
        <v>y=-2.9408x2+89.45x-43.664</v>
      </c>
      <c r="AS2892" s="10" t="str">
        <f>IF(AND(I2892="TP",S2892&lt;=500),VLOOKUP(AF2892,TPCalibEq500!$AZ$2:$BB$56,3,),IF(AND(I2892="TDP",S2892&lt;=500),VLOOKUP(AF2892,TPCalibEq500!$AZ$2:$BB$56,3,)))</f>
        <v>y=-1.7314x2+83.401x-37.87</v>
      </c>
      <c r="AT2892" s="10" t="b">
        <f>IF(AND(I2892="TN",S2892&lt;=2800),VLOOKUP(AF2892,TNCalibEq2500!$AZ$2:$BB$56,3,),IF(AND(I2892="TDN",S2892&lt;=2800),VLOOKUP(AF2892,TNCalibEq2500!$AZ$2:$BB$56,3,)))</f>
        <v>0</v>
      </c>
      <c r="AU2892" s="10" t="str">
        <f>IF(I2892="TP",VLOOKUP(AF2892,TPCalibEqFull!$AZ$2:$BB$56,3),IF(I2892="TDP",VLOOKUP(AF2892,TPCalibEqFull!$AZ$2:$BB$56,3),IF(I2892="TDN",VLOOKUP(AF2892,TNCalibEqFull!$AZ$1:$BB$56,3),IF(I2892="TN",VLOOKUP(AF2892,TNCalibEqFull!$AZ$1:$BB$56,3),FALSE))))</f>
        <v>y=0.1051x2+65.423x-19.469</v>
      </c>
      <c r="AV2892" s="10" t="str">
        <f t="shared" si="331"/>
        <v>0208 12:06:20-ENN-0-FIL-1-SW-UKN</v>
      </c>
    </row>
    <row r="2893" spans="1:48" s="10" customFormat="1" x14ac:dyDescent="0.55000000000000004">
      <c r="A2893" s="32">
        <v>44965</v>
      </c>
      <c r="B2893" s="33">
        <v>0.50706018518518514</v>
      </c>
      <c r="C2893" s="10" t="s">
        <v>661</v>
      </c>
      <c r="D2893" s="10">
        <v>5</v>
      </c>
      <c r="E2893" s="10" t="s">
        <v>911</v>
      </c>
      <c r="F2893" s="10">
        <v>1</v>
      </c>
      <c r="G2893" s="10" t="s">
        <v>231</v>
      </c>
      <c r="H2893" s="10" t="s">
        <v>322</v>
      </c>
      <c r="I2893" s="10" t="s">
        <v>266</v>
      </c>
      <c r="J2893" s="10">
        <v>94</v>
      </c>
      <c r="K2893" s="12">
        <v>44966</v>
      </c>
      <c r="L2893" s="33">
        <v>0.66195601851851849</v>
      </c>
      <c r="M2893" s="10">
        <v>1</v>
      </c>
      <c r="N2893" s="10" t="s">
        <v>84</v>
      </c>
      <c r="O2893" s="10">
        <v>3.39</v>
      </c>
      <c r="P2893" s="10">
        <v>0.23899999999999999</v>
      </c>
      <c r="Q2893" s="10">
        <v>204</v>
      </c>
      <c r="R2893" s="10" t="s">
        <v>85</v>
      </c>
      <c r="S2893" s="34">
        <f t="shared" si="328"/>
        <v>225.77553232000002</v>
      </c>
      <c r="T2893" s="10" t="s">
        <v>1201</v>
      </c>
      <c r="U2893" s="34" t="str">
        <f t="shared" si="329"/>
        <v/>
      </c>
      <c r="V2893" s="31" t="str">
        <f>IF(H2893="CHK",VLOOKUP(I2893,QCCHK,3,),IF(H2893="GUP",VLOOKUP(E2893,QCGUP,2,),IF(AND(H2893="ATP",OR(I2893="TN",I2893="TDN",I2893="TNO2-3",I2893="NO2-3")),VLOOKUP(E2893,QCREC_N,2,),IF(AND(H2893="NIC",OR(I2893="TN",I2893="TDN",I2893="TNO2-3",I2893="NO2-3")),VLOOKUP(E2893,QCNIC_N,2,),IF(AND(H2893="UREA",OR(I2893="TN",I2893="TDN",I2893="TNO2-3",I2893="NO2-3")),VLOOKUP(E2893,QCUREA_N,2,),IF(H2893="PER",VLOOKUP(I2893,QCPER,MATCH(E2893,QCACTUAL!$J$25:$AA$25,0),),IF(H2893="SPK",VLOOKUP(I2893,QCSPK,3,),IF(AND(H2893="ATP",OR(I2893="TP",I2893="TDP")),VLOOKUP(E2893,QCATP_P,2,),""))))))))</f>
        <v/>
      </c>
      <c r="W2893" s="31" t="str">
        <f t="shared" si="330"/>
        <v>TRUE</v>
      </c>
      <c r="X2893" s="31" t="str">
        <f t="shared" si="327"/>
        <v/>
      </c>
      <c r="Y2893" s="10" t="s">
        <v>1188</v>
      </c>
      <c r="AF2893" s="12">
        <v>44966</v>
      </c>
      <c r="AH2893" s="10">
        <f>-2.9408*3.39^2+89.45*3.39-43.664</f>
        <v>225.77553232000002</v>
      </c>
      <c r="AI2893" s="10">
        <f>-1.7314*3.39^2+83.401*3.39-37.87</f>
        <v>224.96196806</v>
      </c>
      <c r="AK2893" s="10">
        <f>0.1051*3.39^2+65.423*3.39-19.469</f>
        <v>203.52278971000001</v>
      </c>
      <c r="AL2893" s="10" t="str">
        <f t="shared" si="325"/>
        <v>FALSE</v>
      </c>
      <c r="AM2893" s="10" t="str">
        <f t="shared" si="325"/>
        <v>y=-2.9408*3.39^2+89.45*3.39-43.664</v>
      </c>
      <c r="AN2893" s="10" t="str">
        <f t="shared" si="325"/>
        <v>y=-1.7314*3.39^2+83.401*3.39-37.87</v>
      </c>
      <c r="AO2893" s="10" t="str">
        <f t="shared" si="326"/>
        <v>FALSE</v>
      </c>
      <c r="AP2893" s="10" t="str">
        <f t="shared" si="326"/>
        <v>y=0.1051*3.39^2+65.423*3.39-19.469</v>
      </c>
      <c r="AQ2893" s="10" t="b">
        <f>IF(AND(I2893="TP",S2893&lt;=150),VLOOKUP(AF2893,TPCalibEq150!$AZ$2:$BB$55,3,),IF(AND(I2893="TDP",S2893&lt;=150),VLOOKUP(AF2893,TPCalibEq150!$AZ$2:$BB$55,3,)))</f>
        <v>0</v>
      </c>
      <c r="AR2893" s="10" t="str">
        <f>IF(AND(I2893="TP",S2893&lt;=300),VLOOKUP(AF2893,TPCalibEq300!$AZ$2:$BB$55,3,),IF(AND(I2893="TDP",S2893&lt;=300),VLOOKUP(AF2893,TPCalibEq300!$AZ$2:$BB$55,3,)))</f>
        <v>y=-2.9408x2+89.45x-43.664</v>
      </c>
      <c r="AS2893" s="10" t="str">
        <f>IF(AND(I2893="TP",S2893&lt;=500),VLOOKUP(AF2893,TPCalibEq500!$AZ$2:$BB$56,3,),IF(AND(I2893="TDP",S2893&lt;=500),VLOOKUP(AF2893,TPCalibEq500!$AZ$2:$BB$56,3,)))</f>
        <v>y=-1.7314x2+83.401x-37.87</v>
      </c>
      <c r="AT2893" s="10" t="b">
        <f>IF(AND(I2893="TN",S2893&lt;=2800),VLOOKUP(AF2893,TNCalibEq2500!$AZ$2:$BB$56,3,),IF(AND(I2893="TDN",S2893&lt;=2800),VLOOKUP(AF2893,TNCalibEq2500!$AZ$2:$BB$56,3,)))</f>
        <v>0</v>
      </c>
      <c r="AU2893" s="10" t="str">
        <f>IF(I2893="TP",VLOOKUP(AF2893,TPCalibEqFull!$AZ$2:$BB$56,3),IF(I2893="TDP",VLOOKUP(AF2893,TPCalibEqFull!$AZ$2:$BB$56,3),IF(I2893="TDN",VLOOKUP(AF2893,TNCalibEqFull!$AZ$1:$BB$56,3),IF(I2893="TN",VLOOKUP(AF2893,TNCalibEqFull!$AZ$1:$BB$56,3),FALSE))))</f>
        <v>y=0.1051x2+65.423x-19.469</v>
      </c>
      <c r="AV2893" s="10" t="str">
        <f t="shared" si="331"/>
        <v>0208 12:10:10-ENN-5-FIL-1-SW-UKN</v>
      </c>
    </row>
    <row r="2894" spans="1:48" s="10" customFormat="1" x14ac:dyDescent="0.55000000000000004">
      <c r="A2894" s="32">
        <v>44965</v>
      </c>
      <c r="B2894" s="33">
        <v>0.50949074074074074</v>
      </c>
      <c r="C2894" s="10" t="s">
        <v>661</v>
      </c>
      <c r="D2894" s="10">
        <v>10</v>
      </c>
      <c r="E2894" s="10" t="s">
        <v>911</v>
      </c>
      <c r="F2894" s="10">
        <v>1</v>
      </c>
      <c r="G2894" s="10" t="s">
        <v>231</v>
      </c>
      <c r="H2894" s="10" t="s">
        <v>322</v>
      </c>
      <c r="I2894" s="10" t="s">
        <v>266</v>
      </c>
      <c r="J2894" s="10">
        <v>95</v>
      </c>
      <c r="K2894" s="12">
        <v>44966</v>
      </c>
      <c r="L2894" s="33">
        <v>0.66265046296296293</v>
      </c>
      <c r="M2894" s="10">
        <v>1</v>
      </c>
      <c r="N2894" s="10" t="s">
        <v>84</v>
      </c>
      <c r="O2894" s="10">
        <v>2.86</v>
      </c>
      <c r="P2894" s="10">
        <v>0.2</v>
      </c>
      <c r="Q2894" s="10">
        <v>169</v>
      </c>
      <c r="R2894" s="10" t="s">
        <v>85</v>
      </c>
      <c r="S2894" s="34">
        <f t="shared" si="328"/>
        <v>188.10843232000002</v>
      </c>
      <c r="T2894" s="10" t="s">
        <v>1201</v>
      </c>
      <c r="U2894" s="34" t="str">
        <f t="shared" si="329"/>
        <v/>
      </c>
      <c r="V2894" s="31" t="str">
        <f>IF(H2894="CHK",VLOOKUP(I2894,QCCHK,3,),IF(H2894="GUP",VLOOKUP(E2894,QCGUP,2,),IF(AND(H2894="ATP",OR(I2894="TN",I2894="TDN",I2894="TNO2-3",I2894="NO2-3")),VLOOKUP(E2894,QCREC_N,2,),IF(AND(H2894="NIC",OR(I2894="TN",I2894="TDN",I2894="TNO2-3",I2894="NO2-3")),VLOOKUP(E2894,QCNIC_N,2,),IF(AND(H2894="UREA",OR(I2894="TN",I2894="TDN",I2894="TNO2-3",I2894="NO2-3")),VLOOKUP(E2894,QCUREA_N,2,),IF(H2894="PER",VLOOKUP(I2894,QCPER,MATCH(E2894,QCACTUAL!$J$25:$AA$25,0),),IF(H2894="SPK",VLOOKUP(I2894,QCSPK,3,),IF(AND(H2894="ATP",OR(I2894="TP",I2894="TDP")),VLOOKUP(E2894,QCATP_P,2,),""))))))))</f>
        <v/>
      </c>
      <c r="W2894" s="31" t="str">
        <f t="shared" si="330"/>
        <v>TRUE</v>
      </c>
      <c r="X2894" s="31" t="str">
        <f t="shared" si="327"/>
        <v/>
      </c>
      <c r="Y2894" s="10" t="s">
        <v>1188</v>
      </c>
      <c r="AF2894" s="12">
        <v>44966</v>
      </c>
      <c r="AH2894" s="10">
        <f>-2.9408*2.86^2+89.45*2.86-43.664</f>
        <v>188.10843232000002</v>
      </c>
      <c r="AI2894" s="10">
        <f>-1.7314*2.86^2+83.401*2.86-37.87</f>
        <v>186.49470055999996</v>
      </c>
      <c r="AK2894" s="10">
        <f>0.1051*2.86^2+65.423*2.86-19.469</f>
        <v>168.50045596000001</v>
      </c>
      <c r="AL2894" s="10" t="str">
        <f t="shared" si="325"/>
        <v>FALSE</v>
      </c>
      <c r="AM2894" s="10" t="str">
        <f t="shared" si="325"/>
        <v>y=-2.9408*2.86^2+89.45*2.86-43.664</v>
      </c>
      <c r="AN2894" s="10" t="str">
        <f t="shared" si="325"/>
        <v>y=-1.7314*2.86^2+83.401*2.86-37.87</v>
      </c>
      <c r="AO2894" s="10" t="str">
        <f t="shared" si="326"/>
        <v>FALSE</v>
      </c>
      <c r="AP2894" s="10" t="str">
        <f t="shared" si="326"/>
        <v>y=0.1051*2.86^2+65.423*2.86-19.469</v>
      </c>
      <c r="AQ2894" s="10" t="b">
        <f>IF(AND(I2894="TP",S2894&lt;=150),VLOOKUP(AF2894,TPCalibEq150!$AZ$2:$BB$55,3,),IF(AND(I2894="TDP",S2894&lt;=150),VLOOKUP(AF2894,TPCalibEq150!$AZ$2:$BB$55,3,)))</f>
        <v>0</v>
      </c>
      <c r="AR2894" s="10" t="str">
        <f>IF(AND(I2894="TP",S2894&lt;=300),VLOOKUP(AF2894,TPCalibEq300!$AZ$2:$BB$55,3,),IF(AND(I2894="TDP",S2894&lt;=300),VLOOKUP(AF2894,TPCalibEq300!$AZ$2:$BB$55,3,)))</f>
        <v>y=-2.9408x2+89.45x-43.664</v>
      </c>
      <c r="AS2894" s="10" t="str">
        <f>IF(AND(I2894="TP",S2894&lt;=500),VLOOKUP(AF2894,TPCalibEq500!$AZ$2:$BB$56,3,),IF(AND(I2894="TDP",S2894&lt;=500),VLOOKUP(AF2894,TPCalibEq500!$AZ$2:$BB$56,3,)))</f>
        <v>y=-1.7314x2+83.401x-37.87</v>
      </c>
      <c r="AT2894" s="10" t="b">
        <f>IF(AND(I2894="TN",S2894&lt;=2800),VLOOKUP(AF2894,TNCalibEq2500!$AZ$2:$BB$56,3,),IF(AND(I2894="TDN",S2894&lt;=2800),VLOOKUP(AF2894,TNCalibEq2500!$AZ$2:$BB$56,3,)))</f>
        <v>0</v>
      </c>
      <c r="AU2894" s="10" t="str">
        <f>IF(I2894="TP",VLOOKUP(AF2894,TPCalibEqFull!$AZ$2:$BB$56,3),IF(I2894="TDP",VLOOKUP(AF2894,TPCalibEqFull!$AZ$2:$BB$56,3),IF(I2894="TDN",VLOOKUP(AF2894,TNCalibEqFull!$AZ$1:$BB$56,3),IF(I2894="TN",VLOOKUP(AF2894,TNCalibEqFull!$AZ$1:$BB$56,3),FALSE))))</f>
        <v>y=0.1051x2+65.423x-19.469</v>
      </c>
      <c r="AV2894" s="10" t="str">
        <f t="shared" si="331"/>
        <v>0208 12:13:40-ENN-10-FIL-1-SW-UKN</v>
      </c>
    </row>
    <row r="2895" spans="1:48" s="10" customFormat="1" x14ac:dyDescent="0.55000000000000004">
      <c r="A2895" s="32">
        <v>44965</v>
      </c>
      <c r="B2895" s="33">
        <v>0.51180555555555551</v>
      </c>
      <c r="C2895" s="10" t="s">
        <v>661</v>
      </c>
      <c r="D2895" s="10">
        <v>20</v>
      </c>
      <c r="E2895" s="10" t="s">
        <v>911</v>
      </c>
      <c r="F2895" s="10">
        <v>1</v>
      </c>
      <c r="G2895" s="10" t="s">
        <v>231</v>
      </c>
      <c r="H2895" s="10" t="s">
        <v>322</v>
      </c>
      <c r="I2895" s="10" t="s">
        <v>266</v>
      </c>
      <c r="J2895" s="10">
        <v>96</v>
      </c>
      <c r="K2895" s="12">
        <v>44966</v>
      </c>
      <c r="L2895" s="33">
        <v>0.66335648148148152</v>
      </c>
      <c r="M2895" s="10">
        <v>1</v>
      </c>
      <c r="N2895" s="10" t="s">
        <v>84</v>
      </c>
      <c r="O2895" s="10">
        <v>3.4</v>
      </c>
      <c r="P2895" s="10">
        <v>0.24099999999999999</v>
      </c>
      <c r="Q2895" s="10">
        <v>205</v>
      </c>
      <c r="R2895" s="10" t="s">
        <v>85</v>
      </c>
      <c r="S2895" s="34">
        <f t="shared" si="328"/>
        <v>226.47035199999999</v>
      </c>
      <c r="T2895" s="10" t="s">
        <v>1201</v>
      </c>
      <c r="U2895" s="34" t="str">
        <f t="shared" si="329"/>
        <v/>
      </c>
      <c r="V2895" s="31" t="str">
        <f>IF(H2895="CHK",VLOOKUP(I2895,QCCHK,3,),IF(H2895="GUP",VLOOKUP(E2895,QCGUP,2,),IF(AND(H2895="ATP",OR(I2895="TN",I2895="TDN",I2895="TNO2-3",I2895="NO2-3")),VLOOKUP(E2895,QCREC_N,2,),IF(AND(H2895="NIC",OR(I2895="TN",I2895="TDN",I2895="TNO2-3",I2895="NO2-3")),VLOOKUP(E2895,QCNIC_N,2,),IF(AND(H2895="UREA",OR(I2895="TN",I2895="TDN",I2895="TNO2-3",I2895="NO2-3")),VLOOKUP(E2895,QCUREA_N,2,),IF(H2895="PER",VLOOKUP(I2895,QCPER,MATCH(E2895,QCACTUAL!$J$25:$AA$25,0),),IF(H2895="SPK",VLOOKUP(I2895,QCSPK,3,),IF(AND(H2895="ATP",OR(I2895="TP",I2895="TDP")),VLOOKUP(E2895,QCATP_P,2,),""))))))))</f>
        <v/>
      </c>
      <c r="W2895" s="31" t="str">
        <f t="shared" si="330"/>
        <v>TRUE</v>
      </c>
      <c r="X2895" s="31" t="str">
        <f t="shared" si="327"/>
        <v/>
      </c>
      <c r="Y2895" s="10" t="s">
        <v>1188</v>
      </c>
      <c r="AF2895" s="12">
        <v>44966</v>
      </c>
      <c r="AH2895" s="10">
        <f>-2.9408*3.4^2+89.45*3.4-43.664</f>
        <v>226.47035199999999</v>
      </c>
      <c r="AI2895" s="10">
        <f>-1.7314*3.4^2+83.401*3.4-37.87</f>
        <v>225.67841599999997</v>
      </c>
      <c r="AK2895" s="10">
        <f>0.1051*3.4^2+65.423*3.4-19.469</f>
        <v>204.184156</v>
      </c>
      <c r="AL2895" s="10" t="str">
        <f t="shared" si="325"/>
        <v>FALSE</v>
      </c>
      <c r="AM2895" s="10" t="str">
        <f t="shared" si="325"/>
        <v>y=-2.9408*3.4^2+89.45*3.4-43.664</v>
      </c>
      <c r="AN2895" s="10" t="str">
        <f t="shared" si="325"/>
        <v>y=-1.7314*3.4^2+83.401*3.4-37.87</v>
      </c>
      <c r="AO2895" s="10" t="str">
        <f t="shared" si="326"/>
        <v>FALSE</v>
      </c>
      <c r="AP2895" s="10" t="str">
        <f t="shared" si="326"/>
        <v>y=0.1051*3.4^2+65.423*3.4-19.469</v>
      </c>
      <c r="AQ2895" s="10" t="b">
        <f>IF(AND(I2895="TP",S2895&lt;=150),VLOOKUP(AF2895,TPCalibEq150!$AZ$2:$BB$55,3,),IF(AND(I2895="TDP",S2895&lt;=150),VLOOKUP(AF2895,TPCalibEq150!$AZ$2:$BB$55,3,)))</f>
        <v>0</v>
      </c>
      <c r="AR2895" s="10" t="str">
        <f>IF(AND(I2895="TP",S2895&lt;=300),VLOOKUP(AF2895,TPCalibEq300!$AZ$2:$BB$55,3,),IF(AND(I2895="TDP",S2895&lt;=300),VLOOKUP(AF2895,TPCalibEq300!$AZ$2:$BB$55,3,)))</f>
        <v>y=-2.9408x2+89.45x-43.664</v>
      </c>
      <c r="AS2895" s="10" t="str">
        <f>IF(AND(I2895="TP",S2895&lt;=500),VLOOKUP(AF2895,TPCalibEq500!$AZ$2:$BB$56,3,),IF(AND(I2895="TDP",S2895&lt;=500),VLOOKUP(AF2895,TPCalibEq500!$AZ$2:$BB$56,3,)))</f>
        <v>y=-1.7314x2+83.401x-37.87</v>
      </c>
      <c r="AT2895" s="10" t="b">
        <f>IF(AND(I2895="TN",S2895&lt;=2800),VLOOKUP(AF2895,TNCalibEq2500!$AZ$2:$BB$56,3,),IF(AND(I2895="TDN",S2895&lt;=2800),VLOOKUP(AF2895,TNCalibEq2500!$AZ$2:$BB$56,3,)))</f>
        <v>0</v>
      </c>
      <c r="AU2895" s="10" t="str">
        <f>IF(I2895="TP",VLOOKUP(AF2895,TPCalibEqFull!$AZ$2:$BB$56,3),IF(I2895="TDP",VLOOKUP(AF2895,TPCalibEqFull!$AZ$2:$BB$56,3),IF(I2895="TDN",VLOOKUP(AF2895,TNCalibEqFull!$AZ$1:$BB$56,3),IF(I2895="TN",VLOOKUP(AF2895,TNCalibEqFull!$AZ$1:$BB$56,3),FALSE))))</f>
        <v>y=0.1051x2+65.423x-19.469</v>
      </c>
      <c r="AV2895" s="10" t="str">
        <f t="shared" si="331"/>
        <v>0208 12:17:00-ENN-20-FIL-1-SW-UKN</v>
      </c>
    </row>
    <row r="2896" spans="1:48" s="10" customFormat="1" x14ac:dyDescent="0.55000000000000004">
      <c r="A2896" s="32">
        <v>44965</v>
      </c>
      <c r="B2896" s="33">
        <v>0.51412037037037039</v>
      </c>
      <c r="C2896" s="10" t="s">
        <v>661</v>
      </c>
      <c r="D2896" s="10">
        <v>23</v>
      </c>
      <c r="E2896" s="10" t="s">
        <v>911</v>
      </c>
      <c r="F2896" s="10">
        <v>1</v>
      </c>
      <c r="G2896" s="10" t="s">
        <v>231</v>
      </c>
      <c r="H2896" s="10" t="s">
        <v>322</v>
      </c>
      <c r="I2896" s="10" t="s">
        <v>266</v>
      </c>
      <c r="J2896" s="10">
        <v>97</v>
      </c>
      <c r="K2896" s="12">
        <v>44966</v>
      </c>
      <c r="L2896" s="33">
        <v>0.66405092592592596</v>
      </c>
      <c r="M2896" s="10">
        <v>1</v>
      </c>
      <c r="N2896" s="10" t="s">
        <v>84</v>
      </c>
      <c r="O2896" s="10">
        <v>2.85</v>
      </c>
      <c r="P2896" s="10">
        <v>0.2</v>
      </c>
      <c r="Q2896" s="10">
        <v>168</v>
      </c>
      <c r="R2896" s="10" t="s">
        <v>85</v>
      </c>
      <c r="S2896" s="34">
        <f t="shared" si="328"/>
        <v>187.38185199999998</v>
      </c>
      <c r="T2896" s="10" t="s">
        <v>1201</v>
      </c>
      <c r="U2896" s="34" t="str">
        <f t="shared" si="329"/>
        <v/>
      </c>
      <c r="V2896" s="31" t="str">
        <f>IF(H2896="CHK",VLOOKUP(I2896,QCCHK,3,),IF(H2896="GUP",VLOOKUP(E2896,QCGUP,2,),IF(AND(H2896="ATP",OR(I2896="TN",I2896="TDN",I2896="TNO2-3",I2896="NO2-3")),VLOOKUP(E2896,QCREC_N,2,),IF(AND(H2896="NIC",OR(I2896="TN",I2896="TDN",I2896="TNO2-3",I2896="NO2-3")),VLOOKUP(E2896,QCNIC_N,2,),IF(AND(H2896="UREA",OR(I2896="TN",I2896="TDN",I2896="TNO2-3",I2896="NO2-3")),VLOOKUP(E2896,QCUREA_N,2,),IF(H2896="PER",VLOOKUP(I2896,QCPER,MATCH(E2896,QCACTUAL!$J$25:$AA$25,0),),IF(H2896="SPK",VLOOKUP(I2896,QCSPK,3,),IF(AND(H2896="ATP",OR(I2896="TP",I2896="TDP")),VLOOKUP(E2896,QCATP_P,2,),""))))))))</f>
        <v/>
      </c>
      <c r="W2896" s="31" t="str">
        <f t="shared" si="330"/>
        <v>TRUE</v>
      </c>
      <c r="X2896" s="31" t="str">
        <f t="shared" si="327"/>
        <v/>
      </c>
      <c r="Y2896" s="10" t="s">
        <v>1188</v>
      </c>
      <c r="AF2896" s="12">
        <v>44966</v>
      </c>
      <c r="AH2896" s="10">
        <f>-2.9408*2.85^2+89.45*2.85-43.664</f>
        <v>187.38185199999998</v>
      </c>
      <c r="AI2896" s="10">
        <f>-1.7314*2.85^2+83.401*2.85-37.87</f>
        <v>185.75955349999998</v>
      </c>
      <c r="AK2896" s="10">
        <f>0.1051*2.85^2+65.423*2.85-19.469</f>
        <v>167.84022475000003</v>
      </c>
      <c r="AL2896" s="10" t="str">
        <f t="shared" si="325"/>
        <v>FALSE</v>
      </c>
      <c r="AM2896" s="10" t="str">
        <f t="shared" si="325"/>
        <v>y=-2.9408*2.85^2+89.45*2.85-43.664</v>
      </c>
      <c r="AN2896" s="10" t="str">
        <f t="shared" si="325"/>
        <v>y=-1.7314*2.85^2+83.401*2.85-37.87</v>
      </c>
      <c r="AO2896" s="10" t="str">
        <f t="shared" si="326"/>
        <v>FALSE</v>
      </c>
      <c r="AP2896" s="10" t="str">
        <f t="shared" si="326"/>
        <v>y=0.1051*2.85^2+65.423*2.85-19.469</v>
      </c>
      <c r="AQ2896" s="10" t="b">
        <f>IF(AND(I2896="TP",S2896&lt;=150),VLOOKUP(AF2896,TPCalibEq150!$AZ$2:$BB$55,3,),IF(AND(I2896="TDP",S2896&lt;=150),VLOOKUP(AF2896,TPCalibEq150!$AZ$2:$BB$55,3,)))</f>
        <v>0</v>
      </c>
      <c r="AR2896" s="10" t="str">
        <f>IF(AND(I2896="TP",S2896&lt;=300),VLOOKUP(AF2896,TPCalibEq300!$AZ$2:$BB$55,3,),IF(AND(I2896="TDP",S2896&lt;=300),VLOOKUP(AF2896,TPCalibEq300!$AZ$2:$BB$55,3,)))</f>
        <v>y=-2.9408x2+89.45x-43.664</v>
      </c>
      <c r="AS2896" s="10" t="str">
        <f>IF(AND(I2896="TP",S2896&lt;=500),VLOOKUP(AF2896,TPCalibEq500!$AZ$2:$BB$56,3,),IF(AND(I2896="TDP",S2896&lt;=500),VLOOKUP(AF2896,TPCalibEq500!$AZ$2:$BB$56,3,)))</f>
        <v>y=-1.7314x2+83.401x-37.87</v>
      </c>
      <c r="AT2896" s="10" t="b">
        <f>IF(AND(I2896="TN",S2896&lt;=2800),VLOOKUP(AF2896,TNCalibEq2500!$AZ$2:$BB$56,3,),IF(AND(I2896="TDN",S2896&lt;=2800),VLOOKUP(AF2896,TNCalibEq2500!$AZ$2:$BB$56,3,)))</f>
        <v>0</v>
      </c>
      <c r="AU2896" s="10" t="str">
        <f>IF(I2896="TP",VLOOKUP(AF2896,TPCalibEqFull!$AZ$2:$BB$56,3),IF(I2896="TDP",VLOOKUP(AF2896,TPCalibEqFull!$AZ$2:$BB$56,3),IF(I2896="TDN",VLOOKUP(AF2896,TNCalibEqFull!$AZ$1:$BB$56,3),IF(I2896="TN",VLOOKUP(AF2896,TNCalibEqFull!$AZ$1:$BB$56,3),FALSE))))</f>
        <v>y=0.1051x2+65.423x-19.469</v>
      </c>
      <c r="AV2896" s="10" t="str">
        <f t="shared" si="331"/>
        <v>0208 12:20:20-ENN-23-FIL-1-SW-UKN</v>
      </c>
    </row>
    <row r="2897" spans="1:48" s="10" customFormat="1" x14ac:dyDescent="0.55000000000000004">
      <c r="A2897" s="32">
        <v>44965</v>
      </c>
      <c r="B2897" s="33">
        <v>0.43796296296296294</v>
      </c>
      <c r="C2897" s="10" t="s">
        <v>646</v>
      </c>
      <c r="D2897" s="10">
        <v>0</v>
      </c>
      <c r="E2897" s="10" t="s">
        <v>911</v>
      </c>
      <c r="F2897" s="10">
        <v>1</v>
      </c>
      <c r="G2897" s="10" t="s">
        <v>231</v>
      </c>
      <c r="H2897" s="10" t="s">
        <v>322</v>
      </c>
      <c r="I2897" s="10" t="s">
        <v>266</v>
      </c>
      <c r="J2897" s="10">
        <v>98</v>
      </c>
      <c r="K2897" s="12">
        <v>44966</v>
      </c>
      <c r="L2897" s="33">
        <v>0.6647453703703704</v>
      </c>
      <c r="M2897" s="10">
        <v>1</v>
      </c>
      <c r="N2897" s="10" t="s">
        <v>84</v>
      </c>
      <c r="O2897" s="10">
        <v>3.41</v>
      </c>
      <c r="P2897" s="10">
        <v>0.24</v>
      </c>
      <c r="Q2897" s="10">
        <v>205</v>
      </c>
      <c r="R2897" s="10" t="s">
        <v>85</v>
      </c>
      <c r="S2897" s="34">
        <f t="shared" si="328"/>
        <v>227.16458352000006</v>
      </c>
      <c r="T2897" s="10" t="s">
        <v>1201</v>
      </c>
      <c r="U2897" s="34" t="str">
        <f t="shared" si="329"/>
        <v/>
      </c>
      <c r="V2897" s="31" t="str">
        <f>IF(H2897="CHK",VLOOKUP(I2897,QCCHK,3,),IF(H2897="GUP",VLOOKUP(E2897,QCGUP,2,),IF(AND(H2897="ATP",OR(I2897="TN",I2897="TDN",I2897="TNO2-3",I2897="NO2-3")),VLOOKUP(E2897,QCREC_N,2,),IF(AND(H2897="NIC",OR(I2897="TN",I2897="TDN",I2897="TNO2-3",I2897="NO2-3")),VLOOKUP(E2897,QCNIC_N,2,),IF(AND(H2897="UREA",OR(I2897="TN",I2897="TDN",I2897="TNO2-3",I2897="NO2-3")),VLOOKUP(E2897,QCUREA_N,2,),IF(H2897="PER",VLOOKUP(I2897,QCPER,MATCH(E2897,QCACTUAL!$J$25:$AA$25,0),),IF(H2897="SPK",VLOOKUP(I2897,QCSPK,3,),IF(AND(H2897="ATP",OR(I2897="TP",I2897="TDP")),VLOOKUP(E2897,QCATP_P,2,),""))))))))</f>
        <v/>
      </c>
      <c r="W2897" s="31" t="str">
        <f t="shared" si="330"/>
        <v>TRUE</v>
      </c>
      <c r="X2897" s="31" t="str">
        <f t="shared" si="327"/>
        <v/>
      </c>
      <c r="Y2897" s="10" t="s">
        <v>1188</v>
      </c>
      <c r="AF2897" s="12">
        <v>44966</v>
      </c>
      <c r="AH2897" s="10">
        <f>-2.9408*3.41^2+89.45*3.41-43.664</f>
        <v>227.16458352000006</v>
      </c>
      <c r="AI2897" s="10">
        <f>-1.7314*3.41^2+83.401*3.41-37.87</f>
        <v>226.39451765999996</v>
      </c>
      <c r="AK2897" s="10">
        <f>0.1051*3.41^2+65.423*3.41-19.469</f>
        <v>204.84554331000001</v>
      </c>
      <c r="AL2897" s="10" t="str">
        <f t="shared" si="325"/>
        <v>FALSE</v>
      </c>
      <c r="AM2897" s="10" t="str">
        <f t="shared" si="325"/>
        <v>y=-2.9408*3.41^2+89.45*3.41-43.664</v>
      </c>
      <c r="AN2897" s="10" t="str">
        <f t="shared" si="325"/>
        <v>y=-1.7314*3.41^2+83.401*3.41-37.87</v>
      </c>
      <c r="AO2897" s="10" t="str">
        <f t="shared" si="326"/>
        <v>FALSE</v>
      </c>
      <c r="AP2897" s="10" t="str">
        <f t="shared" si="326"/>
        <v>y=0.1051*3.41^2+65.423*3.41-19.469</v>
      </c>
      <c r="AQ2897" s="10" t="b">
        <f>IF(AND(I2897="TP",S2897&lt;=150),VLOOKUP(AF2897,TPCalibEq150!$AZ$2:$BB$55,3,),IF(AND(I2897="TDP",S2897&lt;=150),VLOOKUP(AF2897,TPCalibEq150!$AZ$2:$BB$55,3,)))</f>
        <v>0</v>
      </c>
      <c r="AR2897" s="10" t="str">
        <f>IF(AND(I2897="TP",S2897&lt;=300),VLOOKUP(AF2897,TPCalibEq300!$AZ$2:$BB$55,3,),IF(AND(I2897="TDP",S2897&lt;=300),VLOOKUP(AF2897,TPCalibEq300!$AZ$2:$BB$55,3,)))</f>
        <v>y=-2.9408x2+89.45x-43.664</v>
      </c>
      <c r="AS2897" s="10" t="str">
        <f>IF(AND(I2897="TP",S2897&lt;=500),VLOOKUP(AF2897,TPCalibEq500!$AZ$2:$BB$56,3,),IF(AND(I2897="TDP",S2897&lt;=500),VLOOKUP(AF2897,TPCalibEq500!$AZ$2:$BB$56,3,)))</f>
        <v>y=-1.7314x2+83.401x-37.87</v>
      </c>
      <c r="AT2897" s="10" t="b">
        <f>IF(AND(I2897="TN",S2897&lt;=2800),VLOOKUP(AF2897,TNCalibEq2500!$AZ$2:$BB$56,3,),IF(AND(I2897="TDN",S2897&lt;=2800),VLOOKUP(AF2897,TNCalibEq2500!$AZ$2:$BB$56,3,)))</f>
        <v>0</v>
      </c>
      <c r="AU2897" s="10" t="str">
        <f>IF(I2897="TP",VLOOKUP(AF2897,TPCalibEqFull!$AZ$2:$BB$56,3),IF(I2897="TDP",VLOOKUP(AF2897,TPCalibEqFull!$AZ$2:$BB$56,3),IF(I2897="TDN",VLOOKUP(AF2897,TNCalibEqFull!$AZ$1:$BB$56,3),IF(I2897="TN",VLOOKUP(AF2897,TNCalibEqFull!$AZ$1:$BB$56,3),FALSE))))</f>
        <v>y=0.1051x2+65.423x-19.469</v>
      </c>
      <c r="AV2897" s="10" t="str">
        <f t="shared" si="331"/>
        <v>0208 10:30:40-EMB-0-FIL-1-SW-UKN</v>
      </c>
    </row>
    <row r="2898" spans="1:48" s="10" customFormat="1" x14ac:dyDescent="0.55000000000000004">
      <c r="A2898" s="32">
        <v>44965</v>
      </c>
      <c r="B2898" s="33">
        <v>0.43796296296296294</v>
      </c>
      <c r="C2898" s="10" t="s">
        <v>646</v>
      </c>
      <c r="D2898" s="10">
        <v>0</v>
      </c>
      <c r="E2898" s="10" t="s">
        <v>911</v>
      </c>
      <c r="F2898" s="10">
        <v>1</v>
      </c>
      <c r="G2898" s="10" t="s">
        <v>231</v>
      </c>
      <c r="H2898" s="10" t="s">
        <v>233</v>
      </c>
      <c r="I2898" s="10" t="s">
        <v>266</v>
      </c>
      <c r="J2898" s="10">
        <v>98</v>
      </c>
      <c r="K2898" s="12">
        <v>44966</v>
      </c>
      <c r="L2898" s="33">
        <v>0.66545138888888888</v>
      </c>
      <c r="M2898" s="10">
        <v>1</v>
      </c>
      <c r="N2898" s="10" t="s">
        <v>84</v>
      </c>
      <c r="O2898" s="10">
        <v>3.4</v>
      </c>
      <c r="P2898" s="10">
        <v>0.24099999999999999</v>
      </c>
      <c r="Q2898" s="10">
        <v>205</v>
      </c>
      <c r="R2898" s="10" t="s">
        <v>85</v>
      </c>
      <c r="S2898" s="34">
        <f t="shared" si="328"/>
        <v>226.47035199999999</v>
      </c>
      <c r="T2898" s="10" t="s">
        <v>1201</v>
      </c>
      <c r="U2898" s="34">
        <f t="shared" si="329"/>
        <v>0.30607498040435466</v>
      </c>
      <c r="V2898" s="31" t="str">
        <f>IF(H2898="CHK",VLOOKUP(I2898,QCCHK,3,),IF(H2898="GUP",VLOOKUP(E2898,QCGUP,2,),IF(AND(H2898="ATP",OR(I2898="TN",I2898="TDN",I2898="TNO2-3",I2898="NO2-3")),VLOOKUP(E2898,QCREC_N,2,),IF(AND(H2898="NIC",OR(I2898="TN",I2898="TDN",I2898="TNO2-3",I2898="NO2-3")),VLOOKUP(E2898,QCNIC_N,2,),IF(AND(H2898="UREA",OR(I2898="TN",I2898="TDN",I2898="TNO2-3",I2898="NO2-3")),VLOOKUP(E2898,QCUREA_N,2,),IF(H2898="PER",VLOOKUP(I2898,QCPER,MATCH(E2898,QCACTUAL!$J$25:$AA$25,0),),IF(H2898="SPK",VLOOKUP(I2898,QCSPK,3,),IF(AND(H2898="ATP",OR(I2898="TP",I2898="TDP")),VLOOKUP(E2898,QCATP_P,2,),""))))))))</f>
        <v/>
      </c>
      <c r="W2898" s="31" t="str">
        <f t="shared" si="330"/>
        <v>TRUE</v>
      </c>
      <c r="X2898" s="31" t="str">
        <f t="shared" si="327"/>
        <v>((ABS(rep1-rep2))/((rep1+rep2)/2)*100</v>
      </c>
      <c r="Y2898" s="10" t="s">
        <v>1188</v>
      </c>
      <c r="AF2898" s="12">
        <v>44966</v>
      </c>
      <c r="AH2898" s="10">
        <f>-2.9408*3.4^2+89.45*3.4-43.664</f>
        <v>226.47035199999999</v>
      </c>
      <c r="AI2898" s="10">
        <f>-1.7314*3.4^2+83.401*3.4-37.87</f>
        <v>225.67841599999997</v>
      </c>
      <c r="AK2898" s="10">
        <f>0.1051*3.4^2+65.423*3.4-19.469</f>
        <v>204.184156</v>
      </c>
      <c r="AL2898" s="10" t="str">
        <f t="shared" si="325"/>
        <v>FALSE</v>
      </c>
      <c r="AM2898" s="10" t="str">
        <f t="shared" si="325"/>
        <v>y=-2.9408*3.4^2+89.45*3.4-43.664</v>
      </c>
      <c r="AN2898" s="10" t="str">
        <f t="shared" si="325"/>
        <v>y=-1.7314*3.4^2+83.401*3.4-37.87</v>
      </c>
      <c r="AO2898" s="10" t="str">
        <f t="shared" si="326"/>
        <v>FALSE</v>
      </c>
      <c r="AP2898" s="10" t="str">
        <f t="shared" si="326"/>
        <v>y=0.1051*3.4^2+65.423*3.4-19.469</v>
      </c>
      <c r="AQ2898" s="10" t="b">
        <f>IF(AND(I2898="TP",S2898&lt;=150),VLOOKUP(AF2898,TPCalibEq150!$AZ$2:$BB$55,3,),IF(AND(I2898="TDP",S2898&lt;=150),VLOOKUP(AF2898,TPCalibEq150!$AZ$2:$BB$55,3,)))</f>
        <v>0</v>
      </c>
      <c r="AR2898" s="10" t="str">
        <f>IF(AND(I2898="TP",S2898&lt;=300),VLOOKUP(AF2898,TPCalibEq300!$AZ$2:$BB$55,3,),IF(AND(I2898="TDP",S2898&lt;=300),VLOOKUP(AF2898,TPCalibEq300!$AZ$2:$BB$55,3,)))</f>
        <v>y=-2.9408x2+89.45x-43.664</v>
      </c>
      <c r="AS2898" s="10" t="str">
        <f>IF(AND(I2898="TP",S2898&lt;=500),VLOOKUP(AF2898,TPCalibEq500!$AZ$2:$BB$56,3,),IF(AND(I2898="TDP",S2898&lt;=500),VLOOKUP(AF2898,TPCalibEq500!$AZ$2:$BB$56,3,)))</f>
        <v>y=-1.7314x2+83.401x-37.87</v>
      </c>
      <c r="AT2898" s="10" t="b">
        <f>IF(AND(I2898="TN",S2898&lt;=2800),VLOOKUP(AF2898,TNCalibEq2500!$AZ$2:$BB$56,3,),IF(AND(I2898="TDN",S2898&lt;=2800),VLOOKUP(AF2898,TNCalibEq2500!$AZ$2:$BB$56,3,)))</f>
        <v>0</v>
      </c>
      <c r="AU2898" s="10" t="str">
        <f>IF(I2898="TP",VLOOKUP(AF2898,TPCalibEqFull!$AZ$2:$BB$56,3),IF(I2898="TDP",VLOOKUP(AF2898,TPCalibEqFull!$AZ$2:$BB$56,3),IF(I2898="TDN",VLOOKUP(AF2898,TNCalibEqFull!$AZ$1:$BB$56,3),IF(I2898="TN",VLOOKUP(AF2898,TNCalibEqFull!$AZ$1:$BB$56,3),FALSE))))</f>
        <v>y=0.1051x2+65.423x-19.469</v>
      </c>
      <c r="AV2898" s="10" t="str">
        <f t="shared" si="331"/>
        <v>0208 10:30:40-EMB-0-FIL-1-SW-DUP</v>
      </c>
    </row>
    <row r="2899" spans="1:48" s="10" customFormat="1" x14ac:dyDescent="0.55000000000000004">
      <c r="A2899" s="32">
        <v>44965</v>
      </c>
      <c r="B2899" s="33">
        <v>0.43796296296296294</v>
      </c>
      <c r="C2899" s="10" t="s">
        <v>646</v>
      </c>
      <c r="D2899" s="10">
        <v>0</v>
      </c>
      <c r="E2899" s="10" t="s">
        <v>911</v>
      </c>
      <c r="F2899" s="10">
        <v>1</v>
      </c>
      <c r="G2899" s="10" t="s">
        <v>231</v>
      </c>
      <c r="H2899" s="10" t="s">
        <v>314</v>
      </c>
      <c r="I2899" s="10" t="s">
        <v>266</v>
      </c>
      <c r="J2899" s="10">
        <v>130</v>
      </c>
      <c r="K2899" s="12">
        <v>44966</v>
      </c>
      <c r="L2899" s="33">
        <v>0.66614583333333333</v>
      </c>
      <c r="M2899" s="10">
        <v>1</v>
      </c>
      <c r="N2899" s="10" t="s">
        <v>84</v>
      </c>
      <c r="O2899" s="10">
        <v>19.399999999999999</v>
      </c>
      <c r="P2899" s="10">
        <v>1.36</v>
      </c>
      <c r="Q2899" s="10">
        <v>1290</v>
      </c>
      <c r="R2899" s="10" t="s">
        <v>85</v>
      </c>
      <c r="S2899" s="34">
        <f t="shared" si="328"/>
        <v>1290</v>
      </c>
      <c r="T2899" s="10" t="s">
        <v>1201</v>
      </c>
      <c r="U2899" s="34">
        <f t="shared" si="329"/>
        <v>106.35296480000001</v>
      </c>
      <c r="V2899" s="31">
        <f>IF(H2899="CHK",VLOOKUP(I2899,QCCHK,3,),IF(H2899="GUP",VLOOKUP(E2899,QCGUP,2,),IF(AND(H2899="ATP",OR(I2899="TN",I2899="TDN",I2899="TNO2-3",I2899="NO2-3")),VLOOKUP(E2899,QCREC_N,2,),IF(AND(H2899="NIC",OR(I2899="TN",I2899="TDN",I2899="TNO2-3",I2899="NO2-3")),VLOOKUP(E2899,QCNIC_N,2,),IF(AND(H2899="UREA",OR(I2899="TN",I2899="TDN",I2899="TNO2-3",I2899="NO2-3")),VLOOKUP(E2899,QCUREA_N,2,),IF(H2899="PER",VLOOKUP(I2899,QCPER,MATCH(E2899,QCACTUAL!$J$25:$AA$25,0),),IF(H2899="SPK",VLOOKUP(I2899,QCSPK,3,),IF(AND(H2899="ATP",OR(I2899="TP",I2899="TDP")),VLOOKUP(E2899,QCATP_P,2,),""))))))))</f>
        <v>1000</v>
      </c>
      <c r="W2899" s="31" t="str">
        <f t="shared" si="330"/>
        <v>TRUE</v>
      </c>
      <c r="X2899" s="31" t="str">
        <f t="shared" si="327"/>
        <v>([spikedunkn]-[unkn])/[spike]*100</v>
      </c>
      <c r="Y2899" s="10" t="s">
        <v>1188</v>
      </c>
      <c r="AF2899" s="12">
        <v>44966</v>
      </c>
      <c r="AK2899" s="10">
        <f>0.1051*19.4^2+65.423*19.4-19.469</f>
        <v>1289.2926359999999</v>
      </c>
      <c r="AL2899" s="10" t="str">
        <f t="shared" si="325"/>
        <v>FALSE</v>
      </c>
      <c r="AM2899" s="10" t="str">
        <f t="shared" si="325"/>
        <v>FALSE</v>
      </c>
      <c r="AN2899" s="10" t="str">
        <f t="shared" si="325"/>
        <v>FALSE</v>
      </c>
      <c r="AO2899" s="10" t="str">
        <f t="shared" si="326"/>
        <v>FALSE</v>
      </c>
      <c r="AP2899" s="10" t="str">
        <f t="shared" si="326"/>
        <v>y=0.1051*19.4^2+65.423*19.4-19.469</v>
      </c>
      <c r="AQ2899" s="10" t="b">
        <f>IF(AND(I2899="TP",S2899&lt;=150),VLOOKUP(AF2899,TPCalibEq150!$AZ$2:$BB$55,3,),IF(AND(I2899="TDP",S2899&lt;=150),VLOOKUP(AF2899,TPCalibEq150!$AZ$2:$BB$55,3,)))</f>
        <v>0</v>
      </c>
      <c r="AR2899" s="10" t="b">
        <f>IF(AND(I2899="TP",S2899&lt;=300),VLOOKUP(AF2899,TPCalibEq300!$AZ$2:$BB$55,3,),IF(AND(I2899="TDP",S2899&lt;=300),VLOOKUP(AF2899,TPCalibEq300!$AZ$2:$BB$55,3,)))</f>
        <v>0</v>
      </c>
      <c r="AS2899" s="10" t="b">
        <f>IF(AND(I2899="TP",S2899&lt;=500),VLOOKUP(AF2899,TPCalibEq500!$AZ$2:$BB$56,3,),IF(AND(I2899="TDP",S2899&lt;=500),VLOOKUP(AF2899,TPCalibEq500!$AZ$2:$BB$56,3,)))</f>
        <v>0</v>
      </c>
      <c r="AT2899" s="10" t="b">
        <f>IF(AND(I2899="TN",S2899&lt;=2800),VLOOKUP(AF2899,TNCalibEq2500!$AZ$2:$BB$56,3,),IF(AND(I2899="TDN",S2899&lt;=2800),VLOOKUP(AF2899,TNCalibEq2500!$AZ$2:$BB$56,3,)))</f>
        <v>0</v>
      </c>
      <c r="AU2899" s="10" t="str">
        <f>IF(I2899="TP",VLOOKUP(AF2899,TPCalibEqFull!$AZ$2:$BB$56,3),IF(I2899="TDP",VLOOKUP(AF2899,TPCalibEqFull!$AZ$2:$BB$56,3),IF(I2899="TDN",VLOOKUP(AF2899,TNCalibEqFull!$AZ$1:$BB$56,3),IF(I2899="TN",VLOOKUP(AF2899,TNCalibEqFull!$AZ$1:$BB$56,3),FALSE))))</f>
        <v>y=0.1051x2+65.423x-19.469</v>
      </c>
      <c r="AV2899" s="10" t="str">
        <f t="shared" si="331"/>
        <v>0208 10:30:40-EMB-0-FIL-1-SW-SPK</v>
      </c>
    </row>
    <row r="2900" spans="1:48" s="10" customFormat="1" x14ac:dyDescent="0.55000000000000004">
      <c r="A2900" s="32">
        <v>44966</v>
      </c>
      <c r="B2900" s="33">
        <v>0.375</v>
      </c>
      <c r="C2900" s="10" t="s">
        <v>70</v>
      </c>
      <c r="D2900" s="10" t="s">
        <v>71</v>
      </c>
      <c r="E2900" s="10" t="s">
        <v>901</v>
      </c>
      <c r="F2900" s="10">
        <v>1</v>
      </c>
      <c r="G2900" s="10" t="s">
        <v>73</v>
      </c>
      <c r="H2900" s="10" t="s">
        <v>207</v>
      </c>
      <c r="I2900" s="10" t="s">
        <v>83</v>
      </c>
      <c r="J2900" s="10">
        <v>200</v>
      </c>
      <c r="K2900" s="12">
        <v>44966</v>
      </c>
      <c r="L2900" s="33">
        <v>0.66685185185185192</v>
      </c>
      <c r="M2900" s="10">
        <v>1</v>
      </c>
      <c r="N2900" s="10" t="s">
        <v>84</v>
      </c>
      <c r="O2900" s="10">
        <v>8.19</v>
      </c>
      <c r="P2900" s="10">
        <v>0.58399999999999996</v>
      </c>
      <c r="Q2900" s="10">
        <v>523</v>
      </c>
      <c r="R2900" s="10" t="s">
        <v>85</v>
      </c>
      <c r="S2900" s="34">
        <f t="shared" si="328"/>
        <v>523.3950681099999</v>
      </c>
      <c r="T2900" s="10" t="s">
        <v>1201</v>
      </c>
      <c r="U2900" s="34">
        <f t="shared" si="329"/>
        <v>104.67901362199999</v>
      </c>
      <c r="V2900" s="31">
        <f>IF(H2900="CHK",VLOOKUP(I2900,QCCHK,3,),IF(H2900="GUP",VLOOKUP(E2900,QCGUP,2,),IF(AND(H2900="ATP",OR(I2900="TN",I2900="TDN",I2900="TNO2-3",I2900="NO2-3")),VLOOKUP(E2900,QCREC_N,2,),IF(AND(H2900="NIC",OR(I2900="TN",I2900="TDN",I2900="TNO2-3",I2900="NO2-3")),VLOOKUP(E2900,QCNIC_N,2,),IF(AND(H2900="UREA",OR(I2900="TN",I2900="TDN",I2900="TNO2-3",I2900="NO2-3")),VLOOKUP(E2900,QCUREA_N,2,),IF(H2900="PER",VLOOKUP(I2900,QCPER,MATCH(E2900,QCACTUAL!$J$25:$AA$25,0),),IF(H2900="SPK",VLOOKUP(I2900,QCSPK,3,),IF(AND(H2900="ATP",OR(I2900="TP",I2900="TDP")),VLOOKUP(E2900,QCATP_P,2,),""))))))))</f>
        <v>500</v>
      </c>
      <c r="W2900" s="31" t="str">
        <f t="shared" si="330"/>
        <v>TRUE</v>
      </c>
      <c r="X2900" s="31" t="str">
        <f t="shared" si="327"/>
        <v>[chk]/[actual]*100</v>
      </c>
      <c r="Y2900" s="10" t="s">
        <v>1188</v>
      </c>
      <c r="AF2900" s="12">
        <v>44966</v>
      </c>
      <c r="AK2900" s="10">
        <f>0.1051*8.19^2+65.423*8.19-19.469</f>
        <v>523.3950681099999</v>
      </c>
      <c r="AL2900" s="10" t="str">
        <f t="shared" si="325"/>
        <v>FALSE</v>
      </c>
      <c r="AM2900" s="10" t="str">
        <f t="shared" si="325"/>
        <v>FALSE</v>
      </c>
      <c r="AN2900" s="10" t="str">
        <f t="shared" si="325"/>
        <v>FALSE</v>
      </c>
      <c r="AO2900" s="10" t="str">
        <f t="shared" si="326"/>
        <v>FALSE</v>
      </c>
      <c r="AP2900" s="10" t="str">
        <f t="shared" si="326"/>
        <v>y=0.1051*8.19^2+65.423*8.19-19.469</v>
      </c>
      <c r="AQ2900" s="10" t="b">
        <f>IF(AND(I2900="TP",S2900&lt;=150),VLOOKUP(AF2900,TPCalibEq150!$AZ$2:$BB$55,3,),IF(AND(I2900="TDP",S2900&lt;=150),VLOOKUP(AF2900,TPCalibEq150!$AZ$2:$BB$55,3,)))</f>
        <v>0</v>
      </c>
      <c r="AR2900" s="10" t="b">
        <f>IF(AND(I2900="TP",S2900&lt;=300),VLOOKUP(AF2900,TPCalibEq300!$AZ$2:$BB$55,3,),IF(AND(I2900="TDP",S2900&lt;=300),VLOOKUP(AF2900,TPCalibEq300!$AZ$2:$BB$55,3,)))</f>
        <v>0</v>
      </c>
      <c r="AS2900" s="10" t="b">
        <f>IF(AND(I2900="TP",S2900&lt;=500),VLOOKUP(AF2900,TPCalibEq500!$AZ$2:$BB$56,3,),IF(AND(I2900="TDP",S2900&lt;=500),VLOOKUP(AF2900,TPCalibEq500!$AZ$2:$BB$56,3,)))</f>
        <v>0</v>
      </c>
      <c r="AT2900" s="10" t="b">
        <f>IF(AND(I2900="TN",S2900&lt;=2800),VLOOKUP(AF2900,TNCalibEq2500!$AZ$2:$BB$56,3,),IF(AND(I2900="TDN",S2900&lt;=2800),VLOOKUP(AF2900,TNCalibEq2500!$AZ$2:$BB$56,3,)))</f>
        <v>0</v>
      </c>
      <c r="AU2900" s="10" t="str">
        <f>IF(I2900="TP",VLOOKUP(AF2900,TPCalibEqFull!$AZ$2:$BB$56,3),IF(I2900="TDP",VLOOKUP(AF2900,TPCalibEqFull!$AZ$2:$BB$56,3),IF(I2900="TDN",VLOOKUP(AF2900,TNCalibEqFull!$AZ$1:$BB$56,3),IF(I2900="TN",VLOOKUP(AF2900,TNCalibEqFull!$AZ$1:$BB$56,3),FALSE))))</f>
        <v>y=0.1051x2+65.423x-19.469</v>
      </c>
      <c r="AV2900" s="10" t="str">
        <f t="shared" si="331"/>
        <v>0209 09:00:00-QAC-STD-D-1-DI-CHK</v>
      </c>
    </row>
    <row r="2901" spans="1:48" s="10" customFormat="1" x14ac:dyDescent="0.55000000000000004">
      <c r="A2901" s="32">
        <v>44965</v>
      </c>
      <c r="B2901" s="33">
        <v>0.44027777777777777</v>
      </c>
      <c r="C2901" s="10" t="s">
        <v>646</v>
      </c>
      <c r="D2901" s="10">
        <v>5</v>
      </c>
      <c r="E2901" s="10" t="s">
        <v>911</v>
      </c>
      <c r="F2901" s="10">
        <v>1</v>
      </c>
      <c r="G2901" s="10" t="s">
        <v>231</v>
      </c>
      <c r="H2901" s="10" t="s">
        <v>322</v>
      </c>
      <c r="I2901" s="10" t="s">
        <v>266</v>
      </c>
      <c r="J2901" s="10">
        <v>99</v>
      </c>
      <c r="K2901" s="12">
        <v>44966</v>
      </c>
      <c r="L2901" s="33">
        <v>0.66754629629629625</v>
      </c>
      <c r="M2901" s="10">
        <v>1</v>
      </c>
      <c r="N2901" s="10" t="s">
        <v>84</v>
      </c>
      <c r="O2901" s="10">
        <v>2.88</v>
      </c>
      <c r="P2901" s="10">
        <v>0.20399999999999999</v>
      </c>
      <c r="Q2901" s="10">
        <v>170</v>
      </c>
      <c r="R2901" s="10" t="s">
        <v>85</v>
      </c>
      <c r="S2901" s="34">
        <f t="shared" si="328"/>
        <v>189.55982847999996</v>
      </c>
      <c r="T2901" s="10" t="s">
        <v>1201</v>
      </c>
      <c r="U2901" s="34" t="str">
        <f t="shared" si="329"/>
        <v/>
      </c>
      <c r="V2901" s="31" t="str">
        <f>IF(H2901="CHK",VLOOKUP(I2901,QCCHK,3,),IF(H2901="GUP",VLOOKUP(E2901,QCGUP,2,),IF(AND(H2901="ATP",OR(I2901="TN",I2901="TDN",I2901="TNO2-3",I2901="NO2-3")),VLOOKUP(E2901,QCREC_N,2,),IF(AND(H2901="NIC",OR(I2901="TN",I2901="TDN",I2901="TNO2-3",I2901="NO2-3")),VLOOKUP(E2901,QCNIC_N,2,),IF(AND(H2901="UREA",OR(I2901="TN",I2901="TDN",I2901="TNO2-3",I2901="NO2-3")),VLOOKUP(E2901,QCUREA_N,2,),IF(H2901="PER",VLOOKUP(I2901,QCPER,MATCH(E2901,QCACTUAL!$J$25:$AA$25,0),),IF(H2901="SPK",VLOOKUP(I2901,QCSPK,3,),IF(AND(H2901="ATP",OR(I2901="TP",I2901="TDP")),VLOOKUP(E2901,QCATP_P,2,),""))))))))</f>
        <v/>
      </c>
      <c r="W2901" s="31" t="str">
        <f t="shared" si="330"/>
        <v>TRUE</v>
      </c>
      <c r="X2901" s="31" t="str">
        <f t="shared" si="327"/>
        <v/>
      </c>
      <c r="Y2901" s="10" t="s">
        <v>1188</v>
      </c>
      <c r="AF2901" s="12">
        <v>44966</v>
      </c>
      <c r="AH2901" s="10">
        <f>-2.9408*2.88^2+89.45*2.88-43.664</f>
        <v>189.55982847999996</v>
      </c>
      <c r="AI2901" s="10">
        <f>-1.7314*2.88^2+83.401*2.88-37.87</f>
        <v>187.96395583999998</v>
      </c>
      <c r="AK2901" s="10">
        <f>0.1051*2.88^2+65.423*2.88-19.469</f>
        <v>169.82098144</v>
      </c>
      <c r="AL2901" s="10" t="str">
        <f t="shared" si="325"/>
        <v>FALSE</v>
      </c>
      <c r="AM2901" s="10" t="str">
        <f t="shared" si="325"/>
        <v>y=-2.9408*2.88^2+89.45*2.88-43.664</v>
      </c>
      <c r="AN2901" s="10" t="str">
        <f t="shared" si="325"/>
        <v>y=-1.7314*2.88^2+83.401*2.88-37.87</v>
      </c>
      <c r="AO2901" s="10" t="str">
        <f t="shared" si="326"/>
        <v>FALSE</v>
      </c>
      <c r="AP2901" s="10" t="str">
        <f t="shared" si="326"/>
        <v>y=0.1051*2.88^2+65.423*2.88-19.469</v>
      </c>
      <c r="AQ2901" s="10" t="b">
        <f>IF(AND(I2901="TP",S2901&lt;=150),VLOOKUP(AF2901,TPCalibEq150!$AZ$2:$BB$55,3,),IF(AND(I2901="TDP",S2901&lt;=150),VLOOKUP(AF2901,TPCalibEq150!$AZ$2:$BB$55,3,)))</f>
        <v>0</v>
      </c>
      <c r="AR2901" s="10" t="str">
        <f>IF(AND(I2901="TP",S2901&lt;=300),VLOOKUP(AF2901,TPCalibEq300!$AZ$2:$BB$55,3,),IF(AND(I2901="TDP",S2901&lt;=300),VLOOKUP(AF2901,TPCalibEq300!$AZ$2:$BB$55,3,)))</f>
        <v>y=-2.9408x2+89.45x-43.664</v>
      </c>
      <c r="AS2901" s="10" t="str">
        <f>IF(AND(I2901="TP",S2901&lt;=500),VLOOKUP(AF2901,TPCalibEq500!$AZ$2:$BB$56,3,),IF(AND(I2901="TDP",S2901&lt;=500),VLOOKUP(AF2901,TPCalibEq500!$AZ$2:$BB$56,3,)))</f>
        <v>y=-1.7314x2+83.401x-37.87</v>
      </c>
      <c r="AT2901" s="10" t="b">
        <f>IF(AND(I2901="TN",S2901&lt;=2800),VLOOKUP(AF2901,TNCalibEq2500!$AZ$2:$BB$56,3,),IF(AND(I2901="TDN",S2901&lt;=2800),VLOOKUP(AF2901,TNCalibEq2500!$AZ$2:$BB$56,3,)))</f>
        <v>0</v>
      </c>
      <c r="AU2901" s="10" t="str">
        <f>IF(I2901="TP",VLOOKUP(AF2901,TPCalibEqFull!$AZ$2:$BB$56,3),IF(I2901="TDP",VLOOKUP(AF2901,TPCalibEqFull!$AZ$2:$BB$56,3),IF(I2901="TDN",VLOOKUP(AF2901,TNCalibEqFull!$AZ$1:$BB$56,3),IF(I2901="TN",VLOOKUP(AF2901,TNCalibEqFull!$AZ$1:$BB$56,3),FALSE))))</f>
        <v>y=0.1051x2+65.423x-19.469</v>
      </c>
      <c r="AV2901" s="10" t="str">
        <f t="shared" si="331"/>
        <v>0208 10:34:00-EMB-5-FIL-1-SW-UKN</v>
      </c>
    </row>
    <row r="2902" spans="1:48" s="10" customFormat="1" x14ac:dyDescent="0.55000000000000004">
      <c r="A2902" s="32">
        <v>44965</v>
      </c>
      <c r="B2902" s="33">
        <v>0.44259259259259259</v>
      </c>
      <c r="C2902" s="10" t="s">
        <v>646</v>
      </c>
      <c r="D2902" s="10">
        <v>10</v>
      </c>
      <c r="E2902" s="10" t="s">
        <v>911</v>
      </c>
      <c r="F2902" s="10">
        <v>1</v>
      </c>
      <c r="G2902" s="10" t="s">
        <v>231</v>
      </c>
      <c r="H2902" s="10" t="s">
        <v>322</v>
      </c>
      <c r="I2902" s="10" t="s">
        <v>266</v>
      </c>
      <c r="J2902" s="10">
        <v>100</v>
      </c>
      <c r="K2902" s="12">
        <v>44966</v>
      </c>
      <c r="L2902" s="33">
        <v>0.66824074074074069</v>
      </c>
      <c r="M2902" s="10">
        <v>1</v>
      </c>
      <c r="N2902" s="10" t="s">
        <v>84</v>
      </c>
      <c r="O2902" s="10">
        <v>3.27</v>
      </c>
      <c r="P2902" s="10">
        <v>0.23</v>
      </c>
      <c r="Q2902" s="10">
        <v>196</v>
      </c>
      <c r="R2902" s="10" t="s">
        <v>85</v>
      </c>
      <c r="S2902" s="34">
        <f t="shared" si="328"/>
        <v>217.39181968000003</v>
      </c>
      <c r="T2902" s="10" t="s">
        <v>1201</v>
      </c>
      <c r="U2902" s="34" t="str">
        <f t="shared" si="329"/>
        <v/>
      </c>
      <c r="V2902" s="31" t="str">
        <f>IF(H2902="CHK",VLOOKUP(I2902,QCCHK,3,),IF(H2902="GUP",VLOOKUP(E2902,QCGUP,2,),IF(AND(H2902="ATP",OR(I2902="TN",I2902="TDN",I2902="TNO2-3",I2902="NO2-3")),VLOOKUP(E2902,QCREC_N,2,),IF(AND(H2902="NIC",OR(I2902="TN",I2902="TDN",I2902="TNO2-3",I2902="NO2-3")),VLOOKUP(E2902,QCNIC_N,2,),IF(AND(H2902="UREA",OR(I2902="TN",I2902="TDN",I2902="TNO2-3",I2902="NO2-3")),VLOOKUP(E2902,QCUREA_N,2,),IF(H2902="PER",VLOOKUP(I2902,QCPER,MATCH(E2902,QCACTUAL!$J$25:$AA$25,0),),IF(H2902="SPK",VLOOKUP(I2902,QCSPK,3,),IF(AND(H2902="ATP",OR(I2902="TP",I2902="TDP")),VLOOKUP(E2902,QCATP_P,2,),""))))))))</f>
        <v/>
      </c>
      <c r="W2902" s="31" t="str">
        <f t="shared" si="330"/>
        <v>TRUE</v>
      </c>
      <c r="X2902" s="31" t="str">
        <f t="shared" si="327"/>
        <v/>
      </c>
      <c r="Y2902" s="10" t="s">
        <v>1188</v>
      </c>
      <c r="AF2902" s="12">
        <v>44966</v>
      </c>
      <c r="AH2902" s="10">
        <f>-2.9408*3.27^2+89.45*3.27-43.664</f>
        <v>217.39181968000003</v>
      </c>
      <c r="AI2902" s="10">
        <f>-1.7314*3.27^2+83.401*3.27-37.87</f>
        <v>216.33758294</v>
      </c>
      <c r="AK2902" s="10">
        <f>0.1051*3.27^2+65.423*3.27-19.469</f>
        <v>195.58803379</v>
      </c>
      <c r="AL2902" s="10" t="str">
        <f t="shared" si="325"/>
        <v>FALSE</v>
      </c>
      <c r="AM2902" s="10" t="str">
        <f t="shared" si="325"/>
        <v>y=-2.9408*3.27^2+89.45*3.27-43.664</v>
      </c>
      <c r="AN2902" s="10" t="str">
        <f t="shared" si="325"/>
        <v>y=-1.7314*3.27^2+83.401*3.27-37.87</v>
      </c>
      <c r="AO2902" s="10" t="str">
        <f t="shared" si="326"/>
        <v>FALSE</v>
      </c>
      <c r="AP2902" s="10" t="str">
        <f t="shared" si="326"/>
        <v>y=0.1051*3.27^2+65.423*3.27-19.469</v>
      </c>
      <c r="AQ2902" s="10" t="b">
        <f>IF(AND(I2902="TP",S2902&lt;=150),VLOOKUP(AF2902,TPCalibEq150!$AZ$2:$BB$55,3,),IF(AND(I2902="TDP",S2902&lt;=150),VLOOKUP(AF2902,TPCalibEq150!$AZ$2:$BB$55,3,)))</f>
        <v>0</v>
      </c>
      <c r="AR2902" s="10" t="str">
        <f>IF(AND(I2902="TP",S2902&lt;=300),VLOOKUP(AF2902,TPCalibEq300!$AZ$2:$BB$55,3,),IF(AND(I2902="TDP",S2902&lt;=300),VLOOKUP(AF2902,TPCalibEq300!$AZ$2:$BB$55,3,)))</f>
        <v>y=-2.9408x2+89.45x-43.664</v>
      </c>
      <c r="AS2902" s="10" t="str">
        <f>IF(AND(I2902="TP",S2902&lt;=500),VLOOKUP(AF2902,TPCalibEq500!$AZ$2:$BB$56,3,),IF(AND(I2902="TDP",S2902&lt;=500),VLOOKUP(AF2902,TPCalibEq500!$AZ$2:$BB$56,3,)))</f>
        <v>y=-1.7314x2+83.401x-37.87</v>
      </c>
      <c r="AT2902" s="10" t="b">
        <f>IF(AND(I2902="TN",S2902&lt;=2800),VLOOKUP(AF2902,TNCalibEq2500!$AZ$2:$BB$56,3,),IF(AND(I2902="TDN",S2902&lt;=2800),VLOOKUP(AF2902,TNCalibEq2500!$AZ$2:$BB$56,3,)))</f>
        <v>0</v>
      </c>
      <c r="AU2902" s="10" t="str">
        <f>IF(I2902="TP",VLOOKUP(AF2902,TPCalibEqFull!$AZ$2:$BB$56,3),IF(I2902="TDP",VLOOKUP(AF2902,TPCalibEqFull!$AZ$2:$BB$56,3),IF(I2902="TDN",VLOOKUP(AF2902,TNCalibEqFull!$AZ$1:$BB$56,3),IF(I2902="TN",VLOOKUP(AF2902,TNCalibEqFull!$AZ$1:$BB$56,3),FALSE))))</f>
        <v>y=0.1051x2+65.423x-19.469</v>
      </c>
      <c r="AV2902" s="10" t="str">
        <f t="shared" si="331"/>
        <v>0208 10:37:20-EMB-10-FIL-1-SW-UKN</v>
      </c>
    </row>
    <row r="2903" spans="1:48" s="10" customFormat="1" x14ac:dyDescent="0.55000000000000004">
      <c r="A2903" s="32">
        <v>44965</v>
      </c>
      <c r="B2903" s="33">
        <v>0.44490740740740736</v>
      </c>
      <c r="C2903" s="10" t="s">
        <v>646</v>
      </c>
      <c r="D2903" s="10">
        <v>20</v>
      </c>
      <c r="E2903" s="10" t="s">
        <v>911</v>
      </c>
      <c r="F2903" s="10">
        <v>1</v>
      </c>
      <c r="G2903" s="10" t="s">
        <v>231</v>
      </c>
      <c r="H2903" s="10" t="s">
        <v>322</v>
      </c>
      <c r="I2903" s="10" t="s">
        <v>266</v>
      </c>
      <c r="J2903" s="10">
        <v>101</v>
      </c>
      <c r="K2903" s="12">
        <v>44966</v>
      </c>
      <c r="L2903" s="33">
        <v>0.66893518518518524</v>
      </c>
      <c r="M2903" s="10">
        <v>1</v>
      </c>
      <c r="N2903" s="10" t="s">
        <v>84</v>
      </c>
      <c r="O2903" s="10">
        <v>2.59</v>
      </c>
      <c r="P2903" s="10">
        <v>0.182</v>
      </c>
      <c r="Q2903" s="10">
        <v>151</v>
      </c>
      <c r="R2903" s="10" t="s">
        <v>85</v>
      </c>
      <c r="S2903" s="34">
        <f t="shared" si="328"/>
        <v>168.28431952</v>
      </c>
      <c r="T2903" s="10" t="s">
        <v>1201</v>
      </c>
      <c r="U2903" s="34" t="str">
        <f t="shared" si="329"/>
        <v/>
      </c>
      <c r="V2903" s="31" t="str">
        <f>IF(H2903="CHK",VLOOKUP(I2903,QCCHK,3,),IF(H2903="GUP",VLOOKUP(E2903,QCGUP,2,),IF(AND(H2903="ATP",OR(I2903="TN",I2903="TDN",I2903="TNO2-3",I2903="NO2-3")),VLOOKUP(E2903,QCREC_N,2,),IF(AND(H2903="NIC",OR(I2903="TN",I2903="TDN",I2903="TNO2-3",I2903="NO2-3")),VLOOKUP(E2903,QCNIC_N,2,),IF(AND(H2903="UREA",OR(I2903="TN",I2903="TDN",I2903="TNO2-3",I2903="NO2-3")),VLOOKUP(E2903,QCUREA_N,2,),IF(H2903="PER",VLOOKUP(I2903,QCPER,MATCH(E2903,QCACTUAL!$J$25:$AA$25,0),),IF(H2903="SPK",VLOOKUP(I2903,QCSPK,3,),IF(AND(H2903="ATP",OR(I2903="TP",I2903="TDP")),VLOOKUP(E2903,QCATP_P,2,),""))))))))</f>
        <v/>
      </c>
      <c r="W2903" s="31" t="str">
        <f t="shared" si="330"/>
        <v>TRUE</v>
      </c>
      <c r="X2903" s="31" t="str">
        <f t="shared" si="327"/>
        <v/>
      </c>
      <c r="Y2903" s="10" t="s">
        <v>1188</v>
      </c>
      <c r="AF2903" s="12">
        <v>44966</v>
      </c>
      <c r="AH2903" s="10">
        <f>-2.9408*2.59^2+89.45*2.59-43.664</f>
        <v>168.28431952</v>
      </c>
      <c r="AI2903" s="10">
        <f>-1.7314*2.59^2+83.401*2.59-37.87</f>
        <v>166.52418565999997</v>
      </c>
      <c r="AK2903" s="10">
        <f>0.1051*2.59^2+65.423*2.59-19.469</f>
        <v>150.68159131000002</v>
      </c>
      <c r="AL2903" s="10" t="str">
        <f t="shared" si="325"/>
        <v>FALSE</v>
      </c>
      <c r="AM2903" s="10" t="str">
        <f t="shared" si="325"/>
        <v>y=-2.9408*2.59^2+89.45*2.59-43.664</v>
      </c>
      <c r="AN2903" s="10" t="str">
        <f t="shared" si="325"/>
        <v>y=-1.7314*2.59^2+83.401*2.59-37.87</v>
      </c>
      <c r="AO2903" s="10" t="str">
        <f t="shared" si="326"/>
        <v>FALSE</v>
      </c>
      <c r="AP2903" s="10" t="str">
        <f t="shared" si="326"/>
        <v>y=0.1051*2.59^2+65.423*2.59-19.469</v>
      </c>
      <c r="AQ2903" s="10" t="b">
        <f>IF(AND(I2903="TP",S2903&lt;=150),VLOOKUP(AF2903,TPCalibEq150!$AZ$2:$BB$55,3,),IF(AND(I2903="TDP",S2903&lt;=150),VLOOKUP(AF2903,TPCalibEq150!$AZ$2:$BB$55,3,)))</f>
        <v>0</v>
      </c>
      <c r="AR2903" s="10" t="str">
        <f>IF(AND(I2903="TP",S2903&lt;=300),VLOOKUP(AF2903,TPCalibEq300!$AZ$2:$BB$55,3,),IF(AND(I2903="TDP",S2903&lt;=300),VLOOKUP(AF2903,TPCalibEq300!$AZ$2:$BB$55,3,)))</f>
        <v>y=-2.9408x2+89.45x-43.664</v>
      </c>
      <c r="AS2903" s="10" t="str">
        <f>IF(AND(I2903="TP",S2903&lt;=500),VLOOKUP(AF2903,TPCalibEq500!$AZ$2:$BB$56,3,),IF(AND(I2903="TDP",S2903&lt;=500),VLOOKUP(AF2903,TPCalibEq500!$AZ$2:$BB$56,3,)))</f>
        <v>y=-1.7314x2+83.401x-37.87</v>
      </c>
      <c r="AT2903" s="10" t="b">
        <f>IF(AND(I2903="TN",S2903&lt;=2800),VLOOKUP(AF2903,TNCalibEq2500!$AZ$2:$BB$56,3,),IF(AND(I2903="TDN",S2903&lt;=2800),VLOOKUP(AF2903,TNCalibEq2500!$AZ$2:$BB$56,3,)))</f>
        <v>0</v>
      </c>
      <c r="AU2903" s="10" t="str">
        <f>IF(I2903="TP",VLOOKUP(AF2903,TPCalibEqFull!$AZ$2:$BB$56,3),IF(I2903="TDP",VLOOKUP(AF2903,TPCalibEqFull!$AZ$2:$BB$56,3),IF(I2903="TDN",VLOOKUP(AF2903,TNCalibEqFull!$AZ$1:$BB$56,3),IF(I2903="TN",VLOOKUP(AF2903,TNCalibEqFull!$AZ$1:$BB$56,3),FALSE))))</f>
        <v>y=0.1051x2+65.423x-19.469</v>
      </c>
      <c r="AV2903" s="10" t="str">
        <f t="shared" si="331"/>
        <v>0208 10:40:40-EMB-20-FIL-1-SW-UKN</v>
      </c>
    </row>
    <row r="2904" spans="1:48" s="10" customFormat="1" x14ac:dyDescent="0.55000000000000004">
      <c r="A2904" s="32">
        <v>44965</v>
      </c>
      <c r="B2904" s="33">
        <v>0.44780092592592591</v>
      </c>
      <c r="C2904" s="10" t="s">
        <v>646</v>
      </c>
      <c r="D2904" s="10">
        <v>69</v>
      </c>
      <c r="E2904" s="10" t="s">
        <v>911</v>
      </c>
      <c r="F2904" s="10">
        <v>1</v>
      </c>
      <c r="G2904" s="10" t="s">
        <v>231</v>
      </c>
      <c r="H2904" s="10" t="s">
        <v>322</v>
      </c>
      <c r="I2904" s="10" t="s">
        <v>266</v>
      </c>
      <c r="J2904" s="10">
        <v>102</v>
      </c>
      <c r="K2904" s="12">
        <v>44966</v>
      </c>
      <c r="L2904" s="33">
        <v>0.66961805555555554</v>
      </c>
      <c r="M2904" s="10">
        <v>1</v>
      </c>
      <c r="N2904" s="10" t="s">
        <v>84</v>
      </c>
      <c r="O2904" s="10">
        <v>2.98</v>
      </c>
      <c r="P2904" s="10">
        <v>0.20899999999999999</v>
      </c>
      <c r="Q2904" s="10">
        <v>177</v>
      </c>
      <c r="R2904" s="10" t="s">
        <v>85</v>
      </c>
      <c r="S2904" s="34">
        <f t="shared" si="328"/>
        <v>196.78151967999997</v>
      </c>
      <c r="T2904" s="10" t="s">
        <v>1201</v>
      </c>
      <c r="U2904" s="34" t="str">
        <f t="shared" si="329"/>
        <v/>
      </c>
      <c r="V2904" s="31" t="str">
        <f>IF(H2904="CHK",VLOOKUP(I2904,QCCHK,3,),IF(H2904="GUP",VLOOKUP(E2904,QCGUP,2,),IF(AND(H2904="ATP",OR(I2904="TN",I2904="TDN",I2904="TNO2-3",I2904="NO2-3")),VLOOKUP(E2904,QCREC_N,2,),IF(AND(H2904="NIC",OR(I2904="TN",I2904="TDN",I2904="TNO2-3",I2904="NO2-3")),VLOOKUP(E2904,QCNIC_N,2,),IF(AND(H2904="UREA",OR(I2904="TN",I2904="TDN",I2904="TNO2-3",I2904="NO2-3")),VLOOKUP(E2904,QCUREA_N,2,),IF(H2904="PER",VLOOKUP(I2904,QCPER,MATCH(E2904,QCACTUAL!$J$25:$AA$25,0),),IF(H2904="SPK",VLOOKUP(I2904,QCSPK,3,),IF(AND(H2904="ATP",OR(I2904="TP",I2904="TDP")),VLOOKUP(E2904,QCATP_P,2,),""))))))))</f>
        <v/>
      </c>
      <c r="W2904" s="31" t="str">
        <f t="shared" si="330"/>
        <v>TRUE</v>
      </c>
      <c r="X2904" s="31" t="str">
        <f t="shared" si="327"/>
        <v/>
      </c>
      <c r="Y2904" s="10" t="s">
        <v>1188</v>
      </c>
      <c r="AF2904" s="12">
        <v>44966</v>
      </c>
      <c r="AH2904" s="10">
        <f>-2.9408*2.98^2+89.45*2.98-43.664</f>
        <v>196.78151967999997</v>
      </c>
      <c r="AI2904" s="10">
        <f>-1.7314*2.98^2+83.401*2.98-37.87</f>
        <v>195.28945543999998</v>
      </c>
      <c r="AK2904" s="10">
        <f>0.1051*2.98^2+65.423*2.98-19.469</f>
        <v>176.42487004</v>
      </c>
      <c r="AL2904" s="10" t="str">
        <f t="shared" si="325"/>
        <v>FALSE</v>
      </c>
      <c r="AM2904" s="10" t="str">
        <f t="shared" si="325"/>
        <v>y=-2.9408*2.98^2+89.45*2.98-43.664</v>
      </c>
      <c r="AN2904" s="10" t="str">
        <f t="shared" si="325"/>
        <v>y=-1.7314*2.98^2+83.401*2.98-37.87</v>
      </c>
      <c r="AO2904" s="10" t="str">
        <f t="shared" si="326"/>
        <v>FALSE</v>
      </c>
      <c r="AP2904" s="10" t="str">
        <f t="shared" si="326"/>
        <v>y=0.1051*2.98^2+65.423*2.98-19.469</v>
      </c>
      <c r="AQ2904" s="10" t="b">
        <f>IF(AND(I2904="TP",S2904&lt;=150),VLOOKUP(AF2904,TPCalibEq150!$AZ$2:$BB$55,3,),IF(AND(I2904="TDP",S2904&lt;=150),VLOOKUP(AF2904,TPCalibEq150!$AZ$2:$BB$55,3,)))</f>
        <v>0</v>
      </c>
      <c r="AR2904" s="10" t="str">
        <f>IF(AND(I2904="TP",S2904&lt;=300),VLOOKUP(AF2904,TPCalibEq300!$AZ$2:$BB$55,3,),IF(AND(I2904="TDP",S2904&lt;=300),VLOOKUP(AF2904,TPCalibEq300!$AZ$2:$BB$55,3,)))</f>
        <v>y=-2.9408x2+89.45x-43.664</v>
      </c>
      <c r="AS2904" s="10" t="str">
        <f>IF(AND(I2904="TP",S2904&lt;=500),VLOOKUP(AF2904,TPCalibEq500!$AZ$2:$BB$56,3,),IF(AND(I2904="TDP",S2904&lt;=500),VLOOKUP(AF2904,TPCalibEq500!$AZ$2:$BB$56,3,)))</f>
        <v>y=-1.7314x2+83.401x-37.87</v>
      </c>
      <c r="AT2904" s="10" t="b">
        <f>IF(AND(I2904="TN",S2904&lt;=2800),VLOOKUP(AF2904,TNCalibEq2500!$AZ$2:$BB$56,3,),IF(AND(I2904="TDN",S2904&lt;=2800),VLOOKUP(AF2904,TNCalibEq2500!$AZ$2:$BB$56,3,)))</f>
        <v>0</v>
      </c>
      <c r="AU2904" s="10" t="str">
        <f>IF(I2904="TP",VLOOKUP(AF2904,TPCalibEqFull!$AZ$2:$BB$56,3),IF(I2904="TDP",VLOOKUP(AF2904,TPCalibEqFull!$AZ$2:$BB$56,3),IF(I2904="TDN",VLOOKUP(AF2904,TNCalibEqFull!$AZ$1:$BB$56,3),IF(I2904="TN",VLOOKUP(AF2904,TNCalibEqFull!$AZ$1:$BB$56,3),FALSE))))</f>
        <v>y=0.1051x2+65.423x-19.469</v>
      </c>
      <c r="AV2904" s="10" t="str">
        <f t="shared" si="331"/>
        <v>0208 10:44:50-EMB-69-FIL-1-SW-UKN</v>
      </c>
    </row>
    <row r="2905" spans="1:48" s="10" customFormat="1" x14ac:dyDescent="0.55000000000000004">
      <c r="A2905" s="32">
        <v>44965</v>
      </c>
      <c r="B2905" s="33">
        <v>0.39953703703703702</v>
      </c>
      <c r="C2905" s="10" t="s">
        <v>287</v>
      </c>
      <c r="D2905" s="10">
        <v>0</v>
      </c>
      <c r="E2905" s="10" t="s">
        <v>911</v>
      </c>
      <c r="F2905" s="10">
        <v>1</v>
      </c>
      <c r="G2905" s="10" t="s">
        <v>231</v>
      </c>
      <c r="H2905" s="10" t="s">
        <v>322</v>
      </c>
      <c r="I2905" s="10" t="s">
        <v>266</v>
      </c>
      <c r="J2905" s="10">
        <v>103</v>
      </c>
      <c r="K2905" s="12">
        <v>44966</v>
      </c>
      <c r="L2905" s="33">
        <v>0.67031249999999998</v>
      </c>
      <c r="M2905" s="10">
        <v>1</v>
      </c>
      <c r="N2905" s="10" t="s">
        <v>84</v>
      </c>
      <c r="O2905" s="10">
        <v>1.96</v>
      </c>
      <c r="P2905" s="10">
        <v>0.13600000000000001</v>
      </c>
      <c r="Q2905" s="10">
        <v>110</v>
      </c>
      <c r="R2905" s="10" t="s">
        <v>85</v>
      </c>
      <c r="S2905" s="34">
        <f t="shared" si="328"/>
        <v>124.48851360000002</v>
      </c>
      <c r="T2905" s="10" t="s">
        <v>1201</v>
      </c>
      <c r="U2905" s="34" t="str">
        <f t="shared" si="329"/>
        <v/>
      </c>
      <c r="V2905" s="31" t="str">
        <f>IF(H2905="CHK",VLOOKUP(I2905,QCCHK,3,),IF(H2905="GUP",VLOOKUP(E2905,QCGUP,2,),IF(AND(H2905="ATP",OR(I2905="TN",I2905="TDN",I2905="TNO2-3",I2905="NO2-3")),VLOOKUP(E2905,QCREC_N,2,),IF(AND(H2905="NIC",OR(I2905="TN",I2905="TDN",I2905="TNO2-3",I2905="NO2-3")),VLOOKUP(E2905,QCNIC_N,2,),IF(AND(H2905="UREA",OR(I2905="TN",I2905="TDN",I2905="TNO2-3",I2905="NO2-3")),VLOOKUP(E2905,QCUREA_N,2,),IF(H2905="PER",VLOOKUP(I2905,QCPER,MATCH(E2905,QCACTUAL!$J$25:$AA$25,0),),IF(H2905="SPK",VLOOKUP(I2905,QCSPK,3,),IF(AND(H2905="ATP",OR(I2905="TP",I2905="TDP")),VLOOKUP(E2905,QCATP_P,2,),""))))))))</f>
        <v/>
      </c>
      <c r="W2905" s="31" t="str">
        <f t="shared" si="330"/>
        <v>TRUE</v>
      </c>
      <c r="X2905" s="31" t="str">
        <f t="shared" si="327"/>
        <v/>
      </c>
      <c r="Y2905" s="10" t="s">
        <v>1188</v>
      </c>
      <c r="AF2905" s="12">
        <v>44966</v>
      </c>
      <c r="AG2905" s="10">
        <f>-11.204*1.96^2+113.68*1.96-55.283</f>
        <v>124.48851360000002</v>
      </c>
      <c r="AH2905" s="10">
        <f>-2.9408*1.96^2+89.45*1.96-43.664</f>
        <v>120.36062271999999</v>
      </c>
      <c r="AI2905" s="10">
        <f>-1.7314*1.96^2+83.401*1.96-37.87</f>
        <v>118.94461375999998</v>
      </c>
      <c r="AK2905" s="10">
        <f>0.1051*1.96^2+65.423*1.96-19.469</f>
        <v>109.16383216000003</v>
      </c>
      <c r="AL2905" s="10" t="str">
        <f t="shared" si="325"/>
        <v>y=-11.204*1.96^2+113.68*1.96-55.283</v>
      </c>
      <c r="AM2905" s="10" t="str">
        <f t="shared" si="325"/>
        <v>y=-2.9408*1.96^2+89.45*1.96-43.664</v>
      </c>
      <c r="AN2905" s="10" t="str">
        <f t="shared" si="325"/>
        <v>y=-1.7314*1.96^2+83.401*1.96-37.87</v>
      </c>
      <c r="AO2905" s="10" t="str">
        <f t="shared" si="326"/>
        <v>FALSE</v>
      </c>
      <c r="AP2905" s="10" t="str">
        <f t="shared" si="326"/>
        <v>y=0.1051*1.96^2+65.423*1.96-19.469</v>
      </c>
      <c r="AQ2905" s="10" t="str">
        <f>IF(AND(I2905="TP",S2905&lt;=150),VLOOKUP(AF2905,TPCalibEq150!$AZ$2:$BB$55,3,),IF(AND(I2905="TDP",S2905&lt;=150),VLOOKUP(AF2905,TPCalibEq150!$AZ$2:$BB$55,3,)))</f>
        <v>y=-11.204x2+113.68x-55.283</v>
      </c>
      <c r="AR2905" s="10" t="str">
        <f>IF(AND(I2905="TP",S2905&lt;=300),VLOOKUP(AF2905,TPCalibEq300!$AZ$2:$BB$55,3,),IF(AND(I2905="TDP",S2905&lt;=300),VLOOKUP(AF2905,TPCalibEq300!$AZ$2:$BB$55,3,)))</f>
        <v>y=-2.9408x2+89.45x-43.664</v>
      </c>
      <c r="AS2905" s="10" t="str">
        <f>IF(AND(I2905="TP",S2905&lt;=500),VLOOKUP(AF2905,TPCalibEq500!$AZ$2:$BB$56,3,),IF(AND(I2905="TDP",S2905&lt;=500),VLOOKUP(AF2905,TPCalibEq500!$AZ$2:$BB$56,3,)))</f>
        <v>y=-1.7314x2+83.401x-37.87</v>
      </c>
      <c r="AT2905" s="10" t="b">
        <f>IF(AND(I2905="TN",S2905&lt;=2800),VLOOKUP(AF2905,TNCalibEq2500!$AZ$2:$BB$56,3,),IF(AND(I2905="TDN",S2905&lt;=2800),VLOOKUP(AF2905,TNCalibEq2500!$AZ$2:$BB$56,3,)))</f>
        <v>0</v>
      </c>
      <c r="AU2905" s="10" t="str">
        <f>IF(I2905="TP",VLOOKUP(AF2905,TPCalibEqFull!$AZ$2:$BB$56,3),IF(I2905="TDP",VLOOKUP(AF2905,TPCalibEqFull!$AZ$2:$BB$56,3),IF(I2905="TDN",VLOOKUP(AF2905,TNCalibEqFull!$AZ$1:$BB$56,3),IF(I2905="TN",VLOOKUP(AF2905,TNCalibEqFull!$AZ$1:$BB$56,3),FALSE))))</f>
        <v>y=0.1051x2+65.423x-19.469</v>
      </c>
      <c r="AV2905" s="10" t="str">
        <f t="shared" si="331"/>
        <v>0208 09:35:20-EFL-0-FIL-1-SW-UKN</v>
      </c>
    </row>
    <row r="2906" spans="1:48" s="10" customFormat="1" x14ac:dyDescent="0.55000000000000004">
      <c r="A2906" s="32">
        <v>44965</v>
      </c>
      <c r="B2906" s="33">
        <v>0.40185185185185185</v>
      </c>
      <c r="C2906" s="10" t="s">
        <v>287</v>
      </c>
      <c r="D2906" s="10">
        <v>5</v>
      </c>
      <c r="E2906" s="10" t="s">
        <v>911</v>
      </c>
      <c r="F2906" s="10">
        <v>1</v>
      </c>
      <c r="G2906" s="10" t="s">
        <v>231</v>
      </c>
      <c r="H2906" s="10" t="s">
        <v>322</v>
      </c>
      <c r="I2906" s="10" t="s">
        <v>266</v>
      </c>
      <c r="J2906" s="10">
        <v>104</v>
      </c>
      <c r="K2906" s="12">
        <v>44966</v>
      </c>
      <c r="L2906" s="33">
        <v>0.67099537037037038</v>
      </c>
      <c r="M2906" s="10">
        <v>1</v>
      </c>
      <c r="N2906" s="10" t="s">
        <v>84</v>
      </c>
      <c r="O2906" s="10">
        <v>2.88</v>
      </c>
      <c r="P2906" s="10">
        <v>0.20100000000000001</v>
      </c>
      <c r="Q2906" s="10">
        <v>170</v>
      </c>
      <c r="R2906" s="10" t="s">
        <v>85</v>
      </c>
      <c r="S2906" s="34">
        <f t="shared" si="328"/>
        <v>189.55982847999996</v>
      </c>
      <c r="T2906" s="10" t="s">
        <v>1201</v>
      </c>
      <c r="U2906" s="34" t="str">
        <f t="shared" si="329"/>
        <v/>
      </c>
      <c r="V2906" s="31" t="str">
        <f>IF(H2906="CHK",VLOOKUP(I2906,QCCHK,3,),IF(H2906="GUP",VLOOKUP(E2906,QCGUP,2,),IF(AND(H2906="ATP",OR(I2906="TN",I2906="TDN",I2906="TNO2-3",I2906="NO2-3")),VLOOKUP(E2906,QCREC_N,2,),IF(AND(H2906="NIC",OR(I2906="TN",I2906="TDN",I2906="TNO2-3",I2906="NO2-3")),VLOOKUP(E2906,QCNIC_N,2,),IF(AND(H2906="UREA",OR(I2906="TN",I2906="TDN",I2906="TNO2-3",I2906="NO2-3")),VLOOKUP(E2906,QCUREA_N,2,),IF(H2906="PER",VLOOKUP(I2906,QCPER,MATCH(E2906,QCACTUAL!$J$25:$AA$25,0),),IF(H2906="SPK",VLOOKUP(I2906,QCSPK,3,),IF(AND(H2906="ATP",OR(I2906="TP",I2906="TDP")),VLOOKUP(E2906,QCATP_P,2,),""))))))))</f>
        <v/>
      </c>
      <c r="W2906" s="31" t="str">
        <f t="shared" si="330"/>
        <v>TRUE</v>
      </c>
      <c r="X2906" s="31" t="str">
        <f t="shared" si="327"/>
        <v/>
      </c>
      <c r="Y2906" s="10" t="s">
        <v>1188</v>
      </c>
      <c r="AF2906" s="12">
        <v>44966</v>
      </c>
      <c r="AH2906" s="10">
        <f>-2.9408*2.88^2+89.45*2.88-43.664</f>
        <v>189.55982847999996</v>
      </c>
      <c r="AI2906" s="10">
        <f>-1.7314*2.88^2+83.401*2.88-37.87</f>
        <v>187.96395583999998</v>
      </c>
      <c r="AK2906" s="10">
        <f>0.1051*2.88^2+65.423*2.88-19.469</f>
        <v>169.82098144</v>
      </c>
      <c r="AL2906" s="10" t="str">
        <f t="shared" si="325"/>
        <v>FALSE</v>
      </c>
      <c r="AM2906" s="10" t="str">
        <f t="shared" si="325"/>
        <v>y=-2.9408*2.88^2+89.45*2.88-43.664</v>
      </c>
      <c r="AN2906" s="10" t="str">
        <f t="shared" si="325"/>
        <v>y=-1.7314*2.88^2+83.401*2.88-37.87</v>
      </c>
      <c r="AO2906" s="10" t="str">
        <f t="shared" si="326"/>
        <v>FALSE</v>
      </c>
      <c r="AP2906" s="10" t="str">
        <f t="shared" si="326"/>
        <v>y=0.1051*2.88^2+65.423*2.88-19.469</v>
      </c>
      <c r="AQ2906" s="10" t="b">
        <f>IF(AND(I2906="TP",S2906&lt;=150),VLOOKUP(AF2906,TPCalibEq150!$AZ$2:$BB$55,3,),IF(AND(I2906="TDP",S2906&lt;=150),VLOOKUP(AF2906,TPCalibEq150!$AZ$2:$BB$55,3,)))</f>
        <v>0</v>
      </c>
      <c r="AR2906" s="10" t="str">
        <f>IF(AND(I2906="TP",S2906&lt;=300),VLOOKUP(AF2906,TPCalibEq300!$AZ$2:$BB$55,3,),IF(AND(I2906="TDP",S2906&lt;=300),VLOOKUP(AF2906,TPCalibEq300!$AZ$2:$BB$55,3,)))</f>
        <v>y=-2.9408x2+89.45x-43.664</v>
      </c>
      <c r="AS2906" s="10" t="str">
        <f>IF(AND(I2906="TP",S2906&lt;=500),VLOOKUP(AF2906,TPCalibEq500!$AZ$2:$BB$56,3,),IF(AND(I2906="TDP",S2906&lt;=500),VLOOKUP(AF2906,TPCalibEq500!$AZ$2:$BB$56,3,)))</f>
        <v>y=-1.7314x2+83.401x-37.87</v>
      </c>
      <c r="AT2906" s="10" t="b">
        <f>IF(AND(I2906="TN",S2906&lt;=2800),VLOOKUP(AF2906,TNCalibEq2500!$AZ$2:$BB$56,3,),IF(AND(I2906="TDN",S2906&lt;=2800),VLOOKUP(AF2906,TNCalibEq2500!$AZ$2:$BB$56,3,)))</f>
        <v>0</v>
      </c>
      <c r="AU2906" s="10" t="str">
        <f>IF(I2906="TP",VLOOKUP(AF2906,TPCalibEqFull!$AZ$2:$BB$56,3),IF(I2906="TDP",VLOOKUP(AF2906,TPCalibEqFull!$AZ$2:$BB$56,3),IF(I2906="TDN",VLOOKUP(AF2906,TNCalibEqFull!$AZ$1:$BB$56,3),IF(I2906="TN",VLOOKUP(AF2906,TNCalibEqFull!$AZ$1:$BB$56,3),FALSE))))</f>
        <v>y=0.1051x2+65.423x-19.469</v>
      </c>
      <c r="AV2906" s="10" t="str">
        <f t="shared" si="331"/>
        <v>0208 09:38:40-EFL-5-FIL-1-SW-UKN</v>
      </c>
    </row>
    <row r="2907" spans="1:48" s="10" customFormat="1" x14ac:dyDescent="0.55000000000000004">
      <c r="A2907" s="32">
        <v>44965</v>
      </c>
      <c r="B2907" s="33">
        <v>0.40416666666666662</v>
      </c>
      <c r="C2907" s="10" t="s">
        <v>287</v>
      </c>
      <c r="D2907" s="10">
        <v>10</v>
      </c>
      <c r="E2907" s="10" t="s">
        <v>911</v>
      </c>
      <c r="F2907" s="10">
        <v>1</v>
      </c>
      <c r="G2907" s="10" t="s">
        <v>231</v>
      </c>
      <c r="H2907" s="10" t="s">
        <v>322</v>
      </c>
      <c r="I2907" s="10" t="s">
        <v>266</v>
      </c>
      <c r="J2907" s="10">
        <v>105</v>
      </c>
      <c r="K2907" s="12">
        <v>44966</v>
      </c>
      <c r="L2907" s="33">
        <v>0.67168981481481482</v>
      </c>
      <c r="M2907" s="10">
        <v>1</v>
      </c>
      <c r="N2907" s="10" t="s">
        <v>84</v>
      </c>
      <c r="O2907" s="10">
        <v>2.87</v>
      </c>
      <c r="P2907" s="10">
        <v>0.20100000000000001</v>
      </c>
      <c r="Q2907" s="10">
        <v>170</v>
      </c>
      <c r="R2907" s="10" t="s">
        <v>85</v>
      </c>
      <c r="S2907" s="34">
        <f t="shared" si="328"/>
        <v>188.83442448</v>
      </c>
      <c r="T2907" s="10" t="s">
        <v>1201</v>
      </c>
      <c r="U2907" s="34" t="str">
        <f t="shared" si="329"/>
        <v/>
      </c>
      <c r="V2907" s="31" t="str">
        <f>IF(H2907="CHK",VLOOKUP(I2907,QCCHK,3,),IF(H2907="GUP",VLOOKUP(E2907,QCGUP,2,),IF(AND(H2907="ATP",OR(I2907="TN",I2907="TDN",I2907="TNO2-3",I2907="NO2-3")),VLOOKUP(E2907,QCREC_N,2,),IF(AND(H2907="NIC",OR(I2907="TN",I2907="TDN",I2907="TNO2-3",I2907="NO2-3")),VLOOKUP(E2907,QCNIC_N,2,),IF(AND(H2907="UREA",OR(I2907="TN",I2907="TDN",I2907="TNO2-3",I2907="NO2-3")),VLOOKUP(E2907,QCUREA_N,2,),IF(H2907="PER",VLOOKUP(I2907,QCPER,MATCH(E2907,QCACTUAL!$J$25:$AA$25,0),),IF(H2907="SPK",VLOOKUP(I2907,QCSPK,3,),IF(AND(H2907="ATP",OR(I2907="TP",I2907="TDP")),VLOOKUP(E2907,QCATP_P,2,),""))))))))</f>
        <v/>
      </c>
      <c r="W2907" s="31" t="str">
        <f t="shared" si="330"/>
        <v>TRUE</v>
      </c>
      <c r="X2907" s="31" t="str">
        <f t="shared" si="327"/>
        <v/>
      </c>
      <c r="Y2907" s="10" t="s">
        <v>1188</v>
      </c>
      <c r="AF2907" s="12">
        <v>44966</v>
      </c>
      <c r="AH2907" s="10">
        <f>-2.9408*2.87^2+89.45*2.87-43.664</f>
        <v>188.83442448</v>
      </c>
      <c r="AI2907" s="10">
        <f>-1.7314*2.87^2+83.401*2.87-37.87</f>
        <v>187.22950134000001</v>
      </c>
      <c r="AK2907" s="10">
        <f>0.1051*2.87^2+65.423*2.87-19.469</f>
        <v>169.16070819000001</v>
      </c>
      <c r="AL2907" s="10" t="str">
        <f t="shared" si="325"/>
        <v>FALSE</v>
      </c>
      <c r="AM2907" s="10" t="str">
        <f t="shared" si="325"/>
        <v>y=-2.9408*2.87^2+89.45*2.87-43.664</v>
      </c>
      <c r="AN2907" s="10" t="str">
        <f t="shared" si="325"/>
        <v>y=-1.7314*2.87^2+83.401*2.87-37.87</v>
      </c>
      <c r="AO2907" s="10" t="str">
        <f t="shared" si="326"/>
        <v>FALSE</v>
      </c>
      <c r="AP2907" s="10" t="str">
        <f t="shared" si="326"/>
        <v>y=0.1051*2.87^2+65.423*2.87-19.469</v>
      </c>
      <c r="AQ2907" s="10" t="b">
        <f>IF(AND(I2907="TP",S2907&lt;=150),VLOOKUP(AF2907,TPCalibEq150!$AZ$2:$BB$55,3,),IF(AND(I2907="TDP",S2907&lt;=150),VLOOKUP(AF2907,TPCalibEq150!$AZ$2:$BB$55,3,)))</f>
        <v>0</v>
      </c>
      <c r="AR2907" s="10" t="str">
        <f>IF(AND(I2907="TP",S2907&lt;=300),VLOOKUP(AF2907,TPCalibEq300!$AZ$2:$BB$55,3,),IF(AND(I2907="TDP",S2907&lt;=300),VLOOKUP(AF2907,TPCalibEq300!$AZ$2:$BB$55,3,)))</f>
        <v>y=-2.9408x2+89.45x-43.664</v>
      </c>
      <c r="AS2907" s="10" t="str">
        <f>IF(AND(I2907="TP",S2907&lt;=500),VLOOKUP(AF2907,TPCalibEq500!$AZ$2:$BB$56,3,),IF(AND(I2907="TDP",S2907&lt;=500),VLOOKUP(AF2907,TPCalibEq500!$AZ$2:$BB$56,3,)))</f>
        <v>y=-1.7314x2+83.401x-37.87</v>
      </c>
      <c r="AT2907" s="10" t="b">
        <f>IF(AND(I2907="TN",S2907&lt;=2800),VLOOKUP(AF2907,TNCalibEq2500!$AZ$2:$BB$56,3,),IF(AND(I2907="TDN",S2907&lt;=2800),VLOOKUP(AF2907,TNCalibEq2500!$AZ$2:$BB$56,3,)))</f>
        <v>0</v>
      </c>
      <c r="AU2907" s="10" t="str">
        <f>IF(I2907="TP",VLOOKUP(AF2907,TPCalibEqFull!$AZ$2:$BB$56,3),IF(I2907="TDP",VLOOKUP(AF2907,TPCalibEqFull!$AZ$2:$BB$56,3),IF(I2907="TDN",VLOOKUP(AF2907,TNCalibEqFull!$AZ$1:$BB$56,3),IF(I2907="TN",VLOOKUP(AF2907,TNCalibEqFull!$AZ$1:$BB$56,3),FALSE))))</f>
        <v>y=0.1051x2+65.423x-19.469</v>
      </c>
      <c r="AV2907" s="10" t="str">
        <f t="shared" si="331"/>
        <v>0208 09:42:00-EFL-10-FIL-1-SW-UKN</v>
      </c>
    </row>
    <row r="2908" spans="1:48" s="10" customFormat="1" x14ac:dyDescent="0.55000000000000004">
      <c r="A2908" s="32">
        <v>44965</v>
      </c>
      <c r="B2908" s="33">
        <v>0.4069444444444445</v>
      </c>
      <c r="C2908" s="10" t="s">
        <v>287</v>
      </c>
      <c r="D2908" s="10">
        <v>20</v>
      </c>
      <c r="E2908" s="10" t="s">
        <v>911</v>
      </c>
      <c r="F2908" s="10">
        <v>1</v>
      </c>
      <c r="G2908" s="10" t="s">
        <v>231</v>
      </c>
      <c r="H2908" s="10" t="s">
        <v>322</v>
      </c>
      <c r="I2908" s="10" t="s">
        <v>266</v>
      </c>
      <c r="J2908" s="10">
        <v>106</v>
      </c>
      <c r="K2908" s="12">
        <v>44966</v>
      </c>
      <c r="L2908" s="33">
        <v>0.6723958333333333</v>
      </c>
      <c r="M2908" s="10">
        <v>1</v>
      </c>
      <c r="N2908" s="10" t="s">
        <v>84</v>
      </c>
      <c r="O2908" s="10">
        <v>2.57</v>
      </c>
      <c r="P2908" s="10">
        <v>0.17899999999999999</v>
      </c>
      <c r="Q2908" s="10">
        <v>150</v>
      </c>
      <c r="R2908" s="10" t="s">
        <v>85</v>
      </c>
      <c r="S2908" s="34">
        <f t="shared" si="328"/>
        <v>166.79881008000001</v>
      </c>
      <c r="T2908" s="10" t="s">
        <v>1201</v>
      </c>
      <c r="U2908" s="34" t="str">
        <f t="shared" si="329"/>
        <v/>
      </c>
      <c r="V2908" s="31" t="str">
        <f>IF(H2908="CHK",VLOOKUP(I2908,QCCHK,3,),IF(H2908="GUP",VLOOKUP(E2908,QCGUP,2,),IF(AND(H2908="ATP",OR(I2908="TN",I2908="TDN",I2908="TNO2-3",I2908="NO2-3")),VLOOKUP(E2908,QCREC_N,2,),IF(AND(H2908="NIC",OR(I2908="TN",I2908="TDN",I2908="TNO2-3",I2908="NO2-3")),VLOOKUP(E2908,QCNIC_N,2,),IF(AND(H2908="UREA",OR(I2908="TN",I2908="TDN",I2908="TNO2-3",I2908="NO2-3")),VLOOKUP(E2908,QCUREA_N,2,),IF(H2908="PER",VLOOKUP(I2908,QCPER,MATCH(E2908,QCACTUAL!$J$25:$AA$25,0),),IF(H2908="SPK",VLOOKUP(I2908,QCSPK,3,),IF(AND(H2908="ATP",OR(I2908="TP",I2908="TDP")),VLOOKUP(E2908,QCATP_P,2,),""))))))))</f>
        <v/>
      </c>
      <c r="W2908" s="31" t="str">
        <f t="shared" si="330"/>
        <v>TRUE</v>
      </c>
      <c r="X2908" s="31" t="str">
        <f t="shared" si="327"/>
        <v/>
      </c>
      <c r="Y2908" s="10" t="s">
        <v>1188</v>
      </c>
      <c r="AF2908" s="12">
        <v>44966</v>
      </c>
      <c r="AG2908" s="10">
        <f>-11.204*2.57^2+113.68*2.57-55.283</f>
        <v>162.87330040000001</v>
      </c>
      <c r="AH2908" s="10">
        <f>-2.9408*2.57^2+89.45*2.57-43.664</f>
        <v>166.79881008000001</v>
      </c>
      <c r="AI2908" s="10">
        <f>-1.7314*2.57^2+83.401*2.57-37.87</f>
        <v>165.03484613999998</v>
      </c>
      <c r="AK2908" s="10">
        <f>0.1051*2.57^2+65.423*2.57-19.469</f>
        <v>149.36228499000001</v>
      </c>
      <c r="AL2908" s="10" t="str">
        <f t="shared" si="325"/>
        <v>FALSE</v>
      </c>
      <c r="AM2908" s="10" t="str">
        <f t="shared" si="325"/>
        <v>y=-2.9408*2.57^2+89.45*2.57-43.664</v>
      </c>
      <c r="AN2908" s="10" t="str">
        <f t="shared" si="325"/>
        <v>y=-1.7314*2.57^2+83.401*2.57-37.87</v>
      </c>
      <c r="AO2908" s="10" t="str">
        <f t="shared" si="326"/>
        <v>FALSE</v>
      </c>
      <c r="AP2908" s="10" t="str">
        <f t="shared" si="326"/>
        <v>y=0.1051*2.57^2+65.423*2.57-19.469</v>
      </c>
      <c r="AQ2908" s="10" t="b">
        <f>IF(AND(I2908="TP",S2908&lt;=150),VLOOKUP(AF2908,TPCalibEq150!$AZ$2:$BB$55,3,),IF(AND(I2908="TDP",S2908&lt;=150),VLOOKUP(AF2908,TPCalibEq150!$AZ$2:$BB$55,3,)))</f>
        <v>0</v>
      </c>
      <c r="AR2908" s="10" t="str">
        <f>IF(AND(I2908="TP",S2908&lt;=300),VLOOKUP(AF2908,TPCalibEq300!$AZ$2:$BB$55,3,),IF(AND(I2908="TDP",S2908&lt;=300),VLOOKUP(AF2908,TPCalibEq300!$AZ$2:$BB$55,3,)))</f>
        <v>y=-2.9408x2+89.45x-43.664</v>
      </c>
      <c r="AS2908" s="10" t="str">
        <f>IF(AND(I2908="TP",S2908&lt;=500),VLOOKUP(AF2908,TPCalibEq500!$AZ$2:$BB$56,3,),IF(AND(I2908="TDP",S2908&lt;=500),VLOOKUP(AF2908,TPCalibEq500!$AZ$2:$BB$56,3,)))</f>
        <v>y=-1.7314x2+83.401x-37.87</v>
      </c>
      <c r="AT2908" s="10" t="b">
        <f>IF(AND(I2908="TN",S2908&lt;=2800),VLOOKUP(AF2908,TNCalibEq2500!$AZ$2:$BB$56,3,),IF(AND(I2908="TDN",S2908&lt;=2800),VLOOKUP(AF2908,TNCalibEq2500!$AZ$2:$BB$56,3,)))</f>
        <v>0</v>
      </c>
      <c r="AU2908" s="10" t="str">
        <f>IF(I2908="TP",VLOOKUP(AF2908,TPCalibEqFull!$AZ$2:$BB$56,3),IF(I2908="TDP",VLOOKUP(AF2908,TPCalibEqFull!$AZ$2:$BB$56,3),IF(I2908="TDN",VLOOKUP(AF2908,TNCalibEqFull!$AZ$1:$BB$56,3),IF(I2908="TN",VLOOKUP(AF2908,TNCalibEqFull!$AZ$1:$BB$56,3),FALSE))))</f>
        <v>y=0.1051x2+65.423x-19.469</v>
      </c>
      <c r="AV2908" s="10" t="str">
        <f t="shared" si="331"/>
        <v>0208 09:46:00-EFL-20-FIL-1-SW-UKN</v>
      </c>
    </row>
    <row r="2909" spans="1:48" s="10" customFormat="1" x14ac:dyDescent="0.55000000000000004">
      <c r="A2909" s="32">
        <v>44965</v>
      </c>
      <c r="B2909" s="33">
        <v>0.4069444444444445</v>
      </c>
      <c r="C2909" s="10" t="s">
        <v>287</v>
      </c>
      <c r="D2909" s="10">
        <v>20</v>
      </c>
      <c r="E2909" s="10" t="s">
        <v>911</v>
      </c>
      <c r="F2909" s="10">
        <v>2</v>
      </c>
      <c r="G2909" s="10" t="s">
        <v>231</v>
      </c>
      <c r="H2909" s="10" t="s">
        <v>322</v>
      </c>
      <c r="I2909" s="10" t="s">
        <v>266</v>
      </c>
      <c r="J2909" s="10">
        <v>107</v>
      </c>
      <c r="K2909" s="12">
        <v>44966</v>
      </c>
      <c r="L2909" s="33">
        <v>0.67310185185185178</v>
      </c>
      <c r="M2909" s="10">
        <v>1</v>
      </c>
      <c r="N2909" s="10" t="s">
        <v>84</v>
      </c>
      <c r="O2909" s="10">
        <v>3.04</v>
      </c>
      <c r="P2909" s="10">
        <v>0.21299999999999999</v>
      </c>
      <c r="Q2909" s="10">
        <v>181</v>
      </c>
      <c r="R2909" s="10" t="s">
        <v>85</v>
      </c>
      <c r="S2909" s="34">
        <f t="shared" si="328"/>
        <v>201.08630271999999</v>
      </c>
      <c r="T2909" s="10" t="s">
        <v>1201</v>
      </c>
      <c r="U2909" s="34" t="str">
        <f t="shared" si="329"/>
        <v/>
      </c>
      <c r="V2909" s="31" t="str">
        <f>IF(H2909="CHK",VLOOKUP(I2909,QCCHK,3,),IF(H2909="GUP",VLOOKUP(E2909,QCGUP,2,),IF(AND(H2909="ATP",OR(I2909="TN",I2909="TDN",I2909="TNO2-3",I2909="NO2-3")),VLOOKUP(E2909,QCREC_N,2,),IF(AND(H2909="NIC",OR(I2909="TN",I2909="TDN",I2909="TNO2-3",I2909="NO2-3")),VLOOKUP(E2909,QCNIC_N,2,),IF(AND(H2909="UREA",OR(I2909="TN",I2909="TDN",I2909="TNO2-3",I2909="NO2-3")),VLOOKUP(E2909,QCUREA_N,2,),IF(H2909="PER",VLOOKUP(I2909,QCPER,MATCH(E2909,QCACTUAL!$J$25:$AA$25,0),),IF(H2909="SPK",VLOOKUP(I2909,QCSPK,3,),IF(AND(H2909="ATP",OR(I2909="TP",I2909="TDP")),VLOOKUP(E2909,QCATP_P,2,),""))))))))</f>
        <v/>
      </c>
      <c r="W2909" s="31" t="str">
        <f t="shared" si="330"/>
        <v>TRUE</v>
      </c>
      <c r="X2909" s="31" t="str">
        <f t="shared" si="327"/>
        <v/>
      </c>
      <c r="Y2909" s="10" t="s">
        <v>1188</v>
      </c>
      <c r="AF2909" s="12">
        <v>44966</v>
      </c>
      <c r="AH2909" s="10">
        <f>-2.9408*3.04^2+89.45*3.04-43.664</f>
        <v>201.08630271999999</v>
      </c>
      <c r="AI2909" s="10">
        <f>-1.7314*3.04^2+83.401*3.04-37.87</f>
        <v>199.66813375999999</v>
      </c>
      <c r="AK2909" s="10">
        <f>0.1051*3.04^2+65.423*3.04-19.469</f>
        <v>180.38821215999999</v>
      </c>
      <c r="AL2909" s="10" t="str">
        <f t="shared" si="325"/>
        <v>FALSE</v>
      </c>
      <c r="AM2909" s="10" t="str">
        <f t="shared" si="325"/>
        <v>y=-2.9408*3.04^2+89.45*3.04-43.664</v>
      </c>
      <c r="AN2909" s="10" t="str">
        <f t="shared" si="325"/>
        <v>y=-1.7314*3.04^2+83.401*3.04-37.87</v>
      </c>
      <c r="AO2909" s="10" t="str">
        <f t="shared" si="326"/>
        <v>FALSE</v>
      </c>
      <c r="AP2909" s="10" t="str">
        <f t="shared" si="326"/>
        <v>y=0.1051*3.04^2+65.423*3.04-19.469</v>
      </c>
      <c r="AQ2909" s="10" t="b">
        <f>IF(AND(I2909="TP",S2909&lt;=150),VLOOKUP(AF2909,TPCalibEq150!$AZ$2:$BB$55,3,),IF(AND(I2909="TDP",S2909&lt;=150),VLOOKUP(AF2909,TPCalibEq150!$AZ$2:$BB$55,3,)))</f>
        <v>0</v>
      </c>
      <c r="AR2909" s="10" t="str">
        <f>IF(AND(I2909="TP",S2909&lt;=300),VLOOKUP(AF2909,TPCalibEq300!$AZ$2:$BB$55,3,),IF(AND(I2909="TDP",S2909&lt;=300),VLOOKUP(AF2909,TPCalibEq300!$AZ$2:$BB$55,3,)))</f>
        <v>y=-2.9408x2+89.45x-43.664</v>
      </c>
      <c r="AS2909" s="10" t="str">
        <f>IF(AND(I2909="TP",S2909&lt;=500),VLOOKUP(AF2909,TPCalibEq500!$AZ$2:$BB$56,3,),IF(AND(I2909="TDP",S2909&lt;=500),VLOOKUP(AF2909,TPCalibEq500!$AZ$2:$BB$56,3,)))</f>
        <v>y=-1.7314x2+83.401x-37.87</v>
      </c>
      <c r="AT2909" s="10" t="b">
        <f>IF(AND(I2909="TN",S2909&lt;=2800),VLOOKUP(AF2909,TNCalibEq2500!$AZ$2:$BB$56,3,),IF(AND(I2909="TDN",S2909&lt;=2800),VLOOKUP(AF2909,TNCalibEq2500!$AZ$2:$BB$56,3,)))</f>
        <v>0</v>
      </c>
      <c r="AU2909" s="10" t="str">
        <f>IF(I2909="TP",VLOOKUP(AF2909,TPCalibEqFull!$AZ$2:$BB$56,3),IF(I2909="TDP",VLOOKUP(AF2909,TPCalibEqFull!$AZ$2:$BB$56,3),IF(I2909="TDN",VLOOKUP(AF2909,TNCalibEqFull!$AZ$1:$BB$56,3),IF(I2909="TN",VLOOKUP(AF2909,TNCalibEqFull!$AZ$1:$BB$56,3),FALSE))))</f>
        <v>y=0.1051x2+65.423x-19.469</v>
      </c>
      <c r="AV2909" s="10" t="str">
        <f t="shared" si="331"/>
        <v>0208 09:46:00-EFL-20-FIL-2-SW-UKN</v>
      </c>
    </row>
    <row r="2910" spans="1:48" s="10" customFormat="1" x14ac:dyDescent="0.55000000000000004">
      <c r="A2910" s="32">
        <v>44965</v>
      </c>
      <c r="B2910" s="33">
        <v>0.41111111111111115</v>
      </c>
      <c r="C2910" s="10" t="s">
        <v>287</v>
      </c>
      <c r="D2910" s="10">
        <v>48</v>
      </c>
      <c r="E2910" s="10" t="s">
        <v>911</v>
      </c>
      <c r="F2910" s="10">
        <v>1</v>
      </c>
      <c r="G2910" s="10" t="s">
        <v>231</v>
      </c>
      <c r="H2910" s="10" t="s">
        <v>322</v>
      </c>
      <c r="I2910" s="10" t="s">
        <v>266</v>
      </c>
      <c r="J2910" s="10">
        <v>108</v>
      </c>
      <c r="K2910" s="12">
        <v>44966</v>
      </c>
      <c r="L2910" s="33">
        <v>0.67380787037037038</v>
      </c>
      <c r="M2910" s="10">
        <v>1</v>
      </c>
      <c r="N2910" s="10" t="s">
        <v>84</v>
      </c>
      <c r="O2910" s="10">
        <v>2.8</v>
      </c>
      <c r="P2910" s="10">
        <v>0.19700000000000001</v>
      </c>
      <c r="Q2910" s="10">
        <v>165</v>
      </c>
      <c r="R2910" s="10" t="s">
        <v>85</v>
      </c>
      <c r="S2910" s="34">
        <f t="shared" si="328"/>
        <v>183.74012799999997</v>
      </c>
      <c r="T2910" s="10" t="s">
        <v>1201</v>
      </c>
      <c r="U2910" s="34" t="str">
        <f t="shared" si="329"/>
        <v/>
      </c>
      <c r="V2910" s="31" t="str">
        <f>IF(H2910="CHK",VLOOKUP(I2910,QCCHK,3,),IF(H2910="GUP",VLOOKUP(E2910,QCGUP,2,),IF(AND(H2910="ATP",OR(I2910="TN",I2910="TDN",I2910="TNO2-3",I2910="NO2-3")),VLOOKUP(E2910,QCREC_N,2,),IF(AND(H2910="NIC",OR(I2910="TN",I2910="TDN",I2910="TNO2-3",I2910="NO2-3")),VLOOKUP(E2910,QCNIC_N,2,),IF(AND(H2910="UREA",OR(I2910="TN",I2910="TDN",I2910="TNO2-3",I2910="NO2-3")),VLOOKUP(E2910,QCUREA_N,2,),IF(H2910="PER",VLOOKUP(I2910,QCPER,MATCH(E2910,QCACTUAL!$J$25:$AA$25,0),),IF(H2910="SPK",VLOOKUP(I2910,QCSPK,3,),IF(AND(H2910="ATP",OR(I2910="TP",I2910="TDP")),VLOOKUP(E2910,QCATP_P,2,),""))))))))</f>
        <v/>
      </c>
      <c r="W2910" s="31" t="str">
        <f t="shared" si="330"/>
        <v>TRUE</v>
      </c>
      <c r="X2910" s="31" t="str">
        <f t="shared" si="327"/>
        <v/>
      </c>
      <c r="Y2910" s="10" t="s">
        <v>1188</v>
      </c>
      <c r="AF2910" s="12">
        <v>44966</v>
      </c>
      <c r="AH2910" s="10">
        <f>-2.9408*2.8^2+89.45*2.8-43.664</f>
        <v>183.74012799999997</v>
      </c>
      <c r="AI2910" s="10">
        <f>-1.7314*2.8^2+83.401*2.8-37.87</f>
        <v>182.07862399999996</v>
      </c>
      <c r="AK2910" s="10">
        <f>0.1051*2.8^2+65.423*2.8-19.469</f>
        <v>164.53938399999998</v>
      </c>
      <c r="AL2910" s="10" t="str">
        <f t="shared" si="325"/>
        <v>FALSE</v>
      </c>
      <c r="AM2910" s="10" t="str">
        <f t="shared" si="325"/>
        <v>y=-2.9408*2.8^2+89.45*2.8-43.664</v>
      </c>
      <c r="AN2910" s="10" t="str">
        <f t="shared" si="325"/>
        <v>y=-1.7314*2.8^2+83.401*2.8-37.87</v>
      </c>
      <c r="AO2910" s="10" t="str">
        <f t="shared" si="326"/>
        <v>FALSE</v>
      </c>
      <c r="AP2910" s="10" t="str">
        <f t="shared" si="326"/>
        <v>y=0.1051*2.8^2+65.423*2.8-19.469</v>
      </c>
      <c r="AQ2910" s="10" t="b">
        <f>IF(AND(I2910="TP",S2910&lt;=150),VLOOKUP(AF2910,TPCalibEq150!$AZ$2:$BB$55,3,),IF(AND(I2910="TDP",S2910&lt;=150),VLOOKUP(AF2910,TPCalibEq150!$AZ$2:$BB$55,3,)))</f>
        <v>0</v>
      </c>
      <c r="AR2910" s="10" t="str">
        <f>IF(AND(I2910="TP",S2910&lt;=300),VLOOKUP(AF2910,TPCalibEq300!$AZ$2:$BB$55,3,),IF(AND(I2910="TDP",S2910&lt;=300),VLOOKUP(AF2910,TPCalibEq300!$AZ$2:$BB$55,3,)))</f>
        <v>y=-2.9408x2+89.45x-43.664</v>
      </c>
      <c r="AS2910" s="10" t="str">
        <f>IF(AND(I2910="TP",S2910&lt;=500),VLOOKUP(AF2910,TPCalibEq500!$AZ$2:$BB$56,3,),IF(AND(I2910="TDP",S2910&lt;=500),VLOOKUP(AF2910,TPCalibEq500!$AZ$2:$BB$56,3,)))</f>
        <v>y=-1.7314x2+83.401x-37.87</v>
      </c>
      <c r="AT2910" s="10" t="b">
        <f>IF(AND(I2910="TN",S2910&lt;=2800),VLOOKUP(AF2910,TNCalibEq2500!$AZ$2:$BB$56,3,),IF(AND(I2910="TDN",S2910&lt;=2800),VLOOKUP(AF2910,TNCalibEq2500!$AZ$2:$BB$56,3,)))</f>
        <v>0</v>
      </c>
      <c r="AU2910" s="10" t="str">
        <f>IF(I2910="TP",VLOOKUP(AF2910,TPCalibEqFull!$AZ$2:$BB$56,3),IF(I2910="TDP",VLOOKUP(AF2910,TPCalibEqFull!$AZ$2:$BB$56,3),IF(I2910="TDN",VLOOKUP(AF2910,TNCalibEqFull!$AZ$1:$BB$56,3),IF(I2910="TN",VLOOKUP(AF2910,TNCalibEqFull!$AZ$1:$BB$56,3),FALSE))))</f>
        <v>y=0.1051x2+65.423x-19.469</v>
      </c>
      <c r="AV2910" s="10" t="str">
        <f t="shared" si="331"/>
        <v>0208 09:52:00-EFL-48-FIL-1-SW-UKN</v>
      </c>
    </row>
    <row r="2911" spans="1:48" s="10" customFormat="1" x14ac:dyDescent="0.55000000000000004">
      <c r="A2911" s="32">
        <v>44965</v>
      </c>
      <c r="B2911" s="33">
        <v>0.41111111111111115</v>
      </c>
      <c r="C2911" s="10" t="s">
        <v>287</v>
      </c>
      <c r="D2911" s="10">
        <v>48</v>
      </c>
      <c r="E2911" s="10" t="s">
        <v>911</v>
      </c>
      <c r="F2911" s="10">
        <v>1</v>
      </c>
      <c r="G2911" s="10" t="s">
        <v>231</v>
      </c>
      <c r="H2911" s="10" t="s">
        <v>233</v>
      </c>
      <c r="I2911" s="10" t="s">
        <v>266</v>
      </c>
      <c r="J2911" s="10">
        <v>108</v>
      </c>
      <c r="K2911" s="12">
        <v>44966</v>
      </c>
      <c r="L2911" s="33">
        <v>0.67450231481481471</v>
      </c>
      <c r="M2911" s="10">
        <v>1</v>
      </c>
      <c r="N2911" s="10" t="s">
        <v>84</v>
      </c>
      <c r="O2911" s="10">
        <v>2.82</v>
      </c>
      <c r="P2911" s="10">
        <v>0.19700000000000001</v>
      </c>
      <c r="Q2911" s="10">
        <v>166</v>
      </c>
      <c r="R2911" s="10" t="s">
        <v>85</v>
      </c>
      <c r="S2911" s="34">
        <f t="shared" si="328"/>
        <v>185.19858207999999</v>
      </c>
      <c r="T2911" s="10" t="s">
        <v>1201</v>
      </c>
      <c r="U2911" s="34">
        <f t="shared" si="329"/>
        <v>0.7906213363643928</v>
      </c>
      <c r="V2911" s="31" t="str">
        <f>IF(H2911="CHK",VLOOKUP(I2911,QCCHK,3,),IF(H2911="GUP",VLOOKUP(E2911,QCGUP,2,),IF(AND(H2911="ATP",OR(I2911="TN",I2911="TDN",I2911="TNO2-3",I2911="NO2-3")),VLOOKUP(E2911,QCREC_N,2,),IF(AND(H2911="NIC",OR(I2911="TN",I2911="TDN",I2911="TNO2-3",I2911="NO2-3")),VLOOKUP(E2911,QCNIC_N,2,),IF(AND(H2911="UREA",OR(I2911="TN",I2911="TDN",I2911="TNO2-3",I2911="NO2-3")),VLOOKUP(E2911,QCUREA_N,2,),IF(H2911="PER",VLOOKUP(I2911,QCPER,MATCH(E2911,QCACTUAL!$J$25:$AA$25,0),),IF(H2911="SPK",VLOOKUP(I2911,QCSPK,3,),IF(AND(H2911="ATP",OR(I2911="TP",I2911="TDP")),VLOOKUP(E2911,QCATP_P,2,),""))))))))</f>
        <v/>
      </c>
      <c r="W2911" s="31" t="str">
        <f t="shared" si="330"/>
        <v>TRUE</v>
      </c>
      <c r="X2911" s="31" t="str">
        <f t="shared" si="327"/>
        <v>((ABS(rep1-rep2))/((rep1+rep2)/2)*100</v>
      </c>
      <c r="Y2911" s="10" t="s">
        <v>1188</v>
      </c>
      <c r="AF2911" s="12">
        <v>44966</v>
      </c>
      <c r="AH2911" s="10">
        <f>-2.9408*2.82^2+89.45*2.82-43.664</f>
        <v>185.19858207999999</v>
      </c>
      <c r="AI2911" s="10">
        <f>-1.7314*2.82^2+83.401*2.82-37.87</f>
        <v>183.55203463999996</v>
      </c>
      <c r="AK2911" s="10">
        <f>0.1051*2.82^2+65.423*2.82-19.469</f>
        <v>165.85965724000002</v>
      </c>
      <c r="AL2911" s="10" t="str">
        <f t="shared" si="325"/>
        <v>FALSE</v>
      </c>
      <c r="AM2911" s="10" t="str">
        <f t="shared" si="325"/>
        <v>y=-2.9408*2.82^2+89.45*2.82-43.664</v>
      </c>
      <c r="AN2911" s="10" t="str">
        <f t="shared" si="325"/>
        <v>y=-1.7314*2.82^2+83.401*2.82-37.87</v>
      </c>
      <c r="AO2911" s="10" t="str">
        <f t="shared" si="326"/>
        <v>FALSE</v>
      </c>
      <c r="AP2911" s="10" t="str">
        <f t="shared" si="326"/>
        <v>y=0.1051*2.82^2+65.423*2.82-19.469</v>
      </c>
      <c r="AQ2911" s="10" t="b">
        <f>IF(AND(I2911="TP",S2911&lt;=150),VLOOKUP(AF2911,TPCalibEq150!$AZ$2:$BB$55,3,),IF(AND(I2911="TDP",S2911&lt;=150),VLOOKUP(AF2911,TPCalibEq150!$AZ$2:$BB$55,3,)))</f>
        <v>0</v>
      </c>
      <c r="AR2911" s="10" t="str">
        <f>IF(AND(I2911="TP",S2911&lt;=300),VLOOKUP(AF2911,TPCalibEq300!$AZ$2:$BB$55,3,),IF(AND(I2911="TDP",S2911&lt;=300),VLOOKUP(AF2911,TPCalibEq300!$AZ$2:$BB$55,3,)))</f>
        <v>y=-2.9408x2+89.45x-43.664</v>
      </c>
      <c r="AS2911" s="10" t="str">
        <f>IF(AND(I2911="TP",S2911&lt;=500),VLOOKUP(AF2911,TPCalibEq500!$AZ$2:$BB$56,3,),IF(AND(I2911="TDP",S2911&lt;=500),VLOOKUP(AF2911,TPCalibEq500!$AZ$2:$BB$56,3,)))</f>
        <v>y=-1.7314x2+83.401x-37.87</v>
      </c>
      <c r="AT2911" s="10" t="b">
        <f>IF(AND(I2911="TN",S2911&lt;=2800),VLOOKUP(AF2911,TNCalibEq2500!$AZ$2:$BB$56,3,),IF(AND(I2911="TDN",S2911&lt;=2800),VLOOKUP(AF2911,TNCalibEq2500!$AZ$2:$BB$56,3,)))</f>
        <v>0</v>
      </c>
      <c r="AU2911" s="10" t="str">
        <f>IF(I2911="TP",VLOOKUP(AF2911,TPCalibEqFull!$AZ$2:$BB$56,3),IF(I2911="TDP",VLOOKUP(AF2911,TPCalibEqFull!$AZ$2:$BB$56,3),IF(I2911="TDN",VLOOKUP(AF2911,TNCalibEqFull!$AZ$1:$BB$56,3),IF(I2911="TN",VLOOKUP(AF2911,TNCalibEqFull!$AZ$1:$BB$56,3),FALSE))))</f>
        <v>y=0.1051x2+65.423x-19.469</v>
      </c>
      <c r="AV2911" s="10" t="str">
        <f t="shared" si="331"/>
        <v>0208 09:52:00-EFL-48-FIL-1-SW-DUP</v>
      </c>
    </row>
    <row r="2912" spans="1:48" s="10" customFormat="1" x14ac:dyDescent="0.55000000000000004">
      <c r="A2912" s="32">
        <v>44965</v>
      </c>
      <c r="B2912" s="33">
        <v>0.41111111111111115</v>
      </c>
      <c r="C2912" s="10" t="s">
        <v>287</v>
      </c>
      <c r="D2912" s="10">
        <v>48</v>
      </c>
      <c r="E2912" s="10" t="s">
        <v>911</v>
      </c>
      <c r="F2912" s="10">
        <v>1</v>
      </c>
      <c r="G2912" s="10" t="s">
        <v>231</v>
      </c>
      <c r="H2912" s="10" t="s">
        <v>314</v>
      </c>
      <c r="I2912" s="10" t="s">
        <v>266</v>
      </c>
      <c r="J2912" s="10">
        <v>131</v>
      </c>
      <c r="K2912" s="12">
        <v>44966</v>
      </c>
      <c r="L2912" s="33">
        <v>0.6752083333333333</v>
      </c>
      <c r="M2912" s="10">
        <v>1</v>
      </c>
      <c r="N2912" s="10" t="s">
        <v>84</v>
      </c>
      <c r="O2912" s="10">
        <v>19.5</v>
      </c>
      <c r="P2912" s="10">
        <v>1.37</v>
      </c>
      <c r="Q2912" s="10">
        <v>1300</v>
      </c>
      <c r="R2912" s="10" t="s">
        <v>85</v>
      </c>
      <c r="S2912" s="34">
        <f t="shared" si="328"/>
        <v>1300</v>
      </c>
      <c r="T2912" s="10" t="s">
        <v>1201</v>
      </c>
      <c r="U2912" s="34">
        <f t="shared" si="329"/>
        <v>111.48014179199998</v>
      </c>
      <c r="V2912" s="31">
        <f>IF(H2912="CHK",VLOOKUP(I2912,QCCHK,3,),IF(H2912="GUP",VLOOKUP(E2912,QCGUP,2,),IF(AND(H2912="ATP",OR(I2912="TN",I2912="TDN",I2912="TNO2-3",I2912="NO2-3")),VLOOKUP(E2912,QCREC_N,2,),IF(AND(H2912="NIC",OR(I2912="TN",I2912="TDN",I2912="TNO2-3",I2912="NO2-3")),VLOOKUP(E2912,QCNIC_N,2,),IF(AND(H2912="UREA",OR(I2912="TN",I2912="TDN",I2912="TNO2-3",I2912="NO2-3")),VLOOKUP(E2912,QCUREA_N,2,),IF(H2912="PER",VLOOKUP(I2912,QCPER,MATCH(E2912,QCACTUAL!$J$25:$AA$25,0),),IF(H2912="SPK",VLOOKUP(I2912,QCSPK,3,),IF(AND(H2912="ATP",OR(I2912="TP",I2912="TDP")),VLOOKUP(E2912,QCATP_P,2,),""))))))))</f>
        <v>1000</v>
      </c>
      <c r="W2912" s="31" t="str">
        <f t="shared" si="330"/>
        <v>TRUE</v>
      </c>
      <c r="X2912" s="31" t="str">
        <f t="shared" si="327"/>
        <v>([spikedunkn]-[unkn])/[spike]*100</v>
      </c>
      <c r="Y2912" s="10" t="s">
        <v>1188</v>
      </c>
      <c r="AF2912" s="12">
        <v>44966</v>
      </c>
      <c r="AK2912" s="10">
        <f>0.1051*19.5^2+65.423*19.5-19.469</f>
        <v>1296.2437750000001</v>
      </c>
      <c r="AL2912" s="10" t="str">
        <f t="shared" si="325"/>
        <v>FALSE</v>
      </c>
      <c r="AM2912" s="10" t="str">
        <f t="shared" si="325"/>
        <v>FALSE</v>
      </c>
      <c r="AN2912" s="10" t="str">
        <f t="shared" si="325"/>
        <v>FALSE</v>
      </c>
      <c r="AO2912" s="10" t="str">
        <f t="shared" si="326"/>
        <v>FALSE</v>
      </c>
      <c r="AP2912" s="10" t="str">
        <f t="shared" si="326"/>
        <v>y=0.1051*19.5^2+65.423*19.5-19.469</v>
      </c>
      <c r="AQ2912" s="10" t="b">
        <f>IF(AND(I2912="TP",S2912&lt;=150),VLOOKUP(AF2912,TPCalibEq150!$AZ$2:$BB$55,3,),IF(AND(I2912="TDP",S2912&lt;=150),VLOOKUP(AF2912,TPCalibEq150!$AZ$2:$BB$55,3,)))</f>
        <v>0</v>
      </c>
      <c r="AR2912" s="10" t="b">
        <f>IF(AND(I2912="TP",S2912&lt;=300),VLOOKUP(AF2912,TPCalibEq300!$AZ$2:$BB$55,3,),IF(AND(I2912="TDP",S2912&lt;=300),VLOOKUP(AF2912,TPCalibEq300!$AZ$2:$BB$55,3,)))</f>
        <v>0</v>
      </c>
      <c r="AS2912" s="10" t="b">
        <f>IF(AND(I2912="TP",S2912&lt;=500),VLOOKUP(AF2912,TPCalibEq500!$AZ$2:$BB$56,3,),IF(AND(I2912="TDP",S2912&lt;=500),VLOOKUP(AF2912,TPCalibEq500!$AZ$2:$BB$56,3,)))</f>
        <v>0</v>
      </c>
      <c r="AT2912" s="10" t="b">
        <f>IF(AND(I2912="TN",S2912&lt;=2800),VLOOKUP(AF2912,TNCalibEq2500!$AZ$2:$BB$56,3,),IF(AND(I2912="TDN",S2912&lt;=2800),VLOOKUP(AF2912,TNCalibEq2500!$AZ$2:$BB$56,3,)))</f>
        <v>0</v>
      </c>
      <c r="AU2912" s="10" t="str">
        <f>IF(I2912="TP",VLOOKUP(AF2912,TPCalibEqFull!$AZ$2:$BB$56,3),IF(I2912="TDP",VLOOKUP(AF2912,TPCalibEqFull!$AZ$2:$BB$56,3),IF(I2912="TDN",VLOOKUP(AF2912,TNCalibEqFull!$AZ$1:$BB$56,3),IF(I2912="TN",VLOOKUP(AF2912,TNCalibEqFull!$AZ$1:$BB$56,3),FALSE))))</f>
        <v>y=0.1051x2+65.423x-19.469</v>
      </c>
      <c r="AV2912" s="10" t="str">
        <f t="shared" si="331"/>
        <v>0208 09:52:00-EFL-48-FIL-1-SW-SPK</v>
      </c>
    </row>
    <row r="2913" spans="1:48" s="10" customFormat="1" x14ac:dyDescent="0.55000000000000004">
      <c r="A2913" s="32">
        <v>44966</v>
      </c>
      <c r="B2913" s="33">
        <v>0.375</v>
      </c>
      <c r="C2913" s="10" t="s">
        <v>70</v>
      </c>
      <c r="D2913" s="10" t="s">
        <v>71</v>
      </c>
      <c r="E2913" s="10" t="s">
        <v>901</v>
      </c>
      <c r="F2913" s="10">
        <v>1</v>
      </c>
      <c r="G2913" s="10" t="s">
        <v>73</v>
      </c>
      <c r="H2913" s="10" t="s">
        <v>207</v>
      </c>
      <c r="I2913" s="10" t="s">
        <v>83</v>
      </c>
      <c r="J2913" s="10">
        <v>200</v>
      </c>
      <c r="K2913" s="12">
        <v>44966</v>
      </c>
      <c r="L2913" s="33">
        <v>0.67590277777777785</v>
      </c>
      <c r="M2913" s="10">
        <v>1</v>
      </c>
      <c r="N2913" s="10" t="s">
        <v>84</v>
      </c>
      <c r="O2913" s="10">
        <v>8.2100000000000009</v>
      </c>
      <c r="P2913" s="10">
        <v>0.58299999999999996</v>
      </c>
      <c r="Q2913" s="10">
        <v>525</v>
      </c>
      <c r="R2913" s="10" t="s">
        <v>85</v>
      </c>
      <c r="S2913" s="34">
        <f t="shared" si="328"/>
        <v>525</v>
      </c>
      <c r="T2913" s="10" t="s">
        <v>1201</v>
      </c>
      <c r="U2913" s="34">
        <f t="shared" si="329"/>
        <v>105</v>
      </c>
      <c r="V2913" s="31">
        <f>IF(H2913="CHK",VLOOKUP(I2913,QCCHK,3,),IF(H2913="GUP",VLOOKUP(E2913,QCGUP,2,),IF(AND(H2913="ATP",OR(I2913="TN",I2913="TDN",I2913="TNO2-3",I2913="NO2-3")),VLOOKUP(E2913,QCREC_N,2,),IF(AND(H2913="NIC",OR(I2913="TN",I2913="TDN",I2913="TNO2-3",I2913="NO2-3")),VLOOKUP(E2913,QCNIC_N,2,),IF(AND(H2913="UREA",OR(I2913="TN",I2913="TDN",I2913="TNO2-3",I2913="NO2-3")),VLOOKUP(E2913,QCUREA_N,2,),IF(H2913="PER",VLOOKUP(I2913,QCPER,MATCH(E2913,QCACTUAL!$J$25:$AA$25,0),),IF(H2913="SPK",VLOOKUP(I2913,QCSPK,3,),IF(AND(H2913="ATP",OR(I2913="TP",I2913="TDP")),VLOOKUP(E2913,QCATP_P,2,),""))))))))</f>
        <v>500</v>
      </c>
      <c r="W2913" s="31" t="str">
        <f t="shared" si="330"/>
        <v>TRUE</v>
      </c>
      <c r="X2913" s="31" t="str">
        <f t="shared" si="327"/>
        <v>[chk]/[actual]*100</v>
      </c>
      <c r="Y2913" s="10" t="s">
        <v>1188</v>
      </c>
      <c r="AF2913" s="12">
        <v>44966</v>
      </c>
      <c r="AK2913" s="10">
        <f>0.1051*8.21^2+65.423*8.21-19.469</f>
        <v>524.73800090999998</v>
      </c>
      <c r="AL2913" s="10" t="str">
        <f t="shared" si="325"/>
        <v>FALSE</v>
      </c>
      <c r="AM2913" s="10" t="str">
        <f t="shared" si="325"/>
        <v>FALSE</v>
      </c>
      <c r="AN2913" s="10" t="str">
        <f t="shared" si="325"/>
        <v>FALSE</v>
      </c>
      <c r="AO2913" s="10" t="str">
        <f t="shared" si="326"/>
        <v>FALSE</v>
      </c>
      <c r="AP2913" s="10" t="str">
        <f t="shared" si="326"/>
        <v>y=0.1051*8.21^2+65.423*8.21-19.469</v>
      </c>
      <c r="AQ2913" s="10" t="b">
        <f>IF(AND(I2913="TP",S2913&lt;=150),VLOOKUP(AF2913,TPCalibEq150!$AZ$2:$BB$55,3,),IF(AND(I2913="TDP",S2913&lt;=150),VLOOKUP(AF2913,TPCalibEq150!$AZ$2:$BB$55,3,)))</f>
        <v>0</v>
      </c>
      <c r="AR2913" s="10" t="b">
        <f>IF(AND(I2913="TP",S2913&lt;=300),VLOOKUP(AF2913,TPCalibEq300!$AZ$2:$BB$55,3,),IF(AND(I2913="TDP",S2913&lt;=300),VLOOKUP(AF2913,TPCalibEq300!$AZ$2:$BB$55,3,)))</f>
        <v>0</v>
      </c>
      <c r="AS2913" s="10" t="b">
        <f>IF(AND(I2913="TP",S2913&lt;=500),VLOOKUP(AF2913,TPCalibEq500!$AZ$2:$BB$56,3,),IF(AND(I2913="TDP",S2913&lt;=500),VLOOKUP(AF2913,TPCalibEq500!$AZ$2:$BB$56,3,)))</f>
        <v>0</v>
      </c>
      <c r="AT2913" s="10" t="b">
        <f>IF(AND(I2913="TN",S2913&lt;=2800),VLOOKUP(AF2913,TNCalibEq2500!$AZ$2:$BB$56,3,),IF(AND(I2913="TDN",S2913&lt;=2800),VLOOKUP(AF2913,TNCalibEq2500!$AZ$2:$BB$56,3,)))</f>
        <v>0</v>
      </c>
      <c r="AU2913" s="10" t="str">
        <f>IF(I2913="TP",VLOOKUP(AF2913,TPCalibEqFull!$AZ$2:$BB$56,3),IF(I2913="TDP",VLOOKUP(AF2913,TPCalibEqFull!$AZ$2:$BB$56,3),IF(I2913="TDN",VLOOKUP(AF2913,TNCalibEqFull!$AZ$1:$BB$56,3),IF(I2913="TN",VLOOKUP(AF2913,TNCalibEqFull!$AZ$1:$BB$56,3),FALSE))))</f>
        <v>y=0.1051x2+65.423x-19.469</v>
      </c>
      <c r="AV2913" s="10" t="str">
        <f t="shared" si="331"/>
        <v>0209 09:00:00-QAC-STD-D-1-DI-CHK</v>
      </c>
    </row>
    <row r="2914" spans="1:48" s="10" customFormat="1" x14ac:dyDescent="0.55000000000000004">
      <c r="A2914" s="32">
        <v>44965</v>
      </c>
      <c r="B2914" s="33">
        <v>0.37777777777777777</v>
      </c>
      <c r="C2914" s="10" t="s">
        <v>428</v>
      </c>
      <c r="D2914" s="10">
        <v>0</v>
      </c>
      <c r="E2914" s="10" t="s">
        <v>911</v>
      </c>
      <c r="F2914" s="10">
        <v>1</v>
      </c>
      <c r="G2914" s="10" t="s">
        <v>231</v>
      </c>
      <c r="H2914" s="10" t="s">
        <v>322</v>
      </c>
      <c r="I2914" s="10" t="s">
        <v>266</v>
      </c>
      <c r="J2914" s="10">
        <v>109</v>
      </c>
      <c r="K2914" s="12">
        <v>44966</v>
      </c>
      <c r="L2914" s="33">
        <v>0.67660879629629633</v>
      </c>
      <c r="M2914" s="10">
        <v>1</v>
      </c>
      <c r="N2914" s="10" t="s">
        <v>84</v>
      </c>
      <c r="O2914" s="10">
        <v>2.98</v>
      </c>
      <c r="P2914" s="10">
        <v>0.20899999999999999</v>
      </c>
      <c r="Q2914" s="10">
        <v>177</v>
      </c>
      <c r="R2914" s="10" t="s">
        <v>85</v>
      </c>
      <c r="S2914" s="34">
        <f t="shared" si="328"/>
        <v>196.78151967999997</v>
      </c>
      <c r="T2914" s="10" t="s">
        <v>1201</v>
      </c>
      <c r="U2914" s="34" t="str">
        <f t="shared" si="329"/>
        <v/>
      </c>
      <c r="V2914" s="31" t="str">
        <f>IF(H2914="CHK",VLOOKUP(I2914,QCCHK,3,),IF(H2914="GUP",VLOOKUP(E2914,QCGUP,2,),IF(AND(H2914="ATP",OR(I2914="TN",I2914="TDN",I2914="TNO2-3",I2914="NO2-3")),VLOOKUP(E2914,QCREC_N,2,),IF(AND(H2914="NIC",OR(I2914="TN",I2914="TDN",I2914="TNO2-3",I2914="NO2-3")),VLOOKUP(E2914,QCNIC_N,2,),IF(AND(H2914="UREA",OR(I2914="TN",I2914="TDN",I2914="TNO2-3",I2914="NO2-3")),VLOOKUP(E2914,QCUREA_N,2,),IF(H2914="PER",VLOOKUP(I2914,QCPER,MATCH(E2914,QCACTUAL!$J$25:$AA$25,0),),IF(H2914="SPK",VLOOKUP(I2914,QCSPK,3,),IF(AND(H2914="ATP",OR(I2914="TP",I2914="TDP")),VLOOKUP(E2914,QCATP_P,2,),""))))))))</f>
        <v/>
      </c>
      <c r="W2914" s="31" t="str">
        <f t="shared" si="330"/>
        <v>TRUE</v>
      </c>
      <c r="X2914" s="31" t="str">
        <f t="shared" si="327"/>
        <v/>
      </c>
      <c r="Y2914" s="10" t="s">
        <v>1188</v>
      </c>
      <c r="AF2914" s="12">
        <v>44966</v>
      </c>
      <c r="AH2914" s="10">
        <f>-2.9408*2.98^2+89.45*2.98-43.664</f>
        <v>196.78151967999997</v>
      </c>
      <c r="AI2914" s="10">
        <f>-1.7314*2.98^2+83.401*2.98-37.87</f>
        <v>195.28945543999998</v>
      </c>
      <c r="AK2914" s="10">
        <f>0.1051*2.98^2+65.423*2.98-19.469</f>
        <v>176.42487004</v>
      </c>
      <c r="AL2914" s="10" t="str">
        <f t="shared" si="325"/>
        <v>FALSE</v>
      </c>
      <c r="AM2914" s="10" t="str">
        <f t="shared" si="325"/>
        <v>y=-2.9408*2.98^2+89.45*2.98-43.664</v>
      </c>
      <c r="AN2914" s="10" t="str">
        <f t="shared" si="325"/>
        <v>y=-1.7314*2.98^2+83.401*2.98-37.87</v>
      </c>
      <c r="AO2914" s="10" t="str">
        <f t="shared" si="326"/>
        <v>FALSE</v>
      </c>
      <c r="AP2914" s="10" t="str">
        <f t="shared" si="326"/>
        <v>y=0.1051*2.98^2+65.423*2.98-19.469</v>
      </c>
      <c r="AQ2914" s="10" t="b">
        <f>IF(AND(I2914="TP",S2914&lt;=150),VLOOKUP(AF2914,TPCalibEq150!$AZ$2:$BB$55,3,),IF(AND(I2914="TDP",S2914&lt;=150),VLOOKUP(AF2914,TPCalibEq150!$AZ$2:$BB$55,3,)))</f>
        <v>0</v>
      </c>
      <c r="AR2914" s="10" t="str">
        <f>IF(AND(I2914="TP",S2914&lt;=300),VLOOKUP(AF2914,TPCalibEq300!$AZ$2:$BB$55,3,),IF(AND(I2914="TDP",S2914&lt;=300),VLOOKUP(AF2914,TPCalibEq300!$AZ$2:$BB$55,3,)))</f>
        <v>y=-2.9408x2+89.45x-43.664</v>
      </c>
      <c r="AS2914" s="10" t="str">
        <f>IF(AND(I2914="TP",S2914&lt;=500),VLOOKUP(AF2914,TPCalibEq500!$AZ$2:$BB$56,3,),IF(AND(I2914="TDP",S2914&lt;=500),VLOOKUP(AF2914,TPCalibEq500!$AZ$2:$BB$56,3,)))</f>
        <v>y=-1.7314x2+83.401x-37.87</v>
      </c>
      <c r="AT2914" s="10" t="b">
        <f>IF(AND(I2914="TN",S2914&lt;=2800),VLOOKUP(AF2914,TNCalibEq2500!$AZ$2:$BB$56,3,),IF(AND(I2914="TDN",S2914&lt;=2800),VLOOKUP(AF2914,TNCalibEq2500!$AZ$2:$BB$56,3,)))</f>
        <v>0</v>
      </c>
      <c r="AU2914" s="10" t="str">
        <f>IF(I2914="TP",VLOOKUP(AF2914,TPCalibEqFull!$AZ$2:$BB$56,3),IF(I2914="TDP",VLOOKUP(AF2914,TPCalibEqFull!$AZ$2:$BB$56,3),IF(I2914="TDN",VLOOKUP(AF2914,TNCalibEqFull!$AZ$1:$BB$56,3),IF(I2914="TN",VLOOKUP(AF2914,TNCalibEqFull!$AZ$1:$BB$56,3),FALSE))))</f>
        <v>y=0.1051x2+65.423x-19.469</v>
      </c>
      <c r="AV2914" s="10" t="str">
        <f t="shared" si="331"/>
        <v>0208 09:04:00-EOF-0-FIL-1-SW-UKN</v>
      </c>
    </row>
    <row r="2915" spans="1:48" s="10" customFormat="1" x14ac:dyDescent="0.55000000000000004">
      <c r="A2915" s="32">
        <v>44965</v>
      </c>
      <c r="B2915" s="33">
        <v>0.37986111111111115</v>
      </c>
      <c r="C2915" s="10" t="s">
        <v>428</v>
      </c>
      <c r="D2915" s="10">
        <v>5</v>
      </c>
      <c r="E2915" s="10" t="s">
        <v>911</v>
      </c>
      <c r="F2915" s="10">
        <v>1</v>
      </c>
      <c r="G2915" s="10" t="s">
        <v>231</v>
      </c>
      <c r="H2915" s="10" t="s">
        <v>322</v>
      </c>
      <c r="I2915" s="10" t="s">
        <v>266</v>
      </c>
      <c r="J2915" s="10">
        <v>110</v>
      </c>
      <c r="K2915" s="12">
        <v>44966</v>
      </c>
      <c r="L2915" s="33">
        <v>0.67730324074074078</v>
      </c>
      <c r="M2915" s="10">
        <v>1</v>
      </c>
      <c r="N2915" s="10" t="s">
        <v>84</v>
      </c>
      <c r="O2915" s="10">
        <v>3.32</v>
      </c>
      <c r="P2915" s="10">
        <v>0.23400000000000001</v>
      </c>
      <c r="Q2915" s="10">
        <v>199</v>
      </c>
      <c r="R2915" s="10" t="s">
        <v>85</v>
      </c>
      <c r="S2915" s="34">
        <f t="shared" si="328"/>
        <v>220.89532608000002</v>
      </c>
      <c r="T2915" s="10" t="s">
        <v>1201</v>
      </c>
      <c r="U2915" s="34" t="str">
        <f t="shared" si="329"/>
        <v/>
      </c>
      <c r="V2915" s="31" t="str">
        <f>IF(H2915="CHK",VLOOKUP(I2915,QCCHK,3,),IF(H2915="GUP",VLOOKUP(E2915,QCGUP,2,),IF(AND(H2915="ATP",OR(I2915="TN",I2915="TDN",I2915="TNO2-3",I2915="NO2-3")),VLOOKUP(E2915,QCREC_N,2,),IF(AND(H2915="NIC",OR(I2915="TN",I2915="TDN",I2915="TNO2-3",I2915="NO2-3")),VLOOKUP(E2915,QCNIC_N,2,),IF(AND(H2915="UREA",OR(I2915="TN",I2915="TDN",I2915="TNO2-3",I2915="NO2-3")),VLOOKUP(E2915,QCUREA_N,2,),IF(H2915="PER",VLOOKUP(I2915,QCPER,MATCH(E2915,QCACTUAL!$J$25:$AA$25,0),),IF(H2915="SPK",VLOOKUP(I2915,QCSPK,3,),IF(AND(H2915="ATP",OR(I2915="TP",I2915="TDP")),VLOOKUP(E2915,QCATP_P,2,),""))))))))</f>
        <v/>
      </c>
      <c r="W2915" s="31" t="str">
        <f t="shared" si="330"/>
        <v>TRUE</v>
      </c>
      <c r="X2915" s="31" t="str">
        <f t="shared" si="327"/>
        <v/>
      </c>
      <c r="Y2915" s="10" t="s">
        <v>1188</v>
      </c>
      <c r="AF2915" s="12">
        <v>44966</v>
      </c>
      <c r="AH2915" s="10">
        <f>-2.9408*3.32^2+89.45*3.32-43.664</f>
        <v>220.89532608000002</v>
      </c>
      <c r="AI2915" s="10">
        <f>-1.7314*3.32^2+83.401*3.32-37.87</f>
        <v>219.93713663999995</v>
      </c>
      <c r="AK2915" s="10">
        <f>0.1051*3.32^2+65.423*3.32-19.469</f>
        <v>198.89381424000001</v>
      </c>
      <c r="AL2915" s="10" t="str">
        <f t="shared" si="325"/>
        <v>FALSE</v>
      </c>
      <c r="AM2915" s="10" t="str">
        <f t="shared" si="325"/>
        <v>y=-2.9408*3.32^2+89.45*3.32-43.664</v>
      </c>
      <c r="AN2915" s="10" t="str">
        <f t="shared" si="325"/>
        <v>y=-1.7314*3.32^2+83.401*3.32-37.87</v>
      </c>
      <c r="AO2915" s="10" t="str">
        <f t="shared" si="326"/>
        <v>FALSE</v>
      </c>
      <c r="AP2915" s="10" t="str">
        <f t="shared" si="326"/>
        <v>y=0.1051*3.32^2+65.423*3.32-19.469</v>
      </c>
      <c r="AQ2915" s="10" t="b">
        <f>IF(AND(I2915="TP",S2915&lt;=150),VLOOKUP(AF2915,TPCalibEq150!$AZ$2:$BB$55,3,),IF(AND(I2915="TDP",S2915&lt;=150),VLOOKUP(AF2915,TPCalibEq150!$AZ$2:$BB$55,3,)))</f>
        <v>0</v>
      </c>
      <c r="AR2915" s="10" t="str">
        <f>IF(AND(I2915="TP",S2915&lt;=300),VLOOKUP(AF2915,TPCalibEq300!$AZ$2:$BB$55,3,),IF(AND(I2915="TDP",S2915&lt;=300),VLOOKUP(AF2915,TPCalibEq300!$AZ$2:$BB$55,3,)))</f>
        <v>y=-2.9408x2+89.45x-43.664</v>
      </c>
      <c r="AS2915" s="10" t="str">
        <f>IF(AND(I2915="TP",S2915&lt;=500),VLOOKUP(AF2915,TPCalibEq500!$AZ$2:$BB$56,3,),IF(AND(I2915="TDP",S2915&lt;=500),VLOOKUP(AF2915,TPCalibEq500!$AZ$2:$BB$56,3,)))</f>
        <v>y=-1.7314x2+83.401x-37.87</v>
      </c>
      <c r="AT2915" s="10" t="b">
        <f>IF(AND(I2915="TN",S2915&lt;=2800),VLOOKUP(AF2915,TNCalibEq2500!$AZ$2:$BB$56,3,),IF(AND(I2915="TDN",S2915&lt;=2800),VLOOKUP(AF2915,TNCalibEq2500!$AZ$2:$BB$56,3,)))</f>
        <v>0</v>
      </c>
      <c r="AU2915" s="10" t="str">
        <f>IF(I2915="TP",VLOOKUP(AF2915,TPCalibEqFull!$AZ$2:$BB$56,3),IF(I2915="TDP",VLOOKUP(AF2915,TPCalibEqFull!$AZ$2:$BB$56,3),IF(I2915="TDN",VLOOKUP(AF2915,TNCalibEqFull!$AZ$1:$BB$56,3),IF(I2915="TN",VLOOKUP(AF2915,TNCalibEqFull!$AZ$1:$BB$56,3),FALSE))))</f>
        <v>y=0.1051x2+65.423x-19.469</v>
      </c>
      <c r="AV2915" s="10" t="str">
        <f t="shared" si="331"/>
        <v>0208 09:07:00-EOF-5-FIL-1-SW-UKN</v>
      </c>
    </row>
    <row r="2916" spans="1:48" s="10" customFormat="1" x14ac:dyDescent="0.55000000000000004">
      <c r="A2916" s="32">
        <v>44965</v>
      </c>
      <c r="B2916" s="33">
        <v>0.38263888888888892</v>
      </c>
      <c r="C2916" s="10" t="s">
        <v>428</v>
      </c>
      <c r="D2916" s="10">
        <v>10</v>
      </c>
      <c r="E2916" s="10" t="s">
        <v>911</v>
      </c>
      <c r="F2916" s="10">
        <v>1</v>
      </c>
      <c r="G2916" s="10" t="s">
        <v>231</v>
      </c>
      <c r="H2916" s="10" t="s">
        <v>322</v>
      </c>
      <c r="I2916" s="10" t="s">
        <v>266</v>
      </c>
      <c r="J2916" s="10">
        <v>111</v>
      </c>
      <c r="K2916" s="12">
        <v>44966</v>
      </c>
      <c r="L2916" s="33">
        <v>0.67799768518518511</v>
      </c>
      <c r="M2916" s="10">
        <v>1</v>
      </c>
      <c r="N2916" s="10" t="s">
        <v>84</v>
      </c>
      <c r="O2916" s="10">
        <v>2.2200000000000002</v>
      </c>
      <c r="P2916" s="10">
        <v>0.154</v>
      </c>
      <c r="Q2916" s="10">
        <v>127</v>
      </c>
      <c r="R2916" s="10" t="s">
        <v>85</v>
      </c>
      <c r="S2916" s="34">
        <f t="shared" si="328"/>
        <v>141.86880640000004</v>
      </c>
      <c r="T2916" s="10" t="s">
        <v>1201</v>
      </c>
      <c r="U2916" s="34" t="str">
        <f t="shared" si="329"/>
        <v/>
      </c>
      <c r="V2916" s="31" t="str">
        <f>IF(H2916="CHK",VLOOKUP(I2916,QCCHK,3,),IF(H2916="GUP",VLOOKUP(E2916,QCGUP,2,),IF(AND(H2916="ATP",OR(I2916="TN",I2916="TDN",I2916="TNO2-3",I2916="NO2-3")),VLOOKUP(E2916,QCREC_N,2,),IF(AND(H2916="NIC",OR(I2916="TN",I2916="TDN",I2916="TNO2-3",I2916="NO2-3")),VLOOKUP(E2916,QCNIC_N,2,),IF(AND(H2916="UREA",OR(I2916="TN",I2916="TDN",I2916="TNO2-3",I2916="NO2-3")),VLOOKUP(E2916,QCUREA_N,2,),IF(H2916="PER",VLOOKUP(I2916,QCPER,MATCH(E2916,QCACTUAL!$J$25:$AA$25,0),),IF(H2916="SPK",VLOOKUP(I2916,QCSPK,3,),IF(AND(H2916="ATP",OR(I2916="TP",I2916="TDP")),VLOOKUP(E2916,QCATP_P,2,),""))))))))</f>
        <v/>
      </c>
      <c r="W2916" s="31" t="str">
        <f t="shared" si="330"/>
        <v>TRUE</v>
      </c>
      <c r="X2916" s="31" t="str">
        <f t="shared" si="327"/>
        <v/>
      </c>
      <c r="Y2916" s="10" t="s">
        <v>1188</v>
      </c>
      <c r="AF2916" s="12">
        <v>44966</v>
      </c>
      <c r="AG2916" s="10">
        <f>-11.204*2.22^2+113.68*2.22-55.283</f>
        <v>141.86880640000004</v>
      </c>
      <c r="AH2916" s="10">
        <f>-2.9408*2.22^2+89.45*2.22-43.664</f>
        <v>140.42156128000005</v>
      </c>
      <c r="AI2916" s="10">
        <f>-1.7314*2.22^2+83.401*2.22-37.87</f>
        <v>138.74718824000001</v>
      </c>
      <c r="AK2916" s="10">
        <f>0.1051*2.22^2+65.423*2.22-19.469</f>
        <v>126.28803484000002</v>
      </c>
      <c r="AL2916" s="10" t="str">
        <f t="shared" si="325"/>
        <v>y=-11.204*2.22^2+113.68*2.22-55.283</v>
      </c>
      <c r="AM2916" s="10" t="str">
        <f t="shared" si="325"/>
        <v>y=-2.9408*2.22^2+89.45*2.22-43.664</v>
      </c>
      <c r="AN2916" s="10" t="str">
        <f t="shared" si="325"/>
        <v>y=-1.7314*2.22^2+83.401*2.22-37.87</v>
      </c>
      <c r="AO2916" s="10" t="str">
        <f t="shared" si="326"/>
        <v>FALSE</v>
      </c>
      <c r="AP2916" s="10" t="str">
        <f t="shared" si="326"/>
        <v>y=0.1051*2.22^2+65.423*2.22-19.469</v>
      </c>
      <c r="AQ2916" s="10" t="str">
        <f>IF(AND(I2916="TP",S2916&lt;=150),VLOOKUP(AF2916,TPCalibEq150!$AZ$2:$BB$55,3,),IF(AND(I2916="TDP",S2916&lt;=150),VLOOKUP(AF2916,TPCalibEq150!$AZ$2:$BB$55,3,)))</f>
        <v>y=-11.204x2+113.68x-55.283</v>
      </c>
      <c r="AR2916" s="10" t="str">
        <f>IF(AND(I2916="TP",S2916&lt;=300),VLOOKUP(AF2916,TPCalibEq300!$AZ$2:$BB$55,3,),IF(AND(I2916="TDP",S2916&lt;=300),VLOOKUP(AF2916,TPCalibEq300!$AZ$2:$BB$55,3,)))</f>
        <v>y=-2.9408x2+89.45x-43.664</v>
      </c>
      <c r="AS2916" s="10" t="str">
        <f>IF(AND(I2916="TP",S2916&lt;=500),VLOOKUP(AF2916,TPCalibEq500!$AZ$2:$BB$56,3,),IF(AND(I2916="TDP",S2916&lt;=500),VLOOKUP(AF2916,TPCalibEq500!$AZ$2:$BB$56,3,)))</f>
        <v>y=-1.7314x2+83.401x-37.87</v>
      </c>
      <c r="AT2916" s="10" t="b">
        <f>IF(AND(I2916="TN",S2916&lt;=2800),VLOOKUP(AF2916,TNCalibEq2500!$AZ$2:$BB$56,3,),IF(AND(I2916="TDN",S2916&lt;=2800),VLOOKUP(AF2916,TNCalibEq2500!$AZ$2:$BB$56,3,)))</f>
        <v>0</v>
      </c>
      <c r="AU2916" s="10" t="str">
        <f>IF(I2916="TP",VLOOKUP(AF2916,TPCalibEqFull!$AZ$2:$BB$56,3),IF(I2916="TDP",VLOOKUP(AF2916,TPCalibEqFull!$AZ$2:$BB$56,3),IF(I2916="TDN",VLOOKUP(AF2916,TNCalibEqFull!$AZ$1:$BB$56,3),IF(I2916="TN",VLOOKUP(AF2916,TNCalibEqFull!$AZ$1:$BB$56,3),FALSE))))</f>
        <v>y=0.1051x2+65.423x-19.469</v>
      </c>
      <c r="AV2916" s="10" t="str">
        <f t="shared" si="331"/>
        <v>0208 09:11:00-EOF-10-FIL-1-SW-UKN</v>
      </c>
    </row>
    <row r="2917" spans="1:48" s="10" customFormat="1" x14ac:dyDescent="0.55000000000000004">
      <c r="A2917" s="32">
        <v>44965</v>
      </c>
      <c r="B2917" s="33">
        <v>0.38472222222222219</v>
      </c>
      <c r="C2917" s="10" t="s">
        <v>428</v>
      </c>
      <c r="D2917" s="10">
        <v>20</v>
      </c>
      <c r="E2917" s="10" t="s">
        <v>911</v>
      </c>
      <c r="F2917" s="10">
        <v>1</v>
      </c>
      <c r="G2917" s="10" t="s">
        <v>231</v>
      </c>
      <c r="H2917" s="10" t="s">
        <v>322</v>
      </c>
      <c r="I2917" s="10" t="s">
        <v>266</v>
      </c>
      <c r="J2917" s="10">
        <v>112</v>
      </c>
      <c r="K2917" s="12">
        <v>44966</v>
      </c>
      <c r="L2917" s="33">
        <v>0.67869212962962966</v>
      </c>
      <c r="M2917" s="10">
        <v>1</v>
      </c>
      <c r="N2917" s="10" t="s">
        <v>84</v>
      </c>
      <c r="O2917" s="10">
        <v>2.2599999999999998</v>
      </c>
      <c r="P2917" s="10">
        <v>0.157</v>
      </c>
      <c r="Q2917" s="10">
        <v>129</v>
      </c>
      <c r="R2917" s="10" t="s">
        <v>85</v>
      </c>
      <c r="S2917" s="34">
        <f t="shared" si="328"/>
        <v>144.40824959999998</v>
      </c>
      <c r="T2917" s="10" t="s">
        <v>1201</v>
      </c>
      <c r="U2917" s="34" t="str">
        <f t="shared" si="329"/>
        <v/>
      </c>
      <c r="V2917" s="31" t="str">
        <f>IF(H2917="CHK",VLOOKUP(I2917,QCCHK,3,),IF(H2917="GUP",VLOOKUP(E2917,QCGUP,2,),IF(AND(H2917="ATP",OR(I2917="TN",I2917="TDN",I2917="TNO2-3",I2917="NO2-3")),VLOOKUP(E2917,QCREC_N,2,),IF(AND(H2917="NIC",OR(I2917="TN",I2917="TDN",I2917="TNO2-3",I2917="NO2-3")),VLOOKUP(E2917,QCNIC_N,2,),IF(AND(H2917="UREA",OR(I2917="TN",I2917="TDN",I2917="TNO2-3",I2917="NO2-3")),VLOOKUP(E2917,QCUREA_N,2,),IF(H2917="PER",VLOOKUP(I2917,QCPER,MATCH(E2917,QCACTUAL!$J$25:$AA$25,0),),IF(H2917="SPK",VLOOKUP(I2917,QCSPK,3,),IF(AND(H2917="ATP",OR(I2917="TP",I2917="TDP")),VLOOKUP(E2917,QCATP_P,2,),""))))))))</f>
        <v/>
      </c>
      <c r="W2917" s="31" t="str">
        <f t="shared" si="330"/>
        <v>TRUE</v>
      </c>
      <c r="X2917" s="31" t="str">
        <f t="shared" si="327"/>
        <v/>
      </c>
      <c r="Y2917" s="10" t="s">
        <v>1188</v>
      </c>
      <c r="AF2917" s="12">
        <v>44966</v>
      </c>
      <c r="AG2917" s="10">
        <f>-11.204*2.26^2+113.68*2.26-55.283</f>
        <v>144.40824959999998</v>
      </c>
      <c r="AH2917" s="10">
        <f>-2.9408*2.26^2+89.45*2.26-43.664</f>
        <v>143.47256992000001</v>
      </c>
      <c r="AI2917" s="10">
        <f>-1.7314*2.26^2+83.401*2.26-37.87</f>
        <v>141.77296135999998</v>
      </c>
      <c r="AK2917" s="10">
        <f>0.1051*2.26^2+65.423*2.26-19.469</f>
        <v>128.92378876000001</v>
      </c>
      <c r="AL2917" s="10" t="str">
        <f t="shared" si="325"/>
        <v>y=-11.204*2.26^2+113.68*2.26-55.283</v>
      </c>
      <c r="AM2917" s="10" t="str">
        <f t="shared" si="325"/>
        <v>y=-2.9408*2.26^2+89.45*2.26-43.664</v>
      </c>
      <c r="AN2917" s="10" t="str">
        <f t="shared" si="325"/>
        <v>y=-1.7314*2.26^2+83.401*2.26-37.87</v>
      </c>
      <c r="AO2917" s="10" t="str">
        <f t="shared" si="326"/>
        <v>FALSE</v>
      </c>
      <c r="AP2917" s="10" t="str">
        <f t="shared" si="326"/>
        <v>y=0.1051*2.26^2+65.423*2.26-19.469</v>
      </c>
      <c r="AQ2917" s="10" t="str">
        <f>IF(AND(I2917="TP",S2917&lt;=150),VLOOKUP(AF2917,TPCalibEq150!$AZ$2:$BB$55,3,),IF(AND(I2917="TDP",S2917&lt;=150),VLOOKUP(AF2917,TPCalibEq150!$AZ$2:$BB$55,3,)))</f>
        <v>y=-11.204x2+113.68x-55.283</v>
      </c>
      <c r="AR2917" s="10" t="str">
        <f>IF(AND(I2917="TP",S2917&lt;=300),VLOOKUP(AF2917,TPCalibEq300!$AZ$2:$BB$55,3,),IF(AND(I2917="TDP",S2917&lt;=300),VLOOKUP(AF2917,TPCalibEq300!$AZ$2:$BB$55,3,)))</f>
        <v>y=-2.9408x2+89.45x-43.664</v>
      </c>
      <c r="AS2917" s="10" t="str">
        <f>IF(AND(I2917="TP",S2917&lt;=500),VLOOKUP(AF2917,TPCalibEq500!$AZ$2:$BB$56,3,),IF(AND(I2917="TDP",S2917&lt;=500),VLOOKUP(AF2917,TPCalibEq500!$AZ$2:$BB$56,3,)))</f>
        <v>y=-1.7314x2+83.401x-37.87</v>
      </c>
      <c r="AT2917" s="10" t="b">
        <f>IF(AND(I2917="TN",S2917&lt;=2800),VLOOKUP(AF2917,TNCalibEq2500!$AZ$2:$BB$56,3,),IF(AND(I2917="TDN",S2917&lt;=2800),VLOOKUP(AF2917,TNCalibEq2500!$AZ$2:$BB$56,3,)))</f>
        <v>0</v>
      </c>
      <c r="AU2917" s="10" t="str">
        <f>IF(I2917="TP",VLOOKUP(AF2917,TPCalibEqFull!$AZ$2:$BB$56,3),IF(I2917="TDP",VLOOKUP(AF2917,TPCalibEqFull!$AZ$2:$BB$56,3),IF(I2917="TDN",VLOOKUP(AF2917,TNCalibEqFull!$AZ$1:$BB$56,3),IF(I2917="TN",VLOOKUP(AF2917,TNCalibEqFull!$AZ$1:$BB$56,3),FALSE))))</f>
        <v>y=0.1051x2+65.423x-19.469</v>
      </c>
      <c r="AV2917" s="10" t="str">
        <f t="shared" si="331"/>
        <v>0208 09:14:00-EOF-20-FIL-1-SW-UKN</v>
      </c>
    </row>
    <row r="2918" spans="1:48" s="10" customFormat="1" x14ac:dyDescent="0.55000000000000004">
      <c r="A2918" s="32">
        <v>44965</v>
      </c>
      <c r="B2918" s="33">
        <v>0.38877314814814817</v>
      </c>
      <c r="C2918" s="10" t="s">
        <v>428</v>
      </c>
      <c r="D2918" s="10">
        <v>80</v>
      </c>
      <c r="E2918" s="10" t="s">
        <v>911</v>
      </c>
      <c r="F2918" s="10">
        <v>1</v>
      </c>
      <c r="G2918" s="10" t="s">
        <v>231</v>
      </c>
      <c r="H2918" s="10" t="s">
        <v>322</v>
      </c>
      <c r="I2918" s="10" t="s">
        <v>266</v>
      </c>
      <c r="J2918" s="10">
        <v>113</v>
      </c>
      <c r="K2918" s="12">
        <v>44966</v>
      </c>
      <c r="L2918" s="33">
        <v>0.67939814814814825</v>
      </c>
      <c r="M2918" s="10">
        <v>1</v>
      </c>
      <c r="N2918" s="10" t="s">
        <v>84</v>
      </c>
      <c r="O2918" s="10">
        <v>3.09</v>
      </c>
      <c r="P2918" s="10">
        <v>0.217</v>
      </c>
      <c r="Q2918" s="10">
        <v>184</v>
      </c>
      <c r="R2918" s="10" t="s">
        <v>85</v>
      </c>
      <c r="S2918" s="34">
        <f t="shared" si="328"/>
        <v>204.65744752000001</v>
      </c>
      <c r="T2918" s="10" t="s">
        <v>1201</v>
      </c>
      <c r="U2918" s="34" t="str">
        <f t="shared" si="329"/>
        <v/>
      </c>
      <c r="V2918" s="31" t="str">
        <f>IF(H2918="CHK",VLOOKUP(I2918,QCCHK,3,),IF(H2918="GUP",VLOOKUP(E2918,QCGUP,2,),IF(AND(H2918="ATP",OR(I2918="TN",I2918="TDN",I2918="TNO2-3",I2918="NO2-3")),VLOOKUP(E2918,QCREC_N,2,),IF(AND(H2918="NIC",OR(I2918="TN",I2918="TDN",I2918="TNO2-3",I2918="NO2-3")),VLOOKUP(E2918,QCNIC_N,2,),IF(AND(H2918="UREA",OR(I2918="TN",I2918="TDN",I2918="TNO2-3",I2918="NO2-3")),VLOOKUP(E2918,QCUREA_N,2,),IF(H2918="PER",VLOOKUP(I2918,QCPER,MATCH(E2918,QCACTUAL!$J$25:$AA$25,0),),IF(H2918="SPK",VLOOKUP(I2918,QCSPK,3,),IF(AND(H2918="ATP",OR(I2918="TP",I2918="TDP")),VLOOKUP(E2918,QCATP_P,2,),""))))))))</f>
        <v/>
      </c>
      <c r="W2918" s="31" t="str">
        <f t="shared" si="330"/>
        <v>TRUE</v>
      </c>
      <c r="X2918" s="31" t="str">
        <f t="shared" si="327"/>
        <v/>
      </c>
      <c r="Y2918" s="10" t="s">
        <v>1188</v>
      </c>
      <c r="AF2918" s="12">
        <v>44966</v>
      </c>
      <c r="AH2918" s="10">
        <f>-2.9408*3.09^2+89.45*3.09-43.664</f>
        <v>204.65744752000001</v>
      </c>
      <c r="AI2918" s="10">
        <f>-1.7314*3.09^2+83.401*3.09-37.87</f>
        <v>203.30750965999999</v>
      </c>
      <c r="AK2918" s="10">
        <f>0.1051*3.09^2+65.423*3.09-19.469</f>
        <v>183.69157531000002</v>
      </c>
      <c r="AL2918" s="10" t="str">
        <f t="shared" si="325"/>
        <v>FALSE</v>
      </c>
      <c r="AM2918" s="10" t="str">
        <f t="shared" si="325"/>
        <v>y=-2.9408*3.09^2+89.45*3.09-43.664</v>
      </c>
      <c r="AN2918" s="10" t="str">
        <f t="shared" si="325"/>
        <v>y=-1.7314*3.09^2+83.401*3.09-37.87</v>
      </c>
      <c r="AO2918" s="10" t="str">
        <f t="shared" si="326"/>
        <v>FALSE</v>
      </c>
      <c r="AP2918" s="10" t="str">
        <f t="shared" si="326"/>
        <v>y=0.1051*3.09^2+65.423*3.09-19.469</v>
      </c>
      <c r="AQ2918" s="10" t="b">
        <f>IF(AND(I2918="TP",S2918&lt;=150),VLOOKUP(AF2918,TPCalibEq150!$AZ$2:$BB$55,3,),IF(AND(I2918="TDP",S2918&lt;=150),VLOOKUP(AF2918,TPCalibEq150!$AZ$2:$BB$55,3,)))</f>
        <v>0</v>
      </c>
      <c r="AR2918" s="10" t="str">
        <f>IF(AND(I2918="TP",S2918&lt;=300),VLOOKUP(AF2918,TPCalibEq300!$AZ$2:$BB$55,3,),IF(AND(I2918="TDP",S2918&lt;=300),VLOOKUP(AF2918,TPCalibEq300!$AZ$2:$BB$55,3,)))</f>
        <v>y=-2.9408x2+89.45x-43.664</v>
      </c>
      <c r="AS2918" s="10" t="str">
        <f>IF(AND(I2918="TP",S2918&lt;=500),VLOOKUP(AF2918,TPCalibEq500!$AZ$2:$BB$56,3,),IF(AND(I2918="TDP",S2918&lt;=500),VLOOKUP(AF2918,TPCalibEq500!$AZ$2:$BB$56,3,)))</f>
        <v>y=-1.7314x2+83.401x-37.87</v>
      </c>
      <c r="AT2918" s="10" t="b">
        <f>IF(AND(I2918="TN",S2918&lt;=2800),VLOOKUP(AF2918,TNCalibEq2500!$AZ$2:$BB$56,3,),IF(AND(I2918="TDN",S2918&lt;=2800),VLOOKUP(AF2918,TNCalibEq2500!$AZ$2:$BB$56,3,)))</f>
        <v>0</v>
      </c>
      <c r="AU2918" s="10" t="str">
        <f>IF(I2918="TP",VLOOKUP(AF2918,TPCalibEqFull!$AZ$2:$BB$56,3),IF(I2918="TDP",VLOOKUP(AF2918,TPCalibEqFull!$AZ$2:$BB$56,3),IF(I2918="TDN",VLOOKUP(AF2918,TNCalibEqFull!$AZ$1:$BB$56,3),IF(I2918="TN",VLOOKUP(AF2918,TNCalibEqFull!$AZ$1:$BB$56,3),FALSE))))</f>
        <v>y=0.1051x2+65.423x-19.469</v>
      </c>
      <c r="AV2918" s="10" t="str">
        <f t="shared" si="331"/>
        <v>0208 09:19:50-EOF-80-FIL-1-SW-UKN</v>
      </c>
    </row>
    <row r="2919" spans="1:48" s="10" customFormat="1" x14ac:dyDescent="0.55000000000000004">
      <c r="A2919" s="32">
        <v>44965</v>
      </c>
      <c r="B2919" s="33">
        <v>0.4201388888888889</v>
      </c>
      <c r="C2919" s="10" t="s">
        <v>611</v>
      </c>
      <c r="D2919" s="10">
        <v>0</v>
      </c>
      <c r="E2919" s="10" t="s">
        <v>911</v>
      </c>
      <c r="F2919" s="10">
        <v>1</v>
      </c>
      <c r="G2919" s="10" t="s">
        <v>231</v>
      </c>
      <c r="H2919" s="10" t="s">
        <v>322</v>
      </c>
      <c r="I2919" s="10" t="s">
        <v>266</v>
      </c>
      <c r="J2919" s="10">
        <v>114</v>
      </c>
      <c r="K2919" s="12">
        <v>44966</v>
      </c>
      <c r="L2919" s="33">
        <v>0.68009259259259258</v>
      </c>
      <c r="M2919" s="10">
        <v>1</v>
      </c>
      <c r="N2919" s="10" t="s">
        <v>84</v>
      </c>
      <c r="O2919" s="10">
        <v>3.13</v>
      </c>
      <c r="P2919" s="10">
        <v>0.221</v>
      </c>
      <c r="Q2919" s="10">
        <v>187</v>
      </c>
      <c r="R2919" s="10" t="s">
        <v>85</v>
      </c>
      <c r="S2919" s="34">
        <f t="shared" si="328"/>
        <v>207.50377648</v>
      </c>
      <c r="T2919" s="10" t="s">
        <v>1201</v>
      </c>
      <c r="U2919" s="34" t="str">
        <f t="shared" si="329"/>
        <v/>
      </c>
      <c r="V2919" s="31" t="str">
        <f>IF(H2919="CHK",VLOOKUP(I2919,QCCHK,3,),IF(H2919="GUP",VLOOKUP(E2919,QCGUP,2,),IF(AND(H2919="ATP",OR(I2919="TN",I2919="TDN",I2919="TNO2-3",I2919="NO2-3")),VLOOKUP(E2919,QCREC_N,2,),IF(AND(H2919="NIC",OR(I2919="TN",I2919="TDN",I2919="TNO2-3",I2919="NO2-3")),VLOOKUP(E2919,QCNIC_N,2,),IF(AND(H2919="UREA",OR(I2919="TN",I2919="TDN",I2919="TNO2-3",I2919="NO2-3")),VLOOKUP(E2919,QCUREA_N,2,),IF(H2919="PER",VLOOKUP(I2919,QCPER,MATCH(E2919,QCACTUAL!$J$25:$AA$25,0),),IF(H2919="SPK",VLOOKUP(I2919,QCSPK,3,),IF(AND(H2919="ATP",OR(I2919="TP",I2919="TDP")),VLOOKUP(E2919,QCATP_P,2,),""))))))))</f>
        <v/>
      </c>
      <c r="W2919" s="31" t="str">
        <f t="shared" si="330"/>
        <v>TRUE</v>
      </c>
      <c r="X2919" s="31" t="str">
        <f t="shared" si="327"/>
        <v/>
      </c>
      <c r="Y2919" s="10" t="s">
        <v>1188</v>
      </c>
      <c r="AF2919" s="12">
        <v>44966</v>
      </c>
      <c r="AH2919" s="10">
        <f>-2.9408*3.13^2+89.45*3.13-43.664</f>
        <v>207.50377648</v>
      </c>
      <c r="AI2919" s="10">
        <f>-1.7314*3.13^2+83.401*3.13-37.87</f>
        <v>206.21277733999997</v>
      </c>
      <c r="AK2919" s="10">
        <f>0.1051*3.13^2+65.423*3.13-19.469</f>
        <v>186.33464419000001</v>
      </c>
      <c r="AL2919" s="10" t="str">
        <f t="shared" si="325"/>
        <v>FALSE</v>
      </c>
      <c r="AM2919" s="10" t="str">
        <f t="shared" si="325"/>
        <v>y=-2.9408*3.13^2+89.45*3.13-43.664</v>
      </c>
      <c r="AN2919" s="10" t="str">
        <f t="shared" si="325"/>
        <v>y=-1.7314*3.13^2+83.401*3.13-37.87</v>
      </c>
      <c r="AO2919" s="10" t="str">
        <f t="shared" si="326"/>
        <v>FALSE</v>
      </c>
      <c r="AP2919" s="10" t="str">
        <f t="shared" si="326"/>
        <v>y=0.1051*3.13^2+65.423*3.13-19.469</v>
      </c>
      <c r="AQ2919" s="10" t="b">
        <f>IF(AND(I2919="TP",S2919&lt;=150),VLOOKUP(AF2919,TPCalibEq150!$AZ$2:$BB$55,3,),IF(AND(I2919="TDP",S2919&lt;=150),VLOOKUP(AF2919,TPCalibEq150!$AZ$2:$BB$55,3,)))</f>
        <v>0</v>
      </c>
      <c r="AR2919" s="10" t="str">
        <f>IF(AND(I2919="TP",S2919&lt;=300),VLOOKUP(AF2919,TPCalibEq300!$AZ$2:$BB$55,3,),IF(AND(I2919="TDP",S2919&lt;=300),VLOOKUP(AF2919,TPCalibEq300!$AZ$2:$BB$55,3,)))</f>
        <v>y=-2.9408x2+89.45x-43.664</v>
      </c>
      <c r="AS2919" s="10" t="str">
        <f>IF(AND(I2919="TP",S2919&lt;=500),VLOOKUP(AF2919,TPCalibEq500!$AZ$2:$BB$56,3,),IF(AND(I2919="TDP",S2919&lt;=500),VLOOKUP(AF2919,TPCalibEq500!$AZ$2:$BB$56,3,)))</f>
        <v>y=-1.7314x2+83.401x-37.87</v>
      </c>
      <c r="AT2919" s="10" t="b">
        <f>IF(AND(I2919="TN",S2919&lt;=2800),VLOOKUP(AF2919,TNCalibEq2500!$AZ$2:$BB$56,3,),IF(AND(I2919="TDN",S2919&lt;=2800),VLOOKUP(AF2919,TNCalibEq2500!$AZ$2:$BB$56,3,)))</f>
        <v>0</v>
      </c>
      <c r="AU2919" s="10" t="str">
        <f>IF(I2919="TP",VLOOKUP(AF2919,TPCalibEqFull!$AZ$2:$BB$56,3),IF(I2919="TDP",VLOOKUP(AF2919,TPCalibEqFull!$AZ$2:$BB$56,3),IF(I2919="TDN",VLOOKUP(AF2919,TNCalibEqFull!$AZ$1:$BB$56,3),IF(I2919="TN",VLOOKUP(AF2919,TNCalibEqFull!$AZ$1:$BB$56,3),FALSE))))</f>
        <v>y=0.1051x2+65.423x-19.469</v>
      </c>
      <c r="AV2919" s="10" t="str">
        <f t="shared" si="331"/>
        <v>0208 10:05:00-BUO-0-FIL-1-SW-UKN</v>
      </c>
    </row>
    <row r="2920" spans="1:48" s="10" customFormat="1" x14ac:dyDescent="0.55000000000000004">
      <c r="A2920" s="32">
        <v>44965</v>
      </c>
      <c r="B2920" s="33">
        <v>0.42291666666666666</v>
      </c>
      <c r="C2920" s="10" t="s">
        <v>611</v>
      </c>
      <c r="D2920" s="10">
        <v>5</v>
      </c>
      <c r="E2920" s="10" t="s">
        <v>911</v>
      </c>
      <c r="F2920" s="10">
        <v>1</v>
      </c>
      <c r="G2920" s="10" t="s">
        <v>231</v>
      </c>
      <c r="H2920" s="10" t="s">
        <v>322</v>
      </c>
      <c r="I2920" s="10" t="s">
        <v>266</v>
      </c>
      <c r="J2920" s="10">
        <v>115</v>
      </c>
      <c r="K2920" s="12">
        <v>44966</v>
      </c>
      <c r="L2920" s="33">
        <v>0.68079861111111117</v>
      </c>
      <c r="M2920" s="10">
        <v>1</v>
      </c>
      <c r="N2920" s="10" t="s">
        <v>84</v>
      </c>
      <c r="O2920" s="10">
        <v>3.25</v>
      </c>
      <c r="P2920" s="10">
        <v>0.22800000000000001</v>
      </c>
      <c r="Q2920" s="10">
        <v>195</v>
      </c>
      <c r="R2920" s="10" t="s">
        <v>85</v>
      </c>
      <c r="S2920" s="34">
        <f t="shared" si="328"/>
        <v>215.98630000000003</v>
      </c>
      <c r="T2920" s="10" t="s">
        <v>1201</v>
      </c>
      <c r="U2920" s="34" t="str">
        <f t="shared" si="329"/>
        <v/>
      </c>
      <c r="V2920" s="31" t="str">
        <f>IF(H2920="CHK",VLOOKUP(I2920,QCCHK,3,),IF(H2920="GUP",VLOOKUP(E2920,QCGUP,2,),IF(AND(H2920="ATP",OR(I2920="TN",I2920="TDN",I2920="TNO2-3",I2920="NO2-3")),VLOOKUP(E2920,QCREC_N,2,),IF(AND(H2920="NIC",OR(I2920="TN",I2920="TDN",I2920="TNO2-3",I2920="NO2-3")),VLOOKUP(E2920,QCNIC_N,2,),IF(AND(H2920="UREA",OR(I2920="TN",I2920="TDN",I2920="TNO2-3",I2920="NO2-3")),VLOOKUP(E2920,QCUREA_N,2,),IF(H2920="PER",VLOOKUP(I2920,QCPER,MATCH(E2920,QCACTUAL!$J$25:$AA$25,0),),IF(H2920="SPK",VLOOKUP(I2920,QCSPK,3,),IF(AND(H2920="ATP",OR(I2920="TP",I2920="TDP")),VLOOKUP(E2920,QCATP_P,2,),""))))))))</f>
        <v/>
      </c>
      <c r="W2920" s="31" t="str">
        <f t="shared" si="330"/>
        <v>TRUE</v>
      </c>
      <c r="X2920" s="31" t="str">
        <f t="shared" si="327"/>
        <v/>
      </c>
      <c r="Y2920" s="10" t="s">
        <v>1188</v>
      </c>
      <c r="AF2920" s="12">
        <v>44966</v>
      </c>
      <c r="AH2920" s="10">
        <f>-2.9408*3.25^2+89.45*3.25-43.664</f>
        <v>215.98630000000003</v>
      </c>
      <c r="AI2920" s="10">
        <f>-1.7314*3.25^2+83.401*3.25-37.87</f>
        <v>214.89533749999998</v>
      </c>
      <c r="AK2920" s="10">
        <f>0.1051*3.25^2+65.423*3.25-19.469</f>
        <v>194.26586875000001</v>
      </c>
      <c r="AL2920" s="10" t="str">
        <f t="shared" si="325"/>
        <v>FALSE</v>
      </c>
      <c r="AM2920" s="10" t="str">
        <f t="shared" si="325"/>
        <v>y=-2.9408*3.25^2+89.45*3.25-43.664</v>
      </c>
      <c r="AN2920" s="10" t="str">
        <f t="shared" si="325"/>
        <v>y=-1.7314*3.25^2+83.401*3.25-37.87</v>
      </c>
      <c r="AO2920" s="10" t="str">
        <f t="shared" si="326"/>
        <v>FALSE</v>
      </c>
      <c r="AP2920" s="10" t="str">
        <f t="shared" si="326"/>
        <v>y=0.1051*3.25^2+65.423*3.25-19.469</v>
      </c>
      <c r="AQ2920" s="10" t="b">
        <f>IF(AND(I2920="TP",S2920&lt;=150),VLOOKUP(AF2920,TPCalibEq150!$AZ$2:$BB$55,3,),IF(AND(I2920="TDP",S2920&lt;=150),VLOOKUP(AF2920,TPCalibEq150!$AZ$2:$BB$55,3,)))</f>
        <v>0</v>
      </c>
      <c r="AR2920" s="10" t="str">
        <f>IF(AND(I2920="TP",S2920&lt;=300),VLOOKUP(AF2920,TPCalibEq300!$AZ$2:$BB$55,3,),IF(AND(I2920="TDP",S2920&lt;=300),VLOOKUP(AF2920,TPCalibEq300!$AZ$2:$BB$55,3,)))</f>
        <v>y=-2.9408x2+89.45x-43.664</v>
      </c>
      <c r="AS2920" s="10" t="str">
        <f>IF(AND(I2920="TP",S2920&lt;=500),VLOOKUP(AF2920,TPCalibEq500!$AZ$2:$BB$56,3,),IF(AND(I2920="TDP",S2920&lt;=500),VLOOKUP(AF2920,TPCalibEq500!$AZ$2:$BB$56,3,)))</f>
        <v>y=-1.7314x2+83.401x-37.87</v>
      </c>
      <c r="AT2920" s="10" t="b">
        <f>IF(AND(I2920="TN",S2920&lt;=2800),VLOOKUP(AF2920,TNCalibEq2500!$AZ$2:$BB$56,3,),IF(AND(I2920="TDN",S2920&lt;=2800),VLOOKUP(AF2920,TNCalibEq2500!$AZ$2:$BB$56,3,)))</f>
        <v>0</v>
      </c>
      <c r="AU2920" s="10" t="str">
        <f>IF(I2920="TP",VLOOKUP(AF2920,TPCalibEqFull!$AZ$2:$BB$56,3),IF(I2920="TDP",VLOOKUP(AF2920,TPCalibEqFull!$AZ$2:$BB$56,3),IF(I2920="TDN",VLOOKUP(AF2920,TNCalibEqFull!$AZ$1:$BB$56,3),IF(I2920="TN",VLOOKUP(AF2920,TNCalibEqFull!$AZ$1:$BB$56,3),FALSE))))</f>
        <v>y=0.1051x2+65.423x-19.469</v>
      </c>
      <c r="AV2920" s="10" t="str">
        <f t="shared" si="331"/>
        <v>0208 10:09:00-BUO-5-FIL-1-SW-UKN</v>
      </c>
    </row>
    <row r="2921" spans="1:48" s="10" customFormat="1" x14ac:dyDescent="0.55000000000000004">
      <c r="A2921" s="32">
        <v>44965</v>
      </c>
      <c r="B2921" s="33">
        <v>0.42499999999999999</v>
      </c>
      <c r="C2921" s="10" t="s">
        <v>611</v>
      </c>
      <c r="D2921" s="10">
        <v>10</v>
      </c>
      <c r="E2921" s="10" t="s">
        <v>911</v>
      </c>
      <c r="F2921" s="10">
        <v>1</v>
      </c>
      <c r="G2921" s="10" t="s">
        <v>231</v>
      </c>
      <c r="H2921" s="10" t="s">
        <v>322</v>
      </c>
      <c r="I2921" s="10" t="s">
        <v>266</v>
      </c>
      <c r="J2921" s="10">
        <v>116</v>
      </c>
      <c r="K2921" s="12">
        <v>44966</v>
      </c>
      <c r="L2921" s="33">
        <v>0.6814930555555555</v>
      </c>
      <c r="M2921" s="10">
        <v>1</v>
      </c>
      <c r="N2921" s="10" t="s">
        <v>84</v>
      </c>
      <c r="O2921" s="10">
        <v>2.86</v>
      </c>
      <c r="P2921" s="10">
        <v>0.20100000000000001</v>
      </c>
      <c r="Q2921" s="10">
        <v>169</v>
      </c>
      <c r="R2921" s="10" t="s">
        <v>85</v>
      </c>
      <c r="S2921" s="34">
        <f t="shared" si="328"/>
        <v>188.10843232000002</v>
      </c>
      <c r="T2921" s="10" t="s">
        <v>1201</v>
      </c>
      <c r="U2921" s="34" t="str">
        <f t="shared" si="329"/>
        <v/>
      </c>
      <c r="V2921" s="31" t="str">
        <f>IF(H2921="CHK",VLOOKUP(I2921,QCCHK,3,),IF(H2921="GUP",VLOOKUP(E2921,QCGUP,2,),IF(AND(H2921="ATP",OR(I2921="TN",I2921="TDN",I2921="TNO2-3",I2921="NO2-3")),VLOOKUP(E2921,QCREC_N,2,),IF(AND(H2921="NIC",OR(I2921="TN",I2921="TDN",I2921="TNO2-3",I2921="NO2-3")),VLOOKUP(E2921,QCNIC_N,2,),IF(AND(H2921="UREA",OR(I2921="TN",I2921="TDN",I2921="TNO2-3",I2921="NO2-3")),VLOOKUP(E2921,QCUREA_N,2,),IF(H2921="PER",VLOOKUP(I2921,QCPER,MATCH(E2921,QCACTUAL!$J$25:$AA$25,0),),IF(H2921="SPK",VLOOKUP(I2921,QCSPK,3,),IF(AND(H2921="ATP",OR(I2921="TP",I2921="TDP")),VLOOKUP(E2921,QCATP_P,2,),""))))))))</f>
        <v/>
      </c>
      <c r="W2921" s="31" t="str">
        <f t="shared" si="330"/>
        <v>TRUE</v>
      </c>
      <c r="X2921" s="31" t="str">
        <f t="shared" si="327"/>
        <v/>
      </c>
      <c r="Y2921" s="10" t="s">
        <v>1188</v>
      </c>
      <c r="AF2921" s="12">
        <v>44966</v>
      </c>
      <c r="AH2921" s="10">
        <f>-2.9408*2.86^2+89.45*2.86-43.664</f>
        <v>188.10843232000002</v>
      </c>
      <c r="AI2921" s="10">
        <f>-1.7314*2.86^2+83.401*2.86-37.87</f>
        <v>186.49470055999996</v>
      </c>
      <c r="AK2921" s="10">
        <f>0.1051*2.86^2+65.423*2.86-19.469</f>
        <v>168.50045596000001</v>
      </c>
      <c r="AL2921" s="10" t="str">
        <f t="shared" si="325"/>
        <v>FALSE</v>
      </c>
      <c r="AM2921" s="10" t="str">
        <f t="shared" si="325"/>
        <v>y=-2.9408*2.86^2+89.45*2.86-43.664</v>
      </c>
      <c r="AN2921" s="10" t="str">
        <f t="shared" si="325"/>
        <v>y=-1.7314*2.86^2+83.401*2.86-37.87</v>
      </c>
      <c r="AO2921" s="10" t="str">
        <f t="shared" si="326"/>
        <v>FALSE</v>
      </c>
      <c r="AP2921" s="10" t="str">
        <f t="shared" si="326"/>
        <v>y=0.1051*2.86^2+65.423*2.86-19.469</v>
      </c>
      <c r="AQ2921" s="10" t="b">
        <f>IF(AND(I2921="TP",S2921&lt;=150),VLOOKUP(AF2921,TPCalibEq150!$AZ$2:$BB$55,3,),IF(AND(I2921="TDP",S2921&lt;=150),VLOOKUP(AF2921,TPCalibEq150!$AZ$2:$BB$55,3,)))</f>
        <v>0</v>
      </c>
      <c r="AR2921" s="10" t="str">
        <f>IF(AND(I2921="TP",S2921&lt;=300),VLOOKUP(AF2921,TPCalibEq300!$AZ$2:$BB$55,3,),IF(AND(I2921="TDP",S2921&lt;=300),VLOOKUP(AF2921,TPCalibEq300!$AZ$2:$BB$55,3,)))</f>
        <v>y=-2.9408x2+89.45x-43.664</v>
      </c>
      <c r="AS2921" s="10" t="str">
        <f>IF(AND(I2921="TP",S2921&lt;=500),VLOOKUP(AF2921,TPCalibEq500!$AZ$2:$BB$56,3,),IF(AND(I2921="TDP",S2921&lt;=500),VLOOKUP(AF2921,TPCalibEq500!$AZ$2:$BB$56,3,)))</f>
        <v>y=-1.7314x2+83.401x-37.87</v>
      </c>
      <c r="AT2921" s="10" t="b">
        <f>IF(AND(I2921="TN",S2921&lt;=2800),VLOOKUP(AF2921,TNCalibEq2500!$AZ$2:$BB$56,3,),IF(AND(I2921="TDN",S2921&lt;=2800),VLOOKUP(AF2921,TNCalibEq2500!$AZ$2:$BB$56,3,)))</f>
        <v>0</v>
      </c>
      <c r="AU2921" s="10" t="str">
        <f>IF(I2921="TP",VLOOKUP(AF2921,TPCalibEqFull!$AZ$2:$BB$56,3),IF(I2921="TDP",VLOOKUP(AF2921,TPCalibEqFull!$AZ$2:$BB$56,3),IF(I2921="TDN",VLOOKUP(AF2921,TNCalibEqFull!$AZ$1:$BB$56,3),IF(I2921="TN",VLOOKUP(AF2921,TNCalibEqFull!$AZ$1:$BB$56,3),FALSE))))</f>
        <v>y=0.1051x2+65.423x-19.469</v>
      </c>
      <c r="AV2921" s="10" t="str">
        <f t="shared" si="331"/>
        <v>0208 10:12:00-BUO-10-FIL-1-SW-UKN</v>
      </c>
    </row>
    <row r="2922" spans="1:48" s="10" customFormat="1" x14ac:dyDescent="0.55000000000000004">
      <c r="A2922" s="32">
        <v>44965</v>
      </c>
      <c r="B2922" s="33">
        <v>0.42777777777777781</v>
      </c>
      <c r="C2922" s="10" t="s">
        <v>611</v>
      </c>
      <c r="D2922" s="10">
        <v>20</v>
      </c>
      <c r="E2922" s="10" t="s">
        <v>911</v>
      </c>
      <c r="F2922" s="10">
        <v>1</v>
      </c>
      <c r="G2922" s="10" t="s">
        <v>231</v>
      </c>
      <c r="H2922" s="10" t="s">
        <v>322</v>
      </c>
      <c r="I2922" s="10" t="s">
        <v>266</v>
      </c>
      <c r="J2922" s="10">
        <v>117</v>
      </c>
      <c r="K2922" s="12">
        <v>44966</v>
      </c>
      <c r="L2922" s="33">
        <v>0.68217592592592602</v>
      </c>
      <c r="M2922" s="10">
        <v>1</v>
      </c>
      <c r="N2922" s="10" t="s">
        <v>84</v>
      </c>
      <c r="O2922" s="10">
        <v>1.98</v>
      </c>
      <c r="P2922" s="10">
        <v>0.13600000000000001</v>
      </c>
      <c r="Q2922" s="10">
        <v>111</v>
      </c>
      <c r="R2922" s="10" t="s">
        <v>85</v>
      </c>
      <c r="S2922" s="34">
        <f t="shared" si="328"/>
        <v>125.87923840000001</v>
      </c>
      <c r="T2922" s="10" t="s">
        <v>1201</v>
      </c>
      <c r="U2922" s="34" t="str">
        <f t="shared" si="329"/>
        <v/>
      </c>
      <c r="V2922" s="31" t="str">
        <f>IF(H2922="CHK",VLOOKUP(I2922,QCCHK,3,),IF(H2922="GUP",VLOOKUP(E2922,QCGUP,2,),IF(AND(H2922="ATP",OR(I2922="TN",I2922="TDN",I2922="TNO2-3",I2922="NO2-3")),VLOOKUP(E2922,QCREC_N,2,),IF(AND(H2922="NIC",OR(I2922="TN",I2922="TDN",I2922="TNO2-3",I2922="NO2-3")),VLOOKUP(E2922,QCNIC_N,2,),IF(AND(H2922="UREA",OR(I2922="TN",I2922="TDN",I2922="TNO2-3",I2922="NO2-3")),VLOOKUP(E2922,QCUREA_N,2,),IF(H2922="PER",VLOOKUP(I2922,QCPER,MATCH(E2922,QCACTUAL!$J$25:$AA$25,0),),IF(H2922="SPK",VLOOKUP(I2922,QCSPK,3,),IF(AND(H2922="ATP",OR(I2922="TP",I2922="TDP")),VLOOKUP(E2922,QCATP_P,2,),""))))))))</f>
        <v/>
      </c>
      <c r="W2922" s="31" t="str">
        <f t="shared" si="330"/>
        <v>TRUE</v>
      </c>
      <c r="X2922" s="31" t="str">
        <f t="shared" si="327"/>
        <v/>
      </c>
      <c r="Y2922" s="10" t="s">
        <v>1188</v>
      </c>
      <c r="AF2922" s="12">
        <v>44966</v>
      </c>
      <c r="AG2922" s="10">
        <f>-11.204*1.98^2+113.68*1.98-55.283</f>
        <v>125.87923840000001</v>
      </c>
      <c r="AH2922" s="10">
        <f>-2.9408*1.98^2+89.45*1.98-43.664</f>
        <v>121.91788767999999</v>
      </c>
      <c r="AI2922" s="10">
        <f>-1.7314*1.98^2+83.401*1.98-37.87</f>
        <v>120.47619943999999</v>
      </c>
      <c r="AK2922" s="10">
        <f>0.1051*1.98^2+65.423*1.98-19.469</f>
        <v>110.48057404000002</v>
      </c>
      <c r="AL2922" s="10" t="str">
        <f t="shared" si="325"/>
        <v>y=-11.204*1.98^2+113.68*1.98-55.283</v>
      </c>
      <c r="AM2922" s="10" t="str">
        <f t="shared" si="325"/>
        <v>y=-2.9408*1.98^2+89.45*1.98-43.664</v>
      </c>
      <c r="AN2922" s="10" t="str">
        <f t="shared" si="325"/>
        <v>y=-1.7314*1.98^2+83.401*1.98-37.87</v>
      </c>
      <c r="AO2922" s="10" t="str">
        <f t="shared" si="326"/>
        <v>FALSE</v>
      </c>
      <c r="AP2922" s="10" t="str">
        <f t="shared" si="326"/>
        <v>y=0.1051*1.98^2+65.423*1.98-19.469</v>
      </c>
      <c r="AQ2922" s="10" t="str">
        <f>IF(AND(I2922="TP",S2922&lt;=150),VLOOKUP(AF2922,TPCalibEq150!$AZ$2:$BB$55,3,),IF(AND(I2922="TDP",S2922&lt;=150),VLOOKUP(AF2922,TPCalibEq150!$AZ$2:$BB$55,3,)))</f>
        <v>y=-11.204x2+113.68x-55.283</v>
      </c>
      <c r="AR2922" s="10" t="str">
        <f>IF(AND(I2922="TP",S2922&lt;=300),VLOOKUP(AF2922,TPCalibEq300!$AZ$2:$BB$55,3,),IF(AND(I2922="TDP",S2922&lt;=300),VLOOKUP(AF2922,TPCalibEq300!$AZ$2:$BB$55,3,)))</f>
        <v>y=-2.9408x2+89.45x-43.664</v>
      </c>
      <c r="AS2922" s="10" t="str">
        <f>IF(AND(I2922="TP",S2922&lt;=500),VLOOKUP(AF2922,TPCalibEq500!$AZ$2:$BB$56,3,),IF(AND(I2922="TDP",S2922&lt;=500),VLOOKUP(AF2922,TPCalibEq500!$AZ$2:$BB$56,3,)))</f>
        <v>y=-1.7314x2+83.401x-37.87</v>
      </c>
      <c r="AT2922" s="10" t="b">
        <f>IF(AND(I2922="TN",S2922&lt;=2800),VLOOKUP(AF2922,TNCalibEq2500!$AZ$2:$BB$56,3,),IF(AND(I2922="TDN",S2922&lt;=2800),VLOOKUP(AF2922,TNCalibEq2500!$AZ$2:$BB$56,3,)))</f>
        <v>0</v>
      </c>
      <c r="AU2922" s="10" t="str">
        <f>IF(I2922="TP",VLOOKUP(AF2922,TPCalibEqFull!$AZ$2:$BB$56,3),IF(I2922="TDP",VLOOKUP(AF2922,TPCalibEqFull!$AZ$2:$BB$56,3),IF(I2922="TDN",VLOOKUP(AF2922,TNCalibEqFull!$AZ$1:$BB$56,3),IF(I2922="TN",VLOOKUP(AF2922,TNCalibEqFull!$AZ$1:$BB$56,3),FALSE))))</f>
        <v>y=0.1051x2+65.423x-19.469</v>
      </c>
      <c r="AV2922" s="10" t="str">
        <f t="shared" si="331"/>
        <v>0208 10:16:00-BUO-20-FIL-1-SW-UKN</v>
      </c>
    </row>
    <row r="2923" spans="1:48" s="10" customFormat="1" x14ac:dyDescent="0.55000000000000004">
      <c r="A2923" s="32">
        <v>44965</v>
      </c>
      <c r="B2923" s="33">
        <v>0.43055555555555558</v>
      </c>
      <c r="C2923" s="10" t="s">
        <v>611</v>
      </c>
      <c r="D2923" s="10">
        <v>46</v>
      </c>
      <c r="E2923" s="10" t="s">
        <v>911</v>
      </c>
      <c r="F2923" s="10">
        <v>1</v>
      </c>
      <c r="G2923" s="10" t="s">
        <v>231</v>
      </c>
      <c r="H2923" s="10" t="s">
        <v>322</v>
      </c>
      <c r="I2923" s="10" t="s">
        <v>266</v>
      </c>
      <c r="J2923" s="10">
        <v>118</v>
      </c>
      <c r="K2923" s="12">
        <v>44966</v>
      </c>
      <c r="L2923" s="33">
        <v>0.6828819444444445</v>
      </c>
      <c r="M2923" s="10">
        <v>1</v>
      </c>
      <c r="N2923" s="10" t="s">
        <v>84</v>
      </c>
      <c r="O2923" s="10">
        <v>2.96</v>
      </c>
      <c r="P2923" s="10">
        <v>0.20899999999999999</v>
      </c>
      <c r="Q2923" s="10">
        <v>176</v>
      </c>
      <c r="R2923" s="10" t="s">
        <v>85</v>
      </c>
      <c r="S2923" s="34">
        <f t="shared" si="328"/>
        <v>195.34188671999999</v>
      </c>
      <c r="T2923" s="10" t="s">
        <v>1201</v>
      </c>
      <c r="U2923" s="34" t="str">
        <f t="shared" si="329"/>
        <v/>
      </c>
      <c r="V2923" s="31" t="str">
        <f>IF(H2923="CHK",VLOOKUP(I2923,QCCHK,3,),IF(H2923="GUP",VLOOKUP(E2923,QCGUP,2,),IF(AND(H2923="ATP",OR(I2923="TN",I2923="TDN",I2923="TNO2-3",I2923="NO2-3")),VLOOKUP(E2923,QCREC_N,2,),IF(AND(H2923="NIC",OR(I2923="TN",I2923="TDN",I2923="TNO2-3",I2923="NO2-3")),VLOOKUP(E2923,QCNIC_N,2,),IF(AND(H2923="UREA",OR(I2923="TN",I2923="TDN",I2923="TNO2-3",I2923="NO2-3")),VLOOKUP(E2923,QCUREA_N,2,),IF(H2923="PER",VLOOKUP(I2923,QCPER,MATCH(E2923,QCACTUAL!$J$25:$AA$25,0),),IF(H2923="SPK",VLOOKUP(I2923,QCSPK,3,),IF(AND(H2923="ATP",OR(I2923="TP",I2923="TDP")),VLOOKUP(E2923,QCATP_P,2,),""))))))))</f>
        <v/>
      </c>
      <c r="W2923" s="31" t="str">
        <f t="shared" si="330"/>
        <v>TRUE</v>
      </c>
      <c r="X2923" s="31" t="str">
        <f t="shared" si="327"/>
        <v/>
      </c>
      <c r="Y2923" s="10" t="s">
        <v>1188</v>
      </c>
      <c r="AF2923" s="12">
        <v>44966</v>
      </c>
      <c r="AH2923" s="10">
        <f>-2.9408*2.96^2+89.45*2.96-43.664</f>
        <v>195.34188671999999</v>
      </c>
      <c r="AI2923" s="10">
        <f>-1.7314*2.96^2+83.401*2.96-37.87</f>
        <v>193.82712575999997</v>
      </c>
      <c r="AK2923" s="10">
        <f>0.1051*2.96^2+65.423*2.96-19.469</f>
        <v>175.10392416000002</v>
      </c>
      <c r="AL2923" s="10" t="str">
        <f t="shared" si="325"/>
        <v>FALSE</v>
      </c>
      <c r="AM2923" s="10" t="str">
        <f t="shared" si="325"/>
        <v>y=-2.9408*2.96^2+89.45*2.96-43.664</v>
      </c>
      <c r="AN2923" s="10" t="str">
        <f t="shared" si="325"/>
        <v>y=-1.7314*2.96^2+83.401*2.96-37.87</v>
      </c>
      <c r="AO2923" s="10" t="str">
        <f t="shared" si="326"/>
        <v>FALSE</v>
      </c>
      <c r="AP2923" s="10" t="str">
        <f t="shared" si="326"/>
        <v>y=0.1051*2.96^2+65.423*2.96-19.469</v>
      </c>
      <c r="AQ2923" s="10" t="b">
        <f>IF(AND(I2923="TP",S2923&lt;=150),VLOOKUP(AF2923,TPCalibEq150!$AZ$2:$BB$55,3,),IF(AND(I2923="TDP",S2923&lt;=150),VLOOKUP(AF2923,TPCalibEq150!$AZ$2:$BB$55,3,)))</f>
        <v>0</v>
      </c>
      <c r="AR2923" s="10" t="str">
        <f>IF(AND(I2923="TP",S2923&lt;=300),VLOOKUP(AF2923,TPCalibEq300!$AZ$2:$BB$55,3,),IF(AND(I2923="TDP",S2923&lt;=300),VLOOKUP(AF2923,TPCalibEq300!$AZ$2:$BB$55,3,)))</f>
        <v>y=-2.9408x2+89.45x-43.664</v>
      </c>
      <c r="AS2923" s="10" t="str">
        <f>IF(AND(I2923="TP",S2923&lt;=500),VLOOKUP(AF2923,TPCalibEq500!$AZ$2:$BB$56,3,),IF(AND(I2923="TDP",S2923&lt;=500),VLOOKUP(AF2923,TPCalibEq500!$AZ$2:$BB$56,3,)))</f>
        <v>y=-1.7314x2+83.401x-37.87</v>
      </c>
      <c r="AT2923" s="10" t="b">
        <f>IF(AND(I2923="TN",S2923&lt;=2800),VLOOKUP(AF2923,TNCalibEq2500!$AZ$2:$BB$56,3,),IF(AND(I2923="TDN",S2923&lt;=2800),VLOOKUP(AF2923,TNCalibEq2500!$AZ$2:$BB$56,3,)))</f>
        <v>0</v>
      </c>
      <c r="AU2923" s="10" t="str">
        <f>IF(I2923="TP",VLOOKUP(AF2923,TPCalibEqFull!$AZ$2:$BB$56,3),IF(I2923="TDP",VLOOKUP(AF2923,TPCalibEqFull!$AZ$2:$BB$56,3),IF(I2923="TDN",VLOOKUP(AF2923,TNCalibEqFull!$AZ$1:$BB$56,3),IF(I2923="TN",VLOOKUP(AF2923,TNCalibEqFull!$AZ$1:$BB$56,3),FALSE))))</f>
        <v>y=0.1051x2+65.423x-19.469</v>
      </c>
      <c r="AV2923" s="10" t="str">
        <f t="shared" si="331"/>
        <v>0208 10:20:00-BUO-46-FIL-1-SW-UKN</v>
      </c>
    </row>
    <row r="2924" spans="1:48" s="10" customFormat="1" x14ac:dyDescent="0.55000000000000004">
      <c r="A2924" s="32">
        <v>44965</v>
      </c>
      <c r="B2924" s="33">
        <v>0.43055555555555558</v>
      </c>
      <c r="C2924" s="10" t="s">
        <v>611</v>
      </c>
      <c r="D2924" s="10">
        <v>46</v>
      </c>
      <c r="E2924" s="10" t="s">
        <v>911</v>
      </c>
      <c r="F2924" s="10">
        <v>1</v>
      </c>
      <c r="G2924" s="10" t="s">
        <v>231</v>
      </c>
      <c r="H2924" s="10" t="s">
        <v>233</v>
      </c>
      <c r="I2924" s="10" t="s">
        <v>266</v>
      </c>
      <c r="J2924" s="10">
        <v>118</v>
      </c>
      <c r="K2924" s="12">
        <v>44966</v>
      </c>
      <c r="L2924" s="33">
        <v>0.68358796296296298</v>
      </c>
      <c r="M2924" s="10">
        <v>1</v>
      </c>
      <c r="N2924" s="10" t="s">
        <v>84</v>
      </c>
      <c r="O2924" s="10">
        <v>2.98</v>
      </c>
      <c r="P2924" s="10">
        <v>0.20899999999999999</v>
      </c>
      <c r="Q2924" s="10">
        <v>177</v>
      </c>
      <c r="R2924" s="10" t="s">
        <v>85</v>
      </c>
      <c r="S2924" s="34">
        <f t="shared" si="328"/>
        <v>196.78151967999997</v>
      </c>
      <c r="T2924" s="10" t="s">
        <v>1201</v>
      </c>
      <c r="U2924" s="34">
        <f t="shared" si="329"/>
        <v>0.7342754533410496</v>
      </c>
      <c r="V2924" s="31" t="str">
        <f>IF(H2924="CHK",VLOOKUP(I2924,QCCHK,3,),IF(H2924="GUP",VLOOKUP(E2924,QCGUP,2,),IF(AND(H2924="ATP",OR(I2924="TN",I2924="TDN",I2924="TNO2-3",I2924="NO2-3")),VLOOKUP(E2924,QCREC_N,2,),IF(AND(H2924="NIC",OR(I2924="TN",I2924="TDN",I2924="TNO2-3",I2924="NO2-3")),VLOOKUP(E2924,QCNIC_N,2,),IF(AND(H2924="UREA",OR(I2924="TN",I2924="TDN",I2924="TNO2-3",I2924="NO2-3")),VLOOKUP(E2924,QCUREA_N,2,),IF(H2924="PER",VLOOKUP(I2924,QCPER,MATCH(E2924,QCACTUAL!$J$25:$AA$25,0),),IF(H2924="SPK",VLOOKUP(I2924,QCSPK,3,),IF(AND(H2924="ATP",OR(I2924="TP",I2924="TDP")),VLOOKUP(E2924,QCATP_P,2,),""))))))))</f>
        <v/>
      </c>
      <c r="W2924" s="31" t="str">
        <f t="shared" si="330"/>
        <v>TRUE</v>
      </c>
      <c r="X2924" s="31" t="str">
        <f t="shared" si="327"/>
        <v>((ABS(rep1-rep2))/((rep1+rep2)/2)*100</v>
      </c>
      <c r="Y2924" s="10" t="s">
        <v>1188</v>
      </c>
      <c r="AF2924" s="12">
        <v>44966</v>
      </c>
      <c r="AH2924" s="10">
        <f>-2.9408*2.98^2+89.45*2.98-43.664</f>
        <v>196.78151967999997</v>
      </c>
      <c r="AI2924" s="10">
        <f>-1.7314*2.98^2+83.401*2.98-37.87</f>
        <v>195.28945543999998</v>
      </c>
      <c r="AK2924" s="10">
        <f>0.1051*2.98^2+65.423*2.98-19.469</f>
        <v>176.42487004</v>
      </c>
      <c r="AL2924" s="10" t="str">
        <f t="shared" si="325"/>
        <v>FALSE</v>
      </c>
      <c r="AM2924" s="10" t="str">
        <f t="shared" si="325"/>
        <v>y=-2.9408*2.98^2+89.45*2.98-43.664</v>
      </c>
      <c r="AN2924" s="10" t="str">
        <f t="shared" si="325"/>
        <v>y=-1.7314*2.98^2+83.401*2.98-37.87</v>
      </c>
      <c r="AO2924" s="10" t="str">
        <f t="shared" si="326"/>
        <v>FALSE</v>
      </c>
      <c r="AP2924" s="10" t="str">
        <f t="shared" si="326"/>
        <v>y=0.1051*2.98^2+65.423*2.98-19.469</v>
      </c>
      <c r="AQ2924" s="10" t="b">
        <f>IF(AND(I2924="TP",S2924&lt;=150),VLOOKUP(AF2924,TPCalibEq150!$AZ$2:$BB$55,3,),IF(AND(I2924="TDP",S2924&lt;=150),VLOOKUP(AF2924,TPCalibEq150!$AZ$2:$BB$55,3,)))</f>
        <v>0</v>
      </c>
      <c r="AR2924" s="10" t="str">
        <f>IF(AND(I2924="TP",S2924&lt;=300),VLOOKUP(AF2924,TPCalibEq300!$AZ$2:$BB$55,3,),IF(AND(I2924="TDP",S2924&lt;=300),VLOOKUP(AF2924,TPCalibEq300!$AZ$2:$BB$55,3,)))</f>
        <v>y=-2.9408x2+89.45x-43.664</v>
      </c>
      <c r="AS2924" s="10" t="str">
        <f>IF(AND(I2924="TP",S2924&lt;=500),VLOOKUP(AF2924,TPCalibEq500!$AZ$2:$BB$56,3,),IF(AND(I2924="TDP",S2924&lt;=500),VLOOKUP(AF2924,TPCalibEq500!$AZ$2:$BB$56,3,)))</f>
        <v>y=-1.7314x2+83.401x-37.87</v>
      </c>
      <c r="AT2924" s="10" t="b">
        <f>IF(AND(I2924="TN",S2924&lt;=2800),VLOOKUP(AF2924,TNCalibEq2500!$AZ$2:$BB$56,3,),IF(AND(I2924="TDN",S2924&lt;=2800),VLOOKUP(AF2924,TNCalibEq2500!$AZ$2:$BB$56,3,)))</f>
        <v>0</v>
      </c>
      <c r="AU2924" s="10" t="str">
        <f>IF(I2924="TP",VLOOKUP(AF2924,TPCalibEqFull!$AZ$2:$BB$56,3),IF(I2924="TDP",VLOOKUP(AF2924,TPCalibEqFull!$AZ$2:$BB$56,3),IF(I2924="TDN",VLOOKUP(AF2924,TNCalibEqFull!$AZ$1:$BB$56,3),IF(I2924="TN",VLOOKUP(AF2924,TNCalibEqFull!$AZ$1:$BB$56,3),FALSE))))</f>
        <v>y=0.1051x2+65.423x-19.469</v>
      </c>
      <c r="AV2924" s="10" t="str">
        <f t="shared" si="331"/>
        <v>0208 10:20:00-BUO-46-FIL-1-SW-DUP</v>
      </c>
    </row>
    <row r="2925" spans="1:48" s="10" customFormat="1" x14ac:dyDescent="0.55000000000000004">
      <c r="A2925" s="32">
        <v>44965</v>
      </c>
      <c r="B2925" s="33">
        <v>0.43055555555555558</v>
      </c>
      <c r="C2925" s="10" t="s">
        <v>611</v>
      </c>
      <c r="D2925" s="10">
        <v>46</v>
      </c>
      <c r="E2925" s="10" t="s">
        <v>911</v>
      </c>
      <c r="F2925" s="10">
        <v>1</v>
      </c>
      <c r="G2925" s="10" t="s">
        <v>231</v>
      </c>
      <c r="H2925" s="10" t="s">
        <v>314</v>
      </c>
      <c r="I2925" s="10" t="s">
        <v>266</v>
      </c>
      <c r="J2925" s="10">
        <v>132</v>
      </c>
      <c r="K2925" s="12">
        <v>44966</v>
      </c>
      <c r="L2925" s="33">
        <v>0.68427083333333327</v>
      </c>
      <c r="M2925" s="10">
        <v>1</v>
      </c>
      <c r="N2925" s="10" t="s">
        <v>84</v>
      </c>
      <c r="O2925" s="10">
        <v>20.9</v>
      </c>
      <c r="P2925" s="10">
        <v>1.46</v>
      </c>
      <c r="Q2925" s="10">
        <v>1390</v>
      </c>
      <c r="R2925" s="10" t="s">
        <v>85</v>
      </c>
      <c r="S2925" s="34">
        <f t="shared" si="328"/>
        <v>1393.7804309999999</v>
      </c>
      <c r="T2925" s="10" t="s">
        <v>1201</v>
      </c>
      <c r="U2925" s="34">
        <f t="shared" si="329"/>
        <v>119.69989113199999</v>
      </c>
      <c r="V2925" s="31">
        <f>IF(H2925="CHK",VLOOKUP(I2925,QCCHK,3,),IF(H2925="GUP",VLOOKUP(E2925,QCGUP,2,),IF(AND(H2925="ATP",OR(I2925="TN",I2925="TDN",I2925="TNO2-3",I2925="NO2-3")),VLOOKUP(E2925,QCREC_N,2,),IF(AND(H2925="NIC",OR(I2925="TN",I2925="TDN",I2925="TNO2-3",I2925="NO2-3")),VLOOKUP(E2925,QCNIC_N,2,),IF(AND(H2925="UREA",OR(I2925="TN",I2925="TDN",I2925="TNO2-3",I2925="NO2-3")),VLOOKUP(E2925,QCUREA_N,2,),IF(H2925="PER",VLOOKUP(I2925,QCPER,MATCH(E2925,QCACTUAL!$J$25:$AA$25,0),),IF(H2925="SPK",VLOOKUP(I2925,QCSPK,3,),IF(AND(H2925="ATP",OR(I2925="TP",I2925="TDP")),VLOOKUP(E2925,QCATP_P,2,),""))))))))</f>
        <v>1000</v>
      </c>
      <c r="W2925" s="31" t="str">
        <f t="shared" si="330"/>
        <v>TRUE</v>
      </c>
      <c r="X2925" s="31" t="str">
        <f t="shared" si="327"/>
        <v>([spikedunkn]-[unkn])/[spike]*100</v>
      </c>
      <c r="Y2925" s="10" t="s">
        <v>1188</v>
      </c>
      <c r="AF2925" s="12">
        <v>44966</v>
      </c>
      <c r="AK2925" s="10">
        <f>0.1051*20.9^2+65.423*20.9-19.469</f>
        <v>1393.7804309999999</v>
      </c>
      <c r="AL2925" s="10" t="str">
        <f t="shared" ref="AL2925:AN2940" si="332">IF($O2925="", "", IF(AQ2925&lt;&gt;"", SUBSTITUTE(SUBSTITUTE(AQ2925, "x", "*"&amp;$O2925&amp;"^", 1), "x", "*"&amp;$O2925, 1), ""))</f>
        <v>FALSE</v>
      </c>
      <c r="AM2925" s="10" t="str">
        <f t="shared" si="332"/>
        <v>FALSE</v>
      </c>
      <c r="AN2925" s="10" t="str">
        <f t="shared" si="332"/>
        <v>FALSE</v>
      </c>
      <c r="AO2925" s="10" t="str">
        <f t="shared" ref="AO2925:AP2940" si="333">IF($O2925="", "FALSE", IF(AT2925&lt;&gt;"FALSE", SUBSTITUTE(SUBSTITUTE(AT2925, "x", "*"&amp;$O2925&amp;"^", 1), "x", "*"&amp;$O2925, 1), ""))</f>
        <v>FALSE</v>
      </c>
      <c r="AP2925" s="10" t="str">
        <f t="shared" si="333"/>
        <v>y=0.1051*20.9^2+65.423*20.9-19.469</v>
      </c>
      <c r="AQ2925" s="10" t="b">
        <f>IF(AND(I2925="TP",S2925&lt;=150),VLOOKUP(AF2925,TPCalibEq150!$AZ$2:$BB$55,3,),IF(AND(I2925="TDP",S2925&lt;=150),VLOOKUP(AF2925,TPCalibEq150!$AZ$2:$BB$55,3,)))</f>
        <v>0</v>
      </c>
      <c r="AR2925" s="10" t="b">
        <f>IF(AND(I2925="TP",S2925&lt;=300),VLOOKUP(AF2925,TPCalibEq300!$AZ$2:$BB$55,3,),IF(AND(I2925="TDP",S2925&lt;=300),VLOOKUP(AF2925,TPCalibEq300!$AZ$2:$BB$55,3,)))</f>
        <v>0</v>
      </c>
      <c r="AS2925" s="10" t="b">
        <f>IF(AND(I2925="TP",S2925&lt;=500),VLOOKUP(AF2925,TPCalibEq500!$AZ$2:$BB$56,3,),IF(AND(I2925="TDP",S2925&lt;=500),VLOOKUP(AF2925,TPCalibEq500!$AZ$2:$BB$56,3,)))</f>
        <v>0</v>
      </c>
      <c r="AT2925" s="10" t="b">
        <f>IF(AND(I2925="TN",S2925&lt;=2800),VLOOKUP(AF2925,TNCalibEq2500!$AZ$2:$BB$56,3,),IF(AND(I2925="TDN",S2925&lt;=2800),VLOOKUP(AF2925,TNCalibEq2500!$AZ$2:$BB$56,3,)))</f>
        <v>0</v>
      </c>
      <c r="AU2925" s="10" t="str">
        <f>IF(I2925="TP",VLOOKUP(AF2925,TPCalibEqFull!$AZ$2:$BB$56,3),IF(I2925="TDP",VLOOKUP(AF2925,TPCalibEqFull!$AZ$2:$BB$56,3),IF(I2925="TDN",VLOOKUP(AF2925,TNCalibEqFull!$AZ$1:$BB$56,3),IF(I2925="TN",VLOOKUP(AF2925,TNCalibEqFull!$AZ$1:$BB$56,3),FALSE))))</f>
        <v>y=0.1051x2+65.423x-19.469</v>
      </c>
      <c r="AV2925" s="10" t="str">
        <f t="shared" si="331"/>
        <v>0208 10:20:00-BUO-46-FIL-1-SW-SPK</v>
      </c>
    </row>
    <row r="2926" spans="1:48" s="10" customFormat="1" x14ac:dyDescent="0.55000000000000004">
      <c r="A2926" s="32">
        <v>44966</v>
      </c>
      <c r="B2926" s="33">
        <v>0.375</v>
      </c>
      <c r="C2926" s="10" t="s">
        <v>70</v>
      </c>
      <c r="D2926" s="10" t="s">
        <v>71</v>
      </c>
      <c r="E2926" s="10" t="s">
        <v>901</v>
      </c>
      <c r="F2926" s="10">
        <v>1</v>
      </c>
      <c r="G2926" s="10" t="s">
        <v>73</v>
      </c>
      <c r="H2926" s="10" t="s">
        <v>207</v>
      </c>
      <c r="I2926" s="10" t="s">
        <v>83</v>
      </c>
      <c r="J2926" s="10">
        <v>201</v>
      </c>
      <c r="K2926" s="12">
        <v>44966</v>
      </c>
      <c r="L2926" s="33">
        <v>0.68497685185185186</v>
      </c>
      <c r="M2926" s="10">
        <v>1</v>
      </c>
      <c r="N2926" s="10" t="s">
        <v>84</v>
      </c>
      <c r="O2926" s="10">
        <v>8.23</v>
      </c>
      <c r="P2926" s="10">
        <v>0.58799999999999997</v>
      </c>
      <c r="Q2926" s="10">
        <v>526</v>
      </c>
      <c r="R2926" s="10" t="s">
        <v>85</v>
      </c>
      <c r="S2926" s="34">
        <f t="shared" si="328"/>
        <v>526.08101778999992</v>
      </c>
      <c r="T2926" s="10" t="s">
        <v>1201</v>
      </c>
      <c r="U2926" s="34">
        <f t="shared" si="329"/>
        <v>105.21620355799999</v>
      </c>
      <c r="V2926" s="31">
        <f>IF(H2926="CHK",VLOOKUP(I2926,QCCHK,3,),IF(H2926="GUP",VLOOKUP(E2926,QCGUP,2,),IF(AND(H2926="ATP",OR(I2926="TN",I2926="TDN",I2926="TNO2-3",I2926="NO2-3")),VLOOKUP(E2926,QCREC_N,2,),IF(AND(H2926="NIC",OR(I2926="TN",I2926="TDN",I2926="TNO2-3",I2926="NO2-3")),VLOOKUP(E2926,QCNIC_N,2,),IF(AND(H2926="UREA",OR(I2926="TN",I2926="TDN",I2926="TNO2-3",I2926="NO2-3")),VLOOKUP(E2926,QCUREA_N,2,),IF(H2926="PER",VLOOKUP(I2926,QCPER,MATCH(E2926,QCACTUAL!$J$25:$AA$25,0),),IF(H2926="SPK",VLOOKUP(I2926,QCSPK,3,),IF(AND(H2926="ATP",OR(I2926="TP",I2926="TDP")),VLOOKUP(E2926,QCATP_P,2,),""))))))))</f>
        <v>500</v>
      </c>
      <c r="W2926" s="31" t="str">
        <f t="shared" si="330"/>
        <v>TRUE</v>
      </c>
      <c r="X2926" s="31" t="str">
        <f t="shared" si="327"/>
        <v>[chk]/[actual]*100</v>
      </c>
      <c r="Y2926" s="10" t="s">
        <v>1188</v>
      </c>
      <c r="AF2926" s="12">
        <v>44966</v>
      </c>
      <c r="AK2926" s="10">
        <f>0.1051*8.23^2+65.423*8.23-19.469</f>
        <v>526.08101778999992</v>
      </c>
      <c r="AL2926" s="10" t="str">
        <f t="shared" si="332"/>
        <v>FALSE</v>
      </c>
      <c r="AM2926" s="10" t="str">
        <f t="shared" si="332"/>
        <v>FALSE</v>
      </c>
      <c r="AN2926" s="10" t="str">
        <f t="shared" si="332"/>
        <v>FALSE</v>
      </c>
      <c r="AO2926" s="10" t="str">
        <f t="shared" si="333"/>
        <v>FALSE</v>
      </c>
      <c r="AP2926" s="10" t="str">
        <f t="shared" si="333"/>
        <v>y=0.1051*8.23^2+65.423*8.23-19.469</v>
      </c>
      <c r="AQ2926" s="10" t="b">
        <f>IF(AND(I2926="TP",S2926&lt;=150),VLOOKUP(AF2926,TPCalibEq150!$AZ$2:$BB$55,3,),IF(AND(I2926="TDP",S2926&lt;=150),VLOOKUP(AF2926,TPCalibEq150!$AZ$2:$BB$55,3,)))</f>
        <v>0</v>
      </c>
      <c r="AR2926" s="10" t="b">
        <f>IF(AND(I2926="TP",S2926&lt;=300),VLOOKUP(AF2926,TPCalibEq300!$AZ$2:$BB$55,3,),IF(AND(I2926="TDP",S2926&lt;=300),VLOOKUP(AF2926,TPCalibEq300!$AZ$2:$BB$55,3,)))</f>
        <v>0</v>
      </c>
      <c r="AS2926" s="10" t="b">
        <f>IF(AND(I2926="TP",S2926&lt;=500),VLOOKUP(AF2926,TPCalibEq500!$AZ$2:$BB$56,3,),IF(AND(I2926="TDP",S2926&lt;=500),VLOOKUP(AF2926,TPCalibEq500!$AZ$2:$BB$56,3,)))</f>
        <v>0</v>
      </c>
      <c r="AT2926" s="10" t="b">
        <f>IF(AND(I2926="TN",S2926&lt;=2800),VLOOKUP(AF2926,TNCalibEq2500!$AZ$2:$BB$56,3,),IF(AND(I2926="TDN",S2926&lt;=2800),VLOOKUP(AF2926,TNCalibEq2500!$AZ$2:$BB$56,3,)))</f>
        <v>0</v>
      </c>
      <c r="AU2926" s="10" t="str">
        <f>IF(I2926="TP",VLOOKUP(AF2926,TPCalibEqFull!$AZ$2:$BB$56,3),IF(I2926="TDP",VLOOKUP(AF2926,TPCalibEqFull!$AZ$2:$BB$56,3),IF(I2926="TDN",VLOOKUP(AF2926,TNCalibEqFull!$AZ$1:$BB$56,3),IF(I2926="TN",VLOOKUP(AF2926,TNCalibEqFull!$AZ$1:$BB$56,3),FALSE))))</f>
        <v>y=0.1051x2+65.423x-19.469</v>
      </c>
      <c r="AV2926" s="10" t="str">
        <f t="shared" si="331"/>
        <v>0209 09:00:00-QAC-STD-D-1-DI-CHK</v>
      </c>
    </row>
    <row r="2927" spans="1:48" s="10" customFormat="1" x14ac:dyDescent="0.55000000000000004">
      <c r="A2927" s="32">
        <v>44972</v>
      </c>
      <c r="B2927" s="33">
        <v>0.375</v>
      </c>
      <c r="C2927" s="10" t="s">
        <v>70</v>
      </c>
      <c r="D2927" s="10" t="s">
        <v>71</v>
      </c>
      <c r="E2927" s="10" t="s">
        <v>72</v>
      </c>
      <c r="F2927" s="10">
        <v>1</v>
      </c>
      <c r="G2927" s="10" t="s">
        <v>73</v>
      </c>
      <c r="H2927" s="10" t="s">
        <v>74</v>
      </c>
      <c r="I2927" s="10" t="s">
        <v>75</v>
      </c>
      <c r="J2927" s="10">
        <v>181</v>
      </c>
      <c r="K2927" s="12">
        <v>44972</v>
      </c>
      <c r="L2927" s="33">
        <v>0.4660069444444444</v>
      </c>
      <c r="M2927" s="10">
        <v>1</v>
      </c>
      <c r="N2927" s="10" t="s">
        <v>76</v>
      </c>
      <c r="O2927" s="10">
        <v>2.12E-2</v>
      </c>
      <c r="P2927" s="10">
        <v>2.8500000000000001E-3</v>
      </c>
      <c r="Q2927" s="10">
        <v>0</v>
      </c>
      <c r="R2927" s="10" t="s">
        <v>77</v>
      </c>
      <c r="S2927" s="34">
        <f t="shared" si="328"/>
        <v>0</v>
      </c>
      <c r="T2927" s="10" t="s">
        <v>78</v>
      </c>
      <c r="U2927" s="34" t="str">
        <f t="shared" si="329"/>
        <v/>
      </c>
      <c r="V2927" s="31" t="str">
        <f>IF(H2927="CHK",VLOOKUP(I2927,QCCHK,3,),IF(H2927="GUP",VLOOKUP(E2927,QCGUP,2,),IF(AND(H2927="ATP",OR(I2927="TN",I2927="TDN",I2927="TNO2-3",I2927="NO2-3")),VLOOKUP(E2927,QCREC_N,2,),IF(AND(H2927="NIC",OR(I2927="TN",I2927="TDN",I2927="TNO2-3",I2927="NO2-3")),VLOOKUP(E2927,QCNIC_N,2,),IF(AND(H2927="UREA",OR(I2927="TN",I2927="TDN",I2927="TNO2-3",I2927="NO2-3")),VLOOKUP(E2927,QCUREA_N,2,),IF(H2927="PER",VLOOKUP(I2927,QCPER,MATCH(E2927,QCACTUAL!$J$25:$AA$25,0),),IF(H2927="SPK",VLOOKUP(I2927,QCSPK,3,),IF(AND(H2927="ATP",OR(I2927="TP",I2927="TDP")),VLOOKUP(E2927,QCATP_P,2,),""))))))))</f>
        <v/>
      </c>
      <c r="W2927" s="31" t="str">
        <f t="shared" si="330"/>
        <v>TRUE</v>
      </c>
      <c r="X2927" s="31" t="str">
        <f t="shared" si="327"/>
        <v/>
      </c>
      <c r="Y2927" s="10" t="s">
        <v>1206</v>
      </c>
      <c r="AL2927" s="10" t="str">
        <f t="shared" si="332"/>
        <v>FALSE</v>
      </c>
      <c r="AM2927" s="10" t="str">
        <f t="shared" si="332"/>
        <v>FALSE</v>
      </c>
      <c r="AN2927" s="10" t="str">
        <f t="shared" si="332"/>
        <v>FALSE</v>
      </c>
      <c r="AO2927" s="10" t="str">
        <f t="shared" si="333"/>
        <v>FALSE</v>
      </c>
      <c r="AP2927" s="10" t="str">
        <f t="shared" si="333"/>
        <v>FALSE</v>
      </c>
      <c r="AQ2927" s="10" t="b">
        <f>IF(AND(I2927="TP",S2927&lt;=150),VLOOKUP(AF2927,TPCalibEq150!$AZ$2:$BB$55,3,),IF(AND(I2927="TDP",S2927&lt;=150),VLOOKUP(AF2927,TPCalibEq150!$AZ$2:$BB$55,3,)))</f>
        <v>0</v>
      </c>
      <c r="AR2927" s="10" t="b">
        <f>IF(AND(I2927="TP",S2927&lt;=300),VLOOKUP(AF2927,TPCalibEq300!$AZ$2:$BB$55,3,),IF(AND(I2927="TDP",S2927&lt;=300),VLOOKUP(AF2927,TPCalibEq300!$AZ$2:$BB$55,3,)))</f>
        <v>0</v>
      </c>
      <c r="AS2927" s="10" t="b">
        <f>IF(AND(I2927="TP",S2927&lt;=500),VLOOKUP(AF2927,TPCalibEq500!$AZ$2:$BB$56,3,),IF(AND(I2927="TDP",S2927&lt;=500),VLOOKUP(AF2927,TPCalibEq500!$AZ$2:$BB$56,3,)))</f>
        <v>0</v>
      </c>
      <c r="AT2927" s="10" t="b">
        <f>IF(AND(I2927="TN",S2927&lt;=2800),VLOOKUP(AF2927,TNCalibEq2500!$AZ$2:$BB$56,3,),IF(AND(I2927="TDN",S2927&lt;=2800),VLOOKUP(AF2927,TNCalibEq2500!$AZ$2:$BB$56,3,)))</f>
        <v>0</v>
      </c>
      <c r="AU2927" s="10" t="b">
        <f>IF(I2927="TP",VLOOKUP(AF2927,TPCalibEqFull!$AZ$2:$BB$56,3),IF(I2927="TDP",VLOOKUP(AF2927,TPCalibEqFull!$AZ$2:$BB$56,3),IF(I2927="TDN",VLOOKUP(AF2927,TNCalibEqFull!$AZ$1:$BB$56,3),IF(I2927="TN",VLOOKUP(AF2927,TNCalibEqFull!$AZ$1:$BB$56,3),FALSE))))</f>
        <v>0</v>
      </c>
      <c r="AV2927" s="10" t="str">
        <f t="shared" si="331"/>
        <v>0215 09:00:00-QAC-STD-H-1-DI-CAL</v>
      </c>
    </row>
    <row r="2928" spans="1:48" s="10" customFormat="1" x14ac:dyDescent="0.55000000000000004">
      <c r="A2928" s="32">
        <v>44972</v>
      </c>
      <c r="B2928" s="33">
        <v>0.375</v>
      </c>
      <c r="C2928" s="10" t="s">
        <v>70</v>
      </c>
      <c r="D2928" s="10" t="s">
        <v>71</v>
      </c>
      <c r="E2928" s="10" t="s">
        <v>908</v>
      </c>
      <c r="F2928" s="10">
        <v>1</v>
      </c>
      <c r="G2928" s="10" t="s">
        <v>73</v>
      </c>
      <c r="H2928" s="10" t="s">
        <v>74</v>
      </c>
      <c r="I2928" s="10" t="s">
        <v>75</v>
      </c>
      <c r="J2928" s="10">
        <v>182</v>
      </c>
      <c r="K2928" s="12">
        <v>44972</v>
      </c>
      <c r="L2928" s="33">
        <v>0.46685185185185185</v>
      </c>
      <c r="M2928" s="10">
        <v>1</v>
      </c>
      <c r="N2928" s="10" t="s">
        <v>76</v>
      </c>
      <c r="O2928" s="10">
        <v>0.156</v>
      </c>
      <c r="P2928" s="10">
        <v>1.09E-2</v>
      </c>
      <c r="Q2928" s="10">
        <v>20</v>
      </c>
      <c r="R2928" s="10" t="s">
        <v>77</v>
      </c>
      <c r="S2928" s="34">
        <f t="shared" si="328"/>
        <v>20</v>
      </c>
      <c r="T2928" s="10" t="s">
        <v>1207</v>
      </c>
      <c r="U2928" s="34" t="str">
        <f t="shared" si="329"/>
        <v/>
      </c>
      <c r="V2928" s="31" t="str">
        <f>IF(H2928="CHK",VLOOKUP(I2928,QCCHK,3,),IF(H2928="GUP",VLOOKUP(E2928,QCGUP,2,),IF(AND(H2928="ATP",OR(I2928="TN",I2928="TDN",I2928="TNO2-3",I2928="NO2-3")),VLOOKUP(E2928,QCREC_N,2,),IF(AND(H2928="NIC",OR(I2928="TN",I2928="TDN",I2928="TNO2-3",I2928="NO2-3")),VLOOKUP(E2928,QCNIC_N,2,),IF(AND(H2928="UREA",OR(I2928="TN",I2928="TDN",I2928="TNO2-3",I2928="NO2-3")),VLOOKUP(E2928,QCUREA_N,2,),IF(H2928="PER",VLOOKUP(I2928,QCPER,MATCH(E2928,QCACTUAL!$J$25:$AA$25,0),),IF(H2928="SPK",VLOOKUP(I2928,QCSPK,3,),IF(AND(H2928="ATP",OR(I2928="TP",I2928="TDP")),VLOOKUP(E2928,QCATP_P,2,),""))))))))</f>
        <v/>
      </c>
      <c r="W2928" s="31" t="str">
        <f t="shared" si="330"/>
        <v>TRUE</v>
      </c>
      <c r="X2928" s="31" t="str">
        <f t="shared" si="327"/>
        <v/>
      </c>
      <c r="Y2928" s="10" t="s">
        <v>1206</v>
      </c>
      <c r="AL2928" s="10" t="str">
        <f t="shared" si="332"/>
        <v>FALSE</v>
      </c>
      <c r="AM2928" s="10" t="str">
        <f t="shared" si="332"/>
        <v>FALSE</v>
      </c>
      <c r="AN2928" s="10" t="str">
        <f t="shared" si="332"/>
        <v>FALSE</v>
      </c>
      <c r="AO2928" s="10" t="str">
        <f t="shared" si="333"/>
        <v>FALSE</v>
      </c>
      <c r="AP2928" s="10" t="str">
        <f t="shared" si="333"/>
        <v>FALSE</v>
      </c>
      <c r="AQ2928" s="10" t="b">
        <f>IF(AND(I2928="TP",S2928&lt;=150),VLOOKUP(AF2928,TPCalibEq150!$AZ$2:$BB$55,3,),IF(AND(I2928="TDP",S2928&lt;=150),VLOOKUP(AF2928,TPCalibEq150!$AZ$2:$BB$55,3,)))</f>
        <v>0</v>
      </c>
      <c r="AR2928" s="10" t="b">
        <f>IF(AND(I2928="TP",S2928&lt;=300),VLOOKUP(AF2928,TPCalibEq300!$AZ$2:$BB$55,3,),IF(AND(I2928="TDP",S2928&lt;=300),VLOOKUP(AF2928,TPCalibEq300!$AZ$2:$BB$55,3,)))</f>
        <v>0</v>
      </c>
      <c r="AS2928" s="10" t="b">
        <f>IF(AND(I2928="TP",S2928&lt;=500),VLOOKUP(AF2928,TPCalibEq500!$AZ$2:$BB$56,3,),IF(AND(I2928="TDP",S2928&lt;=500),VLOOKUP(AF2928,TPCalibEq500!$AZ$2:$BB$56,3,)))</f>
        <v>0</v>
      </c>
      <c r="AT2928" s="10" t="b">
        <f>IF(AND(I2928="TN",S2928&lt;=2800),VLOOKUP(AF2928,TNCalibEq2500!$AZ$2:$BB$56,3,),IF(AND(I2928="TDN",S2928&lt;=2800),VLOOKUP(AF2928,TNCalibEq2500!$AZ$2:$BB$56,3,)))</f>
        <v>0</v>
      </c>
      <c r="AU2928" s="10" t="b">
        <f>IF(I2928="TP",VLOOKUP(AF2928,TPCalibEqFull!$AZ$2:$BB$56,3),IF(I2928="TDP",VLOOKUP(AF2928,TPCalibEqFull!$AZ$2:$BB$56,3),IF(I2928="TDN",VLOOKUP(AF2928,TNCalibEqFull!$AZ$1:$BB$56,3),IF(I2928="TN",VLOOKUP(AF2928,TNCalibEqFull!$AZ$1:$BB$56,3),FALSE))))</f>
        <v>0</v>
      </c>
      <c r="AV2928" s="10" t="str">
        <f t="shared" si="331"/>
        <v>0215 09:00:00-QAC-STD-G-1-DI-CAL</v>
      </c>
    </row>
    <row r="2929" spans="1:48" s="10" customFormat="1" x14ac:dyDescent="0.55000000000000004">
      <c r="A2929" s="32">
        <v>44972</v>
      </c>
      <c r="B2929" s="33">
        <v>0.375</v>
      </c>
      <c r="C2929" s="10" t="s">
        <v>70</v>
      </c>
      <c r="D2929" s="10" t="s">
        <v>71</v>
      </c>
      <c r="E2929" s="10" t="s">
        <v>550</v>
      </c>
      <c r="F2929" s="10">
        <v>1</v>
      </c>
      <c r="G2929" s="10" t="s">
        <v>73</v>
      </c>
      <c r="H2929" s="10" t="s">
        <v>74</v>
      </c>
      <c r="I2929" s="10" t="s">
        <v>75</v>
      </c>
      <c r="J2929" s="10">
        <v>183</v>
      </c>
      <c r="K2929" s="12">
        <v>44972</v>
      </c>
      <c r="L2929" s="33">
        <v>0.4676967592592593</v>
      </c>
      <c r="M2929" s="10">
        <v>1</v>
      </c>
      <c r="N2929" s="10" t="s">
        <v>76</v>
      </c>
      <c r="O2929" s="10">
        <v>0.77800000000000002</v>
      </c>
      <c r="P2929" s="10">
        <v>5.5599999999999997E-2</v>
      </c>
      <c r="Q2929" s="10">
        <v>60</v>
      </c>
      <c r="R2929" s="10" t="s">
        <v>77</v>
      </c>
      <c r="S2929" s="34">
        <f t="shared" si="328"/>
        <v>60</v>
      </c>
      <c r="T2929" s="10" t="s">
        <v>1208</v>
      </c>
      <c r="U2929" s="34" t="str">
        <f t="shared" si="329"/>
        <v/>
      </c>
      <c r="V2929" s="31" t="str">
        <f>IF(H2929="CHK",VLOOKUP(I2929,QCCHK,3,),IF(H2929="GUP",VLOOKUP(E2929,QCGUP,2,),IF(AND(H2929="ATP",OR(I2929="TN",I2929="TDN",I2929="TNO2-3",I2929="NO2-3")),VLOOKUP(E2929,QCREC_N,2,),IF(AND(H2929="NIC",OR(I2929="TN",I2929="TDN",I2929="TNO2-3",I2929="NO2-3")),VLOOKUP(E2929,QCNIC_N,2,),IF(AND(H2929="UREA",OR(I2929="TN",I2929="TDN",I2929="TNO2-3",I2929="NO2-3")),VLOOKUP(E2929,QCUREA_N,2,),IF(H2929="PER",VLOOKUP(I2929,QCPER,MATCH(E2929,QCACTUAL!$J$25:$AA$25,0),),IF(H2929="SPK",VLOOKUP(I2929,QCSPK,3,),IF(AND(H2929="ATP",OR(I2929="TP",I2929="TDP")),VLOOKUP(E2929,QCATP_P,2,),""))))))))</f>
        <v/>
      </c>
      <c r="W2929" s="31" t="str">
        <f t="shared" si="330"/>
        <v>TRUE</v>
      </c>
      <c r="X2929" s="31" t="str">
        <f t="shared" si="327"/>
        <v/>
      </c>
      <c r="Y2929" s="10" t="s">
        <v>1206</v>
      </c>
      <c r="AL2929" s="10" t="str">
        <f t="shared" si="332"/>
        <v>FALSE</v>
      </c>
      <c r="AM2929" s="10" t="str">
        <f t="shared" si="332"/>
        <v>FALSE</v>
      </c>
      <c r="AN2929" s="10" t="str">
        <f t="shared" si="332"/>
        <v>FALSE</v>
      </c>
      <c r="AO2929" s="10" t="str">
        <f t="shared" si="333"/>
        <v>FALSE</v>
      </c>
      <c r="AP2929" s="10" t="str">
        <f t="shared" si="333"/>
        <v>FALSE</v>
      </c>
      <c r="AQ2929" s="10" t="b">
        <f>IF(AND(I2929="TP",S2929&lt;=150),VLOOKUP(AF2929,TPCalibEq150!$AZ$2:$BB$55,3,),IF(AND(I2929="TDP",S2929&lt;=150),VLOOKUP(AF2929,TPCalibEq150!$AZ$2:$BB$55,3,)))</f>
        <v>0</v>
      </c>
      <c r="AR2929" s="10" t="b">
        <f>IF(AND(I2929="TP",S2929&lt;=300),VLOOKUP(AF2929,TPCalibEq300!$AZ$2:$BB$55,3,),IF(AND(I2929="TDP",S2929&lt;=300),VLOOKUP(AF2929,TPCalibEq300!$AZ$2:$BB$55,3,)))</f>
        <v>0</v>
      </c>
      <c r="AS2929" s="10" t="b">
        <f>IF(AND(I2929="TP",S2929&lt;=500),VLOOKUP(AF2929,TPCalibEq500!$AZ$2:$BB$56,3,),IF(AND(I2929="TDP",S2929&lt;=500),VLOOKUP(AF2929,TPCalibEq500!$AZ$2:$BB$56,3,)))</f>
        <v>0</v>
      </c>
      <c r="AT2929" s="10" t="b">
        <f>IF(AND(I2929="TN",S2929&lt;=2800),VLOOKUP(AF2929,TNCalibEq2500!$AZ$2:$BB$56,3,),IF(AND(I2929="TDN",S2929&lt;=2800),VLOOKUP(AF2929,TNCalibEq2500!$AZ$2:$BB$56,3,)))</f>
        <v>0</v>
      </c>
      <c r="AU2929" s="10" t="b">
        <f>IF(I2929="TP",VLOOKUP(AF2929,TPCalibEqFull!$AZ$2:$BB$56,3),IF(I2929="TDP",VLOOKUP(AF2929,TPCalibEqFull!$AZ$2:$BB$56,3),IF(I2929="TDN",VLOOKUP(AF2929,TNCalibEqFull!$AZ$1:$BB$56,3),IF(I2929="TN",VLOOKUP(AF2929,TNCalibEqFull!$AZ$1:$BB$56,3),FALSE))))</f>
        <v>0</v>
      </c>
      <c r="AV2929" s="10" t="str">
        <f t="shared" si="331"/>
        <v>0215 09:00:00-QAC-STD-F-1-DI-CAL</v>
      </c>
    </row>
    <row r="2930" spans="1:48" s="10" customFormat="1" x14ac:dyDescent="0.55000000000000004">
      <c r="A2930" s="32">
        <v>44972</v>
      </c>
      <c r="B2930" s="33">
        <v>0.375</v>
      </c>
      <c r="C2930" s="10" t="s">
        <v>70</v>
      </c>
      <c r="D2930" s="10" t="s">
        <v>71</v>
      </c>
      <c r="E2930" s="10" t="s">
        <v>909</v>
      </c>
      <c r="F2930" s="10">
        <v>1</v>
      </c>
      <c r="G2930" s="10" t="s">
        <v>73</v>
      </c>
      <c r="H2930" s="10" t="s">
        <v>74</v>
      </c>
      <c r="I2930" s="10" t="s">
        <v>75</v>
      </c>
      <c r="J2930" s="10">
        <v>184</v>
      </c>
      <c r="K2930" s="12">
        <v>44972</v>
      </c>
      <c r="L2930" s="33">
        <v>0.4685185185185185</v>
      </c>
      <c r="M2930" s="10">
        <v>1</v>
      </c>
      <c r="N2930" s="10" t="s">
        <v>76</v>
      </c>
      <c r="O2930" s="10">
        <v>1.05</v>
      </c>
      <c r="P2930" s="10">
        <v>7.5600000000000001E-2</v>
      </c>
      <c r="Q2930" s="10">
        <v>80</v>
      </c>
      <c r="R2930" s="10" t="s">
        <v>77</v>
      </c>
      <c r="S2930" s="34">
        <f t="shared" si="328"/>
        <v>80</v>
      </c>
      <c r="T2930" s="10" t="s">
        <v>1209</v>
      </c>
      <c r="U2930" s="34" t="str">
        <f t="shared" si="329"/>
        <v/>
      </c>
      <c r="V2930" s="31" t="str">
        <f>IF(H2930="CHK",VLOOKUP(I2930,QCCHK,3,),IF(H2930="GUP",VLOOKUP(E2930,QCGUP,2,),IF(AND(H2930="ATP",OR(I2930="TN",I2930="TDN",I2930="TNO2-3",I2930="NO2-3")),VLOOKUP(E2930,QCREC_N,2,),IF(AND(H2930="NIC",OR(I2930="TN",I2930="TDN",I2930="TNO2-3",I2930="NO2-3")),VLOOKUP(E2930,QCNIC_N,2,),IF(AND(H2930="UREA",OR(I2930="TN",I2930="TDN",I2930="TNO2-3",I2930="NO2-3")),VLOOKUP(E2930,QCUREA_N,2,),IF(H2930="PER",VLOOKUP(I2930,QCPER,MATCH(E2930,QCACTUAL!$J$25:$AA$25,0),),IF(H2930="SPK",VLOOKUP(I2930,QCSPK,3,),IF(AND(H2930="ATP",OR(I2930="TP",I2930="TDP")),VLOOKUP(E2930,QCATP_P,2,),""))))))))</f>
        <v/>
      </c>
      <c r="W2930" s="31" t="str">
        <f t="shared" si="330"/>
        <v>TRUE</v>
      </c>
      <c r="X2930" s="31" t="str">
        <f t="shared" si="327"/>
        <v/>
      </c>
      <c r="Y2930" s="10" t="s">
        <v>1206</v>
      </c>
      <c r="AL2930" s="10" t="str">
        <f t="shared" si="332"/>
        <v>FALSE</v>
      </c>
      <c r="AM2930" s="10" t="str">
        <f t="shared" si="332"/>
        <v>FALSE</v>
      </c>
      <c r="AN2930" s="10" t="str">
        <f t="shared" si="332"/>
        <v>FALSE</v>
      </c>
      <c r="AO2930" s="10" t="str">
        <f t="shared" si="333"/>
        <v>FALSE</v>
      </c>
      <c r="AP2930" s="10" t="str">
        <f t="shared" si="333"/>
        <v>FALSE</v>
      </c>
      <c r="AQ2930" s="10" t="b">
        <f>IF(AND(I2930="TP",S2930&lt;=150),VLOOKUP(AF2930,TPCalibEq150!$AZ$2:$BB$55,3,),IF(AND(I2930="TDP",S2930&lt;=150),VLOOKUP(AF2930,TPCalibEq150!$AZ$2:$BB$55,3,)))</f>
        <v>0</v>
      </c>
      <c r="AR2930" s="10" t="b">
        <f>IF(AND(I2930="TP",S2930&lt;=300),VLOOKUP(AF2930,TPCalibEq300!$AZ$2:$BB$55,3,),IF(AND(I2930="TDP",S2930&lt;=300),VLOOKUP(AF2930,TPCalibEq300!$AZ$2:$BB$55,3,)))</f>
        <v>0</v>
      </c>
      <c r="AS2930" s="10" t="b">
        <f>IF(AND(I2930="TP",S2930&lt;=500),VLOOKUP(AF2930,TPCalibEq500!$AZ$2:$BB$56,3,),IF(AND(I2930="TDP",S2930&lt;=500),VLOOKUP(AF2930,TPCalibEq500!$AZ$2:$BB$56,3,)))</f>
        <v>0</v>
      </c>
      <c r="AT2930" s="10" t="b">
        <f>IF(AND(I2930="TN",S2930&lt;=2800),VLOOKUP(AF2930,TNCalibEq2500!$AZ$2:$BB$56,3,),IF(AND(I2930="TDN",S2930&lt;=2800),VLOOKUP(AF2930,TNCalibEq2500!$AZ$2:$BB$56,3,)))</f>
        <v>0</v>
      </c>
      <c r="AU2930" s="10" t="b">
        <f>IF(I2930="TP",VLOOKUP(AF2930,TPCalibEqFull!$AZ$2:$BB$56,3),IF(I2930="TDP",VLOOKUP(AF2930,TPCalibEqFull!$AZ$2:$BB$56,3),IF(I2930="TDN",VLOOKUP(AF2930,TNCalibEqFull!$AZ$1:$BB$56,3),IF(I2930="TN",VLOOKUP(AF2930,TNCalibEqFull!$AZ$1:$BB$56,3),FALSE))))</f>
        <v>0</v>
      </c>
      <c r="AV2930" s="10" t="str">
        <f t="shared" si="331"/>
        <v>0215 09:00:00-QAC-STD-E-1-DI-CAL</v>
      </c>
    </row>
    <row r="2931" spans="1:48" s="10" customFormat="1" x14ac:dyDescent="0.55000000000000004">
      <c r="A2931" s="32">
        <v>44972</v>
      </c>
      <c r="B2931" s="33">
        <v>0.375</v>
      </c>
      <c r="C2931" s="10" t="s">
        <v>70</v>
      </c>
      <c r="D2931" s="10" t="s">
        <v>71</v>
      </c>
      <c r="E2931" s="10" t="s">
        <v>901</v>
      </c>
      <c r="F2931" s="10">
        <v>1</v>
      </c>
      <c r="G2931" s="10" t="s">
        <v>73</v>
      </c>
      <c r="H2931" s="10" t="s">
        <v>74</v>
      </c>
      <c r="I2931" s="10" t="s">
        <v>75</v>
      </c>
      <c r="J2931" s="10">
        <v>185</v>
      </c>
      <c r="K2931" s="12">
        <v>44972</v>
      </c>
      <c r="L2931" s="33">
        <v>0.46934027777777776</v>
      </c>
      <c r="M2931" s="10">
        <v>1</v>
      </c>
      <c r="N2931" s="10" t="s">
        <v>76</v>
      </c>
      <c r="O2931" s="10">
        <v>4.71</v>
      </c>
      <c r="P2931" s="10">
        <v>0.35799999999999998</v>
      </c>
      <c r="Q2931" s="10">
        <v>300</v>
      </c>
      <c r="R2931" s="10" t="s">
        <v>77</v>
      </c>
      <c r="S2931" s="34">
        <f t="shared" si="328"/>
        <v>300</v>
      </c>
      <c r="T2931" s="10" t="s">
        <v>1210</v>
      </c>
      <c r="U2931" s="34" t="str">
        <f t="shared" si="329"/>
        <v/>
      </c>
      <c r="V2931" s="31" t="str">
        <f>IF(H2931="CHK",VLOOKUP(I2931,QCCHK,3,),IF(H2931="GUP",VLOOKUP(E2931,QCGUP,2,),IF(AND(H2931="ATP",OR(I2931="TN",I2931="TDN",I2931="TNO2-3",I2931="NO2-3")),VLOOKUP(E2931,QCREC_N,2,),IF(AND(H2931="NIC",OR(I2931="TN",I2931="TDN",I2931="TNO2-3",I2931="NO2-3")),VLOOKUP(E2931,QCNIC_N,2,),IF(AND(H2931="UREA",OR(I2931="TN",I2931="TDN",I2931="TNO2-3",I2931="NO2-3")),VLOOKUP(E2931,QCUREA_N,2,),IF(H2931="PER",VLOOKUP(I2931,QCPER,MATCH(E2931,QCACTUAL!$J$25:$AA$25,0),),IF(H2931="SPK",VLOOKUP(I2931,QCSPK,3,),IF(AND(H2931="ATP",OR(I2931="TP",I2931="TDP")),VLOOKUP(E2931,QCATP_P,2,),""))))))))</f>
        <v/>
      </c>
      <c r="W2931" s="31" t="str">
        <f t="shared" si="330"/>
        <v>TRUE</v>
      </c>
      <c r="X2931" s="31" t="str">
        <f t="shared" si="327"/>
        <v/>
      </c>
      <c r="Y2931" s="10" t="s">
        <v>1206</v>
      </c>
      <c r="AL2931" s="10" t="str">
        <f t="shared" si="332"/>
        <v>FALSE</v>
      </c>
      <c r="AM2931" s="10" t="str">
        <f t="shared" si="332"/>
        <v>FALSE</v>
      </c>
      <c r="AN2931" s="10" t="str">
        <f t="shared" si="332"/>
        <v>FALSE</v>
      </c>
      <c r="AO2931" s="10" t="str">
        <f t="shared" si="333"/>
        <v>FALSE</v>
      </c>
      <c r="AP2931" s="10" t="str">
        <f t="shared" si="333"/>
        <v>FALSE</v>
      </c>
      <c r="AQ2931" s="10" t="b">
        <f>IF(AND(I2931="TP",S2931&lt;=150),VLOOKUP(AF2931,TPCalibEq150!$AZ$2:$BB$55,3,),IF(AND(I2931="TDP",S2931&lt;=150),VLOOKUP(AF2931,TPCalibEq150!$AZ$2:$BB$55,3,)))</f>
        <v>0</v>
      </c>
      <c r="AR2931" s="10" t="b">
        <f>IF(AND(I2931="TP",S2931&lt;=300),VLOOKUP(AF2931,TPCalibEq300!$AZ$2:$BB$55,3,),IF(AND(I2931="TDP",S2931&lt;=300),VLOOKUP(AF2931,TPCalibEq300!$AZ$2:$BB$55,3,)))</f>
        <v>0</v>
      </c>
      <c r="AS2931" s="10" t="b">
        <f>IF(AND(I2931="TP",S2931&lt;=500),VLOOKUP(AF2931,TPCalibEq500!$AZ$2:$BB$56,3,),IF(AND(I2931="TDP",S2931&lt;=500),VLOOKUP(AF2931,TPCalibEq500!$AZ$2:$BB$56,3,)))</f>
        <v>0</v>
      </c>
      <c r="AT2931" s="10" t="b">
        <f>IF(AND(I2931="TN",S2931&lt;=2800),VLOOKUP(AF2931,TNCalibEq2500!$AZ$2:$BB$56,3,),IF(AND(I2931="TDN",S2931&lt;=2800),VLOOKUP(AF2931,TNCalibEq2500!$AZ$2:$BB$56,3,)))</f>
        <v>0</v>
      </c>
      <c r="AU2931" s="10" t="b">
        <f>IF(I2931="TP",VLOOKUP(AF2931,TPCalibEqFull!$AZ$2:$BB$56,3),IF(I2931="TDP",VLOOKUP(AF2931,TPCalibEqFull!$AZ$2:$BB$56,3),IF(I2931="TDN",VLOOKUP(AF2931,TNCalibEqFull!$AZ$1:$BB$56,3),IF(I2931="TN",VLOOKUP(AF2931,TNCalibEqFull!$AZ$1:$BB$56,3),FALSE))))</f>
        <v>0</v>
      </c>
      <c r="AV2931" s="10" t="str">
        <f t="shared" si="331"/>
        <v>0215 09:00:00-QAC-STD-D-1-DI-CAL</v>
      </c>
    </row>
    <row r="2932" spans="1:48" s="10" customFormat="1" x14ac:dyDescent="0.55000000000000004">
      <c r="A2932" s="32">
        <v>44972</v>
      </c>
      <c r="B2932" s="33">
        <v>0.375</v>
      </c>
      <c r="C2932" s="10" t="s">
        <v>70</v>
      </c>
      <c r="D2932" s="10" t="s">
        <v>71</v>
      </c>
      <c r="E2932" s="10" t="s">
        <v>190</v>
      </c>
      <c r="F2932" s="10">
        <v>1</v>
      </c>
      <c r="G2932" s="10" t="s">
        <v>73</v>
      </c>
      <c r="H2932" s="10" t="s">
        <v>74</v>
      </c>
      <c r="I2932" s="10" t="s">
        <v>75</v>
      </c>
      <c r="J2932" s="10">
        <v>186</v>
      </c>
      <c r="K2932" s="12">
        <v>44972</v>
      </c>
      <c r="L2932" s="33">
        <v>0.47017361111111117</v>
      </c>
      <c r="M2932" s="10">
        <v>1</v>
      </c>
      <c r="N2932" s="10" t="s">
        <v>76</v>
      </c>
      <c r="O2932" s="10">
        <v>9.98</v>
      </c>
      <c r="P2932" s="10">
        <v>0.77700000000000002</v>
      </c>
      <c r="Q2932" s="10">
        <v>600</v>
      </c>
      <c r="R2932" s="10" t="s">
        <v>77</v>
      </c>
      <c r="S2932" s="34">
        <f t="shared" si="328"/>
        <v>600</v>
      </c>
      <c r="T2932" s="10" t="s">
        <v>1211</v>
      </c>
      <c r="U2932" s="34" t="str">
        <f t="shared" si="329"/>
        <v/>
      </c>
      <c r="V2932" s="31" t="str">
        <f>IF(H2932="CHK",VLOOKUP(I2932,QCCHK,3,),IF(H2932="GUP",VLOOKUP(E2932,QCGUP,2,),IF(AND(H2932="ATP",OR(I2932="TN",I2932="TDN",I2932="TNO2-3",I2932="NO2-3")),VLOOKUP(E2932,QCREC_N,2,),IF(AND(H2932="NIC",OR(I2932="TN",I2932="TDN",I2932="TNO2-3",I2932="NO2-3")),VLOOKUP(E2932,QCNIC_N,2,),IF(AND(H2932="UREA",OR(I2932="TN",I2932="TDN",I2932="TNO2-3",I2932="NO2-3")),VLOOKUP(E2932,QCUREA_N,2,),IF(H2932="PER",VLOOKUP(I2932,QCPER,MATCH(E2932,QCACTUAL!$J$25:$AA$25,0),),IF(H2932="SPK",VLOOKUP(I2932,QCSPK,3,),IF(AND(H2932="ATP",OR(I2932="TP",I2932="TDP")),VLOOKUP(E2932,QCATP_P,2,),""))))))))</f>
        <v/>
      </c>
      <c r="W2932" s="31" t="str">
        <f t="shared" si="330"/>
        <v>TRUE</v>
      </c>
      <c r="X2932" s="31" t="str">
        <f t="shared" si="327"/>
        <v/>
      </c>
      <c r="Y2932" s="10" t="s">
        <v>1206</v>
      </c>
      <c r="AL2932" s="10" t="str">
        <f t="shared" si="332"/>
        <v>FALSE</v>
      </c>
      <c r="AM2932" s="10" t="str">
        <f t="shared" si="332"/>
        <v>FALSE</v>
      </c>
      <c r="AN2932" s="10" t="str">
        <f t="shared" si="332"/>
        <v>FALSE</v>
      </c>
      <c r="AO2932" s="10" t="str">
        <f t="shared" si="333"/>
        <v>FALSE</v>
      </c>
      <c r="AP2932" s="10" t="str">
        <f t="shared" si="333"/>
        <v>FALSE</v>
      </c>
      <c r="AQ2932" s="10" t="b">
        <f>IF(AND(I2932="TP",S2932&lt;=150),VLOOKUP(AF2932,TPCalibEq150!$AZ$2:$BB$55,3,),IF(AND(I2932="TDP",S2932&lt;=150),VLOOKUP(AF2932,TPCalibEq150!$AZ$2:$BB$55,3,)))</f>
        <v>0</v>
      </c>
      <c r="AR2932" s="10" t="b">
        <f>IF(AND(I2932="TP",S2932&lt;=300),VLOOKUP(AF2932,TPCalibEq300!$AZ$2:$BB$55,3,),IF(AND(I2932="TDP",S2932&lt;=300),VLOOKUP(AF2932,TPCalibEq300!$AZ$2:$BB$55,3,)))</f>
        <v>0</v>
      </c>
      <c r="AS2932" s="10" t="b">
        <f>IF(AND(I2932="TP",S2932&lt;=500),VLOOKUP(AF2932,TPCalibEq500!$AZ$2:$BB$56,3,),IF(AND(I2932="TDP",S2932&lt;=500),VLOOKUP(AF2932,TPCalibEq500!$AZ$2:$BB$56,3,)))</f>
        <v>0</v>
      </c>
      <c r="AT2932" s="10" t="b">
        <f>IF(AND(I2932="TN",S2932&lt;=2800),VLOOKUP(AF2932,TNCalibEq2500!$AZ$2:$BB$56,3,),IF(AND(I2932="TDN",S2932&lt;=2800),VLOOKUP(AF2932,TNCalibEq2500!$AZ$2:$BB$56,3,)))</f>
        <v>0</v>
      </c>
      <c r="AU2932" s="10" t="b">
        <f>IF(I2932="TP",VLOOKUP(AF2932,TPCalibEqFull!$AZ$2:$BB$56,3),IF(I2932="TDP",VLOOKUP(AF2932,TPCalibEqFull!$AZ$2:$BB$56,3),IF(I2932="TDN",VLOOKUP(AF2932,TNCalibEqFull!$AZ$1:$BB$56,3),IF(I2932="TN",VLOOKUP(AF2932,TNCalibEqFull!$AZ$1:$BB$56,3),FALSE))))</f>
        <v>0</v>
      </c>
      <c r="AV2932" s="10" t="str">
        <f t="shared" si="331"/>
        <v>0215 09:00:00-QAC-STD-C-1-DI-CAL</v>
      </c>
    </row>
    <row r="2933" spans="1:48" s="10" customFormat="1" x14ac:dyDescent="0.55000000000000004">
      <c r="A2933" s="32">
        <v>44972</v>
      </c>
      <c r="B2933" s="33">
        <v>0.375</v>
      </c>
      <c r="C2933" s="10" t="s">
        <v>70</v>
      </c>
      <c r="D2933" s="10" t="s">
        <v>71</v>
      </c>
      <c r="E2933" s="10" t="s">
        <v>583</v>
      </c>
      <c r="F2933" s="10">
        <v>1</v>
      </c>
      <c r="G2933" s="10" t="s">
        <v>73</v>
      </c>
      <c r="H2933" s="10" t="s">
        <v>74</v>
      </c>
      <c r="I2933" s="10" t="s">
        <v>75</v>
      </c>
      <c r="J2933" s="10">
        <v>187</v>
      </c>
      <c r="K2933" s="12">
        <v>44972</v>
      </c>
      <c r="L2933" s="33">
        <v>0.47099537037037037</v>
      </c>
      <c r="M2933" s="10">
        <v>1</v>
      </c>
      <c r="N2933" s="10" t="s">
        <v>76</v>
      </c>
      <c r="O2933" s="10">
        <v>20.6</v>
      </c>
      <c r="P2933" s="10">
        <v>1.62</v>
      </c>
      <c r="Q2933" s="10">
        <v>1200</v>
      </c>
      <c r="R2933" s="10" t="s">
        <v>77</v>
      </c>
      <c r="S2933" s="34">
        <f t="shared" si="328"/>
        <v>1200</v>
      </c>
      <c r="T2933" s="10" t="s">
        <v>1212</v>
      </c>
      <c r="U2933" s="34" t="str">
        <f t="shared" si="329"/>
        <v/>
      </c>
      <c r="V2933" s="31" t="str">
        <f>IF(H2933="CHK",VLOOKUP(I2933,QCCHK,3,),IF(H2933="GUP",VLOOKUP(E2933,QCGUP,2,),IF(AND(H2933="ATP",OR(I2933="TN",I2933="TDN",I2933="TNO2-3",I2933="NO2-3")),VLOOKUP(E2933,QCREC_N,2,),IF(AND(H2933="NIC",OR(I2933="TN",I2933="TDN",I2933="TNO2-3",I2933="NO2-3")),VLOOKUP(E2933,QCNIC_N,2,),IF(AND(H2933="UREA",OR(I2933="TN",I2933="TDN",I2933="TNO2-3",I2933="NO2-3")),VLOOKUP(E2933,QCUREA_N,2,),IF(H2933="PER",VLOOKUP(I2933,QCPER,MATCH(E2933,QCACTUAL!$J$25:$AA$25,0),),IF(H2933="SPK",VLOOKUP(I2933,QCSPK,3,),IF(AND(H2933="ATP",OR(I2933="TP",I2933="TDP")),VLOOKUP(E2933,QCATP_P,2,),""))))))))</f>
        <v/>
      </c>
      <c r="W2933" s="31" t="str">
        <f t="shared" si="330"/>
        <v>TRUE</v>
      </c>
      <c r="X2933" s="31" t="str">
        <f t="shared" si="327"/>
        <v/>
      </c>
      <c r="Y2933" s="10" t="s">
        <v>1206</v>
      </c>
      <c r="AL2933" s="10" t="str">
        <f t="shared" si="332"/>
        <v>FALSE</v>
      </c>
      <c r="AM2933" s="10" t="str">
        <f t="shared" si="332"/>
        <v>FALSE</v>
      </c>
      <c r="AN2933" s="10" t="str">
        <f t="shared" si="332"/>
        <v>FALSE</v>
      </c>
      <c r="AO2933" s="10" t="str">
        <f t="shared" si="333"/>
        <v>FALSE</v>
      </c>
      <c r="AP2933" s="10" t="str">
        <f t="shared" si="333"/>
        <v>FALSE</v>
      </c>
      <c r="AQ2933" s="10" t="b">
        <f>IF(AND(I2933="TP",S2933&lt;=150),VLOOKUP(AF2933,TPCalibEq150!$AZ$2:$BB$55,3,),IF(AND(I2933="TDP",S2933&lt;=150),VLOOKUP(AF2933,TPCalibEq150!$AZ$2:$BB$55,3,)))</f>
        <v>0</v>
      </c>
      <c r="AR2933" s="10" t="b">
        <f>IF(AND(I2933="TP",S2933&lt;=300),VLOOKUP(AF2933,TPCalibEq300!$AZ$2:$BB$55,3,),IF(AND(I2933="TDP",S2933&lt;=300),VLOOKUP(AF2933,TPCalibEq300!$AZ$2:$BB$55,3,)))</f>
        <v>0</v>
      </c>
      <c r="AS2933" s="10" t="b">
        <f>IF(AND(I2933="TP",S2933&lt;=500),VLOOKUP(AF2933,TPCalibEq500!$AZ$2:$BB$56,3,),IF(AND(I2933="TDP",S2933&lt;=500),VLOOKUP(AF2933,TPCalibEq500!$AZ$2:$BB$56,3,)))</f>
        <v>0</v>
      </c>
      <c r="AT2933" s="10" t="b">
        <f>IF(AND(I2933="TN",S2933&lt;=2800),VLOOKUP(AF2933,TNCalibEq2500!$AZ$2:$BB$56,3,),IF(AND(I2933="TDN",S2933&lt;=2800),VLOOKUP(AF2933,TNCalibEq2500!$AZ$2:$BB$56,3,)))</f>
        <v>0</v>
      </c>
      <c r="AU2933" s="10" t="b">
        <f>IF(I2933="TP",VLOOKUP(AF2933,TPCalibEqFull!$AZ$2:$BB$56,3),IF(I2933="TDP",VLOOKUP(AF2933,TPCalibEqFull!$AZ$2:$BB$56,3),IF(I2933="TDN",VLOOKUP(AF2933,TNCalibEqFull!$AZ$1:$BB$56,3),IF(I2933="TN",VLOOKUP(AF2933,TNCalibEqFull!$AZ$1:$BB$56,3),FALSE))))</f>
        <v>0</v>
      </c>
      <c r="AV2933" s="10" t="str">
        <f t="shared" si="331"/>
        <v>0215 09:00:00-QAC-STD-B-1-DI-CAL</v>
      </c>
    </row>
    <row r="2934" spans="1:48" s="10" customFormat="1" x14ac:dyDescent="0.55000000000000004">
      <c r="A2934" s="32">
        <v>44972</v>
      </c>
      <c r="B2934" s="33">
        <v>0.375</v>
      </c>
      <c r="C2934" s="10" t="s">
        <v>70</v>
      </c>
      <c r="D2934" s="10" t="s">
        <v>71</v>
      </c>
      <c r="E2934" s="10" t="s">
        <v>866</v>
      </c>
      <c r="F2934" s="10">
        <v>1</v>
      </c>
      <c r="G2934" s="10" t="s">
        <v>73</v>
      </c>
      <c r="H2934" s="10" t="s">
        <v>74</v>
      </c>
      <c r="I2934" s="10" t="s">
        <v>75</v>
      </c>
      <c r="J2934" s="10">
        <v>188</v>
      </c>
      <c r="K2934" s="12">
        <v>44972</v>
      </c>
      <c r="L2934" s="33">
        <v>0.47181712962962963</v>
      </c>
      <c r="M2934" s="10">
        <v>1</v>
      </c>
      <c r="N2934" s="10" t="s">
        <v>76</v>
      </c>
      <c r="O2934" s="10">
        <v>34</v>
      </c>
      <c r="P2934" s="10">
        <v>2.66</v>
      </c>
      <c r="Q2934" s="10">
        <v>2000</v>
      </c>
      <c r="R2934" s="10" t="s">
        <v>77</v>
      </c>
      <c r="S2934" s="34">
        <f t="shared" si="328"/>
        <v>2000</v>
      </c>
      <c r="T2934" s="10" t="s">
        <v>1213</v>
      </c>
      <c r="U2934" s="34" t="str">
        <f t="shared" si="329"/>
        <v/>
      </c>
      <c r="V2934" s="31" t="str">
        <f>IF(H2934="CHK",VLOOKUP(I2934,QCCHK,3,),IF(H2934="GUP",VLOOKUP(E2934,QCGUP,2,),IF(AND(H2934="ATP",OR(I2934="TN",I2934="TDN",I2934="TNO2-3",I2934="NO2-3")),VLOOKUP(E2934,QCREC_N,2,),IF(AND(H2934="NIC",OR(I2934="TN",I2934="TDN",I2934="TNO2-3",I2934="NO2-3")),VLOOKUP(E2934,QCNIC_N,2,),IF(AND(H2934="UREA",OR(I2934="TN",I2934="TDN",I2934="TNO2-3",I2934="NO2-3")),VLOOKUP(E2934,QCUREA_N,2,),IF(H2934="PER",VLOOKUP(I2934,QCPER,MATCH(E2934,QCACTUAL!$J$25:$AA$25,0),),IF(H2934="SPK",VLOOKUP(I2934,QCSPK,3,),IF(AND(H2934="ATP",OR(I2934="TP",I2934="TDP")),VLOOKUP(E2934,QCATP_P,2,),""))))))))</f>
        <v/>
      </c>
      <c r="W2934" s="31" t="str">
        <f t="shared" si="330"/>
        <v>TRUE</v>
      </c>
      <c r="X2934" s="31" t="str">
        <f t="shared" si="327"/>
        <v/>
      </c>
      <c r="Y2934" s="10" t="s">
        <v>1206</v>
      </c>
      <c r="AL2934" s="10" t="str">
        <f t="shared" si="332"/>
        <v>FALSE</v>
      </c>
      <c r="AM2934" s="10" t="str">
        <f t="shared" si="332"/>
        <v>FALSE</v>
      </c>
      <c r="AN2934" s="10" t="str">
        <f t="shared" si="332"/>
        <v>FALSE</v>
      </c>
      <c r="AO2934" s="10" t="str">
        <f t="shared" si="333"/>
        <v>FALSE</v>
      </c>
      <c r="AP2934" s="10" t="str">
        <f t="shared" si="333"/>
        <v>FALSE</v>
      </c>
      <c r="AQ2934" s="10" t="b">
        <f>IF(AND(I2934="TP",S2934&lt;=150),VLOOKUP(AF2934,TPCalibEq150!$AZ$2:$BB$55,3,),IF(AND(I2934="TDP",S2934&lt;=150),VLOOKUP(AF2934,TPCalibEq150!$AZ$2:$BB$55,3,)))</f>
        <v>0</v>
      </c>
      <c r="AR2934" s="10" t="b">
        <f>IF(AND(I2934="TP",S2934&lt;=300),VLOOKUP(AF2934,TPCalibEq300!$AZ$2:$BB$55,3,),IF(AND(I2934="TDP",S2934&lt;=300),VLOOKUP(AF2934,TPCalibEq300!$AZ$2:$BB$55,3,)))</f>
        <v>0</v>
      </c>
      <c r="AS2934" s="10" t="b">
        <f>IF(AND(I2934="TP",S2934&lt;=500),VLOOKUP(AF2934,TPCalibEq500!$AZ$2:$BB$56,3,),IF(AND(I2934="TDP",S2934&lt;=500),VLOOKUP(AF2934,TPCalibEq500!$AZ$2:$BB$56,3,)))</f>
        <v>0</v>
      </c>
      <c r="AT2934" s="10" t="b">
        <f>IF(AND(I2934="TN",S2934&lt;=2800),VLOOKUP(AF2934,TNCalibEq2500!$AZ$2:$BB$56,3,),IF(AND(I2934="TDN",S2934&lt;=2800),VLOOKUP(AF2934,TNCalibEq2500!$AZ$2:$BB$56,3,)))</f>
        <v>0</v>
      </c>
      <c r="AU2934" s="10" t="b">
        <f>IF(I2934="TP",VLOOKUP(AF2934,TPCalibEqFull!$AZ$2:$BB$56,3),IF(I2934="TDP",VLOOKUP(AF2934,TPCalibEqFull!$AZ$2:$BB$56,3),IF(I2934="TDN",VLOOKUP(AF2934,TNCalibEqFull!$AZ$1:$BB$56,3),IF(I2934="TN",VLOOKUP(AF2934,TNCalibEqFull!$AZ$1:$BB$56,3),FALSE))))</f>
        <v>0</v>
      </c>
      <c r="AV2934" s="10" t="str">
        <f t="shared" si="331"/>
        <v>0215 09:00:00-QAC-STD-A-1-DI-CAL</v>
      </c>
    </row>
    <row r="2935" spans="1:48" s="10" customFormat="1" x14ac:dyDescent="0.55000000000000004">
      <c r="A2935" s="32">
        <v>44972</v>
      </c>
      <c r="B2935" s="33">
        <v>0.375</v>
      </c>
      <c r="C2935" s="10" t="s">
        <v>70</v>
      </c>
      <c r="D2935" s="10" t="s">
        <v>241</v>
      </c>
      <c r="E2935" s="10" t="s">
        <v>866</v>
      </c>
      <c r="F2935" s="10">
        <v>1</v>
      </c>
      <c r="G2935" s="10" t="s">
        <v>73</v>
      </c>
      <c r="H2935" s="10" t="s">
        <v>283</v>
      </c>
      <c r="I2935" s="10" t="s">
        <v>75</v>
      </c>
      <c r="J2935" s="10">
        <v>198</v>
      </c>
      <c r="K2935" s="12">
        <v>44972</v>
      </c>
      <c r="L2935" s="33">
        <v>0.47344907407407405</v>
      </c>
      <c r="M2935" s="10">
        <v>1</v>
      </c>
      <c r="N2935" s="10" t="s">
        <v>76</v>
      </c>
      <c r="O2935" s="10">
        <v>1.4800000000000001E-2</v>
      </c>
      <c r="P2935" s="10">
        <v>1.39E-3</v>
      </c>
      <c r="Q2935" s="10">
        <v>0.88800000000000001</v>
      </c>
      <c r="R2935" s="10" t="s">
        <v>77</v>
      </c>
      <c r="S2935" s="34">
        <f t="shared" si="328"/>
        <v>0.88800000000000001</v>
      </c>
      <c r="T2935" s="10" t="s">
        <v>1213</v>
      </c>
      <c r="U2935" s="34">
        <f t="shared" si="329"/>
        <v>0.88800000000000001</v>
      </c>
      <c r="V2935" s="31" t="str">
        <f>IF(H2935="CHK",VLOOKUP(I2935,QCCHK,3,),IF(H2935="GUP",VLOOKUP(E2935,QCGUP,2,),IF(AND(H2935="ATP",OR(I2935="TN",I2935="TDN",I2935="TNO2-3",I2935="NO2-3")),VLOOKUP(E2935,QCREC_N,2,),IF(AND(H2935="NIC",OR(I2935="TN",I2935="TDN",I2935="TNO2-3",I2935="NO2-3")),VLOOKUP(E2935,QCNIC_N,2,),IF(AND(H2935="UREA",OR(I2935="TN",I2935="TDN",I2935="TNO2-3",I2935="NO2-3")),VLOOKUP(E2935,QCUREA_N,2,),IF(H2935="PER",VLOOKUP(I2935,QCPER,MATCH(E2935,QCACTUAL!$J$25:$AA$25,0),),IF(H2935="SPK",VLOOKUP(I2935,QCSPK,3,),IF(AND(H2935="ATP",OR(I2935="TP",I2935="TDP")),VLOOKUP(E2935,QCATP_P,2,),""))))))))</f>
        <v/>
      </c>
      <c r="W2935" s="31" t="str">
        <f t="shared" si="330"/>
        <v>TRUE</v>
      </c>
      <c r="X2935" s="31" t="str">
        <f t="shared" si="327"/>
        <v>nominal concentration</v>
      </c>
      <c r="Y2935" s="10" t="s">
        <v>1206</v>
      </c>
      <c r="AL2935" s="10" t="str">
        <f t="shared" si="332"/>
        <v>FALSE</v>
      </c>
      <c r="AM2935" s="10" t="str">
        <f t="shared" si="332"/>
        <v>FALSE</v>
      </c>
      <c r="AN2935" s="10" t="str">
        <f t="shared" si="332"/>
        <v>FALSE</v>
      </c>
      <c r="AO2935" s="10" t="str">
        <f t="shared" si="333"/>
        <v>FALSE</v>
      </c>
      <c r="AP2935" s="10" t="str">
        <f t="shared" si="333"/>
        <v>FALSE</v>
      </c>
      <c r="AQ2935" s="10" t="b">
        <f>IF(AND(I2935="TP",S2935&lt;=150),VLOOKUP(AF2935,TPCalibEq150!$AZ$2:$BB$55,3,),IF(AND(I2935="TDP",S2935&lt;=150),VLOOKUP(AF2935,TPCalibEq150!$AZ$2:$BB$55,3,)))</f>
        <v>0</v>
      </c>
      <c r="AR2935" s="10" t="b">
        <f>IF(AND(I2935="TP",S2935&lt;=300),VLOOKUP(AF2935,TPCalibEq300!$AZ$2:$BB$55,3,),IF(AND(I2935="TDP",S2935&lt;=300),VLOOKUP(AF2935,TPCalibEq300!$AZ$2:$BB$55,3,)))</f>
        <v>0</v>
      </c>
      <c r="AS2935" s="10" t="b">
        <f>IF(AND(I2935="TP",S2935&lt;=500),VLOOKUP(AF2935,TPCalibEq500!$AZ$2:$BB$56,3,),IF(AND(I2935="TDP",S2935&lt;=500),VLOOKUP(AF2935,TPCalibEq500!$AZ$2:$BB$56,3,)))</f>
        <v>0</v>
      </c>
      <c r="AT2935" s="10" t="b">
        <f>IF(AND(I2935="TN",S2935&lt;=2800),VLOOKUP(AF2935,TNCalibEq2500!$AZ$2:$BB$56,3,),IF(AND(I2935="TDN",S2935&lt;=2800),VLOOKUP(AF2935,TNCalibEq2500!$AZ$2:$BB$56,3,)))</f>
        <v>0</v>
      </c>
      <c r="AU2935" s="10" t="b">
        <f>IF(I2935="TP",VLOOKUP(AF2935,TPCalibEqFull!$AZ$2:$BB$56,3),IF(I2935="TDP",VLOOKUP(AF2935,TPCalibEqFull!$AZ$2:$BB$56,3),IF(I2935="TDN",VLOOKUP(AF2935,TNCalibEqFull!$AZ$1:$BB$56,3),IF(I2935="TN",VLOOKUP(AF2935,TNCalibEqFull!$AZ$1:$BB$56,3),FALSE))))</f>
        <v>0</v>
      </c>
      <c r="AV2935" s="10" t="str">
        <f t="shared" si="331"/>
        <v>0215 09:00:00-QAC-BLK-A-1-DI-LAB</v>
      </c>
    </row>
    <row r="2936" spans="1:48" s="10" customFormat="1" x14ac:dyDescent="0.55000000000000004">
      <c r="A2936" s="32">
        <v>44972</v>
      </c>
      <c r="B2936" s="33">
        <v>0.375</v>
      </c>
      <c r="C2936" s="10" t="s">
        <v>70</v>
      </c>
      <c r="D2936" s="10" t="s">
        <v>241</v>
      </c>
      <c r="E2936" s="10" t="s">
        <v>866</v>
      </c>
      <c r="F2936" s="10">
        <v>1</v>
      </c>
      <c r="G2936" s="10" t="s">
        <v>73</v>
      </c>
      <c r="H2936" s="10" t="s">
        <v>314</v>
      </c>
      <c r="I2936" s="10" t="s">
        <v>75</v>
      </c>
      <c r="J2936" s="10">
        <v>225</v>
      </c>
      <c r="K2936" s="12">
        <v>44972</v>
      </c>
      <c r="L2936" s="33">
        <v>0.47427083333333336</v>
      </c>
      <c r="M2936" s="10">
        <v>1</v>
      </c>
      <c r="N2936" s="10" t="s">
        <v>76</v>
      </c>
      <c r="O2936" s="10">
        <v>11.1</v>
      </c>
      <c r="P2936" s="10">
        <v>0.85899999999999999</v>
      </c>
      <c r="Q2936" s="10">
        <v>658</v>
      </c>
      <c r="R2936" s="10" t="s">
        <v>77</v>
      </c>
      <c r="S2936" s="34">
        <f t="shared" si="328"/>
        <v>658</v>
      </c>
      <c r="T2936" s="10" t="s">
        <v>1213</v>
      </c>
      <c r="U2936" s="34">
        <f t="shared" si="329"/>
        <v>105.13791999999999</v>
      </c>
      <c r="V2936" s="31">
        <f>IF(H2936="CHK",VLOOKUP(I2936,QCCHK,3,),IF(H2936="GUP",VLOOKUP(E2936,QCGUP,2,),IF(AND(H2936="ATP",OR(I2936="TN",I2936="TDN",I2936="TNO2-3",I2936="NO2-3")),VLOOKUP(E2936,QCREC_N,2,),IF(AND(H2936="NIC",OR(I2936="TN",I2936="TDN",I2936="TNO2-3",I2936="NO2-3")),VLOOKUP(E2936,QCNIC_N,2,),IF(AND(H2936="UREA",OR(I2936="TN",I2936="TDN",I2936="TNO2-3",I2936="NO2-3")),VLOOKUP(E2936,QCUREA_N,2,),IF(H2936="PER",VLOOKUP(I2936,QCPER,MATCH(E2936,QCACTUAL!$J$25:$AA$25,0),),IF(H2936="SPK",VLOOKUP(I2936,QCSPK,3,),IF(AND(H2936="ATP",OR(I2936="TP",I2936="TDP")),VLOOKUP(E2936,QCATP_P,2,),""))))))))</f>
        <v>625</v>
      </c>
      <c r="W2936" s="31" t="str">
        <f t="shared" si="330"/>
        <v>TRUE</v>
      </c>
      <c r="X2936" s="31" t="str">
        <f t="shared" si="327"/>
        <v>([spikedunkn]-[unkn])/[spike]*100</v>
      </c>
      <c r="Y2936" s="10" t="s">
        <v>1206</v>
      </c>
      <c r="AL2936" s="10" t="str">
        <f t="shared" si="332"/>
        <v>FALSE</v>
      </c>
      <c r="AM2936" s="10" t="str">
        <f t="shared" si="332"/>
        <v>FALSE</v>
      </c>
      <c r="AN2936" s="10" t="str">
        <f t="shared" si="332"/>
        <v>FALSE</v>
      </c>
      <c r="AO2936" s="10" t="str">
        <f t="shared" si="333"/>
        <v>FALSE</v>
      </c>
      <c r="AP2936" s="10" t="str">
        <f t="shared" si="333"/>
        <v>FALSE</v>
      </c>
      <c r="AQ2936" s="10" t="b">
        <f>IF(AND(I2936="TP",S2936&lt;=150),VLOOKUP(AF2936,TPCalibEq150!$AZ$2:$BB$55,3,),IF(AND(I2936="TDP",S2936&lt;=150),VLOOKUP(AF2936,TPCalibEq150!$AZ$2:$BB$55,3,)))</f>
        <v>0</v>
      </c>
      <c r="AR2936" s="10" t="b">
        <f>IF(AND(I2936="TP",S2936&lt;=300),VLOOKUP(AF2936,TPCalibEq300!$AZ$2:$BB$55,3,),IF(AND(I2936="TDP",S2936&lt;=300),VLOOKUP(AF2936,TPCalibEq300!$AZ$2:$BB$55,3,)))</f>
        <v>0</v>
      </c>
      <c r="AS2936" s="10" t="b">
        <f>IF(AND(I2936="TP",S2936&lt;=500),VLOOKUP(AF2936,TPCalibEq500!$AZ$2:$BB$56,3,),IF(AND(I2936="TDP",S2936&lt;=500),VLOOKUP(AF2936,TPCalibEq500!$AZ$2:$BB$56,3,)))</f>
        <v>0</v>
      </c>
      <c r="AT2936" s="10" t="b">
        <f>IF(AND(I2936="TN",S2936&lt;=2800),VLOOKUP(AF2936,TNCalibEq2500!$AZ$2:$BB$56,3,),IF(AND(I2936="TDN",S2936&lt;=2800),VLOOKUP(AF2936,TNCalibEq2500!$AZ$2:$BB$56,3,)))</f>
        <v>0</v>
      </c>
      <c r="AU2936" s="10" t="b">
        <f>IF(I2936="TP",VLOOKUP(AF2936,TPCalibEqFull!$AZ$2:$BB$56,3),IF(I2936="TDP",VLOOKUP(AF2936,TPCalibEqFull!$AZ$2:$BB$56,3),IF(I2936="TDN",VLOOKUP(AF2936,TNCalibEqFull!$AZ$1:$BB$56,3),IF(I2936="TN",VLOOKUP(AF2936,TNCalibEqFull!$AZ$1:$BB$56,3),FALSE))))</f>
        <v>0</v>
      </c>
      <c r="AV2936" s="10" t="str">
        <f t="shared" si="331"/>
        <v>0215 09:00:00-QAC-BLK-A-1-DI-SPK</v>
      </c>
    </row>
    <row r="2937" spans="1:48" s="10" customFormat="1" x14ac:dyDescent="0.55000000000000004">
      <c r="A2937" s="32">
        <v>44972</v>
      </c>
      <c r="B2937" s="33">
        <v>0.375</v>
      </c>
      <c r="C2937" s="10" t="s">
        <v>70</v>
      </c>
      <c r="D2937" s="10" t="s">
        <v>71</v>
      </c>
      <c r="E2937" s="10" t="s">
        <v>948</v>
      </c>
      <c r="F2937" s="10">
        <v>1</v>
      </c>
      <c r="G2937" s="10" t="s">
        <v>73</v>
      </c>
      <c r="H2937" s="10" t="s">
        <v>299</v>
      </c>
      <c r="I2937" s="10" t="s">
        <v>75</v>
      </c>
      <c r="J2937" s="10">
        <v>197</v>
      </c>
      <c r="K2937" s="12">
        <v>44972</v>
      </c>
      <c r="L2937" s="33">
        <v>0.47510416666666666</v>
      </c>
      <c r="M2937" s="10">
        <v>1</v>
      </c>
      <c r="N2937" s="10" t="s">
        <v>76</v>
      </c>
      <c r="O2937" s="10">
        <v>18.3</v>
      </c>
      <c r="P2937" s="10">
        <v>1.43</v>
      </c>
      <c r="Q2937" s="10">
        <v>1080</v>
      </c>
      <c r="R2937" s="10" t="s">
        <v>77</v>
      </c>
      <c r="S2937" s="34">
        <f t="shared" si="328"/>
        <v>1080</v>
      </c>
      <c r="T2937" s="10" t="s">
        <v>1213</v>
      </c>
      <c r="U2937" s="34">
        <f t="shared" si="329"/>
        <v>102.85714285714285</v>
      </c>
      <c r="V2937" s="31">
        <f>IF(H2937="CHK",VLOOKUP(I2937,QCCHK,3,),IF(H2937="GUP",VLOOKUP(E2937,QCGUP,2,),IF(AND(H2937="ATP",OR(I2937="TN",I2937="TDN",I2937="TNO2-3",I2937="NO2-3")),VLOOKUP(E2937,QCREC_N,2,),IF(AND(H2937="NIC",OR(I2937="TN",I2937="TDN",I2937="TNO2-3",I2937="NO2-3")),VLOOKUP(E2937,QCNIC_N,2,),IF(AND(H2937="UREA",OR(I2937="TN",I2937="TDN",I2937="TNO2-3",I2937="NO2-3")),VLOOKUP(E2937,QCUREA_N,2,),IF(H2937="PER",VLOOKUP(I2937,QCPER,MATCH(E2937,QCACTUAL!$J$25:$AA$25,0),),IF(H2937="SPK",VLOOKUP(I2937,QCSPK,3,),IF(AND(H2937="ATP",OR(I2937="TP",I2937="TDP")),VLOOKUP(E2937,QCATP_P,2,),""))))))))</f>
        <v>1050</v>
      </c>
      <c r="W2937" s="31" t="str">
        <f t="shared" si="330"/>
        <v>TRUE</v>
      </c>
      <c r="X2937" s="31" t="str">
        <f t="shared" si="327"/>
        <v>[per]/[actual]*100</v>
      </c>
      <c r="Y2937" s="10" t="s">
        <v>1206</v>
      </c>
      <c r="AL2937" s="10" t="str">
        <f t="shared" si="332"/>
        <v>FALSE</v>
      </c>
      <c r="AM2937" s="10" t="str">
        <f t="shared" si="332"/>
        <v>FALSE</v>
      </c>
      <c r="AN2937" s="10" t="str">
        <f t="shared" si="332"/>
        <v>FALSE</v>
      </c>
      <c r="AO2937" s="10" t="str">
        <f t="shared" si="333"/>
        <v>FALSE</v>
      </c>
      <c r="AP2937" s="10" t="str">
        <f t="shared" si="333"/>
        <v>FALSE</v>
      </c>
      <c r="AQ2937" s="10" t="b">
        <f>IF(AND(I2937="TP",S2937&lt;=150),VLOOKUP(AF2937,TPCalibEq150!$AZ$2:$BB$55,3,),IF(AND(I2937="TDP",S2937&lt;=150),VLOOKUP(AF2937,TPCalibEq150!$AZ$2:$BB$55,3,)))</f>
        <v>0</v>
      </c>
      <c r="AR2937" s="10" t="b">
        <f>IF(AND(I2937="TP",S2937&lt;=300),VLOOKUP(AF2937,TPCalibEq300!$AZ$2:$BB$55,3,),IF(AND(I2937="TDP",S2937&lt;=300),VLOOKUP(AF2937,TPCalibEq300!$AZ$2:$BB$55,3,)))</f>
        <v>0</v>
      </c>
      <c r="AS2937" s="10" t="b">
        <f>IF(AND(I2937="TP",S2937&lt;=500),VLOOKUP(AF2937,TPCalibEq500!$AZ$2:$BB$56,3,),IF(AND(I2937="TDP",S2937&lt;=500),VLOOKUP(AF2937,TPCalibEq500!$AZ$2:$BB$56,3,)))</f>
        <v>0</v>
      </c>
      <c r="AT2937" s="10" t="b">
        <f>IF(AND(I2937="TN",S2937&lt;=2800),VLOOKUP(AF2937,TNCalibEq2500!$AZ$2:$BB$56,3,),IF(AND(I2937="TDN",S2937&lt;=2800),VLOOKUP(AF2937,TNCalibEq2500!$AZ$2:$BB$56,3,)))</f>
        <v>0</v>
      </c>
      <c r="AU2937" s="10" t="b">
        <f>IF(I2937="TP",VLOOKUP(AF2937,TPCalibEqFull!$AZ$2:$BB$56,3),IF(I2937="TDP",VLOOKUP(AF2937,TPCalibEqFull!$AZ$2:$BB$56,3),IF(I2937="TDN",VLOOKUP(AF2937,TNCalibEqFull!$AZ$1:$BB$56,3),IF(I2937="TN",VLOOKUP(AF2937,TNCalibEqFull!$AZ$1:$BB$56,3),FALSE))))</f>
        <v>0</v>
      </c>
      <c r="AV2937" s="10" t="str">
        <f t="shared" si="331"/>
        <v>0215 09:00:00-QAC-STD-22A-1-DI-PER</v>
      </c>
    </row>
    <row r="2938" spans="1:48" s="10" customFormat="1" x14ac:dyDescent="0.55000000000000004">
      <c r="A2938" s="32">
        <v>44970</v>
      </c>
      <c r="B2938" s="33">
        <v>0.25</v>
      </c>
      <c r="C2938" s="10" t="s">
        <v>70</v>
      </c>
      <c r="D2938" s="10" t="s">
        <v>241</v>
      </c>
      <c r="E2938" s="10" t="s">
        <v>866</v>
      </c>
      <c r="F2938" s="10">
        <v>1</v>
      </c>
      <c r="G2938" s="10" t="s">
        <v>73</v>
      </c>
      <c r="H2938" s="10" t="s">
        <v>264</v>
      </c>
      <c r="I2938" s="10" t="s">
        <v>75</v>
      </c>
      <c r="J2938" s="10">
        <v>55</v>
      </c>
      <c r="K2938" s="12">
        <v>44972</v>
      </c>
      <c r="L2938" s="33">
        <v>0.47836805555555556</v>
      </c>
      <c r="M2938" s="10">
        <v>1</v>
      </c>
      <c r="N2938" s="10" t="s">
        <v>76</v>
      </c>
      <c r="O2938" s="10">
        <v>2.3800000000000002E-2</v>
      </c>
      <c r="P2938" s="10">
        <v>2.8400000000000001E-3</v>
      </c>
      <c r="Q2938" s="10">
        <v>1.43</v>
      </c>
      <c r="R2938" s="10" t="s">
        <v>77</v>
      </c>
      <c r="S2938" s="34">
        <f t="shared" si="328"/>
        <v>1.43</v>
      </c>
      <c r="T2938" s="10" t="s">
        <v>1213</v>
      </c>
      <c r="U2938" s="34">
        <f t="shared" si="329"/>
        <v>1.43</v>
      </c>
      <c r="V2938" s="31" t="str">
        <f>IF(H2938="CHK",VLOOKUP(I2938,QCCHK,3,),IF(H2938="GUP",VLOOKUP(E2938,QCGUP,2,),IF(AND(H2938="ATP",OR(I2938="TN",I2938="TDN",I2938="TNO2-3",I2938="NO2-3")),VLOOKUP(E2938,QCREC_N,2,),IF(AND(H2938="NIC",OR(I2938="TN",I2938="TDN",I2938="TNO2-3",I2938="NO2-3")),VLOOKUP(E2938,QCNIC_N,2,),IF(AND(H2938="UREA",OR(I2938="TN",I2938="TDN",I2938="TNO2-3",I2938="NO2-3")),VLOOKUP(E2938,QCUREA_N,2,),IF(H2938="PER",VLOOKUP(I2938,QCPER,MATCH(E2938,QCACTUAL!$J$25:$AA$25,0),),IF(H2938="SPK",VLOOKUP(I2938,QCSPK,3,),IF(AND(H2938="ATP",OR(I2938="TP",I2938="TDP")),VLOOKUP(E2938,QCATP_P,2,),""))))))))</f>
        <v/>
      </c>
      <c r="W2938" s="31" t="str">
        <f t="shared" si="330"/>
        <v>TRUE</v>
      </c>
      <c r="X2938" s="31" t="str">
        <f t="shared" si="327"/>
        <v>nominal concentration</v>
      </c>
      <c r="Y2938" s="10" t="s">
        <v>1206</v>
      </c>
      <c r="Z2938" s="10" t="s">
        <v>910</v>
      </c>
      <c r="AL2938" s="10" t="str">
        <f t="shared" si="332"/>
        <v>FALSE</v>
      </c>
      <c r="AM2938" s="10" t="str">
        <f t="shared" si="332"/>
        <v>FALSE</v>
      </c>
      <c r="AN2938" s="10" t="str">
        <f t="shared" si="332"/>
        <v>FALSE</v>
      </c>
      <c r="AO2938" s="10" t="str">
        <f t="shared" si="333"/>
        <v>FALSE</v>
      </c>
      <c r="AP2938" s="10" t="str">
        <f t="shared" si="333"/>
        <v>FALSE</v>
      </c>
      <c r="AQ2938" s="10" t="b">
        <f>IF(AND(I2938="TP",S2938&lt;=150),VLOOKUP(AF2938,TPCalibEq150!$AZ$2:$BB$55,3,),IF(AND(I2938="TDP",S2938&lt;=150),VLOOKUP(AF2938,TPCalibEq150!$AZ$2:$BB$55,3,)))</f>
        <v>0</v>
      </c>
      <c r="AR2938" s="10" t="b">
        <f>IF(AND(I2938="TP",S2938&lt;=300),VLOOKUP(AF2938,TPCalibEq300!$AZ$2:$BB$55,3,),IF(AND(I2938="TDP",S2938&lt;=300),VLOOKUP(AF2938,TPCalibEq300!$AZ$2:$BB$55,3,)))</f>
        <v>0</v>
      </c>
      <c r="AS2938" s="10" t="b">
        <f>IF(AND(I2938="TP",S2938&lt;=500),VLOOKUP(AF2938,TPCalibEq500!$AZ$2:$BB$56,3,),IF(AND(I2938="TDP",S2938&lt;=500),VLOOKUP(AF2938,TPCalibEq500!$AZ$2:$BB$56,3,)))</f>
        <v>0</v>
      </c>
      <c r="AT2938" s="10" t="b">
        <f>IF(AND(I2938="TN",S2938&lt;=2800),VLOOKUP(AF2938,TNCalibEq2500!$AZ$2:$BB$56,3,),IF(AND(I2938="TDN",S2938&lt;=2800),VLOOKUP(AF2938,TNCalibEq2500!$AZ$2:$BB$56,3,)))</f>
        <v>0</v>
      </c>
      <c r="AU2938" s="10" t="b">
        <f>IF(I2938="TP",VLOOKUP(AF2938,TPCalibEqFull!$AZ$2:$BB$56,3),IF(I2938="TDP",VLOOKUP(AF2938,TPCalibEqFull!$AZ$2:$BB$56,3),IF(I2938="TDN",VLOOKUP(AF2938,TNCalibEqFull!$AZ$1:$BB$56,3),IF(I2938="TN",VLOOKUP(AF2938,TNCalibEqFull!$AZ$1:$BB$56,3),FALSE))))</f>
        <v>0</v>
      </c>
      <c r="AV2938" s="10" t="str">
        <f t="shared" si="331"/>
        <v>0213 06:00:00-QAC-BLK-A-1-DI-FLD</v>
      </c>
    </row>
    <row r="2939" spans="1:48" s="10" customFormat="1" x14ac:dyDescent="0.55000000000000004">
      <c r="A2939" s="32">
        <v>44971</v>
      </c>
      <c r="B2939" s="33">
        <v>0.30208333333333331</v>
      </c>
      <c r="C2939" s="10" t="s">
        <v>70</v>
      </c>
      <c r="D2939" s="10" t="s">
        <v>241</v>
      </c>
      <c r="E2939" s="10" t="s">
        <v>866</v>
      </c>
      <c r="F2939" s="10">
        <v>1</v>
      </c>
      <c r="G2939" s="10" t="s">
        <v>73</v>
      </c>
      <c r="H2939" s="10" t="s">
        <v>245</v>
      </c>
      <c r="I2939" s="10" t="s">
        <v>75</v>
      </c>
      <c r="J2939" s="10">
        <v>56</v>
      </c>
      <c r="K2939" s="12">
        <v>44972</v>
      </c>
      <c r="L2939" s="33">
        <v>0.47917824074074072</v>
      </c>
      <c r="M2939" s="10">
        <v>1</v>
      </c>
      <c r="N2939" s="10" t="s">
        <v>76</v>
      </c>
      <c r="O2939" s="10">
        <v>2.6700000000000002E-2</v>
      </c>
      <c r="P2939" s="10">
        <v>2.9399999999999999E-3</v>
      </c>
      <c r="Q2939" s="10">
        <v>1.6</v>
      </c>
      <c r="R2939" s="10" t="s">
        <v>77</v>
      </c>
      <c r="S2939" s="34">
        <f t="shared" si="328"/>
        <v>1.6</v>
      </c>
      <c r="T2939" s="10" t="s">
        <v>1213</v>
      </c>
      <c r="U2939" s="34">
        <f t="shared" si="329"/>
        <v>1.6</v>
      </c>
      <c r="V2939" s="31" t="str">
        <f>IF(H2939="CHK",VLOOKUP(I2939,QCCHK,3,),IF(H2939="GUP",VLOOKUP(E2939,QCGUP,2,),IF(AND(H2939="ATP",OR(I2939="TN",I2939="TDN",I2939="TNO2-3",I2939="NO2-3")),VLOOKUP(E2939,QCREC_N,2,),IF(AND(H2939="NIC",OR(I2939="TN",I2939="TDN",I2939="TNO2-3",I2939="NO2-3")),VLOOKUP(E2939,QCNIC_N,2,),IF(AND(H2939="UREA",OR(I2939="TN",I2939="TDN",I2939="TNO2-3",I2939="NO2-3")),VLOOKUP(E2939,QCUREA_N,2,),IF(H2939="PER",VLOOKUP(I2939,QCPER,MATCH(E2939,QCACTUAL!$J$25:$AA$25,0),),IF(H2939="SPK",VLOOKUP(I2939,QCSPK,3,),IF(AND(H2939="ATP",OR(I2939="TP",I2939="TDP")),VLOOKUP(E2939,QCATP_P,2,),""))))))))</f>
        <v/>
      </c>
      <c r="W2939" s="31" t="str">
        <f t="shared" si="330"/>
        <v>TRUE</v>
      </c>
      <c r="X2939" s="31" t="str">
        <f t="shared" si="327"/>
        <v>nominal concentration</v>
      </c>
      <c r="Y2939" s="10" t="s">
        <v>1206</v>
      </c>
      <c r="AL2939" s="10" t="str">
        <f t="shared" si="332"/>
        <v>FALSE</v>
      </c>
      <c r="AM2939" s="10" t="str">
        <f t="shared" si="332"/>
        <v>FALSE</v>
      </c>
      <c r="AN2939" s="10" t="str">
        <f t="shared" si="332"/>
        <v>FALSE</v>
      </c>
      <c r="AO2939" s="10" t="str">
        <f t="shared" si="333"/>
        <v>FALSE</v>
      </c>
      <c r="AP2939" s="10" t="str">
        <f t="shared" si="333"/>
        <v>FALSE</v>
      </c>
      <c r="AQ2939" s="10" t="b">
        <f>IF(AND(I2939="TP",S2939&lt;=150),VLOOKUP(AF2939,TPCalibEq150!$AZ$2:$BB$55,3,),IF(AND(I2939="TDP",S2939&lt;=150),VLOOKUP(AF2939,TPCalibEq150!$AZ$2:$BB$55,3,)))</f>
        <v>0</v>
      </c>
      <c r="AR2939" s="10" t="b">
        <f>IF(AND(I2939="TP",S2939&lt;=300),VLOOKUP(AF2939,TPCalibEq300!$AZ$2:$BB$55,3,),IF(AND(I2939="TDP",S2939&lt;=300),VLOOKUP(AF2939,TPCalibEq300!$AZ$2:$BB$55,3,)))</f>
        <v>0</v>
      </c>
      <c r="AS2939" s="10" t="b">
        <f>IF(AND(I2939="TP",S2939&lt;=500),VLOOKUP(AF2939,TPCalibEq500!$AZ$2:$BB$56,3,),IF(AND(I2939="TDP",S2939&lt;=500),VLOOKUP(AF2939,TPCalibEq500!$AZ$2:$BB$56,3,)))</f>
        <v>0</v>
      </c>
      <c r="AT2939" s="10" t="b">
        <f>IF(AND(I2939="TN",S2939&lt;=2800),VLOOKUP(AF2939,TNCalibEq2500!$AZ$2:$BB$56,3,),IF(AND(I2939="TDN",S2939&lt;=2800),VLOOKUP(AF2939,TNCalibEq2500!$AZ$2:$BB$56,3,)))</f>
        <v>0</v>
      </c>
      <c r="AU2939" s="10" t="b">
        <f>IF(I2939="TP",VLOOKUP(AF2939,TPCalibEqFull!$AZ$2:$BB$56,3),IF(I2939="TDP",VLOOKUP(AF2939,TPCalibEqFull!$AZ$2:$BB$56,3),IF(I2939="TDN",VLOOKUP(AF2939,TNCalibEqFull!$AZ$1:$BB$56,3),IF(I2939="TN",VLOOKUP(AF2939,TNCalibEqFull!$AZ$1:$BB$56,3),FALSE))))</f>
        <v>0</v>
      </c>
      <c r="AV2939" s="10" t="str">
        <f t="shared" si="331"/>
        <v>0214 07:15:00-QAC-BLK-A-1-DI-ESF</v>
      </c>
    </row>
    <row r="2940" spans="1:48" s="10" customFormat="1" x14ac:dyDescent="0.55000000000000004">
      <c r="A2940" s="32">
        <v>44970</v>
      </c>
      <c r="B2940" s="33">
        <v>0.25</v>
      </c>
      <c r="C2940" s="10" t="s">
        <v>70</v>
      </c>
      <c r="D2940" s="10" t="s">
        <v>241</v>
      </c>
      <c r="E2940" s="10" t="s">
        <v>911</v>
      </c>
      <c r="F2940" s="10">
        <v>1</v>
      </c>
      <c r="G2940" s="10" t="s">
        <v>73</v>
      </c>
      <c r="H2940" s="10" t="s">
        <v>264</v>
      </c>
      <c r="I2940" s="10" t="s">
        <v>183</v>
      </c>
      <c r="J2940" s="10">
        <v>57</v>
      </c>
      <c r="K2940" s="12">
        <v>44972</v>
      </c>
      <c r="L2940" s="33">
        <v>0.47998842592592594</v>
      </c>
      <c r="M2940" s="10">
        <v>1</v>
      </c>
      <c r="N2940" s="10" t="s">
        <v>76</v>
      </c>
      <c r="O2940" s="10">
        <v>0.91300000000000003</v>
      </c>
      <c r="P2940" s="10">
        <v>7.3899999999999993E-2</v>
      </c>
      <c r="Q2940" s="10">
        <v>54.7</v>
      </c>
      <c r="R2940" s="10" t="s">
        <v>77</v>
      </c>
      <c r="S2940" s="34">
        <f t="shared" si="328"/>
        <v>54.7</v>
      </c>
      <c r="T2940" s="10" t="s">
        <v>1213</v>
      </c>
      <c r="U2940" s="34">
        <f t="shared" si="329"/>
        <v>54.7</v>
      </c>
      <c r="V2940" s="31" t="str">
        <f>IF(H2940="CHK",VLOOKUP(I2940,QCCHK,3,),IF(H2940="GUP",VLOOKUP(E2940,QCGUP,2,),IF(AND(H2940="ATP",OR(I2940="TN",I2940="TDN",I2940="TNO2-3",I2940="NO2-3")),VLOOKUP(E2940,QCREC_N,2,),IF(AND(H2940="NIC",OR(I2940="TN",I2940="TDN",I2940="TNO2-3",I2940="NO2-3")),VLOOKUP(E2940,QCNIC_N,2,),IF(AND(H2940="UREA",OR(I2940="TN",I2940="TDN",I2940="TNO2-3",I2940="NO2-3")),VLOOKUP(E2940,QCUREA_N,2,),IF(H2940="PER",VLOOKUP(I2940,QCPER,MATCH(E2940,QCACTUAL!$J$25:$AA$25,0),),IF(H2940="SPK",VLOOKUP(I2940,QCSPK,3,),IF(AND(H2940="ATP",OR(I2940="TP",I2940="TDP")),VLOOKUP(E2940,QCATP_P,2,),""))))))))</f>
        <v/>
      </c>
      <c r="W2940" s="31" t="str">
        <f t="shared" si="330"/>
        <v>FALSE</v>
      </c>
      <c r="X2940" s="31" t="str">
        <f t="shared" si="327"/>
        <v>nominal concentration</v>
      </c>
      <c r="Y2940" s="10" t="s">
        <v>1206</v>
      </c>
      <c r="Z2940" s="10" t="s">
        <v>910</v>
      </c>
      <c r="AL2940" s="10" t="str">
        <f t="shared" si="332"/>
        <v>FALSE</v>
      </c>
      <c r="AM2940" s="10" t="str">
        <f t="shared" si="332"/>
        <v>FALSE</v>
      </c>
      <c r="AN2940" s="10" t="str">
        <f t="shared" si="332"/>
        <v>FALSE</v>
      </c>
      <c r="AO2940" s="10" t="str">
        <f t="shared" si="333"/>
        <v>FALSE</v>
      </c>
      <c r="AP2940" s="10" t="str">
        <f t="shared" si="333"/>
        <v>FALSE</v>
      </c>
      <c r="AQ2940" s="10" t="b">
        <f>IF(AND(I2940="TP",S2940&lt;=150),VLOOKUP(AF2940,TPCalibEq150!$AZ$2:$BB$55,3,),IF(AND(I2940="TDP",S2940&lt;=150),VLOOKUP(AF2940,TPCalibEq150!$AZ$2:$BB$55,3,)))</f>
        <v>0</v>
      </c>
      <c r="AR2940" s="10" t="b">
        <f>IF(AND(I2940="TP",S2940&lt;=300),VLOOKUP(AF2940,TPCalibEq300!$AZ$2:$BB$55,3,),IF(AND(I2940="TDP",S2940&lt;=300),VLOOKUP(AF2940,TPCalibEq300!$AZ$2:$BB$55,3,)))</f>
        <v>0</v>
      </c>
      <c r="AS2940" s="10" t="b">
        <f>IF(AND(I2940="TP",S2940&lt;=500),VLOOKUP(AF2940,TPCalibEq500!$AZ$2:$BB$56,3,),IF(AND(I2940="TDP",S2940&lt;=500),VLOOKUP(AF2940,TPCalibEq500!$AZ$2:$BB$56,3,)))</f>
        <v>0</v>
      </c>
      <c r="AT2940" s="10" t="b">
        <f>IF(AND(I2940="TN",S2940&lt;=2800),VLOOKUP(AF2940,TNCalibEq2500!$AZ$2:$BB$56,3,),IF(AND(I2940="TDN",S2940&lt;=2800),VLOOKUP(AF2940,TNCalibEq2500!$AZ$2:$BB$56,3,)))</f>
        <v>0</v>
      </c>
      <c r="AU2940" s="10" t="b">
        <f>IF(I2940="TP",VLOOKUP(AF2940,TPCalibEqFull!$AZ$2:$BB$56,3),IF(I2940="TDP",VLOOKUP(AF2940,TPCalibEqFull!$AZ$2:$BB$56,3),IF(I2940="TDN",VLOOKUP(AF2940,TNCalibEqFull!$AZ$1:$BB$56,3),IF(I2940="TN",VLOOKUP(AF2940,TNCalibEqFull!$AZ$1:$BB$56,3),FALSE))))</f>
        <v>0</v>
      </c>
      <c r="AV2940" s="10" t="str">
        <f t="shared" si="331"/>
        <v>0213 06:00:00-QAC-BLK-FIL-1-DI-FLD</v>
      </c>
    </row>
    <row r="2941" spans="1:48" s="10" customFormat="1" x14ac:dyDescent="0.55000000000000004">
      <c r="A2941" s="32">
        <v>44971</v>
      </c>
      <c r="B2941" s="33">
        <v>0.30208333333333331</v>
      </c>
      <c r="C2941" s="10" t="s">
        <v>70</v>
      </c>
      <c r="D2941" s="10" t="s">
        <v>241</v>
      </c>
      <c r="E2941" s="10" t="s">
        <v>911</v>
      </c>
      <c r="F2941" s="10">
        <v>1</v>
      </c>
      <c r="G2941" s="10" t="s">
        <v>73</v>
      </c>
      <c r="H2941" s="10" t="s">
        <v>245</v>
      </c>
      <c r="I2941" s="10" t="s">
        <v>183</v>
      </c>
      <c r="J2941" s="10">
        <v>58</v>
      </c>
      <c r="K2941" s="12">
        <v>44972</v>
      </c>
      <c r="L2941" s="33">
        <v>0.48079861111111111</v>
      </c>
      <c r="M2941" s="10">
        <v>1</v>
      </c>
      <c r="N2941" s="10" t="s">
        <v>76</v>
      </c>
      <c r="O2941" s="10">
        <v>0.12</v>
      </c>
      <c r="P2941" s="10">
        <v>9.9600000000000001E-3</v>
      </c>
      <c r="Q2941" s="10">
        <v>7.21</v>
      </c>
      <c r="R2941" s="10" t="s">
        <v>77</v>
      </c>
      <c r="S2941" s="34">
        <f t="shared" si="328"/>
        <v>7.21</v>
      </c>
      <c r="T2941" s="10" t="s">
        <v>1213</v>
      </c>
      <c r="U2941" s="34">
        <f t="shared" si="329"/>
        <v>7.21</v>
      </c>
      <c r="V2941" s="31" t="str">
        <f>IF(H2941="CHK",VLOOKUP(I2941,QCCHK,3,),IF(H2941="GUP",VLOOKUP(E2941,QCGUP,2,),IF(AND(H2941="ATP",OR(I2941="TN",I2941="TDN",I2941="TNO2-3",I2941="NO2-3")),VLOOKUP(E2941,QCREC_N,2,),IF(AND(H2941="NIC",OR(I2941="TN",I2941="TDN",I2941="TNO2-3",I2941="NO2-3")),VLOOKUP(E2941,QCNIC_N,2,),IF(AND(H2941="UREA",OR(I2941="TN",I2941="TDN",I2941="TNO2-3",I2941="NO2-3")),VLOOKUP(E2941,QCUREA_N,2,),IF(H2941="PER",VLOOKUP(I2941,QCPER,MATCH(E2941,QCACTUAL!$J$25:$AA$25,0),),IF(H2941="SPK",VLOOKUP(I2941,QCSPK,3,),IF(AND(H2941="ATP",OR(I2941="TP",I2941="TDP")),VLOOKUP(E2941,QCATP_P,2,),""))))))))</f>
        <v/>
      </c>
      <c r="W2941" s="31" t="str">
        <f t="shared" si="330"/>
        <v>TRUE</v>
      </c>
      <c r="X2941" s="31" t="str">
        <f t="shared" si="327"/>
        <v>nominal concentration</v>
      </c>
      <c r="Y2941" s="10" t="s">
        <v>1206</v>
      </c>
      <c r="AL2941" s="10" t="str">
        <f t="shared" ref="AL2941:AN3004" si="334">IF($O2941="", "", IF(AQ2941&lt;&gt;"", SUBSTITUTE(SUBSTITUTE(AQ2941, "x", "*"&amp;$O2941&amp;"^", 1), "x", "*"&amp;$O2941, 1), ""))</f>
        <v>FALSE</v>
      </c>
      <c r="AM2941" s="10" t="str">
        <f t="shared" si="334"/>
        <v>FALSE</v>
      </c>
      <c r="AN2941" s="10" t="str">
        <f t="shared" si="334"/>
        <v>FALSE</v>
      </c>
      <c r="AO2941" s="10" t="str">
        <f t="shared" ref="AO2941:AP3004" si="335">IF($O2941="", "FALSE", IF(AT2941&lt;&gt;"FALSE", SUBSTITUTE(SUBSTITUTE(AT2941, "x", "*"&amp;$O2941&amp;"^", 1), "x", "*"&amp;$O2941, 1), ""))</f>
        <v>FALSE</v>
      </c>
      <c r="AP2941" s="10" t="str">
        <f t="shared" si="335"/>
        <v>FALSE</v>
      </c>
      <c r="AQ2941" s="10" t="b">
        <f>IF(AND(I2941="TP",S2941&lt;=150),VLOOKUP(AF2941,TPCalibEq150!$AZ$2:$BB$55,3,),IF(AND(I2941="TDP",S2941&lt;=150),VLOOKUP(AF2941,TPCalibEq150!$AZ$2:$BB$55,3,)))</f>
        <v>0</v>
      </c>
      <c r="AR2941" s="10" t="b">
        <f>IF(AND(I2941="TP",S2941&lt;=300),VLOOKUP(AF2941,TPCalibEq300!$AZ$2:$BB$55,3,),IF(AND(I2941="TDP",S2941&lt;=300),VLOOKUP(AF2941,TPCalibEq300!$AZ$2:$BB$55,3,)))</f>
        <v>0</v>
      </c>
      <c r="AS2941" s="10" t="b">
        <f>IF(AND(I2941="TP",S2941&lt;=500),VLOOKUP(AF2941,TPCalibEq500!$AZ$2:$BB$56,3,),IF(AND(I2941="TDP",S2941&lt;=500),VLOOKUP(AF2941,TPCalibEq500!$AZ$2:$BB$56,3,)))</f>
        <v>0</v>
      </c>
      <c r="AT2941" s="10" t="b">
        <f>IF(AND(I2941="TN",S2941&lt;=2800),VLOOKUP(AF2941,TNCalibEq2500!$AZ$2:$BB$56,3,),IF(AND(I2941="TDN",S2941&lt;=2800),VLOOKUP(AF2941,TNCalibEq2500!$AZ$2:$BB$56,3,)))</f>
        <v>0</v>
      </c>
      <c r="AU2941" s="10" t="b">
        <f>IF(I2941="TP",VLOOKUP(AF2941,TPCalibEqFull!$AZ$2:$BB$56,3),IF(I2941="TDP",VLOOKUP(AF2941,TPCalibEqFull!$AZ$2:$BB$56,3),IF(I2941="TDN",VLOOKUP(AF2941,TNCalibEqFull!$AZ$1:$BB$56,3),IF(I2941="TN",VLOOKUP(AF2941,TNCalibEqFull!$AZ$1:$BB$56,3),FALSE))))</f>
        <v>0</v>
      </c>
      <c r="AV2941" s="10" t="str">
        <f t="shared" si="331"/>
        <v>0214 07:15:00-QAC-BLK-FIL-1-DI-ESF</v>
      </c>
    </row>
    <row r="2942" spans="1:48" s="10" customFormat="1" x14ac:dyDescent="0.55000000000000004">
      <c r="A2942" s="32">
        <v>44965</v>
      </c>
      <c r="B2942" s="33">
        <v>0.22291666666666665</v>
      </c>
      <c r="C2942" s="10" t="s">
        <v>279</v>
      </c>
      <c r="D2942" s="10">
        <v>0</v>
      </c>
      <c r="E2942" s="10" t="s">
        <v>190</v>
      </c>
      <c r="F2942" s="10">
        <v>1</v>
      </c>
      <c r="G2942" s="10" t="s">
        <v>231</v>
      </c>
      <c r="H2942" s="10" t="s">
        <v>322</v>
      </c>
      <c r="I2942" s="10" t="s">
        <v>75</v>
      </c>
      <c r="J2942" s="10">
        <v>1</v>
      </c>
      <c r="K2942" s="12">
        <v>44972</v>
      </c>
      <c r="L2942" s="33">
        <v>0.48162037037037037</v>
      </c>
      <c r="M2942" s="10">
        <v>1</v>
      </c>
      <c r="N2942" s="10" t="s">
        <v>76</v>
      </c>
      <c r="O2942" s="10">
        <v>1.51</v>
      </c>
      <c r="P2942" s="10">
        <v>0.122</v>
      </c>
      <c r="Q2942" s="10">
        <v>90.2</v>
      </c>
      <c r="R2942" s="10" t="s">
        <v>77</v>
      </c>
      <c r="S2942" s="34">
        <f t="shared" si="328"/>
        <v>90.2</v>
      </c>
      <c r="T2942" s="10" t="s">
        <v>1213</v>
      </c>
      <c r="U2942" s="34" t="str">
        <f t="shared" si="329"/>
        <v/>
      </c>
      <c r="V2942" s="31" t="str">
        <f>IF(H2942="CHK",VLOOKUP(I2942,QCCHK,3,),IF(H2942="GUP",VLOOKUP(E2942,QCGUP,2,),IF(AND(H2942="ATP",OR(I2942="TN",I2942="TDN",I2942="TNO2-3",I2942="NO2-3")),VLOOKUP(E2942,QCREC_N,2,),IF(AND(H2942="NIC",OR(I2942="TN",I2942="TDN",I2942="TNO2-3",I2942="NO2-3")),VLOOKUP(E2942,QCNIC_N,2,),IF(AND(H2942="UREA",OR(I2942="TN",I2942="TDN",I2942="TNO2-3",I2942="NO2-3")),VLOOKUP(E2942,QCUREA_N,2,),IF(H2942="PER",VLOOKUP(I2942,QCPER,MATCH(E2942,QCACTUAL!$J$25:$AA$25,0),),IF(H2942="SPK",VLOOKUP(I2942,QCSPK,3,),IF(AND(H2942="ATP",OR(I2942="TP",I2942="TDP")),VLOOKUP(E2942,QCATP_P,2,),""))))))))</f>
        <v/>
      </c>
      <c r="W2942" s="31" t="str">
        <f t="shared" si="330"/>
        <v>TRUE</v>
      </c>
      <c r="X2942" s="31" t="str">
        <f t="shared" si="327"/>
        <v/>
      </c>
      <c r="Y2942" s="10" t="s">
        <v>1206</v>
      </c>
      <c r="Z2942" s="10" t="s">
        <v>910</v>
      </c>
      <c r="AL2942" s="10" t="str">
        <f t="shared" si="334"/>
        <v>FALSE</v>
      </c>
      <c r="AM2942" s="10" t="str">
        <f t="shared" si="334"/>
        <v>FALSE</v>
      </c>
      <c r="AN2942" s="10" t="str">
        <f t="shared" si="334"/>
        <v>FALSE</v>
      </c>
      <c r="AO2942" s="10" t="str">
        <f t="shared" si="335"/>
        <v>FALSE</v>
      </c>
      <c r="AP2942" s="10" t="str">
        <f t="shared" si="335"/>
        <v>FALSE</v>
      </c>
      <c r="AQ2942" s="10" t="b">
        <f>IF(AND(I2942="TP",S2942&lt;=150),VLOOKUP(AF2942,TPCalibEq150!$AZ$2:$BB$55,3,),IF(AND(I2942="TDP",S2942&lt;=150),VLOOKUP(AF2942,TPCalibEq150!$AZ$2:$BB$55,3,)))</f>
        <v>0</v>
      </c>
      <c r="AR2942" s="10" t="b">
        <f>IF(AND(I2942="TP",S2942&lt;=300),VLOOKUP(AF2942,TPCalibEq300!$AZ$2:$BB$55,3,),IF(AND(I2942="TDP",S2942&lt;=300),VLOOKUP(AF2942,TPCalibEq300!$AZ$2:$BB$55,3,)))</f>
        <v>0</v>
      </c>
      <c r="AS2942" s="10" t="b">
        <f>IF(AND(I2942="TP",S2942&lt;=500),VLOOKUP(AF2942,TPCalibEq500!$AZ$2:$BB$56,3,),IF(AND(I2942="TDP",S2942&lt;=500),VLOOKUP(AF2942,TPCalibEq500!$AZ$2:$BB$56,3,)))</f>
        <v>0</v>
      </c>
      <c r="AT2942" s="10" t="b">
        <f>IF(AND(I2942="TN",S2942&lt;=2800),VLOOKUP(AF2942,TNCalibEq2500!$AZ$2:$BB$56,3,),IF(AND(I2942="TDN",S2942&lt;=2800),VLOOKUP(AF2942,TNCalibEq2500!$AZ$2:$BB$56,3,)))</f>
        <v>0</v>
      </c>
      <c r="AU2942" s="10" t="b">
        <f>IF(I2942="TP",VLOOKUP(AF2942,TPCalibEqFull!$AZ$2:$BB$56,3),IF(I2942="TDP",VLOOKUP(AF2942,TPCalibEqFull!$AZ$2:$BB$56,3),IF(I2942="TDN",VLOOKUP(AF2942,TNCalibEqFull!$AZ$1:$BB$56,3),IF(I2942="TN",VLOOKUP(AF2942,TNCalibEqFull!$AZ$1:$BB$56,3),FALSE))))</f>
        <v>0</v>
      </c>
      <c r="AV2942" s="10" t="str">
        <f t="shared" si="331"/>
        <v>0208 05:21:00-EFK-0-C-1-SW-UKN</v>
      </c>
    </row>
    <row r="2943" spans="1:48" s="10" customFormat="1" x14ac:dyDescent="0.55000000000000004">
      <c r="A2943" s="32">
        <v>44965</v>
      </c>
      <c r="B2943" s="33">
        <v>0.24166666666666667</v>
      </c>
      <c r="C2943" s="10" t="s">
        <v>333</v>
      </c>
      <c r="D2943" s="10">
        <v>0</v>
      </c>
      <c r="E2943" s="10" t="s">
        <v>190</v>
      </c>
      <c r="F2943" s="10">
        <v>1</v>
      </c>
      <c r="G2943" s="10" t="s">
        <v>231</v>
      </c>
      <c r="H2943" s="10" t="s">
        <v>322</v>
      </c>
      <c r="I2943" s="10" t="s">
        <v>75</v>
      </c>
      <c r="J2943" s="10">
        <v>2</v>
      </c>
      <c r="K2943" s="12">
        <v>44972</v>
      </c>
      <c r="L2943" s="33">
        <v>0.48245370370370372</v>
      </c>
      <c r="M2943" s="10">
        <v>1</v>
      </c>
      <c r="N2943" s="10" t="s">
        <v>76</v>
      </c>
      <c r="O2943" s="10">
        <v>2.2599999999999999E-2</v>
      </c>
      <c r="P2943" s="10">
        <v>3.1199999999999999E-3</v>
      </c>
      <c r="Q2943" s="10">
        <v>1.35</v>
      </c>
      <c r="R2943" s="10" t="s">
        <v>77</v>
      </c>
      <c r="S2943" s="34">
        <f t="shared" si="328"/>
        <v>1.35</v>
      </c>
      <c r="T2943" s="10" t="s">
        <v>1213</v>
      </c>
      <c r="U2943" s="34" t="str">
        <f t="shared" si="329"/>
        <v/>
      </c>
      <c r="V2943" s="31" t="str">
        <f>IF(H2943="CHK",VLOOKUP(I2943,QCCHK,3,),IF(H2943="GUP",VLOOKUP(E2943,QCGUP,2,),IF(AND(H2943="ATP",OR(I2943="TN",I2943="TDN",I2943="TNO2-3",I2943="NO2-3")),VLOOKUP(E2943,QCREC_N,2,),IF(AND(H2943="NIC",OR(I2943="TN",I2943="TDN",I2943="TNO2-3",I2943="NO2-3")),VLOOKUP(E2943,QCNIC_N,2,),IF(AND(H2943="UREA",OR(I2943="TN",I2943="TDN",I2943="TNO2-3",I2943="NO2-3")),VLOOKUP(E2943,QCUREA_N,2,),IF(H2943="PER",VLOOKUP(I2943,QCPER,MATCH(E2943,QCACTUAL!$J$25:$AA$25,0),),IF(H2943="SPK",VLOOKUP(I2943,QCSPK,3,),IF(AND(H2943="ATP",OR(I2943="TP",I2943="TDP")),VLOOKUP(E2943,QCATP_P,2,),""))))))))</f>
        <v/>
      </c>
      <c r="W2943" s="31" t="str">
        <f t="shared" si="330"/>
        <v>TRUE</v>
      </c>
      <c r="X2943" s="31" t="str">
        <f t="shared" ref="X2943:X3006" si="336">IF(ISNA(VLOOKUP(H2943,QCEQUATIONS,2,)),"",(VLOOKUP(H2943,QCEQUATIONS,2,)))</f>
        <v/>
      </c>
      <c r="Y2943" s="10" t="s">
        <v>1206</v>
      </c>
      <c r="Z2943" s="10" t="s">
        <v>910</v>
      </c>
      <c r="AL2943" s="10" t="str">
        <f t="shared" si="334"/>
        <v>FALSE</v>
      </c>
      <c r="AM2943" s="10" t="str">
        <f t="shared" si="334"/>
        <v>FALSE</v>
      </c>
      <c r="AN2943" s="10" t="str">
        <f t="shared" si="334"/>
        <v>FALSE</v>
      </c>
      <c r="AO2943" s="10" t="str">
        <f t="shared" si="335"/>
        <v>FALSE</v>
      </c>
      <c r="AP2943" s="10" t="str">
        <f t="shared" si="335"/>
        <v>FALSE</v>
      </c>
      <c r="AQ2943" s="10" t="b">
        <f>IF(AND(I2943="TP",S2943&lt;=150),VLOOKUP(AF2943,TPCalibEq150!$AZ$2:$BB$55,3,),IF(AND(I2943="TDP",S2943&lt;=150),VLOOKUP(AF2943,TPCalibEq150!$AZ$2:$BB$55,3,)))</f>
        <v>0</v>
      </c>
      <c r="AR2943" s="10" t="b">
        <f>IF(AND(I2943="TP",S2943&lt;=300),VLOOKUP(AF2943,TPCalibEq300!$AZ$2:$BB$55,3,),IF(AND(I2943="TDP",S2943&lt;=300),VLOOKUP(AF2943,TPCalibEq300!$AZ$2:$BB$55,3,)))</f>
        <v>0</v>
      </c>
      <c r="AS2943" s="10" t="b">
        <f>IF(AND(I2943="TP",S2943&lt;=500),VLOOKUP(AF2943,TPCalibEq500!$AZ$2:$BB$56,3,),IF(AND(I2943="TDP",S2943&lt;=500),VLOOKUP(AF2943,TPCalibEq500!$AZ$2:$BB$56,3,)))</f>
        <v>0</v>
      </c>
      <c r="AT2943" s="10" t="b">
        <f>IF(AND(I2943="TN",S2943&lt;=2800),VLOOKUP(AF2943,TNCalibEq2500!$AZ$2:$BB$56,3,),IF(AND(I2943="TDN",S2943&lt;=2800),VLOOKUP(AF2943,TNCalibEq2500!$AZ$2:$BB$56,3,)))</f>
        <v>0</v>
      </c>
      <c r="AU2943" s="10" t="b">
        <f>IF(I2943="TP",VLOOKUP(AF2943,TPCalibEqFull!$AZ$2:$BB$56,3),IF(I2943="TDP",VLOOKUP(AF2943,TPCalibEqFull!$AZ$2:$BB$56,3),IF(I2943="TDN",VLOOKUP(AF2943,TNCalibEqFull!$AZ$1:$BB$56,3),IF(I2943="TN",VLOOKUP(AF2943,TNCalibEqFull!$AZ$1:$BB$56,3),FALSE))))</f>
        <v>0</v>
      </c>
      <c r="AV2943" s="10" t="str">
        <f t="shared" si="331"/>
        <v>0208 05:48:00-HST-0-C-1-SW-UKN</v>
      </c>
    </row>
    <row r="2944" spans="1:48" s="10" customFormat="1" x14ac:dyDescent="0.55000000000000004">
      <c r="A2944" s="32">
        <v>44966</v>
      </c>
      <c r="B2944" s="33">
        <v>0.41041666666666665</v>
      </c>
      <c r="C2944" s="10" t="s">
        <v>279</v>
      </c>
      <c r="D2944" s="10">
        <v>0</v>
      </c>
      <c r="E2944" s="10" t="s">
        <v>190</v>
      </c>
      <c r="F2944" s="10">
        <v>1</v>
      </c>
      <c r="G2944" s="10" t="s">
        <v>231</v>
      </c>
      <c r="H2944" s="10" t="s">
        <v>322</v>
      </c>
      <c r="I2944" s="10" t="s">
        <v>75</v>
      </c>
      <c r="J2944" s="10">
        <v>3</v>
      </c>
      <c r="K2944" s="12">
        <v>44972</v>
      </c>
      <c r="L2944" s="33">
        <v>0.48327546296296298</v>
      </c>
      <c r="M2944" s="10">
        <v>1</v>
      </c>
      <c r="N2944" s="10" t="s">
        <v>76</v>
      </c>
      <c r="O2944" s="10">
        <v>0.41799999999999998</v>
      </c>
      <c r="P2944" s="10">
        <v>3.4599999999999999E-2</v>
      </c>
      <c r="Q2944" s="10">
        <v>25.1</v>
      </c>
      <c r="R2944" s="10" t="s">
        <v>77</v>
      </c>
      <c r="S2944" s="34">
        <f t="shared" ref="S2944:S3007" si="337">IF(OR(AND(I2944&lt;&gt;"TP", I2944&lt;&gt;"TDP",I2944&lt;&gt;"TN", I2944&lt;&gt;"TDN"),H2944="CAL"), Q2944*M2944, IF(OR(AND(I2944="TN", Q2944&gt;2500), AND(I2944="TDN", Q2944&gt;2500)),MAX(Q2944, AK2944)*M2944, IF(OR(AND(I2944="TN", Q2944&lt;=2500), AND(I2944="TDN", Q2944&lt;=2500)),MAX(Q2944, AJ2944,AK2944)*M2944, IF(OR(AND(I2944="TP",Q2944&gt;500), AND(I2944="TDP", Q2944&gt;500)),MAX(Q2944,AK2944)*M2944,IF(OR(AND(I2944="TP",Q2944&lt;=150), AND(I2944="TDP", Q2944&lt;=150)),MAX(Q2944,AG2944:AI2944,AK2944)*M2944,IF(OR(AND(I2944="TP",Q2944&lt;=300), AND(I2944="TDP", Q2944&lt;=300)),MAX(Q2944,AH2944,AI2944,AK2944)*M2944,IF(OR(AND(I2944="TP",Q2944&lt;=500), AND(I2944="TDP", Q2944&lt;=500)),MAX(Q2944,AI2944,AK2944)*M2944,"")))))))</f>
        <v>25.1</v>
      </c>
      <c r="T2944" s="10" t="s">
        <v>1213</v>
      </c>
      <c r="U2944" s="34" t="str">
        <f t="shared" si="329"/>
        <v/>
      </c>
      <c r="V2944" s="31" t="str">
        <f>IF(H2944="CHK",VLOOKUP(I2944,QCCHK,3,),IF(H2944="GUP",VLOOKUP(E2944,QCGUP,2,),IF(AND(H2944="ATP",OR(I2944="TN",I2944="TDN",I2944="TNO2-3",I2944="NO2-3")),VLOOKUP(E2944,QCREC_N,2,),IF(AND(H2944="NIC",OR(I2944="TN",I2944="TDN",I2944="TNO2-3",I2944="NO2-3")),VLOOKUP(E2944,QCNIC_N,2,),IF(AND(H2944="UREA",OR(I2944="TN",I2944="TDN",I2944="TNO2-3",I2944="NO2-3")),VLOOKUP(E2944,QCUREA_N,2,),IF(H2944="PER",VLOOKUP(I2944,QCPER,MATCH(E2944,QCACTUAL!$J$25:$AA$25,0),),IF(H2944="SPK",VLOOKUP(I2944,QCSPK,3,),IF(AND(H2944="ATP",OR(I2944="TP",I2944="TDP")),VLOOKUP(E2944,QCATP_P,2,),""))))))))</f>
        <v/>
      </c>
      <c r="W2944" s="31" t="str">
        <f t="shared" si="330"/>
        <v>TRUE</v>
      </c>
      <c r="X2944" s="31" t="str">
        <f t="shared" si="336"/>
        <v/>
      </c>
      <c r="Y2944" s="10" t="s">
        <v>1206</v>
      </c>
      <c r="Z2944" s="10" t="s">
        <v>910</v>
      </c>
      <c r="AL2944" s="10" t="str">
        <f t="shared" si="334"/>
        <v>FALSE</v>
      </c>
      <c r="AM2944" s="10" t="str">
        <f t="shared" si="334"/>
        <v>FALSE</v>
      </c>
      <c r="AN2944" s="10" t="str">
        <f t="shared" si="334"/>
        <v>FALSE</v>
      </c>
      <c r="AO2944" s="10" t="str">
        <f t="shared" si="335"/>
        <v>FALSE</v>
      </c>
      <c r="AP2944" s="10" t="str">
        <f t="shared" si="335"/>
        <v>FALSE</v>
      </c>
      <c r="AQ2944" s="10" t="b">
        <f>IF(AND(I2944="TP",S2944&lt;=150),VLOOKUP(AF2944,TPCalibEq150!$AZ$2:$BB$55,3,),IF(AND(I2944="TDP",S2944&lt;=150),VLOOKUP(AF2944,TPCalibEq150!$AZ$2:$BB$55,3,)))</f>
        <v>0</v>
      </c>
      <c r="AR2944" s="10" t="b">
        <f>IF(AND(I2944="TP",S2944&lt;=300),VLOOKUP(AF2944,TPCalibEq300!$AZ$2:$BB$55,3,),IF(AND(I2944="TDP",S2944&lt;=300),VLOOKUP(AF2944,TPCalibEq300!$AZ$2:$BB$55,3,)))</f>
        <v>0</v>
      </c>
      <c r="AS2944" s="10" t="b">
        <f>IF(AND(I2944="TP",S2944&lt;=500),VLOOKUP(AF2944,TPCalibEq500!$AZ$2:$BB$56,3,),IF(AND(I2944="TDP",S2944&lt;=500),VLOOKUP(AF2944,TPCalibEq500!$AZ$2:$BB$56,3,)))</f>
        <v>0</v>
      </c>
      <c r="AT2944" s="10" t="b">
        <f>IF(AND(I2944="TN",S2944&lt;=2800),VLOOKUP(AF2944,TNCalibEq2500!$AZ$2:$BB$56,3,),IF(AND(I2944="TDN",S2944&lt;=2800),VLOOKUP(AF2944,TNCalibEq2500!$AZ$2:$BB$56,3,)))</f>
        <v>0</v>
      </c>
      <c r="AU2944" s="10" t="b">
        <f>IF(I2944="TP",VLOOKUP(AF2944,TPCalibEqFull!$AZ$2:$BB$56,3),IF(I2944="TDP",VLOOKUP(AF2944,TPCalibEqFull!$AZ$2:$BB$56,3),IF(I2944="TDN",VLOOKUP(AF2944,TNCalibEqFull!$AZ$1:$BB$56,3),IF(I2944="TN",VLOOKUP(AF2944,TNCalibEqFull!$AZ$1:$BB$56,3),FALSE))))</f>
        <v>0</v>
      </c>
      <c r="AV2944" s="10" t="str">
        <f t="shared" si="331"/>
        <v>0209 09:51:00-EFK-0-C-1-SW-UKN</v>
      </c>
    </row>
    <row r="2945" spans="1:48" s="10" customFormat="1" x14ac:dyDescent="0.55000000000000004">
      <c r="A2945" s="32">
        <v>44966</v>
      </c>
      <c r="B2945" s="33">
        <v>0.42708333333333331</v>
      </c>
      <c r="C2945" s="10" t="s">
        <v>333</v>
      </c>
      <c r="D2945" s="10">
        <v>0</v>
      </c>
      <c r="E2945" s="10" t="s">
        <v>190</v>
      </c>
      <c r="F2945" s="10">
        <v>1</v>
      </c>
      <c r="G2945" s="10" t="s">
        <v>231</v>
      </c>
      <c r="H2945" s="10" t="s">
        <v>322</v>
      </c>
      <c r="I2945" s="10" t="s">
        <v>75</v>
      </c>
      <c r="J2945" s="10">
        <v>4</v>
      </c>
      <c r="K2945" s="12">
        <v>44972</v>
      </c>
      <c r="L2945" s="33">
        <v>0.48409722222222223</v>
      </c>
      <c r="M2945" s="10">
        <v>1</v>
      </c>
      <c r="N2945" s="10" t="s">
        <v>76</v>
      </c>
      <c r="O2945" s="10">
        <v>1.77E-2</v>
      </c>
      <c r="P2945" s="10">
        <v>2.3700000000000001E-3</v>
      </c>
      <c r="Q2945" s="10">
        <v>1.06</v>
      </c>
      <c r="R2945" s="10" t="s">
        <v>77</v>
      </c>
      <c r="S2945" s="34">
        <f t="shared" si="337"/>
        <v>1.06</v>
      </c>
      <c r="T2945" s="10" t="s">
        <v>1213</v>
      </c>
      <c r="U2945" s="34" t="str">
        <f t="shared" si="329"/>
        <v/>
      </c>
      <c r="V2945" s="31" t="str">
        <f>IF(H2945="CHK",VLOOKUP(I2945,QCCHK,3,),IF(H2945="GUP",VLOOKUP(E2945,QCGUP,2,),IF(AND(H2945="ATP",OR(I2945="TN",I2945="TDN",I2945="TNO2-3",I2945="NO2-3")),VLOOKUP(E2945,QCREC_N,2,),IF(AND(H2945="NIC",OR(I2945="TN",I2945="TDN",I2945="TNO2-3",I2945="NO2-3")),VLOOKUP(E2945,QCNIC_N,2,),IF(AND(H2945="UREA",OR(I2945="TN",I2945="TDN",I2945="TNO2-3",I2945="NO2-3")),VLOOKUP(E2945,QCUREA_N,2,),IF(H2945="PER",VLOOKUP(I2945,QCPER,MATCH(E2945,QCACTUAL!$J$25:$AA$25,0),),IF(H2945="SPK",VLOOKUP(I2945,QCSPK,3,),IF(AND(H2945="ATP",OR(I2945="TP",I2945="TDP")),VLOOKUP(E2945,QCATP_P,2,),""))))))))</f>
        <v/>
      </c>
      <c r="W2945" s="31" t="str">
        <f t="shared" si="330"/>
        <v>TRUE</v>
      </c>
      <c r="X2945" s="31" t="str">
        <f t="shared" si="336"/>
        <v/>
      </c>
      <c r="Y2945" s="10" t="s">
        <v>1206</v>
      </c>
      <c r="Z2945" s="10" t="s">
        <v>910</v>
      </c>
      <c r="AL2945" s="10" t="str">
        <f t="shared" si="334"/>
        <v>FALSE</v>
      </c>
      <c r="AM2945" s="10" t="str">
        <f t="shared" si="334"/>
        <v>FALSE</v>
      </c>
      <c r="AN2945" s="10" t="str">
        <f t="shared" si="334"/>
        <v>FALSE</v>
      </c>
      <c r="AO2945" s="10" t="str">
        <f t="shared" si="335"/>
        <v>FALSE</v>
      </c>
      <c r="AP2945" s="10" t="str">
        <f t="shared" si="335"/>
        <v>FALSE</v>
      </c>
      <c r="AQ2945" s="10" t="b">
        <f>IF(AND(I2945="TP",S2945&lt;=150),VLOOKUP(AF2945,TPCalibEq150!$AZ$2:$BB$55,3,),IF(AND(I2945="TDP",S2945&lt;=150),VLOOKUP(AF2945,TPCalibEq150!$AZ$2:$BB$55,3,)))</f>
        <v>0</v>
      </c>
      <c r="AR2945" s="10" t="b">
        <f>IF(AND(I2945="TP",S2945&lt;=300),VLOOKUP(AF2945,TPCalibEq300!$AZ$2:$BB$55,3,),IF(AND(I2945="TDP",S2945&lt;=300),VLOOKUP(AF2945,TPCalibEq300!$AZ$2:$BB$55,3,)))</f>
        <v>0</v>
      </c>
      <c r="AS2945" s="10" t="b">
        <f>IF(AND(I2945="TP",S2945&lt;=500),VLOOKUP(AF2945,TPCalibEq500!$AZ$2:$BB$56,3,),IF(AND(I2945="TDP",S2945&lt;=500),VLOOKUP(AF2945,TPCalibEq500!$AZ$2:$BB$56,3,)))</f>
        <v>0</v>
      </c>
      <c r="AT2945" s="10" t="b">
        <f>IF(AND(I2945="TN",S2945&lt;=2800),VLOOKUP(AF2945,TNCalibEq2500!$AZ$2:$BB$56,3,),IF(AND(I2945="TDN",S2945&lt;=2800),VLOOKUP(AF2945,TNCalibEq2500!$AZ$2:$BB$56,3,)))</f>
        <v>0</v>
      </c>
      <c r="AU2945" s="10" t="b">
        <f>IF(I2945="TP",VLOOKUP(AF2945,TPCalibEqFull!$AZ$2:$BB$56,3),IF(I2945="TDP",VLOOKUP(AF2945,TPCalibEqFull!$AZ$2:$BB$56,3),IF(I2945="TDN",VLOOKUP(AF2945,TNCalibEqFull!$AZ$1:$BB$56,3),IF(I2945="TN",VLOOKUP(AF2945,TNCalibEqFull!$AZ$1:$BB$56,3),FALSE))))</f>
        <v>0</v>
      </c>
      <c r="AV2945" s="10" t="str">
        <f t="shared" si="331"/>
        <v>0209 10:15:00-HST-0-C-1-SW-UKN</v>
      </c>
    </row>
    <row r="2946" spans="1:48" s="10" customFormat="1" x14ac:dyDescent="0.55000000000000004">
      <c r="A2946" s="32">
        <v>44967</v>
      </c>
      <c r="B2946" s="33">
        <v>0.59791666666666665</v>
      </c>
      <c r="C2946" s="10" t="s">
        <v>279</v>
      </c>
      <c r="D2946" s="10">
        <v>0</v>
      </c>
      <c r="E2946" s="10" t="s">
        <v>190</v>
      </c>
      <c r="F2946" s="10">
        <v>1</v>
      </c>
      <c r="G2946" s="10" t="s">
        <v>231</v>
      </c>
      <c r="H2946" s="10" t="s">
        <v>322</v>
      </c>
      <c r="I2946" s="10" t="s">
        <v>75</v>
      </c>
      <c r="J2946" s="10">
        <v>5</v>
      </c>
      <c r="K2946" s="12">
        <v>44972</v>
      </c>
      <c r="L2946" s="33">
        <v>0.48491898148148144</v>
      </c>
      <c r="M2946" s="10">
        <v>1</v>
      </c>
      <c r="N2946" s="10" t="s">
        <v>76</v>
      </c>
      <c r="O2946" s="10">
        <v>0.20899999999999999</v>
      </c>
      <c r="P2946" s="10">
        <v>1.6400000000000001E-2</v>
      </c>
      <c r="Q2946" s="10">
        <v>12.5</v>
      </c>
      <c r="R2946" s="10" t="s">
        <v>77</v>
      </c>
      <c r="S2946" s="34">
        <f t="shared" si="337"/>
        <v>12.5</v>
      </c>
      <c r="T2946" s="10" t="s">
        <v>1213</v>
      </c>
      <c r="U2946" s="34" t="str">
        <f t="shared" ref="U2946:U3009" si="338">IF(OR(H2946="CHK",H2946="ATP",H2946="GUP",H2946="PER", H2946="NIC", H2946="UREA"),(S2946/V2946*100),IF(H2946="DUP",((ABS(S2946-S2945))/((S2945+S2946)/2))*100,IF(H2946="SPK",((S2946-S2945)/V2946*100),IF(OR(H2946="LAB",H2946="FLD",H2946="ESF"),S2946,""))))</f>
        <v/>
      </c>
      <c r="V2946" s="31" t="str">
        <f>IF(H2946="CHK",VLOOKUP(I2946,QCCHK,3,),IF(H2946="GUP",VLOOKUP(E2946,QCGUP,2,),IF(AND(H2946="ATP",OR(I2946="TN",I2946="TDN",I2946="TNO2-3",I2946="NO2-3")),VLOOKUP(E2946,QCREC_N,2,),IF(AND(H2946="NIC",OR(I2946="TN",I2946="TDN",I2946="TNO2-3",I2946="NO2-3")),VLOOKUP(E2946,QCNIC_N,2,),IF(AND(H2946="UREA",OR(I2946="TN",I2946="TDN",I2946="TNO2-3",I2946="NO2-3")),VLOOKUP(E2946,QCUREA_N,2,),IF(H2946="PER",VLOOKUP(I2946,QCPER,MATCH(E2946,QCACTUAL!$J$25:$AA$25,0),),IF(H2946="SPK",VLOOKUP(I2946,QCSPK,3,),IF(AND(H2946="ATP",OR(I2946="TP",I2946="TDP")),VLOOKUP(E2946,QCATP_P,2,),""))))))))</f>
        <v/>
      </c>
      <c r="W2946" s="31" t="str">
        <f t="shared" ref="W2946:W3009" si="339">IF(AND(OR(H2946="PER",H2946="ATP",H2946="GUP",H2946="CHK",H2946="SPK", H2946="NIC"),OR(U2946&gt;125,U2946&lt;75)),"FALSE",IF(AND(H2946="DUP",OR(U2946&gt;25, U2946&lt;-25)),"FALSE",IF(AND(OR(H2946="LAB",H2946="FLD",H2946="ESF"),U2946&gt;15),"FALSE","TRUE")))</f>
        <v>TRUE</v>
      </c>
      <c r="X2946" s="31" t="str">
        <f t="shared" si="336"/>
        <v/>
      </c>
      <c r="Y2946" s="10" t="s">
        <v>1206</v>
      </c>
      <c r="Z2946" s="10" t="s">
        <v>910</v>
      </c>
      <c r="AL2946" s="10" t="str">
        <f t="shared" si="334"/>
        <v>FALSE</v>
      </c>
      <c r="AM2946" s="10" t="str">
        <f t="shared" si="334"/>
        <v>FALSE</v>
      </c>
      <c r="AN2946" s="10" t="str">
        <f t="shared" si="334"/>
        <v>FALSE</v>
      </c>
      <c r="AO2946" s="10" t="str">
        <f t="shared" si="335"/>
        <v>FALSE</v>
      </c>
      <c r="AP2946" s="10" t="str">
        <f t="shared" si="335"/>
        <v>FALSE</v>
      </c>
      <c r="AQ2946" s="10" t="b">
        <f>IF(AND(I2946="TP",S2946&lt;=150),VLOOKUP(AF2946,TPCalibEq150!$AZ$2:$BB$55,3,),IF(AND(I2946="TDP",S2946&lt;=150),VLOOKUP(AF2946,TPCalibEq150!$AZ$2:$BB$55,3,)))</f>
        <v>0</v>
      </c>
      <c r="AR2946" s="10" t="b">
        <f>IF(AND(I2946="TP",S2946&lt;=300),VLOOKUP(AF2946,TPCalibEq300!$AZ$2:$BB$55,3,),IF(AND(I2946="TDP",S2946&lt;=300),VLOOKUP(AF2946,TPCalibEq300!$AZ$2:$BB$55,3,)))</f>
        <v>0</v>
      </c>
      <c r="AS2946" s="10" t="b">
        <f>IF(AND(I2946="TP",S2946&lt;=500),VLOOKUP(AF2946,TPCalibEq500!$AZ$2:$BB$56,3,),IF(AND(I2946="TDP",S2946&lt;=500),VLOOKUP(AF2946,TPCalibEq500!$AZ$2:$BB$56,3,)))</f>
        <v>0</v>
      </c>
      <c r="AT2946" s="10" t="b">
        <f>IF(AND(I2946="TN",S2946&lt;=2800),VLOOKUP(AF2946,TNCalibEq2500!$AZ$2:$BB$56,3,),IF(AND(I2946="TDN",S2946&lt;=2800),VLOOKUP(AF2946,TNCalibEq2500!$AZ$2:$BB$56,3,)))</f>
        <v>0</v>
      </c>
      <c r="AU2946" s="10" t="b">
        <f>IF(I2946="TP",VLOOKUP(AF2946,TPCalibEqFull!$AZ$2:$BB$56,3),IF(I2946="TDP",VLOOKUP(AF2946,TPCalibEqFull!$AZ$2:$BB$56,3),IF(I2946="TDN",VLOOKUP(AF2946,TNCalibEqFull!$AZ$1:$BB$56,3),IF(I2946="TN",VLOOKUP(AF2946,TNCalibEqFull!$AZ$1:$BB$56,3),FALSE))))</f>
        <v>0</v>
      </c>
      <c r="AV2946" s="10" t="str">
        <f t="shared" ref="AV2946:AV3009" si="340">TEXT(A2946, "MMDD")&amp;" "&amp;TEXT(B2946, "HH:MM:SS")&amp;"-"&amp;C2946&amp;"-"&amp;D2946&amp;"-"&amp;E2946&amp;"-"&amp;F2946&amp;"-"&amp;G2946&amp;"-"&amp;H2946</f>
        <v>0210 14:21:00-EFK-0-C-1-SW-UKN</v>
      </c>
    </row>
    <row r="2947" spans="1:48" s="10" customFormat="1" x14ac:dyDescent="0.55000000000000004">
      <c r="A2947" s="32">
        <v>44967</v>
      </c>
      <c r="B2947" s="33">
        <v>0.60069444444444442</v>
      </c>
      <c r="C2947" s="10" t="s">
        <v>333</v>
      </c>
      <c r="D2947" s="10">
        <v>0</v>
      </c>
      <c r="E2947" s="10" t="s">
        <v>190</v>
      </c>
      <c r="F2947" s="10">
        <v>1</v>
      </c>
      <c r="G2947" s="10" t="s">
        <v>231</v>
      </c>
      <c r="H2947" s="10" t="s">
        <v>322</v>
      </c>
      <c r="I2947" s="10" t="s">
        <v>75</v>
      </c>
      <c r="J2947" s="10">
        <v>6</v>
      </c>
      <c r="K2947" s="12">
        <v>44972</v>
      </c>
      <c r="L2947" s="33">
        <v>0.48572916666666671</v>
      </c>
      <c r="M2947" s="10">
        <v>1</v>
      </c>
      <c r="N2947" s="10" t="s">
        <v>76</v>
      </c>
      <c r="O2947" s="10">
        <v>3.7600000000000001E-2</v>
      </c>
      <c r="P2947" s="10">
        <v>3.7100000000000002E-3</v>
      </c>
      <c r="Q2947" s="10">
        <v>2.2599999999999998</v>
      </c>
      <c r="R2947" s="10" t="s">
        <v>77</v>
      </c>
      <c r="S2947" s="34">
        <f t="shared" si="337"/>
        <v>2.2599999999999998</v>
      </c>
      <c r="T2947" s="10" t="s">
        <v>1213</v>
      </c>
      <c r="U2947" s="34" t="str">
        <f t="shared" si="338"/>
        <v/>
      </c>
      <c r="V2947" s="31" t="str">
        <f>IF(H2947="CHK",VLOOKUP(I2947,QCCHK,3,),IF(H2947="GUP",VLOOKUP(E2947,QCGUP,2,),IF(AND(H2947="ATP",OR(I2947="TN",I2947="TDN",I2947="TNO2-3",I2947="NO2-3")),VLOOKUP(E2947,QCREC_N,2,),IF(AND(H2947="NIC",OR(I2947="TN",I2947="TDN",I2947="TNO2-3",I2947="NO2-3")),VLOOKUP(E2947,QCNIC_N,2,),IF(AND(H2947="UREA",OR(I2947="TN",I2947="TDN",I2947="TNO2-3",I2947="NO2-3")),VLOOKUP(E2947,QCUREA_N,2,),IF(H2947="PER",VLOOKUP(I2947,QCPER,MATCH(E2947,QCACTUAL!$J$25:$AA$25,0),),IF(H2947="SPK",VLOOKUP(I2947,QCSPK,3,),IF(AND(H2947="ATP",OR(I2947="TP",I2947="TDP")),VLOOKUP(E2947,QCATP_P,2,),""))))))))</f>
        <v/>
      </c>
      <c r="W2947" s="31" t="str">
        <f t="shared" si="339"/>
        <v>TRUE</v>
      </c>
      <c r="X2947" s="31" t="str">
        <f t="shared" si="336"/>
        <v/>
      </c>
      <c r="Y2947" s="10" t="s">
        <v>1206</v>
      </c>
      <c r="Z2947" s="10" t="s">
        <v>910</v>
      </c>
      <c r="AL2947" s="10" t="str">
        <f t="shared" si="334"/>
        <v>FALSE</v>
      </c>
      <c r="AM2947" s="10" t="str">
        <f t="shared" si="334"/>
        <v>FALSE</v>
      </c>
      <c r="AN2947" s="10" t="str">
        <f t="shared" si="334"/>
        <v>FALSE</v>
      </c>
      <c r="AO2947" s="10" t="str">
        <f t="shared" si="335"/>
        <v>FALSE</v>
      </c>
      <c r="AP2947" s="10" t="str">
        <f t="shared" si="335"/>
        <v>FALSE</v>
      </c>
      <c r="AQ2947" s="10" t="b">
        <f>IF(AND(I2947="TP",S2947&lt;=150),VLOOKUP(AF2947,TPCalibEq150!$AZ$2:$BB$55,3,),IF(AND(I2947="TDP",S2947&lt;=150),VLOOKUP(AF2947,TPCalibEq150!$AZ$2:$BB$55,3,)))</f>
        <v>0</v>
      </c>
      <c r="AR2947" s="10" t="b">
        <f>IF(AND(I2947="TP",S2947&lt;=300),VLOOKUP(AF2947,TPCalibEq300!$AZ$2:$BB$55,3,),IF(AND(I2947="TDP",S2947&lt;=300),VLOOKUP(AF2947,TPCalibEq300!$AZ$2:$BB$55,3,)))</f>
        <v>0</v>
      </c>
      <c r="AS2947" s="10" t="b">
        <f>IF(AND(I2947="TP",S2947&lt;=500),VLOOKUP(AF2947,TPCalibEq500!$AZ$2:$BB$56,3,),IF(AND(I2947="TDP",S2947&lt;=500),VLOOKUP(AF2947,TPCalibEq500!$AZ$2:$BB$56,3,)))</f>
        <v>0</v>
      </c>
      <c r="AT2947" s="10" t="b">
        <f>IF(AND(I2947="TN",S2947&lt;=2800),VLOOKUP(AF2947,TNCalibEq2500!$AZ$2:$BB$56,3,),IF(AND(I2947="TDN",S2947&lt;=2800),VLOOKUP(AF2947,TNCalibEq2500!$AZ$2:$BB$56,3,)))</f>
        <v>0</v>
      </c>
      <c r="AU2947" s="10" t="b">
        <f>IF(I2947="TP",VLOOKUP(AF2947,TPCalibEqFull!$AZ$2:$BB$56,3),IF(I2947="TDP",VLOOKUP(AF2947,TPCalibEqFull!$AZ$2:$BB$56,3),IF(I2947="TDN",VLOOKUP(AF2947,TNCalibEqFull!$AZ$1:$BB$56,3),IF(I2947="TN",VLOOKUP(AF2947,TNCalibEqFull!$AZ$1:$BB$56,3),FALSE))))</f>
        <v>0</v>
      </c>
      <c r="AV2947" s="10" t="str">
        <f t="shared" si="340"/>
        <v>0210 14:25:00-HST-0-C-1-SW-UKN</v>
      </c>
    </row>
    <row r="2948" spans="1:48" s="10" customFormat="1" x14ac:dyDescent="0.55000000000000004">
      <c r="A2948" s="32">
        <v>44970</v>
      </c>
      <c r="B2948" s="33">
        <v>0.32777777777777778</v>
      </c>
      <c r="C2948" s="10" t="s">
        <v>279</v>
      </c>
      <c r="D2948" s="10">
        <v>0</v>
      </c>
      <c r="E2948" s="10" t="s">
        <v>190</v>
      </c>
      <c r="F2948" s="10">
        <v>1</v>
      </c>
      <c r="G2948" s="10" t="s">
        <v>231</v>
      </c>
      <c r="H2948" s="10" t="s">
        <v>322</v>
      </c>
      <c r="I2948" s="10" t="s">
        <v>75</v>
      </c>
      <c r="J2948" s="10">
        <v>7</v>
      </c>
      <c r="K2948" s="12">
        <v>44972</v>
      </c>
      <c r="L2948" s="33">
        <v>0.48655092592592591</v>
      </c>
      <c r="M2948" s="10">
        <v>1</v>
      </c>
      <c r="N2948" s="10" t="s">
        <v>76</v>
      </c>
      <c r="O2948" s="10">
        <v>0.93300000000000005</v>
      </c>
      <c r="P2948" s="10">
        <v>7.5399999999999995E-2</v>
      </c>
      <c r="Q2948" s="10">
        <v>55.9</v>
      </c>
      <c r="R2948" s="10" t="s">
        <v>77</v>
      </c>
      <c r="S2948" s="34">
        <f t="shared" si="337"/>
        <v>55.9</v>
      </c>
      <c r="T2948" s="10" t="s">
        <v>1213</v>
      </c>
      <c r="U2948" s="34" t="str">
        <f t="shared" si="338"/>
        <v/>
      </c>
      <c r="V2948" s="31" t="str">
        <f>IF(H2948="CHK",VLOOKUP(I2948,QCCHK,3,),IF(H2948="GUP",VLOOKUP(E2948,QCGUP,2,),IF(AND(H2948="ATP",OR(I2948="TN",I2948="TDN",I2948="TNO2-3",I2948="NO2-3")),VLOOKUP(E2948,QCREC_N,2,),IF(AND(H2948="NIC",OR(I2948="TN",I2948="TDN",I2948="TNO2-3",I2948="NO2-3")),VLOOKUP(E2948,QCNIC_N,2,),IF(AND(H2948="UREA",OR(I2948="TN",I2948="TDN",I2948="TNO2-3",I2948="NO2-3")),VLOOKUP(E2948,QCUREA_N,2,),IF(H2948="PER",VLOOKUP(I2948,QCPER,MATCH(E2948,QCACTUAL!$J$25:$AA$25,0),),IF(H2948="SPK",VLOOKUP(I2948,QCSPK,3,),IF(AND(H2948="ATP",OR(I2948="TP",I2948="TDP")),VLOOKUP(E2948,QCATP_P,2,),""))))))))</f>
        <v/>
      </c>
      <c r="W2948" s="31" t="str">
        <f t="shared" si="339"/>
        <v>TRUE</v>
      </c>
      <c r="X2948" s="31" t="str">
        <f t="shared" si="336"/>
        <v/>
      </c>
      <c r="Y2948" s="10" t="s">
        <v>1206</v>
      </c>
      <c r="Z2948" s="10" t="s">
        <v>910</v>
      </c>
      <c r="AL2948" s="10" t="str">
        <f t="shared" si="334"/>
        <v>FALSE</v>
      </c>
      <c r="AM2948" s="10" t="str">
        <f t="shared" si="334"/>
        <v>FALSE</v>
      </c>
      <c r="AN2948" s="10" t="str">
        <f t="shared" si="334"/>
        <v>FALSE</v>
      </c>
      <c r="AO2948" s="10" t="str">
        <f t="shared" si="335"/>
        <v>FALSE</v>
      </c>
      <c r="AP2948" s="10" t="str">
        <f t="shared" si="335"/>
        <v>FALSE</v>
      </c>
      <c r="AQ2948" s="10" t="b">
        <f>IF(AND(I2948="TP",S2948&lt;=150),VLOOKUP(AF2948,TPCalibEq150!$AZ$2:$BB$55,3,),IF(AND(I2948="TDP",S2948&lt;=150),VLOOKUP(AF2948,TPCalibEq150!$AZ$2:$BB$55,3,)))</f>
        <v>0</v>
      </c>
      <c r="AR2948" s="10" t="b">
        <f>IF(AND(I2948="TP",S2948&lt;=300),VLOOKUP(AF2948,TPCalibEq300!$AZ$2:$BB$55,3,),IF(AND(I2948="TDP",S2948&lt;=300),VLOOKUP(AF2948,TPCalibEq300!$AZ$2:$BB$55,3,)))</f>
        <v>0</v>
      </c>
      <c r="AS2948" s="10" t="b">
        <f>IF(AND(I2948="TP",S2948&lt;=500),VLOOKUP(AF2948,TPCalibEq500!$AZ$2:$BB$56,3,),IF(AND(I2948="TDP",S2948&lt;=500),VLOOKUP(AF2948,TPCalibEq500!$AZ$2:$BB$56,3,)))</f>
        <v>0</v>
      </c>
      <c r="AT2948" s="10" t="b">
        <f>IF(AND(I2948="TN",S2948&lt;=2800),VLOOKUP(AF2948,TNCalibEq2500!$AZ$2:$BB$56,3,),IF(AND(I2948="TDN",S2948&lt;=2800),VLOOKUP(AF2948,TNCalibEq2500!$AZ$2:$BB$56,3,)))</f>
        <v>0</v>
      </c>
      <c r="AU2948" s="10" t="b">
        <f>IF(I2948="TP",VLOOKUP(AF2948,TPCalibEqFull!$AZ$2:$BB$56,3),IF(I2948="TDP",VLOOKUP(AF2948,TPCalibEqFull!$AZ$2:$BB$56,3),IF(I2948="TDN",VLOOKUP(AF2948,TNCalibEqFull!$AZ$1:$BB$56,3),IF(I2948="TN",VLOOKUP(AF2948,TNCalibEqFull!$AZ$1:$BB$56,3),FALSE))))</f>
        <v>0</v>
      </c>
      <c r="AV2948" s="10" t="str">
        <f t="shared" si="340"/>
        <v>0213 07:52:00-EFK-0-C-1-SW-UKN</v>
      </c>
    </row>
    <row r="2949" spans="1:48" s="10" customFormat="1" x14ac:dyDescent="0.55000000000000004">
      <c r="A2949" s="32">
        <v>44970</v>
      </c>
      <c r="B2949" s="33">
        <v>0.26458333333333334</v>
      </c>
      <c r="C2949" s="10" t="s">
        <v>333</v>
      </c>
      <c r="D2949" s="10">
        <v>0</v>
      </c>
      <c r="E2949" s="10" t="s">
        <v>190</v>
      </c>
      <c r="F2949" s="10">
        <v>1</v>
      </c>
      <c r="G2949" s="10" t="s">
        <v>231</v>
      </c>
      <c r="H2949" s="10" t="s">
        <v>322</v>
      </c>
      <c r="I2949" s="10" t="s">
        <v>75</v>
      </c>
      <c r="J2949" s="10">
        <v>8</v>
      </c>
      <c r="K2949" s="12">
        <v>44972</v>
      </c>
      <c r="L2949" s="33">
        <v>0.48736111111111113</v>
      </c>
      <c r="M2949" s="10">
        <v>1</v>
      </c>
      <c r="N2949" s="10" t="s">
        <v>76</v>
      </c>
      <c r="O2949" s="10">
        <v>2.41E-2</v>
      </c>
      <c r="P2949" s="10">
        <v>2.81E-3</v>
      </c>
      <c r="Q2949" s="10">
        <v>1.44</v>
      </c>
      <c r="R2949" s="10" t="s">
        <v>77</v>
      </c>
      <c r="S2949" s="34">
        <f t="shared" si="337"/>
        <v>1.44</v>
      </c>
      <c r="T2949" s="10" t="s">
        <v>1213</v>
      </c>
      <c r="U2949" s="34" t="str">
        <f t="shared" si="338"/>
        <v/>
      </c>
      <c r="V2949" s="31" t="str">
        <f>IF(H2949="CHK",VLOOKUP(I2949,QCCHK,3,),IF(H2949="GUP",VLOOKUP(E2949,QCGUP,2,),IF(AND(H2949="ATP",OR(I2949="TN",I2949="TDN",I2949="TNO2-3",I2949="NO2-3")),VLOOKUP(E2949,QCREC_N,2,),IF(AND(H2949="NIC",OR(I2949="TN",I2949="TDN",I2949="TNO2-3",I2949="NO2-3")),VLOOKUP(E2949,QCNIC_N,2,),IF(AND(H2949="UREA",OR(I2949="TN",I2949="TDN",I2949="TNO2-3",I2949="NO2-3")),VLOOKUP(E2949,QCUREA_N,2,),IF(H2949="PER",VLOOKUP(I2949,QCPER,MATCH(E2949,QCACTUAL!$J$25:$AA$25,0),),IF(H2949="SPK",VLOOKUP(I2949,QCSPK,3,),IF(AND(H2949="ATP",OR(I2949="TP",I2949="TDP")),VLOOKUP(E2949,QCATP_P,2,),""))))))))</f>
        <v/>
      </c>
      <c r="W2949" s="31" t="str">
        <f t="shared" si="339"/>
        <v>TRUE</v>
      </c>
      <c r="X2949" s="31" t="str">
        <f t="shared" si="336"/>
        <v/>
      </c>
      <c r="Y2949" s="10" t="s">
        <v>1206</v>
      </c>
      <c r="Z2949" s="10" t="s">
        <v>910</v>
      </c>
      <c r="AL2949" s="10" t="str">
        <f t="shared" si="334"/>
        <v>FALSE</v>
      </c>
      <c r="AM2949" s="10" t="str">
        <f t="shared" si="334"/>
        <v>FALSE</v>
      </c>
      <c r="AN2949" s="10" t="str">
        <f t="shared" si="334"/>
        <v>FALSE</v>
      </c>
      <c r="AO2949" s="10" t="str">
        <f t="shared" si="335"/>
        <v>FALSE</v>
      </c>
      <c r="AP2949" s="10" t="str">
        <f t="shared" si="335"/>
        <v>FALSE</v>
      </c>
      <c r="AQ2949" s="10" t="b">
        <f>IF(AND(I2949="TP",S2949&lt;=150),VLOOKUP(AF2949,TPCalibEq150!$AZ$2:$BB$55,3,),IF(AND(I2949="TDP",S2949&lt;=150),VLOOKUP(AF2949,TPCalibEq150!$AZ$2:$BB$55,3,)))</f>
        <v>0</v>
      </c>
      <c r="AR2949" s="10" t="b">
        <f>IF(AND(I2949="TP",S2949&lt;=300),VLOOKUP(AF2949,TPCalibEq300!$AZ$2:$BB$55,3,),IF(AND(I2949="TDP",S2949&lt;=300),VLOOKUP(AF2949,TPCalibEq300!$AZ$2:$BB$55,3,)))</f>
        <v>0</v>
      </c>
      <c r="AS2949" s="10" t="b">
        <f>IF(AND(I2949="TP",S2949&lt;=500),VLOOKUP(AF2949,TPCalibEq500!$AZ$2:$BB$56,3,),IF(AND(I2949="TDP",S2949&lt;=500),VLOOKUP(AF2949,TPCalibEq500!$AZ$2:$BB$56,3,)))</f>
        <v>0</v>
      </c>
      <c r="AT2949" s="10" t="b">
        <f>IF(AND(I2949="TN",S2949&lt;=2800),VLOOKUP(AF2949,TNCalibEq2500!$AZ$2:$BB$56,3,),IF(AND(I2949="TDN",S2949&lt;=2800),VLOOKUP(AF2949,TNCalibEq2500!$AZ$2:$BB$56,3,)))</f>
        <v>0</v>
      </c>
      <c r="AU2949" s="10" t="b">
        <f>IF(I2949="TP",VLOOKUP(AF2949,TPCalibEqFull!$AZ$2:$BB$56,3),IF(I2949="TDP",VLOOKUP(AF2949,TPCalibEqFull!$AZ$2:$BB$56,3),IF(I2949="TDN",VLOOKUP(AF2949,TNCalibEqFull!$AZ$1:$BB$56,3),IF(I2949="TN",VLOOKUP(AF2949,TNCalibEqFull!$AZ$1:$BB$56,3),FALSE))))</f>
        <v>0</v>
      </c>
      <c r="AV2949" s="10" t="str">
        <f t="shared" si="340"/>
        <v>0213 06:21:00-HST-0-C-1-SW-UKN</v>
      </c>
    </row>
    <row r="2950" spans="1:48" s="10" customFormat="1" x14ac:dyDescent="0.55000000000000004">
      <c r="A2950" s="32">
        <v>44940</v>
      </c>
      <c r="B2950" s="33">
        <v>0.24097222222222223</v>
      </c>
      <c r="C2950" s="10" t="s">
        <v>279</v>
      </c>
      <c r="D2950" s="10">
        <v>0</v>
      </c>
      <c r="E2950" s="10" t="s">
        <v>190</v>
      </c>
      <c r="F2950" s="10">
        <v>1</v>
      </c>
      <c r="G2950" s="10" t="s">
        <v>231</v>
      </c>
      <c r="H2950" s="10" t="s">
        <v>322</v>
      </c>
      <c r="I2950" s="10" t="s">
        <v>75</v>
      </c>
      <c r="J2950" s="10">
        <v>9</v>
      </c>
      <c r="K2950" s="12">
        <v>44972</v>
      </c>
      <c r="L2950" s="33">
        <v>0.48818287037037034</v>
      </c>
      <c r="M2950" s="10">
        <v>1</v>
      </c>
      <c r="N2950" s="10" t="s">
        <v>76</v>
      </c>
      <c r="O2950" s="10">
        <v>0.71</v>
      </c>
      <c r="P2950" s="10">
        <v>6.3100000000000003E-2</v>
      </c>
      <c r="Q2950" s="10">
        <v>42.6</v>
      </c>
      <c r="R2950" s="10" t="s">
        <v>77</v>
      </c>
      <c r="S2950" s="34">
        <f t="shared" si="337"/>
        <v>42.6</v>
      </c>
      <c r="T2950" s="10" t="s">
        <v>1213</v>
      </c>
      <c r="U2950" s="34" t="str">
        <f t="shared" si="338"/>
        <v/>
      </c>
      <c r="V2950" s="31" t="str">
        <f>IF(H2950="CHK",VLOOKUP(I2950,QCCHK,3,),IF(H2950="GUP",VLOOKUP(E2950,QCGUP,2,),IF(AND(H2950="ATP",OR(I2950="TN",I2950="TDN",I2950="TNO2-3",I2950="NO2-3")),VLOOKUP(E2950,QCREC_N,2,),IF(AND(H2950="NIC",OR(I2950="TN",I2950="TDN",I2950="TNO2-3",I2950="NO2-3")),VLOOKUP(E2950,QCNIC_N,2,),IF(AND(H2950="UREA",OR(I2950="TN",I2950="TDN",I2950="TNO2-3",I2950="NO2-3")),VLOOKUP(E2950,QCUREA_N,2,),IF(H2950="PER",VLOOKUP(I2950,QCPER,MATCH(E2950,QCACTUAL!$J$25:$AA$25,0),),IF(H2950="SPK",VLOOKUP(I2950,QCSPK,3,),IF(AND(H2950="ATP",OR(I2950="TP",I2950="TDP")),VLOOKUP(E2950,QCATP_P,2,),""))))))))</f>
        <v/>
      </c>
      <c r="W2950" s="31" t="str">
        <f t="shared" si="339"/>
        <v>TRUE</v>
      </c>
      <c r="X2950" s="31" t="str">
        <f t="shared" si="336"/>
        <v/>
      </c>
      <c r="Y2950" s="10" t="s">
        <v>1206</v>
      </c>
      <c r="AL2950" s="10" t="str">
        <f t="shared" si="334"/>
        <v>FALSE</v>
      </c>
      <c r="AM2950" s="10" t="str">
        <f t="shared" si="334"/>
        <v>FALSE</v>
      </c>
      <c r="AN2950" s="10" t="str">
        <f t="shared" si="334"/>
        <v>FALSE</v>
      </c>
      <c r="AO2950" s="10" t="str">
        <f t="shared" si="335"/>
        <v>FALSE</v>
      </c>
      <c r="AP2950" s="10" t="str">
        <f t="shared" si="335"/>
        <v>FALSE</v>
      </c>
      <c r="AQ2950" s="10" t="b">
        <f>IF(AND(I2950="TP",S2950&lt;=150),VLOOKUP(AF2950,TPCalibEq150!$AZ$2:$BB$55,3,),IF(AND(I2950="TDP",S2950&lt;=150),VLOOKUP(AF2950,TPCalibEq150!$AZ$2:$BB$55,3,)))</f>
        <v>0</v>
      </c>
      <c r="AR2950" s="10" t="b">
        <f>IF(AND(I2950="TP",S2950&lt;=300),VLOOKUP(AF2950,TPCalibEq300!$AZ$2:$BB$55,3,),IF(AND(I2950="TDP",S2950&lt;=300),VLOOKUP(AF2950,TPCalibEq300!$AZ$2:$BB$55,3,)))</f>
        <v>0</v>
      </c>
      <c r="AS2950" s="10" t="b">
        <f>IF(AND(I2950="TP",S2950&lt;=500),VLOOKUP(AF2950,TPCalibEq500!$AZ$2:$BB$56,3,),IF(AND(I2950="TDP",S2950&lt;=500),VLOOKUP(AF2950,TPCalibEq500!$AZ$2:$BB$56,3,)))</f>
        <v>0</v>
      </c>
      <c r="AT2950" s="10" t="b">
        <f>IF(AND(I2950="TN",S2950&lt;=2800),VLOOKUP(AF2950,TNCalibEq2500!$AZ$2:$BB$56,3,),IF(AND(I2950="TDN",S2950&lt;=2800),VLOOKUP(AF2950,TNCalibEq2500!$AZ$2:$BB$56,3,)))</f>
        <v>0</v>
      </c>
      <c r="AU2950" s="10" t="b">
        <f>IF(I2950="TP",VLOOKUP(AF2950,TPCalibEqFull!$AZ$2:$BB$56,3),IF(I2950="TDP",VLOOKUP(AF2950,TPCalibEqFull!$AZ$2:$BB$56,3),IF(I2950="TDN",VLOOKUP(AF2950,TNCalibEqFull!$AZ$1:$BB$56,3),IF(I2950="TN",VLOOKUP(AF2950,TNCalibEqFull!$AZ$1:$BB$56,3),FALSE))))</f>
        <v>0</v>
      </c>
      <c r="AV2950" s="10" t="str">
        <f t="shared" si="340"/>
        <v>0114 05:47:00-EFK-0-C-1-SW-UKN</v>
      </c>
    </row>
    <row r="2951" spans="1:48" s="10" customFormat="1" x14ac:dyDescent="0.55000000000000004">
      <c r="A2951" s="32">
        <v>44940</v>
      </c>
      <c r="B2951" s="33">
        <v>0.24444444444444446</v>
      </c>
      <c r="C2951" s="10" t="s">
        <v>333</v>
      </c>
      <c r="D2951" s="10">
        <v>0</v>
      </c>
      <c r="E2951" s="10" t="s">
        <v>190</v>
      </c>
      <c r="F2951" s="10">
        <v>1</v>
      </c>
      <c r="G2951" s="10" t="s">
        <v>231</v>
      </c>
      <c r="H2951" s="10" t="s">
        <v>322</v>
      </c>
      <c r="I2951" s="10" t="s">
        <v>75</v>
      </c>
      <c r="J2951" s="10">
        <v>10</v>
      </c>
      <c r="K2951" s="12">
        <v>44972</v>
      </c>
      <c r="L2951" s="33">
        <v>0.48899305555555556</v>
      </c>
      <c r="M2951" s="10">
        <v>1</v>
      </c>
      <c r="N2951" s="10" t="s">
        <v>76</v>
      </c>
      <c r="O2951" s="10">
        <v>9.3799999999999994E-3</v>
      </c>
      <c r="P2951" s="10">
        <v>2.0500000000000002E-3</v>
      </c>
      <c r="Q2951" s="10">
        <v>0.56200000000000006</v>
      </c>
      <c r="R2951" s="10" t="s">
        <v>77</v>
      </c>
      <c r="S2951" s="34">
        <f t="shared" si="337"/>
        <v>0.56200000000000006</v>
      </c>
      <c r="T2951" s="10" t="s">
        <v>1213</v>
      </c>
      <c r="U2951" s="34" t="str">
        <f t="shared" si="338"/>
        <v/>
      </c>
      <c r="V2951" s="31" t="str">
        <f>IF(H2951="CHK",VLOOKUP(I2951,QCCHK,3,),IF(H2951="GUP",VLOOKUP(E2951,QCGUP,2,),IF(AND(H2951="ATP",OR(I2951="TN",I2951="TDN",I2951="TNO2-3",I2951="NO2-3")),VLOOKUP(E2951,QCREC_N,2,),IF(AND(H2951="NIC",OR(I2951="TN",I2951="TDN",I2951="TNO2-3",I2951="NO2-3")),VLOOKUP(E2951,QCNIC_N,2,),IF(AND(H2951="UREA",OR(I2951="TN",I2951="TDN",I2951="TNO2-3",I2951="NO2-3")),VLOOKUP(E2951,QCUREA_N,2,),IF(H2951="PER",VLOOKUP(I2951,QCPER,MATCH(E2951,QCACTUAL!$J$25:$AA$25,0),),IF(H2951="SPK",VLOOKUP(I2951,QCSPK,3,),IF(AND(H2951="ATP",OR(I2951="TP",I2951="TDP")),VLOOKUP(E2951,QCATP_P,2,),""))))))))</f>
        <v/>
      </c>
      <c r="W2951" s="31" t="str">
        <f t="shared" si="339"/>
        <v>TRUE</v>
      </c>
      <c r="X2951" s="31" t="str">
        <f t="shared" si="336"/>
        <v/>
      </c>
      <c r="Y2951" s="10" t="s">
        <v>1206</v>
      </c>
      <c r="AL2951" s="10" t="str">
        <f t="shared" si="334"/>
        <v>FALSE</v>
      </c>
      <c r="AM2951" s="10" t="str">
        <f t="shared" si="334"/>
        <v>FALSE</v>
      </c>
      <c r="AN2951" s="10" t="str">
        <f t="shared" si="334"/>
        <v>FALSE</v>
      </c>
      <c r="AO2951" s="10" t="str">
        <f t="shared" si="335"/>
        <v>FALSE</v>
      </c>
      <c r="AP2951" s="10" t="str">
        <f t="shared" si="335"/>
        <v>FALSE</v>
      </c>
      <c r="AQ2951" s="10" t="b">
        <f>IF(AND(I2951="TP",S2951&lt;=150),VLOOKUP(AF2951,TPCalibEq150!$AZ$2:$BB$55,3,),IF(AND(I2951="TDP",S2951&lt;=150),VLOOKUP(AF2951,TPCalibEq150!$AZ$2:$BB$55,3,)))</f>
        <v>0</v>
      </c>
      <c r="AR2951" s="10" t="b">
        <f>IF(AND(I2951="TP",S2951&lt;=300),VLOOKUP(AF2951,TPCalibEq300!$AZ$2:$BB$55,3,),IF(AND(I2951="TDP",S2951&lt;=300),VLOOKUP(AF2951,TPCalibEq300!$AZ$2:$BB$55,3,)))</f>
        <v>0</v>
      </c>
      <c r="AS2951" s="10" t="b">
        <f>IF(AND(I2951="TP",S2951&lt;=500),VLOOKUP(AF2951,TPCalibEq500!$AZ$2:$BB$56,3,),IF(AND(I2951="TDP",S2951&lt;=500),VLOOKUP(AF2951,TPCalibEq500!$AZ$2:$BB$56,3,)))</f>
        <v>0</v>
      </c>
      <c r="AT2951" s="10" t="b">
        <f>IF(AND(I2951="TN",S2951&lt;=2800),VLOOKUP(AF2951,TNCalibEq2500!$AZ$2:$BB$56,3,),IF(AND(I2951="TDN",S2951&lt;=2800),VLOOKUP(AF2951,TNCalibEq2500!$AZ$2:$BB$56,3,)))</f>
        <v>0</v>
      </c>
      <c r="AU2951" s="10" t="b">
        <f>IF(I2951="TP",VLOOKUP(AF2951,TPCalibEqFull!$AZ$2:$BB$56,3),IF(I2951="TDP",VLOOKUP(AF2951,TPCalibEqFull!$AZ$2:$BB$56,3),IF(I2951="TDN",VLOOKUP(AF2951,TNCalibEqFull!$AZ$1:$BB$56,3),IF(I2951="TN",VLOOKUP(AF2951,TNCalibEqFull!$AZ$1:$BB$56,3),FALSE))))</f>
        <v>0</v>
      </c>
      <c r="AV2951" s="10" t="str">
        <f t="shared" si="340"/>
        <v>0114 05:52:00-HST-0-C-1-SW-UKN</v>
      </c>
    </row>
    <row r="2952" spans="1:48" s="10" customFormat="1" x14ac:dyDescent="0.55000000000000004">
      <c r="A2952" s="32">
        <v>44940</v>
      </c>
      <c r="B2952" s="33">
        <v>0.24444444444444446</v>
      </c>
      <c r="C2952" s="10" t="s">
        <v>333</v>
      </c>
      <c r="D2952" s="10">
        <v>0</v>
      </c>
      <c r="E2952" s="10" t="s">
        <v>190</v>
      </c>
      <c r="F2952" s="10">
        <v>1</v>
      </c>
      <c r="G2952" s="10" t="s">
        <v>231</v>
      </c>
      <c r="H2952" s="10" t="s">
        <v>233</v>
      </c>
      <c r="I2952" s="10" t="s">
        <v>75</v>
      </c>
      <c r="J2952" s="10">
        <v>10</v>
      </c>
      <c r="K2952" s="12">
        <v>44972</v>
      </c>
      <c r="L2952" s="33">
        <v>0.48980324074074072</v>
      </c>
      <c r="M2952" s="10">
        <v>1</v>
      </c>
      <c r="N2952" s="10" t="s">
        <v>76</v>
      </c>
      <c r="O2952" s="10">
        <v>1.72E-2</v>
      </c>
      <c r="P2952" s="10">
        <v>2.65E-3</v>
      </c>
      <c r="Q2952" s="10">
        <v>1.03</v>
      </c>
      <c r="R2952" s="10" t="s">
        <v>77</v>
      </c>
      <c r="S2952" s="34">
        <f t="shared" si="337"/>
        <v>1.03</v>
      </c>
      <c r="T2952" s="10" t="s">
        <v>1213</v>
      </c>
      <c r="U2952" s="34">
        <f t="shared" si="338"/>
        <v>58.793969849246217</v>
      </c>
      <c r="V2952" s="31" t="str">
        <f>IF(H2952="CHK",VLOOKUP(I2952,QCCHK,3,),IF(H2952="GUP",VLOOKUP(E2952,QCGUP,2,),IF(AND(H2952="ATP",OR(I2952="TN",I2952="TDN",I2952="TNO2-3",I2952="NO2-3")),VLOOKUP(E2952,QCREC_N,2,),IF(AND(H2952="NIC",OR(I2952="TN",I2952="TDN",I2952="TNO2-3",I2952="NO2-3")),VLOOKUP(E2952,QCNIC_N,2,),IF(AND(H2952="UREA",OR(I2952="TN",I2952="TDN",I2952="TNO2-3",I2952="NO2-3")),VLOOKUP(E2952,QCUREA_N,2,),IF(H2952="PER",VLOOKUP(I2952,QCPER,MATCH(E2952,QCACTUAL!$J$25:$AA$25,0),),IF(H2952="SPK",VLOOKUP(I2952,QCSPK,3,),IF(AND(H2952="ATP",OR(I2952="TP",I2952="TDP")),VLOOKUP(E2952,QCATP_P,2,),""))))))))</f>
        <v/>
      </c>
      <c r="W2952" s="31" t="b">
        <v>1</v>
      </c>
      <c r="X2952" s="31" t="str">
        <f t="shared" si="336"/>
        <v>((ABS(rep1-rep2))/((rep1+rep2)/2)*100</v>
      </c>
      <c r="Y2952" s="10" t="s">
        <v>1206</v>
      </c>
      <c r="Z2952" s="10" t="s">
        <v>1115</v>
      </c>
      <c r="AL2952" s="10" t="str">
        <f t="shared" si="334"/>
        <v>FALSE</v>
      </c>
      <c r="AM2952" s="10" t="str">
        <f t="shared" si="334"/>
        <v>FALSE</v>
      </c>
      <c r="AN2952" s="10" t="str">
        <f t="shared" si="334"/>
        <v>FALSE</v>
      </c>
      <c r="AO2952" s="10" t="str">
        <f t="shared" si="335"/>
        <v>FALSE</v>
      </c>
      <c r="AP2952" s="10" t="str">
        <f t="shared" si="335"/>
        <v>FALSE</v>
      </c>
      <c r="AQ2952" s="10" t="b">
        <f>IF(AND(I2952="TP",S2952&lt;=150),VLOOKUP(AF2952,TPCalibEq150!$AZ$2:$BB$55,3,),IF(AND(I2952="TDP",S2952&lt;=150),VLOOKUP(AF2952,TPCalibEq150!$AZ$2:$BB$55,3,)))</f>
        <v>0</v>
      </c>
      <c r="AR2952" s="10" t="b">
        <f>IF(AND(I2952="TP",S2952&lt;=300),VLOOKUP(AF2952,TPCalibEq300!$AZ$2:$BB$55,3,),IF(AND(I2952="TDP",S2952&lt;=300),VLOOKUP(AF2952,TPCalibEq300!$AZ$2:$BB$55,3,)))</f>
        <v>0</v>
      </c>
      <c r="AS2952" s="10" t="b">
        <f>IF(AND(I2952="TP",S2952&lt;=500),VLOOKUP(AF2952,TPCalibEq500!$AZ$2:$BB$56,3,),IF(AND(I2952="TDP",S2952&lt;=500),VLOOKUP(AF2952,TPCalibEq500!$AZ$2:$BB$56,3,)))</f>
        <v>0</v>
      </c>
      <c r="AT2952" s="10" t="b">
        <f>IF(AND(I2952="TN",S2952&lt;=2800),VLOOKUP(AF2952,TNCalibEq2500!$AZ$2:$BB$56,3,),IF(AND(I2952="TDN",S2952&lt;=2800),VLOOKUP(AF2952,TNCalibEq2500!$AZ$2:$BB$56,3,)))</f>
        <v>0</v>
      </c>
      <c r="AU2952" s="10" t="b">
        <f>IF(I2952="TP",VLOOKUP(AF2952,TPCalibEqFull!$AZ$2:$BB$56,3),IF(I2952="TDP",VLOOKUP(AF2952,TPCalibEqFull!$AZ$2:$BB$56,3),IF(I2952="TDN",VLOOKUP(AF2952,TNCalibEqFull!$AZ$1:$BB$56,3),IF(I2952="TN",VLOOKUP(AF2952,TNCalibEqFull!$AZ$1:$BB$56,3),FALSE))))</f>
        <v>0</v>
      </c>
      <c r="AV2952" s="10" t="str">
        <f t="shared" si="340"/>
        <v>0114 05:52:00-HST-0-C-1-SW-DUP</v>
      </c>
    </row>
    <row r="2953" spans="1:48" s="10" customFormat="1" x14ac:dyDescent="0.55000000000000004">
      <c r="A2953" s="32">
        <v>44940</v>
      </c>
      <c r="B2953" s="33">
        <v>0.24444444444444446</v>
      </c>
      <c r="C2953" s="10" t="s">
        <v>912</v>
      </c>
      <c r="D2953" s="10">
        <v>0</v>
      </c>
      <c r="E2953" s="10" t="s">
        <v>190</v>
      </c>
      <c r="F2953" s="10">
        <v>1</v>
      </c>
      <c r="G2953" s="10" t="s">
        <v>231</v>
      </c>
      <c r="H2953" s="10" t="s">
        <v>314</v>
      </c>
      <c r="I2953" s="10" t="s">
        <v>75</v>
      </c>
      <c r="J2953" s="10">
        <v>49</v>
      </c>
      <c r="K2953" s="12">
        <v>44972</v>
      </c>
      <c r="L2953" s="33">
        <v>0.49061342592592588</v>
      </c>
      <c r="M2953" s="10">
        <v>1</v>
      </c>
      <c r="N2953" s="10" t="s">
        <v>76</v>
      </c>
      <c r="O2953" s="10">
        <v>10.8</v>
      </c>
      <c r="P2953" s="10">
        <v>0.86499999999999999</v>
      </c>
      <c r="Q2953" s="10">
        <v>643</v>
      </c>
      <c r="R2953" s="10" t="s">
        <v>77</v>
      </c>
      <c r="S2953" s="34">
        <f t="shared" si="337"/>
        <v>643</v>
      </c>
      <c r="T2953" s="10" t="s">
        <v>1213</v>
      </c>
      <c r="U2953" s="34">
        <f t="shared" si="338"/>
        <v>102.71520000000001</v>
      </c>
      <c r="V2953" s="31">
        <f>IF(H2953="CHK",VLOOKUP(I2953,QCCHK,3,),IF(H2953="GUP",VLOOKUP(E2953,QCGUP,2,),IF(AND(H2953="ATP",OR(I2953="TN",I2953="TDN",I2953="TNO2-3",I2953="NO2-3")),VLOOKUP(E2953,QCREC_N,2,),IF(AND(H2953="NIC",OR(I2953="TN",I2953="TDN",I2953="TNO2-3",I2953="NO2-3")),VLOOKUP(E2953,QCNIC_N,2,),IF(AND(H2953="UREA",OR(I2953="TN",I2953="TDN",I2953="TNO2-3",I2953="NO2-3")),VLOOKUP(E2953,QCUREA_N,2,),IF(H2953="PER",VLOOKUP(I2953,QCPER,MATCH(E2953,QCACTUAL!$J$25:$AA$25,0),),IF(H2953="SPK",VLOOKUP(I2953,QCSPK,3,),IF(AND(H2953="ATP",OR(I2953="TP",I2953="TDP")),VLOOKUP(E2953,QCATP_P,2,),""))))))))</f>
        <v>625</v>
      </c>
      <c r="W2953" s="31" t="str">
        <f t="shared" si="339"/>
        <v>TRUE</v>
      </c>
      <c r="X2953" s="31" t="str">
        <f t="shared" si="336"/>
        <v>([spikedunkn]-[unkn])/[spike]*100</v>
      </c>
      <c r="Y2953" s="10" t="s">
        <v>1206</v>
      </c>
      <c r="AL2953" s="10" t="str">
        <f t="shared" si="334"/>
        <v>FALSE</v>
      </c>
      <c r="AM2953" s="10" t="str">
        <f t="shared" si="334"/>
        <v>FALSE</v>
      </c>
      <c r="AN2953" s="10" t="str">
        <f t="shared" si="334"/>
        <v>FALSE</v>
      </c>
      <c r="AO2953" s="10" t="str">
        <f t="shared" si="335"/>
        <v>FALSE</v>
      </c>
      <c r="AP2953" s="10" t="str">
        <f t="shared" si="335"/>
        <v>FALSE</v>
      </c>
      <c r="AQ2953" s="10" t="b">
        <f>IF(AND(I2953="TP",S2953&lt;=150),VLOOKUP(AF2953,TPCalibEq150!$AZ$2:$BB$55,3,),IF(AND(I2953="TDP",S2953&lt;=150),VLOOKUP(AF2953,TPCalibEq150!$AZ$2:$BB$55,3,)))</f>
        <v>0</v>
      </c>
      <c r="AR2953" s="10" t="b">
        <f>IF(AND(I2953="TP",S2953&lt;=300),VLOOKUP(AF2953,TPCalibEq300!$AZ$2:$BB$55,3,),IF(AND(I2953="TDP",S2953&lt;=300),VLOOKUP(AF2953,TPCalibEq300!$AZ$2:$BB$55,3,)))</f>
        <v>0</v>
      </c>
      <c r="AS2953" s="10" t="b">
        <f>IF(AND(I2953="TP",S2953&lt;=500),VLOOKUP(AF2953,TPCalibEq500!$AZ$2:$BB$56,3,),IF(AND(I2953="TDP",S2953&lt;=500),VLOOKUP(AF2953,TPCalibEq500!$AZ$2:$BB$56,3,)))</f>
        <v>0</v>
      </c>
      <c r="AT2953" s="10" t="b">
        <f>IF(AND(I2953="TN",S2953&lt;=2800),VLOOKUP(AF2953,TNCalibEq2500!$AZ$2:$BB$56,3,),IF(AND(I2953="TDN",S2953&lt;=2800),VLOOKUP(AF2953,TNCalibEq2500!$AZ$2:$BB$56,3,)))</f>
        <v>0</v>
      </c>
      <c r="AU2953" s="10" t="b">
        <f>IF(I2953="TP",VLOOKUP(AF2953,TPCalibEqFull!$AZ$2:$BB$56,3),IF(I2953="TDP",VLOOKUP(AF2953,TPCalibEqFull!$AZ$2:$BB$56,3),IF(I2953="TDN",VLOOKUP(AF2953,TNCalibEqFull!$AZ$1:$BB$56,3),IF(I2953="TN",VLOOKUP(AF2953,TNCalibEqFull!$AZ$1:$BB$56,3),FALSE))))</f>
        <v>0</v>
      </c>
      <c r="AV2953" s="10" t="str">
        <f t="shared" si="340"/>
        <v>0114 05:52:00-HST -0-C-1-SW-SPK</v>
      </c>
    </row>
    <row r="2954" spans="1:48" s="10" customFormat="1" x14ac:dyDescent="0.55000000000000004">
      <c r="A2954" s="32">
        <v>44972</v>
      </c>
      <c r="B2954" s="33">
        <v>0.375</v>
      </c>
      <c r="C2954" s="10" t="s">
        <v>70</v>
      </c>
      <c r="D2954" s="10" t="s">
        <v>71</v>
      </c>
      <c r="E2954" s="10" t="s">
        <v>901</v>
      </c>
      <c r="F2954" s="10">
        <v>1</v>
      </c>
      <c r="G2954" s="10" t="s">
        <v>73</v>
      </c>
      <c r="H2954" s="10" t="s">
        <v>207</v>
      </c>
      <c r="I2954" s="10" t="s">
        <v>75</v>
      </c>
      <c r="J2954" s="10">
        <v>199</v>
      </c>
      <c r="K2954" s="12">
        <v>44972</v>
      </c>
      <c r="L2954" s="33">
        <v>0.49144675925925929</v>
      </c>
      <c r="M2954" s="10">
        <v>1</v>
      </c>
      <c r="N2954" s="10" t="s">
        <v>76</v>
      </c>
      <c r="O2954" s="10">
        <v>4.95</v>
      </c>
      <c r="P2954" s="10">
        <v>0.39400000000000002</v>
      </c>
      <c r="Q2954" s="10">
        <v>296</v>
      </c>
      <c r="R2954" s="10" t="s">
        <v>77</v>
      </c>
      <c r="S2954" s="34">
        <f t="shared" si="337"/>
        <v>296</v>
      </c>
      <c r="T2954" s="10" t="s">
        <v>1213</v>
      </c>
      <c r="U2954" s="34">
        <f t="shared" si="338"/>
        <v>98.666666666666671</v>
      </c>
      <c r="V2954" s="31">
        <f>IF(H2954="CHK",VLOOKUP(I2954,QCCHK,3,),IF(H2954="GUP",VLOOKUP(E2954,QCGUP,2,),IF(AND(H2954="ATP",OR(I2954="TN",I2954="TDN",I2954="TNO2-3",I2954="NO2-3")),VLOOKUP(E2954,QCREC_N,2,),IF(AND(H2954="NIC",OR(I2954="TN",I2954="TDN",I2954="TNO2-3",I2954="NO2-3")),VLOOKUP(E2954,QCNIC_N,2,),IF(AND(H2954="UREA",OR(I2954="TN",I2954="TDN",I2954="TNO2-3",I2954="NO2-3")),VLOOKUP(E2954,QCUREA_N,2,),IF(H2954="PER",VLOOKUP(I2954,QCPER,MATCH(E2954,QCACTUAL!$J$25:$AA$25,0),),IF(H2954="SPK",VLOOKUP(I2954,QCSPK,3,),IF(AND(H2954="ATP",OR(I2954="TP",I2954="TDP")),VLOOKUP(E2954,QCATP_P,2,),""))))))))</f>
        <v>300</v>
      </c>
      <c r="W2954" s="31" t="str">
        <f t="shared" si="339"/>
        <v>TRUE</v>
      </c>
      <c r="X2954" s="31" t="str">
        <f t="shared" si="336"/>
        <v>[chk]/[actual]*100</v>
      </c>
      <c r="Y2954" s="10" t="s">
        <v>1206</v>
      </c>
      <c r="AL2954" s="10" t="str">
        <f t="shared" si="334"/>
        <v>FALSE</v>
      </c>
      <c r="AM2954" s="10" t="str">
        <f t="shared" si="334"/>
        <v>FALSE</v>
      </c>
      <c r="AN2954" s="10" t="str">
        <f t="shared" si="334"/>
        <v>FALSE</v>
      </c>
      <c r="AO2954" s="10" t="str">
        <f t="shared" si="335"/>
        <v>FALSE</v>
      </c>
      <c r="AP2954" s="10" t="str">
        <f t="shared" si="335"/>
        <v>FALSE</v>
      </c>
      <c r="AQ2954" s="10" t="b">
        <f>IF(AND(I2954="TP",S2954&lt;=150),VLOOKUP(AF2954,TPCalibEq150!$AZ$2:$BB$55,3,),IF(AND(I2954="TDP",S2954&lt;=150),VLOOKUP(AF2954,TPCalibEq150!$AZ$2:$BB$55,3,)))</f>
        <v>0</v>
      </c>
      <c r="AR2954" s="10" t="b">
        <f>IF(AND(I2954="TP",S2954&lt;=300),VLOOKUP(AF2954,TPCalibEq300!$AZ$2:$BB$55,3,),IF(AND(I2954="TDP",S2954&lt;=300),VLOOKUP(AF2954,TPCalibEq300!$AZ$2:$BB$55,3,)))</f>
        <v>0</v>
      </c>
      <c r="AS2954" s="10" t="b">
        <f>IF(AND(I2954="TP",S2954&lt;=500),VLOOKUP(AF2954,TPCalibEq500!$AZ$2:$BB$56,3,),IF(AND(I2954="TDP",S2954&lt;=500),VLOOKUP(AF2954,TPCalibEq500!$AZ$2:$BB$56,3,)))</f>
        <v>0</v>
      </c>
      <c r="AT2954" s="10" t="b">
        <f>IF(AND(I2954="TN",S2954&lt;=2800),VLOOKUP(AF2954,TNCalibEq2500!$AZ$2:$BB$56,3,),IF(AND(I2954="TDN",S2954&lt;=2800),VLOOKUP(AF2954,TNCalibEq2500!$AZ$2:$BB$56,3,)))</f>
        <v>0</v>
      </c>
      <c r="AU2954" s="10" t="b">
        <f>IF(I2954="TP",VLOOKUP(AF2954,TPCalibEqFull!$AZ$2:$BB$56,3),IF(I2954="TDP",VLOOKUP(AF2954,TPCalibEqFull!$AZ$2:$BB$56,3),IF(I2954="TDN",VLOOKUP(AF2954,TNCalibEqFull!$AZ$1:$BB$56,3),IF(I2954="TN",VLOOKUP(AF2954,TNCalibEqFull!$AZ$1:$BB$56,3),FALSE))))</f>
        <v>0</v>
      </c>
      <c r="AV2954" s="10" t="str">
        <f t="shared" si="340"/>
        <v>0215 09:00:00-QAC-STD-D-1-DI-CHK</v>
      </c>
    </row>
    <row r="2955" spans="1:48" s="10" customFormat="1" x14ac:dyDescent="0.55000000000000004">
      <c r="A2955" s="32">
        <v>44970</v>
      </c>
      <c r="B2955" s="33">
        <v>0.36944444444444446</v>
      </c>
      <c r="C2955" s="10" t="s">
        <v>998</v>
      </c>
      <c r="D2955" s="10">
        <v>0</v>
      </c>
      <c r="E2955" s="10" t="s">
        <v>190</v>
      </c>
      <c r="F2955" s="10">
        <v>1</v>
      </c>
      <c r="G2955" s="10" t="s">
        <v>231</v>
      </c>
      <c r="H2955" s="10" t="s">
        <v>322</v>
      </c>
      <c r="I2955" s="10" t="s">
        <v>75</v>
      </c>
      <c r="J2955" s="10">
        <v>11</v>
      </c>
      <c r="K2955" s="12">
        <v>44972</v>
      </c>
      <c r="L2955" s="33">
        <v>0.49225694444444446</v>
      </c>
      <c r="M2955" s="10">
        <v>1</v>
      </c>
      <c r="N2955" s="10" t="s">
        <v>76</v>
      </c>
      <c r="O2955" s="10">
        <v>1.1100000000000001</v>
      </c>
      <c r="P2955" s="10">
        <v>8.8499999999999995E-2</v>
      </c>
      <c r="Q2955" s="10">
        <v>66.3</v>
      </c>
      <c r="R2955" s="10" t="s">
        <v>77</v>
      </c>
      <c r="S2955" s="34">
        <f t="shared" si="337"/>
        <v>66.3</v>
      </c>
      <c r="T2955" s="10" t="s">
        <v>1213</v>
      </c>
      <c r="U2955" s="34" t="str">
        <f t="shared" si="338"/>
        <v/>
      </c>
      <c r="V2955" s="31" t="str">
        <f>IF(H2955="CHK",VLOOKUP(I2955,QCCHK,3,),IF(H2955="GUP",VLOOKUP(E2955,QCGUP,2,),IF(AND(H2955="ATP",OR(I2955="TN",I2955="TDN",I2955="TNO2-3",I2955="NO2-3")),VLOOKUP(E2955,QCREC_N,2,),IF(AND(H2955="NIC",OR(I2955="TN",I2955="TDN",I2955="TNO2-3",I2955="NO2-3")),VLOOKUP(E2955,QCNIC_N,2,),IF(AND(H2955="UREA",OR(I2955="TN",I2955="TDN",I2955="TNO2-3",I2955="NO2-3")),VLOOKUP(E2955,QCUREA_N,2,),IF(H2955="PER",VLOOKUP(I2955,QCPER,MATCH(E2955,QCACTUAL!$J$25:$AA$25,0),),IF(H2955="SPK",VLOOKUP(I2955,QCSPK,3,),IF(AND(H2955="ATP",OR(I2955="TP",I2955="TDP")),VLOOKUP(E2955,QCATP_P,2,),""))))))))</f>
        <v/>
      </c>
      <c r="W2955" s="31" t="str">
        <f t="shared" si="339"/>
        <v>TRUE</v>
      </c>
      <c r="X2955" s="31" t="str">
        <f t="shared" si="336"/>
        <v/>
      </c>
      <c r="Y2955" s="10" t="s">
        <v>1206</v>
      </c>
      <c r="Z2955" s="10" t="s">
        <v>910</v>
      </c>
      <c r="AL2955" s="10" t="str">
        <f t="shared" si="334"/>
        <v>FALSE</v>
      </c>
      <c r="AM2955" s="10" t="str">
        <f t="shared" si="334"/>
        <v>FALSE</v>
      </c>
      <c r="AN2955" s="10" t="str">
        <f t="shared" si="334"/>
        <v>FALSE</v>
      </c>
      <c r="AO2955" s="10" t="str">
        <f t="shared" si="335"/>
        <v>FALSE</v>
      </c>
      <c r="AP2955" s="10" t="str">
        <f t="shared" si="335"/>
        <v>FALSE</v>
      </c>
      <c r="AQ2955" s="10" t="b">
        <f>IF(AND(I2955="TP",S2955&lt;=150),VLOOKUP(AF2955,TPCalibEq150!$AZ$2:$BB$55,3,),IF(AND(I2955="TDP",S2955&lt;=150),VLOOKUP(AF2955,TPCalibEq150!$AZ$2:$BB$55,3,)))</f>
        <v>0</v>
      </c>
      <c r="AR2955" s="10" t="b">
        <f>IF(AND(I2955="TP",S2955&lt;=300),VLOOKUP(AF2955,TPCalibEq300!$AZ$2:$BB$55,3,),IF(AND(I2955="TDP",S2955&lt;=300),VLOOKUP(AF2955,TPCalibEq300!$AZ$2:$BB$55,3,)))</f>
        <v>0</v>
      </c>
      <c r="AS2955" s="10" t="b">
        <f>IF(AND(I2955="TP",S2955&lt;=500),VLOOKUP(AF2955,TPCalibEq500!$AZ$2:$BB$56,3,),IF(AND(I2955="TDP",S2955&lt;=500),VLOOKUP(AF2955,TPCalibEq500!$AZ$2:$BB$56,3,)))</f>
        <v>0</v>
      </c>
      <c r="AT2955" s="10" t="b">
        <f>IF(AND(I2955="TN",S2955&lt;=2800),VLOOKUP(AF2955,TNCalibEq2500!$AZ$2:$BB$56,3,),IF(AND(I2955="TDN",S2955&lt;=2800),VLOOKUP(AF2955,TNCalibEq2500!$AZ$2:$BB$56,3,)))</f>
        <v>0</v>
      </c>
      <c r="AU2955" s="10" t="b">
        <f>IF(I2955="TP",VLOOKUP(AF2955,TPCalibEqFull!$AZ$2:$BB$56,3),IF(I2955="TDP",VLOOKUP(AF2955,TPCalibEqFull!$AZ$2:$BB$56,3),IF(I2955="TDN",VLOOKUP(AF2955,TNCalibEqFull!$AZ$1:$BB$56,3),IF(I2955="TN",VLOOKUP(AF2955,TNCalibEqFull!$AZ$1:$BB$56,3),FALSE))))</f>
        <v>0</v>
      </c>
      <c r="AV2955" s="10" t="str">
        <f t="shared" si="340"/>
        <v>0213 08:52:00-ELW-0-C-1-SW-UKN</v>
      </c>
    </row>
    <row r="2956" spans="1:48" s="10" customFormat="1" x14ac:dyDescent="0.55000000000000004">
      <c r="A2956" s="32">
        <v>44970</v>
      </c>
      <c r="B2956" s="33">
        <v>0.3840277777777778</v>
      </c>
      <c r="C2956" s="10" t="s">
        <v>270</v>
      </c>
      <c r="D2956" s="10">
        <v>0</v>
      </c>
      <c r="E2956" s="10" t="s">
        <v>190</v>
      </c>
      <c r="F2956" s="10">
        <v>1</v>
      </c>
      <c r="G2956" s="10" t="s">
        <v>231</v>
      </c>
      <c r="H2956" s="10" t="s">
        <v>322</v>
      </c>
      <c r="I2956" s="10" t="s">
        <v>75</v>
      </c>
      <c r="J2956" s="10">
        <v>12</v>
      </c>
      <c r="K2956" s="12">
        <v>44972</v>
      </c>
      <c r="L2956" s="33">
        <v>0.49306712962962962</v>
      </c>
      <c r="M2956" s="10">
        <v>1</v>
      </c>
      <c r="N2956" s="10" t="s">
        <v>76</v>
      </c>
      <c r="O2956" s="10">
        <v>1.89E-2</v>
      </c>
      <c r="P2956" s="10">
        <v>2.96E-3</v>
      </c>
      <c r="Q2956" s="10">
        <v>1.1299999999999999</v>
      </c>
      <c r="R2956" s="10" t="s">
        <v>77</v>
      </c>
      <c r="S2956" s="34">
        <f t="shared" si="337"/>
        <v>1.1299999999999999</v>
      </c>
      <c r="T2956" s="10" t="s">
        <v>1213</v>
      </c>
      <c r="U2956" s="34" t="str">
        <f t="shared" si="338"/>
        <v/>
      </c>
      <c r="V2956" s="31" t="str">
        <f>IF(H2956="CHK",VLOOKUP(I2956,QCCHK,3,),IF(H2956="GUP",VLOOKUP(E2956,QCGUP,2,),IF(AND(H2956="ATP",OR(I2956="TN",I2956="TDN",I2956="TNO2-3",I2956="NO2-3")),VLOOKUP(E2956,QCREC_N,2,),IF(AND(H2956="NIC",OR(I2956="TN",I2956="TDN",I2956="TNO2-3",I2956="NO2-3")),VLOOKUP(E2956,QCNIC_N,2,),IF(AND(H2956="UREA",OR(I2956="TN",I2956="TDN",I2956="TNO2-3",I2956="NO2-3")),VLOOKUP(E2956,QCUREA_N,2,),IF(H2956="PER",VLOOKUP(I2956,QCPER,MATCH(E2956,QCACTUAL!$J$25:$AA$25,0),),IF(H2956="SPK",VLOOKUP(I2956,QCSPK,3,),IF(AND(H2956="ATP",OR(I2956="TP",I2956="TDP")),VLOOKUP(E2956,QCATP_P,2,),""))))))))</f>
        <v/>
      </c>
      <c r="W2956" s="31" t="str">
        <f t="shared" si="339"/>
        <v>TRUE</v>
      </c>
      <c r="X2956" s="31" t="str">
        <f t="shared" si="336"/>
        <v/>
      </c>
      <c r="Y2956" s="10" t="s">
        <v>1206</v>
      </c>
      <c r="Z2956" s="10" t="s">
        <v>910</v>
      </c>
      <c r="AL2956" s="10" t="str">
        <f t="shared" si="334"/>
        <v>FALSE</v>
      </c>
      <c r="AM2956" s="10" t="str">
        <f t="shared" si="334"/>
        <v>FALSE</v>
      </c>
      <c r="AN2956" s="10" t="str">
        <f t="shared" si="334"/>
        <v>FALSE</v>
      </c>
      <c r="AO2956" s="10" t="str">
        <f t="shared" si="335"/>
        <v>FALSE</v>
      </c>
      <c r="AP2956" s="10" t="str">
        <f t="shared" si="335"/>
        <v>FALSE</v>
      </c>
      <c r="AQ2956" s="10" t="b">
        <f>IF(AND(I2956="TP",S2956&lt;=150),VLOOKUP(AF2956,TPCalibEq150!$AZ$2:$BB$55,3,),IF(AND(I2956="TDP",S2956&lt;=150),VLOOKUP(AF2956,TPCalibEq150!$AZ$2:$BB$55,3,)))</f>
        <v>0</v>
      </c>
      <c r="AR2956" s="10" t="b">
        <f>IF(AND(I2956="TP",S2956&lt;=300),VLOOKUP(AF2956,TPCalibEq300!$AZ$2:$BB$55,3,),IF(AND(I2956="TDP",S2956&lt;=300),VLOOKUP(AF2956,TPCalibEq300!$AZ$2:$BB$55,3,)))</f>
        <v>0</v>
      </c>
      <c r="AS2956" s="10" t="b">
        <f>IF(AND(I2956="TP",S2956&lt;=500),VLOOKUP(AF2956,TPCalibEq500!$AZ$2:$BB$56,3,),IF(AND(I2956="TDP",S2956&lt;=500),VLOOKUP(AF2956,TPCalibEq500!$AZ$2:$BB$56,3,)))</f>
        <v>0</v>
      </c>
      <c r="AT2956" s="10" t="b">
        <f>IF(AND(I2956="TN",S2956&lt;=2800),VLOOKUP(AF2956,TNCalibEq2500!$AZ$2:$BB$56,3,),IF(AND(I2956="TDN",S2956&lt;=2800),VLOOKUP(AF2956,TNCalibEq2500!$AZ$2:$BB$56,3,)))</f>
        <v>0</v>
      </c>
      <c r="AU2956" s="10" t="b">
        <f>IF(I2956="TP",VLOOKUP(AF2956,TPCalibEqFull!$AZ$2:$BB$56,3),IF(I2956="TDP",VLOOKUP(AF2956,TPCalibEqFull!$AZ$2:$BB$56,3),IF(I2956="TDN",VLOOKUP(AF2956,TNCalibEqFull!$AZ$1:$BB$56,3),IF(I2956="TN",VLOOKUP(AF2956,TNCalibEqFull!$AZ$1:$BB$56,3),FALSE))))</f>
        <v>0</v>
      </c>
      <c r="AV2956" s="10" t="str">
        <f t="shared" si="340"/>
        <v>0213 09:13:00-EFG-0-C-1-SW-UKN</v>
      </c>
    </row>
    <row r="2957" spans="1:48" s="10" customFormat="1" x14ac:dyDescent="0.55000000000000004">
      <c r="A2957" s="32">
        <v>44970</v>
      </c>
      <c r="B2957" s="33">
        <v>0.3923611111111111</v>
      </c>
      <c r="C2957" s="10" t="s">
        <v>540</v>
      </c>
      <c r="D2957" s="10">
        <v>0</v>
      </c>
      <c r="E2957" s="10" t="s">
        <v>190</v>
      </c>
      <c r="F2957" s="10">
        <v>1</v>
      </c>
      <c r="G2957" s="10" t="s">
        <v>231</v>
      </c>
      <c r="H2957" s="10" t="s">
        <v>322</v>
      </c>
      <c r="I2957" s="10" t="s">
        <v>75</v>
      </c>
      <c r="J2957" s="10">
        <v>13</v>
      </c>
      <c r="K2957" s="12">
        <v>44972</v>
      </c>
      <c r="L2957" s="33">
        <v>0.49387731481481478</v>
      </c>
      <c r="M2957" s="10">
        <v>1</v>
      </c>
      <c r="N2957" s="10" t="s">
        <v>76</v>
      </c>
      <c r="O2957" s="10">
        <v>9.1600000000000001E-2</v>
      </c>
      <c r="P2957" s="10">
        <v>6.9300000000000004E-3</v>
      </c>
      <c r="Q2957" s="10">
        <v>5.49</v>
      </c>
      <c r="R2957" s="10" t="s">
        <v>77</v>
      </c>
      <c r="S2957" s="34">
        <f t="shared" si="337"/>
        <v>5.49</v>
      </c>
      <c r="T2957" s="10" t="s">
        <v>1213</v>
      </c>
      <c r="U2957" s="34" t="str">
        <f t="shared" si="338"/>
        <v/>
      </c>
      <c r="V2957" s="31" t="str">
        <f>IF(H2957="CHK",VLOOKUP(I2957,QCCHK,3,),IF(H2957="GUP",VLOOKUP(E2957,QCGUP,2,),IF(AND(H2957="ATP",OR(I2957="TN",I2957="TDN",I2957="TNO2-3",I2957="NO2-3")),VLOOKUP(E2957,QCREC_N,2,),IF(AND(H2957="NIC",OR(I2957="TN",I2957="TDN",I2957="TNO2-3",I2957="NO2-3")),VLOOKUP(E2957,QCNIC_N,2,),IF(AND(H2957="UREA",OR(I2957="TN",I2957="TDN",I2957="TNO2-3",I2957="NO2-3")),VLOOKUP(E2957,QCUREA_N,2,),IF(H2957="PER",VLOOKUP(I2957,QCPER,MATCH(E2957,QCACTUAL!$J$25:$AA$25,0),),IF(H2957="SPK",VLOOKUP(I2957,QCSPK,3,),IF(AND(H2957="ATP",OR(I2957="TP",I2957="TDP")),VLOOKUP(E2957,QCATP_P,2,),""))))))))</f>
        <v/>
      </c>
      <c r="W2957" s="31" t="str">
        <f t="shared" si="339"/>
        <v>TRUE</v>
      </c>
      <c r="X2957" s="31" t="str">
        <f t="shared" si="336"/>
        <v/>
      </c>
      <c r="Y2957" s="10" t="s">
        <v>1206</v>
      </c>
      <c r="Z2957" s="10" t="s">
        <v>910</v>
      </c>
      <c r="AL2957" s="10" t="str">
        <f t="shared" si="334"/>
        <v>FALSE</v>
      </c>
      <c r="AM2957" s="10" t="str">
        <f t="shared" si="334"/>
        <v>FALSE</v>
      </c>
      <c r="AN2957" s="10" t="str">
        <f t="shared" si="334"/>
        <v>FALSE</v>
      </c>
      <c r="AO2957" s="10" t="str">
        <f t="shared" si="335"/>
        <v>FALSE</v>
      </c>
      <c r="AP2957" s="10" t="str">
        <f t="shared" si="335"/>
        <v>FALSE</v>
      </c>
      <c r="AQ2957" s="10" t="b">
        <f>IF(AND(I2957="TP",S2957&lt;=150),VLOOKUP(AF2957,TPCalibEq150!$AZ$2:$BB$55,3,),IF(AND(I2957="TDP",S2957&lt;=150),VLOOKUP(AF2957,TPCalibEq150!$AZ$2:$BB$55,3,)))</f>
        <v>0</v>
      </c>
      <c r="AR2957" s="10" t="b">
        <f>IF(AND(I2957="TP",S2957&lt;=300),VLOOKUP(AF2957,TPCalibEq300!$AZ$2:$BB$55,3,),IF(AND(I2957="TDP",S2957&lt;=300),VLOOKUP(AF2957,TPCalibEq300!$AZ$2:$BB$55,3,)))</f>
        <v>0</v>
      </c>
      <c r="AS2957" s="10" t="b">
        <f>IF(AND(I2957="TP",S2957&lt;=500),VLOOKUP(AF2957,TPCalibEq500!$AZ$2:$BB$56,3,),IF(AND(I2957="TDP",S2957&lt;=500),VLOOKUP(AF2957,TPCalibEq500!$AZ$2:$BB$56,3,)))</f>
        <v>0</v>
      </c>
      <c r="AT2957" s="10" t="b">
        <f>IF(AND(I2957="TN",S2957&lt;=2800),VLOOKUP(AF2957,TNCalibEq2500!$AZ$2:$BB$56,3,),IF(AND(I2957="TDN",S2957&lt;=2800),VLOOKUP(AF2957,TNCalibEq2500!$AZ$2:$BB$56,3,)))</f>
        <v>0</v>
      </c>
      <c r="AU2957" s="10" t="b">
        <f>IF(I2957="TP",VLOOKUP(AF2957,TPCalibEqFull!$AZ$2:$BB$56,3),IF(I2957="TDP",VLOOKUP(AF2957,TPCalibEqFull!$AZ$2:$BB$56,3),IF(I2957="TDN",VLOOKUP(AF2957,TNCalibEqFull!$AZ$1:$BB$56,3),IF(I2957="TN",VLOOKUP(AF2957,TNCalibEqFull!$AZ$1:$BB$56,3),FALSE))))</f>
        <v>0</v>
      </c>
      <c r="AV2957" s="10" t="str">
        <f t="shared" si="340"/>
        <v>0213 09:25:00-S50-0-C-1-SW-UKN</v>
      </c>
    </row>
    <row r="2958" spans="1:48" s="10" customFormat="1" x14ac:dyDescent="0.55000000000000004">
      <c r="A2958" s="32">
        <v>44970</v>
      </c>
      <c r="B2958" s="33">
        <v>0.41597222222222219</v>
      </c>
      <c r="C2958" s="10" t="s">
        <v>528</v>
      </c>
      <c r="D2958" s="10">
        <v>0</v>
      </c>
      <c r="E2958" s="10" t="s">
        <v>190</v>
      </c>
      <c r="F2958" s="10">
        <v>1</v>
      </c>
      <c r="G2958" s="10" t="s">
        <v>231</v>
      </c>
      <c r="H2958" s="10" t="s">
        <v>322</v>
      </c>
      <c r="I2958" s="10" t="s">
        <v>75</v>
      </c>
      <c r="J2958" s="10">
        <v>14</v>
      </c>
      <c r="K2958" s="12">
        <v>44972</v>
      </c>
      <c r="L2958" s="33">
        <v>0.4946875</v>
      </c>
      <c r="M2958" s="10">
        <v>1</v>
      </c>
      <c r="N2958" s="10" t="s">
        <v>76</v>
      </c>
      <c r="O2958" s="10">
        <v>5.4800000000000001E-2</v>
      </c>
      <c r="P2958" s="10">
        <v>5.0099999999999997E-3</v>
      </c>
      <c r="Q2958" s="10">
        <v>3.28</v>
      </c>
      <c r="R2958" s="10" t="s">
        <v>77</v>
      </c>
      <c r="S2958" s="34">
        <f t="shared" si="337"/>
        <v>3.28</v>
      </c>
      <c r="T2958" s="10" t="s">
        <v>1213</v>
      </c>
      <c r="U2958" s="34" t="str">
        <f t="shared" si="338"/>
        <v/>
      </c>
      <c r="V2958" s="31" t="str">
        <f>IF(H2958="CHK",VLOOKUP(I2958,QCCHK,3,),IF(H2958="GUP",VLOOKUP(E2958,QCGUP,2,),IF(AND(H2958="ATP",OR(I2958="TN",I2958="TDN",I2958="TNO2-3",I2958="NO2-3")),VLOOKUP(E2958,QCREC_N,2,),IF(AND(H2958="NIC",OR(I2958="TN",I2958="TDN",I2958="TNO2-3",I2958="NO2-3")),VLOOKUP(E2958,QCNIC_N,2,),IF(AND(H2958="UREA",OR(I2958="TN",I2958="TDN",I2958="TNO2-3",I2958="NO2-3")),VLOOKUP(E2958,QCUREA_N,2,),IF(H2958="PER",VLOOKUP(I2958,QCPER,MATCH(E2958,QCACTUAL!$J$25:$AA$25,0),),IF(H2958="SPK",VLOOKUP(I2958,QCSPK,3,),IF(AND(H2958="ATP",OR(I2958="TP",I2958="TDP")),VLOOKUP(E2958,QCATP_P,2,),""))))))))</f>
        <v/>
      </c>
      <c r="W2958" s="31" t="str">
        <f t="shared" si="339"/>
        <v>TRUE</v>
      </c>
      <c r="X2958" s="31" t="str">
        <f t="shared" si="336"/>
        <v/>
      </c>
      <c r="Y2958" s="10" t="s">
        <v>1206</v>
      </c>
      <c r="Z2958" s="10" t="s">
        <v>910</v>
      </c>
      <c r="AL2958" s="10" t="str">
        <f t="shared" si="334"/>
        <v>FALSE</v>
      </c>
      <c r="AM2958" s="10" t="str">
        <f t="shared" si="334"/>
        <v>FALSE</v>
      </c>
      <c r="AN2958" s="10" t="str">
        <f t="shared" si="334"/>
        <v>FALSE</v>
      </c>
      <c r="AO2958" s="10" t="str">
        <f t="shared" si="335"/>
        <v>FALSE</v>
      </c>
      <c r="AP2958" s="10" t="str">
        <f t="shared" si="335"/>
        <v>FALSE</v>
      </c>
      <c r="AQ2958" s="10" t="b">
        <f>IF(AND(I2958="TP",S2958&lt;=150),VLOOKUP(AF2958,TPCalibEq150!$AZ$2:$BB$55,3,),IF(AND(I2958="TDP",S2958&lt;=150),VLOOKUP(AF2958,TPCalibEq150!$AZ$2:$BB$55,3,)))</f>
        <v>0</v>
      </c>
      <c r="AR2958" s="10" t="b">
        <f>IF(AND(I2958="TP",S2958&lt;=300),VLOOKUP(AF2958,TPCalibEq300!$AZ$2:$BB$55,3,),IF(AND(I2958="TDP",S2958&lt;=300),VLOOKUP(AF2958,TPCalibEq300!$AZ$2:$BB$55,3,)))</f>
        <v>0</v>
      </c>
      <c r="AS2958" s="10" t="b">
        <f>IF(AND(I2958="TP",S2958&lt;=500),VLOOKUP(AF2958,TPCalibEq500!$AZ$2:$BB$56,3,),IF(AND(I2958="TDP",S2958&lt;=500),VLOOKUP(AF2958,TPCalibEq500!$AZ$2:$BB$56,3,)))</f>
        <v>0</v>
      </c>
      <c r="AT2958" s="10" t="b">
        <f>IF(AND(I2958="TN",S2958&lt;=2800),VLOOKUP(AF2958,TNCalibEq2500!$AZ$2:$BB$56,3,),IF(AND(I2958="TDN",S2958&lt;=2800),VLOOKUP(AF2958,TNCalibEq2500!$AZ$2:$BB$56,3,)))</f>
        <v>0</v>
      </c>
      <c r="AU2958" s="10" t="b">
        <f>IF(I2958="TP",VLOOKUP(AF2958,TPCalibEqFull!$AZ$2:$BB$56,3),IF(I2958="TDP",VLOOKUP(AF2958,TPCalibEqFull!$AZ$2:$BB$56,3),IF(I2958="TDN",VLOOKUP(AF2958,TNCalibEqFull!$AZ$1:$BB$56,3),IF(I2958="TN",VLOOKUP(AF2958,TNCalibEqFull!$AZ$1:$BB$56,3),FALSE))))</f>
        <v>0</v>
      </c>
      <c r="AV2958" s="10" t="str">
        <f t="shared" si="340"/>
        <v>0213 09:59:00-P04-0-C-1-SW-UKN</v>
      </c>
    </row>
    <row r="2959" spans="1:48" s="10" customFormat="1" x14ac:dyDescent="0.55000000000000004">
      <c r="A2959" s="32">
        <v>44970</v>
      </c>
      <c r="B2959" s="33">
        <v>0.42777777777777781</v>
      </c>
      <c r="C2959" s="10">
        <v>506</v>
      </c>
      <c r="D2959" s="10">
        <v>0</v>
      </c>
      <c r="E2959" s="10" t="s">
        <v>190</v>
      </c>
      <c r="F2959" s="10">
        <v>1</v>
      </c>
      <c r="G2959" s="10" t="s">
        <v>231</v>
      </c>
      <c r="H2959" s="10" t="s">
        <v>322</v>
      </c>
      <c r="I2959" s="10" t="s">
        <v>75</v>
      </c>
      <c r="J2959" s="10">
        <v>15</v>
      </c>
      <c r="K2959" s="12">
        <v>44972</v>
      </c>
      <c r="L2959" s="33">
        <v>0.49548611111111113</v>
      </c>
      <c r="M2959" s="10">
        <v>1</v>
      </c>
      <c r="N2959" s="10" t="s">
        <v>76</v>
      </c>
      <c r="O2959" s="10">
        <v>1.6299999999999999E-2</v>
      </c>
      <c r="P2959" s="10">
        <v>2.5799999999999998E-3</v>
      </c>
      <c r="Q2959" s="10">
        <v>0.97899999999999998</v>
      </c>
      <c r="R2959" s="10" t="s">
        <v>77</v>
      </c>
      <c r="S2959" s="34">
        <f t="shared" si="337"/>
        <v>0.97899999999999998</v>
      </c>
      <c r="T2959" s="10" t="s">
        <v>1213</v>
      </c>
      <c r="U2959" s="34" t="str">
        <f t="shared" si="338"/>
        <v/>
      </c>
      <c r="V2959" s="31" t="str">
        <f>IF(H2959="CHK",VLOOKUP(I2959,QCCHK,3,),IF(H2959="GUP",VLOOKUP(E2959,QCGUP,2,),IF(AND(H2959="ATP",OR(I2959="TN",I2959="TDN",I2959="TNO2-3",I2959="NO2-3")),VLOOKUP(E2959,QCREC_N,2,),IF(AND(H2959="NIC",OR(I2959="TN",I2959="TDN",I2959="TNO2-3",I2959="NO2-3")),VLOOKUP(E2959,QCNIC_N,2,),IF(AND(H2959="UREA",OR(I2959="TN",I2959="TDN",I2959="TNO2-3",I2959="NO2-3")),VLOOKUP(E2959,QCUREA_N,2,),IF(H2959="PER",VLOOKUP(I2959,QCPER,MATCH(E2959,QCACTUAL!$J$25:$AA$25,0),),IF(H2959="SPK",VLOOKUP(I2959,QCSPK,3,),IF(AND(H2959="ATP",OR(I2959="TP",I2959="TDP")),VLOOKUP(E2959,QCATP_P,2,),""))))))))</f>
        <v/>
      </c>
      <c r="W2959" s="31" t="str">
        <f t="shared" si="339"/>
        <v>TRUE</v>
      </c>
      <c r="X2959" s="31" t="str">
        <f t="shared" si="336"/>
        <v/>
      </c>
      <c r="Y2959" s="10" t="s">
        <v>1206</v>
      </c>
      <c r="Z2959" s="10" t="s">
        <v>910</v>
      </c>
      <c r="AL2959" s="10" t="str">
        <f t="shared" si="334"/>
        <v>FALSE</v>
      </c>
      <c r="AM2959" s="10" t="str">
        <f t="shared" si="334"/>
        <v>FALSE</v>
      </c>
      <c r="AN2959" s="10" t="str">
        <f t="shared" si="334"/>
        <v>FALSE</v>
      </c>
      <c r="AO2959" s="10" t="str">
        <f t="shared" si="335"/>
        <v>FALSE</v>
      </c>
      <c r="AP2959" s="10" t="str">
        <f t="shared" si="335"/>
        <v>FALSE</v>
      </c>
      <c r="AQ2959" s="10" t="b">
        <f>IF(AND(I2959="TP",S2959&lt;=150),VLOOKUP(AF2959,TPCalibEq150!$AZ$2:$BB$55,3,),IF(AND(I2959="TDP",S2959&lt;=150),VLOOKUP(AF2959,TPCalibEq150!$AZ$2:$BB$55,3,)))</f>
        <v>0</v>
      </c>
      <c r="AR2959" s="10" t="b">
        <f>IF(AND(I2959="TP",S2959&lt;=300),VLOOKUP(AF2959,TPCalibEq300!$AZ$2:$BB$55,3,),IF(AND(I2959="TDP",S2959&lt;=300),VLOOKUP(AF2959,TPCalibEq300!$AZ$2:$BB$55,3,)))</f>
        <v>0</v>
      </c>
      <c r="AS2959" s="10" t="b">
        <f>IF(AND(I2959="TP",S2959&lt;=500),VLOOKUP(AF2959,TPCalibEq500!$AZ$2:$BB$56,3,),IF(AND(I2959="TDP",S2959&lt;=500),VLOOKUP(AF2959,TPCalibEq500!$AZ$2:$BB$56,3,)))</f>
        <v>0</v>
      </c>
      <c r="AT2959" s="10" t="b">
        <f>IF(AND(I2959="TN",S2959&lt;=2800),VLOOKUP(AF2959,TNCalibEq2500!$AZ$2:$BB$56,3,),IF(AND(I2959="TDN",S2959&lt;=2800),VLOOKUP(AF2959,TNCalibEq2500!$AZ$2:$BB$56,3,)))</f>
        <v>0</v>
      </c>
      <c r="AU2959" s="10" t="b">
        <f>IF(I2959="TP",VLOOKUP(AF2959,TPCalibEqFull!$AZ$2:$BB$56,3),IF(I2959="TDP",VLOOKUP(AF2959,TPCalibEqFull!$AZ$2:$BB$56,3),IF(I2959="TDN",VLOOKUP(AF2959,TNCalibEqFull!$AZ$1:$BB$56,3),IF(I2959="TN",VLOOKUP(AF2959,TNCalibEqFull!$AZ$1:$BB$56,3),FALSE))))</f>
        <v>0</v>
      </c>
      <c r="AV2959" s="10" t="str">
        <f t="shared" si="340"/>
        <v>0213 10:16:00-506-0-C-1-SW-UKN</v>
      </c>
    </row>
    <row r="2960" spans="1:48" s="10" customFormat="1" x14ac:dyDescent="0.55000000000000004">
      <c r="A2960" s="32">
        <v>44970</v>
      </c>
      <c r="B2960" s="33">
        <v>0.43402777777777773</v>
      </c>
      <c r="C2960" s="10" t="s">
        <v>1104</v>
      </c>
      <c r="D2960" s="10">
        <v>0</v>
      </c>
      <c r="E2960" s="10" t="s">
        <v>190</v>
      </c>
      <c r="F2960" s="10">
        <v>1</v>
      </c>
      <c r="G2960" s="10" t="s">
        <v>231</v>
      </c>
      <c r="H2960" s="10" t="s">
        <v>322</v>
      </c>
      <c r="I2960" s="10" t="s">
        <v>75</v>
      </c>
      <c r="J2960" s="10">
        <v>16</v>
      </c>
      <c r="K2960" s="12">
        <v>44972</v>
      </c>
      <c r="L2960" s="33">
        <v>0.49631944444444448</v>
      </c>
      <c r="M2960" s="10">
        <v>1</v>
      </c>
      <c r="N2960" s="10" t="s">
        <v>76</v>
      </c>
      <c r="O2960" s="10">
        <v>1.2200000000000001E-2</v>
      </c>
      <c r="P2960" s="10">
        <v>2.0300000000000001E-3</v>
      </c>
      <c r="Q2960" s="10">
        <v>0.73299999999999998</v>
      </c>
      <c r="R2960" s="10" t="s">
        <v>77</v>
      </c>
      <c r="S2960" s="34">
        <f t="shared" si="337"/>
        <v>0.73299999999999998</v>
      </c>
      <c r="T2960" s="10" t="s">
        <v>1213</v>
      </c>
      <c r="U2960" s="34" t="str">
        <f t="shared" si="338"/>
        <v/>
      </c>
      <c r="V2960" s="31" t="str">
        <f>IF(H2960="CHK",VLOOKUP(I2960,QCCHK,3,),IF(H2960="GUP",VLOOKUP(E2960,QCGUP,2,),IF(AND(H2960="ATP",OR(I2960="TN",I2960="TDN",I2960="TNO2-3",I2960="NO2-3")),VLOOKUP(E2960,QCREC_N,2,),IF(AND(H2960="NIC",OR(I2960="TN",I2960="TDN",I2960="TNO2-3",I2960="NO2-3")),VLOOKUP(E2960,QCNIC_N,2,),IF(AND(H2960="UREA",OR(I2960="TN",I2960="TDN",I2960="TNO2-3",I2960="NO2-3")),VLOOKUP(E2960,QCUREA_N,2,),IF(H2960="PER",VLOOKUP(I2960,QCPER,MATCH(E2960,QCACTUAL!$J$25:$AA$25,0),),IF(H2960="SPK",VLOOKUP(I2960,QCSPK,3,),IF(AND(H2960="ATP",OR(I2960="TP",I2960="TDP")),VLOOKUP(E2960,QCATP_P,2,),""))))))))</f>
        <v/>
      </c>
      <c r="W2960" s="31" t="str">
        <f t="shared" si="339"/>
        <v>TRUE</v>
      </c>
      <c r="X2960" s="31" t="str">
        <f t="shared" si="336"/>
        <v/>
      </c>
      <c r="Y2960" s="10" t="s">
        <v>1206</v>
      </c>
      <c r="Z2960" s="10" t="s">
        <v>910</v>
      </c>
      <c r="AL2960" s="10" t="str">
        <f t="shared" si="334"/>
        <v>FALSE</v>
      </c>
      <c r="AM2960" s="10" t="str">
        <f t="shared" si="334"/>
        <v>FALSE</v>
      </c>
      <c r="AN2960" s="10" t="str">
        <f t="shared" si="334"/>
        <v>FALSE</v>
      </c>
      <c r="AO2960" s="10" t="str">
        <f t="shared" si="335"/>
        <v>FALSE</v>
      </c>
      <c r="AP2960" s="10" t="str">
        <f t="shared" si="335"/>
        <v>FALSE</v>
      </c>
      <c r="AQ2960" s="10" t="b">
        <f>IF(AND(I2960="TP",S2960&lt;=150),VLOOKUP(AF2960,TPCalibEq150!$AZ$2:$BB$55,3,),IF(AND(I2960="TDP",S2960&lt;=150),VLOOKUP(AF2960,TPCalibEq150!$AZ$2:$BB$55,3,)))</f>
        <v>0</v>
      </c>
      <c r="AR2960" s="10" t="b">
        <f>IF(AND(I2960="TP",S2960&lt;=300),VLOOKUP(AF2960,TPCalibEq300!$AZ$2:$BB$55,3,),IF(AND(I2960="TDP",S2960&lt;=300),VLOOKUP(AF2960,TPCalibEq300!$AZ$2:$BB$55,3,)))</f>
        <v>0</v>
      </c>
      <c r="AS2960" s="10" t="b">
        <f>IF(AND(I2960="TP",S2960&lt;=500),VLOOKUP(AF2960,TPCalibEq500!$AZ$2:$BB$56,3,),IF(AND(I2960="TDP",S2960&lt;=500),VLOOKUP(AF2960,TPCalibEq500!$AZ$2:$BB$56,3,)))</f>
        <v>0</v>
      </c>
      <c r="AT2960" s="10" t="b">
        <f>IF(AND(I2960="TN",S2960&lt;=2800),VLOOKUP(AF2960,TNCalibEq2500!$AZ$2:$BB$56,3,),IF(AND(I2960="TDN",S2960&lt;=2800),VLOOKUP(AF2960,TNCalibEq2500!$AZ$2:$BB$56,3,)))</f>
        <v>0</v>
      </c>
      <c r="AU2960" s="10" t="b">
        <f>IF(I2960="TP",VLOOKUP(AF2960,TPCalibEqFull!$AZ$2:$BB$56,3),IF(I2960="TDP",VLOOKUP(AF2960,TPCalibEqFull!$AZ$2:$BB$56,3),IF(I2960="TDN",VLOOKUP(AF2960,TNCalibEqFull!$AZ$1:$BB$56,3),IF(I2960="TN",VLOOKUP(AF2960,TNCalibEqFull!$AZ$1:$BB$56,3),FALSE))))</f>
        <v>0</v>
      </c>
      <c r="AV2960" s="10" t="str">
        <f t="shared" si="340"/>
        <v>0213 10:25:00-LBW-0-C-1-SW-UKN</v>
      </c>
    </row>
    <row r="2961" spans="1:48" s="10" customFormat="1" x14ac:dyDescent="0.55000000000000004">
      <c r="A2961" s="32">
        <v>44970</v>
      </c>
      <c r="B2961" s="33">
        <v>0.45208333333333334</v>
      </c>
      <c r="C2961" s="10" t="s">
        <v>537</v>
      </c>
      <c r="D2961" s="10">
        <v>0</v>
      </c>
      <c r="E2961" s="10" t="s">
        <v>190</v>
      </c>
      <c r="F2961" s="10">
        <v>1</v>
      </c>
      <c r="G2961" s="10" t="s">
        <v>231</v>
      </c>
      <c r="H2961" s="10" t="s">
        <v>322</v>
      </c>
      <c r="I2961" s="10" t="s">
        <v>75</v>
      </c>
      <c r="J2961" s="10">
        <v>17</v>
      </c>
      <c r="K2961" s="12">
        <v>44972</v>
      </c>
      <c r="L2961" s="33">
        <v>0.49714120370370374</v>
      </c>
      <c r="M2961" s="10">
        <v>1</v>
      </c>
      <c r="N2961" s="10" t="s">
        <v>76</v>
      </c>
      <c r="O2961" s="10">
        <v>2.9100000000000001E-2</v>
      </c>
      <c r="P2961" s="10">
        <v>3.4299999999999999E-3</v>
      </c>
      <c r="Q2961" s="10">
        <v>1.75</v>
      </c>
      <c r="R2961" s="10" t="s">
        <v>77</v>
      </c>
      <c r="S2961" s="34">
        <f t="shared" si="337"/>
        <v>1.75</v>
      </c>
      <c r="T2961" s="10" t="s">
        <v>1213</v>
      </c>
      <c r="U2961" s="34" t="str">
        <f t="shared" si="338"/>
        <v/>
      </c>
      <c r="V2961" s="31" t="str">
        <f>IF(H2961="CHK",VLOOKUP(I2961,QCCHK,3,),IF(H2961="GUP",VLOOKUP(E2961,QCGUP,2,),IF(AND(H2961="ATP",OR(I2961="TN",I2961="TDN",I2961="TNO2-3",I2961="NO2-3")),VLOOKUP(E2961,QCREC_N,2,),IF(AND(H2961="NIC",OR(I2961="TN",I2961="TDN",I2961="TNO2-3",I2961="NO2-3")),VLOOKUP(E2961,QCNIC_N,2,),IF(AND(H2961="UREA",OR(I2961="TN",I2961="TDN",I2961="TNO2-3",I2961="NO2-3")),VLOOKUP(E2961,QCUREA_N,2,),IF(H2961="PER",VLOOKUP(I2961,QCPER,MATCH(E2961,QCACTUAL!$J$25:$AA$25,0),),IF(H2961="SPK",VLOOKUP(I2961,QCSPK,3,),IF(AND(H2961="ATP",OR(I2961="TP",I2961="TDP")),VLOOKUP(E2961,QCATP_P,2,),""))))))))</f>
        <v/>
      </c>
      <c r="W2961" s="31" t="str">
        <f t="shared" si="339"/>
        <v>TRUE</v>
      </c>
      <c r="X2961" s="31" t="str">
        <f t="shared" si="336"/>
        <v/>
      </c>
      <c r="Y2961" s="10" t="s">
        <v>1206</v>
      </c>
      <c r="Z2961" s="10" t="s">
        <v>910</v>
      </c>
      <c r="AL2961" s="10" t="str">
        <f t="shared" si="334"/>
        <v>FALSE</v>
      </c>
      <c r="AM2961" s="10" t="str">
        <f t="shared" si="334"/>
        <v>FALSE</v>
      </c>
      <c r="AN2961" s="10" t="str">
        <f t="shared" si="334"/>
        <v>FALSE</v>
      </c>
      <c r="AO2961" s="10" t="str">
        <f t="shared" si="335"/>
        <v>FALSE</v>
      </c>
      <c r="AP2961" s="10" t="str">
        <f t="shared" si="335"/>
        <v>FALSE</v>
      </c>
      <c r="AQ2961" s="10" t="b">
        <f>IF(AND(I2961="TP",S2961&lt;=150),VLOOKUP(AF2961,TPCalibEq150!$AZ$2:$BB$55,3,),IF(AND(I2961="TDP",S2961&lt;=150),VLOOKUP(AF2961,TPCalibEq150!$AZ$2:$BB$55,3,)))</f>
        <v>0</v>
      </c>
      <c r="AR2961" s="10" t="b">
        <f>IF(AND(I2961="TP",S2961&lt;=300),VLOOKUP(AF2961,TPCalibEq300!$AZ$2:$BB$55,3,),IF(AND(I2961="TDP",S2961&lt;=300),VLOOKUP(AF2961,TPCalibEq300!$AZ$2:$BB$55,3,)))</f>
        <v>0</v>
      </c>
      <c r="AS2961" s="10" t="b">
        <f>IF(AND(I2961="TP",S2961&lt;=500),VLOOKUP(AF2961,TPCalibEq500!$AZ$2:$BB$56,3,),IF(AND(I2961="TDP",S2961&lt;=500),VLOOKUP(AF2961,TPCalibEq500!$AZ$2:$BB$56,3,)))</f>
        <v>0</v>
      </c>
      <c r="AT2961" s="10" t="b">
        <f>IF(AND(I2961="TN",S2961&lt;=2800),VLOOKUP(AF2961,TNCalibEq2500!$AZ$2:$BB$56,3,),IF(AND(I2961="TDN",S2961&lt;=2800),VLOOKUP(AF2961,TNCalibEq2500!$AZ$2:$BB$56,3,)))</f>
        <v>0</v>
      </c>
      <c r="AU2961" s="10" t="b">
        <f>IF(I2961="TP",VLOOKUP(AF2961,TPCalibEqFull!$AZ$2:$BB$56,3),IF(I2961="TDP",VLOOKUP(AF2961,TPCalibEqFull!$AZ$2:$BB$56,3),IF(I2961="TDN",VLOOKUP(AF2961,TNCalibEqFull!$AZ$1:$BB$56,3),IF(I2961="TN",VLOOKUP(AF2961,TNCalibEqFull!$AZ$1:$BB$56,3),FALSE))))</f>
        <v>0</v>
      </c>
      <c r="AV2961" s="10" t="str">
        <f t="shared" si="340"/>
        <v>0213 10:51:00-S51-0-C-1-SW-UKN</v>
      </c>
    </row>
    <row r="2962" spans="1:48" s="10" customFormat="1" x14ac:dyDescent="0.55000000000000004">
      <c r="A2962" s="32">
        <v>44970</v>
      </c>
      <c r="B2962" s="33">
        <v>0.45833333333333331</v>
      </c>
      <c r="C2962" s="10">
        <v>890</v>
      </c>
      <c r="D2962" s="10">
        <v>0</v>
      </c>
      <c r="E2962" s="10" t="s">
        <v>190</v>
      </c>
      <c r="F2962" s="10">
        <v>1</v>
      </c>
      <c r="G2962" s="10" t="s">
        <v>231</v>
      </c>
      <c r="H2962" s="10" t="s">
        <v>322</v>
      </c>
      <c r="I2962" s="10" t="s">
        <v>75</v>
      </c>
      <c r="J2962" s="10">
        <v>18</v>
      </c>
      <c r="K2962" s="12">
        <v>44972</v>
      </c>
      <c r="L2962" s="33">
        <v>0.49796296296296294</v>
      </c>
      <c r="M2962" s="10">
        <v>1</v>
      </c>
      <c r="N2962" s="10" t="s">
        <v>76</v>
      </c>
      <c r="O2962" s="10">
        <v>1.15E-2</v>
      </c>
      <c r="P2962" s="10">
        <v>2.14E-3</v>
      </c>
      <c r="Q2962" s="10">
        <v>0.69</v>
      </c>
      <c r="R2962" s="10" t="s">
        <v>77</v>
      </c>
      <c r="S2962" s="34">
        <f t="shared" si="337"/>
        <v>0.69</v>
      </c>
      <c r="T2962" s="10" t="s">
        <v>1213</v>
      </c>
      <c r="U2962" s="34" t="str">
        <f t="shared" si="338"/>
        <v/>
      </c>
      <c r="V2962" s="31" t="str">
        <f>IF(H2962="CHK",VLOOKUP(I2962,QCCHK,3,),IF(H2962="GUP",VLOOKUP(E2962,QCGUP,2,),IF(AND(H2962="ATP",OR(I2962="TN",I2962="TDN",I2962="TNO2-3",I2962="NO2-3")),VLOOKUP(E2962,QCREC_N,2,),IF(AND(H2962="NIC",OR(I2962="TN",I2962="TDN",I2962="TNO2-3",I2962="NO2-3")),VLOOKUP(E2962,QCNIC_N,2,),IF(AND(H2962="UREA",OR(I2962="TN",I2962="TDN",I2962="TNO2-3",I2962="NO2-3")),VLOOKUP(E2962,QCUREA_N,2,),IF(H2962="PER",VLOOKUP(I2962,QCPER,MATCH(E2962,QCACTUAL!$J$25:$AA$25,0),),IF(H2962="SPK",VLOOKUP(I2962,QCSPK,3,),IF(AND(H2962="ATP",OR(I2962="TP",I2962="TDP")),VLOOKUP(E2962,QCATP_P,2,),""))))))))</f>
        <v/>
      </c>
      <c r="W2962" s="31" t="str">
        <f t="shared" si="339"/>
        <v>TRUE</v>
      </c>
      <c r="X2962" s="31" t="str">
        <f t="shared" si="336"/>
        <v/>
      </c>
      <c r="Y2962" s="10" t="s">
        <v>1206</v>
      </c>
      <c r="Z2962" s="10" t="s">
        <v>910</v>
      </c>
      <c r="AL2962" s="10" t="str">
        <f t="shared" si="334"/>
        <v>FALSE</v>
      </c>
      <c r="AM2962" s="10" t="str">
        <f t="shared" si="334"/>
        <v>FALSE</v>
      </c>
      <c r="AN2962" s="10" t="str">
        <f t="shared" si="334"/>
        <v>FALSE</v>
      </c>
      <c r="AO2962" s="10" t="str">
        <f t="shared" si="335"/>
        <v>FALSE</v>
      </c>
      <c r="AP2962" s="10" t="str">
        <f t="shared" si="335"/>
        <v>FALSE</v>
      </c>
      <c r="AQ2962" s="10" t="b">
        <f>IF(AND(I2962="TP",S2962&lt;=150),VLOOKUP(AF2962,TPCalibEq150!$AZ$2:$BB$55,3,),IF(AND(I2962="TDP",S2962&lt;=150),VLOOKUP(AF2962,TPCalibEq150!$AZ$2:$BB$55,3,)))</f>
        <v>0</v>
      </c>
      <c r="AR2962" s="10" t="b">
        <f>IF(AND(I2962="TP",S2962&lt;=300),VLOOKUP(AF2962,TPCalibEq300!$AZ$2:$BB$55,3,),IF(AND(I2962="TDP",S2962&lt;=300),VLOOKUP(AF2962,TPCalibEq300!$AZ$2:$BB$55,3,)))</f>
        <v>0</v>
      </c>
      <c r="AS2962" s="10" t="b">
        <f>IF(AND(I2962="TP",S2962&lt;=500),VLOOKUP(AF2962,TPCalibEq500!$AZ$2:$BB$56,3,),IF(AND(I2962="TDP",S2962&lt;=500),VLOOKUP(AF2962,TPCalibEq500!$AZ$2:$BB$56,3,)))</f>
        <v>0</v>
      </c>
      <c r="AT2962" s="10" t="b">
        <f>IF(AND(I2962="TN",S2962&lt;=2800),VLOOKUP(AF2962,TNCalibEq2500!$AZ$2:$BB$56,3,),IF(AND(I2962="TDN",S2962&lt;=2800),VLOOKUP(AF2962,TNCalibEq2500!$AZ$2:$BB$56,3,)))</f>
        <v>0</v>
      </c>
      <c r="AU2962" s="10" t="b">
        <f>IF(I2962="TP",VLOOKUP(AF2962,TPCalibEqFull!$AZ$2:$BB$56,3),IF(I2962="TDP",VLOOKUP(AF2962,TPCalibEqFull!$AZ$2:$BB$56,3),IF(I2962="TDN",VLOOKUP(AF2962,TNCalibEqFull!$AZ$1:$BB$56,3),IF(I2962="TN",VLOOKUP(AF2962,TNCalibEqFull!$AZ$1:$BB$56,3),FALSE))))</f>
        <v>0</v>
      </c>
      <c r="AV2962" s="10" t="str">
        <f t="shared" si="340"/>
        <v>0213 11:00:00-890-0-C-1-SW-UKN</v>
      </c>
    </row>
    <row r="2963" spans="1:48" s="10" customFormat="1" x14ac:dyDescent="0.55000000000000004">
      <c r="A2963" s="32">
        <v>44970</v>
      </c>
      <c r="B2963" s="33">
        <v>0.47083333333333338</v>
      </c>
      <c r="C2963" s="10" t="s">
        <v>437</v>
      </c>
      <c r="D2963" s="10">
        <v>0</v>
      </c>
      <c r="E2963" s="10" t="s">
        <v>190</v>
      </c>
      <c r="F2963" s="10">
        <v>1</v>
      </c>
      <c r="G2963" s="10" t="s">
        <v>231</v>
      </c>
      <c r="H2963" s="10" t="s">
        <v>322</v>
      </c>
      <c r="I2963" s="10" t="s">
        <v>75</v>
      </c>
      <c r="J2963" s="10">
        <v>19</v>
      </c>
      <c r="K2963" s="12">
        <v>44972</v>
      </c>
      <c r="L2963" s="33">
        <v>0.4987847222222222</v>
      </c>
      <c r="M2963" s="10">
        <v>1</v>
      </c>
      <c r="N2963" s="10" t="s">
        <v>76</v>
      </c>
      <c r="O2963" s="10">
        <v>0.111</v>
      </c>
      <c r="P2963" s="10">
        <v>8.7500000000000008E-3</v>
      </c>
      <c r="Q2963" s="10">
        <v>6.63</v>
      </c>
      <c r="R2963" s="10" t="s">
        <v>77</v>
      </c>
      <c r="S2963" s="34">
        <f t="shared" si="337"/>
        <v>6.63</v>
      </c>
      <c r="T2963" s="10" t="s">
        <v>1213</v>
      </c>
      <c r="U2963" s="34" t="str">
        <f t="shared" si="338"/>
        <v/>
      </c>
      <c r="V2963" s="31" t="str">
        <f>IF(H2963="CHK",VLOOKUP(I2963,QCCHK,3,),IF(H2963="GUP",VLOOKUP(E2963,QCGUP,2,),IF(AND(H2963="ATP",OR(I2963="TN",I2963="TDN",I2963="TNO2-3",I2963="NO2-3")),VLOOKUP(E2963,QCREC_N,2,),IF(AND(H2963="NIC",OR(I2963="TN",I2963="TDN",I2963="TNO2-3",I2963="NO2-3")),VLOOKUP(E2963,QCNIC_N,2,),IF(AND(H2963="UREA",OR(I2963="TN",I2963="TDN",I2963="TNO2-3",I2963="NO2-3")),VLOOKUP(E2963,QCUREA_N,2,),IF(H2963="PER",VLOOKUP(I2963,QCPER,MATCH(E2963,QCACTUAL!$J$25:$AA$25,0),),IF(H2963="SPK",VLOOKUP(I2963,QCSPK,3,),IF(AND(H2963="ATP",OR(I2963="TP",I2963="TDP")),VLOOKUP(E2963,QCATP_P,2,),""))))))))</f>
        <v/>
      </c>
      <c r="W2963" s="31" t="str">
        <f t="shared" si="339"/>
        <v>TRUE</v>
      </c>
      <c r="X2963" s="31" t="str">
        <f t="shared" si="336"/>
        <v/>
      </c>
      <c r="Y2963" s="10" t="s">
        <v>1206</v>
      </c>
      <c r="Z2963" s="10" t="s">
        <v>910</v>
      </c>
      <c r="AL2963" s="10" t="str">
        <f t="shared" si="334"/>
        <v>FALSE</v>
      </c>
      <c r="AM2963" s="10" t="str">
        <f t="shared" si="334"/>
        <v>FALSE</v>
      </c>
      <c r="AN2963" s="10" t="str">
        <f t="shared" si="334"/>
        <v>FALSE</v>
      </c>
      <c r="AO2963" s="10" t="str">
        <f t="shared" si="335"/>
        <v>FALSE</v>
      </c>
      <c r="AP2963" s="10" t="str">
        <f t="shared" si="335"/>
        <v>FALSE</v>
      </c>
      <c r="AQ2963" s="10" t="b">
        <f>IF(AND(I2963="TP",S2963&lt;=150),VLOOKUP(AF2963,TPCalibEq150!$AZ$2:$BB$55,3,),IF(AND(I2963="TDP",S2963&lt;=150),VLOOKUP(AF2963,TPCalibEq150!$AZ$2:$BB$55,3,)))</f>
        <v>0</v>
      </c>
      <c r="AR2963" s="10" t="b">
        <f>IF(AND(I2963="TP",S2963&lt;=300),VLOOKUP(AF2963,TPCalibEq300!$AZ$2:$BB$55,3,),IF(AND(I2963="TDP",S2963&lt;=300),VLOOKUP(AF2963,TPCalibEq300!$AZ$2:$BB$55,3,)))</f>
        <v>0</v>
      </c>
      <c r="AS2963" s="10" t="b">
        <f>IF(AND(I2963="TP",S2963&lt;=500),VLOOKUP(AF2963,TPCalibEq500!$AZ$2:$BB$56,3,),IF(AND(I2963="TDP",S2963&lt;=500),VLOOKUP(AF2963,TPCalibEq500!$AZ$2:$BB$56,3,)))</f>
        <v>0</v>
      </c>
      <c r="AT2963" s="10" t="b">
        <f>IF(AND(I2963="TN",S2963&lt;=2800),VLOOKUP(AF2963,TNCalibEq2500!$AZ$2:$BB$56,3,),IF(AND(I2963="TDN",S2963&lt;=2800),VLOOKUP(AF2963,TNCalibEq2500!$AZ$2:$BB$56,3,)))</f>
        <v>0</v>
      </c>
      <c r="AU2963" s="10" t="b">
        <f>IF(I2963="TP",VLOOKUP(AF2963,TPCalibEqFull!$AZ$2:$BB$56,3),IF(I2963="TDP",VLOOKUP(AF2963,TPCalibEqFull!$AZ$2:$BB$56,3),IF(I2963="TDN",VLOOKUP(AF2963,TNCalibEqFull!$AZ$1:$BB$56,3),IF(I2963="TN",VLOOKUP(AF2963,TNCalibEqFull!$AZ$1:$BB$56,3),FALSE))))</f>
        <v>0</v>
      </c>
      <c r="AV2963" s="10" t="str">
        <f t="shared" si="340"/>
        <v>0213 11:18:00-FVM-0-C-1-SW-UKN</v>
      </c>
    </row>
    <row r="2964" spans="1:48" s="10" customFormat="1" x14ac:dyDescent="0.55000000000000004">
      <c r="A2964" s="32">
        <v>44970</v>
      </c>
      <c r="B2964" s="33">
        <v>0.47083333333333338</v>
      </c>
      <c r="C2964" s="10" t="s">
        <v>437</v>
      </c>
      <c r="D2964" s="10">
        <v>0</v>
      </c>
      <c r="E2964" s="10" t="s">
        <v>190</v>
      </c>
      <c r="F2964" s="10">
        <v>2</v>
      </c>
      <c r="G2964" s="10" t="s">
        <v>231</v>
      </c>
      <c r="H2964" s="10" t="s">
        <v>322</v>
      </c>
      <c r="I2964" s="10" t="s">
        <v>75</v>
      </c>
      <c r="J2964" s="10">
        <v>20</v>
      </c>
      <c r="K2964" s="12">
        <v>44972</v>
      </c>
      <c r="L2964" s="33">
        <v>0.49960648148148151</v>
      </c>
      <c r="M2964" s="10">
        <v>1</v>
      </c>
      <c r="N2964" s="10" t="s">
        <v>76</v>
      </c>
      <c r="O2964" s="10">
        <v>0.1</v>
      </c>
      <c r="P2964" s="10">
        <v>8.5100000000000002E-3</v>
      </c>
      <c r="Q2964" s="10">
        <v>6.01</v>
      </c>
      <c r="R2964" s="10" t="s">
        <v>77</v>
      </c>
      <c r="S2964" s="34">
        <f t="shared" si="337"/>
        <v>6.01</v>
      </c>
      <c r="T2964" s="10" t="s">
        <v>1213</v>
      </c>
      <c r="U2964" s="34" t="str">
        <f t="shared" si="338"/>
        <v/>
      </c>
      <c r="V2964" s="31" t="str">
        <f>IF(H2964="CHK",VLOOKUP(I2964,QCCHK,3,),IF(H2964="GUP",VLOOKUP(E2964,QCGUP,2,),IF(AND(H2964="ATP",OR(I2964="TN",I2964="TDN",I2964="TNO2-3",I2964="NO2-3")),VLOOKUP(E2964,QCREC_N,2,),IF(AND(H2964="NIC",OR(I2964="TN",I2964="TDN",I2964="TNO2-3",I2964="NO2-3")),VLOOKUP(E2964,QCNIC_N,2,),IF(AND(H2964="UREA",OR(I2964="TN",I2964="TDN",I2964="TNO2-3",I2964="NO2-3")),VLOOKUP(E2964,QCUREA_N,2,),IF(H2964="PER",VLOOKUP(I2964,QCPER,MATCH(E2964,QCACTUAL!$J$25:$AA$25,0),),IF(H2964="SPK",VLOOKUP(I2964,QCSPK,3,),IF(AND(H2964="ATP",OR(I2964="TP",I2964="TDP")),VLOOKUP(E2964,QCATP_P,2,),""))))))))</f>
        <v/>
      </c>
      <c r="W2964" s="31" t="str">
        <f t="shared" si="339"/>
        <v>TRUE</v>
      </c>
      <c r="X2964" s="31" t="str">
        <f t="shared" si="336"/>
        <v/>
      </c>
      <c r="Y2964" s="10" t="s">
        <v>1206</v>
      </c>
      <c r="Z2964" s="10" t="s">
        <v>910</v>
      </c>
      <c r="AL2964" s="10" t="str">
        <f t="shared" si="334"/>
        <v>FALSE</v>
      </c>
      <c r="AM2964" s="10" t="str">
        <f t="shared" si="334"/>
        <v>FALSE</v>
      </c>
      <c r="AN2964" s="10" t="str">
        <f t="shared" si="334"/>
        <v>FALSE</v>
      </c>
      <c r="AO2964" s="10" t="str">
        <f t="shared" si="335"/>
        <v>FALSE</v>
      </c>
      <c r="AP2964" s="10" t="str">
        <f t="shared" si="335"/>
        <v>FALSE</v>
      </c>
      <c r="AQ2964" s="10" t="b">
        <f>IF(AND(I2964="TP",S2964&lt;=150),VLOOKUP(AF2964,TPCalibEq150!$AZ$2:$BB$55,3,),IF(AND(I2964="TDP",S2964&lt;=150),VLOOKUP(AF2964,TPCalibEq150!$AZ$2:$BB$55,3,)))</f>
        <v>0</v>
      </c>
      <c r="AR2964" s="10" t="b">
        <f>IF(AND(I2964="TP",S2964&lt;=300),VLOOKUP(AF2964,TPCalibEq300!$AZ$2:$BB$55,3,),IF(AND(I2964="TDP",S2964&lt;=300),VLOOKUP(AF2964,TPCalibEq300!$AZ$2:$BB$55,3,)))</f>
        <v>0</v>
      </c>
      <c r="AS2964" s="10" t="b">
        <f>IF(AND(I2964="TP",S2964&lt;=500),VLOOKUP(AF2964,TPCalibEq500!$AZ$2:$BB$56,3,),IF(AND(I2964="TDP",S2964&lt;=500),VLOOKUP(AF2964,TPCalibEq500!$AZ$2:$BB$56,3,)))</f>
        <v>0</v>
      </c>
      <c r="AT2964" s="10" t="b">
        <f>IF(AND(I2964="TN",S2964&lt;=2800),VLOOKUP(AF2964,TNCalibEq2500!$AZ$2:$BB$56,3,),IF(AND(I2964="TDN",S2964&lt;=2800),VLOOKUP(AF2964,TNCalibEq2500!$AZ$2:$BB$56,3,)))</f>
        <v>0</v>
      </c>
      <c r="AU2964" s="10" t="b">
        <f>IF(I2964="TP",VLOOKUP(AF2964,TPCalibEqFull!$AZ$2:$BB$56,3),IF(I2964="TDP",VLOOKUP(AF2964,TPCalibEqFull!$AZ$2:$BB$56,3),IF(I2964="TDN",VLOOKUP(AF2964,TNCalibEqFull!$AZ$1:$BB$56,3),IF(I2964="TN",VLOOKUP(AF2964,TNCalibEqFull!$AZ$1:$BB$56,3),FALSE))))</f>
        <v>0</v>
      </c>
      <c r="AV2964" s="10" t="str">
        <f t="shared" si="340"/>
        <v>0213 11:18:00-FVM-0-C-2-SW-UKN</v>
      </c>
    </row>
    <row r="2965" spans="1:48" s="10" customFormat="1" x14ac:dyDescent="0.55000000000000004">
      <c r="A2965" s="32">
        <v>44970</v>
      </c>
      <c r="B2965" s="33">
        <v>0.47083333333333338</v>
      </c>
      <c r="C2965" s="10" t="s">
        <v>437</v>
      </c>
      <c r="D2965" s="10">
        <v>0</v>
      </c>
      <c r="E2965" s="10" t="s">
        <v>190</v>
      </c>
      <c r="F2965" s="10">
        <v>2</v>
      </c>
      <c r="G2965" s="10" t="s">
        <v>231</v>
      </c>
      <c r="H2965" s="10" t="s">
        <v>233</v>
      </c>
      <c r="I2965" s="10" t="s">
        <v>75</v>
      </c>
      <c r="J2965" s="10">
        <v>20</v>
      </c>
      <c r="K2965" s="12">
        <v>44972</v>
      </c>
      <c r="L2965" s="33">
        <v>0.50042824074074077</v>
      </c>
      <c r="M2965" s="10">
        <v>1</v>
      </c>
      <c r="N2965" s="10" t="s">
        <v>76</v>
      </c>
      <c r="O2965" s="10">
        <v>0.107</v>
      </c>
      <c r="P2965" s="10">
        <v>8.09E-3</v>
      </c>
      <c r="Q2965" s="10">
        <v>6.44</v>
      </c>
      <c r="R2965" s="10" t="s">
        <v>77</v>
      </c>
      <c r="S2965" s="34">
        <f t="shared" si="337"/>
        <v>6.44</v>
      </c>
      <c r="T2965" s="10" t="s">
        <v>1213</v>
      </c>
      <c r="U2965" s="34">
        <f t="shared" si="338"/>
        <v>6.9076305220883638</v>
      </c>
      <c r="V2965" s="31" t="str">
        <f>IF(H2965="CHK",VLOOKUP(I2965,QCCHK,3,),IF(H2965="GUP",VLOOKUP(E2965,QCGUP,2,),IF(AND(H2965="ATP",OR(I2965="TN",I2965="TDN",I2965="TNO2-3",I2965="NO2-3")),VLOOKUP(E2965,QCREC_N,2,),IF(AND(H2965="NIC",OR(I2965="TN",I2965="TDN",I2965="TNO2-3",I2965="NO2-3")),VLOOKUP(E2965,QCNIC_N,2,),IF(AND(H2965="UREA",OR(I2965="TN",I2965="TDN",I2965="TNO2-3",I2965="NO2-3")),VLOOKUP(E2965,QCUREA_N,2,),IF(H2965="PER",VLOOKUP(I2965,QCPER,MATCH(E2965,QCACTUAL!$J$25:$AA$25,0),),IF(H2965="SPK",VLOOKUP(I2965,QCSPK,3,),IF(AND(H2965="ATP",OR(I2965="TP",I2965="TDP")),VLOOKUP(E2965,QCATP_P,2,),""))))))))</f>
        <v/>
      </c>
      <c r="W2965" s="31" t="str">
        <f t="shared" si="339"/>
        <v>TRUE</v>
      </c>
      <c r="X2965" s="31" t="str">
        <f t="shared" si="336"/>
        <v>((ABS(rep1-rep2))/((rep1+rep2)/2)*100</v>
      </c>
      <c r="Y2965" s="10" t="s">
        <v>1206</v>
      </c>
      <c r="Z2965" s="10" t="s">
        <v>910</v>
      </c>
      <c r="AL2965" s="10" t="str">
        <f t="shared" si="334"/>
        <v>FALSE</v>
      </c>
      <c r="AM2965" s="10" t="str">
        <f t="shared" si="334"/>
        <v>FALSE</v>
      </c>
      <c r="AN2965" s="10" t="str">
        <f t="shared" si="334"/>
        <v>FALSE</v>
      </c>
      <c r="AO2965" s="10" t="str">
        <f t="shared" si="335"/>
        <v>FALSE</v>
      </c>
      <c r="AP2965" s="10" t="str">
        <f t="shared" si="335"/>
        <v>FALSE</v>
      </c>
      <c r="AQ2965" s="10" t="b">
        <f>IF(AND(I2965="TP",S2965&lt;=150),VLOOKUP(AF2965,TPCalibEq150!$AZ$2:$BB$55,3,),IF(AND(I2965="TDP",S2965&lt;=150),VLOOKUP(AF2965,TPCalibEq150!$AZ$2:$BB$55,3,)))</f>
        <v>0</v>
      </c>
      <c r="AR2965" s="10" t="b">
        <f>IF(AND(I2965="TP",S2965&lt;=300),VLOOKUP(AF2965,TPCalibEq300!$AZ$2:$BB$55,3,),IF(AND(I2965="TDP",S2965&lt;=300),VLOOKUP(AF2965,TPCalibEq300!$AZ$2:$BB$55,3,)))</f>
        <v>0</v>
      </c>
      <c r="AS2965" s="10" t="b">
        <f>IF(AND(I2965="TP",S2965&lt;=500),VLOOKUP(AF2965,TPCalibEq500!$AZ$2:$BB$56,3,),IF(AND(I2965="TDP",S2965&lt;=500),VLOOKUP(AF2965,TPCalibEq500!$AZ$2:$BB$56,3,)))</f>
        <v>0</v>
      </c>
      <c r="AT2965" s="10" t="b">
        <f>IF(AND(I2965="TN",S2965&lt;=2800),VLOOKUP(AF2965,TNCalibEq2500!$AZ$2:$BB$56,3,),IF(AND(I2965="TDN",S2965&lt;=2800),VLOOKUP(AF2965,TNCalibEq2500!$AZ$2:$BB$56,3,)))</f>
        <v>0</v>
      </c>
      <c r="AU2965" s="10" t="b">
        <f>IF(I2965="TP",VLOOKUP(AF2965,TPCalibEqFull!$AZ$2:$BB$56,3),IF(I2965="TDP",VLOOKUP(AF2965,TPCalibEqFull!$AZ$2:$BB$56,3),IF(I2965="TDN",VLOOKUP(AF2965,TNCalibEqFull!$AZ$1:$BB$56,3),IF(I2965="TN",VLOOKUP(AF2965,TNCalibEqFull!$AZ$1:$BB$56,3),FALSE))))</f>
        <v>0</v>
      </c>
      <c r="AV2965" s="10" t="str">
        <f t="shared" si="340"/>
        <v>0213 11:18:00-FVM-0-C-2-SW-DUP</v>
      </c>
    </row>
    <row r="2966" spans="1:48" s="10" customFormat="1" x14ac:dyDescent="0.55000000000000004">
      <c r="A2966" s="32">
        <v>44970</v>
      </c>
      <c r="B2966" s="33">
        <v>0.47083333333333338</v>
      </c>
      <c r="C2966" s="10" t="s">
        <v>437</v>
      </c>
      <c r="D2966" s="10">
        <v>0</v>
      </c>
      <c r="E2966" s="10" t="s">
        <v>190</v>
      </c>
      <c r="F2966" s="10">
        <v>2</v>
      </c>
      <c r="G2966" s="10" t="s">
        <v>231</v>
      </c>
      <c r="H2966" s="10" t="s">
        <v>314</v>
      </c>
      <c r="I2966" s="10" t="s">
        <v>75</v>
      </c>
      <c r="J2966" s="10">
        <v>50</v>
      </c>
      <c r="K2966" s="12">
        <v>44972</v>
      </c>
      <c r="L2966" s="33">
        <v>0.50123842592592593</v>
      </c>
      <c r="M2966" s="10">
        <v>1</v>
      </c>
      <c r="N2966" s="10" t="s">
        <v>76</v>
      </c>
      <c r="O2966" s="10">
        <v>12.7</v>
      </c>
      <c r="P2966" s="10">
        <v>1.01</v>
      </c>
      <c r="Q2966" s="10">
        <v>754</v>
      </c>
      <c r="R2966" s="10" t="s">
        <v>77</v>
      </c>
      <c r="S2966" s="34">
        <f t="shared" si="337"/>
        <v>754</v>
      </c>
      <c r="T2966" s="10" t="s">
        <v>1213</v>
      </c>
      <c r="U2966" s="34">
        <f t="shared" si="338"/>
        <v>119.60959999999999</v>
      </c>
      <c r="V2966" s="31">
        <f>IF(H2966="CHK",VLOOKUP(I2966,QCCHK,3,),IF(H2966="GUP",VLOOKUP(E2966,QCGUP,2,),IF(AND(H2966="ATP",OR(I2966="TN",I2966="TDN",I2966="TNO2-3",I2966="NO2-3")),VLOOKUP(E2966,QCREC_N,2,),IF(AND(H2966="NIC",OR(I2966="TN",I2966="TDN",I2966="TNO2-3",I2966="NO2-3")),VLOOKUP(E2966,QCNIC_N,2,),IF(AND(H2966="UREA",OR(I2966="TN",I2966="TDN",I2966="TNO2-3",I2966="NO2-3")),VLOOKUP(E2966,QCUREA_N,2,),IF(H2966="PER",VLOOKUP(I2966,QCPER,MATCH(E2966,QCACTUAL!$J$25:$AA$25,0),),IF(H2966="SPK",VLOOKUP(I2966,QCSPK,3,),IF(AND(H2966="ATP",OR(I2966="TP",I2966="TDP")),VLOOKUP(E2966,QCATP_P,2,),""))))))))</f>
        <v>625</v>
      </c>
      <c r="W2966" s="31" t="str">
        <f t="shared" si="339"/>
        <v>TRUE</v>
      </c>
      <c r="X2966" s="31" t="str">
        <f t="shared" si="336"/>
        <v>([spikedunkn]-[unkn])/[spike]*100</v>
      </c>
      <c r="Y2966" s="10" t="s">
        <v>1206</v>
      </c>
      <c r="Z2966" s="10" t="s">
        <v>910</v>
      </c>
      <c r="AL2966" s="10" t="str">
        <f t="shared" si="334"/>
        <v>FALSE</v>
      </c>
      <c r="AM2966" s="10" t="str">
        <f t="shared" si="334"/>
        <v>FALSE</v>
      </c>
      <c r="AN2966" s="10" t="str">
        <f t="shared" si="334"/>
        <v>FALSE</v>
      </c>
      <c r="AO2966" s="10" t="str">
        <f t="shared" si="335"/>
        <v>FALSE</v>
      </c>
      <c r="AP2966" s="10" t="str">
        <f t="shared" si="335"/>
        <v>FALSE</v>
      </c>
      <c r="AQ2966" s="10" t="b">
        <f>IF(AND(I2966="TP",S2966&lt;=150),VLOOKUP(AF2966,TPCalibEq150!$AZ$2:$BB$55,3,),IF(AND(I2966="TDP",S2966&lt;=150),VLOOKUP(AF2966,TPCalibEq150!$AZ$2:$BB$55,3,)))</f>
        <v>0</v>
      </c>
      <c r="AR2966" s="10" t="b">
        <f>IF(AND(I2966="TP",S2966&lt;=300),VLOOKUP(AF2966,TPCalibEq300!$AZ$2:$BB$55,3,),IF(AND(I2966="TDP",S2966&lt;=300),VLOOKUP(AF2966,TPCalibEq300!$AZ$2:$BB$55,3,)))</f>
        <v>0</v>
      </c>
      <c r="AS2966" s="10" t="b">
        <f>IF(AND(I2966="TP",S2966&lt;=500),VLOOKUP(AF2966,TPCalibEq500!$AZ$2:$BB$56,3,),IF(AND(I2966="TDP",S2966&lt;=500),VLOOKUP(AF2966,TPCalibEq500!$AZ$2:$BB$56,3,)))</f>
        <v>0</v>
      </c>
      <c r="AT2966" s="10" t="b">
        <f>IF(AND(I2966="TN",S2966&lt;=2800),VLOOKUP(AF2966,TNCalibEq2500!$AZ$2:$BB$56,3,),IF(AND(I2966="TDN",S2966&lt;=2800),VLOOKUP(AF2966,TNCalibEq2500!$AZ$2:$BB$56,3,)))</f>
        <v>0</v>
      </c>
      <c r="AU2966" s="10" t="b">
        <f>IF(I2966="TP",VLOOKUP(AF2966,TPCalibEqFull!$AZ$2:$BB$56,3),IF(I2966="TDP",VLOOKUP(AF2966,TPCalibEqFull!$AZ$2:$BB$56,3),IF(I2966="TDN",VLOOKUP(AF2966,TNCalibEqFull!$AZ$1:$BB$56,3),IF(I2966="TN",VLOOKUP(AF2966,TNCalibEqFull!$AZ$1:$BB$56,3),FALSE))))</f>
        <v>0</v>
      </c>
      <c r="AV2966" s="10" t="str">
        <f t="shared" si="340"/>
        <v>0213 11:18:00-FVM-0-C-2-SW-SPK</v>
      </c>
    </row>
    <row r="2967" spans="1:48" s="10" customFormat="1" x14ac:dyDescent="0.55000000000000004">
      <c r="A2967" s="32">
        <v>44972</v>
      </c>
      <c r="B2967" s="33">
        <v>0.375</v>
      </c>
      <c r="C2967" s="10" t="s">
        <v>70</v>
      </c>
      <c r="D2967" s="10" t="s">
        <v>71</v>
      </c>
      <c r="E2967" s="10" t="s">
        <v>901</v>
      </c>
      <c r="F2967" s="10">
        <v>1</v>
      </c>
      <c r="G2967" s="10" t="s">
        <v>73</v>
      </c>
      <c r="H2967" s="10" t="s">
        <v>207</v>
      </c>
      <c r="I2967" s="10" t="s">
        <v>75</v>
      </c>
      <c r="J2967" s="10">
        <v>199</v>
      </c>
      <c r="K2967" s="12">
        <v>44972</v>
      </c>
      <c r="L2967" s="33">
        <v>0.50206018518518525</v>
      </c>
      <c r="M2967" s="10">
        <v>1</v>
      </c>
      <c r="N2967" s="10" t="s">
        <v>76</v>
      </c>
      <c r="O2967" s="10">
        <v>4.95</v>
      </c>
      <c r="P2967" s="10">
        <v>0.39200000000000002</v>
      </c>
      <c r="Q2967" s="10">
        <v>296</v>
      </c>
      <c r="R2967" s="10" t="s">
        <v>77</v>
      </c>
      <c r="S2967" s="34">
        <f t="shared" si="337"/>
        <v>296</v>
      </c>
      <c r="T2967" s="10" t="s">
        <v>1213</v>
      </c>
      <c r="U2967" s="34">
        <f t="shared" si="338"/>
        <v>98.666666666666671</v>
      </c>
      <c r="V2967" s="31">
        <f>IF(H2967="CHK",VLOOKUP(I2967,QCCHK,3,),IF(H2967="GUP",VLOOKUP(E2967,QCGUP,2,),IF(AND(H2967="ATP",OR(I2967="TN",I2967="TDN",I2967="TNO2-3",I2967="NO2-3")),VLOOKUP(E2967,QCREC_N,2,),IF(AND(H2967="NIC",OR(I2967="TN",I2967="TDN",I2967="TNO2-3",I2967="NO2-3")),VLOOKUP(E2967,QCNIC_N,2,),IF(AND(H2967="UREA",OR(I2967="TN",I2967="TDN",I2967="TNO2-3",I2967="NO2-3")),VLOOKUP(E2967,QCUREA_N,2,),IF(H2967="PER",VLOOKUP(I2967,QCPER,MATCH(E2967,QCACTUAL!$J$25:$AA$25,0),),IF(H2967="SPK",VLOOKUP(I2967,QCSPK,3,),IF(AND(H2967="ATP",OR(I2967="TP",I2967="TDP")),VLOOKUP(E2967,QCATP_P,2,),""))))))))</f>
        <v>300</v>
      </c>
      <c r="W2967" s="31" t="str">
        <f t="shared" si="339"/>
        <v>TRUE</v>
      </c>
      <c r="X2967" s="31" t="str">
        <f t="shared" si="336"/>
        <v>[chk]/[actual]*100</v>
      </c>
      <c r="Y2967" s="10" t="s">
        <v>1206</v>
      </c>
      <c r="AL2967" s="10" t="str">
        <f t="shared" si="334"/>
        <v>FALSE</v>
      </c>
      <c r="AM2967" s="10" t="str">
        <f t="shared" si="334"/>
        <v>FALSE</v>
      </c>
      <c r="AN2967" s="10" t="str">
        <f t="shared" si="334"/>
        <v>FALSE</v>
      </c>
      <c r="AO2967" s="10" t="str">
        <f t="shared" si="335"/>
        <v>FALSE</v>
      </c>
      <c r="AP2967" s="10" t="str">
        <f t="shared" si="335"/>
        <v>FALSE</v>
      </c>
      <c r="AQ2967" s="10" t="b">
        <f>IF(AND(I2967="TP",S2967&lt;=150),VLOOKUP(AF2967,TPCalibEq150!$AZ$2:$BB$55,3,),IF(AND(I2967="TDP",S2967&lt;=150),VLOOKUP(AF2967,TPCalibEq150!$AZ$2:$BB$55,3,)))</f>
        <v>0</v>
      </c>
      <c r="AR2967" s="10" t="b">
        <f>IF(AND(I2967="TP",S2967&lt;=300),VLOOKUP(AF2967,TPCalibEq300!$AZ$2:$BB$55,3,),IF(AND(I2967="TDP",S2967&lt;=300),VLOOKUP(AF2967,TPCalibEq300!$AZ$2:$BB$55,3,)))</f>
        <v>0</v>
      </c>
      <c r="AS2967" s="10" t="b">
        <f>IF(AND(I2967="TP",S2967&lt;=500),VLOOKUP(AF2967,TPCalibEq500!$AZ$2:$BB$56,3,),IF(AND(I2967="TDP",S2967&lt;=500),VLOOKUP(AF2967,TPCalibEq500!$AZ$2:$BB$56,3,)))</f>
        <v>0</v>
      </c>
      <c r="AT2967" s="10" t="b">
        <f>IF(AND(I2967="TN",S2967&lt;=2800),VLOOKUP(AF2967,TNCalibEq2500!$AZ$2:$BB$56,3,),IF(AND(I2967="TDN",S2967&lt;=2800),VLOOKUP(AF2967,TNCalibEq2500!$AZ$2:$BB$56,3,)))</f>
        <v>0</v>
      </c>
      <c r="AU2967" s="10" t="b">
        <f>IF(I2967="TP",VLOOKUP(AF2967,TPCalibEqFull!$AZ$2:$BB$56,3),IF(I2967="TDP",VLOOKUP(AF2967,TPCalibEqFull!$AZ$2:$BB$56,3),IF(I2967="TDN",VLOOKUP(AF2967,TNCalibEqFull!$AZ$1:$BB$56,3),IF(I2967="TN",VLOOKUP(AF2967,TNCalibEqFull!$AZ$1:$BB$56,3),FALSE))))</f>
        <v>0</v>
      </c>
      <c r="AV2967" s="10" t="str">
        <f t="shared" si="340"/>
        <v>0215 09:00:00-QAC-STD-D-1-DI-CHK</v>
      </c>
    </row>
    <row r="2968" spans="1:48" s="10" customFormat="1" x14ac:dyDescent="0.55000000000000004">
      <c r="A2968" s="32">
        <v>44970</v>
      </c>
      <c r="B2968" s="33">
        <v>0.49583333333333335</v>
      </c>
      <c r="C2968" s="10" t="s">
        <v>336</v>
      </c>
      <c r="D2968" s="10">
        <v>0</v>
      </c>
      <c r="E2968" s="10" t="s">
        <v>190</v>
      </c>
      <c r="F2968" s="10">
        <v>1</v>
      </c>
      <c r="G2968" s="10" t="s">
        <v>231</v>
      </c>
      <c r="H2968" s="10" t="s">
        <v>322</v>
      </c>
      <c r="I2968" s="10" t="s">
        <v>75</v>
      </c>
      <c r="J2968" s="10">
        <v>21</v>
      </c>
      <c r="K2968" s="12">
        <v>44972</v>
      </c>
      <c r="L2968" s="33">
        <v>0.50288194444444445</v>
      </c>
      <c r="M2968" s="10">
        <v>1</v>
      </c>
      <c r="N2968" s="10" t="s">
        <v>76</v>
      </c>
      <c r="O2968" s="10">
        <v>3.2899999999999999E-2</v>
      </c>
      <c r="P2968" s="10">
        <v>2.7499999999999998E-3</v>
      </c>
      <c r="Q2968" s="10">
        <v>1.97</v>
      </c>
      <c r="R2968" s="10" t="s">
        <v>77</v>
      </c>
      <c r="S2968" s="34">
        <f t="shared" si="337"/>
        <v>1.97</v>
      </c>
      <c r="T2968" s="10" t="s">
        <v>1213</v>
      </c>
      <c r="U2968" s="34" t="str">
        <f t="shared" si="338"/>
        <v/>
      </c>
      <c r="V2968" s="31" t="str">
        <f>IF(H2968="CHK",VLOOKUP(I2968,QCCHK,3,),IF(H2968="GUP",VLOOKUP(E2968,QCGUP,2,),IF(AND(H2968="ATP",OR(I2968="TN",I2968="TDN",I2968="TNO2-3",I2968="NO2-3")),VLOOKUP(E2968,QCREC_N,2,),IF(AND(H2968="NIC",OR(I2968="TN",I2968="TDN",I2968="TNO2-3",I2968="NO2-3")),VLOOKUP(E2968,QCNIC_N,2,),IF(AND(H2968="UREA",OR(I2968="TN",I2968="TDN",I2968="TNO2-3",I2968="NO2-3")),VLOOKUP(E2968,QCUREA_N,2,),IF(H2968="PER",VLOOKUP(I2968,QCPER,MATCH(E2968,QCACTUAL!$J$25:$AA$25,0),),IF(H2968="SPK",VLOOKUP(I2968,QCSPK,3,),IF(AND(H2968="ATP",OR(I2968="TP",I2968="TDP")),VLOOKUP(E2968,QCATP_P,2,),""))))))))</f>
        <v/>
      </c>
      <c r="W2968" s="31" t="str">
        <f t="shared" si="339"/>
        <v>TRUE</v>
      </c>
      <c r="X2968" s="31" t="str">
        <f t="shared" si="336"/>
        <v/>
      </c>
      <c r="Y2968" s="10" t="s">
        <v>1206</v>
      </c>
      <c r="Z2968" s="10" t="s">
        <v>910</v>
      </c>
      <c r="AL2968" s="10" t="str">
        <f t="shared" si="334"/>
        <v>FALSE</v>
      </c>
      <c r="AM2968" s="10" t="str">
        <f t="shared" si="334"/>
        <v>FALSE</v>
      </c>
      <c r="AN2968" s="10" t="str">
        <f t="shared" si="334"/>
        <v>FALSE</v>
      </c>
      <c r="AO2968" s="10" t="str">
        <f t="shared" si="335"/>
        <v>FALSE</v>
      </c>
      <c r="AP2968" s="10" t="str">
        <f t="shared" si="335"/>
        <v>FALSE</v>
      </c>
      <c r="AQ2968" s="10" t="b">
        <f>IF(AND(I2968="TP",S2968&lt;=150),VLOOKUP(AF2968,TPCalibEq150!$AZ$2:$BB$55,3,),IF(AND(I2968="TDP",S2968&lt;=150),VLOOKUP(AF2968,TPCalibEq150!$AZ$2:$BB$55,3,)))</f>
        <v>0</v>
      </c>
      <c r="AR2968" s="10" t="b">
        <f>IF(AND(I2968="TP",S2968&lt;=300),VLOOKUP(AF2968,TPCalibEq300!$AZ$2:$BB$55,3,),IF(AND(I2968="TDP",S2968&lt;=300),VLOOKUP(AF2968,TPCalibEq300!$AZ$2:$BB$55,3,)))</f>
        <v>0</v>
      </c>
      <c r="AS2968" s="10" t="b">
        <f>IF(AND(I2968="TP",S2968&lt;=500),VLOOKUP(AF2968,TPCalibEq500!$AZ$2:$BB$56,3,),IF(AND(I2968="TDP",S2968&lt;=500),VLOOKUP(AF2968,TPCalibEq500!$AZ$2:$BB$56,3,)))</f>
        <v>0</v>
      </c>
      <c r="AT2968" s="10" t="b">
        <f>IF(AND(I2968="TN",S2968&lt;=2800),VLOOKUP(AF2968,TNCalibEq2500!$AZ$2:$BB$56,3,),IF(AND(I2968="TDN",S2968&lt;=2800),VLOOKUP(AF2968,TNCalibEq2500!$AZ$2:$BB$56,3,)))</f>
        <v>0</v>
      </c>
      <c r="AU2968" s="10" t="b">
        <f>IF(I2968="TP",VLOOKUP(AF2968,TPCalibEqFull!$AZ$2:$BB$56,3),IF(I2968="TDP",VLOOKUP(AF2968,TPCalibEqFull!$AZ$2:$BB$56,3),IF(I2968="TDN",VLOOKUP(AF2968,TNCalibEqFull!$AZ$1:$BB$56,3),IF(I2968="TN",VLOOKUP(AF2968,TNCalibEqFull!$AZ$1:$BB$56,3),FALSE))))</f>
        <v>0</v>
      </c>
      <c r="AV2968" s="10" t="str">
        <f t="shared" si="340"/>
        <v>0213 11:54:00-HWR-0-C-1-SW-UKN</v>
      </c>
    </row>
    <row r="2969" spans="1:48" s="10" customFormat="1" x14ac:dyDescent="0.55000000000000004">
      <c r="A2969" s="32">
        <v>44970</v>
      </c>
      <c r="B2969" s="33">
        <v>0.48819444444444443</v>
      </c>
      <c r="C2969" s="10" t="s">
        <v>295</v>
      </c>
      <c r="D2969" s="10">
        <v>0</v>
      </c>
      <c r="E2969" s="10" t="s">
        <v>190</v>
      </c>
      <c r="F2969" s="10">
        <v>1</v>
      </c>
      <c r="G2969" s="10" t="s">
        <v>231</v>
      </c>
      <c r="H2969" s="10" t="s">
        <v>322</v>
      </c>
      <c r="I2969" s="10" t="s">
        <v>75</v>
      </c>
      <c r="J2969" s="10">
        <v>22</v>
      </c>
      <c r="K2969" s="12">
        <v>44972</v>
      </c>
      <c r="L2969" s="33">
        <v>0.50369212962962961</v>
      </c>
      <c r="M2969" s="10">
        <v>1</v>
      </c>
      <c r="N2969" s="10" t="s">
        <v>76</v>
      </c>
      <c r="O2969" s="10">
        <v>2.5100000000000001E-2</v>
      </c>
      <c r="P2969" s="10">
        <v>2.9399999999999999E-3</v>
      </c>
      <c r="Q2969" s="10">
        <v>1.51</v>
      </c>
      <c r="R2969" s="10" t="s">
        <v>77</v>
      </c>
      <c r="S2969" s="34">
        <f t="shared" si="337"/>
        <v>1.51</v>
      </c>
      <c r="T2969" s="10" t="s">
        <v>1213</v>
      </c>
      <c r="U2969" s="34" t="str">
        <f t="shared" si="338"/>
        <v/>
      </c>
      <c r="V2969" s="31" t="str">
        <f>IF(H2969="CHK",VLOOKUP(I2969,QCCHK,3,),IF(H2969="GUP",VLOOKUP(E2969,QCGUP,2,),IF(AND(H2969="ATP",OR(I2969="TN",I2969="TDN",I2969="TNO2-3",I2969="NO2-3")),VLOOKUP(E2969,QCREC_N,2,),IF(AND(H2969="NIC",OR(I2969="TN",I2969="TDN",I2969="TNO2-3",I2969="NO2-3")),VLOOKUP(E2969,QCNIC_N,2,),IF(AND(H2969="UREA",OR(I2969="TN",I2969="TDN",I2969="TNO2-3",I2969="NO2-3")),VLOOKUP(E2969,QCUREA_N,2,),IF(H2969="PER",VLOOKUP(I2969,QCPER,MATCH(E2969,QCACTUAL!$J$25:$AA$25,0),),IF(H2969="SPK",VLOOKUP(I2969,QCSPK,3,),IF(AND(H2969="ATP",OR(I2969="TP",I2969="TDP")),VLOOKUP(E2969,QCATP_P,2,),""))))))))</f>
        <v/>
      </c>
      <c r="W2969" s="31" t="str">
        <f t="shared" si="339"/>
        <v>TRUE</v>
      </c>
      <c r="X2969" s="31" t="str">
        <f t="shared" si="336"/>
        <v/>
      </c>
      <c r="Y2969" s="10" t="s">
        <v>1206</v>
      </c>
      <c r="Z2969" s="10" t="s">
        <v>910</v>
      </c>
      <c r="AL2969" s="10" t="str">
        <f t="shared" si="334"/>
        <v>FALSE</v>
      </c>
      <c r="AM2969" s="10" t="str">
        <f t="shared" si="334"/>
        <v>FALSE</v>
      </c>
      <c r="AN2969" s="10" t="str">
        <f t="shared" si="334"/>
        <v>FALSE</v>
      </c>
      <c r="AO2969" s="10" t="str">
        <f t="shared" si="335"/>
        <v>FALSE</v>
      </c>
      <c r="AP2969" s="10" t="str">
        <f t="shared" si="335"/>
        <v>FALSE</v>
      </c>
      <c r="AQ2969" s="10" t="b">
        <f>IF(AND(I2969="TP",S2969&lt;=150),VLOOKUP(AF2969,TPCalibEq150!$AZ$2:$BB$55,3,),IF(AND(I2969="TDP",S2969&lt;=150),VLOOKUP(AF2969,TPCalibEq150!$AZ$2:$BB$55,3,)))</f>
        <v>0</v>
      </c>
      <c r="AR2969" s="10" t="b">
        <f>IF(AND(I2969="TP",S2969&lt;=300),VLOOKUP(AF2969,TPCalibEq300!$AZ$2:$BB$55,3,),IF(AND(I2969="TDP",S2969&lt;=300),VLOOKUP(AF2969,TPCalibEq300!$AZ$2:$BB$55,3,)))</f>
        <v>0</v>
      </c>
      <c r="AS2969" s="10" t="b">
        <f>IF(AND(I2969="TP",S2969&lt;=500),VLOOKUP(AF2969,TPCalibEq500!$AZ$2:$BB$56,3,),IF(AND(I2969="TDP",S2969&lt;=500),VLOOKUP(AF2969,TPCalibEq500!$AZ$2:$BB$56,3,)))</f>
        <v>0</v>
      </c>
      <c r="AT2969" s="10" t="b">
        <f>IF(AND(I2969="TN",S2969&lt;=2800),VLOOKUP(AF2969,TNCalibEq2500!$AZ$2:$BB$56,3,),IF(AND(I2969="TDN",S2969&lt;=2800),VLOOKUP(AF2969,TNCalibEq2500!$AZ$2:$BB$56,3,)))</f>
        <v>0</v>
      </c>
      <c r="AU2969" s="10" t="b">
        <f>IF(I2969="TP",VLOOKUP(AF2969,TPCalibEqFull!$AZ$2:$BB$56,3),IF(I2969="TDP",VLOOKUP(AF2969,TPCalibEqFull!$AZ$2:$BB$56,3),IF(I2969="TDN",VLOOKUP(AF2969,TNCalibEqFull!$AZ$1:$BB$56,3),IF(I2969="TN",VLOOKUP(AF2969,TNCalibEqFull!$AZ$1:$BB$56,3),FALSE))))</f>
        <v>0</v>
      </c>
      <c r="AV2969" s="10" t="str">
        <f t="shared" si="340"/>
        <v>0213 11:43:00-EFM-0-C-1-SW-UKN</v>
      </c>
    </row>
    <row r="2970" spans="1:48" s="10" customFormat="1" x14ac:dyDescent="0.55000000000000004">
      <c r="A2970" s="32">
        <v>44970</v>
      </c>
      <c r="B2970" s="33">
        <v>0.50694444444444442</v>
      </c>
      <c r="C2970" s="10" t="s">
        <v>999</v>
      </c>
      <c r="D2970" s="10">
        <v>0</v>
      </c>
      <c r="E2970" s="10" t="s">
        <v>190</v>
      </c>
      <c r="F2970" s="10">
        <v>1</v>
      </c>
      <c r="G2970" s="10" t="s">
        <v>231</v>
      </c>
      <c r="H2970" s="10" t="s">
        <v>322</v>
      </c>
      <c r="I2970" s="10" t="s">
        <v>75</v>
      </c>
      <c r="J2970" s="10">
        <v>23</v>
      </c>
      <c r="K2970" s="12">
        <v>44972</v>
      </c>
      <c r="L2970" s="33">
        <v>0.50451388888888882</v>
      </c>
      <c r="M2970" s="10">
        <v>1</v>
      </c>
      <c r="N2970" s="10" t="s">
        <v>76</v>
      </c>
      <c r="O2970" s="10">
        <v>2.0400000000000001E-2</v>
      </c>
      <c r="P2970" s="10">
        <v>3.2499999999999999E-3</v>
      </c>
      <c r="Q2970" s="10">
        <v>1.22</v>
      </c>
      <c r="R2970" s="10" t="s">
        <v>77</v>
      </c>
      <c r="S2970" s="34">
        <f t="shared" si="337"/>
        <v>1.22</v>
      </c>
      <c r="T2970" s="10" t="s">
        <v>1213</v>
      </c>
      <c r="U2970" s="34" t="str">
        <f t="shared" si="338"/>
        <v/>
      </c>
      <c r="V2970" s="31" t="str">
        <f>IF(H2970="CHK",VLOOKUP(I2970,QCCHK,3,),IF(H2970="GUP",VLOOKUP(E2970,QCGUP,2,),IF(AND(H2970="ATP",OR(I2970="TN",I2970="TDN",I2970="TNO2-3",I2970="NO2-3")),VLOOKUP(E2970,QCREC_N,2,),IF(AND(H2970="NIC",OR(I2970="TN",I2970="TDN",I2970="TNO2-3",I2970="NO2-3")),VLOOKUP(E2970,QCNIC_N,2,),IF(AND(H2970="UREA",OR(I2970="TN",I2970="TDN",I2970="TNO2-3",I2970="NO2-3")),VLOOKUP(E2970,QCUREA_N,2,),IF(H2970="PER",VLOOKUP(I2970,QCPER,MATCH(E2970,QCACTUAL!$J$25:$AA$25,0),),IF(H2970="SPK",VLOOKUP(I2970,QCSPK,3,),IF(AND(H2970="ATP",OR(I2970="TP",I2970="TDP")),VLOOKUP(E2970,QCATP_P,2,),""))))))))</f>
        <v/>
      </c>
      <c r="W2970" s="31" t="str">
        <f t="shared" si="339"/>
        <v>TRUE</v>
      </c>
      <c r="X2970" s="31" t="str">
        <f t="shared" si="336"/>
        <v/>
      </c>
      <c r="Y2970" s="10" t="s">
        <v>1206</v>
      </c>
      <c r="Z2970" s="10" t="s">
        <v>910</v>
      </c>
      <c r="AL2970" s="10" t="str">
        <f t="shared" si="334"/>
        <v>FALSE</v>
      </c>
      <c r="AM2970" s="10" t="str">
        <f t="shared" si="334"/>
        <v>FALSE</v>
      </c>
      <c r="AN2970" s="10" t="str">
        <f t="shared" si="334"/>
        <v>FALSE</v>
      </c>
      <c r="AO2970" s="10" t="str">
        <f t="shared" si="335"/>
        <v>FALSE</v>
      </c>
      <c r="AP2970" s="10" t="str">
        <f t="shared" si="335"/>
        <v>FALSE</v>
      </c>
      <c r="AQ2970" s="10" t="b">
        <f>IF(AND(I2970="TP",S2970&lt;=150),VLOOKUP(AF2970,TPCalibEq150!$AZ$2:$BB$55,3,),IF(AND(I2970="TDP",S2970&lt;=150),VLOOKUP(AF2970,TPCalibEq150!$AZ$2:$BB$55,3,)))</f>
        <v>0</v>
      </c>
      <c r="AR2970" s="10" t="b">
        <f>IF(AND(I2970="TP",S2970&lt;=300),VLOOKUP(AF2970,TPCalibEq300!$AZ$2:$BB$55,3,),IF(AND(I2970="TDP",S2970&lt;=300),VLOOKUP(AF2970,TPCalibEq300!$AZ$2:$BB$55,3,)))</f>
        <v>0</v>
      </c>
      <c r="AS2970" s="10" t="b">
        <f>IF(AND(I2970="TP",S2970&lt;=500),VLOOKUP(AF2970,TPCalibEq500!$AZ$2:$BB$56,3,),IF(AND(I2970="TDP",S2970&lt;=500),VLOOKUP(AF2970,TPCalibEq500!$AZ$2:$BB$56,3,)))</f>
        <v>0</v>
      </c>
      <c r="AT2970" s="10" t="b">
        <f>IF(AND(I2970="TN",S2970&lt;=2800),VLOOKUP(AF2970,TNCalibEq2500!$AZ$2:$BB$56,3,),IF(AND(I2970="TDN",S2970&lt;=2800),VLOOKUP(AF2970,TNCalibEq2500!$AZ$2:$BB$56,3,)))</f>
        <v>0</v>
      </c>
      <c r="AU2970" s="10" t="b">
        <f>IF(I2970="TP",VLOOKUP(AF2970,TPCalibEqFull!$AZ$2:$BB$56,3),IF(I2970="TDP",VLOOKUP(AF2970,TPCalibEqFull!$AZ$2:$BB$56,3),IF(I2970="TDN",VLOOKUP(AF2970,TNCalibEqFull!$AZ$1:$BB$56,3),IF(I2970="TN",VLOOKUP(AF2970,TNCalibEqFull!$AZ$1:$BB$56,3),FALSE))))</f>
        <v>0</v>
      </c>
      <c r="AV2970" s="10" t="str">
        <f t="shared" si="340"/>
        <v>0213 12:10:00-EAW-0-C-1-SW-UKN</v>
      </c>
    </row>
    <row r="2971" spans="1:48" s="10" customFormat="1" x14ac:dyDescent="0.55000000000000004">
      <c r="A2971" s="32">
        <v>44970</v>
      </c>
      <c r="B2971" s="33">
        <v>0.51527777777777783</v>
      </c>
      <c r="C2971" s="10" t="s">
        <v>310</v>
      </c>
      <c r="D2971" s="10">
        <v>0</v>
      </c>
      <c r="E2971" s="10" t="s">
        <v>190</v>
      </c>
      <c r="F2971" s="10">
        <v>1</v>
      </c>
      <c r="G2971" s="10" t="s">
        <v>231</v>
      </c>
      <c r="H2971" s="10" t="s">
        <v>322</v>
      </c>
      <c r="I2971" s="10" t="s">
        <v>75</v>
      </c>
      <c r="J2971" s="10">
        <v>24</v>
      </c>
      <c r="K2971" s="12">
        <v>44972</v>
      </c>
      <c r="L2971" s="33">
        <v>0.50533564814814813</v>
      </c>
      <c r="M2971" s="10">
        <v>1</v>
      </c>
      <c r="N2971" s="10" t="s">
        <v>76</v>
      </c>
      <c r="O2971" s="10">
        <v>1.9699999999999999E-2</v>
      </c>
      <c r="P2971" s="10">
        <v>2.7399999999999998E-3</v>
      </c>
      <c r="Q2971" s="10">
        <v>1.18</v>
      </c>
      <c r="R2971" s="10" t="s">
        <v>77</v>
      </c>
      <c r="S2971" s="34">
        <f t="shared" si="337"/>
        <v>1.18</v>
      </c>
      <c r="T2971" s="10" t="s">
        <v>1213</v>
      </c>
      <c r="U2971" s="34" t="str">
        <f t="shared" si="338"/>
        <v/>
      </c>
      <c r="V2971" s="31" t="str">
        <f>IF(H2971="CHK",VLOOKUP(I2971,QCCHK,3,),IF(H2971="GUP",VLOOKUP(E2971,QCGUP,2,),IF(AND(H2971="ATP",OR(I2971="TN",I2971="TDN",I2971="TNO2-3",I2971="NO2-3")),VLOOKUP(E2971,QCREC_N,2,),IF(AND(H2971="NIC",OR(I2971="TN",I2971="TDN",I2971="TNO2-3",I2971="NO2-3")),VLOOKUP(E2971,QCNIC_N,2,),IF(AND(H2971="UREA",OR(I2971="TN",I2971="TDN",I2971="TNO2-3",I2971="NO2-3")),VLOOKUP(E2971,QCUREA_N,2,),IF(H2971="PER",VLOOKUP(I2971,QCPER,MATCH(E2971,QCACTUAL!$J$25:$AA$25,0),),IF(H2971="SPK",VLOOKUP(I2971,QCSPK,3,),IF(AND(H2971="ATP",OR(I2971="TP",I2971="TDP")),VLOOKUP(E2971,QCATP_P,2,),""))))))))</f>
        <v/>
      </c>
      <c r="W2971" s="31" t="str">
        <f t="shared" si="339"/>
        <v>TRUE</v>
      </c>
      <c r="X2971" s="31" t="str">
        <f t="shared" si="336"/>
        <v/>
      </c>
      <c r="Y2971" s="10" t="s">
        <v>1206</v>
      </c>
      <c r="Z2971" s="10" t="s">
        <v>910</v>
      </c>
      <c r="AL2971" s="10" t="str">
        <f t="shared" si="334"/>
        <v>FALSE</v>
      </c>
      <c r="AM2971" s="10" t="str">
        <f t="shared" si="334"/>
        <v>FALSE</v>
      </c>
      <c r="AN2971" s="10" t="str">
        <f t="shared" si="334"/>
        <v>FALSE</v>
      </c>
      <c r="AO2971" s="10" t="str">
        <f t="shared" si="335"/>
        <v>FALSE</v>
      </c>
      <c r="AP2971" s="10" t="str">
        <f t="shared" si="335"/>
        <v>FALSE</v>
      </c>
      <c r="AQ2971" s="10" t="b">
        <f>IF(AND(I2971="TP",S2971&lt;=150),VLOOKUP(AF2971,TPCalibEq150!$AZ$2:$BB$55,3,),IF(AND(I2971="TDP",S2971&lt;=150),VLOOKUP(AF2971,TPCalibEq150!$AZ$2:$BB$55,3,)))</f>
        <v>0</v>
      </c>
      <c r="AR2971" s="10" t="b">
        <f>IF(AND(I2971="TP",S2971&lt;=300),VLOOKUP(AF2971,TPCalibEq300!$AZ$2:$BB$55,3,),IF(AND(I2971="TDP",S2971&lt;=300),VLOOKUP(AF2971,TPCalibEq300!$AZ$2:$BB$55,3,)))</f>
        <v>0</v>
      </c>
      <c r="AS2971" s="10" t="b">
        <f>IF(AND(I2971="TP",S2971&lt;=500),VLOOKUP(AF2971,TPCalibEq500!$AZ$2:$BB$56,3,),IF(AND(I2971="TDP",S2971&lt;=500),VLOOKUP(AF2971,TPCalibEq500!$AZ$2:$BB$56,3,)))</f>
        <v>0</v>
      </c>
      <c r="AT2971" s="10" t="b">
        <f>IF(AND(I2971="TN",S2971&lt;=2800),VLOOKUP(AF2971,TNCalibEq2500!$AZ$2:$BB$56,3,),IF(AND(I2971="TDN",S2971&lt;=2800),VLOOKUP(AF2971,TNCalibEq2500!$AZ$2:$BB$56,3,)))</f>
        <v>0</v>
      </c>
      <c r="AU2971" s="10" t="b">
        <f>IF(I2971="TP",VLOOKUP(AF2971,TPCalibEqFull!$AZ$2:$BB$56,3),IF(I2971="TDP",VLOOKUP(AF2971,TPCalibEqFull!$AZ$2:$BB$56,3),IF(I2971="TDN",VLOOKUP(AF2971,TNCalibEqFull!$AZ$1:$BB$56,3),IF(I2971="TN",VLOOKUP(AF2971,TNCalibEqFull!$AZ$1:$BB$56,3),FALSE))))</f>
        <v>0</v>
      </c>
      <c r="AV2971" s="10" t="str">
        <f t="shared" si="340"/>
        <v>0213 12:22:00-ELI-0-C-1-SW-UKN</v>
      </c>
    </row>
    <row r="2972" spans="1:48" s="10" customFormat="1" x14ac:dyDescent="0.55000000000000004">
      <c r="A2972" s="32">
        <v>44970</v>
      </c>
      <c r="B2972" s="33">
        <v>0.51527777777777783</v>
      </c>
      <c r="C2972" s="10" t="s">
        <v>310</v>
      </c>
      <c r="D2972" s="10">
        <v>0</v>
      </c>
      <c r="E2972" s="10" t="s">
        <v>190</v>
      </c>
      <c r="F2972" s="10">
        <v>1</v>
      </c>
      <c r="G2972" s="10" t="s">
        <v>231</v>
      </c>
      <c r="H2972" s="10" t="s">
        <v>233</v>
      </c>
      <c r="I2972" s="10" t="s">
        <v>75</v>
      </c>
      <c r="J2972" s="10">
        <v>24</v>
      </c>
      <c r="K2972" s="12">
        <v>44972</v>
      </c>
      <c r="L2972" s="33">
        <v>0.50614583333333341</v>
      </c>
      <c r="M2972" s="10">
        <v>1</v>
      </c>
      <c r="N2972" s="10" t="s">
        <v>76</v>
      </c>
      <c r="O2972" s="10">
        <v>3.1800000000000002E-2</v>
      </c>
      <c r="P2972" s="10">
        <v>2.2200000000000002E-3</v>
      </c>
      <c r="Q2972" s="10">
        <v>1.91</v>
      </c>
      <c r="R2972" s="10" t="s">
        <v>77</v>
      </c>
      <c r="S2972" s="34">
        <f t="shared" si="337"/>
        <v>1.91</v>
      </c>
      <c r="T2972" s="10" t="s">
        <v>1213</v>
      </c>
      <c r="U2972" s="34">
        <f t="shared" si="338"/>
        <v>47.249190938511326</v>
      </c>
      <c r="V2972" s="31" t="str">
        <f>IF(H2972="CHK",VLOOKUP(I2972,QCCHK,3,),IF(H2972="GUP",VLOOKUP(E2972,QCGUP,2,),IF(AND(H2972="ATP",OR(I2972="TN",I2972="TDN",I2972="TNO2-3",I2972="NO2-3")),VLOOKUP(E2972,QCREC_N,2,),IF(AND(H2972="NIC",OR(I2972="TN",I2972="TDN",I2972="TNO2-3",I2972="NO2-3")),VLOOKUP(E2972,QCNIC_N,2,),IF(AND(H2972="UREA",OR(I2972="TN",I2972="TDN",I2972="TNO2-3",I2972="NO2-3")),VLOOKUP(E2972,QCUREA_N,2,),IF(H2972="PER",VLOOKUP(I2972,QCPER,MATCH(E2972,QCACTUAL!$J$25:$AA$25,0),),IF(H2972="SPK",VLOOKUP(I2972,QCSPK,3,),IF(AND(H2972="ATP",OR(I2972="TP",I2972="TDP")),VLOOKUP(E2972,QCATP_P,2,),""))))))))</f>
        <v/>
      </c>
      <c r="W2972" s="31" t="b">
        <v>1</v>
      </c>
      <c r="X2972" s="31" t="str">
        <f t="shared" si="336"/>
        <v>((ABS(rep1-rep2))/((rep1+rep2)/2)*100</v>
      </c>
      <c r="Y2972" s="10" t="s">
        <v>1206</v>
      </c>
      <c r="Z2972" s="10" t="s">
        <v>1059</v>
      </c>
      <c r="AL2972" s="10" t="str">
        <f t="shared" si="334"/>
        <v>FALSE</v>
      </c>
      <c r="AM2972" s="10" t="str">
        <f t="shared" si="334"/>
        <v>FALSE</v>
      </c>
      <c r="AN2972" s="10" t="str">
        <f t="shared" si="334"/>
        <v>FALSE</v>
      </c>
      <c r="AO2972" s="10" t="str">
        <f t="shared" si="335"/>
        <v>FALSE</v>
      </c>
      <c r="AP2972" s="10" t="str">
        <f t="shared" si="335"/>
        <v>FALSE</v>
      </c>
      <c r="AQ2972" s="10" t="b">
        <f>IF(AND(I2972="TP",S2972&lt;=150),VLOOKUP(AF2972,TPCalibEq150!$AZ$2:$BB$55,3,),IF(AND(I2972="TDP",S2972&lt;=150),VLOOKUP(AF2972,TPCalibEq150!$AZ$2:$BB$55,3,)))</f>
        <v>0</v>
      </c>
      <c r="AR2972" s="10" t="b">
        <f>IF(AND(I2972="TP",S2972&lt;=300),VLOOKUP(AF2972,TPCalibEq300!$AZ$2:$BB$55,3,),IF(AND(I2972="TDP",S2972&lt;=300),VLOOKUP(AF2972,TPCalibEq300!$AZ$2:$BB$55,3,)))</f>
        <v>0</v>
      </c>
      <c r="AS2972" s="10" t="b">
        <f>IF(AND(I2972="TP",S2972&lt;=500),VLOOKUP(AF2972,TPCalibEq500!$AZ$2:$BB$56,3,),IF(AND(I2972="TDP",S2972&lt;=500),VLOOKUP(AF2972,TPCalibEq500!$AZ$2:$BB$56,3,)))</f>
        <v>0</v>
      </c>
      <c r="AT2972" s="10" t="b">
        <f>IF(AND(I2972="TN",S2972&lt;=2800),VLOOKUP(AF2972,TNCalibEq2500!$AZ$2:$BB$56,3,),IF(AND(I2972="TDN",S2972&lt;=2800),VLOOKUP(AF2972,TNCalibEq2500!$AZ$2:$BB$56,3,)))</f>
        <v>0</v>
      </c>
      <c r="AU2972" s="10" t="b">
        <f>IF(I2972="TP",VLOOKUP(AF2972,TPCalibEqFull!$AZ$2:$BB$56,3),IF(I2972="TDP",VLOOKUP(AF2972,TPCalibEqFull!$AZ$2:$BB$56,3),IF(I2972="TDN",VLOOKUP(AF2972,TNCalibEqFull!$AZ$1:$BB$56,3),IF(I2972="TN",VLOOKUP(AF2972,TNCalibEqFull!$AZ$1:$BB$56,3),FALSE))))</f>
        <v>0</v>
      </c>
      <c r="AV2972" s="10" t="str">
        <f t="shared" si="340"/>
        <v>0213 12:22:00-ELI-0-C-1-SW-DUP</v>
      </c>
    </row>
    <row r="2973" spans="1:48" s="10" customFormat="1" x14ac:dyDescent="0.55000000000000004">
      <c r="A2973" s="32">
        <v>44970</v>
      </c>
      <c r="B2973" s="33">
        <v>0.51527777777777783</v>
      </c>
      <c r="C2973" s="10" t="s">
        <v>310</v>
      </c>
      <c r="D2973" s="10">
        <v>0</v>
      </c>
      <c r="E2973" s="10" t="s">
        <v>190</v>
      </c>
      <c r="F2973" s="10">
        <v>1</v>
      </c>
      <c r="G2973" s="10" t="s">
        <v>231</v>
      </c>
      <c r="H2973" s="10" t="s">
        <v>314</v>
      </c>
      <c r="I2973" s="10" t="s">
        <v>75</v>
      </c>
      <c r="J2973" s="10">
        <v>51</v>
      </c>
      <c r="K2973" s="12">
        <v>44972</v>
      </c>
      <c r="L2973" s="33">
        <v>0.50695601851851857</v>
      </c>
      <c r="M2973" s="10">
        <v>1</v>
      </c>
      <c r="N2973" s="10" t="s">
        <v>76</v>
      </c>
      <c r="O2973" s="10">
        <v>10.8</v>
      </c>
      <c r="P2973" s="10">
        <v>0.86299999999999999</v>
      </c>
      <c r="Q2973" s="10">
        <v>642</v>
      </c>
      <c r="R2973" s="10" t="s">
        <v>77</v>
      </c>
      <c r="S2973" s="34">
        <f t="shared" si="337"/>
        <v>642</v>
      </c>
      <c r="T2973" s="10" t="s">
        <v>1213</v>
      </c>
      <c r="U2973" s="34">
        <f t="shared" si="338"/>
        <v>102.4144</v>
      </c>
      <c r="V2973" s="31">
        <f>IF(H2973="CHK",VLOOKUP(I2973,QCCHK,3,),IF(H2973="GUP",VLOOKUP(E2973,QCGUP,2,),IF(AND(H2973="ATP",OR(I2973="TN",I2973="TDN",I2973="TNO2-3",I2973="NO2-3")),VLOOKUP(E2973,QCREC_N,2,),IF(AND(H2973="NIC",OR(I2973="TN",I2973="TDN",I2973="TNO2-3",I2973="NO2-3")),VLOOKUP(E2973,QCNIC_N,2,),IF(AND(H2973="UREA",OR(I2973="TN",I2973="TDN",I2973="TNO2-3",I2973="NO2-3")),VLOOKUP(E2973,QCUREA_N,2,),IF(H2973="PER",VLOOKUP(I2973,QCPER,MATCH(E2973,QCACTUAL!$J$25:$AA$25,0),),IF(H2973="SPK",VLOOKUP(I2973,QCSPK,3,),IF(AND(H2973="ATP",OR(I2973="TP",I2973="TDP")),VLOOKUP(E2973,QCATP_P,2,),""))))))))</f>
        <v>625</v>
      </c>
      <c r="W2973" s="31" t="str">
        <f t="shared" si="339"/>
        <v>TRUE</v>
      </c>
      <c r="X2973" s="31" t="str">
        <f t="shared" si="336"/>
        <v>([spikedunkn]-[unkn])/[spike]*100</v>
      </c>
      <c r="Y2973" s="10" t="s">
        <v>1206</v>
      </c>
      <c r="Z2973" s="10" t="s">
        <v>910</v>
      </c>
      <c r="AL2973" s="10" t="str">
        <f t="shared" si="334"/>
        <v>FALSE</v>
      </c>
      <c r="AM2973" s="10" t="str">
        <f t="shared" si="334"/>
        <v>FALSE</v>
      </c>
      <c r="AN2973" s="10" t="str">
        <f t="shared" si="334"/>
        <v>FALSE</v>
      </c>
      <c r="AO2973" s="10" t="str">
        <f t="shared" si="335"/>
        <v>FALSE</v>
      </c>
      <c r="AP2973" s="10" t="str">
        <f t="shared" si="335"/>
        <v>FALSE</v>
      </c>
      <c r="AQ2973" s="10" t="b">
        <f>IF(AND(I2973="TP",S2973&lt;=150),VLOOKUP(AF2973,TPCalibEq150!$AZ$2:$BB$55,3,),IF(AND(I2973="TDP",S2973&lt;=150),VLOOKUP(AF2973,TPCalibEq150!$AZ$2:$BB$55,3,)))</f>
        <v>0</v>
      </c>
      <c r="AR2973" s="10" t="b">
        <f>IF(AND(I2973="TP",S2973&lt;=300),VLOOKUP(AF2973,TPCalibEq300!$AZ$2:$BB$55,3,),IF(AND(I2973="TDP",S2973&lt;=300),VLOOKUP(AF2973,TPCalibEq300!$AZ$2:$BB$55,3,)))</f>
        <v>0</v>
      </c>
      <c r="AS2973" s="10" t="b">
        <f>IF(AND(I2973="TP",S2973&lt;=500),VLOOKUP(AF2973,TPCalibEq500!$AZ$2:$BB$56,3,),IF(AND(I2973="TDP",S2973&lt;=500),VLOOKUP(AF2973,TPCalibEq500!$AZ$2:$BB$56,3,)))</f>
        <v>0</v>
      </c>
      <c r="AT2973" s="10" t="b">
        <f>IF(AND(I2973="TN",S2973&lt;=2800),VLOOKUP(AF2973,TNCalibEq2500!$AZ$2:$BB$56,3,),IF(AND(I2973="TDN",S2973&lt;=2800),VLOOKUP(AF2973,TNCalibEq2500!$AZ$2:$BB$56,3,)))</f>
        <v>0</v>
      </c>
      <c r="AU2973" s="10" t="b">
        <f>IF(I2973="TP",VLOOKUP(AF2973,TPCalibEqFull!$AZ$2:$BB$56,3),IF(I2973="TDP",VLOOKUP(AF2973,TPCalibEqFull!$AZ$2:$BB$56,3),IF(I2973="TDN",VLOOKUP(AF2973,TNCalibEqFull!$AZ$1:$BB$56,3),IF(I2973="TN",VLOOKUP(AF2973,TNCalibEqFull!$AZ$1:$BB$56,3),FALSE))))</f>
        <v>0</v>
      </c>
      <c r="AV2973" s="10" t="str">
        <f t="shared" si="340"/>
        <v>0213 12:22:00-ELI-0-C-1-SW-SPK</v>
      </c>
    </row>
    <row r="2974" spans="1:48" s="10" customFormat="1" x14ac:dyDescent="0.55000000000000004">
      <c r="A2974" s="32">
        <v>44972</v>
      </c>
      <c r="B2974" s="33">
        <v>0.375</v>
      </c>
      <c r="C2974" s="10" t="s">
        <v>70</v>
      </c>
      <c r="D2974" s="10" t="s">
        <v>71</v>
      </c>
      <c r="E2974" s="10" t="s">
        <v>901</v>
      </c>
      <c r="F2974" s="10">
        <v>1</v>
      </c>
      <c r="G2974" s="10" t="s">
        <v>73</v>
      </c>
      <c r="H2974" s="10" t="s">
        <v>207</v>
      </c>
      <c r="I2974" s="10" t="s">
        <v>75</v>
      </c>
      <c r="J2974" s="10">
        <v>199</v>
      </c>
      <c r="K2974" s="12">
        <v>44972</v>
      </c>
      <c r="L2974" s="33">
        <v>0.50777777777777777</v>
      </c>
      <c r="M2974" s="10">
        <v>1</v>
      </c>
      <c r="N2974" s="10" t="s">
        <v>76</v>
      </c>
      <c r="O2974" s="10">
        <v>4.91</v>
      </c>
      <c r="P2974" s="10">
        <v>0.39100000000000001</v>
      </c>
      <c r="Q2974" s="10">
        <v>293</v>
      </c>
      <c r="R2974" s="10" t="s">
        <v>77</v>
      </c>
      <c r="S2974" s="34">
        <f t="shared" si="337"/>
        <v>293</v>
      </c>
      <c r="T2974" s="10" t="s">
        <v>1213</v>
      </c>
      <c r="U2974" s="34">
        <f t="shared" si="338"/>
        <v>97.666666666666671</v>
      </c>
      <c r="V2974" s="31">
        <f>IF(H2974="CHK",VLOOKUP(I2974,QCCHK,3,),IF(H2974="GUP",VLOOKUP(E2974,QCGUP,2,),IF(AND(H2974="ATP",OR(I2974="TN",I2974="TDN",I2974="TNO2-3",I2974="NO2-3")),VLOOKUP(E2974,QCREC_N,2,),IF(AND(H2974="NIC",OR(I2974="TN",I2974="TDN",I2974="TNO2-3",I2974="NO2-3")),VLOOKUP(E2974,QCNIC_N,2,),IF(AND(H2974="UREA",OR(I2974="TN",I2974="TDN",I2974="TNO2-3",I2974="NO2-3")),VLOOKUP(E2974,QCUREA_N,2,),IF(H2974="PER",VLOOKUP(I2974,QCPER,MATCH(E2974,QCACTUAL!$J$25:$AA$25,0),),IF(H2974="SPK",VLOOKUP(I2974,QCSPK,3,),IF(AND(H2974="ATP",OR(I2974="TP",I2974="TDP")),VLOOKUP(E2974,QCATP_P,2,),""))))))))</f>
        <v>300</v>
      </c>
      <c r="W2974" s="31" t="str">
        <f t="shared" si="339"/>
        <v>TRUE</v>
      </c>
      <c r="X2974" s="31" t="str">
        <f t="shared" si="336"/>
        <v>[chk]/[actual]*100</v>
      </c>
      <c r="Y2974" s="10" t="s">
        <v>1206</v>
      </c>
      <c r="AL2974" s="10" t="str">
        <f t="shared" si="334"/>
        <v>FALSE</v>
      </c>
      <c r="AM2974" s="10" t="str">
        <f t="shared" si="334"/>
        <v>FALSE</v>
      </c>
      <c r="AN2974" s="10" t="str">
        <f t="shared" si="334"/>
        <v>FALSE</v>
      </c>
      <c r="AO2974" s="10" t="str">
        <f t="shared" si="335"/>
        <v>FALSE</v>
      </c>
      <c r="AP2974" s="10" t="str">
        <f t="shared" si="335"/>
        <v>FALSE</v>
      </c>
      <c r="AQ2974" s="10" t="b">
        <f>IF(AND(I2974="TP",S2974&lt;=150),VLOOKUP(AF2974,TPCalibEq150!$AZ$2:$BB$55,3,),IF(AND(I2974="TDP",S2974&lt;=150),VLOOKUP(AF2974,TPCalibEq150!$AZ$2:$BB$55,3,)))</f>
        <v>0</v>
      </c>
      <c r="AR2974" s="10" t="b">
        <f>IF(AND(I2974="TP",S2974&lt;=300),VLOOKUP(AF2974,TPCalibEq300!$AZ$2:$BB$55,3,),IF(AND(I2974="TDP",S2974&lt;=300),VLOOKUP(AF2974,TPCalibEq300!$AZ$2:$BB$55,3,)))</f>
        <v>0</v>
      </c>
      <c r="AS2974" s="10" t="b">
        <f>IF(AND(I2974="TP",S2974&lt;=500),VLOOKUP(AF2974,TPCalibEq500!$AZ$2:$BB$56,3,),IF(AND(I2974="TDP",S2974&lt;=500),VLOOKUP(AF2974,TPCalibEq500!$AZ$2:$BB$56,3,)))</f>
        <v>0</v>
      </c>
      <c r="AT2974" s="10" t="b">
        <f>IF(AND(I2974="TN",S2974&lt;=2800),VLOOKUP(AF2974,TNCalibEq2500!$AZ$2:$BB$56,3,),IF(AND(I2974="TDN",S2974&lt;=2800),VLOOKUP(AF2974,TNCalibEq2500!$AZ$2:$BB$56,3,)))</f>
        <v>0</v>
      </c>
      <c r="AU2974" s="10" t="b">
        <f>IF(I2974="TP",VLOOKUP(AF2974,TPCalibEqFull!$AZ$2:$BB$56,3),IF(I2974="TDP",VLOOKUP(AF2974,TPCalibEqFull!$AZ$2:$BB$56,3),IF(I2974="TDN",VLOOKUP(AF2974,TNCalibEqFull!$AZ$1:$BB$56,3),IF(I2974="TN",VLOOKUP(AF2974,TNCalibEqFull!$AZ$1:$BB$56,3),FALSE))))</f>
        <v>0</v>
      </c>
      <c r="AV2974" s="10" t="str">
        <f t="shared" si="340"/>
        <v>0215 09:00:00-QAC-STD-D-1-DI-CHK</v>
      </c>
    </row>
    <row r="2975" spans="1:48" s="10" customFormat="1" x14ac:dyDescent="0.55000000000000004">
      <c r="A2975" s="32">
        <v>44965</v>
      </c>
      <c r="C2975" s="10" t="s">
        <v>279</v>
      </c>
      <c r="D2975" s="10">
        <v>0</v>
      </c>
      <c r="E2975" s="10" t="s">
        <v>911</v>
      </c>
      <c r="F2975" s="10">
        <v>1</v>
      </c>
      <c r="G2975" s="10" t="s">
        <v>231</v>
      </c>
      <c r="H2975" s="10" t="s">
        <v>322</v>
      </c>
      <c r="I2975" s="10" t="s">
        <v>183</v>
      </c>
      <c r="J2975" s="10">
        <v>25</v>
      </c>
      <c r="K2975" s="12">
        <v>44972</v>
      </c>
      <c r="L2975" s="33">
        <v>0.50859953703703698</v>
      </c>
      <c r="M2975" s="10">
        <v>1</v>
      </c>
      <c r="N2975" s="10" t="s">
        <v>76</v>
      </c>
      <c r="O2975" s="10">
        <v>2.62</v>
      </c>
      <c r="P2975" s="10">
        <v>0.21099999999999999</v>
      </c>
      <c r="Q2975" s="10">
        <v>157</v>
      </c>
      <c r="R2975" s="10" t="s">
        <v>77</v>
      </c>
      <c r="S2975" s="34">
        <f t="shared" si="337"/>
        <v>157</v>
      </c>
      <c r="T2975" s="10" t="s">
        <v>1213</v>
      </c>
      <c r="U2975" s="34" t="str">
        <f t="shared" si="338"/>
        <v/>
      </c>
      <c r="V2975" s="31" t="str">
        <f>IF(H2975="CHK",VLOOKUP(I2975,QCCHK,3,),IF(H2975="GUP",VLOOKUP(E2975,QCGUP,2,),IF(AND(H2975="ATP",OR(I2975="TN",I2975="TDN",I2975="TNO2-3",I2975="NO2-3")),VLOOKUP(E2975,QCREC_N,2,),IF(AND(H2975="NIC",OR(I2975="TN",I2975="TDN",I2975="TNO2-3",I2975="NO2-3")),VLOOKUP(E2975,QCNIC_N,2,),IF(AND(H2975="UREA",OR(I2975="TN",I2975="TDN",I2975="TNO2-3",I2975="NO2-3")),VLOOKUP(E2975,QCUREA_N,2,),IF(H2975="PER",VLOOKUP(I2975,QCPER,MATCH(E2975,QCACTUAL!$J$25:$AA$25,0),),IF(H2975="SPK",VLOOKUP(I2975,QCSPK,3,),IF(AND(H2975="ATP",OR(I2975="TP",I2975="TDP")),VLOOKUP(E2975,QCATP_P,2,),""))))))))</f>
        <v/>
      </c>
      <c r="W2975" s="31" t="str">
        <f t="shared" si="339"/>
        <v>TRUE</v>
      </c>
      <c r="X2975" s="31" t="str">
        <f t="shared" si="336"/>
        <v/>
      </c>
      <c r="Y2975" s="10" t="s">
        <v>1206</v>
      </c>
      <c r="Z2975" s="10" t="s">
        <v>910</v>
      </c>
      <c r="AL2975" s="10" t="str">
        <f t="shared" si="334"/>
        <v>FALSE</v>
      </c>
      <c r="AM2975" s="10" t="str">
        <f t="shared" si="334"/>
        <v>FALSE</v>
      </c>
      <c r="AN2975" s="10" t="str">
        <f t="shared" si="334"/>
        <v>FALSE</v>
      </c>
      <c r="AO2975" s="10" t="str">
        <f t="shared" si="335"/>
        <v>FALSE</v>
      </c>
      <c r="AP2975" s="10" t="str">
        <f t="shared" si="335"/>
        <v>FALSE</v>
      </c>
      <c r="AQ2975" s="10" t="b">
        <f>IF(AND(I2975="TP",S2975&lt;=150),VLOOKUP(AF2975,TPCalibEq150!$AZ$2:$BB$55,3,),IF(AND(I2975="TDP",S2975&lt;=150),VLOOKUP(AF2975,TPCalibEq150!$AZ$2:$BB$55,3,)))</f>
        <v>0</v>
      </c>
      <c r="AR2975" s="10" t="b">
        <f>IF(AND(I2975="TP",S2975&lt;=300),VLOOKUP(AF2975,TPCalibEq300!$AZ$2:$BB$55,3,),IF(AND(I2975="TDP",S2975&lt;=300),VLOOKUP(AF2975,TPCalibEq300!$AZ$2:$BB$55,3,)))</f>
        <v>0</v>
      </c>
      <c r="AS2975" s="10" t="b">
        <f>IF(AND(I2975="TP",S2975&lt;=500),VLOOKUP(AF2975,TPCalibEq500!$AZ$2:$BB$56,3,),IF(AND(I2975="TDP",S2975&lt;=500),VLOOKUP(AF2975,TPCalibEq500!$AZ$2:$BB$56,3,)))</f>
        <v>0</v>
      </c>
      <c r="AT2975" s="10" t="b">
        <f>IF(AND(I2975="TN",S2975&lt;=2800),VLOOKUP(AF2975,TNCalibEq2500!$AZ$2:$BB$56,3,),IF(AND(I2975="TDN",S2975&lt;=2800),VLOOKUP(AF2975,TNCalibEq2500!$AZ$2:$BB$56,3,)))</f>
        <v>0</v>
      </c>
      <c r="AU2975" s="10" t="b">
        <f>IF(I2975="TP",VLOOKUP(AF2975,TPCalibEqFull!$AZ$2:$BB$56,3),IF(I2975="TDP",VLOOKUP(AF2975,TPCalibEqFull!$AZ$2:$BB$56,3),IF(I2975="TDN",VLOOKUP(AF2975,TNCalibEqFull!$AZ$1:$BB$56,3),IF(I2975="TN",VLOOKUP(AF2975,TNCalibEqFull!$AZ$1:$BB$56,3),FALSE))))</f>
        <v>0</v>
      </c>
      <c r="AV2975" s="10" t="str">
        <f t="shared" si="340"/>
        <v>0208 00:00:00-EFK-0-FIL-1-SW-UKN</v>
      </c>
    </row>
    <row r="2976" spans="1:48" s="10" customFormat="1" x14ac:dyDescent="0.55000000000000004">
      <c r="A2976" s="32">
        <v>44965</v>
      </c>
      <c r="B2976" s="33">
        <v>0.24166666666666667</v>
      </c>
      <c r="C2976" s="10" t="s">
        <v>333</v>
      </c>
      <c r="D2976" s="10">
        <v>0</v>
      </c>
      <c r="E2976" s="10" t="s">
        <v>911</v>
      </c>
      <c r="F2976" s="10">
        <v>1</v>
      </c>
      <c r="G2976" s="10" t="s">
        <v>231</v>
      </c>
      <c r="H2976" s="10" t="s">
        <v>322</v>
      </c>
      <c r="I2976" s="10" t="s">
        <v>183</v>
      </c>
      <c r="J2976" s="10">
        <v>26</v>
      </c>
      <c r="K2976" s="12">
        <v>44972</v>
      </c>
      <c r="L2976" s="33">
        <v>0.50940972222222225</v>
      </c>
      <c r="M2976" s="10">
        <v>1</v>
      </c>
      <c r="N2976" s="10" t="s">
        <v>76</v>
      </c>
      <c r="O2976" s="10">
        <v>0.13</v>
      </c>
      <c r="P2976" s="10">
        <v>1.1299999999999999E-2</v>
      </c>
      <c r="Q2976" s="10">
        <v>7.8</v>
      </c>
      <c r="R2976" s="10" t="s">
        <v>77</v>
      </c>
      <c r="S2976" s="34">
        <f t="shared" si="337"/>
        <v>7.8</v>
      </c>
      <c r="T2976" s="10" t="s">
        <v>1213</v>
      </c>
      <c r="U2976" s="34" t="str">
        <f t="shared" si="338"/>
        <v/>
      </c>
      <c r="V2976" s="31" t="str">
        <f>IF(H2976="CHK",VLOOKUP(I2976,QCCHK,3,),IF(H2976="GUP",VLOOKUP(E2976,QCGUP,2,),IF(AND(H2976="ATP",OR(I2976="TN",I2976="TDN",I2976="TNO2-3",I2976="NO2-3")),VLOOKUP(E2976,QCREC_N,2,),IF(AND(H2976="NIC",OR(I2976="TN",I2976="TDN",I2976="TNO2-3",I2976="NO2-3")),VLOOKUP(E2976,QCNIC_N,2,),IF(AND(H2976="UREA",OR(I2976="TN",I2976="TDN",I2976="TNO2-3",I2976="NO2-3")),VLOOKUP(E2976,QCUREA_N,2,),IF(H2976="PER",VLOOKUP(I2976,QCPER,MATCH(E2976,QCACTUAL!$J$25:$AA$25,0),),IF(H2976="SPK",VLOOKUP(I2976,QCSPK,3,),IF(AND(H2976="ATP",OR(I2976="TP",I2976="TDP")),VLOOKUP(E2976,QCATP_P,2,),""))))))))</f>
        <v/>
      </c>
      <c r="W2976" s="31" t="str">
        <f t="shared" si="339"/>
        <v>TRUE</v>
      </c>
      <c r="X2976" s="31" t="str">
        <f t="shared" si="336"/>
        <v/>
      </c>
      <c r="Y2976" s="10" t="s">
        <v>1206</v>
      </c>
      <c r="Z2976" s="10" t="s">
        <v>910</v>
      </c>
      <c r="AL2976" s="10" t="str">
        <f t="shared" si="334"/>
        <v>FALSE</v>
      </c>
      <c r="AM2976" s="10" t="str">
        <f t="shared" si="334"/>
        <v>FALSE</v>
      </c>
      <c r="AN2976" s="10" t="str">
        <f t="shared" si="334"/>
        <v>FALSE</v>
      </c>
      <c r="AO2976" s="10" t="str">
        <f t="shared" si="335"/>
        <v>FALSE</v>
      </c>
      <c r="AP2976" s="10" t="str">
        <f t="shared" si="335"/>
        <v>FALSE</v>
      </c>
      <c r="AQ2976" s="10" t="b">
        <f>IF(AND(I2976="TP",S2976&lt;=150),VLOOKUP(AF2976,TPCalibEq150!$AZ$2:$BB$55,3,),IF(AND(I2976="TDP",S2976&lt;=150),VLOOKUP(AF2976,TPCalibEq150!$AZ$2:$BB$55,3,)))</f>
        <v>0</v>
      </c>
      <c r="AR2976" s="10" t="b">
        <f>IF(AND(I2976="TP",S2976&lt;=300),VLOOKUP(AF2976,TPCalibEq300!$AZ$2:$BB$55,3,),IF(AND(I2976="TDP",S2976&lt;=300),VLOOKUP(AF2976,TPCalibEq300!$AZ$2:$BB$55,3,)))</f>
        <v>0</v>
      </c>
      <c r="AS2976" s="10" t="b">
        <f>IF(AND(I2976="TP",S2976&lt;=500),VLOOKUP(AF2976,TPCalibEq500!$AZ$2:$BB$56,3,),IF(AND(I2976="TDP",S2976&lt;=500),VLOOKUP(AF2976,TPCalibEq500!$AZ$2:$BB$56,3,)))</f>
        <v>0</v>
      </c>
      <c r="AT2976" s="10" t="b">
        <f>IF(AND(I2976="TN",S2976&lt;=2800),VLOOKUP(AF2976,TNCalibEq2500!$AZ$2:$BB$56,3,),IF(AND(I2976="TDN",S2976&lt;=2800),VLOOKUP(AF2976,TNCalibEq2500!$AZ$2:$BB$56,3,)))</f>
        <v>0</v>
      </c>
      <c r="AU2976" s="10" t="b">
        <f>IF(I2976="TP",VLOOKUP(AF2976,TPCalibEqFull!$AZ$2:$BB$56,3),IF(I2976="TDP",VLOOKUP(AF2976,TPCalibEqFull!$AZ$2:$BB$56,3),IF(I2976="TDN",VLOOKUP(AF2976,TNCalibEqFull!$AZ$1:$BB$56,3),IF(I2976="TN",VLOOKUP(AF2976,TNCalibEqFull!$AZ$1:$BB$56,3),FALSE))))</f>
        <v>0</v>
      </c>
      <c r="AV2976" s="10" t="str">
        <f t="shared" si="340"/>
        <v>0208 05:48:00-HST-0-FIL-1-SW-UKN</v>
      </c>
    </row>
    <row r="2977" spans="1:48" s="10" customFormat="1" x14ac:dyDescent="0.55000000000000004">
      <c r="A2977" s="32">
        <v>44966</v>
      </c>
      <c r="B2977" s="33">
        <v>0.41041666666666665</v>
      </c>
      <c r="C2977" s="10" t="s">
        <v>279</v>
      </c>
      <c r="D2977" s="10">
        <v>0</v>
      </c>
      <c r="E2977" s="10" t="s">
        <v>911</v>
      </c>
      <c r="F2977" s="10">
        <v>1</v>
      </c>
      <c r="G2977" s="10" t="s">
        <v>231</v>
      </c>
      <c r="H2977" s="10" t="s">
        <v>322</v>
      </c>
      <c r="I2977" s="10" t="s">
        <v>183</v>
      </c>
      <c r="J2977" s="10">
        <v>27</v>
      </c>
      <c r="K2977" s="12">
        <v>44972</v>
      </c>
      <c r="L2977" s="33">
        <v>0.51021990740740741</v>
      </c>
      <c r="M2977" s="10">
        <v>1</v>
      </c>
      <c r="N2977" s="10" t="s">
        <v>76</v>
      </c>
      <c r="O2977" s="10">
        <v>0.51100000000000001</v>
      </c>
      <c r="P2977" s="10">
        <v>4.1500000000000002E-2</v>
      </c>
      <c r="Q2977" s="10">
        <v>30.6</v>
      </c>
      <c r="R2977" s="10" t="s">
        <v>77</v>
      </c>
      <c r="S2977" s="34">
        <f t="shared" si="337"/>
        <v>30.6</v>
      </c>
      <c r="T2977" s="10" t="s">
        <v>1213</v>
      </c>
      <c r="U2977" s="34" t="str">
        <f t="shared" si="338"/>
        <v/>
      </c>
      <c r="V2977" s="31" t="str">
        <f>IF(H2977="CHK",VLOOKUP(I2977,QCCHK,3,),IF(H2977="GUP",VLOOKUP(E2977,QCGUP,2,),IF(AND(H2977="ATP",OR(I2977="TN",I2977="TDN",I2977="TNO2-3",I2977="NO2-3")),VLOOKUP(E2977,QCREC_N,2,),IF(AND(H2977="NIC",OR(I2977="TN",I2977="TDN",I2977="TNO2-3",I2977="NO2-3")),VLOOKUP(E2977,QCNIC_N,2,),IF(AND(H2977="UREA",OR(I2977="TN",I2977="TDN",I2977="TNO2-3",I2977="NO2-3")),VLOOKUP(E2977,QCUREA_N,2,),IF(H2977="PER",VLOOKUP(I2977,QCPER,MATCH(E2977,QCACTUAL!$J$25:$AA$25,0),),IF(H2977="SPK",VLOOKUP(I2977,QCSPK,3,),IF(AND(H2977="ATP",OR(I2977="TP",I2977="TDP")),VLOOKUP(E2977,QCATP_P,2,),""))))))))</f>
        <v/>
      </c>
      <c r="W2977" s="31" t="str">
        <f t="shared" si="339"/>
        <v>TRUE</v>
      </c>
      <c r="X2977" s="31" t="str">
        <f t="shared" si="336"/>
        <v/>
      </c>
      <c r="Y2977" s="10" t="s">
        <v>1206</v>
      </c>
      <c r="Z2977" s="10" t="s">
        <v>910</v>
      </c>
      <c r="AL2977" s="10" t="str">
        <f t="shared" si="334"/>
        <v>FALSE</v>
      </c>
      <c r="AM2977" s="10" t="str">
        <f t="shared" si="334"/>
        <v>FALSE</v>
      </c>
      <c r="AN2977" s="10" t="str">
        <f t="shared" si="334"/>
        <v>FALSE</v>
      </c>
      <c r="AO2977" s="10" t="str">
        <f t="shared" si="335"/>
        <v>FALSE</v>
      </c>
      <c r="AP2977" s="10" t="str">
        <f t="shared" si="335"/>
        <v>FALSE</v>
      </c>
      <c r="AQ2977" s="10" t="b">
        <f>IF(AND(I2977="TP",S2977&lt;=150),VLOOKUP(AF2977,TPCalibEq150!$AZ$2:$BB$55,3,),IF(AND(I2977="TDP",S2977&lt;=150),VLOOKUP(AF2977,TPCalibEq150!$AZ$2:$BB$55,3,)))</f>
        <v>0</v>
      </c>
      <c r="AR2977" s="10" t="b">
        <f>IF(AND(I2977="TP",S2977&lt;=300),VLOOKUP(AF2977,TPCalibEq300!$AZ$2:$BB$55,3,),IF(AND(I2977="TDP",S2977&lt;=300),VLOOKUP(AF2977,TPCalibEq300!$AZ$2:$BB$55,3,)))</f>
        <v>0</v>
      </c>
      <c r="AS2977" s="10" t="b">
        <f>IF(AND(I2977="TP",S2977&lt;=500),VLOOKUP(AF2977,TPCalibEq500!$AZ$2:$BB$56,3,),IF(AND(I2977="TDP",S2977&lt;=500),VLOOKUP(AF2977,TPCalibEq500!$AZ$2:$BB$56,3,)))</f>
        <v>0</v>
      </c>
      <c r="AT2977" s="10" t="b">
        <f>IF(AND(I2977="TN",S2977&lt;=2800),VLOOKUP(AF2977,TNCalibEq2500!$AZ$2:$BB$56,3,),IF(AND(I2977="TDN",S2977&lt;=2800),VLOOKUP(AF2977,TNCalibEq2500!$AZ$2:$BB$56,3,)))</f>
        <v>0</v>
      </c>
      <c r="AU2977" s="10" t="b">
        <f>IF(I2977="TP",VLOOKUP(AF2977,TPCalibEqFull!$AZ$2:$BB$56,3),IF(I2977="TDP",VLOOKUP(AF2977,TPCalibEqFull!$AZ$2:$BB$56,3),IF(I2977="TDN",VLOOKUP(AF2977,TNCalibEqFull!$AZ$1:$BB$56,3),IF(I2977="TN",VLOOKUP(AF2977,TNCalibEqFull!$AZ$1:$BB$56,3),FALSE))))</f>
        <v>0</v>
      </c>
      <c r="AV2977" s="10" t="str">
        <f t="shared" si="340"/>
        <v>0209 09:51:00-EFK-0-FIL-1-SW-UKN</v>
      </c>
    </row>
    <row r="2978" spans="1:48" s="10" customFormat="1" x14ac:dyDescent="0.55000000000000004">
      <c r="A2978" s="32">
        <v>44966</v>
      </c>
      <c r="B2978" s="33">
        <v>0.42708333333333331</v>
      </c>
      <c r="C2978" s="10" t="s">
        <v>333</v>
      </c>
      <c r="D2978" s="10">
        <v>0</v>
      </c>
      <c r="E2978" s="10" t="s">
        <v>911</v>
      </c>
      <c r="F2978" s="10">
        <v>1</v>
      </c>
      <c r="G2978" s="10" t="s">
        <v>231</v>
      </c>
      <c r="H2978" s="10" t="s">
        <v>322</v>
      </c>
      <c r="I2978" s="10" t="s">
        <v>183</v>
      </c>
      <c r="J2978" s="10">
        <v>28</v>
      </c>
      <c r="K2978" s="12">
        <v>44972</v>
      </c>
      <c r="L2978" s="33">
        <v>0.51103009259259258</v>
      </c>
      <c r="M2978" s="10">
        <v>1</v>
      </c>
      <c r="N2978" s="10" t="s">
        <v>76</v>
      </c>
      <c r="O2978" s="10">
        <v>9.98E-2</v>
      </c>
      <c r="P2978" s="10">
        <v>9.1000000000000004E-3</v>
      </c>
      <c r="Q2978" s="10">
        <v>5.98</v>
      </c>
      <c r="R2978" s="10" t="s">
        <v>77</v>
      </c>
      <c r="S2978" s="34">
        <f t="shared" si="337"/>
        <v>5.98</v>
      </c>
      <c r="T2978" s="10" t="s">
        <v>1213</v>
      </c>
      <c r="U2978" s="34" t="str">
        <f t="shared" si="338"/>
        <v/>
      </c>
      <c r="V2978" s="31" t="str">
        <f>IF(H2978="CHK",VLOOKUP(I2978,QCCHK,3,),IF(H2978="GUP",VLOOKUP(E2978,QCGUP,2,),IF(AND(H2978="ATP",OR(I2978="TN",I2978="TDN",I2978="TNO2-3",I2978="NO2-3")),VLOOKUP(E2978,QCREC_N,2,),IF(AND(H2978="NIC",OR(I2978="TN",I2978="TDN",I2978="TNO2-3",I2978="NO2-3")),VLOOKUP(E2978,QCNIC_N,2,),IF(AND(H2978="UREA",OR(I2978="TN",I2978="TDN",I2978="TNO2-3",I2978="NO2-3")),VLOOKUP(E2978,QCUREA_N,2,),IF(H2978="PER",VLOOKUP(I2978,QCPER,MATCH(E2978,QCACTUAL!$J$25:$AA$25,0),),IF(H2978="SPK",VLOOKUP(I2978,QCSPK,3,),IF(AND(H2978="ATP",OR(I2978="TP",I2978="TDP")),VLOOKUP(E2978,QCATP_P,2,),""))))))))</f>
        <v/>
      </c>
      <c r="W2978" s="31" t="str">
        <f t="shared" si="339"/>
        <v>TRUE</v>
      </c>
      <c r="X2978" s="31" t="str">
        <f t="shared" si="336"/>
        <v/>
      </c>
      <c r="Y2978" s="10" t="s">
        <v>1206</v>
      </c>
      <c r="Z2978" s="10" t="s">
        <v>910</v>
      </c>
      <c r="AL2978" s="10" t="str">
        <f t="shared" si="334"/>
        <v>FALSE</v>
      </c>
      <c r="AM2978" s="10" t="str">
        <f t="shared" si="334"/>
        <v>FALSE</v>
      </c>
      <c r="AN2978" s="10" t="str">
        <f t="shared" si="334"/>
        <v>FALSE</v>
      </c>
      <c r="AO2978" s="10" t="str">
        <f t="shared" si="335"/>
        <v>FALSE</v>
      </c>
      <c r="AP2978" s="10" t="str">
        <f t="shared" si="335"/>
        <v>FALSE</v>
      </c>
      <c r="AQ2978" s="10" t="b">
        <f>IF(AND(I2978="TP",S2978&lt;=150),VLOOKUP(AF2978,TPCalibEq150!$AZ$2:$BB$55,3,),IF(AND(I2978="TDP",S2978&lt;=150),VLOOKUP(AF2978,TPCalibEq150!$AZ$2:$BB$55,3,)))</f>
        <v>0</v>
      </c>
      <c r="AR2978" s="10" t="b">
        <f>IF(AND(I2978="TP",S2978&lt;=300),VLOOKUP(AF2978,TPCalibEq300!$AZ$2:$BB$55,3,),IF(AND(I2978="TDP",S2978&lt;=300),VLOOKUP(AF2978,TPCalibEq300!$AZ$2:$BB$55,3,)))</f>
        <v>0</v>
      </c>
      <c r="AS2978" s="10" t="b">
        <f>IF(AND(I2978="TP",S2978&lt;=500),VLOOKUP(AF2978,TPCalibEq500!$AZ$2:$BB$56,3,),IF(AND(I2978="TDP",S2978&lt;=500),VLOOKUP(AF2978,TPCalibEq500!$AZ$2:$BB$56,3,)))</f>
        <v>0</v>
      </c>
      <c r="AT2978" s="10" t="b">
        <f>IF(AND(I2978="TN",S2978&lt;=2800),VLOOKUP(AF2978,TNCalibEq2500!$AZ$2:$BB$56,3,),IF(AND(I2978="TDN",S2978&lt;=2800),VLOOKUP(AF2978,TNCalibEq2500!$AZ$2:$BB$56,3,)))</f>
        <v>0</v>
      </c>
      <c r="AU2978" s="10" t="b">
        <f>IF(I2978="TP",VLOOKUP(AF2978,TPCalibEqFull!$AZ$2:$BB$56,3),IF(I2978="TDP",VLOOKUP(AF2978,TPCalibEqFull!$AZ$2:$BB$56,3),IF(I2978="TDN",VLOOKUP(AF2978,TNCalibEqFull!$AZ$1:$BB$56,3),IF(I2978="TN",VLOOKUP(AF2978,TNCalibEqFull!$AZ$1:$BB$56,3),FALSE))))</f>
        <v>0</v>
      </c>
      <c r="AV2978" s="10" t="str">
        <f t="shared" si="340"/>
        <v>0209 10:15:00-HST-0-FIL-1-SW-UKN</v>
      </c>
    </row>
    <row r="2979" spans="1:48" s="10" customFormat="1" x14ac:dyDescent="0.55000000000000004">
      <c r="A2979" s="32">
        <v>44967</v>
      </c>
      <c r="B2979" s="33">
        <v>0.59791666666666665</v>
      </c>
      <c r="C2979" s="10" t="s">
        <v>279</v>
      </c>
      <c r="D2979" s="10">
        <v>0</v>
      </c>
      <c r="E2979" s="10" t="s">
        <v>911</v>
      </c>
      <c r="F2979" s="10">
        <v>1</v>
      </c>
      <c r="G2979" s="10" t="s">
        <v>231</v>
      </c>
      <c r="H2979" s="10" t="s">
        <v>322</v>
      </c>
      <c r="I2979" s="10" t="s">
        <v>183</v>
      </c>
      <c r="J2979" s="10">
        <v>29</v>
      </c>
      <c r="K2979" s="12">
        <v>44972</v>
      </c>
      <c r="L2979" s="33">
        <v>0.51184027777777785</v>
      </c>
      <c r="M2979" s="10">
        <v>1</v>
      </c>
      <c r="N2979" s="10" t="s">
        <v>76</v>
      </c>
      <c r="O2979" s="10">
        <v>0.36399999999999999</v>
      </c>
      <c r="P2979" s="10">
        <v>3.1E-2</v>
      </c>
      <c r="Q2979" s="10">
        <v>21.8</v>
      </c>
      <c r="R2979" s="10" t="s">
        <v>77</v>
      </c>
      <c r="S2979" s="34">
        <f t="shared" si="337"/>
        <v>21.8</v>
      </c>
      <c r="T2979" s="10" t="s">
        <v>1213</v>
      </c>
      <c r="U2979" s="34" t="str">
        <f t="shared" si="338"/>
        <v/>
      </c>
      <c r="V2979" s="31" t="str">
        <f>IF(H2979="CHK",VLOOKUP(I2979,QCCHK,3,),IF(H2979="GUP",VLOOKUP(E2979,QCGUP,2,),IF(AND(H2979="ATP",OR(I2979="TN",I2979="TDN",I2979="TNO2-3",I2979="NO2-3")),VLOOKUP(E2979,QCREC_N,2,),IF(AND(H2979="NIC",OR(I2979="TN",I2979="TDN",I2979="TNO2-3",I2979="NO2-3")),VLOOKUP(E2979,QCNIC_N,2,),IF(AND(H2979="UREA",OR(I2979="TN",I2979="TDN",I2979="TNO2-3",I2979="NO2-3")),VLOOKUP(E2979,QCUREA_N,2,),IF(H2979="PER",VLOOKUP(I2979,QCPER,MATCH(E2979,QCACTUAL!$J$25:$AA$25,0),),IF(H2979="SPK",VLOOKUP(I2979,QCSPK,3,),IF(AND(H2979="ATP",OR(I2979="TP",I2979="TDP")),VLOOKUP(E2979,QCATP_P,2,),""))))))))</f>
        <v/>
      </c>
      <c r="W2979" s="31" t="str">
        <f t="shared" si="339"/>
        <v>TRUE</v>
      </c>
      <c r="X2979" s="31" t="str">
        <f t="shared" si="336"/>
        <v/>
      </c>
      <c r="Y2979" s="10" t="s">
        <v>1206</v>
      </c>
      <c r="Z2979" s="10" t="s">
        <v>910</v>
      </c>
      <c r="AL2979" s="10" t="str">
        <f t="shared" si="334"/>
        <v>FALSE</v>
      </c>
      <c r="AM2979" s="10" t="str">
        <f t="shared" si="334"/>
        <v>FALSE</v>
      </c>
      <c r="AN2979" s="10" t="str">
        <f t="shared" si="334"/>
        <v>FALSE</v>
      </c>
      <c r="AO2979" s="10" t="str">
        <f t="shared" si="335"/>
        <v>FALSE</v>
      </c>
      <c r="AP2979" s="10" t="str">
        <f t="shared" si="335"/>
        <v>FALSE</v>
      </c>
      <c r="AQ2979" s="10" t="b">
        <f>IF(AND(I2979="TP",S2979&lt;=150),VLOOKUP(AF2979,TPCalibEq150!$AZ$2:$BB$55,3,),IF(AND(I2979="TDP",S2979&lt;=150),VLOOKUP(AF2979,TPCalibEq150!$AZ$2:$BB$55,3,)))</f>
        <v>0</v>
      </c>
      <c r="AR2979" s="10" t="b">
        <f>IF(AND(I2979="TP",S2979&lt;=300),VLOOKUP(AF2979,TPCalibEq300!$AZ$2:$BB$55,3,),IF(AND(I2979="TDP",S2979&lt;=300),VLOOKUP(AF2979,TPCalibEq300!$AZ$2:$BB$55,3,)))</f>
        <v>0</v>
      </c>
      <c r="AS2979" s="10" t="b">
        <f>IF(AND(I2979="TP",S2979&lt;=500),VLOOKUP(AF2979,TPCalibEq500!$AZ$2:$BB$56,3,),IF(AND(I2979="TDP",S2979&lt;=500),VLOOKUP(AF2979,TPCalibEq500!$AZ$2:$BB$56,3,)))</f>
        <v>0</v>
      </c>
      <c r="AT2979" s="10" t="b">
        <f>IF(AND(I2979="TN",S2979&lt;=2800),VLOOKUP(AF2979,TNCalibEq2500!$AZ$2:$BB$56,3,),IF(AND(I2979="TDN",S2979&lt;=2800),VLOOKUP(AF2979,TNCalibEq2500!$AZ$2:$BB$56,3,)))</f>
        <v>0</v>
      </c>
      <c r="AU2979" s="10" t="b">
        <f>IF(I2979="TP",VLOOKUP(AF2979,TPCalibEqFull!$AZ$2:$BB$56,3),IF(I2979="TDP",VLOOKUP(AF2979,TPCalibEqFull!$AZ$2:$BB$56,3),IF(I2979="TDN",VLOOKUP(AF2979,TNCalibEqFull!$AZ$1:$BB$56,3),IF(I2979="TN",VLOOKUP(AF2979,TNCalibEqFull!$AZ$1:$BB$56,3),FALSE))))</f>
        <v>0</v>
      </c>
      <c r="AV2979" s="10" t="str">
        <f t="shared" si="340"/>
        <v>0210 14:21:00-EFK-0-FIL-1-SW-UKN</v>
      </c>
    </row>
    <row r="2980" spans="1:48" s="10" customFormat="1" x14ac:dyDescent="0.55000000000000004">
      <c r="A2980" s="32">
        <v>44967</v>
      </c>
      <c r="B2980" s="33">
        <v>0.60069444444444442</v>
      </c>
      <c r="C2980" s="10" t="s">
        <v>333</v>
      </c>
      <c r="D2980" s="10">
        <v>0</v>
      </c>
      <c r="E2980" s="10" t="s">
        <v>911</v>
      </c>
      <c r="F2980" s="10">
        <v>1</v>
      </c>
      <c r="G2980" s="10" t="s">
        <v>231</v>
      </c>
      <c r="H2980" s="10" t="s">
        <v>322</v>
      </c>
      <c r="I2980" s="10" t="s">
        <v>183</v>
      </c>
      <c r="J2980" s="10">
        <v>30</v>
      </c>
      <c r="K2980" s="12">
        <v>44972</v>
      </c>
      <c r="L2980" s="33">
        <v>0.51263888888888887</v>
      </c>
      <c r="M2980" s="10">
        <v>1</v>
      </c>
      <c r="N2980" s="10" t="s">
        <v>76</v>
      </c>
      <c r="O2980" s="10">
        <v>0.42</v>
      </c>
      <c r="P2980" s="10">
        <v>3.4599999999999999E-2</v>
      </c>
      <c r="Q2980" s="10">
        <v>25.2</v>
      </c>
      <c r="R2980" s="10" t="s">
        <v>77</v>
      </c>
      <c r="S2980" s="34">
        <f t="shared" si="337"/>
        <v>25.2</v>
      </c>
      <c r="T2980" s="10" t="s">
        <v>1213</v>
      </c>
      <c r="U2980" s="34" t="str">
        <f t="shared" si="338"/>
        <v/>
      </c>
      <c r="V2980" s="31" t="str">
        <f>IF(H2980="CHK",VLOOKUP(I2980,QCCHK,3,),IF(H2980="GUP",VLOOKUP(E2980,QCGUP,2,),IF(AND(H2980="ATP",OR(I2980="TN",I2980="TDN",I2980="TNO2-3",I2980="NO2-3")),VLOOKUP(E2980,QCREC_N,2,),IF(AND(H2980="NIC",OR(I2980="TN",I2980="TDN",I2980="TNO2-3",I2980="NO2-3")),VLOOKUP(E2980,QCNIC_N,2,),IF(AND(H2980="UREA",OR(I2980="TN",I2980="TDN",I2980="TNO2-3",I2980="NO2-3")),VLOOKUP(E2980,QCUREA_N,2,),IF(H2980="PER",VLOOKUP(I2980,QCPER,MATCH(E2980,QCACTUAL!$J$25:$AA$25,0),),IF(H2980="SPK",VLOOKUP(I2980,QCSPK,3,),IF(AND(H2980="ATP",OR(I2980="TP",I2980="TDP")),VLOOKUP(E2980,QCATP_P,2,),""))))))))</f>
        <v/>
      </c>
      <c r="W2980" s="31" t="str">
        <f t="shared" si="339"/>
        <v>TRUE</v>
      </c>
      <c r="X2980" s="31" t="str">
        <f t="shared" si="336"/>
        <v/>
      </c>
      <c r="Y2980" s="10" t="s">
        <v>1206</v>
      </c>
      <c r="Z2980" s="10" t="s">
        <v>910</v>
      </c>
      <c r="AL2980" s="10" t="str">
        <f t="shared" si="334"/>
        <v>FALSE</v>
      </c>
      <c r="AM2980" s="10" t="str">
        <f t="shared" si="334"/>
        <v>FALSE</v>
      </c>
      <c r="AN2980" s="10" t="str">
        <f t="shared" si="334"/>
        <v>FALSE</v>
      </c>
      <c r="AO2980" s="10" t="str">
        <f t="shared" si="335"/>
        <v>FALSE</v>
      </c>
      <c r="AP2980" s="10" t="str">
        <f t="shared" si="335"/>
        <v>FALSE</v>
      </c>
      <c r="AQ2980" s="10" t="b">
        <f>IF(AND(I2980="TP",S2980&lt;=150),VLOOKUP(AF2980,TPCalibEq150!$AZ$2:$BB$55,3,),IF(AND(I2980="TDP",S2980&lt;=150),VLOOKUP(AF2980,TPCalibEq150!$AZ$2:$BB$55,3,)))</f>
        <v>0</v>
      </c>
      <c r="AR2980" s="10" t="b">
        <f>IF(AND(I2980="TP",S2980&lt;=300),VLOOKUP(AF2980,TPCalibEq300!$AZ$2:$BB$55,3,),IF(AND(I2980="TDP",S2980&lt;=300),VLOOKUP(AF2980,TPCalibEq300!$AZ$2:$BB$55,3,)))</f>
        <v>0</v>
      </c>
      <c r="AS2980" s="10" t="b">
        <f>IF(AND(I2980="TP",S2980&lt;=500),VLOOKUP(AF2980,TPCalibEq500!$AZ$2:$BB$56,3,),IF(AND(I2980="TDP",S2980&lt;=500),VLOOKUP(AF2980,TPCalibEq500!$AZ$2:$BB$56,3,)))</f>
        <v>0</v>
      </c>
      <c r="AT2980" s="10" t="b">
        <f>IF(AND(I2980="TN",S2980&lt;=2800),VLOOKUP(AF2980,TNCalibEq2500!$AZ$2:$BB$56,3,),IF(AND(I2980="TDN",S2980&lt;=2800),VLOOKUP(AF2980,TNCalibEq2500!$AZ$2:$BB$56,3,)))</f>
        <v>0</v>
      </c>
      <c r="AU2980" s="10" t="b">
        <f>IF(I2980="TP",VLOOKUP(AF2980,TPCalibEqFull!$AZ$2:$BB$56,3),IF(I2980="TDP",VLOOKUP(AF2980,TPCalibEqFull!$AZ$2:$BB$56,3),IF(I2980="TDN",VLOOKUP(AF2980,TNCalibEqFull!$AZ$1:$BB$56,3),IF(I2980="TN",VLOOKUP(AF2980,TNCalibEqFull!$AZ$1:$BB$56,3),FALSE))))</f>
        <v>0</v>
      </c>
      <c r="AV2980" s="10" t="str">
        <f t="shared" si="340"/>
        <v>0210 14:25:00-HST-0-FIL-1-SW-UKN</v>
      </c>
    </row>
    <row r="2981" spans="1:48" s="10" customFormat="1" x14ac:dyDescent="0.55000000000000004">
      <c r="A2981" s="32">
        <v>44970</v>
      </c>
      <c r="B2981" s="33">
        <v>0.32777777777777778</v>
      </c>
      <c r="C2981" s="10" t="s">
        <v>279</v>
      </c>
      <c r="D2981" s="10">
        <v>0</v>
      </c>
      <c r="E2981" s="10" t="s">
        <v>911</v>
      </c>
      <c r="F2981" s="10">
        <v>1</v>
      </c>
      <c r="G2981" s="10" t="s">
        <v>231</v>
      </c>
      <c r="H2981" s="10" t="s">
        <v>322</v>
      </c>
      <c r="I2981" s="10" t="s">
        <v>183</v>
      </c>
      <c r="J2981" s="10">
        <v>31</v>
      </c>
      <c r="K2981" s="12">
        <v>44972</v>
      </c>
      <c r="L2981" s="33">
        <v>0.51347222222222222</v>
      </c>
      <c r="M2981" s="10">
        <v>1</v>
      </c>
      <c r="N2981" s="10" t="s">
        <v>76</v>
      </c>
      <c r="O2981" s="10">
        <v>1.26</v>
      </c>
      <c r="P2981" s="10">
        <v>0.10199999999999999</v>
      </c>
      <c r="Q2981" s="10">
        <v>75.3</v>
      </c>
      <c r="R2981" s="10" t="s">
        <v>77</v>
      </c>
      <c r="S2981" s="34">
        <f t="shared" si="337"/>
        <v>75.3</v>
      </c>
      <c r="T2981" s="10" t="s">
        <v>1213</v>
      </c>
      <c r="U2981" s="34" t="str">
        <f t="shared" si="338"/>
        <v/>
      </c>
      <c r="V2981" s="31" t="str">
        <f>IF(H2981="CHK",VLOOKUP(I2981,QCCHK,3,),IF(H2981="GUP",VLOOKUP(E2981,QCGUP,2,),IF(AND(H2981="ATP",OR(I2981="TN",I2981="TDN",I2981="TNO2-3",I2981="NO2-3")),VLOOKUP(E2981,QCREC_N,2,),IF(AND(H2981="NIC",OR(I2981="TN",I2981="TDN",I2981="TNO2-3",I2981="NO2-3")),VLOOKUP(E2981,QCNIC_N,2,),IF(AND(H2981="UREA",OR(I2981="TN",I2981="TDN",I2981="TNO2-3",I2981="NO2-3")),VLOOKUP(E2981,QCUREA_N,2,),IF(H2981="PER",VLOOKUP(I2981,QCPER,MATCH(E2981,QCACTUAL!$J$25:$AA$25,0),),IF(H2981="SPK",VLOOKUP(I2981,QCSPK,3,),IF(AND(H2981="ATP",OR(I2981="TP",I2981="TDP")),VLOOKUP(E2981,QCATP_P,2,),""))))))))</f>
        <v/>
      </c>
      <c r="W2981" s="31" t="str">
        <f t="shared" si="339"/>
        <v>TRUE</v>
      </c>
      <c r="X2981" s="31" t="str">
        <f t="shared" si="336"/>
        <v/>
      </c>
      <c r="Y2981" s="10" t="s">
        <v>1206</v>
      </c>
      <c r="Z2981" s="10" t="s">
        <v>910</v>
      </c>
      <c r="AL2981" s="10" t="str">
        <f t="shared" si="334"/>
        <v>FALSE</v>
      </c>
      <c r="AM2981" s="10" t="str">
        <f t="shared" si="334"/>
        <v>FALSE</v>
      </c>
      <c r="AN2981" s="10" t="str">
        <f t="shared" si="334"/>
        <v>FALSE</v>
      </c>
      <c r="AO2981" s="10" t="str">
        <f t="shared" si="335"/>
        <v>FALSE</v>
      </c>
      <c r="AP2981" s="10" t="str">
        <f t="shared" si="335"/>
        <v>FALSE</v>
      </c>
      <c r="AQ2981" s="10" t="b">
        <f>IF(AND(I2981="TP",S2981&lt;=150),VLOOKUP(AF2981,TPCalibEq150!$AZ$2:$BB$55,3,),IF(AND(I2981="TDP",S2981&lt;=150),VLOOKUP(AF2981,TPCalibEq150!$AZ$2:$BB$55,3,)))</f>
        <v>0</v>
      </c>
      <c r="AR2981" s="10" t="b">
        <f>IF(AND(I2981="TP",S2981&lt;=300),VLOOKUP(AF2981,TPCalibEq300!$AZ$2:$BB$55,3,),IF(AND(I2981="TDP",S2981&lt;=300),VLOOKUP(AF2981,TPCalibEq300!$AZ$2:$BB$55,3,)))</f>
        <v>0</v>
      </c>
      <c r="AS2981" s="10" t="b">
        <f>IF(AND(I2981="TP",S2981&lt;=500),VLOOKUP(AF2981,TPCalibEq500!$AZ$2:$BB$56,3,),IF(AND(I2981="TDP",S2981&lt;=500),VLOOKUP(AF2981,TPCalibEq500!$AZ$2:$BB$56,3,)))</f>
        <v>0</v>
      </c>
      <c r="AT2981" s="10" t="b">
        <f>IF(AND(I2981="TN",S2981&lt;=2800),VLOOKUP(AF2981,TNCalibEq2500!$AZ$2:$BB$56,3,),IF(AND(I2981="TDN",S2981&lt;=2800),VLOOKUP(AF2981,TNCalibEq2500!$AZ$2:$BB$56,3,)))</f>
        <v>0</v>
      </c>
      <c r="AU2981" s="10" t="b">
        <f>IF(I2981="TP",VLOOKUP(AF2981,TPCalibEqFull!$AZ$2:$BB$56,3),IF(I2981="TDP",VLOOKUP(AF2981,TPCalibEqFull!$AZ$2:$BB$56,3),IF(I2981="TDN",VLOOKUP(AF2981,TNCalibEqFull!$AZ$1:$BB$56,3),IF(I2981="TN",VLOOKUP(AF2981,TNCalibEqFull!$AZ$1:$BB$56,3),FALSE))))</f>
        <v>0</v>
      </c>
      <c r="AV2981" s="10" t="str">
        <f t="shared" si="340"/>
        <v>0213 07:52:00-EFK-0-FIL-1-SW-UKN</v>
      </c>
    </row>
    <row r="2982" spans="1:48" s="10" customFormat="1" x14ac:dyDescent="0.55000000000000004">
      <c r="A2982" s="32">
        <v>44970</v>
      </c>
      <c r="B2982" s="33">
        <v>0.26458333333333334</v>
      </c>
      <c r="C2982" s="10" t="s">
        <v>333</v>
      </c>
      <c r="D2982" s="10">
        <v>0</v>
      </c>
      <c r="E2982" s="10" t="s">
        <v>911</v>
      </c>
      <c r="F2982" s="10" t="s">
        <v>190</v>
      </c>
      <c r="G2982" s="10" t="s">
        <v>231</v>
      </c>
      <c r="H2982" s="10" t="s">
        <v>322</v>
      </c>
      <c r="I2982" s="10" t="s">
        <v>183</v>
      </c>
      <c r="J2982" s="10">
        <v>32</v>
      </c>
      <c r="K2982" s="12">
        <v>44972</v>
      </c>
      <c r="L2982" s="33">
        <v>0.51429398148148142</v>
      </c>
      <c r="M2982" s="10">
        <v>1</v>
      </c>
      <c r="N2982" s="10" t="s">
        <v>76</v>
      </c>
      <c r="O2982" s="10">
        <v>0.17399999999999999</v>
      </c>
      <c r="P2982" s="10">
        <v>1.52E-2</v>
      </c>
      <c r="Q2982" s="10">
        <v>10.4</v>
      </c>
      <c r="R2982" s="10" t="s">
        <v>77</v>
      </c>
      <c r="S2982" s="34">
        <f t="shared" si="337"/>
        <v>10.4</v>
      </c>
      <c r="T2982" s="10" t="s">
        <v>1213</v>
      </c>
      <c r="U2982" s="34" t="str">
        <f t="shared" si="338"/>
        <v/>
      </c>
      <c r="V2982" s="31" t="str">
        <f>IF(H2982="CHK",VLOOKUP(I2982,QCCHK,3,),IF(H2982="GUP",VLOOKUP(E2982,QCGUP,2,),IF(AND(H2982="ATP",OR(I2982="TN",I2982="TDN",I2982="TNO2-3",I2982="NO2-3")),VLOOKUP(E2982,QCREC_N,2,),IF(AND(H2982="NIC",OR(I2982="TN",I2982="TDN",I2982="TNO2-3",I2982="NO2-3")),VLOOKUP(E2982,QCNIC_N,2,),IF(AND(H2982="UREA",OR(I2982="TN",I2982="TDN",I2982="TNO2-3",I2982="NO2-3")),VLOOKUP(E2982,QCUREA_N,2,),IF(H2982="PER",VLOOKUP(I2982,QCPER,MATCH(E2982,QCACTUAL!$J$25:$AA$25,0),),IF(H2982="SPK",VLOOKUP(I2982,QCSPK,3,),IF(AND(H2982="ATP",OR(I2982="TP",I2982="TDP")),VLOOKUP(E2982,QCATP_P,2,),""))))))))</f>
        <v/>
      </c>
      <c r="W2982" s="31" t="str">
        <f t="shared" si="339"/>
        <v>TRUE</v>
      </c>
      <c r="X2982" s="31" t="str">
        <f t="shared" si="336"/>
        <v/>
      </c>
      <c r="Y2982" s="10" t="s">
        <v>1206</v>
      </c>
      <c r="Z2982" s="10" t="s">
        <v>910</v>
      </c>
      <c r="AL2982" s="10" t="str">
        <f t="shared" si="334"/>
        <v>FALSE</v>
      </c>
      <c r="AM2982" s="10" t="str">
        <f t="shared" si="334"/>
        <v>FALSE</v>
      </c>
      <c r="AN2982" s="10" t="str">
        <f t="shared" si="334"/>
        <v>FALSE</v>
      </c>
      <c r="AO2982" s="10" t="str">
        <f t="shared" si="335"/>
        <v>FALSE</v>
      </c>
      <c r="AP2982" s="10" t="str">
        <f t="shared" si="335"/>
        <v>FALSE</v>
      </c>
      <c r="AQ2982" s="10" t="b">
        <f>IF(AND(I2982="TP",S2982&lt;=150),VLOOKUP(AF2982,TPCalibEq150!$AZ$2:$BB$55,3,),IF(AND(I2982="TDP",S2982&lt;=150),VLOOKUP(AF2982,TPCalibEq150!$AZ$2:$BB$55,3,)))</f>
        <v>0</v>
      </c>
      <c r="AR2982" s="10" t="b">
        <f>IF(AND(I2982="TP",S2982&lt;=300),VLOOKUP(AF2982,TPCalibEq300!$AZ$2:$BB$55,3,),IF(AND(I2982="TDP",S2982&lt;=300),VLOOKUP(AF2982,TPCalibEq300!$AZ$2:$BB$55,3,)))</f>
        <v>0</v>
      </c>
      <c r="AS2982" s="10" t="b">
        <f>IF(AND(I2982="TP",S2982&lt;=500),VLOOKUP(AF2982,TPCalibEq500!$AZ$2:$BB$56,3,),IF(AND(I2982="TDP",S2982&lt;=500),VLOOKUP(AF2982,TPCalibEq500!$AZ$2:$BB$56,3,)))</f>
        <v>0</v>
      </c>
      <c r="AT2982" s="10" t="b">
        <f>IF(AND(I2982="TN",S2982&lt;=2800),VLOOKUP(AF2982,TNCalibEq2500!$AZ$2:$BB$56,3,),IF(AND(I2982="TDN",S2982&lt;=2800),VLOOKUP(AF2982,TNCalibEq2500!$AZ$2:$BB$56,3,)))</f>
        <v>0</v>
      </c>
      <c r="AU2982" s="10" t="b">
        <f>IF(I2982="TP",VLOOKUP(AF2982,TPCalibEqFull!$AZ$2:$BB$56,3),IF(I2982="TDP",VLOOKUP(AF2982,TPCalibEqFull!$AZ$2:$BB$56,3),IF(I2982="TDN",VLOOKUP(AF2982,TNCalibEqFull!$AZ$1:$BB$56,3),IF(I2982="TN",VLOOKUP(AF2982,TNCalibEqFull!$AZ$1:$BB$56,3),FALSE))))</f>
        <v>0</v>
      </c>
      <c r="AV2982" s="10" t="str">
        <f t="shared" si="340"/>
        <v>0213 06:21:00-HST-0-FIL-C-SW-UKN</v>
      </c>
    </row>
    <row r="2983" spans="1:48" s="10" customFormat="1" x14ac:dyDescent="0.55000000000000004">
      <c r="A2983" s="32">
        <v>44971</v>
      </c>
      <c r="B2983" s="33">
        <v>0.24097222222222223</v>
      </c>
      <c r="C2983" s="10" t="s">
        <v>279</v>
      </c>
      <c r="D2983" s="10">
        <v>0</v>
      </c>
      <c r="E2983" s="10" t="s">
        <v>911</v>
      </c>
      <c r="F2983" s="10">
        <v>1</v>
      </c>
      <c r="G2983" s="10" t="s">
        <v>231</v>
      </c>
      <c r="H2983" s="10" t="s">
        <v>322</v>
      </c>
      <c r="I2983" s="10" t="s">
        <v>183</v>
      </c>
      <c r="J2983" s="10">
        <v>33</v>
      </c>
      <c r="K2983" s="12">
        <v>44972</v>
      </c>
      <c r="L2983" s="33">
        <v>0.51511574074074074</v>
      </c>
      <c r="M2983" s="10">
        <v>1</v>
      </c>
      <c r="N2983" s="10" t="s">
        <v>76</v>
      </c>
      <c r="O2983" s="10">
        <v>0.746</v>
      </c>
      <c r="P2983" s="10">
        <v>6.0600000000000001E-2</v>
      </c>
      <c r="Q2983" s="10">
        <v>44.7</v>
      </c>
      <c r="R2983" s="10" t="s">
        <v>77</v>
      </c>
      <c r="S2983" s="34">
        <f t="shared" si="337"/>
        <v>44.7</v>
      </c>
      <c r="T2983" s="10" t="s">
        <v>1213</v>
      </c>
      <c r="U2983" s="34" t="str">
        <f t="shared" si="338"/>
        <v/>
      </c>
      <c r="V2983" s="31" t="str">
        <f>IF(H2983="CHK",VLOOKUP(I2983,QCCHK,3,),IF(H2983="GUP",VLOOKUP(E2983,QCGUP,2,),IF(AND(H2983="ATP",OR(I2983="TN",I2983="TDN",I2983="TNO2-3",I2983="NO2-3")),VLOOKUP(E2983,QCREC_N,2,),IF(AND(H2983="NIC",OR(I2983="TN",I2983="TDN",I2983="TNO2-3",I2983="NO2-3")),VLOOKUP(E2983,QCNIC_N,2,),IF(AND(H2983="UREA",OR(I2983="TN",I2983="TDN",I2983="TNO2-3",I2983="NO2-3")),VLOOKUP(E2983,QCUREA_N,2,),IF(H2983="PER",VLOOKUP(I2983,QCPER,MATCH(E2983,QCACTUAL!$J$25:$AA$25,0),),IF(H2983="SPK",VLOOKUP(I2983,QCSPK,3,),IF(AND(H2983="ATP",OR(I2983="TP",I2983="TDP")),VLOOKUP(E2983,QCATP_P,2,),""))))))))</f>
        <v/>
      </c>
      <c r="W2983" s="31" t="str">
        <f t="shared" si="339"/>
        <v>TRUE</v>
      </c>
      <c r="X2983" s="31" t="str">
        <f t="shared" si="336"/>
        <v/>
      </c>
      <c r="Y2983" s="10" t="s">
        <v>1206</v>
      </c>
      <c r="AL2983" s="10" t="str">
        <f t="shared" si="334"/>
        <v>FALSE</v>
      </c>
      <c r="AM2983" s="10" t="str">
        <f t="shared" si="334"/>
        <v>FALSE</v>
      </c>
      <c r="AN2983" s="10" t="str">
        <f t="shared" si="334"/>
        <v>FALSE</v>
      </c>
      <c r="AO2983" s="10" t="str">
        <f t="shared" si="335"/>
        <v>FALSE</v>
      </c>
      <c r="AP2983" s="10" t="str">
        <f t="shared" si="335"/>
        <v>FALSE</v>
      </c>
      <c r="AQ2983" s="10" t="b">
        <f>IF(AND(I2983="TP",S2983&lt;=150),VLOOKUP(AF2983,TPCalibEq150!$AZ$2:$BB$55,3,),IF(AND(I2983="TDP",S2983&lt;=150),VLOOKUP(AF2983,TPCalibEq150!$AZ$2:$BB$55,3,)))</f>
        <v>0</v>
      </c>
      <c r="AR2983" s="10" t="b">
        <f>IF(AND(I2983="TP",S2983&lt;=300),VLOOKUP(AF2983,TPCalibEq300!$AZ$2:$BB$55,3,),IF(AND(I2983="TDP",S2983&lt;=300),VLOOKUP(AF2983,TPCalibEq300!$AZ$2:$BB$55,3,)))</f>
        <v>0</v>
      </c>
      <c r="AS2983" s="10" t="b">
        <f>IF(AND(I2983="TP",S2983&lt;=500),VLOOKUP(AF2983,TPCalibEq500!$AZ$2:$BB$56,3,),IF(AND(I2983="TDP",S2983&lt;=500),VLOOKUP(AF2983,TPCalibEq500!$AZ$2:$BB$56,3,)))</f>
        <v>0</v>
      </c>
      <c r="AT2983" s="10" t="b">
        <f>IF(AND(I2983="TN",S2983&lt;=2800),VLOOKUP(AF2983,TNCalibEq2500!$AZ$2:$BB$56,3,),IF(AND(I2983="TDN",S2983&lt;=2800),VLOOKUP(AF2983,TNCalibEq2500!$AZ$2:$BB$56,3,)))</f>
        <v>0</v>
      </c>
      <c r="AU2983" s="10" t="b">
        <f>IF(I2983="TP",VLOOKUP(AF2983,TPCalibEqFull!$AZ$2:$BB$56,3),IF(I2983="TDP",VLOOKUP(AF2983,TPCalibEqFull!$AZ$2:$BB$56,3),IF(I2983="TDN",VLOOKUP(AF2983,TNCalibEqFull!$AZ$1:$BB$56,3),IF(I2983="TN",VLOOKUP(AF2983,TNCalibEqFull!$AZ$1:$BB$56,3),FALSE))))</f>
        <v>0</v>
      </c>
      <c r="AV2983" s="10" t="str">
        <f t="shared" si="340"/>
        <v>0214 05:47:00-EFK-0-FIL-1-SW-UKN</v>
      </c>
    </row>
    <row r="2984" spans="1:48" s="10" customFormat="1" x14ac:dyDescent="0.55000000000000004">
      <c r="A2984" s="32">
        <v>44971</v>
      </c>
      <c r="B2984" s="33">
        <v>0.24444444444444446</v>
      </c>
      <c r="C2984" s="10" t="s">
        <v>333</v>
      </c>
      <c r="D2984" s="10">
        <v>0</v>
      </c>
      <c r="E2984" s="10" t="s">
        <v>911</v>
      </c>
      <c r="F2984" s="10">
        <v>1</v>
      </c>
      <c r="G2984" s="10" t="s">
        <v>231</v>
      </c>
      <c r="H2984" s="10" t="s">
        <v>322</v>
      </c>
      <c r="I2984" s="10" t="s">
        <v>183</v>
      </c>
      <c r="J2984" s="10">
        <v>34</v>
      </c>
      <c r="K2984" s="12">
        <v>44972</v>
      </c>
      <c r="L2984" s="33">
        <v>0.51593750000000005</v>
      </c>
      <c r="M2984" s="10">
        <v>1</v>
      </c>
      <c r="N2984" s="10" t="s">
        <v>76</v>
      </c>
      <c r="O2984" s="10">
        <v>1.7899999999999999E-2</v>
      </c>
      <c r="P2984" s="10">
        <v>3.0000000000000001E-3</v>
      </c>
      <c r="Q2984" s="10">
        <v>1.07</v>
      </c>
      <c r="R2984" s="10" t="s">
        <v>77</v>
      </c>
      <c r="S2984" s="34">
        <f t="shared" si="337"/>
        <v>1.07</v>
      </c>
      <c r="T2984" s="10" t="s">
        <v>1213</v>
      </c>
      <c r="U2984" s="34" t="str">
        <f t="shared" si="338"/>
        <v/>
      </c>
      <c r="V2984" s="31" t="str">
        <f>IF(H2984="CHK",VLOOKUP(I2984,QCCHK,3,),IF(H2984="GUP",VLOOKUP(E2984,QCGUP,2,),IF(AND(H2984="ATP",OR(I2984="TN",I2984="TDN",I2984="TNO2-3",I2984="NO2-3")),VLOOKUP(E2984,QCREC_N,2,),IF(AND(H2984="NIC",OR(I2984="TN",I2984="TDN",I2984="TNO2-3",I2984="NO2-3")),VLOOKUP(E2984,QCNIC_N,2,),IF(AND(H2984="UREA",OR(I2984="TN",I2984="TDN",I2984="TNO2-3",I2984="NO2-3")),VLOOKUP(E2984,QCUREA_N,2,),IF(H2984="PER",VLOOKUP(I2984,QCPER,MATCH(E2984,QCACTUAL!$J$25:$AA$25,0),),IF(H2984="SPK",VLOOKUP(I2984,QCSPK,3,),IF(AND(H2984="ATP",OR(I2984="TP",I2984="TDP")),VLOOKUP(E2984,QCATP_P,2,),""))))))))</f>
        <v/>
      </c>
      <c r="W2984" s="31" t="str">
        <f t="shared" si="339"/>
        <v>TRUE</v>
      </c>
      <c r="X2984" s="31" t="str">
        <f t="shared" si="336"/>
        <v/>
      </c>
      <c r="Y2984" s="10" t="s">
        <v>1206</v>
      </c>
      <c r="AL2984" s="10" t="str">
        <f t="shared" si="334"/>
        <v>FALSE</v>
      </c>
      <c r="AM2984" s="10" t="str">
        <f t="shared" si="334"/>
        <v>FALSE</v>
      </c>
      <c r="AN2984" s="10" t="str">
        <f t="shared" si="334"/>
        <v>FALSE</v>
      </c>
      <c r="AO2984" s="10" t="str">
        <f t="shared" si="335"/>
        <v>FALSE</v>
      </c>
      <c r="AP2984" s="10" t="str">
        <f t="shared" si="335"/>
        <v>FALSE</v>
      </c>
      <c r="AQ2984" s="10" t="b">
        <f>IF(AND(I2984="TP",S2984&lt;=150),VLOOKUP(AF2984,TPCalibEq150!$AZ$2:$BB$55,3,),IF(AND(I2984="TDP",S2984&lt;=150),VLOOKUP(AF2984,TPCalibEq150!$AZ$2:$BB$55,3,)))</f>
        <v>0</v>
      </c>
      <c r="AR2984" s="10" t="b">
        <f>IF(AND(I2984="TP",S2984&lt;=300),VLOOKUP(AF2984,TPCalibEq300!$AZ$2:$BB$55,3,),IF(AND(I2984="TDP",S2984&lt;=300),VLOOKUP(AF2984,TPCalibEq300!$AZ$2:$BB$55,3,)))</f>
        <v>0</v>
      </c>
      <c r="AS2984" s="10" t="b">
        <f>IF(AND(I2984="TP",S2984&lt;=500),VLOOKUP(AF2984,TPCalibEq500!$AZ$2:$BB$56,3,),IF(AND(I2984="TDP",S2984&lt;=500),VLOOKUP(AF2984,TPCalibEq500!$AZ$2:$BB$56,3,)))</f>
        <v>0</v>
      </c>
      <c r="AT2984" s="10" t="b">
        <f>IF(AND(I2984="TN",S2984&lt;=2800),VLOOKUP(AF2984,TNCalibEq2500!$AZ$2:$BB$56,3,),IF(AND(I2984="TDN",S2984&lt;=2800),VLOOKUP(AF2984,TNCalibEq2500!$AZ$2:$BB$56,3,)))</f>
        <v>0</v>
      </c>
      <c r="AU2984" s="10" t="b">
        <f>IF(I2984="TP",VLOOKUP(AF2984,TPCalibEqFull!$AZ$2:$BB$56,3),IF(I2984="TDP",VLOOKUP(AF2984,TPCalibEqFull!$AZ$2:$BB$56,3),IF(I2984="TDN",VLOOKUP(AF2984,TNCalibEqFull!$AZ$1:$BB$56,3),IF(I2984="TN",VLOOKUP(AF2984,TNCalibEqFull!$AZ$1:$BB$56,3),FALSE))))</f>
        <v>0</v>
      </c>
      <c r="AV2984" s="10" t="str">
        <f t="shared" si="340"/>
        <v>0214 05:52:00-HST-0-FIL-1-SW-UKN</v>
      </c>
    </row>
    <row r="2985" spans="1:48" s="10" customFormat="1" x14ac:dyDescent="0.55000000000000004">
      <c r="A2985" s="32">
        <v>44971</v>
      </c>
      <c r="B2985" s="33">
        <v>0.24444444444444446</v>
      </c>
      <c r="C2985" s="10" t="s">
        <v>333</v>
      </c>
      <c r="D2985" s="10">
        <v>0</v>
      </c>
      <c r="E2985" s="10" t="s">
        <v>911</v>
      </c>
      <c r="F2985" s="10">
        <v>1</v>
      </c>
      <c r="G2985" s="10" t="s">
        <v>231</v>
      </c>
      <c r="H2985" s="10" t="s">
        <v>233</v>
      </c>
      <c r="I2985" s="10" t="s">
        <v>183</v>
      </c>
      <c r="J2985" s="10">
        <v>34</v>
      </c>
      <c r="K2985" s="12">
        <v>44972</v>
      </c>
      <c r="L2985" s="33">
        <v>0.51674768518518521</v>
      </c>
      <c r="M2985" s="10">
        <v>1</v>
      </c>
      <c r="N2985" s="10" t="s">
        <v>76</v>
      </c>
      <c r="O2985" s="10">
        <v>1.7299999999999999E-2</v>
      </c>
      <c r="P2985" s="10">
        <v>2.4399999999999999E-3</v>
      </c>
      <c r="Q2985" s="10">
        <v>1.03</v>
      </c>
      <c r="R2985" s="10" t="s">
        <v>77</v>
      </c>
      <c r="S2985" s="34">
        <f t="shared" si="337"/>
        <v>1.03</v>
      </c>
      <c r="T2985" s="10" t="s">
        <v>1213</v>
      </c>
      <c r="U2985" s="34">
        <f t="shared" si="338"/>
        <v>3.8095238095238129</v>
      </c>
      <c r="V2985" s="31" t="str">
        <f>IF(H2985="CHK",VLOOKUP(I2985,QCCHK,3,),IF(H2985="GUP",VLOOKUP(E2985,QCGUP,2,),IF(AND(H2985="ATP",OR(I2985="TN",I2985="TDN",I2985="TNO2-3",I2985="NO2-3")),VLOOKUP(E2985,QCREC_N,2,),IF(AND(H2985="NIC",OR(I2985="TN",I2985="TDN",I2985="TNO2-3",I2985="NO2-3")),VLOOKUP(E2985,QCNIC_N,2,),IF(AND(H2985="UREA",OR(I2985="TN",I2985="TDN",I2985="TNO2-3",I2985="NO2-3")),VLOOKUP(E2985,QCUREA_N,2,),IF(H2985="PER",VLOOKUP(I2985,QCPER,MATCH(E2985,QCACTUAL!$J$25:$AA$25,0),),IF(H2985="SPK",VLOOKUP(I2985,QCSPK,3,),IF(AND(H2985="ATP",OR(I2985="TP",I2985="TDP")),VLOOKUP(E2985,QCATP_P,2,),""))))))))</f>
        <v/>
      </c>
      <c r="W2985" s="31" t="str">
        <f t="shared" si="339"/>
        <v>TRUE</v>
      </c>
      <c r="X2985" s="31" t="str">
        <f t="shared" si="336"/>
        <v>((ABS(rep1-rep2))/((rep1+rep2)/2)*100</v>
      </c>
      <c r="Y2985" s="10" t="s">
        <v>1206</v>
      </c>
      <c r="AL2985" s="10" t="str">
        <f t="shared" si="334"/>
        <v>FALSE</v>
      </c>
      <c r="AM2985" s="10" t="str">
        <f t="shared" si="334"/>
        <v>FALSE</v>
      </c>
      <c r="AN2985" s="10" t="str">
        <f t="shared" si="334"/>
        <v>FALSE</v>
      </c>
      <c r="AO2985" s="10" t="str">
        <f t="shared" si="335"/>
        <v>FALSE</v>
      </c>
      <c r="AP2985" s="10" t="str">
        <f t="shared" si="335"/>
        <v>FALSE</v>
      </c>
      <c r="AQ2985" s="10" t="b">
        <f>IF(AND(I2985="TP",S2985&lt;=150),VLOOKUP(AF2985,TPCalibEq150!$AZ$2:$BB$55,3,),IF(AND(I2985="TDP",S2985&lt;=150),VLOOKUP(AF2985,TPCalibEq150!$AZ$2:$BB$55,3,)))</f>
        <v>0</v>
      </c>
      <c r="AR2985" s="10" t="b">
        <f>IF(AND(I2985="TP",S2985&lt;=300),VLOOKUP(AF2985,TPCalibEq300!$AZ$2:$BB$55,3,),IF(AND(I2985="TDP",S2985&lt;=300),VLOOKUP(AF2985,TPCalibEq300!$AZ$2:$BB$55,3,)))</f>
        <v>0</v>
      </c>
      <c r="AS2985" s="10" t="b">
        <f>IF(AND(I2985="TP",S2985&lt;=500),VLOOKUP(AF2985,TPCalibEq500!$AZ$2:$BB$56,3,),IF(AND(I2985="TDP",S2985&lt;=500),VLOOKUP(AF2985,TPCalibEq500!$AZ$2:$BB$56,3,)))</f>
        <v>0</v>
      </c>
      <c r="AT2985" s="10" t="b">
        <f>IF(AND(I2985="TN",S2985&lt;=2800),VLOOKUP(AF2985,TNCalibEq2500!$AZ$2:$BB$56,3,),IF(AND(I2985="TDN",S2985&lt;=2800),VLOOKUP(AF2985,TNCalibEq2500!$AZ$2:$BB$56,3,)))</f>
        <v>0</v>
      </c>
      <c r="AU2985" s="10" t="b">
        <f>IF(I2985="TP",VLOOKUP(AF2985,TPCalibEqFull!$AZ$2:$BB$56,3),IF(I2985="TDP",VLOOKUP(AF2985,TPCalibEqFull!$AZ$2:$BB$56,3),IF(I2985="TDN",VLOOKUP(AF2985,TNCalibEqFull!$AZ$1:$BB$56,3),IF(I2985="TN",VLOOKUP(AF2985,TNCalibEqFull!$AZ$1:$BB$56,3),FALSE))))</f>
        <v>0</v>
      </c>
      <c r="AV2985" s="10" t="str">
        <f t="shared" si="340"/>
        <v>0214 05:52:00-HST-0-FIL-1-SW-DUP</v>
      </c>
    </row>
    <row r="2986" spans="1:48" s="10" customFormat="1" x14ac:dyDescent="0.55000000000000004">
      <c r="A2986" s="32">
        <v>44971</v>
      </c>
      <c r="B2986" s="33">
        <v>0.24444444444444446</v>
      </c>
      <c r="C2986" s="10" t="s">
        <v>333</v>
      </c>
      <c r="D2986" s="10">
        <v>0</v>
      </c>
      <c r="E2986" s="10" t="s">
        <v>911</v>
      </c>
      <c r="F2986" s="10">
        <v>1</v>
      </c>
      <c r="G2986" s="10" t="s">
        <v>231</v>
      </c>
      <c r="H2986" s="10" t="s">
        <v>314</v>
      </c>
      <c r="I2986" s="10" t="s">
        <v>183</v>
      </c>
      <c r="J2986" s="10">
        <v>52</v>
      </c>
      <c r="K2986" s="12">
        <v>44972</v>
      </c>
      <c r="L2986" s="33">
        <v>0.51756944444444442</v>
      </c>
      <c r="M2986" s="10">
        <v>1</v>
      </c>
      <c r="N2986" s="10" t="s">
        <v>76</v>
      </c>
      <c r="O2986" s="10">
        <v>12.4</v>
      </c>
      <c r="P2986" s="10">
        <v>0.996</v>
      </c>
      <c r="Q2986" s="10">
        <v>739</v>
      </c>
      <c r="R2986" s="10" t="s">
        <v>77</v>
      </c>
      <c r="S2986" s="34">
        <f t="shared" si="337"/>
        <v>739</v>
      </c>
      <c r="T2986" s="10" t="s">
        <v>1213</v>
      </c>
      <c r="U2986" s="34">
        <f t="shared" si="338"/>
        <v>118.0752</v>
      </c>
      <c r="V2986" s="31">
        <f>IF(H2986="CHK",VLOOKUP(I2986,QCCHK,3,),IF(H2986="GUP",VLOOKUP(E2986,QCGUP,2,),IF(AND(H2986="ATP",OR(I2986="TN",I2986="TDN",I2986="TNO2-3",I2986="NO2-3")),VLOOKUP(E2986,QCREC_N,2,),IF(AND(H2986="NIC",OR(I2986="TN",I2986="TDN",I2986="TNO2-3",I2986="NO2-3")),VLOOKUP(E2986,QCNIC_N,2,),IF(AND(H2986="UREA",OR(I2986="TN",I2986="TDN",I2986="TNO2-3",I2986="NO2-3")),VLOOKUP(E2986,QCUREA_N,2,),IF(H2986="PER",VLOOKUP(I2986,QCPER,MATCH(E2986,QCACTUAL!$J$25:$AA$25,0),),IF(H2986="SPK",VLOOKUP(I2986,QCSPK,3,),IF(AND(H2986="ATP",OR(I2986="TP",I2986="TDP")),VLOOKUP(E2986,QCATP_P,2,),""))))))))</f>
        <v>625</v>
      </c>
      <c r="W2986" s="31" t="str">
        <f t="shared" si="339"/>
        <v>TRUE</v>
      </c>
      <c r="X2986" s="31" t="str">
        <f t="shared" si="336"/>
        <v>([spikedunkn]-[unkn])/[spike]*100</v>
      </c>
      <c r="Y2986" s="10" t="s">
        <v>1206</v>
      </c>
      <c r="AL2986" s="10" t="str">
        <f t="shared" si="334"/>
        <v>FALSE</v>
      </c>
      <c r="AM2986" s="10" t="str">
        <f t="shared" si="334"/>
        <v>FALSE</v>
      </c>
      <c r="AN2986" s="10" t="str">
        <f t="shared" si="334"/>
        <v>FALSE</v>
      </c>
      <c r="AO2986" s="10" t="str">
        <f t="shared" si="335"/>
        <v>FALSE</v>
      </c>
      <c r="AP2986" s="10" t="str">
        <f t="shared" si="335"/>
        <v>FALSE</v>
      </c>
      <c r="AQ2986" s="10" t="b">
        <f>IF(AND(I2986="TP",S2986&lt;=150),VLOOKUP(AF2986,TPCalibEq150!$AZ$2:$BB$55,3,),IF(AND(I2986="TDP",S2986&lt;=150),VLOOKUP(AF2986,TPCalibEq150!$AZ$2:$BB$55,3,)))</f>
        <v>0</v>
      </c>
      <c r="AR2986" s="10" t="b">
        <f>IF(AND(I2986="TP",S2986&lt;=300),VLOOKUP(AF2986,TPCalibEq300!$AZ$2:$BB$55,3,),IF(AND(I2986="TDP",S2986&lt;=300),VLOOKUP(AF2986,TPCalibEq300!$AZ$2:$BB$55,3,)))</f>
        <v>0</v>
      </c>
      <c r="AS2986" s="10" t="b">
        <f>IF(AND(I2986="TP",S2986&lt;=500),VLOOKUP(AF2986,TPCalibEq500!$AZ$2:$BB$56,3,),IF(AND(I2986="TDP",S2986&lt;=500),VLOOKUP(AF2986,TPCalibEq500!$AZ$2:$BB$56,3,)))</f>
        <v>0</v>
      </c>
      <c r="AT2986" s="10" t="b">
        <f>IF(AND(I2986="TN",S2986&lt;=2800),VLOOKUP(AF2986,TNCalibEq2500!$AZ$2:$BB$56,3,),IF(AND(I2986="TDN",S2986&lt;=2800),VLOOKUP(AF2986,TNCalibEq2500!$AZ$2:$BB$56,3,)))</f>
        <v>0</v>
      </c>
      <c r="AU2986" s="10" t="b">
        <f>IF(I2986="TP",VLOOKUP(AF2986,TPCalibEqFull!$AZ$2:$BB$56,3),IF(I2986="TDP",VLOOKUP(AF2986,TPCalibEqFull!$AZ$2:$BB$56,3),IF(I2986="TDN",VLOOKUP(AF2986,TNCalibEqFull!$AZ$1:$BB$56,3),IF(I2986="TN",VLOOKUP(AF2986,TNCalibEqFull!$AZ$1:$BB$56,3),FALSE))))</f>
        <v>0</v>
      </c>
      <c r="AV2986" s="10" t="str">
        <f t="shared" si="340"/>
        <v>0214 05:52:00-HST-0-FIL-1-SW-SPK</v>
      </c>
    </row>
    <row r="2987" spans="1:48" s="10" customFormat="1" x14ac:dyDescent="0.55000000000000004">
      <c r="A2987" s="32">
        <v>44972</v>
      </c>
      <c r="B2987" s="33">
        <v>0.375</v>
      </c>
      <c r="C2987" s="10" t="s">
        <v>70</v>
      </c>
      <c r="D2987" s="10" t="s">
        <v>71</v>
      </c>
      <c r="E2987" s="10" t="s">
        <v>901</v>
      </c>
      <c r="F2987" s="10">
        <v>1</v>
      </c>
      <c r="G2987" s="10" t="s">
        <v>73</v>
      </c>
      <c r="H2987" s="10" t="s">
        <v>207</v>
      </c>
      <c r="I2987" s="10" t="s">
        <v>75</v>
      </c>
      <c r="J2987" s="10">
        <v>200</v>
      </c>
      <c r="K2987" s="12">
        <v>44972</v>
      </c>
      <c r="L2987" s="33">
        <v>0.51840277777777777</v>
      </c>
      <c r="M2987" s="10">
        <v>1</v>
      </c>
      <c r="N2987" s="10" t="s">
        <v>76</v>
      </c>
      <c r="O2987" s="10">
        <v>4.88</v>
      </c>
      <c r="P2987" s="10">
        <v>0.39</v>
      </c>
      <c r="Q2987" s="10">
        <v>291</v>
      </c>
      <c r="R2987" s="10" t="s">
        <v>77</v>
      </c>
      <c r="S2987" s="34">
        <f t="shared" si="337"/>
        <v>291</v>
      </c>
      <c r="T2987" s="10" t="s">
        <v>1213</v>
      </c>
      <c r="U2987" s="34">
        <f t="shared" si="338"/>
        <v>97</v>
      </c>
      <c r="V2987" s="31">
        <f>IF(H2987="CHK",VLOOKUP(I2987,QCCHK,3,),IF(H2987="GUP",VLOOKUP(E2987,QCGUP,2,),IF(AND(H2987="ATP",OR(I2987="TN",I2987="TDN",I2987="TNO2-3",I2987="NO2-3")),VLOOKUP(E2987,QCREC_N,2,),IF(AND(H2987="NIC",OR(I2987="TN",I2987="TDN",I2987="TNO2-3",I2987="NO2-3")),VLOOKUP(E2987,QCNIC_N,2,),IF(AND(H2987="UREA",OR(I2987="TN",I2987="TDN",I2987="TNO2-3",I2987="NO2-3")),VLOOKUP(E2987,QCUREA_N,2,),IF(H2987="PER",VLOOKUP(I2987,QCPER,MATCH(E2987,QCACTUAL!$J$25:$AA$25,0),),IF(H2987="SPK",VLOOKUP(I2987,QCSPK,3,),IF(AND(H2987="ATP",OR(I2987="TP",I2987="TDP")),VLOOKUP(E2987,QCATP_P,2,),""))))))))</f>
        <v>300</v>
      </c>
      <c r="W2987" s="31" t="str">
        <f t="shared" si="339"/>
        <v>TRUE</v>
      </c>
      <c r="X2987" s="31" t="str">
        <f t="shared" si="336"/>
        <v>[chk]/[actual]*100</v>
      </c>
      <c r="Y2987" s="10" t="s">
        <v>1206</v>
      </c>
      <c r="AL2987" s="10" t="str">
        <f t="shared" si="334"/>
        <v>FALSE</v>
      </c>
      <c r="AM2987" s="10" t="str">
        <f t="shared" si="334"/>
        <v>FALSE</v>
      </c>
      <c r="AN2987" s="10" t="str">
        <f t="shared" si="334"/>
        <v>FALSE</v>
      </c>
      <c r="AO2987" s="10" t="str">
        <f t="shared" si="335"/>
        <v>FALSE</v>
      </c>
      <c r="AP2987" s="10" t="str">
        <f t="shared" si="335"/>
        <v>FALSE</v>
      </c>
      <c r="AQ2987" s="10" t="b">
        <f>IF(AND(I2987="TP",S2987&lt;=150),VLOOKUP(AF2987,TPCalibEq150!$AZ$2:$BB$55,3,),IF(AND(I2987="TDP",S2987&lt;=150),VLOOKUP(AF2987,TPCalibEq150!$AZ$2:$BB$55,3,)))</f>
        <v>0</v>
      </c>
      <c r="AR2987" s="10" t="b">
        <f>IF(AND(I2987="TP",S2987&lt;=300),VLOOKUP(AF2987,TPCalibEq300!$AZ$2:$BB$55,3,),IF(AND(I2987="TDP",S2987&lt;=300),VLOOKUP(AF2987,TPCalibEq300!$AZ$2:$BB$55,3,)))</f>
        <v>0</v>
      </c>
      <c r="AS2987" s="10" t="b">
        <f>IF(AND(I2987="TP",S2987&lt;=500),VLOOKUP(AF2987,TPCalibEq500!$AZ$2:$BB$56,3,),IF(AND(I2987="TDP",S2987&lt;=500),VLOOKUP(AF2987,TPCalibEq500!$AZ$2:$BB$56,3,)))</f>
        <v>0</v>
      </c>
      <c r="AT2987" s="10" t="b">
        <f>IF(AND(I2987="TN",S2987&lt;=2800),VLOOKUP(AF2987,TNCalibEq2500!$AZ$2:$BB$56,3,),IF(AND(I2987="TDN",S2987&lt;=2800),VLOOKUP(AF2987,TNCalibEq2500!$AZ$2:$BB$56,3,)))</f>
        <v>0</v>
      </c>
      <c r="AU2987" s="10" t="b">
        <f>IF(I2987="TP",VLOOKUP(AF2987,TPCalibEqFull!$AZ$2:$BB$56,3),IF(I2987="TDP",VLOOKUP(AF2987,TPCalibEqFull!$AZ$2:$BB$56,3),IF(I2987="TDN",VLOOKUP(AF2987,TNCalibEqFull!$AZ$1:$BB$56,3),IF(I2987="TN",VLOOKUP(AF2987,TNCalibEqFull!$AZ$1:$BB$56,3),FALSE))))</f>
        <v>0</v>
      </c>
      <c r="AV2987" s="10" t="str">
        <f t="shared" si="340"/>
        <v>0215 09:00:00-QAC-STD-D-1-DI-CHK</v>
      </c>
    </row>
    <row r="2988" spans="1:48" s="10" customFormat="1" x14ac:dyDescent="0.55000000000000004">
      <c r="A2988" s="32">
        <v>44970</v>
      </c>
      <c r="B2988" s="33">
        <v>0.36944444444444446</v>
      </c>
      <c r="C2988" s="10" t="s">
        <v>998</v>
      </c>
      <c r="D2988" s="10">
        <v>0</v>
      </c>
      <c r="E2988" s="10" t="s">
        <v>911</v>
      </c>
      <c r="F2988" s="10">
        <v>1</v>
      </c>
      <c r="G2988" s="10" t="s">
        <v>231</v>
      </c>
      <c r="H2988" s="10" t="s">
        <v>322</v>
      </c>
      <c r="I2988" s="10" t="s">
        <v>183</v>
      </c>
      <c r="J2988" s="10">
        <v>35</v>
      </c>
      <c r="K2988" s="12">
        <v>44972</v>
      </c>
      <c r="L2988" s="33">
        <v>0.51921296296296293</v>
      </c>
      <c r="M2988" s="10">
        <v>1</v>
      </c>
      <c r="N2988" s="10" t="s">
        <v>76</v>
      </c>
      <c r="O2988" s="10">
        <v>1.1599999999999999</v>
      </c>
      <c r="P2988" s="10">
        <v>9.5299999999999996E-2</v>
      </c>
      <c r="Q2988" s="10">
        <v>69.5</v>
      </c>
      <c r="R2988" s="10" t="s">
        <v>77</v>
      </c>
      <c r="S2988" s="34">
        <f t="shared" si="337"/>
        <v>69.5</v>
      </c>
      <c r="T2988" s="10" t="s">
        <v>1213</v>
      </c>
      <c r="U2988" s="34" t="str">
        <f t="shared" si="338"/>
        <v/>
      </c>
      <c r="V2988" s="31" t="str">
        <f>IF(H2988="CHK",VLOOKUP(I2988,QCCHK,3,),IF(H2988="GUP",VLOOKUP(E2988,QCGUP,2,),IF(AND(H2988="ATP",OR(I2988="TN",I2988="TDN",I2988="TNO2-3",I2988="NO2-3")),VLOOKUP(E2988,QCREC_N,2,),IF(AND(H2988="NIC",OR(I2988="TN",I2988="TDN",I2988="TNO2-3",I2988="NO2-3")),VLOOKUP(E2988,QCNIC_N,2,),IF(AND(H2988="UREA",OR(I2988="TN",I2988="TDN",I2988="TNO2-3",I2988="NO2-3")),VLOOKUP(E2988,QCUREA_N,2,),IF(H2988="PER",VLOOKUP(I2988,QCPER,MATCH(E2988,QCACTUAL!$J$25:$AA$25,0),),IF(H2988="SPK",VLOOKUP(I2988,QCSPK,3,),IF(AND(H2988="ATP",OR(I2988="TP",I2988="TDP")),VLOOKUP(E2988,QCATP_P,2,),""))))))))</f>
        <v/>
      </c>
      <c r="W2988" s="31" t="str">
        <f t="shared" si="339"/>
        <v>TRUE</v>
      </c>
      <c r="X2988" s="31" t="str">
        <f t="shared" si="336"/>
        <v/>
      </c>
      <c r="Y2988" s="10" t="s">
        <v>1206</v>
      </c>
      <c r="Z2988" s="10" t="s">
        <v>910</v>
      </c>
      <c r="AL2988" s="10" t="str">
        <f t="shared" si="334"/>
        <v>FALSE</v>
      </c>
      <c r="AM2988" s="10" t="str">
        <f t="shared" si="334"/>
        <v>FALSE</v>
      </c>
      <c r="AN2988" s="10" t="str">
        <f t="shared" si="334"/>
        <v>FALSE</v>
      </c>
      <c r="AO2988" s="10" t="str">
        <f t="shared" si="335"/>
        <v>FALSE</v>
      </c>
      <c r="AP2988" s="10" t="str">
        <f t="shared" si="335"/>
        <v>FALSE</v>
      </c>
      <c r="AQ2988" s="10" t="b">
        <f>IF(AND(I2988="TP",S2988&lt;=150),VLOOKUP(AF2988,TPCalibEq150!$AZ$2:$BB$55,3,),IF(AND(I2988="TDP",S2988&lt;=150),VLOOKUP(AF2988,TPCalibEq150!$AZ$2:$BB$55,3,)))</f>
        <v>0</v>
      </c>
      <c r="AR2988" s="10" t="b">
        <f>IF(AND(I2988="TP",S2988&lt;=300),VLOOKUP(AF2988,TPCalibEq300!$AZ$2:$BB$55,3,),IF(AND(I2988="TDP",S2988&lt;=300),VLOOKUP(AF2988,TPCalibEq300!$AZ$2:$BB$55,3,)))</f>
        <v>0</v>
      </c>
      <c r="AS2988" s="10" t="b">
        <f>IF(AND(I2988="TP",S2988&lt;=500),VLOOKUP(AF2988,TPCalibEq500!$AZ$2:$BB$56,3,),IF(AND(I2988="TDP",S2988&lt;=500),VLOOKUP(AF2988,TPCalibEq500!$AZ$2:$BB$56,3,)))</f>
        <v>0</v>
      </c>
      <c r="AT2988" s="10" t="b">
        <f>IF(AND(I2988="TN",S2988&lt;=2800),VLOOKUP(AF2988,TNCalibEq2500!$AZ$2:$BB$56,3,),IF(AND(I2988="TDN",S2988&lt;=2800),VLOOKUP(AF2988,TNCalibEq2500!$AZ$2:$BB$56,3,)))</f>
        <v>0</v>
      </c>
      <c r="AU2988" s="10" t="b">
        <f>IF(I2988="TP",VLOOKUP(AF2988,TPCalibEqFull!$AZ$2:$BB$56,3),IF(I2988="TDP",VLOOKUP(AF2988,TPCalibEqFull!$AZ$2:$BB$56,3),IF(I2988="TDN",VLOOKUP(AF2988,TNCalibEqFull!$AZ$1:$BB$56,3),IF(I2988="TN",VLOOKUP(AF2988,TNCalibEqFull!$AZ$1:$BB$56,3),FALSE))))</f>
        <v>0</v>
      </c>
      <c r="AV2988" s="10" t="str">
        <f t="shared" si="340"/>
        <v>0213 08:52:00-ELW-0-FIL-1-SW-UKN</v>
      </c>
    </row>
    <row r="2989" spans="1:48" s="10" customFormat="1" x14ac:dyDescent="0.55000000000000004">
      <c r="A2989" s="32">
        <v>44970</v>
      </c>
      <c r="B2989" s="33">
        <v>0.3840277777777778</v>
      </c>
      <c r="C2989" s="10" t="s">
        <v>270</v>
      </c>
      <c r="D2989" s="10">
        <v>0</v>
      </c>
      <c r="E2989" s="10" t="s">
        <v>911</v>
      </c>
      <c r="F2989" s="10">
        <v>1</v>
      </c>
      <c r="G2989" s="10" t="s">
        <v>231</v>
      </c>
      <c r="H2989" s="10" t="s">
        <v>322</v>
      </c>
      <c r="I2989" s="10" t="s">
        <v>183</v>
      </c>
      <c r="J2989" s="10">
        <v>36</v>
      </c>
      <c r="K2989" s="12">
        <v>44972</v>
      </c>
      <c r="L2989" s="33">
        <v>0.52003472222222225</v>
      </c>
      <c r="M2989" s="10">
        <v>1</v>
      </c>
      <c r="N2989" s="10" t="s">
        <v>76</v>
      </c>
      <c r="O2989" s="10">
        <v>1.35E-2</v>
      </c>
      <c r="P2989" s="10">
        <v>1.6100000000000001E-3</v>
      </c>
      <c r="Q2989" s="10">
        <v>0.80700000000000005</v>
      </c>
      <c r="R2989" s="10" t="s">
        <v>77</v>
      </c>
      <c r="S2989" s="34">
        <f t="shared" si="337"/>
        <v>0.80700000000000005</v>
      </c>
      <c r="T2989" s="10" t="s">
        <v>1213</v>
      </c>
      <c r="U2989" s="34" t="str">
        <f t="shared" si="338"/>
        <v/>
      </c>
      <c r="V2989" s="31" t="str">
        <f>IF(H2989="CHK",VLOOKUP(I2989,QCCHK,3,),IF(H2989="GUP",VLOOKUP(E2989,QCGUP,2,),IF(AND(H2989="ATP",OR(I2989="TN",I2989="TDN",I2989="TNO2-3",I2989="NO2-3")),VLOOKUP(E2989,QCREC_N,2,),IF(AND(H2989="NIC",OR(I2989="TN",I2989="TDN",I2989="TNO2-3",I2989="NO2-3")),VLOOKUP(E2989,QCNIC_N,2,),IF(AND(H2989="UREA",OR(I2989="TN",I2989="TDN",I2989="TNO2-3",I2989="NO2-3")),VLOOKUP(E2989,QCUREA_N,2,),IF(H2989="PER",VLOOKUP(I2989,QCPER,MATCH(E2989,QCACTUAL!$J$25:$AA$25,0),),IF(H2989="SPK",VLOOKUP(I2989,QCSPK,3,),IF(AND(H2989="ATP",OR(I2989="TP",I2989="TDP")),VLOOKUP(E2989,QCATP_P,2,),""))))))))</f>
        <v/>
      </c>
      <c r="W2989" s="31" t="str">
        <f t="shared" si="339"/>
        <v>TRUE</v>
      </c>
      <c r="X2989" s="31" t="str">
        <f t="shared" si="336"/>
        <v/>
      </c>
      <c r="Y2989" s="10" t="s">
        <v>1206</v>
      </c>
      <c r="Z2989" s="10" t="s">
        <v>910</v>
      </c>
      <c r="AL2989" s="10" t="str">
        <f t="shared" si="334"/>
        <v>FALSE</v>
      </c>
      <c r="AM2989" s="10" t="str">
        <f t="shared" si="334"/>
        <v>FALSE</v>
      </c>
      <c r="AN2989" s="10" t="str">
        <f t="shared" si="334"/>
        <v>FALSE</v>
      </c>
      <c r="AO2989" s="10" t="str">
        <f t="shared" si="335"/>
        <v>FALSE</v>
      </c>
      <c r="AP2989" s="10" t="str">
        <f t="shared" si="335"/>
        <v>FALSE</v>
      </c>
      <c r="AQ2989" s="10" t="b">
        <f>IF(AND(I2989="TP",S2989&lt;=150),VLOOKUP(AF2989,TPCalibEq150!$AZ$2:$BB$55,3,),IF(AND(I2989="TDP",S2989&lt;=150),VLOOKUP(AF2989,TPCalibEq150!$AZ$2:$BB$55,3,)))</f>
        <v>0</v>
      </c>
      <c r="AR2989" s="10" t="b">
        <f>IF(AND(I2989="TP",S2989&lt;=300),VLOOKUP(AF2989,TPCalibEq300!$AZ$2:$BB$55,3,),IF(AND(I2989="TDP",S2989&lt;=300),VLOOKUP(AF2989,TPCalibEq300!$AZ$2:$BB$55,3,)))</f>
        <v>0</v>
      </c>
      <c r="AS2989" s="10" t="b">
        <f>IF(AND(I2989="TP",S2989&lt;=500),VLOOKUP(AF2989,TPCalibEq500!$AZ$2:$BB$56,3,),IF(AND(I2989="TDP",S2989&lt;=500),VLOOKUP(AF2989,TPCalibEq500!$AZ$2:$BB$56,3,)))</f>
        <v>0</v>
      </c>
      <c r="AT2989" s="10" t="b">
        <f>IF(AND(I2989="TN",S2989&lt;=2800),VLOOKUP(AF2989,TNCalibEq2500!$AZ$2:$BB$56,3,),IF(AND(I2989="TDN",S2989&lt;=2800),VLOOKUP(AF2989,TNCalibEq2500!$AZ$2:$BB$56,3,)))</f>
        <v>0</v>
      </c>
      <c r="AU2989" s="10" t="b">
        <f>IF(I2989="TP",VLOOKUP(AF2989,TPCalibEqFull!$AZ$2:$BB$56,3),IF(I2989="TDP",VLOOKUP(AF2989,TPCalibEqFull!$AZ$2:$BB$56,3),IF(I2989="TDN",VLOOKUP(AF2989,TNCalibEqFull!$AZ$1:$BB$56,3),IF(I2989="TN",VLOOKUP(AF2989,TNCalibEqFull!$AZ$1:$BB$56,3),FALSE))))</f>
        <v>0</v>
      </c>
      <c r="AV2989" s="10" t="str">
        <f t="shared" si="340"/>
        <v>0213 09:13:00-EFG-0-FIL-1-SW-UKN</v>
      </c>
    </row>
    <row r="2990" spans="1:48" s="10" customFormat="1" x14ac:dyDescent="0.55000000000000004">
      <c r="A2990" s="32">
        <v>44970</v>
      </c>
      <c r="B2990" s="33">
        <v>0.3923611111111111</v>
      </c>
      <c r="C2990" s="10" t="s">
        <v>540</v>
      </c>
      <c r="D2990" s="10">
        <v>0</v>
      </c>
      <c r="E2990" s="10" t="s">
        <v>911</v>
      </c>
      <c r="F2990" s="10">
        <v>1</v>
      </c>
      <c r="G2990" s="10" t="s">
        <v>231</v>
      </c>
      <c r="H2990" s="10" t="s">
        <v>322</v>
      </c>
      <c r="I2990" s="10" t="s">
        <v>183</v>
      </c>
      <c r="J2990" s="10">
        <v>37</v>
      </c>
      <c r="K2990" s="12">
        <v>44972</v>
      </c>
      <c r="L2990" s="33">
        <v>0.52085648148148145</v>
      </c>
      <c r="M2990" s="10">
        <v>1</v>
      </c>
      <c r="N2990" s="10" t="s">
        <v>76</v>
      </c>
      <c r="O2990" s="10">
        <v>0.107</v>
      </c>
      <c r="P2990" s="10">
        <v>8.8900000000000003E-3</v>
      </c>
      <c r="Q2990" s="10">
        <v>6.39</v>
      </c>
      <c r="R2990" s="10" t="s">
        <v>77</v>
      </c>
      <c r="S2990" s="34">
        <f t="shared" si="337"/>
        <v>6.39</v>
      </c>
      <c r="T2990" s="10" t="s">
        <v>1213</v>
      </c>
      <c r="U2990" s="34" t="str">
        <f t="shared" si="338"/>
        <v/>
      </c>
      <c r="V2990" s="31" t="str">
        <f>IF(H2990="CHK",VLOOKUP(I2990,QCCHK,3,),IF(H2990="GUP",VLOOKUP(E2990,QCGUP,2,),IF(AND(H2990="ATP",OR(I2990="TN",I2990="TDN",I2990="TNO2-3",I2990="NO2-3")),VLOOKUP(E2990,QCREC_N,2,),IF(AND(H2990="NIC",OR(I2990="TN",I2990="TDN",I2990="TNO2-3",I2990="NO2-3")),VLOOKUP(E2990,QCNIC_N,2,),IF(AND(H2990="UREA",OR(I2990="TN",I2990="TDN",I2990="TNO2-3",I2990="NO2-3")),VLOOKUP(E2990,QCUREA_N,2,),IF(H2990="PER",VLOOKUP(I2990,QCPER,MATCH(E2990,QCACTUAL!$J$25:$AA$25,0),),IF(H2990="SPK",VLOOKUP(I2990,QCSPK,3,),IF(AND(H2990="ATP",OR(I2990="TP",I2990="TDP")),VLOOKUP(E2990,QCATP_P,2,),""))))))))</f>
        <v/>
      </c>
      <c r="W2990" s="31" t="str">
        <f t="shared" si="339"/>
        <v>TRUE</v>
      </c>
      <c r="X2990" s="31" t="str">
        <f t="shared" si="336"/>
        <v/>
      </c>
      <c r="Y2990" s="10" t="s">
        <v>1206</v>
      </c>
      <c r="Z2990" s="10" t="s">
        <v>910</v>
      </c>
      <c r="AL2990" s="10" t="str">
        <f t="shared" si="334"/>
        <v>FALSE</v>
      </c>
      <c r="AM2990" s="10" t="str">
        <f t="shared" si="334"/>
        <v>FALSE</v>
      </c>
      <c r="AN2990" s="10" t="str">
        <f t="shared" si="334"/>
        <v>FALSE</v>
      </c>
      <c r="AO2990" s="10" t="str">
        <f t="shared" si="335"/>
        <v>FALSE</v>
      </c>
      <c r="AP2990" s="10" t="str">
        <f t="shared" si="335"/>
        <v>FALSE</v>
      </c>
      <c r="AQ2990" s="10" t="b">
        <f>IF(AND(I2990="TP",S2990&lt;=150),VLOOKUP(AF2990,TPCalibEq150!$AZ$2:$BB$55,3,),IF(AND(I2990="TDP",S2990&lt;=150),VLOOKUP(AF2990,TPCalibEq150!$AZ$2:$BB$55,3,)))</f>
        <v>0</v>
      </c>
      <c r="AR2990" s="10" t="b">
        <f>IF(AND(I2990="TP",S2990&lt;=300),VLOOKUP(AF2990,TPCalibEq300!$AZ$2:$BB$55,3,),IF(AND(I2990="TDP",S2990&lt;=300),VLOOKUP(AF2990,TPCalibEq300!$AZ$2:$BB$55,3,)))</f>
        <v>0</v>
      </c>
      <c r="AS2990" s="10" t="b">
        <f>IF(AND(I2990="TP",S2990&lt;=500),VLOOKUP(AF2990,TPCalibEq500!$AZ$2:$BB$56,3,),IF(AND(I2990="TDP",S2990&lt;=500),VLOOKUP(AF2990,TPCalibEq500!$AZ$2:$BB$56,3,)))</f>
        <v>0</v>
      </c>
      <c r="AT2990" s="10" t="b">
        <f>IF(AND(I2990="TN",S2990&lt;=2800),VLOOKUP(AF2990,TNCalibEq2500!$AZ$2:$BB$56,3,),IF(AND(I2990="TDN",S2990&lt;=2800),VLOOKUP(AF2990,TNCalibEq2500!$AZ$2:$BB$56,3,)))</f>
        <v>0</v>
      </c>
      <c r="AU2990" s="10" t="b">
        <f>IF(I2990="TP",VLOOKUP(AF2990,TPCalibEqFull!$AZ$2:$BB$56,3),IF(I2990="TDP",VLOOKUP(AF2990,TPCalibEqFull!$AZ$2:$BB$56,3),IF(I2990="TDN",VLOOKUP(AF2990,TNCalibEqFull!$AZ$1:$BB$56,3),IF(I2990="TN",VLOOKUP(AF2990,TNCalibEqFull!$AZ$1:$BB$56,3),FALSE))))</f>
        <v>0</v>
      </c>
      <c r="AV2990" s="10" t="str">
        <f t="shared" si="340"/>
        <v>0213 09:25:00-S50-0-FIL-1-SW-UKN</v>
      </c>
    </row>
    <row r="2991" spans="1:48" s="10" customFormat="1" x14ac:dyDescent="0.55000000000000004">
      <c r="A2991" s="32">
        <v>44970</v>
      </c>
      <c r="B2991" s="33">
        <v>0.41597222222222219</v>
      </c>
      <c r="C2991" s="10" t="s">
        <v>528</v>
      </c>
      <c r="D2991" s="10">
        <v>0</v>
      </c>
      <c r="E2991" s="10" t="s">
        <v>911</v>
      </c>
      <c r="F2991" s="10">
        <v>1</v>
      </c>
      <c r="G2991" s="10" t="s">
        <v>231</v>
      </c>
      <c r="H2991" s="10" t="s">
        <v>322</v>
      </c>
      <c r="I2991" s="10" t="s">
        <v>183</v>
      </c>
      <c r="J2991" s="10">
        <v>38</v>
      </c>
      <c r="K2991" s="12">
        <v>44972</v>
      </c>
      <c r="L2991" s="33">
        <v>0.52166666666666661</v>
      </c>
      <c r="M2991" s="10">
        <v>1</v>
      </c>
      <c r="N2991" s="10" t="s">
        <v>76</v>
      </c>
      <c r="O2991" s="10">
        <v>8.5000000000000006E-2</v>
      </c>
      <c r="P2991" s="10">
        <v>7.5199999999999998E-3</v>
      </c>
      <c r="Q2991" s="10">
        <v>5.0999999999999996</v>
      </c>
      <c r="R2991" s="10" t="s">
        <v>77</v>
      </c>
      <c r="S2991" s="34">
        <f t="shared" si="337"/>
        <v>5.0999999999999996</v>
      </c>
      <c r="T2991" s="10" t="s">
        <v>1213</v>
      </c>
      <c r="U2991" s="34" t="str">
        <f t="shared" si="338"/>
        <v/>
      </c>
      <c r="V2991" s="31" t="str">
        <f>IF(H2991="CHK",VLOOKUP(I2991,QCCHK,3,),IF(H2991="GUP",VLOOKUP(E2991,QCGUP,2,),IF(AND(H2991="ATP",OR(I2991="TN",I2991="TDN",I2991="TNO2-3",I2991="NO2-3")),VLOOKUP(E2991,QCREC_N,2,),IF(AND(H2991="NIC",OR(I2991="TN",I2991="TDN",I2991="TNO2-3",I2991="NO2-3")),VLOOKUP(E2991,QCNIC_N,2,),IF(AND(H2991="UREA",OR(I2991="TN",I2991="TDN",I2991="TNO2-3",I2991="NO2-3")),VLOOKUP(E2991,QCUREA_N,2,),IF(H2991="PER",VLOOKUP(I2991,QCPER,MATCH(E2991,QCACTUAL!$J$25:$AA$25,0),),IF(H2991="SPK",VLOOKUP(I2991,QCSPK,3,),IF(AND(H2991="ATP",OR(I2991="TP",I2991="TDP")),VLOOKUP(E2991,QCATP_P,2,),""))))))))</f>
        <v/>
      </c>
      <c r="W2991" s="31" t="str">
        <f t="shared" si="339"/>
        <v>TRUE</v>
      </c>
      <c r="X2991" s="31" t="str">
        <f t="shared" si="336"/>
        <v/>
      </c>
      <c r="Y2991" s="10" t="s">
        <v>1206</v>
      </c>
      <c r="Z2991" s="10" t="s">
        <v>910</v>
      </c>
      <c r="AL2991" s="10" t="str">
        <f t="shared" si="334"/>
        <v>FALSE</v>
      </c>
      <c r="AM2991" s="10" t="str">
        <f t="shared" si="334"/>
        <v>FALSE</v>
      </c>
      <c r="AN2991" s="10" t="str">
        <f t="shared" si="334"/>
        <v>FALSE</v>
      </c>
      <c r="AO2991" s="10" t="str">
        <f t="shared" si="335"/>
        <v>FALSE</v>
      </c>
      <c r="AP2991" s="10" t="str">
        <f t="shared" si="335"/>
        <v>FALSE</v>
      </c>
      <c r="AQ2991" s="10" t="b">
        <f>IF(AND(I2991="TP",S2991&lt;=150),VLOOKUP(AF2991,TPCalibEq150!$AZ$2:$BB$55,3,),IF(AND(I2991="TDP",S2991&lt;=150),VLOOKUP(AF2991,TPCalibEq150!$AZ$2:$BB$55,3,)))</f>
        <v>0</v>
      </c>
      <c r="AR2991" s="10" t="b">
        <f>IF(AND(I2991="TP",S2991&lt;=300),VLOOKUP(AF2991,TPCalibEq300!$AZ$2:$BB$55,3,),IF(AND(I2991="TDP",S2991&lt;=300),VLOOKUP(AF2991,TPCalibEq300!$AZ$2:$BB$55,3,)))</f>
        <v>0</v>
      </c>
      <c r="AS2991" s="10" t="b">
        <f>IF(AND(I2991="TP",S2991&lt;=500),VLOOKUP(AF2991,TPCalibEq500!$AZ$2:$BB$56,3,),IF(AND(I2991="TDP",S2991&lt;=500),VLOOKUP(AF2991,TPCalibEq500!$AZ$2:$BB$56,3,)))</f>
        <v>0</v>
      </c>
      <c r="AT2991" s="10" t="b">
        <f>IF(AND(I2991="TN",S2991&lt;=2800),VLOOKUP(AF2991,TNCalibEq2500!$AZ$2:$BB$56,3,),IF(AND(I2991="TDN",S2991&lt;=2800),VLOOKUP(AF2991,TNCalibEq2500!$AZ$2:$BB$56,3,)))</f>
        <v>0</v>
      </c>
      <c r="AU2991" s="10" t="b">
        <f>IF(I2991="TP",VLOOKUP(AF2991,TPCalibEqFull!$AZ$2:$BB$56,3),IF(I2991="TDP",VLOOKUP(AF2991,TPCalibEqFull!$AZ$2:$BB$56,3),IF(I2991="TDN",VLOOKUP(AF2991,TNCalibEqFull!$AZ$1:$BB$56,3),IF(I2991="TN",VLOOKUP(AF2991,TNCalibEqFull!$AZ$1:$BB$56,3),FALSE))))</f>
        <v>0</v>
      </c>
      <c r="AV2991" s="10" t="str">
        <f t="shared" si="340"/>
        <v>0213 09:59:00-P04-0-FIL-1-SW-UKN</v>
      </c>
    </row>
    <row r="2992" spans="1:48" s="10" customFormat="1" x14ac:dyDescent="0.55000000000000004">
      <c r="A2992" s="32">
        <v>44970</v>
      </c>
      <c r="B2992" s="33">
        <v>0.42777777777777781</v>
      </c>
      <c r="C2992" s="10">
        <v>506</v>
      </c>
      <c r="D2992" s="10">
        <v>0</v>
      </c>
      <c r="E2992" s="10" t="s">
        <v>911</v>
      </c>
      <c r="F2992" s="10">
        <v>1</v>
      </c>
      <c r="G2992" s="10" t="s">
        <v>231</v>
      </c>
      <c r="H2992" s="10" t="s">
        <v>322</v>
      </c>
      <c r="I2992" s="10" t="s">
        <v>183</v>
      </c>
      <c r="J2992" s="10">
        <v>39</v>
      </c>
      <c r="K2992" s="12">
        <v>44972</v>
      </c>
      <c r="L2992" s="33">
        <v>0.52247685185185189</v>
      </c>
      <c r="M2992" s="10">
        <v>1</v>
      </c>
      <c r="N2992" s="10" t="s">
        <v>76</v>
      </c>
      <c r="O2992" s="10">
        <v>2.07E-2</v>
      </c>
      <c r="P2992" s="10">
        <v>2.7699999999999999E-3</v>
      </c>
      <c r="Q2992" s="10">
        <v>1.24</v>
      </c>
      <c r="R2992" s="10" t="s">
        <v>77</v>
      </c>
      <c r="S2992" s="34">
        <f t="shared" si="337"/>
        <v>1.24</v>
      </c>
      <c r="T2992" s="10" t="s">
        <v>1213</v>
      </c>
      <c r="U2992" s="34" t="str">
        <f t="shared" si="338"/>
        <v/>
      </c>
      <c r="V2992" s="31" t="str">
        <f>IF(H2992="CHK",VLOOKUP(I2992,QCCHK,3,),IF(H2992="GUP",VLOOKUP(E2992,QCGUP,2,),IF(AND(H2992="ATP",OR(I2992="TN",I2992="TDN",I2992="TNO2-3",I2992="NO2-3")),VLOOKUP(E2992,QCREC_N,2,),IF(AND(H2992="NIC",OR(I2992="TN",I2992="TDN",I2992="TNO2-3",I2992="NO2-3")),VLOOKUP(E2992,QCNIC_N,2,),IF(AND(H2992="UREA",OR(I2992="TN",I2992="TDN",I2992="TNO2-3",I2992="NO2-3")),VLOOKUP(E2992,QCUREA_N,2,),IF(H2992="PER",VLOOKUP(I2992,QCPER,MATCH(E2992,QCACTUAL!$J$25:$AA$25,0),),IF(H2992="SPK",VLOOKUP(I2992,QCSPK,3,),IF(AND(H2992="ATP",OR(I2992="TP",I2992="TDP")),VLOOKUP(E2992,QCATP_P,2,),""))))))))</f>
        <v/>
      </c>
      <c r="W2992" s="31" t="str">
        <f t="shared" si="339"/>
        <v>TRUE</v>
      </c>
      <c r="X2992" s="31" t="str">
        <f t="shared" si="336"/>
        <v/>
      </c>
      <c r="Y2992" s="10" t="s">
        <v>1206</v>
      </c>
      <c r="Z2992" s="10" t="s">
        <v>910</v>
      </c>
      <c r="AL2992" s="10" t="str">
        <f t="shared" si="334"/>
        <v>FALSE</v>
      </c>
      <c r="AM2992" s="10" t="str">
        <f t="shared" si="334"/>
        <v>FALSE</v>
      </c>
      <c r="AN2992" s="10" t="str">
        <f t="shared" si="334"/>
        <v>FALSE</v>
      </c>
      <c r="AO2992" s="10" t="str">
        <f t="shared" si="335"/>
        <v>FALSE</v>
      </c>
      <c r="AP2992" s="10" t="str">
        <f t="shared" si="335"/>
        <v>FALSE</v>
      </c>
      <c r="AQ2992" s="10" t="b">
        <f>IF(AND(I2992="TP",S2992&lt;=150),VLOOKUP(AF2992,TPCalibEq150!$AZ$2:$BB$55,3,),IF(AND(I2992="TDP",S2992&lt;=150),VLOOKUP(AF2992,TPCalibEq150!$AZ$2:$BB$55,3,)))</f>
        <v>0</v>
      </c>
      <c r="AR2992" s="10" t="b">
        <f>IF(AND(I2992="TP",S2992&lt;=300),VLOOKUP(AF2992,TPCalibEq300!$AZ$2:$BB$55,3,),IF(AND(I2992="TDP",S2992&lt;=300),VLOOKUP(AF2992,TPCalibEq300!$AZ$2:$BB$55,3,)))</f>
        <v>0</v>
      </c>
      <c r="AS2992" s="10" t="b">
        <f>IF(AND(I2992="TP",S2992&lt;=500),VLOOKUP(AF2992,TPCalibEq500!$AZ$2:$BB$56,3,),IF(AND(I2992="TDP",S2992&lt;=500),VLOOKUP(AF2992,TPCalibEq500!$AZ$2:$BB$56,3,)))</f>
        <v>0</v>
      </c>
      <c r="AT2992" s="10" t="b">
        <f>IF(AND(I2992="TN",S2992&lt;=2800),VLOOKUP(AF2992,TNCalibEq2500!$AZ$2:$BB$56,3,),IF(AND(I2992="TDN",S2992&lt;=2800),VLOOKUP(AF2992,TNCalibEq2500!$AZ$2:$BB$56,3,)))</f>
        <v>0</v>
      </c>
      <c r="AU2992" s="10" t="b">
        <f>IF(I2992="TP",VLOOKUP(AF2992,TPCalibEqFull!$AZ$2:$BB$56,3),IF(I2992="TDP",VLOOKUP(AF2992,TPCalibEqFull!$AZ$2:$BB$56,3),IF(I2992="TDN",VLOOKUP(AF2992,TNCalibEqFull!$AZ$1:$BB$56,3),IF(I2992="TN",VLOOKUP(AF2992,TNCalibEqFull!$AZ$1:$BB$56,3),FALSE))))</f>
        <v>0</v>
      </c>
      <c r="AV2992" s="10" t="str">
        <f t="shared" si="340"/>
        <v>0213 10:16:00-506-0-FIL-1-SW-UKN</v>
      </c>
    </row>
    <row r="2993" spans="1:48" s="10" customFormat="1" x14ac:dyDescent="0.55000000000000004">
      <c r="A2993" s="32">
        <v>44970</v>
      </c>
      <c r="B2993" s="33">
        <v>0.43402777777777773</v>
      </c>
      <c r="C2993" s="10" t="s">
        <v>1104</v>
      </c>
      <c r="D2993" s="10">
        <v>0</v>
      </c>
      <c r="E2993" s="10" t="s">
        <v>911</v>
      </c>
      <c r="F2993" s="10">
        <v>1</v>
      </c>
      <c r="G2993" s="10" t="s">
        <v>231</v>
      </c>
      <c r="H2993" s="10" t="s">
        <v>322</v>
      </c>
      <c r="I2993" s="10" t="s">
        <v>183</v>
      </c>
      <c r="J2993" s="10">
        <v>40</v>
      </c>
      <c r="K2993" s="12">
        <v>44972</v>
      </c>
      <c r="L2993" s="33">
        <v>0.52329861111111109</v>
      </c>
      <c r="M2993" s="10">
        <v>1</v>
      </c>
      <c r="N2993" s="10" t="s">
        <v>76</v>
      </c>
      <c r="O2993" s="10">
        <v>0.10299999999999999</v>
      </c>
      <c r="P2993" s="10">
        <v>9.6399999999999993E-3</v>
      </c>
      <c r="Q2993" s="10">
        <v>6.17</v>
      </c>
      <c r="R2993" s="10" t="s">
        <v>77</v>
      </c>
      <c r="S2993" s="34">
        <f t="shared" si="337"/>
        <v>6.17</v>
      </c>
      <c r="T2993" s="10" t="s">
        <v>1213</v>
      </c>
      <c r="U2993" s="34" t="str">
        <f t="shared" si="338"/>
        <v/>
      </c>
      <c r="V2993" s="31" t="str">
        <f>IF(H2993="CHK",VLOOKUP(I2993,QCCHK,3,),IF(H2993="GUP",VLOOKUP(E2993,QCGUP,2,),IF(AND(H2993="ATP",OR(I2993="TN",I2993="TDN",I2993="TNO2-3",I2993="NO2-3")),VLOOKUP(E2993,QCREC_N,2,),IF(AND(H2993="NIC",OR(I2993="TN",I2993="TDN",I2993="TNO2-3",I2993="NO2-3")),VLOOKUP(E2993,QCNIC_N,2,),IF(AND(H2993="UREA",OR(I2993="TN",I2993="TDN",I2993="TNO2-3",I2993="NO2-3")),VLOOKUP(E2993,QCUREA_N,2,),IF(H2993="PER",VLOOKUP(I2993,QCPER,MATCH(E2993,QCACTUAL!$J$25:$AA$25,0),),IF(H2993="SPK",VLOOKUP(I2993,QCSPK,3,),IF(AND(H2993="ATP",OR(I2993="TP",I2993="TDP")),VLOOKUP(E2993,QCATP_P,2,),""))))))))</f>
        <v/>
      </c>
      <c r="W2993" s="31" t="str">
        <f t="shared" si="339"/>
        <v>TRUE</v>
      </c>
      <c r="X2993" s="31" t="str">
        <f t="shared" si="336"/>
        <v/>
      </c>
      <c r="Y2993" s="10" t="s">
        <v>1206</v>
      </c>
      <c r="Z2993" s="10" t="s">
        <v>910</v>
      </c>
      <c r="AL2993" s="10" t="str">
        <f t="shared" si="334"/>
        <v>FALSE</v>
      </c>
      <c r="AM2993" s="10" t="str">
        <f t="shared" si="334"/>
        <v>FALSE</v>
      </c>
      <c r="AN2993" s="10" t="str">
        <f t="shared" si="334"/>
        <v>FALSE</v>
      </c>
      <c r="AO2993" s="10" t="str">
        <f t="shared" si="335"/>
        <v>FALSE</v>
      </c>
      <c r="AP2993" s="10" t="str">
        <f t="shared" si="335"/>
        <v>FALSE</v>
      </c>
      <c r="AQ2993" s="10" t="b">
        <f>IF(AND(I2993="TP",S2993&lt;=150),VLOOKUP(AF2993,TPCalibEq150!$AZ$2:$BB$55,3,),IF(AND(I2993="TDP",S2993&lt;=150),VLOOKUP(AF2993,TPCalibEq150!$AZ$2:$BB$55,3,)))</f>
        <v>0</v>
      </c>
      <c r="AR2993" s="10" t="b">
        <f>IF(AND(I2993="TP",S2993&lt;=300),VLOOKUP(AF2993,TPCalibEq300!$AZ$2:$BB$55,3,),IF(AND(I2993="TDP",S2993&lt;=300),VLOOKUP(AF2993,TPCalibEq300!$AZ$2:$BB$55,3,)))</f>
        <v>0</v>
      </c>
      <c r="AS2993" s="10" t="b">
        <f>IF(AND(I2993="TP",S2993&lt;=500),VLOOKUP(AF2993,TPCalibEq500!$AZ$2:$BB$56,3,),IF(AND(I2993="TDP",S2993&lt;=500),VLOOKUP(AF2993,TPCalibEq500!$AZ$2:$BB$56,3,)))</f>
        <v>0</v>
      </c>
      <c r="AT2993" s="10" t="b">
        <f>IF(AND(I2993="TN",S2993&lt;=2800),VLOOKUP(AF2993,TNCalibEq2500!$AZ$2:$BB$56,3,),IF(AND(I2993="TDN",S2993&lt;=2800),VLOOKUP(AF2993,TNCalibEq2500!$AZ$2:$BB$56,3,)))</f>
        <v>0</v>
      </c>
      <c r="AU2993" s="10" t="b">
        <f>IF(I2993="TP",VLOOKUP(AF2993,TPCalibEqFull!$AZ$2:$BB$56,3),IF(I2993="TDP",VLOOKUP(AF2993,TPCalibEqFull!$AZ$2:$BB$56,3),IF(I2993="TDN",VLOOKUP(AF2993,TNCalibEqFull!$AZ$1:$BB$56,3),IF(I2993="TN",VLOOKUP(AF2993,TNCalibEqFull!$AZ$1:$BB$56,3),FALSE))))</f>
        <v>0</v>
      </c>
      <c r="AV2993" s="10" t="str">
        <f t="shared" si="340"/>
        <v>0213 10:25:00-LBW-0-FIL-1-SW-UKN</v>
      </c>
    </row>
    <row r="2994" spans="1:48" s="10" customFormat="1" x14ac:dyDescent="0.55000000000000004">
      <c r="A2994" s="32">
        <v>44970</v>
      </c>
      <c r="B2994" s="33">
        <v>0.45208333333333334</v>
      </c>
      <c r="C2994" s="10" t="s">
        <v>537</v>
      </c>
      <c r="D2994" s="10">
        <v>0</v>
      </c>
      <c r="E2994" s="10" t="s">
        <v>911</v>
      </c>
      <c r="F2994" s="10">
        <v>1</v>
      </c>
      <c r="G2994" s="10" t="s">
        <v>231</v>
      </c>
      <c r="H2994" s="10" t="s">
        <v>322</v>
      </c>
      <c r="I2994" s="10" t="s">
        <v>183</v>
      </c>
      <c r="J2994" s="10">
        <v>41</v>
      </c>
      <c r="K2994" s="12">
        <v>44972</v>
      </c>
      <c r="L2994" s="33">
        <v>0.52409722222222221</v>
      </c>
      <c r="M2994" s="10">
        <v>1</v>
      </c>
      <c r="N2994" s="10" t="s">
        <v>76</v>
      </c>
      <c r="O2994" s="10">
        <v>1.8100000000000002E-2</v>
      </c>
      <c r="P2994" s="10">
        <v>2.6900000000000001E-3</v>
      </c>
      <c r="Q2994" s="10">
        <v>1.08</v>
      </c>
      <c r="R2994" s="10" t="s">
        <v>77</v>
      </c>
      <c r="S2994" s="34">
        <f t="shared" si="337"/>
        <v>1.08</v>
      </c>
      <c r="T2994" s="10" t="s">
        <v>1213</v>
      </c>
      <c r="U2994" s="34" t="str">
        <f t="shared" si="338"/>
        <v/>
      </c>
      <c r="V2994" s="31" t="str">
        <f>IF(H2994="CHK",VLOOKUP(I2994,QCCHK,3,),IF(H2994="GUP",VLOOKUP(E2994,QCGUP,2,),IF(AND(H2994="ATP",OR(I2994="TN",I2994="TDN",I2994="TNO2-3",I2994="NO2-3")),VLOOKUP(E2994,QCREC_N,2,),IF(AND(H2994="NIC",OR(I2994="TN",I2994="TDN",I2994="TNO2-3",I2994="NO2-3")),VLOOKUP(E2994,QCNIC_N,2,),IF(AND(H2994="UREA",OR(I2994="TN",I2994="TDN",I2994="TNO2-3",I2994="NO2-3")),VLOOKUP(E2994,QCUREA_N,2,),IF(H2994="PER",VLOOKUP(I2994,QCPER,MATCH(E2994,QCACTUAL!$J$25:$AA$25,0),),IF(H2994="SPK",VLOOKUP(I2994,QCSPK,3,),IF(AND(H2994="ATP",OR(I2994="TP",I2994="TDP")),VLOOKUP(E2994,QCATP_P,2,),""))))))))</f>
        <v/>
      </c>
      <c r="W2994" s="31" t="str">
        <f t="shared" si="339"/>
        <v>TRUE</v>
      </c>
      <c r="X2994" s="31" t="str">
        <f t="shared" si="336"/>
        <v/>
      </c>
      <c r="Y2994" s="10" t="s">
        <v>1206</v>
      </c>
      <c r="Z2994" s="10" t="s">
        <v>910</v>
      </c>
      <c r="AL2994" s="10" t="str">
        <f t="shared" si="334"/>
        <v>FALSE</v>
      </c>
      <c r="AM2994" s="10" t="str">
        <f t="shared" si="334"/>
        <v>FALSE</v>
      </c>
      <c r="AN2994" s="10" t="str">
        <f t="shared" si="334"/>
        <v>FALSE</v>
      </c>
      <c r="AO2994" s="10" t="str">
        <f t="shared" si="335"/>
        <v>FALSE</v>
      </c>
      <c r="AP2994" s="10" t="str">
        <f t="shared" si="335"/>
        <v>FALSE</v>
      </c>
      <c r="AQ2994" s="10" t="b">
        <f>IF(AND(I2994="TP",S2994&lt;=150),VLOOKUP(AF2994,TPCalibEq150!$AZ$2:$BB$55,3,),IF(AND(I2994="TDP",S2994&lt;=150),VLOOKUP(AF2994,TPCalibEq150!$AZ$2:$BB$55,3,)))</f>
        <v>0</v>
      </c>
      <c r="AR2994" s="10" t="b">
        <f>IF(AND(I2994="TP",S2994&lt;=300),VLOOKUP(AF2994,TPCalibEq300!$AZ$2:$BB$55,3,),IF(AND(I2994="TDP",S2994&lt;=300),VLOOKUP(AF2994,TPCalibEq300!$AZ$2:$BB$55,3,)))</f>
        <v>0</v>
      </c>
      <c r="AS2994" s="10" t="b">
        <f>IF(AND(I2994="TP",S2994&lt;=500),VLOOKUP(AF2994,TPCalibEq500!$AZ$2:$BB$56,3,),IF(AND(I2994="TDP",S2994&lt;=500),VLOOKUP(AF2994,TPCalibEq500!$AZ$2:$BB$56,3,)))</f>
        <v>0</v>
      </c>
      <c r="AT2994" s="10" t="b">
        <f>IF(AND(I2994="TN",S2994&lt;=2800),VLOOKUP(AF2994,TNCalibEq2500!$AZ$2:$BB$56,3,),IF(AND(I2994="TDN",S2994&lt;=2800),VLOOKUP(AF2994,TNCalibEq2500!$AZ$2:$BB$56,3,)))</f>
        <v>0</v>
      </c>
      <c r="AU2994" s="10" t="b">
        <f>IF(I2994="TP",VLOOKUP(AF2994,TPCalibEqFull!$AZ$2:$BB$56,3),IF(I2994="TDP",VLOOKUP(AF2994,TPCalibEqFull!$AZ$2:$BB$56,3),IF(I2994="TDN",VLOOKUP(AF2994,TNCalibEqFull!$AZ$1:$BB$56,3),IF(I2994="TN",VLOOKUP(AF2994,TNCalibEqFull!$AZ$1:$BB$56,3),FALSE))))</f>
        <v>0</v>
      </c>
      <c r="AV2994" s="10" t="str">
        <f t="shared" si="340"/>
        <v>0213 10:51:00-S51-0-FIL-1-SW-UKN</v>
      </c>
    </row>
    <row r="2995" spans="1:48" s="10" customFormat="1" x14ac:dyDescent="0.55000000000000004">
      <c r="A2995" s="32">
        <v>44970</v>
      </c>
      <c r="B2995" s="33">
        <v>0.45833333333333331</v>
      </c>
      <c r="C2995" s="10">
        <v>890</v>
      </c>
      <c r="D2995" s="10">
        <v>0</v>
      </c>
      <c r="E2995" s="10" t="s">
        <v>911</v>
      </c>
      <c r="F2995" s="10">
        <v>1</v>
      </c>
      <c r="G2995" s="10" t="s">
        <v>231</v>
      </c>
      <c r="H2995" s="10" t="s">
        <v>322</v>
      </c>
      <c r="I2995" s="10" t="s">
        <v>183</v>
      </c>
      <c r="J2995" s="10">
        <v>42</v>
      </c>
      <c r="K2995" s="12">
        <v>44972</v>
      </c>
      <c r="L2995" s="33">
        <v>0.52494212962962961</v>
      </c>
      <c r="M2995" s="10">
        <v>1</v>
      </c>
      <c r="N2995" s="10" t="s">
        <v>76</v>
      </c>
      <c r="O2995" s="10">
        <v>2.29E-2</v>
      </c>
      <c r="P2995" s="10">
        <v>2.8999999999999998E-3</v>
      </c>
      <c r="Q2995" s="10">
        <v>1.38</v>
      </c>
      <c r="R2995" s="10" t="s">
        <v>77</v>
      </c>
      <c r="S2995" s="34">
        <f t="shared" si="337"/>
        <v>1.38</v>
      </c>
      <c r="T2995" s="10" t="s">
        <v>1213</v>
      </c>
      <c r="U2995" s="34" t="str">
        <f t="shared" si="338"/>
        <v/>
      </c>
      <c r="V2995" s="31" t="str">
        <f>IF(H2995="CHK",VLOOKUP(I2995,QCCHK,3,),IF(H2995="GUP",VLOOKUP(E2995,QCGUP,2,),IF(AND(H2995="ATP",OR(I2995="TN",I2995="TDN",I2995="TNO2-3",I2995="NO2-3")),VLOOKUP(E2995,QCREC_N,2,),IF(AND(H2995="NIC",OR(I2995="TN",I2995="TDN",I2995="TNO2-3",I2995="NO2-3")),VLOOKUP(E2995,QCNIC_N,2,),IF(AND(H2995="UREA",OR(I2995="TN",I2995="TDN",I2995="TNO2-3",I2995="NO2-3")),VLOOKUP(E2995,QCUREA_N,2,),IF(H2995="PER",VLOOKUP(I2995,QCPER,MATCH(E2995,QCACTUAL!$J$25:$AA$25,0),),IF(H2995="SPK",VLOOKUP(I2995,QCSPK,3,),IF(AND(H2995="ATP",OR(I2995="TP",I2995="TDP")),VLOOKUP(E2995,QCATP_P,2,),""))))))))</f>
        <v/>
      </c>
      <c r="W2995" s="31" t="str">
        <f t="shared" si="339"/>
        <v>TRUE</v>
      </c>
      <c r="X2995" s="31" t="str">
        <f t="shared" si="336"/>
        <v/>
      </c>
      <c r="Y2995" s="10" t="s">
        <v>1206</v>
      </c>
      <c r="Z2995" s="10" t="s">
        <v>910</v>
      </c>
      <c r="AL2995" s="10" t="str">
        <f t="shared" si="334"/>
        <v>FALSE</v>
      </c>
      <c r="AM2995" s="10" t="str">
        <f t="shared" si="334"/>
        <v>FALSE</v>
      </c>
      <c r="AN2995" s="10" t="str">
        <f t="shared" si="334"/>
        <v>FALSE</v>
      </c>
      <c r="AO2995" s="10" t="str">
        <f t="shared" si="335"/>
        <v>FALSE</v>
      </c>
      <c r="AP2995" s="10" t="str">
        <f t="shared" si="335"/>
        <v>FALSE</v>
      </c>
      <c r="AQ2995" s="10" t="b">
        <f>IF(AND(I2995="TP",S2995&lt;=150),VLOOKUP(AF2995,TPCalibEq150!$AZ$2:$BB$55,3,),IF(AND(I2995="TDP",S2995&lt;=150),VLOOKUP(AF2995,TPCalibEq150!$AZ$2:$BB$55,3,)))</f>
        <v>0</v>
      </c>
      <c r="AR2995" s="10" t="b">
        <f>IF(AND(I2995="TP",S2995&lt;=300),VLOOKUP(AF2995,TPCalibEq300!$AZ$2:$BB$55,3,),IF(AND(I2995="TDP",S2995&lt;=300),VLOOKUP(AF2995,TPCalibEq300!$AZ$2:$BB$55,3,)))</f>
        <v>0</v>
      </c>
      <c r="AS2995" s="10" t="b">
        <f>IF(AND(I2995="TP",S2995&lt;=500),VLOOKUP(AF2995,TPCalibEq500!$AZ$2:$BB$56,3,),IF(AND(I2995="TDP",S2995&lt;=500),VLOOKUP(AF2995,TPCalibEq500!$AZ$2:$BB$56,3,)))</f>
        <v>0</v>
      </c>
      <c r="AT2995" s="10" t="b">
        <f>IF(AND(I2995="TN",S2995&lt;=2800),VLOOKUP(AF2995,TNCalibEq2500!$AZ$2:$BB$56,3,),IF(AND(I2995="TDN",S2995&lt;=2800),VLOOKUP(AF2995,TNCalibEq2500!$AZ$2:$BB$56,3,)))</f>
        <v>0</v>
      </c>
      <c r="AU2995" s="10" t="b">
        <f>IF(I2995="TP",VLOOKUP(AF2995,TPCalibEqFull!$AZ$2:$BB$56,3),IF(I2995="TDP",VLOOKUP(AF2995,TPCalibEqFull!$AZ$2:$BB$56,3),IF(I2995="TDN",VLOOKUP(AF2995,TNCalibEqFull!$AZ$1:$BB$56,3),IF(I2995="TN",VLOOKUP(AF2995,TNCalibEqFull!$AZ$1:$BB$56,3),FALSE))))</f>
        <v>0</v>
      </c>
      <c r="AV2995" s="10" t="str">
        <f t="shared" si="340"/>
        <v>0213 11:00:00-890-0-FIL-1-SW-UKN</v>
      </c>
    </row>
    <row r="2996" spans="1:48" s="10" customFormat="1" x14ac:dyDescent="0.55000000000000004">
      <c r="A2996" s="32">
        <v>44970</v>
      </c>
      <c r="B2996" s="33">
        <v>0.47083333333333338</v>
      </c>
      <c r="C2996" s="10" t="s">
        <v>437</v>
      </c>
      <c r="D2996" s="10">
        <v>0</v>
      </c>
      <c r="E2996" s="10" t="s">
        <v>911</v>
      </c>
      <c r="F2996" s="10">
        <v>1</v>
      </c>
      <c r="G2996" s="10" t="s">
        <v>231</v>
      </c>
      <c r="H2996" s="10" t="s">
        <v>322</v>
      </c>
      <c r="I2996" s="10" t="s">
        <v>183</v>
      </c>
      <c r="J2996" s="10">
        <v>43</v>
      </c>
      <c r="K2996" s="12">
        <v>44972</v>
      </c>
      <c r="L2996" s="33">
        <v>0.52572916666666669</v>
      </c>
      <c r="M2996" s="10">
        <v>1</v>
      </c>
      <c r="N2996" s="10" t="s">
        <v>76</v>
      </c>
      <c r="O2996" s="10">
        <v>0.107</v>
      </c>
      <c r="P2996" s="10">
        <v>9.3600000000000003E-3</v>
      </c>
      <c r="Q2996" s="10">
        <v>6.4</v>
      </c>
      <c r="R2996" s="10" t="s">
        <v>77</v>
      </c>
      <c r="S2996" s="34">
        <f t="shared" si="337"/>
        <v>6.4</v>
      </c>
      <c r="T2996" s="10" t="s">
        <v>1213</v>
      </c>
      <c r="U2996" s="34" t="str">
        <f t="shared" si="338"/>
        <v/>
      </c>
      <c r="V2996" s="31" t="str">
        <f>IF(H2996="CHK",VLOOKUP(I2996,QCCHK,3,),IF(H2996="GUP",VLOOKUP(E2996,QCGUP,2,),IF(AND(H2996="ATP",OR(I2996="TN",I2996="TDN",I2996="TNO2-3",I2996="NO2-3")),VLOOKUP(E2996,QCREC_N,2,),IF(AND(H2996="NIC",OR(I2996="TN",I2996="TDN",I2996="TNO2-3",I2996="NO2-3")),VLOOKUP(E2996,QCNIC_N,2,),IF(AND(H2996="UREA",OR(I2996="TN",I2996="TDN",I2996="TNO2-3",I2996="NO2-3")),VLOOKUP(E2996,QCUREA_N,2,),IF(H2996="PER",VLOOKUP(I2996,QCPER,MATCH(E2996,QCACTUAL!$J$25:$AA$25,0),),IF(H2996="SPK",VLOOKUP(I2996,QCSPK,3,),IF(AND(H2996="ATP",OR(I2996="TP",I2996="TDP")),VLOOKUP(E2996,QCATP_P,2,),""))))))))</f>
        <v/>
      </c>
      <c r="W2996" s="31" t="str">
        <f t="shared" si="339"/>
        <v>TRUE</v>
      </c>
      <c r="X2996" s="31" t="str">
        <f t="shared" si="336"/>
        <v/>
      </c>
      <c r="Y2996" s="10" t="s">
        <v>1206</v>
      </c>
      <c r="Z2996" s="10" t="s">
        <v>910</v>
      </c>
      <c r="AL2996" s="10" t="str">
        <f t="shared" si="334"/>
        <v>FALSE</v>
      </c>
      <c r="AM2996" s="10" t="str">
        <f t="shared" si="334"/>
        <v>FALSE</v>
      </c>
      <c r="AN2996" s="10" t="str">
        <f t="shared" si="334"/>
        <v>FALSE</v>
      </c>
      <c r="AO2996" s="10" t="str">
        <f t="shared" si="335"/>
        <v>FALSE</v>
      </c>
      <c r="AP2996" s="10" t="str">
        <f t="shared" si="335"/>
        <v>FALSE</v>
      </c>
      <c r="AQ2996" s="10" t="b">
        <f>IF(AND(I2996="TP",S2996&lt;=150),VLOOKUP(AF2996,TPCalibEq150!$AZ$2:$BB$55,3,),IF(AND(I2996="TDP",S2996&lt;=150),VLOOKUP(AF2996,TPCalibEq150!$AZ$2:$BB$55,3,)))</f>
        <v>0</v>
      </c>
      <c r="AR2996" s="10" t="b">
        <f>IF(AND(I2996="TP",S2996&lt;=300),VLOOKUP(AF2996,TPCalibEq300!$AZ$2:$BB$55,3,),IF(AND(I2996="TDP",S2996&lt;=300),VLOOKUP(AF2996,TPCalibEq300!$AZ$2:$BB$55,3,)))</f>
        <v>0</v>
      </c>
      <c r="AS2996" s="10" t="b">
        <f>IF(AND(I2996="TP",S2996&lt;=500),VLOOKUP(AF2996,TPCalibEq500!$AZ$2:$BB$56,3,),IF(AND(I2996="TDP",S2996&lt;=500),VLOOKUP(AF2996,TPCalibEq500!$AZ$2:$BB$56,3,)))</f>
        <v>0</v>
      </c>
      <c r="AT2996" s="10" t="b">
        <f>IF(AND(I2996="TN",S2996&lt;=2800),VLOOKUP(AF2996,TNCalibEq2500!$AZ$2:$BB$56,3,),IF(AND(I2996="TDN",S2996&lt;=2800),VLOOKUP(AF2996,TNCalibEq2500!$AZ$2:$BB$56,3,)))</f>
        <v>0</v>
      </c>
      <c r="AU2996" s="10" t="b">
        <f>IF(I2996="TP",VLOOKUP(AF2996,TPCalibEqFull!$AZ$2:$BB$56,3),IF(I2996="TDP",VLOOKUP(AF2996,TPCalibEqFull!$AZ$2:$BB$56,3),IF(I2996="TDN",VLOOKUP(AF2996,TNCalibEqFull!$AZ$1:$BB$56,3),IF(I2996="TN",VLOOKUP(AF2996,TNCalibEqFull!$AZ$1:$BB$56,3),FALSE))))</f>
        <v>0</v>
      </c>
      <c r="AV2996" s="10" t="str">
        <f t="shared" si="340"/>
        <v>0213 11:18:00-FVM-0-FIL-1-SW-UKN</v>
      </c>
    </row>
    <row r="2997" spans="1:48" s="10" customFormat="1" x14ac:dyDescent="0.55000000000000004">
      <c r="A2997" s="32">
        <v>44970</v>
      </c>
      <c r="B2997" s="33">
        <v>0.47083333333333338</v>
      </c>
      <c r="C2997" s="10" t="s">
        <v>437</v>
      </c>
      <c r="D2997" s="10">
        <v>0</v>
      </c>
      <c r="E2997" s="10" t="s">
        <v>911</v>
      </c>
      <c r="F2997" s="10">
        <v>2</v>
      </c>
      <c r="G2997" s="10" t="s">
        <v>231</v>
      </c>
      <c r="H2997" s="10" t="s">
        <v>322</v>
      </c>
      <c r="I2997" s="10" t="s">
        <v>183</v>
      </c>
      <c r="J2997" s="10">
        <v>44</v>
      </c>
      <c r="K2997" s="12">
        <v>44972</v>
      </c>
      <c r="L2997" s="33">
        <v>0.52652777777777782</v>
      </c>
      <c r="M2997" s="10">
        <v>1</v>
      </c>
      <c r="N2997" s="10" t="s">
        <v>76</v>
      </c>
      <c r="O2997" s="10">
        <v>0.10199999999999999</v>
      </c>
      <c r="P2997" s="10">
        <v>9.2899999999999996E-3</v>
      </c>
      <c r="Q2997" s="10">
        <v>6.12</v>
      </c>
      <c r="R2997" s="10" t="s">
        <v>77</v>
      </c>
      <c r="S2997" s="34">
        <f t="shared" si="337"/>
        <v>6.12</v>
      </c>
      <c r="T2997" s="10" t="s">
        <v>1213</v>
      </c>
      <c r="U2997" s="34" t="str">
        <f t="shared" si="338"/>
        <v/>
      </c>
      <c r="V2997" s="31" t="str">
        <f>IF(H2997="CHK",VLOOKUP(I2997,QCCHK,3,),IF(H2997="GUP",VLOOKUP(E2997,QCGUP,2,),IF(AND(H2997="ATP",OR(I2997="TN",I2997="TDN",I2997="TNO2-3",I2997="NO2-3")),VLOOKUP(E2997,QCREC_N,2,),IF(AND(H2997="NIC",OR(I2997="TN",I2997="TDN",I2997="TNO2-3",I2997="NO2-3")),VLOOKUP(E2997,QCNIC_N,2,),IF(AND(H2997="UREA",OR(I2997="TN",I2997="TDN",I2997="TNO2-3",I2997="NO2-3")),VLOOKUP(E2997,QCUREA_N,2,),IF(H2997="PER",VLOOKUP(I2997,QCPER,MATCH(E2997,QCACTUAL!$J$25:$AA$25,0),),IF(H2997="SPK",VLOOKUP(I2997,QCSPK,3,),IF(AND(H2997="ATP",OR(I2997="TP",I2997="TDP")),VLOOKUP(E2997,QCATP_P,2,),""))))))))</f>
        <v/>
      </c>
      <c r="W2997" s="31" t="str">
        <f t="shared" si="339"/>
        <v>TRUE</v>
      </c>
      <c r="X2997" s="31" t="str">
        <f t="shared" si="336"/>
        <v/>
      </c>
      <c r="Y2997" s="10" t="s">
        <v>1206</v>
      </c>
      <c r="Z2997" s="10" t="s">
        <v>910</v>
      </c>
      <c r="AL2997" s="10" t="str">
        <f t="shared" si="334"/>
        <v>FALSE</v>
      </c>
      <c r="AM2997" s="10" t="str">
        <f t="shared" si="334"/>
        <v>FALSE</v>
      </c>
      <c r="AN2997" s="10" t="str">
        <f t="shared" si="334"/>
        <v>FALSE</v>
      </c>
      <c r="AO2997" s="10" t="str">
        <f t="shared" si="335"/>
        <v>FALSE</v>
      </c>
      <c r="AP2997" s="10" t="str">
        <f t="shared" si="335"/>
        <v>FALSE</v>
      </c>
      <c r="AQ2997" s="10" t="b">
        <f>IF(AND(I2997="TP",S2997&lt;=150),VLOOKUP(AF2997,TPCalibEq150!$AZ$2:$BB$55,3,),IF(AND(I2997="TDP",S2997&lt;=150),VLOOKUP(AF2997,TPCalibEq150!$AZ$2:$BB$55,3,)))</f>
        <v>0</v>
      </c>
      <c r="AR2997" s="10" t="b">
        <f>IF(AND(I2997="TP",S2997&lt;=300),VLOOKUP(AF2997,TPCalibEq300!$AZ$2:$BB$55,3,),IF(AND(I2997="TDP",S2997&lt;=300),VLOOKUP(AF2997,TPCalibEq300!$AZ$2:$BB$55,3,)))</f>
        <v>0</v>
      </c>
      <c r="AS2997" s="10" t="b">
        <f>IF(AND(I2997="TP",S2997&lt;=500),VLOOKUP(AF2997,TPCalibEq500!$AZ$2:$BB$56,3,),IF(AND(I2997="TDP",S2997&lt;=500),VLOOKUP(AF2997,TPCalibEq500!$AZ$2:$BB$56,3,)))</f>
        <v>0</v>
      </c>
      <c r="AT2997" s="10" t="b">
        <f>IF(AND(I2997="TN",S2997&lt;=2800),VLOOKUP(AF2997,TNCalibEq2500!$AZ$2:$BB$56,3,),IF(AND(I2997="TDN",S2997&lt;=2800),VLOOKUP(AF2997,TNCalibEq2500!$AZ$2:$BB$56,3,)))</f>
        <v>0</v>
      </c>
      <c r="AU2997" s="10" t="b">
        <f>IF(I2997="TP",VLOOKUP(AF2997,TPCalibEqFull!$AZ$2:$BB$56,3),IF(I2997="TDP",VLOOKUP(AF2997,TPCalibEqFull!$AZ$2:$BB$56,3),IF(I2997="TDN",VLOOKUP(AF2997,TNCalibEqFull!$AZ$1:$BB$56,3),IF(I2997="TN",VLOOKUP(AF2997,TNCalibEqFull!$AZ$1:$BB$56,3),FALSE))))</f>
        <v>0</v>
      </c>
      <c r="AV2997" s="10" t="str">
        <f t="shared" si="340"/>
        <v>0213 11:18:00-FVM-0-FIL-2-SW-UKN</v>
      </c>
    </row>
    <row r="2998" spans="1:48" s="10" customFormat="1" x14ac:dyDescent="0.55000000000000004">
      <c r="A2998" s="32">
        <v>44970</v>
      </c>
      <c r="B2998" s="33">
        <v>0.47083333333333338</v>
      </c>
      <c r="C2998" s="10" t="s">
        <v>437</v>
      </c>
      <c r="D2998" s="10">
        <v>0</v>
      </c>
      <c r="E2998" s="10" t="s">
        <v>911</v>
      </c>
      <c r="F2998" s="10">
        <v>2</v>
      </c>
      <c r="G2998" s="10" t="s">
        <v>231</v>
      </c>
      <c r="H2998" s="10" t="s">
        <v>233</v>
      </c>
      <c r="I2998" s="10" t="s">
        <v>183</v>
      </c>
      <c r="J2998" s="10">
        <v>44</v>
      </c>
      <c r="K2998" s="12">
        <v>44972</v>
      </c>
      <c r="L2998" s="33">
        <v>0.52733796296296298</v>
      </c>
      <c r="M2998" s="10">
        <v>1</v>
      </c>
      <c r="N2998" s="10" t="s">
        <v>76</v>
      </c>
      <c r="O2998" s="10">
        <v>0.10100000000000001</v>
      </c>
      <c r="P2998" s="10">
        <v>9.11E-3</v>
      </c>
      <c r="Q2998" s="10">
        <v>6.05</v>
      </c>
      <c r="R2998" s="10" t="s">
        <v>77</v>
      </c>
      <c r="S2998" s="34">
        <f t="shared" si="337"/>
        <v>6.05</v>
      </c>
      <c r="T2998" s="10" t="s">
        <v>1213</v>
      </c>
      <c r="U2998" s="34">
        <f t="shared" si="338"/>
        <v>1.1503697617091255</v>
      </c>
      <c r="V2998" s="31" t="str">
        <f>IF(H2998="CHK",VLOOKUP(I2998,QCCHK,3,),IF(H2998="GUP",VLOOKUP(E2998,QCGUP,2,),IF(AND(H2998="ATP",OR(I2998="TN",I2998="TDN",I2998="TNO2-3",I2998="NO2-3")),VLOOKUP(E2998,QCREC_N,2,),IF(AND(H2998="NIC",OR(I2998="TN",I2998="TDN",I2998="TNO2-3",I2998="NO2-3")),VLOOKUP(E2998,QCNIC_N,2,),IF(AND(H2998="UREA",OR(I2998="TN",I2998="TDN",I2998="TNO2-3",I2998="NO2-3")),VLOOKUP(E2998,QCUREA_N,2,),IF(H2998="PER",VLOOKUP(I2998,QCPER,MATCH(E2998,QCACTUAL!$J$25:$AA$25,0),),IF(H2998="SPK",VLOOKUP(I2998,QCSPK,3,),IF(AND(H2998="ATP",OR(I2998="TP",I2998="TDP")),VLOOKUP(E2998,QCATP_P,2,),""))))))))</f>
        <v/>
      </c>
      <c r="W2998" s="31" t="str">
        <f t="shared" si="339"/>
        <v>TRUE</v>
      </c>
      <c r="X2998" s="31" t="str">
        <f t="shared" si="336"/>
        <v>((ABS(rep1-rep2))/((rep1+rep2)/2)*100</v>
      </c>
      <c r="Y2998" s="10" t="s">
        <v>1206</v>
      </c>
      <c r="Z2998" s="10" t="s">
        <v>910</v>
      </c>
      <c r="AL2998" s="10" t="str">
        <f t="shared" si="334"/>
        <v>FALSE</v>
      </c>
      <c r="AM2998" s="10" t="str">
        <f t="shared" si="334"/>
        <v>FALSE</v>
      </c>
      <c r="AN2998" s="10" t="str">
        <f t="shared" si="334"/>
        <v>FALSE</v>
      </c>
      <c r="AO2998" s="10" t="str">
        <f t="shared" si="335"/>
        <v>FALSE</v>
      </c>
      <c r="AP2998" s="10" t="str">
        <f t="shared" si="335"/>
        <v>FALSE</v>
      </c>
      <c r="AQ2998" s="10" t="b">
        <f>IF(AND(I2998="TP",S2998&lt;=150),VLOOKUP(AF2998,TPCalibEq150!$AZ$2:$BB$55,3,),IF(AND(I2998="TDP",S2998&lt;=150),VLOOKUP(AF2998,TPCalibEq150!$AZ$2:$BB$55,3,)))</f>
        <v>0</v>
      </c>
      <c r="AR2998" s="10" t="b">
        <f>IF(AND(I2998="TP",S2998&lt;=300),VLOOKUP(AF2998,TPCalibEq300!$AZ$2:$BB$55,3,),IF(AND(I2998="TDP",S2998&lt;=300),VLOOKUP(AF2998,TPCalibEq300!$AZ$2:$BB$55,3,)))</f>
        <v>0</v>
      </c>
      <c r="AS2998" s="10" t="b">
        <f>IF(AND(I2998="TP",S2998&lt;=500),VLOOKUP(AF2998,TPCalibEq500!$AZ$2:$BB$56,3,),IF(AND(I2998="TDP",S2998&lt;=500),VLOOKUP(AF2998,TPCalibEq500!$AZ$2:$BB$56,3,)))</f>
        <v>0</v>
      </c>
      <c r="AT2998" s="10" t="b">
        <f>IF(AND(I2998="TN",S2998&lt;=2800),VLOOKUP(AF2998,TNCalibEq2500!$AZ$2:$BB$56,3,),IF(AND(I2998="TDN",S2998&lt;=2800),VLOOKUP(AF2998,TNCalibEq2500!$AZ$2:$BB$56,3,)))</f>
        <v>0</v>
      </c>
      <c r="AU2998" s="10" t="b">
        <f>IF(I2998="TP",VLOOKUP(AF2998,TPCalibEqFull!$AZ$2:$BB$56,3),IF(I2998="TDP",VLOOKUP(AF2998,TPCalibEqFull!$AZ$2:$BB$56,3),IF(I2998="TDN",VLOOKUP(AF2998,TNCalibEqFull!$AZ$1:$BB$56,3),IF(I2998="TN",VLOOKUP(AF2998,TNCalibEqFull!$AZ$1:$BB$56,3),FALSE))))</f>
        <v>0</v>
      </c>
      <c r="AV2998" s="10" t="str">
        <f t="shared" si="340"/>
        <v>0213 11:18:00-FVM-0-FIL-2-SW-DUP</v>
      </c>
    </row>
    <row r="2999" spans="1:48" s="10" customFormat="1" x14ac:dyDescent="0.55000000000000004">
      <c r="A2999" s="32">
        <v>44970</v>
      </c>
      <c r="B2999" s="33">
        <v>0.47083333333333338</v>
      </c>
      <c r="C2999" s="10" t="s">
        <v>437</v>
      </c>
      <c r="D2999" s="10">
        <v>0</v>
      </c>
      <c r="E2999" s="10" t="s">
        <v>911</v>
      </c>
      <c r="F2999" s="10">
        <v>2</v>
      </c>
      <c r="G2999" s="10" t="s">
        <v>231</v>
      </c>
      <c r="H2999" s="10" t="s">
        <v>314</v>
      </c>
      <c r="I2999" s="10" t="s">
        <v>183</v>
      </c>
      <c r="J2999" s="10">
        <v>53</v>
      </c>
      <c r="K2999" s="12">
        <v>44972</v>
      </c>
      <c r="L2999" s="33">
        <v>0.52815972222222218</v>
      </c>
      <c r="M2999" s="10">
        <v>1</v>
      </c>
      <c r="N2999" s="10" t="s">
        <v>76</v>
      </c>
      <c r="O2999" s="10">
        <v>10.7</v>
      </c>
      <c r="P2999" s="10">
        <v>0.86199999999999999</v>
      </c>
      <c r="Q2999" s="10">
        <v>639</v>
      </c>
      <c r="R2999" s="10" t="s">
        <v>77</v>
      </c>
      <c r="S2999" s="34">
        <f t="shared" si="337"/>
        <v>639</v>
      </c>
      <c r="T2999" s="10" t="s">
        <v>1213</v>
      </c>
      <c r="U2999" s="34">
        <f t="shared" si="338"/>
        <v>101.27200000000001</v>
      </c>
      <c r="V2999" s="31">
        <f>IF(H2999="CHK",VLOOKUP(I2999,QCCHK,3,),IF(H2999="GUP",VLOOKUP(E2999,QCGUP,2,),IF(AND(H2999="ATP",OR(I2999="TN",I2999="TDN",I2999="TNO2-3",I2999="NO2-3")),VLOOKUP(E2999,QCREC_N,2,),IF(AND(H2999="NIC",OR(I2999="TN",I2999="TDN",I2999="TNO2-3",I2999="NO2-3")),VLOOKUP(E2999,QCNIC_N,2,),IF(AND(H2999="UREA",OR(I2999="TN",I2999="TDN",I2999="TNO2-3",I2999="NO2-3")),VLOOKUP(E2999,QCUREA_N,2,),IF(H2999="PER",VLOOKUP(I2999,QCPER,MATCH(E2999,QCACTUAL!$J$25:$AA$25,0),),IF(H2999="SPK",VLOOKUP(I2999,QCSPK,3,),IF(AND(H2999="ATP",OR(I2999="TP",I2999="TDP")),VLOOKUP(E2999,QCATP_P,2,),""))))))))</f>
        <v>625</v>
      </c>
      <c r="W2999" s="31" t="str">
        <f t="shared" si="339"/>
        <v>TRUE</v>
      </c>
      <c r="X2999" s="31" t="str">
        <f t="shared" si="336"/>
        <v>([spikedunkn]-[unkn])/[spike]*100</v>
      </c>
      <c r="Y2999" s="10" t="s">
        <v>1206</v>
      </c>
      <c r="Z2999" s="10" t="s">
        <v>910</v>
      </c>
      <c r="AL2999" s="10" t="str">
        <f t="shared" si="334"/>
        <v>FALSE</v>
      </c>
      <c r="AM2999" s="10" t="str">
        <f t="shared" si="334"/>
        <v>FALSE</v>
      </c>
      <c r="AN2999" s="10" t="str">
        <f t="shared" si="334"/>
        <v>FALSE</v>
      </c>
      <c r="AO2999" s="10" t="str">
        <f t="shared" si="335"/>
        <v>FALSE</v>
      </c>
      <c r="AP2999" s="10" t="str">
        <f t="shared" si="335"/>
        <v>FALSE</v>
      </c>
      <c r="AQ2999" s="10" t="b">
        <f>IF(AND(I2999="TP",S2999&lt;=150),VLOOKUP(AF2999,TPCalibEq150!$AZ$2:$BB$55,3,),IF(AND(I2999="TDP",S2999&lt;=150),VLOOKUP(AF2999,TPCalibEq150!$AZ$2:$BB$55,3,)))</f>
        <v>0</v>
      </c>
      <c r="AR2999" s="10" t="b">
        <f>IF(AND(I2999="TP",S2999&lt;=300),VLOOKUP(AF2999,TPCalibEq300!$AZ$2:$BB$55,3,),IF(AND(I2999="TDP",S2999&lt;=300),VLOOKUP(AF2999,TPCalibEq300!$AZ$2:$BB$55,3,)))</f>
        <v>0</v>
      </c>
      <c r="AS2999" s="10" t="b">
        <f>IF(AND(I2999="TP",S2999&lt;=500),VLOOKUP(AF2999,TPCalibEq500!$AZ$2:$BB$56,3,),IF(AND(I2999="TDP",S2999&lt;=500),VLOOKUP(AF2999,TPCalibEq500!$AZ$2:$BB$56,3,)))</f>
        <v>0</v>
      </c>
      <c r="AT2999" s="10" t="b">
        <f>IF(AND(I2999="TN",S2999&lt;=2800),VLOOKUP(AF2999,TNCalibEq2500!$AZ$2:$BB$56,3,),IF(AND(I2999="TDN",S2999&lt;=2800),VLOOKUP(AF2999,TNCalibEq2500!$AZ$2:$BB$56,3,)))</f>
        <v>0</v>
      </c>
      <c r="AU2999" s="10" t="b">
        <f>IF(I2999="TP",VLOOKUP(AF2999,TPCalibEqFull!$AZ$2:$BB$56,3),IF(I2999="TDP",VLOOKUP(AF2999,TPCalibEqFull!$AZ$2:$BB$56,3),IF(I2999="TDN",VLOOKUP(AF2999,TNCalibEqFull!$AZ$1:$BB$56,3),IF(I2999="TN",VLOOKUP(AF2999,TNCalibEqFull!$AZ$1:$BB$56,3),FALSE))))</f>
        <v>0</v>
      </c>
      <c r="AV2999" s="10" t="str">
        <f t="shared" si="340"/>
        <v>0213 11:18:00-FVM-0-FIL-2-SW-SPK</v>
      </c>
    </row>
    <row r="3000" spans="1:48" s="10" customFormat="1" x14ac:dyDescent="0.55000000000000004">
      <c r="A3000" s="32">
        <v>44972</v>
      </c>
      <c r="B3000" s="33">
        <v>0.375</v>
      </c>
      <c r="C3000" s="10" t="s">
        <v>70</v>
      </c>
      <c r="D3000" s="10" t="s">
        <v>71</v>
      </c>
      <c r="E3000" s="10" t="s">
        <v>901</v>
      </c>
      <c r="F3000" s="10">
        <v>1</v>
      </c>
      <c r="G3000" s="10" t="s">
        <v>73</v>
      </c>
      <c r="H3000" s="10" t="s">
        <v>207</v>
      </c>
      <c r="I3000" s="10" t="s">
        <v>75</v>
      </c>
      <c r="J3000" s="10">
        <v>200</v>
      </c>
      <c r="K3000" s="12">
        <v>44972</v>
      </c>
      <c r="L3000" s="33">
        <v>0.5289814814814815</v>
      </c>
      <c r="M3000" s="10">
        <v>1</v>
      </c>
      <c r="N3000" s="10" t="s">
        <v>76</v>
      </c>
      <c r="O3000" s="10">
        <v>4.87</v>
      </c>
      <c r="P3000" s="10">
        <v>0.39</v>
      </c>
      <c r="Q3000" s="10">
        <v>291</v>
      </c>
      <c r="R3000" s="10" t="s">
        <v>77</v>
      </c>
      <c r="S3000" s="34">
        <f t="shared" si="337"/>
        <v>291</v>
      </c>
      <c r="T3000" s="10" t="s">
        <v>1213</v>
      </c>
      <c r="U3000" s="34">
        <f t="shared" si="338"/>
        <v>97</v>
      </c>
      <c r="V3000" s="31">
        <f>IF(H3000="CHK",VLOOKUP(I3000,QCCHK,3,),IF(H3000="GUP",VLOOKUP(E3000,QCGUP,2,),IF(AND(H3000="ATP",OR(I3000="TN",I3000="TDN",I3000="TNO2-3",I3000="NO2-3")),VLOOKUP(E3000,QCREC_N,2,),IF(AND(H3000="NIC",OR(I3000="TN",I3000="TDN",I3000="TNO2-3",I3000="NO2-3")),VLOOKUP(E3000,QCNIC_N,2,),IF(AND(H3000="UREA",OR(I3000="TN",I3000="TDN",I3000="TNO2-3",I3000="NO2-3")),VLOOKUP(E3000,QCUREA_N,2,),IF(H3000="PER",VLOOKUP(I3000,QCPER,MATCH(E3000,QCACTUAL!$J$25:$AA$25,0),),IF(H3000="SPK",VLOOKUP(I3000,QCSPK,3,),IF(AND(H3000="ATP",OR(I3000="TP",I3000="TDP")),VLOOKUP(E3000,QCATP_P,2,),""))))))))</f>
        <v>300</v>
      </c>
      <c r="W3000" s="31" t="str">
        <f t="shared" si="339"/>
        <v>TRUE</v>
      </c>
      <c r="X3000" s="31" t="str">
        <f t="shared" si="336"/>
        <v>[chk]/[actual]*100</v>
      </c>
      <c r="Y3000" s="10" t="s">
        <v>1206</v>
      </c>
      <c r="AL3000" s="10" t="str">
        <f t="shared" si="334"/>
        <v>FALSE</v>
      </c>
      <c r="AM3000" s="10" t="str">
        <f t="shared" si="334"/>
        <v>FALSE</v>
      </c>
      <c r="AN3000" s="10" t="str">
        <f t="shared" si="334"/>
        <v>FALSE</v>
      </c>
      <c r="AO3000" s="10" t="str">
        <f t="shared" si="335"/>
        <v>FALSE</v>
      </c>
      <c r="AP3000" s="10" t="str">
        <f t="shared" si="335"/>
        <v>FALSE</v>
      </c>
      <c r="AQ3000" s="10" t="b">
        <f>IF(AND(I3000="TP",S3000&lt;=150),VLOOKUP(AF3000,TPCalibEq150!$AZ$2:$BB$55,3,),IF(AND(I3000="TDP",S3000&lt;=150),VLOOKUP(AF3000,TPCalibEq150!$AZ$2:$BB$55,3,)))</f>
        <v>0</v>
      </c>
      <c r="AR3000" s="10" t="b">
        <f>IF(AND(I3000="TP",S3000&lt;=300),VLOOKUP(AF3000,TPCalibEq300!$AZ$2:$BB$55,3,),IF(AND(I3000="TDP",S3000&lt;=300),VLOOKUP(AF3000,TPCalibEq300!$AZ$2:$BB$55,3,)))</f>
        <v>0</v>
      </c>
      <c r="AS3000" s="10" t="b">
        <f>IF(AND(I3000="TP",S3000&lt;=500),VLOOKUP(AF3000,TPCalibEq500!$AZ$2:$BB$56,3,),IF(AND(I3000="TDP",S3000&lt;=500),VLOOKUP(AF3000,TPCalibEq500!$AZ$2:$BB$56,3,)))</f>
        <v>0</v>
      </c>
      <c r="AT3000" s="10" t="b">
        <f>IF(AND(I3000="TN",S3000&lt;=2800),VLOOKUP(AF3000,TNCalibEq2500!$AZ$2:$BB$56,3,),IF(AND(I3000="TDN",S3000&lt;=2800),VLOOKUP(AF3000,TNCalibEq2500!$AZ$2:$BB$56,3,)))</f>
        <v>0</v>
      </c>
      <c r="AU3000" s="10" t="b">
        <f>IF(I3000="TP",VLOOKUP(AF3000,TPCalibEqFull!$AZ$2:$BB$56,3),IF(I3000="TDP",VLOOKUP(AF3000,TPCalibEqFull!$AZ$2:$BB$56,3),IF(I3000="TDN",VLOOKUP(AF3000,TNCalibEqFull!$AZ$1:$BB$56,3),IF(I3000="TN",VLOOKUP(AF3000,TNCalibEqFull!$AZ$1:$BB$56,3),FALSE))))</f>
        <v>0</v>
      </c>
      <c r="AV3000" s="10" t="str">
        <f t="shared" si="340"/>
        <v>0215 09:00:00-QAC-STD-D-1-DI-CHK</v>
      </c>
    </row>
    <row r="3001" spans="1:48" s="10" customFormat="1" x14ac:dyDescent="0.55000000000000004">
      <c r="A3001" s="32">
        <v>44970</v>
      </c>
      <c r="B3001" s="33">
        <v>0.49583333333333335</v>
      </c>
      <c r="C3001" s="10" t="s">
        <v>336</v>
      </c>
      <c r="D3001" s="10">
        <v>0</v>
      </c>
      <c r="E3001" s="10" t="s">
        <v>911</v>
      </c>
      <c r="F3001" s="10">
        <v>1</v>
      </c>
      <c r="G3001" s="10" t="s">
        <v>231</v>
      </c>
      <c r="H3001" s="10" t="s">
        <v>322</v>
      </c>
      <c r="I3001" s="10" t="s">
        <v>183</v>
      </c>
      <c r="J3001" s="10">
        <v>45</v>
      </c>
      <c r="K3001" s="12">
        <v>44972</v>
      </c>
      <c r="L3001" s="33">
        <v>0.52978009259259262</v>
      </c>
      <c r="M3001" s="10">
        <v>1</v>
      </c>
      <c r="N3001" s="10" t="s">
        <v>76</v>
      </c>
      <c r="O3001" s="10">
        <v>2.7900000000000001E-2</v>
      </c>
      <c r="P3001" s="10">
        <v>3.1199999999999999E-3</v>
      </c>
      <c r="Q3001" s="10">
        <v>1.67</v>
      </c>
      <c r="R3001" s="10" t="s">
        <v>77</v>
      </c>
      <c r="S3001" s="34">
        <f t="shared" si="337"/>
        <v>1.67</v>
      </c>
      <c r="T3001" s="10" t="s">
        <v>1213</v>
      </c>
      <c r="U3001" s="34" t="str">
        <f t="shared" si="338"/>
        <v/>
      </c>
      <c r="V3001" s="31" t="str">
        <f>IF(H3001="CHK",VLOOKUP(I3001,QCCHK,3,),IF(H3001="GUP",VLOOKUP(E3001,QCGUP,2,),IF(AND(H3001="ATP",OR(I3001="TN",I3001="TDN",I3001="TNO2-3",I3001="NO2-3")),VLOOKUP(E3001,QCREC_N,2,),IF(AND(H3001="NIC",OR(I3001="TN",I3001="TDN",I3001="TNO2-3",I3001="NO2-3")),VLOOKUP(E3001,QCNIC_N,2,),IF(AND(H3001="UREA",OR(I3001="TN",I3001="TDN",I3001="TNO2-3",I3001="NO2-3")),VLOOKUP(E3001,QCUREA_N,2,),IF(H3001="PER",VLOOKUP(I3001,QCPER,MATCH(E3001,QCACTUAL!$J$25:$AA$25,0),),IF(H3001="SPK",VLOOKUP(I3001,QCSPK,3,),IF(AND(H3001="ATP",OR(I3001="TP",I3001="TDP")),VLOOKUP(E3001,QCATP_P,2,),""))))))))</f>
        <v/>
      </c>
      <c r="W3001" s="31" t="str">
        <f t="shared" si="339"/>
        <v>TRUE</v>
      </c>
      <c r="X3001" s="31" t="str">
        <f t="shared" si="336"/>
        <v/>
      </c>
      <c r="Y3001" s="10" t="s">
        <v>1206</v>
      </c>
      <c r="Z3001" s="10" t="s">
        <v>910</v>
      </c>
      <c r="AL3001" s="10" t="str">
        <f t="shared" si="334"/>
        <v>FALSE</v>
      </c>
      <c r="AM3001" s="10" t="str">
        <f t="shared" si="334"/>
        <v>FALSE</v>
      </c>
      <c r="AN3001" s="10" t="str">
        <f t="shared" si="334"/>
        <v>FALSE</v>
      </c>
      <c r="AO3001" s="10" t="str">
        <f t="shared" si="335"/>
        <v>FALSE</v>
      </c>
      <c r="AP3001" s="10" t="str">
        <f t="shared" si="335"/>
        <v>FALSE</v>
      </c>
      <c r="AQ3001" s="10" t="b">
        <f>IF(AND(I3001="TP",S3001&lt;=150),VLOOKUP(AF3001,TPCalibEq150!$AZ$2:$BB$55,3,),IF(AND(I3001="TDP",S3001&lt;=150),VLOOKUP(AF3001,TPCalibEq150!$AZ$2:$BB$55,3,)))</f>
        <v>0</v>
      </c>
      <c r="AR3001" s="10" t="b">
        <f>IF(AND(I3001="TP",S3001&lt;=300),VLOOKUP(AF3001,TPCalibEq300!$AZ$2:$BB$55,3,),IF(AND(I3001="TDP",S3001&lt;=300),VLOOKUP(AF3001,TPCalibEq300!$AZ$2:$BB$55,3,)))</f>
        <v>0</v>
      </c>
      <c r="AS3001" s="10" t="b">
        <f>IF(AND(I3001="TP",S3001&lt;=500),VLOOKUP(AF3001,TPCalibEq500!$AZ$2:$BB$56,3,),IF(AND(I3001="TDP",S3001&lt;=500),VLOOKUP(AF3001,TPCalibEq500!$AZ$2:$BB$56,3,)))</f>
        <v>0</v>
      </c>
      <c r="AT3001" s="10" t="b">
        <f>IF(AND(I3001="TN",S3001&lt;=2800),VLOOKUP(AF3001,TNCalibEq2500!$AZ$2:$BB$56,3,),IF(AND(I3001="TDN",S3001&lt;=2800),VLOOKUP(AF3001,TNCalibEq2500!$AZ$2:$BB$56,3,)))</f>
        <v>0</v>
      </c>
      <c r="AU3001" s="10" t="b">
        <f>IF(I3001="TP",VLOOKUP(AF3001,TPCalibEqFull!$AZ$2:$BB$56,3),IF(I3001="TDP",VLOOKUP(AF3001,TPCalibEqFull!$AZ$2:$BB$56,3),IF(I3001="TDN",VLOOKUP(AF3001,TNCalibEqFull!$AZ$1:$BB$56,3),IF(I3001="TN",VLOOKUP(AF3001,TNCalibEqFull!$AZ$1:$BB$56,3),FALSE))))</f>
        <v>0</v>
      </c>
      <c r="AV3001" s="10" t="str">
        <f t="shared" si="340"/>
        <v>0213 11:54:00-HWR-0-FIL-1-SW-UKN</v>
      </c>
    </row>
    <row r="3002" spans="1:48" s="10" customFormat="1" x14ac:dyDescent="0.55000000000000004">
      <c r="A3002" s="32">
        <v>44970</v>
      </c>
      <c r="B3002" s="33">
        <v>0.48819444444444443</v>
      </c>
      <c r="C3002" s="10" t="s">
        <v>295</v>
      </c>
      <c r="D3002" s="10">
        <v>0</v>
      </c>
      <c r="E3002" s="10" t="s">
        <v>911</v>
      </c>
      <c r="F3002" s="10">
        <v>1</v>
      </c>
      <c r="G3002" s="10" t="s">
        <v>231</v>
      </c>
      <c r="H3002" s="10" t="s">
        <v>322</v>
      </c>
      <c r="I3002" s="10" t="s">
        <v>183</v>
      </c>
      <c r="J3002" s="10">
        <v>46</v>
      </c>
      <c r="K3002" s="12">
        <v>44972</v>
      </c>
      <c r="L3002" s="33">
        <v>0.53061342592592597</v>
      </c>
      <c r="M3002" s="10">
        <v>1</v>
      </c>
      <c r="N3002" s="10" t="s">
        <v>76</v>
      </c>
      <c r="O3002" s="10">
        <v>1.7899999999999999E-2</v>
      </c>
      <c r="P3002" s="10">
        <v>2.7399999999999998E-3</v>
      </c>
      <c r="Q3002" s="10">
        <v>1.07</v>
      </c>
      <c r="R3002" s="10" t="s">
        <v>77</v>
      </c>
      <c r="S3002" s="34">
        <f t="shared" si="337"/>
        <v>1.07</v>
      </c>
      <c r="T3002" s="10" t="s">
        <v>1213</v>
      </c>
      <c r="U3002" s="34" t="str">
        <f t="shared" si="338"/>
        <v/>
      </c>
      <c r="V3002" s="31" t="str">
        <f>IF(H3002="CHK",VLOOKUP(I3002,QCCHK,3,),IF(H3002="GUP",VLOOKUP(E3002,QCGUP,2,),IF(AND(H3002="ATP",OR(I3002="TN",I3002="TDN",I3002="TNO2-3",I3002="NO2-3")),VLOOKUP(E3002,QCREC_N,2,),IF(AND(H3002="NIC",OR(I3002="TN",I3002="TDN",I3002="TNO2-3",I3002="NO2-3")),VLOOKUP(E3002,QCNIC_N,2,),IF(AND(H3002="UREA",OR(I3002="TN",I3002="TDN",I3002="TNO2-3",I3002="NO2-3")),VLOOKUP(E3002,QCUREA_N,2,),IF(H3002="PER",VLOOKUP(I3002,QCPER,MATCH(E3002,QCACTUAL!$J$25:$AA$25,0),),IF(H3002="SPK",VLOOKUP(I3002,QCSPK,3,),IF(AND(H3002="ATP",OR(I3002="TP",I3002="TDP")),VLOOKUP(E3002,QCATP_P,2,),""))))))))</f>
        <v/>
      </c>
      <c r="W3002" s="31" t="str">
        <f t="shared" si="339"/>
        <v>TRUE</v>
      </c>
      <c r="X3002" s="31" t="str">
        <f t="shared" si="336"/>
        <v/>
      </c>
      <c r="Y3002" s="10" t="s">
        <v>1206</v>
      </c>
      <c r="Z3002" s="10" t="s">
        <v>910</v>
      </c>
      <c r="AL3002" s="10" t="str">
        <f t="shared" si="334"/>
        <v>FALSE</v>
      </c>
      <c r="AM3002" s="10" t="str">
        <f t="shared" si="334"/>
        <v>FALSE</v>
      </c>
      <c r="AN3002" s="10" t="str">
        <f t="shared" si="334"/>
        <v>FALSE</v>
      </c>
      <c r="AO3002" s="10" t="str">
        <f t="shared" si="335"/>
        <v>FALSE</v>
      </c>
      <c r="AP3002" s="10" t="str">
        <f t="shared" si="335"/>
        <v>FALSE</v>
      </c>
      <c r="AQ3002" s="10" t="b">
        <f>IF(AND(I3002="TP",S3002&lt;=150),VLOOKUP(AF3002,TPCalibEq150!$AZ$2:$BB$55,3,),IF(AND(I3002="TDP",S3002&lt;=150),VLOOKUP(AF3002,TPCalibEq150!$AZ$2:$BB$55,3,)))</f>
        <v>0</v>
      </c>
      <c r="AR3002" s="10" t="b">
        <f>IF(AND(I3002="TP",S3002&lt;=300),VLOOKUP(AF3002,TPCalibEq300!$AZ$2:$BB$55,3,),IF(AND(I3002="TDP",S3002&lt;=300),VLOOKUP(AF3002,TPCalibEq300!$AZ$2:$BB$55,3,)))</f>
        <v>0</v>
      </c>
      <c r="AS3002" s="10" t="b">
        <f>IF(AND(I3002="TP",S3002&lt;=500),VLOOKUP(AF3002,TPCalibEq500!$AZ$2:$BB$56,3,),IF(AND(I3002="TDP",S3002&lt;=500),VLOOKUP(AF3002,TPCalibEq500!$AZ$2:$BB$56,3,)))</f>
        <v>0</v>
      </c>
      <c r="AT3002" s="10" t="b">
        <f>IF(AND(I3002="TN",S3002&lt;=2800),VLOOKUP(AF3002,TNCalibEq2500!$AZ$2:$BB$56,3,),IF(AND(I3002="TDN",S3002&lt;=2800),VLOOKUP(AF3002,TNCalibEq2500!$AZ$2:$BB$56,3,)))</f>
        <v>0</v>
      </c>
      <c r="AU3002" s="10" t="b">
        <f>IF(I3002="TP",VLOOKUP(AF3002,TPCalibEqFull!$AZ$2:$BB$56,3),IF(I3002="TDP",VLOOKUP(AF3002,TPCalibEqFull!$AZ$2:$BB$56,3),IF(I3002="TDN",VLOOKUP(AF3002,TNCalibEqFull!$AZ$1:$BB$56,3),IF(I3002="TN",VLOOKUP(AF3002,TNCalibEqFull!$AZ$1:$BB$56,3),FALSE))))</f>
        <v>0</v>
      </c>
      <c r="AV3002" s="10" t="str">
        <f t="shared" si="340"/>
        <v>0213 11:43:00-EFM-0-FIL-1-SW-UKN</v>
      </c>
    </row>
    <row r="3003" spans="1:48" s="10" customFormat="1" x14ac:dyDescent="0.55000000000000004">
      <c r="A3003" s="32">
        <v>44970</v>
      </c>
      <c r="B3003" s="33">
        <v>0.50694444444444442</v>
      </c>
      <c r="C3003" s="10" t="s">
        <v>999</v>
      </c>
      <c r="D3003" s="10">
        <v>0</v>
      </c>
      <c r="E3003" s="10" t="s">
        <v>911</v>
      </c>
      <c r="F3003" s="10">
        <v>1</v>
      </c>
      <c r="G3003" s="10" t="s">
        <v>231</v>
      </c>
      <c r="H3003" s="10" t="s">
        <v>322</v>
      </c>
      <c r="I3003" s="10" t="s">
        <v>183</v>
      </c>
      <c r="J3003" s="10">
        <v>47</v>
      </c>
      <c r="K3003" s="12">
        <v>44972</v>
      </c>
      <c r="L3003" s="33">
        <v>0.53143518518518518</v>
      </c>
      <c r="M3003" s="10">
        <v>1</v>
      </c>
      <c r="N3003" s="10" t="s">
        <v>76</v>
      </c>
      <c r="O3003" s="10">
        <v>1.55E-2</v>
      </c>
      <c r="P3003" s="10">
        <v>2.6099999999999999E-3</v>
      </c>
      <c r="Q3003" s="10">
        <v>0.93100000000000005</v>
      </c>
      <c r="R3003" s="10" t="s">
        <v>77</v>
      </c>
      <c r="S3003" s="34">
        <f t="shared" si="337"/>
        <v>0.93100000000000005</v>
      </c>
      <c r="T3003" s="10" t="s">
        <v>1213</v>
      </c>
      <c r="U3003" s="34" t="str">
        <f t="shared" si="338"/>
        <v/>
      </c>
      <c r="V3003" s="31" t="str">
        <f>IF(H3003="CHK",VLOOKUP(I3003,QCCHK,3,),IF(H3003="GUP",VLOOKUP(E3003,QCGUP,2,),IF(AND(H3003="ATP",OR(I3003="TN",I3003="TDN",I3003="TNO2-3",I3003="NO2-3")),VLOOKUP(E3003,QCREC_N,2,),IF(AND(H3003="NIC",OR(I3003="TN",I3003="TDN",I3003="TNO2-3",I3003="NO2-3")),VLOOKUP(E3003,QCNIC_N,2,),IF(AND(H3003="UREA",OR(I3003="TN",I3003="TDN",I3003="TNO2-3",I3003="NO2-3")),VLOOKUP(E3003,QCUREA_N,2,),IF(H3003="PER",VLOOKUP(I3003,QCPER,MATCH(E3003,QCACTUAL!$J$25:$AA$25,0),),IF(H3003="SPK",VLOOKUP(I3003,QCSPK,3,),IF(AND(H3003="ATP",OR(I3003="TP",I3003="TDP")),VLOOKUP(E3003,QCATP_P,2,),""))))))))</f>
        <v/>
      </c>
      <c r="W3003" s="31" t="str">
        <f t="shared" si="339"/>
        <v>TRUE</v>
      </c>
      <c r="X3003" s="31" t="str">
        <f t="shared" si="336"/>
        <v/>
      </c>
      <c r="Y3003" s="10" t="s">
        <v>1206</v>
      </c>
      <c r="Z3003" s="10" t="s">
        <v>910</v>
      </c>
      <c r="AL3003" s="10" t="str">
        <f t="shared" si="334"/>
        <v>FALSE</v>
      </c>
      <c r="AM3003" s="10" t="str">
        <f t="shared" si="334"/>
        <v>FALSE</v>
      </c>
      <c r="AN3003" s="10" t="str">
        <f t="shared" si="334"/>
        <v>FALSE</v>
      </c>
      <c r="AO3003" s="10" t="str">
        <f t="shared" si="335"/>
        <v>FALSE</v>
      </c>
      <c r="AP3003" s="10" t="str">
        <f t="shared" si="335"/>
        <v>FALSE</v>
      </c>
      <c r="AQ3003" s="10" t="b">
        <f>IF(AND(I3003="TP",S3003&lt;=150),VLOOKUP(AF3003,TPCalibEq150!$AZ$2:$BB$55,3,),IF(AND(I3003="TDP",S3003&lt;=150),VLOOKUP(AF3003,TPCalibEq150!$AZ$2:$BB$55,3,)))</f>
        <v>0</v>
      </c>
      <c r="AR3003" s="10" t="b">
        <f>IF(AND(I3003="TP",S3003&lt;=300),VLOOKUP(AF3003,TPCalibEq300!$AZ$2:$BB$55,3,),IF(AND(I3003="TDP",S3003&lt;=300),VLOOKUP(AF3003,TPCalibEq300!$AZ$2:$BB$55,3,)))</f>
        <v>0</v>
      </c>
      <c r="AS3003" s="10" t="b">
        <f>IF(AND(I3003="TP",S3003&lt;=500),VLOOKUP(AF3003,TPCalibEq500!$AZ$2:$BB$56,3,),IF(AND(I3003="TDP",S3003&lt;=500),VLOOKUP(AF3003,TPCalibEq500!$AZ$2:$BB$56,3,)))</f>
        <v>0</v>
      </c>
      <c r="AT3003" s="10" t="b">
        <f>IF(AND(I3003="TN",S3003&lt;=2800),VLOOKUP(AF3003,TNCalibEq2500!$AZ$2:$BB$56,3,),IF(AND(I3003="TDN",S3003&lt;=2800),VLOOKUP(AF3003,TNCalibEq2500!$AZ$2:$BB$56,3,)))</f>
        <v>0</v>
      </c>
      <c r="AU3003" s="10" t="b">
        <f>IF(I3003="TP",VLOOKUP(AF3003,TPCalibEqFull!$AZ$2:$BB$56,3),IF(I3003="TDP",VLOOKUP(AF3003,TPCalibEqFull!$AZ$2:$BB$56,3),IF(I3003="TDN",VLOOKUP(AF3003,TNCalibEqFull!$AZ$1:$BB$56,3),IF(I3003="TN",VLOOKUP(AF3003,TNCalibEqFull!$AZ$1:$BB$56,3),FALSE))))</f>
        <v>0</v>
      </c>
      <c r="AV3003" s="10" t="str">
        <f t="shared" si="340"/>
        <v>0213 12:10:00-EAW-0-FIL-1-SW-UKN</v>
      </c>
    </row>
    <row r="3004" spans="1:48" s="10" customFormat="1" x14ac:dyDescent="0.55000000000000004">
      <c r="A3004" s="32">
        <v>44970</v>
      </c>
      <c r="B3004" s="33">
        <v>0.51527777777777783</v>
      </c>
      <c r="C3004" s="10" t="s">
        <v>310</v>
      </c>
      <c r="D3004" s="10">
        <v>0</v>
      </c>
      <c r="E3004" s="10" t="s">
        <v>911</v>
      </c>
      <c r="F3004" s="10">
        <v>1</v>
      </c>
      <c r="G3004" s="10" t="s">
        <v>231</v>
      </c>
      <c r="H3004" s="10" t="s">
        <v>322</v>
      </c>
      <c r="I3004" s="10" t="s">
        <v>183</v>
      </c>
      <c r="J3004" s="10">
        <v>48</v>
      </c>
      <c r="K3004" s="12">
        <v>44972</v>
      </c>
      <c r="L3004" s="33">
        <v>0.53226851851851853</v>
      </c>
      <c r="M3004" s="10">
        <v>1</v>
      </c>
      <c r="N3004" s="10" t="s">
        <v>76</v>
      </c>
      <c r="O3004" s="10">
        <v>1.6500000000000001E-2</v>
      </c>
      <c r="P3004" s="10">
        <v>2.8500000000000001E-3</v>
      </c>
      <c r="Q3004" s="10">
        <v>0.98899999999999999</v>
      </c>
      <c r="R3004" s="10" t="s">
        <v>77</v>
      </c>
      <c r="S3004" s="34">
        <f t="shared" si="337"/>
        <v>0.98899999999999999</v>
      </c>
      <c r="T3004" s="10" t="s">
        <v>1213</v>
      </c>
      <c r="U3004" s="34" t="str">
        <f t="shared" si="338"/>
        <v/>
      </c>
      <c r="V3004" s="31" t="str">
        <f>IF(H3004="CHK",VLOOKUP(I3004,QCCHK,3,),IF(H3004="GUP",VLOOKUP(E3004,QCGUP,2,),IF(AND(H3004="ATP",OR(I3004="TN",I3004="TDN",I3004="TNO2-3",I3004="NO2-3")),VLOOKUP(E3004,QCREC_N,2,),IF(AND(H3004="NIC",OR(I3004="TN",I3004="TDN",I3004="TNO2-3",I3004="NO2-3")),VLOOKUP(E3004,QCNIC_N,2,),IF(AND(H3004="UREA",OR(I3004="TN",I3004="TDN",I3004="TNO2-3",I3004="NO2-3")),VLOOKUP(E3004,QCUREA_N,2,),IF(H3004="PER",VLOOKUP(I3004,QCPER,MATCH(E3004,QCACTUAL!$J$25:$AA$25,0),),IF(H3004="SPK",VLOOKUP(I3004,QCSPK,3,),IF(AND(H3004="ATP",OR(I3004="TP",I3004="TDP")),VLOOKUP(E3004,QCATP_P,2,),""))))))))</f>
        <v/>
      </c>
      <c r="W3004" s="31" t="str">
        <f t="shared" si="339"/>
        <v>TRUE</v>
      </c>
      <c r="X3004" s="31" t="str">
        <f t="shared" si="336"/>
        <v/>
      </c>
      <c r="Y3004" s="10" t="s">
        <v>1206</v>
      </c>
      <c r="Z3004" s="10" t="s">
        <v>910</v>
      </c>
      <c r="AL3004" s="10" t="str">
        <f t="shared" si="334"/>
        <v>FALSE</v>
      </c>
      <c r="AM3004" s="10" t="str">
        <f t="shared" si="334"/>
        <v>FALSE</v>
      </c>
      <c r="AN3004" s="10" t="str">
        <f t="shared" si="334"/>
        <v>FALSE</v>
      </c>
      <c r="AO3004" s="10" t="str">
        <f t="shared" si="335"/>
        <v>FALSE</v>
      </c>
      <c r="AP3004" s="10" t="str">
        <f t="shared" si="335"/>
        <v>FALSE</v>
      </c>
      <c r="AQ3004" s="10" t="b">
        <f>IF(AND(I3004="TP",S3004&lt;=150),VLOOKUP(AF3004,TPCalibEq150!$AZ$2:$BB$55,3,),IF(AND(I3004="TDP",S3004&lt;=150),VLOOKUP(AF3004,TPCalibEq150!$AZ$2:$BB$55,3,)))</f>
        <v>0</v>
      </c>
      <c r="AR3004" s="10" t="b">
        <f>IF(AND(I3004="TP",S3004&lt;=300),VLOOKUP(AF3004,TPCalibEq300!$AZ$2:$BB$55,3,),IF(AND(I3004="TDP",S3004&lt;=300),VLOOKUP(AF3004,TPCalibEq300!$AZ$2:$BB$55,3,)))</f>
        <v>0</v>
      </c>
      <c r="AS3004" s="10" t="b">
        <f>IF(AND(I3004="TP",S3004&lt;=500),VLOOKUP(AF3004,TPCalibEq500!$AZ$2:$BB$56,3,),IF(AND(I3004="TDP",S3004&lt;=500),VLOOKUP(AF3004,TPCalibEq500!$AZ$2:$BB$56,3,)))</f>
        <v>0</v>
      </c>
      <c r="AT3004" s="10" t="b">
        <f>IF(AND(I3004="TN",S3004&lt;=2800),VLOOKUP(AF3004,TNCalibEq2500!$AZ$2:$BB$56,3,),IF(AND(I3004="TDN",S3004&lt;=2800),VLOOKUP(AF3004,TNCalibEq2500!$AZ$2:$BB$56,3,)))</f>
        <v>0</v>
      </c>
      <c r="AU3004" s="10" t="b">
        <f>IF(I3004="TP",VLOOKUP(AF3004,TPCalibEqFull!$AZ$2:$BB$56,3),IF(I3004="TDP",VLOOKUP(AF3004,TPCalibEqFull!$AZ$2:$BB$56,3),IF(I3004="TDN",VLOOKUP(AF3004,TNCalibEqFull!$AZ$1:$BB$56,3),IF(I3004="TN",VLOOKUP(AF3004,TNCalibEqFull!$AZ$1:$BB$56,3),FALSE))))</f>
        <v>0</v>
      </c>
      <c r="AV3004" s="10" t="str">
        <f t="shared" si="340"/>
        <v>0213 12:22:00-ELI-0-FIL-1-SW-UKN</v>
      </c>
    </row>
    <row r="3005" spans="1:48" s="10" customFormat="1" x14ac:dyDescent="0.55000000000000004">
      <c r="A3005" s="32">
        <v>44970</v>
      </c>
      <c r="B3005" s="33">
        <v>0.51527777777777783</v>
      </c>
      <c r="C3005" s="10" t="s">
        <v>310</v>
      </c>
      <c r="D3005" s="10">
        <v>0</v>
      </c>
      <c r="E3005" s="10" t="s">
        <v>911</v>
      </c>
      <c r="F3005" s="10">
        <v>1</v>
      </c>
      <c r="G3005" s="10" t="s">
        <v>231</v>
      </c>
      <c r="H3005" s="10" t="s">
        <v>233</v>
      </c>
      <c r="I3005" s="10" t="s">
        <v>183</v>
      </c>
      <c r="J3005" s="10">
        <v>48</v>
      </c>
      <c r="K3005" s="12">
        <v>44972</v>
      </c>
      <c r="L3005" s="33">
        <v>0.53307870370370369</v>
      </c>
      <c r="M3005" s="10">
        <v>1</v>
      </c>
      <c r="N3005" s="10" t="s">
        <v>76</v>
      </c>
      <c r="O3005" s="10">
        <v>1.0999999999999999E-2</v>
      </c>
      <c r="P3005" s="10">
        <v>1.5E-3</v>
      </c>
      <c r="Q3005" s="10">
        <v>0.66200000000000003</v>
      </c>
      <c r="R3005" s="10" t="s">
        <v>77</v>
      </c>
      <c r="S3005" s="34">
        <f t="shared" si="337"/>
        <v>0.66200000000000003</v>
      </c>
      <c r="T3005" s="10" t="s">
        <v>1213</v>
      </c>
      <c r="U3005" s="34">
        <f t="shared" si="338"/>
        <v>39.612356147789214</v>
      </c>
      <c r="V3005" s="31" t="str">
        <f>IF(H3005="CHK",VLOOKUP(I3005,QCCHK,3,),IF(H3005="GUP",VLOOKUP(E3005,QCGUP,2,),IF(AND(H3005="ATP",OR(I3005="TN",I3005="TDN",I3005="TNO2-3",I3005="NO2-3")),VLOOKUP(E3005,QCREC_N,2,),IF(AND(H3005="NIC",OR(I3005="TN",I3005="TDN",I3005="TNO2-3",I3005="NO2-3")),VLOOKUP(E3005,QCNIC_N,2,),IF(AND(H3005="UREA",OR(I3005="TN",I3005="TDN",I3005="TNO2-3",I3005="NO2-3")),VLOOKUP(E3005,QCUREA_N,2,),IF(H3005="PER",VLOOKUP(I3005,QCPER,MATCH(E3005,QCACTUAL!$J$25:$AA$25,0),),IF(H3005="SPK",VLOOKUP(I3005,QCSPK,3,),IF(AND(H3005="ATP",OR(I3005="TP",I3005="TDP")),VLOOKUP(E3005,QCATP_P,2,),""))))))))</f>
        <v/>
      </c>
      <c r="W3005" s="31" t="b">
        <v>1</v>
      </c>
      <c r="X3005" s="31" t="str">
        <f t="shared" si="336"/>
        <v>((ABS(rep1-rep2))/((rep1+rep2)/2)*100</v>
      </c>
      <c r="Y3005" s="10" t="s">
        <v>1206</v>
      </c>
      <c r="Z3005" s="10" t="s">
        <v>1059</v>
      </c>
      <c r="AL3005" s="10" t="str">
        <f t="shared" ref="AL3005:AN3068" si="341">IF($O3005="", "", IF(AQ3005&lt;&gt;"", SUBSTITUTE(SUBSTITUTE(AQ3005, "x", "*"&amp;$O3005&amp;"^", 1), "x", "*"&amp;$O3005, 1), ""))</f>
        <v>FALSE</v>
      </c>
      <c r="AM3005" s="10" t="str">
        <f t="shared" si="341"/>
        <v>FALSE</v>
      </c>
      <c r="AN3005" s="10" t="str">
        <f t="shared" si="341"/>
        <v>FALSE</v>
      </c>
      <c r="AO3005" s="10" t="str">
        <f t="shared" ref="AO3005:AP3068" si="342">IF($O3005="", "FALSE", IF(AT3005&lt;&gt;"FALSE", SUBSTITUTE(SUBSTITUTE(AT3005, "x", "*"&amp;$O3005&amp;"^", 1), "x", "*"&amp;$O3005, 1), ""))</f>
        <v>FALSE</v>
      </c>
      <c r="AP3005" s="10" t="str">
        <f t="shared" si="342"/>
        <v>FALSE</v>
      </c>
      <c r="AQ3005" s="10" t="b">
        <f>IF(AND(I3005="TP",S3005&lt;=150),VLOOKUP(AF3005,TPCalibEq150!$AZ$2:$BB$55,3,),IF(AND(I3005="TDP",S3005&lt;=150),VLOOKUP(AF3005,TPCalibEq150!$AZ$2:$BB$55,3,)))</f>
        <v>0</v>
      </c>
      <c r="AR3005" s="10" t="b">
        <f>IF(AND(I3005="TP",S3005&lt;=300),VLOOKUP(AF3005,TPCalibEq300!$AZ$2:$BB$55,3,),IF(AND(I3005="TDP",S3005&lt;=300),VLOOKUP(AF3005,TPCalibEq300!$AZ$2:$BB$55,3,)))</f>
        <v>0</v>
      </c>
      <c r="AS3005" s="10" t="b">
        <f>IF(AND(I3005="TP",S3005&lt;=500),VLOOKUP(AF3005,TPCalibEq500!$AZ$2:$BB$56,3,),IF(AND(I3005="TDP",S3005&lt;=500),VLOOKUP(AF3005,TPCalibEq500!$AZ$2:$BB$56,3,)))</f>
        <v>0</v>
      </c>
      <c r="AT3005" s="10" t="b">
        <f>IF(AND(I3005="TN",S3005&lt;=2800),VLOOKUP(AF3005,TNCalibEq2500!$AZ$2:$BB$56,3,),IF(AND(I3005="TDN",S3005&lt;=2800),VLOOKUP(AF3005,TNCalibEq2500!$AZ$2:$BB$56,3,)))</f>
        <v>0</v>
      </c>
      <c r="AU3005" s="10" t="b">
        <f>IF(I3005="TP",VLOOKUP(AF3005,TPCalibEqFull!$AZ$2:$BB$56,3),IF(I3005="TDP",VLOOKUP(AF3005,TPCalibEqFull!$AZ$2:$BB$56,3),IF(I3005="TDN",VLOOKUP(AF3005,TNCalibEqFull!$AZ$1:$BB$56,3),IF(I3005="TN",VLOOKUP(AF3005,TNCalibEqFull!$AZ$1:$BB$56,3),FALSE))))</f>
        <v>0</v>
      </c>
      <c r="AV3005" s="10" t="str">
        <f t="shared" si="340"/>
        <v>0213 12:22:00-ELI-0-FIL-1-SW-DUP</v>
      </c>
    </row>
    <row r="3006" spans="1:48" s="10" customFormat="1" x14ac:dyDescent="0.55000000000000004">
      <c r="A3006" s="32">
        <v>44970</v>
      </c>
      <c r="B3006" s="33">
        <v>0.51527777777777783</v>
      </c>
      <c r="C3006" s="10" t="s">
        <v>310</v>
      </c>
      <c r="D3006" s="10">
        <v>0</v>
      </c>
      <c r="E3006" s="10" t="s">
        <v>911</v>
      </c>
      <c r="F3006" s="10">
        <v>1</v>
      </c>
      <c r="G3006" s="10" t="s">
        <v>231</v>
      </c>
      <c r="H3006" s="10" t="s">
        <v>314</v>
      </c>
      <c r="I3006" s="10" t="s">
        <v>183</v>
      </c>
      <c r="J3006" s="10">
        <v>54</v>
      </c>
      <c r="K3006" s="12">
        <v>44972</v>
      </c>
      <c r="L3006" s="33">
        <v>0.53390046296296301</v>
      </c>
      <c r="M3006" s="10">
        <v>1</v>
      </c>
      <c r="N3006" s="10" t="s">
        <v>76</v>
      </c>
      <c r="O3006" s="10">
        <v>12.2</v>
      </c>
      <c r="P3006" s="10">
        <v>0.97499999999999998</v>
      </c>
      <c r="Q3006" s="10">
        <v>725</v>
      </c>
      <c r="R3006" s="10" t="s">
        <v>77</v>
      </c>
      <c r="S3006" s="34">
        <f t="shared" si="337"/>
        <v>725</v>
      </c>
      <c r="T3006" s="10" t="s">
        <v>1213</v>
      </c>
      <c r="U3006" s="34">
        <f t="shared" si="338"/>
        <v>115.89407999999999</v>
      </c>
      <c r="V3006" s="31">
        <f>IF(H3006="CHK",VLOOKUP(I3006,QCCHK,3,),IF(H3006="GUP",VLOOKUP(E3006,QCGUP,2,),IF(AND(H3006="ATP",OR(I3006="TN",I3006="TDN",I3006="TNO2-3",I3006="NO2-3")),VLOOKUP(E3006,QCREC_N,2,),IF(AND(H3006="NIC",OR(I3006="TN",I3006="TDN",I3006="TNO2-3",I3006="NO2-3")),VLOOKUP(E3006,QCNIC_N,2,),IF(AND(H3006="UREA",OR(I3006="TN",I3006="TDN",I3006="TNO2-3",I3006="NO2-3")),VLOOKUP(E3006,QCUREA_N,2,),IF(H3006="PER",VLOOKUP(I3006,QCPER,MATCH(E3006,QCACTUAL!$J$25:$AA$25,0),),IF(H3006="SPK",VLOOKUP(I3006,QCSPK,3,),IF(AND(H3006="ATP",OR(I3006="TP",I3006="TDP")),VLOOKUP(E3006,QCATP_P,2,),""))))))))</f>
        <v>625</v>
      </c>
      <c r="W3006" s="31" t="str">
        <f t="shared" si="339"/>
        <v>TRUE</v>
      </c>
      <c r="X3006" s="31" t="str">
        <f t="shared" si="336"/>
        <v>([spikedunkn]-[unkn])/[spike]*100</v>
      </c>
      <c r="Y3006" s="10" t="s">
        <v>1206</v>
      </c>
      <c r="Z3006" s="10" t="s">
        <v>910</v>
      </c>
      <c r="AL3006" s="10" t="str">
        <f t="shared" si="341"/>
        <v>FALSE</v>
      </c>
      <c r="AM3006" s="10" t="str">
        <f t="shared" si="341"/>
        <v>FALSE</v>
      </c>
      <c r="AN3006" s="10" t="str">
        <f t="shared" si="341"/>
        <v>FALSE</v>
      </c>
      <c r="AO3006" s="10" t="str">
        <f t="shared" si="342"/>
        <v>FALSE</v>
      </c>
      <c r="AP3006" s="10" t="str">
        <f t="shared" si="342"/>
        <v>FALSE</v>
      </c>
      <c r="AQ3006" s="10" t="b">
        <f>IF(AND(I3006="TP",S3006&lt;=150),VLOOKUP(AF3006,TPCalibEq150!$AZ$2:$BB$55,3,),IF(AND(I3006="TDP",S3006&lt;=150),VLOOKUP(AF3006,TPCalibEq150!$AZ$2:$BB$55,3,)))</f>
        <v>0</v>
      </c>
      <c r="AR3006" s="10" t="b">
        <f>IF(AND(I3006="TP",S3006&lt;=300),VLOOKUP(AF3006,TPCalibEq300!$AZ$2:$BB$55,3,),IF(AND(I3006="TDP",S3006&lt;=300),VLOOKUP(AF3006,TPCalibEq300!$AZ$2:$BB$55,3,)))</f>
        <v>0</v>
      </c>
      <c r="AS3006" s="10" t="b">
        <f>IF(AND(I3006="TP",S3006&lt;=500),VLOOKUP(AF3006,TPCalibEq500!$AZ$2:$BB$56,3,),IF(AND(I3006="TDP",S3006&lt;=500),VLOOKUP(AF3006,TPCalibEq500!$AZ$2:$BB$56,3,)))</f>
        <v>0</v>
      </c>
      <c r="AT3006" s="10" t="b">
        <f>IF(AND(I3006="TN",S3006&lt;=2800),VLOOKUP(AF3006,TNCalibEq2500!$AZ$2:$BB$56,3,),IF(AND(I3006="TDN",S3006&lt;=2800),VLOOKUP(AF3006,TNCalibEq2500!$AZ$2:$BB$56,3,)))</f>
        <v>0</v>
      </c>
      <c r="AU3006" s="10" t="b">
        <f>IF(I3006="TP",VLOOKUP(AF3006,TPCalibEqFull!$AZ$2:$BB$56,3),IF(I3006="TDP",VLOOKUP(AF3006,TPCalibEqFull!$AZ$2:$BB$56,3),IF(I3006="TDN",VLOOKUP(AF3006,TNCalibEqFull!$AZ$1:$BB$56,3),IF(I3006="TN",VLOOKUP(AF3006,TNCalibEqFull!$AZ$1:$BB$56,3),FALSE))))</f>
        <v>0</v>
      </c>
      <c r="AV3006" s="10" t="str">
        <f t="shared" si="340"/>
        <v>0213 12:22:00-ELI-0-FIL-1-SW-SPK</v>
      </c>
    </row>
    <row r="3007" spans="1:48" s="10" customFormat="1" x14ac:dyDescent="0.55000000000000004">
      <c r="A3007" s="32">
        <v>44972</v>
      </c>
      <c r="B3007" s="33">
        <v>0.375</v>
      </c>
      <c r="C3007" s="10" t="s">
        <v>70</v>
      </c>
      <c r="D3007" s="10" t="s">
        <v>71</v>
      </c>
      <c r="E3007" s="10" t="s">
        <v>901</v>
      </c>
      <c r="F3007" s="10">
        <v>1</v>
      </c>
      <c r="G3007" s="10" t="s">
        <v>73</v>
      </c>
      <c r="H3007" s="10" t="s">
        <v>207</v>
      </c>
      <c r="I3007" s="10" t="s">
        <v>75</v>
      </c>
      <c r="J3007" s="10">
        <v>200</v>
      </c>
      <c r="K3007" s="12">
        <v>44972</v>
      </c>
      <c r="L3007" s="33">
        <v>0.53472222222222221</v>
      </c>
      <c r="M3007" s="10">
        <v>1</v>
      </c>
      <c r="N3007" s="10" t="s">
        <v>76</v>
      </c>
      <c r="O3007" s="10">
        <v>4.87</v>
      </c>
      <c r="P3007" s="10">
        <v>0.38900000000000001</v>
      </c>
      <c r="Q3007" s="10">
        <v>291</v>
      </c>
      <c r="R3007" s="10" t="s">
        <v>77</v>
      </c>
      <c r="S3007" s="34">
        <f t="shared" si="337"/>
        <v>291</v>
      </c>
      <c r="T3007" s="10" t="s">
        <v>1213</v>
      </c>
      <c r="U3007" s="34">
        <f t="shared" si="338"/>
        <v>97</v>
      </c>
      <c r="V3007" s="31">
        <f>IF(H3007="CHK",VLOOKUP(I3007,QCCHK,3,),IF(H3007="GUP",VLOOKUP(E3007,QCGUP,2,),IF(AND(H3007="ATP",OR(I3007="TN",I3007="TDN",I3007="TNO2-3",I3007="NO2-3")),VLOOKUP(E3007,QCREC_N,2,),IF(AND(H3007="NIC",OR(I3007="TN",I3007="TDN",I3007="TNO2-3",I3007="NO2-3")),VLOOKUP(E3007,QCNIC_N,2,),IF(AND(H3007="UREA",OR(I3007="TN",I3007="TDN",I3007="TNO2-3",I3007="NO2-3")),VLOOKUP(E3007,QCUREA_N,2,),IF(H3007="PER",VLOOKUP(I3007,QCPER,MATCH(E3007,QCACTUAL!$J$25:$AA$25,0),),IF(H3007="SPK",VLOOKUP(I3007,QCSPK,3,),IF(AND(H3007="ATP",OR(I3007="TP",I3007="TDP")),VLOOKUP(E3007,QCATP_P,2,),""))))))))</f>
        <v>300</v>
      </c>
      <c r="W3007" s="31" t="str">
        <f t="shared" si="339"/>
        <v>TRUE</v>
      </c>
      <c r="X3007" s="31" t="str">
        <f t="shared" ref="X3007:X3070" si="343">IF(ISNA(VLOOKUP(H3007,QCEQUATIONS,2,)),"",(VLOOKUP(H3007,QCEQUATIONS,2,)))</f>
        <v>[chk]/[actual]*100</v>
      </c>
      <c r="Y3007" s="10" t="s">
        <v>1206</v>
      </c>
      <c r="AL3007" s="10" t="str">
        <f t="shared" si="341"/>
        <v>FALSE</v>
      </c>
      <c r="AM3007" s="10" t="str">
        <f t="shared" si="341"/>
        <v>FALSE</v>
      </c>
      <c r="AN3007" s="10" t="str">
        <f t="shared" si="341"/>
        <v>FALSE</v>
      </c>
      <c r="AO3007" s="10" t="str">
        <f t="shared" si="342"/>
        <v>FALSE</v>
      </c>
      <c r="AP3007" s="10" t="str">
        <f t="shared" si="342"/>
        <v>FALSE</v>
      </c>
      <c r="AQ3007" s="10" t="b">
        <f>IF(AND(I3007="TP",S3007&lt;=150),VLOOKUP(AF3007,TPCalibEq150!$AZ$2:$BB$55,3,),IF(AND(I3007="TDP",S3007&lt;=150),VLOOKUP(AF3007,TPCalibEq150!$AZ$2:$BB$55,3,)))</f>
        <v>0</v>
      </c>
      <c r="AR3007" s="10" t="b">
        <f>IF(AND(I3007="TP",S3007&lt;=300),VLOOKUP(AF3007,TPCalibEq300!$AZ$2:$BB$55,3,),IF(AND(I3007="TDP",S3007&lt;=300),VLOOKUP(AF3007,TPCalibEq300!$AZ$2:$BB$55,3,)))</f>
        <v>0</v>
      </c>
      <c r="AS3007" s="10" t="b">
        <f>IF(AND(I3007="TP",S3007&lt;=500),VLOOKUP(AF3007,TPCalibEq500!$AZ$2:$BB$56,3,),IF(AND(I3007="TDP",S3007&lt;=500),VLOOKUP(AF3007,TPCalibEq500!$AZ$2:$BB$56,3,)))</f>
        <v>0</v>
      </c>
      <c r="AT3007" s="10" t="b">
        <f>IF(AND(I3007="TN",S3007&lt;=2800),VLOOKUP(AF3007,TNCalibEq2500!$AZ$2:$BB$56,3,),IF(AND(I3007="TDN",S3007&lt;=2800),VLOOKUP(AF3007,TNCalibEq2500!$AZ$2:$BB$56,3,)))</f>
        <v>0</v>
      </c>
      <c r="AU3007" s="10" t="b">
        <f>IF(I3007="TP",VLOOKUP(AF3007,TPCalibEqFull!$AZ$2:$BB$56,3),IF(I3007="TDP",VLOOKUP(AF3007,TPCalibEqFull!$AZ$2:$BB$56,3),IF(I3007="TDN",VLOOKUP(AF3007,TNCalibEqFull!$AZ$1:$BB$56,3),IF(I3007="TN",VLOOKUP(AF3007,TNCalibEqFull!$AZ$1:$BB$56,3),FALSE))))</f>
        <v>0</v>
      </c>
      <c r="AV3007" s="10" t="str">
        <f t="shared" si="340"/>
        <v>0215 09:00:00-QAC-STD-D-1-DI-CHK</v>
      </c>
    </row>
    <row r="3008" spans="1:48" s="10" customFormat="1" x14ac:dyDescent="0.55000000000000004">
      <c r="A3008" s="32">
        <v>44972</v>
      </c>
      <c r="B3008" s="33">
        <v>0.375</v>
      </c>
      <c r="C3008" s="10" t="s">
        <v>70</v>
      </c>
      <c r="D3008" s="10" t="s">
        <v>71</v>
      </c>
      <c r="E3008" s="10" t="s">
        <v>901</v>
      </c>
      <c r="F3008" s="10">
        <v>1</v>
      </c>
      <c r="G3008" s="10" t="s">
        <v>73</v>
      </c>
      <c r="H3008" s="10" t="s">
        <v>207</v>
      </c>
      <c r="I3008" s="10" t="s">
        <v>75</v>
      </c>
      <c r="J3008" s="10">
        <v>201</v>
      </c>
      <c r="K3008" s="12">
        <v>44972</v>
      </c>
      <c r="L3008" s="33">
        <v>0.53960648148148149</v>
      </c>
      <c r="M3008" s="10">
        <v>1</v>
      </c>
      <c r="N3008" s="10" t="s">
        <v>76</v>
      </c>
      <c r="O3008" s="10">
        <v>4.7699999999999996</v>
      </c>
      <c r="P3008" s="10">
        <v>0.379</v>
      </c>
      <c r="Q3008" s="10">
        <v>285</v>
      </c>
      <c r="R3008" s="10" t="s">
        <v>77</v>
      </c>
      <c r="S3008" s="34">
        <f t="shared" ref="S3008:S3071" si="344">IF(OR(AND(I3008&lt;&gt;"TP", I3008&lt;&gt;"TDP",I3008&lt;&gt;"TN", I3008&lt;&gt;"TDN"),H3008="CAL"), Q3008*M3008, IF(OR(AND(I3008="TN", Q3008&gt;2500), AND(I3008="TDN", Q3008&gt;2500)),MAX(Q3008, AK3008)*M3008, IF(OR(AND(I3008="TN", Q3008&lt;=2500), AND(I3008="TDN", Q3008&lt;=2500)),MAX(Q3008, AJ3008,AK3008)*M3008, IF(OR(AND(I3008="TP",Q3008&gt;500), AND(I3008="TDP", Q3008&gt;500)),MAX(Q3008,AK3008)*M3008,IF(OR(AND(I3008="TP",Q3008&lt;=150), AND(I3008="TDP", Q3008&lt;=150)),MAX(Q3008,AG3008:AI3008,AK3008)*M3008,IF(OR(AND(I3008="TP",Q3008&lt;=300), AND(I3008="TDP", Q3008&lt;=300)),MAX(Q3008,AH3008,AI3008,AK3008)*M3008,IF(OR(AND(I3008="TP",Q3008&lt;=500), AND(I3008="TDP", Q3008&lt;=500)),MAX(Q3008,AI3008,AK3008)*M3008,"")))))))</f>
        <v>285</v>
      </c>
      <c r="T3008" s="10" t="s">
        <v>1213</v>
      </c>
      <c r="U3008" s="34">
        <f t="shared" si="338"/>
        <v>95</v>
      </c>
      <c r="V3008" s="31">
        <f>IF(H3008="CHK",VLOOKUP(I3008,QCCHK,3,),IF(H3008="GUP",VLOOKUP(E3008,QCGUP,2,),IF(AND(H3008="ATP",OR(I3008="TN",I3008="TDN",I3008="TNO2-3",I3008="NO2-3")),VLOOKUP(E3008,QCREC_N,2,),IF(AND(H3008="NIC",OR(I3008="TN",I3008="TDN",I3008="TNO2-3",I3008="NO2-3")),VLOOKUP(E3008,QCNIC_N,2,),IF(AND(H3008="UREA",OR(I3008="TN",I3008="TDN",I3008="TNO2-3",I3008="NO2-3")),VLOOKUP(E3008,QCUREA_N,2,),IF(H3008="PER",VLOOKUP(I3008,QCPER,MATCH(E3008,QCACTUAL!$J$25:$AA$25,0),),IF(H3008="SPK",VLOOKUP(I3008,QCSPK,3,),IF(AND(H3008="ATP",OR(I3008="TP",I3008="TDP")),VLOOKUP(E3008,QCATP_P,2,),""))))))))</f>
        <v>300</v>
      </c>
      <c r="W3008" s="31" t="str">
        <f t="shared" si="339"/>
        <v>TRUE</v>
      </c>
      <c r="X3008" s="31" t="str">
        <f t="shared" si="343"/>
        <v>[chk]/[actual]*100</v>
      </c>
      <c r="Y3008" s="10" t="s">
        <v>1206</v>
      </c>
      <c r="AL3008" s="10" t="str">
        <f t="shared" si="341"/>
        <v>FALSE</v>
      </c>
      <c r="AM3008" s="10" t="str">
        <f t="shared" si="341"/>
        <v>FALSE</v>
      </c>
      <c r="AN3008" s="10" t="str">
        <f t="shared" si="341"/>
        <v>FALSE</v>
      </c>
      <c r="AO3008" s="10" t="str">
        <f t="shared" si="342"/>
        <v>FALSE</v>
      </c>
      <c r="AP3008" s="10" t="str">
        <f t="shared" si="342"/>
        <v>FALSE</v>
      </c>
      <c r="AQ3008" s="10" t="b">
        <f>IF(AND(I3008="TP",S3008&lt;=150),VLOOKUP(AF3008,TPCalibEq150!$AZ$2:$BB$55,3,),IF(AND(I3008="TDP",S3008&lt;=150),VLOOKUP(AF3008,TPCalibEq150!$AZ$2:$BB$55,3,)))</f>
        <v>0</v>
      </c>
      <c r="AR3008" s="10" t="b">
        <f>IF(AND(I3008="TP",S3008&lt;=300),VLOOKUP(AF3008,TPCalibEq300!$AZ$2:$BB$55,3,),IF(AND(I3008="TDP",S3008&lt;=300),VLOOKUP(AF3008,TPCalibEq300!$AZ$2:$BB$55,3,)))</f>
        <v>0</v>
      </c>
      <c r="AS3008" s="10" t="b">
        <f>IF(AND(I3008="TP",S3008&lt;=500),VLOOKUP(AF3008,TPCalibEq500!$AZ$2:$BB$56,3,),IF(AND(I3008="TDP",S3008&lt;=500),VLOOKUP(AF3008,TPCalibEq500!$AZ$2:$BB$56,3,)))</f>
        <v>0</v>
      </c>
      <c r="AT3008" s="10" t="b">
        <f>IF(AND(I3008="TN",S3008&lt;=2800),VLOOKUP(AF3008,TNCalibEq2500!$AZ$2:$BB$56,3,),IF(AND(I3008="TDN",S3008&lt;=2800),VLOOKUP(AF3008,TNCalibEq2500!$AZ$2:$BB$56,3,)))</f>
        <v>0</v>
      </c>
      <c r="AU3008" s="10" t="b">
        <f>IF(I3008="TP",VLOOKUP(AF3008,TPCalibEqFull!$AZ$2:$BB$56,3),IF(I3008="TDP",VLOOKUP(AF3008,TPCalibEqFull!$AZ$2:$BB$56,3),IF(I3008="TDN",VLOOKUP(AF3008,TNCalibEqFull!$AZ$1:$BB$56,3),IF(I3008="TN",VLOOKUP(AF3008,TNCalibEqFull!$AZ$1:$BB$56,3),FALSE))))</f>
        <v>0</v>
      </c>
      <c r="AV3008" s="10" t="str">
        <f t="shared" si="340"/>
        <v>0215 09:00:00-QAC-STD-D-1-DI-CHK</v>
      </c>
    </row>
    <row r="3009" spans="1:48" s="10" customFormat="1" x14ac:dyDescent="0.55000000000000004">
      <c r="A3009" s="32">
        <v>44972</v>
      </c>
      <c r="B3009" s="33">
        <v>0.375</v>
      </c>
      <c r="C3009" s="10" t="s">
        <v>70</v>
      </c>
      <c r="D3009" s="10" t="s">
        <v>71</v>
      </c>
      <c r="E3009" s="10" t="s">
        <v>72</v>
      </c>
      <c r="F3009" s="10">
        <v>1</v>
      </c>
      <c r="G3009" s="10" t="s">
        <v>73</v>
      </c>
      <c r="H3009" s="10" t="s">
        <v>74</v>
      </c>
      <c r="I3009" s="10" t="s">
        <v>285</v>
      </c>
      <c r="J3009" s="10">
        <v>181</v>
      </c>
      <c r="K3009" s="12">
        <v>44972</v>
      </c>
      <c r="L3009" s="33">
        <v>0.4660069444444444</v>
      </c>
      <c r="M3009" s="10">
        <v>1</v>
      </c>
      <c r="N3009" s="10" t="s">
        <v>211</v>
      </c>
      <c r="O3009" s="10">
        <v>1.0800000000000001E-2</v>
      </c>
      <c r="P3009" s="10">
        <v>7.4600000000000003E-4</v>
      </c>
      <c r="Q3009" s="10">
        <v>0</v>
      </c>
      <c r="R3009" s="10" t="s">
        <v>913</v>
      </c>
      <c r="S3009" s="34">
        <f t="shared" si="344"/>
        <v>0</v>
      </c>
      <c r="T3009" s="10" t="s">
        <v>914</v>
      </c>
      <c r="U3009" s="34" t="str">
        <f t="shared" si="338"/>
        <v/>
      </c>
      <c r="V3009" s="31" t="str">
        <f>IF(H3009="CHK",VLOOKUP(I3009,QCCHK,3,),IF(H3009="GUP",VLOOKUP(E3009,QCGUP,2,),IF(AND(H3009="ATP",OR(I3009="TN",I3009="TDN",I3009="TNO2-3",I3009="NO2-3")),VLOOKUP(E3009,QCREC_N,2,),IF(AND(H3009="NIC",OR(I3009="TN",I3009="TDN",I3009="TNO2-3",I3009="NO2-3")),VLOOKUP(E3009,QCNIC_N,2,),IF(AND(H3009="UREA",OR(I3009="TN",I3009="TDN",I3009="TNO2-3",I3009="NO2-3")),VLOOKUP(E3009,QCUREA_N,2,),IF(H3009="PER",VLOOKUP(I3009,QCPER,MATCH(E3009,QCACTUAL!$J$25:$AA$25,0),),IF(H3009="SPK",VLOOKUP(I3009,QCSPK,3,),IF(AND(H3009="ATP",OR(I3009="TP",I3009="TDP")),VLOOKUP(E3009,QCATP_P,2,),""))))))))</f>
        <v/>
      </c>
      <c r="W3009" s="31" t="str">
        <f t="shared" si="339"/>
        <v>TRUE</v>
      </c>
      <c r="X3009" s="31" t="str">
        <f t="shared" si="343"/>
        <v/>
      </c>
      <c r="Y3009" s="10" t="s">
        <v>1206</v>
      </c>
      <c r="AL3009" s="10" t="str">
        <f t="shared" si="341"/>
        <v>FALSE</v>
      </c>
      <c r="AM3009" s="10" t="str">
        <f t="shared" si="341"/>
        <v>FALSE</v>
      </c>
      <c r="AN3009" s="10" t="str">
        <f t="shared" si="341"/>
        <v>FALSE</v>
      </c>
      <c r="AO3009" s="10" t="str">
        <f t="shared" si="342"/>
        <v>FALSE</v>
      </c>
      <c r="AP3009" s="10" t="str">
        <f t="shared" si="342"/>
        <v>FALSE</v>
      </c>
      <c r="AQ3009" s="10" t="b">
        <f>IF(AND(I3009="TP",S3009&lt;=150),VLOOKUP(AF3009,TPCalibEq150!$AZ$2:$BB$55,3,),IF(AND(I3009="TDP",S3009&lt;=150),VLOOKUP(AF3009,TPCalibEq150!$AZ$2:$BB$55,3,)))</f>
        <v>0</v>
      </c>
      <c r="AR3009" s="10" t="b">
        <f>IF(AND(I3009="TP",S3009&lt;=300),VLOOKUP(AF3009,TPCalibEq300!$AZ$2:$BB$55,3,),IF(AND(I3009="TDP",S3009&lt;=300),VLOOKUP(AF3009,TPCalibEq300!$AZ$2:$BB$55,3,)))</f>
        <v>0</v>
      </c>
      <c r="AS3009" s="10" t="b">
        <f>IF(AND(I3009="TP",S3009&lt;=500),VLOOKUP(AF3009,TPCalibEq500!$AZ$2:$BB$56,3,),IF(AND(I3009="TDP",S3009&lt;=500),VLOOKUP(AF3009,TPCalibEq500!$AZ$2:$BB$56,3,)))</f>
        <v>0</v>
      </c>
      <c r="AT3009" s="10" t="b">
        <f>IF(AND(I3009="TN",S3009&lt;=2800),VLOOKUP(AF3009,TNCalibEq2500!$AZ$2:$BB$56,3,),IF(AND(I3009="TDN",S3009&lt;=2800),VLOOKUP(AF3009,TNCalibEq2500!$AZ$2:$BB$56,3,)))</f>
        <v>0</v>
      </c>
      <c r="AU3009" s="10" t="b">
        <f>IF(I3009="TP",VLOOKUP(AF3009,TPCalibEqFull!$AZ$2:$BB$56,3),IF(I3009="TDP",VLOOKUP(AF3009,TPCalibEqFull!$AZ$2:$BB$56,3),IF(I3009="TDN",VLOOKUP(AF3009,TNCalibEqFull!$AZ$1:$BB$56,3),IF(I3009="TN",VLOOKUP(AF3009,TNCalibEqFull!$AZ$1:$BB$56,3),FALSE))))</f>
        <v>0</v>
      </c>
      <c r="AV3009" s="10" t="str">
        <f t="shared" si="340"/>
        <v>0215 09:00:00-QAC-STD-H-1-DI-CAL</v>
      </c>
    </row>
    <row r="3010" spans="1:48" s="10" customFormat="1" x14ac:dyDescent="0.55000000000000004">
      <c r="A3010" s="32">
        <v>44972</v>
      </c>
      <c r="B3010" s="33">
        <v>0.375</v>
      </c>
      <c r="C3010" s="10" t="s">
        <v>70</v>
      </c>
      <c r="D3010" s="10" t="s">
        <v>71</v>
      </c>
      <c r="E3010" s="10" t="s">
        <v>908</v>
      </c>
      <c r="F3010" s="10">
        <v>1</v>
      </c>
      <c r="G3010" s="10" t="s">
        <v>73</v>
      </c>
      <c r="H3010" s="10" t="s">
        <v>74</v>
      </c>
      <c r="I3010" s="10" t="s">
        <v>285</v>
      </c>
      <c r="J3010" s="10">
        <v>182</v>
      </c>
      <c r="K3010" s="12">
        <v>44972</v>
      </c>
      <c r="L3010" s="33">
        <v>0.46685185185185185</v>
      </c>
      <c r="M3010" s="10">
        <v>1</v>
      </c>
      <c r="N3010" s="10" t="s">
        <v>211</v>
      </c>
      <c r="O3010" s="10">
        <v>2.7900000000000001E-2</v>
      </c>
      <c r="P3010" s="10">
        <v>2.7000000000000001E-3</v>
      </c>
      <c r="Q3010" s="10">
        <v>5</v>
      </c>
      <c r="R3010" s="10" t="s">
        <v>913</v>
      </c>
      <c r="S3010" s="34">
        <f t="shared" si="344"/>
        <v>5</v>
      </c>
      <c r="T3010" s="10" t="s">
        <v>1214</v>
      </c>
      <c r="U3010" s="34" t="str">
        <f t="shared" ref="U3010:U3073" si="345">IF(OR(H3010="CHK",H3010="ATP",H3010="GUP",H3010="PER", H3010="NIC", H3010="UREA"),(S3010/V3010*100),IF(H3010="DUP",((ABS(S3010-S3009))/((S3009+S3010)/2))*100,IF(H3010="SPK",((S3010-S3009)/V3010*100),IF(OR(H3010="LAB",H3010="FLD",H3010="ESF"),S3010,""))))</f>
        <v/>
      </c>
      <c r="V3010" s="31" t="str">
        <f>IF(H3010="CHK",VLOOKUP(I3010,QCCHK,3,),IF(H3010="GUP",VLOOKUP(E3010,QCGUP,2,),IF(AND(H3010="ATP",OR(I3010="TN",I3010="TDN",I3010="TNO2-3",I3010="NO2-3")),VLOOKUP(E3010,QCREC_N,2,),IF(AND(H3010="NIC",OR(I3010="TN",I3010="TDN",I3010="TNO2-3",I3010="NO2-3")),VLOOKUP(E3010,QCNIC_N,2,),IF(AND(H3010="UREA",OR(I3010="TN",I3010="TDN",I3010="TNO2-3",I3010="NO2-3")),VLOOKUP(E3010,QCUREA_N,2,),IF(H3010="PER",VLOOKUP(I3010,QCPER,MATCH(E3010,QCACTUAL!$J$25:$AA$25,0),),IF(H3010="SPK",VLOOKUP(I3010,QCSPK,3,),IF(AND(H3010="ATP",OR(I3010="TP",I3010="TDP")),VLOOKUP(E3010,QCATP_P,2,),""))))))))</f>
        <v/>
      </c>
      <c r="W3010" s="31" t="str">
        <f t="shared" ref="W3010:W3073" si="346">IF(AND(OR(H3010="PER",H3010="ATP",H3010="GUP",H3010="CHK",H3010="SPK", H3010="NIC"),OR(U3010&gt;125,U3010&lt;75)),"FALSE",IF(AND(H3010="DUP",OR(U3010&gt;25, U3010&lt;-25)),"FALSE",IF(AND(OR(H3010="LAB",H3010="FLD",H3010="ESF"),U3010&gt;15),"FALSE","TRUE")))</f>
        <v>TRUE</v>
      </c>
      <c r="X3010" s="31" t="str">
        <f t="shared" si="343"/>
        <v/>
      </c>
      <c r="Y3010" s="10" t="s">
        <v>1206</v>
      </c>
      <c r="AL3010" s="10" t="str">
        <f t="shared" si="341"/>
        <v>FALSE</v>
      </c>
      <c r="AM3010" s="10" t="str">
        <f t="shared" si="341"/>
        <v>FALSE</v>
      </c>
      <c r="AN3010" s="10" t="str">
        <f t="shared" si="341"/>
        <v>FALSE</v>
      </c>
      <c r="AO3010" s="10" t="str">
        <f t="shared" si="342"/>
        <v>FALSE</v>
      </c>
      <c r="AP3010" s="10" t="str">
        <f t="shared" si="342"/>
        <v>FALSE</v>
      </c>
      <c r="AQ3010" s="10" t="b">
        <f>IF(AND(I3010="TP",S3010&lt;=150),VLOOKUP(AF3010,TPCalibEq150!$AZ$2:$BB$55,3,),IF(AND(I3010="TDP",S3010&lt;=150),VLOOKUP(AF3010,TPCalibEq150!$AZ$2:$BB$55,3,)))</f>
        <v>0</v>
      </c>
      <c r="AR3010" s="10" t="b">
        <f>IF(AND(I3010="TP",S3010&lt;=300),VLOOKUP(AF3010,TPCalibEq300!$AZ$2:$BB$55,3,),IF(AND(I3010="TDP",S3010&lt;=300),VLOOKUP(AF3010,TPCalibEq300!$AZ$2:$BB$55,3,)))</f>
        <v>0</v>
      </c>
      <c r="AS3010" s="10" t="b">
        <f>IF(AND(I3010="TP",S3010&lt;=500),VLOOKUP(AF3010,TPCalibEq500!$AZ$2:$BB$56,3,),IF(AND(I3010="TDP",S3010&lt;=500),VLOOKUP(AF3010,TPCalibEq500!$AZ$2:$BB$56,3,)))</f>
        <v>0</v>
      </c>
      <c r="AT3010" s="10" t="b">
        <f>IF(AND(I3010="TN",S3010&lt;=2800),VLOOKUP(AF3010,TNCalibEq2500!$AZ$2:$BB$56,3,),IF(AND(I3010="TDN",S3010&lt;=2800),VLOOKUP(AF3010,TNCalibEq2500!$AZ$2:$BB$56,3,)))</f>
        <v>0</v>
      </c>
      <c r="AU3010" s="10" t="b">
        <f>IF(I3010="TP",VLOOKUP(AF3010,TPCalibEqFull!$AZ$2:$BB$56,3),IF(I3010="TDP",VLOOKUP(AF3010,TPCalibEqFull!$AZ$2:$BB$56,3),IF(I3010="TDN",VLOOKUP(AF3010,TNCalibEqFull!$AZ$1:$BB$56,3),IF(I3010="TN",VLOOKUP(AF3010,TNCalibEqFull!$AZ$1:$BB$56,3),FALSE))))</f>
        <v>0</v>
      </c>
      <c r="AV3010" s="10" t="str">
        <f t="shared" ref="AV3010:AV3073" si="347">TEXT(A3010, "MMDD")&amp;" "&amp;TEXT(B3010, "HH:MM:SS")&amp;"-"&amp;C3010&amp;"-"&amp;D3010&amp;"-"&amp;E3010&amp;"-"&amp;F3010&amp;"-"&amp;G3010&amp;"-"&amp;H3010</f>
        <v>0215 09:00:00-QAC-STD-G-1-DI-CAL</v>
      </c>
    </row>
    <row r="3011" spans="1:48" s="10" customFormat="1" x14ac:dyDescent="0.55000000000000004">
      <c r="A3011" s="32">
        <v>44972</v>
      </c>
      <c r="B3011" s="33">
        <v>0.375</v>
      </c>
      <c r="C3011" s="10" t="s">
        <v>70</v>
      </c>
      <c r="D3011" s="10" t="s">
        <v>71</v>
      </c>
      <c r="E3011" s="10" t="s">
        <v>550</v>
      </c>
      <c r="F3011" s="10">
        <v>1</v>
      </c>
      <c r="G3011" s="10" t="s">
        <v>73</v>
      </c>
      <c r="H3011" s="10" t="s">
        <v>74</v>
      </c>
      <c r="I3011" s="10" t="s">
        <v>285</v>
      </c>
      <c r="J3011" s="10">
        <v>183</v>
      </c>
      <c r="K3011" s="12">
        <v>44972</v>
      </c>
      <c r="L3011" s="33">
        <v>0.4676967592592593</v>
      </c>
      <c r="M3011" s="10">
        <v>1</v>
      </c>
      <c r="N3011" s="10" t="s">
        <v>211</v>
      </c>
      <c r="O3011" s="10">
        <v>8.1299999999999997E-2</v>
      </c>
      <c r="P3011" s="10">
        <v>7.5799999999999999E-3</v>
      </c>
      <c r="Q3011" s="10">
        <v>15</v>
      </c>
      <c r="R3011" s="10" t="s">
        <v>913</v>
      </c>
      <c r="S3011" s="34">
        <f t="shared" si="344"/>
        <v>15</v>
      </c>
      <c r="T3011" s="10" t="s">
        <v>1215</v>
      </c>
      <c r="U3011" s="34" t="str">
        <f t="shared" si="345"/>
        <v/>
      </c>
      <c r="V3011" s="31" t="str">
        <f>IF(H3011="CHK",VLOOKUP(I3011,QCCHK,3,),IF(H3011="GUP",VLOOKUP(E3011,QCGUP,2,),IF(AND(H3011="ATP",OR(I3011="TN",I3011="TDN",I3011="TNO2-3",I3011="NO2-3")),VLOOKUP(E3011,QCREC_N,2,),IF(AND(H3011="NIC",OR(I3011="TN",I3011="TDN",I3011="TNO2-3",I3011="NO2-3")),VLOOKUP(E3011,QCNIC_N,2,),IF(AND(H3011="UREA",OR(I3011="TN",I3011="TDN",I3011="TNO2-3",I3011="NO2-3")),VLOOKUP(E3011,QCUREA_N,2,),IF(H3011="PER",VLOOKUP(I3011,QCPER,MATCH(E3011,QCACTUAL!$J$25:$AA$25,0),),IF(H3011="SPK",VLOOKUP(I3011,QCSPK,3,),IF(AND(H3011="ATP",OR(I3011="TP",I3011="TDP")),VLOOKUP(E3011,QCATP_P,2,),""))))))))</f>
        <v/>
      </c>
      <c r="W3011" s="31" t="str">
        <f t="shared" si="346"/>
        <v>TRUE</v>
      </c>
      <c r="X3011" s="31" t="str">
        <f t="shared" si="343"/>
        <v/>
      </c>
      <c r="Y3011" s="10" t="s">
        <v>1206</v>
      </c>
      <c r="AL3011" s="10" t="str">
        <f t="shared" si="341"/>
        <v>FALSE</v>
      </c>
      <c r="AM3011" s="10" t="str">
        <f t="shared" si="341"/>
        <v>FALSE</v>
      </c>
      <c r="AN3011" s="10" t="str">
        <f t="shared" si="341"/>
        <v>FALSE</v>
      </c>
      <c r="AO3011" s="10" t="str">
        <f t="shared" si="342"/>
        <v>FALSE</v>
      </c>
      <c r="AP3011" s="10" t="str">
        <f t="shared" si="342"/>
        <v>FALSE</v>
      </c>
      <c r="AQ3011" s="10" t="b">
        <f>IF(AND(I3011="TP",S3011&lt;=150),VLOOKUP(AF3011,TPCalibEq150!$AZ$2:$BB$55,3,),IF(AND(I3011="TDP",S3011&lt;=150),VLOOKUP(AF3011,TPCalibEq150!$AZ$2:$BB$55,3,)))</f>
        <v>0</v>
      </c>
      <c r="AR3011" s="10" t="b">
        <f>IF(AND(I3011="TP",S3011&lt;=300),VLOOKUP(AF3011,TPCalibEq300!$AZ$2:$BB$55,3,),IF(AND(I3011="TDP",S3011&lt;=300),VLOOKUP(AF3011,TPCalibEq300!$AZ$2:$BB$55,3,)))</f>
        <v>0</v>
      </c>
      <c r="AS3011" s="10" t="b">
        <f>IF(AND(I3011="TP",S3011&lt;=500),VLOOKUP(AF3011,TPCalibEq500!$AZ$2:$BB$56,3,),IF(AND(I3011="TDP",S3011&lt;=500),VLOOKUP(AF3011,TPCalibEq500!$AZ$2:$BB$56,3,)))</f>
        <v>0</v>
      </c>
      <c r="AT3011" s="10" t="b">
        <f>IF(AND(I3011="TN",S3011&lt;=2800),VLOOKUP(AF3011,TNCalibEq2500!$AZ$2:$BB$56,3,),IF(AND(I3011="TDN",S3011&lt;=2800),VLOOKUP(AF3011,TNCalibEq2500!$AZ$2:$BB$56,3,)))</f>
        <v>0</v>
      </c>
      <c r="AU3011" s="10" t="b">
        <f>IF(I3011="TP",VLOOKUP(AF3011,TPCalibEqFull!$AZ$2:$BB$56,3),IF(I3011="TDP",VLOOKUP(AF3011,TPCalibEqFull!$AZ$2:$BB$56,3),IF(I3011="TDN",VLOOKUP(AF3011,TNCalibEqFull!$AZ$1:$BB$56,3),IF(I3011="TN",VLOOKUP(AF3011,TNCalibEqFull!$AZ$1:$BB$56,3),FALSE))))</f>
        <v>0</v>
      </c>
      <c r="AV3011" s="10" t="str">
        <f t="shared" si="347"/>
        <v>0215 09:00:00-QAC-STD-F-1-DI-CAL</v>
      </c>
    </row>
    <row r="3012" spans="1:48" s="10" customFormat="1" x14ac:dyDescent="0.55000000000000004">
      <c r="A3012" s="32">
        <v>44972</v>
      </c>
      <c r="B3012" s="33">
        <v>0.375</v>
      </c>
      <c r="C3012" s="10" t="s">
        <v>70</v>
      </c>
      <c r="D3012" s="10" t="s">
        <v>71</v>
      </c>
      <c r="E3012" s="10" t="s">
        <v>909</v>
      </c>
      <c r="F3012" s="10">
        <v>1</v>
      </c>
      <c r="G3012" s="10" t="s">
        <v>73</v>
      </c>
      <c r="H3012" s="10" t="s">
        <v>74</v>
      </c>
      <c r="I3012" s="10" t="s">
        <v>285</v>
      </c>
      <c r="J3012" s="10">
        <v>184</v>
      </c>
      <c r="K3012" s="12">
        <v>44972</v>
      </c>
      <c r="L3012" s="33">
        <v>0.4685185185185185</v>
      </c>
      <c r="M3012" s="10">
        <v>1</v>
      </c>
      <c r="N3012" s="10" t="s">
        <v>211</v>
      </c>
      <c r="O3012" s="10">
        <v>0.111</v>
      </c>
      <c r="P3012" s="10">
        <v>1.04E-2</v>
      </c>
      <c r="Q3012" s="10">
        <v>20</v>
      </c>
      <c r="R3012" s="10" t="s">
        <v>913</v>
      </c>
      <c r="S3012" s="34">
        <f t="shared" si="344"/>
        <v>20</v>
      </c>
      <c r="T3012" s="10" t="s">
        <v>1216</v>
      </c>
      <c r="U3012" s="34" t="str">
        <f t="shared" si="345"/>
        <v/>
      </c>
      <c r="V3012" s="31" t="str">
        <f>IF(H3012="CHK",VLOOKUP(I3012,QCCHK,3,),IF(H3012="GUP",VLOOKUP(E3012,QCGUP,2,),IF(AND(H3012="ATP",OR(I3012="TN",I3012="TDN",I3012="TNO2-3",I3012="NO2-3")),VLOOKUP(E3012,QCREC_N,2,),IF(AND(H3012="NIC",OR(I3012="TN",I3012="TDN",I3012="TNO2-3",I3012="NO2-3")),VLOOKUP(E3012,QCNIC_N,2,),IF(AND(H3012="UREA",OR(I3012="TN",I3012="TDN",I3012="TNO2-3",I3012="NO2-3")),VLOOKUP(E3012,QCUREA_N,2,),IF(H3012="PER",VLOOKUP(I3012,QCPER,MATCH(E3012,QCACTUAL!$J$25:$AA$25,0),),IF(H3012="SPK",VLOOKUP(I3012,QCSPK,3,),IF(AND(H3012="ATP",OR(I3012="TP",I3012="TDP")),VLOOKUP(E3012,QCATP_P,2,),""))))))))</f>
        <v/>
      </c>
      <c r="W3012" s="31" t="str">
        <f t="shared" si="346"/>
        <v>TRUE</v>
      </c>
      <c r="X3012" s="31" t="str">
        <f t="shared" si="343"/>
        <v/>
      </c>
      <c r="Y3012" s="10" t="s">
        <v>1206</v>
      </c>
      <c r="AL3012" s="10" t="str">
        <f t="shared" si="341"/>
        <v>FALSE</v>
      </c>
      <c r="AM3012" s="10" t="str">
        <f t="shared" si="341"/>
        <v>FALSE</v>
      </c>
      <c r="AN3012" s="10" t="str">
        <f t="shared" si="341"/>
        <v>FALSE</v>
      </c>
      <c r="AO3012" s="10" t="str">
        <f t="shared" si="342"/>
        <v>FALSE</v>
      </c>
      <c r="AP3012" s="10" t="str">
        <f t="shared" si="342"/>
        <v>FALSE</v>
      </c>
      <c r="AQ3012" s="10" t="b">
        <f>IF(AND(I3012="TP",S3012&lt;=150),VLOOKUP(AF3012,TPCalibEq150!$AZ$2:$BB$55,3,),IF(AND(I3012="TDP",S3012&lt;=150),VLOOKUP(AF3012,TPCalibEq150!$AZ$2:$BB$55,3,)))</f>
        <v>0</v>
      </c>
      <c r="AR3012" s="10" t="b">
        <f>IF(AND(I3012="TP",S3012&lt;=300),VLOOKUP(AF3012,TPCalibEq300!$AZ$2:$BB$55,3,),IF(AND(I3012="TDP",S3012&lt;=300),VLOOKUP(AF3012,TPCalibEq300!$AZ$2:$BB$55,3,)))</f>
        <v>0</v>
      </c>
      <c r="AS3012" s="10" t="b">
        <f>IF(AND(I3012="TP",S3012&lt;=500),VLOOKUP(AF3012,TPCalibEq500!$AZ$2:$BB$56,3,),IF(AND(I3012="TDP",S3012&lt;=500),VLOOKUP(AF3012,TPCalibEq500!$AZ$2:$BB$56,3,)))</f>
        <v>0</v>
      </c>
      <c r="AT3012" s="10" t="b">
        <f>IF(AND(I3012="TN",S3012&lt;=2800),VLOOKUP(AF3012,TNCalibEq2500!$AZ$2:$BB$56,3,),IF(AND(I3012="TDN",S3012&lt;=2800),VLOOKUP(AF3012,TNCalibEq2500!$AZ$2:$BB$56,3,)))</f>
        <v>0</v>
      </c>
      <c r="AU3012" s="10" t="b">
        <f>IF(I3012="TP",VLOOKUP(AF3012,TPCalibEqFull!$AZ$2:$BB$56,3),IF(I3012="TDP",VLOOKUP(AF3012,TPCalibEqFull!$AZ$2:$BB$56,3),IF(I3012="TDN",VLOOKUP(AF3012,TNCalibEqFull!$AZ$1:$BB$56,3),IF(I3012="TN",VLOOKUP(AF3012,TNCalibEqFull!$AZ$1:$BB$56,3),FALSE))))</f>
        <v>0</v>
      </c>
      <c r="AV3012" s="10" t="str">
        <f t="shared" si="347"/>
        <v>0215 09:00:00-QAC-STD-E-1-DI-CAL</v>
      </c>
    </row>
    <row r="3013" spans="1:48" s="10" customFormat="1" x14ac:dyDescent="0.55000000000000004">
      <c r="A3013" s="32">
        <v>44972</v>
      </c>
      <c r="B3013" s="33">
        <v>0.375</v>
      </c>
      <c r="C3013" s="10" t="s">
        <v>70</v>
      </c>
      <c r="D3013" s="10" t="s">
        <v>71</v>
      </c>
      <c r="E3013" s="10" t="s">
        <v>901</v>
      </c>
      <c r="F3013" s="10">
        <v>1</v>
      </c>
      <c r="G3013" s="10" t="s">
        <v>73</v>
      </c>
      <c r="H3013" s="10" t="s">
        <v>74</v>
      </c>
      <c r="I3013" s="10" t="s">
        <v>285</v>
      </c>
      <c r="J3013" s="10">
        <v>185</v>
      </c>
      <c r="K3013" s="12">
        <v>44972</v>
      </c>
      <c r="L3013" s="33">
        <v>0.46934027777777776</v>
      </c>
      <c r="M3013" s="10">
        <v>1</v>
      </c>
      <c r="N3013" s="10" t="s">
        <v>211</v>
      </c>
      <c r="O3013" s="10">
        <v>0.40200000000000002</v>
      </c>
      <c r="P3013" s="10">
        <v>3.9699999999999999E-2</v>
      </c>
      <c r="Q3013" s="10">
        <v>75</v>
      </c>
      <c r="R3013" s="10" t="s">
        <v>913</v>
      </c>
      <c r="S3013" s="34">
        <f t="shared" si="344"/>
        <v>75</v>
      </c>
      <c r="T3013" s="10" t="s">
        <v>1217</v>
      </c>
      <c r="U3013" s="34" t="str">
        <f t="shared" si="345"/>
        <v/>
      </c>
      <c r="V3013" s="31" t="str">
        <f>IF(H3013="CHK",VLOOKUP(I3013,QCCHK,3,),IF(H3013="GUP",VLOOKUP(E3013,QCGUP,2,),IF(AND(H3013="ATP",OR(I3013="TN",I3013="TDN",I3013="TNO2-3",I3013="NO2-3")),VLOOKUP(E3013,QCREC_N,2,),IF(AND(H3013="NIC",OR(I3013="TN",I3013="TDN",I3013="TNO2-3",I3013="NO2-3")),VLOOKUP(E3013,QCNIC_N,2,),IF(AND(H3013="UREA",OR(I3013="TN",I3013="TDN",I3013="TNO2-3",I3013="NO2-3")),VLOOKUP(E3013,QCUREA_N,2,),IF(H3013="PER",VLOOKUP(I3013,QCPER,MATCH(E3013,QCACTUAL!$J$25:$AA$25,0),),IF(H3013="SPK",VLOOKUP(I3013,QCSPK,3,),IF(AND(H3013="ATP",OR(I3013="TP",I3013="TDP")),VLOOKUP(E3013,QCATP_P,2,),""))))))))</f>
        <v/>
      </c>
      <c r="W3013" s="31" t="str">
        <f t="shared" si="346"/>
        <v>TRUE</v>
      </c>
      <c r="X3013" s="31" t="str">
        <f t="shared" si="343"/>
        <v/>
      </c>
      <c r="Y3013" s="10" t="s">
        <v>1206</v>
      </c>
      <c r="AL3013" s="10" t="str">
        <f t="shared" si="341"/>
        <v>FALSE</v>
      </c>
      <c r="AM3013" s="10" t="str">
        <f t="shared" si="341"/>
        <v>FALSE</v>
      </c>
      <c r="AN3013" s="10" t="str">
        <f t="shared" si="341"/>
        <v>FALSE</v>
      </c>
      <c r="AO3013" s="10" t="str">
        <f t="shared" si="342"/>
        <v>FALSE</v>
      </c>
      <c r="AP3013" s="10" t="str">
        <f t="shared" si="342"/>
        <v>FALSE</v>
      </c>
      <c r="AQ3013" s="10" t="b">
        <f>IF(AND(I3013="TP",S3013&lt;=150),VLOOKUP(AF3013,TPCalibEq150!$AZ$2:$BB$55,3,),IF(AND(I3013="TDP",S3013&lt;=150),VLOOKUP(AF3013,TPCalibEq150!$AZ$2:$BB$55,3,)))</f>
        <v>0</v>
      </c>
      <c r="AR3013" s="10" t="b">
        <f>IF(AND(I3013="TP",S3013&lt;=300),VLOOKUP(AF3013,TPCalibEq300!$AZ$2:$BB$55,3,),IF(AND(I3013="TDP",S3013&lt;=300),VLOOKUP(AF3013,TPCalibEq300!$AZ$2:$BB$55,3,)))</f>
        <v>0</v>
      </c>
      <c r="AS3013" s="10" t="b">
        <f>IF(AND(I3013="TP",S3013&lt;=500),VLOOKUP(AF3013,TPCalibEq500!$AZ$2:$BB$56,3,),IF(AND(I3013="TDP",S3013&lt;=500),VLOOKUP(AF3013,TPCalibEq500!$AZ$2:$BB$56,3,)))</f>
        <v>0</v>
      </c>
      <c r="AT3013" s="10" t="b">
        <f>IF(AND(I3013="TN",S3013&lt;=2800),VLOOKUP(AF3013,TNCalibEq2500!$AZ$2:$BB$56,3,),IF(AND(I3013="TDN",S3013&lt;=2800),VLOOKUP(AF3013,TNCalibEq2500!$AZ$2:$BB$56,3,)))</f>
        <v>0</v>
      </c>
      <c r="AU3013" s="10" t="b">
        <f>IF(I3013="TP",VLOOKUP(AF3013,TPCalibEqFull!$AZ$2:$BB$56,3),IF(I3013="TDP",VLOOKUP(AF3013,TPCalibEqFull!$AZ$2:$BB$56,3),IF(I3013="TDN",VLOOKUP(AF3013,TNCalibEqFull!$AZ$1:$BB$56,3),IF(I3013="TN",VLOOKUP(AF3013,TNCalibEqFull!$AZ$1:$BB$56,3),FALSE))))</f>
        <v>0</v>
      </c>
      <c r="AV3013" s="10" t="str">
        <f t="shared" si="347"/>
        <v>0215 09:00:00-QAC-STD-D-1-DI-CAL</v>
      </c>
    </row>
    <row r="3014" spans="1:48" s="10" customFormat="1" x14ac:dyDescent="0.55000000000000004">
      <c r="A3014" s="32">
        <v>44972</v>
      </c>
      <c r="B3014" s="33">
        <v>0.375</v>
      </c>
      <c r="C3014" s="10" t="s">
        <v>70</v>
      </c>
      <c r="D3014" s="10" t="s">
        <v>71</v>
      </c>
      <c r="E3014" s="10" t="s">
        <v>190</v>
      </c>
      <c r="F3014" s="10">
        <v>1</v>
      </c>
      <c r="G3014" s="10" t="s">
        <v>73</v>
      </c>
      <c r="H3014" s="10" t="s">
        <v>74</v>
      </c>
      <c r="I3014" s="10" t="s">
        <v>285</v>
      </c>
      <c r="J3014" s="10">
        <v>186</v>
      </c>
      <c r="K3014" s="12">
        <v>44972</v>
      </c>
      <c r="L3014" s="33">
        <v>0.47017361111111117</v>
      </c>
      <c r="M3014" s="10">
        <v>1</v>
      </c>
      <c r="N3014" s="10" t="s">
        <v>211</v>
      </c>
      <c r="O3014" s="10">
        <v>0.82499999999999996</v>
      </c>
      <c r="P3014" s="10">
        <v>8.2199999999999995E-2</v>
      </c>
      <c r="Q3014" s="10">
        <v>150</v>
      </c>
      <c r="R3014" s="10" t="s">
        <v>913</v>
      </c>
      <c r="S3014" s="34">
        <f t="shared" si="344"/>
        <v>150</v>
      </c>
      <c r="T3014" s="10" t="s">
        <v>1218</v>
      </c>
      <c r="U3014" s="34" t="str">
        <f t="shared" si="345"/>
        <v/>
      </c>
      <c r="V3014" s="31" t="str">
        <f>IF(H3014="CHK",VLOOKUP(I3014,QCCHK,3,),IF(H3014="GUP",VLOOKUP(E3014,QCGUP,2,),IF(AND(H3014="ATP",OR(I3014="TN",I3014="TDN",I3014="TNO2-3",I3014="NO2-3")),VLOOKUP(E3014,QCREC_N,2,),IF(AND(H3014="NIC",OR(I3014="TN",I3014="TDN",I3014="TNO2-3",I3014="NO2-3")),VLOOKUP(E3014,QCNIC_N,2,),IF(AND(H3014="UREA",OR(I3014="TN",I3014="TDN",I3014="TNO2-3",I3014="NO2-3")),VLOOKUP(E3014,QCUREA_N,2,),IF(H3014="PER",VLOOKUP(I3014,QCPER,MATCH(E3014,QCACTUAL!$J$25:$AA$25,0),),IF(H3014="SPK",VLOOKUP(I3014,QCSPK,3,),IF(AND(H3014="ATP",OR(I3014="TP",I3014="TDP")),VLOOKUP(E3014,QCATP_P,2,),""))))))))</f>
        <v/>
      </c>
      <c r="W3014" s="31" t="str">
        <f t="shared" si="346"/>
        <v>TRUE</v>
      </c>
      <c r="X3014" s="31" t="str">
        <f t="shared" si="343"/>
        <v/>
      </c>
      <c r="Y3014" s="10" t="s">
        <v>1206</v>
      </c>
      <c r="AL3014" s="10" t="str">
        <f t="shared" si="341"/>
        <v>FALSE</v>
      </c>
      <c r="AM3014" s="10" t="str">
        <f t="shared" si="341"/>
        <v>FALSE</v>
      </c>
      <c r="AN3014" s="10" t="str">
        <f t="shared" si="341"/>
        <v>FALSE</v>
      </c>
      <c r="AO3014" s="10" t="str">
        <f t="shared" si="342"/>
        <v>FALSE</v>
      </c>
      <c r="AP3014" s="10" t="str">
        <f t="shared" si="342"/>
        <v>FALSE</v>
      </c>
      <c r="AQ3014" s="10" t="b">
        <f>IF(AND(I3014="TP",S3014&lt;=150),VLOOKUP(AF3014,TPCalibEq150!$AZ$2:$BB$55,3,),IF(AND(I3014="TDP",S3014&lt;=150),VLOOKUP(AF3014,TPCalibEq150!$AZ$2:$BB$55,3,)))</f>
        <v>0</v>
      </c>
      <c r="AR3014" s="10" t="b">
        <f>IF(AND(I3014="TP",S3014&lt;=300),VLOOKUP(AF3014,TPCalibEq300!$AZ$2:$BB$55,3,),IF(AND(I3014="TDP",S3014&lt;=300),VLOOKUP(AF3014,TPCalibEq300!$AZ$2:$BB$55,3,)))</f>
        <v>0</v>
      </c>
      <c r="AS3014" s="10" t="b">
        <f>IF(AND(I3014="TP",S3014&lt;=500),VLOOKUP(AF3014,TPCalibEq500!$AZ$2:$BB$56,3,),IF(AND(I3014="TDP",S3014&lt;=500),VLOOKUP(AF3014,TPCalibEq500!$AZ$2:$BB$56,3,)))</f>
        <v>0</v>
      </c>
      <c r="AT3014" s="10" t="b">
        <f>IF(AND(I3014="TN",S3014&lt;=2800),VLOOKUP(AF3014,TNCalibEq2500!$AZ$2:$BB$56,3,),IF(AND(I3014="TDN",S3014&lt;=2800),VLOOKUP(AF3014,TNCalibEq2500!$AZ$2:$BB$56,3,)))</f>
        <v>0</v>
      </c>
      <c r="AU3014" s="10" t="b">
        <f>IF(I3014="TP",VLOOKUP(AF3014,TPCalibEqFull!$AZ$2:$BB$56,3),IF(I3014="TDP",VLOOKUP(AF3014,TPCalibEqFull!$AZ$2:$BB$56,3),IF(I3014="TDN",VLOOKUP(AF3014,TNCalibEqFull!$AZ$1:$BB$56,3),IF(I3014="TN",VLOOKUP(AF3014,TNCalibEqFull!$AZ$1:$BB$56,3),FALSE))))</f>
        <v>0</v>
      </c>
      <c r="AV3014" s="10" t="str">
        <f t="shared" si="347"/>
        <v>0215 09:00:00-QAC-STD-C-1-DI-CAL</v>
      </c>
    </row>
    <row r="3015" spans="1:48" s="10" customFormat="1" x14ac:dyDescent="0.55000000000000004">
      <c r="A3015" s="32">
        <v>44972</v>
      </c>
      <c r="B3015" s="33">
        <v>0.375</v>
      </c>
      <c r="C3015" s="10" t="s">
        <v>70</v>
      </c>
      <c r="D3015" s="10" t="s">
        <v>71</v>
      </c>
      <c r="E3015" s="10" t="s">
        <v>583</v>
      </c>
      <c r="F3015" s="10">
        <v>1</v>
      </c>
      <c r="G3015" s="10" t="s">
        <v>73</v>
      </c>
      <c r="H3015" s="10" t="s">
        <v>74</v>
      </c>
      <c r="I3015" s="10" t="s">
        <v>285</v>
      </c>
      <c r="J3015" s="10">
        <v>187</v>
      </c>
      <c r="K3015" s="12">
        <v>44972</v>
      </c>
      <c r="L3015" s="33">
        <v>0.47099537037037037</v>
      </c>
      <c r="M3015" s="10">
        <v>1</v>
      </c>
      <c r="N3015" s="10" t="s">
        <v>211</v>
      </c>
      <c r="O3015" s="10">
        <v>1.7</v>
      </c>
      <c r="P3015" s="10">
        <v>0.17199999999999999</v>
      </c>
      <c r="Q3015" s="10">
        <v>300</v>
      </c>
      <c r="R3015" s="10" t="s">
        <v>913</v>
      </c>
      <c r="S3015" s="34">
        <f t="shared" si="344"/>
        <v>300</v>
      </c>
      <c r="T3015" s="10" t="s">
        <v>1219</v>
      </c>
      <c r="U3015" s="34" t="str">
        <f t="shared" si="345"/>
        <v/>
      </c>
      <c r="V3015" s="31" t="str">
        <f>IF(H3015="CHK",VLOOKUP(I3015,QCCHK,3,),IF(H3015="GUP",VLOOKUP(E3015,QCGUP,2,),IF(AND(H3015="ATP",OR(I3015="TN",I3015="TDN",I3015="TNO2-3",I3015="NO2-3")),VLOOKUP(E3015,QCREC_N,2,),IF(AND(H3015="NIC",OR(I3015="TN",I3015="TDN",I3015="TNO2-3",I3015="NO2-3")),VLOOKUP(E3015,QCNIC_N,2,),IF(AND(H3015="UREA",OR(I3015="TN",I3015="TDN",I3015="TNO2-3",I3015="NO2-3")),VLOOKUP(E3015,QCUREA_N,2,),IF(H3015="PER",VLOOKUP(I3015,QCPER,MATCH(E3015,QCACTUAL!$J$25:$AA$25,0),),IF(H3015="SPK",VLOOKUP(I3015,QCSPK,3,),IF(AND(H3015="ATP",OR(I3015="TP",I3015="TDP")),VLOOKUP(E3015,QCATP_P,2,),""))))))))</f>
        <v/>
      </c>
      <c r="W3015" s="31" t="str">
        <f t="shared" si="346"/>
        <v>TRUE</v>
      </c>
      <c r="X3015" s="31" t="str">
        <f t="shared" si="343"/>
        <v/>
      </c>
      <c r="Y3015" s="10" t="s">
        <v>1206</v>
      </c>
      <c r="AL3015" s="10" t="str">
        <f t="shared" si="341"/>
        <v>FALSE</v>
      </c>
      <c r="AM3015" s="10" t="str">
        <f t="shared" si="341"/>
        <v>FALSE</v>
      </c>
      <c r="AN3015" s="10" t="str">
        <f t="shared" si="341"/>
        <v>FALSE</v>
      </c>
      <c r="AO3015" s="10" t="str">
        <f t="shared" si="342"/>
        <v>FALSE</v>
      </c>
      <c r="AP3015" s="10" t="str">
        <f t="shared" si="342"/>
        <v>FALSE</v>
      </c>
      <c r="AQ3015" s="10" t="b">
        <f>IF(AND(I3015="TP",S3015&lt;=150),VLOOKUP(AF3015,TPCalibEq150!$AZ$2:$BB$55,3,),IF(AND(I3015="TDP",S3015&lt;=150),VLOOKUP(AF3015,TPCalibEq150!$AZ$2:$BB$55,3,)))</f>
        <v>0</v>
      </c>
      <c r="AR3015" s="10" t="b">
        <f>IF(AND(I3015="TP",S3015&lt;=300),VLOOKUP(AF3015,TPCalibEq300!$AZ$2:$BB$55,3,),IF(AND(I3015="TDP",S3015&lt;=300),VLOOKUP(AF3015,TPCalibEq300!$AZ$2:$BB$55,3,)))</f>
        <v>0</v>
      </c>
      <c r="AS3015" s="10" t="b">
        <f>IF(AND(I3015="TP",S3015&lt;=500),VLOOKUP(AF3015,TPCalibEq500!$AZ$2:$BB$56,3,),IF(AND(I3015="TDP",S3015&lt;=500),VLOOKUP(AF3015,TPCalibEq500!$AZ$2:$BB$56,3,)))</f>
        <v>0</v>
      </c>
      <c r="AT3015" s="10" t="b">
        <f>IF(AND(I3015="TN",S3015&lt;=2800),VLOOKUP(AF3015,TNCalibEq2500!$AZ$2:$BB$56,3,),IF(AND(I3015="TDN",S3015&lt;=2800),VLOOKUP(AF3015,TNCalibEq2500!$AZ$2:$BB$56,3,)))</f>
        <v>0</v>
      </c>
      <c r="AU3015" s="10" t="b">
        <f>IF(I3015="TP",VLOOKUP(AF3015,TPCalibEqFull!$AZ$2:$BB$56,3),IF(I3015="TDP",VLOOKUP(AF3015,TPCalibEqFull!$AZ$2:$BB$56,3),IF(I3015="TDN",VLOOKUP(AF3015,TNCalibEqFull!$AZ$1:$BB$56,3),IF(I3015="TN",VLOOKUP(AF3015,TNCalibEqFull!$AZ$1:$BB$56,3),FALSE))))</f>
        <v>0</v>
      </c>
      <c r="AV3015" s="10" t="str">
        <f t="shared" si="347"/>
        <v>0215 09:00:00-QAC-STD-B-1-DI-CAL</v>
      </c>
    </row>
    <row r="3016" spans="1:48" s="10" customFormat="1" x14ac:dyDescent="0.55000000000000004">
      <c r="A3016" s="32">
        <v>44972</v>
      </c>
      <c r="B3016" s="33">
        <v>0.375</v>
      </c>
      <c r="C3016" s="10" t="s">
        <v>70</v>
      </c>
      <c r="D3016" s="10" t="s">
        <v>71</v>
      </c>
      <c r="E3016" s="10" t="s">
        <v>866</v>
      </c>
      <c r="F3016" s="10">
        <v>1</v>
      </c>
      <c r="G3016" s="10" t="s">
        <v>73</v>
      </c>
      <c r="H3016" s="10" t="s">
        <v>74</v>
      </c>
      <c r="I3016" s="10" t="s">
        <v>285</v>
      </c>
      <c r="J3016" s="10">
        <v>188</v>
      </c>
      <c r="K3016" s="12">
        <v>44972</v>
      </c>
      <c r="L3016" s="33">
        <v>0.47181712962962963</v>
      </c>
      <c r="M3016" s="10">
        <v>1</v>
      </c>
      <c r="N3016" s="10" t="s">
        <v>211</v>
      </c>
      <c r="O3016" s="10">
        <v>2.8</v>
      </c>
      <c r="P3016" s="10">
        <v>0.28399999999999997</v>
      </c>
      <c r="Q3016" s="10">
        <v>500</v>
      </c>
      <c r="R3016" s="10" t="s">
        <v>913</v>
      </c>
      <c r="S3016" s="34">
        <f t="shared" si="344"/>
        <v>500</v>
      </c>
      <c r="T3016" s="10" t="s">
        <v>1220</v>
      </c>
      <c r="U3016" s="34" t="str">
        <f t="shared" si="345"/>
        <v/>
      </c>
      <c r="V3016" s="31" t="str">
        <f>IF(H3016="CHK",VLOOKUP(I3016,QCCHK,3,),IF(H3016="GUP",VLOOKUP(E3016,QCGUP,2,),IF(AND(H3016="ATP",OR(I3016="TN",I3016="TDN",I3016="TNO2-3",I3016="NO2-3")),VLOOKUP(E3016,QCREC_N,2,),IF(AND(H3016="NIC",OR(I3016="TN",I3016="TDN",I3016="TNO2-3",I3016="NO2-3")),VLOOKUP(E3016,QCNIC_N,2,),IF(AND(H3016="UREA",OR(I3016="TN",I3016="TDN",I3016="TNO2-3",I3016="NO2-3")),VLOOKUP(E3016,QCUREA_N,2,),IF(H3016="PER",VLOOKUP(I3016,QCPER,MATCH(E3016,QCACTUAL!$J$25:$AA$25,0),),IF(H3016="SPK",VLOOKUP(I3016,QCSPK,3,),IF(AND(H3016="ATP",OR(I3016="TP",I3016="TDP")),VLOOKUP(E3016,QCATP_P,2,),""))))))))</f>
        <v/>
      </c>
      <c r="W3016" s="31" t="str">
        <f t="shared" si="346"/>
        <v>TRUE</v>
      </c>
      <c r="X3016" s="31" t="str">
        <f t="shared" si="343"/>
        <v/>
      </c>
      <c r="Y3016" s="10" t="s">
        <v>1206</v>
      </c>
      <c r="AL3016" s="10" t="str">
        <f t="shared" si="341"/>
        <v>FALSE</v>
      </c>
      <c r="AM3016" s="10" t="str">
        <f t="shared" si="341"/>
        <v>FALSE</v>
      </c>
      <c r="AN3016" s="10" t="str">
        <f t="shared" si="341"/>
        <v>FALSE</v>
      </c>
      <c r="AO3016" s="10" t="str">
        <f t="shared" si="342"/>
        <v>FALSE</v>
      </c>
      <c r="AP3016" s="10" t="str">
        <f t="shared" si="342"/>
        <v>FALSE</v>
      </c>
      <c r="AQ3016" s="10" t="b">
        <f>IF(AND(I3016="TP",S3016&lt;=150),VLOOKUP(AF3016,TPCalibEq150!$AZ$2:$BB$55,3,),IF(AND(I3016="TDP",S3016&lt;=150),VLOOKUP(AF3016,TPCalibEq150!$AZ$2:$BB$55,3,)))</f>
        <v>0</v>
      </c>
      <c r="AR3016" s="10" t="b">
        <f>IF(AND(I3016="TP",S3016&lt;=300),VLOOKUP(AF3016,TPCalibEq300!$AZ$2:$BB$55,3,),IF(AND(I3016="TDP",S3016&lt;=300),VLOOKUP(AF3016,TPCalibEq300!$AZ$2:$BB$55,3,)))</f>
        <v>0</v>
      </c>
      <c r="AS3016" s="10" t="b">
        <f>IF(AND(I3016="TP",S3016&lt;=500),VLOOKUP(AF3016,TPCalibEq500!$AZ$2:$BB$56,3,),IF(AND(I3016="TDP",S3016&lt;=500),VLOOKUP(AF3016,TPCalibEq500!$AZ$2:$BB$56,3,)))</f>
        <v>0</v>
      </c>
      <c r="AT3016" s="10" t="b">
        <f>IF(AND(I3016="TN",S3016&lt;=2800),VLOOKUP(AF3016,TNCalibEq2500!$AZ$2:$BB$56,3,),IF(AND(I3016="TDN",S3016&lt;=2800),VLOOKUP(AF3016,TNCalibEq2500!$AZ$2:$BB$56,3,)))</f>
        <v>0</v>
      </c>
      <c r="AU3016" s="10" t="b">
        <f>IF(I3016="TP",VLOOKUP(AF3016,TPCalibEqFull!$AZ$2:$BB$56,3),IF(I3016="TDP",VLOOKUP(AF3016,TPCalibEqFull!$AZ$2:$BB$56,3),IF(I3016="TDN",VLOOKUP(AF3016,TNCalibEqFull!$AZ$1:$BB$56,3),IF(I3016="TN",VLOOKUP(AF3016,TNCalibEqFull!$AZ$1:$BB$56,3),FALSE))))</f>
        <v>0</v>
      </c>
      <c r="AV3016" s="10" t="str">
        <f t="shared" si="347"/>
        <v>0215 09:00:00-QAC-STD-A-1-DI-CAL</v>
      </c>
    </row>
    <row r="3017" spans="1:48" s="10" customFormat="1" x14ac:dyDescent="0.55000000000000004">
      <c r="A3017" s="32">
        <v>44972</v>
      </c>
      <c r="B3017" s="33">
        <v>0.375</v>
      </c>
      <c r="C3017" s="10" t="s">
        <v>70</v>
      </c>
      <c r="D3017" s="10" t="s">
        <v>241</v>
      </c>
      <c r="E3017" s="10" t="s">
        <v>866</v>
      </c>
      <c r="F3017" s="10">
        <v>1</v>
      </c>
      <c r="G3017" s="10" t="s">
        <v>73</v>
      </c>
      <c r="H3017" s="10" t="s">
        <v>283</v>
      </c>
      <c r="I3017" s="10" t="s">
        <v>285</v>
      </c>
      <c r="J3017" s="10">
        <v>198</v>
      </c>
      <c r="K3017" s="12">
        <v>44972</v>
      </c>
      <c r="L3017" s="33">
        <v>0.47344907407407405</v>
      </c>
      <c r="M3017" s="10">
        <v>1</v>
      </c>
      <c r="N3017" s="10" t="s">
        <v>211</v>
      </c>
      <c r="O3017" s="10">
        <v>8.1099999999999992E-3</v>
      </c>
      <c r="P3017" s="10">
        <v>5.5699999999999999E-4</v>
      </c>
      <c r="Q3017" s="10">
        <v>1.87</v>
      </c>
      <c r="R3017" s="10" t="s">
        <v>913</v>
      </c>
      <c r="S3017" s="34">
        <f t="shared" si="344"/>
        <v>1.87</v>
      </c>
      <c r="T3017" s="10" t="s">
        <v>1220</v>
      </c>
      <c r="U3017" s="34">
        <f t="shared" si="345"/>
        <v>1.87</v>
      </c>
      <c r="V3017" s="31" t="str">
        <f>IF(H3017="CHK",VLOOKUP(I3017,QCCHK,3,),IF(H3017="GUP",VLOOKUP(E3017,QCGUP,2,),IF(AND(H3017="ATP",OR(I3017="TN",I3017="TDN",I3017="TNO2-3",I3017="NO2-3")),VLOOKUP(E3017,QCREC_N,2,),IF(AND(H3017="NIC",OR(I3017="TN",I3017="TDN",I3017="TNO2-3",I3017="NO2-3")),VLOOKUP(E3017,QCNIC_N,2,),IF(AND(H3017="UREA",OR(I3017="TN",I3017="TDN",I3017="TNO2-3",I3017="NO2-3")),VLOOKUP(E3017,QCUREA_N,2,),IF(H3017="PER",VLOOKUP(I3017,QCPER,MATCH(E3017,QCACTUAL!$J$25:$AA$25,0),),IF(H3017="SPK",VLOOKUP(I3017,QCSPK,3,),IF(AND(H3017="ATP",OR(I3017="TP",I3017="TDP")),VLOOKUP(E3017,QCATP_P,2,),""))))))))</f>
        <v/>
      </c>
      <c r="W3017" s="31" t="str">
        <f t="shared" si="346"/>
        <v>TRUE</v>
      </c>
      <c r="X3017" s="31" t="str">
        <f t="shared" si="343"/>
        <v>nominal concentration</v>
      </c>
      <c r="Y3017" s="10" t="s">
        <v>1206</v>
      </c>
      <c r="AL3017" s="10" t="str">
        <f t="shared" si="341"/>
        <v>FALSE</v>
      </c>
      <c r="AM3017" s="10" t="str">
        <f t="shared" si="341"/>
        <v>FALSE</v>
      </c>
      <c r="AN3017" s="10" t="str">
        <f t="shared" si="341"/>
        <v>FALSE</v>
      </c>
      <c r="AO3017" s="10" t="str">
        <f t="shared" si="342"/>
        <v>FALSE</v>
      </c>
      <c r="AP3017" s="10" t="str">
        <f t="shared" si="342"/>
        <v>FALSE</v>
      </c>
      <c r="AQ3017" s="10" t="b">
        <f>IF(AND(I3017="TP",S3017&lt;=150),VLOOKUP(AF3017,TPCalibEq150!$AZ$2:$BB$55,3,),IF(AND(I3017="TDP",S3017&lt;=150),VLOOKUP(AF3017,TPCalibEq150!$AZ$2:$BB$55,3,)))</f>
        <v>0</v>
      </c>
      <c r="AR3017" s="10" t="b">
        <f>IF(AND(I3017="TP",S3017&lt;=300),VLOOKUP(AF3017,TPCalibEq300!$AZ$2:$BB$55,3,),IF(AND(I3017="TDP",S3017&lt;=300),VLOOKUP(AF3017,TPCalibEq300!$AZ$2:$BB$55,3,)))</f>
        <v>0</v>
      </c>
      <c r="AS3017" s="10" t="b">
        <f>IF(AND(I3017="TP",S3017&lt;=500),VLOOKUP(AF3017,TPCalibEq500!$AZ$2:$BB$56,3,),IF(AND(I3017="TDP",S3017&lt;=500),VLOOKUP(AF3017,TPCalibEq500!$AZ$2:$BB$56,3,)))</f>
        <v>0</v>
      </c>
      <c r="AT3017" s="10" t="b">
        <f>IF(AND(I3017="TN",S3017&lt;=2800),VLOOKUP(AF3017,TNCalibEq2500!$AZ$2:$BB$56,3,),IF(AND(I3017="TDN",S3017&lt;=2800),VLOOKUP(AF3017,TNCalibEq2500!$AZ$2:$BB$56,3,)))</f>
        <v>0</v>
      </c>
      <c r="AU3017" s="10" t="b">
        <f>IF(I3017="TP",VLOOKUP(AF3017,TPCalibEqFull!$AZ$2:$BB$56,3),IF(I3017="TDP",VLOOKUP(AF3017,TPCalibEqFull!$AZ$2:$BB$56,3),IF(I3017="TDN",VLOOKUP(AF3017,TNCalibEqFull!$AZ$1:$BB$56,3),IF(I3017="TN",VLOOKUP(AF3017,TNCalibEqFull!$AZ$1:$BB$56,3),FALSE))))</f>
        <v>0</v>
      </c>
      <c r="AV3017" s="10" t="str">
        <f t="shared" si="347"/>
        <v>0215 09:00:00-QAC-BLK-A-1-DI-LAB</v>
      </c>
    </row>
    <row r="3018" spans="1:48" s="10" customFormat="1" x14ac:dyDescent="0.55000000000000004">
      <c r="A3018" s="32">
        <v>44972</v>
      </c>
      <c r="B3018" s="33">
        <v>0.375</v>
      </c>
      <c r="C3018" s="10" t="s">
        <v>70</v>
      </c>
      <c r="D3018" s="10" t="s">
        <v>241</v>
      </c>
      <c r="E3018" s="10" t="s">
        <v>866</v>
      </c>
      <c r="F3018" s="10">
        <v>1</v>
      </c>
      <c r="G3018" s="10" t="s">
        <v>73</v>
      </c>
      <c r="H3018" s="10" t="s">
        <v>314</v>
      </c>
      <c r="I3018" s="10" t="s">
        <v>285</v>
      </c>
      <c r="J3018" s="10">
        <v>225</v>
      </c>
      <c r="K3018" s="12">
        <v>44972</v>
      </c>
      <c r="L3018" s="33">
        <v>0.47427083333333336</v>
      </c>
      <c r="M3018" s="10">
        <v>1</v>
      </c>
      <c r="N3018" s="10" t="s">
        <v>211</v>
      </c>
      <c r="O3018" s="10">
        <v>0.95499999999999996</v>
      </c>
      <c r="P3018" s="10">
        <v>9.4200000000000006E-2</v>
      </c>
      <c r="Q3018" s="10">
        <v>171</v>
      </c>
      <c r="R3018" s="10" t="s">
        <v>913</v>
      </c>
      <c r="S3018" s="34">
        <f t="shared" si="344"/>
        <v>171</v>
      </c>
      <c r="T3018" s="10" t="s">
        <v>1220</v>
      </c>
      <c r="U3018" s="34">
        <f t="shared" si="345"/>
        <v>108.2432</v>
      </c>
      <c r="V3018" s="31">
        <f>IF(H3018="CHK",VLOOKUP(I3018,QCCHK,3,),IF(H3018="GUP",VLOOKUP(E3018,QCGUP,2,),IF(AND(H3018="ATP",OR(I3018="TN",I3018="TDN",I3018="TNO2-3",I3018="NO2-3")),VLOOKUP(E3018,QCREC_N,2,),IF(AND(H3018="NIC",OR(I3018="TN",I3018="TDN",I3018="TNO2-3",I3018="NO2-3")),VLOOKUP(E3018,QCNIC_N,2,),IF(AND(H3018="UREA",OR(I3018="TN",I3018="TDN",I3018="TNO2-3",I3018="NO2-3")),VLOOKUP(E3018,QCUREA_N,2,),IF(H3018="PER",VLOOKUP(I3018,QCPER,MATCH(E3018,QCACTUAL!$J$25:$AA$25,0),),IF(H3018="SPK",VLOOKUP(I3018,QCSPK,3,),IF(AND(H3018="ATP",OR(I3018="TP",I3018="TDP")),VLOOKUP(E3018,QCATP_P,2,),""))))))))</f>
        <v>156.25</v>
      </c>
      <c r="W3018" s="31" t="str">
        <f t="shared" si="346"/>
        <v>TRUE</v>
      </c>
      <c r="X3018" s="31" t="str">
        <f t="shared" si="343"/>
        <v>([spikedunkn]-[unkn])/[spike]*100</v>
      </c>
      <c r="Y3018" s="10" t="s">
        <v>1206</v>
      </c>
      <c r="AL3018" s="10" t="str">
        <f t="shared" si="341"/>
        <v>FALSE</v>
      </c>
      <c r="AM3018" s="10" t="str">
        <f t="shared" si="341"/>
        <v>FALSE</v>
      </c>
      <c r="AN3018" s="10" t="str">
        <f t="shared" si="341"/>
        <v>FALSE</v>
      </c>
      <c r="AO3018" s="10" t="str">
        <f t="shared" si="342"/>
        <v>FALSE</v>
      </c>
      <c r="AP3018" s="10" t="str">
        <f t="shared" si="342"/>
        <v>FALSE</v>
      </c>
      <c r="AQ3018" s="10" t="b">
        <f>IF(AND(I3018="TP",S3018&lt;=150),VLOOKUP(AF3018,TPCalibEq150!$AZ$2:$BB$55,3,),IF(AND(I3018="TDP",S3018&lt;=150),VLOOKUP(AF3018,TPCalibEq150!$AZ$2:$BB$55,3,)))</f>
        <v>0</v>
      </c>
      <c r="AR3018" s="10" t="b">
        <f>IF(AND(I3018="TP",S3018&lt;=300),VLOOKUP(AF3018,TPCalibEq300!$AZ$2:$BB$55,3,),IF(AND(I3018="TDP",S3018&lt;=300),VLOOKUP(AF3018,TPCalibEq300!$AZ$2:$BB$55,3,)))</f>
        <v>0</v>
      </c>
      <c r="AS3018" s="10" t="b">
        <f>IF(AND(I3018="TP",S3018&lt;=500),VLOOKUP(AF3018,TPCalibEq500!$AZ$2:$BB$56,3,),IF(AND(I3018="TDP",S3018&lt;=500),VLOOKUP(AF3018,TPCalibEq500!$AZ$2:$BB$56,3,)))</f>
        <v>0</v>
      </c>
      <c r="AT3018" s="10" t="b">
        <f>IF(AND(I3018="TN",S3018&lt;=2800),VLOOKUP(AF3018,TNCalibEq2500!$AZ$2:$BB$56,3,),IF(AND(I3018="TDN",S3018&lt;=2800),VLOOKUP(AF3018,TNCalibEq2500!$AZ$2:$BB$56,3,)))</f>
        <v>0</v>
      </c>
      <c r="AU3018" s="10" t="b">
        <f>IF(I3018="TP",VLOOKUP(AF3018,TPCalibEqFull!$AZ$2:$BB$56,3),IF(I3018="TDP",VLOOKUP(AF3018,TPCalibEqFull!$AZ$2:$BB$56,3),IF(I3018="TDN",VLOOKUP(AF3018,TNCalibEqFull!$AZ$1:$BB$56,3),IF(I3018="TN",VLOOKUP(AF3018,TNCalibEqFull!$AZ$1:$BB$56,3),FALSE))))</f>
        <v>0</v>
      </c>
      <c r="AV3018" s="10" t="str">
        <f t="shared" si="347"/>
        <v>0215 09:00:00-QAC-BLK-A-1-DI-SPK</v>
      </c>
    </row>
    <row r="3019" spans="1:48" s="10" customFormat="1" x14ac:dyDescent="0.55000000000000004">
      <c r="A3019" s="32">
        <v>44972</v>
      </c>
      <c r="B3019" s="33">
        <v>0.375</v>
      </c>
      <c r="C3019" s="10" t="s">
        <v>70</v>
      </c>
      <c r="D3019" s="10" t="s">
        <v>71</v>
      </c>
      <c r="E3019" s="10" t="s">
        <v>948</v>
      </c>
      <c r="F3019" s="10">
        <v>1</v>
      </c>
      <c r="G3019" s="10" t="s">
        <v>73</v>
      </c>
      <c r="H3019" s="10" t="s">
        <v>299</v>
      </c>
      <c r="I3019" s="10" t="s">
        <v>285</v>
      </c>
      <c r="J3019" s="10">
        <v>197</v>
      </c>
      <c r="K3019" s="12">
        <v>44972</v>
      </c>
      <c r="L3019" s="33">
        <v>0.47510416666666666</v>
      </c>
      <c r="M3019" s="10">
        <v>1</v>
      </c>
      <c r="N3019" s="10" t="s">
        <v>211</v>
      </c>
      <c r="O3019" s="10">
        <v>1.96</v>
      </c>
      <c r="P3019" s="10">
        <v>0.19400000000000001</v>
      </c>
      <c r="Q3019" s="10">
        <v>349</v>
      </c>
      <c r="R3019" s="10" t="s">
        <v>913</v>
      </c>
      <c r="S3019" s="34">
        <f t="shared" si="344"/>
        <v>349</v>
      </c>
      <c r="T3019" s="10" t="s">
        <v>1220</v>
      </c>
      <c r="U3019" s="34">
        <f t="shared" si="345"/>
        <v>98.587570621468927</v>
      </c>
      <c r="V3019" s="31">
        <f>IF(H3019="CHK",VLOOKUP(I3019,QCCHK,3,),IF(H3019="GUP",VLOOKUP(E3019,QCGUP,2,),IF(AND(H3019="ATP",OR(I3019="TN",I3019="TDN",I3019="TNO2-3",I3019="NO2-3")),VLOOKUP(E3019,QCREC_N,2,),IF(AND(H3019="NIC",OR(I3019="TN",I3019="TDN",I3019="TNO2-3",I3019="NO2-3")),VLOOKUP(E3019,QCNIC_N,2,),IF(AND(H3019="UREA",OR(I3019="TN",I3019="TDN",I3019="TNO2-3",I3019="NO2-3")),VLOOKUP(E3019,QCUREA_N,2,),IF(H3019="PER",VLOOKUP(I3019,QCPER,MATCH(E3019,QCACTUAL!$J$25:$AA$25,0),),IF(H3019="SPK",VLOOKUP(I3019,QCSPK,3,),IF(AND(H3019="ATP",OR(I3019="TP",I3019="TDP")),VLOOKUP(E3019,QCATP_P,2,),""))))))))</f>
        <v>354</v>
      </c>
      <c r="W3019" s="31" t="str">
        <f t="shared" si="346"/>
        <v>TRUE</v>
      </c>
      <c r="X3019" s="31" t="str">
        <f t="shared" si="343"/>
        <v>[per]/[actual]*100</v>
      </c>
      <c r="Y3019" s="10" t="s">
        <v>1206</v>
      </c>
      <c r="AL3019" s="10" t="str">
        <f t="shared" si="341"/>
        <v>FALSE</v>
      </c>
      <c r="AM3019" s="10" t="str">
        <f t="shared" si="341"/>
        <v>FALSE</v>
      </c>
      <c r="AN3019" s="10" t="str">
        <f t="shared" si="341"/>
        <v>FALSE</v>
      </c>
      <c r="AO3019" s="10" t="str">
        <f t="shared" si="342"/>
        <v>FALSE</v>
      </c>
      <c r="AP3019" s="10" t="str">
        <f t="shared" si="342"/>
        <v>FALSE</v>
      </c>
      <c r="AQ3019" s="10" t="b">
        <f>IF(AND(I3019="TP",S3019&lt;=150),VLOOKUP(AF3019,TPCalibEq150!$AZ$2:$BB$55,3,),IF(AND(I3019="TDP",S3019&lt;=150),VLOOKUP(AF3019,TPCalibEq150!$AZ$2:$BB$55,3,)))</f>
        <v>0</v>
      </c>
      <c r="AR3019" s="10" t="b">
        <f>IF(AND(I3019="TP",S3019&lt;=300),VLOOKUP(AF3019,TPCalibEq300!$AZ$2:$BB$55,3,),IF(AND(I3019="TDP",S3019&lt;=300),VLOOKUP(AF3019,TPCalibEq300!$AZ$2:$BB$55,3,)))</f>
        <v>0</v>
      </c>
      <c r="AS3019" s="10" t="b">
        <f>IF(AND(I3019="TP",S3019&lt;=500),VLOOKUP(AF3019,TPCalibEq500!$AZ$2:$BB$56,3,),IF(AND(I3019="TDP",S3019&lt;=500),VLOOKUP(AF3019,TPCalibEq500!$AZ$2:$BB$56,3,)))</f>
        <v>0</v>
      </c>
      <c r="AT3019" s="10" t="b">
        <f>IF(AND(I3019="TN",S3019&lt;=2800),VLOOKUP(AF3019,TNCalibEq2500!$AZ$2:$BB$56,3,),IF(AND(I3019="TDN",S3019&lt;=2800),VLOOKUP(AF3019,TNCalibEq2500!$AZ$2:$BB$56,3,)))</f>
        <v>0</v>
      </c>
      <c r="AU3019" s="10" t="b">
        <f>IF(I3019="TP",VLOOKUP(AF3019,TPCalibEqFull!$AZ$2:$BB$56,3),IF(I3019="TDP",VLOOKUP(AF3019,TPCalibEqFull!$AZ$2:$BB$56,3),IF(I3019="TDN",VLOOKUP(AF3019,TNCalibEqFull!$AZ$1:$BB$56,3),IF(I3019="TN",VLOOKUP(AF3019,TNCalibEqFull!$AZ$1:$BB$56,3),FALSE))))</f>
        <v>0</v>
      </c>
      <c r="AV3019" s="10" t="str">
        <f t="shared" si="347"/>
        <v>0215 09:00:00-QAC-STD-22A-1-DI-PER</v>
      </c>
    </row>
    <row r="3020" spans="1:48" s="10" customFormat="1" x14ac:dyDescent="0.55000000000000004">
      <c r="A3020" s="32">
        <v>44972</v>
      </c>
      <c r="B3020" s="33">
        <v>0.375</v>
      </c>
      <c r="C3020" s="10" t="s">
        <v>70</v>
      </c>
      <c r="D3020" s="10" t="s">
        <v>71</v>
      </c>
      <c r="E3020" s="10" t="s">
        <v>1060</v>
      </c>
      <c r="F3020" s="10">
        <v>1</v>
      </c>
      <c r="G3020" s="10" t="s">
        <v>73</v>
      </c>
      <c r="H3020" s="10" t="s">
        <v>299</v>
      </c>
      <c r="I3020" s="10" t="s">
        <v>285</v>
      </c>
      <c r="J3020" s="10">
        <v>196</v>
      </c>
      <c r="K3020" s="12">
        <v>44972</v>
      </c>
      <c r="L3020" s="33">
        <v>0.47592592592592592</v>
      </c>
      <c r="M3020" s="10">
        <v>1</v>
      </c>
      <c r="N3020" s="10" t="s">
        <v>211</v>
      </c>
      <c r="O3020" s="10">
        <v>1.21</v>
      </c>
      <c r="P3020" s="10">
        <v>0.12</v>
      </c>
      <c r="Q3020" s="10">
        <v>215</v>
      </c>
      <c r="R3020" s="10" t="s">
        <v>913</v>
      </c>
      <c r="S3020" s="34">
        <f t="shared" si="344"/>
        <v>215</v>
      </c>
      <c r="T3020" s="10" t="s">
        <v>1220</v>
      </c>
      <c r="U3020" s="34">
        <f t="shared" si="345"/>
        <v>107.5</v>
      </c>
      <c r="V3020" s="31">
        <f>IF(H3020="CHK",VLOOKUP(I3020,QCCHK,3,),IF(H3020="GUP",VLOOKUP(E3020,QCGUP,2,),IF(AND(H3020="ATP",OR(I3020="TN",I3020="TDN",I3020="TNO2-3",I3020="NO2-3")),VLOOKUP(E3020,QCREC_N,2,),IF(AND(H3020="NIC",OR(I3020="TN",I3020="TDN",I3020="TNO2-3",I3020="NO2-3")),VLOOKUP(E3020,QCNIC_N,2,),IF(AND(H3020="UREA",OR(I3020="TN",I3020="TDN",I3020="TNO2-3",I3020="NO2-3")),VLOOKUP(E3020,QCUREA_N,2,),IF(H3020="PER",VLOOKUP(I3020,QCPER,MATCH(E3020,QCACTUAL!$J$25:$AA$25,0),),IF(H3020="SPK",VLOOKUP(I3020,QCSPK,3,),IF(AND(H3020="ATP",OR(I3020="TP",I3020="TDP")),VLOOKUP(E3020,QCATP_P,2,),""))))))))</f>
        <v>200</v>
      </c>
      <c r="W3020" s="31" t="str">
        <f t="shared" si="346"/>
        <v>TRUE</v>
      </c>
      <c r="X3020" s="31" t="str">
        <f t="shared" si="343"/>
        <v>[per]/[actual]*100</v>
      </c>
      <c r="Y3020" s="10" t="s">
        <v>1206</v>
      </c>
      <c r="AL3020" s="10" t="str">
        <f t="shared" si="341"/>
        <v>FALSE</v>
      </c>
      <c r="AM3020" s="10" t="str">
        <f t="shared" si="341"/>
        <v>FALSE</v>
      </c>
      <c r="AN3020" s="10" t="str">
        <f t="shared" si="341"/>
        <v>FALSE</v>
      </c>
      <c r="AO3020" s="10" t="str">
        <f t="shared" si="342"/>
        <v>FALSE</v>
      </c>
      <c r="AP3020" s="10" t="str">
        <f t="shared" si="342"/>
        <v>FALSE</v>
      </c>
      <c r="AQ3020" s="10" t="b">
        <f>IF(AND(I3020="TP",S3020&lt;=150),VLOOKUP(AF3020,TPCalibEq150!$AZ$2:$BB$55,3,),IF(AND(I3020="TDP",S3020&lt;=150),VLOOKUP(AF3020,TPCalibEq150!$AZ$2:$BB$55,3,)))</f>
        <v>0</v>
      </c>
      <c r="AR3020" s="10" t="b">
        <f>IF(AND(I3020="TP",S3020&lt;=300),VLOOKUP(AF3020,TPCalibEq300!$AZ$2:$BB$55,3,),IF(AND(I3020="TDP",S3020&lt;=300),VLOOKUP(AF3020,TPCalibEq300!$AZ$2:$BB$55,3,)))</f>
        <v>0</v>
      </c>
      <c r="AS3020" s="10" t="b">
        <f>IF(AND(I3020="TP",S3020&lt;=500),VLOOKUP(AF3020,TPCalibEq500!$AZ$2:$BB$56,3,),IF(AND(I3020="TDP",S3020&lt;=500),VLOOKUP(AF3020,TPCalibEq500!$AZ$2:$BB$56,3,)))</f>
        <v>0</v>
      </c>
      <c r="AT3020" s="10" t="b">
        <f>IF(AND(I3020="TN",S3020&lt;=2800),VLOOKUP(AF3020,TNCalibEq2500!$AZ$2:$BB$56,3,),IF(AND(I3020="TDN",S3020&lt;=2800),VLOOKUP(AF3020,TNCalibEq2500!$AZ$2:$BB$56,3,)))</f>
        <v>0</v>
      </c>
      <c r="AU3020" s="10" t="b">
        <f>IF(I3020="TP",VLOOKUP(AF3020,TPCalibEqFull!$AZ$2:$BB$56,3),IF(I3020="TDP",VLOOKUP(AF3020,TPCalibEqFull!$AZ$2:$BB$56,3),IF(I3020="TDN",VLOOKUP(AF3020,TNCalibEqFull!$AZ$1:$BB$56,3),IF(I3020="TN",VLOOKUP(AF3020,TNCalibEqFull!$AZ$1:$BB$56,3),FALSE))))</f>
        <v>0</v>
      </c>
      <c r="AV3020" s="10" t="str">
        <f t="shared" si="347"/>
        <v>0215 09:00:00-QAC-STD-22B-1-DI-PER</v>
      </c>
    </row>
    <row r="3021" spans="1:48" s="10" customFormat="1" x14ac:dyDescent="0.55000000000000004">
      <c r="A3021" s="32">
        <v>44970</v>
      </c>
      <c r="B3021" s="33">
        <v>0.25</v>
      </c>
      <c r="C3021" s="10" t="s">
        <v>70</v>
      </c>
      <c r="D3021" s="10" t="s">
        <v>241</v>
      </c>
      <c r="E3021" s="10" t="s">
        <v>866</v>
      </c>
      <c r="F3021" s="10">
        <v>1</v>
      </c>
      <c r="G3021" s="10" t="s">
        <v>73</v>
      </c>
      <c r="H3021" s="10" t="s">
        <v>264</v>
      </c>
      <c r="I3021" s="10" t="s">
        <v>285</v>
      </c>
      <c r="J3021" s="10">
        <v>55</v>
      </c>
      <c r="K3021" s="12">
        <v>44972</v>
      </c>
      <c r="L3021" s="33">
        <v>0.47836805555555556</v>
      </c>
      <c r="M3021" s="10">
        <v>1</v>
      </c>
      <c r="N3021" s="10" t="s">
        <v>211</v>
      </c>
      <c r="O3021" s="10">
        <v>9.5399999999999999E-3</v>
      </c>
      <c r="P3021" s="10">
        <v>3.8699999999999997E-4</v>
      </c>
      <c r="Q3021" s="10">
        <v>2.12</v>
      </c>
      <c r="R3021" s="10" t="s">
        <v>913</v>
      </c>
      <c r="S3021" s="34">
        <f t="shared" si="344"/>
        <v>2.12</v>
      </c>
      <c r="T3021" s="10" t="s">
        <v>1220</v>
      </c>
      <c r="U3021" s="34">
        <f t="shared" si="345"/>
        <v>2.12</v>
      </c>
      <c r="V3021" s="31" t="str">
        <f>IF(H3021="CHK",VLOOKUP(I3021,QCCHK,3,),IF(H3021="GUP",VLOOKUP(E3021,QCGUP,2,),IF(AND(H3021="ATP",OR(I3021="TN",I3021="TDN",I3021="TNO2-3",I3021="NO2-3")),VLOOKUP(E3021,QCREC_N,2,),IF(AND(H3021="NIC",OR(I3021="TN",I3021="TDN",I3021="TNO2-3",I3021="NO2-3")),VLOOKUP(E3021,QCNIC_N,2,),IF(AND(H3021="UREA",OR(I3021="TN",I3021="TDN",I3021="TNO2-3",I3021="NO2-3")),VLOOKUP(E3021,QCUREA_N,2,),IF(H3021="PER",VLOOKUP(I3021,QCPER,MATCH(E3021,QCACTUAL!$J$25:$AA$25,0),),IF(H3021="SPK",VLOOKUP(I3021,QCSPK,3,),IF(AND(H3021="ATP",OR(I3021="TP",I3021="TDP")),VLOOKUP(E3021,QCATP_P,2,),""))))))))</f>
        <v/>
      </c>
      <c r="W3021" s="31" t="str">
        <f t="shared" si="346"/>
        <v>TRUE</v>
      </c>
      <c r="X3021" s="31" t="str">
        <f t="shared" si="343"/>
        <v>nominal concentration</v>
      </c>
      <c r="Y3021" s="10" t="s">
        <v>1206</v>
      </c>
      <c r="Z3021" s="10" t="s">
        <v>910</v>
      </c>
      <c r="AL3021" s="10" t="str">
        <f t="shared" si="341"/>
        <v>FALSE</v>
      </c>
      <c r="AM3021" s="10" t="str">
        <f t="shared" si="341"/>
        <v>FALSE</v>
      </c>
      <c r="AN3021" s="10" t="str">
        <f t="shared" si="341"/>
        <v>FALSE</v>
      </c>
      <c r="AO3021" s="10" t="str">
        <f t="shared" si="342"/>
        <v>FALSE</v>
      </c>
      <c r="AP3021" s="10" t="str">
        <f t="shared" si="342"/>
        <v>FALSE</v>
      </c>
      <c r="AQ3021" s="10" t="b">
        <f>IF(AND(I3021="TP",S3021&lt;=150),VLOOKUP(AF3021,TPCalibEq150!$AZ$2:$BB$55,3,),IF(AND(I3021="TDP",S3021&lt;=150),VLOOKUP(AF3021,TPCalibEq150!$AZ$2:$BB$55,3,)))</f>
        <v>0</v>
      </c>
      <c r="AR3021" s="10" t="b">
        <f>IF(AND(I3021="TP",S3021&lt;=300),VLOOKUP(AF3021,TPCalibEq300!$AZ$2:$BB$55,3,),IF(AND(I3021="TDP",S3021&lt;=300),VLOOKUP(AF3021,TPCalibEq300!$AZ$2:$BB$55,3,)))</f>
        <v>0</v>
      </c>
      <c r="AS3021" s="10" t="b">
        <f>IF(AND(I3021="TP",S3021&lt;=500),VLOOKUP(AF3021,TPCalibEq500!$AZ$2:$BB$56,3,),IF(AND(I3021="TDP",S3021&lt;=500),VLOOKUP(AF3021,TPCalibEq500!$AZ$2:$BB$56,3,)))</f>
        <v>0</v>
      </c>
      <c r="AT3021" s="10" t="b">
        <f>IF(AND(I3021="TN",S3021&lt;=2800),VLOOKUP(AF3021,TNCalibEq2500!$AZ$2:$BB$56,3,),IF(AND(I3021="TDN",S3021&lt;=2800),VLOOKUP(AF3021,TNCalibEq2500!$AZ$2:$BB$56,3,)))</f>
        <v>0</v>
      </c>
      <c r="AU3021" s="10" t="b">
        <f>IF(I3021="TP",VLOOKUP(AF3021,TPCalibEqFull!$AZ$2:$BB$56,3),IF(I3021="TDP",VLOOKUP(AF3021,TPCalibEqFull!$AZ$2:$BB$56,3),IF(I3021="TDN",VLOOKUP(AF3021,TNCalibEqFull!$AZ$1:$BB$56,3),IF(I3021="TN",VLOOKUP(AF3021,TNCalibEqFull!$AZ$1:$BB$56,3),FALSE))))</f>
        <v>0</v>
      </c>
      <c r="AV3021" s="10" t="str">
        <f t="shared" si="347"/>
        <v>0213 06:00:00-QAC-BLK-A-1-DI-FLD</v>
      </c>
    </row>
    <row r="3022" spans="1:48" s="10" customFormat="1" x14ac:dyDescent="0.55000000000000004">
      <c r="A3022" s="32">
        <v>44971</v>
      </c>
      <c r="B3022" s="33">
        <v>0.30208333333333331</v>
      </c>
      <c r="C3022" s="10" t="s">
        <v>70</v>
      </c>
      <c r="D3022" s="10" t="s">
        <v>241</v>
      </c>
      <c r="E3022" s="10" t="s">
        <v>866</v>
      </c>
      <c r="F3022" s="10">
        <v>1</v>
      </c>
      <c r="G3022" s="10" t="s">
        <v>73</v>
      </c>
      <c r="H3022" s="10" t="s">
        <v>245</v>
      </c>
      <c r="I3022" s="10" t="s">
        <v>285</v>
      </c>
      <c r="J3022" s="10">
        <v>56</v>
      </c>
      <c r="K3022" s="12">
        <v>44972</v>
      </c>
      <c r="L3022" s="33">
        <v>0.47917824074074072</v>
      </c>
      <c r="M3022" s="10">
        <v>1</v>
      </c>
      <c r="N3022" s="10" t="s">
        <v>211</v>
      </c>
      <c r="O3022" s="10">
        <v>5.6100000000000004E-3</v>
      </c>
      <c r="P3022" s="10">
        <v>4.0700000000000003E-4</v>
      </c>
      <c r="Q3022" s="10">
        <v>1.43</v>
      </c>
      <c r="R3022" s="10" t="s">
        <v>913</v>
      </c>
      <c r="S3022" s="34">
        <f t="shared" si="344"/>
        <v>1.43</v>
      </c>
      <c r="T3022" s="10" t="s">
        <v>1220</v>
      </c>
      <c r="U3022" s="34">
        <f t="shared" si="345"/>
        <v>1.43</v>
      </c>
      <c r="V3022" s="31" t="str">
        <f>IF(H3022="CHK",VLOOKUP(I3022,QCCHK,3,),IF(H3022="GUP",VLOOKUP(E3022,QCGUP,2,),IF(AND(H3022="ATP",OR(I3022="TN",I3022="TDN",I3022="TNO2-3",I3022="NO2-3")),VLOOKUP(E3022,QCREC_N,2,),IF(AND(H3022="NIC",OR(I3022="TN",I3022="TDN",I3022="TNO2-3",I3022="NO2-3")),VLOOKUP(E3022,QCNIC_N,2,),IF(AND(H3022="UREA",OR(I3022="TN",I3022="TDN",I3022="TNO2-3",I3022="NO2-3")),VLOOKUP(E3022,QCUREA_N,2,),IF(H3022="PER",VLOOKUP(I3022,QCPER,MATCH(E3022,QCACTUAL!$J$25:$AA$25,0),),IF(H3022="SPK",VLOOKUP(I3022,QCSPK,3,),IF(AND(H3022="ATP",OR(I3022="TP",I3022="TDP")),VLOOKUP(E3022,QCATP_P,2,),""))))))))</f>
        <v/>
      </c>
      <c r="W3022" s="31" t="str">
        <f t="shared" si="346"/>
        <v>TRUE</v>
      </c>
      <c r="X3022" s="31" t="str">
        <f t="shared" si="343"/>
        <v>nominal concentration</v>
      </c>
      <c r="Y3022" s="10" t="s">
        <v>1206</v>
      </c>
      <c r="AL3022" s="10" t="str">
        <f t="shared" si="341"/>
        <v>FALSE</v>
      </c>
      <c r="AM3022" s="10" t="str">
        <f t="shared" si="341"/>
        <v>FALSE</v>
      </c>
      <c r="AN3022" s="10" t="str">
        <f t="shared" si="341"/>
        <v>FALSE</v>
      </c>
      <c r="AO3022" s="10" t="str">
        <f t="shared" si="342"/>
        <v>FALSE</v>
      </c>
      <c r="AP3022" s="10" t="str">
        <f t="shared" si="342"/>
        <v>FALSE</v>
      </c>
      <c r="AQ3022" s="10" t="b">
        <f>IF(AND(I3022="TP",S3022&lt;=150),VLOOKUP(AF3022,TPCalibEq150!$AZ$2:$BB$55,3,),IF(AND(I3022="TDP",S3022&lt;=150),VLOOKUP(AF3022,TPCalibEq150!$AZ$2:$BB$55,3,)))</f>
        <v>0</v>
      </c>
      <c r="AR3022" s="10" t="b">
        <f>IF(AND(I3022="TP",S3022&lt;=300),VLOOKUP(AF3022,TPCalibEq300!$AZ$2:$BB$55,3,),IF(AND(I3022="TDP",S3022&lt;=300),VLOOKUP(AF3022,TPCalibEq300!$AZ$2:$BB$55,3,)))</f>
        <v>0</v>
      </c>
      <c r="AS3022" s="10" t="b">
        <f>IF(AND(I3022="TP",S3022&lt;=500),VLOOKUP(AF3022,TPCalibEq500!$AZ$2:$BB$56,3,),IF(AND(I3022="TDP",S3022&lt;=500),VLOOKUP(AF3022,TPCalibEq500!$AZ$2:$BB$56,3,)))</f>
        <v>0</v>
      </c>
      <c r="AT3022" s="10" t="b">
        <f>IF(AND(I3022="TN",S3022&lt;=2800),VLOOKUP(AF3022,TNCalibEq2500!$AZ$2:$BB$56,3,),IF(AND(I3022="TDN",S3022&lt;=2800),VLOOKUP(AF3022,TNCalibEq2500!$AZ$2:$BB$56,3,)))</f>
        <v>0</v>
      </c>
      <c r="AU3022" s="10" t="b">
        <f>IF(I3022="TP",VLOOKUP(AF3022,TPCalibEqFull!$AZ$2:$BB$56,3),IF(I3022="TDP",VLOOKUP(AF3022,TPCalibEqFull!$AZ$2:$BB$56,3),IF(I3022="TDN",VLOOKUP(AF3022,TNCalibEqFull!$AZ$1:$BB$56,3),IF(I3022="TN",VLOOKUP(AF3022,TNCalibEqFull!$AZ$1:$BB$56,3),FALSE))))</f>
        <v>0</v>
      </c>
      <c r="AV3022" s="10" t="str">
        <f t="shared" si="347"/>
        <v>0214 07:15:00-QAC-BLK-A-1-DI-ESF</v>
      </c>
    </row>
    <row r="3023" spans="1:48" s="10" customFormat="1" x14ac:dyDescent="0.55000000000000004">
      <c r="A3023" s="32">
        <v>44970</v>
      </c>
      <c r="B3023" s="33">
        <v>0.25</v>
      </c>
      <c r="C3023" s="10" t="s">
        <v>70</v>
      </c>
      <c r="D3023" s="10" t="s">
        <v>241</v>
      </c>
      <c r="E3023" s="10" t="s">
        <v>911</v>
      </c>
      <c r="F3023" s="10">
        <v>1</v>
      </c>
      <c r="G3023" s="10" t="s">
        <v>73</v>
      </c>
      <c r="H3023" s="10" t="s">
        <v>264</v>
      </c>
      <c r="I3023" s="10" t="s">
        <v>167</v>
      </c>
      <c r="J3023" s="10">
        <v>57</v>
      </c>
      <c r="K3023" s="12">
        <v>44972</v>
      </c>
      <c r="L3023" s="33">
        <v>0.47998842592592594</v>
      </c>
      <c r="M3023" s="10">
        <v>1</v>
      </c>
      <c r="N3023" s="10" t="s">
        <v>211</v>
      </c>
      <c r="O3023" s="10">
        <v>7.11E-3</v>
      </c>
      <c r="P3023" s="10">
        <v>6.9700000000000003E-4</v>
      </c>
      <c r="Q3023" s="10">
        <v>1.69</v>
      </c>
      <c r="R3023" s="10" t="s">
        <v>913</v>
      </c>
      <c r="S3023" s="34">
        <f t="shared" si="344"/>
        <v>1.69</v>
      </c>
      <c r="T3023" s="10" t="s">
        <v>1220</v>
      </c>
      <c r="U3023" s="34">
        <f t="shared" si="345"/>
        <v>1.69</v>
      </c>
      <c r="V3023" s="31" t="str">
        <f>IF(H3023="CHK",VLOOKUP(I3023,QCCHK,3,),IF(H3023="GUP",VLOOKUP(E3023,QCGUP,2,),IF(AND(H3023="ATP",OR(I3023="TN",I3023="TDN",I3023="TNO2-3",I3023="NO2-3")),VLOOKUP(E3023,QCREC_N,2,),IF(AND(H3023="NIC",OR(I3023="TN",I3023="TDN",I3023="TNO2-3",I3023="NO2-3")),VLOOKUP(E3023,QCNIC_N,2,),IF(AND(H3023="UREA",OR(I3023="TN",I3023="TDN",I3023="TNO2-3",I3023="NO2-3")),VLOOKUP(E3023,QCUREA_N,2,),IF(H3023="PER",VLOOKUP(I3023,QCPER,MATCH(E3023,QCACTUAL!$J$25:$AA$25,0),),IF(H3023="SPK",VLOOKUP(I3023,QCSPK,3,),IF(AND(H3023="ATP",OR(I3023="TP",I3023="TDP")),VLOOKUP(E3023,QCATP_P,2,),""))))))))</f>
        <v/>
      </c>
      <c r="W3023" s="31" t="str">
        <f t="shared" si="346"/>
        <v>TRUE</v>
      </c>
      <c r="X3023" s="31" t="str">
        <f t="shared" si="343"/>
        <v>nominal concentration</v>
      </c>
      <c r="Y3023" s="10" t="s">
        <v>1206</v>
      </c>
      <c r="Z3023" s="10" t="s">
        <v>910</v>
      </c>
      <c r="AL3023" s="10" t="str">
        <f t="shared" si="341"/>
        <v>FALSE</v>
      </c>
      <c r="AM3023" s="10" t="str">
        <f t="shared" si="341"/>
        <v>FALSE</v>
      </c>
      <c r="AN3023" s="10" t="str">
        <f t="shared" si="341"/>
        <v>FALSE</v>
      </c>
      <c r="AO3023" s="10" t="str">
        <f t="shared" si="342"/>
        <v>FALSE</v>
      </c>
      <c r="AP3023" s="10" t="str">
        <f t="shared" si="342"/>
        <v>FALSE</v>
      </c>
      <c r="AQ3023" s="10" t="b">
        <f>IF(AND(I3023="TP",S3023&lt;=150),VLOOKUP(AF3023,TPCalibEq150!$AZ$2:$BB$55,3,),IF(AND(I3023="TDP",S3023&lt;=150),VLOOKUP(AF3023,TPCalibEq150!$AZ$2:$BB$55,3,)))</f>
        <v>0</v>
      </c>
      <c r="AR3023" s="10" t="b">
        <f>IF(AND(I3023="TP",S3023&lt;=300),VLOOKUP(AF3023,TPCalibEq300!$AZ$2:$BB$55,3,),IF(AND(I3023="TDP",S3023&lt;=300),VLOOKUP(AF3023,TPCalibEq300!$AZ$2:$BB$55,3,)))</f>
        <v>0</v>
      </c>
      <c r="AS3023" s="10" t="b">
        <f>IF(AND(I3023="TP",S3023&lt;=500),VLOOKUP(AF3023,TPCalibEq500!$AZ$2:$BB$56,3,),IF(AND(I3023="TDP",S3023&lt;=500),VLOOKUP(AF3023,TPCalibEq500!$AZ$2:$BB$56,3,)))</f>
        <v>0</v>
      </c>
      <c r="AT3023" s="10" t="b">
        <f>IF(AND(I3023="TN",S3023&lt;=2800),VLOOKUP(AF3023,TNCalibEq2500!$AZ$2:$BB$56,3,),IF(AND(I3023="TDN",S3023&lt;=2800),VLOOKUP(AF3023,TNCalibEq2500!$AZ$2:$BB$56,3,)))</f>
        <v>0</v>
      </c>
      <c r="AU3023" s="10" t="b">
        <f>IF(I3023="TP",VLOOKUP(AF3023,TPCalibEqFull!$AZ$2:$BB$56,3),IF(I3023="TDP",VLOOKUP(AF3023,TPCalibEqFull!$AZ$2:$BB$56,3),IF(I3023="TDN",VLOOKUP(AF3023,TNCalibEqFull!$AZ$1:$BB$56,3),IF(I3023="TN",VLOOKUP(AF3023,TNCalibEqFull!$AZ$1:$BB$56,3),FALSE))))</f>
        <v>0</v>
      </c>
      <c r="AV3023" s="10" t="str">
        <f t="shared" si="347"/>
        <v>0213 06:00:00-QAC-BLK-FIL-1-DI-FLD</v>
      </c>
    </row>
    <row r="3024" spans="1:48" s="10" customFormat="1" x14ac:dyDescent="0.55000000000000004">
      <c r="A3024" s="32">
        <v>44971</v>
      </c>
      <c r="B3024" s="33">
        <v>0.30208333333333331</v>
      </c>
      <c r="C3024" s="10" t="s">
        <v>70</v>
      </c>
      <c r="D3024" s="10" t="s">
        <v>241</v>
      </c>
      <c r="E3024" s="10" t="s">
        <v>911</v>
      </c>
      <c r="F3024" s="10">
        <v>1</v>
      </c>
      <c r="G3024" s="10" t="s">
        <v>73</v>
      </c>
      <c r="H3024" s="10" t="s">
        <v>245</v>
      </c>
      <c r="I3024" s="10" t="s">
        <v>167</v>
      </c>
      <c r="J3024" s="10">
        <v>58</v>
      </c>
      <c r="K3024" s="12">
        <v>44972</v>
      </c>
      <c r="L3024" s="33">
        <v>0.48079861111111111</v>
      </c>
      <c r="M3024" s="10">
        <v>1</v>
      </c>
      <c r="N3024" s="10" t="s">
        <v>211</v>
      </c>
      <c r="O3024" s="10">
        <v>1.35E-2</v>
      </c>
      <c r="P3024" s="10">
        <v>1E-3</v>
      </c>
      <c r="Q3024" s="10">
        <v>2.83</v>
      </c>
      <c r="R3024" s="10" t="s">
        <v>913</v>
      </c>
      <c r="S3024" s="34">
        <f t="shared" si="344"/>
        <v>2.83</v>
      </c>
      <c r="T3024" s="10" t="s">
        <v>1220</v>
      </c>
      <c r="U3024" s="34">
        <f t="shared" si="345"/>
        <v>2.83</v>
      </c>
      <c r="V3024" s="31" t="str">
        <f>IF(H3024="CHK",VLOOKUP(I3024,QCCHK,3,),IF(H3024="GUP",VLOOKUP(E3024,QCGUP,2,),IF(AND(H3024="ATP",OR(I3024="TN",I3024="TDN",I3024="TNO2-3",I3024="NO2-3")),VLOOKUP(E3024,QCREC_N,2,),IF(AND(H3024="NIC",OR(I3024="TN",I3024="TDN",I3024="TNO2-3",I3024="NO2-3")),VLOOKUP(E3024,QCNIC_N,2,),IF(AND(H3024="UREA",OR(I3024="TN",I3024="TDN",I3024="TNO2-3",I3024="NO2-3")),VLOOKUP(E3024,QCUREA_N,2,),IF(H3024="PER",VLOOKUP(I3024,QCPER,MATCH(E3024,QCACTUAL!$J$25:$AA$25,0),),IF(H3024="SPK",VLOOKUP(I3024,QCSPK,3,),IF(AND(H3024="ATP",OR(I3024="TP",I3024="TDP")),VLOOKUP(E3024,QCATP_P,2,),""))))))))</f>
        <v/>
      </c>
      <c r="W3024" s="31" t="str">
        <f t="shared" si="346"/>
        <v>TRUE</v>
      </c>
      <c r="X3024" s="31" t="str">
        <f t="shared" si="343"/>
        <v>nominal concentration</v>
      </c>
      <c r="Y3024" s="10" t="s">
        <v>1206</v>
      </c>
      <c r="AL3024" s="10" t="str">
        <f t="shared" si="341"/>
        <v>FALSE</v>
      </c>
      <c r="AM3024" s="10" t="str">
        <f t="shared" si="341"/>
        <v>FALSE</v>
      </c>
      <c r="AN3024" s="10" t="str">
        <f t="shared" si="341"/>
        <v>FALSE</v>
      </c>
      <c r="AO3024" s="10" t="str">
        <f t="shared" si="342"/>
        <v>FALSE</v>
      </c>
      <c r="AP3024" s="10" t="str">
        <f t="shared" si="342"/>
        <v>FALSE</v>
      </c>
      <c r="AQ3024" s="10" t="b">
        <f>IF(AND(I3024="TP",S3024&lt;=150),VLOOKUP(AF3024,TPCalibEq150!$AZ$2:$BB$55,3,),IF(AND(I3024="TDP",S3024&lt;=150),VLOOKUP(AF3024,TPCalibEq150!$AZ$2:$BB$55,3,)))</f>
        <v>0</v>
      </c>
      <c r="AR3024" s="10" t="b">
        <f>IF(AND(I3024="TP",S3024&lt;=300),VLOOKUP(AF3024,TPCalibEq300!$AZ$2:$BB$55,3,),IF(AND(I3024="TDP",S3024&lt;=300),VLOOKUP(AF3024,TPCalibEq300!$AZ$2:$BB$55,3,)))</f>
        <v>0</v>
      </c>
      <c r="AS3024" s="10" t="b">
        <f>IF(AND(I3024="TP",S3024&lt;=500),VLOOKUP(AF3024,TPCalibEq500!$AZ$2:$BB$56,3,),IF(AND(I3024="TDP",S3024&lt;=500),VLOOKUP(AF3024,TPCalibEq500!$AZ$2:$BB$56,3,)))</f>
        <v>0</v>
      </c>
      <c r="AT3024" s="10" t="b">
        <f>IF(AND(I3024="TN",S3024&lt;=2800),VLOOKUP(AF3024,TNCalibEq2500!$AZ$2:$BB$56,3,),IF(AND(I3024="TDN",S3024&lt;=2800),VLOOKUP(AF3024,TNCalibEq2500!$AZ$2:$BB$56,3,)))</f>
        <v>0</v>
      </c>
      <c r="AU3024" s="10" t="b">
        <f>IF(I3024="TP",VLOOKUP(AF3024,TPCalibEqFull!$AZ$2:$BB$56,3),IF(I3024="TDP",VLOOKUP(AF3024,TPCalibEqFull!$AZ$2:$BB$56,3),IF(I3024="TDN",VLOOKUP(AF3024,TNCalibEqFull!$AZ$1:$BB$56,3),IF(I3024="TN",VLOOKUP(AF3024,TNCalibEqFull!$AZ$1:$BB$56,3),FALSE))))</f>
        <v>0</v>
      </c>
      <c r="AV3024" s="10" t="str">
        <f t="shared" si="347"/>
        <v>0214 07:15:00-QAC-BLK-FIL-1-DI-ESF</v>
      </c>
    </row>
    <row r="3025" spans="1:48" s="10" customFormat="1" x14ac:dyDescent="0.55000000000000004">
      <c r="A3025" s="32">
        <v>44965</v>
      </c>
      <c r="B3025" s="33">
        <v>0.22291666666666665</v>
      </c>
      <c r="C3025" s="10" t="s">
        <v>279</v>
      </c>
      <c r="D3025" s="10">
        <v>0</v>
      </c>
      <c r="E3025" s="10" t="s">
        <v>190</v>
      </c>
      <c r="F3025" s="10">
        <v>1</v>
      </c>
      <c r="G3025" s="10" t="s">
        <v>231</v>
      </c>
      <c r="H3025" s="10" t="s">
        <v>322</v>
      </c>
      <c r="I3025" s="10" t="s">
        <v>285</v>
      </c>
      <c r="J3025" s="10">
        <v>1</v>
      </c>
      <c r="K3025" s="12">
        <v>44972</v>
      </c>
      <c r="L3025" s="33">
        <v>0.48162037037037037</v>
      </c>
      <c r="M3025" s="10">
        <v>1</v>
      </c>
      <c r="N3025" s="10" t="s">
        <v>211</v>
      </c>
      <c r="O3025" s="10">
        <v>0.88600000000000001</v>
      </c>
      <c r="P3025" s="10">
        <v>8.5999999999999993E-2</v>
      </c>
      <c r="Q3025" s="10">
        <v>158</v>
      </c>
      <c r="R3025" s="10" t="s">
        <v>913</v>
      </c>
      <c r="S3025" s="34">
        <f t="shared" si="344"/>
        <v>158</v>
      </c>
      <c r="T3025" s="10" t="s">
        <v>1220</v>
      </c>
      <c r="U3025" s="34" t="str">
        <f t="shared" si="345"/>
        <v/>
      </c>
      <c r="V3025" s="31" t="str">
        <f>IF(H3025="CHK",VLOOKUP(I3025,QCCHK,3,),IF(H3025="GUP",VLOOKUP(E3025,QCGUP,2,),IF(AND(H3025="ATP",OR(I3025="TN",I3025="TDN",I3025="TNO2-3",I3025="NO2-3")),VLOOKUP(E3025,QCREC_N,2,),IF(AND(H3025="NIC",OR(I3025="TN",I3025="TDN",I3025="TNO2-3",I3025="NO2-3")),VLOOKUP(E3025,QCNIC_N,2,),IF(AND(H3025="UREA",OR(I3025="TN",I3025="TDN",I3025="TNO2-3",I3025="NO2-3")),VLOOKUP(E3025,QCUREA_N,2,),IF(H3025="PER",VLOOKUP(I3025,QCPER,MATCH(E3025,QCACTUAL!$J$25:$AA$25,0),),IF(H3025="SPK",VLOOKUP(I3025,QCSPK,3,),IF(AND(H3025="ATP",OR(I3025="TP",I3025="TDP")),VLOOKUP(E3025,QCATP_P,2,),""))))))))</f>
        <v/>
      </c>
      <c r="W3025" s="31" t="str">
        <f t="shared" si="346"/>
        <v>TRUE</v>
      </c>
      <c r="X3025" s="31" t="str">
        <f t="shared" si="343"/>
        <v/>
      </c>
      <c r="Y3025" s="10" t="s">
        <v>1206</v>
      </c>
      <c r="Z3025" s="10" t="s">
        <v>910</v>
      </c>
      <c r="AL3025" s="10" t="str">
        <f t="shared" si="341"/>
        <v>FALSE</v>
      </c>
      <c r="AM3025" s="10" t="str">
        <f t="shared" si="341"/>
        <v>FALSE</v>
      </c>
      <c r="AN3025" s="10" t="str">
        <f t="shared" si="341"/>
        <v>FALSE</v>
      </c>
      <c r="AO3025" s="10" t="str">
        <f t="shared" si="342"/>
        <v>FALSE</v>
      </c>
      <c r="AP3025" s="10" t="str">
        <f t="shared" si="342"/>
        <v>FALSE</v>
      </c>
      <c r="AQ3025" s="10" t="b">
        <f>IF(AND(I3025="TP",S3025&lt;=150),VLOOKUP(AF3025,TPCalibEq150!$AZ$2:$BB$55,3,),IF(AND(I3025="TDP",S3025&lt;=150),VLOOKUP(AF3025,TPCalibEq150!$AZ$2:$BB$55,3,)))</f>
        <v>0</v>
      </c>
      <c r="AR3025" s="10" t="b">
        <f>IF(AND(I3025="TP",S3025&lt;=300),VLOOKUP(AF3025,TPCalibEq300!$AZ$2:$BB$55,3,),IF(AND(I3025="TDP",S3025&lt;=300),VLOOKUP(AF3025,TPCalibEq300!$AZ$2:$BB$55,3,)))</f>
        <v>0</v>
      </c>
      <c r="AS3025" s="10" t="b">
        <f>IF(AND(I3025="TP",S3025&lt;=500),VLOOKUP(AF3025,TPCalibEq500!$AZ$2:$BB$56,3,),IF(AND(I3025="TDP",S3025&lt;=500),VLOOKUP(AF3025,TPCalibEq500!$AZ$2:$BB$56,3,)))</f>
        <v>0</v>
      </c>
      <c r="AT3025" s="10" t="b">
        <f>IF(AND(I3025="TN",S3025&lt;=2800),VLOOKUP(AF3025,TNCalibEq2500!$AZ$2:$BB$56,3,),IF(AND(I3025="TDN",S3025&lt;=2800),VLOOKUP(AF3025,TNCalibEq2500!$AZ$2:$BB$56,3,)))</f>
        <v>0</v>
      </c>
      <c r="AU3025" s="10" t="b">
        <f>IF(I3025="TP",VLOOKUP(AF3025,TPCalibEqFull!$AZ$2:$BB$56,3),IF(I3025="TDP",VLOOKUP(AF3025,TPCalibEqFull!$AZ$2:$BB$56,3),IF(I3025="TDN",VLOOKUP(AF3025,TNCalibEqFull!$AZ$1:$BB$56,3),IF(I3025="TN",VLOOKUP(AF3025,TNCalibEqFull!$AZ$1:$BB$56,3),FALSE))))</f>
        <v>0</v>
      </c>
      <c r="AV3025" s="10" t="str">
        <f t="shared" si="347"/>
        <v>0208 05:21:00-EFK-0-C-1-SW-UKN</v>
      </c>
    </row>
    <row r="3026" spans="1:48" s="10" customFormat="1" x14ac:dyDescent="0.55000000000000004">
      <c r="A3026" s="32">
        <v>44965</v>
      </c>
      <c r="B3026" s="33">
        <v>0.24166666666666667</v>
      </c>
      <c r="C3026" s="10" t="s">
        <v>333</v>
      </c>
      <c r="D3026" s="10">
        <v>0</v>
      </c>
      <c r="E3026" s="10" t="s">
        <v>190</v>
      </c>
      <c r="F3026" s="10">
        <v>1</v>
      </c>
      <c r="G3026" s="10" t="s">
        <v>231</v>
      </c>
      <c r="H3026" s="10" t="s">
        <v>322</v>
      </c>
      <c r="I3026" s="10" t="s">
        <v>285</v>
      </c>
      <c r="J3026" s="10">
        <v>2</v>
      </c>
      <c r="K3026" s="12">
        <v>44972</v>
      </c>
      <c r="L3026" s="33">
        <v>0.48245370370370372</v>
      </c>
      <c r="M3026" s="10">
        <v>1</v>
      </c>
      <c r="N3026" s="10" t="s">
        <v>211</v>
      </c>
      <c r="O3026" s="10">
        <v>0.20399999999999999</v>
      </c>
      <c r="P3026" s="10">
        <v>1.8800000000000001E-2</v>
      </c>
      <c r="Q3026" s="10">
        <v>36.799999999999997</v>
      </c>
      <c r="R3026" s="10" t="s">
        <v>913</v>
      </c>
      <c r="S3026" s="34">
        <f t="shared" si="344"/>
        <v>36.799999999999997</v>
      </c>
      <c r="T3026" s="10" t="s">
        <v>1220</v>
      </c>
      <c r="U3026" s="34" t="str">
        <f t="shared" si="345"/>
        <v/>
      </c>
      <c r="V3026" s="31" t="str">
        <f>IF(H3026="CHK",VLOOKUP(I3026,QCCHK,3,),IF(H3026="GUP",VLOOKUP(E3026,QCGUP,2,),IF(AND(H3026="ATP",OR(I3026="TN",I3026="TDN",I3026="TNO2-3",I3026="NO2-3")),VLOOKUP(E3026,QCREC_N,2,),IF(AND(H3026="NIC",OR(I3026="TN",I3026="TDN",I3026="TNO2-3",I3026="NO2-3")),VLOOKUP(E3026,QCNIC_N,2,),IF(AND(H3026="UREA",OR(I3026="TN",I3026="TDN",I3026="TNO2-3",I3026="NO2-3")),VLOOKUP(E3026,QCUREA_N,2,),IF(H3026="PER",VLOOKUP(I3026,QCPER,MATCH(E3026,QCACTUAL!$J$25:$AA$25,0),),IF(H3026="SPK",VLOOKUP(I3026,QCSPK,3,),IF(AND(H3026="ATP",OR(I3026="TP",I3026="TDP")),VLOOKUP(E3026,QCATP_P,2,),""))))))))</f>
        <v/>
      </c>
      <c r="W3026" s="31" t="str">
        <f t="shared" si="346"/>
        <v>TRUE</v>
      </c>
      <c r="X3026" s="31" t="str">
        <f t="shared" si="343"/>
        <v/>
      </c>
      <c r="Y3026" s="10" t="s">
        <v>1206</v>
      </c>
      <c r="Z3026" s="10" t="s">
        <v>910</v>
      </c>
      <c r="AL3026" s="10" t="str">
        <f t="shared" si="341"/>
        <v>FALSE</v>
      </c>
      <c r="AM3026" s="10" t="str">
        <f t="shared" si="341"/>
        <v>FALSE</v>
      </c>
      <c r="AN3026" s="10" t="str">
        <f t="shared" si="341"/>
        <v>FALSE</v>
      </c>
      <c r="AO3026" s="10" t="str">
        <f t="shared" si="342"/>
        <v>FALSE</v>
      </c>
      <c r="AP3026" s="10" t="str">
        <f t="shared" si="342"/>
        <v>FALSE</v>
      </c>
      <c r="AQ3026" s="10" t="b">
        <f>IF(AND(I3026="TP",S3026&lt;=150),VLOOKUP(AF3026,TPCalibEq150!$AZ$2:$BB$55,3,),IF(AND(I3026="TDP",S3026&lt;=150),VLOOKUP(AF3026,TPCalibEq150!$AZ$2:$BB$55,3,)))</f>
        <v>0</v>
      </c>
      <c r="AR3026" s="10" t="b">
        <f>IF(AND(I3026="TP",S3026&lt;=300),VLOOKUP(AF3026,TPCalibEq300!$AZ$2:$BB$55,3,),IF(AND(I3026="TDP",S3026&lt;=300),VLOOKUP(AF3026,TPCalibEq300!$AZ$2:$BB$55,3,)))</f>
        <v>0</v>
      </c>
      <c r="AS3026" s="10" t="b">
        <f>IF(AND(I3026="TP",S3026&lt;=500),VLOOKUP(AF3026,TPCalibEq500!$AZ$2:$BB$56,3,),IF(AND(I3026="TDP",S3026&lt;=500),VLOOKUP(AF3026,TPCalibEq500!$AZ$2:$BB$56,3,)))</f>
        <v>0</v>
      </c>
      <c r="AT3026" s="10" t="b">
        <f>IF(AND(I3026="TN",S3026&lt;=2800),VLOOKUP(AF3026,TNCalibEq2500!$AZ$2:$BB$56,3,),IF(AND(I3026="TDN",S3026&lt;=2800),VLOOKUP(AF3026,TNCalibEq2500!$AZ$2:$BB$56,3,)))</f>
        <v>0</v>
      </c>
      <c r="AU3026" s="10" t="b">
        <f>IF(I3026="TP",VLOOKUP(AF3026,TPCalibEqFull!$AZ$2:$BB$56,3),IF(I3026="TDP",VLOOKUP(AF3026,TPCalibEqFull!$AZ$2:$BB$56,3),IF(I3026="TDN",VLOOKUP(AF3026,TNCalibEqFull!$AZ$1:$BB$56,3),IF(I3026="TN",VLOOKUP(AF3026,TNCalibEqFull!$AZ$1:$BB$56,3),FALSE))))</f>
        <v>0</v>
      </c>
      <c r="AV3026" s="10" t="str">
        <f t="shared" si="347"/>
        <v>0208 05:48:00-HST-0-C-1-SW-UKN</v>
      </c>
    </row>
    <row r="3027" spans="1:48" s="10" customFormat="1" x14ac:dyDescent="0.55000000000000004">
      <c r="A3027" s="32">
        <v>44966</v>
      </c>
      <c r="B3027" s="33">
        <v>0.41041666666666665</v>
      </c>
      <c r="C3027" s="10" t="s">
        <v>279</v>
      </c>
      <c r="D3027" s="10">
        <v>0</v>
      </c>
      <c r="E3027" s="10" t="s">
        <v>190</v>
      </c>
      <c r="F3027" s="10">
        <v>1</v>
      </c>
      <c r="G3027" s="10" t="s">
        <v>231</v>
      </c>
      <c r="H3027" s="10" t="s">
        <v>322</v>
      </c>
      <c r="I3027" s="10" t="s">
        <v>285</v>
      </c>
      <c r="J3027" s="10">
        <v>3</v>
      </c>
      <c r="K3027" s="12">
        <v>44972</v>
      </c>
      <c r="L3027" s="33">
        <v>0.48327546296296298</v>
      </c>
      <c r="M3027" s="10">
        <v>1</v>
      </c>
      <c r="N3027" s="10" t="s">
        <v>211</v>
      </c>
      <c r="O3027" s="10">
        <v>0.86199999999999999</v>
      </c>
      <c r="P3027" s="10">
        <v>8.4199999999999997E-2</v>
      </c>
      <c r="Q3027" s="10">
        <v>154</v>
      </c>
      <c r="R3027" s="10" t="s">
        <v>913</v>
      </c>
      <c r="S3027" s="34">
        <f t="shared" si="344"/>
        <v>154</v>
      </c>
      <c r="T3027" s="10" t="s">
        <v>1220</v>
      </c>
      <c r="U3027" s="34" t="str">
        <f t="shared" si="345"/>
        <v/>
      </c>
      <c r="V3027" s="31" t="str">
        <f>IF(H3027="CHK",VLOOKUP(I3027,QCCHK,3,),IF(H3027="GUP",VLOOKUP(E3027,QCGUP,2,),IF(AND(H3027="ATP",OR(I3027="TN",I3027="TDN",I3027="TNO2-3",I3027="NO2-3")),VLOOKUP(E3027,QCREC_N,2,),IF(AND(H3027="NIC",OR(I3027="TN",I3027="TDN",I3027="TNO2-3",I3027="NO2-3")),VLOOKUP(E3027,QCNIC_N,2,),IF(AND(H3027="UREA",OR(I3027="TN",I3027="TDN",I3027="TNO2-3",I3027="NO2-3")),VLOOKUP(E3027,QCUREA_N,2,),IF(H3027="PER",VLOOKUP(I3027,QCPER,MATCH(E3027,QCACTUAL!$J$25:$AA$25,0),),IF(H3027="SPK",VLOOKUP(I3027,QCSPK,3,),IF(AND(H3027="ATP",OR(I3027="TP",I3027="TDP")),VLOOKUP(E3027,QCATP_P,2,),""))))))))</f>
        <v/>
      </c>
      <c r="W3027" s="31" t="str">
        <f t="shared" si="346"/>
        <v>TRUE</v>
      </c>
      <c r="X3027" s="31" t="str">
        <f t="shared" si="343"/>
        <v/>
      </c>
      <c r="Y3027" s="10" t="s">
        <v>1206</v>
      </c>
      <c r="Z3027" s="10" t="s">
        <v>910</v>
      </c>
      <c r="AL3027" s="10" t="str">
        <f t="shared" si="341"/>
        <v>FALSE</v>
      </c>
      <c r="AM3027" s="10" t="str">
        <f t="shared" si="341"/>
        <v>FALSE</v>
      </c>
      <c r="AN3027" s="10" t="str">
        <f t="shared" si="341"/>
        <v>FALSE</v>
      </c>
      <c r="AO3027" s="10" t="str">
        <f t="shared" si="342"/>
        <v>FALSE</v>
      </c>
      <c r="AP3027" s="10" t="str">
        <f t="shared" si="342"/>
        <v>FALSE</v>
      </c>
      <c r="AQ3027" s="10" t="b">
        <f>IF(AND(I3027="TP",S3027&lt;=150),VLOOKUP(AF3027,TPCalibEq150!$AZ$2:$BB$55,3,),IF(AND(I3027="TDP",S3027&lt;=150),VLOOKUP(AF3027,TPCalibEq150!$AZ$2:$BB$55,3,)))</f>
        <v>0</v>
      </c>
      <c r="AR3027" s="10" t="b">
        <f>IF(AND(I3027="TP",S3027&lt;=300),VLOOKUP(AF3027,TPCalibEq300!$AZ$2:$BB$55,3,),IF(AND(I3027="TDP",S3027&lt;=300),VLOOKUP(AF3027,TPCalibEq300!$AZ$2:$BB$55,3,)))</f>
        <v>0</v>
      </c>
      <c r="AS3027" s="10" t="b">
        <f>IF(AND(I3027="TP",S3027&lt;=500),VLOOKUP(AF3027,TPCalibEq500!$AZ$2:$BB$56,3,),IF(AND(I3027="TDP",S3027&lt;=500),VLOOKUP(AF3027,TPCalibEq500!$AZ$2:$BB$56,3,)))</f>
        <v>0</v>
      </c>
      <c r="AT3027" s="10" t="b">
        <f>IF(AND(I3027="TN",S3027&lt;=2800),VLOOKUP(AF3027,TNCalibEq2500!$AZ$2:$BB$56,3,),IF(AND(I3027="TDN",S3027&lt;=2800),VLOOKUP(AF3027,TNCalibEq2500!$AZ$2:$BB$56,3,)))</f>
        <v>0</v>
      </c>
      <c r="AU3027" s="10" t="b">
        <f>IF(I3027="TP",VLOOKUP(AF3027,TPCalibEqFull!$AZ$2:$BB$56,3),IF(I3027="TDP",VLOOKUP(AF3027,TPCalibEqFull!$AZ$2:$BB$56,3),IF(I3027="TDN",VLOOKUP(AF3027,TNCalibEqFull!$AZ$1:$BB$56,3),IF(I3027="TN",VLOOKUP(AF3027,TNCalibEqFull!$AZ$1:$BB$56,3),FALSE))))</f>
        <v>0</v>
      </c>
      <c r="AV3027" s="10" t="str">
        <f t="shared" si="347"/>
        <v>0209 09:51:00-EFK-0-C-1-SW-UKN</v>
      </c>
    </row>
    <row r="3028" spans="1:48" s="10" customFormat="1" x14ac:dyDescent="0.55000000000000004">
      <c r="A3028" s="32">
        <v>44966</v>
      </c>
      <c r="B3028" s="33">
        <v>0.42708333333333331</v>
      </c>
      <c r="C3028" s="10" t="s">
        <v>333</v>
      </c>
      <c r="D3028" s="10">
        <v>0</v>
      </c>
      <c r="E3028" s="10" t="s">
        <v>190</v>
      </c>
      <c r="F3028" s="10">
        <v>1</v>
      </c>
      <c r="G3028" s="10" t="s">
        <v>231</v>
      </c>
      <c r="H3028" s="10" t="s">
        <v>322</v>
      </c>
      <c r="I3028" s="10" t="s">
        <v>285</v>
      </c>
      <c r="J3028" s="10">
        <v>4</v>
      </c>
      <c r="K3028" s="12">
        <v>44972</v>
      </c>
      <c r="L3028" s="33">
        <v>0.48409722222222223</v>
      </c>
      <c r="M3028" s="10">
        <v>1</v>
      </c>
      <c r="N3028" s="10" t="s">
        <v>211</v>
      </c>
      <c r="O3028" s="10">
        <v>0.25600000000000001</v>
      </c>
      <c r="P3028" s="10">
        <v>2.3599999999999999E-2</v>
      </c>
      <c r="Q3028" s="10">
        <v>45.9</v>
      </c>
      <c r="R3028" s="10" t="s">
        <v>913</v>
      </c>
      <c r="S3028" s="34">
        <f t="shared" si="344"/>
        <v>45.9</v>
      </c>
      <c r="T3028" s="10" t="s">
        <v>1220</v>
      </c>
      <c r="U3028" s="34" t="str">
        <f t="shared" si="345"/>
        <v/>
      </c>
      <c r="V3028" s="31" t="str">
        <f>IF(H3028="CHK",VLOOKUP(I3028,QCCHK,3,),IF(H3028="GUP",VLOOKUP(E3028,QCGUP,2,),IF(AND(H3028="ATP",OR(I3028="TN",I3028="TDN",I3028="TNO2-3",I3028="NO2-3")),VLOOKUP(E3028,QCREC_N,2,),IF(AND(H3028="NIC",OR(I3028="TN",I3028="TDN",I3028="TNO2-3",I3028="NO2-3")),VLOOKUP(E3028,QCNIC_N,2,),IF(AND(H3028="UREA",OR(I3028="TN",I3028="TDN",I3028="TNO2-3",I3028="NO2-3")),VLOOKUP(E3028,QCUREA_N,2,),IF(H3028="PER",VLOOKUP(I3028,QCPER,MATCH(E3028,QCACTUAL!$J$25:$AA$25,0),),IF(H3028="SPK",VLOOKUP(I3028,QCSPK,3,),IF(AND(H3028="ATP",OR(I3028="TP",I3028="TDP")),VLOOKUP(E3028,QCATP_P,2,),""))))))))</f>
        <v/>
      </c>
      <c r="W3028" s="31" t="str">
        <f t="shared" si="346"/>
        <v>TRUE</v>
      </c>
      <c r="X3028" s="31" t="str">
        <f t="shared" si="343"/>
        <v/>
      </c>
      <c r="Y3028" s="10" t="s">
        <v>1206</v>
      </c>
      <c r="Z3028" s="10" t="s">
        <v>910</v>
      </c>
      <c r="AL3028" s="10" t="str">
        <f t="shared" si="341"/>
        <v>FALSE</v>
      </c>
      <c r="AM3028" s="10" t="str">
        <f t="shared" si="341"/>
        <v>FALSE</v>
      </c>
      <c r="AN3028" s="10" t="str">
        <f t="shared" si="341"/>
        <v>FALSE</v>
      </c>
      <c r="AO3028" s="10" t="str">
        <f t="shared" si="342"/>
        <v>FALSE</v>
      </c>
      <c r="AP3028" s="10" t="str">
        <f t="shared" si="342"/>
        <v>FALSE</v>
      </c>
      <c r="AQ3028" s="10" t="b">
        <f>IF(AND(I3028="TP",S3028&lt;=150),VLOOKUP(AF3028,TPCalibEq150!$AZ$2:$BB$55,3,),IF(AND(I3028="TDP",S3028&lt;=150),VLOOKUP(AF3028,TPCalibEq150!$AZ$2:$BB$55,3,)))</f>
        <v>0</v>
      </c>
      <c r="AR3028" s="10" t="b">
        <f>IF(AND(I3028="TP",S3028&lt;=300),VLOOKUP(AF3028,TPCalibEq300!$AZ$2:$BB$55,3,),IF(AND(I3028="TDP",S3028&lt;=300),VLOOKUP(AF3028,TPCalibEq300!$AZ$2:$BB$55,3,)))</f>
        <v>0</v>
      </c>
      <c r="AS3028" s="10" t="b">
        <f>IF(AND(I3028="TP",S3028&lt;=500),VLOOKUP(AF3028,TPCalibEq500!$AZ$2:$BB$56,3,),IF(AND(I3028="TDP",S3028&lt;=500),VLOOKUP(AF3028,TPCalibEq500!$AZ$2:$BB$56,3,)))</f>
        <v>0</v>
      </c>
      <c r="AT3028" s="10" t="b">
        <f>IF(AND(I3028="TN",S3028&lt;=2800),VLOOKUP(AF3028,TNCalibEq2500!$AZ$2:$BB$56,3,),IF(AND(I3028="TDN",S3028&lt;=2800),VLOOKUP(AF3028,TNCalibEq2500!$AZ$2:$BB$56,3,)))</f>
        <v>0</v>
      </c>
      <c r="AU3028" s="10" t="b">
        <f>IF(I3028="TP",VLOOKUP(AF3028,TPCalibEqFull!$AZ$2:$BB$56,3),IF(I3028="TDP",VLOOKUP(AF3028,TPCalibEqFull!$AZ$2:$BB$56,3),IF(I3028="TDN",VLOOKUP(AF3028,TNCalibEqFull!$AZ$1:$BB$56,3),IF(I3028="TN",VLOOKUP(AF3028,TNCalibEqFull!$AZ$1:$BB$56,3),FALSE))))</f>
        <v>0</v>
      </c>
      <c r="AV3028" s="10" t="str">
        <f t="shared" si="347"/>
        <v>0209 10:15:00-HST-0-C-1-SW-UKN</v>
      </c>
    </row>
    <row r="3029" spans="1:48" s="10" customFormat="1" x14ac:dyDescent="0.55000000000000004">
      <c r="A3029" s="32">
        <v>44967</v>
      </c>
      <c r="B3029" s="33">
        <v>0.59791666666666665</v>
      </c>
      <c r="C3029" s="10" t="s">
        <v>279</v>
      </c>
      <c r="D3029" s="10">
        <v>0</v>
      </c>
      <c r="E3029" s="10" t="s">
        <v>190</v>
      </c>
      <c r="F3029" s="10">
        <v>1</v>
      </c>
      <c r="G3029" s="10" t="s">
        <v>231</v>
      </c>
      <c r="H3029" s="10" t="s">
        <v>322</v>
      </c>
      <c r="I3029" s="10" t="s">
        <v>285</v>
      </c>
      <c r="J3029" s="10">
        <v>5</v>
      </c>
      <c r="K3029" s="12">
        <v>44972</v>
      </c>
      <c r="L3029" s="33">
        <v>0.48491898148148144</v>
      </c>
      <c r="M3029" s="10">
        <v>1</v>
      </c>
      <c r="N3029" s="10" t="s">
        <v>211</v>
      </c>
      <c r="O3029" s="10">
        <v>0.81499999999999995</v>
      </c>
      <c r="P3029" s="10">
        <v>7.9100000000000004E-2</v>
      </c>
      <c r="Q3029" s="10">
        <v>146</v>
      </c>
      <c r="R3029" s="10" t="s">
        <v>913</v>
      </c>
      <c r="S3029" s="34">
        <f t="shared" si="344"/>
        <v>146</v>
      </c>
      <c r="T3029" s="10" t="s">
        <v>1220</v>
      </c>
      <c r="U3029" s="34" t="str">
        <f t="shared" si="345"/>
        <v/>
      </c>
      <c r="V3029" s="31" t="str">
        <f>IF(H3029="CHK",VLOOKUP(I3029,QCCHK,3,),IF(H3029="GUP",VLOOKUP(E3029,QCGUP,2,),IF(AND(H3029="ATP",OR(I3029="TN",I3029="TDN",I3029="TNO2-3",I3029="NO2-3")),VLOOKUP(E3029,QCREC_N,2,),IF(AND(H3029="NIC",OR(I3029="TN",I3029="TDN",I3029="TNO2-3",I3029="NO2-3")),VLOOKUP(E3029,QCNIC_N,2,),IF(AND(H3029="UREA",OR(I3029="TN",I3029="TDN",I3029="TNO2-3",I3029="NO2-3")),VLOOKUP(E3029,QCUREA_N,2,),IF(H3029="PER",VLOOKUP(I3029,QCPER,MATCH(E3029,QCACTUAL!$J$25:$AA$25,0),),IF(H3029="SPK",VLOOKUP(I3029,QCSPK,3,),IF(AND(H3029="ATP",OR(I3029="TP",I3029="TDP")),VLOOKUP(E3029,QCATP_P,2,),""))))))))</f>
        <v/>
      </c>
      <c r="W3029" s="31" t="str">
        <f t="shared" si="346"/>
        <v>TRUE</v>
      </c>
      <c r="X3029" s="31" t="str">
        <f t="shared" si="343"/>
        <v/>
      </c>
      <c r="Y3029" s="10" t="s">
        <v>1206</v>
      </c>
      <c r="Z3029" s="10" t="s">
        <v>910</v>
      </c>
      <c r="AL3029" s="10" t="str">
        <f t="shared" si="341"/>
        <v>FALSE</v>
      </c>
      <c r="AM3029" s="10" t="str">
        <f t="shared" si="341"/>
        <v>FALSE</v>
      </c>
      <c r="AN3029" s="10" t="str">
        <f t="shared" si="341"/>
        <v>FALSE</v>
      </c>
      <c r="AO3029" s="10" t="str">
        <f t="shared" si="342"/>
        <v>FALSE</v>
      </c>
      <c r="AP3029" s="10" t="str">
        <f t="shared" si="342"/>
        <v>FALSE</v>
      </c>
      <c r="AQ3029" s="10" t="b">
        <f>IF(AND(I3029="TP",S3029&lt;=150),VLOOKUP(AF3029,TPCalibEq150!$AZ$2:$BB$55,3,),IF(AND(I3029="TDP",S3029&lt;=150),VLOOKUP(AF3029,TPCalibEq150!$AZ$2:$BB$55,3,)))</f>
        <v>0</v>
      </c>
      <c r="AR3029" s="10" t="b">
        <f>IF(AND(I3029="TP",S3029&lt;=300),VLOOKUP(AF3029,TPCalibEq300!$AZ$2:$BB$55,3,),IF(AND(I3029="TDP",S3029&lt;=300),VLOOKUP(AF3029,TPCalibEq300!$AZ$2:$BB$55,3,)))</f>
        <v>0</v>
      </c>
      <c r="AS3029" s="10" t="b">
        <f>IF(AND(I3029="TP",S3029&lt;=500),VLOOKUP(AF3029,TPCalibEq500!$AZ$2:$BB$56,3,),IF(AND(I3029="TDP",S3029&lt;=500),VLOOKUP(AF3029,TPCalibEq500!$AZ$2:$BB$56,3,)))</f>
        <v>0</v>
      </c>
      <c r="AT3029" s="10" t="b">
        <f>IF(AND(I3029="TN",S3029&lt;=2800),VLOOKUP(AF3029,TNCalibEq2500!$AZ$2:$BB$56,3,),IF(AND(I3029="TDN",S3029&lt;=2800),VLOOKUP(AF3029,TNCalibEq2500!$AZ$2:$BB$56,3,)))</f>
        <v>0</v>
      </c>
      <c r="AU3029" s="10" t="b">
        <f>IF(I3029="TP",VLOOKUP(AF3029,TPCalibEqFull!$AZ$2:$BB$56,3),IF(I3029="TDP",VLOOKUP(AF3029,TPCalibEqFull!$AZ$2:$BB$56,3),IF(I3029="TDN",VLOOKUP(AF3029,TNCalibEqFull!$AZ$1:$BB$56,3),IF(I3029="TN",VLOOKUP(AF3029,TNCalibEqFull!$AZ$1:$BB$56,3),FALSE))))</f>
        <v>0</v>
      </c>
      <c r="AV3029" s="10" t="str">
        <f t="shared" si="347"/>
        <v>0210 14:21:00-EFK-0-C-1-SW-UKN</v>
      </c>
    </row>
    <row r="3030" spans="1:48" s="10" customFormat="1" x14ac:dyDescent="0.55000000000000004">
      <c r="A3030" s="32">
        <v>44967</v>
      </c>
      <c r="B3030" s="33">
        <v>0.60069444444444442</v>
      </c>
      <c r="C3030" s="10" t="s">
        <v>333</v>
      </c>
      <c r="D3030" s="10">
        <v>0</v>
      </c>
      <c r="E3030" s="10" t="s">
        <v>190</v>
      </c>
      <c r="F3030" s="10">
        <v>1</v>
      </c>
      <c r="G3030" s="10" t="s">
        <v>231</v>
      </c>
      <c r="H3030" s="10" t="s">
        <v>322</v>
      </c>
      <c r="I3030" s="10" t="s">
        <v>285</v>
      </c>
      <c r="J3030" s="10">
        <v>6</v>
      </c>
      <c r="K3030" s="12">
        <v>44972</v>
      </c>
      <c r="L3030" s="33">
        <v>0.48572916666666671</v>
      </c>
      <c r="M3030" s="10">
        <v>1</v>
      </c>
      <c r="N3030" s="10" t="s">
        <v>211</v>
      </c>
      <c r="O3030" s="10">
        <v>0.47199999999999998</v>
      </c>
      <c r="P3030" s="10">
        <v>4.48E-2</v>
      </c>
      <c r="Q3030" s="10">
        <v>84.5</v>
      </c>
      <c r="R3030" s="10" t="s">
        <v>913</v>
      </c>
      <c r="S3030" s="34">
        <f t="shared" si="344"/>
        <v>84.5</v>
      </c>
      <c r="T3030" s="10" t="s">
        <v>1220</v>
      </c>
      <c r="U3030" s="34" t="str">
        <f t="shared" si="345"/>
        <v/>
      </c>
      <c r="V3030" s="31" t="str">
        <f>IF(H3030="CHK",VLOOKUP(I3030,QCCHK,3,),IF(H3030="GUP",VLOOKUP(E3030,QCGUP,2,),IF(AND(H3030="ATP",OR(I3030="TN",I3030="TDN",I3030="TNO2-3",I3030="NO2-3")),VLOOKUP(E3030,QCREC_N,2,),IF(AND(H3030="NIC",OR(I3030="TN",I3030="TDN",I3030="TNO2-3",I3030="NO2-3")),VLOOKUP(E3030,QCNIC_N,2,),IF(AND(H3030="UREA",OR(I3030="TN",I3030="TDN",I3030="TNO2-3",I3030="NO2-3")),VLOOKUP(E3030,QCUREA_N,2,),IF(H3030="PER",VLOOKUP(I3030,QCPER,MATCH(E3030,QCACTUAL!$J$25:$AA$25,0),),IF(H3030="SPK",VLOOKUP(I3030,QCSPK,3,),IF(AND(H3030="ATP",OR(I3030="TP",I3030="TDP")),VLOOKUP(E3030,QCATP_P,2,),""))))))))</f>
        <v/>
      </c>
      <c r="W3030" s="31" t="str">
        <f t="shared" si="346"/>
        <v>TRUE</v>
      </c>
      <c r="X3030" s="31" t="str">
        <f t="shared" si="343"/>
        <v/>
      </c>
      <c r="Y3030" s="10" t="s">
        <v>1206</v>
      </c>
      <c r="Z3030" s="10" t="s">
        <v>910</v>
      </c>
      <c r="AL3030" s="10" t="str">
        <f t="shared" si="341"/>
        <v>FALSE</v>
      </c>
      <c r="AM3030" s="10" t="str">
        <f t="shared" si="341"/>
        <v>FALSE</v>
      </c>
      <c r="AN3030" s="10" t="str">
        <f t="shared" si="341"/>
        <v>FALSE</v>
      </c>
      <c r="AO3030" s="10" t="str">
        <f t="shared" si="342"/>
        <v>FALSE</v>
      </c>
      <c r="AP3030" s="10" t="str">
        <f t="shared" si="342"/>
        <v>FALSE</v>
      </c>
      <c r="AQ3030" s="10" t="b">
        <f>IF(AND(I3030="TP",S3030&lt;=150),VLOOKUP(AF3030,TPCalibEq150!$AZ$2:$BB$55,3,),IF(AND(I3030="TDP",S3030&lt;=150),VLOOKUP(AF3030,TPCalibEq150!$AZ$2:$BB$55,3,)))</f>
        <v>0</v>
      </c>
      <c r="AR3030" s="10" t="b">
        <f>IF(AND(I3030="TP",S3030&lt;=300),VLOOKUP(AF3030,TPCalibEq300!$AZ$2:$BB$55,3,),IF(AND(I3030="TDP",S3030&lt;=300),VLOOKUP(AF3030,TPCalibEq300!$AZ$2:$BB$55,3,)))</f>
        <v>0</v>
      </c>
      <c r="AS3030" s="10" t="b">
        <f>IF(AND(I3030="TP",S3030&lt;=500),VLOOKUP(AF3030,TPCalibEq500!$AZ$2:$BB$56,3,),IF(AND(I3030="TDP",S3030&lt;=500),VLOOKUP(AF3030,TPCalibEq500!$AZ$2:$BB$56,3,)))</f>
        <v>0</v>
      </c>
      <c r="AT3030" s="10" t="b">
        <f>IF(AND(I3030="TN",S3030&lt;=2800),VLOOKUP(AF3030,TNCalibEq2500!$AZ$2:$BB$56,3,),IF(AND(I3030="TDN",S3030&lt;=2800),VLOOKUP(AF3030,TNCalibEq2500!$AZ$2:$BB$56,3,)))</f>
        <v>0</v>
      </c>
      <c r="AU3030" s="10" t="b">
        <f>IF(I3030="TP",VLOOKUP(AF3030,TPCalibEqFull!$AZ$2:$BB$56,3),IF(I3030="TDP",VLOOKUP(AF3030,TPCalibEqFull!$AZ$2:$BB$56,3),IF(I3030="TDN",VLOOKUP(AF3030,TNCalibEqFull!$AZ$1:$BB$56,3),IF(I3030="TN",VLOOKUP(AF3030,TNCalibEqFull!$AZ$1:$BB$56,3),FALSE))))</f>
        <v>0</v>
      </c>
      <c r="AV3030" s="10" t="str">
        <f t="shared" si="347"/>
        <v>0210 14:25:00-HST-0-C-1-SW-UKN</v>
      </c>
    </row>
    <row r="3031" spans="1:48" s="10" customFormat="1" x14ac:dyDescent="0.55000000000000004">
      <c r="A3031" s="32">
        <v>44970</v>
      </c>
      <c r="B3031" s="33">
        <v>0.32777777777777778</v>
      </c>
      <c r="C3031" s="10" t="s">
        <v>279</v>
      </c>
      <c r="D3031" s="10">
        <v>0</v>
      </c>
      <c r="E3031" s="10" t="s">
        <v>190</v>
      </c>
      <c r="F3031" s="10">
        <v>1</v>
      </c>
      <c r="G3031" s="10" t="s">
        <v>231</v>
      </c>
      <c r="H3031" s="10" t="s">
        <v>322</v>
      </c>
      <c r="I3031" s="10" t="s">
        <v>285</v>
      </c>
      <c r="J3031" s="10">
        <v>7</v>
      </c>
      <c r="K3031" s="12">
        <v>44972</v>
      </c>
      <c r="L3031" s="33">
        <v>0.48655092592592591</v>
      </c>
      <c r="M3031" s="10">
        <v>1</v>
      </c>
      <c r="N3031" s="10" t="s">
        <v>211</v>
      </c>
      <c r="O3031" s="10">
        <v>0.96199999999999997</v>
      </c>
      <c r="P3031" s="10">
        <v>9.3799999999999994E-2</v>
      </c>
      <c r="Q3031" s="10">
        <v>172</v>
      </c>
      <c r="R3031" s="10" t="s">
        <v>913</v>
      </c>
      <c r="S3031" s="34">
        <f t="shared" si="344"/>
        <v>172</v>
      </c>
      <c r="T3031" s="10" t="s">
        <v>1220</v>
      </c>
      <c r="U3031" s="34" t="str">
        <f t="shared" si="345"/>
        <v/>
      </c>
      <c r="V3031" s="31" t="str">
        <f>IF(H3031="CHK",VLOOKUP(I3031,QCCHK,3,),IF(H3031="GUP",VLOOKUP(E3031,QCGUP,2,),IF(AND(H3031="ATP",OR(I3031="TN",I3031="TDN",I3031="TNO2-3",I3031="NO2-3")),VLOOKUP(E3031,QCREC_N,2,),IF(AND(H3031="NIC",OR(I3031="TN",I3031="TDN",I3031="TNO2-3",I3031="NO2-3")),VLOOKUP(E3031,QCNIC_N,2,),IF(AND(H3031="UREA",OR(I3031="TN",I3031="TDN",I3031="TNO2-3",I3031="NO2-3")),VLOOKUP(E3031,QCUREA_N,2,),IF(H3031="PER",VLOOKUP(I3031,QCPER,MATCH(E3031,QCACTUAL!$J$25:$AA$25,0),),IF(H3031="SPK",VLOOKUP(I3031,QCSPK,3,),IF(AND(H3031="ATP",OR(I3031="TP",I3031="TDP")),VLOOKUP(E3031,QCATP_P,2,),""))))))))</f>
        <v/>
      </c>
      <c r="W3031" s="31" t="str">
        <f t="shared" si="346"/>
        <v>TRUE</v>
      </c>
      <c r="X3031" s="31" t="str">
        <f t="shared" si="343"/>
        <v/>
      </c>
      <c r="Y3031" s="10" t="s">
        <v>1206</v>
      </c>
      <c r="Z3031" s="10" t="s">
        <v>910</v>
      </c>
      <c r="AL3031" s="10" t="str">
        <f t="shared" si="341"/>
        <v>FALSE</v>
      </c>
      <c r="AM3031" s="10" t="str">
        <f t="shared" si="341"/>
        <v>FALSE</v>
      </c>
      <c r="AN3031" s="10" t="str">
        <f t="shared" si="341"/>
        <v>FALSE</v>
      </c>
      <c r="AO3031" s="10" t="str">
        <f t="shared" si="342"/>
        <v>FALSE</v>
      </c>
      <c r="AP3031" s="10" t="str">
        <f t="shared" si="342"/>
        <v>FALSE</v>
      </c>
      <c r="AQ3031" s="10" t="b">
        <f>IF(AND(I3031="TP",S3031&lt;=150),VLOOKUP(AF3031,TPCalibEq150!$AZ$2:$BB$55,3,),IF(AND(I3031="TDP",S3031&lt;=150),VLOOKUP(AF3031,TPCalibEq150!$AZ$2:$BB$55,3,)))</f>
        <v>0</v>
      </c>
      <c r="AR3031" s="10" t="b">
        <f>IF(AND(I3031="TP",S3031&lt;=300),VLOOKUP(AF3031,TPCalibEq300!$AZ$2:$BB$55,3,),IF(AND(I3031="TDP",S3031&lt;=300),VLOOKUP(AF3031,TPCalibEq300!$AZ$2:$BB$55,3,)))</f>
        <v>0</v>
      </c>
      <c r="AS3031" s="10" t="b">
        <f>IF(AND(I3031="TP",S3031&lt;=500),VLOOKUP(AF3031,TPCalibEq500!$AZ$2:$BB$56,3,),IF(AND(I3031="TDP",S3031&lt;=500),VLOOKUP(AF3031,TPCalibEq500!$AZ$2:$BB$56,3,)))</f>
        <v>0</v>
      </c>
      <c r="AT3031" s="10" t="b">
        <f>IF(AND(I3031="TN",S3031&lt;=2800),VLOOKUP(AF3031,TNCalibEq2500!$AZ$2:$BB$56,3,),IF(AND(I3031="TDN",S3031&lt;=2800),VLOOKUP(AF3031,TNCalibEq2500!$AZ$2:$BB$56,3,)))</f>
        <v>0</v>
      </c>
      <c r="AU3031" s="10" t="b">
        <f>IF(I3031="TP",VLOOKUP(AF3031,TPCalibEqFull!$AZ$2:$BB$56,3),IF(I3031="TDP",VLOOKUP(AF3031,TPCalibEqFull!$AZ$2:$BB$56,3),IF(I3031="TDN",VLOOKUP(AF3031,TNCalibEqFull!$AZ$1:$BB$56,3),IF(I3031="TN",VLOOKUP(AF3031,TNCalibEqFull!$AZ$1:$BB$56,3),FALSE))))</f>
        <v>0</v>
      </c>
      <c r="AV3031" s="10" t="str">
        <f t="shared" si="347"/>
        <v>0213 07:52:00-EFK-0-C-1-SW-UKN</v>
      </c>
    </row>
    <row r="3032" spans="1:48" s="10" customFormat="1" x14ac:dyDescent="0.55000000000000004">
      <c r="A3032" s="32">
        <v>44970</v>
      </c>
      <c r="B3032" s="33">
        <v>0.26458333333333334</v>
      </c>
      <c r="C3032" s="10" t="s">
        <v>333</v>
      </c>
      <c r="D3032" s="10">
        <v>0</v>
      </c>
      <c r="E3032" s="10" t="s">
        <v>190</v>
      </c>
      <c r="F3032" s="10">
        <v>1</v>
      </c>
      <c r="G3032" s="10" t="s">
        <v>231</v>
      </c>
      <c r="H3032" s="10" t="s">
        <v>322</v>
      </c>
      <c r="I3032" s="10" t="s">
        <v>285</v>
      </c>
      <c r="J3032" s="10">
        <v>8</v>
      </c>
      <c r="K3032" s="12">
        <v>44972</v>
      </c>
      <c r="L3032" s="33">
        <v>0.48736111111111113</v>
      </c>
      <c r="M3032" s="10">
        <v>1</v>
      </c>
      <c r="N3032" s="10" t="s">
        <v>211</v>
      </c>
      <c r="O3032" s="10">
        <v>0.22</v>
      </c>
      <c r="P3032" s="10">
        <v>2.0500000000000001E-2</v>
      </c>
      <c r="Q3032" s="10">
        <v>39.700000000000003</v>
      </c>
      <c r="R3032" s="10" t="s">
        <v>913</v>
      </c>
      <c r="S3032" s="34">
        <f t="shared" si="344"/>
        <v>39.700000000000003</v>
      </c>
      <c r="T3032" s="10" t="s">
        <v>1220</v>
      </c>
      <c r="U3032" s="34" t="str">
        <f t="shared" si="345"/>
        <v/>
      </c>
      <c r="V3032" s="31" t="str">
        <f>IF(H3032="CHK",VLOOKUP(I3032,QCCHK,3,),IF(H3032="GUP",VLOOKUP(E3032,QCGUP,2,),IF(AND(H3032="ATP",OR(I3032="TN",I3032="TDN",I3032="TNO2-3",I3032="NO2-3")),VLOOKUP(E3032,QCREC_N,2,),IF(AND(H3032="NIC",OR(I3032="TN",I3032="TDN",I3032="TNO2-3",I3032="NO2-3")),VLOOKUP(E3032,QCNIC_N,2,),IF(AND(H3032="UREA",OR(I3032="TN",I3032="TDN",I3032="TNO2-3",I3032="NO2-3")),VLOOKUP(E3032,QCUREA_N,2,),IF(H3032="PER",VLOOKUP(I3032,QCPER,MATCH(E3032,QCACTUAL!$J$25:$AA$25,0),),IF(H3032="SPK",VLOOKUP(I3032,QCSPK,3,),IF(AND(H3032="ATP",OR(I3032="TP",I3032="TDP")),VLOOKUP(E3032,QCATP_P,2,),""))))))))</f>
        <v/>
      </c>
      <c r="W3032" s="31" t="str">
        <f t="shared" si="346"/>
        <v>TRUE</v>
      </c>
      <c r="X3032" s="31" t="str">
        <f t="shared" si="343"/>
        <v/>
      </c>
      <c r="Y3032" s="10" t="s">
        <v>1206</v>
      </c>
      <c r="Z3032" s="10" t="s">
        <v>910</v>
      </c>
      <c r="AL3032" s="10" t="str">
        <f t="shared" si="341"/>
        <v>FALSE</v>
      </c>
      <c r="AM3032" s="10" t="str">
        <f t="shared" si="341"/>
        <v>FALSE</v>
      </c>
      <c r="AN3032" s="10" t="str">
        <f t="shared" si="341"/>
        <v>FALSE</v>
      </c>
      <c r="AO3032" s="10" t="str">
        <f t="shared" si="342"/>
        <v>FALSE</v>
      </c>
      <c r="AP3032" s="10" t="str">
        <f t="shared" si="342"/>
        <v>FALSE</v>
      </c>
      <c r="AQ3032" s="10" t="b">
        <f>IF(AND(I3032="TP",S3032&lt;=150),VLOOKUP(AF3032,TPCalibEq150!$AZ$2:$BB$55,3,),IF(AND(I3032="TDP",S3032&lt;=150),VLOOKUP(AF3032,TPCalibEq150!$AZ$2:$BB$55,3,)))</f>
        <v>0</v>
      </c>
      <c r="AR3032" s="10" t="b">
        <f>IF(AND(I3032="TP",S3032&lt;=300),VLOOKUP(AF3032,TPCalibEq300!$AZ$2:$BB$55,3,),IF(AND(I3032="TDP",S3032&lt;=300),VLOOKUP(AF3032,TPCalibEq300!$AZ$2:$BB$55,3,)))</f>
        <v>0</v>
      </c>
      <c r="AS3032" s="10" t="b">
        <f>IF(AND(I3032="TP",S3032&lt;=500),VLOOKUP(AF3032,TPCalibEq500!$AZ$2:$BB$56,3,),IF(AND(I3032="TDP",S3032&lt;=500),VLOOKUP(AF3032,TPCalibEq500!$AZ$2:$BB$56,3,)))</f>
        <v>0</v>
      </c>
      <c r="AT3032" s="10" t="b">
        <f>IF(AND(I3032="TN",S3032&lt;=2800),VLOOKUP(AF3032,TNCalibEq2500!$AZ$2:$BB$56,3,),IF(AND(I3032="TDN",S3032&lt;=2800),VLOOKUP(AF3032,TNCalibEq2500!$AZ$2:$BB$56,3,)))</f>
        <v>0</v>
      </c>
      <c r="AU3032" s="10" t="b">
        <f>IF(I3032="TP",VLOOKUP(AF3032,TPCalibEqFull!$AZ$2:$BB$56,3),IF(I3032="TDP",VLOOKUP(AF3032,TPCalibEqFull!$AZ$2:$BB$56,3),IF(I3032="TDN",VLOOKUP(AF3032,TNCalibEqFull!$AZ$1:$BB$56,3),IF(I3032="TN",VLOOKUP(AF3032,TNCalibEqFull!$AZ$1:$BB$56,3),FALSE))))</f>
        <v>0</v>
      </c>
      <c r="AV3032" s="10" t="str">
        <f t="shared" si="347"/>
        <v>0213 06:21:00-HST-0-C-1-SW-UKN</v>
      </c>
    </row>
    <row r="3033" spans="1:48" s="10" customFormat="1" x14ac:dyDescent="0.55000000000000004">
      <c r="A3033" s="32">
        <v>44940</v>
      </c>
      <c r="B3033" s="33">
        <v>0.24097222222222223</v>
      </c>
      <c r="C3033" s="10" t="s">
        <v>279</v>
      </c>
      <c r="D3033" s="10">
        <v>0</v>
      </c>
      <c r="E3033" s="10" t="s">
        <v>190</v>
      </c>
      <c r="F3033" s="10">
        <v>1</v>
      </c>
      <c r="G3033" s="10" t="s">
        <v>231</v>
      </c>
      <c r="H3033" s="10" t="s">
        <v>322</v>
      </c>
      <c r="I3033" s="10" t="s">
        <v>285</v>
      </c>
      <c r="J3033" s="10">
        <v>9</v>
      </c>
      <c r="K3033" s="12">
        <v>44972</v>
      </c>
      <c r="L3033" s="33">
        <v>0.48818287037037034</v>
      </c>
      <c r="M3033" s="10">
        <v>1</v>
      </c>
      <c r="N3033" s="10" t="s">
        <v>211</v>
      </c>
      <c r="O3033" s="10">
        <v>0.72399999999999998</v>
      </c>
      <c r="P3033" s="10">
        <v>7.0000000000000007E-2</v>
      </c>
      <c r="Q3033" s="10">
        <v>129</v>
      </c>
      <c r="R3033" s="10" t="s">
        <v>913</v>
      </c>
      <c r="S3033" s="34">
        <f t="shared" si="344"/>
        <v>129</v>
      </c>
      <c r="T3033" s="10" t="s">
        <v>1220</v>
      </c>
      <c r="U3033" s="34" t="str">
        <f t="shared" si="345"/>
        <v/>
      </c>
      <c r="V3033" s="31" t="str">
        <f>IF(H3033="CHK",VLOOKUP(I3033,QCCHK,3,),IF(H3033="GUP",VLOOKUP(E3033,QCGUP,2,),IF(AND(H3033="ATP",OR(I3033="TN",I3033="TDN",I3033="TNO2-3",I3033="NO2-3")),VLOOKUP(E3033,QCREC_N,2,),IF(AND(H3033="NIC",OR(I3033="TN",I3033="TDN",I3033="TNO2-3",I3033="NO2-3")),VLOOKUP(E3033,QCNIC_N,2,),IF(AND(H3033="UREA",OR(I3033="TN",I3033="TDN",I3033="TNO2-3",I3033="NO2-3")),VLOOKUP(E3033,QCUREA_N,2,),IF(H3033="PER",VLOOKUP(I3033,QCPER,MATCH(E3033,QCACTUAL!$J$25:$AA$25,0),),IF(H3033="SPK",VLOOKUP(I3033,QCSPK,3,),IF(AND(H3033="ATP",OR(I3033="TP",I3033="TDP")),VLOOKUP(E3033,QCATP_P,2,),""))))))))</f>
        <v/>
      </c>
      <c r="W3033" s="31" t="str">
        <f t="shared" si="346"/>
        <v>TRUE</v>
      </c>
      <c r="X3033" s="31" t="str">
        <f t="shared" si="343"/>
        <v/>
      </c>
      <c r="Y3033" s="10" t="s">
        <v>1206</v>
      </c>
      <c r="AL3033" s="10" t="str">
        <f t="shared" si="341"/>
        <v>FALSE</v>
      </c>
      <c r="AM3033" s="10" t="str">
        <f t="shared" si="341"/>
        <v>FALSE</v>
      </c>
      <c r="AN3033" s="10" t="str">
        <f t="shared" si="341"/>
        <v>FALSE</v>
      </c>
      <c r="AO3033" s="10" t="str">
        <f t="shared" si="342"/>
        <v>FALSE</v>
      </c>
      <c r="AP3033" s="10" t="str">
        <f t="shared" si="342"/>
        <v>FALSE</v>
      </c>
      <c r="AQ3033" s="10" t="b">
        <f>IF(AND(I3033="TP",S3033&lt;=150),VLOOKUP(AF3033,TPCalibEq150!$AZ$2:$BB$55,3,),IF(AND(I3033="TDP",S3033&lt;=150),VLOOKUP(AF3033,TPCalibEq150!$AZ$2:$BB$55,3,)))</f>
        <v>0</v>
      </c>
      <c r="AR3033" s="10" t="b">
        <f>IF(AND(I3033="TP",S3033&lt;=300),VLOOKUP(AF3033,TPCalibEq300!$AZ$2:$BB$55,3,),IF(AND(I3033="TDP",S3033&lt;=300),VLOOKUP(AF3033,TPCalibEq300!$AZ$2:$BB$55,3,)))</f>
        <v>0</v>
      </c>
      <c r="AS3033" s="10" t="b">
        <f>IF(AND(I3033="TP",S3033&lt;=500),VLOOKUP(AF3033,TPCalibEq500!$AZ$2:$BB$56,3,),IF(AND(I3033="TDP",S3033&lt;=500),VLOOKUP(AF3033,TPCalibEq500!$AZ$2:$BB$56,3,)))</f>
        <v>0</v>
      </c>
      <c r="AT3033" s="10" t="b">
        <f>IF(AND(I3033="TN",S3033&lt;=2800),VLOOKUP(AF3033,TNCalibEq2500!$AZ$2:$BB$56,3,),IF(AND(I3033="TDN",S3033&lt;=2800),VLOOKUP(AF3033,TNCalibEq2500!$AZ$2:$BB$56,3,)))</f>
        <v>0</v>
      </c>
      <c r="AU3033" s="10" t="b">
        <f>IF(I3033="TP",VLOOKUP(AF3033,TPCalibEqFull!$AZ$2:$BB$56,3),IF(I3033="TDP",VLOOKUP(AF3033,TPCalibEqFull!$AZ$2:$BB$56,3),IF(I3033="TDN",VLOOKUP(AF3033,TNCalibEqFull!$AZ$1:$BB$56,3),IF(I3033="TN",VLOOKUP(AF3033,TNCalibEqFull!$AZ$1:$BB$56,3),FALSE))))</f>
        <v>0</v>
      </c>
      <c r="AV3033" s="10" t="str">
        <f t="shared" si="347"/>
        <v>0114 05:47:00-EFK-0-C-1-SW-UKN</v>
      </c>
    </row>
    <row r="3034" spans="1:48" s="10" customFormat="1" x14ac:dyDescent="0.55000000000000004">
      <c r="A3034" s="32">
        <v>44940</v>
      </c>
      <c r="B3034" s="33">
        <v>0.24444444444444446</v>
      </c>
      <c r="C3034" s="10" t="s">
        <v>333</v>
      </c>
      <c r="D3034" s="10">
        <v>0</v>
      </c>
      <c r="E3034" s="10" t="s">
        <v>190</v>
      </c>
      <c r="F3034" s="10">
        <v>1</v>
      </c>
      <c r="G3034" s="10" t="s">
        <v>231</v>
      </c>
      <c r="H3034" s="10" t="s">
        <v>322</v>
      </c>
      <c r="I3034" s="10" t="s">
        <v>285</v>
      </c>
      <c r="J3034" s="10">
        <v>10</v>
      </c>
      <c r="K3034" s="12">
        <v>44972</v>
      </c>
      <c r="L3034" s="33">
        <v>0.48899305555555556</v>
      </c>
      <c r="M3034" s="10">
        <v>1</v>
      </c>
      <c r="N3034" s="10" t="s">
        <v>211</v>
      </c>
      <c r="O3034" s="10">
        <v>0.28799999999999998</v>
      </c>
      <c r="P3034" s="10">
        <v>2.7400000000000001E-2</v>
      </c>
      <c r="Q3034" s="10">
        <v>51.7</v>
      </c>
      <c r="R3034" s="10" t="s">
        <v>913</v>
      </c>
      <c r="S3034" s="34">
        <f t="shared" si="344"/>
        <v>51.7</v>
      </c>
      <c r="T3034" s="10" t="s">
        <v>1220</v>
      </c>
      <c r="U3034" s="34" t="str">
        <f t="shared" si="345"/>
        <v/>
      </c>
      <c r="V3034" s="31" t="str">
        <f>IF(H3034="CHK",VLOOKUP(I3034,QCCHK,3,),IF(H3034="GUP",VLOOKUP(E3034,QCGUP,2,),IF(AND(H3034="ATP",OR(I3034="TN",I3034="TDN",I3034="TNO2-3",I3034="NO2-3")),VLOOKUP(E3034,QCREC_N,2,),IF(AND(H3034="NIC",OR(I3034="TN",I3034="TDN",I3034="TNO2-3",I3034="NO2-3")),VLOOKUP(E3034,QCNIC_N,2,),IF(AND(H3034="UREA",OR(I3034="TN",I3034="TDN",I3034="TNO2-3",I3034="NO2-3")),VLOOKUP(E3034,QCUREA_N,2,),IF(H3034="PER",VLOOKUP(I3034,QCPER,MATCH(E3034,QCACTUAL!$J$25:$AA$25,0),),IF(H3034="SPK",VLOOKUP(I3034,QCSPK,3,),IF(AND(H3034="ATP",OR(I3034="TP",I3034="TDP")),VLOOKUP(E3034,QCATP_P,2,),""))))))))</f>
        <v/>
      </c>
      <c r="W3034" s="31" t="str">
        <f t="shared" si="346"/>
        <v>TRUE</v>
      </c>
      <c r="X3034" s="31" t="str">
        <f t="shared" si="343"/>
        <v/>
      </c>
      <c r="Y3034" s="10" t="s">
        <v>1206</v>
      </c>
      <c r="AL3034" s="10" t="str">
        <f t="shared" si="341"/>
        <v>FALSE</v>
      </c>
      <c r="AM3034" s="10" t="str">
        <f t="shared" si="341"/>
        <v>FALSE</v>
      </c>
      <c r="AN3034" s="10" t="str">
        <f t="shared" si="341"/>
        <v>FALSE</v>
      </c>
      <c r="AO3034" s="10" t="str">
        <f t="shared" si="342"/>
        <v>FALSE</v>
      </c>
      <c r="AP3034" s="10" t="str">
        <f t="shared" si="342"/>
        <v>FALSE</v>
      </c>
      <c r="AQ3034" s="10" t="b">
        <f>IF(AND(I3034="TP",S3034&lt;=150),VLOOKUP(AF3034,TPCalibEq150!$AZ$2:$BB$55,3,),IF(AND(I3034="TDP",S3034&lt;=150),VLOOKUP(AF3034,TPCalibEq150!$AZ$2:$BB$55,3,)))</f>
        <v>0</v>
      </c>
      <c r="AR3034" s="10" t="b">
        <f>IF(AND(I3034="TP",S3034&lt;=300),VLOOKUP(AF3034,TPCalibEq300!$AZ$2:$BB$55,3,),IF(AND(I3034="TDP",S3034&lt;=300),VLOOKUP(AF3034,TPCalibEq300!$AZ$2:$BB$55,3,)))</f>
        <v>0</v>
      </c>
      <c r="AS3034" s="10" t="b">
        <f>IF(AND(I3034="TP",S3034&lt;=500),VLOOKUP(AF3034,TPCalibEq500!$AZ$2:$BB$56,3,),IF(AND(I3034="TDP",S3034&lt;=500),VLOOKUP(AF3034,TPCalibEq500!$AZ$2:$BB$56,3,)))</f>
        <v>0</v>
      </c>
      <c r="AT3034" s="10" t="b">
        <f>IF(AND(I3034="TN",S3034&lt;=2800),VLOOKUP(AF3034,TNCalibEq2500!$AZ$2:$BB$56,3,),IF(AND(I3034="TDN",S3034&lt;=2800),VLOOKUP(AF3034,TNCalibEq2500!$AZ$2:$BB$56,3,)))</f>
        <v>0</v>
      </c>
      <c r="AU3034" s="10" t="b">
        <f>IF(I3034="TP",VLOOKUP(AF3034,TPCalibEqFull!$AZ$2:$BB$56,3),IF(I3034="TDP",VLOOKUP(AF3034,TPCalibEqFull!$AZ$2:$BB$56,3),IF(I3034="TDN",VLOOKUP(AF3034,TNCalibEqFull!$AZ$1:$BB$56,3),IF(I3034="TN",VLOOKUP(AF3034,TNCalibEqFull!$AZ$1:$BB$56,3),FALSE))))</f>
        <v>0</v>
      </c>
      <c r="AV3034" s="10" t="str">
        <f t="shared" si="347"/>
        <v>0114 05:52:00-HST-0-C-1-SW-UKN</v>
      </c>
    </row>
    <row r="3035" spans="1:48" s="10" customFormat="1" x14ac:dyDescent="0.55000000000000004">
      <c r="A3035" s="32">
        <v>44940</v>
      </c>
      <c r="B3035" s="33">
        <v>0.24444444444444446</v>
      </c>
      <c r="C3035" s="10" t="s">
        <v>333</v>
      </c>
      <c r="D3035" s="10">
        <v>0</v>
      </c>
      <c r="E3035" s="10" t="s">
        <v>190</v>
      </c>
      <c r="F3035" s="10">
        <v>1</v>
      </c>
      <c r="G3035" s="10" t="s">
        <v>231</v>
      </c>
      <c r="H3035" s="10" t="s">
        <v>233</v>
      </c>
      <c r="I3035" s="10" t="s">
        <v>285</v>
      </c>
      <c r="J3035" s="10">
        <v>10</v>
      </c>
      <c r="K3035" s="12">
        <v>44972</v>
      </c>
      <c r="L3035" s="33">
        <v>0.48980324074074072</v>
      </c>
      <c r="M3035" s="10">
        <v>1</v>
      </c>
      <c r="N3035" s="10" t="s">
        <v>211</v>
      </c>
      <c r="O3035" s="10">
        <v>0.28399999999999997</v>
      </c>
      <c r="P3035" s="10">
        <v>2.6800000000000001E-2</v>
      </c>
      <c r="Q3035" s="10">
        <v>51</v>
      </c>
      <c r="R3035" s="10" t="s">
        <v>913</v>
      </c>
      <c r="S3035" s="34">
        <f t="shared" si="344"/>
        <v>51</v>
      </c>
      <c r="T3035" s="10" t="s">
        <v>1220</v>
      </c>
      <c r="U3035" s="34">
        <f t="shared" si="345"/>
        <v>1.363193768257065</v>
      </c>
      <c r="V3035" s="31" t="str">
        <f>IF(H3035="CHK",VLOOKUP(I3035,QCCHK,3,),IF(H3035="GUP",VLOOKUP(E3035,QCGUP,2,),IF(AND(H3035="ATP",OR(I3035="TN",I3035="TDN",I3035="TNO2-3",I3035="NO2-3")),VLOOKUP(E3035,QCREC_N,2,),IF(AND(H3035="NIC",OR(I3035="TN",I3035="TDN",I3035="TNO2-3",I3035="NO2-3")),VLOOKUP(E3035,QCNIC_N,2,),IF(AND(H3035="UREA",OR(I3035="TN",I3035="TDN",I3035="TNO2-3",I3035="NO2-3")),VLOOKUP(E3035,QCUREA_N,2,),IF(H3035="PER",VLOOKUP(I3035,QCPER,MATCH(E3035,QCACTUAL!$J$25:$AA$25,0),),IF(H3035="SPK",VLOOKUP(I3035,QCSPK,3,),IF(AND(H3035="ATP",OR(I3035="TP",I3035="TDP")),VLOOKUP(E3035,QCATP_P,2,),""))))))))</f>
        <v/>
      </c>
      <c r="W3035" s="31" t="str">
        <f t="shared" si="346"/>
        <v>TRUE</v>
      </c>
      <c r="X3035" s="31" t="str">
        <f t="shared" si="343"/>
        <v>((ABS(rep1-rep2))/((rep1+rep2)/2)*100</v>
      </c>
      <c r="Y3035" s="10" t="s">
        <v>1206</v>
      </c>
      <c r="AL3035" s="10" t="str">
        <f t="shared" si="341"/>
        <v>FALSE</v>
      </c>
      <c r="AM3035" s="10" t="str">
        <f t="shared" si="341"/>
        <v>FALSE</v>
      </c>
      <c r="AN3035" s="10" t="str">
        <f t="shared" si="341"/>
        <v>FALSE</v>
      </c>
      <c r="AO3035" s="10" t="str">
        <f t="shared" si="342"/>
        <v>FALSE</v>
      </c>
      <c r="AP3035" s="10" t="str">
        <f t="shared" si="342"/>
        <v>FALSE</v>
      </c>
      <c r="AQ3035" s="10" t="b">
        <f>IF(AND(I3035="TP",S3035&lt;=150),VLOOKUP(AF3035,TPCalibEq150!$AZ$2:$BB$55,3,),IF(AND(I3035="TDP",S3035&lt;=150),VLOOKUP(AF3035,TPCalibEq150!$AZ$2:$BB$55,3,)))</f>
        <v>0</v>
      </c>
      <c r="AR3035" s="10" t="b">
        <f>IF(AND(I3035="TP",S3035&lt;=300),VLOOKUP(AF3035,TPCalibEq300!$AZ$2:$BB$55,3,),IF(AND(I3035="TDP",S3035&lt;=300),VLOOKUP(AF3035,TPCalibEq300!$AZ$2:$BB$55,3,)))</f>
        <v>0</v>
      </c>
      <c r="AS3035" s="10" t="b">
        <f>IF(AND(I3035="TP",S3035&lt;=500),VLOOKUP(AF3035,TPCalibEq500!$AZ$2:$BB$56,3,),IF(AND(I3035="TDP",S3035&lt;=500),VLOOKUP(AF3035,TPCalibEq500!$AZ$2:$BB$56,3,)))</f>
        <v>0</v>
      </c>
      <c r="AT3035" s="10" t="b">
        <f>IF(AND(I3035="TN",S3035&lt;=2800),VLOOKUP(AF3035,TNCalibEq2500!$AZ$2:$BB$56,3,),IF(AND(I3035="TDN",S3035&lt;=2800),VLOOKUP(AF3035,TNCalibEq2500!$AZ$2:$BB$56,3,)))</f>
        <v>0</v>
      </c>
      <c r="AU3035" s="10" t="b">
        <f>IF(I3035="TP",VLOOKUP(AF3035,TPCalibEqFull!$AZ$2:$BB$56,3),IF(I3035="TDP",VLOOKUP(AF3035,TPCalibEqFull!$AZ$2:$BB$56,3),IF(I3035="TDN",VLOOKUP(AF3035,TNCalibEqFull!$AZ$1:$BB$56,3),IF(I3035="TN",VLOOKUP(AF3035,TNCalibEqFull!$AZ$1:$BB$56,3),FALSE))))</f>
        <v>0</v>
      </c>
      <c r="AV3035" s="10" t="str">
        <f t="shared" si="347"/>
        <v>0114 05:52:00-HST-0-C-1-SW-DUP</v>
      </c>
    </row>
    <row r="3036" spans="1:48" s="10" customFormat="1" x14ac:dyDescent="0.55000000000000004">
      <c r="A3036" s="32">
        <v>44940</v>
      </c>
      <c r="B3036" s="33">
        <v>0.24444444444444446</v>
      </c>
      <c r="C3036" s="10" t="s">
        <v>912</v>
      </c>
      <c r="D3036" s="10">
        <v>0</v>
      </c>
      <c r="E3036" s="10" t="s">
        <v>190</v>
      </c>
      <c r="F3036" s="10">
        <v>1</v>
      </c>
      <c r="G3036" s="10" t="s">
        <v>231</v>
      </c>
      <c r="H3036" s="10" t="s">
        <v>314</v>
      </c>
      <c r="I3036" s="10" t="s">
        <v>285</v>
      </c>
      <c r="J3036" s="10">
        <v>49</v>
      </c>
      <c r="K3036" s="12">
        <v>44972</v>
      </c>
      <c r="L3036" s="33">
        <v>0.49061342592592588</v>
      </c>
      <c r="M3036" s="10">
        <v>1</v>
      </c>
      <c r="N3036" s="10" t="s">
        <v>211</v>
      </c>
      <c r="O3036" s="10">
        <v>1.1399999999999999</v>
      </c>
      <c r="P3036" s="10">
        <v>0.112</v>
      </c>
      <c r="Q3036" s="10">
        <v>204</v>
      </c>
      <c r="R3036" s="10" t="s">
        <v>913</v>
      </c>
      <c r="S3036" s="34">
        <f t="shared" si="344"/>
        <v>204</v>
      </c>
      <c r="T3036" s="10" t="s">
        <v>1220</v>
      </c>
      <c r="U3036" s="34">
        <f t="shared" si="345"/>
        <v>97.92</v>
      </c>
      <c r="V3036" s="31">
        <f>IF(H3036="CHK",VLOOKUP(I3036,QCCHK,3,),IF(H3036="GUP",VLOOKUP(E3036,QCGUP,2,),IF(AND(H3036="ATP",OR(I3036="TN",I3036="TDN",I3036="TNO2-3",I3036="NO2-3")),VLOOKUP(E3036,QCREC_N,2,),IF(AND(H3036="NIC",OR(I3036="TN",I3036="TDN",I3036="TNO2-3",I3036="NO2-3")),VLOOKUP(E3036,QCNIC_N,2,),IF(AND(H3036="UREA",OR(I3036="TN",I3036="TDN",I3036="TNO2-3",I3036="NO2-3")),VLOOKUP(E3036,QCUREA_N,2,),IF(H3036="PER",VLOOKUP(I3036,QCPER,MATCH(E3036,QCACTUAL!$J$25:$AA$25,0),),IF(H3036="SPK",VLOOKUP(I3036,QCSPK,3,),IF(AND(H3036="ATP",OR(I3036="TP",I3036="TDP")),VLOOKUP(E3036,QCATP_P,2,),""))))))))</f>
        <v>156.25</v>
      </c>
      <c r="W3036" s="31" t="str">
        <f t="shared" si="346"/>
        <v>TRUE</v>
      </c>
      <c r="X3036" s="31" t="str">
        <f t="shared" si="343"/>
        <v>([spikedunkn]-[unkn])/[spike]*100</v>
      </c>
      <c r="Y3036" s="10" t="s">
        <v>1206</v>
      </c>
      <c r="AL3036" s="10" t="str">
        <f t="shared" si="341"/>
        <v>FALSE</v>
      </c>
      <c r="AM3036" s="10" t="str">
        <f t="shared" si="341"/>
        <v>FALSE</v>
      </c>
      <c r="AN3036" s="10" t="str">
        <f t="shared" si="341"/>
        <v>FALSE</v>
      </c>
      <c r="AO3036" s="10" t="str">
        <f t="shared" si="342"/>
        <v>FALSE</v>
      </c>
      <c r="AP3036" s="10" t="str">
        <f t="shared" si="342"/>
        <v>FALSE</v>
      </c>
      <c r="AQ3036" s="10" t="b">
        <f>IF(AND(I3036="TP",S3036&lt;=150),VLOOKUP(AF3036,TPCalibEq150!$AZ$2:$BB$55,3,),IF(AND(I3036="TDP",S3036&lt;=150),VLOOKUP(AF3036,TPCalibEq150!$AZ$2:$BB$55,3,)))</f>
        <v>0</v>
      </c>
      <c r="AR3036" s="10" t="b">
        <f>IF(AND(I3036="TP",S3036&lt;=300),VLOOKUP(AF3036,TPCalibEq300!$AZ$2:$BB$55,3,),IF(AND(I3036="TDP",S3036&lt;=300),VLOOKUP(AF3036,TPCalibEq300!$AZ$2:$BB$55,3,)))</f>
        <v>0</v>
      </c>
      <c r="AS3036" s="10" t="b">
        <f>IF(AND(I3036="TP",S3036&lt;=500),VLOOKUP(AF3036,TPCalibEq500!$AZ$2:$BB$56,3,),IF(AND(I3036="TDP",S3036&lt;=500),VLOOKUP(AF3036,TPCalibEq500!$AZ$2:$BB$56,3,)))</f>
        <v>0</v>
      </c>
      <c r="AT3036" s="10" t="b">
        <f>IF(AND(I3036="TN",S3036&lt;=2800),VLOOKUP(AF3036,TNCalibEq2500!$AZ$2:$BB$56,3,),IF(AND(I3036="TDN",S3036&lt;=2800),VLOOKUP(AF3036,TNCalibEq2500!$AZ$2:$BB$56,3,)))</f>
        <v>0</v>
      </c>
      <c r="AU3036" s="10" t="b">
        <f>IF(I3036="TP",VLOOKUP(AF3036,TPCalibEqFull!$AZ$2:$BB$56,3),IF(I3036="TDP",VLOOKUP(AF3036,TPCalibEqFull!$AZ$2:$BB$56,3),IF(I3036="TDN",VLOOKUP(AF3036,TNCalibEqFull!$AZ$1:$BB$56,3),IF(I3036="TN",VLOOKUP(AF3036,TNCalibEqFull!$AZ$1:$BB$56,3),FALSE))))</f>
        <v>0</v>
      </c>
      <c r="AV3036" s="10" t="str">
        <f t="shared" si="347"/>
        <v>0114 05:52:00-HST -0-C-1-SW-SPK</v>
      </c>
    </row>
    <row r="3037" spans="1:48" s="10" customFormat="1" x14ac:dyDescent="0.55000000000000004">
      <c r="A3037" s="32">
        <v>44972</v>
      </c>
      <c r="B3037" s="33">
        <v>0.375</v>
      </c>
      <c r="C3037" s="10" t="s">
        <v>70</v>
      </c>
      <c r="D3037" s="10" t="s">
        <v>71</v>
      </c>
      <c r="E3037" s="10" t="s">
        <v>901</v>
      </c>
      <c r="F3037" s="10">
        <v>1</v>
      </c>
      <c r="G3037" s="10" t="s">
        <v>73</v>
      </c>
      <c r="H3037" s="10" t="s">
        <v>207</v>
      </c>
      <c r="I3037" s="10" t="s">
        <v>285</v>
      </c>
      <c r="J3037" s="10">
        <v>199</v>
      </c>
      <c r="K3037" s="12">
        <v>44972</v>
      </c>
      <c r="L3037" s="33">
        <v>0.49144675925925929</v>
      </c>
      <c r="M3037" s="10">
        <v>1</v>
      </c>
      <c r="N3037" s="10" t="s">
        <v>211</v>
      </c>
      <c r="O3037" s="10">
        <v>0.42199999999999999</v>
      </c>
      <c r="P3037" s="10">
        <v>4.0500000000000001E-2</v>
      </c>
      <c r="Q3037" s="10">
        <v>75.7</v>
      </c>
      <c r="R3037" s="10" t="s">
        <v>913</v>
      </c>
      <c r="S3037" s="34">
        <f t="shared" si="344"/>
        <v>75.7</v>
      </c>
      <c r="T3037" s="10" t="s">
        <v>1220</v>
      </c>
      <c r="U3037" s="34">
        <f t="shared" si="345"/>
        <v>100.93333333333334</v>
      </c>
      <c r="V3037" s="31">
        <f>IF(H3037="CHK",VLOOKUP(I3037,QCCHK,3,),IF(H3037="GUP",VLOOKUP(E3037,QCGUP,2,),IF(AND(H3037="ATP",OR(I3037="TN",I3037="TDN",I3037="TNO2-3",I3037="NO2-3")),VLOOKUP(E3037,QCREC_N,2,),IF(AND(H3037="NIC",OR(I3037="TN",I3037="TDN",I3037="TNO2-3",I3037="NO2-3")),VLOOKUP(E3037,QCNIC_N,2,),IF(AND(H3037="UREA",OR(I3037="TN",I3037="TDN",I3037="TNO2-3",I3037="NO2-3")),VLOOKUP(E3037,QCUREA_N,2,),IF(H3037="PER",VLOOKUP(I3037,QCPER,MATCH(E3037,QCACTUAL!$J$25:$AA$25,0),),IF(H3037="SPK",VLOOKUP(I3037,QCSPK,3,),IF(AND(H3037="ATP",OR(I3037="TP",I3037="TDP")),VLOOKUP(E3037,QCATP_P,2,),""))))))))</f>
        <v>75</v>
      </c>
      <c r="W3037" s="31" t="str">
        <f t="shared" si="346"/>
        <v>TRUE</v>
      </c>
      <c r="X3037" s="31" t="str">
        <f t="shared" si="343"/>
        <v>[chk]/[actual]*100</v>
      </c>
      <c r="Y3037" s="10" t="s">
        <v>1206</v>
      </c>
      <c r="AL3037" s="10" t="str">
        <f t="shared" si="341"/>
        <v>FALSE</v>
      </c>
      <c r="AM3037" s="10" t="str">
        <f t="shared" si="341"/>
        <v>FALSE</v>
      </c>
      <c r="AN3037" s="10" t="str">
        <f t="shared" si="341"/>
        <v>FALSE</v>
      </c>
      <c r="AO3037" s="10" t="str">
        <f t="shared" si="342"/>
        <v>FALSE</v>
      </c>
      <c r="AP3037" s="10" t="str">
        <f t="shared" si="342"/>
        <v>FALSE</v>
      </c>
      <c r="AQ3037" s="10" t="b">
        <f>IF(AND(I3037="TP",S3037&lt;=150),VLOOKUP(AF3037,TPCalibEq150!$AZ$2:$BB$55,3,),IF(AND(I3037="TDP",S3037&lt;=150),VLOOKUP(AF3037,TPCalibEq150!$AZ$2:$BB$55,3,)))</f>
        <v>0</v>
      </c>
      <c r="AR3037" s="10" t="b">
        <f>IF(AND(I3037="TP",S3037&lt;=300),VLOOKUP(AF3037,TPCalibEq300!$AZ$2:$BB$55,3,),IF(AND(I3037="TDP",S3037&lt;=300),VLOOKUP(AF3037,TPCalibEq300!$AZ$2:$BB$55,3,)))</f>
        <v>0</v>
      </c>
      <c r="AS3037" s="10" t="b">
        <f>IF(AND(I3037="TP",S3037&lt;=500),VLOOKUP(AF3037,TPCalibEq500!$AZ$2:$BB$56,3,),IF(AND(I3037="TDP",S3037&lt;=500),VLOOKUP(AF3037,TPCalibEq500!$AZ$2:$BB$56,3,)))</f>
        <v>0</v>
      </c>
      <c r="AT3037" s="10" t="b">
        <f>IF(AND(I3037="TN",S3037&lt;=2800),VLOOKUP(AF3037,TNCalibEq2500!$AZ$2:$BB$56,3,),IF(AND(I3037="TDN",S3037&lt;=2800),VLOOKUP(AF3037,TNCalibEq2500!$AZ$2:$BB$56,3,)))</f>
        <v>0</v>
      </c>
      <c r="AU3037" s="10" t="b">
        <f>IF(I3037="TP",VLOOKUP(AF3037,TPCalibEqFull!$AZ$2:$BB$56,3),IF(I3037="TDP",VLOOKUP(AF3037,TPCalibEqFull!$AZ$2:$BB$56,3),IF(I3037="TDN",VLOOKUP(AF3037,TNCalibEqFull!$AZ$1:$BB$56,3),IF(I3037="TN",VLOOKUP(AF3037,TNCalibEqFull!$AZ$1:$BB$56,3),FALSE))))</f>
        <v>0</v>
      </c>
      <c r="AV3037" s="10" t="str">
        <f t="shared" si="347"/>
        <v>0215 09:00:00-QAC-STD-D-1-DI-CHK</v>
      </c>
    </row>
    <row r="3038" spans="1:48" s="10" customFormat="1" x14ac:dyDescent="0.55000000000000004">
      <c r="A3038" s="32">
        <v>44970</v>
      </c>
      <c r="B3038" s="33">
        <v>0.36944444444444446</v>
      </c>
      <c r="C3038" s="10" t="s">
        <v>998</v>
      </c>
      <c r="D3038" s="10">
        <v>0</v>
      </c>
      <c r="E3038" s="10" t="s">
        <v>190</v>
      </c>
      <c r="F3038" s="10">
        <v>1</v>
      </c>
      <c r="G3038" s="10" t="s">
        <v>231</v>
      </c>
      <c r="H3038" s="10" t="s">
        <v>322</v>
      </c>
      <c r="I3038" s="10" t="s">
        <v>285</v>
      </c>
      <c r="J3038" s="10">
        <v>11</v>
      </c>
      <c r="K3038" s="12">
        <v>44972</v>
      </c>
      <c r="L3038" s="33">
        <v>0.49225694444444446</v>
      </c>
      <c r="M3038" s="10">
        <v>1</v>
      </c>
      <c r="N3038" s="10" t="s">
        <v>211</v>
      </c>
      <c r="O3038" s="10">
        <v>1.29</v>
      </c>
      <c r="P3038" s="10">
        <v>0.126</v>
      </c>
      <c r="Q3038" s="10">
        <v>230</v>
      </c>
      <c r="R3038" s="10" t="s">
        <v>913</v>
      </c>
      <c r="S3038" s="34">
        <f t="shared" si="344"/>
        <v>230</v>
      </c>
      <c r="T3038" s="10" t="s">
        <v>1220</v>
      </c>
      <c r="U3038" s="34" t="str">
        <f t="shared" si="345"/>
        <v/>
      </c>
      <c r="V3038" s="31" t="str">
        <f>IF(H3038="CHK",VLOOKUP(I3038,QCCHK,3,),IF(H3038="GUP",VLOOKUP(E3038,QCGUP,2,),IF(AND(H3038="ATP",OR(I3038="TN",I3038="TDN",I3038="TNO2-3",I3038="NO2-3")),VLOOKUP(E3038,QCREC_N,2,),IF(AND(H3038="NIC",OR(I3038="TN",I3038="TDN",I3038="TNO2-3",I3038="NO2-3")),VLOOKUP(E3038,QCNIC_N,2,),IF(AND(H3038="UREA",OR(I3038="TN",I3038="TDN",I3038="TNO2-3",I3038="NO2-3")),VLOOKUP(E3038,QCUREA_N,2,),IF(H3038="PER",VLOOKUP(I3038,QCPER,MATCH(E3038,QCACTUAL!$J$25:$AA$25,0),),IF(H3038="SPK",VLOOKUP(I3038,QCSPK,3,),IF(AND(H3038="ATP",OR(I3038="TP",I3038="TDP")),VLOOKUP(E3038,QCATP_P,2,),""))))))))</f>
        <v/>
      </c>
      <c r="W3038" s="31" t="str">
        <f t="shared" si="346"/>
        <v>TRUE</v>
      </c>
      <c r="X3038" s="31" t="str">
        <f t="shared" si="343"/>
        <v/>
      </c>
      <c r="Y3038" s="10" t="s">
        <v>1206</v>
      </c>
      <c r="Z3038" s="10" t="s">
        <v>910</v>
      </c>
      <c r="AL3038" s="10" t="str">
        <f t="shared" si="341"/>
        <v>FALSE</v>
      </c>
      <c r="AM3038" s="10" t="str">
        <f t="shared" si="341"/>
        <v>FALSE</v>
      </c>
      <c r="AN3038" s="10" t="str">
        <f t="shared" si="341"/>
        <v>FALSE</v>
      </c>
      <c r="AO3038" s="10" t="str">
        <f t="shared" si="342"/>
        <v>FALSE</v>
      </c>
      <c r="AP3038" s="10" t="str">
        <f t="shared" si="342"/>
        <v>FALSE</v>
      </c>
      <c r="AQ3038" s="10" t="b">
        <f>IF(AND(I3038="TP",S3038&lt;=150),VLOOKUP(AF3038,TPCalibEq150!$AZ$2:$BB$55,3,),IF(AND(I3038="TDP",S3038&lt;=150),VLOOKUP(AF3038,TPCalibEq150!$AZ$2:$BB$55,3,)))</f>
        <v>0</v>
      </c>
      <c r="AR3038" s="10" t="b">
        <f>IF(AND(I3038="TP",S3038&lt;=300),VLOOKUP(AF3038,TPCalibEq300!$AZ$2:$BB$55,3,),IF(AND(I3038="TDP",S3038&lt;=300),VLOOKUP(AF3038,TPCalibEq300!$AZ$2:$BB$55,3,)))</f>
        <v>0</v>
      </c>
      <c r="AS3038" s="10" t="b">
        <f>IF(AND(I3038="TP",S3038&lt;=500),VLOOKUP(AF3038,TPCalibEq500!$AZ$2:$BB$56,3,),IF(AND(I3038="TDP",S3038&lt;=500),VLOOKUP(AF3038,TPCalibEq500!$AZ$2:$BB$56,3,)))</f>
        <v>0</v>
      </c>
      <c r="AT3038" s="10" t="b">
        <f>IF(AND(I3038="TN",S3038&lt;=2800),VLOOKUP(AF3038,TNCalibEq2500!$AZ$2:$BB$56,3,),IF(AND(I3038="TDN",S3038&lt;=2800),VLOOKUP(AF3038,TNCalibEq2500!$AZ$2:$BB$56,3,)))</f>
        <v>0</v>
      </c>
      <c r="AU3038" s="10" t="b">
        <f>IF(I3038="TP",VLOOKUP(AF3038,TPCalibEqFull!$AZ$2:$BB$56,3),IF(I3038="TDP",VLOOKUP(AF3038,TPCalibEqFull!$AZ$2:$BB$56,3),IF(I3038="TDN",VLOOKUP(AF3038,TNCalibEqFull!$AZ$1:$BB$56,3),IF(I3038="TN",VLOOKUP(AF3038,TNCalibEqFull!$AZ$1:$BB$56,3),FALSE))))</f>
        <v>0</v>
      </c>
      <c r="AV3038" s="10" t="str">
        <f t="shared" si="347"/>
        <v>0213 08:52:00-ELW-0-C-1-SW-UKN</v>
      </c>
    </row>
    <row r="3039" spans="1:48" s="10" customFormat="1" x14ac:dyDescent="0.55000000000000004">
      <c r="A3039" s="32">
        <v>44970</v>
      </c>
      <c r="B3039" s="33">
        <v>0.3840277777777778</v>
      </c>
      <c r="C3039" s="10" t="s">
        <v>270</v>
      </c>
      <c r="D3039" s="10">
        <v>0</v>
      </c>
      <c r="E3039" s="10" t="s">
        <v>190</v>
      </c>
      <c r="F3039" s="10">
        <v>1</v>
      </c>
      <c r="G3039" s="10" t="s">
        <v>231</v>
      </c>
      <c r="H3039" s="10" t="s">
        <v>322</v>
      </c>
      <c r="I3039" s="10" t="s">
        <v>285</v>
      </c>
      <c r="J3039" s="10">
        <v>12</v>
      </c>
      <c r="K3039" s="12">
        <v>44972</v>
      </c>
      <c r="L3039" s="33">
        <v>0.49306712962962962</v>
      </c>
      <c r="M3039" s="10">
        <v>1</v>
      </c>
      <c r="N3039" s="10" t="s">
        <v>211</v>
      </c>
      <c r="O3039" s="10">
        <v>8.1799999999999998E-2</v>
      </c>
      <c r="P3039" s="10">
        <v>7.7099999999999998E-3</v>
      </c>
      <c r="Q3039" s="10">
        <v>15</v>
      </c>
      <c r="R3039" s="10" t="s">
        <v>913</v>
      </c>
      <c r="S3039" s="34">
        <f t="shared" si="344"/>
        <v>15</v>
      </c>
      <c r="T3039" s="10" t="s">
        <v>1220</v>
      </c>
      <c r="U3039" s="34" t="str">
        <f t="shared" si="345"/>
        <v/>
      </c>
      <c r="V3039" s="31" t="str">
        <f>IF(H3039="CHK",VLOOKUP(I3039,QCCHK,3,),IF(H3039="GUP",VLOOKUP(E3039,QCGUP,2,),IF(AND(H3039="ATP",OR(I3039="TN",I3039="TDN",I3039="TNO2-3",I3039="NO2-3")),VLOOKUP(E3039,QCREC_N,2,),IF(AND(H3039="NIC",OR(I3039="TN",I3039="TDN",I3039="TNO2-3",I3039="NO2-3")),VLOOKUP(E3039,QCNIC_N,2,),IF(AND(H3039="UREA",OR(I3039="TN",I3039="TDN",I3039="TNO2-3",I3039="NO2-3")),VLOOKUP(E3039,QCUREA_N,2,),IF(H3039="PER",VLOOKUP(I3039,QCPER,MATCH(E3039,QCACTUAL!$J$25:$AA$25,0),),IF(H3039="SPK",VLOOKUP(I3039,QCSPK,3,),IF(AND(H3039="ATP",OR(I3039="TP",I3039="TDP")),VLOOKUP(E3039,QCATP_P,2,),""))))))))</f>
        <v/>
      </c>
      <c r="W3039" s="31" t="str">
        <f t="shared" si="346"/>
        <v>TRUE</v>
      </c>
      <c r="X3039" s="31" t="str">
        <f t="shared" si="343"/>
        <v/>
      </c>
      <c r="Y3039" s="10" t="s">
        <v>1206</v>
      </c>
      <c r="Z3039" s="10" t="s">
        <v>910</v>
      </c>
      <c r="AL3039" s="10" t="str">
        <f t="shared" si="341"/>
        <v>FALSE</v>
      </c>
      <c r="AM3039" s="10" t="str">
        <f t="shared" si="341"/>
        <v>FALSE</v>
      </c>
      <c r="AN3039" s="10" t="str">
        <f t="shared" si="341"/>
        <v>FALSE</v>
      </c>
      <c r="AO3039" s="10" t="str">
        <f t="shared" si="342"/>
        <v>FALSE</v>
      </c>
      <c r="AP3039" s="10" t="str">
        <f t="shared" si="342"/>
        <v>FALSE</v>
      </c>
      <c r="AQ3039" s="10" t="b">
        <f>IF(AND(I3039="TP",S3039&lt;=150),VLOOKUP(AF3039,TPCalibEq150!$AZ$2:$BB$55,3,),IF(AND(I3039="TDP",S3039&lt;=150),VLOOKUP(AF3039,TPCalibEq150!$AZ$2:$BB$55,3,)))</f>
        <v>0</v>
      </c>
      <c r="AR3039" s="10" t="b">
        <f>IF(AND(I3039="TP",S3039&lt;=300),VLOOKUP(AF3039,TPCalibEq300!$AZ$2:$BB$55,3,),IF(AND(I3039="TDP",S3039&lt;=300),VLOOKUP(AF3039,TPCalibEq300!$AZ$2:$BB$55,3,)))</f>
        <v>0</v>
      </c>
      <c r="AS3039" s="10" t="b">
        <f>IF(AND(I3039="TP",S3039&lt;=500),VLOOKUP(AF3039,TPCalibEq500!$AZ$2:$BB$56,3,),IF(AND(I3039="TDP",S3039&lt;=500),VLOOKUP(AF3039,TPCalibEq500!$AZ$2:$BB$56,3,)))</f>
        <v>0</v>
      </c>
      <c r="AT3039" s="10" t="b">
        <f>IF(AND(I3039="TN",S3039&lt;=2800),VLOOKUP(AF3039,TNCalibEq2500!$AZ$2:$BB$56,3,),IF(AND(I3039="TDN",S3039&lt;=2800),VLOOKUP(AF3039,TNCalibEq2500!$AZ$2:$BB$56,3,)))</f>
        <v>0</v>
      </c>
      <c r="AU3039" s="10" t="b">
        <f>IF(I3039="TP",VLOOKUP(AF3039,TPCalibEqFull!$AZ$2:$BB$56,3),IF(I3039="TDP",VLOOKUP(AF3039,TPCalibEqFull!$AZ$2:$BB$56,3),IF(I3039="TDN",VLOOKUP(AF3039,TNCalibEqFull!$AZ$1:$BB$56,3),IF(I3039="TN",VLOOKUP(AF3039,TNCalibEqFull!$AZ$1:$BB$56,3),FALSE))))</f>
        <v>0</v>
      </c>
      <c r="AV3039" s="10" t="str">
        <f t="shared" si="347"/>
        <v>0213 09:13:00-EFG-0-C-1-SW-UKN</v>
      </c>
    </row>
    <row r="3040" spans="1:48" s="10" customFormat="1" x14ac:dyDescent="0.55000000000000004">
      <c r="A3040" s="32">
        <v>44970</v>
      </c>
      <c r="B3040" s="33">
        <v>0.3923611111111111</v>
      </c>
      <c r="C3040" s="10" t="s">
        <v>540</v>
      </c>
      <c r="D3040" s="10">
        <v>0</v>
      </c>
      <c r="E3040" s="10" t="s">
        <v>190</v>
      </c>
      <c r="F3040" s="10">
        <v>1</v>
      </c>
      <c r="G3040" s="10" t="s">
        <v>231</v>
      </c>
      <c r="H3040" s="10" t="s">
        <v>322</v>
      </c>
      <c r="I3040" s="10" t="s">
        <v>285</v>
      </c>
      <c r="J3040" s="10">
        <v>13</v>
      </c>
      <c r="K3040" s="12">
        <v>44972</v>
      </c>
      <c r="L3040" s="33">
        <v>0.49387731481481478</v>
      </c>
      <c r="M3040" s="10">
        <v>1</v>
      </c>
      <c r="N3040" s="10" t="s">
        <v>211</v>
      </c>
      <c r="O3040" s="10">
        <v>0.24099999999999999</v>
      </c>
      <c r="P3040" s="10">
        <v>2.2499999999999999E-2</v>
      </c>
      <c r="Q3040" s="10">
        <v>43.3</v>
      </c>
      <c r="R3040" s="10" t="s">
        <v>913</v>
      </c>
      <c r="S3040" s="34">
        <f t="shared" si="344"/>
        <v>43.3</v>
      </c>
      <c r="T3040" s="10" t="s">
        <v>1220</v>
      </c>
      <c r="U3040" s="34" t="str">
        <f t="shared" si="345"/>
        <v/>
      </c>
      <c r="V3040" s="31" t="str">
        <f>IF(H3040="CHK",VLOOKUP(I3040,QCCHK,3,),IF(H3040="GUP",VLOOKUP(E3040,QCGUP,2,),IF(AND(H3040="ATP",OR(I3040="TN",I3040="TDN",I3040="TNO2-3",I3040="NO2-3")),VLOOKUP(E3040,QCREC_N,2,),IF(AND(H3040="NIC",OR(I3040="TN",I3040="TDN",I3040="TNO2-3",I3040="NO2-3")),VLOOKUP(E3040,QCNIC_N,2,),IF(AND(H3040="UREA",OR(I3040="TN",I3040="TDN",I3040="TNO2-3",I3040="NO2-3")),VLOOKUP(E3040,QCUREA_N,2,),IF(H3040="PER",VLOOKUP(I3040,QCPER,MATCH(E3040,QCACTUAL!$J$25:$AA$25,0),),IF(H3040="SPK",VLOOKUP(I3040,QCSPK,3,),IF(AND(H3040="ATP",OR(I3040="TP",I3040="TDP")),VLOOKUP(E3040,QCATP_P,2,),""))))))))</f>
        <v/>
      </c>
      <c r="W3040" s="31" t="str">
        <f t="shared" si="346"/>
        <v>TRUE</v>
      </c>
      <c r="X3040" s="31" t="str">
        <f t="shared" si="343"/>
        <v/>
      </c>
      <c r="Y3040" s="10" t="s">
        <v>1206</v>
      </c>
      <c r="Z3040" s="10" t="s">
        <v>910</v>
      </c>
      <c r="AL3040" s="10" t="str">
        <f t="shared" si="341"/>
        <v>FALSE</v>
      </c>
      <c r="AM3040" s="10" t="str">
        <f t="shared" si="341"/>
        <v>FALSE</v>
      </c>
      <c r="AN3040" s="10" t="str">
        <f t="shared" si="341"/>
        <v>FALSE</v>
      </c>
      <c r="AO3040" s="10" t="str">
        <f t="shared" si="342"/>
        <v>FALSE</v>
      </c>
      <c r="AP3040" s="10" t="str">
        <f t="shared" si="342"/>
        <v>FALSE</v>
      </c>
      <c r="AQ3040" s="10" t="b">
        <f>IF(AND(I3040="TP",S3040&lt;=150),VLOOKUP(AF3040,TPCalibEq150!$AZ$2:$BB$55,3,),IF(AND(I3040="TDP",S3040&lt;=150),VLOOKUP(AF3040,TPCalibEq150!$AZ$2:$BB$55,3,)))</f>
        <v>0</v>
      </c>
      <c r="AR3040" s="10" t="b">
        <f>IF(AND(I3040="TP",S3040&lt;=300),VLOOKUP(AF3040,TPCalibEq300!$AZ$2:$BB$55,3,),IF(AND(I3040="TDP",S3040&lt;=300),VLOOKUP(AF3040,TPCalibEq300!$AZ$2:$BB$55,3,)))</f>
        <v>0</v>
      </c>
      <c r="AS3040" s="10" t="b">
        <f>IF(AND(I3040="TP",S3040&lt;=500),VLOOKUP(AF3040,TPCalibEq500!$AZ$2:$BB$56,3,),IF(AND(I3040="TDP",S3040&lt;=500),VLOOKUP(AF3040,TPCalibEq500!$AZ$2:$BB$56,3,)))</f>
        <v>0</v>
      </c>
      <c r="AT3040" s="10" t="b">
        <f>IF(AND(I3040="TN",S3040&lt;=2800),VLOOKUP(AF3040,TNCalibEq2500!$AZ$2:$BB$56,3,),IF(AND(I3040="TDN",S3040&lt;=2800),VLOOKUP(AF3040,TNCalibEq2500!$AZ$2:$BB$56,3,)))</f>
        <v>0</v>
      </c>
      <c r="AU3040" s="10" t="b">
        <f>IF(I3040="TP",VLOOKUP(AF3040,TPCalibEqFull!$AZ$2:$BB$56,3),IF(I3040="TDP",VLOOKUP(AF3040,TPCalibEqFull!$AZ$2:$BB$56,3),IF(I3040="TDN",VLOOKUP(AF3040,TNCalibEqFull!$AZ$1:$BB$56,3),IF(I3040="TN",VLOOKUP(AF3040,TNCalibEqFull!$AZ$1:$BB$56,3),FALSE))))</f>
        <v>0</v>
      </c>
      <c r="AV3040" s="10" t="str">
        <f t="shared" si="347"/>
        <v>0213 09:25:00-S50-0-C-1-SW-UKN</v>
      </c>
    </row>
    <row r="3041" spans="1:48" s="10" customFormat="1" x14ac:dyDescent="0.55000000000000004">
      <c r="A3041" s="32">
        <v>44970</v>
      </c>
      <c r="B3041" s="33">
        <v>0.41597222222222219</v>
      </c>
      <c r="C3041" s="10" t="s">
        <v>528</v>
      </c>
      <c r="D3041" s="10">
        <v>0</v>
      </c>
      <c r="E3041" s="10" t="s">
        <v>190</v>
      </c>
      <c r="F3041" s="10">
        <v>1</v>
      </c>
      <c r="G3041" s="10" t="s">
        <v>231</v>
      </c>
      <c r="H3041" s="10" t="s">
        <v>322</v>
      </c>
      <c r="I3041" s="10" t="s">
        <v>285</v>
      </c>
      <c r="J3041" s="10">
        <v>14</v>
      </c>
      <c r="K3041" s="12">
        <v>44972</v>
      </c>
      <c r="L3041" s="33">
        <v>0.4946875</v>
      </c>
      <c r="M3041" s="10">
        <v>1</v>
      </c>
      <c r="N3041" s="10" t="s">
        <v>211</v>
      </c>
      <c r="O3041" s="10">
        <v>0.151</v>
      </c>
      <c r="P3041" s="10">
        <v>1.4200000000000001E-2</v>
      </c>
      <c r="Q3041" s="10">
        <v>27.3</v>
      </c>
      <c r="R3041" s="10" t="s">
        <v>913</v>
      </c>
      <c r="S3041" s="34">
        <f t="shared" si="344"/>
        <v>27.3</v>
      </c>
      <c r="T3041" s="10" t="s">
        <v>1220</v>
      </c>
      <c r="U3041" s="34" t="str">
        <f t="shared" si="345"/>
        <v/>
      </c>
      <c r="V3041" s="31" t="str">
        <f>IF(H3041="CHK",VLOOKUP(I3041,QCCHK,3,),IF(H3041="GUP",VLOOKUP(E3041,QCGUP,2,),IF(AND(H3041="ATP",OR(I3041="TN",I3041="TDN",I3041="TNO2-3",I3041="NO2-3")),VLOOKUP(E3041,QCREC_N,2,),IF(AND(H3041="NIC",OR(I3041="TN",I3041="TDN",I3041="TNO2-3",I3041="NO2-3")),VLOOKUP(E3041,QCNIC_N,2,),IF(AND(H3041="UREA",OR(I3041="TN",I3041="TDN",I3041="TNO2-3",I3041="NO2-3")),VLOOKUP(E3041,QCUREA_N,2,),IF(H3041="PER",VLOOKUP(I3041,QCPER,MATCH(E3041,QCACTUAL!$J$25:$AA$25,0),),IF(H3041="SPK",VLOOKUP(I3041,QCSPK,3,),IF(AND(H3041="ATP",OR(I3041="TP",I3041="TDP")),VLOOKUP(E3041,QCATP_P,2,),""))))))))</f>
        <v/>
      </c>
      <c r="W3041" s="31" t="str">
        <f t="shared" si="346"/>
        <v>TRUE</v>
      </c>
      <c r="X3041" s="31" t="str">
        <f t="shared" si="343"/>
        <v/>
      </c>
      <c r="Y3041" s="10" t="s">
        <v>1206</v>
      </c>
      <c r="Z3041" s="10" t="s">
        <v>910</v>
      </c>
      <c r="AL3041" s="10" t="str">
        <f t="shared" si="341"/>
        <v>FALSE</v>
      </c>
      <c r="AM3041" s="10" t="str">
        <f t="shared" si="341"/>
        <v>FALSE</v>
      </c>
      <c r="AN3041" s="10" t="str">
        <f t="shared" si="341"/>
        <v>FALSE</v>
      </c>
      <c r="AO3041" s="10" t="str">
        <f t="shared" si="342"/>
        <v>FALSE</v>
      </c>
      <c r="AP3041" s="10" t="str">
        <f t="shared" si="342"/>
        <v>FALSE</v>
      </c>
      <c r="AQ3041" s="10" t="b">
        <f>IF(AND(I3041="TP",S3041&lt;=150),VLOOKUP(AF3041,TPCalibEq150!$AZ$2:$BB$55,3,),IF(AND(I3041="TDP",S3041&lt;=150),VLOOKUP(AF3041,TPCalibEq150!$AZ$2:$BB$55,3,)))</f>
        <v>0</v>
      </c>
      <c r="AR3041" s="10" t="b">
        <f>IF(AND(I3041="TP",S3041&lt;=300),VLOOKUP(AF3041,TPCalibEq300!$AZ$2:$BB$55,3,),IF(AND(I3041="TDP",S3041&lt;=300),VLOOKUP(AF3041,TPCalibEq300!$AZ$2:$BB$55,3,)))</f>
        <v>0</v>
      </c>
      <c r="AS3041" s="10" t="b">
        <f>IF(AND(I3041="TP",S3041&lt;=500),VLOOKUP(AF3041,TPCalibEq500!$AZ$2:$BB$56,3,),IF(AND(I3041="TDP",S3041&lt;=500),VLOOKUP(AF3041,TPCalibEq500!$AZ$2:$BB$56,3,)))</f>
        <v>0</v>
      </c>
      <c r="AT3041" s="10" t="b">
        <f>IF(AND(I3041="TN",S3041&lt;=2800),VLOOKUP(AF3041,TNCalibEq2500!$AZ$2:$BB$56,3,),IF(AND(I3041="TDN",S3041&lt;=2800),VLOOKUP(AF3041,TNCalibEq2500!$AZ$2:$BB$56,3,)))</f>
        <v>0</v>
      </c>
      <c r="AU3041" s="10" t="b">
        <f>IF(I3041="TP",VLOOKUP(AF3041,TPCalibEqFull!$AZ$2:$BB$56,3),IF(I3041="TDP",VLOOKUP(AF3041,TPCalibEqFull!$AZ$2:$BB$56,3),IF(I3041="TDN",VLOOKUP(AF3041,TNCalibEqFull!$AZ$1:$BB$56,3),IF(I3041="TN",VLOOKUP(AF3041,TNCalibEqFull!$AZ$1:$BB$56,3),FALSE))))</f>
        <v>0</v>
      </c>
      <c r="AV3041" s="10" t="str">
        <f t="shared" si="347"/>
        <v>0213 09:59:00-P04-0-C-1-SW-UKN</v>
      </c>
    </row>
    <row r="3042" spans="1:48" s="10" customFormat="1" x14ac:dyDescent="0.55000000000000004">
      <c r="A3042" s="32">
        <v>44970</v>
      </c>
      <c r="B3042" s="33">
        <v>0.42777777777777781</v>
      </c>
      <c r="C3042" s="10">
        <v>506</v>
      </c>
      <c r="D3042" s="10">
        <v>0</v>
      </c>
      <c r="E3042" s="10" t="s">
        <v>190</v>
      </c>
      <c r="F3042" s="10">
        <v>1</v>
      </c>
      <c r="G3042" s="10" t="s">
        <v>231</v>
      </c>
      <c r="H3042" s="10" t="s">
        <v>322</v>
      </c>
      <c r="I3042" s="10" t="s">
        <v>285</v>
      </c>
      <c r="J3042" s="10">
        <v>15</v>
      </c>
      <c r="K3042" s="12">
        <v>44972</v>
      </c>
      <c r="L3042" s="33">
        <v>0.49548611111111113</v>
      </c>
      <c r="M3042" s="10">
        <v>1</v>
      </c>
      <c r="N3042" s="10" t="s">
        <v>211</v>
      </c>
      <c r="O3042" s="10">
        <v>5.4199999999999998E-2</v>
      </c>
      <c r="P3042" s="10">
        <v>4.9899999999999996E-3</v>
      </c>
      <c r="Q3042" s="10">
        <v>10.1</v>
      </c>
      <c r="R3042" s="10" t="s">
        <v>913</v>
      </c>
      <c r="S3042" s="34">
        <f t="shared" si="344"/>
        <v>10.1</v>
      </c>
      <c r="T3042" s="10" t="s">
        <v>1220</v>
      </c>
      <c r="U3042" s="34" t="str">
        <f t="shared" si="345"/>
        <v/>
      </c>
      <c r="V3042" s="31" t="str">
        <f>IF(H3042="CHK",VLOOKUP(I3042,QCCHK,3,),IF(H3042="GUP",VLOOKUP(E3042,QCGUP,2,),IF(AND(H3042="ATP",OR(I3042="TN",I3042="TDN",I3042="TNO2-3",I3042="NO2-3")),VLOOKUP(E3042,QCREC_N,2,),IF(AND(H3042="NIC",OR(I3042="TN",I3042="TDN",I3042="TNO2-3",I3042="NO2-3")),VLOOKUP(E3042,QCNIC_N,2,),IF(AND(H3042="UREA",OR(I3042="TN",I3042="TDN",I3042="TNO2-3",I3042="NO2-3")),VLOOKUP(E3042,QCUREA_N,2,),IF(H3042="PER",VLOOKUP(I3042,QCPER,MATCH(E3042,QCACTUAL!$J$25:$AA$25,0),),IF(H3042="SPK",VLOOKUP(I3042,QCSPK,3,),IF(AND(H3042="ATP",OR(I3042="TP",I3042="TDP")),VLOOKUP(E3042,QCATP_P,2,),""))))))))</f>
        <v/>
      </c>
      <c r="W3042" s="31" t="str">
        <f t="shared" si="346"/>
        <v>TRUE</v>
      </c>
      <c r="X3042" s="31" t="str">
        <f t="shared" si="343"/>
        <v/>
      </c>
      <c r="Y3042" s="10" t="s">
        <v>1206</v>
      </c>
      <c r="Z3042" s="10" t="s">
        <v>910</v>
      </c>
      <c r="AL3042" s="10" t="str">
        <f t="shared" si="341"/>
        <v>FALSE</v>
      </c>
      <c r="AM3042" s="10" t="str">
        <f t="shared" si="341"/>
        <v>FALSE</v>
      </c>
      <c r="AN3042" s="10" t="str">
        <f t="shared" si="341"/>
        <v>FALSE</v>
      </c>
      <c r="AO3042" s="10" t="str">
        <f t="shared" si="342"/>
        <v>FALSE</v>
      </c>
      <c r="AP3042" s="10" t="str">
        <f t="shared" si="342"/>
        <v>FALSE</v>
      </c>
      <c r="AQ3042" s="10" t="b">
        <f>IF(AND(I3042="TP",S3042&lt;=150),VLOOKUP(AF3042,TPCalibEq150!$AZ$2:$BB$55,3,),IF(AND(I3042="TDP",S3042&lt;=150),VLOOKUP(AF3042,TPCalibEq150!$AZ$2:$BB$55,3,)))</f>
        <v>0</v>
      </c>
      <c r="AR3042" s="10" t="b">
        <f>IF(AND(I3042="TP",S3042&lt;=300),VLOOKUP(AF3042,TPCalibEq300!$AZ$2:$BB$55,3,),IF(AND(I3042="TDP",S3042&lt;=300),VLOOKUP(AF3042,TPCalibEq300!$AZ$2:$BB$55,3,)))</f>
        <v>0</v>
      </c>
      <c r="AS3042" s="10" t="b">
        <f>IF(AND(I3042="TP",S3042&lt;=500),VLOOKUP(AF3042,TPCalibEq500!$AZ$2:$BB$56,3,),IF(AND(I3042="TDP",S3042&lt;=500),VLOOKUP(AF3042,TPCalibEq500!$AZ$2:$BB$56,3,)))</f>
        <v>0</v>
      </c>
      <c r="AT3042" s="10" t="b">
        <f>IF(AND(I3042="TN",S3042&lt;=2800),VLOOKUP(AF3042,TNCalibEq2500!$AZ$2:$BB$56,3,),IF(AND(I3042="TDN",S3042&lt;=2800),VLOOKUP(AF3042,TNCalibEq2500!$AZ$2:$BB$56,3,)))</f>
        <v>0</v>
      </c>
      <c r="AU3042" s="10" t="b">
        <f>IF(I3042="TP",VLOOKUP(AF3042,TPCalibEqFull!$AZ$2:$BB$56,3),IF(I3042="TDP",VLOOKUP(AF3042,TPCalibEqFull!$AZ$2:$BB$56,3),IF(I3042="TDN",VLOOKUP(AF3042,TNCalibEqFull!$AZ$1:$BB$56,3),IF(I3042="TN",VLOOKUP(AF3042,TNCalibEqFull!$AZ$1:$BB$56,3),FALSE))))</f>
        <v>0</v>
      </c>
      <c r="AV3042" s="10" t="str">
        <f t="shared" si="347"/>
        <v>0213 10:16:00-506-0-C-1-SW-UKN</v>
      </c>
    </row>
    <row r="3043" spans="1:48" s="10" customFormat="1" x14ac:dyDescent="0.55000000000000004">
      <c r="A3043" s="32">
        <v>44970</v>
      </c>
      <c r="B3043" s="33">
        <v>0.43402777777777773</v>
      </c>
      <c r="C3043" s="10" t="s">
        <v>1104</v>
      </c>
      <c r="D3043" s="10">
        <v>0</v>
      </c>
      <c r="E3043" s="10" t="s">
        <v>190</v>
      </c>
      <c r="F3043" s="10">
        <v>1</v>
      </c>
      <c r="G3043" s="10" t="s">
        <v>231</v>
      </c>
      <c r="H3043" s="10" t="s">
        <v>322</v>
      </c>
      <c r="I3043" s="10" t="s">
        <v>285</v>
      </c>
      <c r="J3043" s="10">
        <v>16</v>
      </c>
      <c r="K3043" s="12">
        <v>44972</v>
      </c>
      <c r="L3043" s="33">
        <v>0.49631944444444448</v>
      </c>
      <c r="M3043" s="10">
        <v>1</v>
      </c>
      <c r="N3043" s="10" t="s">
        <v>211</v>
      </c>
      <c r="O3043" s="10">
        <v>0.26400000000000001</v>
      </c>
      <c r="P3043" s="10">
        <v>2.4400000000000002E-2</v>
      </c>
      <c r="Q3043" s="10">
        <v>47.4</v>
      </c>
      <c r="R3043" s="10" t="s">
        <v>913</v>
      </c>
      <c r="S3043" s="34">
        <f t="shared" si="344"/>
        <v>47.4</v>
      </c>
      <c r="T3043" s="10" t="s">
        <v>1220</v>
      </c>
      <c r="U3043" s="34" t="str">
        <f t="shared" si="345"/>
        <v/>
      </c>
      <c r="V3043" s="31" t="str">
        <f>IF(H3043="CHK",VLOOKUP(I3043,QCCHK,3,),IF(H3043="GUP",VLOOKUP(E3043,QCGUP,2,),IF(AND(H3043="ATP",OR(I3043="TN",I3043="TDN",I3043="TNO2-3",I3043="NO2-3")),VLOOKUP(E3043,QCREC_N,2,),IF(AND(H3043="NIC",OR(I3043="TN",I3043="TDN",I3043="TNO2-3",I3043="NO2-3")),VLOOKUP(E3043,QCNIC_N,2,),IF(AND(H3043="UREA",OR(I3043="TN",I3043="TDN",I3043="TNO2-3",I3043="NO2-3")),VLOOKUP(E3043,QCUREA_N,2,),IF(H3043="PER",VLOOKUP(I3043,QCPER,MATCH(E3043,QCACTUAL!$J$25:$AA$25,0),),IF(H3043="SPK",VLOOKUP(I3043,QCSPK,3,),IF(AND(H3043="ATP",OR(I3043="TP",I3043="TDP")),VLOOKUP(E3043,QCATP_P,2,),""))))))))</f>
        <v/>
      </c>
      <c r="W3043" s="31" t="str">
        <f t="shared" si="346"/>
        <v>TRUE</v>
      </c>
      <c r="X3043" s="31" t="str">
        <f t="shared" si="343"/>
        <v/>
      </c>
      <c r="Y3043" s="10" t="s">
        <v>1206</v>
      </c>
      <c r="Z3043" s="10" t="s">
        <v>910</v>
      </c>
      <c r="AL3043" s="10" t="str">
        <f t="shared" si="341"/>
        <v>FALSE</v>
      </c>
      <c r="AM3043" s="10" t="str">
        <f t="shared" si="341"/>
        <v>FALSE</v>
      </c>
      <c r="AN3043" s="10" t="str">
        <f t="shared" si="341"/>
        <v>FALSE</v>
      </c>
      <c r="AO3043" s="10" t="str">
        <f t="shared" si="342"/>
        <v>FALSE</v>
      </c>
      <c r="AP3043" s="10" t="str">
        <f t="shared" si="342"/>
        <v>FALSE</v>
      </c>
      <c r="AQ3043" s="10" t="b">
        <f>IF(AND(I3043="TP",S3043&lt;=150),VLOOKUP(AF3043,TPCalibEq150!$AZ$2:$BB$55,3,),IF(AND(I3043="TDP",S3043&lt;=150),VLOOKUP(AF3043,TPCalibEq150!$AZ$2:$BB$55,3,)))</f>
        <v>0</v>
      </c>
      <c r="AR3043" s="10" t="b">
        <f>IF(AND(I3043="TP",S3043&lt;=300),VLOOKUP(AF3043,TPCalibEq300!$AZ$2:$BB$55,3,),IF(AND(I3043="TDP",S3043&lt;=300),VLOOKUP(AF3043,TPCalibEq300!$AZ$2:$BB$55,3,)))</f>
        <v>0</v>
      </c>
      <c r="AS3043" s="10" t="b">
        <f>IF(AND(I3043="TP",S3043&lt;=500),VLOOKUP(AF3043,TPCalibEq500!$AZ$2:$BB$56,3,),IF(AND(I3043="TDP",S3043&lt;=500),VLOOKUP(AF3043,TPCalibEq500!$AZ$2:$BB$56,3,)))</f>
        <v>0</v>
      </c>
      <c r="AT3043" s="10" t="b">
        <f>IF(AND(I3043="TN",S3043&lt;=2800),VLOOKUP(AF3043,TNCalibEq2500!$AZ$2:$BB$56,3,),IF(AND(I3043="TDN",S3043&lt;=2800),VLOOKUP(AF3043,TNCalibEq2500!$AZ$2:$BB$56,3,)))</f>
        <v>0</v>
      </c>
      <c r="AU3043" s="10" t="b">
        <f>IF(I3043="TP",VLOOKUP(AF3043,TPCalibEqFull!$AZ$2:$BB$56,3),IF(I3043="TDP",VLOOKUP(AF3043,TPCalibEqFull!$AZ$2:$BB$56,3),IF(I3043="TDN",VLOOKUP(AF3043,TNCalibEqFull!$AZ$1:$BB$56,3),IF(I3043="TN",VLOOKUP(AF3043,TNCalibEqFull!$AZ$1:$BB$56,3),FALSE))))</f>
        <v>0</v>
      </c>
      <c r="AV3043" s="10" t="str">
        <f t="shared" si="347"/>
        <v>0213 10:25:00-LBW-0-C-1-SW-UKN</v>
      </c>
    </row>
    <row r="3044" spans="1:48" s="10" customFormat="1" x14ac:dyDescent="0.55000000000000004">
      <c r="A3044" s="32">
        <v>44970</v>
      </c>
      <c r="B3044" s="33">
        <v>0.45208333333333334</v>
      </c>
      <c r="C3044" s="10" t="s">
        <v>537</v>
      </c>
      <c r="D3044" s="10">
        <v>0</v>
      </c>
      <c r="E3044" s="10" t="s">
        <v>190</v>
      </c>
      <c r="F3044" s="10">
        <v>1</v>
      </c>
      <c r="G3044" s="10" t="s">
        <v>231</v>
      </c>
      <c r="H3044" s="10" t="s">
        <v>322</v>
      </c>
      <c r="I3044" s="10" t="s">
        <v>285</v>
      </c>
      <c r="J3044" s="10">
        <v>17</v>
      </c>
      <c r="K3044" s="12">
        <v>44972</v>
      </c>
      <c r="L3044" s="33">
        <v>0.49714120370370374</v>
      </c>
      <c r="M3044" s="10">
        <v>1</v>
      </c>
      <c r="N3044" s="10" t="s">
        <v>211</v>
      </c>
      <c r="O3044" s="10">
        <v>7.1400000000000005E-2</v>
      </c>
      <c r="P3044" s="10">
        <v>6.28E-3</v>
      </c>
      <c r="Q3044" s="10">
        <v>13.1</v>
      </c>
      <c r="R3044" s="10" t="s">
        <v>913</v>
      </c>
      <c r="S3044" s="34">
        <f t="shared" si="344"/>
        <v>13.1</v>
      </c>
      <c r="T3044" s="10" t="s">
        <v>1220</v>
      </c>
      <c r="U3044" s="34" t="str">
        <f t="shared" si="345"/>
        <v/>
      </c>
      <c r="V3044" s="31" t="str">
        <f>IF(H3044="CHK",VLOOKUP(I3044,QCCHK,3,),IF(H3044="GUP",VLOOKUP(E3044,QCGUP,2,),IF(AND(H3044="ATP",OR(I3044="TN",I3044="TDN",I3044="TNO2-3",I3044="NO2-3")),VLOOKUP(E3044,QCREC_N,2,),IF(AND(H3044="NIC",OR(I3044="TN",I3044="TDN",I3044="TNO2-3",I3044="NO2-3")),VLOOKUP(E3044,QCNIC_N,2,),IF(AND(H3044="UREA",OR(I3044="TN",I3044="TDN",I3044="TNO2-3",I3044="NO2-3")),VLOOKUP(E3044,QCUREA_N,2,),IF(H3044="PER",VLOOKUP(I3044,QCPER,MATCH(E3044,QCACTUAL!$J$25:$AA$25,0),),IF(H3044="SPK",VLOOKUP(I3044,QCSPK,3,),IF(AND(H3044="ATP",OR(I3044="TP",I3044="TDP")),VLOOKUP(E3044,QCATP_P,2,),""))))))))</f>
        <v/>
      </c>
      <c r="W3044" s="31" t="str">
        <f t="shared" si="346"/>
        <v>TRUE</v>
      </c>
      <c r="X3044" s="31" t="str">
        <f t="shared" si="343"/>
        <v/>
      </c>
      <c r="Y3044" s="10" t="s">
        <v>1206</v>
      </c>
      <c r="Z3044" s="10" t="s">
        <v>910</v>
      </c>
      <c r="AL3044" s="10" t="str">
        <f t="shared" si="341"/>
        <v>FALSE</v>
      </c>
      <c r="AM3044" s="10" t="str">
        <f t="shared" si="341"/>
        <v>FALSE</v>
      </c>
      <c r="AN3044" s="10" t="str">
        <f t="shared" si="341"/>
        <v>FALSE</v>
      </c>
      <c r="AO3044" s="10" t="str">
        <f t="shared" si="342"/>
        <v>FALSE</v>
      </c>
      <c r="AP3044" s="10" t="str">
        <f t="shared" si="342"/>
        <v>FALSE</v>
      </c>
      <c r="AQ3044" s="10" t="b">
        <f>IF(AND(I3044="TP",S3044&lt;=150),VLOOKUP(AF3044,TPCalibEq150!$AZ$2:$BB$55,3,),IF(AND(I3044="TDP",S3044&lt;=150),VLOOKUP(AF3044,TPCalibEq150!$AZ$2:$BB$55,3,)))</f>
        <v>0</v>
      </c>
      <c r="AR3044" s="10" t="b">
        <f>IF(AND(I3044="TP",S3044&lt;=300),VLOOKUP(AF3044,TPCalibEq300!$AZ$2:$BB$55,3,),IF(AND(I3044="TDP",S3044&lt;=300),VLOOKUP(AF3044,TPCalibEq300!$AZ$2:$BB$55,3,)))</f>
        <v>0</v>
      </c>
      <c r="AS3044" s="10" t="b">
        <f>IF(AND(I3044="TP",S3044&lt;=500),VLOOKUP(AF3044,TPCalibEq500!$AZ$2:$BB$56,3,),IF(AND(I3044="TDP",S3044&lt;=500),VLOOKUP(AF3044,TPCalibEq500!$AZ$2:$BB$56,3,)))</f>
        <v>0</v>
      </c>
      <c r="AT3044" s="10" t="b">
        <f>IF(AND(I3044="TN",S3044&lt;=2800),VLOOKUP(AF3044,TNCalibEq2500!$AZ$2:$BB$56,3,),IF(AND(I3044="TDN",S3044&lt;=2800),VLOOKUP(AF3044,TNCalibEq2500!$AZ$2:$BB$56,3,)))</f>
        <v>0</v>
      </c>
      <c r="AU3044" s="10" t="b">
        <f>IF(I3044="TP",VLOOKUP(AF3044,TPCalibEqFull!$AZ$2:$BB$56,3),IF(I3044="TDP",VLOOKUP(AF3044,TPCalibEqFull!$AZ$2:$BB$56,3),IF(I3044="TDN",VLOOKUP(AF3044,TNCalibEqFull!$AZ$1:$BB$56,3),IF(I3044="TN",VLOOKUP(AF3044,TNCalibEqFull!$AZ$1:$BB$56,3),FALSE))))</f>
        <v>0</v>
      </c>
      <c r="AV3044" s="10" t="str">
        <f t="shared" si="347"/>
        <v>0213 10:51:00-S51-0-C-1-SW-UKN</v>
      </c>
    </row>
    <row r="3045" spans="1:48" s="10" customFormat="1" x14ac:dyDescent="0.55000000000000004">
      <c r="A3045" s="32">
        <v>44970</v>
      </c>
      <c r="B3045" s="33">
        <v>0.45833333333333331</v>
      </c>
      <c r="C3045" s="10">
        <v>890</v>
      </c>
      <c r="D3045" s="10">
        <v>0</v>
      </c>
      <c r="E3045" s="10" t="s">
        <v>190</v>
      </c>
      <c r="F3045" s="10">
        <v>1</v>
      </c>
      <c r="G3045" s="10" t="s">
        <v>231</v>
      </c>
      <c r="H3045" s="10" t="s">
        <v>322</v>
      </c>
      <c r="I3045" s="10" t="s">
        <v>285</v>
      </c>
      <c r="J3045" s="10">
        <v>18</v>
      </c>
      <c r="K3045" s="12">
        <v>44972</v>
      </c>
      <c r="L3045" s="33">
        <v>0.49796296296296294</v>
      </c>
      <c r="M3045" s="10">
        <v>1</v>
      </c>
      <c r="N3045" s="10" t="s">
        <v>211</v>
      </c>
      <c r="O3045" s="10">
        <v>7.1499999999999994E-2</v>
      </c>
      <c r="P3045" s="10">
        <v>6.5599999999999999E-3</v>
      </c>
      <c r="Q3045" s="10">
        <v>13.2</v>
      </c>
      <c r="R3045" s="10" t="s">
        <v>913</v>
      </c>
      <c r="S3045" s="34">
        <f t="shared" si="344"/>
        <v>13.2</v>
      </c>
      <c r="T3045" s="10" t="s">
        <v>1220</v>
      </c>
      <c r="U3045" s="34" t="str">
        <f t="shared" si="345"/>
        <v/>
      </c>
      <c r="V3045" s="31" t="str">
        <f>IF(H3045="CHK",VLOOKUP(I3045,QCCHK,3,),IF(H3045="GUP",VLOOKUP(E3045,QCGUP,2,),IF(AND(H3045="ATP",OR(I3045="TN",I3045="TDN",I3045="TNO2-3",I3045="NO2-3")),VLOOKUP(E3045,QCREC_N,2,),IF(AND(H3045="NIC",OR(I3045="TN",I3045="TDN",I3045="TNO2-3",I3045="NO2-3")),VLOOKUP(E3045,QCNIC_N,2,),IF(AND(H3045="UREA",OR(I3045="TN",I3045="TDN",I3045="TNO2-3",I3045="NO2-3")),VLOOKUP(E3045,QCUREA_N,2,),IF(H3045="PER",VLOOKUP(I3045,QCPER,MATCH(E3045,QCACTUAL!$J$25:$AA$25,0),),IF(H3045="SPK",VLOOKUP(I3045,QCSPK,3,),IF(AND(H3045="ATP",OR(I3045="TP",I3045="TDP")),VLOOKUP(E3045,QCATP_P,2,),""))))))))</f>
        <v/>
      </c>
      <c r="W3045" s="31" t="str">
        <f t="shared" si="346"/>
        <v>TRUE</v>
      </c>
      <c r="X3045" s="31" t="str">
        <f t="shared" si="343"/>
        <v/>
      </c>
      <c r="Y3045" s="10" t="s">
        <v>1206</v>
      </c>
      <c r="Z3045" s="10" t="s">
        <v>910</v>
      </c>
      <c r="AL3045" s="10" t="str">
        <f t="shared" si="341"/>
        <v>FALSE</v>
      </c>
      <c r="AM3045" s="10" t="str">
        <f t="shared" si="341"/>
        <v>FALSE</v>
      </c>
      <c r="AN3045" s="10" t="str">
        <f t="shared" si="341"/>
        <v>FALSE</v>
      </c>
      <c r="AO3045" s="10" t="str">
        <f t="shared" si="342"/>
        <v>FALSE</v>
      </c>
      <c r="AP3045" s="10" t="str">
        <f t="shared" si="342"/>
        <v>FALSE</v>
      </c>
      <c r="AQ3045" s="10" t="b">
        <f>IF(AND(I3045="TP",S3045&lt;=150),VLOOKUP(AF3045,TPCalibEq150!$AZ$2:$BB$55,3,),IF(AND(I3045="TDP",S3045&lt;=150),VLOOKUP(AF3045,TPCalibEq150!$AZ$2:$BB$55,3,)))</f>
        <v>0</v>
      </c>
      <c r="AR3045" s="10" t="b">
        <f>IF(AND(I3045="TP",S3045&lt;=300),VLOOKUP(AF3045,TPCalibEq300!$AZ$2:$BB$55,3,),IF(AND(I3045="TDP",S3045&lt;=300),VLOOKUP(AF3045,TPCalibEq300!$AZ$2:$BB$55,3,)))</f>
        <v>0</v>
      </c>
      <c r="AS3045" s="10" t="b">
        <f>IF(AND(I3045="TP",S3045&lt;=500),VLOOKUP(AF3045,TPCalibEq500!$AZ$2:$BB$56,3,),IF(AND(I3045="TDP",S3045&lt;=500),VLOOKUP(AF3045,TPCalibEq500!$AZ$2:$BB$56,3,)))</f>
        <v>0</v>
      </c>
      <c r="AT3045" s="10" t="b">
        <f>IF(AND(I3045="TN",S3045&lt;=2800),VLOOKUP(AF3045,TNCalibEq2500!$AZ$2:$BB$56,3,),IF(AND(I3045="TDN",S3045&lt;=2800),VLOOKUP(AF3045,TNCalibEq2500!$AZ$2:$BB$56,3,)))</f>
        <v>0</v>
      </c>
      <c r="AU3045" s="10" t="b">
        <f>IF(I3045="TP",VLOOKUP(AF3045,TPCalibEqFull!$AZ$2:$BB$56,3),IF(I3045="TDP",VLOOKUP(AF3045,TPCalibEqFull!$AZ$2:$BB$56,3),IF(I3045="TDN",VLOOKUP(AF3045,TNCalibEqFull!$AZ$1:$BB$56,3),IF(I3045="TN",VLOOKUP(AF3045,TNCalibEqFull!$AZ$1:$BB$56,3),FALSE))))</f>
        <v>0</v>
      </c>
      <c r="AV3045" s="10" t="str">
        <f t="shared" si="347"/>
        <v>0213 11:00:00-890-0-C-1-SW-UKN</v>
      </c>
    </row>
    <row r="3046" spans="1:48" s="10" customFormat="1" x14ac:dyDescent="0.55000000000000004">
      <c r="A3046" s="32">
        <v>44970</v>
      </c>
      <c r="B3046" s="33">
        <v>0.47083333333333338</v>
      </c>
      <c r="C3046" s="10" t="s">
        <v>437</v>
      </c>
      <c r="D3046" s="10">
        <v>0</v>
      </c>
      <c r="E3046" s="10" t="s">
        <v>190</v>
      </c>
      <c r="F3046" s="10">
        <v>1</v>
      </c>
      <c r="G3046" s="10" t="s">
        <v>231</v>
      </c>
      <c r="H3046" s="10" t="s">
        <v>322</v>
      </c>
      <c r="I3046" s="10" t="s">
        <v>285</v>
      </c>
      <c r="J3046" s="10">
        <v>19</v>
      </c>
      <c r="K3046" s="12">
        <v>44972</v>
      </c>
      <c r="L3046" s="33">
        <v>0.4987847222222222</v>
      </c>
      <c r="M3046" s="10">
        <v>1</v>
      </c>
      <c r="N3046" s="10" t="s">
        <v>211</v>
      </c>
      <c r="O3046" s="10">
        <v>0.437</v>
      </c>
      <c r="P3046" s="10">
        <v>4.1399999999999999E-2</v>
      </c>
      <c r="Q3046" s="10">
        <v>78.2</v>
      </c>
      <c r="R3046" s="10" t="s">
        <v>913</v>
      </c>
      <c r="S3046" s="34">
        <f t="shared" si="344"/>
        <v>78.2</v>
      </c>
      <c r="T3046" s="10" t="s">
        <v>1220</v>
      </c>
      <c r="U3046" s="34" t="str">
        <f t="shared" si="345"/>
        <v/>
      </c>
      <c r="V3046" s="31" t="str">
        <f>IF(H3046="CHK",VLOOKUP(I3046,QCCHK,3,),IF(H3046="GUP",VLOOKUP(E3046,QCGUP,2,),IF(AND(H3046="ATP",OR(I3046="TN",I3046="TDN",I3046="TNO2-3",I3046="NO2-3")),VLOOKUP(E3046,QCREC_N,2,),IF(AND(H3046="NIC",OR(I3046="TN",I3046="TDN",I3046="TNO2-3",I3046="NO2-3")),VLOOKUP(E3046,QCNIC_N,2,),IF(AND(H3046="UREA",OR(I3046="TN",I3046="TDN",I3046="TNO2-3",I3046="NO2-3")),VLOOKUP(E3046,QCUREA_N,2,),IF(H3046="PER",VLOOKUP(I3046,QCPER,MATCH(E3046,QCACTUAL!$J$25:$AA$25,0),),IF(H3046="SPK",VLOOKUP(I3046,QCSPK,3,),IF(AND(H3046="ATP",OR(I3046="TP",I3046="TDP")),VLOOKUP(E3046,QCATP_P,2,),""))))))))</f>
        <v/>
      </c>
      <c r="W3046" s="31" t="str">
        <f t="shared" si="346"/>
        <v>TRUE</v>
      </c>
      <c r="X3046" s="31" t="str">
        <f t="shared" si="343"/>
        <v/>
      </c>
      <c r="Y3046" s="10" t="s">
        <v>1206</v>
      </c>
      <c r="Z3046" s="10" t="s">
        <v>910</v>
      </c>
      <c r="AL3046" s="10" t="str">
        <f t="shared" si="341"/>
        <v>FALSE</v>
      </c>
      <c r="AM3046" s="10" t="str">
        <f t="shared" si="341"/>
        <v>FALSE</v>
      </c>
      <c r="AN3046" s="10" t="str">
        <f t="shared" si="341"/>
        <v>FALSE</v>
      </c>
      <c r="AO3046" s="10" t="str">
        <f t="shared" si="342"/>
        <v>FALSE</v>
      </c>
      <c r="AP3046" s="10" t="str">
        <f t="shared" si="342"/>
        <v>FALSE</v>
      </c>
      <c r="AQ3046" s="10" t="b">
        <f>IF(AND(I3046="TP",S3046&lt;=150),VLOOKUP(AF3046,TPCalibEq150!$AZ$2:$BB$55,3,),IF(AND(I3046="TDP",S3046&lt;=150),VLOOKUP(AF3046,TPCalibEq150!$AZ$2:$BB$55,3,)))</f>
        <v>0</v>
      </c>
      <c r="AR3046" s="10" t="b">
        <f>IF(AND(I3046="TP",S3046&lt;=300),VLOOKUP(AF3046,TPCalibEq300!$AZ$2:$BB$55,3,),IF(AND(I3046="TDP",S3046&lt;=300),VLOOKUP(AF3046,TPCalibEq300!$AZ$2:$BB$55,3,)))</f>
        <v>0</v>
      </c>
      <c r="AS3046" s="10" t="b">
        <f>IF(AND(I3046="TP",S3046&lt;=500),VLOOKUP(AF3046,TPCalibEq500!$AZ$2:$BB$56,3,),IF(AND(I3046="TDP",S3046&lt;=500),VLOOKUP(AF3046,TPCalibEq500!$AZ$2:$BB$56,3,)))</f>
        <v>0</v>
      </c>
      <c r="AT3046" s="10" t="b">
        <f>IF(AND(I3046="TN",S3046&lt;=2800),VLOOKUP(AF3046,TNCalibEq2500!$AZ$2:$BB$56,3,),IF(AND(I3046="TDN",S3046&lt;=2800),VLOOKUP(AF3046,TNCalibEq2500!$AZ$2:$BB$56,3,)))</f>
        <v>0</v>
      </c>
      <c r="AU3046" s="10" t="b">
        <f>IF(I3046="TP",VLOOKUP(AF3046,TPCalibEqFull!$AZ$2:$BB$56,3),IF(I3046="TDP",VLOOKUP(AF3046,TPCalibEqFull!$AZ$2:$BB$56,3),IF(I3046="TDN",VLOOKUP(AF3046,TNCalibEqFull!$AZ$1:$BB$56,3),IF(I3046="TN",VLOOKUP(AF3046,TNCalibEqFull!$AZ$1:$BB$56,3),FALSE))))</f>
        <v>0</v>
      </c>
      <c r="AV3046" s="10" t="str">
        <f t="shared" si="347"/>
        <v>0213 11:18:00-FVM-0-C-1-SW-UKN</v>
      </c>
    </row>
    <row r="3047" spans="1:48" s="10" customFormat="1" x14ac:dyDescent="0.55000000000000004">
      <c r="A3047" s="32">
        <v>44970</v>
      </c>
      <c r="B3047" s="33">
        <v>0.47083333333333338</v>
      </c>
      <c r="C3047" s="10" t="s">
        <v>437</v>
      </c>
      <c r="D3047" s="10">
        <v>0</v>
      </c>
      <c r="E3047" s="10" t="s">
        <v>190</v>
      </c>
      <c r="F3047" s="10">
        <v>2</v>
      </c>
      <c r="G3047" s="10" t="s">
        <v>231</v>
      </c>
      <c r="H3047" s="10" t="s">
        <v>322</v>
      </c>
      <c r="I3047" s="10" t="s">
        <v>285</v>
      </c>
      <c r="J3047" s="10">
        <v>20</v>
      </c>
      <c r="K3047" s="12">
        <v>44972</v>
      </c>
      <c r="L3047" s="33">
        <v>0.49960648148148151</v>
      </c>
      <c r="M3047" s="10">
        <v>1</v>
      </c>
      <c r="N3047" s="10" t="s">
        <v>211</v>
      </c>
      <c r="O3047" s="10">
        <v>0.45500000000000002</v>
      </c>
      <c r="P3047" s="10">
        <v>4.3400000000000001E-2</v>
      </c>
      <c r="Q3047" s="10">
        <v>81.5</v>
      </c>
      <c r="R3047" s="10" t="s">
        <v>913</v>
      </c>
      <c r="S3047" s="34">
        <f t="shared" si="344"/>
        <v>81.5</v>
      </c>
      <c r="T3047" s="10" t="s">
        <v>1220</v>
      </c>
      <c r="U3047" s="34" t="str">
        <f t="shared" si="345"/>
        <v/>
      </c>
      <c r="V3047" s="31" t="str">
        <f>IF(H3047="CHK",VLOOKUP(I3047,QCCHK,3,),IF(H3047="GUP",VLOOKUP(E3047,QCGUP,2,),IF(AND(H3047="ATP",OR(I3047="TN",I3047="TDN",I3047="TNO2-3",I3047="NO2-3")),VLOOKUP(E3047,QCREC_N,2,),IF(AND(H3047="NIC",OR(I3047="TN",I3047="TDN",I3047="TNO2-3",I3047="NO2-3")),VLOOKUP(E3047,QCNIC_N,2,),IF(AND(H3047="UREA",OR(I3047="TN",I3047="TDN",I3047="TNO2-3",I3047="NO2-3")),VLOOKUP(E3047,QCUREA_N,2,),IF(H3047="PER",VLOOKUP(I3047,QCPER,MATCH(E3047,QCACTUAL!$J$25:$AA$25,0),),IF(H3047="SPK",VLOOKUP(I3047,QCSPK,3,),IF(AND(H3047="ATP",OR(I3047="TP",I3047="TDP")),VLOOKUP(E3047,QCATP_P,2,),""))))))))</f>
        <v/>
      </c>
      <c r="W3047" s="31" t="str">
        <f t="shared" si="346"/>
        <v>TRUE</v>
      </c>
      <c r="X3047" s="31" t="str">
        <f t="shared" si="343"/>
        <v/>
      </c>
      <c r="Y3047" s="10" t="s">
        <v>1206</v>
      </c>
      <c r="Z3047" s="10" t="s">
        <v>910</v>
      </c>
      <c r="AL3047" s="10" t="str">
        <f t="shared" si="341"/>
        <v>FALSE</v>
      </c>
      <c r="AM3047" s="10" t="str">
        <f t="shared" si="341"/>
        <v>FALSE</v>
      </c>
      <c r="AN3047" s="10" t="str">
        <f t="shared" si="341"/>
        <v>FALSE</v>
      </c>
      <c r="AO3047" s="10" t="str">
        <f t="shared" si="342"/>
        <v>FALSE</v>
      </c>
      <c r="AP3047" s="10" t="str">
        <f t="shared" si="342"/>
        <v>FALSE</v>
      </c>
      <c r="AQ3047" s="10" t="b">
        <f>IF(AND(I3047="TP",S3047&lt;=150),VLOOKUP(AF3047,TPCalibEq150!$AZ$2:$BB$55,3,),IF(AND(I3047="TDP",S3047&lt;=150),VLOOKUP(AF3047,TPCalibEq150!$AZ$2:$BB$55,3,)))</f>
        <v>0</v>
      </c>
      <c r="AR3047" s="10" t="b">
        <f>IF(AND(I3047="TP",S3047&lt;=300),VLOOKUP(AF3047,TPCalibEq300!$AZ$2:$BB$55,3,),IF(AND(I3047="TDP",S3047&lt;=300),VLOOKUP(AF3047,TPCalibEq300!$AZ$2:$BB$55,3,)))</f>
        <v>0</v>
      </c>
      <c r="AS3047" s="10" t="b">
        <f>IF(AND(I3047="TP",S3047&lt;=500),VLOOKUP(AF3047,TPCalibEq500!$AZ$2:$BB$56,3,),IF(AND(I3047="TDP",S3047&lt;=500),VLOOKUP(AF3047,TPCalibEq500!$AZ$2:$BB$56,3,)))</f>
        <v>0</v>
      </c>
      <c r="AT3047" s="10" t="b">
        <f>IF(AND(I3047="TN",S3047&lt;=2800),VLOOKUP(AF3047,TNCalibEq2500!$AZ$2:$BB$56,3,),IF(AND(I3047="TDN",S3047&lt;=2800),VLOOKUP(AF3047,TNCalibEq2500!$AZ$2:$BB$56,3,)))</f>
        <v>0</v>
      </c>
      <c r="AU3047" s="10" t="b">
        <f>IF(I3047="TP",VLOOKUP(AF3047,TPCalibEqFull!$AZ$2:$BB$56,3),IF(I3047="TDP",VLOOKUP(AF3047,TPCalibEqFull!$AZ$2:$BB$56,3),IF(I3047="TDN",VLOOKUP(AF3047,TNCalibEqFull!$AZ$1:$BB$56,3),IF(I3047="TN",VLOOKUP(AF3047,TNCalibEqFull!$AZ$1:$BB$56,3),FALSE))))</f>
        <v>0</v>
      </c>
      <c r="AV3047" s="10" t="str">
        <f t="shared" si="347"/>
        <v>0213 11:18:00-FVM-0-C-2-SW-UKN</v>
      </c>
    </row>
    <row r="3048" spans="1:48" s="10" customFormat="1" x14ac:dyDescent="0.55000000000000004">
      <c r="A3048" s="32">
        <v>44970</v>
      </c>
      <c r="B3048" s="33">
        <v>0.47083333333333338</v>
      </c>
      <c r="C3048" s="10" t="s">
        <v>437</v>
      </c>
      <c r="D3048" s="10">
        <v>0</v>
      </c>
      <c r="E3048" s="10" t="s">
        <v>190</v>
      </c>
      <c r="F3048" s="10">
        <v>2</v>
      </c>
      <c r="G3048" s="10" t="s">
        <v>231</v>
      </c>
      <c r="H3048" s="10" t="s">
        <v>233</v>
      </c>
      <c r="I3048" s="10" t="s">
        <v>285</v>
      </c>
      <c r="J3048" s="10">
        <v>20</v>
      </c>
      <c r="K3048" s="12">
        <v>44972</v>
      </c>
      <c r="L3048" s="33">
        <v>0.50042824074074077</v>
      </c>
      <c r="M3048" s="10">
        <v>1</v>
      </c>
      <c r="N3048" s="10" t="s">
        <v>211</v>
      </c>
      <c r="O3048" s="10">
        <v>0.23200000000000001</v>
      </c>
      <c r="P3048" s="10">
        <v>2.1999999999999999E-2</v>
      </c>
      <c r="Q3048" s="10">
        <v>41.8</v>
      </c>
      <c r="R3048" s="10" t="s">
        <v>913</v>
      </c>
      <c r="S3048" s="34">
        <f t="shared" si="344"/>
        <v>41.8</v>
      </c>
      <c r="T3048" s="10" t="s">
        <v>1220</v>
      </c>
      <c r="U3048" s="34">
        <f t="shared" si="345"/>
        <v>64.39578264395783</v>
      </c>
      <c r="V3048" s="31" t="str">
        <f>IF(H3048="CHK",VLOOKUP(I3048,QCCHK,3,),IF(H3048="GUP",VLOOKUP(E3048,QCGUP,2,),IF(AND(H3048="ATP",OR(I3048="TN",I3048="TDN",I3048="TNO2-3",I3048="NO2-3")),VLOOKUP(E3048,QCREC_N,2,),IF(AND(H3048="NIC",OR(I3048="TN",I3048="TDN",I3048="TNO2-3",I3048="NO2-3")),VLOOKUP(E3048,QCNIC_N,2,),IF(AND(H3048="UREA",OR(I3048="TN",I3048="TDN",I3048="TNO2-3",I3048="NO2-3")),VLOOKUP(E3048,QCUREA_N,2,),IF(H3048="PER",VLOOKUP(I3048,QCPER,MATCH(E3048,QCACTUAL!$J$25:$AA$25,0),),IF(H3048="SPK",VLOOKUP(I3048,QCSPK,3,),IF(AND(H3048="ATP",OR(I3048="TP",I3048="TDP")),VLOOKUP(E3048,QCATP_P,2,),""))))))))</f>
        <v/>
      </c>
      <c r="W3048" s="31" t="str">
        <f t="shared" si="346"/>
        <v>FALSE</v>
      </c>
      <c r="X3048" s="31" t="str">
        <f t="shared" si="343"/>
        <v>((ABS(rep1-rep2))/((rep1+rep2)/2)*100</v>
      </c>
      <c r="Y3048" s="10" t="s">
        <v>1206</v>
      </c>
      <c r="Z3048" s="10" t="s">
        <v>910</v>
      </c>
      <c r="AL3048" s="10" t="str">
        <f t="shared" si="341"/>
        <v>FALSE</v>
      </c>
      <c r="AM3048" s="10" t="str">
        <f t="shared" si="341"/>
        <v>FALSE</v>
      </c>
      <c r="AN3048" s="10" t="str">
        <f t="shared" si="341"/>
        <v>FALSE</v>
      </c>
      <c r="AO3048" s="10" t="str">
        <f t="shared" si="342"/>
        <v>FALSE</v>
      </c>
      <c r="AP3048" s="10" t="str">
        <f t="shared" si="342"/>
        <v>FALSE</v>
      </c>
      <c r="AQ3048" s="10" t="b">
        <f>IF(AND(I3048="TP",S3048&lt;=150),VLOOKUP(AF3048,TPCalibEq150!$AZ$2:$BB$55,3,),IF(AND(I3048="TDP",S3048&lt;=150),VLOOKUP(AF3048,TPCalibEq150!$AZ$2:$BB$55,3,)))</f>
        <v>0</v>
      </c>
      <c r="AR3048" s="10" t="b">
        <f>IF(AND(I3048="TP",S3048&lt;=300),VLOOKUP(AF3048,TPCalibEq300!$AZ$2:$BB$55,3,),IF(AND(I3048="TDP",S3048&lt;=300),VLOOKUP(AF3048,TPCalibEq300!$AZ$2:$BB$55,3,)))</f>
        <v>0</v>
      </c>
      <c r="AS3048" s="10" t="b">
        <f>IF(AND(I3048="TP",S3048&lt;=500),VLOOKUP(AF3048,TPCalibEq500!$AZ$2:$BB$56,3,),IF(AND(I3048="TDP",S3048&lt;=500),VLOOKUP(AF3048,TPCalibEq500!$AZ$2:$BB$56,3,)))</f>
        <v>0</v>
      </c>
      <c r="AT3048" s="10" t="b">
        <f>IF(AND(I3048="TN",S3048&lt;=2800),VLOOKUP(AF3048,TNCalibEq2500!$AZ$2:$BB$56,3,),IF(AND(I3048="TDN",S3048&lt;=2800),VLOOKUP(AF3048,TNCalibEq2500!$AZ$2:$BB$56,3,)))</f>
        <v>0</v>
      </c>
      <c r="AU3048" s="10" t="b">
        <f>IF(I3048="TP",VLOOKUP(AF3048,TPCalibEqFull!$AZ$2:$BB$56,3),IF(I3048="TDP",VLOOKUP(AF3048,TPCalibEqFull!$AZ$2:$BB$56,3),IF(I3048="TDN",VLOOKUP(AF3048,TNCalibEqFull!$AZ$1:$BB$56,3),IF(I3048="TN",VLOOKUP(AF3048,TNCalibEqFull!$AZ$1:$BB$56,3),FALSE))))</f>
        <v>0</v>
      </c>
      <c r="AV3048" s="10" t="str">
        <f t="shared" si="347"/>
        <v>0213 11:18:00-FVM-0-C-2-SW-DUP</v>
      </c>
    </row>
    <row r="3049" spans="1:48" s="10" customFormat="1" x14ac:dyDescent="0.55000000000000004">
      <c r="A3049" s="32">
        <v>44970</v>
      </c>
      <c r="B3049" s="33">
        <v>0.47083333333333338</v>
      </c>
      <c r="C3049" s="10" t="s">
        <v>437</v>
      </c>
      <c r="D3049" s="10">
        <v>0</v>
      </c>
      <c r="E3049" s="10" t="s">
        <v>190</v>
      </c>
      <c r="F3049" s="10">
        <v>2</v>
      </c>
      <c r="G3049" s="10" t="s">
        <v>231</v>
      </c>
      <c r="H3049" s="10" t="s">
        <v>314</v>
      </c>
      <c r="I3049" s="10" t="s">
        <v>285</v>
      </c>
      <c r="J3049" s="10">
        <v>50</v>
      </c>
      <c r="K3049" s="12">
        <v>44972</v>
      </c>
      <c r="L3049" s="33">
        <v>0.50123842592592593</v>
      </c>
      <c r="M3049" s="10">
        <v>1</v>
      </c>
      <c r="N3049" s="10" t="s">
        <v>211</v>
      </c>
      <c r="O3049" s="10">
        <v>1.44</v>
      </c>
      <c r="P3049" s="10">
        <v>0.14199999999999999</v>
      </c>
      <c r="Q3049" s="10">
        <v>258</v>
      </c>
      <c r="R3049" s="10" t="s">
        <v>913</v>
      </c>
      <c r="S3049" s="34">
        <f t="shared" si="344"/>
        <v>258</v>
      </c>
      <c r="T3049" s="10" t="s">
        <v>1220</v>
      </c>
      <c r="U3049" s="34">
        <f t="shared" si="345"/>
        <v>138.36799999999999</v>
      </c>
      <c r="V3049" s="31">
        <f>IF(H3049="CHK",VLOOKUP(I3049,QCCHK,3,),IF(H3049="GUP",VLOOKUP(E3049,QCGUP,2,),IF(AND(H3049="ATP",OR(I3049="TN",I3049="TDN",I3049="TNO2-3",I3049="NO2-3")),VLOOKUP(E3049,QCREC_N,2,),IF(AND(H3049="NIC",OR(I3049="TN",I3049="TDN",I3049="TNO2-3",I3049="NO2-3")),VLOOKUP(E3049,QCNIC_N,2,),IF(AND(H3049="UREA",OR(I3049="TN",I3049="TDN",I3049="TNO2-3",I3049="NO2-3")),VLOOKUP(E3049,QCUREA_N,2,),IF(H3049="PER",VLOOKUP(I3049,QCPER,MATCH(E3049,QCACTUAL!$J$25:$AA$25,0),),IF(H3049="SPK",VLOOKUP(I3049,QCSPK,3,),IF(AND(H3049="ATP",OR(I3049="TP",I3049="TDP")),VLOOKUP(E3049,QCATP_P,2,),""))))))))</f>
        <v>156.25</v>
      </c>
      <c r="W3049" s="31" t="str">
        <f t="shared" si="346"/>
        <v>FALSE</v>
      </c>
      <c r="X3049" s="31" t="str">
        <f t="shared" si="343"/>
        <v>([spikedunkn]-[unkn])/[spike]*100</v>
      </c>
      <c r="Y3049" s="10" t="s">
        <v>1206</v>
      </c>
      <c r="Z3049" s="10" t="s">
        <v>910</v>
      </c>
      <c r="AL3049" s="10" t="str">
        <f t="shared" si="341"/>
        <v>FALSE</v>
      </c>
      <c r="AM3049" s="10" t="str">
        <f t="shared" si="341"/>
        <v>FALSE</v>
      </c>
      <c r="AN3049" s="10" t="str">
        <f t="shared" si="341"/>
        <v>FALSE</v>
      </c>
      <c r="AO3049" s="10" t="str">
        <f t="shared" si="342"/>
        <v>FALSE</v>
      </c>
      <c r="AP3049" s="10" t="str">
        <f t="shared" si="342"/>
        <v>FALSE</v>
      </c>
      <c r="AQ3049" s="10" t="b">
        <f>IF(AND(I3049="TP",S3049&lt;=150),VLOOKUP(AF3049,TPCalibEq150!$AZ$2:$BB$55,3,),IF(AND(I3049="TDP",S3049&lt;=150),VLOOKUP(AF3049,TPCalibEq150!$AZ$2:$BB$55,3,)))</f>
        <v>0</v>
      </c>
      <c r="AR3049" s="10" t="b">
        <f>IF(AND(I3049="TP",S3049&lt;=300),VLOOKUP(AF3049,TPCalibEq300!$AZ$2:$BB$55,3,),IF(AND(I3049="TDP",S3049&lt;=300),VLOOKUP(AF3049,TPCalibEq300!$AZ$2:$BB$55,3,)))</f>
        <v>0</v>
      </c>
      <c r="AS3049" s="10" t="b">
        <f>IF(AND(I3049="TP",S3049&lt;=500),VLOOKUP(AF3049,TPCalibEq500!$AZ$2:$BB$56,3,),IF(AND(I3049="TDP",S3049&lt;=500),VLOOKUP(AF3049,TPCalibEq500!$AZ$2:$BB$56,3,)))</f>
        <v>0</v>
      </c>
      <c r="AT3049" s="10" t="b">
        <f>IF(AND(I3049="TN",S3049&lt;=2800),VLOOKUP(AF3049,TNCalibEq2500!$AZ$2:$BB$56,3,),IF(AND(I3049="TDN",S3049&lt;=2800),VLOOKUP(AF3049,TNCalibEq2500!$AZ$2:$BB$56,3,)))</f>
        <v>0</v>
      </c>
      <c r="AU3049" s="10" t="b">
        <f>IF(I3049="TP",VLOOKUP(AF3049,TPCalibEqFull!$AZ$2:$BB$56,3),IF(I3049="TDP",VLOOKUP(AF3049,TPCalibEqFull!$AZ$2:$BB$56,3),IF(I3049="TDN",VLOOKUP(AF3049,TNCalibEqFull!$AZ$1:$BB$56,3),IF(I3049="TN",VLOOKUP(AF3049,TNCalibEqFull!$AZ$1:$BB$56,3),FALSE))))</f>
        <v>0</v>
      </c>
      <c r="AV3049" s="10" t="str">
        <f t="shared" si="347"/>
        <v>0213 11:18:00-FVM-0-C-2-SW-SPK</v>
      </c>
    </row>
    <row r="3050" spans="1:48" s="10" customFormat="1" x14ac:dyDescent="0.55000000000000004">
      <c r="A3050" s="32">
        <v>44972</v>
      </c>
      <c r="B3050" s="33">
        <v>0.375</v>
      </c>
      <c r="C3050" s="10" t="s">
        <v>70</v>
      </c>
      <c r="D3050" s="10" t="s">
        <v>71</v>
      </c>
      <c r="E3050" s="10" t="s">
        <v>901</v>
      </c>
      <c r="F3050" s="10">
        <v>1</v>
      </c>
      <c r="G3050" s="10" t="s">
        <v>73</v>
      </c>
      <c r="H3050" s="10" t="s">
        <v>207</v>
      </c>
      <c r="I3050" s="10" t="s">
        <v>285</v>
      </c>
      <c r="J3050" s="10">
        <v>199</v>
      </c>
      <c r="K3050" s="12">
        <v>44972</v>
      </c>
      <c r="L3050" s="33">
        <v>0.50206018518518525</v>
      </c>
      <c r="M3050" s="10">
        <v>1</v>
      </c>
      <c r="N3050" s="10" t="s">
        <v>211</v>
      </c>
      <c r="O3050" s="10">
        <v>0.42399999999999999</v>
      </c>
      <c r="P3050" s="10">
        <v>4.02E-2</v>
      </c>
      <c r="Q3050" s="10">
        <v>75.900000000000006</v>
      </c>
      <c r="R3050" s="10" t="s">
        <v>913</v>
      </c>
      <c r="S3050" s="34">
        <f t="shared" si="344"/>
        <v>75.900000000000006</v>
      </c>
      <c r="T3050" s="10" t="s">
        <v>1220</v>
      </c>
      <c r="U3050" s="34">
        <f t="shared" si="345"/>
        <v>101.2</v>
      </c>
      <c r="V3050" s="31">
        <f>IF(H3050="CHK",VLOOKUP(I3050,QCCHK,3,),IF(H3050="GUP",VLOOKUP(E3050,QCGUP,2,),IF(AND(H3050="ATP",OR(I3050="TN",I3050="TDN",I3050="TNO2-3",I3050="NO2-3")),VLOOKUP(E3050,QCREC_N,2,),IF(AND(H3050="NIC",OR(I3050="TN",I3050="TDN",I3050="TNO2-3",I3050="NO2-3")),VLOOKUP(E3050,QCNIC_N,2,),IF(AND(H3050="UREA",OR(I3050="TN",I3050="TDN",I3050="TNO2-3",I3050="NO2-3")),VLOOKUP(E3050,QCUREA_N,2,),IF(H3050="PER",VLOOKUP(I3050,QCPER,MATCH(E3050,QCACTUAL!$J$25:$AA$25,0),),IF(H3050="SPK",VLOOKUP(I3050,QCSPK,3,),IF(AND(H3050="ATP",OR(I3050="TP",I3050="TDP")),VLOOKUP(E3050,QCATP_P,2,),""))))))))</f>
        <v>75</v>
      </c>
      <c r="W3050" s="31" t="str">
        <f t="shared" si="346"/>
        <v>TRUE</v>
      </c>
      <c r="X3050" s="31" t="str">
        <f t="shared" si="343"/>
        <v>[chk]/[actual]*100</v>
      </c>
      <c r="Y3050" s="10" t="s">
        <v>1206</v>
      </c>
      <c r="AL3050" s="10" t="str">
        <f t="shared" si="341"/>
        <v>FALSE</v>
      </c>
      <c r="AM3050" s="10" t="str">
        <f t="shared" si="341"/>
        <v>FALSE</v>
      </c>
      <c r="AN3050" s="10" t="str">
        <f t="shared" si="341"/>
        <v>FALSE</v>
      </c>
      <c r="AO3050" s="10" t="str">
        <f t="shared" si="342"/>
        <v>FALSE</v>
      </c>
      <c r="AP3050" s="10" t="str">
        <f t="shared" si="342"/>
        <v>FALSE</v>
      </c>
      <c r="AQ3050" s="10" t="b">
        <f>IF(AND(I3050="TP",S3050&lt;=150),VLOOKUP(AF3050,TPCalibEq150!$AZ$2:$BB$55,3,),IF(AND(I3050="TDP",S3050&lt;=150),VLOOKUP(AF3050,TPCalibEq150!$AZ$2:$BB$55,3,)))</f>
        <v>0</v>
      </c>
      <c r="AR3050" s="10" t="b">
        <f>IF(AND(I3050="TP",S3050&lt;=300),VLOOKUP(AF3050,TPCalibEq300!$AZ$2:$BB$55,3,),IF(AND(I3050="TDP",S3050&lt;=300),VLOOKUP(AF3050,TPCalibEq300!$AZ$2:$BB$55,3,)))</f>
        <v>0</v>
      </c>
      <c r="AS3050" s="10" t="b">
        <f>IF(AND(I3050="TP",S3050&lt;=500),VLOOKUP(AF3050,TPCalibEq500!$AZ$2:$BB$56,3,),IF(AND(I3050="TDP",S3050&lt;=500),VLOOKUP(AF3050,TPCalibEq500!$AZ$2:$BB$56,3,)))</f>
        <v>0</v>
      </c>
      <c r="AT3050" s="10" t="b">
        <f>IF(AND(I3050="TN",S3050&lt;=2800),VLOOKUP(AF3050,TNCalibEq2500!$AZ$2:$BB$56,3,),IF(AND(I3050="TDN",S3050&lt;=2800),VLOOKUP(AF3050,TNCalibEq2500!$AZ$2:$BB$56,3,)))</f>
        <v>0</v>
      </c>
      <c r="AU3050" s="10" t="b">
        <f>IF(I3050="TP",VLOOKUP(AF3050,TPCalibEqFull!$AZ$2:$BB$56,3),IF(I3050="TDP",VLOOKUP(AF3050,TPCalibEqFull!$AZ$2:$BB$56,3),IF(I3050="TDN",VLOOKUP(AF3050,TNCalibEqFull!$AZ$1:$BB$56,3),IF(I3050="TN",VLOOKUP(AF3050,TNCalibEqFull!$AZ$1:$BB$56,3),FALSE))))</f>
        <v>0</v>
      </c>
      <c r="AV3050" s="10" t="str">
        <f t="shared" si="347"/>
        <v>0215 09:00:00-QAC-STD-D-1-DI-CHK</v>
      </c>
    </row>
    <row r="3051" spans="1:48" s="10" customFormat="1" x14ac:dyDescent="0.55000000000000004">
      <c r="A3051" s="32">
        <v>44970</v>
      </c>
      <c r="B3051" s="33">
        <v>0.49583333333333335</v>
      </c>
      <c r="C3051" s="10" t="s">
        <v>336</v>
      </c>
      <c r="D3051" s="10">
        <v>0</v>
      </c>
      <c r="E3051" s="10" t="s">
        <v>190</v>
      </c>
      <c r="F3051" s="10">
        <v>1</v>
      </c>
      <c r="G3051" s="10" t="s">
        <v>231</v>
      </c>
      <c r="H3051" s="10" t="s">
        <v>322</v>
      </c>
      <c r="I3051" s="10" t="s">
        <v>285</v>
      </c>
      <c r="J3051" s="10">
        <v>21</v>
      </c>
      <c r="K3051" s="12">
        <v>44972</v>
      </c>
      <c r="L3051" s="33">
        <v>0.50288194444444445</v>
      </c>
      <c r="M3051" s="10">
        <v>1</v>
      </c>
      <c r="N3051" s="10" t="s">
        <v>211</v>
      </c>
      <c r="O3051" s="10">
        <v>0.128</v>
      </c>
      <c r="P3051" s="10">
        <v>1.18E-2</v>
      </c>
      <c r="Q3051" s="10">
        <v>23.2</v>
      </c>
      <c r="R3051" s="10" t="s">
        <v>913</v>
      </c>
      <c r="S3051" s="34">
        <f t="shared" si="344"/>
        <v>23.2</v>
      </c>
      <c r="T3051" s="10" t="s">
        <v>1220</v>
      </c>
      <c r="U3051" s="34" t="str">
        <f t="shared" si="345"/>
        <v/>
      </c>
      <c r="V3051" s="31" t="str">
        <f>IF(H3051="CHK",VLOOKUP(I3051,QCCHK,3,),IF(H3051="GUP",VLOOKUP(E3051,QCGUP,2,),IF(AND(H3051="ATP",OR(I3051="TN",I3051="TDN",I3051="TNO2-3",I3051="NO2-3")),VLOOKUP(E3051,QCREC_N,2,),IF(AND(H3051="NIC",OR(I3051="TN",I3051="TDN",I3051="TNO2-3",I3051="NO2-3")),VLOOKUP(E3051,QCNIC_N,2,),IF(AND(H3051="UREA",OR(I3051="TN",I3051="TDN",I3051="TNO2-3",I3051="NO2-3")),VLOOKUP(E3051,QCUREA_N,2,),IF(H3051="PER",VLOOKUP(I3051,QCPER,MATCH(E3051,QCACTUAL!$J$25:$AA$25,0),),IF(H3051="SPK",VLOOKUP(I3051,QCSPK,3,),IF(AND(H3051="ATP",OR(I3051="TP",I3051="TDP")),VLOOKUP(E3051,QCATP_P,2,),""))))))))</f>
        <v/>
      </c>
      <c r="W3051" s="31" t="str">
        <f t="shared" si="346"/>
        <v>TRUE</v>
      </c>
      <c r="X3051" s="31" t="str">
        <f t="shared" si="343"/>
        <v/>
      </c>
      <c r="Y3051" s="10" t="s">
        <v>1206</v>
      </c>
      <c r="Z3051" s="10" t="s">
        <v>910</v>
      </c>
      <c r="AL3051" s="10" t="str">
        <f t="shared" si="341"/>
        <v>FALSE</v>
      </c>
      <c r="AM3051" s="10" t="str">
        <f t="shared" si="341"/>
        <v>FALSE</v>
      </c>
      <c r="AN3051" s="10" t="str">
        <f t="shared" si="341"/>
        <v>FALSE</v>
      </c>
      <c r="AO3051" s="10" t="str">
        <f t="shared" si="342"/>
        <v>FALSE</v>
      </c>
      <c r="AP3051" s="10" t="str">
        <f t="shared" si="342"/>
        <v>FALSE</v>
      </c>
      <c r="AQ3051" s="10" t="b">
        <f>IF(AND(I3051="TP",S3051&lt;=150),VLOOKUP(AF3051,TPCalibEq150!$AZ$2:$BB$55,3,),IF(AND(I3051="TDP",S3051&lt;=150),VLOOKUP(AF3051,TPCalibEq150!$AZ$2:$BB$55,3,)))</f>
        <v>0</v>
      </c>
      <c r="AR3051" s="10" t="b">
        <f>IF(AND(I3051="TP",S3051&lt;=300),VLOOKUP(AF3051,TPCalibEq300!$AZ$2:$BB$55,3,),IF(AND(I3051="TDP",S3051&lt;=300),VLOOKUP(AF3051,TPCalibEq300!$AZ$2:$BB$55,3,)))</f>
        <v>0</v>
      </c>
      <c r="AS3051" s="10" t="b">
        <f>IF(AND(I3051="TP",S3051&lt;=500),VLOOKUP(AF3051,TPCalibEq500!$AZ$2:$BB$56,3,),IF(AND(I3051="TDP",S3051&lt;=500),VLOOKUP(AF3051,TPCalibEq500!$AZ$2:$BB$56,3,)))</f>
        <v>0</v>
      </c>
      <c r="AT3051" s="10" t="b">
        <f>IF(AND(I3051="TN",S3051&lt;=2800),VLOOKUP(AF3051,TNCalibEq2500!$AZ$2:$BB$56,3,),IF(AND(I3051="TDN",S3051&lt;=2800),VLOOKUP(AF3051,TNCalibEq2500!$AZ$2:$BB$56,3,)))</f>
        <v>0</v>
      </c>
      <c r="AU3051" s="10" t="b">
        <f>IF(I3051="TP",VLOOKUP(AF3051,TPCalibEqFull!$AZ$2:$BB$56,3),IF(I3051="TDP",VLOOKUP(AF3051,TPCalibEqFull!$AZ$2:$BB$56,3),IF(I3051="TDN",VLOOKUP(AF3051,TNCalibEqFull!$AZ$1:$BB$56,3),IF(I3051="TN",VLOOKUP(AF3051,TNCalibEqFull!$AZ$1:$BB$56,3),FALSE))))</f>
        <v>0</v>
      </c>
      <c r="AV3051" s="10" t="str">
        <f t="shared" si="347"/>
        <v>0213 11:54:00-HWR-0-C-1-SW-UKN</v>
      </c>
    </row>
    <row r="3052" spans="1:48" s="10" customFormat="1" x14ac:dyDescent="0.55000000000000004">
      <c r="A3052" s="32">
        <v>44970</v>
      </c>
      <c r="B3052" s="33">
        <v>0.48819444444444443</v>
      </c>
      <c r="C3052" s="10" t="s">
        <v>295</v>
      </c>
      <c r="D3052" s="10">
        <v>0</v>
      </c>
      <c r="E3052" s="10" t="s">
        <v>190</v>
      </c>
      <c r="F3052" s="10">
        <v>1</v>
      </c>
      <c r="G3052" s="10" t="s">
        <v>231</v>
      </c>
      <c r="H3052" s="10" t="s">
        <v>322</v>
      </c>
      <c r="I3052" s="10" t="s">
        <v>285</v>
      </c>
      <c r="J3052" s="10">
        <v>22</v>
      </c>
      <c r="K3052" s="12">
        <v>44972</v>
      </c>
      <c r="L3052" s="33">
        <v>0.50369212962962961</v>
      </c>
      <c r="M3052" s="10">
        <v>1</v>
      </c>
      <c r="N3052" s="10" t="s">
        <v>211</v>
      </c>
      <c r="O3052" s="10">
        <v>7.9299999999999995E-2</v>
      </c>
      <c r="P3052" s="10">
        <v>6.8300000000000001E-3</v>
      </c>
      <c r="Q3052" s="10">
        <v>14.5</v>
      </c>
      <c r="R3052" s="10" t="s">
        <v>913</v>
      </c>
      <c r="S3052" s="34">
        <f t="shared" si="344"/>
        <v>14.5</v>
      </c>
      <c r="T3052" s="10" t="s">
        <v>1220</v>
      </c>
      <c r="U3052" s="34" t="str">
        <f t="shared" si="345"/>
        <v/>
      </c>
      <c r="V3052" s="31" t="str">
        <f>IF(H3052="CHK",VLOOKUP(I3052,QCCHK,3,),IF(H3052="GUP",VLOOKUP(E3052,QCGUP,2,),IF(AND(H3052="ATP",OR(I3052="TN",I3052="TDN",I3052="TNO2-3",I3052="NO2-3")),VLOOKUP(E3052,QCREC_N,2,),IF(AND(H3052="NIC",OR(I3052="TN",I3052="TDN",I3052="TNO2-3",I3052="NO2-3")),VLOOKUP(E3052,QCNIC_N,2,),IF(AND(H3052="UREA",OR(I3052="TN",I3052="TDN",I3052="TNO2-3",I3052="NO2-3")),VLOOKUP(E3052,QCUREA_N,2,),IF(H3052="PER",VLOOKUP(I3052,QCPER,MATCH(E3052,QCACTUAL!$J$25:$AA$25,0),),IF(H3052="SPK",VLOOKUP(I3052,QCSPK,3,),IF(AND(H3052="ATP",OR(I3052="TP",I3052="TDP")),VLOOKUP(E3052,QCATP_P,2,),""))))))))</f>
        <v/>
      </c>
      <c r="W3052" s="31" t="str">
        <f t="shared" si="346"/>
        <v>TRUE</v>
      </c>
      <c r="X3052" s="31" t="str">
        <f t="shared" si="343"/>
        <v/>
      </c>
      <c r="Y3052" s="10" t="s">
        <v>1206</v>
      </c>
      <c r="Z3052" s="10" t="s">
        <v>910</v>
      </c>
      <c r="AL3052" s="10" t="str">
        <f t="shared" si="341"/>
        <v>FALSE</v>
      </c>
      <c r="AM3052" s="10" t="str">
        <f t="shared" si="341"/>
        <v>FALSE</v>
      </c>
      <c r="AN3052" s="10" t="str">
        <f t="shared" si="341"/>
        <v>FALSE</v>
      </c>
      <c r="AO3052" s="10" t="str">
        <f t="shared" si="342"/>
        <v>FALSE</v>
      </c>
      <c r="AP3052" s="10" t="str">
        <f t="shared" si="342"/>
        <v>FALSE</v>
      </c>
      <c r="AQ3052" s="10" t="b">
        <f>IF(AND(I3052="TP",S3052&lt;=150),VLOOKUP(AF3052,TPCalibEq150!$AZ$2:$BB$55,3,),IF(AND(I3052="TDP",S3052&lt;=150),VLOOKUP(AF3052,TPCalibEq150!$AZ$2:$BB$55,3,)))</f>
        <v>0</v>
      </c>
      <c r="AR3052" s="10" t="b">
        <f>IF(AND(I3052="TP",S3052&lt;=300),VLOOKUP(AF3052,TPCalibEq300!$AZ$2:$BB$55,3,),IF(AND(I3052="TDP",S3052&lt;=300),VLOOKUP(AF3052,TPCalibEq300!$AZ$2:$BB$55,3,)))</f>
        <v>0</v>
      </c>
      <c r="AS3052" s="10" t="b">
        <f>IF(AND(I3052="TP",S3052&lt;=500),VLOOKUP(AF3052,TPCalibEq500!$AZ$2:$BB$56,3,),IF(AND(I3052="TDP",S3052&lt;=500),VLOOKUP(AF3052,TPCalibEq500!$AZ$2:$BB$56,3,)))</f>
        <v>0</v>
      </c>
      <c r="AT3052" s="10" t="b">
        <f>IF(AND(I3052="TN",S3052&lt;=2800),VLOOKUP(AF3052,TNCalibEq2500!$AZ$2:$BB$56,3,),IF(AND(I3052="TDN",S3052&lt;=2800),VLOOKUP(AF3052,TNCalibEq2500!$AZ$2:$BB$56,3,)))</f>
        <v>0</v>
      </c>
      <c r="AU3052" s="10" t="b">
        <f>IF(I3052="TP",VLOOKUP(AF3052,TPCalibEqFull!$AZ$2:$BB$56,3),IF(I3052="TDP",VLOOKUP(AF3052,TPCalibEqFull!$AZ$2:$BB$56,3),IF(I3052="TDN",VLOOKUP(AF3052,TNCalibEqFull!$AZ$1:$BB$56,3),IF(I3052="TN",VLOOKUP(AF3052,TNCalibEqFull!$AZ$1:$BB$56,3),FALSE))))</f>
        <v>0</v>
      </c>
      <c r="AV3052" s="10" t="str">
        <f t="shared" si="347"/>
        <v>0213 11:43:00-EFM-0-C-1-SW-UKN</v>
      </c>
    </row>
    <row r="3053" spans="1:48" s="10" customFormat="1" x14ac:dyDescent="0.55000000000000004">
      <c r="A3053" s="32">
        <v>44970</v>
      </c>
      <c r="B3053" s="33">
        <v>0.50694444444444442</v>
      </c>
      <c r="C3053" s="10" t="s">
        <v>999</v>
      </c>
      <c r="D3053" s="10">
        <v>0</v>
      </c>
      <c r="E3053" s="10" t="s">
        <v>190</v>
      </c>
      <c r="F3053" s="10">
        <v>1</v>
      </c>
      <c r="G3053" s="10" t="s">
        <v>231</v>
      </c>
      <c r="H3053" s="10" t="s">
        <v>322</v>
      </c>
      <c r="I3053" s="10" t="s">
        <v>285</v>
      </c>
      <c r="J3053" s="10">
        <v>23</v>
      </c>
      <c r="K3053" s="12">
        <v>44972</v>
      </c>
      <c r="L3053" s="33">
        <v>0.50451388888888882</v>
      </c>
      <c r="M3053" s="10">
        <v>1</v>
      </c>
      <c r="N3053" s="10" t="s">
        <v>211</v>
      </c>
      <c r="O3053" s="10">
        <v>9.1800000000000007E-2</v>
      </c>
      <c r="P3053" s="10">
        <v>8.2000000000000007E-3</v>
      </c>
      <c r="Q3053" s="10">
        <v>16.8</v>
      </c>
      <c r="R3053" s="10" t="s">
        <v>913</v>
      </c>
      <c r="S3053" s="34">
        <f t="shared" si="344"/>
        <v>16.8</v>
      </c>
      <c r="T3053" s="10" t="s">
        <v>1220</v>
      </c>
      <c r="U3053" s="34" t="str">
        <f t="shared" si="345"/>
        <v/>
      </c>
      <c r="V3053" s="31" t="str">
        <f>IF(H3053="CHK",VLOOKUP(I3053,QCCHK,3,),IF(H3053="GUP",VLOOKUP(E3053,QCGUP,2,),IF(AND(H3053="ATP",OR(I3053="TN",I3053="TDN",I3053="TNO2-3",I3053="NO2-3")),VLOOKUP(E3053,QCREC_N,2,),IF(AND(H3053="NIC",OR(I3053="TN",I3053="TDN",I3053="TNO2-3",I3053="NO2-3")),VLOOKUP(E3053,QCNIC_N,2,),IF(AND(H3053="UREA",OR(I3053="TN",I3053="TDN",I3053="TNO2-3",I3053="NO2-3")),VLOOKUP(E3053,QCUREA_N,2,),IF(H3053="PER",VLOOKUP(I3053,QCPER,MATCH(E3053,QCACTUAL!$J$25:$AA$25,0),),IF(H3053="SPK",VLOOKUP(I3053,QCSPK,3,),IF(AND(H3053="ATP",OR(I3053="TP",I3053="TDP")),VLOOKUP(E3053,QCATP_P,2,),""))))))))</f>
        <v/>
      </c>
      <c r="W3053" s="31" t="str">
        <f t="shared" si="346"/>
        <v>TRUE</v>
      </c>
      <c r="X3053" s="31" t="str">
        <f t="shared" si="343"/>
        <v/>
      </c>
      <c r="Y3053" s="10" t="s">
        <v>1206</v>
      </c>
      <c r="Z3053" s="10" t="s">
        <v>910</v>
      </c>
      <c r="AL3053" s="10" t="str">
        <f t="shared" si="341"/>
        <v>FALSE</v>
      </c>
      <c r="AM3053" s="10" t="str">
        <f t="shared" si="341"/>
        <v>FALSE</v>
      </c>
      <c r="AN3053" s="10" t="str">
        <f t="shared" si="341"/>
        <v>FALSE</v>
      </c>
      <c r="AO3053" s="10" t="str">
        <f t="shared" si="342"/>
        <v>FALSE</v>
      </c>
      <c r="AP3053" s="10" t="str">
        <f t="shared" si="342"/>
        <v>FALSE</v>
      </c>
      <c r="AQ3053" s="10" t="b">
        <f>IF(AND(I3053="TP",S3053&lt;=150),VLOOKUP(AF3053,TPCalibEq150!$AZ$2:$BB$55,3,),IF(AND(I3053="TDP",S3053&lt;=150),VLOOKUP(AF3053,TPCalibEq150!$AZ$2:$BB$55,3,)))</f>
        <v>0</v>
      </c>
      <c r="AR3053" s="10" t="b">
        <f>IF(AND(I3053="TP",S3053&lt;=300),VLOOKUP(AF3053,TPCalibEq300!$AZ$2:$BB$55,3,),IF(AND(I3053="TDP",S3053&lt;=300),VLOOKUP(AF3053,TPCalibEq300!$AZ$2:$BB$55,3,)))</f>
        <v>0</v>
      </c>
      <c r="AS3053" s="10" t="b">
        <f>IF(AND(I3053="TP",S3053&lt;=500),VLOOKUP(AF3053,TPCalibEq500!$AZ$2:$BB$56,3,),IF(AND(I3053="TDP",S3053&lt;=500),VLOOKUP(AF3053,TPCalibEq500!$AZ$2:$BB$56,3,)))</f>
        <v>0</v>
      </c>
      <c r="AT3053" s="10" t="b">
        <f>IF(AND(I3053="TN",S3053&lt;=2800),VLOOKUP(AF3053,TNCalibEq2500!$AZ$2:$BB$56,3,),IF(AND(I3053="TDN",S3053&lt;=2800),VLOOKUP(AF3053,TNCalibEq2500!$AZ$2:$BB$56,3,)))</f>
        <v>0</v>
      </c>
      <c r="AU3053" s="10" t="b">
        <f>IF(I3053="TP",VLOOKUP(AF3053,TPCalibEqFull!$AZ$2:$BB$56,3),IF(I3053="TDP",VLOOKUP(AF3053,TPCalibEqFull!$AZ$2:$BB$56,3),IF(I3053="TDN",VLOOKUP(AF3053,TNCalibEqFull!$AZ$1:$BB$56,3),IF(I3053="TN",VLOOKUP(AF3053,TNCalibEqFull!$AZ$1:$BB$56,3),FALSE))))</f>
        <v>0</v>
      </c>
      <c r="AV3053" s="10" t="str">
        <f t="shared" si="347"/>
        <v>0213 12:10:00-EAW-0-C-1-SW-UKN</v>
      </c>
    </row>
    <row r="3054" spans="1:48" s="10" customFormat="1" x14ac:dyDescent="0.55000000000000004">
      <c r="A3054" s="32">
        <v>44970</v>
      </c>
      <c r="B3054" s="33">
        <v>0.51527777777777783</v>
      </c>
      <c r="C3054" s="10" t="s">
        <v>310</v>
      </c>
      <c r="D3054" s="10">
        <v>0</v>
      </c>
      <c r="E3054" s="10" t="s">
        <v>190</v>
      </c>
      <c r="F3054" s="10">
        <v>1</v>
      </c>
      <c r="G3054" s="10" t="s">
        <v>231</v>
      </c>
      <c r="H3054" s="10" t="s">
        <v>322</v>
      </c>
      <c r="I3054" s="10" t="s">
        <v>285</v>
      </c>
      <c r="J3054" s="10">
        <v>24</v>
      </c>
      <c r="K3054" s="12">
        <v>44972</v>
      </c>
      <c r="L3054" s="33">
        <v>0.50533564814814813</v>
      </c>
      <c r="M3054" s="10">
        <v>1</v>
      </c>
      <c r="N3054" s="10" t="s">
        <v>211</v>
      </c>
      <c r="O3054" s="10">
        <v>0.14399999999999999</v>
      </c>
      <c r="P3054" s="10">
        <v>1.34E-2</v>
      </c>
      <c r="Q3054" s="10">
        <v>26.1</v>
      </c>
      <c r="R3054" s="10" t="s">
        <v>913</v>
      </c>
      <c r="S3054" s="34">
        <f t="shared" si="344"/>
        <v>26.1</v>
      </c>
      <c r="T3054" s="10" t="s">
        <v>1220</v>
      </c>
      <c r="U3054" s="34" t="str">
        <f t="shared" si="345"/>
        <v/>
      </c>
      <c r="V3054" s="31" t="str">
        <f>IF(H3054="CHK",VLOOKUP(I3054,QCCHK,3,),IF(H3054="GUP",VLOOKUP(E3054,QCGUP,2,),IF(AND(H3054="ATP",OR(I3054="TN",I3054="TDN",I3054="TNO2-3",I3054="NO2-3")),VLOOKUP(E3054,QCREC_N,2,),IF(AND(H3054="NIC",OR(I3054="TN",I3054="TDN",I3054="TNO2-3",I3054="NO2-3")),VLOOKUP(E3054,QCNIC_N,2,),IF(AND(H3054="UREA",OR(I3054="TN",I3054="TDN",I3054="TNO2-3",I3054="NO2-3")),VLOOKUP(E3054,QCUREA_N,2,),IF(H3054="PER",VLOOKUP(I3054,QCPER,MATCH(E3054,QCACTUAL!$J$25:$AA$25,0),),IF(H3054="SPK",VLOOKUP(I3054,QCSPK,3,),IF(AND(H3054="ATP",OR(I3054="TP",I3054="TDP")),VLOOKUP(E3054,QCATP_P,2,),""))))))))</f>
        <v/>
      </c>
      <c r="W3054" s="31" t="str">
        <f t="shared" si="346"/>
        <v>TRUE</v>
      </c>
      <c r="X3054" s="31" t="str">
        <f t="shared" si="343"/>
        <v/>
      </c>
      <c r="Y3054" s="10" t="s">
        <v>1206</v>
      </c>
      <c r="Z3054" s="10" t="s">
        <v>910</v>
      </c>
      <c r="AL3054" s="10" t="str">
        <f t="shared" si="341"/>
        <v>FALSE</v>
      </c>
      <c r="AM3054" s="10" t="str">
        <f t="shared" si="341"/>
        <v>FALSE</v>
      </c>
      <c r="AN3054" s="10" t="str">
        <f t="shared" si="341"/>
        <v>FALSE</v>
      </c>
      <c r="AO3054" s="10" t="str">
        <f t="shared" si="342"/>
        <v>FALSE</v>
      </c>
      <c r="AP3054" s="10" t="str">
        <f t="shared" si="342"/>
        <v>FALSE</v>
      </c>
      <c r="AQ3054" s="10" t="b">
        <f>IF(AND(I3054="TP",S3054&lt;=150),VLOOKUP(AF3054,TPCalibEq150!$AZ$2:$BB$55,3,),IF(AND(I3054="TDP",S3054&lt;=150),VLOOKUP(AF3054,TPCalibEq150!$AZ$2:$BB$55,3,)))</f>
        <v>0</v>
      </c>
      <c r="AR3054" s="10" t="b">
        <f>IF(AND(I3054="TP",S3054&lt;=300),VLOOKUP(AF3054,TPCalibEq300!$AZ$2:$BB$55,3,),IF(AND(I3054="TDP",S3054&lt;=300),VLOOKUP(AF3054,TPCalibEq300!$AZ$2:$BB$55,3,)))</f>
        <v>0</v>
      </c>
      <c r="AS3054" s="10" t="b">
        <f>IF(AND(I3054="TP",S3054&lt;=500),VLOOKUP(AF3054,TPCalibEq500!$AZ$2:$BB$56,3,),IF(AND(I3054="TDP",S3054&lt;=500),VLOOKUP(AF3054,TPCalibEq500!$AZ$2:$BB$56,3,)))</f>
        <v>0</v>
      </c>
      <c r="AT3054" s="10" t="b">
        <f>IF(AND(I3054="TN",S3054&lt;=2800),VLOOKUP(AF3054,TNCalibEq2500!$AZ$2:$BB$56,3,),IF(AND(I3054="TDN",S3054&lt;=2800),VLOOKUP(AF3054,TNCalibEq2500!$AZ$2:$BB$56,3,)))</f>
        <v>0</v>
      </c>
      <c r="AU3054" s="10" t="b">
        <f>IF(I3054="TP",VLOOKUP(AF3054,TPCalibEqFull!$AZ$2:$BB$56,3),IF(I3054="TDP",VLOOKUP(AF3054,TPCalibEqFull!$AZ$2:$BB$56,3),IF(I3054="TDN",VLOOKUP(AF3054,TNCalibEqFull!$AZ$1:$BB$56,3),IF(I3054="TN",VLOOKUP(AF3054,TNCalibEqFull!$AZ$1:$BB$56,3),FALSE))))</f>
        <v>0</v>
      </c>
      <c r="AV3054" s="10" t="str">
        <f t="shared" si="347"/>
        <v>0213 12:22:00-ELI-0-C-1-SW-UKN</v>
      </c>
    </row>
    <row r="3055" spans="1:48" s="10" customFormat="1" x14ac:dyDescent="0.55000000000000004">
      <c r="A3055" s="32">
        <v>44970</v>
      </c>
      <c r="B3055" s="33">
        <v>0.51527777777777783</v>
      </c>
      <c r="C3055" s="10" t="s">
        <v>310</v>
      </c>
      <c r="D3055" s="10">
        <v>0</v>
      </c>
      <c r="E3055" s="10" t="s">
        <v>190</v>
      </c>
      <c r="F3055" s="10">
        <v>1</v>
      </c>
      <c r="G3055" s="10" t="s">
        <v>231</v>
      </c>
      <c r="H3055" s="10" t="s">
        <v>233</v>
      </c>
      <c r="I3055" s="10" t="s">
        <v>285</v>
      </c>
      <c r="J3055" s="10">
        <v>24</v>
      </c>
      <c r="K3055" s="12">
        <v>44972</v>
      </c>
      <c r="L3055" s="33">
        <v>0.50614583333333341</v>
      </c>
      <c r="M3055" s="10">
        <v>1</v>
      </c>
      <c r="N3055" s="10" t="s">
        <v>211</v>
      </c>
      <c r="O3055" s="10">
        <v>8.7400000000000005E-2</v>
      </c>
      <c r="P3055" s="10">
        <v>7.5700000000000003E-3</v>
      </c>
      <c r="Q3055" s="10">
        <v>16</v>
      </c>
      <c r="R3055" s="10" t="s">
        <v>913</v>
      </c>
      <c r="S3055" s="34">
        <f t="shared" si="344"/>
        <v>16</v>
      </c>
      <c r="T3055" s="10" t="s">
        <v>1220</v>
      </c>
      <c r="U3055" s="34">
        <f t="shared" si="345"/>
        <v>47.980997624703093</v>
      </c>
      <c r="V3055" s="31" t="str">
        <f>IF(H3055="CHK",VLOOKUP(I3055,QCCHK,3,),IF(H3055="GUP",VLOOKUP(E3055,QCGUP,2,),IF(AND(H3055="ATP",OR(I3055="TN",I3055="TDN",I3055="TNO2-3",I3055="NO2-3")),VLOOKUP(E3055,QCREC_N,2,),IF(AND(H3055="NIC",OR(I3055="TN",I3055="TDN",I3055="TNO2-3",I3055="NO2-3")),VLOOKUP(E3055,QCNIC_N,2,),IF(AND(H3055="UREA",OR(I3055="TN",I3055="TDN",I3055="TNO2-3",I3055="NO2-3")),VLOOKUP(E3055,QCUREA_N,2,),IF(H3055="PER",VLOOKUP(I3055,QCPER,MATCH(E3055,QCACTUAL!$J$25:$AA$25,0),),IF(H3055="SPK",VLOOKUP(I3055,QCSPK,3,),IF(AND(H3055="ATP",OR(I3055="TP",I3055="TDP")),VLOOKUP(E3055,QCATP_P,2,),""))))))))</f>
        <v/>
      </c>
      <c r="W3055" s="31" t="b">
        <v>1</v>
      </c>
      <c r="X3055" s="31" t="str">
        <f t="shared" si="343"/>
        <v>((ABS(rep1-rep2))/((rep1+rep2)/2)*100</v>
      </c>
      <c r="Y3055" s="10" t="s">
        <v>1206</v>
      </c>
      <c r="Z3055" s="10" t="s">
        <v>1059</v>
      </c>
      <c r="AL3055" s="10" t="str">
        <f t="shared" si="341"/>
        <v>FALSE</v>
      </c>
      <c r="AM3055" s="10" t="str">
        <f t="shared" si="341"/>
        <v>FALSE</v>
      </c>
      <c r="AN3055" s="10" t="str">
        <f t="shared" si="341"/>
        <v>FALSE</v>
      </c>
      <c r="AO3055" s="10" t="str">
        <f t="shared" si="342"/>
        <v>FALSE</v>
      </c>
      <c r="AP3055" s="10" t="str">
        <f t="shared" si="342"/>
        <v>FALSE</v>
      </c>
      <c r="AQ3055" s="10" t="b">
        <f>IF(AND(I3055="TP",S3055&lt;=150),VLOOKUP(AF3055,TPCalibEq150!$AZ$2:$BB$55,3,),IF(AND(I3055="TDP",S3055&lt;=150),VLOOKUP(AF3055,TPCalibEq150!$AZ$2:$BB$55,3,)))</f>
        <v>0</v>
      </c>
      <c r="AR3055" s="10" t="b">
        <f>IF(AND(I3055="TP",S3055&lt;=300),VLOOKUP(AF3055,TPCalibEq300!$AZ$2:$BB$55,3,),IF(AND(I3055="TDP",S3055&lt;=300),VLOOKUP(AF3055,TPCalibEq300!$AZ$2:$BB$55,3,)))</f>
        <v>0</v>
      </c>
      <c r="AS3055" s="10" t="b">
        <f>IF(AND(I3055="TP",S3055&lt;=500),VLOOKUP(AF3055,TPCalibEq500!$AZ$2:$BB$56,3,),IF(AND(I3055="TDP",S3055&lt;=500),VLOOKUP(AF3055,TPCalibEq500!$AZ$2:$BB$56,3,)))</f>
        <v>0</v>
      </c>
      <c r="AT3055" s="10" t="b">
        <f>IF(AND(I3055="TN",S3055&lt;=2800),VLOOKUP(AF3055,TNCalibEq2500!$AZ$2:$BB$56,3,),IF(AND(I3055="TDN",S3055&lt;=2800),VLOOKUP(AF3055,TNCalibEq2500!$AZ$2:$BB$56,3,)))</f>
        <v>0</v>
      </c>
      <c r="AU3055" s="10" t="b">
        <f>IF(I3055="TP",VLOOKUP(AF3055,TPCalibEqFull!$AZ$2:$BB$56,3),IF(I3055="TDP",VLOOKUP(AF3055,TPCalibEqFull!$AZ$2:$BB$56,3),IF(I3055="TDN",VLOOKUP(AF3055,TNCalibEqFull!$AZ$1:$BB$56,3),IF(I3055="TN",VLOOKUP(AF3055,TNCalibEqFull!$AZ$1:$BB$56,3),FALSE))))</f>
        <v>0</v>
      </c>
      <c r="AV3055" s="10" t="str">
        <f t="shared" si="347"/>
        <v>0213 12:22:00-ELI-0-C-1-SW-DUP</v>
      </c>
    </row>
    <row r="3056" spans="1:48" s="10" customFormat="1" x14ac:dyDescent="0.55000000000000004">
      <c r="A3056" s="32">
        <v>44970</v>
      </c>
      <c r="B3056" s="33">
        <v>0.51527777777777783</v>
      </c>
      <c r="C3056" s="10" t="s">
        <v>310</v>
      </c>
      <c r="D3056" s="10">
        <v>0</v>
      </c>
      <c r="E3056" s="10" t="s">
        <v>190</v>
      </c>
      <c r="F3056" s="10">
        <v>1</v>
      </c>
      <c r="G3056" s="10" t="s">
        <v>231</v>
      </c>
      <c r="H3056" s="10" t="s">
        <v>314</v>
      </c>
      <c r="I3056" s="10" t="s">
        <v>285</v>
      </c>
      <c r="J3056" s="10">
        <v>51</v>
      </c>
      <c r="K3056" s="12">
        <v>44972</v>
      </c>
      <c r="L3056" s="33">
        <v>0.50695601851851857</v>
      </c>
      <c r="M3056" s="10">
        <v>1</v>
      </c>
      <c r="N3056" s="10" t="s">
        <v>211</v>
      </c>
      <c r="O3056" s="10">
        <v>0.97</v>
      </c>
      <c r="P3056" s="10">
        <v>9.3100000000000002E-2</v>
      </c>
      <c r="Q3056" s="10">
        <v>173</v>
      </c>
      <c r="R3056" s="10" t="s">
        <v>913</v>
      </c>
      <c r="S3056" s="34">
        <f t="shared" si="344"/>
        <v>173</v>
      </c>
      <c r="T3056" s="10" t="s">
        <v>1220</v>
      </c>
      <c r="U3056" s="34">
        <f t="shared" si="345"/>
        <v>100.47999999999999</v>
      </c>
      <c r="V3056" s="31">
        <f>IF(H3056="CHK",VLOOKUP(I3056,QCCHK,3,),IF(H3056="GUP",VLOOKUP(E3056,QCGUP,2,),IF(AND(H3056="ATP",OR(I3056="TN",I3056="TDN",I3056="TNO2-3",I3056="NO2-3")),VLOOKUP(E3056,QCREC_N,2,),IF(AND(H3056="NIC",OR(I3056="TN",I3056="TDN",I3056="TNO2-3",I3056="NO2-3")),VLOOKUP(E3056,QCNIC_N,2,),IF(AND(H3056="UREA",OR(I3056="TN",I3056="TDN",I3056="TNO2-3",I3056="NO2-3")),VLOOKUP(E3056,QCUREA_N,2,),IF(H3056="PER",VLOOKUP(I3056,QCPER,MATCH(E3056,QCACTUAL!$J$25:$AA$25,0),),IF(H3056="SPK",VLOOKUP(I3056,QCSPK,3,),IF(AND(H3056="ATP",OR(I3056="TP",I3056="TDP")),VLOOKUP(E3056,QCATP_P,2,),""))))))))</f>
        <v>156.25</v>
      </c>
      <c r="W3056" s="31" t="str">
        <f t="shared" si="346"/>
        <v>TRUE</v>
      </c>
      <c r="X3056" s="31" t="str">
        <f t="shared" si="343"/>
        <v>([spikedunkn]-[unkn])/[spike]*100</v>
      </c>
      <c r="Y3056" s="10" t="s">
        <v>1206</v>
      </c>
      <c r="Z3056" s="10" t="s">
        <v>910</v>
      </c>
      <c r="AL3056" s="10" t="str">
        <f t="shared" si="341"/>
        <v>FALSE</v>
      </c>
      <c r="AM3056" s="10" t="str">
        <f t="shared" si="341"/>
        <v>FALSE</v>
      </c>
      <c r="AN3056" s="10" t="str">
        <f t="shared" si="341"/>
        <v>FALSE</v>
      </c>
      <c r="AO3056" s="10" t="str">
        <f t="shared" si="342"/>
        <v>FALSE</v>
      </c>
      <c r="AP3056" s="10" t="str">
        <f t="shared" si="342"/>
        <v>FALSE</v>
      </c>
      <c r="AQ3056" s="10" t="b">
        <f>IF(AND(I3056="TP",S3056&lt;=150),VLOOKUP(AF3056,TPCalibEq150!$AZ$2:$BB$55,3,),IF(AND(I3056="TDP",S3056&lt;=150),VLOOKUP(AF3056,TPCalibEq150!$AZ$2:$BB$55,3,)))</f>
        <v>0</v>
      </c>
      <c r="AR3056" s="10" t="b">
        <f>IF(AND(I3056="TP",S3056&lt;=300),VLOOKUP(AF3056,TPCalibEq300!$AZ$2:$BB$55,3,),IF(AND(I3056="TDP",S3056&lt;=300),VLOOKUP(AF3056,TPCalibEq300!$AZ$2:$BB$55,3,)))</f>
        <v>0</v>
      </c>
      <c r="AS3056" s="10" t="b">
        <f>IF(AND(I3056="TP",S3056&lt;=500),VLOOKUP(AF3056,TPCalibEq500!$AZ$2:$BB$56,3,),IF(AND(I3056="TDP",S3056&lt;=500),VLOOKUP(AF3056,TPCalibEq500!$AZ$2:$BB$56,3,)))</f>
        <v>0</v>
      </c>
      <c r="AT3056" s="10" t="b">
        <f>IF(AND(I3056="TN",S3056&lt;=2800),VLOOKUP(AF3056,TNCalibEq2500!$AZ$2:$BB$56,3,),IF(AND(I3056="TDN",S3056&lt;=2800),VLOOKUP(AF3056,TNCalibEq2500!$AZ$2:$BB$56,3,)))</f>
        <v>0</v>
      </c>
      <c r="AU3056" s="10" t="b">
        <f>IF(I3056="TP",VLOOKUP(AF3056,TPCalibEqFull!$AZ$2:$BB$56,3),IF(I3056="TDP",VLOOKUP(AF3056,TPCalibEqFull!$AZ$2:$BB$56,3),IF(I3056="TDN",VLOOKUP(AF3056,TNCalibEqFull!$AZ$1:$BB$56,3),IF(I3056="TN",VLOOKUP(AF3056,TNCalibEqFull!$AZ$1:$BB$56,3),FALSE))))</f>
        <v>0</v>
      </c>
      <c r="AV3056" s="10" t="str">
        <f t="shared" si="347"/>
        <v>0213 12:22:00-ELI-0-C-1-SW-SPK</v>
      </c>
    </row>
    <row r="3057" spans="1:48" s="10" customFormat="1" x14ac:dyDescent="0.55000000000000004">
      <c r="A3057" s="32">
        <v>44972</v>
      </c>
      <c r="B3057" s="33">
        <v>0.375</v>
      </c>
      <c r="C3057" s="10" t="s">
        <v>70</v>
      </c>
      <c r="D3057" s="10" t="s">
        <v>71</v>
      </c>
      <c r="E3057" s="10" t="s">
        <v>901</v>
      </c>
      <c r="F3057" s="10">
        <v>1</v>
      </c>
      <c r="G3057" s="10" t="s">
        <v>73</v>
      </c>
      <c r="H3057" s="10" t="s">
        <v>207</v>
      </c>
      <c r="I3057" s="10" t="s">
        <v>285</v>
      </c>
      <c r="J3057" s="10">
        <v>199</v>
      </c>
      <c r="K3057" s="12">
        <v>44972</v>
      </c>
      <c r="L3057" s="33">
        <v>0.50777777777777777</v>
      </c>
      <c r="M3057" s="10">
        <v>1</v>
      </c>
      <c r="N3057" s="10" t="s">
        <v>211</v>
      </c>
      <c r="O3057" s="10">
        <v>0.41899999999999998</v>
      </c>
      <c r="P3057" s="10">
        <v>3.9600000000000003E-2</v>
      </c>
      <c r="Q3057" s="10">
        <v>75</v>
      </c>
      <c r="R3057" s="10" t="s">
        <v>913</v>
      </c>
      <c r="S3057" s="34">
        <f t="shared" si="344"/>
        <v>75</v>
      </c>
      <c r="T3057" s="10" t="s">
        <v>1220</v>
      </c>
      <c r="U3057" s="34">
        <f t="shared" si="345"/>
        <v>100</v>
      </c>
      <c r="V3057" s="31">
        <f>IF(H3057="CHK",VLOOKUP(I3057,QCCHK,3,),IF(H3057="GUP",VLOOKUP(E3057,QCGUP,2,),IF(AND(H3057="ATP",OR(I3057="TN",I3057="TDN",I3057="TNO2-3",I3057="NO2-3")),VLOOKUP(E3057,QCREC_N,2,),IF(AND(H3057="NIC",OR(I3057="TN",I3057="TDN",I3057="TNO2-3",I3057="NO2-3")),VLOOKUP(E3057,QCNIC_N,2,),IF(AND(H3057="UREA",OR(I3057="TN",I3057="TDN",I3057="TNO2-3",I3057="NO2-3")),VLOOKUP(E3057,QCUREA_N,2,),IF(H3057="PER",VLOOKUP(I3057,QCPER,MATCH(E3057,QCACTUAL!$J$25:$AA$25,0),),IF(H3057="SPK",VLOOKUP(I3057,QCSPK,3,),IF(AND(H3057="ATP",OR(I3057="TP",I3057="TDP")),VLOOKUP(E3057,QCATP_P,2,),""))))))))</f>
        <v>75</v>
      </c>
      <c r="W3057" s="31" t="str">
        <f t="shared" si="346"/>
        <v>TRUE</v>
      </c>
      <c r="X3057" s="31" t="str">
        <f t="shared" si="343"/>
        <v>[chk]/[actual]*100</v>
      </c>
      <c r="Y3057" s="10" t="s">
        <v>1206</v>
      </c>
      <c r="AL3057" s="10" t="str">
        <f t="shared" si="341"/>
        <v>FALSE</v>
      </c>
      <c r="AM3057" s="10" t="str">
        <f t="shared" si="341"/>
        <v>FALSE</v>
      </c>
      <c r="AN3057" s="10" t="str">
        <f t="shared" si="341"/>
        <v>FALSE</v>
      </c>
      <c r="AO3057" s="10" t="str">
        <f t="shared" si="342"/>
        <v>FALSE</v>
      </c>
      <c r="AP3057" s="10" t="str">
        <f t="shared" si="342"/>
        <v>FALSE</v>
      </c>
      <c r="AQ3057" s="10" t="b">
        <f>IF(AND(I3057="TP",S3057&lt;=150),VLOOKUP(AF3057,TPCalibEq150!$AZ$2:$BB$55,3,),IF(AND(I3057="TDP",S3057&lt;=150),VLOOKUP(AF3057,TPCalibEq150!$AZ$2:$BB$55,3,)))</f>
        <v>0</v>
      </c>
      <c r="AR3057" s="10" t="b">
        <f>IF(AND(I3057="TP",S3057&lt;=300),VLOOKUP(AF3057,TPCalibEq300!$AZ$2:$BB$55,3,),IF(AND(I3057="TDP",S3057&lt;=300),VLOOKUP(AF3057,TPCalibEq300!$AZ$2:$BB$55,3,)))</f>
        <v>0</v>
      </c>
      <c r="AS3057" s="10" t="b">
        <f>IF(AND(I3057="TP",S3057&lt;=500),VLOOKUP(AF3057,TPCalibEq500!$AZ$2:$BB$56,3,),IF(AND(I3057="TDP",S3057&lt;=500),VLOOKUP(AF3057,TPCalibEq500!$AZ$2:$BB$56,3,)))</f>
        <v>0</v>
      </c>
      <c r="AT3057" s="10" t="b">
        <f>IF(AND(I3057="TN",S3057&lt;=2800),VLOOKUP(AF3057,TNCalibEq2500!$AZ$2:$BB$56,3,),IF(AND(I3057="TDN",S3057&lt;=2800),VLOOKUP(AF3057,TNCalibEq2500!$AZ$2:$BB$56,3,)))</f>
        <v>0</v>
      </c>
      <c r="AU3057" s="10" t="b">
        <f>IF(I3057="TP",VLOOKUP(AF3057,TPCalibEqFull!$AZ$2:$BB$56,3),IF(I3057="TDP",VLOOKUP(AF3057,TPCalibEqFull!$AZ$2:$BB$56,3),IF(I3057="TDN",VLOOKUP(AF3057,TNCalibEqFull!$AZ$1:$BB$56,3),IF(I3057="TN",VLOOKUP(AF3057,TNCalibEqFull!$AZ$1:$BB$56,3),FALSE))))</f>
        <v>0</v>
      </c>
      <c r="AV3057" s="10" t="str">
        <f t="shared" si="347"/>
        <v>0215 09:00:00-QAC-STD-D-1-DI-CHK</v>
      </c>
    </row>
    <row r="3058" spans="1:48" s="10" customFormat="1" x14ac:dyDescent="0.55000000000000004">
      <c r="A3058" s="32">
        <v>44965</v>
      </c>
      <c r="C3058" s="10" t="s">
        <v>279</v>
      </c>
      <c r="D3058" s="10">
        <v>0</v>
      </c>
      <c r="E3058" s="10" t="s">
        <v>911</v>
      </c>
      <c r="F3058" s="10">
        <v>1</v>
      </c>
      <c r="G3058" s="10" t="s">
        <v>231</v>
      </c>
      <c r="H3058" s="10" t="s">
        <v>322</v>
      </c>
      <c r="I3058" s="10" t="s">
        <v>167</v>
      </c>
      <c r="J3058" s="10">
        <v>25</v>
      </c>
      <c r="K3058" s="12">
        <v>44972</v>
      </c>
      <c r="L3058" s="33">
        <v>0.50859953703703698</v>
      </c>
      <c r="M3058" s="10">
        <v>1</v>
      </c>
      <c r="N3058" s="10" t="s">
        <v>211</v>
      </c>
      <c r="O3058" s="10">
        <v>1.92</v>
      </c>
      <c r="P3058" s="10">
        <v>0.188</v>
      </c>
      <c r="Q3058" s="10">
        <v>343</v>
      </c>
      <c r="R3058" s="10" t="s">
        <v>913</v>
      </c>
      <c r="S3058" s="34">
        <f t="shared" si="344"/>
        <v>343</v>
      </c>
      <c r="T3058" s="10" t="s">
        <v>1220</v>
      </c>
      <c r="U3058" s="34" t="str">
        <f t="shared" si="345"/>
        <v/>
      </c>
      <c r="V3058" s="31" t="str">
        <f>IF(H3058="CHK",VLOOKUP(I3058,QCCHK,3,),IF(H3058="GUP",VLOOKUP(E3058,QCGUP,2,),IF(AND(H3058="ATP",OR(I3058="TN",I3058="TDN",I3058="TNO2-3",I3058="NO2-3")),VLOOKUP(E3058,QCREC_N,2,),IF(AND(H3058="NIC",OR(I3058="TN",I3058="TDN",I3058="TNO2-3",I3058="NO2-3")),VLOOKUP(E3058,QCNIC_N,2,),IF(AND(H3058="UREA",OR(I3058="TN",I3058="TDN",I3058="TNO2-3",I3058="NO2-3")),VLOOKUP(E3058,QCUREA_N,2,),IF(H3058="PER",VLOOKUP(I3058,QCPER,MATCH(E3058,QCACTUAL!$J$25:$AA$25,0),),IF(H3058="SPK",VLOOKUP(I3058,QCSPK,3,),IF(AND(H3058="ATP",OR(I3058="TP",I3058="TDP")),VLOOKUP(E3058,QCATP_P,2,),""))))))))</f>
        <v/>
      </c>
      <c r="W3058" s="31" t="str">
        <f t="shared" si="346"/>
        <v>TRUE</v>
      </c>
      <c r="X3058" s="31" t="str">
        <f t="shared" si="343"/>
        <v/>
      </c>
      <c r="Y3058" s="10" t="s">
        <v>1206</v>
      </c>
      <c r="Z3058" s="10" t="s">
        <v>910</v>
      </c>
      <c r="AL3058" s="10" t="str">
        <f t="shared" si="341"/>
        <v>FALSE</v>
      </c>
      <c r="AM3058" s="10" t="str">
        <f t="shared" si="341"/>
        <v>FALSE</v>
      </c>
      <c r="AN3058" s="10" t="str">
        <f t="shared" si="341"/>
        <v>FALSE</v>
      </c>
      <c r="AO3058" s="10" t="str">
        <f t="shared" si="342"/>
        <v>FALSE</v>
      </c>
      <c r="AP3058" s="10" t="str">
        <f t="shared" si="342"/>
        <v>FALSE</v>
      </c>
      <c r="AQ3058" s="10" t="b">
        <f>IF(AND(I3058="TP",S3058&lt;=150),VLOOKUP(AF3058,TPCalibEq150!$AZ$2:$BB$55,3,),IF(AND(I3058="TDP",S3058&lt;=150),VLOOKUP(AF3058,TPCalibEq150!$AZ$2:$BB$55,3,)))</f>
        <v>0</v>
      </c>
      <c r="AR3058" s="10" t="b">
        <f>IF(AND(I3058="TP",S3058&lt;=300),VLOOKUP(AF3058,TPCalibEq300!$AZ$2:$BB$55,3,),IF(AND(I3058="TDP",S3058&lt;=300),VLOOKUP(AF3058,TPCalibEq300!$AZ$2:$BB$55,3,)))</f>
        <v>0</v>
      </c>
      <c r="AS3058" s="10" t="b">
        <f>IF(AND(I3058="TP",S3058&lt;=500),VLOOKUP(AF3058,TPCalibEq500!$AZ$2:$BB$56,3,),IF(AND(I3058="TDP",S3058&lt;=500),VLOOKUP(AF3058,TPCalibEq500!$AZ$2:$BB$56,3,)))</f>
        <v>0</v>
      </c>
      <c r="AT3058" s="10" t="b">
        <f>IF(AND(I3058="TN",S3058&lt;=2800),VLOOKUP(AF3058,TNCalibEq2500!$AZ$2:$BB$56,3,),IF(AND(I3058="TDN",S3058&lt;=2800),VLOOKUP(AF3058,TNCalibEq2500!$AZ$2:$BB$56,3,)))</f>
        <v>0</v>
      </c>
      <c r="AU3058" s="10" t="b">
        <f>IF(I3058="TP",VLOOKUP(AF3058,TPCalibEqFull!$AZ$2:$BB$56,3),IF(I3058="TDP",VLOOKUP(AF3058,TPCalibEqFull!$AZ$2:$BB$56,3),IF(I3058="TDN",VLOOKUP(AF3058,TNCalibEqFull!$AZ$1:$BB$56,3),IF(I3058="TN",VLOOKUP(AF3058,TNCalibEqFull!$AZ$1:$BB$56,3),FALSE))))</f>
        <v>0</v>
      </c>
      <c r="AV3058" s="10" t="str">
        <f t="shared" si="347"/>
        <v>0208 00:00:00-EFK-0-FIL-1-SW-UKN</v>
      </c>
    </row>
    <row r="3059" spans="1:48" s="10" customFormat="1" x14ac:dyDescent="0.55000000000000004">
      <c r="A3059" s="32">
        <v>44965</v>
      </c>
      <c r="B3059" s="33">
        <v>0.24166666666666667</v>
      </c>
      <c r="C3059" s="10" t="s">
        <v>333</v>
      </c>
      <c r="D3059" s="10">
        <v>0</v>
      </c>
      <c r="E3059" s="10" t="s">
        <v>911</v>
      </c>
      <c r="F3059" s="10">
        <v>1</v>
      </c>
      <c r="G3059" s="10" t="s">
        <v>231</v>
      </c>
      <c r="H3059" s="10" t="s">
        <v>322</v>
      </c>
      <c r="I3059" s="10" t="s">
        <v>167</v>
      </c>
      <c r="J3059" s="10">
        <v>26</v>
      </c>
      <c r="K3059" s="12">
        <v>44972</v>
      </c>
      <c r="L3059" s="33">
        <v>0.50940972222222225</v>
      </c>
      <c r="M3059" s="10">
        <v>1</v>
      </c>
      <c r="N3059" s="10" t="s">
        <v>211</v>
      </c>
      <c r="O3059" s="10">
        <v>0.245</v>
      </c>
      <c r="P3059" s="10">
        <v>2.2499999999999999E-2</v>
      </c>
      <c r="Q3059" s="10">
        <v>44.1</v>
      </c>
      <c r="R3059" s="10" t="s">
        <v>913</v>
      </c>
      <c r="S3059" s="34">
        <f t="shared" si="344"/>
        <v>44.1</v>
      </c>
      <c r="T3059" s="10" t="s">
        <v>1220</v>
      </c>
      <c r="U3059" s="34" t="str">
        <f t="shared" si="345"/>
        <v/>
      </c>
      <c r="V3059" s="31" t="str">
        <f>IF(H3059="CHK",VLOOKUP(I3059,QCCHK,3,),IF(H3059="GUP",VLOOKUP(E3059,QCGUP,2,),IF(AND(H3059="ATP",OR(I3059="TN",I3059="TDN",I3059="TNO2-3",I3059="NO2-3")),VLOOKUP(E3059,QCREC_N,2,),IF(AND(H3059="NIC",OR(I3059="TN",I3059="TDN",I3059="TNO2-3",I3059="NO2-3")),VLOOKUP(E3059,QCNIC_N,2,),IF(AND(H3059="UREA",OR(I3059="TN",I3059="TDN",I3059="TNO2-3",I3059="NO2-3")),VLOOKUP(E3059,QCUREA_N,2,),IF(H3059="PER",VLOOKUP(I3059,QCPER,MATCH(E3059,QCACTUAL!$J$25:$AA$25,0),),IF(H3059="SPK",VLOOKUP(I3059,QCSPK,3,),IF(AND(H3059="ATP",OR(I3059="TP",I3059="TDP")),VLOOKUP(E3059,QCATP_P,2,),""))))))))</f>
        <v/>
      </c>
      <c r="W3059" s="31" t="str">
        <f t="shared" si="346"/>
        <v>TRUE</v>
      </c>
      <c r="X3059" s="31" t="str">
        <f t="shared" si="343"/>
        <v/>
      </c>
      <c r="Y3059" s="10" t="s">
        <v>1206</v>
      </c>
      <c r="Z3059" s="10" t="s">
        <v>910</v>
      </c>
      <c r="AL3059" s="10" t="str">
        <f t="shared" si="341"/>
        <v>FALSE</v>
      </c>
      <c r="AM3059" s="10" t="str">
        <f t="shared" si="341"/>
        <v>FALSE</v>
      </c>
      <c r="AN3059" s="10" t="str">
        <f t="shared" si="341"/>
        <v>FALSE</v>
      </c>
      <c r="AO3059" s="10" t="str">
        <f t="shared" si="342"/>
        <v>FALSE</v>
      </c>
      <c r="AP3059" s="10" t="str">
        <f t="shared" si="342"/>
        <v>FALSE</v>
      </c>
      <c r="AQ3059" s="10" t="b">
        <f>IF(AND(I3059="TP",S3059&lt;=150),VLOOKUP(AF3059,TPCalibEq150!$AZ$2:$BB$55,3,),IF(AND(I3059="TDP",S3059&lt;=150),VLOOKUP(AF3059,TPCalibEq150!$AZ$2:$BB$55,3,)))</f>
        <v>0</v>
      </c>
      <c r="AR3059" s="10" t="b">
        <f>IF(AND(I3059="TP",S3059&lt;=300),VLOOKUP(AF3059,TPCalibEq300!$AZ$2:$BB$55,3,),IF(AND(I3059="TDP",S3059&lt;=300),VLOOKUP(AF3059,TPCalibEq300!$AZ$2:$BB$55,3,)))</f>
        <v>0</v>
      </c>
      <c r="AS3059" s="10" t="b">
        <f>IF(AND(I3059="TP",S3059&lt;=500),VLOOKUP(AF3059,TPCalibEq500!$AZ$2:$BB$56,3,),IF(AND(I3059="TDP",S3059&lt;=500),VLOOKUP(AF3059,TPCalibEq500!$AZ$2:$BB$56,3,)))</f>
        <v>0</v>
      </c>
      <c r="AT3059" s="10" t="b">
        <f>IF(AND(I3059="TN",S3059&lt;=2800),VLOOKUP(AF3059,TNCalibEq2500!$AZ$2:$BB$56,3,),IF(AND(I3059="TDN",S3059&lt;=2800),VLOOKUP(AF3059,TNCalibEq2500!$AZ$2:$BB$56,3,)))</f>
        <v>0</v>
      </c>
      <c r="AU3059" s="10" t="b">
        <f>IF(I3059="TP",VLOOKUP(AF3059,TPCalibEqFull!$AZ$2:$BB$56,3),IF(I3059="TDP",VLOOKUP(AF3059,TPCalibEqFull!$AZ$2:$BB$56,3),IF(I3059="TDN",VLOOKUP(AF3059,TNCalibEqFull!$AZ$1:$BB$56,3),IF(I3059="TN",VLOOKUP(AF3059,TNCalibEqFull!$AZ$1:$BB$56,3),FALSE))))</f>
        <v>0</v>
      </c>
      <c r="AV3059" s="10" t="str">
        <f t="shared" si="347"/>
        <v>0208 05:48:00-HST-0-FIL-1-SW-UKN</v>
      </c>
    </row>
    <row r="3060" spans="1:48" s="10" customFormat="1" x14ac:dyDescent="0.55000000000000004">
      <c r="A3060" s="32">
        <v>44966</v>
      </c>
      <c r="B3060" s="33">
        <v>0.41041666666666665</v>
      </c>
      <c r="C3060" s="10" t="s">
        <v>279</v>
      </c>
      <c r="D3060" s="10">
        <v>0</v>
      </c>
      <c r="E3060" s="10" t="s">
        <v>911</v>
      </c>
      <c r="F3060" s="10">
        <v>1</v>
      </c>
      <c r="G3060" s="10" t="s">
        <v>231</v>
      </c>
      <c r="H3060" s="10" t="s">
        <v>322</v>
      </c>
      <c r="I3060" s="10" t="s">
        <v>167</v>
      </c>
      <c r="J3060" s="10">
        <v>27</v>
      </c>
      <c r="K3060" s="12">
        <v>44972</v>
      </c>
      <c r="L3060" s="33">
        <v>0.51021990740740741</v>
      </c>
      <c r="M3060" s="10">
        <v>1</v>
      </c>
      <c r="N3060" s="10" t="s">
        <v>211</v>
      </c>
      <c r="O3060" s="10">
        <v>0.9</v>
      </c>
      <c r="P3060" s="10">
        <v>8.6099999999999996E-2</v>
      </c>
      <c r="Q3060" s="10">
        <v>161</v>
      </c>
      <c r="R3060" s="10" t="s">
        <v>913</v>
      </c>
      <c r="S3060" s="34">
        <f t="shared" si="344"/>
        <v>161</v>
      </c>
      <c r="T3060" s="10" t="s">
        <v>1220</v>
      </c>
      <c r="U3060" s="34" t="str">
        <f t="shared" si="345"/>
        <v/>
      </c>
      <c r="V3060" s="31" t="str">
        <f>IF(H3060="CHK",VLOOKUP(I3060,QCCHK,3,),IF(H3060="GUP",VLOOKUP(E3060,QCGUP,2,),IF(AND(H3060="ATP",OR(I3060="TN",I3060="TDN",I3060="TNO2-3",I3060="NO2-3")),VLOOKUP(E3060,QCREC_N,2,),IF(AND(H3060="NIC",OR(I3060="TN",I3060="TDN",I3060="TNO2-3",I3060="NO2-3")),VLOOKUP(E3060,QCNIC_N,2,),IF(AND(H3060="UREA",OR(I3060="TN",I3060="TDN",I3060="TNO2-3",I3060="NO2-3")),VLOOKUP(E3060,QCUREA_N,2,),IF(H3060="PER",VLOOKUP(I3060,QCPER,MATCH(E3060,QCACTUAL!$J$25:$AA$25,0),),IF(H3060="SPK",VLOOKUP(I3060,QCSPK,3,),IF(AND(H3060="ATP",OR(I3060="TP",I3060="TDP")),VLOOKUP(E3060,QCATP_P,2,),""))))))))</f>
        <v/>
      </c>
      <c r="W3060" s="31" t="str">
        <f t="shared" si="346"/>
        <v>TRUE</v>
      </c>
      <c r="X3060" s="31" t="str">
        <f t="shared" si="343"/>
        <v/>
      </c>
      <c r="Y3060" s="10" t="s">
        <v>1206</v>
      </c>
      <c r="Z3060" s="10" t="s">
        <v>910</v>
      </c>
      <c r="AL3060" s="10" t="str">
        <f t="shared" si="341"/>
        <v>FALSE</v>
      </c>
      <c r="AM3060" s="10" t="str">
        <f t="shared" si="341"/>
        <v>FALSE</v>
      </c>
      <c r="AN3060" s="10" t="str">
        <f t="shared" si="341"/>
        <v>FALSE</v>
      </c>
      <c r="AO3060" s="10" t="str">
        <f t="shared" si="342"/>
        <v>FALSE</v>
      </c>
      <c r="AP3060" s="10" t="str">
        <f t="shared" si="342"/>
        <v>FALSE</v>
      </c>
      <c r="AQ3060" s="10" t="b">
        <f>IF(AND(I3060="TP",S3060&lt;=150),VLOOKUP(AF3060,TPCalibEq150!$AZ$2:$BB$55,3,),IF(AND(I3060="TDP",S3060&lt;=150),VLOOKUP(AF3060,TPCalibEq150!$AZ$2:$BB$55,3,)))</f>
        <v>0</v>
      </c>
      <c r="AR3060" s="10" t="b">
        <f>IF(AND(I3060="TP",S3060&lt;=300),VLOOKUP(AF3060,TPCalibEq300!$AZ$2:$BB$55,3,),IF(AND(I3060="TDP",S3060&lt;=300),VLOOKUP(AF3060,TPCalibEq300!$AZ$2:$BB$55,3,)))</f>
        <v>0</v>
      </c>
      <c r="AS3060" s="10" t="b">
        <f>IF(AND(I3060="TP",S3060&lt;=500),VLOOKUP(AF3060,TPCalibEq500!$AZ$2:$BB$56,3,),IF(AND(I3060="TDP",S3060&lt;=500),VLOOKUP(AF3060,TPCalibEq500!$AZ$2:$BB$56,3,)))</f>
        <v>0</v>
      </c>
      <c r="AT3060" s="10" t="b">
        <f>IF(AND(I3060="TN",S3060&lt;=2800),VLOOKUP(AF3060,TNCalibEq2500!$AZ$2:$BB$56,3,),IF(AND(I3060="TDN",S3060&lt;=2800),VLOOKUP(AF3060,TNCalibEq2500!$AZ$2:$BB$56,3,)))</f>
        <v>0</v>
      </c>
      <c r="AU3060" s="10" t="b">
        <f>IF(I3060="TP",VLOOKUP(AF3060,TPCalibEqFull!$AZ$2:$BB$56,3),IF(I3060="TDP",VLOOKUP(AF3060,TPCalibEqFull!$AZ$2:$BB$56,3),IF(I3060="TDN",VLOOKUP(AF3060,TNCalibEqFull!$AZ$1:$BB$56,3),IF(I3060="TN",VLOOKUP(AF3060,TNCalibEqFull!$AZ$1:$BB$56,3),FALSE))))</f>
        <v>0</v>
      </c>
      <c r="AV3060" s="10" t="str">
        <f t="shared" si="347"/>
        <v>0209 09:51:00-EFK-0-FIL-1-SW-UKN</v>
      </c>
    </row>
    <row r="3061" spans="1:48" s="10" customFormat="1" x14ac:dyDescent="0.55000000000000004">
      <c r="A3061" s="32">
        <v>44966</v>
      </c>
      <c r="B3061" s="33">
        <v>0.42708333333333331</v>
      </c>
      <c r="C3061" s="10" t="s">
        <v>333</v>
      </c>
      <c r="D3061" s="10">
        <v>0</v>
      </c>
      <c r="E3061" s="10" t="s">
        <v>911</v>
      </c>
      <c r="F3061" s="10">
        <v>1</v>
      </c>
      <c r="G3061" s="10" t="s">
        <v>231</v>
      </c>
      <c r="H3061" s="10" t="s">
        <v>322</v>
      </c>
      <c r="I3061" s="10" t="s">
        <v>167</v>
      </c>
      <c r="J3061" s="10">
        <v>28</v>
      </c>
      <c r="K3061" s="12">
        <v>44972</v>
      </c>
      <c r="L3061" s="33">
        <v>0.51103009259259258</v>
      </c>
      <c r="M3061" s="10">
        <v>1</v>
      </c>
      <c r="N3061" s="10" t="s">
        <v>211</v>
      </c>
      <c r="O3061" s="10">
        <v>0.23300000000000001</v>
      </c>
      <c r="P3061" s="10">
        <v>2.1299999999999999E-2</v>
      </c>
      <c r="Q3061" s="10">
        <v>42</v>
      </c>
      <c r="R3061" s="10" t="s">
        <v>913</v>
      </c>
      <c r="S3061" s="34">
        <f t="shared" si="344"/>
        <v>42</v>
      </c>
      <c r="T3061" s="10" t="s">
        <v>1220</v>
      </c>
      <c r="U3061" s="34" t="str">
        <f t="shared" si="345"/>
        <v/>
      </c>
      <c r="V3061" s="31" t="str">
        <f>IF(H3061="CHK",VLOOKUP(I3061,QCCHK,3,),IF(H3061="GUP",VLOOKUP(E3061,QCGUP,2,),IF(AND(H3061="ATP",OR(I3061="TN",I3061="TDN",I3061="TNO2-3",I3061="NO2-3")),VLOOKUP(E3061,QCREC_N,2,),IF(AND(H3061="NIC",OR(I3061="TN",I3061="TDN",I3061="TNO2-3",I3061="NO2-3")),VLOOKUP(E3061,QCNIC_N,2,),IF(AND(H3061="UREA",OR(I3061="TN",I3061="TDN",I3061="TNO2-3",I3061="NO2-3")),VLOOKUP(E3061,QCUREA_N,2,),IF(H3061="PER",VLOOKUP(I3061,QCPER,MATCH(E3061,QCACTUAL!$J$25:$AA$25,0),),IF(H3061="SPK",VLOOKUP(I3061,QCSPK,3,),IF(AND(H3061="ATP",OR(I3061="TP",I3061="TDP")),VLOOKUP(E3061,QCATP_P,2,),""))))))))</f>
        <v/>
      </c>
      <c r="W3061" s="31" t="str">
        <f t="shared" si="346"/>
        <v>TRUE</v>
      </c>
      <c r="X3061" s="31" t="str">
        <f t="shared" si="343"/>
        <v/>
      </c>
      <c r="Y3061" s="10" t="s">
        <v>1206</v>
      </c>
      <c r="Z3061" s="10" t="s">
        <v>910</v>
      </c>
      <c r="AL3061" s="10" t="str">
        <f t="shared" si="341"/>
        <v>FALSE</v>
      </c>
      <c r="AM3061" s="10" t="str">
        <f t="shared" si="341"/>
        <v>FALSE</v>
      </c>
      <c r="AN3061" s="10" t="str">
        <f t="shared" si="341"/>
        <v>FALSE</v>
      </c>
      <c r="AO3061" s="10" t="str">
        <f t="shared" si="342"/>
        <v>FALSE</v>
      </c>
      <c r="AP3061" s="10" t="str">
        <f t="shared" si="342"/>
        <v>FALSE</v>
      </c>
      <c r="AQ3061" s="10" t="b">
        <f>IF(AND(I3061="TP",S3061&lt;=150),VLOOKUP(AF3061,TPCalibEq150!$AZ$2:$BB$55,3,),IF(AND(I3061="TDP",S3061&lt;=150),VLOOKUP(AF3061,TPCalibEq150!$AZ$2:$BB$55,3,)))</f>
        <v>0</v>
      </c>
      <c r="AR3061" s="10" t="b">
        <f>IF(AND(I3061="TP",S3061&lt;=300),VLOOKUP(AF3061,TPCalibEq300!$AZ$2:$BB$55,3,),IF(AND(I3061="TDP",S3061&lt;=300),VLOOKUP(AF3061,TPCalibEq300!$AZ$2:$BB$55,3,)))</f>
        <v>0</v>
      </c>
      <c r="AS3061" s="10" t="b">
        <f>IF(AND(I3061="TP",S3061&lt;=500),VLOOKUP(AF3061,TPCalibEq500!$AZ$2:$BB$56,3,),IF(AND(I3061="TDP",S3061&lt;=500),VLOOKUP(AF3061,TPCalibEq500!$AZ$2:$BB$56,3,)))</f>
        <v>0</v>
      </c>
      <c r="AT3061" s="10" t="b">
        <f>IF(AND(I3061="TN",S3061&lt;=2800),VLOOKUP(AF3061,TNCalibEq2500!$AZ$2:$BB$56,3,),IF(AND(I3061="TDN",S3061&lt;=2800),VLOOKUP(AF3061,TNCalibEq2500!$AZ$2:$BB$56,3,)))</f>
        <v>0</v>
      </c>
      <c r="AU3061" s="10" t="b">
        <f>IF(I3061="TP",VLOOKUP(AF3061,TPCalibEqFull!$AZ$2:$BB$56,3),IF(I3061="TDP",VLOOKUP(AF3061,TPCalibEqFull!$AZ$2:$BB$56,3),IF(I3061="TDN",VLOOKUP(AF3061,TNCalibEqFull!$AZ$1:$BB$56,3),IF(I3061="TN",VLOOKUP(AF3061,TNCalibEqFull!$AZ$1:$BB$56,3),FALSE))))</f>
        <v>0</v>
      </c>
      <c r="AV3061" s="10" t="str">
        <f t="shared" si="347"/>
        <v>0209 10:15:00-HST-0-FIL-1-SW-UKN</v>
      </c>
    </row>
    <row r="3062" spans="1:48" s="10" customFormat="1" x14ac:dyDescent="0.55000000000000004">
      <c r="A3062" s="32">
        <v>44967</v>
      </c>
      <c r="B3062" s="33">
        <v>0.59791666666666665</v>
      </c>
      <c r="C3062" s="10" t="s">
        <v>279</v>
      </c>
      <c r="D3062" s="10">
        <v>0</v>
      </c>
      <c r="E3062" s="10" t="s">
        <v>911</v>
      </c>
      <c r="F3062" s="10">
        <v>1</v>
      </c>
      <c r="G3062" s="10" t="s">
        <v>231</v>
      </c>
      <c r="H3062" s="10" t="s">
        <v>322</v>
      </c>
      <c r="I3062" s="10" t="s">
        <v>167</v>
      </c>
      <c r="J3062" s="10">
        <v>29</v>
      </c>
      <c r="K3062" s="12">
        <v>44972</v>
      </c>
      <c r="L3062" s="33">
        <v>0.51184027777777785</v>
      </c>
      <c r="M3062" s="10">
        <v>1</v>
      </c>
      <c r="N3062" s="10" t="s">
        <v>211</v>
      </c>
      <c r="O3062" s="10">
        <v>1.02</v>
      </c>
      <c r="P3062" s="10">
        <v>9.8400000000000001E-2</v>
      </c>
      <c r="Q3062" s="10">
        <v>183</v>
      </c>
      <c r="R3062" s="10" t="s">
        <v>913</v>
      </c>
      <c r="S3062" s="34">
        <f t="shared" si="344"/>
        <v>183</v>
      </c>
      <c r="T3062" s="10" t="s">
        <v>1220</v>
      </c>
      <c r="U3062" s="34" t="str">
        <f t="shared" si="345"/>
        <v/>
      </c>
      <c r="V3062" s="31" t="str">
        <f>IF(H3062="CHK",VLOOKUP(I3062,QCCHK,3,),IF(H3062="GUP",VLOOKUP(E3062,QCGUP,2,),IF(AND(H3062="ATP",OR(I3062="TN",I3062="TDN",I3062="TNO2-3",I3062="NO2-3")),VLOOKUP(E3062,QCREC_N,2,),IF(AND(H3062="NIC",OR(I3062="TN",I3062="TDN",I3062="TNO2-3",I3062="NO2-3")),VLOOKUP(E3062,QCNIC_N,2,),IF(AND(H3062="UREA",OR(I3062="TN",I3062="TDN",I3062="TNO2-3",I3062="NO2-3")),VLOOKUP(E3062,QCUREA_N,2,),IF(H3062="PER",VLOOKUP(I3062,QCPER,MATCH(E3062,QCACTUAL!$J$25:$AA$25,0),),IF(H3062="SPK",VLOOKUP(I3062,QCSPK,3,),IF(AND(H3062="ATP",OR(I3062="TP",I3062="TDP")),VLOOKUP(E3062,QCATP_P,2,),""))))))))</f>
        <v/>
      </c>
      <c r="W3062" s="31" t="str">
        <f t="shared" si="346"/>
        <v>TRUE</v>
      </c>
      <c r="X3062" s="31" t="str">
        <f t="shared" si="343"/>
        <v/>
      </c>
      <c r="Y3062" s="10" t="s">
        <v>1206</v>
      </c>
      <c r="Z3062" s="10" t="s">
        <v>910</v>
      </c>
      <c r="AL3062" s="10" t="str">
        <f t="shared" si="341"/>
        <v>FALSE</v>
      </c>
      <c r="AM3062" s="10" t="str">
        <f t="shared" si="341"/>
        <v>FALSE</v>
      </c>
      <c r="AN3062" s="10" t="str">
        <f t="shared" si="341"/>
        <v>FALSE</v>
      </c>
      <c r="AO3062" s="10" t="str">
        <f t="shared" si="342"/>
        <v>FALSE</v>
      </c>
      <c r="AP3062" s="10" t="str">
        <f t="shared" si="342"/>
        <v>FALSE</v>
      </c>
      <c r="AQ3062" s="10" t="b">
        <f>IF(AND(I3062="TP",S3062&lt;=150),VLOOKUP(AF3062,TPCalibEq150!$AZ$2:$BB$55,3,),IF(AND(I3062="TDP",S3062&lt;=150),VLOOKUP(AF3062,TPCalibEq150!$AZ$2:$BB$55,3,)))</f>
        <v>0</v>
      </c>
      <c r="AR3062" s="10" t="b">
        <f>IF(AND(I3062="TP",S3062&lt;=300),VLOOKUP(AF3062,TPCalibEq300!$AZ$2:$BB$55,3,),IF(AND(I3062="TDP",S3062&lt;=300),VLOOKUP(AF3062,TPCalibEq300!$AZ$2:$BB$55,3,)))</f>
        <v>0</v>
      </c>
      <c r="AS3062" s="10" t="b">
        <f>IF(AND(I3062="TP",S3062&lt;=500),VLOOKUP(AF3062,TPCalibEq500!$AZ$2:$BB$56,3,),IF(AND(I3062="TDP",S3062&lt;=500),VLOOKUP(AF3062,TPCalibEq500!$AZ$2:$BB$56,3,)))</f>
        <v>0</v>
      </c>
      <c r="AT3062" s="10" t="b">
        <f>IF(AND(I3062="TN",S3062&lt;=2800),VLOOKUP(AF3062,TNCalibEq2500!$AZ$2:$BB$56,3,),IF(AND(I3062="TDN",S3062&lt;=2800),VLOOKUP(AF3062,TNCalibEq2500!$AZ$2:$BB$56,3,)))</f>
        <v>0</v>
      </c>
      <c r="AU3062" s="10" t="b">
        <f>IF(I3062="TP",VLOOKUP(AF3062,TPCalibEqFull!$AZ$2:$BB$56,3),IF(I3062="TDP",VLOOKUP(AF3062,TPCalibEqFull!$AZ$2:$BB$56,3),IF(I3062="TDN",VLOOKUP(AF3062,TNCalibEqFull!$AZ$1:$BB$56,3),IF(I3062="TN",VLOOKUP(AF3062,TNCalibEqFull!$AZ$1:$BB$56,3),FALSE))))</f>
        <v>0</v>
      </c>
      <c r="AV3062" s="10" t="str">
        <f t="shared" si="347"/>
        <v>0210 14:21:00-EFK-0-FIL-1-SW-UKN</v>
      </c>
    </row>
    <row r="3063" spans="1:48" s="10" customFormat="1" x14ac:dyDescent="0.55000000000000004">
      <c r="A3063" s="32">
        <v>44967</v>
      </c>
      <c r="B3063" s="33">
        <v>0.60069444444444442</v>
      </c>
      <c r="C3063" s="10" t="s">
        <v>333</v>
      </c>
      <c r="D3063" s="10">
        <v>0</v>
      </c>
      <c r="E3063" s="10" t="s">
        <v>911</v>
      </c>
      <c r="F3063" s="10">
        <v>1</v>
      </c>
      <c r="G3063" s="10" t="s">
        <v>231</v>
      </c>
      <c r="H3063" s="10" t="s">
        <v>322</v>
      </c>
      <c r="I3063" s="10" t="s">
        <v>167</v>
      </c>
      <c r="J3063" s="10">
        <v>30</v>
      </c>
      <c r="K3063" s="12">
        <v>44972</v>
      </c>
      <c r="L3063" s="33">
        <v>0.51263888888888887</v>
      </c>
      <c r="M3063" s="10">
        <v>1</v>
      </c>
      <c r="N3063" s="10" t="s">
        <v>211</v>
      </c>
      <c r="O3063" s="10">
        <v>0.48199999999999998</v>
      </c>
      <c r="P3063" s="10">
        <v>4.4600000000000001E-2</v>
      </c>
      <c r="Q3063" s="10">
        <v>86.2</v>
      </c>
      <c r="R3063" s="10" t="s">
        <v>913</v>
      </c>
      <c r="S3063" s="34">
        <f t="shared" si="344"/>
        <v>86.2</v>
      </c>
      <c r="T3063" s="10" t="s">
        <v>1220</v>
      </c>
      <c r="U3063" s="34" t="str">
        <f t="shared" si="345"/>
        <v/>
      </c>
      <c r="V3063" s="31" t="str">
        <f>IF(H3063="CHK",VLOOKUP(I3063,QCCHK,3,),IF(H3063="GUP",VLOOKUP(E3063,QCGUP,2,),IF(AND(H3063="ATP",OR(I3063="TN",I3063="TDN",I3063="TNO2-3",I3063="NO2-3")),VLOOKUP(E3063,QCREC_N,2,),IF(AND(H3063="NIC",OR(I3063="TN",I3063="TDN",I3063="TNO2-3",I3063="NO2-3")),VLOOKUP(E3063,QCNIC_N,2,),IF(AND(H3063="UREA",OR(I3063="TN",I3063="TDN",I3063="TNO2-3",I3063="NO2-3")),VLOOKUP(E3063,QCUREA_N,2,),IF(H3063="PER",VLOOKUP(I3063,QCPER,MATCH(E3063,QCACTUAL!$J$25:$AA$25,0),),IF(H3063="SPK",VLOOKUP(I3063,QCSPK,3,),IF(AND(H3063="ATP",OR(I3063="TP",I3063="TDP")),VLOOKUP(E3063,QCATP_P,2,),""))))))))</f>
        <v/>
      </c>
      <c r="W3063" s="31" t="str">
        <f t="shared" si="346"/>
        <v>TRUE</v>
      </c>
      <c r="X3063" s="31" t="str">
        <f t="shared" si="343"/>
        <v/>
      </c>
      <c r="Y3063" s="10" t="s">
        <v>1206</v>
      </c>
      <c r="Z3063" s="10" t="s">
        <v>910</v>
      </c>
      <c r="AL3063" s="10" t="str">
        <f t="shared" si="341"/>
        <v>FALSE</v>
      </c>
      <c r="AM3063" s="10" t="str">
        <f t="shared" si="341"/>
        <v>FALSE</v>
      </c>
      <c r="AN3063" s="10" t="str">
        <f t="shared" si="341"/>
        <v>FALSE</v>
      </c>
      <c r="AO3063" s="10" t="str">
        <f t="shared" si="342"/>
        <v>FALSE</v>
      </c>
      <c r="AP3063" s="10" t="str">
        <f t="shared" si="342"/>
        <v>FALSE</v>
      </c>
      <c r="AQ3063" s="10" t="b">
        <f>IF(AND(I3063="TP",S3063&lt;=150),VLOOKUP(AF3063,TPCalibEq150!$AZ$2:$BB$55,3,),IF(AND(I3063="TDP",S3063&lt;=150),VLOOKUP(AF3063,TPCalibEq150!$AZ$2:$BB$55,3,)))</f>
        <v>0</v>
      </c>
      <c r="AR3063" s="10" t="b">
        <f>IF(AND(I3063="TP",S3063&lt;=300),VLOOKUP(AF3063,TPCalibEq300!$AZ$2:$BB$55,3,),IF(AND(I3063="TDP",S3063&lt;=300),VLOOKUP(AF3063,TPCalibEq300!$AZ$2:$BB$55,3,)))</f>
        <v>0</v>
      </c>
      <c r="AS3063" s="10" t="b">
        <f>IF(AND(I3063="TP",S3063&lt;=500),VLOOKUP(AF3063,TPCalibEq500!$AZ$2:$BB$56,3,),IF(AND(I3063="TDP",S3063&lt;=500),VLOOKUP(AF3063,TPCalibEq500!$AZ$2:$BB$56,3,)))</f>
        <v>0</v>
      </c>
      <c r="AT3063" s="10" t="b">
        <f>IF(AND(I3063="TN",S3063&lt;=2800),VLOOKUP(AF3063,TNCalibEq2500!$AZ$2:$BB$56,3,),IF(AND(I3063="TDN",S3063&lt;=2800),VLOOKUP(AF3063,TNCalibEq2500!$AZ$2:$BB$56,3,)))</f>
        <v>0</v>
      </c>
      <c r="AU3063" s="10" t="b">
        <f>IF(I3063="TP",VLOOKUP(AF3063,TPCalibEqFull!$AZ$2:$BB$56,3),IF(I3063="TDP",VLOOKUP(AF3063,TPCalibEqFull!$AZ$2:$BB$56,3),IF(I3063="TDN",VLOOKUP(AF3063,TNCalibEqFull!$AZ$1:$BB$56,3),IF(I3063="TN",VLOOKUP(AF3063,TNCalibEqFull!$AZ$1:$BB$56,3),FALSE))))</f>
        <v>0</v>
      </c>
      <c r="AV3063" s="10" t="str">
        <f t="shared" si="347"/>
        <v>0210 14:25:00-HST-0-FIL-1-SW-UKN</v>
      </c>
    </row>
    <row r="3064" spans="1:48" s="10" customFormat="1" x14ac:dyDescent="0.55000000000000004">
      <c r="A3064" s="32">
        <v>44970</v>
      </c>
      <c r="B3064" s="33">
        <v>0.32777777777777778</v>
      </c>
      <c r="C3064" s="10" t="s">
        <v>279</v>
      </c>
      <c r="D3064" s="10">
        <v>0</v>
      </c>
      <c r="E3064" s="10" t="s">
        <v>911</v>
      </c>
      <c r="F3064" s="10">
        <v>1</v>
      </c>
      <c r="G3064" s="10" t="s">
        <v>231</v>
      </c>
      <c r="H3064" s="10" t="s">
        <v>322</v>
      </c>
      <c r="I3064" s="10" t="s">
        <v>167</v>
      </c>
      <c r="J3064" s="10">
        <v>31</v>
      </c>
      <c r="K3064" s="12">
        <v>44972</v>
      </c>
      <c r="L3064" s="33">
        <v>0.51347222222222222</v>
      </c>
      <c r="M3064" s="10">
        <v>1</v>
      </c>
      <c r="N3064" s="10" t="s">
        <v>211</v>
      </c>
      <c r="O3064" s="10">
        <v>0.97599999999999998</v>
      </c>
      <c r="P3064" s="10">
        <v>9.3200000000000005E-2</v>
      </c>
      <c r="Q3064" s="10">
        <v>174</v>
      </c>
      <c r="R3064" s="10" t="s">
        <v>913</v>
      </c>
      <c r="S3064" s="34">
        <f t="shared" si="344"/>
        <v>174</v>
      </c>
      <c r="T3064" s="10" t="s">
        <v>1220</v>
      </c>
      <c r="U3064" s="34" t="str">
        <f t="shared" si="345"/>
        <v/>
      </c>
      <c r="V3064" s="31" t="str">
        <f>IF(H3064="CHK",VLOOKUP(I3064,QCCHK,3,),IF(H3064="GUP",VLOOKUP(E3064,QCGUP,2,),IF(AND(H3064="ATP",OR(I3064="TN",I3064="TDN",I3064="TNO2-3",I3064="NO2-3")),VLOOKUP(E3064,QCREC_N,2,),IF(AND(H3064="NIC",OR(I3064="TN",I3064="TDN",I3064="TNO2-3",I3064="NO2-3")),VLOOKUP(E3064,QCNIC_N,2,),IF(AND(H3064="UREA",OR(I3064="TN",I3064="TDN",I3064="TNO2-3",I3064="NO2-3")),VLOOKUP(E3064,QCUREA_N,2,),IF(H3064="PER",VLOOKUP(I3064,QCPER,MATCH(E3064,QCACTUAL!$J$25:$AA$25,0),),IF(H3064="SPK",VLOOKUP(I3064,QCSPK,3,),IF(AND(H3064="ATP",OR(I3064="TP",I3064="TDP")),VLOOKUP(E3064,QCATP_P,2,),""))))))))</f>
        <v/>
      </c>
      <c r="W3064" s="31" t="str">
        <f t="shared" si="346"/>
        <v>TRUE</v>
      </c>
      <c r="X3064" s="31" t="str">
        <f t="shared" si="343"/>
        <v/>
      </c>
      <c r="Y3064" s="10" t="s">
        <v>1206</v>
      </c>
      <c r="Z3064" s="10" t="s">
        <v>910</v>
      </c>
      <c r="AL3064" s="10" t="str">
        <f t="shared" si="341"/>
        <v>FALSE</v>
      </c>
      <c r="AM3064" s="10" t="str">
        <f t="shared" si="341"/>
        <v>FALSE</v>
      </c>
      <c r="AN3064" s="10" t="str">
        <f t="shared" si="341"/>
        <v>FALSE</v>
      </c>
      <c r="AO3064" s="10" t="str">
        <f t="shared" si="342"/>
        <v>FALSE</v>
      </c>
      <c r="AP3064" s="10" t="str">
        <f t="shared" si="342"/>
        <v>FALSE</v>
      </c>
      <c r="AQ3064" s="10" t="b">
        <f>IF(AND(I3064="TP",S3064&lt;=150),VLOOKUP(AF3064,TPCalibEq150!$AZ$2:$BB$55,3,),IF(AND(I3064="TDP",S3064&lt;=150),VLOOKUP(AF3064,TPCalibEq150!$AZ$2:$BB$55,3,)))</f>
        <v>0</v>
      </c>
      <c r="AR3064" s="10" t="b">
        <f>IF(AND(I3064="TP",S3064&lt;=300),VLOOKUP(AF3064,TPCalibEq300!$AZ$2:$BB$55,3,),IF(AND(I3064="TDP",S3064&lt;=300),VLOOKUP(AF3064,TPCalibEq300!$AZ$2:$BB$55,3,)))</f>
        <v>0</v>
      </c>
      <c r="AS3064" s="10" t="b">
        <f>IF(AND(I3064="TP",S3064&lt;=500),VLOOKUP(AF3064,TPCalibEq500!$AZ$2:$BB$56,3,),IF(AND(I3064="TDP",S3064&lt;=500),VLOOKUP(AF3064,TPCalibEq500!$AZ$2:$BB$56,3,)))</f>
        <v>0</v>
      </c>
      <c r="AT3064" s="10" t="b">
        <f>IF(AND(I3064="TN",S3064&lt;=2800),VLOOKUP(AF3064,TNCalibEq2500!$AZ$2:$BB$56,3,),IF(AND(I3064="TDN",S3064&lt;=2800),VLOOKUP(AF3064,TNCalibEq2500!$AZ$2:$BB$56,3,)))</f>
        <v>0</v>
      </c>
      <c r="AU3064" s="10" t="b">
        <f>IF(I3064="TP",VLOOKUP(AF3064,TPCalibEqFull!$AZ$2:$BB$56,3),IF(I3064="TDP",VLOOKUP(AF3064,TPCalibEqFull!$AZ$2:$BB$56,3),IF(I3064="TDN",VLOOKUP(AF3064,TNCalibEqFull!$AZ$1:$BB$56,3),IF(I3064="TN",VLOOKUP(AF3064,TNCalibEqFull!$AZ$1:$BB$56,3),FALSE))))</f>
        <v>0</v>
      </c>
      <c r="AV3064" s="10" t="str">
        <f t="shared" si="347"/>
        <v>0213 07:52:00-EFK-0-FIL-1-SW-UKN</v>
      </c>
    </row>
    <row r="3065" spans="1:48" s="10" customFormat="1" x14ac:dyDescent="0.55000000000000004">
      <c r="A3065" s="32">
        <v>44970</v>
      </c>
      <c r="B3065" s="33">
        <v>0.26458333333333334</v>
      </c>
      <c r="C3065" s="10" t="s">
        <v>333</v>
      </c>
      <c r="D3065" s="10">
        <v>0</v>
      </c>
      <c r="E3065" s="10" t="s">
        <v>911</v>
      </c>
      <c r="F3065" s="10" t="s">
        <v>190</v>
      </c>
      <c r="G3065" s="10" t="s">
        <v>231</v>
      </c>
      <c r="H3065" s="10" t="s">
        <v>322</v>
      </c>
      <c r="I3065" s="10" t="s">
        <v>167</v>
      </c>
      <c r="J3065" s="10">
        <v>32</v>
      </c>
      <c r="K3065" s="12">
        <v>44972</v>
      </c>
      <c r="L3065" s="33">
        <v>0.51429398148148142</v>
      </c>
      <c r="M3065" s="10">
        <v>1</v>
      </c>
      <c r="N3065" s="10" t="s">
        <v>211</v>
      </c>
      <c r="O3065" s="10">
        <v>0.184</v>
      </c>
      <c r="P3065" s="10">
        <v>1.67E-2</v>
      </c>
      <c r="Q3065" s="10">
        <v>33.200000000000003</v>
      </c>
      <c r="R3065" s="10" t="s">
        <v>913</v>
      </c>
      <c r="S3065" s="34">
        <f t="shared" si="344"/>
        <v>33.200000000000003</v>
      </c>
      <c r="T3065" s="10" t="s">
        <v>1220</v>
      </c>
      <c r="U3065" s="34" t="str">
        <f t="shared" si="345"/>
        <v/>
      </c>
      <c r="V3065" s="31" t="str">
        <f>IF(H3065="CHK",VLOOKUP(I3065,QCCHK,3,),IF(H3065="GUP",VLOOKUP(E3065,QCGUP,2,),IF(AND(H3065="ATP",OR(I3065="TN",I3065="TDN",I3065="TNO2-3",I3065="NO2-3")),VLOOKUP(E3065,QCREC_N,2,),IF(AND(H3065="NIC",OR(I3065="TN",I3065="TDN",I3065="TNO2-3",I3065="NO2-3")),VLOOKUP(E3065,QCNIC_N,2,),IF(AND(H3065="UREA",OR(I3065="TN",I3065="TDN",I3065="TNO2-3",I3065="NO2-3")),VLOOKUP(E3065,QCUREA_N,2,),IF(H3065="PER",VLOOKUP(I3065,QCPER,MATCH(E3065,QCACTUAL!$J$25:$AA$25,0),),IF(H3065="SPK",VLOOKUP(I3065,QCSPK,3,),IF(AND(H3065="ATP",OR(I3065="TP",I3065="TDP")),VLOOKUP(E3065,QCATP_P,2,),""))))))))</f>
        <v/>
      </c>
      <c r="W3065" s="31" t="str">
        <f t="shared" si="346"/>
        <v>TRUE</v>
      </c>
      <c r="X3065" s="31" t="str">
        <f t="shared" si="343"/>
        <v/>
      </c>
      <c r="Y3065" s="10" t="s">
        <v>1206</v>
      </c>
      <c r="Z3065" s="10" t="s">
        <v>910</v>
      </c>
      <c r="AL3065" s="10" t="str">
        <f t="shared" si="341"/>
        <v>FALSE</v>
      </c>
      <c r="AM3065" s="10" t="str">
        <f t="shared" si="341"/>
        <v>FALSE</v>
      </c>
      <c r="AN3065" s="10" t="str">
        <f t="shared" si="341"/>
        <v>FALSE</v>
      </c>
      <c r="AO3065" s="10" t="str">
        <f t="shared" si="342"/>
        <v>FALSE</v>
      </c>
      <c r="AP3065" s="10" t="str">
        <f t="shared" si="342"/>
        <v>FALSE</v>
      </c>
      <c r="AQ3065" s="10" t="b">
        <f>IF(AND(I3065="TP",S3065&lt;=150),VLOOKUP(AF3065,TPCalibEq150!$AZ$2:$BB$55,3,),IF(AND(I3065="TDP",S3065&lt;=150),VLOOKUP(AF3065,TPCalibEq150!$AZ$2:$BB$55,3,)))</f>
        <v>0</v>
      </c>
      <c r="AR3065" s="10" t="b">
        <f>IF(AND(I3065="TP",S3065&lt;=300),VLOOKUP(AF3065,TPCalibEq300!$AZ$2:$BB$55,3,),IF(AND(I3065="TDP",S3065&lt;=300),VLOOKUP(AF3065,TPCalibEq300!$AZ$2:$BB$55,3,)))</f>
        <v>0</v>
      </c>
      <c r="AS3065" s="10" t="b">
        <f>IF(AND(I3065="TP",S3065&lt;=500),VLOOKUP(AF3065,TPCalibEq500!$AZ$2:$BB$56,3,),IF(AND(I3065="TDP",S3065&lt;=500),VLOOKUP(AF3065,TPCalibEq500!$AZ$2:$BB$56,3,)))</f>
        <v>0</v>
      </c>
      <c r="AT3065" s="10" t="b">
        <f>IF(AND(I3065="TN",S3065&lt;=2800),VLOOKUP(AF3065,TNCalibEq2500!$AZ$2:$BB$56,3,),IF(AND(I3065="TDN",S3065&lt;=2800),VLOOKUP(AF3065,TNCalibEq2500!$AZ$2:$BB$56,3,)))</f>
        <v>0</v>
      </c>
      <c r="AU3065" s="10" t="b">
        <f>IF(I3065="TP",VLOOKUP(AF3065,TPCalibEqFull!$AZ$2:$BB$56,3),IF(I3065="TDP",VLOOKUP(AF3065,TPCalibEqFull!$AZ$2:$BB$56,3),IF(I3065="TDN",VLOOKUP(AF3065,TNCalibEqFull!$AZ$1:$BB$56,3),IF(I3065="TN",VLOOKUP(AF3065,TNCalibEqFull!$AZ$1:$BB$56,3),FALSE))))</f>
        <v>0</v>
      </c>
      <c r="AV3065" s="10" t="str">
        <f t="shared" si="347"/>
        <v>0213 06:21:00-HST-0-FIL-C-SW-UKN</v>
      </c>
    </row>
    <row r="3066" spans="1:48" s="10" customFormat="1" x14ac:dyDescent="0.55000000000000004">
      <c r="A3066" s="32">
        <v>44971</v>
      </c>
      <c r="B3066" s="33">
        <v>0.24097222222222223</v>
      </c>
      <c r="C3066" s="10" t="s">
        <v>279</v>
      </c>
      <c r="D3066" s="10">
        <v>0</v>
      </c>
      <c r="E3066" s="10" t="s">
        <v>911</v>
      </c>
      <c r="F3066" s="10">
        <v>1</v>
      </c>
      <c r="G3066" s="10" t="s">
        <v>231</v>
      </c>
      <c r="H3066" s="10" t="s">
        <v>322</v>
      </c>
      <c r="I3066" s="10" t="s">
        <v>167</v>
      </c>
      <c r="J3066" s="10">
        <v>33</v>
      </c>
      <c r="K3066" s="12">
        <v>44972</v>
      </c>
      <c r="L3066" s="33">
        <v>0.51511574074074074</v>
      </c>
      <c r="M3066" s="10">
        <v>1</v>
      </c>
      <c r="N3066" s="10" t="s">
        <v>211</v>
      </c>
      <c r="O3066" s="10">
        <v>0.67700000000000005</v>
      </c>
      <c r="P3066" s="10">
        <v>6.3399999999999998E-2</v>
      </c>
      <c r="Q3066" s="10">
        <v>121</v>
      </c>
      <c r="R3066" s="10" t="s">
        <v>913</v>
      </c>
      <c r="S3066" s="34">
        <f t="shared" si="344"/>
        <v>121</v>
      </c>
      <c r="T3066" s="10" t="s">
        <v>1220</v>
      </c>
      <c r="U3066" s="34" t="str">
        <f t="shared" si="345"/>
        <v/>
      </c>
      <c r="V3066" s="31" t="str">
        <f>IF(H3066="CHK",VLOOKUP(I3066,QCCHK,3,),IF(H3066="GUP",VLOOKUP(E3066,QCGUP,2,),IF(AND(H3066="ATP",OR(I3066="TN",I3066="TDN",I3066="TNO2-3",I3066="NO2-3")),VLOOKUP(E3066,QCREC_N,2,),IF(AND(H3066="NIC",OR(I3066="TN",I3066="TDN",I3066="TNO2-3",I3066="NO2-3")),VLOOKUP(E3066,QCNIC_N,2,),IF(AND(H3066="UREA",OR(I3066="TN",I3066="TDN",I3066="TNO2-3",I3066="NO2-3")),VLOOKUP(E3066,QCUREA_N,2,),IF(H3066="PER",VLOOKUP(I3066,QCPER,MATCH(E3066,QCACTUAL!$J$25:$AA$25,0),),IF(H3066="SPK",VLOOKUP(I3066,QCSPK,3,),IF(AND(H3066="ATP",OR(I3066="TP",I3066="TDP")),VLOOKUP(E3066,QCATP_P,2,),""))))))))</f>
        <v/>
      </c>
      <c r="W3066" s="31" t="str">
        <f t="shared" si="346"/>
        <v>TRUE</v>
      </c>
      <c r="X3066" s="31" t="str">
        <f t="shared" si="343"/>
        <v/>
      </c>
      <c r="Y3066" s="10" t="s">
        <v>1206</v>
      </c>
      <c r="AL3066" s="10" t="str">
        <f t="shared" si="341"/>
        <v>FALSE</v>
      </c>
      <c r="AM3066" s="10" t="str">
        <f t="shared" si="341"/>
        <v>FALSE</v>
      </c>
      <c r="AN3066" s="10" t="str">
        <f t="shared" si="341"/>
        <v>FALSE</v>
      </c>
      <c r="AO3066" s="10" t="str">
        <f t="shared" si="342"/>
        <v>FALSE</v>
      </c>
      <c r="AP3066" s="10" t="str">
        <f t="shared" si="342"/>
        <v>FALSE</v>
      </c>
      <c r="AQ3066" s="10" t="b">
        <f>IF(AND(I3066="TP",S3066&lt;=150),VLOOKUP(AF3066,TPCalibEq150!$AZ$2:$BB$55,3,),IF(AND(I3066="TDP",S3066&lt;=150),VLOOKUP(AF3066,TPCalibEq150!$AZ$2:$BB$55,3,)))</f>
        <v>0</v>
      </c>
      <c r="AR3066" s="10" t="b">
        <f>IF(AND(I3066="TP",S3066&lt;=300),VLOOKUP(AF3066,TPCalibEq300!$AZ$2:$BB$55,3,),IF(AND(I3066="TDP",S3066&lt;=300),VLOOKUP(AF3066,TPCalibEq300!$AZ$2:$BB$55,3,)))</f>
        <v>0</v>
      </c>
      <c r="AS3066" s="10" t="b">
        <f>IF(AND(I3066="TP",S3066&lt;=500),VLOOKUP(AF3066,TPCalibEq500!$AZ$2:$BB$56,3,),IF(AND(I3066="TDP",S3066&lt;=500),VLOOKUP(AF3066,TPCalibEq500!$AZ$2:$BB$56,3,)))</f>
        <v>0</v>
      </c>
      <c r="AT3066" s="10" t="b">
        <f>IF(AND(I3066="TN",S3066&lt;=2800),VLOOKUP(AF3066,TNCalibEq2500!$AZ$2:$BB$56,3,),IF(AND(I3066="TDN",S3066&lt;=2800),VLOOKUP(AF3066,TNCalibEq2500!$AZ$2:$BB$56,3,)))</f>
        <v>0</v>
      </c>
      <c r="AU3066" s="10" t="b">
        <f>IF(I3066="TP",VLOOKUP(AF3066,TPCalibEqFull!$AZ$2:$BB$56,3),IF(I3066="TDP",VLOOKUP(AF3066,TPCalibEqFull!$AZ$2:$BB$56,3),IF(I3066="TDN",VLOOKUP(AF3066,TNCalibEqFull!$AZ$1:$BB$56,3),IF(I3066="TN",VLOOKUP(AF3066,TNCalibEqFull!$AZ$1:$BB$56,3),FALSE))))</f>
        <v>0</v>
      </c>
      <c r="AV3066" s="10" t="str">
        <f t="shared" si="347"/>
        <v>0214 05:47:00-EFK-0-FIL-1-SW-UKN</v>
      </c>
    </row>
    <row r="3067" spans="1:48" s="10" customFormat="1" x14ac:dyDescent="0.55000000000000004">
      <c r="A3067" s="32">
        <v>44971</v>
      </c>
      <c r="B3067" s="33">
        <v>0.24444444444444446</v>
      </c>
      <c r="C3067" s="10" t="s">
        <v>333</v>
      </c>
      <c r="D3067" s="10">
        <v>0</v>
      </c>
      <c r="E3067" s="10" t="s">
        <v>911</v>
      </c>
      <c r="F3067" s="10">
        <v>1</v>
      </c>
      <c r="G3067" s="10" t="s">
        <v>231</v>
      </c>
      <c r="H3067" s="10" t="s">
        <v>322</v>
      </c>
      <c r="I3067" s="10" t="s">
        <v>167</v>
      </c>
      <c r="J3067" s="10">
        <v>34</v>
      </c>
      <c r="K3067" s="12">
        <v>44972</v>
      </c>
      <c r="L3067" s="33">
        <v>0.51593750000000005</v>
      </c>
      <c r="M3067" s="10">
        <v>1</v>
      </c>
      <c r="N3067" s="10" t="s">
        <v>211</v>
      </c>
      <c r="O3067" s="10">
        <v>0.26700000000000002</v>
      </c>
      <c r="P3067" s="10">
        <v>2.4500000000000001E-2</v>
      </c>
      <c r="Q3067" s="10">
        <v>48</v>
      </c>
      <c r="R3067" s="10" t="s">
        <v>913</v>
      </c>
      <c r="S3067" s="34">
        <f t="shared" si="344"/>
        <v>48</v>
      </c>
      <c r="T3067" s="10" t="s">
        <v>1220</v>
      </c>
      <c r="U3067" s="34" t="str">
        <f t="shared" si="345"/>
        <v/>
      </c>
      <c r="V3067" s="31" t="str">
        <f>IF(H3067="CHK",VLOOKUP(I3067,QCCHK,3,),IF(H3067="GUP",VLOOKUP(E3067,QCGUP,2,),IF(AND(H3067="ATP",OR(I3067="TN",I3067="TDN",I3067="TNO2-3",I3067="NO2-3")),VLOOKUP(E3067,QCREC_N,2,),IF(AND(H3067="NIC",OR(I3067="TN",I3067="TDN",I3067="TNO2-3",I3067="NO2-3")),VLOOKUP(E3067,QCNIC_N,2,),IF(AND(H3067="UREA",OR(I3067="TN",I3067="TDN",I3067="TNO2-3",I3067="NO2-3")),VLOOKUP(E3067,QCUREA_N,2,),IF(H3067="PER",VLOOKUP(I3067,QCPER,MATCH(E3067,QCACTUAL!$J$25:$AA$25,0),),IF(H3067="SPK",VLOOKUP(I3067,QCSPK,3,),IF(AND(H3067="ATP",OR(I3067="TP",I3067="TDP")),VLOOKUP(E3067,QCATP_P,2,),""))))))))</f>
        <v/>
      </c>
      <c r="W3067" s="31" t="str">
        <f t="shared" si="346"/>
        <v>TRUE</v>
      </c>
      <c r="X3067" s="31" t="str">
        <f t="shared" si="343"/>
        <v/>
      </c>
      <c r="Y3067" s="10" t="s">
        <v>1206</v>
      </c>
      <c r="AL3067" s="10" t="str">
        <f t="shared" si="341"/>
        <v>FALSE</v>
      </c>
      <c r="AM3067" s="10" t="str">
        <f t="shared" si="341"/>
        <v>FALSE</v>
      </c>
      <c r="AN3067" s="10" t="str">
        <f t="shared" si="341"/>
        <v>FALSE</v>
      </c>
      <c r="AO3067" s="10" t="str">
        <f t="shared" si="342"/>
        <v>FALSE</v>
      </c>
      <c r="AP3067" s="10" t="str">
        <f t="shared" si="342"/>
        <v>FALSE</v>
      </c>
      <c r="AQ3067" s="10" t="b">
        <f>IF(AND(I3067="TP",S3067&lt;=150),VLOOKUP(AF3067,TPCalibEq150!$AZ$2:$BB$55,3,),IF(AND(I3067="TDP",S3067&lt;=150),VLOOKUP(AF3067,TPCalibEq150!$AZ$2:$BB$55,3,)))</f>
        <v>0</v>
      </c>
      <c r="AR3067" s="10" t="b">
        <f>IF(AND(I3067="TP",S3067&lt;=300),VLOOKUP(AF3067,TPCalibEq300!$AZ$2:$BB$55,3,),IF(AND(I3067="TDP",S3067&lt;=300),VLOOKUP(AF3067,TPCalibEq300!$AZ$2:$BB$55,3,)))</f>
        <v>0</v>
      </c>
      <c r="AS3067" s="10" t="b">
        <f>IF(AND(I3067="TP",S3067&lt;=500),VLOOKUP(AF3067,TPCalibEq500!$AZ$2:$BB$56,3,),IF(AND(I3067="TDP",S3067&lt;=500),VLOOKUP(AF3067,TPCalibEq500!$AZ$2:$BB$56,3,)))</f>
        <v>0</v>
      </c>
      <c r="AT3067" s="10" t="b">
        <f>IF(AND(I3067="TN",S3067&lt;=2800),VLOOKUP(AF3067,TNCalibEq2500!$AZ$2:$BB$56,3,),IF(AND(I3067="TDN",S3067&lt;=2800),VLOOKUP(AF3067,TNCalibEq2500!$AZ$2:$BB$56,3,)))</f>
        <v>0</v>
      </c>
      <c r="AU3067" s="10" t="b">
        <f>IF(I3067="TP",VLOOKUP(AF3067,TPCalibEqFull!$AZ$2:$BB$56,3),IF(I3067="TDP",VLOOKUP(AF3067,TPCalibEqFull!$AZ$2:$BB$56,3),IF(I3067="TDN",VLOOKUP(AF3067,TNCalibEqFull!$AZ$1:$BB$56,3),IF(I3067="TN",VLOOKUP(AF3067,TNCalibEqFull!$AZ$1:$BB$56,3),FALSE))))</f>
        <v>0</v>
      </c>
      <c r="AV3067" s="10" t="str">
        <f t="shared" si="347"/>
        <v>0214 05:52:00-HST-0-FIL-1-SW-UKN</v>
      </c>
    </row>
    <row r="3068" spans="1:48" s="10" customFormat="1" x14ac:dyDescent="0.55000000000000004">
      <c r="A3068" s="32">
        <v>44971</v>
      </c>
      <c r="B3068" s="33">
        <v>0.24444444444444446</v>
      </c>
      <c r="C3068" s="10" t="s">
        <v>333</v>
      </c>
      <c r="D3068" s="10">
        <v>0</v>
      </c>
      <c r="E3068" s="10" t="s">
        <v>911</v>
      </c>
      <c r="F3068" s="10">
        <v>1</v>
      </c>
      <c r="G3068" s="10" t="s">
        <v>231</v>
      </c>
      <c r="H3068" s="10" t="s">
        <v>233</v>
      </c>
      <c r="I3068" s="10" t="s">
        <v>167</v>
      </c>
      <c r="J3068" s="10">
        <v>34</v>
      </c>
      <c r="K3068" s="12">
        <v>44972</v>
      </c>
      <c r="L3068" s="33">
        <v>0.51674768518518521</v>
      </c>
      <c r="M3068" s="10">
        <v>1</v>
      </c>
      <c r="N3068" s="10" t="s">
        <v>211</v>
      </c>
      <c r="O3068" s="10">
        <v>0.26400000000000001</v>
      </c>
      <c r="P3068" s="10">
        <v>2.41E-2</v>
      </c>
      <c r="Q3068" s="10">
        <v>47.5</v>
      </c>
      <c r="R3068" s="10" t="s">
        <v>913</v>
      </c>
      <c r="S3068" s="34">
        <f t="shared" si="344"/>
        <v>47.5</v>
      </c>
      <c r="T3068" s="10" t="s">
        <v>1220</v>
      </c>
      <c r="U3068" s="34">
        <f t="shared" si="345"/>
        <v>1.0471204188481675</v>
      </c>
      <c r="V3068" s="31" t="str">
        <f>IF(H3068="CHK",VLOOKUP(I3068,QCCHK,3,),IF(H3068="GUP",VLOOKUP(E3068,QCGUP,2,),IF(AND(H3068="ATP",OR(I3068="TN",I3068="TDN",I3068="TNO2-3",I3068="NO2-3")),VLOOKUP(E3068,QCREC_N,2,),IF(AND(H3068="NIC",OR(I3068="TN",I3068="TDN",I3068="TNO2-3",I3068="NO2-3")),VLOOKUP(E3068,QCNIC_N,2,),IF(AND(H3068="UREA",OR(I3068="TN",I3068="TDN",I3068="TNO2-3",I3068="NO2-3")),VLOOKUP(E3068,QCUREA_N,2,),IF(H3068="PER",VLOOKUP(I3068,QCPER,MATCH(E3068,QCACTUAL!$J$25:$AA$25,0),),IF(H3068="SPK",VLOOKUP(I3068,QCSPK,3,),IF(AND(H3068="ATP",OR(I3068="TP",I3068="TDP")),VLOOKUP(E3068,QCATP_P,2,),""))))))))</f>
        <v/>
      </c>
      <c r="W3068" s="31" t="str">
        <f t="shared" si="346"/>
        <v>TRUE</v>
      </c>
      <c r="X3068" s="31" t="str">
        <f t="shared" si="343"/>
        <v>((ABS(rep1-rep2))/((rep1+rep2)/2)*100</v>
      </c>
      <c r="Y3068" s="10" t="s">
        <v>1206</v>
      </c>
      <c r="AL3068" s="10" t="str">
        <f t="shared" si="341"/>
        <v>FALSE</v>
      </c>
      <c r="AM3068" s="10" t="str">
        <f t="shared" si="341"/>
        <v>FALSE</v>
      </c>
      <c r="AN3068" s="10" t="str">
        <f t="shared" si="341"/>
        <v>FALSE</v>
      </c>
      <c r="AO3068" s="10" t="str">
        <f t="shared" si="342"/>
        <v>FALSE</v>
      </c>
      <c r="AP3068" s="10" t="str">
        <f t="shared" si="342"/>
        <v>FALSE</v>
      </c>
      <c r="AQ3068" s="10" t="b">
        <f>IF(AND(I3068="TP",S3068&lt;=150),VLOOKUP(AF3068,TPCalibEq150!$AZ$2:$BB$55,3,),IF(AND(I3068="TDP",S3068&lt;=150),VLOOKUP(AF3068,TPCalibEq150!$AZ$2:$BB$55,3,)))</f>
        <v>0</v>
      </c>
      <c r="AR3068" s="10" t="b">
        <f>IF(AND(I3068="TP",S3068&lt;=300),VLOOKUP(AF3068,TPCalibEq300!$AZ$2:$BB$55,3,),IF(AND(I3068="TDP",S3068&lt;=300),VLOOKUP(AF3068,TPCalibEq300!$AZ$2:$BB$55,3,)))</f>
        <v>0</v>
      </c>
      <c r="AS3068" s="10" t="b">
        <f>IF(AND(I3068="TP",S3068&lt;=500),VLOOKUP(AF3068,TPCalibEq500!$AZ$2:$BB$56,3,),IF(AND(I3068="TDP",S3068&lt;=500),VLOOKUP(AF3068,TPCalibEq500!$AZ$2:$BB$56,3,)))</f>
        <v>0</v>
      </c>
      <c r="AT3068" s="10" t="b">
        <f>IF(AND(I3068="TN",S3068&lt;=2800),VLOOKUP(AF3068,TNCalibEq2500!$AZ$2:$BB$56,3,),IF(AND(I3068="TDN",S3068&lt;=2800),VLOOKUP(AF3068,TNCalibEq2500!$AZ$2:$BB$56,3,)))</f>
        <v>0</v>
      </c>
      <c r="AU3068" s="10" t="b">
        <f>IF(I3068="TP",VLOOKUP(AF3068,TPCalibEqFull!$AZ$2:$BB$56,3),IF(I3068="TDP",VLOOKUP(AF3068,TPCalibEqFull!$AZ$2:$BB$56,3),IF(I3068="TDN",VLOOKUP(AF3068,TNCalibEqFull!$AZ$1:$BB$56,3),IF(I3068="TN",VLOOKUP(AF3068,TNCalibEqFull!$AZ$1:$BB$56,3),FALSE))))</f>
        <v>0</v>
      </c>
      <c r="AV3068" s="10" t="str">
        <f t="shared" si="347"/>
        <v>0214 05:52:00-HST-0-FIL-1-SW-DUP</v>
      </c>
    </row>
    <row r="3069" spans="1:48" s="10" customFormat="1" x14ac:dyDescent="0.55000000000000004">
      <c r="A3069" s="32">
        <v>44971</v>
      </c>
      <c r="B3069" s="33">
        <v>0.24444444444444446</v>
      </c>
      <c r="C3069" s="10" t="s">
        <v>333</v>
      </c>
      <c r="D3069" s="10">
        <v>0</v>
      </c>
      <c r="E3069" s="10" t="s">
        <v>911</v>
      </c>
      <c r="F3069" s="10">
        <v>1</v>
      </c>
      <c r="G3069" s="10" t="s">
        <v>231</v>
      </c>
      <c r="H3069" s="10" t="s">
        <v>314</v>
      </c>
      <c r="I3069" s="10" t="s">
        <v>167</v>
      </c>
      <c r="J3069" s="10">
        <v>52</v>
      </c>
      <c r="K3069" s="12">
        <v>44972</v>
      </c>
      <c r="L3069" s="33">
        <v>0.51756944444444442</v>
      </c>
      <c r="M3069" s="10">
        <v>1</v>
      </c>
      <c r="N3069" s="10" t="s">
        <v>211</v>
      </c>
      <c r="O3069" s="10">
        <v>1.27</v>
      </c>
      <c r="P3069" s="10">
        <v>0.122</v>
      </c>
      <c r="Q3069" s="10">
        <v>226</v>
      </c>
      <c r="R3069" s="10" t="s">
        <v>913</v>
      </c>
      <c r="S3069" s="34">
        <f t="shared" si="344"/>
        <v>226</v>
      </c>
      <c r="T3069" s="10" t="s">
        <v>1220</v>
      </c>
      <c r="U3069" s="34">
        <f t="shared" si="345"/>
        <v>114.24000000000001</v>
      </c>
      <c r="V3069" s="31">
        <f>IF(H3069="CHK",VLOOKUP(I3069,QCCHK,3,),IF(H3069="GUP",VLOOKUP(E3069,QCGUP,2,),IF(AND(H3069="ATP",OR(I3069="TN",I3069="TDN",I3069="TNO2-3",I3069="NO2-3")),VLOOKUP(E3069,QCREC_N,2,),IF(AND(H3069="NIC",OR(I3069="TN",I3069="TDN",I3069="TNO2-3",I3069="NO2-3")),VLOOKUP(E3069,QCNIC_N,2,),IF(AND(H3069="UREA",OR(I3069="TN",I3069="TDN",I3069="TNO2-3",I3069="NO2-3")),VLOOKUP(E3069,QCUREA_N,2,),IF(H3069="PER",VLOOKUP(I3069,QCPER,MATCH(E3069,QCACTUAL!$J$25:$AA$25,0),),IF(H3069="SPK",VLOOKUP(I3069,QCSPK,3,),IF(AND(H3069="ATP",OR(I3069="TP",I3069="TDP")),VLOOKUP(E3069,QCATP_P,2,),""))))))))</f>
        <v>156.25</v>
      </c>
      <c r="W3069" s="31" t="str">
        <f t="shared" si="346"/>
        <v>TRUE</v>
      </c>
      <c r="X3069" s="31" t="str">
        <f t="shared" si="343"/>
        <v>([spikedunkn]-[unkn])/[spike]*100</v>
      </c>
      <c r="Y3069" s="10" t="s">
        <v>1206</v>
      </c>
      <c r="AL3069" s="10" t="str">
        <f t="shared" ref="AL3069:AN3132" si="348">IF($O3069="", "", IF(AQ3069&lt;&gt;"", SUBSTITUTE(SUBSTITUTE(AQ3069, "x", "*"&amp;$O3069&amp;"^", 1), "x", "*"&amp;$O3069, 1), ""))</f>
        <v>FALSE</v>
      </c>
      <c r="AM3069" s="10" t="str">
        <f t="shared" si="348"/>
        <v>FALSE</v>
      </c>
      <c r="AN3069" s="10" t="str">
        <f t="shared" si="348"/>
        <v>FALSE</v>
      </c>
      <c r="AO3069" s="10" t="str">
        <f t="shared" ref="AO3069:AP3132" si="349">IF($O3069="", "FALSE", IF(AT3069&lt;&gt;"FALSE", SUBSTITUTE(SUBSTITUTE(AT3069, "x", "*"&amp;$O3069&amp;"^", 1), "x", "*"&amp;$O3069, 1), ""))</f>
        <v>FALSE</v>
      </c>
      <c r="AP3069" s="10" t="str">
        <f t="shared" si="349"/>
        <v>FALSE</v>
      </c>
      <c r="AQ3069" s="10" t="b">
        <f>IF(AND(I3069="TP",S3069&lt;=150),VLOOKUP(AF3069,TPCalibEq150!$AZ$2:$BB$55,3,),IF(AND(I3069="TDP",S3069&lt;=150),VLOOKUP(AF3069,TPCalibEq150!$AZ$2:$BB$55,3,)))</f>
        <v>0</v>
      </c>
      <c r="AR3069" s="10" t="b">
        <f>IF(AND(I3069="TP",S3069&lt;=300),VLOOKUP(AF3069,TPCalibEq300!$AZ$2:$BB$55,3,),IF(AND(I3069="TDP",S3069&lt;=300),VLOOKUP(AF3069,TPCalibEq300!$AZ$2:$BB$55,3,)))</f>
        <v>0</v>
      </c>
      <c r="AS3069" s="10" t="b">
        <f>IF(AND(I3069="TP",S3069&lt;=500),VLOOKUP(AF3069,TPCalibEq500!$AZ$2:$BB$56,3,),IF(AND(I3069="TDP",S3069&lt;=500),VLOOKUP(AF3069,TPCalibEq500!$AZ$2:$BB$56,3,)))</f>
        <v>0</v>
      </c>
      <c r="AT3069" s="10" t="b">
        <f>IF(AND(I3069="TN",S3069&lt;=2800),VLOOKUP(AF3069,TNCalibEq2500!$AZ$2:$BB$56,3,),IF(AND(I3069="TDN",S3069&lt;=2800),VLOOKUP(AF3069,TNCalibEq2500!$AZ$2:$BB$56,3,)))</f>
        <v>0</v>
      </c>
      <c r="AU3069" s="10" t="b">
        <f>IF(I3069="TP",VLOOKUP(AF3069,TPCalibEqFull!$AZ$2:$BB$56,3),IF(I3069="TDP",VLOOKUP(AF3069,TPCalibEqFull!$AZ$2:$BB$56,3),IF(I3069="TDN",VLOOKUP(AF3069,TNCalibEqFull!$AZ$1:$BB$56,3),IF(I3069="TN",VLOOKUP(AF3069,TNCalibEqFull!$AZ$1:$BB$56,3),FALSE))))</f>
        <v>0</v>
      </c>
      <c r="AV3069" s="10" t="str">
        <f t="shared" si="347"/>
        <v>0214 05:52:00-HST-0-FIL-1-SW-SPK</v>
      </c>
    </row>
    <row r="3070" spans="1:48" s="10" customFormat="1" x14ac:dyDescent="0.55000000000000004">
      <c r="A3070" s="32">
        <v>44972</v>
      </c>
      <c r="B3070" s="33">
        <v>0.375</v>
      </c>
      <c r="C3070" s="10" t="s">
        <v>70</v>
      </c>
      <c r="D3070" s="10" t="s">
        <v>71</v>
      </c>
      <c r="E3070" s="10" t="s">
        <v>901</v>
      </c>
      <c r="F3070" s="10">
        <v>1</v>
      </c>
      <c r="G3070" s="10" t="s">
        <v>73</v>
      </c>
      <c r="H3070" s="10" t="s">
        <v>207</v>
      </c>
      <c r="I3070" s="10" t="s">
        <v>285</v>
      </c>
      <c r="J3070" s="10">
        <v>200</v>
      </c>
      <c r="K3070" s="12">
        <v>44972</v>
      </c>
      <c r="L3070" s="33">
        <v>0.51840277777777777</v>
      </c>
      <c r="M3070" s="10">
        <v>1</v>
      </c>
      <c r="N3070" s="10" t="s">
        <v>211</v>
      </c>
      <c r="O3070" s="10">
        <v>0.43</v>
      </c>
      <c r="P3070" s="10">
        <v>4.0099999999999997E-2</v>
      </c>
      <c r="Q3070" s="10">
        <v>77</v>
      </c>
      <c r="R3070" s="10" t="s">
        <v>913</v>
      </c>
      <c r="S3070" s="34">
        <f t="shared" si="344"/>
        <v>77</v>
      </c>
      <c r="T3070" s="10" t="s">
        <v>1220</v>
      </c>
      <c r="U3070" s="34">
        <f t="shared" si="345"/>
        <v>102.66666666666666</v>
      </c>
      <c r="V3070" s="31">
        <f>IF(H3070="CHK",VLOOKUP(I3070,QCCHK,3,),IF(H3070="GUP",VLOOKUP(E3070,QCGUP,2,),IF(AND(H3070="ATP",OR(I3070="TN",I3070="TDN",I3070="TNO2-3",I3070="NO2-3")),VLOOKUP(E3070,QCREC_N,2,),IF(AND(H3070="NIC",OR(I3070="TN",I3070="TDN",I3070="TNO2-3",I3070="NO2-3")),VLOOKUP(E3070,QCNIC_N,2,),IF(AND(H3070="UREA",OR(I3070="TN",I3070="TDN",I3070="TNO2-3",I3070="NO2-3")),VLOOKUP(E3070,QCUREA_N,2,),IF(H3070="PER",VLOOKUP(I3070,QCPER,MATCH(E3070,QCACTUAL!$J$25:$AA$25,0),),IF(H3070="SPK",VLOOKUP(I3070,QCSPK,3,),IF(AND(H3070="ATP",OR(I3070="TP",I3070="TDP")),VLOOKUP(E3070,QCATP_P,2,),""))))))))</f>
        <v>75</v>
      </c>
      <c r="W3070" s="31" t="str">
        <f t="shared" si="346"/>
        <v>TRUE</v>
      </c>
      <c r="X3070" s="31" t="str">
        <f t="shared" si="343"/>
        <v>[chk]/[actual]*100</v>
      </c>
      <c r="Y3070" s="10" t="s">
        <v>1206</v>
      </c>
      <c r="AL3070" s="10" t="str">
        <f t="shared" si="348"/>
        <v>FALSE</v>
      </c>
      <c r="AM3070" s="10" t="str">
        <f t="shared" si="348"/>
        <v>FALSE</v>
      </c>
      <c r="AN3070" s="10" t="str">
        <f t="shared" si="348"/>
        <v>FALSE</v>
      </c>
      <c r="AO3070" s="10" t="str">
        <f t="shared" si="349"/>
        <v>FALSE</v>
      </c>
      <c r="AP3070" s="10" t="str">
        <f t="shared" si="349"/>
        <v>FALSE</v>
      </c>
      <c r="AQ3070" s="10" t="b">
        <f>IF(AND(I3070="TP",S3070&lt;=150),VLOOKUP(AF3070,TPCalibEq150!$AZ$2:$BB$55,3,),IF(AND(I3070="TDP",S3070&lt;=150),VLOOKUP(AF3070,TPCalibEq150!$AZ$2:$BB$55,3,)))</f>
        <v>0</v>
      </c>
      <c r="AR3070" s="10" t="b">
        <f>IF(AND(I3070="TP",S3070&lt;=300),VLOOKUP(AF3070,TPCalibEq300!$AZ$2:$BB$55,3,),IF(AND(I3070="TDP",S3070&lt;=300),VLOOKUP(AF3070,TPCalibEq300!$AZ$2:$BB$55,3,)))</f>
        <v>0</v>
      </c>
      <c r="AS3070" s="10" t="b">
        <f>IF(AND(I3070="TP",S3070&lt;=500),VLOOKUP(AF3070,TPCalibEq500!$AZ$2:$BB$56,3,),IF(AND(I3070="TDP",S3070&lt;=500),VLOOKUP(AF3070,TPCalibEq500!$AZ$2:$BB$56,3,)))</f>
        <v>0</v>
      </c>
      <c r="AT3070" s="10" t="b">
        <f>IF(AND(I3070="TN",S3070&lt;=2800),VLOOKUP(AF3070,TNCalibEq2500!$AZ$2:$BB$56,3,),IF(AND(I3070="TDN",S3070&lt;=2800),VLOOKUP(AF3070,TNCalibEq2500!$AZ$2:$BB$56,3,)))</f>
        <v>0</v>
      </c>
      <c r="AU3070" s="10" t="b">
        <f>IF(I3070="TP",VLOOKUP(AF3070,TPCalibEqFull!$AZ$2:$BB$56,3),IF(I3070="TDP",VLOOKUP(AF3070,TPCalibEqFull!$AZ$2:$BB$56,3),IF(I3070="TDN",VLOOKUP(AF3070,TNCalibEqFull!$AZ$1:$BB$56,3),IF(I3070="TN",VLOOKUP(AF3070,TNCalibEqFull!$AZ$1:$BB$56,3),FALSE))))</f>
        <v>0</v>
      </c>
      <c r="AV3070" s="10" t="str">
        <f t="shared" si="347"/>
        <v>0215 09:00:00-QAC-STD-D-1-DI-CHK</v>
      </c>
    </row>
    <row r="3071" spans="1:48" s="10" customFormat="1" x14ac:dyDescent="0.55000000000000004">
      <c r="A3071" s="32">
        <v>44970</v>
      </c>
      <c r="B3071" s="33">
        <v>0.36944444444444446</v>
      </c>
      <c r="C3071" s="10" t="s">
        <v>998</v>
      </c>
      <c r="D3071" s="10">
        <v>0</v>
      </c>
      <c r="E3071" s="10" t="s">
        <v>911</v>
      </c>
      <c r="F3071" s="10">
        <v>1</v>
      </c>
      <c r="G3071" s="10" t="s">
        <v>231</v>
      </c>
      <c r="H3071" s="10" t="s">
        <v>322</v>
      </c>
      <c r="I3071" s="10" t="s">
        <v>167</v>
      </c>
      <c r="J3071" s="10">
        <v>35</v>
      </c>
      <c r="K3071" s="12">
        <v>44972</v>
      </c>
      <c r="L3071" s="33">
        <v>0.51921296296296293</v>
      </c>
      <c r="M3071" s="10">
        <v>1</v>
      </c>
      <c r="N3071" s="10" t="s">
        <v>211</v>
      </c>
      <c r="O3071" s="10">
        <v>1.44</v>
      </c>
      <c r="P3071" s="10">
        <v>0.13900000000000001</v>
      </c>
      <c r="Q3071" s="10">
        <v>257</v>
      </c>
      <c r="R3071" s="10" t="s">
        <v>913</v>
      </c>
      <c r="S3071" s="34">
        <f t="shared" si="344"/>
        <v>257</v>
      </c>
      <c r="T3071" s="10" t="s">
        <v>1220</v>
      </c>
      <c r="U3071" s="34" t="str">
        <f t="shared" si="345"/>
        <v/>
      </c>
      <c r="V3071" s="31" t="str">
        <f>IF(H3071="CHK",VLOOKUP(I3071,QCCHK,3,),IF(H3071="GUP",VLOOKUP(E3071,QCGUP,2,),IF(AND(H3071="ATP",OR(I3071="TN",I3071="TDN",I3071="TNO2-3",I3071="NO2-3")),VLOOKUP(E3071,QCREC_N,2,),IF(AND(H3071="NIC",OR(I3071="TN",I3071="TDN",I3071="TNO2-3",I3071="NO2-3")),VLOOKUP(E3071,QCNIC_N,2,),IF(AND(H3071="UREA",OR(I3071="TN",I3071="TDN",I3071="TNO2-3",I3071="NO2-3")),VLOOKUP(E3071,QCUREA_N,2,),IF(H3071="PER",VLOOKUP(I3071,QCPER,MATCH(E3071,QCACTUAL!$J$25:$AA$25,0),),IF(H3071="SPK",VLOOKUP(I3071,QCSPK,3,),IF(AND(H3071="ATP",OR(I3071="TP",I3071="TDP")),VLOOKUP(E3071,QCATP_P,2,),""))))))))</f>
        <v/>
      </c>
      <c r="W3071" s="31" t="str">
        <f t="shared" si="346"/>
        <v>TRUE</v>
      </c>
      <c r="X3071" s="31" t="str">
        <f t="shared" ref="X3071:X3134" si="350">IF(ISNA(VLOOKUP(H3071,QCEQUATIONS,2,)),"",(VLOOKUP(H3071,QCEQUATIONS,2,)))</f>
        <v/>
      </c>
      <c r="Y3071" s="10" t="s">
        <v>1206</v>
      </c>
      <c r="Z3071" s="10" t="s">
        <v>910</v>
      </c>
      <c r="AL3071" s="10" t="str">
        <f t="shared" si="348"/>
        <v>FALSE</v>
      </c>
      <c r="AM3071" s="10" t="str">
        <f t="shared" si="348"/>
        <v>FALSE</v>
      </c>
      <c r="AN3071" s="10" t="str">
        <f t="shared" si="348"/>
        <v>FALSE</v>
      </c>
      <c r="AO3071" s="10" t="str">
        <f t="shared" si="349"/>
        <v>FALSE</v>
      </c>
      <c r="AP3071" s="10" t="str">
        <f t="shared" si="349"/>
        <v>FALSE</v>
      </c>
      <c r="AQ3071" s="10" t="b">
        <f>IF(AND(I3071="TP",S3071&lt;=150),VLOOKUP(AF3071,TPCalibEq150!$AZ$2:$BB$55,3,),IF(AND(I3071="TDP",S3071&lt;=150),VLOOKUP(AF3071,TPCalibEq150!$AZ$2:$BB$55,3,)))</f>
        <v>0</v>
      </c>
      <c r="AR3071" s="10" t="b">
        <f>IF(AND(I3071="TP",S3071&lt;=300),VLOOKUP(AF3071,TPCalibEq300!$AZ$2:$BB$55,3,),IF(AND(I3071="TDP",S3071&lt;=300),VLOOKUP(AF3071,TPCalibEq300!$AZ$2:$BB$55,3,)))</f>
        <v>0</v>
      </c>
      <c r="AS3071" s="10" t="b">
        <f>IF(AND(I3071="TP",S3071&lt;=500),VLOOKUP(AF3071,TPCalibEq500!$AZ$2:$BB$56,3,),IF(AND(I3071="TDP",S3071&lt;=500),VLOOKUP(AF3071,TPCalibEq500!$AZ$2:$BB$56,3,)))</f>
        <v>0</v>
      </c>
      <c r="AT3071" s="10" t="b">
        <f>IF(AND(I3071="TN",S3071&lt;=2800),VLOOKUP(AF3071,TNCalibEq2500!$AZ$2:$BB$56,3,),IF(AND(I3071="TDN",S3071&lt;=2800),VLOOKUP(AF3071,TNCalibEq2500!$AZ$2:$BB$56,3,)))</f>
        <v>0</v>
      </c>
      <c r="AU3071" s="10" t="b">
        <f>IF(I3071="TP",VLOOKUP(AF3071,TPCalibEqFull!$AZ$2:$BB$56,3),IF(I3071="TDP",VLOOKUP(AF3071,TPCalibEqFull!$AZ$2:$BB$56,3),IF(I3071="TDN",VLOOKUP(AF3071,TNCalibEqFull!$AZ$1:$BB$56,3),IF(I3071="TN",VLOOKUP(AF3071,TNCalibEqFull!$AZ$1:$BB$56,3),FALSE))))</f>
        <v>0</v>
      </c>
      <c r="AV3071" s="10" t="str">
        <f t="shared" si="347"/>
        <v>0213 08:52:00-ELW-0-FIL-1-SW-UKN</v>
      </c>
    </row>
    <row r="3072" spans="1:48" s="10" customFormat="1" x14ac:dyDescent="0.55000000000000004">
      <c r="A3072" s="32">
        <v>44970</v>
      </c>
      <c r="B3072" s="33">
        <v>0.3840277777777778</v>
      </c>
      <c r="C3072" s="10" t="s">
        <v>270</v>
      </c>
      <c r="D3072" s="10">
        <v>0</v>
      </c>
      <c r="E3072" s="10" t="s">
        <v>911</v>
      </c>
      <c r="F3072" s="10">
        <v>1</v>
      </c>
      <c r="G3072" s="10" t="s">
        <v>231</v>
      </c>
      <c r="H3072" s="10" t="s">
        <v>322</v>
      </c>
      <c r="I3072" s="10" t="s">
        <v>167</v>
      </c>
      <c r="J3072" s="10">
        <v>36</v>
      </c>
      <c r="K3072" s="12">
        <v>44972</v>
      </c>
      <c r="L3072" s="33">
        <v>0.52003472222222225</v>
      </c>
      <c r="M3072" s="10">
        <v>1</v>
      </c>
      <c r="N3072" s="10" t="s">
        <v>211</v>
      </c>
      <c r="O3072" s="10">
        <v>6.8900000000000003E-2</v>
      </c>
      <c r="P3072" s="10">
        <v>5.96E-3</v>
      </c>
      <c r="Q3072" s="10">
        <v>12.7</v>
      </c>
      <c r="R3072" s="10" t="s">
        <v>913</v>
      </c>
      <c r="S3072" s="34">
        <f t="shared" ref="S3072:S3135" si="351">IF(OR(AND(I3072&lt;&gt;"TP", I3072&lt;&gt;"TDP",I3072&lt;&gt;"TN", I3072&lt;&gt;"TDN"),H3072="CAL"), Q3072*M3072, IF(OR(AND(I3072="TN", Q3072&gt;2500), AND(I3072="TDN", Q3072&gt;2500)),MAX(Q3072, AK3072)*M3072, IF(OR(AND(I3072="TN", Q3072&lt;=2500), AND(I3072="TDN", Q3072&lt;=2500)),MAX(Q3072, AJ3072,AK3072)*M3072, IF(OR(AND(I3072="TP",Q3072&gt;500), AND(I3072="TDP", Q3072&gt;500)),MAX(Q3072,AK3072)*M3072,IF(OR(AND(I3072="TP",Q3072&lt;=150), AND(I3072="TDP", Q3072&lt;=150)),MAX(Q3072,AG3072:AI3072,AK3072)*M3072,IF(OR(AND(I3072="TP",Q3072&lt;=300), AND(I3072="TDP", Q3072&lt;=300)),MAX(Q3072,AH3072,AI3072,AK3072)*M3072,IF(OR(AND(I3072="TP",Q3072&lt;=500), AND(I3072="TDP", Q3072&lt;=500)),MAX(Q3072,AI3072,AK3072)*M3072,"")))))))</f>
        <v>12.7</v>
      </c>
      <c r="T3072" s="10" t="s">
        <v>1220</v>
      </c>
      <c r="U3072" s="34" t="str">
        <f t="shared" si="345"/>
        <v/>
      </c>
      <c r="V3072" s="31" t="str">
        <f>IF(H3072="CHK",VLOOKUP(I3072,QCCHK,3,),IF(H3072="GUP",VLOOKUP(E3072,QCGUP,2,),IF(AND(H3072="ATP",OR(I3072="TN",I3072="TDN",I3072="TNO2-3",I3072="NO2-3")),VLOOKUP(E3072,QCREC_N,2,),IF(AND(H3072="NIC",OR(I3072="TN",I3072="TDN",I3072="TNO2-3",I3072="NO2-3")),VLOOKUP(E3072,QCNIC_N,2,),IF(AND(H3072="UREA",OR(I3072="TN",I3072="TDN",I3072="TNO2-3",I3072="NO2-3")),VLOOKUP(E3072,QCUREA_N,2,),IF(H3072="PER",VLOOKUP(I3072,QCPER,MATCH(E3072,QCACTUAL!$J$25:$AA$25,0),),IF(H3072="SPK",VLOOKUP(I3072,QCSPK,3,),IF(AND(H3072="ATP",OR(I3072="TP",I3072="TDP")),VLOOKUP(E3072,QCATP_P,2,),""))))))))</f>
        <v/>
      </c>
      <c r="W3072" s="31" t="str">
        <f t="shared" si="346"/>
        <v>TRUE</v>
      </c>
      <c r="X3072" s="31" t="str">
        <f t="shared" si="350"/>
        <v/>
      </c>
      <c r="Y3072" s="10" t="s">
        <v>1206</v>
      </c>
      <c r="Z3072" s="10" t="s">
        <v>910</v>
      </c>
      <c r="AL3072" s="10" t="str">
        <f t="shared" si="348"/>
        <v>FALSE</v>
      </c>
      <c r="AM3072" s="10" t="str">
        <f t="shared" si="348"/>
        <v>FALSE</v>
      </c>
      <c r="AN3072" s="10" t="str">
        <f t="shared" si="348"/>
        <v>FALSE</v>
      </c>
      <c r="AO3072" s="10" t="str">
        <f t="shared" si="349"/>
        <v>FALSE</v>
      </c>
      <c r="AP3072" s="10" t="str">
        <f t="shared" si="349"/>
        <v>FALSE</v>
      </c>
      <c r="AQ3072" s="10" t="b">
        <f>IF(AND(I3072="TP",S3072&lt;=150),VLOOKUP(AF3072,TPCalibEq150!$AZ$2:$BB$55,3,),IF(AND(I3072="TDP",S3072&lt;=150),VLOOKUP(AF3072,TPCalibEq150!$AZ$2:$BB$55,3,)))</f>
        <v>0</v>
      </c>
      <c r="AR3072" s="10" t="b">
        <f>IF(AND(I3072="TP",S3072&lt;=300),VLOOKUP(AF3072,TPCalibEq300!$AZ$2:$BB$55,3,),IF(AND(I3072="TDP",S3072&lt;=300),VLOOKUP(AF3072,TPCalibEq300!$AZ$2:$BB$55,3,)))</f>
        <v>0</v>
      </c>
      <c r="AS3072" s="10" t="b">
        <f>IF(AND(I3072="TP",S3072&lt;=500),VLOOKUP(AF3072,TPCalibEq500!$AZ$2:$BB$56,3,),IF(AND(I3072="TDP",S3072&lt;=500),VLOOKUP(AF3072,TPCalibEq500!$AZ$2:$BB$56,3,)))</f>
        <v>0</v>
      </c>
      <c r="AT3072" s="10" t="b">
        <f>IF(AND(I3072="TN",S3072&lt;=2800),VLOOKUP(AF3072,TNCalibEq2500!$AZ$2:$BB$56,3,),IF(AND(I3072="TDN",S3072&lt;=2800),VLOOKUP(AF3072,TNCalibEq2500!$AZ$2:$BB$56,3,)))</f>
        <v>0</v>
      </c>
      <c r="AU3072" s="10" t="b">
        <f>IF(I3072="TP",VLOOKUP(AF3072,TPCalibEqFull!$AZ$2:$BB$56,3),IF(I3072="TDP",VLOOKUP(AF3072,TPCalibEqFull!$AZ$2:$BB$56,3),IF(I3072="TDN",VLOOKUP(AF3072,TNCalibEqFull!$AZ$1:$BB$56,3),IF(I3072="TN",VLOOKUP(AF3072,TNCalibEqFull!$AZ$1:$BB$56,3),FALSE))))</f>
        <v>0</v>
      </c>
      <c r="AV3072" s="10" t="str">
        <f t="shared" si="347"/>
        <v>0213 09:13:00-EFG-0-FIL-1-SW-UKN</v>
      </c>
    </row>
    <row r="3073" spans="1:48" s="10" customFormat="1" x14ac:dyDescent="0.55000000000000004">
      <c r="A3073" s="32">
        <v>44970</v>
      </c>
      <c r="B3073" s="33">
        <v>0.3923611111111111</v>
      </c>
      <c r="C3073" s="10" t="s">
        <v>540</v>
      </c>
      <c r="D3073" s="10">
        <v>0</v>
      </c>
      <c r="E3073" s="10" t="s">
        <v>911</v>
      </c>
      <c r="F3073" s="10">
        <v>1</v>
      </c>
      <c r="G3073" s="10" t="s">
        <v>231</v>
      </c>
      <c r="H3073" s="10" t="s">
        <v>322</v>
      </c>
      <c r="I3073" s="10" t="s">
        <v>167</v>
      </c>
      <c r="J3073" s="10">
        <v>37</v>
      </c>
      <c r="K3073" s="12">
        <v>44972</v>
      </c>
      <c r="L3073" s="33">
        <v>0.52085648148148145</v>
      </c>
      <c r="M3073" s="10">
        <v>1</v>
      </c>
      <c r="N3073" s="10" t="s">
        <v>211</v>
      </c>
      <c r="O3073" s="10">
        <v>0.23200000000000001</v>
      </c>
      <c r="P3073" s="10">
        <v>2.1100000000000001E-2</v>
      </c>
      <c r="Q3073" s="10">
        <v>41.7</v>
      </c>
      <c r="R3073" s="10" t="s">
        <v>913</v>
      </c>
      <c r="S3073" s="34">
        <f t="shared" si="351"/>
        <v>41.7</v>
      </c>
      <c r="T3073" s="10" t="s">
        <v>1220</v>
      </c>
      <c r="U3073" s="34" t="str">
        <f t="shared" si="345"/>
        <v/>
      </c>
      <c r="V3073" s="31" t="str">
        <f>IF(H3073="CHK",VLOOKUP(I3073,QCCHK,3,),IF(H3073="GUP",VLOOKUP(E3073,QCGUP,2,),IF(AND(H3073="ATP",OR(I3073="TN",I3073="TDN",I3073="TNO2-3",I3073="NO2-3")),VLOOKUP(E3073,QCREC_N,2,),IF(AND(H3073="NIC",OR(I3073="TN",I3073="TDN",I3073="TNO2-3",I3073="NO2-3")),VLOOKUP(E3073,QCNIC_N,2,),IF(AND(H3073="UREA",OR(I3073="TN",I3073="TDN",I3073="TNO2-3",I3073="NO2-3")),VLOOKUP(E3073,QCUREA_N,2,),IF(H3073="PER",VLOOKUP(I3073,QCPER,MATCH(E3073,QCACTUAL!$J$25:$AA$25,0),),IF(H3073="SPK",VLOOKUP(I3073,QCSPK,3,),IF(AND(H3073="ATP",OR(I3073="TP",I3073="TDP")),VLOOKUP(E3073,QCATP_P,2,),""))))))))</f>
        <v/>
      </c>
      <c r="W3073" s="31" t="str">
        <f t="shared" si="346"/>
        <v>TRUE</v>
      </c>
      <c r="X3073" s="31" t="str">
        <f t="shared" si="350"/>
        <v/>
      </c>
      <c r="Y3073" s="10" t="s">
        <v>1206</v>
      </c>
      <c r="Z3073" s="10" t="s">
        <v>910</v>
      </c>
      <c r="AL3073" s="10" t="str">
        <f t="shared" si="348"/>
        <v>FALSE</v>
      </c>
      <c r="AM3073" s="10" t="str">
        <f t="shared" si="348"/>
        <v>FALSE</v>
      </c>
      <c r="AN3073" s="10" t="str">
        <f t="shared" si="348"/>
        <v>FALSE</v>
      </c>
      <c r="AO3073" s="10" t="str">
        <f t="shared" si="349"/>
        <v>FALSE</v>
      </c>
      <c r="AP3073" s="10" t="str">
        <f t="shared" si="349"/>
        <v>FALSE</v>
      </c>
      <c r="AQ3073" s="10" t="b">
        <f>IF(AND(I3073="TP",S3073&lt;=150),VLOOKUP(AF3073,TPCalibEq150!$AZ$2:$BB$55,3,),IF(AND(I3073="TDP",S3073&lt;=150),VLOOKUP(AF3073,TPCalibEq150!$AZ$2:$BB$55,3,)))</f>
        <v>0</v>
      </c>
      <c r="AR3073" s="10" t="b">
        <f>IF(AND(I3073="TP",S3073&lt;=300),VLOOKUP(AF3073,TPCalibEq300!$AZ$2:$BB$55,3,),IF(AND(I3073="TDP",S3073&lt;=300),VLOOKUP(AF3073,TPCalibEq300!$AZ$2:$BB$55,3,)))</f>
        <v>0</v>
      </c>
      <c r="AS3073" s="10" t="b">
        <f>IF(AND(I3073="TP",S3073&lt;=500),VLOOKUP(AF3073,TPCalibEq500!$AZ$2:$BB$56,3,),IF(AND(I3073="TDP",S3073&lt;=500),VLOOKUP(AF3073,TPCalibEq500!$AZ$2:$BB$56,3,)))</f>
        <v>0</v>
      </c>
      <c r="AT3073" s="10" t="b">
        <f>IF(AND(I3073="TN",S3073&lt;=2800),VLOOKUP(AF3073,TNCalibEq2500!$AZ$2:$BB$56,3,),IF(AND(I3073="TDN",S3073&lt;=2800),VLOOKUP(AF3073,TNCalibEq2500!$AZ$2:$BB$56,3,)))</f>
        <v>0</v>
      </c>
      <c r="AU3073" s="10" t="b">
        <f>IF(I3073="TP",VLOOKUP(AF3073,TPCalibEqFull!$AZ$2:$BB$56,3),IF(I3073="TDP",VLOOKUP(AF3073,TPCalibEqFull!$AZ$2:$BB$56,3),IF(I3073="TDN",VLOOKUP(AF3073,TNCalibEqFull!$AZ$1:$BB$56,3),IF(I3073="TN",VLOOKUP(AF3073,TNCalibEqFull!$AZ$1:$BB$56,3),FALSE))))</f>
        <v>0</v>
      </c>
      <c r="AV3073" s="10" t="str">
        <f t="shared" si="347"/>
        <v>0213 09:25:00-S50-0-FIL-1-SW-UKN</v>
      </c>
    </row>
    <row r="3074" spans="1:48" s="10" customFormat="1" x14ac:dyDescent="0.55000000000000004">
      <c r="A3074" s="32">
        <v>44970</v>
      </c>
      <c r="B3074" s="33">
        <v>0.41597222222222219</v>
      </c>
      <c r="C3074" s="10" t="s">
        <v>528</v>
      </c>
      <c r="D3074" s="10">
        <v>0</v>
      </c>
      <c r="E3074" s="10" t="s">
        <v>911</v>
      </c>
      <c r="F3074" s="10">
        <v>1</v>
      </c>
      <c r="G3074" s="10" t="s">
        <v>231</v>
      </c>
      <c r="H3074" s="10" t="s">
        <v>322</v>
      </c>
      <c r="I3074" s="10" t="s">
        <v>167</v>
      </c>
      <c r="J3074" s="10">
        <v>38</v>
      </c>
      <c r="K3074" s="12">
        <v>44972</v>
      </c>
      <c r="L3074" s="33">
        <v>0.52166666666666661</v>
      </c>
      <c r="M3074" s="10">
        <v>1</v>
      </c>
      <c r="N3074" s="10" t="s">
        <v>211</v>
      </c>
      <c r="O3074" s="10">
        <v>0.12</v>
      </c>
      <c r="P3074" s="10">
        <v>1.14E-2</v>
      </c>
      <c r="Q3074" s="10">
        <v>21.8</v>
      </c>
      <c r="R3074" s="10" t="s">
        <v>913</v>
      </c>
      <c r="S3074" s="34">
        <f t="shared" si="351"/>
        <v>21.8</v>
      </c>
      <c r="T3074" s="10" t="s">
        <v>1220</v>
      </c>
      <c r="U3074" s="34" t="str">
        <f t="shared" ref="U3074:U3137" si="352">IF(OR(H3074="CHK",H3074="ATP",H3074="GUP",H3074="PER", H3074="NIC", H3074="UREA"),(S3074/V3074*100),IF(H3074="DUP",((ABS(S3074-S3073))/((S3073+S3074)/2))*100,IF(H3074="SPK",((S3074-S3073)/V3074*100),IF(OR(H3074="LAB",H3074="FLD",H3074="ESF"),S3074,""))))</f>
        <v/>
      </c>
      <c r="V3074" s="31" t="str">
        <f>IF(H3074="CHK",VLOOKUP(I3074,QCCHK,3,),IF(H3074="GUP",VLOOKUP(E3074,QCGUP,2,),IF(AND(H3074="ATP",OR(I3074="TN",I3074="TDN",I3074="TNO2-3",I3074="NO2-3")),VLOOKUP(E3074,QCREC_N,2,),IF(AND(H3074="NIC",OR(I3074="TN",I3074="TDN",I3074="TNO2-3",I3074="NO2-3")),VLOOKUP(E3074,QCNIC_N,2,),IF(AND(H3074="UREA",OR(I3074="TN",I3074="TDN",I3074="TNO2-3",I3074="NO2-3")),VLOOKUP(E3074,QCUREA_N,2,),IF(H3074="PER",VLOOKUP(I3074,QCPER,MATCH(E3074,QCACTUAL!$J$25:$AA$25,0),),IF(H3074="SPK",VLOOKUP(I3074,QCSPK,3,),IF(AND(H3074="ATP",OR(I3074="TP",I3074="TDP")),VLOOKUP(E3074,QCATP_P,2,),""))))))))</f>
        <v/>
      </c>
      <c r="W3074" s="31" t="str">
        <f t="shared" ref="W3074:W3137" si="353">IF(AND(OR(H3074="PER",H3074="ATP",H3074="GUP",H3074="CHK",H3074="SPK", H3074="NIC"),OR(U3074&gt;125,U3074&lt;75)),"FALSE",IF(AND(H3074="DUP",OR(U3074&gt;25, U3074&lt;-25)),"FALSE",IF(AND(OR(H3074="LAB",H3074="FLD",H3074="ESF"),U3074&gt;15),"FALSE","TRUE")))</f>
        <v>TRUE</v>
      </c>
      <c r="X3074" s="31" t="str">
        <f t="shared" si="350"/>
        <v/>
      </c>
      <c r="Y3074" s="10" t="s">
        <v>1206</v>
      </c>
      <c r="Z3074" s="10" t="s">
        <v>910</v>
      </c>
      <c r="AL3074" s="10" t="str">
        <f t="shared" si="348"/>
        <v>FALSE</v>
      </c>
      <c r="AM3074" s="10" t="str">
        <f t="shared" si="348"/>
        <v>FALSE</v>
      </c>
      <c r="AN3074" s="10" t="str">
        <f t="shared" si="348"/>
        <v>FALSE</v>
      </c>
      <c r="AO3074" s="10" t="str">
        <f t="shared" si="349"/>
        <v>FALSE</v>
      </c>
      <c r="AP3074" s="10" t="str">
        <f t="shared" si="349"/>
        <v>FALSE</v>
      </c>
      <c r="AQ3074" s="10" t="b">
        <f>IF(AND(I3074="TP",S3074&lt;=150),VLOOKUP(AF3074,TPCalibEq150!$AZ$2:$BB$55,3,),IF(AND(I3074="TDP",S3074&lt;=150),VLOOKUP(AF3074,TPCalibEq150!$AZ$2:$BB$55,3,)))</f>
        <v>0</v>
      </c>
      <c r="AR3074" s="10" t="b">
        <f>IF(AND(I3074="TP",S3074&lt;=300),VLOOKUP(AF3074,TPCalibEq300!$AZ$2:$BB$55,3,),IF(AND(I3074="TDP",S3074&lt;=300),VLOOKUP(AF3074,TPCalibEq300!$AZ$2:$BB$55,3,)))</f>
        <v>0</v>
      </c>
      <c r="AS3074" s="10" t="b">
        <f>IF(AND(I3074="TP",S3074&lt;=500),VLOOKUP(AF3074,TPCalibEq500!$AZ$2:$BB$56,3,),IF(AND(I3074="TDP",S3074&lt;=500),VLOOKUP(AF3074,TPCalibEq500!$AZ$2:$BB$56,3,)))</f>
        <v>0</v>
      </c>
      <c r="AT3074" s="10" t="b">
        <f>IF(AND(I3074="TN",S3074&lt;=2800),VLOOKUP(AF3074,TNCalibEq2500!$AZ$2:$BB$56,3,),IF(AND(I3074="TDN",S3074&lt;=2800),VLOOKUP(AF3074,TNCalibEq2500!$AZ$2:$BB$56,3,)))</f>
        <v>0</v>
      </c>
      <c r="AU3074" s="10" t="b">
        <f>IF(I3074="TP",VLOOKUP(AF3074,TPCalibEqFull!$AZ$2:$BB$56,3),IF(I3074="TDP",VLOOKUP(AF3074,TPCalibEqFull!$AZ$2:$BB$56,3),IF(I3074="TDN",VLOOKUP(AF3074,TNCalibEqFull!$AZ$1:$BB$56,3),IF(I3074="TN",VLOOKUP(AF3074,TNCalibEqFull!$AZ$1:$BB$56,3),FALSE))))</f>
        <v>0</v>
      </c>
      <c r="AV3074" s="10" t="str">
        <f t="shared" ref="AV3074:AV3137" si="354">TEXT(A3074, "MMDD")&amp;" "&amp;TEXT(B3074, "HH:MM:SS")&amp;"-"&amp;C3074&amp;"-"&amp;D3074&amp;"-"&amp;E3074&amp;"-"&amp;F3074&amp;"-"&amp;G3074&amp;"-"&amp;H3074</f>
        <v>0213 09:59:00-P04-0-FIL-1-SW-UKN</v>
      </c>
    </row>
    <row r="3075" spans="1:48" s="10" customFormat="1" x14ac:dyDescent="0.55000000000000004">
      <c r="A3075" s="32">
        <v>44970</v>
      </c>
      <c r="B3075" s="33">
        <v>0.42777777777777781</v>
      </c>
      <c r="C3075" s="10">
        <v>506</v>
      </c>
      <c r="D3075" s="10">
        <v>0</v>
      </c>
      <c r="E3075" s="10" t="s">
        <v>911</v>
      </c>
      <c r="F3075" s="10">
        <v>1</v>
      </c>
      <c r="G3075" s="10" t="s">
        <v>231</v>
      </c>
      <c r="H3075" s="10" t="s">
        <v>322</v>
      </c>
      <c r="I3075" s="10" t="s">
        <v>167</v>
      </c>
      <c r="J3075" s="10">
        <v>39</v>
      </c>
      <c r="K3075" s="12">
        <v>44972</v>
      </c>
      <c r="L3075" s="33">
        <v>0.52247685185185189</v>
      </c>
      <c r="M3075" s="10">
        <v>1</v>
      </c>
      <c r="N3075" s="10" t="s">
        <v>211</v>
      </c>
      <c r="O3075" s="10">
        <v>5.0099999999999999E-2</v>
      </c>
      <c r="P3075" s="10">
        <v>4.15E-3</v>
      </c>
      <c r="Q3075" s="10">
        <v>9.34</v>
      </c>
      <c r="R3075" s="10" t="s">
        <v>913</v>
      </c>
      <c r="S3075" s="34">
        <f t="shared" si="351"/>
        <v>9.34</v>
      </c>
      <c r="T3075" s="10" t="s">
        <v>1220</v>
      </c>
      <c r="U3075" s="34" t="str">
        <f t="shared" si="352"/>
        <v/>
      </c>
      <c r="V3075" s="31" t="str">
        <f>IF(H3075="CHK",VLOOKUP(I3075,QCCHK,3,),IF(H3075="GUP",VLOOKUP(E3075,QCGUP,2,),IF(AND(H3075="ATP",OR(I3075="TN",I3075="TDN",I3075="TNO2-3",I3075="NO2-3")),VLOOKUP(E3075,QCREC_N,2,),IF(AND(H3075="NIC",OR(I3075="TN",I3075="TDN",I3075="TNO2-3",I3075="NO2-3")),VLOOKUP(E3075,QCNIC_N,2,),IF(AND(H3075="UREA",OR(I3075="TN",I3075="TDN",I3075="TNO2-3",I3075="NO2-3")),VLOOKUP(E3075,QCUREA_N,2,),IF(H3075="PER",VLOOKUP(I3075,QCPER,MATCH(E3075,QCACTUAL!$J$25:$AA$25,0),),IF(H3075="SPK",VLOOKUP(I3075,QCSPK,3,),IF(AND(H3075="ATP",OR(I3075="TP",I3075="TDP")),VLOOKUP(E3075,QCATP_P,2,),""))))))))</f>
        <v/>
      </c>
      <c r="W3075" s="31" t="str">
        <f t="shared" si="353"/>
        <v>TRUE</v>
      </c>
      <c r="X3075" s="31" t="str">
        <f t="shared" si="350"/>
        <v/>
      </c>
      <c r="Y3075" s="10" t="s">
        <v>1206</v>
      </c>
      <c r="Z3075" s="10" t="s">
        <v>910</v>
      </c>
      <c r="AL3075" s="10" t="str">
        <f t="shared" si="348"/>
        <v>FALSE</v>
      </c>
      <c r="AM3075" s="10" t="str">
        <f t="shared" si="348"/>
        <v>FALSE</v>
      </c>
      <c r="AN3075" s="10" t="str">
        <f t="shared" si="348"/>
        <v>FALSE</v>
      </c>
      <c r="AO3075" s="10" t="str">
        <f t="shared" si="349"/>
        <v>FALSE</v>
      </c>
      <c r="AP3075" s="10" t="str">
        <f t="shared" si="349"/>
        <v>FALSE</v>
      </c>
      <c r="AQ3075" s="10" t="b">
        <f>IF(AND(I3075="TP",S3075&lt;=150),VLOOKUP(AF3075,TPCalibEq150!$AZ$2:$BB$55,3,),IF(AND(I3075="TDP",S3075&lt;=150),VLOOKUP(AF3075,TPCalibEq150!$AZ$2:$BB$55,3,)))</f>
        <v>0</v>
      </c>
      <c r="AR3075" s="10" t="b">
        <f>IF(AND(I3075="TP",S3075&lt;=300),VLOOKUP(AF3075,TPCalibEq300!$AZ$2:$BB$55,3,),IF(AND(I3075="TDP",S3075&lt;=300),VLOOKUP(AF3075,TPCalibEq300!$AZ$2:$BB$55,3,)))</f>
        <v>0</v>
      </c>
      <c r="AS3075" s="10" t="b">
        <f>IF(AND(I3075="TP",S3075&lt;=500),VLOOKUP(AF3075,TPCalibEq500!$AZ$2:$BB$56,3,),IF(AND(I3075="TDP",S3075&lt;=500),VLOOKUP(AF3075,TPCalibEq500!$AZ$2:$BB$56,3,)))</f>
        <v>0</v>
      </c>
      <c r="AT3075" s="10" t="b">
        <f>IF(AND(I3075="TN",S3075&lt;=2800),VLOOKUP(AF3075,TNCalibEq2500!$AZ$2:$BB$56,3,),IF(AND(I3075="TDN",S3075&lt;=2800),VLOOKUP(AF3075,TNCalibEq2500!$AZ$2:$BB$56,3,)))</f>
        <v>0</v>
      </c>
      <c r="AU3075" s="10" t="b">
        <f>IF(I3075="TP",VLOOKUP(AF3075,TPCalibEqFull!$AZ$2:$BB$56,3),IF(I3075="TDP",VLOOKUP(AF3075,TPCalibEqFull!$AZ$2:$BB$56,3),IF(I3075="TDN",VLOOKUP(AF3075,TNCalibEqFull!$AZ$1:$BB$56,3),IF(I3075="TN",VLOOKUP(AF3075,TNCalibEqFull!$AZ$1:$BB$56,3),FALSE))))</f>
        <v>0</v>
      </c>
      <c r="AV3075" s="10" t="str">
        <f t="shared" si="354"/>
        <v>0213 10:16:00-506-0-FIL-1-SW-UKN</v>
      </c>
    </row>
    <row r="3076" spans="1:48" s="10" customFormat="1" x14ac:dyDescent="0.55000000000000004">
      <c r="A3076" s="32">
        <v>44970</v>
      </c>
      <c r="B3076" s="33">
        <v>0.43402777777777773</v>
      </c>
      <c r="C3076" s="10" t="s">
        <v>1104</v>
      </c>
      <c r="D3076" s="10">
        <v>0</v>
      </c>
      <c r="E3076" s="10" t="s">
        <v>911</v>
      </c>
      <c r="F3076" s="10">
        <v>1</v>
      </c>
      <c r="G3076" s="10" t="s">
        <v>231</v>
      </c>
      <c r="H3076" s="10" t="s">
        <v>322</v>
      </c>
      <c r="I3076" s="10" t="s">
        <v>167</v>
      </c>
      <c r="J3076" s="10">
        <v>40</v>
      </c>
      <c r="K3076" s="12">
        <v>44972</v>
      </c>
      <c r="L3076" s="33">
        <v>0.52329861111111109</v>
      </c>
      <c r="M3076" s="10">
        <v>1</v>
      </c>
      <c r="N3076" s="10" t="s">
        <v>211</v>
      </c>
      <c r="O3076" s="10">
        <v>0.224</v>
      </c>
      <c r="P3076" s="10">
        <v>2.06E-2</v>
      </c>
      <c r="Q3076" s="10">
        <v>40.200000000000003</v>
      </c>
      <c r="R3076" s="10" t="s">
        <v>913</v>
      </c>
      <c r="S3076" s="34">
        <f t="shared" si="351"/>
        <v>40.200000000000003</v>
      </c>
      <c r="T3076" s="10" t="s">
        <v>1220</v>
      </c>
      <c r="U3076" s="34" t="str">
        <f t="shared" si="352"/>
        <v/>
      </c>
      <c r="V3076" s="31" t="str">
        <f>IF(H3076="CHK",VLOOKUP(I3076,QCCHK,3,),IF(H3076="GUP",VLOOKUP(E3076,QCGUP,2,),IF(AND(H3076="ATP",OR(I3076="TN",I3076="TDN",I3076="TNO2-3",I3076="NO2-3")),VLOOKUP(E3076,QCREC_N,2,),IF(AND(H3076="NIC",OR(I3076="TN",I3076="TDN",I3076="TNO2-3",I3076="NO2-3")),VLOOKUP(E3076,QCNIC_N,2,),IF(AND(H3076="UREA",OR(I3076="TN",I3076="TDN",I3076="TNO2-3",I3076="NO2-3")),VLOOKUP(E3076,QCUREA_N,2,),IF(H3076="PER",VLOOKUP(I3076,QCPER,MATCH(E3076,QCACTUAL!$J$25:$AA$25,0),),IF(H3076="SPK",VLOOKUP(I3076,QCSPK,3,),IF(AND(H3076="ATP",OR(I3076="TP",I3076="TDP")),VLOOKUP(E3076,QCATP_P,2,),""))))))))</f>
        <v/>
      </c>
      <c r="W3076" s="31" t="str">
        <f t="shared" si="353"/>
        <v>TRUE</v>
      </c>
      <c r="X3076" s="31" t="str">
        <f t="shared" si="350"/>
        <v/>
      </c>
      <c r="Y3076" s="10" t="s">
        <v>1206</v>
      </c>
      <c r="Z3076" s="10" t="s">
        <v>910</v>
      </c>
      <c r="AL3076" s="10" t="str">
        <f t="shared" si="348"/>
        <v>FALSE</v>
      </c>
      <c r="AM3076" s="10" t="str">
        <f t="shared" si="348"/>
        <v>FALSE</v>
      </c>
      <c r="AN3076" s="10" t="str">
        <f t="shared" si="348"/>
        <v>FALSE</v>
      </c>
      <c r="AO3076" s="10" t="str">
        <f t="shared" si="349"/>
        <v>FALSE</v>
      </c>
      <c r="AP3076" s="10" t="str">
        <f t="shared" si="349"/>
        <v>FALSE</v>
      </c>
      <c r="AQ3076" s="10" t="b">
        <f>IF(AND(I3076="TP",S3076&lt;=150),VLOOKUP(AF3076,TPCalibEq150!$AZ$2:$BB$55,3,),IF(AND(I3076="TDP",S3076&lt;=150),VLOOKUP(AF3076,TPCalibEq150!$AZ$2:$BB$55,3,)))</f>
        <v>0</v>
      </c>
      <c r="AR3076" s="10" t="b">
        <f>IF(AND(I3076="TP",S3076&lt;=300),VLOOKUP(AF3076,TPCalibEq300!$AZ$2:$BB$55,3,),IF(AND(I3076="TDP",S3076&lt;=300),VLOOKUP(AF3076,TPCalibEq300!$AZ$2:$BB$55,3,)))</f>
        <v>0</v>
      </c>
      <c r="AS3076" s="10" t="b">
        <f>IF(AND(I3076="TP",S3076&lt;=500),VLOOKUP(AF3076,TPCalibEq500!$AZ$2:$BB$56,3,),IF(AND(I3076="TDP",S3076&lt;=500),VLOOKUP(AF3076,TPCalibEq500!$AZ$2:$BB$56,3,)))</f>
        <v>0</v>
      </c>
      <c r="AT3076" s="10" t="b">
        <f>IF(AND(I3076="TN",S3076&lt;=2800),VLOOKUP(AF3076,TNCalibEq2500!$AZ$2:$BB$56,3,),IF(AND(I3076="TDN",S3076&lt;=2800),VLOOKUP(AF3076,TNCalibEq2500!$AZ$2:$BB$56,3,)))</f>
        <v>0</v>
      </c>
      <c r="AU3076" s="10" t="b">
        <f>IF(I3076="TP",VLOOKUP(AF3076,TPCalibEqFull!$AZ$2:$BB$56,3),IF(I3076="TDP",VLOOKUP(AF3076,TPCalibEqFull!$AZ$2:$BB$56,3),IF(I3076="TDN",VLOOKUP(AF3076,TNCalibEqFull!$AZ$1:$BB$56,3),IF(I3076="TN",VLOOKUP(AF3076,TNCalibEqFull!$AZ$1:$BB$56,3),FALSE))))</f>
        <v>0</v>
      </c>
      <c r="AV3076" s="10" t="str">
        <f t="shared" si="354"/>
        <v>0213 10:25:00-LBW-0-FIL-1-SW-UKN</v>
      </c>
    </row>
    <row r="3077" spans="1:48" s="10" customFormat="1" x14ac:dyDescent="0.55000000000000004">
      <c r="A3077" s="32">
        <v>44970</v>
      </c>
      <c r="B3077" s="33">
        <v>0.45208333333333334</v>
      </c>
      <c r="C3077" s="10" t="s">
        <v>537</v>
      </c>
      <c r="D3077" s="10">
        <v>0</v>
      </c>
      <c r="E3077" s="10" t="s">
        <v>911</v>
      </c>
      <c r="F3077" s="10">
        <v>1</v>
      </c>
      <c r="G3077" s="10" t="s">
        <v>231</v>
      </c>
      <c r="H3077" s="10" t="s">
        <v>322</v>
      </c>
      <c r="I3077" s="10" t="s">
        <v>167</v>
      </c>
      <c r="J3077" s="10">
        <v>41</v>
      </c>
      <c r="K3077" s="12">
        <v>44972</v>
      </c>
      <c r="L3077" s="33">
        <v>0.52409722222222221</v>
      </c>
      <c r="M3077" s="10">
        <v>1</v>
      </c>
      <c r="N3077" s="10" t="s">
        <v>211</v>
      </c>
      <c r="O3077" s="10">
        <v>5.7099999999999998E-2</v>
      </c>
      <c r="P3077" s="10">
        <v>4.6899999999999997E-3</v>
      </c>
      <c r="Q3077" s="10">
        <v>10.6</v>
      </c>
      <c r="R3077" s="10" t="s">
        <v>913</v>
      </c>
      <c r="S3077" s="34">
        <f t="shared" si="351"/>
        <v>10.6</v>
      </c>
      <c r="T3077" s="10" t="s">
        <v>1220</v>
      </c>
      <c r="U3077" s="34" t="str">
        <f t="shared" si="352"/>
        <v/>
      </c>
      <c r="V3077" s="31" t="str">
        <f>IF(H3077="CHK",VLOOKUP(I3077,QCCHK,3,),IF(H3077="GUP",VLOOKUP(E3077,QCGUP,2,),IF(AND(H3077="ATP",OR(I3077="TN",I3077="TDN",I3077="TNO2-3",I3077="NO2-3")),VLOOKUP(E3077,QCREC_N,2,),IF(AND(H3077="NIC",OR(I3077="TN",I3077="TDN",I3077="TNO2-3",I3077="NO2-3")),VLOOKUP(E3077,QCNIC_N,2,),IF(AND(H3077="UREA",OR(I3077="TN",I3077="TDN",I3077="TNO2-3",I3077="NO2-3")),VLOOKUP(E3077,QCUREA_N,2,),IF(H3077="PER",VLOOKUP(I3077,QCPER,MATCH(E3077,QCACTUAL!$J$25:$AA$25,0),),IF(H3077="SPK",VLOOKUP(I3077,QCSPK,3,),IF(AND(H3077="ATP",OR(I3077="TP",I3077="TDP")),VLOOKUP(E3077,QCATP_P,2,),""))))))))</f>
        <v/>
      </c>
      <c r="W3077" s="31" t="str">
        <f t="shared" si="353"/>
        <v>TRUE</v>
      </c>
      <c r="X3077" s="31" t="str">
        <f t="shared" si="350"/>
        <v/>
      </c>
      <c r="Y3077" s="10" t="s">
        <v>1206</v>
      </c>
      <c r="Z3077" s="10" t="s">
        <v>910</v>
      </c>
      <c r="AL3077" s="10" t="str">
        <f t="shared" si="348"/>
        <v>FALSE</v>
      </c>
      <c r="AM3077" s="10" t="str">
        <f t="shared" si="348"/>
        <v>FALSE</v>
      </c>
      <c r="AN3077" s="10" t="str">
        <f t="shared" si="348"/>
        <v>FALSE</v>
      </c>
      <c r="AO3077" s="10" t="str">
        <f t="shared" si="349"/>
        <v>FALSE</v>
      </c>
      <c r="AP3077" s="10" t="str">
        <f t="shared" si="349"/>
        <v>FALSE</v>
      </c>
      <c r="AQ3077" s="10" t="b">
        <f>IF(AND(I3077="TP",S3077&lt;=150),VLOOKUP(AF3077,TPCalibEq150!$AZ$2:$BB$55,3,),IF(AND(I3077="TDP",S3077&lt;=150),VLOOKUP(AF3077,TPCalibEq150!$AZ$2:$BB$55,3,)))</f>
        <v>0</v>
      </c>
      <c r="AR3077" s="10" t="b">
        <f>IF(AND(I3077="TP",S3077&lt;=300),VLOOKUP(AF3077,TPCalibEq300!$AZ$2:$BB$55,3,),IF(AND(I3077="TDP",S3077&lt;=300),VLOOKUP(AF3077,TPCalibEq300!$AZ$2:$BB$55,3,)))</f>
        <v>0</v>
      </c>
      <c r="AS3077" s="10" t="b">
        <f>IF(AND(I3077="TP",S3077&lt;=500),VLOOKUP(AF3077,TPCalibEq500!$AZ$2:$BB$56,3,),IF(AND(I3077="TDP",S3077&lt;=500),VLOOKUP(AF3077,TPCalibEq500!$AZ$2:$BB$56,3,)))</f>
        <v>0</v>
      </c>
      <c r="AT3077" s="10" t="b">
        <f>IF(AND(I3077="TN",S3077&lt;=2800),VLOOKUP(AF3077,TNCalibEq2500!$AZ$2:$BB$56,3,),IF(AND(I3077="TDN",S3077&lt;=2800),VLOOKUP(AF3077,TNCalibEq2500!$AZ$2:$BB$56,3,)))</f>
        <v>0</v>
      </c>
      <c r="AU3077" s="10" t="b">
        <f>IF(I3077="TP",VLOOKUP(AF3077,TPCalibEqFull!$AZ$2:$BB$56,3),IF(I3077="TDP",VLOOKUP(AF3077,TPCalibEqFull!$AZ$2:$BB$56,3),IF(I3077="TDN",VLOOKUP(AF3077,TNCalibEqFull!$AZ$1:$BB$56,3),IF(I3077="TN",VLOOKUP(AF3077,TNCalibEqFull!$AZ$1:$BB$56,3),FALSE))))</f>
        <v>0</v>
      </c>
      <c r="AV3077" s="10" t="str">
        <f t="shared" si="354"/>
        <v>0213 10:51:00-S51-0-FIL-1-SW-UKN</v>
      </c>
    </row>
    <row r="3078" spans="1:48" s="10" customFormat="1" x14ac:dyDescent="0.55000000000000004">
      <c r="A3078" s="32">
        <v>44970</v>
      </c>
      <c r="B3078" s="33">
        <v>0.45833333333333331</v>
      </c>
      <c r="C3078" s="10">
        <v>890</v>
      </c>
      <c r="D3078" s="10">
        <v>0</v>
      </c>
      <c r="E3078" s="10" t="s">
        <v>911</v>
      </c>
      <c r="F3078" s="10">
        <v>1</v>
      </c>
      <c r="G3078" s="10" t="s">
        <v>231</v>
      </c>
      <c r="H3078" s="10" t="s">
        <v>322</v>
      </c>
      <c r="I3078" s="10" t="s">
        <v>167</v>
      </c>
      <c r="J3078" s="10">
        <v>42</v>
      </c>
      <c r="K3078" s="12">
        <v>44972</v>
      </c>
      <c r="L3078" s="33">
        <v>0.52494212962962961</v>
      </c>
      <c r="M3078" s="10">
        <v>1</v>
      </c>
      <c r="N3078" s="10" t="s">
        <v>211</v>
      </c>
      <c r="O3078" s="10">
        <v>6.4000000000000001E-2</v>
      </c>
      <c r="P3078" s="10">
        <v>5.5199999999999997E-3</v>
      </c>
      <c r="Q3078" s="10">
        <v>11.8</v>
      </c>
      <c r="R3078" s="10" t="s">
        <v>913</v>
      </c>
      <c r="S3078" s="34">
        <f t="shared" si="351"/>
        <v>11.8</v>
      </c>
      <c r="T3078" s="10" t="s">
        <v>1220</v>
      </c>
      <c r="U3078" s="34" t="str">
        <f t="shared" si="352"/>
        <v/>
      </c>
      <c r="V3078" s="31" t="str">
        <f>IF(H3078="CHK",VLOOKUP(I3078,QCCHK,3,),IF(H3078="GUP",VLOOKUP(E3078,QCGUP,2,),IF(AND(H3078="ATP",OR(I3078="TN",I3078="TDN",I3078="TNO2-3",I3078="NO2-3")),VLOOKUP(E3078,QCREC_N,2,),IF(AND(H3078="NIC",OR(I3078="TN",I3078="TDN",I3078="TNO2-3",I3078="NO2-3")),VLOOKUP(E3078,QCNIC_N,2,),IF(AND(H3078="UREA",OR(I3078="TN",I3078="TDN",I3078="TNO2-3",I3078="NO2-3")),VLOOKUP(E3078,QCUREA_N,2,),IF(H3078="PER",VLOOKUP(I3078,QCPER,MATCH(E3078,QCACTUAL!$J$25:$AA$25,0),),IF(H3078="SPK",VLOOKUP(I3078,QCSPK,3,),IF(AND(H3078="ATP",OR(I3078="TP",I3078="TDP")),VLOOKUP(E3078,QCATP_P,2,),""))))))))</f>
        <v/>
      </c>
      <c r="W3078" s="31" t="str">
        <f t="shared" si="353"/>
        <v>TRUE</v>
      </c>
      <c r="X3078" s="31" t="str">
        <f t="shared" si="350"/>
        <v/>
      </c>
      <c r="Y3078" s="10" t="s">
        <v>1206</v>
      </c>
      <c r="Z3078" s="10" t="s">
        <v>910</v>
      </c>
      <c r="AL3078" s="10" t="str">
        <f t="shared" si="348"/>
        <v>FALSE</v>
      </c>
      <c r="AM3078" s="10" t="str">
        <f t="shared" si="348"/>
        <v>FALSE</v>
      </c>
      <c r="AN3078" s="10" t="str">
        <f t="shared" si="348"/>
        <v>FALSE</v>
      </c>
      <c r="AO3078" s="10" t="str">
        <f t="shared" si="349"/>
        <v>FALSE</v>
      </c>
      <c r="AP3078" s="10" t="str">
        <f t="shared" si="349"/>
        <v>FALSE</v>
      </c>
      <c r="AQ3078" s="10" t="b">
        <f>IF(AND(I3078="TP",S3078&lt;=150),VLOOKUP(AF3078,TPCalibEq150!$AZ$2:$BB$55,3,),IF(AND(I3078="TDP",S3078&lt;=150),VLOOKUP(AF3078,TPCalibEq150!$AZ$2:$BB$55,3,)))</f>
        <v>0</v>
      </c>
      <c r="AR3078" s="10" t="b">
        <f>IF(AND(I3078="TP",S3078&lt;=300),VLOOKUP(AF3078,TPCalibEq300!$AZ$2:$BB$55,3,),IF(AND(I3078="TDP",S3078&lt;=300),VLOOKUP(AF3078,TPCalibEq300!$AZ$2:$BB$55,3,)))</f>
        <v>0</v>
      </c>
      <c r="AS3078" s="10" t="b">
        <f>IF(AND(I3078="TP",S3078&lt;=500),VLOOKUP(AF3078,TPCalibEq500!$AZ$2:$BB$56,3,),IF(AND(I3078="TDP",S3078&lt;=500),VLOOKUP(AF3078,TPCalibEq500!$AZ$2:$BB$56,3,)))</f>
        <v>0</v>
      </c>
      <c r="AT3078" s="10" t="b">
        <f>IF(AND(I3078="TN",S3078&lt;=2800),VLOOKUP(AF3078,TNCalibEq2500!$AZ$2:$BB$56,3,),IF(AND(I3078="TDN",S3078&lt;=2800),VLOOKUP(AF3078,TNCalibEq2500!$AZ$2:$BB$56,3,)))</f>
        <v>0</v>
      </c>
      <c r="AU3078" s="10" t="b">
        <f>IF(I3078="TP",VLOOKUP(AF3078,TPCalibEqFull!$AZ$2:$BB$56,3),IF(I3078="TDP",VLOOKUP(AF3078,TPCalibEqFull!$AZ$2:$BB$56,3),IF(I3078="TDN",VLOOKUP(AF3078,TNCalibEqFull!$AZ$1:$BB$56,3),IF(I3078="TN",VLOOKUP(AF3078,TNCalibEqFull!$AZ$1:$BB$56,3),FALSE))))</f>
        <v>0</v>
      </c>
      <c r="AV3078" s="10" t="str">
        <f t="shared" si="354"/>
        <v>0213 11:00:00-890-0-FIL-1-SW-UKN</v>
      </c>
    </row>
    <row r="3079" spans="1:48" s="10" customFormat="1" x14ac:dyDescent="0.55000000000000004">
      <c r="A3079" s="32">
        <v>44970</v>
      </c>
      <c r="B3079" s="33">
        <v>0.47083333333333338</v>
      </c>
      <c r="C3079" s="10" t="s">
        <v>437</v>
      </c>
      <c r="D3079" s="10">
        <v>0</v>
      </c>
      <c r="E3079" s="10" t="s">
        <v>911</v>
      </c>
      <c r="F3079" s="10">
        <v>1</v>
      </c>
      <c r="G3079" s="10" t="s">
        <v>231</v>
      </c>
      <c r="H3079" s="10" t="s">
        <v>322</v>
      </c>
      <c r="I3079" s="10" t="s">
        <v>167</v>
      </c>
      <c r="J3079" s="10">
        <v>43</v>
      </c>
      <c r="K3079" s="12">
        <v>44972</v>
      </c>
      <c r="L3079" s="33">
        <v>0.52572916666666669</v>
      </c>
      <c r="M3079" s="10">
        <v>1</v>
      </c>
      <c r="N3079" s="10" t="s">
        <v>211</v>
      </c>
      <c r="O3079" s="10">
        <v>0.441</v>
      </c>
      <c r="P3079" s="10">
        <v>4.0500000000000001E-2</v>
      </c>
      <c r="Q3079" s="10">
        <v>79</v>
      </c>
      <c r="R3079" s="10" t="s">
        <v>913</v>
      </c>
      <c r="S3079" s="34">
        <f t="shared" si="351"/>
        <v>79</v>
      </c>
      <c r="T3079" s="10" t="s">
        <v>1220</v>
      </c>
      <c r="U3079" s="34" t="str">
        <f t="shared" si="352"/>
        <v/>
      </c>
      <c r="V3079" s="31" t="str">
        <f>IF(H3079="CHK",VLOOKUP(I3079,QCCHK,3,),IF(H3079="GUP",VLOOKUP(E3079,QCGUP,2,),IF(AND(H3079="ATP",OR(I3079="TN",I3079="TDN",I3079="TNO2-3",I3079="NO2-3")),VLOOKUP(E3079,QCREC_N,2,),IF(AND(H3079="NIC",OR(I3079="TN",I3079="TDN",I3079="TNO2-3",I3079="NO2-3")),VLOOKUP(E3079,QCNIC_N,2,),IF(AND(H3079="UREA",OR(I3079="TN",I3079="TDN",I3079="TNO2-3",I3079="NO2-3")),VLOOKUP(E3079,QCUREA_N,2,),IF(H3079="PER",VLOOKUP(I3079,QCPER,MATCH(E3079,QCACTUAL!$J$25:$AA$25,0),),IF(H3079="SPK",VLOOKUP(I3079,QCSPK,3,),IF(AND(H3079="ATP",OR(I3079="TP",I3079="TDP")),VLOOKUP(E3079,QCATP_P,2,),""))))))))</f>
        <v/>
      </c>
      <c r="W3079" s="31" t="str">
        <f t="shared" si="353"/>
        <v>TRUE</v>
      </c>
      <c r="X3079" s="31" t="str">
        <f t="shared" si="350"/>
        <v/>
      </c>
      <c r="Y3079" s="10" t="s">
        <v>1206</v>
      </c>
      <c r="Z3079" s="10" t="s">
        <v>910</v>
      </c>
      <c r="AL3079" s="10" t="str">
        <f t="shared" si="348"/>
        <v>FALSE</v>
      </c>
      <c r="AM3079" s="10" t="str">
        <f t="shared" si="348"/>
        <v>FALSE</v>
      </c>
      <c r="AN3079" s="10" t="str">
        <f t="shared" si="348"/>
        <v>FALSE</v>
      </c>
      <c r="AO3079" s="10" t="str">
        <f t="shared" si="349"/>
        <v>FALSE</v>
      </c>
      <c r="AP3079" s="10" t="str">
        <f t="shared" si="349"/>
        <v>FALSE</v>
      </c>
      <c r="AQ3079" s="10" t="b">
        <f>IF(AND(I3079="TP",S3079&lt;=150),VLOOKUP(AF3079,TPCalibEq150!$AZ$2:$BB$55,3,),IF(AND(I3079="TDP",S3079&lt;=150),VLOOKUP(AF3079,TPCalibEq150!$AZ$2:$BB$55,3,)))</f>
        <v>0</v>
      </c>
      <c r="AR3079" s="10" t="b">
        <f>IF(AND(I3079="TP",S3079&lt;=300),VLOOKUP(AF3079,TPCalibEq300!$AZ$2:$BB$55,3,),IF(AND(I3079="TDP",S3079&lt;=300),VLOOKUP(AF3079,TPCalibEq300!$AZ$2:$BB$55,3,)))</f>
        <v>0</v>
      </c>
      <c r="AS3079" s="10" t="b">
        <f>IF(AND(I3079="TP",S3079&lt;=500),VLOOKUP(AF3079,TPCalibEq500!$AZ$2:$BB$56,3,),IF(AND(I3079="TDP",S3079&lt;=500),VLOOKUP(AF3079,TPCalibEq500!$AZ$2:$BB$56,3,)))</f>
        <v>0</v>
      </c>
      <c r="AT3079" s="10" t="b">
        <f>IF(AND(I3079="TN",S3079&lt;=2800),VLOOKUP(AF3079,TNCalibEq2500!$AZ$2:$BB$56,3,),IF(AND(I3079="TDN",S3079&lt;=2800),VLOOKUP(AF3079,TNCalibEq2500!$AZ$2:$BB$56,3,)))</f>
        <v>0</v>
      </c>
      <c r="AU3079" s="10" t="b">
        <f>IF(I3079="TP",VLOOKUP(AF3079,TPCalibEqFull!$AZ$2:$BB$56,3),IF(I3079="TDP",VLOOKUP(AF3079,TPCalibEqFull!$AZ$2:$BB$56,3),IF(I3079="TDN",VLOOKUP(AF3079,TNCalibEqFull!$AZ$1:$BB$56,3),IF(I3079="TN",VLOOKUP(AF3079,TNCalibEqFull!$AZ$1:$BB$56,3),FALSE))))</f>
        <v>0</v>
      </c>
      <c r="AV3079" s="10" t="str">
        <f t="shared" si="354"/>
        <v>0213 11:18:00-FVM-0-FIL-1-SW-UKN</v>
      </c>
    </row>
    <row r="3080" spans="1:48" s="10" customFormat="1" x14ac:dyDescent="0.55000000000000004">
      <c r="A3080" s="32">
        <v>44970</v>
      </c>
      <c r="B3080" s="33">
        <v>0.47083333333333338</v>
      </c>
      <c r="C3080" s="10" t="s">
        <v>437</v>
      </c>
      <c r="D3080" s="10">
        <v>0</v>
      </c>
      <c r="E3080" s="10" t="s">
        <v>911</v>
      </c>
      <c r="F3080" s="10">
        <v>2</v>
      </c>
      <c r="G3080" s="10" t="s">
        <v>231</v>
      </c>
      <c r="H3080" s="10" t="s">
        <v>322</v>
      </c>
      <c r="I3080" s="10" t="s">
        <v>167</v>
      </c>
      <c r="J3080" s="10">
        <v>44</v>
      </c>
      <c r="K3080" s="12">
        <v>44972</v>
      </c>
      <c r="L3080" s="33">
        <v>0.52652777777777782</v>
      </c>
      <c r="M3080" s="10">
        <v>1</v>
      </c>
      <c r="N3080" s="10" t="s">
        <v>211</v>
      </c>
      <c r="O3080" s="10">
        <v>0.46600000000000003</v>
      </c>
      <c r="P3080" s="10">
        <v>4.2999999999999997E-2</v>
      </c>
      <c r="Q3080" s="10">
        <v>83.5</v>
      </c>
      <c r="R3080" s="10" t="s">
        <v>913</v>
      </c>
      <c r="S3080" s="34">
        <f t="shared" si="351"/>
        <v>83.5</v>
      </c>
      <c r="T3080" s="10" t="s">
        <v>1220</v>
      </c>
      <c r="U3080" s="34" t="str">
        <f t="shared" si="352"/>
        <v/>
      </c>
      <c r="V3080" s="31" t="str">
        <f>IF(H3080="CHK",VLOOKUP(I3080,QCCHK,3,),IF(H3080="GUP",VLOOKUP(E3080,QCGUP,2,),IF(AND(H3080="ATP",OR(I3080="TN",I3080="TDN",I3080="TNO2-3",I3080="NO2-3")),VLOOKUP(E3080,QCREC_N,2,),IF(AND(H3080="NIC",OR(I3080="TN",I3080="TDN",I3080="TNO2-3",I3080="NO2-3")),VLOOKUP(E3080,QCNIC_N,2,),IF(AND(H3080="UREA",OR(I3080="TN",I3080="TDN",I3080="TNO2-3",I3080="NO2-3")),VLOOKUP(E3080,QCUREA_N,2,),IF(H3080="PER",VLOOKUP(I3080,QCPER,MATCH(E3080,QCACTUAL!$J$25:$AA$25,0),),IF(H3080="SPK",VLOOKUP(I3080,QCSPK,3,),IF(AND(H3080="ATP",OR(I3080="TP",I3080="TDP")),VLOOKUP(E3080,QCATP_P,2,),""))))))))</f>
        <v/>
      </c>
      <c r="W3080" s="31" t="str">
        <f t="shared" si="353"/>
        <v>TRUE</v>
      </c>
      <c r="X3080" s="31" t="str">
        <f t="shared" si="350"/>
        <v/>
      </c>
      <c r="Y3080" s="10" t="s">
        <v>1206</v>
      </c>
      <c r="Z3080" s="10" t="s">
        <v>910</v>
      </c>
      <c r="AL3080" s="10" t="str">
        <f t="shared" si="348"/>
        <v>FALSE</v>
      </c>
      <c r="AM3080" s="10" t="str">
        <f t="shared" si="348"/>
        <v>FALSE</v>
      </c>
      <c r="AN3080" s="10" t="str">
        <f t="shared" si="348"/>
        <v>FALSE</v>
      </c>
      <c r="AO3080" s="10" t="str">
        <f t="shared" si="349"/>
        <v>FALSE</v>
      </c>
      <c r="AP3080" s="10" t="str">
        <f t="shared" si="349"/>
        <v>FALSE</v>
      </c>
      <c r="AQ3080" s="10" t="b">
        <f>IF(AND(I3080="TP",S3080&lt;=150),VLOOKUP(AF3080,TPCalibEq150!$AZ$2:$BB$55,3,),IF(AND(I3080="TDP",S3080&lt;=150),VLOOKUP(AF3080,TPCalibEq150!$AZ$2:$BB$55,3,)))</f>
        <v>0</v>
      </c>
      <c r="AR3080" s="10" t="b">
        <f>IF(AND(I3080="TP",S3080&lt;=300),VLOOKUP(AF3080,TPCalibEq300!$AZ$2:$BB$55,3,),IF(AND(I3080="TDP",S3080&lt;=300),VLOOKUP(AF3080,TPCalibEq300!$AZ$2:$BB$55,3,)))</f>
        <v>0</v>
      </c>
      <c r="AS3080" s="10" t="b">
        <f>IF(AND(I3080="TP",S3080&lt;=500),VLOOKUP(AF3080,TPCalibEq500!$AZ$2:$BB$56,3,),IF(AND(I3080="TDP",S3080&lt;=500),VLOOKUP(AF3080,TPCalibEq500!$AZ$2:$BB$56,3,)))</f>
        <v>0</v>
      </c>
      <c r="AT3080" s="10" t="b">
        <f>IF(AND(I3080="TN",S3080&lt;=2800),VLOOKUP(AF3080,TNCalibEq2500!$AZ$2:$BB$56,3,),IF(AND(I3080="TDN",S3080&lt;=2800),VLOOKUP(AF3080,TNCalibEq2500!$AZ$2:$BB$56,3,)))</f>
        <v>0</v>
      </c>
      <c r="AU3080" s="10" t="b">
        <f>IF(I3080="TP",VLOOKUP(AF3080,TPCalibEqFull!$AZ$2:$BB$56,3),IF(I3080="TDP",VLOOKUP(AF3080,TPCalibEqFull!$AZ$2:$BB$56,3),IF(I3080="TDN",VLOOKUP(AF3080,TNCalibEqFull!$AZ$1:$BB$56,3),IF(I3080="TN",VLOOKUP(AF3080,TNCalibEqFull!$AZ$1:$BB$56,3),FALSE))))</f>
        <v>0</v>
      </c>
      <c r="AV3080" s="10" t="str">
        <f t="shared" si="354"/>
        <v>0213 11:18:00-FVM-0-FIL-2-SW-UKN</v>
      </c>
    </row>
    <row r="3081" spans="1:48" s="10" customFormat="1" x14ac:dyDescent="0.55000000000000004">
      <c r="A3081" s="32">
        <v>44970</v>
      </c>
      <c r="B3081" s="33">
        <v>0.47083333333333338</v>
      </c>
      <c r="C3081" s="10" t="s">
        <v>437</v>
      </c>
      <c r="D3081" s="10">
        <v>0</v>
      </c>
      <c r="E3081" s="10" t="s">
        <v>911</v>
      </c>
      <c r="F3081" s="10">
        <v>2</v>
      </c>
      <c r="G3081" s="10" t="s">
        <v>231</v>
      </c>
      <c r="H3081" s="10" t="s">
        <v>233</v>
      </c>
      <c r="I3081" s="10" t="s">
        <v>167</v>
      </c>
      <c r="J3081" s="10">
        <v>44</v>
      </c>
      <c r="K3081" s="12">
        <v>44972</v>
      </c>
      <c r="L3081" s="33">
        <v>0.52733796296296298</v>
      </c>
      <c r="M3081" s="10">
        <v>1</v>
      </c>
      <c r="N3081" s="10" t="s">
        <v>211</v>
      </c>
      <c r="O3081" s="10">
        <v>0.17299999999999999</v>
      </c>
      <c r="P3081" s="10">
        <v>1.5299999999999999E-2</v>
      </c>
      <c r="Q3081" s="10">
        <v>31.2</v>
      </c>
      <c r="R3081" s="10" t="s">
        <v>913</v>
      </c>
      <c r="S3081" s="34">
        <f t="shared" si="351"/>
        <v>31.2</v>
      </c>
      <c r="T3081" s="10" t="s">
        <v>1220</v>
      </c>
      <c r="U3081" s="34">
        <f t="shared" si="352"/>
        <v>91.19442022667829</v>
      </c>
      <c r="V3081" s="31" t="str">
        <f>IF(H3081="CHK",VLOOKUP(I3081,QCCHK,3,),IF(H3081="GUP",VLOOKUP(E3081,QCGUP,2,),IF(AND(H3081="ATP",OR(I3081="TN",I3081="TDN",I3081="TNO2-3",I3081="NO2-3")),VLOOKUP(E3081,QCREC_N,2,),IF(AND(H3081="NIC",OR(I3081="TN",I3081="TDN",I3081="TNO2-3",I3081="NO2-3")),VLOOKUP(E3081,QCNIC_N,2,),IF(AND(H3081="UREA",OR(I3081="TN",I3081="TDN",I3081="TNO2-3",I3081="NO2-3")),VLOOKUP(E3081,QCUREA_N,2,),IF(H3081="PER",VLOOKUP(I3081,QCPER,MATCH(E3081,QCACTUAL!$J$25:$AA$25,0),),IF(H3081="SPK",VLOOKUP(I3081,QCSPK,3,),IF(AND(H3081="ATP",OR(I3081="TP",I3081="TDP")),VLOOKUP(E3081,QCATP_P,2,),""))))))))</f>
        <v/>
      </c>
      <c r="W3081" s="31" t="str">
        <f t="shared" si="353"/>
        <v>FALSE</v>
      </c>
      <c r="X3081" s="31" t="str">
        <f t="shared" si="350"/>
        <v>((ABS(rep1-rep2))/((rep1+rep2)/2)*100</v>
      </c>
      <c r="Y3081" s="10" t="s">
        <v>1206</v>
      </c>
      <c r="Z3081" s="10" t="s">
        <v>910</v>
      </c>
      <c r="AL3081" s="10" t="str">
        <f t="shared" si="348"/>
        <v>FALSE</v>
      </c>
      <c r="AM3081" s="10" t="str">
        <f t="shared" si="348"/>
        <v>FALSE</v>
      </c>
      <c r="AN3081" s="10" t="str">
        <f t="shared" si="348"/>
        <v>FALSE</v>
      </c>
      <c r="AO3081" s="10" t="str">
        <f t="shared" si="349"/>
        <v>FALSE</v>
      </c>
      <c r="AP3081" s="10" t="str">
        <f t="shared" si="349"/>
        <v>FALSE</v>
      </c>
      <c r="AQ3081" s="10" t="b">
        <f>IF(AND(I3081="TP",S3081&lt;=150),VLOOKUP(AF3081,TPCalibEq150!$AZ$2:$BB$55,3,),IF(AND(I3081="TDP",S3081&lt;=150),VLOOKUP(AF3081,TPCalibEq150!$AZ$2:$BB$55,3,)))</f>
        <v>0</v>
      </c>
      <c r="AR3081" s="10" t="b">
        <f>IF(AND(I3081="TP",S3081&lt;=300),VLOOKUP(AF3081,TPCalibEq300!$AZ$2:$BB$55,3,),IF(AND(I3081="TDP",S3081&lt;=300),VLOOKUP(AF3081,TPCalibEq300!$AZ$2:$BB$55,3,)))</f>
        <v>0</v>
      </c>
      <c r="AS3081" s="10" t="b">
        <f>IF(AND(I3081="TP",S3081&lt;=500),VLOOKUP(AF3081,TPCalibEq500!$AZ$2:$BB$56,3,),IF(AND(I3081="TDP",S3081&lt;=500),VLOOKUP(AF3081,TPCalibEq500!$AZ$2:$BB$56,3,)))</f>
        <v>0</v>
      </c>
      <c r="AT3081" s="10" t="b">
        <f>IF(AND(I3081="TN",S3081&lt;=2800),VLOOKUP(AF3081,TNCalibEq2500!$AZ$2:$BB$56,3,),IF(AND(I3081="TDN",S3081&lt;=2800),VLOOKUP(AF3081,TNCalibEq2500!$AZ$2:$BB$56,3,)))</f>
        <v>0</v>
      </c>
      <c r="AU3081" s="10" t="b">
        <f>IF(I3081="TP",VLOOKUP(AF3081,TPCalibEqFull!$AZ$2:$BB$56,3),IF(I3081="TDP",VLOOKUP(AF3081,TPCalibEqFull!$AZ$2:$BB$56,3),IF(I3081="TDN",VLOOKUP(AF3081,TNCalibEqFull!$AZ$1:$BB$56,3),IF(I3081="TN",VLOOKUP(AF3081,TNCalibEqFull!$AZ$1:$BB$56,3),FALSE))))</f>
        <v>0</v>
      </c>
      <c r="AV3081" s="10" t="str">
        <f t="shared" si="354"/>
        <v>0213 11:18:00-FVM-0-FIL-2-SW-DUP</v>
      </c>
    </row>
    <row r="3082" spans="1:48" s="10" customFormat="1" x14ac:dyDescent="0.55000000000000004">
      <c r="A3082" s="32">
        <v>44970</v>
      </c>
      <c r="B3082" s="33">
        <v>0.47083333333333338</v>
      </c>
      <c r="C3082" s="10" t="s">
        <v>437</v>
      </c>
      <c r="D3082" s="10">
        <v>0</v>
      </c>
      <c r="E3082" s="10" t="s">
        <v>911</v>
      </c>
      <c r="F3082" s="10">
        <v>2</v>
      </c>
      <c r="G3082" s="10" t="s">
        <v>231</v>
      </c>
      <c r="H3082" s="10" t="s">
        <v>314</v>
      </c>
      <c r="I3082" s="10" t="s">
        <v>167</v>
      </c>
      <c r="J3082" s="10">
        <v>53</v>
      </c>
      <c r="K3082" s="12">
        <v>44972</v>
      </c>
      <c r="L3082" s="33">
        <v>0.52815972222222218</v>
      </c>
      <c r="M3082" s="10">
        <v>1</v>
      </c>
      <c r="N3082" s="10" t="s">
        <v>211</v>
      </c>
      <c r="O3082" s="10">
        <v>1.17</v>
      </c>
      <c r="P3082" s="10">
        <v>0.112</v>
      </c>
      <c r="Q3082" s="10">
        <v>210</v>
      </c>
      <c r="R3082" s="10" t="s">
        <v>913</v>
      </c>
      <c r="S3082" s="34">
        <f t="shared" si="351"/>
        <v>210</v>
      </c>
      <c r="T3082" s="10" t="s">
        <v>1220</v>
      </c>
      <c r="U3082" s="34">
        <f t="shared" si="352"/>
        <v>114.432</v>
      </c>
      <c r="V3082" s="31">
        <f>IF(H3082="CHK",VLOOKUP(I3082,QCCHK,3,),IF(H3082="GUP",VLOOKUP(E3082,QCGUP,2,),IF(AND(H3082="ATP",OR(I3082="TN",I3082="TDN",I3082="TNO2-3",I3082="NO2-3")),VLOOKUP(E3082,QCREC_N,2,),IF(AND(H3082="NIC",OR(I3082="TN",I3082="TDN",I3082="TNO2-3",I3082="NO2-3")),VLOOKUP(E3082,QCNIC_N,2,),IF(AND(H3082="UREA",OR(I3082="TN",I3082="TDN",I3082="TNO2-3",I3082="NO2-3")),VLOOKUP(E3082,QCUREA_N,2,),IF(H3082="PER",VLOOKUP(I3082,QCPER,MATCH(E3082,QCACTUAL!$J$25:$AA$25,0),),IF(H3082="SPK",VLOOKUP(I3082,QCSPK,3,),IF(AND(H3082="ATP",OR(I3082="TP",I3082="TDP")),VLOOKUP(E3082,QCATP_P,2,),""))))))))</f>
        <v>156.25</v>
      </c>
      <c r="W3082" s="31" t="str">
        <f t="shared" si="353"/>
        <v>TRUE</v>
      </c>
      <c r="X3082" s="31" t="str">
        <f t="shared" si="350"/>
        <v>([spikedunkn]-[unkn])/[spike]*100</v>
      </c>
      <c r="Y3082" s="10" t="s">
        <v>1206</v>
      </c>
      <c r="Z3082" s="10" t="s">
        <v>910</v>
      </c>
      <c r="AL3082" s="10" t="str">
        <f t="shared" si="348"/>
        <v>FALSE</v>
      </c>
      <c r="AM3082" s="10" t="str">
        <f t="shared" si="348"/>
        <v>FALSE</v>
      </c>
      <c r="AN3082" s="10" t="str">
        <f t="shared" si="348"/>
        <v>FALSE</v>
      </c>
      <c r="AO3082" s="10" t="str">
        <f t="shared" si="349"/>
        <v>FALSE</v>
      </c>
      <c r="AP3082" s="10" t="str">
        <f t="shared" si="349"/>
        <v>FALSE</v>
      </c>
      <c r="AQ3082" s="10" t="b">
        <f>IF(AND(I3082="TP",S3082&lt;=150),VLOOKUP(AF3082,TPCalibEq150!$AZ$2:$BB$55,3,),IF(AND(I3082="TDP",S3082&lt;=150),VLOOKUP(AF3082,TPCalibEq150!$AZ$2:$BB$55,3,)))</f>
        <v>0</v>
      </c>
      <c r="AR3082" s="10" t="b">
        <f>IF(AND(I3082="TP",S3082&lt;=300),VLOOKUP(AF3082,TPCalibEq300!$AZ$2:$BB$55,3,),IF(AND(I3082="TDP",S3082&lt;=300),VLOOKUP(AF3082,TPCalibEq300!$AZ$2:$BB$55,3,)))</f>
        <v>0</v>
      </c>
      <c r="AS3082" s="10" t="b">
        <f>IF(AND(I3082="TP",S3082&lt;=500),VLOOKUP(AF3082,TPCalibEq500!$AZ$2:$BB$56,3,),IF(AND(I3082="TDP",S3082&lt;=500),VLOOKUP(AF3082,TPCalibEq500!$AZ$2:$BB$56,3,)))</f>
        <v>0</v>
      </c>
      <c r="AT3082" s="10" t="b">
        <f>IF(AND(I3082="TN",S3082&lt;=2800),VLOOKUP(AF3082,TNCalibEq2500!$AZ$2:$BB$56,3,),IF(AND(I3082="TDN",S3082&lt;=2800),VLOOKUP(AF3082,TNCalibEq2500!$AZ$2:$BB$56,3,)))</f>
        <v>0</v>
      </c>
      <c r="AU3082" s="10" t="b">
        <f>IF(I3082="TP",VLOOKUP(AF3082,TPCalibEqFull!$AZ$2:$BB$56,3),IF(I3082="TDP",VLOOKUP(AF3082,TPCalibEqFull!$AZ$2:$BB$56,3),IF(I3082="TDN",VLOOKUP(AF3082,TNCalibEqFull!$AZ$1:$BB$56,3),IF(I3082="TN",VLOOKUP(AF3082,TNCalibEqFull!$AZ$1:$BB$56,3),FALSE))))</f>
        <v>0</v>
      </c>
      <c r="AV3082" s="10" t="str">
        <f t="shared" si="354"/>
        <v>0213 11:18:00-FVM-0-FIL-2-SW-SPK</v>
      </c>
    </row>
    <row r="3083" spans="1:48" s="10" customFormat="1" x14ac:dyDescent="0.55000000000000004">
      <c r="A3083" s="32">
        <v>44972</v>
      </c>
      <c r="B3083" s="33">
        <v>0.375</v>
      </c>
      <c r="C3083" s="10" t="s">
        <v>70</v>
      </c>
      <c r="D3083" s="10" t="s">
        <v>71</v>
      </c>
      <c r="E3083" s="10" t="s">
        <v>901</v>
      </c>
      <c r="F3083" s="10">
        <v>1</v>
      </c>
      <c r="G3083" s="10" t="s">
        <v>73</v>
      </c>
      <c r="H3083" s="10" t="s">
        <v>207</v>
      </c>
      <c r="I3083" s="10" t="s">
        <v>285</v>
      </c>
      <c r="J3083" s="10">
        <v>200</v>
      </c>
      <c r="K3083" s="12">
        <v>44972</v>
      </c>
      <c r="L3083" s="33">
        <v>0.5289814814814815</v>
      </c>
      <c r="M3083" s="10">
        <v>1</v>
      </c>
      <c r="N3083" s="10" t="s">
        <v>211</v>
      </c>
      <c r="O3083" s="10">
        <v>0.42399999999999999</v>
      </c>
      <c r="P3083" s="10">
        <v>3.9300000000000002E-2</v>
      </c>
      <c r="Q3083" s="10">
        <v>75.900000000000006</v>
      </c>
      <c r="R3083" s="10" t="s">
        <v>913</v>
      </c>
      <c r="S3083" s="34">
        <f t="shared" si="351"/>
        <v>75.900000000000006</v>
      </c>
      <c r="T3083" s="10" t="s">
        <v>1220</v>
      </c>
      <c r="U3083" s="34">
        <f t="shared" si="352"/>
        <v>101.2</v>
      </c>
      <c r="V3083" s="31">
        <f>IF(H3083="CHK",VLOOKUP(I3083,QCCHK,3,),IF(H3083="GUP",VLOOKUP(E3083,QCGUP,2,),IF(AND(H3083="ATP",OR(I3083="TN",I3083="TDN",I3083="TNO2-3",I3083="NO2-3")),VLOOKUP(E3083,QCREC_N,2,),IF(AND(H3083="NIC",OR(I3083="TN",I3083="TDN",I3083="TNO2-3",I3083="NO2-3")),VLOOKUP(E3083,QCNIC_N,2,),IF(AND(H3083="UREA",OR(I3083="TN",I3083="TDN",I3083="TNO2-3",I3083="NO2-3")),VLOOKUP(E3083,QCUREA_N,2,),IF(H3083="PER",VLOOKUP(I3083,QCPER,MATCH(E3083,QCACTUAL!$J$25:$AA$25,0),),IF(H3083="SPK",VLOOKUP(I3083,QCSPK,3,),IF(AND(H3083="ATP",OR(I3083="TP",I3083="TDP")),VLOOKUP(E3083,QCATP_P,2,),""))))))))</f>
        <v>75</v>
      </c>
      <c r="W3083" s="31" t="str">
        <f t="shared" si="353"/>
        <v>TRUE</v>
      </c>
      <c r="X3083" s="31" t="str">
        <f t="shared" si="350"/>
        <v>[chk]/[actual]*100</v>
      </c>
      <c r="Y3083" s="10" t="s">
        <v>1206</v>
      </c>
      <c r="AL3083" s="10" t="str">
        <f t="shared" si="348"/>
        <v>FALSE</v>
      </c>
      <c r="AM3083" s="10" t="str">
        <f t="shared" si="348"/>
        <v>FALSE</v>
      </c>
      <c r="AN3083" s="10" t="str">
        <f t="shared" si="348"/>
        <v>FALSE</v>
      </c>
      <c r="AO3083" s="10" t="str">
        <f t="shared" si="349"/>
        <v>FALSE</v>
      </c>
      <c r="AP3083" s="10" t="str">
        <f t="shared" si="349"/>
        <v>FALSE</v>
      </c>
      <c r="AQ3083" s="10" t="b">
        <f>IF(AND(I3083="TP",S3083&lt;=150),VLOOKUP(AF3083,TPCalibEq150!$AZ$2:$BB$55,3,),IF(AND(I3083="TDP",S3083&lt;=150),VLOOKUP(AF3083,TPCalibEq150!$AZ$2:$BB$55,3,)))</f>
        <v>0</v>
      </c>
      <c r="AR3083" s="10" t="b">
        <f>IF(AND(I3083="TP",S3083&lt;=300),VLOOKUP(AF3083,TPCalibEq300!$AZ$2:$BB$55,3,),IF(AND(I3083="TDP",S3083&lt;=300),VLOOKUP(AF3083,TPCalibEq300!$AZ$2:$BB$55,3,)))</f>
        <v>0</v>
      </c>
      <c r="AS3083" s="10" t="b">
        <f>IF(AND(I3083="TP",S3083&lt;=500),VLOOKUP(AF3083,TPCalibEq500!$AZ$2:$BB$56,3,),IF(AND(I3083="TDP",S3083&lt;=500),VLOOKUP(AF3083,TPCalibEq500!$AZ$2:$BB$56,3,)))</f>
        <v>0</v>
      </c>
      <c r="AT3083" s="10" t="b">
        <f>IF(AND(I3083="TN",S3083&lt;=2800),VLOOKUP(AF3083,TNCalibEq2500!$AZ$2:$BB$56,3,),IF(AND(I3083="TDN",S3083&lt;=2800),VLOOKUP(AF3083,TNCalibEq2500!$AZ$2:$BB$56,3,)))</f>
        <v>0</v>
      </c>
      <c r="AU3083" s="10" t="b">
        <f>IF(I3083="TP",VLOOKUP(AF3083,TPCalibEqFull!$AZ$2:$BB$56,3),IF(I3083="TDP",VLOOKUP(AF3083,TPCalibEqFull!$AZ$2:$BB$56,3),IF(I3083="TDN",VLOOKUP(AF3083,TNCalibEqFull!$AZ$1:$BB$56,3),IF(I3083="TN",VLOOKUP(AF3083,TNCalibEqFull!$AZ$1:$BB$56,3),FALSE))))</f>
        <v>0</v>
      </c>
      <c r="AV3083" s="10" t="str">
        <f t="shared" si="354"/>
        <v>0215 09:00:00-QAC-STD-D-1-DI-CHK</v>
      </c>
    </row>
    <row r="3084" spans="1:48" s="10" customFormat="1" x14ac:dyDescent="0.55000000000000004">
      <c r="A3084" s="32">
        <v>44970</v>
      </c>
      <c r="B3084" s="33">
        <v>0.49583333333333335</v>
      </c>
      <c r="C3084" s="10" t="s">
        <v>336</v>
      </c>
      <c r="D3084" s="10">
        <v>0</v>
      </c>
      <c r="E3084" s="10" t="s">
        <v>911</v>
      </c>
      <c r="F3084" s="10">
        <v>1</v>
      </c>
      <c r="G3084" s="10" t="s">
        <v>231</v>
      </c>
      <c r="H3084" s="10" t="s">
        <v>322</v>
      </c>
      <c r="I3084" s="10" t="s">
        <v>167</v>
      </c>
      <c r="J3084" s="10">
        <v>45</v>
      </c>
      <c r="K3084" s="12">
        <v>44972</v>
      </c>
      <c r="L3084" s="33">
        <v>0.52978009259259262</v>
      </c>
      <c r="M3084" s="10">
        <v>1</v>
      </c>
      <c r="N3084" s="10" t="s">
        <v>211</v>
      </c>
      <c r="O3084" s="10">
        <v>0.122</v>
      </c>
      <c r="P3084" s="10">
        <v>1.0699999999999999E-2</v>
      </c>
      <c r="Q3084" s="10">
        <v>22.2</v>
      </c>
      <c r="R3084" s="10" t="s">
        <v>913</v>
      </c>
      <c r="S3084" s="34">
        <f t="shared" si="351"/>
        <v>22.2</v>
      </c>
      <c r="T3084" s="10" t="s">
        <v>1220</v>
      </c>
      <c r="U3084" s="34" t="str">
        <f t="shared" si="352"/>
        <v/>
      </c>
      <c r="V3084" s="31" t="str">
        <f>IF(H3084="CHK",VLOOKUP(I3084,QCCHK,3,),IF(H3084="GUP",VLOOKUP(E3084,QCGUP,2,),IF(AND(H3084="ATP",OR(I3084="TN",I3084="TDN",I3084="TNO2-3",I3084="NO2-3")),VLOOKUP(E3084,QCREC_N,2,),IF(AND(H3084="NIC",OR(I3084="TN",I3084="TDN",I3084="TNO2-3",I3084="NO2-3")),VLOOKUP(E3084,QCNIC_N,2,),IF(AND(H3084="UREA",OR(I3084="TN",I3084="TDN",I3084="TNO2-3",I3084="NO2-3")),VLOOKUP(E3084,QCUREA_N,2,),IF(H3084="PER",VLOOKUP(I3084,QCPER,MATCH(E3084,QCACTUAL!$J$25:$AA$25,0),),IF(H3084="SPK",VLOOKUP(I3084,QCSPK,3,),IF(AND(H3084="ATP",OR(I3084="TP",I3084="TDP")),VLOOKUP(E3084,QCATP_P,2,),""))))))))</f>
        <v/>
      </c>
      <c r="W3084" s="31" t="str">
        <f t="shared" si="353"/>
        <v>TRUE</v>
      </c>
      <c r="X3084" s="31" t="str">
        <f t="shared" si="350"/>
        <v/>
      </c>
      <c r="Y3084" s="10" t="s">
        <v>1206</v>
      </c>
      <c r="Z3084" s="10" t="s">
        <v>910</v>
      </c>
      <c r="AL3084" s="10" t="str">
        <f t="shared" si="348"/>
        <v>FALSE</v>
      </c>
      <c r="AM3084" s="10" t="str">
        <f t="shared" si="348"/>
        <v>FALSE</v>
      </c>
      <c r="AN3084" s="10" t="str">
        <f t="shared" si="348"/>
        <v>FALSE</v>
      </c>
      <c r="AO3084" s="10" t="str">
        <f t="shared" si="349"/>
        <v>FALSE</v>
      </c>
      <c r="AP3084" s="10" t="str">
        <f t="shared" si="349"/>
        <v>FALSE</v>
      </c>
      <c r="AQ3084" s="10" t="b">
        <f>IF(AND(I3084="TP",S3084&lt;=150),VLOOKUP(AF3084,TPCalibEq150!$AZ$2:$BB$55,3,),IF(AND(I3084="TDP",S3084&lt;=150),VLOOKUP(AF3084,TPCalibEq150!$AZ$2:$BB$55,3,)))</f>
        <v>0</v>
      </c>
      <c r="AR3084" s="10" t="b">
        <f>IF(AND(I3084="TP",S3084&lt;=300),VLOOKUP(AF3084,TPCalibEq300!$AZ$2:$BB$55,3,),IF(AND(I3084="TDP",S3084&lt;=300),VLOOKUP(AF3084,TPCalibEq300!$AZ$2:$BB$55,3,)))</f>
        <v>0</v>
      </c>
      <c r="AS3084" s="10" t="b">
        <f>IF(AND(I3084="TP",S3084&lt;=500),VLOOKUP(AF3084,TPCalibEq500!$AZ$2:$BB$56,3,),IF(AND(I3084="TDP",S3084&lt;=500),VLOOKUP(AF3084,TPCalibEq500!$AZ$2:$BB$56,3,)))</f>
        <v>0</v>
      </c>
      <c r="AT3084" s="10" t="b">
        <f>IF(AND(I3084="TN",S3084&lt;=2800),VLOOKUP(AF3084,TNCalibEq2500!$AZ$2:$BB$56,3,),IF(AND(I3084="TDN",S3084&lt;=2800),VLOOKUP(AF3084,TNCalibEq2500!$AZ$2:$BB$56,3,)))</f>
        <v>0</v>
      </c>
      <c r="AU3084" s="10" t="b">
        <f>IF(I3084="TP",VLOOKUP(AF3084,TPCalibEqFull!$AZ$2:$BB$56,3),IF(I3084="TDP",VLOOKUP(AF3084,TPCalibEqFull!$AZ$2:$BB$56,3),IF(I3084="TDN",VLOOKUP(AF3084,TNCalibEqFull!$AZ$1:$BB$56,3),IF(I3084="TN",VLOOKUP(AF3084,TNCalibEqFull!$AZ$1:$BB$56,3),FALSE))))</f>
        <v>0</v>
      </c>
      <c r="AV3084" s="10" t="str">
        <f t="shared" si="354"/>
        <v>0213 11:54:00-HWR-0-FIL-1-SW-UKN</v>
      </c>
    </row>
    <row r="3085" spans="1:48" s="10" customFormat="1" x14ac:dyDescent="0.55000000000000004">
      <c r="A3085" s="32">
        <v>44970</v>
      </c>
      <c r="B3085" s="33">
        <v>0.48819444444444443</v>
      </c>
      <c r="C3085" s="10" t="s">
        <v>295</v>
      </c>
      <c r="D3085" s="10">
        <v>0</v>
      </c>
      <c r="E3085" s="10" t="s">
        <v>911</v>
      </c>
      <c r="F3085" s="10">
        <v>1</v>
      </c>
      <c r="G3085" s="10" t="s">
        <v>231</v>
      </c>
      <c r="H3085" s="10" t="s">
        <v>322</v>
      </c>
      <c r="I3085" s="10" t="s">
        <v>167</v>
      </c>
      <c r="J3085" s="10">
        <v>46</v>
      </c>
      <c r="K3085" s="12">
        <v>44972</v>
      </c>
      <c r="L3085" s="33">
        <v>0.53061342592592597</v>
      </c>
      <c r="M3085" s="10">
        <v>1</v>
      </c>
      <c r="N3085" s="10" t="s">
        <v>211</v>
      </c>
      <c r="O3085" s="10">
        <v>8.8599999999999998E-2</v>
      </c>
      <c r="P3085" s="10">
        <v>7.7600000000000004E-3</v>
      </c>
      <c r="Q3085" s="10">
        <v>16.2</v>
      </c>
      <c r="R3085" s="10" t="s">
        <v>913</v>
      </c>
      <c r="S3085" s="34">
        <f t="shared" si="351"/>
        <v>16.2</v>
      </c>
      <c r="T3085" s="10" t="s">
        <v>1220</v>
      </c>
      <c r="U3085" s="34" t="str">
        <f t="shared" si="352"/>
        <v/>
      </c>
      <c r="V3085" s="31" t="str">
        <f>IF(H3085="CHK",VLOOKUP(I3085,QCCHK,3,),IF(H3085="GUP",VLOOKUP(E3085,QCGUP,2,),IF(AND(H3085="ATP",OR(I3085="TN",I3085="TDN",I3085="TNO2-3",I3085="NO2-3")),VLOOKUP(E3085,QCREC_N,2,),IF(AND(H3085="NIC",OR(I3085="TN",I3085="TDN",I3085="TNO2-3",I3085="NO2-3")),VLOOKUP(E3085,QCNIC_N,2,),IF(AND(H3085="UREA",OR(I3085="TN",I3085="TDN",I3085="TNO2-3",I3085="NO2-3")),VLOOKUP(E3085,QCUREA_N,2,),IF(H3085="PER",VLOOKUP(I3085,QCPER,MATCH(E3085,QCACTUAL!$J$25:$AA$25,0),),IF(H3085="SPK",VLOOKUP(I3085,QCSPK,3,),IF(AND(H3085="ATP",OR(I3085="TP",I3085="TDP")),VLOOKUP(E3085,QCATP_P,2,),""))))))))</f>
        <v/>
      </c>
      <c r="W3085" s="31" t="str">
        <f t="shared" si="353"/>
        <v>TRUE</v>
      </c>
      <c r="X3085" s="31" t="str">
        <f t="shared" si="350"/>
        <v/>
      </c>
      <c r="Y3085" s="10" t="s">
        <v>1206</v>
      </c>
      <c r="Z3085" s="10" t="s">
        <v>910</v>
      </c>
      <c r="AL3085" s="10" t="str">
        <f t="shared" si="348"/>
        <v>FALSE</v>
      </c>
      <c r="AM3085" s="10" t="str">
        <f t="shared" si="348"/>
        <v>FALSE</v>
      </c>
      <c r="AN3085" s="10" t="str">
        <f t="shared" si="348"/>
        <v>FALSE</v>
      </c>
      <c r="AO3085" s="10" t="str">
        <f t="shared" si="349"/>
        <v>FALSE</v>
      </c>
      <c r="AP3085" s="10" t="str">
        <f t="shared" si="349"/>
        <v>FALSE</v>
      </c>
      <c r="AQ3085" s="10" t="b">
        <f>IF(AND(I3085="TP",S3085&lt;=150),VLOOKUP(AF3085,TPCalibEq150!$AZ$2:$BB$55,3,),IF(AND(I3085="TDP",S3085&lt;=150),VLOOKUP(AF3085,TPCalibEq150!$AZ$2:$BB$55,3,)))</f>
        <v>0</v>
      </c>
      <c r="AR3085" s="10" t="b">
        <f>IF(AND(I3085="TP",S3085&lt;=300),VLOOKUP(AF3085,TPCalibEq300!$AZ$2:$BB$55,3,),IF(AND(I3085="TDP",S3085&lt;=300),VLOOKUP(AF3085,TPCalibEq300!$AZ$2:$BB$55,3,)))</f>
        <v>0</v>
      </c>
      <c r="AS3085" s="10" t="b">
        <f>IF(AND(I3085="TP",S3085&lt;=500),VLOOKUP(AF3085,TPCalibEq500!$AZ$2:$BB$56,3,),IF(AND(I3085="TDP",S3085&lt;=500),VLOOKUP(AF3085,TPCalibEq500!$AZ$2:$BB$56,3,)))</f>
        <v>0</v>
      </c>
      <c r="AT3085" s="10" t="b">
        <f>IF(AND(I3085="TN",S3085&lt;=2800),VLOOKUP(AF3085,TNCalibEq2500!$AZ$2:$BB$56,3,),IF(AND(I3085="TDN",S3085&lt;=2800),VLOOKUP(AF3085,TNCalibEq2500!$AZ$2:$BB$56,3,)))</f>
        <v>0</v>
      </c>
      <c r="AU3085" s="10" t="b">
        <f>IF(I3085="TP",VLOOKUP(AF3085,TPCalibEqFull!$AZ$2:$BB$56,3),IF(I3085="TDP",VLOOKUP(AF3085,TPCalibEqFull!$AZ$2:$BB$56,3),IF(I3085="TDN",VLOOKUP(AF3085,TNCalibEqFull!$AZ$1:$BB$56,3),IF(I3085="TN",VLOOKUP(AF3085,TNCalibEqFull!$AZ$1:$BB$56,3),FALSE))))</f>
        <v>0</v>
      </c>
      <c r="AV3085" s="10" t="str">
        <f t="shared" si="354"/>
        <v>0213 11:43:00-EFM-0-FIL-1-SW-UKN</v>
      </c>
    </row>
    <row r="3086" spans="1:48" s="10" customFormat="1" x14ac:dyDescent="0.55000000000000004">
      <c r="A3086" s="32">
        <v>44970</v>
      </c>
      <c r="B3086" s="33">
        <v>0.50694444444444442</v>
      </c>
      <c r="C3086" s="10" t="s">
        <v>999</v>
      </c>
      <c r="D3086" s="10">
        <v>0</v>
      </c>
      <c r="E3086" s="10" t="s">
        <v>911</v>
      </c>
      <c r="F3086" s="10">
        <v>1</v>
      </c>
      <c r="G3086" s="10" t="s">
        <v>231</v>
      </c>
      <c r="H3086" s="10" t="s">
        <v>322</v>
      </c>
      <c r="I3086" s="10" t="s">
        <v>167</v>
      </c>
      <c r="J3086" s="10">
        <v>47</v>
      </c>
      <c r="K3086" s="12">
        <v>44972</v>
      </c>
      <c r="L3086" s="33">
        <v>0.53143518518518518</v>
      </c>
      <c r="M3086" s="10">
        <v>1</v>
      </c>
      <c r="N3086" s="10" t="s">
        <v>211</v>
      </c>
      <c r="O3086" s="10">
        <v>8.1799999999999998E-2</v>
      </c>
      <c r="P3086" s="10">
        <v>7.0000000000000001E-3</v>
      </c>
      <c r="Q3086" s="10">
        <v>15</v>
      </c>
      <c r="R3086" s="10" t="s">
        <v>913</v>
      </c>
      <c r="S3086" s="34">
        <f t="shared" si="351"/>
        <v>15</v>
      </c>
      <c r="T3086" s="10" t="s">
        <v>1220</v>
      </c>
      <c r="U3086" s="34" t="str">
        <f t="shared" si="352"/>
        <v/>
      </c>
      <c r="V3086" s="31" t="str">
        <f>IF(H3086="CHK",VLOOKUP(I3086,QCCHK,3,),IF(H3086="GUP",VLOOKUP(E3086,QCGUP,2,),IF(AND(H3086="ATP",OR(I3086="TN",I3086="TDN",I3086="TNO2-3",I3086="NO2-3")),VLOOKUP(E3086,QCREC_N,2,),IF(AND(H3086="NIC",OR(I3086="TN",I3086="TDN",I3086="TNO2-3",I3086="NO2-3")),VLOOKUP(E3086,QCNIC_N,2,),IF(AND(H3086="UREA",OR(I3086="TN",I3086="TDN",I3086="TNO2-3",I3086="NO2-3")),VLOOKUP(E3086,QCUREA_N,2,),IF(H3086="PER",VLOOKUP(I3086,QCPER,MATCH(E3086,QCACTUAL!$J$25:$AA$25,0),),IF(H3086="SPK",VLOOKUP(I3086,QCSPK,3,),IF(AND(H3086="ATP",OR(I3086="TP",I3086="TDP")),VLOOKUP(E3086,QCATP_P,2,),""))))))))</f>
        <v/>
      </c>
      <c r="W3086" s="31" t="str">
        <f t="shared" si="353"/>
        <v>TRUE</v>
      </c>
      <c r="X3086" s="31" t="str">
        <f t="shared" si="350"/>
        <v/>
      </c>
      <c r="Y3086" s="10" t="s">
        <v>1206</v>
      </c>
      <c r="Z3086" s="10" t="s">
        <v>910</v>
      </c>
      <c r="AL3086" s="10" t="str">
        <f t="shared" si="348"/>
        <v>FALSE</v>
      </c>
      <c r="AM3086" s="10" t="str">
        <f t="shared" si="348"/>
        <v>FALSE</v>
      </c>
      <c r="AN3086" s="10" t="str">
        <f t="shared" si="348"/>
        <v>FALSE</v>
      </c>
      <c r="AO3086" s="10" t="str">
        <f t="shared" si="349"/>
        <v>FALSE</v>
      </c>
      <c r="AP3086" s="10" t="str">
        <f t="shared" si="349"/>
        <v>FALSE</v>
      </c>
      <c r="AQ3086" s="10" t="b">
        <f>IF(AND(I3086="TP",S3086&lt;=150),VLOOKUP(AF3086,TPCalibEq150!$AZ$2:$BB$55,3,),IF(AND(I3086="TDP",S3086&lt;=150),VLOOKUP(AF3086,TPCalibEq150!$AZ$2:$BB$55,3,)))</f>
        <v>0</v>
      </c>
      <c r="AR3086" s="10" t="b">
        <f>IF(AND(I3086="TP",S3086&lt;=300),VLOOKUP(AF3086,TPCalibEq300!$AZ$2:$BB$55,3,),IF(AND(I3086="TDP",S3086&lt;=300),VLOOKUP(AF3086,TPCalibEq300!$AZ$2:$BB$55,3,)))</f>
        <v>0</v>
      </c>
      <c r="AS3086" s="10" t="b">
        <f>IF(AND(I3086="TP",S3086&lt;=500),VLOOKUP(AF3086,TPCalibEq500!$AZ$2:$BB$56,3,),IF(AND(I3086="TDP",S3086&lt;=500),VLOOKUP(AF3086,TPCalibEq500!$AZ$2:$BB$56,3,)))</f>
        <v>0</v>
      </c>
      <c r="AT3086" s="10" t="b">
        <f>IF(AND(I3086="TN",S3086&lt;=2800),VLOOKUP(AF3086,TNCalibEq2500!$AZ$2:$BB$56,3,),IF(AND(I3086="TDN",S3086&lt;=2800),VLOOKUP(AF3086,TNCalibEq2500!$AZ$2:$BB$56,3,)))</f>
        <v>0</v>
      </c>
      <c r="AU3086" s="10" t="b">
        <f>IF(I3086="TP",VLOOKUP(AF3086,TPCalibEqFull!$AZ$2:$BB$56,3),IF(I3086="TDP",VLOOKUP(AF3086,TPCalibEqFull!$AZ$2:$BB$56,3),IF(I3086="TDN",VLOOKUP(AF3086,TNCalibEqFull!$AZ$1:$BB$56,3),IF(I3086="TN",VLOOKUP(AF3086,TNCalibEqFull!$AZ$1:$BB$56,3),FALSE))))</f>
        <v>0</v>
      </c>
      <c r="AV3086" s="10" t="str">
        <f t="shared" si="354"/>
        <v>0213 12:10:00-EAW-0-FIL-1-SW-UKN</v>
      </c>
    </row>
    <row r="3087" spans="1:48" s="10" customFormat="1" x14ac:dyDescent="0.55000000000000004">
      <c r="A3087" s="32">
        <v>44970</v>
      </c>
      <c r="B3087" s="33">
        <v>0.51527777777777783</v>
      </c>
      <c r="C3087" s="10" t="s">
        <v>310</v>
      </c>
      <c r="D3087" s="10">
        <v>0</v>
      </c>
      <c r="E3087" s="10" t="s">
        <v>911</v>
      </c>
      <c r="F3087" s="10">
        <v>1</v>
      </c>
      <c r="G3087" s="10" t="s">
        <v>231</v>
      </c>
      <c r="H3087" s="10" t="s">
        <v>322</v>
      </c>
      <c r="I3087" s="10" t="s">
        <v>167</v>
      </c>
      <c r="J3087" s="10">
        <v>48</v>
      </c>
      <c r="K3087" s="12">
        <v>44972</v>
      </c>
      <c r="L3087" s="33">
        <v>0.53226851851851853</v>
      </c>
      <c r="M3087" s="10">
        <v>1</v>
      </c>
      <c r="N3087" s="10" t="s">
        <v>211</v>
      </c>
      <c r="O3087" s="10">
        <v>0.14000000000000001</v>
      </c>
      <c r="P3087" s="10">
        <v>1.2500000000000001E-2</v>
      </c>
      <c r="Q3087" s="10">
        <v>25.4</v>
      </c>
      <c r="R3087" s="10" t="s">
        <v>913</v>
      </c>
      <c r="S3087" s="34">
        <f t="shared" si="351"/>
        <v>25.4</v>
      </c>
      <c r="T3087" s="10" t="s">
        <v>1220</v>
      </c>
      <c r="U3087" s="34" t="str">
        <f t="shared" si="352"/>
        <v/>
      </c>
      <c r="V3087" s="31" t="str">
        <f>IF(H3087="CHK",VLOOKUP(I3087,QCCHK,3,),IF(H3087="GUP",VLOOKUP(E3087,QCGUP,2,),IF(AND(H3087="ATP",OR(I3087="TN",I3087="TDN",I3087="TNO2-3",I3087="NO2-3")),VLOOKUP(E3087,QCREC_N,2,),IF(AND(H3087="NIC",OR(I3087="TN",I3087="TDN",I3087="TNO2-3",I3087="NO2-3")),VLOOKUP(E3087,QCNIC_N,2,),IF(AND(H3087="UREA",OR(I3087="TN",I3087="TDN",I3087="TNO2-3",I3087="NO2-3")),VLOOKUP(E3087,QCUREA_N,2,),IF(H3087="PER",VLOOKUP(I3087,QCPER,MATCH(E3087,QCACTUAL!$J$25:$AA$25,0),),IF(H3087="SPK",VLOOKUP(I3087,QCSPK,3,),IF(AND(H3087="ATP",OR(I3087="TP",I3087="TDP")),VLOOKUP(E3087,QCATP_P,2,),""))))))))</f>
        <v/>
      </c>
      <c r="W3087" s="31" t="str">
        <f t="shared" si="353"/>
        <v>TRUE</v>
      </c>
      <c r="X3087" s="31" t="str">
        <f t="shared" si="350"/>
        <v/>
      </c>
      <c r="Y3087" s="10" t="s">
        <v>1206</v>
      </c>
      <c r="Z3087" s="10" t="s">
        <v>910</v>
      </c>
      <c r="AL3087" s="10" t="str">
        <f t="shared" si="348"/>
        <v>FALSE</v>
      </c>
      <c r="AM3087" s="10" t="str">
        <f t="shared" si="348"/>
        <v>FALSE</v>
      </c>
      <c r="AN3087" s="10" t="str">
        <f t="shared" si="348"/>
        <v>FALSE</v>
      </c>
      <c r="AO3087" s="10" t="str">
        <f t="shared" si="349"/>
        <v>FALSE</v>
      </c>
      <c r="AP3087" s="10" t="str">
        <f t="shared" si="349"/>
        <v>FALSE</v>
      </c>
      <c r="AQ3087" s="10" t="b">
        <f>IF(AND(I3087="TP",S3087&lt;=150),VLOOKUP(AF3087,TPCalibEq150!$AZ$2:$BB$55,3,),IF(AND(I3087="TDP",S3087&lt;=150),VLOOKUP(AF3087,TPCalibEq150!$AZ$2:$BB$55,3,)))</f>
        <v>0</v>
      </c>
      <c r="AR3087" s="10" t="b">
        <f>IF(AND(I3087="TP",S3087&lt;=300),VLOOKUP(AF3087,TPCalibEq300!$AZ$2:$BB$55,3,),IF(AND(I3087="TDP",S3087&lt;=300),VLOOKUP(AF3087,TPCalibEq300!$AZ$2:$BB$55,3,)))</f>
        <v>0</v>
      </c>
      <c r="AS3087" s="10" t="b">
        <f>IF(AND(I3087="TP",S3087&lt;=500),VLOOKUP(AF3087,TPCalibEq500!$AZ$2:$BB$56,3,),IF(AND(I3087="TDP",S3087&lt;=500),VLOOKUP(AF3087,TPCalibEq500!$AZ$2:$BB$56,3,)))</f>
        <v>0</v>
      </c>
      <c r="AT3087" s="10" t="b">
        <f>IF(AND(I3087="TN",S3087&lt;=2800),VLOOKUP(AF3087,TNCalibEq2500!$AZ$2:$BB$56,3,),IF(AND(I3087="TDN",S3087&lt;=2800),VLOOKUP(AF3087,TNCalibEq2500!$AZ$2:$BB$56,3,)))</f>
        <v>0</v>
      </c>
      <c r="AU3087" s="10" t="b">
        <f>IF(I3087="TP",VLOOKUP(AF3087,TPCalibEqFull!$AZ$2:$BB$56,3),IF(I3087="TDP",VLOOKUP(AF3087,TPCalibEqFull!$AZ$2:$BB$56,3),IF(I3087="TDN",VLOOKUP(AF3087,TNCalibEqFull!$AZ$1:$BB$56,3),IF(I3087="TN",VLOOKUP(AF3087,TNCalibEqFull!$AZ$1:$BB$56,3),FALSE))))</f>
        <v>0</v>
      </c>
      <c r="AV3087" s="10" t="str">
        <f t="shared" si="354"/>
        <v>0213 12:22:00-ELI-0-FIL-1-SW-UKN</v>
      </c>
    </row>
    <row r="3088" spans="1:48" s="10" customFormat="1" x14ac:dyDescent="0.55000000000000004">
      <c r="A3088" s="32">
        <v>44970</v>
      </c>
      <c r="B3088" s="33">
        <v>0.51527777777777783</v>
      </c>
      <c r="C3088" s="10" t="s">
        <v>310</v>
      </c>
      <c r="D3088" s="10">
        <v>0</v>
      </c>
      <c r="E3088" s="10" t="s">
        <v>911</v>
      </c>
      <c r="F3088" s="10">
        <v>1</v>
      </c>
      <c r="G3088" s="10" t="s">
        <v>231</v>
      </c>
      <c r="H3088" s="10" t="s">
        <v>233</v>
      </c>
      <c r="I3088" s="10" t="s">
        <v>167</v>
      </c>
      <c r="J3088" s="10">
        <v>48</v>
      </c>
      <c r="K3088" s="12">
        <v>44972</v>
      </c>
      <c r="L3088" s="33">
        <v>0.53307870370370369</v>
      </c>
      <c r="M3088" s="10">
        <v>1</v>
      </c>
      <c r="N3088" s="10" t="s">
        <v>211</v>
      </c>
      <c r="O3088" s="10">
        <v>8.4900000000000003E-2</v>
      </c>
      <c r="P3088" s="10">
        <v>7.1399999999999996E-3</v>
      </c>
      <c r="Q3088" s="10">
        <v>15.5</v>
      </c>
      <c r="R3088" s="10" t="s">
        <v>913</v>
      </c>
      <c r="S3088" s="34">
        <f t="shared" si="351"/>
        <v>15.5</v>
      </c>
      <c r="T3088" s="10" t="s">
        <v>1220</v>
      </c>
      <c r="U3088" s="34">
        <f t="shared" si="352"/>
        <v>48.410757946210268</v>
      </c>
      <c r="V3088" s="31" t="str">
        <f>IF(H3088="CHK",VLOOKUP(I3088,QCCHK,3,),IF(H3088="GUP",VLOOKUP(E3088,QCGUP,2,),IF(AND(H3088="ATP",OR(I3088="TN",I3088="TDN",I3088="TNO2-3",I3088="NO2-3")),VLOOKUP(E3088,QCREC_N,2,),IF(AND(H3088="NIC",OR(I3088="TN",I3088="TDN",I3088="TNO2-3",I3088="NO2-3")),VLOOKUP(E3088,QCNIC_N,2,),IF(AND(H3088="UREA",OR(I3088="TN",I3088="TDN",I3088="TNO2-3",I3088="NO2-3")),VLOOKUP(E3088,QCUREA_N,2,),IF(H3088="PER",VLOOKUP(I3088,QCPER,MATCH(E3088,QCACTUAL!$J$25:$AA$25,0),),IF(H3088="SPK",VLOOKUP(I3088,QCSPK,3,),IF(AND(H3088="ATP",OR(I3088="TP",I3088="TDP")),VLOOKUP(E3088,QCATP_P,2,),""))))))))</f>
        <v/>
      </c>
      <c r="W3088" s="31" t="b">
        <v>1</v>
      </c>
      <c r="X3088" s="31" t="str">
        <f t="shared" si="350"/>
        <v>((ABS(rep1-rep2))/((rep1+rep2)/2)*100</v>
      </c>
      <c r="Y3088" s="10" t="s">
        <v>1206</v>
      </c>
      <c r="Z3088" s="10" t="s">
        <v>1059</v>
      </c>
      <c r="AL3088" s="10" t="str">
        <f t="shared" si="348"/>
        <v>FALSE</v>
      </c>
      <c r="AM3088" s="10" t="str">
        <f t="shared" si="348"/>
        <v>FALSE</v>
      </c>
      <c r="AN3088" s="10" t="str">
        <f t="shared" si="348"/>
        <v>FALSE</v>
      </c>
      <c r="AO3088" s="10" t="str">
        <f t="shared" si="349"/>
        <v>FALSE</v>
      </c>
      <c r="AP3088" s="10" t="str">
        <f t="shared" si="349"/>
        <v>FALSE</v>
      </c>
      <c r="AQ3088" s="10" t="b">
        <f>IF(AND(I3088="TP",S3088&lt;=150),VLOOKUP(AF3088,TPCalibEq150!$AZ$2:$BB$55,3,),IF(AND(I3088="TDP",S3088&lt;=150),VLOOKUP(AF3088,TPCalibEq150!$AZ$2:$BB$55,3,)))</f>
        <v>0</v>
      </c>
      <c r="AR3088" s="10" t="b">
        <f>IF(AND(I3088="TP",S3088&lt;=300),VLOOKUP(AF3088,TPCalibEq300!$AZ$2:$BB$55,3,),IF(AND(I3088="TDP",S3088&lt;=300),VLOOKUP(AF3088,TPCalibEq300!$AZ$2:$BB$55,3,)))</f>
        <v>0</v>
      </c>
      <c r="AS3088" s="10" t="b">
        <f>IF(AND(I3088="TP",S3088&lt;=500),VLOOKUP(AF3088,TPCalibEq500!$AZ$2:$BB$56,3,),IF(AND(I3088="TDP",S3088&lt;=500),VLOOKUP(AF3088,TPCalibEq500!$AZ$2:$BB$56,3,)))</f>
        <v>0</v>
      </c>
      <c r="AT3088" s="10" t="b">
        <f>IF(AND(I3088="TN",S3088&lt;=2800),VLOOKUP(AF3088,TNCalibEq2500!$AZ$2:$BB$56,3,),IF(AND(I3088="TDN",S3088&lt;=2800),VLOOKUP(AF3088,TNCalibEq2500!$AZ$2:$BB$56,3,)))</f>
        <v>0</v>
      </c>
      <c r="AU3088" s="10" t="b">
        <f>IF(I3088="TP",VLOOKUP(AF3088,TPCalibEqFull!$AZ$2:$BB$56,3),IF(I3088="TDP",VLOOKUP(AF3088,TPCalibEqFull!$AZ$2:$BB$56,3),IF(I3088="TDN",VLOOKUP(AF3088,TNCalibEqFull!$AZ$1:$BB$56,3),IF(I3088="TN",VLOOKUP(AF3088,TNCalibEqFull!$AZ$1:$BB$56,3),FALSE))))</f>
        <v>0</v>
      </c>
      <c r="AV3088" s="10" t="str">
        <f t="shared" si="354"/>
        <v>0213 12:22:00-ELI-0-FIL-1-SW-DUP</v>
      </c>
    </row>
    <row r="3089" spans="1:48" s="10" customFormat="1" x14ac:dyDescent="0.55000000000000004">
      <c r="A3089" s="32">
        <v>44970</v>
      </c>
      <c r="B3089" s="33">
        <v>0.51527777777777783</v>
      </c>
      <c r="C3089" s="10" t="s">
        <v>310</v>
      </c>
      <c r="D3089" s="10">
        <v>0</v>
      </c>
      <c r="E3089" s="10" t="s">
        <v>911</v>
      </c>
      <c r="F3089" s="10">
        <v>1</v>
      </c>
      <c r="G3089" s="10" t="s">
        <v>231</v>
      </c>
      <c r="H3089" s="10" t="s">
        <v>314</v>
      </c>
      <c r="I3089" s="10" t="s">
        <v>167</v>
      </c>
      <c r="J3089" s="10">
        <v>54</v>
      </c>
      <c r="K3089" s="12">
        <v>44972</v>
      </c>
      <c r="L3089" s="33">
        <v>0.53390046296296301</v>
      </c>
      <c r="M3089" s="10">
        <v>1</v>
      </c>
      <c r="N3089" s="10" t="s">
        <v>211</v>
      </c>
      <c r="O3089" s="10">
        <v>1.07</v>
      </c>
      <c r="P3089" s="10">
        <v>0.10100000000000001</v>
      </c>
      <c r="Q3089" s="10">
        <v>191</v>
      </c>
      <c r="R3089" s="10" t="s">
        <v>913</v>
      </c>
      <c r="S3089" s="34">
        <f t="shared" si="351"/>
        <v>191</v>
      </c>
      <c r="T3089" s="10" t="s">
        <v>1220</v>
      </c>
      <c r="U3089" s="34">
        <f t="shared" si="352"/>
        <v>112.32</v>
      </c>
      <c r="V3089" s="31">
        <f>IF(H3089="CHK",VLOOKUP(I3089,QCCHK,3,),IF(H3089="GUP",VLOOKUP(E3089,QCGUP,2,),IF(AND(H3089="ATP",OR(I3089="TN",I3089="TDN",I3089="TNO2-3",I3089="NO2-3")),VLOOKUP(E3089,QCREC_N,2,),IF(AND(H3089="NIC",OR(I3089="TN",I3089="TDN",I3089="TNO2-3",I3089="NO2-3")),VLOOKUP(E3089,QCNIC_N,2,),IF(AND(H3089="UREA",OR(I3089="TN",I3089="TDN",I3089="TNO2-3",I3089="NO2-3")),VLOOKUP(E3089,QCUREA_N,2,),IF(H3089="PER",VLOOKUP(I3089,QCPER,MATCH(E3089,QCACTUAL!$J$25:$AA$25,0),),IF(H3089="SPK",VLOOKUP(I3089,QCSPK,3,),IF(AND(H3089="ATP",OR(I3089="TP",I3089="TDP")),VLOOKUP(E3089,QCATP_P,2,),""))))))))</f>
        <v>156.25</v>
      </c>
      <c r="W3089" s="31" t="str">
        <f t="shared" si="353"/>
        <v>TRUE</v>
      </c>
      <c r="X3089" s="31" t="str">
        <f t="shared" si="350"/>
        <v>([spikedunkn]-[unkn])/[spike]*100</v>
      </c>
      <c r="Y3089" s="10" t="s">
        <v>1206</v>
      </c>
      <c r="Z3089" s="10" t="s">
        <v>910</v>
      </c>
      <c r="AL3089" s="10" t="str">
        <f t="shared" si="348"/>
        <v>FALSE</v>
      </c>
      <c r="AM3089" s="10" t="str">
        <f t="shared" si="348"/>
        <v>FALSE</v>
      </c>
      <c r="AN3089" s="10" t="str">
        <f t="shared" si="348"/>
        <v>FALSE</v>
      </c>
      <c r="AO3089" s="10" t="str">
        <f t="shared" si="349"/>
        <v>FALSE</v>
      </c>
      <c r="AP3089" s="10" t="str">
        <f t="shared" si="349"/>
        <v>FALSE</v>
      </c>
      <c r="AQ3089" s="10" t="b">
        <f>IF(AND(I3089="TP",S3089&lt;=150),VLOOKUP(AF3089,TPCalibEq150!$AZ$2:$BB$55,3,),IF(AND(I3089="TDP",S3089&lt;=150),VLOOKUP(AF3089,TPCalibEq150!$AZ$2:$BB$55,3,)))</f>
        <v>0</v>
      </c>
      <c r="AR3089" s="10" t="b">
        <f>IF(AND(I3089="TP",S3089&lt;=300),VLOOKUP(AF3089,TPCalibEq300!$AZ$2:$BB$55,3,),IF(AND(I3089="TDP",S3089&lt;=300),VLOOKUP(AF3089,TPCalibEq300!$AZ$2:$BB$55,3,)))</f>
        <v>0</v>
      </c>
      <c r="AS3089" s="10" t="b">
        <f>IF(AND(I3089="TP",S3089&lt;=500),VLOOKUP(AF3089,TPCalibEq500!$AZ$2:$BB$56,3,),IF(AND(I3089="TDP",S3089&lt;=500),VLOOKUP(AF3089,TPCalibEq500!$AZ$2:$BB$56,3,)))</f>
        <v>0</v>
      </c>
      <c r="AT3089" s="10" t="b">
        <f>IF(AND(I3089="TN",S3089&lt;=2800),VLOOKUP(AF3089,TNCalibEq2500!$AZ$2:$BB$56,3,),IF(AND(I3089="TDN",S3089&lt;=2800),VLOOKUP(AF3089,TNCalibEq2500!$AZ$2:$BB$56,3,)))</f>
        <v>0</v>
      </c>
      <c r="AU3089" s="10" t="b">
        <f>IF(I3089="TP",VLOOKUP(AF3089,TPCalibEqFull!$AZ$2:$BB$56,3),IF(I3089="TDP",VLOOKUP(AF3089,TPCalibEqFull!$AZ$2:$BB$56,3),IF(I3089="TDN",VLOOKUP(AF3089,TNCalibEqFull!$AZ$1:$BB$56,3),IF(I3089="TN",VLOOKUP(AF3089,TNCalibEqFull!$AZ$1:$BB$56,3),FALSE))))</f>
        <v>0</v>
      </c>
      <c r="AV3089" s="10" t="str">
        <f t="shared" si="354"/>
        <v>0213 12:22:00-ELI-0-FIL-1-SW-SPK</v>
      </c>
    </row>
    <row r="3090" spans="1:48" s="10" customFormat="1" x14ac:dyDescent="0.55000000000000004">
      <c r="A3090" s="32">
        <v>44972</v>
      </c>
      <c r="B3090" s="33">
        <v>0.375</v>
      </c>
      <c r="C3090" s="10" t="s">
        <v>70</v>
      </c>
      <c r="D3090" s="10" t="s">
        <v>71</v>
      </c>
      <c r="E3090" s="10" t="s">
        <v>901</v>
      </c>
      <c r="F3090" s="10">
        <v>1</v>
      </c>
      <c r="G3090" s="10" t="s">
        <v>73</v>
      </c>
      <c r="H3090" s="10" t="s">
        <v>207</v>
      </c>
      <c r="I3090" s="10" t="s">
        <v>285</v>
      </c>
      <c r="J3090" s="10">
        <v>200</v>
      </c>
      <c r="K3090" s="12">
        <v>44972</v>
      </c>
      <c r="L3090" s="33">
        <v>0.53472222222222221</v>
      </c>
      <c r="M3090" s="10">
        <v>1</v>
      </c>
      <c r="N3090" s="10" t="s">
        <v>211</v>
      </c>
      <c r="O3090" s="10">
        <v>0.41799999999999998</v>
      </c>
      <c r="P3090" s="10">
        <v>3.8800000000000001E-2</v>
      </c>
      <c r="Q3090" s="10">
        <v>74.900000000000006</v>
      </c>
      <c r="R3090" s="10" t="s">
        <v>913</v>
      </c>
      <c r="S3090" s="34">
        <f t="shared" si="351"/>
        <v>74.900000000000006</v>
      </c>
      <c r="T3090" s="10" t="s">
        <v>1220</v>
      </c>
      <c r="U3090" s="34">
        <f t="shared" si="352"/>
        <v>99.866666666666674</v>
      </c>
      <c r="V3090" s="31">
        <f>IF(H3090="CHK",VLOOKUP(I3090,QCCHK,3,),IF(H3090="GUP",VLOOKUP(E3090,QCGUP,2,),IF(AND(H3090="ATP",OR(I3090="TN",I3090="TDN",I3090="TNO2-3",I3090="NO2-3")),VLOOKUP(E3090,QCREC_N,2,),IF(AND(H3090="NIC",OR(I3090="TN",I3090="TDN",I3090="TNO2-3",I3090="NO2-3")),VLOOKUP(E3090,QCNIC_N,2,),IF(AND(H3090="UREA",OR(I3090="TN",I3090="TDN",I3090="TNO2-3",I3090="NO2-3")),VLOOKUP(E3090,QCUREA_N,2,),IF(H3090="PER",VLOOKUP(I3090,QCPER,MATCH(E3090,QCACTUAL!$J$25:$AA$25,0),),IF(H3090="SPK",VLOOKUP(I3090,QCSPK,3,),IF(AND(H3090="ATP",OR(I3090="TP",I3090="TDP")),VLOOKUP(E3090,QCATP_P,2,),""))))))))</f>
        <v>75</v>
      </c>
      <c r="W3090" s="31" t="str">
        <f t="shared" si="353"/>
        <v>TRUE</v>
      </c>
      <c r="X3090" s="31" t="str">
        <f t="shared" si="350"/>
        <v>[chk]/[actual]*100</v>
      </c>
      <c r="Y3090" s="10" t="s">
        <v>1206</v>
      </c>
      <c r="AL3090" s="10" t="str">
        <f t="shared" si="348"/>
        <v>FALSE</v>
      </c>
      <c r="AM3090" s="10" t="str">
        <f t="shared" si="348"/>
        <v>FALSE</v>
      </c>
      <c r="AN3090" s="10" t="str">
        <f t="shared" si="348"/>
        <v>FALSE</v>
      </c>
      <c r="AO3090" s="10" t="str">
        <f t="shared" si="349"/>
        <v>FALSE</v>
      </c>
      <c r="AP3090" s="10" t="str">
        <f t="shared" si="349"/>
        <v>FALSE</v>
      </c>
      <c r="AQ3090" s="10" t="b">
        <f>IF(AND(I3090="TP",S3090&lt;=150),VLOOKUP(AF3090,TPCalibEq150!$AZ$2:$BB$55,3,),IF(AND(I3090="TDP",S3090&lt;=150),VLOOKUP(AF3090,TPCalibEq150!$AZ$2:$BB$55,3,)))</f>
        <v>0</v>
      </c>
      <c r="AR3090" s="10" t="b">
        <f>IF(AND(I3090="TP",S3090&lt;=300),VLOOKUP(AF3090,TPCalibEq300!$AZ$2:$BB$55,3,),IF(AND(I3090="TDP",S3090&lt;=300),VLOOKUP(AF3090,TPCalibEq300!$AZ$2:$BB$55,3,)))</f>
        <v>0</v>
      </c>
      <c r="AS3090" s="10" t="b">
        <f>IF(AND(I3090="TP",S3090&lt;=500),VLOOKUP(AF3090,TPCalibEq500!$AZ$2:$BB$56,3,),IF(AND(I3090="TDP",S3090&lt;=500),VLOOKUP(AF3090,TPCalibEq500!$AZ$2:$BB$56,3,)))</f>
        <v>0</v>
      </c>
      <c r="AT3090" s="10" t="b">
        <f>IF(AND(I3090="TN",S3090&lt;=2800),VLOOKUP(AF3090,TNCalibEq2500!$AZ$2:$BB$56,3,),IF(AND(I3090="TDN",S3090&lt;=2800),VLOOKUP(AF3090,TNCalibEq2500!$AZ$2:$BB$56,3,)))</f>
        <v>0</v>
      </c>
      <c r="AU3090" s="10" t="b">
        <f>IF(I3090="TP",VLOOKUP(AF3090,TPCalibEqFull!$AZ$2:$BB$56,3),IF(I3090="TDP",VLOOKUP(AF3090,TPCalibEqFull!$AZ$2:$BB$56,3),IF(I3090="TDN",VLOOKUP(AF3090,TNCalibEqFull!$AZ$1:$BB$56,3),IF(I3090="TN",VLOOKUP(AF3090,TNCalibEqFull!$AZ$1:$BB$56,3),FALSE))))</f>
        <v>0</v>
      </c>
      <c r="AV3090" s="10" t="str">
        <f t="shared" si="354"/>
        <v>0215 09:00:00-QAC-STD-D-1-DI-CHK</v>
      </c>
    </row>
    <row r="3091" spans="1:48" s="10" customFormat="1" x14ac:dyDescent="0.55000000000000004">
      <c r="A3091" s="32">
        <v>44972</v>
      </c>
      <c r="B3091" s="33">
        <v>0.375</v>
      </c>
      <c r="C3091" s="10" t="s">
        <v>70</v>
      </c>
      <c r="D3091" s="10" t="s">
        <v>71</v>
      </c>
      <c r="E3091" s="10" t="s">
        <v>901</v>
      </c>
      <c r="F3091" s="10">
        <v>1</v>
      </c>
      <c r="G3091" s="10" t="s">
        <v>73</v>
      </c>
      <c r="H3091" s="10" t="s">
        <v>207</v>
      </c>
      <c r="I3091" s="10" t="s">
        <v>285</v>
      </c>
      <c r="J3091" s="10">
        <v>201</v>
      </c>
      <c r="K3091" s="12">
        <v>44972</v>
      </c>
      <c r="L3091" s="33">
        <v>0.53960648148148149</v>
      </c>
      <c r="M3091" s="10">
        <v>1</v>
      </c>
      <c r="N3091" s="10" t="s">
        <v>211</v>
      </c>
      <c r="O3091" s="10">
        <v>0.41399999999999998</v>
      </c>
      <c r="P3091" s="10">
        <v>3.7999999999999999E-2</v>
      </c>
      <c r="Q3091" s="10">
        <v>74.2</v>
      </c>
      <c r="R3091" s="10" t="s">
        <v>913</v>
      </c>
      <c r="S3091" s="34">
        <f t="shared" si="351"/>
        <v>74.2</v>
      </c>
      <c r="T3091" s="10" t="s">
        <v>1220</v>
      </c>
      <c r="U3091" s="34">
        <f t="shared" si="352"/>
        <v>98.933333333333337</v>
      </c>
      <c r="V3091" s="31">
        <f>IF(H3091="CHK",VLOOKUP(I3091,QCCHK,3,),IF(H3091="GUP",VLOOKUP(E3091,QCGUP,2,),IF(AND(H3091="ATP",OR(I3091="TN",I3091="TDN",I3091="TNO2-3",I3091="NO2-3")),VLOOKUP(E3091,QCREC_N,2,),IF(AND(H3091="NIC",OR(I3091="TN",I3091="TDN",I3091="TNO2-3",I3091="NO2-3")),VLOOKUP(E3091,QCNIC_N,2,),IF(AND(H3091="UREA",OR(I3091="TN",I3091="TDN",I3091="TNO2-3",I3091="NO2-3")),VLOOKUP(E3091,QCUREA_N,2,),IF(H3091="PER",VLOOKUP(I3091,QCPER,MATCH(E3091,QCACTUAL!$J$25:$AA$25,0),),IF(H3091="SPK",VLOOKUP(I3091,QCSPK,3,),IF(AND(H3091="ATP",OR(I3091="TP",I3091="TDP")),VLOOKUP(E3091,QCATP_P,2,),""))))))))</f>
        <v>75</v>
      </c>
      <c r="W3091" s="31" t="str">
        <f t="shared" si="353"/>
        <v>TRUE</v>
      </c>
      <c r="X3091" s="31" t="str">
        <f t="shared" si="350"/>
        <v>[chk]/[actual]*100</v>
      </c>
      <c r="Y3091" s="10" t="s">
        <v>1206</v>
      </c>
      <c r="AL3091" s="10" t="str">
        <f t="shared" si="348"/>
        <v>FALSE</v>
      </c>
      <c r="AM3091" s="10" t="str">
        <f t="shared" si="348"/>
        <v>FALSE</v>
      </c>
      <c r="AN3091" s="10" t="str">
        <f t="shared" si="348"/>
        <v>FALSE</v>
      </c>
      <c r="AO3091" s="10" t="str">
        <f t="shared" si="349"/>
        <v>FALSE</v>
      </c>
      <c r="AP3091" s="10" t="str">
        <f t="shared" si="349"/>
        <v>FALSE</v>
      </c>
      <c r="AQ3091" s="10" t="b">
        <f>IF(AND(I3091="TP",S3091&lt;=150),VLOOKUP(AF3091,TPCalibEq150!$AZ$2:$BB$55,3,),IF(AND(I3091="TDP",S3091&lt;=150),VLOOKUP(AF3091,TPCalibEq150!$AZ$2:$BB$55,3,)))</f>
        <v>0</v>
      </c>
      <c r="AR3091" s="10" t="b">
        <f>IF(AND(I3091="TP",S3091&lt;=300),VLOOKUP(AF3091,TPCalibEq300!$AZ$2:$BB$55,3,),IF(AND(I3091="TDP",S3091&lt;=300),VLOOKUP(AF3091,TPCalibEq300!$AZ$2:$BB$55,3,)))</f>
        <v>0</v>
      </c>
      <c r="AS3091" s="10" t="b">
        <f>IF(AND(I3091="TP",S3091&lt;=500),VLOOKUP(AF3091,TPCalibEq500!$AZ$2:$BB$56,3,),IF(AND(I3091="TDP",S3091&lt;=500),VLOOKUP(AF3091,TPCalibEq500!$AZ$2:$BB$56,3,)))</f>
        <v>0</v>
      </c>
      <c r="AT3091" s="10" t="b">
        <f>IF(AND(I3091="TN",S3091&lt;=2800),VLOOKUP(AF3091,TNCalibEq2500!$AZ$2:$BB$56,3,),IF(AND(I3091="TDN",S3091&lt;=2800),VLOOKUP(AF3091,TNCalibEq2500!$AZ$2:$BB$56,3,)))</f>
        <v>0</v>
      </c>
      <c r="AU3091" s="10" t="b">
        <f>IF(I3091="TP",VLOOKUP(AF3091,TPCalibEqFull!$AZ$2:$BB$56,3),IF(I3091="TDP",VLOOKUP(AF3091,TPCalibEqFull!$AZ$2:$BB$56,3),IF(I3091="TDN",VLOOKUP(AF3091,TNCalibEqFull!$AZ$1:$BB$56,3),IF(I3091="TN",VLOOKUP(AF3091,TNCalibEqFull!$AZ$1:$BB$56,3),FALSE))))</f>
        <v>0</v>
      </c>
      <c r="AV3091" s="10" t="str">
        <f t="shared" si="354"/>
        <v>0215 09:00:00-QAC-STD-D-1-DI-CHK</v>
      </c>
    </row>
    <row r="3092" spans="1:48" s="10" customFormat="1" x14ac:dyDescent="0.55000000000000004">
      <c r="A3092" s="32">
        <v>44972</v>
      </c>
      <c r="B3092" s="33">
        <v>0.375</v>
      </c>
      <c r="C3092" s="10" t="s">
        <v>70</v>
      </c>
      <c r="D3092" s="10" t="s">
        <v>71</v>
      </c>
      <c r="E3092" s="10" t="s">
        <v>72</v>
      </c>
      <c r="F3092" s="10">
        <v>1</v>
      </c>
      <c r="G3092" s="10" t="s">
        <v>73</v>
      </c>
      <c r="H3092" s="10" t="s">
        <v>74</v>
      </c>
      <c r="I3092" s="10" t="s">
        <v>256</v>
      </c>
      <c r="J3092" s="10">
        <v>181</v>
      </c>
      <c r="K3092" s="12">
        <v>44972</v>
      </c>
      <c r="L3092" s="33">
        <v>0.4660069444444444</v>
      </c>
      <c r="M3092" s="10">
        <v>1</v>
      </c>
      <c r="N3092" s="10" t="s">
        <v>169</v>
      </c>
      <c r="O3092" s="10">
        <v>8.8900000000000003E-3</v>
      </c>
      <c r="P3092" s="10">
        <v>8.9800000000000004E-4</v>
      </c>
      <c r="Q3092" s="10">
        <v>0</v>
      </c>
      <c r="R3092" s="10" t="s">
        <v>77</v>
      </c>
      <c r="S3092" s="34">
        <f t="shared" si="351"/>
        <v>0</v>
      </c>
      <c r="T3092" s="10" t="s">
        <v>914</v>
      </c>
      <c r="U3092" s="34" t="str">
        <f t="shared" si="352"/>
        <v/>
      </c>
      <c r="V3092" s="31" t="str">
        <f>IF(H3092="CHK",VLOOKUP(I3092,QCCHK,3,),IF(H3092="GUP",VLOOKUP(E3092,QCGUP,2,),IF(AND(H3092="ATP",OR(I3092="TN",I3092="TDN",I3092="TNO2-3",I3092="NO2-3")),VLOOKUP(E3092,QCREC_N,2,),IF(AND(H3092="NIC",OR(I3092="TN",I3092="TDN",I3092="TNO2-3",I3092="NO2-3")),VLOOKUP(E3092,QCNIC_N,2,),IF(AND(H3092="UREA",OR(I3092="TN",I3092="TDN",I3092="TNO2-3",I3092="NO2-3")),VLOOKUP(E3092,QCUREA_N,2,),IF(H3092="PER",VLOOKUP(I3092,QCPER,MATCH(E3092,QCACTUAL!$J$25:$AA$25,0),),IF(H3092="SPK",VLOOKUP(I3092,QCSPK,3,),IF(AND(H3092="ATP",OR(I3092="TP",I3092="TDP")),VLOOKUP(E3092,QCATP_P,2,),""))))))))</f>
        <v/>
      </c>
      <c r="W3092" s="31" t="str">
        <f t="shared" si="353"/>
        <v>TRUE</v>
      </c>
      <c r="X3092" s="31" t="str">
        <f t="shared" si="350"/>
        <v/>
      </c>
      <c r="Y3092" s="10" t="s">
        <v>1206</v>
      </c>
      <c r="AL3092" s="10" t="str">
        <f t="shared" si="348"/>
        <v>FALSE</v>
      </c>
      <c r="AM3092" s="10" t="str">
        <f t="shared" si="348"/>
        <v>FALSE</v>
      </c>
      <c r="AN3092" s="10" t="str">
        <f t="shared" si="348"/>
        <v>FALSE</v>
      </c>
      <c r="AO3092" s="10" t="str">
        <f t="shared" si="349"/>
        <v>FALSE</v>
      </c>
      <c r="AP3092" s="10" t="str">
        <f t="shared" si="349"/>
        <v>FALSE</v>
      </c>
      <c r="AQ3092" s="10" t="b">
        <f>IF(AND(I3092="TP",S3092&lt;=150),VLOOKUP(AF3092,TPCalibEq150!$AZ$2:$BB$55,3,),IF(AND(I3092="TDP",S3092&lt;=150),VLOOKUP(AF3092,TPCalibEq150!$AZ$2:$BB$55,3,)))</f>
        <v>0</v>
      </c>
      <c r="AR3092" s="10" t="b">
        <f>IF(AND(I3092="TP",S3092&lt;=300),VLOOKUP(AF3092,TPCalibEq300!$AZ$2:$BB$55,3,),IF(AND(I3092="TDP",S3092&lt;=300),VLOOKUP(AF3092,TPCalibEq300!$AZ$2:$BB$55,3,)))</f>
        <v>0</v>
      </c>
      <c r="AS3092" s="10" t="b">
        <f>IF(AND(I3092="TP",S3092&lt;=500),VLOOKUP(AF3092,TPCalibEq500!$AZ$2:$BB$56,3,),IF(AND(I3092="TDP",S3092&lt;=500),VLOOKUP(AF3092,TPCalibEq500!$AZ$2:$BB$56,3,)))</f>
        <v>0</v>
      </c>
      <c r="AT3092" s="10" t="b">
        <f>IF(AND(I3092="TN",S3092&lt;=2800),VLOOKUP(AF3092,TNCalibEq2500!$AZ$2:$BB$56,3,),IF(AND(I3092="TDN",S3092&lt;=2800),VLOOKUP(AF3092,TNCalibEq2500!$AZ$2:$BB$56,3,)))</f>
        <v>0</v>
      </c>
      <c r="AU3092" s="10" t="b">
        <f>IF(I3092="TP",VLOOKUP(AF3092,TPCalibEqFull!$AZ$2:$BB$56,3),IF(I3092="TDP",VLOOKUP(AF3092,TPCalibEqFull!$AZ$2:$BB$56,3),IF(I3092="TDN",VLOOKUP(AF3092,TNCalibEqFull!$AZ$1:$BB$56,3),IF(I3092="TN",VLOOKUP(AF3092,TNCalibEqFull!$AZ$1:$BB$56,3),FALSE))))</f>
        <v>0</v>
      </c>
      <c r="AV3092" s="10" t="str">
        <f t="shared" si="354"/>
        <v>0215 09:00:00-QAC-STD-H-1-DI-CAL</v>
      </c>
    </row>
    <row r="3093" spans="1:48" s="10" customFormat="1" x14ac:dyDescent="0.55000000000000004">
      <c r="A3093" s="32">
        <v>44972</v>
      </c>
      <c r="B3093" s="33">
        <v>0.375</v>
      </c>
      <c r="C3093" s="10" t="s">
        <v>70</v>
      </c>
      <c r="D3093" s="10" t="s">
        <v>71</v>
      </c>
      <c r="E3093" s="10" t="s">
        <v>908</v>
      </c>
      <c r="F3093" s="10">
        <v>1</v>
      </c>
      <c r="G3093" s="10" t="s">
        <v>73</v>
      </c>
      <c r="H3093" s="10" t="s">
        <v>74</v>
      </c>
      <c r="I3093" s="10" t="s">
        <v>256</v>
      </c>
      <c r="J3093" s="10">
        <v>182</v>
      </c>
      <c r="K3093" s="12">
        <v>44972</v>
      </c>
      <c r="L3093" s="33">
        <v>0.46685185185185185</v>
      </c>
      <c r="M3093" s="10">
        <v>1</v>
      </c>
      <c r="N3093" s="10" t="s">
        <v>169</v>
      </c>
      <c r="O3093" s="10">
        <v>0.17</v>
      </c>
      <c r="P3093" s="10">
        <v>8.3899999999999999E-3</v>
      </c>
      <c r="Q3093" s="10">
        <v>20</v>
      </c>
      <c r="R3093" s="10" t="s">
        <v>77</v>
      </c>
      <c r="S3093" s="34">
        <f t="shared" si="351"/>
        <v>20</v>
      </c>
      <c r="T3093" s="10" t="s">
        <v>1112</v>
      </c>
      <c r="U3093" s="34" t="str">
        <f t="shared" si="352"/>
        <v/>
      </c>
      <c r="V3093" s="31" t="str">
        <f>IF(H3093="CHK",VLOOKUP(I3093,QCCHK,3,),IF(H3093="GUP",VLOOKUP(E3093,QCGUP,2,),IF(AND(H3093="ATP",OR(I3093="TN",I3093="TDN",I3093="TNO2-3",I3093="NO2-3")),VLOOKUP(E3093,QCREC_N,2,),IF(AND(H3093="NIC",OR(I3093="TN",I3093="TDN",I3093="TNO2-3",I3093="NO2-3")),VLOOKUP(E3093,QCNIC_N,2,),IF(AND(H3093="UREA",OR(I3093="TN",I3093="TDN",I3093="TNO2-3",I3093="NO2-3")),VLOOKUP(E3093,QCUREA_N,2,),IF(H3093="PER",VLOOKUP(I3093,QCPER,MATCH(E3093,QCACTUAL!$J$25:$AA$25,0),),IF(H3093="SPK",VLOOKUP(I3093,QCSPK,3,),IF(AND(H3093="ATP",OR(I3093="TP",I3093="TDP")),VLOOKUP(E3093,QCATP_P,2,),""))))))))</f>
        <v/>
      </c>
      <c r="W3093" s="31" t="str">
        <f t="shared" si="353"/>
        <v>TRUE</v>
      </c>
      <c r="X3093" s="31" t="str">
        <f t="shared" si="350"/>
        <v/>
      </c>
      <c r="Y3093" s="10" t="s">
        <v>1206</v>
      </c>
      <c r="AL3093" s="10" t="str">
        <f t="shared" si="348"/>
        <v>FALSE</v>
      </c>
      <c r="AM3093" s="10" t="str">
        <f t="shared" si="348"/>
        <v>FALSE</v>
      </c>
      <c r="AN3093" s="10" t="str">
        <f t="shared" si="348"/>
        <v>FALSE</v>
      </c>
      <c r="AO3093" s="10" t="str">
        <f t="shared" si="349"/>
        <v>FALSE</v>
      </c>
      <c r="AP3093" s="10" t="str">
        <f t="shared" si="349"/>
        <v>FALSE</v>
      </c>
      <c r="AQ3093" s="10" t="b">
        <f>IF(AND(I3093="TP",S3093&lt;=150),VLOOKUP(AF3093,TPCalibEq150!$AZ$2:$BB$55,3,),IF(AND(I3093="TDP",S3093&lt;=150),VLOOKUP(AF3093,TPCalibEq150!$AZ$2:$BB$55,3,)))</f>
        <v>0</v>
      </c>
      <c r="AR3093" s="10" t="b">
        <f>IF(AND(I3093="TP",S3093&lt;=300),VLOOKUP(AF3093,TPCalibEq300!$AZ$2:$BB$55,3,),IF(AND(I3093="TDP",S3093&lt;=300),VLOOKUP(AF3093,TPCalibEq300!$AZ$2:$BB$55,3,)))</f>
        <v>0</v>
      </c>
      <c r="AS3093" s="10" t="b">
        <f>IF(AND(I3093="TP",S3093&lt;=500),VLOOKUP(AF3093,TPCalibEq500!$AZ$2:$BB$56,3,),IF(AND(I3093="TDP",S3093&lt;=500),VLOOKUP(AF3093,TPCalibEq500!$AZ$2:$BB$56,3,)))</f>
        <v>0</v>
      </c>
      <c r="AT3093" s="10" t="b">
        <f>IF(AND(I3093="TN",S3093&lt;=2800),VLOOKUP(AF3093,TNCalibEq2500!$AZ$2:$BB$56,3,),IF(AND(I3093="TDN",S3093&lt;=2800),VLOOKUP(AF3093,TNCalibEq2500!$AZ$2:$BB$56,3,)))</f>
        <v>0</v>
      </c>
      <c r="AU3093" s="10" t="b">
        <f>IF(I3093="TP",VLOOKUP(AF3093,TPCalibEqFull!$AZ$2:$BB$56,3),IF(I3093="TDP",VLOOKUP(AF3093,TPCalibEqFull!$AZ$2:$BB$56,3),IF(I3093="TDN",VLOOKUP(AF3093,TNCalibEqFull!$AZ$1:$BB$56,3),IF(I3093="TN",VLOOKUP(AF3093,TNCalibEqFull!$AZ$1:$BB$56,3),FALSE))))</f>
        <v>0</v>
      </c>
      <c r="AV3093" s="10" t="str">
        <f t="shared" si="354"/>
        <v>0215 09:00:00-QAC-STD-G-1-DI-CAL</v>
      </c>
    </row>
    <row r="3094" spans="1:48" s="10" customFormat="1" x14ac:dyDescent="0.55000000000000004">
      <c r="A3094" s="32">
        <v>44972</v>
      </c>
      <c r="B3094" s="33">
        <v>0.375</v>
      </c>
      <c r="C3094" s="10" t="s">
        <v>70</v>
      </c>
      <c r="D3094" s="10" t="s">
        <v>71</v>
      </c>
      <c r="E3094" s="10" t="s">
        <v>550</v>
      </c>
      <c r="F3094" s="10">
        <v>1</v>
      </c>
      <c r="G3094" s="10" t="s">
        <v>73</v>
      </c>
      <c r="H3094" s="10" t="s">
        <v>74</v>
      </c>
      <c r="I3094" s="10" t="s">
        <v>256</v>
      </c>
      <c r="J3094" s="10">
        <v>183</v>
      </c>
      <c r="K3094" s="12">
        <v>44972</v>
      </c>
      <c r="L3094" s="33">
        <v>0.4676967592592593</v>
      </c>
      <c r="M3094" s="10">
        <v>1</v>
      </c>
      <c r="N3094" s="10" t="s">
        <v>169</v>
      </c>
      <c r="O3094" s="10">
        <v>0.45800000000000002</v>
      </c>
      <c r="P3094" s="10">
        <v>2.18E-2</v>
      </c>
      <c r="Q3094" s="10">
        <v>60</v>
      </c>
      <c r="R3094" s="10" t="s">
        <v>77</v>
      </c>
      <c r="S3094" s="34">
        <f t="shared" si="351"/>
        <v>60</v>
      </c>
      <c r="T3094" s="10" t="s">
        <v>1221</v>
      </c>
      <c r="U3094" s="34" t="str">
        <f t="shared" si="352"/>
        <v/>
      </c>
      <c r="V3094" s="31" t="str">
        <f>IF(H3094="CHK",VLOOKUP(I3094,QCCHK,3,),IF(H3094="GUP",VLOOKUP(E3094,QCGUP,2,),IF(AND(H3094="ATP",OR(I3094="TN",I3094="TDN",I3094="TNO2-3",I3094="NO2-3")),VLOOKUP(E3094,QCREC_N,2,),IF(AND(H3094="NIC",OR(I3094="TN",I3094="TDN",I3094="TNO2-3",I3094="NO2-3")),VLOOKUP(E3094,QCNIC_N,2,),IF(AND(H3094="UREA",OR(I3094="TN",I3094="TDN",I3094="TNO2-3",I3094="NO2-3")),VLOOKUP(E3094,QCUREA_N,2,),IF(H3094="PER",VLOOKUP(I3094,QCPER,MATCH(E3094,QCACTUAL!$J$25:$AA$25,0),),IF(H3094="SPK",VLOOKUP(I3094,QCSPK,3,),IF(AND(H3094="ATP",OR(I3094="TP",I3094="TDP")),VLOOKUP(E3094,QCATP_P,2,),""))))))))</f>
        <v/>
      </c>
      <c r="W3094" s="31" t="str">
        <f t="shared" si="353"/>
        <v>TRUE</v>
      </c>
      <c r="X3094" s="31" t="str">
        <f t="shared" si="350"/>
        <v/>
      </c>
      <c r="Y3094" s="10" t="s">
        <v>1206</v>
      </c>
      <c r="AL3094" s="10" t="str">
        <f t="shared" si="348"/>
        <v>FALSE</v>
      </c>
      <c r="AM3094" s="10" t="str">
        <f t="shared" si="348"/>
        <v>FALSE</v>
      </c>
      <c r="AN3094" s="10" t="str">
        <f t="shared" si="348"/>
        <v>FALSE</v>
      </c>
      <c r="AO3094" s="10" t="str">
        <f t="shared" si="349"/>
        <v>FALSE</v>
      </c>
      <c r="AP3094" s="10" t="str">
        <f t="shared" si="349"/>
        <v>FALSE</v>
      </c>
      <c r="AQ3094" s="10" t="b">
        <f>IF(AND(I3094="TP",S3094&lt;=150),VLOOKUP(AF3094,TPCalibEq150!$AZ$2:$BB$55,3,),IF(AND(I3094="TDP",S3094&lt;=150),VLOOKUP(AF3094,TPCalibEq150!$AZ$2:$BB$55,3,)))</f>
        <v>0</v>
      </c>
      <c r="AR3094" s="10" t="b">
        <f>IF(AND(I3094="TP",S3094&lt;=300),VLOOKUP(AF3094,TPCalibEq300!$AZ$2:$BB$55,3,),IF(AND(I3094="TDP",S3094&lt;=300),VLOOKUP(AF3094,TPCalibEq300!$AZ$2:$BB$55,3,)))</f>
        <v>0</v>
      </c>
      <c r="AS3094" s="10" t="b">
        <f>IF(AND(I3094="TP",S3094&lt;=500),VLOOKUP(AF3094,TPCalibEq500!$AZ$2:$BB$56,3,),IF(AND(I3094="TDP",S3094&lt;=500),VLOOKUP(AF3094,TPCalibEq500!$AZ$2:$BB$56,3,)))</f>
        <v>0</v>
      </c>
      <c r="AT3094" s="10" t="b">
        <f>IF(AND(I3094="TN",S3094&lt;=2800),VLOOKUP(AF3094,TNCalibEq2500!$AZ$2:$BB$56,3,),IF(AND(I3094="TDN",S3094&lt;=2800),VLOOKUP(AF3094,TNCalibEq2500!$AZ$2:$BB$56,3,)))</f>
        <v>0</v>
      </c>
      <c r="AU3094" s="10" t="b">
        <f>IF(I3094="TP",VLOOKUP(AF3094,TPCalibEqFull!$AZ$2:$BB$56,3),IF(I3094="TDP",VLOOKUP(AF3094,TPCalibEqFull!$AZ$2:$BB$56,3),IF(I3094="TDN",VLOOKUP(AF3094,TNCalibEqFull!$AZ$1:$BB$56,3),IF(I3094="TN",VLOOKUP(AF3094,TNCalibEqFull!$AZ$1:$BB$56,3),FALSE))))</f>
        <v>0</v>
      </c>
      <c r="AV3094" s="10" t="str">
        <f t="shared" si="354"/>
        <v>0215 09:00:00-QAC-STD-F-1-DI-CAL</v>
      </c>
    </row>
    <row r="3095" spans="1:48" s="10" customFormat="1" x14ac:dyDescent="0.55000000000000004">
      <c r="A3095" s="32">
        <v>44972</v>
      </c>
      <c r="B3095" s="33">
        <v>0.375</v>
      </c>
      <c r="C3095" s="10" t="s">
        <v>70</v>
      </c>
      <c r="D3095" s="10" t="s">
        <v>71</v>
      </c>
      <c r="E3095" s="10" t="s">
        <v>909</v>
      </c>
      <c r="F3095" s="10">
        <v>1</v>
      </c>
      <c r="G3095" s="10" t="s">
        <v>73</v>
      </c>
      <c r="H3095" s="10" t="s">
        <v>74</v>
      </c>
      <c r="I3095" s="10" t="s">
        <v>256</v>
      </c>
      <c r="J3095" s="10">
        <v>184</v>
      </c>
      <c r="K3095" s="12">
        <v>44972</v>
      </c>
      <c r="L3095" s="33">
        <v>0.4685185185185185</v>
      </c>
      <c r="M3095" s="10">
        <v>1</v>
      </c>
      <c r="N3095" s="10" t="s">
        <v>169</v>
      </c>
      <c r="O3095" s="10">
        <v>0.60499999999999998</v>
      </c>
      <c r="P3095" s="10">
        <v>2.86E-2</v>
      </c>
      <c r="Q3095" s="10">
        <v>80</v>
      </c>
      <c r="R3095" s="10" t="s">
        <v>77</v>
      </c>
      <c r="S3095" s="34">
        <f t="shared" si="351"/>
        <v>80</v>
      </c>
      <c r="T3095" s="10" t="s">
        <v>915</v>
      </c>
      <c r="U3095" s="34" t="str">
        <f t="shared" si="352"/>
        <v/>
      </c>
      <c r="V3095" s="31" t="str">
        <f>IF(H3095="CHK",VLOOKUP(I3095,QCCHK,3,),IF(H3095="GUP",VLOOKUP(E3095,QCGUP,2,),IF(AND(H3095="ATP",OR(I3095="TN",I3095="TDN",I3095="TNO2-3",I3095="NO2-3")),VLOOKUP(E3095,QCREC_N,2,),IF(AND(H3095="NIC",OR(I3095="TN",I3095="TDN",I3095="TNO2-3",I3095="NO2-3")),VLOOKUP(E3095,QCNIC_N,2,),IF(AND(H3095="UREA",OR(I3095="TN",I3095="TDN",I3095="TNO2-3",I3095="NO2-3")),VLOOKUP(E3095,QCUREA_N,2,),IF(H3095="PER",VLOOKUP(I3095,QCPER,MATCH(E3095,QCACTUAL!$J$25:$AA$25,0),),IF(H3095="SPK",VLOOKUP(I3095,QCSPK,3,),IF(AND(H3095="ATP",OR(I3095="TP",I3095="TDP")),VLOOKUP(E3095,QCATP_P,2,),""))))))))</f>
        <v/>
      </c>
      <c r="W3095" s="31" t="str">
        <f t="shared" si="353"/>
        <v>TRUE</v>
      </c>
      <c r="X3095" s="31" t="str">
        <f t="shared" si="350"/>
        <v/>
      </c>
      <c r="Y3095" s="10" t="s">
        <v>1206</v>
      </c>
      <c r="AL3095" s="10" t="str">
        <f t="shared" si="348"/>
        <v>FALSE</v>
      </c>
      <c r="AM3095" s="10" t="str">
        <f t="shared" si="348"/>
        <v>FALSE</v>
      </c>
      <c r="AN3095" s="10" t="str">
        <f t="shared" si="348"/>
        <v>FALSE</v>
      </c>
      <c r="AO3095" s="10" t="str">
        <f t="shared" si="349"/>
        <v>FALSE</v>
      </c>
      <c r="AP3095" s="10" t="str">
        <f t="shared" si="349"/>
        <v>FALSE</v>
      </c>
      <c r="AQ3095" s="10" t="b">
        <f>IF(AND(I3095="TP",S3095&lt;=150),VLOOKUP(AF3095,TPCalibEq150!$AZ$2:$BB$55,3,),IF(AND(I3095="TDP",S3095&lt;=150),VLOOKUP(AF3095,TPCalibEq150!$AZ$2:$BB$55,3,)))</f>
        <v>0</v>
      </c>
      <c r="AR3095" s="10" t="b">
        <f>IF(AND(I3095="TP",S3095&lt;=300),VLOOKUP(AF3095,TPCalibEq300!$AZ$2:$BB$55,3,),IF(AND(I3095="TDP",S3095&lt;=300),VLOOKUP(AF3095,TPCalibEq300!$AZ$2:$BB$55,3,)))</f>
        <v>0</v>
      </c>
      <c r="AS3095" s="10" t="b">
        <f>IF(AND(I3095="TP",S3095&lt;=500),VLOOKUP(AF3095,TPCalibEq500!$AZ$2:$BB$56,3,),IF(AND(I3095="TDP",S3095&lt;=500),VLOOKUP(AF3095,TPCalibEq500!$AZ$2:$BB$56,3,)))</f>
        <v>0</v>
      </c>
      <c r="AT3095" s="10" t="b">
        <f>IF(AND(I3095="TN",S3095&lt;=2800),VLOOKUP(AF3095,TNCalibEq2500!$AZ$2:$BB$56,3,),IF(AND(I3095="TDN",S3095&lt;=2800),VLOOKUP(AF3095,TNCalibEq2500!$AZ$2:$BB$56,3,)))</f>
        <v>0</v>
      </c>
      <c r="AU3095" s="10" t="b">
        <f>IF(I3095="TP",VLOOKUP(AF3095,TPCalibEqFull!$AZ$2:$BB$56,3),IF(I3095="TDP",VLOOKUP(AF3095,TPCalibEqFull!$AZ$2:$BB$56,3),IF(I3095="TDN",VLOOKUP(AF3095,TNCalibEqFull!$AZ$1:$BB$56,3),IF(I3095="TN",VLOOKUP(AF3095,TNCalibEqFull!$AZ$1:$BB$56,3),FALSE))))</f>
        <v>0</v>
      </c>
      <c r="AV3095" s="10" t="str">
        <f t="shared" si="354"/>
        <v>0215 09:00:00-QAC-STD-E-1-DI-CAL</v>
      </c>
    </row>
    <row r="3096" spans="1:48" s="10" customFormat="1" x14ac:dyDescent="0.55000000000000004">
      <c r="A3096" s="32">
        <v>44972</v>
      </c>
      <c r="B3096" s="33">
        <v>0.375</v>
      </c>
      <c r="C3096" s="10" t="s">
        <v>70</v>
      </c>
      <c r="D3096" s="10" t="s">
        <v>71</v>
      </c>
      <c r="E3096" s="10" t="s">
        <v>901</v>
      </c>
      <c r="F3096" s="10">
        <v>1</v>
      </c>
      <c r="G3096" s="10" t="s">
        <v>73</v>
      </c>
      <c r="H3096" s="10" t="s">
        <v>74</v>
      </c>
      <c r="I3096" s="10" t="s">
        <v>256</v>
      </c>
      <c r="J3096" s="10">
        <v>185</v>
      </c>
      <c r="K3096" s="12">
        <v>44972</v>
      </c>
      <c r="L3096" s="33">
        <v>0.46934027777777776</v>
      </c>
      <c r="M3096" s="10">
        <v>1</v>
      </c>
      <c r="N3096" s="10" t="s">
        <v>169</v>
      </c>
      <c r="O3096" s="10">
        <v>2.29</v>
      </c>
      <c r="P3096" s="10">
        <v>0.109</v>
      </c>
      <c r="Q3096" s="10">
        <v>300</v>
      </c>
      <c r="R3096" s="10" t="s">
        <v>77</v>
      </c>
      <c r="S3096" s="34">
        <f t="shared" si="351"/>
        <v>300</v>
      </c>
      <c r="T3096" s="10" t="s">
        <v>915</v>
      </c>
      <c r="U3096" s="34" t="str">
        <f t="shared" si="352"/>
        <v/>
      </c>
      <c r="V3096" s="31" t="str">
        <f>IF(H3096="CHK",VLOOKUP(I3096,QCCHK,3,),IF(H3096="GUP",VLOOKUP(E3096,QCGUP,2,),IF(AND(H3096="ATP",OR(I3096="TN",I3096="TDN",I3096="TNO2-3",I3096="NO2-3")),VLOOKUP(E3096,QCREC_N,2,),IF(AND(H3096="NIC",OR(I3096="TN",I3096="TDN",I3096="TNO2-3",I3096="NO2-3")),VLOOKUP(E3096,QCNIC_N,2,),IF(AND(H3096="UREA",OR(I3096="TN",I3096="TDN",I3096="TNO2-3",I3096="NO2-3")),VLOOKUP(E3096,QCUREA_N,2,),IF(H3096="PER",VLOOKUP(I3096,QCPER,MATCH(E3096,QCACTUAL!$J$25:$AA$25,0),),IF(H3096="SPK",VLOOKUP(I3096,QCSPK,3,),IF(AND(H3096="ATP",OR(I3096="TP",I3096="TDP")),VLOOKUP(E3096,QCATP_P,2,),""))))))))</f>
        <v/>
      </c>
      <c r="W3096" s="31" t="str">
        <f t="shared" si="353"/>
        <v>TRUE</v>
      </c>
      <c r="X3096" s="31" t="str">
        <f t="shared" si="350"/>
        <v/>
      </c>
      <c r="Y3096" s="10" t="s">
        <v>1206</v>
      </c>
      <c r="AL3096" s="10" t="str">
        <f t="shared" si="348"/>
        <v>FALSE</v>
      </c>
      <c r="AM3096" s="10" t="str">
        <f t="shared" si="348"/>
        <v>FALSE</v>
      </c>
      <c r="AN3096" s="10" t="str">
        <f t="shared" si="348"/>
        <v>FALSE</v>
      </c>
      <c r="AO3096" s="10" t="str">
        <f t="shared" si="349"/>
        <v>FALSE</v>
      </c>
      <c r="AP3096" s="10" t="str">
        <f t="shared" si="349"/>
        <v>FALSE</v>
      </c>
      <c r="AQ3096" s="10" t="b">
        <f>IF(AND(I3096="TP",S3096&lt;=150),VLOOKUP(AF3096,TPCalibEq150!$AZ$2:$BB$55,3,),IF(AND(I3096="TDP",S3096&lt;=150),VLOOKUP(AF3096,TPCalibEq150!$AZ$2:$BB$55,3,)))</f>
        <v>0</v>
      </c>
      <c r="AR3096" s="10" t="b">
        <f>IF(AND(I3096="TP",S3096&lt;=300),VLOOKUP(AF3096,TPCalibEq300!$AZ$2:$BB$55,3,),IF(AND(I3096="TDP",S3096&lt;=300),VLOOKUP(AF3096,TPCalibEq300!$AZ$2:$BB$55,3,)))</f>
        <v>0</v>
      </c>
      <c r="AS3096" s="10" t="b">
        <f>IF(AND(I3096="TP",S3096&lt;=500),VLOOKUP(AF3096,TPCalibEq500!$AZ$2:$BB$56,3,),IF(AND(I3096="TDP",S3096&lt;=500),VLOOKUP(AF3096,TPCalibEq500!$AZ$2:$BB$56,3,)))</f>
        <v>0</v>
      </c>
      <c r="AT3096" s="10" t="b">
        <f>IF(AND(I3096="TN",S3096&lt;=2800),VLOOKUP(AF3096,TNCalibEq2500!$AZ$2:$BB$56,3,),IF(AND(I3096="TDN",S3096&lt;=2800),VLOOKUP(AF3096,TNCalibEq2500!$AZ$2:$BB$56,3,)))</f>
        <v>0</v>
      </c>
      <c r="AU3096" s="10" t="b">
        <f>IF(I3096="TP",VLOOKUP(AF3096,TPCalibEqFull!$AZ$2:$BB$56,3),IF(I3096="TDP",VLOOKUP(AF3096,TPCalibEqFull!$AZ$2:$BB$56,3),IF(I3096="TDN",VLOOKUP(AF3096,TNCalibEqFull!$AZ$1:$BB$56,3),IF(I3096="TN",VLOOKUP(AF3096,TNCalibEqFull!$AZ$1:$BB$56,3),FALSE))))</f>
        <v>0</v>
      </c>
      <c r="AV3096" s="10" t="str">
        <f t="shared" si="354"/>
        <v>0215 09:00:00-QAC-STD-D-1-DI-CAL</v>
      </c>
    </row>
    <row r="3097" spans="1:48" s="10" customFormat="1" x14ac:dyDescent="0.55000000000000004">
      <c r="A3097" s="32">
        <v>44972</v>
      </c>
      <c r="B3097" s="33">
        <v>0.375</v>
      </c>
      <c r="C3097" s="10" t="s">
        <v>70</v>
      </c>
      <c r="D3097" s="10" t="s">
        <v>71</v>
      </c>
      <c r="E3097" s="10" t="s">
        <v>190</v>
      </c>
      <c r="F3097" s="10">
        <v>1</v>
      </c>
      <c r="G3097" s="10" t="s">
        <v>73</v>
      </c>
      <c r="H3097" s="10" t="s">
        <v>74</v>
      </c>
      <c r="I3097" s="10" t="s">
        <v>256</v>
      </c>
      <c r="J3097" s="10">
        <v>186</v>
      </c>
      <c r="K3097" s="12">
        <v>44972</v>
      </c>
      <c r="L3097" s="33">
        <v>0.47017361111111117</v>
      </c>
      <c r="M3097" s="10">
        <v>1</v>
      </c>
      <c r="N3097" s="10" t="s">
        <v>169</v>
      </c>
      <c r="O3097" s="10">
        <v>4.57</v>
      </c>
      <c r="P3097" s="10">
        <v>0.219</v>
      </c>
      <c r="Q3097" s="10">
        <v>600</v>
      </c>
      <c r="R3097" s="10" t="s">
        <v>77</v>
      </c>
      <c r="S3097" s="34">
        <f t="shared" si="351"/>
        <v>600</v>
      </c>
      <c r="T3097" s="10" t="s">
        <v>915</v>
      </c>
      <c r="U3097" s="34" t="str">
        <f t="shared" si="352"/>
        <v/>
      </c>
      <c r="V3097" s="31" t="str">
        <f>IF(H3097="CHK",VLOOKUP(I3097,QCCHK,3,),IF(H3097="GUP",VLOOKUP(E3097,QCGUP,2,),IF(AND(H3097="ATP",OR(I3097="TN",I3097="TDN",I3097="TNO2-3",I3097="NO2-3")),VLOOKUP(E3097,QCREC_N,2,),IF(AND(H3097="NIC",OR(I3097="TN",I3097="TDN",I3097="TNO2-3",I3097="NO2-3")),VLOOKUP(E3097,QCNIC_N,2,),IF(AND(H3097="UREA",OR(I3097="TN",I3097="TDN",I3097="TNO2-3",I3097="NO2-3")),VLOOKUP(E3097,QCUREA_N,2,),IF(H3097="PER",VLOOKUP(I3097,QCPER,MATCH(E3097,QCACTUAL!$J$25:$AA$25,0),),IF(H3097="SPK",VLOOKUP(I3097,QCSPK,3,),IF(AND(H3097="ATP",OR(I3097="TP",I3097="TDP")),VLOOKUP(E3097,QCATP_P,2,),""))))))))</f>
        <v/>
      </c>
      <c r="W3097" s="31" t="str">
        <f t="shared" si="353"/>
        <v>TRUE</v>
      </c>
      <c r="X3097" s="31" t="str">
        <f t="shared" si="350"/>
        <v/>
      </c>
      <c r="Y3097" s="10" t="s">
        <v>1206</v>
      </c>
      <c r="AL3097" s="10" t="str">
        <f t="shared" si="348"/>
        <v>FALSE</v>
      </c>
      <c r="AM3097" s="10" t="str">
        <f t="shared" si="348"/>
        <v>FALSE</v>
      </c>
      <c r="AN3097" s="10" t="str">
        <f t="shared" si="348"/>
        <v>FALSE</v>
      </c>
      <c r="AO3097" s="10" t="str">
        <f t="shared" si="349"/>
        <v>FALSE</v>
      </c>
      <c r="AP3097" s="10" t="str">
        <f t="shared" si="349"/>
        <v>FALSE</v>
      </c>
      <c r="AQ3097" s="10" t="b">
        <f>IF(AND(I3097="TP",S3097&lt;=150),VLOOKUP(AF3097,TPCalibEq150!$AZ$2:$BB$55,3,),IF(AND(I3097="TDP",S3097&lt;=150),VLOOKUP(AF3097,TPCalibEq150!$AZ$2:$BB$55,3,)))</f>
        <v>0</v>
      </c>
      <c r="AR3097" s="10" t="b">
        <f>IF(AND(I3097="TP",S3097&lt;=300),VLOOKUP(AF3097,TPCalibEq300!$AZ$2:$BB$55,3,),IF(AND(I3097="TDP",S3097&lt;=300),VLOOKUP(AF3097,TPCalibEq300!$AZ$2:$BB$55,3,)))</f>
        <v>0</v>
      </c>
      <c r="AS3097" s="10" t="b">
        <f>IF(AND(I3097="TP",S3097&lt;=500),VLOOKUP(AF3097,TPCalibEq500!$AZ$2:$BB$56,3,),IF(AND(I3097="TDP",S3097&lt;=500),VLOOKUP(AF3097,TPCalibEq500!$AZ$2:$BB$56,3,)))</f>
        <v>0</v>
      </c>
      <c r="AT3097" s="10" t="b">
        <f>IF(AND(I3097="TN",S3097&lt;=2800),VLOOKUP(AF3097,TNCalibEq2500!$AZ$2:$BB$56,3,),IF(AND(I3097="TDN",S3097&lt;=2800),VLOOKUP(AF3097,TNCalibEq2500!$AZ$2:$BB$56,3,)))</f>
        <v>0</v>
      </c>
      <c r="AU3097" s="10" t="b">
        <f>IF(I3097="TP",VLOOKUP(AF3097,TPCalibEqFull!$AZ$2:$BB$56,3),IF(I3097="TDP",VLOOKUP(AF3097,TPCalibEqFull!$AZ$2:$BB$56,3),IF(I3097="TDN",VLOOKUP(AF3097,TNCalibEqFull!$AZ$1:$BB$56,3),IF(I3097="TN",VLOOKUP(AF3097,TNCalibEqFull!$AZ$1:$BB$56,3),FALSE))))</f>
        <v>0</v>
      </c>
      <c r="AV3097" s="10" t="str">
        <f t="shared" si="354"/>
        <v>0215 09:00:00-QAC-STD-C-1-DI-CAL</v>
      </c>
    </row>
    <row r="3098" spans="1:48" s="10" customFormat="1" x14ac:dyDescent="0.55000000000000004">
      <c r="A3098" s="32">
        <v>44972</v>
      </c>
      <c r="B3098" s="33">
        <v>0.375</v>
      </c>
      <c r="C3098" s="10" t="s">
        <v>70</v>
      </c>
      <c r="D3098" s="10" t="s">
        <v>71</v>
      </c>
      <c r="E3098" s="10" t="s">
        <v>583</v>
      </c>
      <c r="F3098" s="10">
        <v>1</v>
      </c>
      <c r="G3098" s="10" t="s">
        <v>73</v>
      </c>
      <c r="H3098" s="10" t="s">
        <v>74</v>
      </c>
      <c r="I3098" s="10" t="s">
        <v>256</v>
      </c>
      <c r="J3098" s="10">
        <v>187</v>
      </c>
      <c r="K3098" s="12">
        <v>44972</v>
      </c>
      <c r="L3098" s="33">
        <v>0.47099537037037037</v>
      </c>
      <c r="M3098" s="10">
        <v>1</v>
      </c>
      <c r="N3098" s="10" t="s">
        <v>169</v>
      </c>
      <c r="O3098" s="10">
        <v>9.3000000000000007</v>
      </c>
      <c r="P3098" s="10">
        <v>0.44600000000000001</v>
      </c>
      <c r="Q3098" s="10">
        <v>1200</v>
      </c>
      <c r="R3098" s="10" t="s">
        <v>77</v>
      </c>
      <c r="S3098" s="34">
        <f t="shared" si="351"/>
        <v>1200</v>
      </c>
      <c r="T3098" s="10" t="s">
        <v>940</v>
      </c>
      <c r="U3098" s="34" t="str">
        <f t="shared" si="352"/>
        <v/>
      </c>
      <c r="V3098" s="31" t="str">
        <f>IF(H3098="CHK",VLOOKUP(I3098,QCCHK,3,),IF(H3098="GUP",VLOOKUP(E3098,QCGUP,2,),IF(AND(H3098="ATP",OR(I3098="TN",I3098="TDN",I3098="TNO2-3",I3098="NO2-3")),VLOOKUP(E3098,QCREC_N,2,),IF(AND(H3098="NIC",OR(I3098="TN",I3098="TDN",I3098="TNO2-3",I3098="NO2-3")),VLOOKUP(E3098,QCNIC_N,2,),IF(AND(H3098="UREA",OR(I3098="TN",I3098="TDN",I3098="TNO2-3",I3098="NO2-3")),VLOOKUP(E3098,QCUREA_N,2,),IF(H3098="PER",VLOOKUP(I3098,QCPER,MATCH(E3098,QCACTUAL!$J$25:$AA$25,0),),IF(H3098="SPK",VLOOKUP(I3098,QCSPK,3,),IF(AND(H3098="ATP",OR(I3098="TP",I3098="TDP")),VLOOKUP(E3098,QCATP_P,2,),""))))))))</f>
        <v/>
      </c>
      <c r="W3098" s="31" t="str">
        <f t="shared" si="353"/>
        <v>TRUE</v>
      </c>
      <c r="X3098" s="31" t="str">
        <f t="shared" si="350"/>
        <v/>
      </c>
      <c r="Y3098" s="10" t="s">
        <v>1206</v>
      </c>
      <c r="AL3098" s="10" t="str">
        <f t="shared" si="348"/>
        <v>FALSE</v>
      </c>
      <c r="AM3098" s="10" t="str">
        <f t="shared" si="348"/>
        <v>FALSE</v>
      </c>
      <c r="AN3098" s="10" t="str">
        <f t="shared" si="348"/>
        <v>FALSE</v>
      </c>
      <c r="AO3098" s="10" t="str">
        <f t="shared" si="349"/>
        <v>FALSE</v>
      </c>
      <c r="AP3098" s="10" t="str">
        <f t="shared" si="349"/>
        <v>FALSE</v>
      </c>
      <c r="AQ3098" s="10" t="b">
        <f>IF(AND(I3098="TP",S3098&lt;=150),VLOOKUP(AF3098,TPCalibEq150!$AZ$2:$BB$55,3,),IF(AND(I3098="TDP",S3098&lt;=150),VLOOKUP(AF3098,TPCalibEq150!$AZ$2:$BB$55,3,)))</f>
        <v>0</v>
      </c>
      <c r="AR3098" s="10" t="b">
        <f>IF(AND(I3098="TP",S3098&lt;=300),VLOOKUP(AF3098,TPCalibEq300!$AZ$2:$BB$55,3,),IF(AND(I3098="TDP",S3098&lt;=300),VLOOKUP(AF3098,TPCalibEq300!$AZ$2:$BB$55,3,)))</f>
        <v>0</v>
      </c>
      <c r="AS3098" s="10" t="b">
        <f>IF(AND(I3098="TP",S3098&lt;=500),VLOOKUP(AF3098,TPCalibEq500!$AZ$2:$BB$56,3,),IF(AND(I3098="TDP",S3098&lt;=500),VLOOKUP(AF3098,TPCalibEq500!$AZ$2:$BB$56,3,)))</f>
        <v>0</v>
      </c>
      <c r="AT3098" s="10" t="b">
        <f>IF(AND(I3098="TN",S3098&lt;=2800),VLOOKUP(AF3098,TNCalibEq2500!$AZ$2:$BB$56,3,),IF(AND(I3098="TDN",S3098&lt;=2800),VLOOKUP(AF3098,TNCalibEq2500!$AZ$2:$BB$56,3,)))</f>
        <v>0</v>
      </c>
      <c r="AU3098" s="10" t="b">
        <f>IF(I3098="TP",VLOOKUP(AF3098,TPCalibEqFull!$AZ$2:$BB$56,3),IF(I3098="TDP",VLOOKUP(AF3098,TPCalibEqFull!$AZ$2:$BB$56,3),IF(I3098="TDN",VLOOKUP(AF3098,TNCalibEqFull!$AZ$1:$BB$56,3),IF(I3098="TN",VLOOKUP(AF3098,TNCalibEqFull!$AZ$1:$BB$56,3),FALSE))))</f>
        <v>0</v>
      </c>
      <c r="AV3098" s="10" t="str">
        <f t="shared" si="354"/>
        <v>0215 09:00:00-QAC-STD-B-1-DI-CAL</v>
      </c>
    </row>
    <row r="3099" spans="1:48" s="10" customFormat="1" x14ac:dyDescent="0.55000000000000004">
      <c r="A3099" s="32">
        <v>44972</v>
      </c>
      <c r="B3099" s="33">
        <v>0.375</v>
      </c>
      <c r="C3099" s="10" t="s">
        <v>70</v>
      </c>
      <c r="D3099" s="10" t="s">
        <v>71</v>
      </c>
      <c r="E3099" s="10" t="s">
        <v>866</v>
      </c>
      <c r="F3099" s="10">
        <v>1</v>
      </c>
      <c r="G3099" s="10" t="s">
        <v>73</v>
      </c>
      <c r="H3099" s="10" t="s">
        <v>74</v>
      </c>
      <c r="I3099" s="10" t="s">
        <v>256</v>
      </c>
      <c r="J3099" s="10">
        <v>188</v>
      </c>
      <c r="K3099" s="12">
        <v>44972</v>
      </c>
      <c r="L3099" s="33">
        <v>0.47181712962962963</v>
      </c>
      <c r="M3099" s="10">
        <v>1</v>
      </c>
      <c r="N3099" s="10" t="s">
        <v>169</v>
      </c>
      <c r="O3099" s="10">
        <v>15.3</v>
      </c>
      <c r="P3099" s="10">
        <v>0.73199999999999998</v>
      </c>
      <c r="Q3099" s="10">
        <v>2000</v>
      </c>
      <c r="R3099" s="10" t="s">
        <v>77</v>
      </c>
      <c r="S3099" s="34">
        <f t="shared" si="351"/>
        <v>2000</v>
      </c>
      <c r="T3099" s="10" t="s">
        <v>915</v>
      </c>
      <c r="U3099" s="34" t="str">
        <f t="shared" si="352"/>
        <v/>
      </c>
      <c r="V3099" s="31" t="str">
        <f>IF(H3099="CHK",VLOOKUP(I3099,QCCHK,3,),IF(H3099="GUP",VLOOKUP(E3099,QCGUP,2,),IF(AND(H3099="ATP",OR(I3099="TN",I3099="TDN",I3099="TNO2-3",I3099="NO2-3")),VLOOKUP(E3099,QCREC_N,2,),IF(AND(H3099="NIC",OR(I3099="TN",I3099="TDN",I3099="TNO2-3",I3099="NO2-3")),VLOOKUP(E3099,QCNIC_N,2,),IF(AND(H3099="UREA",OR(I3099="TN",I3099="TDN",I3099="TNO2-3",I3099="NO2-3")),VLOOKUP(E3099,QCUREA_N,2,),IF(H3099="PER",VLOOKUP(I3099,QCPER,MATCH(E3099,QCACTUAL!$J$25:$AA$25,0),),IF(H3099="SPK",VLOOKUP(I3099,QCSPK,3,),IF(AND(H3099="ATP",OR(I3099="TP",I3099="TDP")),VLOOKUP(E3099,QCATP_P,2,),""))))))))</f>
        <v/>
      </c>
      <c r="W3099" s="31" t="str">
        <f t="shared" si="353"/>
        <v>TRUE</v>
      </c>
      <c r="X3099" s="31" t="str">
        <f t="shared" si="350"/>
        <v/>
      </c>
      <c r="Y3099" s="10" t="s">
        <v>1206</v>
      </c>
      <c r="AL3099" s="10" t="str">
        <f t="shared" si="348"/>
        <v>FALSE</v>
      </c>
      <c r="AM3099" s="10" t="str">
        <f t="shared" si="348"/>
        <v>FALSE</v>
      </c>
      <c r="AN3099" s="10" t="str">
        <f t="shared" si="348"/>
        <v>FALSE</v>
      </c>
      <c r="AO3099" s="10" t="str">
        <f t="shared" si="349"/>
        <v>FALSE</v>
      </c>
      <c r="AP3099" s="10" t="str">
        <f t="shared" si="349"/>
        <v>FALSE</v>
      </c>
      <c r="AQ3099" s="10" t="b">
        <f>IF(AND(I3099="TP",S3099&lt;=150),VLOOKUP(AF3099,TPCalibEq150!$AZ$2:$BB$55,3,),IF(AND(I3099="TDP",S3099&lt;=150),VLOOKUP(AF3099,TPCalibEq150!$AZ$2:$BB$55,3,)))</f>
        <v>0</v>
      </c>
      <c r="AR3099" s="10" t="b">
        <f>IF(AND(I3099="TP",S3099&lt;=300),VLOOKUP(AF3099,TPCalibEq300!$AZ$2:$BB$55,3,),IF(AND(I3099="TDP",S3099&lt;=300),VLOOKUP(AF3099,TPCalibEq300!$AZ$2:$BB$55,3,)))</f>
        <v>0</v>
      </c>
      <c r="AS3099" s="10" t="b">
        <f>IF(AND(I3099="TP",S3099&lt;=500),VLOOKUP(AF3099,TPCalibEq500!$AZ$2:$BB$56,3,),IF(AND(I3099="TDP",S3099&lt;=500),VLOOKUP(AF3099,TPCalibEq500!$AZ$2:$BB$56,3,)))</f>
        <v>0</v>
      </c>
      <c r="AT3099" s="10" t="b">
        <f>IF(AND(I3099="TN",S3099&lt;=2800),VLOOKUP(AF3099,TNCalibEq2500!$AZ$2:$BB$56,3,),IF(AND(I3099="TDN",S3099&lt;=2800),VLOOKUP(AF3099,TNCalibEq2500!$AZ$2:$BB$56,3,)))</f>
        <v>0</v>
      </c>
      <c r="AU3099" s="10" t="b">
        <f>IF(I3099="TP",VLOOKUP(AF3099,TPCalibEqFull!$AZ$2:$BB$56,3),IF(I3099="TDP",VLOOKUP(AF3099,TPCalibEqFull!$AZ$2:$BB$56,3),IF(I3099="TDN",VLOOKUP(AF3099,TNCalibEqFull!$AZ$1:$BB$56,3),IF(I3099="TN",VLOOKUP(AF3099,TNCalibEqFull!$AZ$1:$BB$56,3),FALSE))))</f>
        <v>0</v>
      </c>
      <c r="AV3099" s="10" t="str">
        <f t="shared" si="354"/>
        <v>0215 09:00:00-QAC-STD-A-1-DI-CAL</v>
      </c>
    </row>
    <row r="3100" spans="1:48" s="10" customFormat="1" x14ac:dyDescent="0.55000000000000004">
      <c r="A3100" s="32">
        <v>44972</v>
      </c>
      <c r="B3100" s="33">
        <v>0.375</v>
      </c>
      <c r="C3100" s="10" t="s">
        <v>70</v>
      </c>
      <c r="D3100" s="10" t="s">
        <v>241</v>
      </c>
      <c r="E3100" s="10" t="s">
        <v>866</v>
      </c>
      <c r="F3100" s="10">
        <v>1</v>
      </c>
      <c r="G3100" s="10" t="s">
        <v>73</v>
      </c>
      <c r="H3100" s="10" t="s">
        <v>283</v>
      </c>
      <c r="I3100" s="10" t="s">
        <v>256</v>
      </c>
      <c r="J3100" s="10">
        <v>198</v>
      </c>
      <c r="K3100" s="12">
        <v>44972</v>
      </c>
      <c r="L3100" s="33">
        <v>0.47344907407407405</v>
      </c>
      <c r="M3100" s="10">
        <v>1</v>
      </c>
      <c r="N3100" s="10" t="s">
        <v>169</v>
      </c>
      <c r="O3100" s="10">
        <v>1.49E-2</v>
      </c>
      <c r="P3100" s="10">
        <v>9.3099999999999997E-4</v>
      </c>
      <c r="Q3100" s="10">
        <v>1.95</v>
      </c>
      <c r="R3100" s="10" t="s">
        <v>77</v>
      </c>
      <c r="S3100" s="34">
        <f t="shared" si="351"/>
        <v>1.95</v>
      </c>
      <c r="T3100" s="10" t="s">
        <v>915</v>
      </c>
      <c r="U3100" s="34">
        <f t="shared" si="352"/>
        <v>1.95</v>
      </c>
      <c r="V3100" s="31" t="str">
        <f>IF(H3100="CHK",VLOOKUP(I3100,QCCHK,3,),IF(H3100="GUP",VLOOKUP(E3100,QCGUP,2,),IF(AND(H3100="ATP",OR(I3100="TN",I3100="TDN",I3100="TNO2-3",I3100="NO2-3")),VLOOKUP(E3100,QCREC_N,2,),IF(AND(H3100="NIC",OR(I3100="TN",I3100="TDN",I3100="TNO2-3",I3100="NO2-3")),VLOOKUP(E3100,QCNIC_N,2,),IF(AND(H3100="UREA",OR(I3100="TN",I3100="TDN",I3100="TNO2-3",I3100="NO2-3")),VLOOKUP(E3100,QCUREA_N,2,),IF(H3100="PER",VLOOKUP(I3100,QCPER,MATCH(E3100,QCACTUAL!$J$25:$AA$25,0),),IF(H3100="SPK",VLOOKUP(I3100,QCSPK,3,),IF(AND(H3100="ATP",OR(I3100="TP",I3100="TDP")),VLOOKUP(E3100,QCATP_P,2,),""))))))))</f>
        <v/>
      </c>
      <c r="W3100" s="31" t="str">
        <f t="shared" si="353"/>
        <v>TRUE</v>
      </c>
      <c r="X3100" s="31" t="str">
        <f t="shared" si="350"/>
        <v>nominal concentration</v>
      </c>
      <c r="Y3100" s="10" t="s">
        <v>1206</v>
      </c>
      <c r="AL3100" s="10" t="str">
        <f t="shared" si="348"/>
        <v>FALSE</v>
      </c>
      <c r="AM3100" s="10" t="str">
        <f t="shared" si="348"/>
        <v>FALSE</v>
      </c>
      <c r="AN3100" s="10" t="str">
        <f t="shared" si="348"/>
        <v>FALSE</v>
      </c>
      <c r="AO3100" s="10" t="str">
        <f t="shared" si="349"/>
        <v>FALSE</v>
      </c>
      <c r="AP3100" s="10" t="str">
        <f t="shared" si="349"/>
        <v>FALSE</v>
      </c>
      <c r="AQ3100" s="10" t="b">
        <f>IF(AND(I3100="TP",S3100&lt;=150),VLOOKUP(AF3100,TPCalibEq150!$AZ$2:$BB$55,3,),IF(AND(I3100="TDP",S3100&lt;=150),VLOOKUP(AF3100,TPCalibEq150!$AZ$2:$BB$55,3,)))</f>
        <v>0</v>
      </c>
      <c r="AR3100" s="10" t="b">
        <f>IF(AND(I3100="TP",S3100&lt;=300),VLOOKUP(AF3100,TPCalibEq300!$AZ$2:$BB$55,3,),IF(AND(I3100="TDP",S3100&lt;=300),VLOOKUP(AF3100,TPCalibEq300!$AZ$2:$BB$55,3,)))</f>
        <v>0</v>
      </c>
      <c r="AS3100" s="10" t="b">
        <f>IF(AND(I3100="TP",S3100&lt;=500),VLOOKUP(AF3100,TPCalibEq500!$AZ$2:$BB$56,3,),IF(AND(I3100="TDP",S3100&lt;=500),VLOOKUP(AF3100,TPCalibEq500!$AZ$2:$BB$56,3,)))</f>
        <v>0</v>
      </c>
      <c r="AT3100" s="10" t="b">
        <f>IF(AND(I3100="TN",S3100&lt;=2800),VLOOKUP(AF3100,TNCalibEq2500!$AZ$2:$BB$56,3,),IF(AND(I3100="TDN",S3100&lt;=2800),VLOOKUP(AF3100,TNCalibEq2500!$AZ$2:$BB$56,3,)))</f>
        <v>0</v>
      </c>
      <c r="AU3100" s="10" t="b">
        <f>IF(I3100="TP",VLOOKUP(AF3100,TPCalibEqFull!$AZ$2:$BB$56,3),IF(I3100="TDP",VLOOKUP(AF3100,TPCalibEqFull!$AZ$2:$BB$56,3),IF(I3100="TDN",VLOOKUP(AF3100,TNCalibEqFull!$AZ$1:$BB$56,3),IF(I3100="TN",VLOOKUP(AF3100,TNCalibEqFull!$AZ$1:$BB$56,3),FALSE))))</f>
        <v>0</v>
      </c>
      <c r="AV3100" s="10" t="str">
        <f t="shared" si="354"/>
        <v>0215 09:00:00-QAC-BLK-A-1-DI-LAB</v>
      </c>
    </row>
    <row r="3101" spans="1:48" s="10" customFormat="1" x14ac:dyDescent="0.55000000000000004">
      <c r="A3101" s="32">
        <v>44972</v>
      </c>
      <c r="B3101" s="33">
        <v>0.375</v>
      </c>
      <c r="C3101" s="10" t="s">
        <v>70</v>
      </c>
      <c r="D3101" s="10" t="s">
        <v>241</v>
      </c>
      <c r="E3101" s="10" t="s">
        <v>866</v>
      </c>
      <c r="F3101" s="10">
        <v>1</v>
      </c>
      <c r="G3101" s="10" t="s">
        <v>73</v>
      </c>
      <c r="H3101" s="10" t="s">
        <v>314</v>
      </c>
      <c r="I3101" s="10" t="s">
        <v>256</v>
      </c>
      <c r="J3101" s="10">
        <v>225</v>
      </c>
      <c r="K3101" s="12">
        <v>44972</v>
      </c>
      <c r="L3101" s="33">
        <v>0.47427083333333336</v>
      </c>
      <c r="M3101" s="10">
        <v>1</v>
      </c>
      <c r="N3101" s="10" t="s">
        <v>169</v>
      </c>
      <c r="O3101" s="10">
        <v>5.24</v>
      </c>
      <c r="P3101" s="10">
        <v>0.25</v>
      </c>
      <c r="Q3101" s="10">
        <v>684</v>
      </c>
      <c r="R3101" s="10" t="s">
        <v>77</v>
      </c>
      <c r="S3101" s="34">
        <f t="shared" si="351"/>
        <v>684</v>
      </c>
      <c r="T3101" s="10" t="s">
        <v>915</v>
      </c>
      <c r="U3101" s="34">
        <f t="shared" si="352"/>
        <v>109.128</v>
      </c>
      <c r="V3101" s="31">
        <f>IF(H3101="CHK",VLOOKUP(I3101,QCCHK,3,),IF(H3101="GUP",VLOOKUP(E3101,QCGUP,2,),IF(AND(H3101="ATP",OR(I3101="TN",I3101="TDN",I3101="TNO2-3",I3101="NO2-3")),VLOOKUP(E3101,QCREC_N,2,),IF(AND(H3101="NIC",OR(I3101="TN",I3101="TDN",I3101="TNO2-3",I3101="NO2-3")),VLOOKUP(E3101,QCNIC_N,2,),IF(AND(H3101="UREA",OR(I3101="TN",I3101="TDN",I3101="TNO2-3",I3101="NO2-3")),VLOOKUP(E3101,QCUREA_N,2,),IF(H3101="PER",VLOOKUP(I3101,QCPER,MATCH(E3101,QCACTUAL!$J$25:$AA$25,0),),IF(H3101="SPK",VLOOKUP(I3101,QCSPK,3,),IF(AND(H3101="ATP",OR(I3101="TP",I3101="TDP")),VLOOKUP(E3101,QCATP_P,2,),""))))))))</f>
        <v>625</v>
      </c>
      <c r="W3101" s="31" t="str">
        <f t="shared" si="353"/>
        <v>TRUE</v>
      </c>
      <c r="X3101" s="31" t="str">
        <f t="shared" si="350"/>
        <v>([spikedunkn]-[unkn])/[spike]*100</v>
      </c>
      <c r="Y3101" s="10" t="s">
        <v>1206</v>
      </c>
      <c r="AL3101" s="10" t="str">
        <f t="shared" si="348"/>
        <v>FALSE</v>
      </c>
      <c r="AM3101" s="10" t="str">
        <f t="shared" si="348"/>
        <v>FALSE</v>
      </c>
      <c r="AN3101" s="10" t="str">
        <f t="shared" si="348"/>
        <v>FALSE</v>
      </c>
      <c r="AO3101" s="10" t="str">
        <f t="shared" si="349"/>
        <v>FALSE</v>
      </c>
      <c r="AP3101" s="10" t="str">
        <f t="shared" si="349"/>
        <v>FALSE</v>
      </c>
      <c r="AQ3101" s="10" t="b">
        <f>IF(AND(I3101="TP",S3101&lt;=150),VLOOKUP(AF3101,TPCalibEq150!$AZ$2:$BB$55,3,),IF(AND(I3101="TDP",S3101&lt;=150),VLOOKUP(AF3101,TPCalibEq150!$AZ$2:$BB$55,3,)))</f>
        <v>0</v>
      </c>
      <c r="AR3101" s="10" t="b">
        <f>IF(AND(I3101="TP",S3101&lt;=300),VLOOKUP(AF3101,TPCalibEq300!$AZ$2:$BB$55,3,),IF(AND(I3101="TDP",S3101&lt;=300),VLOOKUP(AF3101,TPCalibEq300!$AZ$2:$BB$55,3,)))</f>
        <v>0</v>
      </c>
      <c r="AS3101" s="10" t="b">
        <f>IF(AND(I3101="TP",S3101&lt;=500),VLOOKUP(AF3101,TPCalibEq500!$AZ$2:$BB$56,3,),IF(AND(I3101="TDP",S3101&lt;=500),VLOOKUP(AF3101,TPCalibEq500!$AZ$2:$BB$56,3,)))</f>
        <v>0</v>
      </c>
      <c r="AT3101" s="10" t="b">
        <f>IF(AND(I3101="TN",S3101&lt;=2800),VLOOKUP(AF3101,TNCalibEq2500!$AZ$2:$BB$56,3,),IF(AND(I3101="TDN",S3101&lt;=2800),VLOOKUP(AF3101,TNCalibEq2500!$AZ$2:$BB$56,3,)))</f>
        <v>0</v>
      </c>
      <c r="AU3101" s="10" t="b">
        <f>IF(I3101="TP",VLOOKUP(AF3101,TPCalibEqFull!$AZ$2:$BB$56,3),IF(I3101="TDP",VLOOKUP(AF3101,TPCalibEqFull!$AZ$2:$BB$56,3),IF(I3101="TDN",VLOOKUP(AF3101,TNCalibEqFull!$AZ$1:$BB$56,3),IF(I3101="TN",VLOOKUP(AF3101,TNCalibEqFull!$AZ$1:$BB$56,3),FALSE))))</f>
        <v>0</v>
      </c>
      <c r="AV3101" s="10" t="str">
        <f t="shared" si="354"/>
        <v>0215 09:00:00-QAC-BLK-A-1-DI-SPK</v>
      </c>
    </row>
    <row r="3102" spans="1:48" s="10" customFormat="1" x14ac:dyDescent="0.55000000000000004">
      <c r="A3102" s="32">
        <v>44970</v>
      </c>
      <c r="B3102" s="33">
        <v>0.25</v>
      </c>
      <c r="C3102" s="10" t="s">
        <v>70</v>
      </c>
      <c r="D3102" s="10" t="s">
        <v>241</v>
      </c>
      <c r="E3102" s="10" t="s">
        <v>866</v>
      </c>
      <c r="F3102" s="10">
        <v>1</v>
      </c>
      <c r="G3102" s="10" t="s">
        <v>73</v>
      </c>
      <c r="H3102" s="10" t="s">
        <v>264</v>
      </c>
      <c r="I3102" s="10" t="s">
        <v>256</v>
      </c>
      <c r="J3102" s="10">
        <v>55</v>
      </c>
      <c r="K3102" s="12">
        <v>44972</v>
      </c>
      <c r="L3102" s="33">
        <v>0.47836805555555556</v>
      </c>
      <c r="M3102" s="10">
        <v>1</v>
      </c>
      <c r="N3102" s="10" t="s">
        <v>169</v>
      </c>
      <c r="O3102" s="10">
        <v>5.4400000000000004E-3</v>
      </c>
      <c r="P3102" s="10">
        <v>6.78E-4</v>
      </c>
      <c r="Q3102" s="10">
        <v>0.71099999999999997</v>
      </c>
      <c r="R3102" s="10" t="s">
        <v>77</v>
      </c>
      <c r="S3102" s="34">
        <f t="shared" si="351"/>
        <v>0.71099999999999997</v>
      </c>
      <c r="T3102" s="10" t="s">
        <v>915</v>
      </c>
      <c r="U3102" s="34">
        <f t="shared" si="352"/>
        <v>0.71099999999999997</v>
      </c>
      <c r="V3102" s="31" t="str">
        <f>IF(H3102="CHK",VLOOKUP(I3102,QCCHK,3,),IF(H3102="GUP",VLOOKUP(E3102,QCGUP,2,),IF(AND(H3102="ATP",OR(I3102="TN",I3102="TDN",I3102="TNO2-3",I3102="NO2-3")),VLOOKUP(E3102,QCREC_N,2,),IF(AND(H3102="NIC",OR(I3102="TN",I3102="TDN",I3102="TNO2-3",I3102="NO2-3")),VLOOKUP(E3102,QCNIC_N,2,),IF(AND(H3102="UREA",OR(I3102="TN",I3102="TDN",I3102="TNO2-3",I3102="NO2-3")),VLOOKUP(E3102,QCUREA_N,2,),IF(H3102="PER",VLOOKUP(I3102,QCPER,MATCH(E3102,QCACTUAL!$J$25:$AA$25,0),),IF(H3102="SPK",VLOOKUP(I3102,QCSPK,3,),IF(AND(H3102="ATP",OR(I3102="TP",I3102="TDP")),VLOOKUP(E3102,QCATP_P,2,),""))))))))</f>
        <v/>
      </c>
      <c r="W3102" s="31" t="str">
        <f t="shared" si="353"/>
        <v>TRUE</v>
      </c>
      <c r="X3102" s="31" t="str">
        <f t="shared" si="350"/>
        <v>nominal concentration</v>
      </c>
      <c r="Y3102" s="10" t="s">
        <v>1206</v>
      </c>
      <c r="Z3102" s="10" t="s">
        <v>910</v>
      </c>
      <c r="AL3102" s="10" t="str">
        <f t="shared" si="348"/>
        <v>FALSE</v>
      </c>
      <c r="AM3102" s="10" t="str">
        <f t="shared" si="348"/>
        <v>FALSE</v>
      </c>
      <c r="AN3102" s="10" t="str">
        <f t="shared" si="348"/>
        <v>FALSE</v>
      </c>
      <c r="AO3102" s="10" t="str">
        <f t="shared" si="349"/>
        <v>FALSE</v>
      </c>
      <c r="AP3102" s="10" t="str">
        <f t="shared" si="349"/>
        <v>FALSE</v>
      </c>
      <c r="AQ3102" s="10" t="b">
        <f>IF(AND(I3102="TP",S3102&lt;=150),VLOOKUP(AF3102,TPCalibEq150!$AZ$2:$BB$55,3,),IF(AND(I3102="TDP",S3102&lt;=150),VLOOKUP(AF3102,TPCalibEq150!$AZ$2:$BB$55,3,)))</f>
        <v>0</v>
      </c>
      <c r="AR3102" s="10" t="b">
        <f>IF(AND(I3102="TP",S3102&lt;=300),VLOOKUP(AF3102,TPCalibEq300!$AZ$2:$BB$55,3,),IF(AND(I3102="TDP",S3102&lt;=300),VLOOKUP(AF3102,TPCalibEq300!$AZ$2:$BB$55,3,)))</f>
        <v>0</v>
      </c>
      <c r="AS3102" s="10" t="b">
        <f>IF(AND(I3102="TP",S3102&lt;=500),VLOOKUP(AF3102,TPCalibEq500!$AZ$2:$BB$56,3,),IF(AND(I3102="TDP",S3102&lt;=500),VLOOKUP(AF3102,TPCalibEq500!$AZ$2:$BB$56,3,)))</f>
        <v>0</v>
      </c>
      <c r="AT3102" s="10" t="b">
        <f>IF(AND(I3102="TN",S3102&lt;=2800),VLOOKUP(AF3102,TNCalibEq2500!$AZ$2:$BB$56,3,),IF(AND(I3102="TDN",S3102&lt;=2800),VLOOKUP(AF3102,TNCalibEq2500!$AZ$2:$BB$56,3,)))</f>
        <v>0</v>
      </c>
      <c r="AU3102" s="10" t="b">
        <f>IF(I3102="TP",VLOOKUP(AF3102,TPCalibEqFull!$AZ$2:$BB$56,3),IF(I3102="TDP",VLOOKUP(AF3102,TPCalibEqFull!$AZ$2:$BB$56,3),IF(I3102="TDN",VLOOKUP(AF3102,TNCalibEqFull!$AZ$1:$BB$56,3),IF(I3102="TN",VLOOKUP(AF3102,TNCalibEqFull!$AZ$1:$BB$56,3),FALSE))))</f>
        <v>0</v>
      </c>
      <c r="AV3102" s="10" t="str">
        <f t="shared" si="354"/>
        <v>0213 06:00:00-QAC-BLK-A-1-DI-FLD</v>
      </c>
    </row>
    <row r="3103" spans="1:48" s="10" customFormat="1" x14ac:dyDescent="0.55000000000000004">
      <c r="A3103" s="32">
        <v>44971</v>
      </c>
      <c r="B3103" s="33">
        <v>0.30208333333333331</v>
      </c>
      <c r="C3103" s="10" t="s">
        <v>70</v>
      </c>
      <c r="D3103" s="10" t="s">
        <v>241</v>
      </c>
      <c r="E3103" s="10" t="s">
        <v>866</v>
      </c>
      <c r="F3103" s="10">
        <v>1</v>
      </c>
      <c r="G3103" s="10" t="s">
        <v>73</v>
      </c>
      <c r="H3103" s="10" t="s">
        <v>245</v>
      </c>
      <c r="I3103" s="10" t="s">
        <v>256</v>
      </c>
      <c r="J3103" s="10">
        <v>56</v>
      </c>
      <c r="K3103" s="12">
        <v>44972</v>
      </c>
      <c r="L3103" s="33">
        <v>0.47917824074074072</v>
      </c>
      <c r="M3103" s="10">
        <v>1</v>
      </c>
      <c r="N3103" s="10" t="s">
        <v>169</v>
      </c>
      <c r="O3103" s="10">
        <v>7.1000000000000004E-3</v>
      </c>
      <c r="P3103" s="10">
        <v>8.2899999999999998E-4</v>
      </c>
      <c r="Q3103" s="10">
        <v>0.92700000000000005</v>
      </c>
      <c r="R3103" s="10" t="s">
        <v>77</v>
      </c>
      <c r="S3103" s="34">
        <f t="shared" si="351"/>
        <v>0.92700000000000005</v>
      </c>
      <c r="T3103" s="10" t="s">
        <v>915</v>
      </c>
      <c r="U3103" s="34">
        <f t="shared" si="352"/>
        <v>0.92700000000000005</v>
      </c>
      <c r="V3103" s="31" t="str">
        <f>IF(H3103="CHK",VLOOKUP(I3103,QCCHK,3,),IF(H3103="GUP",VLOOKUP(E3103,QCGUP,2,),IF(AND(H3103="ATP",OR(I3103="TN",I3103="TDN",I3103="TNO2-3",I3103="NO2-3")),VLOOKUP(E3103,QCREC_N,2,),IF(AND(H3103="NIC",OR(I3103="TN",I3103="TDN",I3103="TNO2-3",I3103="NO2-3")),VLOOKUP(E3103,QCNIC_N,2,),IF(AND(H3103="UREA",OR(I3103="TN",I3103="TDN",I3103="TNO2-3",I3103="NO2-3")),VLOOKUP(E3103,QCUREA_N,2,),IF(H3103="PER",VLOOKUP(I3103,QCPER,MATCH(E3103,QCACTUAL!$J$25:$AA$25,0),),IF(H3103="SPK",VLOOKUP(I3103,QCSPK,3,),IF(AND(H3103="ATP",OR(I3103="TP",I3103="TDP")),VLOOKUP(E3103,QCATP_P,2,),""))))))))</f>
        <v/>
      </c>
      <c r="W3103" s="31" t="str">
        <f t="shared" si="353"/>
        <v>TRUE</v>
      </c>
      <c r="X3103" s="31" t="str">
        <f t="shared" si="350"/>
        <v>nominal concentration</v>
      </c>
      <c r="Y3103" s="10" t="s">
        <v>1206</v>
      </c>
      <c r="AL3103" s="10" t="str">
        <f t="shared" si="348"/>
        <v>FALSE</v>
      </c>
      <c r="AM3103" s="10" t="str">
        <f t="shared" si="348"/>
        <v>FALSE</v>
      </c>
      <c r="AN3103" s="10" t="str">
        <f t="shared" si="348"/>
        <v>FALSE</v>
      </c>
      <c r="AO3103" s="10" t="str">
        <f t="shared" si="349"/>
        <v>FALSE</v>
      </c>
      <c r="AP3103" s="10" t="str">
        <f t="shared" si="349"/>
        <v>FALSE</v>
      </c>
      <c r="AQ3103" s="10" t="b">
        <f>IF(AND(I3103="TP",S3103&lt;=150),VLOOKUP(AF3103,TPCalibEq150!$AZ$2:$BB$55,3,),IF(AND(I3103="TDP",S3103&lt;=150),VLOOKUP(AF3103,TPCalibEq150!$AZ$2:$BB$55,3,)))</f>
        <v>0</v>
      </c>
      <c r="AR3103" s="10" t="b">
        <f>IF(AND(I3103="TP",S3103&lt;=300),VLOOKUP(AF3103,TPCalibEq300!$AZ$2:$BB$55,3,),IF(AND(I3103="TDP",S3103&lt;=300),VLOOKUP(AF3103,TPCalibEq300!$AZ$2:$BB$55,3,)))</f>
        <v>0</v>
      </c>
      <c r="AS3103" s="10" t="b">
        <f>IF(AND(I3103="TP",S3103&lt;=500),VLOOKUP(AF3103,TPCalibEq500!$AZ$2:$BB$56,3,),IF(AND(I3103="TDP",S3103&lt;=500),VLOOKUP(AF3103,TPCalibEq500!$AZ$2:$BB$56,3,)))</f>
        <v>0</v>
      </c>
      <c r="AT3103" s="10" t="b">
        <f>IF(AND(I3103="TN",S3103&lt;=2800),VLOOKUP(AF3103,TNCalibEq2500!$AZ$2:$BB$56,3,),IF(AND(I3103="TDN",S3103&lt;=2800),VLOOKUP(AF3103,TNCalibEq2500!$AZ$2:$BB$56,3,)))</f>
        <v>0</v>
      </c>
      <c r="AU3103" s="10" t="b">
        <f>IF(I3103="TP",VLOOKUP(AF3103,TPCalibEqFull!$AZ$2:$BB$56,3),IF(I3103="TDP",VLOOKUP(AF3103,TPCalibEqFull!$AZ$2:$BB$56,3),IF(I3103="TDN",VLOOKUP(AF3103,TNCalibEqFull!$AZ$1:$BB$56,3),IF(I3103="TN",VLOOKUP(AF3103,TNCalibEqFull!$AZ$1:$BB$56,3),FALSE))))</f>
        <v>0</v>
      </c>
      <c r="AV3103" s="10" t="str">
        <f t="shared" si="354"/>
        <v>0214 07:15:00-QAC-BLK-A-1-DI-ESF</v>
      </c>
    </row>
    <row r="3104" spans="1:48" s="10" customFormat="1" x14ac:dyDescent="0.55000000000000004">
      <c r="A3104" s="32">
        <v>44970</v>
      </c>
      <c r="B3104" s="33">
        <v>0.25</v>
      </c>
      <c r="C3104" s="10" t="s">
        <v>70</v>
      </c>
      <c r="D3104" s="10" t="s">
        <v>241</v>
      </c>
      <c r="E3104" s="10" t="s">
        <v>911</v>
      </c>
      <c r="F3104" s="10">
        <v>1</v>
      </c>
      <c r="G3104" s="10" t="s">
        <v>73</v>
      </c>
      <c r="H3104" s="10" t="s">
        <v>264</v>
      </c>
      <c r="I3104" s="10" t="s">
        <v>209</v>
      </c>
      <c r="J3104" s="10">
        <v>57</v>
      </c>
      <c r="K3104" s="12">
        <v>44972</v>
      </c>
      <c r="L3104" s="33">
        <v>0.47998842592592594</v>
      </c>
      <c r="M3104" s="10">
        <v>1</v>
      </c>
      <c r="N3104" s="10" t="s">
        <v>169</v>
      </c>
      <c r="O3104" s="10">
        <v>5.5199999999999997E-3</v>
      </c>
      <c r="P3104" s="10">
        <v>8.8900000000000003E-4</v>
      </c>
      <c r="Q3104" s="10">
        <v>0.72099999999999997</v>
      </c>
      <c r="R3104" s="10" t="s">
        <v>77</v>
      </c>
      <c r="S3104" s="34">
        <f t="shared" si="351"/>
        <v>0.72099999999999997</v>
      </c>
      <c r="T3104" s="10" t="s">
        <v>915</v>
      </c>
      <c r="U3104" s="34">
        <f t="shared" si="352"/>
        <v>0.72099999999999997</v>
      </c>
      <c r="V3104" s="31" t="str">
        <f>IF(H3104="CHK",VLOOKUP(I3104,QCCHK,3,),IF(H3104="GUP",VLOOKUP(E3104,QCGUP,2,),IF(AND(H3104="ATP",OR(I3104="TN",I3104="TDN",I3104="TNO2-3",I3104="NO2-3")),VLOOKUP(E3104,QCREC_N,2,),IF(AND(H3104="NIC",OR(I3104="TN",I3104="TDN",I3104="TNO2-3",I3104="NO2-3")),VLOOKUP(E3104,QCNIC_N,2,),IF(AND(H3104="UREA",OR(I3104="TN",I3104="TDN",I3104="TNO2-3",I3104="NO2-3")),VLOOKUP(E3104,QCUREA_N,2,),IF(H3104="PER",VLOOKUP(I3104,QCPER,MATCH(E3104,QCACTUAL!$J$25:$AA$25,0),),IF(H3104="SPK",VLOOKUP(I3104,QCSPK,3,),IF(AND(H3104="ATP",OR(I3104="TP",I3104="TDP")),VLOOKUP(E3104,QCATP_P,2,),""))))))))</f>
        <v/>
      </c>
      <c r="W3104" s="31" t="str">
        <f t="shared" si="353"/>
        <v>TRUE</v>
      </c>
      <c r="X3104" s="31" t="str">
        <f t="shared" si="350"/>
        <v>nominal concentration</v>
      </c>
      <c r="Y3104" s="10" t="s">
        <v>1206</v>
      </c>
      <c r="Z3104" s="10" t="s">
        <v>910</v>
      </c>
      <c r="AL3104" s="10" t="str">
        <f t="shared" si="348"/>
        <v>FALSE</v>
      </c>
      <c r="AM3104" s="10" t="str">
        <f t="shared" si="348"/>
        <v>FALSE</v>
      </c>
      <c r="AN3104" s="10" t="str">
        <f t="shared" si="348"/>
        <v>FALSE</v>
      </c>
      <c r="AO3104" s="10" t="str">
        <f t="shared" si="349"/>
        <v>FALSE</v>
      </c>
      <c r="AP3104" s="10" t="str">
        <f t="shared" si="349"/>
        <v>FALSE</v>
      </c>
      <c r="AQ3104" s="10" t="b">
        <f>IF(AND(I3104="TP",S3104&lt;=150),VLOOKUP(AF3104,TPCalibEq150!$AZ$2:$BB$55,3,),IF(AND(I3104="TDP",S3104&lt;=150),VLOOKUP(AF3104,TPCalibEq150!$AZ$2:$BB$55,3,)))</f>
        <v>0</v>
      </c>
      <c r="AR3104" s="10" t="b">
        <f>IF(AND(I3104="TP",S3104&lt;=300),VLOOKUP(AF3104,TPCalibEq300!$AZ$2:$BB$55,3,),IF(AND(I3104="TDP",S3104&lt;=300),VLOOKUP(AF3104,TPCalibEq300!$AZ$2:$BB$55,3,)))</f>
        <v>0</v>
      </c>
      <c r="AS3104" s="10" t="b">
        <f>IF(AND(I3104="TP",S3104&lt;=500),VLOOKUP(AF3104,TPCalibEq500!$AZ$2:$BB$56,3,),IF(AND(I3104="TDP",S3104&lt;=500),VLOOKUP(AF3104,TPCalibEq500!$AZ$2:$BB$56,3,)))</f>
        <v>0</v>
      </c>
      <c r="AT3104" s="10" t="b">
        <f>IF(AND(I3104="TN",S3104&lt;=2800),VLOOKUP(AF3104,TNCalibEq2500!$AZ$2:$BB$56,3,),IF(AND(I3104="TDN",S3104&lt;=2800),VLOOKUP(AF3104,TNCalibEq2500!$AZ$2:$BB$56,3,)))</f>
        <v>0</v>
      </c>
      <c r="AU3104" s="10" t="b">
        <f>IF(I3104="TP",VLOOKUP(AF3104,TPCalibEqFull!$AZ$2:$BB$56,3),IF(I3104="TDP",VLOOKUP(AF3104,TPCalibEqFull!$AZ$2:$BB$56,3),IF(I3104="TDN",VLOOKUP(AF3104,TNCalibEqFull!$AZ$1:$BB$56,3),IF(I3104="TN",VLOOKUP(AF3104,TNCalibEqFull!$AZ$1:$BB$56,3),FALSE))))</f>
        <v>0</v>
      </c>
      <c r="AV3104" s="10" t="str">
        <f t="shared" si="354"/>
        <v>0213 06:00:00-QAC-BLK-FIL-1-DI-FLD</v>
      </c>
    </row>
    <row r="3105" spans="1:48" s="10" customFormat="1" x14ac:dyDescent="0.55000000000000004">
      <c r="A3105" s="32">
        <v>44971</v>
      </c>
      <c r="B3105" s="33">
        <v>0.30208333333333331</v>
      </c>
      <c r="C3105" s="10" t="s">
        <v>70</v>
      </c>
      <c r="D3105" s="10" t="s">
        <v>241</v>
      </c>
      <c r="E3105" s="10" t="s">
        <v>911</v>
      </c>
      <c r="F3105" s="10">
        <v>1</v>
      </c>
      <c r="G3105" s="10" t="s">
        <v>73</v>
      </c>
      <c r="H3105" s="10" t="s">
        <v>245</v>
      </c>
      <c r="I3105" s="10" t="s">
        <v>209</v>
      </c>
      <c r="J3105" s="10">
        <v>58</v>
      </c>
      <c r="K3105" s="12">
        <v>44972</v>
      </c>
      <c r="L3105" s="33">
        <v>0.48079861111111111</v>
      </c>
      <c r="M3105" s="10">
        <v>1</v>
      </c>
      <c r="N3105" s="10" t="s">
        <v>169</v>
      </c>
      <c r="O3105" s="10">
        <v>2.53E-2</v>
      </c>
      <c r="P3105" s="10">
        <v>1.14E-3</v>
      </c>
      <c r="Q3105" s="10">
        <v>3.3</v>
      </c>
      <c r="R3105" s="10" t="s">
        <v>77</v>
      </c>
      <c r="S3105" s="34">
        <f t="shared" si="351"/>
        <v>3.3</v>
      </c>
      <c r="T3105" s="10" t="s">
        <v>915</v>
      </c>
      <c r="U3105" s="34">
        <f t="shared" si="352"/>
        <v>3.3</v>
      </c>
      <c r="V3105" s="31" t="str">
        <f>IF(H3105="CHK",VLOOKUP(I3105,QCCHK,3,),IF(H3105="GUP",VLOOKUP(E3105,QCGUP,2,),IF(AND(H3105="ATP",OR(I3105="TN",I3105="TDN",I3105="TNO2-3",I3105="NO2-3")),VLOOKUP(E3105,QCREC_N,2,),IF(AND(H3105="NIC",OR(I3105="TN",I3105="TDN",I3105="TNO2-3",I3105="NO2-3")),VLOOKUP(E3105,QCNIC_N,2,),IF(AND(H3105="UREA",OR(I3105="TN",I3105="TDN",I3105="TNO2-3",I3105="NO2-3")),VLOOKUP(E3105,QCUREA_N,2,),IF(H3105="PER",VLOOKUP(I3105,QCPER,MATCH(E3105,QCACTUAL!$J$25:$AA$25,0),),IF(H3105="SPK",VLOOKUP(I3105,QCSPK,3,),IF(AND(H3105="ATP",OR(I3105="TP",I3105="TDP")),VLOOKUP(E3105,QCATP_P,2,),""))))))))</f>
        <v/>
      </c>
      <c r="W3105" s="31" t="str">
        <f t="shared" si="353"/>
        <v>TRUE</v>
      </c>
      <c r="X3105" s="31" t="str">
        <f t="shared" si="350"/>
        <v>nominal concentration</v>
      </c>
      <c r="Y3105" s="10" t="s">
        <v>1206</v>
      </c>
      <c r="AL3105" s="10" t="str">
        <f t="shared" si="348"/>
        <v>FALSE</v>
      </c>
      <c r="AM3105" s="10" t="str">
        <f t="shared" si="348"/>
        <v>FALSE</v>
      </c>
      <c r="AN3105" s="10" t="str">
        <f t="shared" si="348"/>
        <v>FALSE</v>
      </c>
      <c r="AO3105" s="10" t="str">
        <f t="shared" si="349"/>
        <v>FALSE</v>
      </c>
      <c r="AP3105" s="10" t="str">
        <f t="shared" si="349"/>
        <v>FALSE</v>
      </c>
      <c r="AQ3105" s="10" t="b">
        <f>IF(AND(I3105="TP",S3105&lt;=150),VLOOKUP(AF3105,TPCalibEq150!$AZ$2:$BB$55,3,),IF(AND(I3105="TDP",S3105&lt;=150),VLOOKUP(AF3105,TPCalibEq150!$AZ$2:$BB$55,3,)))</f>
        <v>0</v>
      </c>
      <c r="AR3105" s="10" t="b">
        <f>IF(AND(I3105="TP",S3105&lt;=300),VLOOKUP(AF3105,TPCalibEq300!$AZ$2:$BB$55,3,),IF(AND(I3105="TDP",S3105&lt;=300),VLOOKUP(AF3105,TPCalibEq300!$AZ$2:$BB$55,3,)))</f>
        <v>0</v>
      </c>
      <c r="AS3105" s="10" t="b">
        <f>IF(AND(I3105="TP",S3105&lt;=500),VLOOKUP(AF3105,TPCalibEq500!$AZ$2:$BB$56,3,),IF(AND(I3105="TDP",S3105&lt;=500),VLOOKUP(AF3105,TPCalibEq500!$AZ$2:$BB$56,3,)))</f>
        <v>0</v>
      </c>
      <c r="AT3105" s="10" t="b">
        <f>IF(AND(I3105="TN",S3105&lt;=2800),VLOOKUP(AF3105,TNCalibEq2500!$AZ$2:$BB$56,3,),IF(AND(I3105="TDN",S3105&lt;=2800),VLOOKUP(AF3105,TNCalibEq2500!$AZ$2:$BB$56,3,)))</f>
        <v>0</v>
      </c>
      <c r="AU3105" s="10" t="b">
        <f>IF(I3105="TP",VLOOKUP(AF3105,TPCalibEqFull!$AZ$2:$BB$56,3),IF(I3105="TDP",VLOOKUP(AF3105,TPCalibEqFull!$AZ$2:$BB$56,3),IF(I3105="TDN",VLOOKUP(AF3105,TNCalibEqFull!$AZ$1:$BB$56,3),IF(I3105="TN",VLOOKUP(AF3105,TNCalibEqFull!$AZ$1:$BB$56,3),FALSE))))</f>
        <v>0</v>
      </c>
      <c r="AV3105" s="10" t="str">
        <f t="shared" si="354"/>
        <v>0214 07:15:00-QAC-BLK-FIL-1-DI-ESF</v>
      </c>
    </row>
    <row r="3106" spans="1:48" s="10" customFormat="1" x14ac:dyDescent="0.55000000000000004">
      <c r="A3106" s="32">
        <v>44965</v>
      </c>
      <c r="B3106" s="33">
        <v>0.22291666666666665</v>
      </c>
      <c r="C3106" s="10" t="s">
        <v>279</v>
      </c>
      <c r="D3106" s="10">
        <v>0</v>
      </c>
      <c r="E3106" s="10" t="s">
        <v>190</v>
      </c>
      <c r="F3106" s="10">
        <v>1</v>
      </c>
      <c r="G3106" s="10" t="s">
        <v>231</v>
      </c>
      <c r="H3106" s="10" t="s">
        <v>322</v>
      </c>
      <c r="I3106" s="10" t="s">
        <v>256</v>
      </c>
      <c r="J3106" s="10">
        <v>1</v>
      </c>
      <c r="K3106" s="12">
        <v>44972</v>
      </c>
      <c r="L3106" s="33">
        <v>0.48162037037037037</v>
      </c>
      <c r="M3106" s="10">
        <v>1</v>
      </c>
      <c r="N3106" s="10" t="s">
        <v>169</v>
      </c>
      <c r="O3106" s="10">
        <v>10.8</v>
      </c>
      <c r="P3106" s="10">
        <v>0.501</v>
      </c>
      <c r="Q3106" s="10">
        <v>1410</v>
      </c>
      <c r="R3106" s="10" t="s">
        <v>77</v>
      </c>
      <c r="S3106" s="34">
        <f t="shared" si="351"/>
        <v>1410</v>
      </c>
      <c r="T3106" s="10" t="s">
        <v>915</v>
      </c>
      <c r="U3106" s="34" t="str">
        <f t="shared" si="352"/>
        <v/>
      </c>
      <c r="V3106" s="31" t="str">
        <f>IF(H3106="CHK",VLOOKUP(I3106,QCCHK,3,),IF(H3106="GUP",VLOOKUP(E3106,QCGUP,2,),IF(AND(H3106="ATP",OR(I3106="TN",I3106="TDN",I3106="TNO2-3",I3106="NO2-3")),VLOOKUP(E3106,QCREC_N,2,),IF(AND(H3106="NIC",OR(I3106="TN",I3106="TDN",I3106="TNO2-3",I3106="NO2-3")),VLOOKUP(E3106,QCNIC_N,2,),IF(AND(H3106="UREA",OR(I3106="TN",I3106="TDN",I3106="TNO2-3",I3106="NO2-3")),VLOOKUP(E3106,QCUREA_N,2,),IF(H3106="PER",VLOOKUP(I3106,QCPER,MATCH(E3106,QCACTUAL!$J$25:$AA$25,0),),IF(H3106="SPK",VLOOKUP(I3106,QCSPK,3,),IF(AND(H3106="ATP",OR(I3106="TP",I3106="TDP")),VLOOKUP(E3106,QCATP_P,2,),""))))))))</f>
        <v/>
      </c>
      <c r="W3106" s="31" t="str">
        <f t="shared" si="353"/>
        <v>TRUE</v>
      </c>
      <c r="X3106" s="31" t="str">
        <f t="shared" si="350"/>
        <v/>
      </c>
      <c r="Y3106" s="10" t="s">
        <v>1206</v>
      </c>
      <c r="Z3106" s="10" t="s">
        <v>910</v>
      </c>
      <c r="AL3106" s="10" t="str">
        <f t="shared" si="348"/>
        <v>FALSE</v>
      </c>
      <c r="AM3106" s="10" t="str">
        <f t="shared" si="348"/>
        <v>FALSE</v>
      </c>
      <c r="AN3106" s="10" t="str">
        <f t="shared" si="348"/>
        <v>FALSE</v>
      </c>
      <c r="AO3106" s="10" t="str">
        <f t="shared" si="349"/>
        <v>FALSE</v>
      </c>
      <c r="AP3106" s="10" t="str">
        <f t="shared" si="349"/>
        <v>FALSE</v>
      </c>
      <c r="AQ3106" s="10" t="b">
        <f>IF(AND(I3106="TP",S3106&lt;=150),VLOOKUP(AF3106,TPCalibEq150!$AZ$2:$BB$55,3,),IF(AND(I3106="TDP",S3106&lt;=150),VLOOKUP(AF3106,TPCalibEq150!$AZ$2:$BB$55,3,)))</f>
        <v>0</v>
      </c>
      <c r="AR3106" s="10" t="b">
        <f>IF(AND(I3106="TP",S3106&lt;=300),VLOOKUP(AF3106,TPCalibEq300!$AZ$2:$BB$55,3,),IF(AND(I3106="TDP",S3106&lt;=300),VLOOKUP(AF3106,TPCalibEq300!$AZ$2:$BB$55,3,)))</f>
        <v>0</v>
      </c>
      <c r="AS3106" s="10" t="b">
        <f>IF(AND(I3106="TP",S3106&lt;=500),VLOOKUP(AF3106,TPCalibEq500!$AZ$2:$BB$56,3,),IF(AND(I3106="TDP",S3106&lt;=500),VLOOKUP(AF3106,TPCalibEq500!$AZ$2:$BB$56,3,)))</f>
        <v>0</v>
      </c>
      <c r="AT3106" s="10" t="b">
        <f>IF(AND(I3106="TN",S3106&lt;=2800),VLOOKUP(AF3106,TNCalibEq2500!$AZ$2:$BB$56,3,),IF(AND(I3106="TDN",S3106&lt;=2800),VLOOKUP(AF3106,TNCalibEq2500!$AZ$2:$BB$56,3,)))</f>
        <v>0</v>
      </c>
      <c r="AU3106" s="10" t="b">
        <f>IF(I3106="TP",VLOOKUP(AF3106,TPCalibEqFull!$AZ$2:$BB$56,3),IF(I3106="TDP",VLOOKUP(AF3106,TPCalibEqFull!$AZ$2:$BB$56,3),IF(I3106="TDN",VLOOKUP(AF3106,TNCalibEqFull!$AZ$1:$BB$56,3),IF(I3106="TN",VLOOKUP(AF3106,TNCalibEqFull!$AZ$1:$BB$56,3),FALSE))))</f>
        <v>0</v>
      </c>
      <c r="AV3106" s="10" t="str">
        <f t="shared" si="354"/>
        <v>0208 05:21:00-EFK-0-C-1-SW-UKN</v>
      </c>
    </row>
    <row r="3107" spans="1:48" s="10" customFormat="1" x14ac:dyDescent="0.55000000000000004">
      <c r="A3107" s="32">
        <v>44965</v>
      </c>
      <c r="B3107" s="33">
        <v>0.24166666666666667</v>
      </c>
      <c r="C3107" s="10" t="s">
        <v>333</v>
      </c>
      <c r="D3107" s="10">
        <v>0</v>
      </c>
      <c r="E3107" s="10" t="s">
        <v>190</v>
      </c>
      <c r="F3107" s="10">
        <v>1</v>
      </c>
      <c r="G3107" s="10" t="s">
        <v>231</v>
      </c>
      <c r="H3107" s="10" t="s">
        <v>322</v>
      </c>
      <c r="I3107" s="10" t="s">
        <v>256</v>
      </c>
      <c r="J3107" s="10">
        <v>2</v>
      </c>
      <c r="K3107" s="12">
        <v>44972</v>
      </c>
      <c r="L3107" s="33">
        <v>0.48245370370370372</v>
      </c>
      <c r="M3107" s="10">
        <v>1</v>
      </c>
      <c r="N3107" s="10" t="s">
        <v>169</v>
      </c>
      <c r="O3107" s="10">
        <v>10</v>
      </c>
      <c r="P3107" s="10">
        <v>0.46300000000000002</v>
      </c>
      <c r="Q3107" s="10">
        <v>1310</v>
      </c>
      <c r="R3107" s="10" t="s">
        <v>77</v>
      </c>
      <c r="S3107" s="34">
        <f t="shared" si="351"/>
        <v>1310</v>
      </c>
      <c r="T3107" s="10" t="s">
        <v>915</v>
      </c>
      <c r="U3107" s="34" t="str">
        <f t="shared" si="352"/>
        <v/>
      </c>
      <c r="V3107" s="31" t="str">
        <f>IF(H3107="CHK",VLOOKUP(I3107,QCCHK,3,),IF(H3107="GUP",VLOOKUP(E3107,QCGUP,2,),IF(AND(H3107="ATP",OR(I3107="TN",I3107="TDN",I3107="TNO2-3",I3107="NO2-3")),VLOOKUP(E3107,QCREC_N,2,),IF(AND(H3107="NIC",OR(I3107="TN",I3107="TDN",I3107="TNO2-3",I3107="NO2-3")),VLOOKUP(E3107,QCNIC_N,2,),IF(AND(H3107="UREA",OR(I3107="TN",I3107="TDN",I3107="TNO2-3",I3107="NO2-3")),VLOOKUP(E3107,QCUREA_N,2,),IF(H3107="PER",VLOOKUP(I3107,QCPER,MATCH(E3107,QCACTUAL!$J$25:$AA$25,0),),IF(H3107="SPK",VLOOKUP(I3107,QCSPK,3,),IF(AND(H3107="ATP",OR(I3107="TP",I3107="TDP")),VLOOKUP(E3107,QCATP_P,2,),""))))))))</f>
        <v/>
      </c>
      <c r="W3107" s="31" t="str">
        <f t="shared" si="353"/>
        <v>TRUE</v>
      </c>
      <c r="X3107" s="31" t="str">
        <f t="shared" si="350"/>
        <v/>
      </c>
      <c r="Y3107" s="10" t="s">
        <v>1206</v>
      </c>
      <c r="Z3107" s="10" t="s">
        <v>910</v>
      </c>
      <c r="AL3107" s="10" t="str">
        <f t="shared" si="348"/>
        <v>FALSE</v>
      </c>
      <c r="AM3107" s="10" t="str">
        <f t="shared" si="348"/>
        <v>FALSE</v>
      </c>
      <c r="AN3107" s="10" t="str">
        <f t="shared" si="348"/>
        <v>FALSE</v>
      </c>
      <c r="AO3107" s="10" t="str">
        <f t="shared" si="349"/>
        <v>FALSE</v>
      </c>
      <c r="AP3107" s="10" t="str">
        <f t="shared" si="349"/>
        <v>FALSE</v>
      </c>
      <c r="AQ3107" s="10" t="b">
        <f>IF(AND(I3107="TP",S3107&lt;=150),VLOOKUP(AF3107,TPCalibEq150!$AZ$2:$BB$55,3,),IF(AND(I3107="TDP",S3107&lt;=150),VLOOKUP(AF3107,TPCalibEq150!$AZ$2:$BB$55,3,)))</f>
        <v>0</v>
      </c>
      <c r="AR3107" s="10" t="b">
        <f>IF(AND(I3107="TP",S3107&lt;=300),VLOOKUP(AF3107,TPCalibEq300!$AZ$2:$BB$55,3,),IF(AND(I3107="TDP",S3107&lt;=300),VLOOKUP(AF3107,TPCalibEq300!$AZ$2:$BB$55,3,)))</f>
        <v>0</v>
      </c>
      <c r="AS3107" s="10" t="b">
        <f>IF(AND(I3107="TP",S3107&lt;=500),VLOOKUP(AF3107,TPCalibEq500!$AZ$2:$BB$56,3,),IF(AND(I3107="TDP",S3107&lt;=500),VLOOKUP(AF3107,TPCalibEq500!$AZ$2:$BB$56,3,)))</f>
        <v>0</v>
      </c>
      <c r="AT3107" s="10" t="b">
        <f>IF(AND(I3107="TN",S3107&lt;=2800),VLOOKUP(AF3107,TNCalibEq2500!$AZ$2:$BB$56,3,),IF(AND(I3107="TDN",S3107&lt;=2800),VLOOKUP(AF3107,TNCalibEq2500!$AZ$2:$BB$56,3,)))</f>
        <v>0</v>
      </c>
      <c r="AU3107" s="10" t="b">
        <f>IF(I3107="TP",VLOOKUP(AF3107,TPCalibEqFull!$AZ$2:$BB$56,3),IF(I3107="TDP",VLOOKUP(AF3107,TPCalibEqFull!$AZ$2:$BB$56,3),IF(I3107="TDN",VLOOKUP(AF3107,TNCalibEqFull!$AZ$1:$BB$56,3),IF(I3107="TN",VLOOKUP(AF3107,TNCalibEqFull!$AZ$1:$BB$56,3),FALSE))))</f>
        <v>0</v>
      </c>
      <c r="AV3107" s="10" t="str">
        <f t="shared" si="354"/>
        <v>0208 05:48:00-HST-0-C-1-SW-UKN</v>
      </c>
    </row>
    <row r="3108" spans="1:48" s="10" customFormat="1" x14ac:dyDescent="0.55000000000000004">
      <c r="A3108" s="32">
        <v>44966</v>
      </c>
      <c r="B3108" s="33">
        <v>0.41041666666666665</v>
      </c>
      <c r="C3108" s="10" t="s">
        <v>279</v>
      </c>
      <c r="D3108" s="10">
        <v>0</v>
      </c>
      <c r="E3108" s="10" t="s">
        <v>190</v>
      </c>
      <c r="F3108" s="10">
        <v>1</v>
      </c>
      <c r="G3108" s="10" t="s">
        <v>231</v>
      </c>
      <c r="H3108" s="10" t="s">
        <v>322</v>
      </c>
      <c r="I3108" s="10" t="s">
        <v>256</v>
      </c>
      <c r="J3108" s="10">
        <v>3</v>
      </c>
      <c r="K3108" s="12">
        <v>44972</v>
      </c>
      <c r="L3108" s="33">
        <v>0.48327546296296298</v>
      </c>
      <c r="M3108" s="10">
        <v>1</v>
      </c>
      <c r="N3108" s="10" t="s">
        <v>169</v>
      </c>
      <c r="O3108" s="10">
        <v>14.5</v>
      </c>
      <c r="P3108" s="10">
        <v>0.67700000000000005</v>
      </c>
      <c r="Q3108" s="10">
        <v>1900</v>
      </c>
      <c r="R3108" s="10" t="s">
        <v>77</v>
      </c>
      <c r="S3108" s="34">
        <f t="shared" si="351"/>
        <v>1900</v>
      </c>
      <c r="T3108" s="10" t="s">
        <v>915</v>
      </c>
      <c r="U3108" s="34" t="str">
        <f t="shared" si="352"/>
        <v/>
      </c>
      <c r="V3108" s="31" t="str">
        <f>IF(H3108="CHK",VLOOKUP(I3108,QCCHK,3,),IF(H3108="GUP",VLOOKUP(E3108,QCGUP,2,),IF(AND(H3108="ATP",OR(I3108="TN",I3108="TDN",I3108="TNO2-3",I3108="NO2-3")),VLOOKUP(E3108,QCREC_N,2,),IF(AND(H3108="NIC",OR(I3108="TN",I3108="TDN",I3108="TNO2-3",I3108="NO2-3")),VLOOKUP(E3108,QCNIC_N,2,),IF(AND(H3108="UREA",OR(I3108="TN",I3108="TDN",I3108="TNO2-3",I3108="NO2-3")),VLOOKUP(E3108,QCUREA_N,2,),IF(H3108="PER",VLOOKUP(I3108,QCPER,MATCH(E3108,QCACTUAL!$J$25:$AA$25,0),),IF(H3108="SPK",VLOOKUP(I3108,QCSPK,3,),IF(AND(H3108="ATP",OR(I3108="TP",I3108="TDP")),VLOOKUP(E3108,QCATP_P,2,),""))))))))</f>
        <v/>
      </c>
      <c r="W3108" s="31" t="str">
        <f t="shared" si="353"/>
        <v>TRUE</v>
      </c>
      <c r="X3108" s="31" t="str">
        <f t="shared" si="350"/>
        <v/>
      </c>
      <c r="Y3108" s="10" t="s">
        <v>1206</v>
      </c>
      <c r="Z3108" s="10" t="s">
        <v>910</v>
      </c>
      <c r="AL3108" s="10" t="str">
        <f t="shared" si="348"/>
        <v>FALSE</v>
      </c>
      <c r="AM3108" s="10" t="str">
        <f t="shared" si="348"/>
        <v>FALSE</v>
      </c>
      <c r="AN3108" s="10" t="str">
        <f t="shared" si="348"/>
        <v>FALSE</v>
      </c>
      <c r="AO3108" s="10" t="str">
        <f t="shared" si="349"/>
        <v>FALSE</v>
      </c>
      <c r="AP3108" s="10" t="str">
        <f t="shared" si="349"/>
        <v>FALSE</v>
      </c>
      <c r="AQ3108" s="10" t="b">
        <f>IF(AND(I3108="TP",S3108&lt;=150),VLOOKUP(AF3108,TPCalibEq150!$AZ$2:$BB$55,3,),IF(AND(I3108="TDP",S3108&lt;=150),VLOOKUP(AF3108,TPCalibEq150!$AZ$2:$BB$55,3,)))</f>
        <v>0</v>
      </c>
      <c r="AR3108" s="10" t="b">
        <f>IF(AND(I3108="TP",S3108&lt;=300),VLOOKUP(AF3108,TPCalibEq300!$AZ$2:$BB$55,3,),IF(AND(I3108="TDP",S3108&lt;=300),VLOOKUP(AF3108,TPCalibEq300!$AZ$2:$BB$55,3,)))</f>
        <v>0</v>
      </c>
      <c r="AS3108" s="10" t="b">
        <f>IF(AND(I3108="TP",S3108&lt;=500),VLOOKUP(AF3108,TPCalibEq500!$AZ$2:$BB$56,3,),IF(AND(I3108="TDP",S3108&lt;=500),VLOOKUP(AF3108,TPCalibEq500!$AZ$2:$BB$56,3,)))</f>
        <v>0</v>
      </c>
      <c r="AT3108" s="10" t="b">
        <f>IF(AND(I3108="TN",S3108&lt;=2800),VLOOKUP(AF3108,TNCalibEq2500!$AZ$2:$BB$56,3,),IF(AND(I3108="TDN",S3108&lt;=2800),VLOOKUP(AF3108,TNCalibEq2500!$AZ$2:$BB$56,3,)))</f>
        <v>0</v>
      </c>
      <c r="AU3108" s="10" t="b">
        <f>IF(I3108="TP",VLOOKUP(AF3108,TPCalibEqFull!$AZ$2:$BB$56,3),IF(I3108="TDP",VLOOKUP(AF3108,TPCalibEqFull!$AZ$2:$BB$56,3),IF(I3108="TDN",VLOOKUP(AF3108,TNCalibEqFull!$AZ$1:$BB$56,3),IF(I3108="TN",VLOOKUP(AF3108,TNCalibEqFull!$AZ$1:$BB$56,3),FALSE))))</f>
        <v>0</v>
      </c>
      <c r="AV3108" s="10" t="str">
        <f t="shared" si="354"/>
        <v>0209 09:51:00-EFK-0-C-1-SW-UKN</v>
      </c>
    </row>
    <row r="3109" spans="1:48" s="10" customFormat="1" x14ac:dyDescent="0.55000000000000004">
      <c r="A3109" s="32">
        <v>44966</v>
      </c>
      <c r="B3109" s="33">
        <v>0.42708333333333331</v>
      </c>
      <c r="C3109" s="10" t="s">
        <v>333</v>
      </c>
      <c r="D3109" s="10">
        <v>0</v>
      </c>
      <c r="E3109" s="10" t="s">
        <v>190</v>
      </c>
      <c r="F3109" s="10">
        <v>1</v>
      </c>
      <c r="G3109" s="10" t="s">
        <v>231</v>
      </c>
      <c r="H3109" s="10" t="s">
        <v>322</v>
      </c>
      <c r="I3109" s="10" t="s">
        <v>256</v>
      </c>
      <c r="J3109" s="10">
        <v>4</v>
      </c>
      <c r="K3109" s="12">
        <v>44972</v>
      </c>
      <c r="L3109" s="33">
        <v>0.48409722222222223</v>
      </c>
      <c r="M3109" s="10">
        <v>1</v>
      </c>
      <c r="N3109" s="10" t="s">
        <v>169</v>
      </c>
      <c r="O3109" s="10">
        <v>9.2899999999999991</v>
      </c>
      <c r="P3109" s="10">
        <v>0.432</v>
      </c>
      <c r="Q3109" s="10">
        <v>1210</v>
      </c>
      <c r="R3109" s="10" t="s">
        <v>77</v>
      </c>
      <c r="S3109" s="34">
        <f t="shared" si="351"/>
        <v>1210</v>
      </c>
      <c r="T3109" s="10" t="s">
        <v>915</v>
      </c>
      <c r="U3109" s="34" t="str">
        <f t="shared" si="352"/>
        <v/>
      </c>
      <c r="V3109" s="31" t="str">
        <f>IF(H3109="CHK",VLOOKUP(I3109,QCCHK,3,),IF(H3109="GUP",VLOOKUP(E3109,QCGUP,2,),IF(AND(H3109="ATP",OR(I3109="TN",I3109="TDN",I3109="TNO2-3",I3109="NO2-3")),VLOOKUP(E3109,QCREC_N,2,),IF(AND(H3109="NIC",OR(I3109="TN",I3109="TDN",I3109="TNO2-3",I3109="NO2-3")),VLOOKUP(E3109,QCNIC_N,2,),IF(AND(H3109="UREA",OR(I3109="TN",I3109="TDN",I3109="TNO2-3",I3109="NO2-3")),VLOOKUP(E3109,QCUREA_N,2,),IF(H3109="PER",VLOOKUP(I3109,QCPER,MATCH(E3109,QCACTUAL!$J$25:$AA$25,0),),IF(H3109="SPK",VLOOKUP(I3109,QCSPK,3,),IF(AND(H3109="ATP",OR(I3109="TP",I3109="TDP")),VLOOKUP(E3109,QCATP_P,2,),""))))))))</f>
        <v/>
      </c>
      <c r="W3109" s="31" t="str">
        <f t="shared" si="353"/>
        <v>TRUE</v>
      </c>
      <c r="X3109" s="31" t="str">
        <f t="shared" si="350"/>
        <v/>
      </c>
      <c r="Y3109" s="10" t="s">
        <v>1206</v>
      </c>
      <c r="Z3109" s="10" t="s">
        <v>910</v>
      </c>
      <c r="AL3109" s="10" t="str">
        <f t="shared" si="348"/>
        <v>FALSE</v>
      </c>
      <c r="AM3109" s="10" t="str">
        <f t="shared" si="348"/>
        <v>FALSE</v>
      </c>
      <c r="AN3109" s="10" t="str">
        <f t="shared" si="348"/>
        <v>FALSE</v>
      </c>
      <c r="AO3109" s="10" t="str">
        <f t="shared" si="349"/>
        <v>FALSE</v>
      </c>
      <c r="AP3109" s="10" t="str">
        <f t="shared" si="349"/>
        <v>FALSE</v>
      </c>
      <c r="AQ3109" s="10" t="b">
        <f>IF(AND(I3109="TP",S3109&lt;=150),VLOOKUP(AF3109,TPCalibEq150!$AZ$2:$BB$55,3,),IF(AND(I3109="TDP",S3109&lt;=150),VLOOKUP(AF3109,TPCalibEq150!$AZ$2:$BB$55,3,)))</f>
        <v>0</v>
      </c>
      <c r="AR3109" s="10" t="b">
        <f>IF(AND(I3109="TP",S3109&lt;=300),VLOOKUP(AF3109,TPCalibEq300!$AZ$2:$BB$55,3,),IF(AND(I3109="TDP",S3109&lt;=300),VLOOKUP(AF3109,TPCalibEq300!$AZ$2:$BB$55,3,)))</f>
        <v>0</v>
      </c>
      <c r="AS3109" s="10" t="b">
        <f>IF(AND(I3109="TP",S3109&lt;=500),VLOOKUP(AF3109,TPCalibEq500!$AZ$2:$BB$56,3,),IF(AND(I3109="TDP",S3109&lt;=500),VLOOKUP(AF3109,TPCalibEq500!$AZ$2:$BB$56,3,)))</f>
        <v>0</v>
      </c>
      <c r="AT3109" s="10" t="b">
        <f>IF(AND(I3109="TN",S3109&lt;=2800),VLOOKUP(AF3109,TNCalibEq2500!$AZ$2:$BB$56,3,),IF(AND(I3109="TDN",S3109&lt;=2800),VLOOKUP(AF3109,TNCalibEq2500!$AZ$2:$BB$56,3,)))</f>
        <v>0</v>
      </c>
      <c r="AU3109" s="10" t="b">
        <f>IF(I3109="TP",VLOOKUP(AF3109,TPCalibEqFull!$AZ$2:$BB$56,3),IF(I3109="TDP",VLOOKUP(AF3109,TPCalibEqFull!$AZ$2:$BB$56,3),IF(I3109="TDN",VLOOKUP(AF3109,TNCalibEqFull!$AZ$1:$BB$56,3),IF(I3109="TN",VLOOKUP(AF3109,TNCalibEqFull!$AZ$1:$BB$56,3),FALSE))))</f>
        <v>0</v>
      </c>
      <c r="AV3109" s="10" t="str">
        <f t="shared" si="354"/>
        <v>0209 10:15:00-HST-0-C-1-SW-UKN</v>
      </c>
    </row>
    <row r="3110" spans="1:48" s="10" customFormat="1" x14ac:dyDescent="0.55000000000000004">
      <c r="A3110" s="32">
        <v>44967</v>
      </c>
      <c r="B3110" s="33">
        <v>0.59791666666666665</v>
      </c>
      <c r="C3110" s="10" t="s">
        <v>279</v>
      </c>
      <c r="D3110" s="10">
        <v>0</v>
      </c>
      <c r="E3110" s="10" t="s">
        <v>190</v>
      </c>
      <c r="F3110" s="10">
        <v>1</v>
      </c>
      <c r="G3110" s="10" t="s">
        <v>231</v>
      </c>
      <c r="H3110" s="10" t="s">
        <v>322</v>
      </c>
      <c r="I3110" s="10" t="s">
        <v>256</v>
      </c>
      <c r="J3110" s="10">
        <v>5</v>
      </c>
      <c r="K3110" s="12">
        <v>44972</v>
      </c>
      <c r="L3110" s="33">
        <v>0.48491898148148144</v>
      </c>
      <c r="M3110" s="10">
        <v>1</v>
      </c>
      <c r="N3110" s="10" t="s">
        <v>169</v>
      </c>
      <c r="O3110" s="10">
        <v>14</v>
      </c>
      <c r="P3110" s="10">
        <v>0.65200000000000002</v>
      </c>
      <c r="Q3110" s="10">
        <v>1830</v>
      </c>
      <c r="R3110" s="10" t="s">
        <v>77</v>
      </c>
      <c r="S3110" s="34">
        <f t="shared" si="351"/>
        <v>1830</v>
      </c>
      <c r="T3110" s="10" t="s">
        <v>915</v>
      </c>
      <c r="U3110" s="34" t="str">
        <f t="shared" si="352"/>
        <v/>
      </c>
      <c r="V3110" s="31" t="str">
        <f>IF(H3110="CHK",VLOOKUP(I3110,QCCHK,3,),IF(H3110="GUP",VLOOKUP(E3110,QCGUP,2,),IF(AND(H3110="ATP",OR(I3110="TN",I3110="TDN",I3110="TNO2-3",I3110="NO2-3")),VLOOKUP(E3110,QCREC_N,2,),IF(AND(H3110="NIC",OR(I3110="TN",I3110="TDN",I3110="TNO2-3",I3110="NO2-3")),VLOOKUP(E3110,QCNIC_N,2,),IF(AND(H3110="UREA",OR(I3110="TN",I3110="TDN",I3110="TNO2-3",I3110="NO2-3")),VLOOKUP(E3110,QCUREA_N,2,),IF(H3110="PER",VLOOKUP(I3110,QCPER,MATCH(E3110,QCACTUAL!$J$25:$AA$25,0),),IF(H3110="SPK",VLOOKUP(I3110,QCSPK,3,),IF(AND(H3110="ATP",OR(I3110="TP",I3110="TDP")),VLOOKUP(E3110,QCATP_P,2,),""))))))))</f>
        <v/>
      </c>
      <c r="W3110" s="31" t="str">
        <f t="shared" si="353"/>
        <v>TRUE</v>
      </c>
      <c r="X3110" s="31" t="str">
        <f t="shared" si="350"/>
        <v/>
      </c>
      <c r="Y3110" s="10" t="s">
        <v>1206</v>
      </c>
      <c r="Z3110" s="10" t="s">
        <v>910</v>
      </c>
      <c r="AL3110" s="10" t="str">
        <f t="shared" si="348"/>
        <v>FALSE</v>
      </c>
      <c r="AM3110" s="10" t="str">
        <f t="shared" si="348"/>
        <v>FALSE</v>
      </c>
      <c r="AN3110" s="10" t="str">
        <f t="shared" si="348"/>
        <v>FALSE</v>
      </c>
      <c r="AO3110" s="10" t="str">
        <f t="shared" si="349"/>
        <v>FALSE</v>
      </c>
      <c r="AP3110" s="10" t="str">
        <f t="shared" si="349"/>
        <v>FALSE</v>
      </c>
      <c r="AQ3110" s="10" t="b">
        <f>IF(AND(I3110="TP",S3110&lt;=150),VLOOKUP(AF3110,TPCalibEq150!$AZ$2:$BB$55,3,),IF(AND(I3110="TDP",S3110&lt;=150),VLOOKUP(AF3110,TPCalibEq150!$AZ$2:$BB$55,3,)))</f>
        <v>0</v>
      </c>
      <c r="AR3110" s="10" t="b">
        <f>IF(AND(I3110="TP",S3110&lt;=300),VLOOKUP(AF3110,TPCalibEq300!$AZ$2:$BB$55,3,),IF(AND(I3110="TDP",S3110&lt;=300),VLOOKUP(AF3110,TPCalibEq300!$AZ$2:$BB$55,3,)))</f>
        <v>0</v>
      </c>
      <c r="AS3110" s="10" t="b">
        <f>IF(AND(I3110="TP",S3110&lt;=500),VLOOKUP(AF3110,TPCalibEq500!$AZ$2:$BB$56,3,),IF(AND(I3110="TDP",S3110&lt;=500),VLOOKUP(AF3110,TPCalibEq500!$AZ$2:$BB$56,3,)))</f>
        <v>0</v>
      </c>
      <c r="AT3110" s="10" t="b">
        <f>IF(AND(I3110="TN",S3110&lt;=2800),VLOOKUP(AF3110,TNCalibEq2500!$AZ$2:$BB$56,3,),IF(AND(I3110="TDN",S3110&lt;=2800),VLOOKUP(AF3110,TNCalibEq2500!$AZ$2:$BB$56,3,)))</f>
        <v>0</v>
      </c>
      <c r="AU3110" s="10" t="b">
        <f>IF(I3110="TP",VLOOKUP(AF3110,TPCalibEqFull!$AZ$2:$BB$56,3),IF(I3110="TDP",VLOOKUP(AF3110,TPCalibEqFull!$AZ$2:$BB$56,3),IF(I3110="TDN",VLOOKUP(AF3110,TNCalibEqFull!$AZ$1:$BB$56,3),IF(I3110="TN",VLOOKUP(AF3110,TNCalibEqFull!$AZ$1:$BB$56,3),FALSE))))</f>
        <v>0</v>
      </c>
      <c r="AV3110" s="10" t="str">
        <f t="shared" si="354"/>
        <v>0210 14:21:00-EFK-0-C-1-SW-UKN</v>
      </c>
    </row>
    <row r="3111" spans="1:48" s="10" customFormat="1" x14ac:dyDescent="0.55000000000000004">
      <c r="A3111" s="32">
        <v>44967</v>
      </c>
      <c r="B3111" s="33">
        <v>0.60069444444444442</v>
      </c>
      <c r="C3111" s="10" t="s">
        <v>333</v>
      </c>
      <c r="D3111" s="10">
        <v>0</v>
      </c>
      <c r="E3111" s="10" t="s">
        <v>190</v>
      </c>
      <c r="F3111" s="10">
        <v>1</v>
      </c>
      <c r="G3111" s="10" t="s">
        <v>231</v>
      </c>
      <c r="H3111" s="10" t="s">
        <v>322</v>
      </c>
      <c r="I3111" s="10" t="s">
        <v>256</v>
      </c>
      <c r="J3111" s="10">
        <v>6</v>
      </c>
      <c r="K3111" s="12">
        <v>44972</v>
      </c>
      <c r="L3111" s="33">
        <v>0.48572916666666671</v>
      </c>
      <c r="M3111" s="10">
        <v>1</v>
      </c>
      <c r="N3111" s="10" t="s">
        <v>169</v>
      </c>
      <c r="O3111" s="10">
        <v>5.59</v>
      </c>
      <c r="P3111" s="10">
        <v>0.25900000000000001</v>
      </c>
      <c r="Q3111" s="10">
        <v>730</v>
      </c>
      <c r="R3111" s="10" t="s">
        <v>77</v>
      </c>
      <c r="S3111" s="34">
        <f t="shared" si="351"/>
        <v>730</v>
      </c>
      <c r="T3111" s="10" t="s">
        <v>915</v>
      </c>
      <c r="U3111" s="34" t="str">
        <f t="shared" si="352"/>
        <v/>
      </c>
      <c r="V3111" s="31" t="str">
        <f>IF(H3111="CHK",VLOOKUP(I3111,QCCHK,3,),IF(H3111="GUP",VLOOKUP(E3111,QCGUP,2,),IF(AND(H3111="ATP",OR(I3111="TN",I3111="TDN",I3111="TNO2-3",I3111="NO2-3")),VLOOKUP(E3111,QCREC_N,2,),IF(AND(H3111="NIC",OR(I3111="TN",I3111="TDN",I3111="TNO2-3",I3111="NO2-3")),VLOOKUP(E3111,QCNIC_N,2,),IF(AND(H3111="UREA",OR(I3111="TN",I3111="TDN",I3111="TNO2-3",I3111="NO2-3")),VLOOKUP(E3111,QCUREA_N,2,),IF(H3111="PER",VLOOKUP(I3111,QCPER,MATCH(E3111,QCACTUAL!$J$25:$AA$25,0),),IF(H3111="SPK",VLOOKUP(I3111,QCSPK,3,),IF(AND(H3111="ATP",OR(I3111="TP",I3111="TDP")),VLOOKUP(E3111,QCATP_P,2,),""))))))))</f>
        <v/>
      </c>
      <c r="W3111" s="31" t="str">
        <f t="shared" si="353"/>
        <v>TRUE</v>
      </c>
      <c r="X3111" s="31" t="str">
        <f t="shared" si="350"/>
        <v/>
      </c>
      <c r="Y3111" s="10" t="s">
        <v>1206</v>
      </c>
      <c r="Z3111" s="10" t="s">
        <v>910</v>
      </c>
      <c r="AL3111" s="10" t="str">
        <f t="shared" si="348"/>
        <v>FALSE</v>
      </c>
      <c r="AM3111" s="10" t="str">
        <f t="shared" si="348"/>
        <v>FALSE</v>
      </c>
      <c r="AN3111" s="10" t="str">
        <f t="shared" si="348"/>
        <v>FALSE</v>
      </c>
      <c r="AO3111" s="10" t="str">
        <f t="shared" si="349"/>
        <v>FALSE</v>
      </c>
      <c r="AP3111" s="10" t="str">
        <f t="shared" si="349"/>
        <v>FALSE</v>
      </c>
      <c r="AQ3111" s="10" t="b">
        <f>IF(AND(I3111="TP",S3111&lt;=150),VLOOKUP(AF3111,TPCalibEq150!$AZ$2:$BB$55,3,),IF(AND(I3111="TDP",S3111&lt;=150),VLOOKUP(AF3111,TPCalibEq150!$AZ$2:$BB$55,3,)))</f>
        <v>0</v>
      </c>
      <c r="AR3111" s="10" t="b">
        <f>IF(AND(I3111="TP",S3111&lt;=300),VLOOKUP(AF3111,TPCalibEq300!$AZ$2:$BB$55,3,),IF(AND(I3111="TDP",S3111&lt;=300),VLOOKUP(AF3111,TPCalibEq300!$AZ$2:$BB$55,3,)))</f>
        <v>0</v>
      </c>
      <c r="AS3111" s="10" t="b">
        <f>IF(AND(I3111="TP",S3111&lt;=500),VLOOKUP(AF3111,TPCalibEq500!$AZ$2:$BB$56,3,),IF(AND(I3111="TDP",S3111&lt;=500),VLOOKUP(AF3111,TPCalibEq500!$AZ$2:$BB$56,3,)))</f>
        <v>0</v>
      </c>
      <c r="AT3111" s="10" t="b">
        <f>IF(AND(I3111="TN",S3111&lt;=2800),VLOOKUP(AF3111,TNCalibEq2500!$AZ$2:$BB$56,3,),IF(AND(I3111="TDN",S3111&lt;=2800),VLOOKUP(AF3111,TNCalibEq2500!$AZ$2:$BB$56,3,)))</f>
        <v>0</v>
      </c>
      <c r="AU3111" s="10" t="b">
        <f>IF(I3111="TP",VLOOKUP(AF3111,TPCalibEqFull!$AZ$2:$BB$56,3),IF(I3111="TDP",VLOOKUP(AF3111,TPCalibEqFull!$AZ$2:$BB$56,3),IF(I3111="TDN",VLOOKUP(AF3111,TNCalibEqFull!$AZ$1:$BB$56,3),IF(I3111="TN",VLOOKUP(AF3111,TNCalibEqFull!$AZ$1:$BB$56,3),FALSE))))</f>
        <v>0</v>
      </c>
      <c r="AV3111" s="10" t="str">
        <f t="shared" si="354"/>
        <v>0210 14:25:00-HST-0-C-1-SW-UKN</v>
      </c>
    </row>
    <row r="3112" spans="1:48" s="10" customFormat="1" x14ac:dyDescent="0.55000000000000004">
      <c r="A3112" s="32">
        <v>44970</v>
      </c>
      <c r="B3112" s="33">
        <v>0.32777777777777778</v>
      </c>
      <c r="C3112" s="10" t="s">
        <v>279</v>
      </c>
      <c r="D3112" s="10">
        <v>0</v>
      </c>
      <c r="E3112" s="10" t="s">
        <v>190</v>
      </c>
      <c r="F3112" s="10">
        <v>1</v>
      </c>
      <c r="G3112" s="10" t="s">
        <v>231</v>
      </c>
      <c r="H3112" s="10" t="s">
        <v>322</v>
      </c>
      <c r="I3112" s="10" t="s">
        <v>256</v>
      </c>
      <c r="J3112" s="10">
        <v>7</v>
      </c>
      <c r="K3112" s="12">
        <v>44972</v>
      </c>
      <c r="L3112" s="33">
        <v>0.48655092592592591</v>
      </c>
      <c r="M3112" s="10">
        <v>1</v>
      </c>
      <c r="N3112" s="10" t="s">
        <v>169</v>
      </c>
      <c r="O3112" s="10">
        <v>11.5</v>
      </c>
      <c r="P3112" s="10">
        <v>0.53900000000000003</v>
      </c>
      <c r="Q3112" s="10">
        <v>1510</v>
      </c>
      <c r="R3112" s="10" t="s">
        <v>77</v>
      </c>
      <c r="S3112" s="34">
        <f t="shared" si="351"/>
        <v>1510</v>
      </c>
      <c r="T3112" s="10" t="s">
        <v>915</v>
      </c>
      <c r="U3112" s="34" t="str">
        <f t="shared" si="352"/>
        <v/>
      </c>
      <c r="V3112" s="31" t="str">
        <f>IF(H3112="CHK",VLOOKUP(I3112,QCCHK,3,),IF(H3112="GUP",VLOOKUP(E3112,QCGUP,2,),IF(AND(H3112="ATP",OR(I3112="TN",I3112="TDN",I3112="TNO2-3",I3112="NO2-3")),VLOOKUP(E3112,QCREC_N,2,),IF(AND(H3112="NIC",OR(I3112="TN",I3112="TDN",I3112="TNO2-3",I3112="NO2-3")),VLOOKUP(E3112,QCNIC_N,2,),IF(AND(H3112="UREA",OR(I3112="TN",I3112="TDN",I3112="TNO2-3",I3112="NO2-3")),VLOOKUP(E3112,QCUREA_N,2,),IF(H3112="PER",VLOOKUP(I3112,QCPER,MATCH(E3112,QCACTUAL!$J$25:$AA$25,0),),IF(H3112="SPK",VLOOKUP(I3112,QCSPK,3,),IF(AND(H3112="ATP",OR(I3112="TP",I3112="TDP")),VLOOKUP(E3112,QCATP_P,2,),""))))))))</f>
        <v/>
      </c>
      <c r="W3112" s="31" t="str">
        <f t="shared" si="353"/>
        <v>TRUE</v>
      </c>
      <c r="X3112" s="31" t="str">
        <f t="shared" si="350"/>
        <v/>
      </c>
      <c r="Y3112" s="10" t="s">
        <v>1206</v>
      </c>
      <c r="Z3112" s="10" t="s">
        <v>910</v>
      </c>
      <c r="AL3112" s="10" t="str">
        <f t="shared" si="348"/>
        <v>FALSE</v>
      </c>
      <c r="AM3112" s="10" t="str">
        <f t="shared" si="348"/>
        <v>FALSE</v>
      </c>
      <c r="AN3112" s="10" t="str">
        <f t="shared" si="348"/>
        <v>FALSE</v>
      </c>
      <c r="AO3112" s="10" t="str">
        <f t="shared" si="349"/>
        <v>FALSE</v>
      </c>
      <c r="AP3112" s="10" t="str">
        <f t="shared" si="349"/>
        <v>FALSE</v>
      </c>
      <c r="AQ3112" s="10" t="b">
        <f>IF(AND(I3112="TP",S3112&lt;=150),VLOOKUP(AF3112,TPCalibEq150!$AZ$2:$BB$55,3,),IF(AND(I3112="TDP",S3112&lt;=150),VLOOKUP(AF3112,TPCalibEq150!$AZ$2:$BB$55,3,)))</f>
        <v>0</v>
      </c>
      <c r="AR3112" s="10" t="b">
        <f>IF(AND(I3112="TP",S3112&lt;=300),VLOOKUP(AF3112,TPCalibEq300!$AZ$2:$BB$55,3,),IF(AND(I3112="TDP",S3112&lt;=300),VLOOKUP(AF3112,TPCalibEq300!$AZ$2:$BB$55,3,)))</f>
        <v>0</v>
      </c>
      <c r="AS3112" s="10" t="b">
        <f>IF(AND(I3112="TP",S3112&lt;=500),VLOOKUP(AF3112,TPCalibEq500!$AZ$2:$BB$56,3,),IF(AND(I3112="TDP",S3112&lt;=500),VLOOKUP(AF3112,TPCalibEq500!$AZ$2:$BB$56,3,)))</f>
        <v>0</v>
      </c>
      <c r="AT3112" s="10" t="b">
        <f>IF(AND(I3112="TN",S3112&lt;=2800),VLOOKUP(AF3112,TNCalibEq2500!$AZ$2:$BB$56,3,),IF(AND(I3112="TDN",S3112&lt;=2800),VLOOKUP(AF3112,TNCalibEq2500!$AZ$2:$BB$56,3,)))</f>
        <v>0</v>
      </c>
      <c r="AU3112" s="10" t="b">
        <f>IF(I3112="TP",VLOOKUP(AF3112,TPCalibEqFull!$AZ$2:$BB$56,3),IF(I3112="TDP",VLOOKUP(AF3112,TPCalibEqFull!$AZ$2:$BB$56,3),IF(I3112="TDN",VLOOKUP(AF3112,TNCalibEqFull!$AZ$1:$BB$56,3),IF(I3112="TN",VLOOKUP(AF3112,TNCalibEqFull!$AZ$1:$BB$56,3),FALSE))))</f>
        <v>0</v>
      </c>
      <c r="AV3112" s="10" t="str">
        <f t="shared" si="354"/>
        <v>0213 07:52:00-EFK-0-C-1-SW-UKN</v>
      </c>
    </row>
    <row r="3113" spans="1:48" s="10" customFormat="1" x14ac:dyDescent="0.55000000000000004">
      <c r="A3113" s="32">
        <v>44970</v>
      </c>
      <c r="B3113" s="33">
        <v>0.26458333333333334</v>
      </c>
      <c r="C3113" s="10" t="s">
        <v>333</v>
      </c>
      <c r="D3113" s="10">
        <v>0</v>
      </c>
      <c r="E3113" s="10" t="s">
        <v>190</v>
      </c>
      <c r="F3113" s="10">
        <v>1</v>
      </c>
      <c r="G3113" s="10" t="s">
        <v>231</v>
      </c>
      <c r="H3113" s="10" t="s">
        <v>322</v>
      </c>
      <c r="I3113" s="10" t="s">
        <v>256</v>
      </c>
      <c r="J3113" s="10">
        <v>8</v>
      </c>
      <c r="K3113" s="12">
        <v>44972</v>
      </c>
      <c r="L3113" s="33">
        <v>0.48736111111111113</v>
      </c>
      <c r="M3113" s="10">
        <v>1</v>
      </c>
      <c r="N3113" s="10" t="s">
        <v>169</v>
      </c>
      <c r="O3113" s="10">
        <v>7.14</v>
      </c>
      <c r="P3113" s="10">
        <v>0.33100000000000002</v>
      </c>
      <c r="Q3113" s="10">
        <v>933</v>
      </c>
      <c r="R3113" s="10" t="s">
        <v>77</v>
      </c>
      <c r="S3113" s="34">
        <f t="shared" si="351"/>
        <v>933</v>
      </c>
      <c r="T3113" s="10" t="s">
        <v>915</v>
      </c>
      <c r="U3113" s="34" t="str">
        <f t="shared" si="352"/>
        <v/>
      </c>
      <c r="V3113" s="31" t="str">
        <f>IF(H3113="CHK",VLOOKUP(I3113,QCCHK,3,),IF(H3113="GUP",VLOOKUP(E3113,QCGUP,2,),IF(AND(H3113="ATP",OR(I3113="TN",I3113="TDN",I3113="TNO2-3",I3113="NO2-3")),VLOOKUP(E3113,QCREC_N,2,),IF(AND(H3113="NIC",OR(I3113="TN",I3113="TDN",I3113="TNO2-3",I3113="NO2-3")),VLOOKUP(E3113,QCNIC_N,2,),IF(AND(H3113="UREA",OR(I3113="TN",I3113="TDN",I3113="TNO2-3",I3113="NO2-3")),VLOOKUP(E3113,QCUREA_N,2,),IF(H3113="PER",VLOOKUP(I3113,QCPER,MATCH(E3113,QCACTUAL!$J$25:$AA$25,0),),IF(H3113="SPK",VLOOKUP(I3113,QCSPK,3,),IF(AND(H3113="ATP",OR(I3113="TP",I3113="TDP")),VLOOKUP(E3113,QCATP_P,2,),""))))))))</f>
        <v/>
      </c>
      <c r="W3113" s="31" t="str">
        <f t="shared" si="353"/>
        <v>TRUE</v>
      </c>
      <c r="X3113" s="31" t="str">
        <f t="shared" si="350"/>
        <v/>
      </c>
      <c r="Y3113" s="10" t="s">
        <v>1206</v>
      </c>
      <c r="Z3113" s="10" t="s">
        <v>910</v>
      </c>
      <c r="AL3113" s="10" t="str">
        <f t="shared" si="348"/>
        <v>FALSE</v>
      </c>
      <c r="AM3113" s="10" t="str">
        <f t="shared" si="348"/>
        <v>FALSE</v>
      </c>
      <c r="AN3113" s="10" t="str">
        <f t="shared" si="348"/>
        <v>FALSE</v>
      </c>
      <c r="AO3113" s="10" t="str">
        <f t="shared" si="349"/>
        <v>FALSE</v>
      </c>
      <c r="AP3113" s="10" t="str">
        <f t="shared" si="349"/>
        <v>FALSE</v>
      </c>
      <c r="AQ3113" s="10" t="b">
        <f>IF(AND(I3113="TP",S3113&lt;=150),VLOOKUP(AF3113,TPCalibEq150!$AZ$2:$BB$55,3,),IF(AND(I3113="TDP",S3113&lt;=150),VLOOKUP(AF3113,TPCalibEq150!$AZ$2:$BB$55,3,)))</f>
        <v>0</v>
      </c>
      <c r="AR3113" s="10" t="b">
        <f>IF(AND(I3113="TP",S3113&lt;=300),VLOOKUP(AF3113,TPCalibEq300!$AZ$2:$BB$55,3,),IF(AND(I3113="TDP",S3113&lt;=300),VLOOKUP(AF3113,TPCalibEq300!$AZ$2:$BB$55,3,)))</f>
        <v>0</v>
      </c>
      <c r="AS3113" s="10" t="b">
        <f>IF(AND(I3113="TP",S3113&lt;=500),VLOOKUP(AF3113,TPCalibEq500!$AZ$2:$BB$56,3,),IF(AND(I3113="TDP",S3113&lt;=500),VLOOKUP(AF3113,TPCalibEq500!$AZ$2:$BB$56,3,)))</f>
        <v>0</v>
      </c>
      <c r="AT3113" s="10" t="b">
        <f>IF(AND(I3113="TN",S3113&lt;=2800),VLOOKUP(AF3113,TNCalibEq2500!$AZ$2:$BB$56,3,),IF(AND(I3113="TDN",S3113&lt;=2800),VLOOKUP(AF3113,TNCalibEq2500!$AZ$2:$BB$56,3,)))</f>
        <v>0</v>
      </c>
      <c r="AU3113" s="10" t="b">
        <f>IF(I3113="TP",VLOOKUP(AF3113,TPCalibEqFull!$AZ$2:$BB$56,3),IF(I3113="TDP",VLOOKUP(AF3113,TPCalibEqFull!$AZ$2:$BB$56,3),IF(I3113="TDN",VLOOKUP(AF3113,TNCalibEqFull!$AZ$1:$BB$56,3),IF(I3113="TN",VLOOKUP(AF3113,TNCalibEqFull!$AZ$1:$BB$56,3),FALSE))))</f>
        <v>0</v>
      </c>
      <c r="AV3113" s="10" t="str">
        <f t="shared" si="354"/>
        <v>0213 06:21:00-HST-0-C-1-SW-UKN</v>
      </c>
    </row>
    <row r="3114" spans="1:48" s="10" customFormat="1" x14ac:dyDescent="0.55000000000000004">
      <c r="A3114" s="32">
        <v>44940</v>
      </c>
      <c r="B3114" s="33">
        <v>0.24097222222222223</v>
      </c>
      <c r="C3114" s="10" t="s">
        <v>279</v>
      </c>
      <c r="D3114" s="10">
        <v>0</v>
      </c>
      <c r="E3114" s="10" t="s">
        <v>190</v>
      </c>
      <c r="F3114" s="10">
        <v>1</v>
      </c>
      <c r="G3114" s="10" t="s">
        <v>231</v>
      </c>
      <c r="H3114" s="10" t="s">
        <v>322</v>
      </c>
      <c r="I3114" s="10" t="s">
        <v>256</v>
      </c>
      <c r="J3114" s="10">
        <v>9</v>
      </c>
      <c r="K3114" s="12">
        <v>44972</v>
      </c>
      <c r="L3114" s="33">
        <v>0.48818287037037034</v>
      </c>
      <c r="M3114" s="10">
        <v>1</v>
      </c>
      <c r="N3114" s="10" t="s">
        <v>169</v>
      </c>
      <c r="O3114" s="10">
        <v>6.98</v>
      </c>
      <c r="P3114" s="10">
        <v>0.32500000000000001</v>
      </c>
      <c r="Q3114" s="10">
        <v>911</v>
      </c>
      <c r="R3114" s="10" t="s">
        <v>77</v>
      </c>
      <c r="S3114" s="34">
        <f t="shared" si="351"/>
        <v>911</v>
      </c>
      <c r="T3114" s="10" t="s">
        <v>915</v>
      </c>
      <c r="U3114" s="34" t="str">
        <f t="shared" si="352"/>
        <v/>
      </c>
      <c r="V3114" s="31" t="str">
        <f>IF(H3114="CHK",VLOOKUP(I3114,QCCHK,3,),IF(H3114="GUP",VLOOKUP(E3114,QCGUP,2,),IF(AND(H3114="ATP",OR(I3114="TN",I3114="TDN",I3114="TNO2-3",I3114="NO2-3")),VLOOKUP(E3114,QCREC_N,2,),IF(AND(H3114="NIC",OR(I3114="TN",I3114="TDN",I3114="TNO2-3",I3114="NO2-3")),VLOOKUP(E3114,QCNIC_N,2,),IF(AND(H3114="UREA",OR(I3114="TN",I3114="TDN",I3114="TNO2-3",I3114="NO2-3")),VLOOKUP(E3114,QCUREA_N,2,),IF(H3114="PER",VLOOKUP(I3114,QCPER,MATCH(E3114,QCACTUAL!$J$25:$AA$25,0),),IF(H3114="SPK",VLOOKUP(I3114,QCSPK,3,),IF(AND(H3114="ATP",OR(I3114="TP",I3114="TDP")),VLOOKUP(E3114,QCATP_P,2,),""))))))))</f>
        <v/>
      </c>
      <c r="W3114" s="31" t="str">
        <f t="shared" si="353"/>
        <v>TRUE</v>
      </c>
      <c r="X3114" s="31" t="str">
        <f t="shared" si="350"/>
        <v/>
      </c>
      <c r="Y3114" s="10" t="s">
        <v>1206</v>
      </c>
      <c r="AL3114" s="10" t="str">
        <f t="shared" si="348"/>
        <v>FALSE</v>
      </c>
      <c r="AM3114" s="10" t="str">
        <f t="shared" si="348"/>
        <v>FALSE</v>
      </c>
      <c r="AN3114" s="10" t="str">
        <f t="shared" si="348"/>
        <v>FALSE</v>
      </c>
      <c r="AO3114" s="10" t="str">
        <f t="shared" si="349"/>
        <v>FALSE</v>
      </c>
      <c r="AP3114" s="10" t="str">
        <f t="shared" si="349"/>
        <v>FALSE</v>
      </c>
      <c r="AQ3114" s="10" t="b">
        <f>IF(AND(I3114="TP",S3114&lt;=150),VLOOKUP(AF3114,TPCalibEq150!$AZ$2:$BB$55,3,),IF(AND(I3114="TDP",S3114&lt;=150),VLOOKUP(AF3114,TPCalibEq150!$AZ$2:$BB$55,3,)))</f>
        <v>0</v>
      </c>
      <c r="AR3114" s="10" t="b">
        <f>IF(AND(I3114="TP",S3114&lt;=300),VLOOKUP(AF3114,TPCalibEq300!$AZ$2:$BB$55,3,),IF(AND(I3114="TDP",S3114&lt;=300),VLOOKUP(AF3114,TPCalibEq300!$AZ$2:$BB$55,3,)))</f>
        <v>0</v>
      </c>
      <c r="AS3114" s="10" t="b">
        <f>IF(AND(I3114="TP",S3114&lt;=500),VLOOKUP(AF3114,TPCalibEq500!$AZ$2:$BB$56,3,),IF(AND(I3114="TDP",S3114&lt;=500),VLOOKUP(AF3114,TPCalibEq500!$AZ$2:$BB$56,3,)))</f>
        <v>0</v>
      </c>
      <c r="AT3114" s="10" t="b">
        <f>IF(AND(I3114="TN",S3114&lt;=2800),VLOOKUP(AF3114,TNCalibEq2500!$AZ$2:$BB$56,3,),IF(AND(I3114="TDN",S3114&lt;=2800),VLOOKUP(AF3114,TNCalibEq2500!$AZ$2:$BB$56,3,)))</f>
        <v>0</v>
      </c>
      <c r="AU3114" s="10" t="b">
        <f>IF(I3114="TP",VLOOKUP(AF3114,TPCalibEqFull!$AZ$2:$BB$56,3),IF(I3114="TDP",VLOOKUP(AF3114,TPCalibEqFull!$AZ$2:$BB$56,3),IF(I3114="TDN",VLOOKUP(AF3114,TNCalibEqFull!$AZ$1:$BB$56,3),IF(I3114="TN",VLOOKUP(AF3114,TNCalibEqFull!$AZ$1:$BB$56,3),FALSE))))</f>
        <v>0</v>
      </c>
      <c r="AV3114" s="10" t="str">
        <f t="shared" si="354"/>
        <v>0114 05:47:00-EFK-0-C-1-SW-UKN</v>
      </c>
    </row>
    <row r="3115" spans="1:48" s="10" customFormat="1" x14ac:dyDescent="0.55000000000000004">
      <c r="A3115" s="32">
        <v>44940</v>
      </c>
      <c r="B3115" s="33">
        <v>0.24444444444444446</v>
      </c>
      <c r="C3115" s="10" t="s">
        <v>333</v>
      </c>
      <c r="D3115" s="10">
        <v>0</v>
      </c>
      <c r="E3115" s="10" t="s">
        <v>190</v>
      </c>
      <c r="F3115" s="10">
        <v>1</v>
      </c>
      <c r="G3115" s="10" t="s">
        <v>231</v>
      </c>
      <c r="H3115" s="10" t="s">
        <v>322</v>
      </c>
      <c r="I3115" s="10" t="s">
        <v>256</v>
      </c>
      <c r="J3115" s="10">
        <v>10</v>
      </c>
      <c r="K3115" s="12">
        <v>44972</v>
      </c>
      <c r="L3115" s="33">
        <v>0.48899305555555556</v>
      </c>
      <c r="M3115" s="10">
        <v>1</v>
      </c>
      <c r="N3115" s="10" t="s">
        <v>169</v>
      </c>
      <c r="O3115" s="10">
        <v>4.95</v>
      </c>
      <c r="P3115" s="10">
        <v>0.22900000000000001</v>
      </c>
      <c r="Q3115" s="10">
        <v>646</v>
      </c>
      <c r="R3115" s="10" t="s">
        <v>77</v>
      </c>
      <c r="S3115" s="34">
        <f t="shared" si="351"/>
        <v>646</v>
      </c>
      <c r="T3115" s="10" t="s">
        <v>915</v>
      </c>
      <c r="U3115" s="34" t="str">
        <f t="shared" si="352"/>
        <v/>
      </c>
      <c r="V3115" s="31" t="str">
        <f>IF(H3115="CHK",VLOOKUP(I3115,QCCHK,3,),IF(H3115="GUP",VLOOKUP(E3115,QCGUP,2,),IF(AND(H3115="ATP",OR(I3115="TN",I3115="TDN",I3115="TNO2-3",I3115="NO2-3")),VLOOKUP(E3115,QCREC_N,2,),IF(AND(H3115="NIC",OR(I3115="TN",I3115="TDN",I3115="TNO2-3",I3115="NO2-3")),VLOOKUP(E3115,QCNIC_N,2,),IF(AND(H3115="UREA",OR(I3115="TN",I3115="TDN",I3115="TNO2-3",I3115="NO2-3")),VLOOKUP(E3115,QCUREA_N,2,),IF(H3115="PER",VLOOKUP(I3115,QCPER,MATCH(E3115,QCACTUAL!$J$25:$AA$25,0),),IF(H3115="SPK",VLOOKUP(I3115,QCSPK,3,),IF(AND(H3115="ATP",OR(I3115="TP",I3115="TDP")),VLOOKUP(E3115,QCATP_P,2,),""))))))))</f>
        <v/>
      </c>
      <c r="W3115" s="31" t="str">
        <f t="shared" si="353"/>
        <v>TRUE</v>
      </c>
      <c r="X3115" s="31" t="str">
        <f t="shared" si="350"/>
        <v/>
      </c>
      <c r="Y3115" s="10" t="s">
        <v>1206</v>
      </c>
      <c r="AL3115" s="10" t="str">
        <f t="shared" si="348"/>
        <v>FALSE</v>
      </c>
      <c r="AM3115" s="10" t="str">
        <f t="shared" si="348"/>
        <v>FALSE</v>
      </c>
      <c r="AN3115" s="10" t="str">
        <f t="shared" si="348"/>
        <v>FALSE</v>
      </c>
      <c r="AO3115" s="10" t="str">
        <f t="shared" si="349"/>
        <v>FALSE</v>
      </c>
      <c r="AP3115" s="10" t="str">
        <f t="shared" si="349"/>
        <v>FALSE</v>
      </c>
      <c r="AQ3115" s="10" t="b">
        <f>IF(AND(I3115="TP",S3115&lt;=150),VLOOKUP(AF3115,TPCalibEq150!$AZ$2:$BB$55,3,),IF(AND(I3115="TDP",S3115&lt;=150),VLOOKUP(AF3115,TPCalibEq150!$AZ$2:$BB$55,3,)))</f>
        <v>0</v>
      </c>
      <c r="AR3115" s="10" t="b">
        <f>IF(AND(I3115="TP",S3115&lt;=300),VLOOKUP(AF3115,TPCalibEq300!$AZ$2:$BB$55,3,),IF(AND(I3115="TDP",S3115&lt;=300),VLOOKUP(AF3115,TPCalibEq300!$AZ$2:$BB$55,3,)))</f>
        <v>0</v>
      </c>
      <c r="AS3115" s="10" t="b">
        <f>IF(AND(I3115="TP",S3115&lt;=500),VLOOKUP(AF3115,TPCalibEq500!$AZ$2:$BB$56,3,),IF(AND(I3115="TDP",S3115&lt;=500),VLOOKUP(AF3115,TPCalibEq500!$AZ$2:$BB$56,3,)))</f>
        <v>0</v>
      </c>
      <c r="AT3115" s="10" t="b">
        <f>IF(AND(I3115="TN",S3115&lt;=2800),VLOOKUP(AF3115,TNCalibEq2500!$AZ$2:$BB$56,3,),IF(AND(I3115="TDN",S3115&lt;=2800),VLOOKUP(AF3115,TNCalibEq2500!$AZ$2:$BB$56,3,)))</f>
        <v>0</v>
      </c>
      <c r="AU3115" s="10" t="b">
        <f>IF(I3115="TP",VLOOKUP(AF3115,TPCalibEqFull!$AZ$2:$BB$56,3),IF(I3115="TDP",VLOOKUP(AF3115,TPCalibEqFull!$AZ$2:$BB$56,3),IF(I3115="TDN",VLOOKUP(AF3115,TNCalibEqFull!$AZ$1:$BB$56,3),IF(I3115="TN",VLOOKUP(AF3115,TNCalibEqFull!$AZ$1:$BB$56,3),FALSE))))</f>
        <v>0</v>
      </c>
      <c r="AV3115" s="10" t="str">
        <f t="shared" si="354"/>
        <v>0114 05:52:00-HST-0-C-1-SW-UKN</v>
      </c>
    </row>
    <row r="3116" spans="1:48" s="10" customFormat="1" x14ac:dyDescent="0.55000000000000004">
      <c r="A3116" s="32">
        <v>44940</v>
      </c>
      <c r="B3116" s="33">
        <v>0.24444444444444446</v>
      </c>
      <c r="C3116" s="10" t="s">
        <v>333</v>
      </c>
      <c r="D3116" s="10">
        <v>0</v>
      </c>
      <c r="E3116" s="10" t="s">
        <v>190</v>
      </c>
      <c r="F3116" s="10">
        <v>1</v>
      </c>
      <c r="G3116" s="10" t="s">
        <v>231</v>
      </c>
      <c r="H3116" s="10" t="s">
        <v>233</v>
      </c>
      <c r="I3116" s="10" t="s">
        <v>256</v>
      </c>
      <c r="J3116" s="10">
        <v>10</v>
      </c>
      <c r="K3116" s="12">
        <v>44972</v>
      </c>
      <c r="L3116" s="33">
        <v>0.48980324074074072</v>
      </c>
      <c r="M3116" s="10">
        <v>1</v>
      </c>
      <c r="N3116" s="10" t="s">
        <v>169</v>
      </c>
      <c r="O3116" s="10">
        <v>4.92</v>
      </c>
      <c r="P3116" s="10">
        <v>0.22800000000000001</v>
      </c>
      <c r="Q3116" s="10">
        <v>642</v>
      </c>
      <c r="R3116" s="10" t="s">
        <v>77</v>
      </c>
      <c r="S3116" s="34">
        <f t="shared" si="351"/>
        <v>642</v>
      </c>
      <c r="T3116" s="10" t="s">
        <v>915</v>
      </c>
      <c r="U3116" s="34">
        <f t="shared" si="352"/>
        <v>0.6211180124223602</v>
      </c>
      <c r="V3116" s="31" t="str">
        <f>IF(H3116="CHK",VLOOKUP(I3116,QCCHK,3,),IF(H3116="GUP",VLOOKUP(E3116,QCGUP,2,),IF(AND(H3116="ATP",OR(I3116="TN",I3116="TDN",I3116="TNO2-3",I3116="NO2-3")),VLOOKUP(E3116,QCREC_N,2,),IF(AND(H3116="NIC",OR(I3116="TN",I3116="TDN",I3116="TNO2-3",I3116="NO2-3")),VLOOKUP(E3116,QCNIC_N,2,),IF(AND(H3116="UREA",OR(I3116="TN",I3116="TDN",I3116="TNO2-3",I3116="NO2-3")),VLOOKUP(E3116,QCUREA_N,2,),IF(H3116="PER",VLOOKUP(I3116,QCPER,MATCH(E3116,QCACTUAL!$J$25:$AA$25,0),),IF(H3116="SPK",VLOOKUP(I3116,QCSPK,3,),IF(AND(H3116="ATP",OR(I3116="TP",I3116="TDP")),VLOOKUP(E3116,QCATP_P,2,),""))))))))</f>
        <v/>
      </c>
      <c r="W3116" s="31" t="str">
        <f t="shared" si="353"/>
        <v>TRUE</v>
      </c>
      <c r="X3116" s="31" t="str">
        <f t="shared" si="350"/>
        <v>((ABS(rep1-rep2))/((rep1+rep2)/2)*100</v>
      </c>
      <c r="Y3116" s="10" t="s">
        <v>1206</v>
      </c>
      <c r="AL3116" s="10" t="str">
        <f t="shared" si="348"/>
        <v>FALSE</v>
      </c>
      <c r="AM3116" s="10" t="str">
        <f t="shared" si="348"/>
        <v>FALSE</v>
      </c>
      <c r="AN3116" s="10" t="str">
        <f t="shared" si="348"/>
        <v>FALSE</v>
      </c>
      <c r="AO3116" s="10" t="str">
        <f t="shared" si="349"/>
        <v>FALSE</v>
      </c>
      <c r="AP3116" s="10" t="str">
        <f t="shared" si="349"/>
        <v>FALSE</v>
      </c>
      <c r="AQ3116" s="10" t="b">
        <f>IF(AND(I3116="TP",S3116&lt;=150),VLOOKUP(AF3116,TPCalibEq150!$AZ$2:$BB$55,3,),IF(AND(I3116="TDP",S3116&lt;=150),VLOOKUP(AF3116,TPCalibEq150!$AZ$2:$BB$55,3,)))</f>
        <v>0</v>
      </c>
      <c r="AR3116" s="10" t="b">
        <f>IF(AND(I3116="TP",S3116&lt;=300),VLOOKUP(AF3116,TPCalibEq300!$AZ$2:$BB$55,3,),IF(AND(I3116="TDP",S3116&lt;=300),VLOOKUP(AF3116,TPCalibEq300!$AZ$2:$BB$55,3,)))</f>
        <v>0</v>
      </c>
      <c r="AS3116" s="10" t="b">
        <f>IF(AND(I3116="TP",S3116&lt;=500),VLOOKUP(AF3116,TPCalibEq500!$AZ$2:$BB$56,3,),IF(AND(I3116="TDP",S3116&lt;=500),VLOOKUP(AF3116,TPCalibEq500!$AZ$2:$BB$56,3,)))</f>
        <v>0</v>
      </c>
      <c r="AT3116" s="10" t="b">
        <f>IF(AND(I3116="TN",S3116&lt;=2800),VLOOKUP(AF3116,TNCalibEq2500!$AZ$2:$BB$56,3,),IF(AND(I3116="TDN",S3116&lt;=2800),VLOOKUP(AF3116,TNCalibEq2500!$AZ$2:$BB$56,3,)))</f>
        <v>0</v>
      </c>
      <c r="AU3116" s="10" t="b">
        <f>IF(I3116="TP",VLOOKUP(AF3116,TPCalibEqFull!$AZ$2:$BB$56,3),IF(I3116="TDP",VLOOKUP(AF3116,TPCalibEqFull!$AZ$2:$BB$56,3),IF(I3116="TDN",VLOOKUP(AF3116,TNCalibEqFull!$AZ$1:$BB$56,3),IF(I3116="TN",VLOOKUP(AF3116,TNCalibEqFull!$AZ$1:$BB$56,3),FALSE))))</f>
        <v>0</v>
      </c>
      <c r="AV3116" s="10" t="str">
        <f t="shared" si="354"/>
        <v>0114 05:52:00-HST-0-C-1-SW-DUP</v>
      </c>
    </row>
    <row r="3117" spans="1:48" s="10" customFormat="1" x14ac:dyDescent="0.55000000000000004">
      <c r="A3117" s="32">
        <v>44940</v>
      </c>
      <c r="B3117" s="33">
        <v>0.24444444444444446</v>
      </c>
      <c r="C3117" s="10" t="s">
        <v>912</v>
      </c>
      <c r="D3117" s="10">
        <v>0</v>
      </c>
      <c r="E3117" s="10" t="s">
        <v>190</v>
      </c>
      <c r="F3117" s="10">
        <v>1</v>
      </c>
      <c r="G3117" s="10" t="s">
        <v>231</v>
      </c>
      <c r="H3117" s="10" t="s">
        <v>314</v>
      </c>
      <c r="I3117" s="10" t="s">
        <v>256</v>
      </c>
      <c r="J3117" s="10">
        <v>49</v>
      </c>
      <c r="K3117" s="12">
        <v>44972</v>
      </c>
      <c r="L3117" s="33">
        <v>0.49061342592592588</v>
      </c>
      <c r="M3117" s="10">
        <v>1</v>
      </c>
      <c r="N3117" s="10" t="s">
        <v>169</v>
      </c>
      <c r="O3117" s="10">
        <v>9.67</v>
      </c>
      <c r="P3117" s="10">
        <v>0.45100000000000001</v>
      </c>
      <c r="Q3117" s="10">
        <v>1260</v>
      </c>
      <c r="R3117" s="10" t="s">
        <v>77</v>
      </c>
      <c r="S3117" s="34">
        <f t="shared" si="351"/>
        <v>1260</v>
      </c>
      <c r="T3117" s="10" t="s">
        <v>915</v>
      </c>
      <c r="U3117" s="34">
        <f t="shared" si="352"/>
        <v>98.88</v>
      </c>
      <c r="V3117" s="31">
        <f>IF(H3117="CHK",VLOOKUP(I3117,QCCHK,3,),IF(H3117="GUP",VLOOKUP(E3117,QCGUP,2,),IF(AND(H3117="ATP",OR(I3117="TN",I3117="TDN",I3117="TNO2-3",I3117="NO2-3")),VLOOKUP(E3117,QCREC_N,2,),IF(AND(H3117="NIC",OR(I3117="TN",I3117="TDN",I3117="TNO2-3",I3117="NO2-3")),VLOOKUP(E3117,QCNIC_N,2,),IF(AND(H3117="UREA",OR(I3117="TN",I3117="TDN",I3117="TNO2-3",I3117="NO2-3")),VLOOKUP(E3117,QCUREA_N,2,),IF(H3117="PER",VLOOKUP(I3117,QCPER,MATCH(E3117,QCACTUAL!$J$25:$AA$25,0),),IF(H3117="SPK",VLOOKUP(I3117,QCSPK,3,),IF(AND(H3117="ATP",OR(I3117="TP",I3117="TDP")),VLOOKUP(E3117,QCATP_P,2,),""))))))))</f>
        <v>625</v>
      </c>
      <c r="W3117" s="31" t="str">
        <f t="shared" si="353"/>
        <v>TRUE</v>
      </c>
      <c r="X3117" s="31" t="str">
        <f t="shared" si="350"/>
        <v>([spikedunkn]-[unkn])/[spike]*100</v>
      </c>
      <c r="Y3117" s="10" t="s">
        <v>1206</v>
      </c>
      <c r="AL3117" s="10" t="str">
        <f t="shared" si="348"/>
        <v>FALSE</v>
      </c>
      <c r="AM3117" s="10" t="str">
        <f t="shared" si="348"/>
        <v>FALSE</v>
      </c>
      <c r="AN3117" s="10" t="str">
        <f t="shared" si="348"/>
        <v>FALSE</v>
      </c>
      <c r="AO3117" s="10" t="str">
        <f t="shared" si="349"/>
        <v>FALSE</v>
      </c>
      <c r="AP3117" s="10" t="str">
        <f t="shared" si="349"/>
        <v>FALSE</v>
      </c>
      <c r="AQ3117" s="10" t="b">
        <f>IF(AND(I3117="TP",S3117&lt;=150),VLOOKUP(AF3117,TPCalibEq150!$AZ$2:$BB$55,3,),IF(AND(I3117="TDP",S3117&lt;=150),VLOOKUP(AF3117,TPCalibEq150!$AZ$2:$BB$55,3,)))</f>
        <v>0</v>
      </c>
      <c r="AR3117" s="10" t="b">
        <f>IF(AND(I3117="TP",S3117&lt;=300),VLOOKUP(AF3117,TPCalibEq300!$AZ$2:$BB$55,3,),IF(AND(I3117="TDP",S3117&lt;=300),VLOOKUP(AF3117,TPCalibEq300!$AZ$2:$BB$55,3,)))</f>
        <v>0</v>
      </c>
      <c r="AS3117" s="10" t="b">
        <f>IF(AND(I3117="TP",S3117&lt;=500),VLOOKUP(AF3117,TPCalibEq500!$AZ$2:$BB$56,3,),IF(AND(I3117="TDP",S3117&lt;=500),VLOOKUP(AF3117,TPCalibEq500!$AZ$2:$BB$56,3,)))</f>
        <v>0</v>
      </c>
      <c r="AT3117" s="10" t="b">
        <f>IF(AND(I3117="TN",S3117&lt;=2800),VLOOKUP(AF3117,TNCalibEq2500!$AZ$2:$BB$56,3,),IF(AND(I3117="TDN",S3117&lt;=2800),VLOOKUP(AF3117,TNCalibEq2500!$AZ$2:$BB$56,3,)))</f>
        <v>0</v>
      </c>
      <c r="AU3117" s="10" t="b">
        <f>IF(I3117="TP",VLOOKUP(AF3117,TPCalibEqFull!$AZ$2:$BB$56,3),IF(I3117="TDP",VLOOKUP(AF3117,TPCalibEqFull!$AZ$2:$BB$56,3),IF(I3117="TDN",VLOOKUP(AF3117,TNCalibEqFull!$AZ$1:$BB$56,3),IF(I3117="TN",VLOOKUP(AF3117,TNCalibEqFull!$AZ$1:$BB$56,3),FALSE))))</f>
        <v>0</v>
      </c>
      <c r="AV3117" s="10" t="str">
        <f t="shared" si="354"/>
        <v>0114 05:52:00-HST -0-C-1-SW-SPK</v>
      </c>
    </row>
    <row r="3118" spans="1:48" s="10" customFormat="1" x14ac:dyDescent="0.55000000000000004">
      <c r="A3118" s="32">
        <v>44972</v>
      </c>
      <c r="B3118" s="33">
        <v>0.375</v>
      </c>
      <c r="C3118" s="10" t="s">
        <v>70</v>
      </c>
      <c r="D3118" s="10" t="s">
        <v>71</v>
      </c>
      <c r="E3118" s="10" t="s">
        <v>901</v>
      </c>
      <c r="F3118" s="10">
        <v>1</v>
      </c>
      <c r="G3118" s="10" t="s">
        <v>73</v>
      </c>
      <c r="H3118" s="10" t="s">
        <v>207</v>
      </c>
      <c r="I3118" s="10" t="s">
        <v>256</v>
      </c>
      <c r="J3118" s="10">
        <v>199</v>
      </c>
      <c r="K3118" s="12">
        <v>44972</v>
      </c>
      <c r="L3118" s="33">
        <v>0.49144675925925929</v>
      </c>
      <c r="M3118" s="10">
        <v>1</v>
      </c>
      <c r="N3118" s="10" t="s">
        <v>169</v>
      </c>
      <c r="O3118" s="10">
        <v>2.2799999999999998</v>
      </c>
      <c r="P3118" s="10">
        <v>0.108</v>
      </c>
      <c r="Q3118" s="10">
        <v>298</v>
      </c>
      <c r="R3118" s="10" t="s">
        <v>77</v>
      </c>
      <c r="S3118" s="34">
        <f t="shared" si="351"/>
        <v>298</v>
      </c>
      <c r="T3118" s="10" t="s">
        <v>915</v>
      </c>
      <c r="U3118" s="34">
        <f t="shared" si="352"/>
        <v>99.333333333333329</v>
      </c>
      <c r="V3118" s="31">
        <f>IF(H3118="CHK",VLOOKUP(I3118,QCCHK,3,),IF(H3118="GUP",VLOOKUP(E3118,QCGUP,2,),IF(AND(H3118="ATP",OR(I3118="TN",I3118="TDN",I3118="TNO2-3",I3118="NO2-3")),VLOOKUP(E3118,QCREC_N,2,),IF(AND(H3118="NIC",OR(I3118="TN",I3118="TDN",I3118="TNO2-3",I3118="NO2-3")),VLOOKUP(E3118,QCNIC_N,2,),IF(AND(H3118="UREA",OR(I3118="TN",I3118="TDN",I3118="TNO2-3",I3118="NO2-3")),VLOOKUP(E3118,QCUREA_N,2,),IF(H3118="PER",VLOOKUP(I3118,QCPER,MATCH(E3118,QCACTUAL!$J$25:$AA$25,0),),IF(H3118="SPK",VLOOKUP(I3118,QCSPK,3,),IF(AND(H3118="ATP",OR(I3118="TP",I3118="TDP")),VLOOKUP(E3118,QCATP_P,2,),""))))))))</f>
        <v>300</v>
      </c>
      <c r="W3118" s="31" t="str">
        <f t="shared" si="353"/>
        <v>TRUE</v>
      </c>
      <c r="X3118" s="31" t="str">
        <f t="shared" si="350"/>
        <v>[chk]/[actual]*100</v>
      </c>
      <c r="Y3118" s="10" t="s">
        <v>1206</v>
      </c>
      <c r="AL3118" s="10" t="str">
        <f t="shared" si="348"/>
        <v>FALSE</v>
      </c>
      <c r="AM3118" s="10" t="str">
        <f t="shared" si="348"/>
        <v>FALSE</v>
      </c>
      <c r="AN3118" s="10" t="str">
        <f t="shared" si="348"/>
        <v>FALSE</v>
      </c>
      <c r="AO3118" s="10" t="str">
        <f t="shared" si="349"/>
        <v>FALSE</v>
      </c>
      <c r="AP3118" s="10" t="str">
        <f t="shared" si="349"/>
        <v>FALSE</v>
      </c>
      <c r="AQ3118" s="10" t="b">
        <f>IF(AND(I3118="TP",S3118&lt;=150),VLOOKUP(AF3118,TPCalibEq150!$AZ$2:$BB$55,3,),IF(AND(I3118="TDP",S3118&lt;=150),VLOOKUP(AF3118,TPCalibEq150!$AZ$2:$BB$55,3,)))</f>
        <v>0</v>
      </c>
      <c r="AR3118" s="10" t="b">
        <f>IF(AND(I3118="TP",S3118&lt;=300),VLOOKUP(AF3118,TPCalibEq300!$AZ$2:$BB$55,3,),IF(AND(I3118="TDP",S3118&lt;=300),VLOOKUP(AF3118,TPCalibEq300!$AZ$2:$BB$55,3,)))</f>
        <v>0</v>
      </c>
      <c r="AS3118" s="10" t="b">
        <f>IF(AND(I3118="TP",S3118&lt;=500),VLOOKUP(AF3118,TPCalibEq500!$AZ$2:$BB$56,3,),IF(AND(I3118="TDP",S3118&lt;=500),VLOOKUP(AF3118,TPCalibEq500!$AZ$2:$BB$56,3,)))</f>
        <v>0</v>
      </c>
      <c r="AT3118" s="10" t="b">
        <f>IF(AND(I3118="TN",S3118&lt;=2800),VLOOKUP(AF3118,TNCalibEq2500!$AZ$2:$BB$56,3,),IF(AND(I3118="TDN",S3118&lt;=2800),VLOOKUP(AF3118,TNCalibEq2500!$AZ$2:$BB$56,3,)))</f>
        <v>0</v>
      </c>
      <c r="AU3118" s="10" t="b">
        <f>IF(I3118="TP",VLOOKUP(AF3118,TPCalibEqFull!$AZ$2:$BB$56,3),IF(I3118="TDP",VLOOKUP(AF3118,TPCalibEqFull!$AZ$2:$BB$56,3),IF(I3118="TDN",VLOOKUP(AF3118,TNCalibEqFull!$AZ$1:$BB$56,3),IF(I3118="TN",VLOOKUP(AF3118,TNCalibEqFull!$AZ$1:$BB$56,3),FALSE))))</f>
        <v>0</v>
      </c>
      <c r="AV3118" s="10" t="str">
        <f t="shared" si="354"/>
        <v>0215 09:00:00-QAC-STD-D-1-DI-CHK</v>
      </c>
    </row>
    <row r="3119" spans="1:48" s="10" customFormat="1" x14ac:dyDescent="0.55000000000000004">
      <c r="A3119" s="32">
        <v>44970</v>
      </c>
      <c r="B3119" s="33">
        <v>0.36944444444444446</v>
      </c>
      <c r="C3119" s="10" t="s">
        <v>998</v>
      </c>
      <c r="D3119" s="10">
        <v>0</v>
      </c>
      <c r="E3119" s="10" t="s">
        <v>190</v>
      </c>
      <c r="F3119" s="10">
        <v>1</v>
      </c>
      <c r="G3119" s="10" t="s">
        <v>231</v>
      </c>
      <c r="H3119" s="10" t="s">
        <v>322</v>
      </c>
      <c r="I3119" s="10" t="s">
        <v>256</v>
      </c>
      <c r="J3119" s="10">
        <v>11</v>
      </c>
      <c r="K3119" s="12">
        <v>44972</v>
      </c>
      <c r="L3119" s="33">
        <v>0.53553240740740737</v>
      </c>
      <c r="M3119" s="10">
        <v>10</v>
      </c>
      <c r="N3119" s="10" t="s">
        <v>169</v>
      </c>
      <c r="O3119" s="10">
        <v>0.70799999999999996</v>
      </c>
      <c r="P3119" s="10">
        <v>3.3599999999999998E-2</v>
      </c>
      <c r="Q3119" s="10">
        <v>92.5</v>
      </c>
      <c r="R3119" s="10" t="s">
        <v>77</v>
      </c>
      <c r="S3119" s="34">
        <f t="shared" si="351"/>
        <v>925</v>
      </c>
      <c r="T3119" s="10" t="s">
        <v>915</v>
      </c>
      <c r="U3119" s="34" t="str">
        <f t="shared" si="352"/>
        <v/>
      </c>
      <c r="V3119" s="31" t="str">
        <f>IF(H3119="CHK",VLOOKUP(I3119,QCCHK,3,),IF(H3119="GUP",VLOOKUP(E3119,QCGUP,2,),IF(AND(H3119="ATP",OR(I3119="TN",I3119="TDN",I3119="TNO2-3",I3119="NO2-3")),VLOOKUP(E3119,QCREC_N,2,),IF(AND(H3119="NIC",OR(I3119="TN",I3119="TDN",I3119="TNO2-3",I3119="NO2-3")),VLOOKUP(E3119,QCNIC_N,2,),IF(AND(H3119="UREA",OR(I3119="TN",I3119="TDN",I3119="TNO2-3",I3119="NO2-3")),VLOOKUP(E3119,QCUREA_N,2,),IF(H3119="PER",VLOOKUP(I3119,QCPER,MATCH(E3119,QCACTUAL!$J$25:$AA$25,0),),IF(H3119="SPK",VLOOKUP(I3119,QCSPK,3,),IF(AND(H3119="ATP",OR(I3119="TP",I3119="TDP")),VLOOKUP(E3119,QCATP_P,2,),""))))))))</f>
        <v/>
      </c>
      <c r="W3119" s="31" t="str">
        <f t="shared" si="353"/>
        <v>TRUE</v>
      </c>
      <c r="X3119" s="31" t="str">
        <f t="shared" si="350"/>
        <v/>
      </c>
      <c r="Y3119" s="10" t="s">
        <v>1206</v>
      </c>
      <c r="Z3119" s="10" t="s">
        <v>910</v>
      </c>
      <c r="AL3119" s="10" t="str">
        <f t="shared" si="348"/>
        <v>FALSE</v>
      </c>
      <c r="AM3119" s="10" t="str">
        <f t="shared" si="348"/>
        <v>FALSE</v>
      </c>
      <c r="AN3119" s="10" t="str">
        <f t="shared" si="348"/>
        <v>FALSE</v>
      </c>
      <c r="AO3119" s="10" t="str">
        <f t="shared" si="349"/>
        <v>FALSE</v>
      </c>
      <c r="AP3119" s="10" t="str">
        <f t="shared" si="349"/>
        <v>FALSE</v>
      </c>
      <c r="AQ3119" s="10" t="b">
        <f>IF(AND(I3119="TP",S3119&lt;=150),VLOOKUP(AF3119,TPCalibEq150!$AZ$2:$BB$55,3,),IF(AND(I3119="TDP",S3119&lt;=150),VLOOKUP(AF3119,TPCalibEq150!$AZ$2:$BB$55,3,)))</f>
        <v>0</v>
      </c>
      <c r="AR3119" s="10" t="b">
        <f>IF(AND(I3119="TP",S3119&lt;=300),VLOOKUP(AF3119,TPCalibEq300!$AZ$2:$BB$55,3,),IF(AND(I3119="TDP",S3119&lt;=300),VLOOKUP(AF3119,TPCalibEq300!$AZ$2:$BB$55,3,)))</f>
        <v>0</v>
      </c>
      <c r="AS3119" s="10" t="b">
        <f>IF(AND(I3119="TP",S3119&lt;=500),VLOOKUP(AF3119,TPCalibEq500!$AZ$2:$BB$56,3,),IF(AND(I3119="TDP",S3119&lt;=500),VLOOKUP(AF3119,TPCalibEq500!$AZ$2:$BB$56,3,)))</f>
        <v>0</v>
      </c>
      <c r="AT3119" s="10" t="b">
        <f>IF(AND(I3119="TN",S3119&lt;=2800),VLOOKUP(AF3119,TNCalibEq2500!$AZ$2:$BB$56,3,),IF(AND(I3119="TDN",S3119&lt;=2800),VLOOKUP(AF3119,TNCalibEq2500!$AZ$2:$BB$56,3,)))</f>
        <v>0</v>
      </c>
      <c r="AU3119" s="10" t="b">
        <f>IF(I3119="TP",VLOOKUP(AF3119,TPCalibEqFull!$AZ$2:$BB$56,3),IF(I3119="TDP",VLOOKUP(AF3119,TPCalibEqFull!$AZ$2:$BB$56,3),IF(I3119="TDN",VLOOKUP(AF3119,TNCalibEqFull!$AZ$1:$BB$56,3),IF(I3119="TN",VLOOKUP(AF3119,TNCalibEqFull!$AZ$1:$BB$56,3),FALSE))))</f>
        <v>0</v>
      </c>
      <c r="AV3119" s="10" t="str">
        <f t="shared" si="354"/>
        <v>0213 08:52:00-ELW-0-C-1-SW-UKN</v>
      </c>
    </row>
    <row r="3120" spans="1:48" s="10" customFormat="1" x14ac:dyDescent="0.55000000000000004">
      <c r="A3120" s="32">
        <v>44970</v>
      </c>
      <c r="B3120" s="33">
        <v>0.3840277777777778</v>
      </c>
      <c r="C3120" s="10" t="s">
        <v>270</v>
      </c>
      <c r="D3120" s="10">
        <v>0</v>
      </c>
      <c r="E3120" s="10" t="s">
        <v>190</v>
      </c>
      <c r="F3120" s="10">
        <v>1</v>
      </c>
      <c r="G3120" s="10" t="s">
        <v>231</v>
      </c>
      <c r="H3120" s="10" t="s">
        <v>322</v>
      </c>
      <c r="I3120" s="10" t="s">
        <v>256</v>
      </c>
      <c r="J3120" s="10">
        <v>12</v>
      </c>
      <c r="K3120" s="12">
        <v>44972</v>
      </c>
      <c r="L3120" s="33">
        <v>0.49306712962962962</v>
      </c>
      <c r="M3120" s="10">
        <v>1</v>
      </c>
      <c r="N3120" s="10" t="s">
        <v>169</v>
      </c>
      <c r="O3120" s="10">
        <v>6.14</v>
      </c>
      <c r="P3120" s="10">
        <v>0.28599999999999998</v>
      </c>
      <c r="Q3120" s="10">
        <v>801</v>
      </c>
      <c r="R3120" s="10" t="s">
        <v>77</v>
      </c>
      <c r="S3120" s="34">
        <f t="shared" si="351"/>
        <v>801</v>
      </c>
      <c r="T3120" s="10" t="s">
        <v>915</v>
      </c>
      <c r="U3120" s="34" t="str">
        <f t="shared" si="352"/>
        <v/>
      </c>
      <c r="V3120" s="31" t="str">
        <f>IF(H3120="CHK",VLOOKUP(I3120,QCCHK,3,),IF(H3120="GUP",VLOOKUP(E3120,QCGUP,2,),IF(AND(H3120="ATP",OR(I3120="TN",I3120="TDN",I3120="TNO2-3",I3120="NO2-3")),VLOOKUP(E3120,QCREC_N,2,),IF(AND(H3120="NIC",OR(I3120="TN",I3120="TDN",I3120="TNO2-3",I3120="NO2-3")),VLOOKUP(E3120,QCNIC_N,2,),IF(AND(H3120="UREA",OR(I3120="TN",I3120="TDN",I3120="TNO2-3",I3120="NO2-3")),VLOOKUP(E3120,QCUREA_N,2,),IF(H3120="PER",VLOOKUP(I3120,QCPER,MATCH(E3120,QCACTUAL!$J$25:$AA$25,0),),IF(H3120="SPK",VLOOKUP(I3120,QCSPK,3,),IF(AND(H3120="ATP",OR(I3120="TP",I3120="TDP")),VLOOKUP(E3120,QCATP_P,2,),""))))))))</f>
        <v/>
      </c>
      <c r="W3120" s="31" t="str">
        <f t="shared" si="353"/>
        <v>TRUE</v>
      </c>
      <c r="X3120" s="31" t="str">
        <f t="shared" si="350"/>
        <v/>
      </c>
      <c r="Y3120" s="10" t="s">
        <v>1206</v>
      </c>
      <c r="Z3120" s="10" t="s">
        <v>910</v>
      </c>
      <c r="AL3120" s="10" t="str">
        <f t="shared" si="348"/>
        <v>FALSE</v>
      </c>
      <c r="AM3120" s="10" t="str">
        <f t="shared" si="348"/>
        <v>FALSE</v>
      </c>
      <c r="AN3120" s="10" t="str">
        <f t="shared" si="348"/>
        <v>FALSE</v>
      </c>
      <c r="AO3120" s="10" t="str">
        <f t="shared" si="349"/>
        <v>FALSE</v>
      </c>
      <c r="AP3120" s="10" t="str">
        <f t="shared" si="349"/>
        <v>FALSE</v>
      </c>
      <c r="AQ3120" s="10" t="b">
        <f>IF(AND(I3120="TP",S3120&lt;=150),VLOOKUP(AF3120,TPCalibEq150!$AZ$2:$BB$55,3,),IF(AND(I3120="TDP",S3120&lt;=150),VLOOKUP(AF3120,TPCalibEq150!$AZ$2:$BB$55,3,)))</f>
        <v>0</v>
      </c>
      <c r="AR3120" s="10" t="b">
        <f>IF(AND(I3120="TP",S3120&lt;=300),VLOOKUP(AF3120,TPCalibEq300!$AZ$2:$BB$55,3,),IF(AND(I3120="TDP",S3120&lt;=300),VLOOKUP(AF3120,TPCalibEq300!$AZ$2:$BB$55,3,)))</f>
        <v>0</v>
      </c>
      <c r="AS3120" s="10" t="b">
        <f>IF(AND(I3120="TP",S3120&lt;=500),VLOOKUP(AF3120,TPCalibEq500!$AZ$2:$BB$56,3,),IF(AND(I3120="TDP",S3120&lt;=500),VLOOKUP(AF3120,TPCalibEq500!$AZ$2:$BB$56,3,)))</f>
        <v>0</v>
      </c>
      <c r="AT3120" s="10" t="b">
        <f>IF(AND(I3120="TN",S3120&lt;=2800),VLOOKUP(AF3120,TNCalibEq2500!$AZ$2:$BB$56,3,),IF(AND(I3120="TDN",S3120&lt;=2800),VLOOKUP(AF3120,TNCalibEq2500!$AZ$2:$BB$56,3,)))</f>
        <v>0</v>
      </c>
      <c r="AU3120" s="10" t="b">
        <f>IF(I3120="TP",VLOOKUP(AF3120,TPCalibEqFull!$AZ$2:$BB$56,3),IF(I3120="TDP",VLOOKUP(AF3120,TPCalibEqFull!$AZ$2:$BB$56,3),IF(I3120="TDN",VLOOKUP(AF3120,TNCalibEqFull!$AZ$1:$BB$56,3),IF(I3120="TN",VLOOKUP(AF3120,TNCalibEqFull!$AZ$1:$BB$56,3),FALSE))))</f>
        <v>0</v>
      </c>
      <c r="AV3120" s="10" t="str">
        <f t="shared" si="354"/>
        <v>0213 09:13:00-EFG-0-C-1-SW-UKN</v>
      </c>
    </row>
    <row r="3121" spans="1:48" s="10" customFormat="1" x14ac:dyDescent="0.55000000000000004">
      <c r="A3121" s="32">
        <v>44970</v>
      </c>
      <c r="B3121" s="33">
        <v>0.3923611111111111</v>
      </c>
      <c r="C3121" s="10" t="s">
        <v>540</v>
      </c>
      <c r="D3121" s="10">
        <v>0</v>
      </c>
      <c r="E3121" s="10" t="s">
        <v>190</v>
      </c>
      <c r="F3121" s="10">
        <v>1</v>
      </c>
      <c r="G3121" s="10" t="s">
        <v>231</v>
      </c>
      <c r="H3121" s="10" t="s">
        <v>322</v>
      </c>
      <c r="I3121" s="10" t="s">
        <v>256</v>
      </c>
      <c r="J3121" s="10">
        <v>13</v>
      </c>
      <c r="K3121" s="12">
        <v>44972</v>
      </c>
      <c r="L3121" s="33">
        <v>0.49387731481481478</v>
      </c>
      <c r="M3121" s="10">
        <v>1</v>
      </c>
      <c r="N3121" s="10" t="s">
        <v>169</v>
      </c>
      <c r="O3121" s="10">
        <v>10.5</v>
      </c>
      <c r="P3121" s="10">
        <v>0.48899999999999999</v>
      </c>
      <c r="Q3121" s="10">
        <v>1370</v>
      </c>
      <c r="R3121" s="10" t="s">
        <v>77</v>
      </c>
      <c r="S3121" s="34">
        <f t="shared" si="351"/>
        <v>1370</v>
      </c>
      <c r="T3121" s="10" t="s">
        <v>915</v>
      </c>
      <c r="U3121" s="34" t="str">
        <f t="shared" si="352"/>
        <v/>
      </c>
      <c r="V3121" s="31" t="str">
        <f>IF(H3121="CHK",VLOOKUP(I3121,QCCHK,3,),IF(H3121="GUP",VLOOKUP(E3121,QCGUP,2,),IF(AND(H3121="ATP",OR(I3121="TN",I3121="TDN",I3121="TNO2-3",I3121="NO2-3")),VLOOKUP(E3121,QCREC_N,2,),IF(AND(H3121="NIC",OR(I3121="TN",I3121="TDN",I3121="TNO2-3",I3121="NO2-3")),VLOOKUP(E3121,QCNIC_N,2,),IF(AND(H3121="UREA",OR(I3121="TN",I3121="TDN",I3121="TNO2-3",I3121="NO2-3")),VLOOKUP(E3121,QCUREA_N,2,),IF(H3121="PER",VLOOKUP(I3121,QCPER,MATCH(E3121,QCACTUAL!$J$25:$AA$25,0),),IF(H3121="SPK",VLOOKUP(I3121,QCSPK,3,),IF(AND(H3121="ATP",OR(I3121="TP",I3121="TDP")),VLOOKUP(E3121,QCATP_P,2,),""))))))))</f>
        <v/>
      </c>
      <c r="W3121" s="31" t="str">
        <f t="shared" si="353"/>
        <v>TRUE</v>
      </c>
      <c r="X3121" s="31" t="str">
        <f t="shared" si="350"/>
        <v/>
      </c>
      <c r="Y3121" s="10" t="s">
        <v>1206</v>
      </c>
      <c r="Z3121" s="10" t="s">
        <v>910</v>
      </c>
      <c r="AL3121" s="10" t="str">
        <f t="shared" si="348"/>
        <v>FALSE</v>
      </c>
      <c r="AM3121" s="10" t="str">
        <f t="shared" si="348"/>
        <v>FALSE</v>
      </c>
      <c r="AN3121" s="10" t="str">
        <f t="shared" si="348"/>
        <v>FALSE</v>
      </c>
      <c r="AO3121" s="10" t="str">
        <f t="shared" si="349"/>
        <v>FALSE</v>
      </c>
      <c r="AP3121" s="10" t="str">
        <f t="shared" si="349"/>
        <v>FALSE</v>
      </c>
      <c r="AQ3121" s="10" t="b">
        <f>IF(AND(I3121="TP",S3121&lt;=150),VLOOKUP(AF3121,TPCalibEq150!$AZ$2:$BB$55,3,),IF(AND(I3121="TDP",S3121&lt;=150),VLOOKUP(AF3121,TPCalibEq150!$AZ$2:$BB$55,3,)))</f>
        <v>0</v>
      </c>
      <c r="AR3121" s="10" t="b">
        <f>IF(AND(I3121="TP",S3121&lt;=300),VLOOKUP(AF3121,TPCalibEq300!$AZ$2:$BB$55,3,),IF(AND(I3121="TDP",S3121&lt;=300),VLOOKUP(AF3121,TPCalibEq300!$AZ$2:$BB$55,3,)))</f>
        <v>0</v>
      </c>
      <c r="AS3121" s="10" t="b">
        <f>IF(AND(I3121="TP",S3121&lt;=500),VLOOKUP(AF3121,TPCalibEq500!$AZ$2:$BB$56,3,),IF(AND(I3121="TDP",S3121&lt;=500),VLOOKUP(AF3121,TPCalibEq500!$AZ$2:$BB$56,3,)))</f>
        <v>0</v>
      </c>
      <c r="AT3121" s="10" t="b">
        <f>IF(AND(I3121="TN",S3121&lt;=2800),VLOOKUP(AF3121,TNCalibEq2500!$AZ$2:$BB$56,3,),IF(AND(I3121="TDN",S3121&lt;=2800),VLOOKUP(AF3121,TNCalibEq2500!$AZ$2:$BB$56,3,)))</f>
        <v>0</v>
      </c>
      <c r="AU3121" s="10" t="b">
        <f>IF(I3121="TP",VLOOKUP(AF3121,TPCalibEqFull!$AZ$2:$BB$56,3),IF(I3121="TDP",VLOOKUP(AF3121,TPCalibEqFull!$AZ$2:$BB$56,3),IF(I3121="TDN",VLOOKUP(AF3121,TNCalibEqFull!$AZ$1:$BB$56,3),IF(I3121="TN",VLOOKUP(AF3121,TNCalibEqFull!$AZ$1:$BB$56,3),FALSE))))</f>
        <v>0</v>
      </c>
      <c r="AV3121" s="10" t="str">
        <f t="shared" si="354"/>
        <v>0213 09:25:00-S50-0-C-1-SW-UKN</v>
      </c>
    </row>
    <row r="3122" spans="1:48" s="10" customFormat="1" x14ac:dyDescent="0.55000000000000004">
      <c r="A3122" s="32">
        <v>44970</v>
      </c>
      <c r="B3122" s="33">
        <v>0.41597222222222219</v>
      </c>
      <c r="C3122" s="10" t="s">
        <v>528</v>
      </c>
      <c r="D3122" s="10">
        <v>0</v>
      </c>
      <c r="E3122" s="10" t="s">
        <v>190</v>
      </c>
      <c r="F3122" s="10">
        <v>1</v>
      </c>
      <c r="G3122" s="10" t="s">
        <v>231</v>
      </c>
      <c r="H3122" s="10" t="s">
        <v>322</v>
      </c>
      <c r="I3122" s="10" t="s">
        <v>256</v>
      </c>
      <c r="J3122" s="10">
        <v>14</v>
      </c>
      <c r="K3122" s="12">
        <v>44972</v>
      </c>
      <c r="L3122" s="33">
        <v>0.53634259259259254</v>
      </c>
      <c r="M3122" s="10">
        <v>10</v>
      </c>
      <c r="N3122" s="10" t="s">
        <v>169</v>
      </c>
      <c r="O3122" s="10">
        <v>0.94499999999999995</v>
      </c>
      <c r="P3122" s="10">
        <v>4.4200000000000003E-2</v>
      </c>
      <c r="Q3122" s="10">
        <v>123</v>
      </c>
      <c r="R3122" s="10" t="s">
        <v>77</v>
      </c>
      <c r="S3122" s="34">
        <f t="shared" si="351"/>
        <v>1230</v>
      </c>
      <c r="T3122" s="10" t="s">
        <v>915</v>
      </c>
      <c r="U3122" s="34" t="str">
        <f t="shared" si="352"/>
        <v/>
      </c>
      <c r="V3122" s="31" t="str">
        <f>IF(H3122="CHK",VLOOKUP(I3122,QCCHK,3,),IF(H3122="GUP",VLOOKUP(E3122,QCGUP,2,),IF(AND(H3122="ATP",OR(I3122="TN",I3122="TDN",I3122="TNO2-3",I3122="NO2-3")),VLOOKUP(E3122,QCREC_N,2,),IF(AND(H3122="NIC",OR(I3122="TN",I3122="TDN",I3122="TNO2-3",I3122="NO2-3")),VLOOKUP(E3122,QCNIC_N,2,),IF(AND(H3122="UREA",OR(I3122="TN",I3122="TDN",I3122="TNO2-3",I3122="NO2-3")),VLOOKUP(E3122,QCUREA_N,2,),IF(H3122="PER",VLOOKUP(I3122,QCPER,MATCH(E3122,QCACTUAL!$J$25:$AA$25,0),),IF(H3122="SPK",VLOOKUP(I3122,QCSPK,3,),IF(AND(H3122="ATP",OR(I3122="TP",I3122="TDP")),VLOOKUP(E3122,QCATP_P,2,),""))))))))</f>
        <v/>
      </c>
      <c r="W3122" s="31" t="str">
        <f t="shared" si="353"/>
        <v>TRUE</v>
      </c>
      <c r="X3122" s="31" t="str">
        <f t="shared" si="350"/>
        <v/>
      </c>
      <c r="Y3122" s="10" t="s">
        <v>1206</v>
      </c>
      <c r="Z3122" s="10" t="s">
        <v>910</v>
      </c>
      <c r="AL3122" s="10" t="str">
        <f t="shared" si="348"/>
        <v>FALSE</v>
      </c>
      <c r="AM3122" s="10" t="str">
        <f t="shared" si="348"/>
        <v>FALSE</v>
      </c>
      <c r="AN3122" s="10" t="str">
        <f t="shared" si="348"/>
        <v>FALSE</v>
      </c>
      <c r="AO3122" s="10" t="str">
        <f t="shared" si="349"/>
        <v>FALSE</v>
      </c>
      <c r="AP3122" s="10" t="str">
        <f t="shared" si="349"/>
        <v>FALSE</v>
      </c>
      <c r="AQ3122" s="10" t="b">
        <f>IF(AND(I3122="TP",S3122&lt;=150),VLOOKUP(AF3122,TPCalibEq150!$AZ$2:$BB$55,3,),IF(AND(I3122="TDP",S3122&lt;=150),VLOOKUP(AF3122,TPCalibEq150!$AZ$2:$BB$55,3,)))</f>
        <v>0</v>
      </c>
      <c r="AR3122" s="10" t="b">
        <f>IF(AND(I3122="TP",S3122&lt;=300),VLOOKUP(AF3122,TPCalibEq300!$AZ$2:$BB$55,3,),IF(AND(I3122="TDP",S3122&lt;=300),VLOOKUP(AF3122,TPCalibEq300!$AZ$2:$BB$55,3,)))</f>
        <v>0</v>
      </c>
      <c r="AS3122" s="10" t="b">
        <f>IF(AND(I3122="TP",S3122&lt;=500),VLOOKUP(AF3122,TPCalibEq500!$AZ$2:$BB$56,3,),IF(AND(I3122="TDP",S3122&lt;=500),VLOOKUP(AF3122,TPCalibEq500!$AZ$2:$BB$56,3,)))</f>
        <v>0</v>
      </c>
      <c r="AT3122" s="10" t="b">
        <f>IF(AND(I3122="TN",S3122&lt;=2800),VLOOKUP(AF3122,TNCalibEq2500!$AZ$2:$BB$56,3,),IF(AND(I3122="TDN",S3122&lt;=2800),VLOOKUP(AF3122,TNCalibEq2500!$AZ$2:$BB$56,3,)))</f>
        <v>0</v>
      </c>
      <c r="AU3122" s="10" t="b">
        <f>IF(I3122="TP",VLOOKUP(AF3122,TPCalibEqFull!$AZ$2:$BB$56,3),IF(I3122="TDP",VLOOKUP(AF3122,TPCalibEqFull!$AZ$2:$BB$56,3),IF(I3122="TDN",VLOOKUP(AF3122,TNCalibEqFull!$AZ$1:$BB$56,3),IF(I3122="TN",VLOOKUP(AF3122,TNCalibEqFull!$AZ$1:$BB$56,3),FALSE))))</f>
        <v>0</v>
      </c>
      <c r="AV3122" s="10" t="str">
        <f t="shared" si="354"/>
        <v>0213 09:59:00-P04-0-C-1-SW-UKN</v>
      </c>
    </row>
    <row r="3123" spans="1:48" s="10" customFormat="1" x14ac:dyDescent="0.55000000000000004">
      <c r="A3123" s="32">
        <v>44970</v>
      </c>
      <c r="B3123" s="33">
        <v>0.42777777777777781</v>
      </c>
      <c r="C3123" s="10">
        <v>506</v>
      </c>
      <c r="D3123" s="10">
        <v>0</v>
      </c>
      <c r="E3123" s="10" t="s">
        <v>190</v>
      </c>
      <c r="F3123" s="10">
        <v>1</v>
      </c>
      <c r="G3123" s="10" t="s">
        <v>231</v>
      </c>
      <c r="H3123" s="10" t="s">
        <v>322</v>
      </c>
      <c r="I3123" s="10" t="s">
        <v>256</v>
      </c>
      <c r="J3123" s="10">
        <v>15</v>
      </c>
      <c r="K3123" s="12">
        <v>44972</v>
      </c>
      <c r="L3123" s="33">
        <v>0.49548611111111113</v>
      </c>
      <c r="M3123" s="10">
        <v>1</v>
      </c>
      <c r="N3123" s="10" t="s">
        <v>169</v>
      </c>
      <c r="O3123" s="10">
        <v>12.3</v>
      </c>
      <c r="P3123" s="10">
        <v>0.56999999999999995</v>
      </c>
      <c r="Q3123" s="10">
        <v>1600</v>
      </c>
      <c r="R3123" s="10" t="s">
        <v>77</v>
      </c>
      <c r="S3123" s="34">
        <f t="shared" si="351"/>
        <v>1600</v>
      </c>
      <c r="T3123" s="10" t="s">
        <v>915</v>
      </c>
      <c r="U3123" s="34" t="str">
        <f t="shared" si="352"/>
        <v/>
      </c>
      <c r="V3123" s="31" t="str">
        <f>IF(H3123="CHK",VLOOKUP(I3123,QCCHK,3,),IF(H3123="GUP",VLOOKUP(E3123,QCGUP,2,),IF(AND(H3123="ATP",OR(I3123="TN",I3123="TDN",I3123="TNO2-3",I3123="NO2-3")),VLOOKUP(E3123,QCREC_N,2,),IF(AND(H3123="NIC",OR(I3123="TN",I3123="TDN",I3123="TNO2-3",I3123="NO2-3")),VLOOKUP(E3123,QCNIC_N,2,),IF(AND(H3123="UREA",OR(I3123="TN",I3123="TDN",I3123="TNO2-3",I3123="NO2-3")),VLOOKUP(E3123,QCUREA_N,2,),IF(H3123="PER",VLOOKUP(I3123,QCPER,MATCH(E3123,QCACTUAL!$J$25:$AA$25,0),),IF(H3123="SPK",VLOOKUP(I3123,QCSPK,3,),IF(AND(H3123="ATP",OR(I3123="TP",I3123="TDP")),VLOOKUP(E3123,QCATP_P,2,),""))))))))</f>
        <v/>
      </c>
      <c r="W3123" s="31" t="str">
        <f t="shared" si="353"/>
        <v>TRUE</v>
      </c>
      <c r="X3123" s="31" t="str">
        <f t="shared" si="350"/>
        <v/>
      </c>
      <c r="Y3123" s="10" t="s">
        <v>1206</v>
      </c>
      <c r="Z3123" s="10" t="s">
        <v>910</v>
      </c>
      <c r="AL3123" s="10" t="str">
        <f t="shared" si="348"/>
        <v>FALSE</v>
      </c>
      <c r="AM3123" s="10" t="str">
        <f t="shared" si="348"/>
        <v>FALSE</v>
      </c>
      <c r="AN3123" s="10" t="str">
        <f t="shared" si="348"/>
        <v>FALSE</v>
      </c>
      <c r="AO3123" s="10" t="str">
        <f t="shared" si="349"/>
        <v>FALSE</v>
      </c>
      <c r="AP3123" s="10" t="str">
        <f t="shared" si="349"/>
        <v>FALSE</v>
      </c>
      <c r="AQ3123" s="10" t="b">
        <f>IF(AND(I3123="TP",S3123&lt;=150),VLOOKUP(AF3123,TPCalibEq150!$AZ$2:$BB$55,3,),IF(AND(I3123="TDP",S3123&lt;=150),VLOOKUP(AF3123,TPCalibEq150!$AZ$2:$BB$55,3,)))</f>
        <v>0</v>
      </c>
      <c r="AR3123" s="10" t="b">
        <f>IF(AND(I3123="TP",S3123&lt;=300),VLOOKUP(AF3123,TPCalibEq300!$AZ$2:$BB$55,3,),IF(AND(I3123="TDP",S3123&lt;=300),VLOOKUP(AF3123,TPCalibEq300!$AZ$2:$BB$55,3,)))</f>
        <v>0</v>
      </c>
      <c r="AS3123" s="10" t="b">
        <f>IF(AND(I3123="TP",S3123&lt;=500),VLOOKUP(AF3123,TPCalibEq500!$AZ$2:$BB$56,3,),IF(AND(I3123="TDP",S3123&lt;=500),VLOOKUP(AF3123,TPCalibEq500!$AZ$2:$BB$56,3,)))</f>
        <v>0</v>
      </c>
      <c r="AT3123" s="10" t="b">
        <f>IF(AND(I3123="TN",S3123&lt;=2800),VLOOKUP(AF3123,TNCalibEq2500!$AZ$2:$BB$56,3,),IF(AND(I3123="TDN",S3123&lt;=2800),VLOOKUP(AF3123,TNCalibEq2500!$AZ$2:$BB$56,3,)))</f>
        <v>0</v>
      </c>
      <c r="AU3123" s="10" t="b">
        <f>IF(I3123="TP",VLOOKUP(AF3123,TPCalibEqFull!$AZ$2:$BB$56,3),IF(I3123="TDP",VLOOKUP(AF3123,TPCalibEqFull!$AZ$2:$BB$56,3),IF(I3123="TDN",VLOOKUP(AF3123,TNCalibEqFull!$AZ$1:$BB$56,3),IF(I3123="TN",VLOOKUP(AF3123,TNCalibEqFull!$AZ$1:$BB$56,3),FALSE))))</f>
        <v>0</v>
      </c>
      <c r="AV3123" s="10" t="str">
        <f t="shared" si="354"/>
        <v>0213 10:16:00-506-0-C-1-SW-UKN</v>
      </c>
    </row>
    <row r="3124" spans="1:48" s="10" customFormat="1" x14ac:dyDescent="0.55000000000000004">
      <c r="A3124" s="32">
        <v>44970</v>
      </c>
      <c r="B3124" s="33">
        <v>0.43402777777777773</v>
      </c>
      <c r="C3124" s="10" t="s">
        <v>1104</v>
      </c>
      <c r="D3124" s="10">
        <v>0</v>
      </c>
      <c r="E3124" s="10" t="s">
        <v>190</v>
      </c>
      <c r="F3124" s="10">
        <v>1</v>
      </c>
      <c r="G3124" s="10" t="s">
        <v>231</v>
      </c>
      <c r="H3124" s="10" t="s">
        <v>322</v>
      </c>
      <c r="I3124" s="10" t="s">
        <v>256</v>
      </c>
      <c r="J3124" s="10">
        <v>16</v>
      </c>
      <c r="K3124" s="12">
        <v>44972</v>
      </c>
      <c r="L3124" s="33">
        <v>0.49631944444444448</v>
      </c>
      <c r="M3124" s="10">
        <v>1</v>
      </c>
      <c r="N3124" s="10" t="s">
        <v>169</v>
      </c>
      <c r="O3124" s="10">
        <v>16.2</v>
      </c>
      <c r="P3124" s="10">
        <v>0.752</v>
      </c>
      <c r="Q3124" s="10">
        <v>2120</v>
      </c>
      <c r="R3124" s="10" t="s">
        <v>77</v>
      </c>
      <c r="S3124" s="34">
        <f t="shared" si="351"/>
        <v>2120</v>
      </c>
      <c r="T3124" s="10" t="s">
        <v>915</v>
      </c>
      <c r="U3124" s="34" t="str">
        <f t="shared" si="352"/>
        <v/>
      </c>
      <c r="V3124" s="31" t="str">
        <f>IF(H3124="CHK",VLOOKUP(I3124,QCCHK,3,),IF(H3124="GUP",VLOOKUP(E3124,QCGUP,2,),IF(AND(H3124="ATP",OR(I3124="TN",I3124="TDN",I3124="TNO2-3",I3124="NO2-3")),VLOOKUP(E3124,QCREC_N,2,),IF(AND(H3124="NIC",OR(I3124="TN",I3124="TDN",I3124="TNO2-3",I3124="NO2-3")),VLOOKUP(E3124,QCNIC_N,2,),IF(AND(H3124="UREA",OR(I3124="TN",I3124="TDN",I3124="TNO2-3",I3124="NO2-3")),VLOOKUP(E3124,QCUREA_N,2,),IF(H3124="PER",VLOOKUP(I3124,QCPER,MATCH(E3124,QCACTUAL!$J$25:$AA$25,0),),IF(H3124="SPK",VLOOKUP(I3124,QCSPK,3,),IF(AND(H3124="ATP",OR(I3124="TP",I3124="TDP")),VLOOKUP(E3124,QCATP_P,2,),""))))))))</f>
        <v/>
      </c>
      <c r="W3124" s="31" t="str">
        <f t="shared" si="353"/>
        <v>TRUE</v>
      </c>
      <c r="X3124" s="31" t="str">
        <f t="shared" si="350"/>
        <v/>
      </c>
      <c r="Y3124" s="10" t="s">
        <v>1206</v>
      </c>
      <c r="Z3124" s="10" t="s">
        <v>910</v>
      </c>
      <c r="AL3124" s="10" t="str">
        <f t="shared" si="348"/>
        <v>FALSE</v>
      </c>
      <c r="AM3124" s="10" t="str">
        <f t="shared" si="348"/>
        <v>FALSE</v>
      </c>
      <c r="AN3124" s="10" t="str">
        <f t="shared" si="348"/>
        <v>FALSE</v>
      </c>
      <c r="AO3124" s="10" t="str">
        <f t="shared" si="349"/>
        <v>FALSE</v>
      </c>
      <c r="AP3124" s="10" t="str">
        <f t="shared" si="349"/>
        <v>FALSE</v>
      </c>
      <c r="AQ3124" s="10" t="b">
        <f>IF(AND(I3124="TP",S3124&lt;=150),VLOOKUP(AF3124,TPCalibEq150!$AZ$2:$BB$55,3,),IF(AND(I3124="TDP",S3124&lt;=150),VLOOKUP(AF3124,TPCalibEq150!$AZ$2:$BB$55,3,)))</f>
        <v>0</v>
      </c>
      <c r="AR3124" s="10" t="b">
        <f>IF(AND(I3124="TP",S3124&lt;=300),VLOOKUP(AF3124,TPCalibEq300!$AZ$2:$BB$55,3,),IF(AND(I3124="TDP",S3124&lt;=300),VLOOKUP(AF3124,TPCalibEq300!$AZ$2:$BB$55,3,)))</f>
        <v>0</v>
      </c>
      <c r="AS3124" s="10" t="b">
        <f>IF(AND(I3124="TP",S3124&lt;=500),VLOOKUP(AF3124,TPCalibEq500!$AZ$2:$BB$56,3,),IF(AND(I3124="TDP",S3124&lt;=500),VLOOKUP(AF3124,TPCalibEq500!$AZ$2:$BB$56,3,)))</f>
        <v>0</v>
      </c>
      <c r="AT3124" s="10" t="b">
        <f>IF(AND(I3124="TN",S3124&lt;=2800),VLOOKUP(AF3124,TNCalibEq2500!$AZ$2:$BB$56,3,),IF(AND(I3124="TDN",S3124&lt;=2800),VLOOKUP(AF3124,TNCalibEq2500!$AZ$2:$BB$56,3,)))</f>
        <v>0</v>
      </c>
      <c r="AU3124" s="10" t="b">
        <f>IF(I3124="TP",VLOOKUP(AF3124,TPCalibEqFull!$AZ$2:$BB$56,3),IF(I3124="TDP",VLOOKUP(AF3124,TPCalibEqFull!$AZ$2:$BB$56,3),IF(I3124="TDN",VLOOKUP(AF3124,TNCalibEqFull!$AZ$1:$BB$56,3),IF(I3124="TN",VLOOKUP(AF3124,TNCalibEqFull!$AZ$1:$BB$56,3),FALSE))))</f>
        <v>0</v>
      </c>
      <c r="AV3124" s="10" t="str">
        <f t="shared" si="354"/>
        <v>0213 10:25:00-LBW-0-C-1-SW-UKN</v>
      </c>
    </row>
    <row r="3125" spans="1:48" s="10" customFormat="1" x14ac:dyDescent="0.55000000000000004">
      <c r="A3125" s="32">
        <v>44970</v>
      </c>
      <c r="B3125" s="33">
        <v>0.45208333333333334</v>
      </c>
      <c r="C3125" s="10" t="s">
        <v>537</v>
      </c>
      <c r="D3125" s="10">
        <v>0</v>
      </c>
      <c r="E3125" s="10" t="s">
        <v>190</v>
      </c>
      <c r="F3125" s="10">
        <v>1</v>
      </c>
      <c r="G3125" s="10" t="s">
        <v>231</v>
      </c>
      <c r="H3125" s="10" t="s">
        <v>322</v>
      </c>
      <c r="I3125" s="10" t="s">
        <v>256</v>
      </c>
      <c r="J3125" s="10">
        <v>17</v>
      </c>
      <c r="K3125" s="12">
        <v>44972</v>
      </c>
      <c r="L3125" s="33">
        <v>0.49714120370370374</v>
      </c>
      <c r="M3125" s="10">
        <v>1</v>
      </c>
      <c r="N3125" s="10" t="s">
        <v>169</v>
      </c>
      <c r="O3125" s="10">
        <v>1.37</v>
      </c>
      <c r="P3125" s="10">
        <v>6.4100000000000004E-2</v>
      </c>
      <c r="Q3125" s="10">
        <v>179</v>
      </c>
      <c r="R3125" s="10" t="s">
        <v>77</v>
      </c>
      <c r="S3125" s="34">
        <f t="shared" si="351"/>
        <v>179</v>
      </c>
      <c r="T3125" s="10" t="s">
        <v>915</v>
      </c>
      <c r="U3125" s="34" t="str">
        <f t="shared" si="352"/>
        <v/>
      </c>
      <c r="V3125" s="31" t="str">
        <f>IF(H3125="CHK",VLOOKUP(I3125,QCCHK,3,),IF(H3125="GUP",VLOOKUP(E3125,QCGUP,2,),IF(AND(H3125="ATP",OR(I3125="TN",I3125="TDN",I3125="TNO2-3",I3125="NO2-3")),VLOOKUP(E3125,QCREC_N,2,),IF(AND(H3125="NIC",OR(I3125="TN",I3125="TDN",I3125="TNO2-3",I3125="NO2-3")),VLOOKUP(E3125,QCNIC_N,2,),IF(AND(H3125="UREA",OR(I3125="TN",I3125="TDN",I3125="TNO2-3",I3125="NO2-3")),VLOOKUP(E3125,QCUREA_N,2,),IF(H3125="PER",VLOOKUP(I3125,QCPER,MATCH(E3125,QCACTUAL!$J$25:$AA$25,0),),IF(H3125="SPK",VLOOKUP(I3125,QCSPK,3,),IF(AND(H3125="ATP",OR(I3125="TP",I3125="TDP")),VLOOKUP(E3125,QCATP_P,2,),""))))))))</f>
        <v/>
      </c>
      <c r="W3125" s="31" t="str">
        <f t="shared" si="353"/>
        <v>TRUE</v>
      </c>
      <c r="X3125" s="31" t="str">
        <f t="shared" si="350"/>
        <v/>
      </c>
      <c r="Y3125" s="10" t="s">
        <v>1206</v>
      </c>
      <c r="Z3125" s="10" t="s">
        <v>910</v>
      </c>
      <c r="AL3125" s="10" t="str">
        <f t="shared" si="348"/>
        <v>FALSE</v>
      </c>
      <c r="AM3125" s="10" t="str">
        <f t="shared" si="348"/>
        <v>FALSE</v>
      </c>
      <c r="AN3125" s="10" t="str">
        <f t="shared" si="348"/>
        <v>FALSE</v>
      </c>
      <c r="AO3125" s="10" t="str">
        <f t="shared" si="349"/>
        <v>FALSE</v>
      </c>
      <c r="AP3125" s="10" t="str">
        <f t="shared" si="349"/>
        <v>FALSE</v>
      </c>
      <c r="AQ3125" s="10" t="b">
        <f>IF(AND(I3125="TP",S3125&lt;=150),VLOOKUP(AF3125,TPCalibEq150!$AZ$2:$BB$55,3,),IF(AND(I3125="TDP",S3125&lt;=150),VLOOKUP(AF3125,TPCalibEq150!$AZ$2:$BB$55,3,)))</f>
        <v>0</v>
      </c>
      <c r="AR3125" s="10" t="b">
        <f>IF(AND(I3125="TP",S3125&lt;=300),VLOOKUP(AF3125,TPCalibEq300!$AZ$2:$BB$55,3,),IF(AND(I3125="TDP",S3125&lt;=300),VLOOKUP(AF3125,TPCalibEq300!$AZ$2:$BB$55,3,)))</f>
        <v>0</v>
      </c>
      <c r="AS3125" s="10" t="b">
        <f>IF(AND(I3125="TP",S3125&lt;=500),VLOOKUP(AF3125,TPCalibEq500!$AZ$2:$BB$56,3,),IF(AND(I3125="TDP",S3125&lt;=500),VLOOKUP(AF3125,TPCalibEq500!$AZ$2:$BB$56,3,)))</f>
        <v>0</v>
      </c>
      <c r="AT3125" s="10" t="b">
        <f>IF(AND(I3125="TN",S3125&lt;=2800),VLOOKUP(AF3125,TNCalibEq2500!$AZ$2:$BB$56,3,),IF(AND(I3125="TDN",S3125&lt;=2800),VLOOKUP(AF3125,TNCalibEq2500!$AZ$2:$BB$56,3,)))</f>
        <v>0</v>
      </c>
      <c r="AU3125" s="10" t="b">
        <f>IF(I3125="TP",VLOOKUP(AF3125,TPCalibEqFull!$AZ$2:$BB$56,3),IF(I3125="TDP",VLOOKUP(AF3125,TPCalibEqFull!$AZ$2:$BB$56,3),IF(I3125="TDN",VLOOKUP(AF3125,TNCalibEqFull!$AZ$1:$BB$56,3),IF(I3125="TN",VLOOKUP(AF3125,TNCalibEqFull!$AZ$1:$BB$56,3),FALSE))))</f>
        <v>0</v>
      </c>
      <c r="AV3125" s="10" t="str">
        <f t="shared" si="354"/>
        <v>0213 10:51:00-S51-0-C-1-SW-UKN</v>
      </c>
    </row>
    <row r="3126" spans="1:48" s="10" customFormat="1" x14ac:dyDescent="0.55000000000000004">
      <c r="A3126" s="32">
        <v>44970</v>
      </c>
      <c r="B3126" s="33">
        <v>0.45833333333333331</v>
      </c>
      <c r="C3126" s="10">
        <v>890</v>
      </c>
      <c r="D3126" s="10">
        <v>0</v>
      </c>
      <c r="E3126" s="10" t="s">
        <v>190</v>
      </c>
      <c r="F3126" s="10">
        <v>1</v>
      </c>
      <c r="G3126" s="10" t="s">
        <v>231</v>
      </c>
      <c r="H3126" s="10" t="s">
        <v>322</v>
      </c>
      <c r="I3126" s="10" t="s">
        <v>256</v>
      </c>
      <c r="J3126" s="10">
        <v>18</v>
      </c>
      <c r="K3126" s="12">
        <v>44972</v>
      </c>
      <c r="L3126" s="33">
        <v>0.49796296296296294</v>
      </c>
      <c r="M3126" s="10">
        <v>1</v>
      </c>
      <c r="N3126" s="10" t="s">
        <v>169</v>
      </c>
      <c r="O3126" s="10">
        <v>1.66</v>
      </c>
      <c r="P3126" s="10">
        <v>7.6600000000000001E-2</v>
      </c>
      <c r="Q3126" s="10">
        <v>216</v>
      </c>
      <c r="R3126" s="10" t="s">
        <v>77</v>
      </c>
      <c r="S3126" s="34">
        <f t="shared" si="351"/>
        <v>216</v>
      </c>
      <c r="T3126" s="10" t="s">
        <v>915</v>
      </c>
      <c r="U3126" s="34" t="str">
        <f t="shared" si="352"/>
        <v/>
      </c>
      <c r="V3126" s="31" t="str">
        <f>IF(H3126="CHK",VLOOKUP(I3126,QCCHK,3,),IF(H3126="GUP",VLOOKUP(E3126,QCGUP,2,),IF(AND(H3126="ATP",OR(I3126="TN",I3126="TDN",I3126="TNO2-3",I3126="NO2-3")),VLOOKUP(E3126,QCREC_N,2,),IF(AND(H3126="NIC",OR(I3126="TN",I3126="TDN",I3126="TNO2-3",I3126="NO2-3")),VLOOKUP(E3126,QCNIC_N,2,),IF(AND(H3126="UREA",OR(I3126="TN",I3126="TDN",I3126="TNO2-3",I3126="NO2-3")),VLOOKUP(E3126,QCUREA_N,2,),IF(H3126="PER",VLOOKUP(I3126,QCPER,MATCH(E3126,QCACTUAL!$J$25:$AA$25,0),),IF(H3126="SPK",VLOOKUP(I3126,QCSPK,3,),IF(AND(H3126="ATP",OR(I3126="TP",I3126="TDP")),VLOOKUP(E3126,QCATP_P,2,),""))))))))</f>
        <v/>
      </c>
      <c r="W3126" s="31" t="str">
        <f t="shared" si="353"/>
        <v>TRUE</v>
      </c>
      <c r="X3126" s="31" t="str">
        <f t="shared" si="350"/>
        <v/>
      </c>
      <c r="Y3126" s="10" t="s">
        <v>1206</v>
      </c>
      <c r="Z3126" s="10" t="s">
        <v>910</v>
      </c>
      <c r="AL3126" s="10" t="str">
        <f t="shared" si="348"/>
        <v>FALSE</v>
      </c>
      <c r="AM3126" s="10" t="str">
        <f t="shared" si="348"/>
        <v>FALSE</v>
      </c>
      <c r="AN3126" s="10" t="str">
        <f t="shared" si="348"/>
        <v>FALSE</v>
      </c>
      <c r="AO3126" s="10" t="str">
        <f t="shared" si="349"/>
        <v>FALSE</v>
      </c>
      <c r="AP3126" s="10" t="str">
        <f t="shared" si="349"/>
        <v>FALSE</v>
      </c>
      <c r="AQ3126" s="10" t="b">
        <f>IF(AND(I3126="TP",S3126&lt;=150),VLOOKUP(AF3126,TPCalibEq150!$AZ$2:$BB$55,3,),IF(AND(I3126="TDP",S3126&lt;=150),VLOOKUP(AF3126,TPCalibEq150!$AZ$2:$BB$55,3,)))</f>
        <v>0</v>
      </c>
      <c r="AR3126" s="10" t="b">
        <f>IF(AND(I3126="TP",S3126&lt;=300),VLOOKUP(AF3126,TPCalibEq300!$AZ$2:$BB$55,3,),IF(AND(I3126="TDP",S3126&lt;=300),VLOOKUP(AF3126,TPCalibEq300!$AZ$2:$BB$55,3,)))</f>
        <v>0</v>
      </c>
      <c r="AS3126" s="10" t="b">
        <f>IF(AND(I3126="TP",S3126&lt;=500),VLOOKUP(AF3126,TPCalibEq500!$AZ$2:$BB$56,3,),IF(AND(I3126="TDP",S3126&lt;=500),VLOOKUP(AF3126,TPCalibEq500!$AZ$2:$BB$56,3,)))</f>
        <v>0</v>
      </c>
      <c r="AT3126" s="10" t="b">
        <f>IF(AND(I3126="TN",S3126&lt;=2800),VLOOKUP(AF3126,TNCalibEq2500!$AZ$2:$BB$56,3,),IF(AND(I3126="TDN",S3126&lt;=2800),VLOOKUP(AF3126,TNCalibEq2500!$AZ$2:$BB$56,3,)))</f>
        <v>0</v>
      </c>
      <c r="AU3126" s="10" t="b">
        <f>IF(I3126="TP",VLOOKUP(AF3126,TPCalibEqFull!$AZ$2:$BB$56,3),IF(I3126="TDP",VLOOKUP(AF3126,TPCalibEqFull!$AZ$2:$BB$56,3),IF(I3126="TDN",VLOOKUP(AF3126,TNCalibEqFull!$AZ$1:$BB$56,3),IF(I3126="TN",VLOOKUP(AF3126,TNCalibEqFull!$AZ$1:$BB$56,3),FALSE))))</f>
        <v>0</v>
      </c>
      <c r="AV3126" s="10" t="str">
        <f t="shared" si="354"/>
        <v>0213 11:00:00-890-0-C-1-SW-UKN</v>
      </c>
    </row>
    <row r="3127" spans="1:48" s="10" customFormat="1" x14ac:dyDescent="0.55000000000000004">
      <c r="A3127" s="32">
        <v>44970</v>
      </c>
      <c r="B3127" s="33">
        <v>0.47083333333333338</v>
      </c>
      <c r="C3127" s="10" t="s">
        <v>437</v>
      </c>
      <c r="D3127" s="10">
        <v>0</v>
      </c>
      <c r="E3127" s="10" t="s">
        <v>190</v>
      </c>
      <c r="F3127" s="10">
        <v>1</v>
      </c>
      <c r="G3127" s="10" t="s">
        <v>231</v>
      </c>
      <c r="H3127" s="10" t="s">
        <v>322</v>
      </c>
      <c r="I3127" s="10" t="s">
        <v>256</v>
      </c>
      <c r="J3127" s="10">
        <v>19</v>
      </c>
      <c r="K3127" s="12">
        <v>44972</v>
      </c>
      <c r="L3127" s="33">
        <v>0.4987847222222222</v>
      </c>
      <c r="M3127" s="10">
        <v>1</v>
      </c>
      <c r="N3127" s="10" t="s">
        <v>169</v>
      </c>
      <c r="O3127" s="10">
        <v>0.92400000000000004</v>
      </c>
      <c r="P3127" s="10">
        <v>4.2900000000000001E-2</v>
      </c>
      <c r="Q3127" s="10">
        <v>121</v>
      </c>
      <c r="R3127" s="10" t="s">
        <v>77</v>
      </c>
      <c r="S3127" s="34">
        <f t="shared" si="351"/>
        <v>121</v>
      </c>
      <c r="T3127" s="10" t="s">
        <v>915</v>
      </c>
      <c r="U3127" s="34" t="str">
        <f t="shared" si="352"/>
        <v/>
      </c>
      <c r="V3127" s="31" t="str">
        <f>IF(H3127="CHK",VLOOKUP(I3127,QCCHK,3,),IF(H3127="GUP",VLOOKUP(E3127,QCGUP,2,),IF(AND(H3127="ATP",OR(I3127="TN",I3127="TDN",I3127="TNO2-3",I3127="NO2-3")),VLOOKUP(E3127,QCREC_N,2,),IF(AND(H3127="NIC",OR(I3127="TN",I3127="TDN",I3127="TNO2-3",I3127="NO2-3")),VLOOKUP(E3127,QCNIC_N,2,),IF(AND(H3127="UREA",OR(I3127="TN",I3127="TDN",I3127="TNO2-3",I3127="NO2-3")),VLOOKUP(E3127,QCUREA_N,2,),IF(H3127="PER",VLOOKUP(I3127,QCPER,MATCH(E3127,QCACTUAL!$J$25:$AA$25,0),),IF(H3127="SPK",VLOOKUP(I3127,QCSPK,3,),IF(AND(H3127="ATP",OR(I3127="TP",I3127="TDP")),VLOOKUP(E3127,QCATP_P,2,),""))))))))</f>
        <v/>
      </c>
      <c r="W3127" s="31" t="str">
        <f t="shared" si="353"/>
        <v>TRUE</v>
      </c>
      <c r="X3127" s="31" t="str">
        <f t="shared" si="350"/>
        <v/>
      </c>
      <c r="Y3127" s="10" t="s">
        <v>1206</v>
      </c>
      <c r="Z3127" s="10" t="s">
        <v>910</v>
      </c>
      <c r="AL3127" s="10" t="str">
        <f t="shared" si="348"/>
        <v>FALSE</v>
      </c>
      <c r="AM3127" s="10" t="str">
        <f t="shared" si="348"/>
        <v>FALSE</v>
      </c>
      <c r="AN3127" s="10" t="str">
        <f t="shared" si="348"/>
        <v>FALSE</v>
      </c>
      <c r="AO3127" s="10" t="str">
        <f t="shared" si="349"/>
        <v>FALSE</v>
      </c>
      <c r="AP3127" s="10" t="str">
        <f t="shared" si="349"/>
        <v>FALSE</v>
      </c>
      <c r="AQ3127" s="10" t="b">
        <f>IF(AND(I3127="TP",S3127&lt;=150),VLOOKUP(AF3127,TPCalibEq150!$AZ$2:$BB$55,3,),IF(AND(I3127="TDP",S3127&lt;=150),VLOOKUP(AF3127,TPCalibEq150!$AZ$2:$BB$55,3,)))</f>
        <v>0</v>
      </c>
      <c r="AR3127" s="10" t="b">
        <f>IF(AND(I3127="TP",S3127&lt;=300),VLOOKUP(AF3127,TPCalibEq300!$AZ$2:$BB$55,3,),IF(AND(I3127="TDP",S3127&lt;=300),VLOOKUP(AF3127,TPCalibEq300!$AZ$2:$BB$55,3,)))</f>
        <v>0</v>
      </c>
      <c r="AS3127" s="10" t="b">
        <f>IF(AND(I3127="TP",S3127&lt;=500),VLOOKUP(AF3127,TPCalibEq500!$AZ$2:$BB$56,3,),IF(AND(I3127="TDP",S3127&lt;=500),VLOOKUP(AF3127,TPCalibEq500!$AZ$2:$BB$56,3,)))</f>
        <v>0</v>
      </c>
      <c r="AT3127" s="10" t="b">
        <f>IF(AND(I3127="TN",S3127&lt;=2800),VLOOKUP(AF3127,TNCalibEq2500!$AZ$2:$BB$56,3,),IF(AND(I3127="TDN",S3127&lt;=2800),VLOOKUP(AF3127,TNCalibEq2500!$AZ$2:$BB$56,3,)))</f>
        <v>0</v>
      </c>
      <c r="AU3127" s="10" t="b">
        <f>IF(I3127="TP",VLOOKUP(AF3127,TPCalibEqFull!$AZ$2:$BB$56,3),IF(I3127="TDP",VLOOKUP(AF3127,TPCalibEqFull!$AZ$2:$BB$56,3),IF(I3127="TDN",VLOOKUP(AF3127,TNCalibEqFull!$AZ$1:$BB$56,3),IF(I3127="TN",VLOOKUP(AF3127,TNCalibEqFull!$AZ$1:$BB$56,3),FALSE))))</f>
        <v>0</v>
      </c>
      <c r="AV3127" s="10" t="str">
        <f t="shared" si="354"/>
        <v>0213 11:18:00-FVM-0-C-1-SW-UKN</v>
      </c>
    </row>
    <row r="3128" spans="1:48" s="10" customFormat="1" x14ac:dyDescent="0.55000000000000004">
      <c r="A3128" s="32">
        <v>44970</v>
      </c>
      <c r="B3128" s="33">
        <v>0.47083333333333338</v>
      </c>
      <c r="C3128" s="10" t="s">
        <v>437</v>
      </c>
      <c r="D3128" s="10">
        <v>0</v>
      </c>
      <c r="E3128" s="10" t="s">
        <v>190</v>
      </c>
      <c r="F3128" s="10">
        <v>2</v>
      </c>
      <c r="G3128" s="10" t="s">
        <v>231</v>
      </c>
      <c r="H3128" s="10" t="s">
        <v>322</v>
      </c>
      <c r="I3128" s="10" t="s">
        <v>256</v>
      </c>
      <c r="J3128" s="10">
        <v>20</v>
      </c>
      <c r="K3128" s="12">
        <v>44972</v>
      </c>
      <c r="L3128" s="33">
        <v>0.49960648148148151</v>
      </c>
      <c r="M3128" s="10">
        <v>1</v>
      </c>
      <c r="N3128" s="10" t="s">
        <v>169</v>
      </c>
      <c r="O3128" s="10">
        <v>0.92700000000000005</v>
      </c>
      <c r="P3128" s="10">
        <v>4.2700000000000002E-2</v>
      </c>
      <c r="Q3128" s="10">
        <v>121</v>
      </c>
      <c r="R3128" s="10" t="s">
        <v>77</v>
      </c>
      <c r="S3128" s="34">
        <f t="shared" si="351"/>
        <v>121</v>
      </c>
      <c r="T3128" s="10" t="s">
        <v>915</v>
      </c>
      <c r="U3128" s="34" t="str">
        <f t="shared" si="352"/>
        <v/>
      </c>
      <c r="V3128" s="31" t="str">
        <f>IF(H3128="CHK",VLOOKUP(I3128,QCCHK,3,),IF(H3128="GUP",VLOOKUP(E3128,QCGUP,2,),IF(AND(H3128="ATP",OR(I3128="TN",I3128="TDN",I3128="TNO2-3",I3128="NO2-3")),VLOOKUP(E3128,QCREC_N,2,),IF(AND(H3128="NIC",OR(I3128="TN",I3128="TDN",I3128="TNO2-3",I3128="NO2-3")),VLOOKUP(E3128,QCNIC_N,2,),IF(AND(H3128="UREA",OR(I3128="TN",I3128="TDN",I3128="TNO2-3",I3128="NO2-3")),VLOOKUP(E3128,QCUREA_N,2,),IF(H3128="PER",VLOOKUP(I3128,QCPER,MATCH(E3128,QCACTUAL!$J$25:$AA$25,0),),IF(H3128="SPK",VLOOKUP(I3128,QCSPK,3,),IF(AND(H3128="ATP",OR(I3128="TP",I3128="TDP")),VLOOKUP(E3128,QCATP_P,2,),""))))))))</f>
        <v/>
      </c>
      <c r="W3128" s="31" t="str">
        <f t="shared" si="353"/>
        <v>TRUE</v>
      </c>
      <c r="X3128" s="31" t="str">
        <f t="shared" si="350"/>
        <v/>
      </c>
      <c r="Y3128" s="10" t="s">
        <v>1206</v>
      </c>
      <c r="Z3128" s="10" t="s">
        <v>910</v>
      </c>
      <c r="AL3128" s="10" t="str">
        <f t="shared" si="348"/>
        <v>FALSE</v>
      </c>
      <c r="AM3128" s="10" t="str">
        <f t="shared" si="348"/>
        <v>FALSE</v>
      </c>
      <c r="AN3128" s="10" t="str">
        <f t="shared" si="348"/>
        <v>FALSE</v>
      </c>
      <c r="AO3128" s="10" t="str">
        <f t="shared" si="349"/>
        <v>FALSE</v>
      </c>
      <c r="AP3128" s="10" t="str">
        <f t="shared" si="349"/>
        <v>FALSE</v>
      </c>
      <c r="AQ3128" s="10" t="b">
        <f>IF(AND(I3128="TP",S3128&lt;=150),VLOOKUP(AF3128,TPCalibEq150!$AZ$2:$BB$55,3,),IF(AND(I3128="TDP",S3128&lt;=150),VLOOKUP(AF3128,TPCalibEq150!$AZ$2:$BB$55,3,)))</f>
        <v>0</v>
      </c>
      <c r="AR3128" s="10" t="b">
        <f>IF(AND(I3128="TP",S3128&lt;=300),VLOOKUP(AF3128,TPCalibEq300!$AZ$2:$BB$55,3,),IF(AND(I3128="TDP",S3128&lt;=300),VLOOKUP(AF3128,TPCalibEq300!$AZ$2:$BB$55,3,)))</f>
        <v>0</v>
      </c>
      <c r="AS3128" s="10" t="b">
        <f>IF(AND(I3128="TP",S3128&lt;=500),VLOOKUP(AF3128,TPCalibEq500!$AZ$2:$BB$56,3,),IF(AND(I3128="TDP",S3128&lt;=500),VLOOKUP(AF3128,TPCalibEq500!$AZ$2:$BB$56,3,)))</f>
        <v>0</v>
      </c>
      <c r="AT3128" s="10" t="b">
        <f>IF(AND(I3128="TN",S3128&lt;=2800),VLOOKUP(AF3128,TNCalibEq2500!$AZ$2:$BB$56,3,),IF(AND(I3128="TDN",S3128&lt;=2800),VLOOKUP(AF3128,TNCalibEq2500!$AZ$2:$BB$56,3,)))</f>
        <v>0</v>
      </c>
      <c r="AU3128" s="10" t="b">
        <f>IF(I3128="TP",VLOOKUP(AF3128,TPCalibEqFull!$AZ$2:$BB$56,3),IF(I3128="TDP",VLOOKUP(AF3128,TPCalibEqFull!$AZ$2:$BB$56,3),IF(I3128="TDN",VLOOKUP(AF3128,TNCalibEqFull!$AZ$1:$BB$56,3),IF(I3128="TN",VLOOKUP(AF3128,TNCalibEqFull!$AZ$1:$BB$56,3),FALSE))))</f>
        <v>0</v>
      </c>
      <c r="AV3128" s="10" t="str">
        <f t="shared" si="354"/>
        <v>0213 11:18:00-FVM-0-C-2-SW-UKN</v>
      </c>
    </row>
    <row r="3129" spans="1:48" s="10" customFormat="1" x14ac:dyDescent="0.55000000000000004">
      <c r="A3129" s="32">
        <v>44970</v>
      </c>
      <c r="B3129" s="33">
        <v>0.47083333333333338</v>
      </c>
      <c r="C3129" s="10" t="s">
        <v>437</v>
      </c>
      <c r="D3129" s="10">
        <v>0</v>
      </c>
      <c r="E3129" s="10" t="s">
        <v>190</v>
      </c>
      <c r="F3129" s="10">
        <v>2</v>
      </c>
      <c r="G3129" s="10" t="s">
        <v>231</v>
      </c>
      <c r="H3129" s="10" t="s">
        <v>233</v>
      </c>
      <c r="I3129" s="10" t="s">
        <v>256</v>
      </c>
      <c r="J3129" s="10">
        <v>20</v>
      </c>
      <c r="K3129" s="12">
        <v>44972</v>
      </c>
      <c r="L3129" s="33">
        <v>0.50042824074074077</v>
      </c>
      <c r="M3129" s="10">
        <v>1</v>
      </c>
      <c r="N3129" s="10" t="s">
        <v>169</v>
      </c>
      <c r="O3129" s="10">
        <v>0.17499999999999999</v>
      </c>
      <c r="P3129" s="10">
        <v>7.9799999999999992E-3</v>
      </c>
      <c r="Q3129" s="10">
        <v>22.9</v>
      </c>
      <c r="R3129" s="10" t="s">
        <v>77</v>
      </c>
      <c r="S3129" s="34">
        <f t="shared" si="351"/>
        <v>22.9</v>
      </c>
      <c r="T3129" s="10" t="s">
        <v>915</v>
      </c>
      <c r="U3129" s="34">
        <f t="shared" si="352"/>
        <v>136.34468380820013</v>
      </c>
      <c r="V3129" s="31" t="str">
        <f>IF(H3129="CHK",VLOOKUP(I3129,QCCHK,3,),IF(H3129="GUP",VLOOKUP(E3129,QCGUP,2,),IF(AND(H3129="ATP",OR(I3129="TN",I3129="TDN",I3129="TNO2-3",I3129="NO2-3")),VLOOKUP(E3129,QCREC_N,2,),IF(AND(H3129="NIC",OR(I3129="TN",I3129="TDN",I3129="TNO2-3",I3129="NO2-3")),VLOOKUP(E3129,QCNIC_N,2,),IF(AND(H3129="UREA",OR(I3129="TN",I3129="TDN",I3129="TNO2-3",I3129="NO2-3")),VLOOKUP(E3129,QCUREA_N,2,),IF(H3129="PER",VLOOKUP(I3129,QCPER,MATCH(E3129,QCACTUAL!$J$25:$AA$25,0),),IF(H3129="SPK",VLOOKUP(I3129,QCSPK,3,),IF(AND(H3129="ATP",OR(I3129="TP",I3129="TDP")),VLOOKUP(E3129,QCATP_P,2,),""))))))))</f>
        <v/>
      </c>
      <c r="W3129" s="31" t="str">
        <f t="shared" si="353"/>
        <v>FALSE</v>
      </c>
      <c r="X3129" s="31" t="str">
        <f t="shared" si="350"/>
        <v>((ABS(rep1-rep2))/((rep1+rep2)/2)*100</v>
      </c>
      <c r="Y3129" s="10" t="s">
        <v>1206</v>
      </c>
      <c r="Z3129" s="10" t="s">
        <v>910</v>
      </c>
      <c r="AL3129" s="10" t="str">
        <f t="shared" si="348"/>
        <v>FALSE</v>
      </c>
      <c r="AM3129" s="10" t="str">
        <f t="shared" si="348"/>
        <v>FALSE</v>
      </c>
      <c r="AN3129" s="10" t="str">
        <f t="shared" si="348"/>
        <v>FALSE</v>
      </c>
      <c r="AO3129" s="10" t="str">
        <f t="shared" si="349"/>
        <v>FALSE</v>
      </c>
      <c r="AP3129" s="10" t="str">
        <f t="shared" si="349"/>
        <v>FALSE</v>
      </c>
      <c r="AQ3129" s="10" t="b">
        <f>IF(AND(I3129="TP",S3129&lt;=150),VLOOKUP(AF3129,TPCalibEq150!$AZ$2:$BB$55,3,),IF(AND(I3129="TDP",S3129&lt;=150),VLOOKUP(AF3129,TPCalibEq150!$AZ$2:$BB$55,3,)))</f>
        <v>0</v>
      </c>
      <c r="AR3129" s="10" t="b">
        <f>IF(AND(I3129="TP",S3129&lt;=300),VLOOKUP(AF3129,TPCalibEq300!$AZ$2:$BB$55,3,),IF(AND(I3129="TDP",S3129&lt;=300),VLOOKUP(AF3129,TPCalibEq300!$AZ$2:$BB$55,3,)))</f>
        <v>0</v>
      </c>
      <c r="AS3129" s="10" t="b">
        <f>IF(AND(I3129="TP",S3129&lt;=500),VLOOKUP(AF3129,TPCalibEq500!$AZ$2:$BB$56,3,),IF(AND(I3129="TDP",S3129&lt;=500),VLOOKUP(AF3129,TPCalibEq500!$AZ$2:$BB$56,3,)))</f>
        <v>0</v>
      </c>
      <c r="AT3129" s="10" t="b">
        <f>IF(AND(I3129="TN",S3129&lt;=2800),VLOOKUP(AF3129,TNCalibEq2500!$AZ$2:$BB$56,3,),IF(AND(I3129="TDN",S3129&lt;=2800),VLOOKUP(AF3129,TNCalibEq2500!$AZ$2:$BB$56,3,)))</f>
        <v>0</v>
      </c>
      <c r="AU3129" s="10" t="b">
        <f>IF(I3129="TP",VLOOKUP(AF3129,TPCalibEqFull!$AZ$2:$BB$56,3),IF(I3129="TDP",VLOOKUP(AF3129,TPCalibEqFull!$AZ$2:$BB$56,3),IF(I3129="TDN",VLOOKUP(AF3129,TNCalibEqFull!$AZ$1:$BB$56,3),IF(I3129="TN",VLOOKUP(AF3129,TNCalibEqFull!$AZ$1:$BB$56,3),FALSE))))</f>
        <v>0</v>
      </c>
      <c r="AV3129" s="10" t="str">
        <f t="shared" si="354"/>
        <v>0213 11:18:00-FVM-0-C-2-SW-DUP</v>
      </c>
    </row>
    <row r="3130" spans="1:48" s="10" customFormat="1" x14ac:dyDescent="0.55000000000000004">
      <c r="A3130" s="32">
        <v>44970</v>
      </c>
      <c r="B3130" s="33">
        <v>0.47083333333333338</v>
      </c>
      <c r="C3130" s="10" t="s">
        <v>437</v>
      </c>
      <c r="D3130" s="10">
        <v>0</v>
      </c>
      <c r="E3130" s="10" t="s">
        <v>190</v>
      </c>
      <c r="F3130" s="10">
        <v>2</v>
      </c>
      <c r="G3130" s="10" t="s">
        <v>231</v>
      </c>
      <c r="H3130" s="10" t="s">
        <v>314</v>
      </c>
      <c r="I3130" s="10" t="s">
        <v>256</v>
      </c>
      <c r="J3130" s="10">
        <v>50</v>
      </c>
      <c r="K3130" s="12">
        <v>44972</v>
      </c>
      <c r="L3130" s="33">
        <v>0.50123842592592593</v>
      </c>
      <c r="M3130" s="10">
        <v>1</v>
      </c>
      <c r="N3130" s="10" t="s">
        <v>169</v>
      </c>
      <c r="O3130" s="10">
        <v>5.86</v>
      </c>
      <c r="P3130" s="10">
        <v>0.27300000000000002</v>
      </c>
      <c r="Q3130" s="10">
        <v>765</v>
      </c>
      <c r="R3130" s="10" t="s">
        <v>77</v>
      </c>
      <c r="S3130" s="34">
        <f t="shared" si="351"/>
        <v>765</v>
      </c>
      <c r="T3130" s="10" t="s">
        <v>915</v>
      </c>
      <c r="U3130" s="34">
        <f t="shared" si="352"/>
        <v>118.73599999999999</v>
      </c>
      <c r="V3130" s="31">
        <f>IF(H3130="CHK",VLOOKUP(I3130,QCCHK,3,),IF(H3130="GUP",VLOOKUP(E3130,QCGUP,2,),IF(AND(H3130="ATP",OR(I3130="TN",I3130="TDN",I3130="TNO2-3",I3130="NO2-3")),VLOOKUP(E3130,QCREC_N,2,),IF(AND(H3130="NIC",OR(I3130="TN",I3130="TDN",I3130="TNO2-3",I3130="NO2-3")),VLOOKUP(E3130,QCNIC_N,2,),IF(AND(H3130="UREA",OR(I3130="TN",I3130="TDN",I3130="TNO2-3",I3130="NO2-3")),VLOOKUP(E3130,QCUREA_N,2,),IF(H3130="PER",VLOOKUP(I3130,QCPER,MATCH(E3130,QCACTUAL!$J$25:$AA$25,0),),IF(H3130="SPK",VLOOKUP(I3130,QCSPK,3,),IF(AND(H3130="ATP",OR(I3130="TP",I3130="TDP")),VLOOKUP(E3130,QCATP_P,2,),""))))))))</f>
        <v>625</v>
      </c>
      <c r="W3130" s="31" t="str">
        <f t="shared" si="353"/>
        <v>TRUE</v>
      </c>
      <c r="X3130" s="31" t="str">
        <f t="shared" si="350"/>
        <v>([spikedunkn]-[unkn])/[spike]*100</v>
      </c>
      <c r="Y3130" s="10" t="s">
        <v>1206</v>
      </c>
      <c r="Z3130" s="10" t="s">
        <v>910</v>
      </c>
      <c r="AL3130" s="10" t="str">
        <f t="shared" si="348"/>
        <v>FALSE</v>
      </c>
      <c r="AM3130" s="10" t="str">
        <f t="shared" si="348"/>
        <v>FALSE</v>
      </c>
      <c r="AN3130" s="10" t="str">
        <f t="shared" si="348"/>
        <v>FALSE</v>
      </c>
      <c r="AO3130" s="10" t="str">
        <f t="shared" si="349"/>
        <v>FALSE</v>
      </c>
      <c r="AP3130" s="10" t="str">
        <f t="shared" si="349"/>
        <v>FALSE</v>
      </c>
      <c r="AQ3130" s="10" t="b">
        <f>IF(AND(I3130="TP",S3130&lt;=150),VLOOKUP(AF3130,TPCalibEq150!$AZ$2:$BB$55,3,),IF(AND(I3130="TDP",S3130&lt;=150),VLOOKUP(AF3130,TPCalibEq150!$AZ$2:$BB$55,3,)))</f>
        <v>0</v>
      </c>
      <c r="AR3130" s="10" t="b">
        <f>IF(AND(I3130="TP",S3130&lt;=300),VLOOKUP(AF3130,TPCalibEq300!$AZ$2:$BB$55,3,),IF(AND(I3130="TDP",S3130&lt;=300),VLOOKUP(AF3130,TPCalibEq300!$AZ$2:$BB$55,3,)))</f>
        <v>0</v>
      </c>
      <c r="AS3130" s="10" t="b">
        <f>IF(AND(I3130="TP",S3130&lt;=500),VLOOKUP(AF3130,TPCalibEq500!$AZ$2:$BB$56,3,),IF(AND(I3130="TDP",S3130&lt;=500),VLOOKUP(AF3130,TPCalibEq500!$AZ$2:$BB$56,3,)))</f>
        <v>0</v>
      </c>
      <c r="AT3130" s="10" t="b">
        <f>IF(AND(I3130="TN",S3130&lt;=2800),VLOOKUP(AF3130,TNCalibEq2500!$AZ$2:$BB$56,3,),IF(AND(I3130="TDN",S3130&lt;=2800),VLOOKUP(AF3130,TNCalibEq2500!$AZ$2:$BB$56,3,)))</f>
        <v>0</v>
      </c>
      <c r="AU3130" s="10" t="b">
        <f>IF(I3130="TP",VLOOKUP(AF3130,TPCalibEqFull!$AZ$2:$BB$56,3),IF(I3130="TDP",VLOOKUP(AF3130,TPCalibEqFull!$AZ$2:$BB$56,3),IF(I3130="TDN",VLOOKUP(AF3130,TNCalibEqFull!$AZ$1:$BB$56,3),IF(I3130="TN",VLOOKUP(AF3130,TNCalibEqFull!$AZ$1:$BB$56,3),FALSE))))</f>
        <v>0</v>
      </c>
      <c r="AV3130" s="10" t="str">
        <f t="shared" si="354"/>
        <v>0213 11:18:00-FVM-0-C-2-SW-SPK</v>
      </c>
    </row>
    <row r="3131" spans="1:48" s="10" customFormat="1" x14ac:dyDescent="0.55000000000000004">
      <c r="A3131" s="32">
        <v>44972</v>
      </c>
      <c r="B3131" s="33">
        <v>0.375</v>
      </c>
      <c r="C3131" s="10" t="s">
        <v>70</v>
      </c>
      <c r="D3131" s="10" t="s">
        <v>71</v>
      </c>
      <c r="E3131" s="10" t="s">
        <v>901</v>
      </c>
      <c r="F3131" s="10">
        <v>1</v>
      </c>
      <c r="G3131" s="10" t="s">
        <v>73</v>
      </c>
      <c r="H3131" s="10" t="s">
        <v>207</v>
      </c>
      <c r="I3131" s="10" t="s">
        <v>256</v>
      </c>
      <c r="J3131" s="10">
        <v>199</v>
      </c>
      <c r="K3131" s="12">
        <v>44972</v>
      </c>
      <c r="L3131" s="33">
        <v>0.50206018518518525</v>
      </c>
      <c r="M3131" s="10">
        <v>1</v>
      </c>
      <c r="N3131" s="10" t="s">
        <v>169</v>
      </c>
      <c r="O3131" s="10">
        <v>2.2599999999999998</v>
      </c>
      <c r="P3131" s="10">
        <v>0.108</v>
      </c>
      <c r="Q3131" s="10">
        <v>295</v>
      </c>
      <c r="R3131" s="10" t="s">
        <v>77</v>
      </c>
      <c r="S3131" s="34">
        <f t="shared" si="351"/>
        <v>295</v>
      </c>
      <c r="T3131" s="10" t="s">
        <v>915</v>
      </c>
      <c r="U3131" s="34">
        <f t="shared" si="352"/>
        <v>98.333333333333329</v>
      </c>
      <c r="V3131" s="31">
        <f>IF(H3131="CHK",VLOOKUP(I3131,QCCHK,3,),IF(H3131="GUP",VLOOKUP(E3131,QCGUP,2,),IF(AND(H3131="ATP",OR(I3131="TN",I3131="TDN",I3131="TNO2-3",I3131="NO2-3")),VLOOKUP(E3131,QCREC_N,2,),IF(AND(H3131="NIC",OR(I3131="TN",I3131="TDN",I3131="TNO2-3",I3131="NO2-3")),VLOOKUP(E3131,QCNIC_N,2,),IF(AND(H3131="UREA",OR(I3131="TN",I3131="TDN",I3131="TNO2-3",I3131="NO2-3")),VLOOKUP(E3131,QCUREA_N,2,),IF(H3131="PER",VLOOKUP(I3131,QCPER,MATCH(E3131,QCACTUAL!$J$25:$AA$25,0),),IF(H3131="SPK",VLOOKUP(I3131,QCSPK,3,),IF(AND(H3131="ATP",OR(I3131="TP",I3131="TDP")),VLOOKUP(E3131,QCATP_P,2,),""))))))))</f>
        <v>300</v>
      </c>
      <c r="W3131" s="31" t="str">
        <f t="shared" si="353"/>
        <v>TRUE</v>
      </c>
      <c r="X3131" s="31" t="str">
        <f t="shared" si="350"/>
        <v>[chk]/[actual]*100</v>
      </c>
      <c r="Y3131" s="10" t="s">
        <v>1206</v>
      </c>
      <c r="AL3131" s="10" t="str">
        <f t="shared" si="348"/>
        <v>FALSE</v>
      </c>
      <c r="AM3131" s="10" t="str">
        <f t="shared" si="348"/>
        <v>FALSE</v>
      </c>
      <c r="AN3131" s="10" t="str">
        <f t="shared" si="348"/>
        <v>FALSE</v>
      </c>
      <c r="AO3131" s="10" t="str">
        <f t="shared" si="349"/>
        <v>FALSE</v>
      </c>
      <c r="AP3131" s="10" t="str">
        <f t="shared" si="349"/>
        <v>FALSE</v>
      </c>
      <c r="AQ3131" s="10" t="b">
        <f>IF(AND(I3131="TP",S3131&lt;=150),VLOOKUP(AF3131,TPCalibEq150!$AZ$2:$BB$55,3,),IF(AND(I3131="TDP",S3131&lt;=150),VLOOKUP(AF3131,TPCalibEq150!$AZ$2:$BB$55,3,)))</f>
        <v>0</v>
      </c>
      <c r="AR3131" s="10" t="b">
        <f>IF(AND(I3131="TP",S3131&lt;=300),VLOOKUP(AF3131,TPCalibEq300!$AZ$2:$BB$55,3,),IF(AND(I3131="TDP",S3131&lt;=300),VLOOKUP(AF3131,TPCalibEq300!$AZ$2:$BB$55,3,)))</f>
        <v>0</v>
      </c>
      <c r="AS3131" s="10" t="b">
        <f>IF(AND(I3131="TP",S3131&lt;=500),VLOOKUP(AF3131,TPCalibEq500!$AZ$2:$BB$56,3,),IF(AND(I3131="TDP",S3131&lt;=500),VLOOKUP(AF3131,TPCalibEq500!$AZ$2:$BB$56,3,)))</f>
        <v>0</v>
      </c>
      <c r="AT3131" s="10" t="b">
        <f>IF(AND(I3131="TN",S3131&lt;=2800),VLOOKUP(AF3131,TNCalibEq2500!$AZ$2:$BB$56,3,),IF(AND(I3131="TDN",S3131&lt;=2800),VLOOKUP(AF3131,TNCalibEq2500!$AZ$2:$BB$56,3,)))</f>
        <v>0</v>
      </c>
      <c r="AU3131" s="10" t="b">
        <f>IF(I3131="TP",VLOOKUP(AF3131,TPCalibEqFull!$AZ$2:$BB$56,3),IF(I3131="TDP",VLOOKUP(AF3131,TPCalibEqFull!$AZ$2:$BB$56,3),IF(I3131="TDN",VLOOKUP(AF3131,TNCalibEqFull!$AZ$1:$BB$56,3),IF(I3131="TN",VLOOKUP(AF3131,TNCalibEqFull!$AZ$1:$BB$56,3),FALSE))))</f>
        <v>0</v>
      </c>
      <c r="AV3131" s="10" t="str">
        <f t="shared" si="354"/>
        <v>0215 09:00:00-QAC-STD-D-1-DI-CHK</v>
      </c>
    </row>
    <row r="3132" spans="1:48" s="10" customFormat="1" x14ac:dyDescent="0.55000000000000004">
      <c r="A3132" s="32">
        <v>44970</v>
      </c>
      <c r="B3132" s="33">
        <v>0.49583333333333335</v>
      </c>
      <c r="C3132" s="10" t="s">
        <v>336</v>
      </c>
      <c r="D3132" s="10">
        <v>0</v>
      </c>
      <c r="E3132" s="10" t="s">
        <v>190</v>
      </c>
      <c r="F3132" s="10">
        <v>1</v>
      </c>
      <c r="G3132" s="10" t="s">
        <v>231</v>
      </c>
      <c r="H3132" s="10" t="s">
        <v>322</v>
      </c>
      <c r="I3132" s="10" t="s">
        <v>256</v>
      </c>
      <c r="J3132" s="10">
        <v>21</v>
      </c>
      <c r="K3132" s="12">
        <v>44972</v>
      </c>
      <c r="L3132" s="33">
        <v>0.50288194444444445</v>
      </c>
      <c r="M3132" s="10">
        <v>1</v>
      </c>
      <c r="N3132" s="10" t="s">
        <v>169</v>
      </c>
      <c r="O3132" s="10">
        <v>0.28000000000000003</v>
      </c>
      <c r="P3132" s="10">
        <v>1.29E-2</v>
      </c>
      <c r="Q3132" s="10">
        <v>36.6</v>
      </c>
      <c r="R3132" s="10" t="s">
        <v>77</v>
      </c>
      <c r="S3132" s="34">
        <f t="shared" si="351"/>
        <v>36.6</v>
      </c>
      <c r="T3132" s="10" t="s">
        <v>915</v>
      </c>
      <c r="U3132" s="34" t="str">
        <f t="shared" si="352"/>
        <v/>
      </c>
      <c r="V3132" s="31" t="str">
        <f>IF(H3132="CHK",VLOOKUP(I3132,QCCHK,3,),IF(H3132="GUP",VLOOKUP(E3132,QCGUP,2,),IF(AND(H3132="ATP",OR(I3132="TN",I3132="TDN",I3132="TNO2-3",I3132="NO2-3")),VLOOKUP(E3132,QCREC_N,2,),IF(AND(H3132="NIC",OR(I3132="TN",I3132="TDN",I3132="TNO2-3",I3132="NO2-3")),VLOOKUP(E3132,QCNIC_N,2,),IF(AND(H3132="UREA",OR(I3132="TN",I3132="TDN",I3132="TNO2-3",I3132="NO2-3")),VLOOKUP(E3132,QCUREA_N,2,),IF(H3132="PER",VLOOKUP(I3132,QCPER,MATCH(E3132,QCACTUAL!$J$25:$AA$25,0),),IF(H3132="SPK",VLOOKUP(I3132,QCSPK,3,),IF(AND(H3132="ATP",OR(I3132="TP",I3132="TDP")),VLOOKUP(E3132,QCATP_P,2,),""))))))))</f>
        <v/>
      </c>
      <c r="W3132" s="31" t="str">
        <f t="shared" si="353"/>
        <v>TRUE</v>
      </c>
      <c r="X3132" s="31" t="str">
        <f t="shared" si="350"/>
        <v/>
      </c>
      <c r="Y3132" s="10" t="s">
        <v>1206</v>
      </c>
      <c r="Z3132" s="10" t="s">
        <v>910</v>
      </c>
      <c r="AL3132" s="10" t="str">
        <f t="shared" si="348"/>
        <v>FALSE</v>
      </c>
      <c r="AM3132" s="10" t="str">
        <f t="shared" si="348"/>
        <v>FALSE</v>
      </c>
      <c r="AN3132" s="10" t="str">
        <f t="shared" si="348"/>
        <v>FALSE</v>
      </c>
      <c r="AO3132" s="10" t="str">
        <f t="shared" si="349"/>
        <v>FALSE</v>
      </c>
      <c r="AP3132" s="10" t="str">
        <f t="shared" si="349"/>
        <v>FALSE</v>
      </c>
      <c r="AQ3132" s="10" t="b">
        <f>IF(AND(I3132="TP",S3132&lt;=150),VLOOKUP(AF3132,TPCalibEq150!$AZ$2:$BB$55,3,),IF(AND(I3132="TDP",S3132&lt;=150),VLOOKUP(AF3132,TPCalibEq150!$AZ$2:$BB$55,3,)))</f>
        <v>0</v>
      </c>
      <c r="AR3132" s="10" t="b">
        <f>IF(AND(I3132="TP",S3132&lt;=300),VLOOKUP(AF3132,TPCalibEq300!$AZ$2:$BB$55,3,),IF(AND(I3132="TDP",S3132&lt;=300),VLOOKUP(AF3132,TPCalibEq300!$AZ$2:$BB$55,3,)))</f>
        <v>0</v>
      </c>
      <c r="AS3132" s="10" t="b">
        <f>IF(AND(I3132="TP",S3132&lt;=500),VLOOKUP(AF3132,TPCalibEq500!$AZ$2:$BB$56,3,),IF(AND(I3132="TDP",S3132&lt;=500),VLOOKUP(AF3132,TPCalibEq500!$AZ$2:$BB$56,3,)))</f>
        <v>0</v>
      </c>
      <c r="AT3132" s="10" t="b">
        <f>IF(AND(I3132="TN",S3132&lt;=2800),VLOOKUP(AF3132,TNCalibEq2500!$AZ$2:$BB$56,3,),IF(AND(I3132="TDN",S3132&lt;=2800),VLOOKUP(AF3132,TNCalibEq2500!$AZ$2:$BB$56,3,)))</f>
        <v>0</v>
      </c>
      <c r="AU3132" s="10" t="b">
        <f>IF(I3132="TP",VLOOKUP(AF3132,TPCalibEqFull!$AZ$2:$BB$56,3),IF(I3132="TDP",VLOOKUP(AF3132,TPCalibEqFull!$AZ$2:$BB$56,3),IF(I3132="TDN",VLOOKUP(AF3132,TNCalibEqFull!$AZ$1:$BB$56,3),IF(I3132="TN",VLOOKUP(AF3132,TNCalibEqFull!$AZ$1:$BB$56,3),FALSE))))</f>
        <v>0</v>
      </c>
      <c r="AV3132" s="10" t="str">
        <f t="shared" si="354"/>
        <v>0213 11:54:00-HWR-0-C-1-SW-UKN</v>
      </c>
    </row>
    <row r="3133" spans="1:48" s="10" customFormat="1" x14ac:dyDescent="0.55000000000000004">
      <c r="A3133" s="32">
        <v>44970</v>
      </c>
      <c r="B3133" s="33">
        <v>0.48819444444444443</v>
      </c>
      <c r="C3133" s="10" t="s">
        <v>295</v>
      </c>
      <c r="D3133" s="10">
        <v>0</v>
      </c>
      <c r="E3133" s="10" t="s">
        <v>190</v>
      </c>
      <c r="F3133" s="10">
        <v>1</v>
      </c>
      <c r="G3133" s="10" t="s">
        <v>231</v>
      </c>
      <c r="H3133" s="10" t="s">
        <v>322</v>
      </c>
      <c r="I3133" s="10" t="s">
        <v>256</v>
      </c>
      <c r="J3133" s="10">
        <v>22</v>
      </c>
      <c r="K3133" s="12">
        <v>44972</v>
      </c>
      <c r="L3133" s="33">
        <v>0.50369212962962961</v>
      </c>
      <c r="M3133" s="10">
        <v>1</v>
      </c>
      <c r="N3133" s="10" t="s">
        <v>169</v>
      </c>
      <c r="O3133" s="10">
        <v>5.33</v>
      </c>
      <c r="P3133" s="10">
        <v>0.247</v>
      </c>
      <c r="Q3133" s="10">
        <v>696</v>
      </c>
      <c r="R3133" s="10" t="s">
        <v>77</v>
      </c>
      <c r="S3133" s="34">
        <f t="shared" si="351"/>
        <v>696</v>
      </c>
      <c r="T3133" s="10" t="s">
        <v>915</v>
      </c>
      <c r="U3133" s="34" t="str">
        <f t="shared" si="352"/>
        <v/>
      </c>
      <c r="V3133" s="31" t="str">
        <f>IF(H3133="CHK",VLOOKUP(I3133,QCCHK,3,),IF(H3133="GUP",VLOOKUP(E3133,QCGUP,2,),IF(AND(H3133="ATP",OR(I3133="TN",I3133="TDN",I3133="TNO2-3",I3133="NO2-3")),VLOOKUP(E3133,QCREC_N,2,),IF(AND(H3133="NIC",OR(I3133="TN",I3133="TDN",I3133="TNO2-3",I3133="NO2-3")),VLOOKUP(E3133,QCNIC_N,2,),IF(AND(H3133="UREA",OR(I3133="TN",I3133="TDN",I3133="TNO2-3",I3133="NO2-3")),VLOOKUP(E3133,QCUREA_N,2,),IF(H3133="PER",VLOOKUP(I3133,QCPER,MATCH(E3133,QCACTUAL!$J$25:$AA$25,0),),IF(H3133="SPK",VLOOKUP(I3133,QCSPK,3,),IF(AND(H3133="ATP",OR(I3133="TP",I3133="TDP")),VLOOKUP(E3133,QCATP_P,2,),""))))))))</f>
        <v/>
      </c>
      <c r="W3133" s="31" t="str">
        <f t="shared" si="353"/>
        <v>TRUE</v>
      </c>
      <c r="X3133" s="31" t="str">
        <f t="shared" si="350"/>
        <v/>
      </c>
      <c r="Y3133" s="10" t="s">
        <v>1206</v>
      </c>
      <c r="Z3133" s="10" t="s">
        <v>910</v>
      </c>
      <c r="AL3133" s="10" t="str">
        <f t="shared" ref="AL3133:AN3173" si="355">IF($O3133="", "", IF(AQ3133&lt;&gt;"", SUBSTITUTE(SUBSTITUTE(AQ3133, "x", "*"&amp;$O3133&amp;"^", 1), "x", "*"&amp;$O3133, 1), ""))</f>
        <v>FALSE</v>
      </c>
      <c r="AM3133" s="10" t="str">
        <f t="shared" si="355"/>
        <v>FALSE</v>
      </c>
      <c r="AN3133" s="10" t="str">
        <f t="shared" si="355"/>
        <v>FALSE</v>
      </c>
      <c r="AO3133" s="10" t="str">
        <f t="shared" ref="AO3133:AP3173" si="356">IF($O3133="", "FALSE", IF(AT3133&lt;&gt;"FALSE", SUBSTITUTE(SUBSTITUTE(AT3133, "x", "*"&amp;$O3133&amp;"^", 1), "x", "*"&amp;$O3133, 1), ""))</f>
        <v>FALSE</v>
      </c>
      <c r="AP3133" s="10" t="str">
        <f t="shared" si="356"/>
        <v>FALSE</v>
      </c>
      <c r="AQ3133" s="10" t="b">
        <f>IF(AND(I3133="TP",S3133&lt;=150),VLOOKUP(AF3133,TPCalibEq150!$AZ$2:$BB$55,3,),IF(AND(I3133="TDP",S3133&lt;=150),VLOOKUP(AF3133,TPCalibEq150!$AZ$2:$BB$55,3,)))</f>
        <v>0</v>
      </c>
      <c r="AR3133" s="10" t="b">
        <f>IF(AND(I3133="TP",S3133&lt;=300),VLOOKUP(AF3133,TPCalibEq300!$AZ$2:$BB$55,3,),IF(AND(I3133="TDP",S3133&lt;=300),VLOOKUP(AF3133,TPCalibEq300!$AZ$2:$BB$55,3,)))</f>
        <v>0</v>
      </c>
      <c r="AS3133" s="10" t="b">
        <f>IF(AND(I3133="TP",S3133&lt;=500),VLOOKUP(AF3133,TPCalibEq500!$AZ$2:$BB$56,3,),IF(AND(I3133="TDP",S3133&lt;=500),VLOOKUP(AF3133,TPCalibEq500!$AZ$2:$BB$56,3,)))</f>
        <v>0</v>
      </c>
      <c r="AT3133" s="10" t="b">
        <f>IF(AND(I3133="TN",S3133&lt;=2800),VLOOKUP(AF3133,TNCalibEq2500!$AZ$2:$BB$56,3,),IF(AND(I3133="TDN",S3133&lt;=2800),VLOOKUP(AF3133,TNCalibEq2500!$AZ$2:$BB$56,3,)))</f>
        <v>0</v>
      </c>
      <c r="AU3133" s="10" t="b">
        <f>IF(I3133="TP",VLOOKUP(AF3133,TPCalibEqFull!$AZ$2:$BB$56,3),IF(I3133="TDP",VLOOKUP(AF3133,TPCalibEqFull!$AZ$2:$BB$56,3),IF(I3133="TDN",VLOOKUP(AF3133,TNCalibEqFull!$AZ$1:$BB$56,3),IF(I3133="TN",VLOOKUP(AF3133,TNCalibEqFull!$AZ$1:$BB$56,3),FALSE))))</f>
        <v>0</v>
      </c>
      <c r="AV3133" s="10" t="str">
        <f t="shared" si="354"/>
        <v>0213 11:43:00-EFM-0-C-1-SW-UKN</v>
      </c>
    </row>
    <row r="3134" spans="1:48" s="10" customFormat="1" x14ac:dyDescent="0.55000000000000004">
      <c r="A3134" s="32">
        <v>44970</v>
      </c>
      <c r="B3134" s="33">
        <v>0.50694444444444442</v>
      </c>
      <c r="C3134" s="10" t="s">
        <v>999</v>
      </c>
      <c r="D3134" s="10">
        <v>0</v>
      </c>
      <c r="E3134" s="10" t="s">
        <v>190</v>
      </c>
      <c r="F3134" s="10">
        <v>1</v>
      </c>
      <c r="G3134" s="10" t="s">
        <v>231</v>
      </c>
      <c r="H3134" s="10" t="s">
        <v>322</v>
      </c>
      <c r="I3134" s="10" t="s">
        <v>256</v>
      </c>
      <c r="J3134" s="10">
        <v>23</v>
      </c>
      <c r="K3134" s="12">
        <v>44972</v>
      </c>
      <c r="L3134" s="33">
        <v>0.50451388888888882</v>
      </c>
      <c r="M3134" s="10">
        <v>1</v>
      </c>
      <c r="N3134" s="10" t="s">
        <v>169</v>
      </c>
      <c r="O3134" s="10">
        <v>6.1</v>
      </c>
      <c r="P3134" s="10">
        <v>0.28399999999999997</v>
      </c>
      <c r="Q3134" s="10">
        <v>796</v>
      </c>
      <c r="R3134" s="10" t="s">
        <v>77</v>
      </c>
      <c r="S3134" s="34">
        <f t="shared" si="351"/>
        <v>796</v>
      </c>
      <c r="T3134" s="10" t="s">
        <v>915</v>
      </c>
      <c r="U3134" s="34" t="str">
        <f t="shared" si="352"/>
        <v/>
      </c>
      <c r="V3134" s="31" t="str">
        <f>IF(H3134="CHK",VLOOKUP(I3134,QCCHK,3,),IF(H3134="GUP",VLOOKUP(E3134,QCGUP,2,),IF(AND(H3134="ATP",OR(I3134="TN",I3134="TDN",I3134="TNO2-3",I3134="NO2-3")),VLOOKUP(E3134,QCREC_N,2,),IF(AND(H3134="NIC",OR(I3134="TN",I3134="TDN",I3134="TNO2-3",I3134="NO2-3")),VLOOKUP(E3134,QCNIC_N,2,),IF(AND(H3134="UREA",OR(I3134="TN",I3134="TDN",I3134="TNO2-3",I3134="NO2-3")),VLOOKUP(E3134,QCUREA_N,2,),IF(H3134="PER",VLOOKUP(I3134,QCPER,MATCH(E3134,QCACTUAL!$J$25:$AA$25,0),),IF(H3134="SPK",VLOOKUP(I3134,QCSPK,3,),IF(AND(H3134="ATP",OR(I3134="TP",I3134="TDP")),VLOOKUP(E3134,QCATP_P,2,),""))))))))</f>
        <v/>
      </c>
      <c r="W3134" s="31" t="str">
        <f t="shared" si="353"/>
        <v>TRUE</v>
      </c>
      <c r="X3134" s="31" t="str">
        <f t="shared" si="350"/>
        <v/>
      </c>
      <c r="Y3134" s="10" t="s">
        <v>1206</v>
      </c>
      <c r="Z3134" s="10" t="s">
        <v>910</v>
      </c>
      <c r="AL3134" s="10" t="str">
        <f t="shared" si="355"/>
        <v>FALSE</v>
      </c>
      <c r="AM3134" s="10" t="str">
        <f t="shared" si="355"/>
        <v>FALSE</v>
      </c>
      <c r="AN3134" s="10" t="str">
        <f t="shared" si="355"/>
        <v>FALSE</v>
      </c>
      <c r="AO3134" s="10" t="str">
        <f t="shared" si="356"/>
        <v>FALSE</v>
      </c>
      <c r="AP3134" s="10" t="str">
        <f t="shared" si="356"/>
        <v>FALSE</v>
      </c>
      <c r="AQ3134" s="10" t="b">
        <f>IF(AND(I3134="TP",S3134&lt;=150),VLOOKUP(AF3134,TPCalibEq150!$AZ$2:$BB$55,3,),IF(AND(I3134="TDP",S3134&lt;=150),VLOOKUP(AF3134,TPCalibEq150!$AZ$2:$BB$55,3,)))</f>
        <v>0</v>
      </c>
      <c r="AR3134" s="10" t="b">
        <f>IF(AND(I3134="TP",S3134&lt;=300),VLOOKUP(AF3134,TPCalibEq300!$AZ$2:$BB$55,3,),IF(AND(I3134="TDP",S3134&lt;=300),VLOOKUP(AF3134,TPCalibEq300!$AZ$2:$BB$55,3,)))</f>
        <v>0</v>
      </c>
      <c r="AS3134" s="10" t="b">
        <f>IF(AND(I3134="TP",S3134&lt;=500),VLOOKUP(AF3134,TPCalibEq500!$AZ$2:$BB$56,3,),IF(AND(I3134="TDP",S3134&lt;=500),VLOOKUP(AF3134,TPCalibEq500!$AZ$2:$BB$56,3,)))</f>
        <v>0</v>
      </c>
      <c r="AT3134" s="10" t="b">
        <f>IF(AND(I3134="TN",S3134&lt;=2800),VLOOKUP(AF3134,TNCalibEq2500!$AZ$2:$BB$56,3,),IF(AND(I3134="TDN",S3134&lt;=2800),VLOOKUP(AF3134,TNCalibEq2500!$AZ$2:$BB$56,3,)))</f>
        <v>0</v>
      </c>
      <c r="AU3134" s="10" t="b">
        <f>IF(I3134="TP",VLOOKUP(AF3134,TPCalibEqFull!$AZ$2:$BB$56,3),IF(I3134="TDP",VLOOKUP(AF3134,TPCalibEqFull!$AZ$2:$BB$56,3),IF(I3134="TDN",VLOOKUP(AF3134,TNCalibEqFull!$AZ$1:$BB$56,3),IF(I3134="TN",VLOOKUP(AF3134,TNCalibEqFull!$AZ$1:$BB$56,3),FALSE))))</f>
        <v>0</v>
      </c>
      <c r="AV3134" s="10" t="str">
        <f t="shared" si="354"/>
        <v>0213 12:10:00-EAW-0-C-1-SW-UKN</v>
      </c>
    </row>
    <row r="3135" spans="1:48" s="10" customFormat="1" x14ac:dyDescent="0.55000000000000004">
      <c r="A3135" s="32">
        <v>44970</v>
      </c>
      <c r="B3135" s="33">
        <v>0.51527777777777783</v>
      </c>
      <c r="C3135" s="10" t="s">
        <v>310</v>
      </c>
      <c r="D3135" s="10">
        <v>0</v>
      </c>
      <c r="E3135" s="10" t="s">
        <v>190</v>
      </c>
      <c r="F3135" s="10">
        <v>1</v>
      </c>
      <c r="G3135" s="10" t="s">
        <v>231</v>
      </c>
      <c r="H3135" s="10" t="s">
        <v>322</v>
      </c>
      <c r="I3135" s="10" t="s">
        <v>256</v>
      </c>
      <c r="J3135" s="10">
        <v>24</v>
      </c>
      <c r="K3135" s="12">
        <v>44972</v>
      </c>
      <c r="L3135" s="33">
        <v>0.50533564814814813</v>
      </c>
      <c r="M3135" s="10">
        <v>1</v>
      </c>
      <c r="N3135" s="10" t="s">
        <v>169</v>
      </c>
      <c r="O3135" s="10">
        <v>7.49</v>
      </c>
      <c r="P3135" s="10">
        <v>0.34699999999999998</v>
      </c>
      <c r="Q3135" s="10">
        <v>978</v>
      </c>
      <c r="R3135" s="10" t="s">
        <v>77</v>
      </c>
      <c r="S3135" s="34">
        <f t="shared" si="351"/>
        <v>978</v>
      </c>
      <c r="T3135" s="10" t="s">
        <v>915</v>
      </c>
      <c r="U3135" s="34" t="str">
        <f t="shared" si="352"/>
        <v/>
      </c>
      <c r="V3135" s="31" t="str">
        <f>IF(H3135="CHK",VLOOKUP(I3135,QCCHK,3,),IF(H3135="GUP",VLOOKUP(E3135,QCGUP,2,),IF(AND(H3135="ATP",OR(I3135="TN",I3135="TDN",I3135="TNO2-3",I3135="NO2-3")),VLOOKUP(E3135,QCREC_N,2,),IF(AND(H3135="NIC",OR(I3135="TN",I3135="TDN",I3135="TNO2-3",I3135="NO2-3")),VLOOKUP(E3135,QCNIC_N,2,),IF(AND(H3135="UREA",OR(I3135="TN",I3135="TDN",I3135="TNO2-3",I3135="NO2-3")),VLOOKUP(E3135,QCUREA_N,2,),IF(H3135="PER",VLOOKUP(I3135,QCPER,MATCH(E3135,QCACTUAL!$J$25:$AA$25,0),),IF(H3135="SPK",VLOOKUP(I3135,QCSPK,3,),IF(AND(H3135="ATP",OR(I3135="TP",I3135="TDP")),VLOOKUP(E3135,QCATP_P,2,),""))))))))</f>
        <v/>
      </c>
      <c r="W3135" s="31" t="str">
        <f t="shared" si="353"/>
        <v>TRUE</v>
      </c>
      <c r="X3135" s="31" t="str">
        <f t="shared" ref="X3135:X3198" si="357">IF(ISNA(VLOOKUP(H3135,QCEQUATIONS,2,)),"",(VLOOKUP(H3135,QCEQUATIONS,2,)))</f>
        <v/>
      </c>
      <c r="Y3135" s="10" t="s">
        <v>1206</v>
      </c>
      <c r="Z3135" s="10" t="s">
        <v>910</v>
      </c>
      <c r="AL3135" s="10" t="str">
        <f t="shared" si="355"/>
        <v>FALSE</v>
      </c>
      <c r="AM3135" s="10" t="str">
        <f t="shared" si="355"/>
        <v>FALSE</v>
      </c>
      <c r="AN3135" s="10" t="str">
        <f t="shared" si="355"/>
        <v>FALSE</v>
      </c>
      <c r="AO3135" s="10" t="str">
        <f t="shared" si="356"/>
        <v>FALSE</v>
      </c>
      <c r="AP3135" s="10" t="str">
        <f t="shared" si="356"/>
        <v>FALSE</v>
      </c>
      <c r="AQ3135" s="10" t="b">
        <f>IF(AND(I3135="TP",S3135&lt;=150),VLOOKUP(AF3135,TPCalibEq150!$AZ$2:$BB$55,3,),IF(AND(I3135="TDP",S3135&lt;=150),VLOOKUP(AF3135,TPCalibEq150!$AZ$2:$BB$55,3,)))</f>
        <v>0</v>
      </c>
      <c r="AR3135" s="10" t="b">
        <f>IF(AND(I3135="TP",S3135&lt;=300),VLOOKUP(AF3135,TPCalibEq300!$AZ$2:$BB$55,3,),IF(AND(I3135="TDP",S3135&lt;=300),VLOOKUP(AF3135,TPCalibEq300!$AZ$2:$BB$55,3,)))</f>
        <v>0</v>
      </c>
      <c r="AS3135" s="10" t="b">
        <f>IF(AND(I3135="TP",S3135&lt;=500),VLOOKUP(AF3135,TPCalibEq500!$AZ$2:$BB$56,3,),IF(AND(I3135="TDP",S3135&lt;=500),VLOOKUP(AF3135,TPCalibEq500!$AZ$2:$BB$56,3,)))</f>
        <v>0</v>
      </c>
      <c r="AT3135" s="10" t="b">
        <f>IF(AND(I3135="TN",S3135&lt;=2800),VLOOKUP(AF3135,TNCalibEq2500!$AZ$2:$BB$56,3,),IF(AND(I3135="TDN",S3135&lt;=2800),VLOOKUP(AF3135,TNCalibEq2500!$AZ$2:$BB$56,3,)))</f>
        <v>0</v>
      </c>
      <c r="AU3135" s="10" t="b">
        <f>IF(I3135="TP",VLOOKUP(AF3135,TPCalibEqFull!$AZ$2:$BB$56,3),IF(I3135="TDP",VLOOKUP(AF3135,TPCalibEqFull!$AZ$2:$BB$56,3),IF(I3135="TDN",VLOOKUP(AF3135,TNCalibEqFull!$AZ$1:$BB$56,3),IF(I3135="TN",VLOOKUP(AF3135,TNCalibEqFull!$AZ$1:$BB$56,3),FALSE))))</f>
        <v>0</v>
      </c>
      <c r="AV3135" s="10" t="str">
        <f t="shared" si="354"/>
        <v>0213 12:22:00-ELI-0-C-1-SW-UKN</v>
      </c>
    </row>
    <row r="3136" spans="1:48" s="10" customFormat="1" x14ac:dyDescent="0.55000000000000004">
      <c r="A3136" s="32">
        <v>44970</v>
      </c>
      <c r="B3136" s="33">
        <v>0.51527777777777783</v>
      </c>
      <c r="C3136" s="10" t="s">
        <v>310</v>
      </c>
      <c r="D3136" s="10">
        <v>0</v>
      </c>
      <c r="E3136" s="10" t="s">
        <v>190</v>
      </c>
      <c r="F3136" s="10">
        <v>1</v>
      </c>
      <c r="G3136" s="10" t="s">
        <v>231</v>
      </c>
      <c r="H3136" s="10" t="s">
        <v>233</v>
      </c>
      <c r="I3136" s="10" t="s">
        <v>256</v>
      </c>
      <c r="J3136" s="10">
        <v>24</v>
      </c>
      <c r="K3136" s="12">
        <v>44972</v>
      </c>
      <c r="L3136" s="33">
        <v>0.50614583333333341</v>
      </c>
      <c r="M3136" s="10">
        <v>1</v>
      </c>
      <c r="N3136" s="10" t="s">
        <v>169</v>
      </c>
      <c r="O3136" s="10">
        <v>1.98</v>
      </c>
      <c r="P3136" s="10">
        <v>9.2200000000000004E-2</v>
      </c>
      <c r="Q3136" s="10">
        <v>258</v>
      </c>
      <c r="R3136" s="10" t="s">
        <v>77</v>
      </c>
      <c r="S3136" s="34">
        <f t="shared" ref="S3136:S3199" si="358">IF(OR(AND(I3136&lt;&gt;"TP", I3136&lt;&gt;"TDP",I3136&lt;&gt;"TN", I3136&lt;&gt;"TDN"),H3136="CAL"), Q3136*M3136, IF(OR(AND(I3136="TN", Q3136&gt;2500), AND(I3136="TDN", Q3136&gt;2500)),MAX(Q3136, AK3136)*M3136, IF(OR(AND(I3136="TN", Q3136&lt;=2500), AND(I3136="TDN", Q3136&lt;=2500)),MAX(Q3136, AJ3136,AK3136)*M3136, IF(OR(AND(I3136="TP",Q3136&gt;500), AND(I3136="TDP", Q3136&gt;500)),MAX(Q3136,AK3136)*M3136,IF(OR(AND(I3136="TP",Q3136&lt;=150), AND(I3136="TDP", Q3136&lt;=150)),MAX(Q3136,AG3136:AI3136,AK3136)*M3136,IF(OR(AND(I3136="TP",Q3136&lt;=300), AND(I3136="TDP", Q3136&lt;=300)),MAX(Q3136,AH3136,AI3136,AK3136)*M3136,IF(OR(AND(I3136="TP",Q3136&lt;=500), AND(I3136="TDP", Q3136&lt;=500)),MAX(Q3136,AI3136,AK3136)*M3136,"")))))))</f>
        <v>258</v>
      </c>
      <c r="T3136" s="10" t="s">
        <v>915</v>
      </c>
      <c r="U3136" s="34">
        <f t="shared" si="352"/>
        <v>116.50485436893203</v>
      </c>
      <c r="V3136" s="31" t="str">
        <f>IF(H3136="CHK",VLOOKUP(I3136,QCCHK,3,),IF(H3136="GUP",VLOOKUP(E3136,QCGUP,2,),IF(AND(H3136="ATP",OR(I3136="TN",I3136="TDN",I3136="TNO2-3",I3136="NO2-3")),VLOOKUP(E3136,QCREC_N,2,),IF(AND(H3136="NIC",OR(I3136="TN",I3136="TDN",I3136="TNO2-3",I3136="NO2-3")),VLOOKUP(E3136,QCNIC_N,2,),IF(AND(H3136="UREA",OR(I3136="TN",I3136="TDN",I3136="TNO2-3",I3136="NO2-3")),VLOOKUP(E3136,QCUREA_N,2,),IF(H3136="PER",VLOOKUP(I3136,QCPER,MATCH(E3136,QCACTUAL!$J$25:$AA$25,0),),IF(H3136="SPK",VLOOKUP(I3136,QCSPK,3,),IF(AND(H3136="ATP",OR(I3136="TP",I3136="TDP")),VLOOKUP(E3136,QCATP_P,2,),""))))))))</f>
        <v/>
      </c>
      <c r="W3136" s="31" t="str">
        <f t="shared" si="353"/>
        <v>FALSE</v>
      </c>
      <c r="X3136" s="31" t="str">
        <f t="shared" si="357"/>
        <v>((ABS(rep1-rep2))/((rep1+rep2)/2)*100</v>
      </c>
      <c r="Y3136" s="10" t="s">
        <v>1206</v>
      </c>
      <c r="Z3136" s="10" t="s">
        <v>910</v>
      </c>
      <c r="AL3136" s="10" t="str">
        <f t="shared" si="355"/>
        <v>FALSE</v>
      </c>
      <c r="AM3136" s="10" t="str">
        <f t="shared" si="355"/>
        <v>FALSE</v>
      </c>
      <c r="AN3136" s="10" t="str">
        <f t="shared" si="355"/>
        <v>FALSE</v>
      </c>
      <c r="AO3136" s="10" t="str">
        <f t="shared" si="356"/>
        <v>FALSE</v>
      </c>
      <c r="AP3136" s="10" t="str">
        <f t="shared" si="356"/>
        <v>FALSE</v>
      </c>
      <c r="AQ3136" s="10" t="b">
        <f>IF(AND(I3136="TP",S3136&lt;=150),VLOOKUP(AF3136,TPCalibEq150!$AZ$2:$BB$55,3,),IF(AND(I3136="TDP",S3136&lt;=150),VLOOKUP(AF3136,TPCalibEq150!$AZ$2:$BB$55,3,)))</f>
        <v>0</v>
      </c>
      <c r="AR3136" s="10" t="b">
        <f>IF(AND(I3136="TP",S3136&lt;=300),VLOOKUP(AF3136,TPCalibEq300!$AZ$2:$BB$55,3,),IF(AND(I3136="TDP",S3136&lt;=300),VLOOKUP(AF3136,TPCalibEq300!$AZ$2:$BB$55,3,)))</f>
        <v>0</v>
      </c>
      <c r="AS3136" s="10" t="b">
        <f>IF(AND(I3136="TP",S3136&lt;=500),VLOOKUP(AF3136,TPCalibEq500!$AZ$2:$BB$56,3,),IF(AND(I3136="TDP",S3136&lt;=500),VLOOKUP(AF3136,TPCalibEq500!$AZ$2:$BB$56,3,)))</f>
        <v>0</v>
      </c>
      <c r="AT3136" s="10" t="b">
        <f>IF(AND(I3136="TN",S3136&lt;=2800),VLOOKUP(AF3136,TNCalibEq2500!$AZ$2:$BB$56,3,),IF(AND(I3136="TDN",S3136&lt;=2800),VLOOKUP(AF3136,TNCalibEq2500!$AZ$2:$BB$56,3,)))</f>
        <v>0</v>
      </c>
      <c r="AU3136" s="10" t="b">
        <f>IF(I3136="TP",VLOOKUP(AF3136,TPCalibEqFull!$AZ$2:$BB$56,3),IF(I3136="TDP",VLOOKUP(AF3136,TPCalibEqFull!$AZ$2:$BB$56,3),IF(I3136="TDN",VLOOKUP(AF3136,TNCalibEqFull!$AZ$1:$BB$56,3),IF(I3136="TN",VLOOKUP(AF3136,TNCalibEqFull!$AZ$1:$BB$56,3),FALSE))))</f>
        <v>0</v>
      </c>
      <c r="AV3136" s="10" t="str">
        <f t="shared" si="354"/>
        <v>0213 12:22:00-ELI-0-C-1-SW-DUP</v>
      </c>
    </row>
    <row r="3137" spans="1:48" s="10" customFormat="1" x14ac:dyDescent="0.55000000000000004">
      <c r="A3137" s="32">
        <v>44970</v>
      </c>
      <c r="B3137" s="33">
        <v>0.51527777777777783</v>
      </c>
      <c r="C3137" s="10" t="s">
        <v>310</v>
      </c>
      <c r="D3137" s="10">
        <v>0</v>
      </c>
      <c r="E3137" s="10" t="s">
        <v>190</v>
      </c>
      <c r="F3137" s="10">
        <v>1</v>
      </c>
      <c r="G3137" s="10" t="s">
        <v>231</v>
      </c>
      <c r="H3137" s="10" t="s">
        <v>314</v>
      </c>
      <c r="I3137" s="10" t="s">
        <v>256</v>
      </c>
      <c r="J3137" s="10">
        <v>51</v>
      </c>
      <c r="K3137" s="12">
        <v>44972</v>
      </c>
      <c r="L3137" s="33">
        <v>0.50695601851851857</v>
      </c>
      <c r="M3137" s="10">
        <v>1</v>
      </c>
      <c r="N3137" s="10" t="s">
        <v>169</v>
      </c>
      <c r="O3137" s="10">
        <v>8.93</v>
      </c>
      <c r="P3137" s="10">
        <v>0.41499999999999998</v>
      </c>
      <c r="Q3137" s="10">
        <v>1170</v>
      </c>
      <c r="R3137" s="10" t="s">
        <v>77</v>
      </c>
      <c r="S3137" s="34">
        <f t="shared" si="358"/>
        <v>1170</v>
      </c>
      <c r="T3137" s="10" t="s">
        <v>915</v>
      </c>
      <c r="U3137" s="34">
        <f t="shared" si="352"/>
        <v>145.92000000000002</v>
      </c>
      <c r="V3137" s="31">
        <f>IF(H3137="CHK",VLOOKUP(I3137,QCCHK,3,),IF(H3137="GUP",VLOOKUP(E3137,QCGUP,2,),IF(AND(H3137="ATP",OR(I3137="TN",I3137="TDN",I3137="TNO2-3",I3137="NO2-3")),VLOOKUP(E3137,QCREC_N,2,),IF(AND(H3137="NIC",OR(I3137="TN",I3137="TDN",I3137="TNO2-3",I3137="NO2-3")),VLOOKUP(E3137,QCNIC_N,2,),IF(AND(H3137="UREA",OR(I3137="TN",I3137="TDN",I3137="TNO2-3",I3137="NO2-3")),VLOOKUP(E3137,QCUREA_N,2,),IF(H3137="PER",VLOOKUP(I3137,QCPER,MATCH(E3137,QCACTUAL!$J$25:$AA$25,0),),IF(H3137="SPK",VLOOKUP(I3137,QCSPK,3,),IF(AND(H3137="ATP",OR(I3137="TP",I3137="TDP")),VLOOKUP(E3137,QCATP_P,2,),""))))))))</f>
        <v>625</v>
      </c>
      <c r="W3137" s="31" t="str">
        <f t="shared" si="353"/>
        <v>FALSE</v>
      </c>
      <c r="X3137" s="31" t="str">
        <f t="shared" si="357"/>
        <v>([spikedunkn]-[unkn])/[spike]*100</v>
      </c>
      <c r="Y3137" s="10" t="s">
        <v>1206</v>
      </c>
      <c r="Z3137" s="10" t="s">
        <v>910</v>
      </c>
      <c r="AL3137" s="10" t="str">
        <f t="shared" si="355"/>
        <v>FALSE</v>
      </c>
      <c r="AM3137" s="10" t="str">
        <f t="shared" si="355"/>
        <v>FALSE</v>
      </c>
      <c r="AN3137" s="10" t="str">
        <f t="shared" si="355"/>
        <v>FALSE</v>
      </c>
      <c r="AO3137" s="10" t="str">
        <f t="shared" si="356"/>
        <v>FALSE</v>
      </c>
      <c r="AP3137" s="10" t="str">
        <f t="shared" si="356"/>
        <v>FALSE</v>
      </c>
      <c r="AQ3137" s="10" t="b">
        <f>IF(AND(I3137="TP",S3137&lt;=150),VLOOKUP(AF3137,TPCalibEq150!$AZ$2:$BB$55,3,),IF(AND(I3137="TDP",S3137&lt;=150),VLOOKUP(AF3137,TPCalibEq150!$AZ$2:$BB$55,3,)))</f>
        <v>0</v>
      </c>
      <c r="AR3137" s="10" t="b">
        <f>IF(AND(I3137="TP",S3137&lt;=300),VLOOKUP(AF3137,TPCalibEq300!$AZ$2:$BB$55,3,),IF(AND(I3137="TDP",S3137&lt;=300),VLOOKUP(AF3137,TPCalibEq300!$AZ$2:$BB$55,3,)))</f>
        <v>0</v>
      </c>
      <c r="AS3137" s="10" t="b">
        <f>IF(AND(I3137="TP",S3137&lt;=500),VLOOKUP(AF3137,TPCalibEq500!$AZ$2:$BB$56,3,),IF(AND(I3137="TDP",S3137&lt;=500),VLOOKUP(AF3137,TPCalibEq500!$AZ$2:$BB$56,3,)))</f>
        <v>0</v>
      </c>
      <c r="AT3137" s="10" t="b">
        <f>IF(AND(I3137="TN",S3137&lt;=2800),VLOOKUP(AF3137,TNCalibEq2500!$AZ$2:$BB$56,3,),IF(AND(I3137="TDN",S3137&lt;=2800),VLOOKUP(AF3137,TNCalibEq2500!$AZ$2:$BB$56,3,)))</f>
        <v>0</v>
      </c>
      <c r="AU3137" s="10" t="b">
        <f>IF(I3137="TP",VLOOKUP(AF3137,TPCalibEqFull!$AZ$2:$BB$56,3),IF(I3137="TDP",VLOOKUP(AF3137,TPCalibEqFull!$AZ$2:$BB$56,3),IF(I3137="TDN",VLOOKUP(AF3137,TNCalibEqFull!$AZ$1:$BB$56,3),IF(I3137="TN",VLOOKUP(AF3137,TNCalibEqFull!$AZ$1:$BB$56,3),FALSE))))</f>
        <v>0</v>
      </c>
      <c r="AV3137" s="10" t="str">
        <f t="shared" si="354"/>
        <v>0213 12:22:00-ELI-0-C-1-SW-SPK</v>
      </c>
    </row>
    <row r="3138" spans="1:48" s="10" customFormat="1" x14ac:dyDescent="0.55000000000000004">
      <c r="A3138" s="32">
        <v>44972</v>
      </c>
      <c r="B3138" s="33">
        <v>0.375</v>
      </c>
      <c r="C3138" s="10" t="s">
        <v>70</v>
      </c>
      <c r="D3138" s="10" t="s">
        <v>71</v>
      </c>
      <c r="E3138" s="10" t="s">
        <v>901</v>
      </c>
      <c r="F3138" s="10">
        <v>1</v>
      </c>
      <c r="G3138" s="10" t="s">
        <v>73</v>
      </c>
      <c r="H3138" s="10" t="s">
        <v>207</v>
      </c>
      <c r="I3138" s="10" t="s">
        <v>256</v>
      </c>
      <c r="J3138" s="10">
        <v>199</v>
      </c>
      <c r="K3138" s="12">
        <v>44972</v>
      </c>
      <c r="L3138" s="33">
        <v>0.50777777777777777</v>
      </c>
      <c r="M3138" s="10">
        <v>1</v>
      </c>
      <c r="N3138" s="10" t="s">
        <v>169</v>
      </c>
      <c r="O3138" s="10">
        <v>2.2200000000000002</v>
      </c>
      <c r="P3138" s="10">
        <v>0.106</v>
      </c>
      <c r="Q3138" s="10">
        <v>290</v>
      </c>
      <c r="R3138" s="10" t="s">
        <v>77</v>
      </c>
      <c r="S3138" s="34">
        <f t="shared" si="358"/>
        <v>290</v>
      </c>
      <c r="T3138" s="10" t="s">
        <v>915</v>
      </c>
      <c r="U3138" s="34">
        <f t="shared" ref="U3138:U3201" si="359">IF(OR(H3138="CHK",H3138="ATP",H3138="GUP",H3138="PER", H3138="NIC", H3138="UREA"),(S3138/V3138*100),IF(H3138="DUP",((ABS(S3138-S3137))/((S3137+S3138)/2))*100,IF(H3138="SPK",((S3138-S3137)/V3138*100),IF(OR(H3138="LAB",H3138="FLD",H3138="ESF"),S3138,""))))</f>
        <v>96.666666666666671</v>
      </c>
      <c r="V3138" s="31">
        <f>IF(H3138="CHK",VLOOKUP(I3138,QCCHK,3,),IF(H3138="GUP",VLOOKUP(E3138,QCGUP,2,),IF(AND(H3138="ATP",OR(I3138="TN",I3138="TDN",I3138="TNO2-3",I3138="NO2-3")),VLOOKUP(E3138,QCREC_N,2,),IF(AND(H3138="NIC",OR(I3138="TN",I3138="TDN",I3138="TNO2-3",I3138="NO2-3")),VLOOKUP(E3138,QCNIC_N,2,),IF(AND(H3138="UREA",OR(I3138="TN",I3138="TDN",I3138="TNO2-3",I3138="NO2-3")),VLOOKUP(E3138,QCUREA_N,2,),IF(H3138="PER",VLOOKUP(I3138,QCPER,MATCH(E3138,QCACTUAL!$J$25:$AA$25,0),),IF(H3138="SPK",VLOOKUP(I3138,QCSPK,3,),IF(AND(H3138="ATP",OR(I3138="TP",I3138="TDP")),VLOOKUP(E3138,QCATP_P,2,),""))))))))</f>
        <v>300</v>
      </c>
      <c r="W3138" s="31" t="str">
        <f t="shared" ref="W3138:W3201" si="360">IF(AND(OR(H3138="PER",H3138="ATP",H3138="GUP",H3138="CHK",H3138="SPK", H3138="NIC"),OR(U3138&gt;125,U3138&lt;75)),"FALSE",IF(AND(H3138="DUP",OR(U3138&gt;25, U3138&lt;-25)),"FALSE",IF(AND(OR(H3138="LAB",H3138="FLD",H3138="ESF"),U3138&gt;15),"FALSE","TRUE")))</f>
        <v>TRUE</v>
      </c>
      <c r="X3138" s="31" t="str">
        <f t="shared" si="357"/>
        <v>[chk]/[actual]*100</v>
      </c>
      <c r="Y3138" s="10" t="s">
        <v>1206</v>
      </c>
      <c r="AL3138" s="10" t="str">
        <f t="shared" si="355"/>
        <v>FALSE</v>
      </c>
      <c r="AM3138" s="10" t="str">
        <f t="shared" si="355"/>
        <v>FALSE</v>
      </c>
      <c r="AN3138" s="10" t="str">
        <f t="shared" si="355"/>
        <v>FALSE</v>
      </c>
      <c r="AO3138" s="10" t="str">
        <f t="shared" si="356"/>
        <v>FALSE</v>
      </c>
      <c r="AP3138" s="10" t="str">
        <f t="shared" si="356"/>
        <v>FALSE</v>
      </c>
      <c r="AQ3138" s="10" t="b">
        <f>IF(AND(I3138="TP",S3138&lt;=150),VLOOKUP(AF3138,TPCalibEq150!$AZ$2:$BB$55,3,),IF(AND(I3138="TDP",S3138&lt;=150),VLOOKUP(AF3138,TPCalibEq150!$AZ$2:$BB$55,3,)))</f>
        <v>0</v>
      </c>
      <c r="AR3138" s="10" t="b">
        <f>IF(AND(I3138="TP",S3138&lt;=300),VLOOKUP(AF3138,TPCalibEq300!$AZ$2:$BB$55,3,),IF(AND(I3138="TDP",S3138&lt;=300),VLOOKUP(AF3138,TPCalibEq300!$AZ$2:$BB$55,3,)))</f>
        <v>0</v>
      </c>
      <c r="AS3138" s="10" t="b">
        <f>IF(AND(I3138="TP",S3138&lt;=500),VLOOKUP(AF3138,TPCalibEq500!$AZ$2:$BB$56,3,),IF(AND(I3138="TDP",S3138&lt;=500),VLOOKUP(AF3138,TPCalibEq500!$AZ$2:$BB$56,3,)))</f>
        <v>0</v>
      </c>
      <c r="AT3138" s="10" t="b">
        <f>IF(AND(I3138="TN",S3138&lt;=2800),VLOOKUP(AF3138,TNCalibEq2500!$AZ$2:$BB$56,3,),IF(AND(I3138="TDN",S3138&lt;=2800),VLOOKUP(AF3138,TNCalibEq2500!$AZ$2:$BB$56,3,)))</f>
        <v>0</v>
      </c>
      <c r="AU3138" s="10" t="b">
        <f>IF(I3138="TP",VLOOKUP(AF3138,TPCalibEqFull!$AZ$2:$BB$56,3),IF(I3138="TDP",VLOOKUP(AF3138,TPCalibEqFull!$AZ$2:$BB$56,3),IF(I3138="TDN",VLOOKUP(AF3138,TNCalibEqFull!$AZ$1:$BB$56,3),IF(I3138="TN",VLOOKUP(AF3138,TNCalibEqFull!$AZ$1:$BB$56,3),FALSE))))</f>
        <v>0</v>
      </c>
      <c r="AV3138" s="10" t="str">
        <f t="shared" ref="AV3138:AV3201" si="361">TEXT(A3138, "MMDD")&amp;" "&amp;TEXT(B3138, "HH:MM:SS")&amp;"-"&amp;C3138&amp;"-"&amp;D3138&amp;"-"&amp;E3138&amp;"-"&amp;F3138&amp;"-"&amp;G3138&amp;"-"&amp;H3138</f>
        <v>0215 09:00:00-QAC-STD-D-1-DI-CHK</v>
      </c>
    </row>
    <row r="3139" spans="1:48" s="10" customFormat="1" x14ac:dyDescent="0.55000000000000004">
      <c r="A3139" s="32">
        <v>44965</v>
      </c>
      <c r="C3139" s="10" t="s">
        <v>279</v>
      </c>
      <c r="D3139" s="10">
        <v>0</v>
      </c>
      <c r="E3139" s="10" t="s">
        <v>911</v>
      </c>
      <c r="F3139" s="10">
        <v>1</v>
      </c>
      <c r="G3139" s="10" t="s">
        <v>231</v>
      </c>
      <c r="H3139" s="10" t="s">
        <v>322</v>
      </c>
      <c r="I3139" s="10" t="s">
        <v>209</v>
      </c>
      <c r="J3139" s="10">
        <v>25</v>
      </c>
      <c r="K3139" s="12">
        <v>44972</v>
      </c>
      <c r="L3139" s="33">
        <v>0.50859953703703698</v>
      </c>
      <c r="M3139" s="10">
        <v>1</v>
      </c>
      <c r="N3139" s="10" t="s">
        <v>169</v>
      </c>
      <c r="O3139" s="10">
        <v>12.3</v>
      </c>
      <c r="P3139" s="10">
        <v>0.57499999999999996</v>
      </c>
      <c r="Q3139" s="10">
        <v>1610</v>
      </c>
      <c r="R3139" s="10" t="s">
        <v>77</v>
      </c>
      <c r="S3139" s="34">
        <f t="shared" si="358"/>
        <v>1610</v>
      </c>
      <c r="T3139" s="10" t="s">
        <v>915</v>
      </c>
      <c r="U3139" s="34" t="str">
        <f t="shared" si="359"/>
        <v/>
      </c>
      <c r="V3139" s="31" t="str">
        <f>IF(H3139="CHK",VLOOKUP(I3139,QCCHK,3,),IF(H3139="GUP",VLOOKUP(E3139,QCGUP,2,),IF(AND(H3139="ATP",OR(I3139="TN",I3139="TDN",I3139="TNO2-3",I3139="NO2-3")),VLOOKUP(E3139,QCREC_N,2,),IF(AND(H3139="NIC",OR(I3139="TN",I3139="TDN",I3139="TNO2-3",I3139="NO2-3")),VLOOKUP(E3139,QCNIC_N,2,),IF(AND(H3139="UREA",OR(I3139="TN",I3139="TDN",I3139="TNO2-3",I3139="NO2-3")),VLOOKUP(E3139,QCUREA_N,2,),IF(H3139="PER",VLOOKUP(I3139,QCPER,MATCH(E3139,QCACTUAL!$J$25:$AA$25,0),),IF(H3139="SPK",VLOOKUP(I3139,QCSPK,3,),IF(AND(H3139="ATP",OR(I3139="TP",I3139="TDP")),VLOOKUP(E3139,QCATP_P,2,),""))))))))</f>
        <v/>
      </c>
      <c r="W3139" s="31" t="str">
        <f t="shared" si="360"/>
        <v>TRUE</v>
      </c>
      <c r="X3139" s="31" t="str">
        <f t="shared" si="357"/>
        <v/>
      </c>
      <c r="Y3139" s="10" t="s">
        <v>1206</v>
      </c>
      <c r="Z3139" s="10" t="s">
        <v>910</v>
      </c>
      <c r="AL3139" s="10" t="str">
        <f t="shared" si="355"/>
        <v>FALSE</v>
      </c>
      <c r="AM3139" s="10" t="str">
        <f t="shared" si="355"/>
        <v>FALSE</v>
      </c>
      <c r="AN3139" s="10" t="str">
        <f t="shared" si="355"/>
        <v>FALSE</v>
      </c>
      <c r="AO3139" s="10" t="str">
        <f t="shared" si="356"/>
        <v>FALSE</v>
      </c>
      <c r="AP3139" s="10" t="str">
        <f t="shared" si="356"/>
        <v>FALSE</v>
      </c>
      <c r="AQ3139" s="10" t="b">
        <f>IF(AND(I3139="TP",S3139&lt;=150),VLOOKUP(AF3139,TPCalibEq150!$AZ$2:$BB$55,3,),IF(AND(I3139="TDP",S3139&lt;=150),VLOOKUP(AF3139,TPCalibEq150!$AZ$2:$BB$55,3,)))</f>
        <v>0</v>
      </c>
      <c r="AR3139" s="10" t="b">
        <f>IF(AND(I3139="TP",S3139&lt;=300),VLOOKUP(AF3139,TPCalibEq300!$AZ$2:$BB$55,3,),IF(AND(I3139="TDP",S3139&lt;=300),VLOOKUP(AF3139,TPCalibEq300!$AZ$2:$BB$55,3,)))</f>
        <v>0</v>
      </c>
      <c r="AS3139" s="10" t="b">
        <f>IF(AND(I3139="TP",S3139&lt;=500),VLOOKUP(AF3139,TPCalibEq500!$AZ$2:$BB$56,3,),IF(AND(I3139="TDP",S3139&lt;=500),VLOOKUP(AF3139,TPCalibEq500!$AZ$2:$BB$56,3,)))</f>
        <v>0</v>
      </c>
      <c r="AT3139" s="10" t="b">
        <f>IF(AND(I3139="TN",S3139&lt;=2800),VLOOKUP(AF3139,TNCalibEq2500!$AZ$2:$BB$56,3,),IF(AND(I3139="TDN",S3139&lt;=2800),VLOOKUP(AF3139,TNCalibEq2500!$AZ$2:$BB$56,3,)))</f>
        <v>0</v>
      </c>
      <c r="AU3139" s="10" t="b">
        <f>IF(I3139="TP",VLOOKUP(AF3139,TPCalibEqFull!$AZ$2:$BB$56,3),IF(I3139="TDP",VLOOKUP(AF3139,TPCalibEqFull!$AZ$2:$BB$56,3),IF(I3139="TDN",VLOOKUP(AF3139,TNCalibEqFull!$AZ$1:$BB$56,3),IF(I3139="TN",VLOOKUP(AF3139,TNCalibEqFull!$AZ$1:$BB$56,3),FALSE))))</f>
        <v>0</v>
      </c>
      <c r="AV3139" s="10" t="str">
        <f t="shared" si="361"/>
        <v>0208 00:00:00-EFK-0-FIL-1-SW-UKN</v>
      </c>
    </row>
    <row r="3140" spans="1:48" s="10" customFormat="1" x14ac:dyDescent="0.55000000000000004">
      <c r="A3140" s="32">
        <v>44965</v>
      </c>
      <c r="B3140" s="33">
        <v>0.24166666666666667</v>
      </c>
      <c r="C3140" s="10" t="s">
        <v>333</v>
      </c>
      <c r="D3140" s="10">
        <v>0</v>
      </c>
      <c r="E3140" s="10" t="s">
        <v>911</v>
      </c>
      <c r="F3140" s="10">
        <v>1</v>
      </c>
      <c r="G3140" s="10" t="s">
        <v>231</v>
      </c>
      <c r="H3140" s="10" t="s">
        <v>322</v>
      </c>
      <c r="I3140" s="10" t="s">
        <v>209</v>
      </c>
      <c r="J3140" s="10">
        <v>26</v>
      </c>
      <c r="K3140" s="12">
        <v>44972</v>
      </c>
      <c r="L3140" s="33">
        <v>0.50940972222222225</v>
      </c>
      <c r="M3140" s="10">
        <v>1</v>
      </c>
      <c r="N3140" s="10" t="s">
        <v>169</v>
      </c>
      <c r="O3140" s="10">
        <v>10.7</v>
      </c>
      <c r="P3140" s="10">
        <v>0.498</v>
      </c>
      <c r="Q3140" s="10">
        <v>1400</v>
      </c>
      <c r="R3140" s="10" t="s">
        <v>77</v>
      </c>
      <c r="S3140" s="34">
        <f t="shared" si="358"/>
        <v>1400</v>
      </c>
      <c r="T3140" s="10" t="s">
        <v>915</v>
      </c>
      <c r="U3140" s="34" t="str">
        <f t="shared" si="359"/>
        <v/>
      </c>
      <c r="V3140" s="31" t="str">
        <f>IF(H3140="CHK",VLOOKUP(I3140,QCCHK,3,),IF(H3140="GUP",VLOOKUP(E3140,QCGUP,2,),IF(AND(H3140="ATP",OR(I3140="TN",I3140="TDN",I3140="TNO2-3",I3140="NO2-3")),VLOOKUP(E3140,QCREC_N,2,),IF(AND(H3140="NIC",OR(I3140="TN",I3140="TDN",I3140="TNO2-3",I3140="NO2-3")),VLOOKUP(E3140,QCNIC_N,2,),IF(AND(H3140="UREA",OR(I3140="TN",I3140="TDN",I3140="TNO2-3",I3140="NO2-3")),VLOOKUP(E3140,QCUREA_N,2,),IF(H3140="PER",VLOOKUP(I3140,QCPER,MATCH(E3140,QCACTUAL!$J$25:$AA$25,0),),IF(H3140="SPK",VLOOKUP(I3140,QCSPK,3,),IF(AND(H3140="ATP",OR(I3140="TP",I3140="TDP")),VLOOKUP(E3140,QCATP_P,2,),""))))))))</f>
        <v/>
      </c>
      <c r="W3140" s="31" t="str">
        <f t="shared" si="360"/>
        <v>TRUE</v>
      </c>
      <c r="X3140" s="31" t="str">
        <f t="shared" si="357"/>
        <v/>
      </c>
      <c r="Y3140" s="10" t="s">
        <v>1206</v>
      </c>
      <c r="Z3140" s="10" t="s">
        <v>910</v>
      </c>
      <c r="AL3140" s="10" t="str">
        <f t="shared" si="355"/>
        <v>FALSE</v>
      </c>
      <c r="AM3140" s="10" t="str">
        <f t="shared" si="355"/>
        <v>FALSE</v>
      </c>
      <c r="AN3140" s="10" t="str">
        <f t="shared" si="355"/>
        <v>FALSE</v>
      </c>
      <c r="AO3140" s="10" t="str">
        <f t="shared" si="356"/>
        <v>FALSE</v>
      </c>
      <c r="AP3140" s="10" t="str">
        <f t="shared" si="356"/>
        <v>FALSE</v>
      </c>
      <c r="AQ3140" s="10" t="b">
        <f>IF(AND(I3140="TP",S3140&lt;=150),VLOOKUP(AF3140,TPCalibEq150!$AZ$2:$BB$55,3,),IF(AND(I3140="TDP",S3140&lt;=150),VLOOKUP(AF3140,TPCalibEq150!$AZ$2:$BB$55,3,)))</f>
        <v>0</v>
      </c>
      <c r="AR3140" s="10" t="b">
        <f>IF(AND(I3140="TP",S3140&lt;=300),VLOOKUP(AF3140,TPCalibEq300!$AZ$2:$BB$55,3,),IF(AND(I3140="TDP",S3140&lt;=300),VLOOKUP(AF3140,TPCalibEq300!$AZ$2:$BB$55,3,)))</f>
        <v>0</v>
      </c>
      <c r="AS3140" s="10" t="b">
        <f>IF(AND(I3140="TP",S3140&lt;=500),VLOOKUP(AF3140,TPCalibEq500!$AZ$2:$BB$56,3,),IF(AND(I3140="TDP",S3140&lt;=500),VLOOKUP(AF3140,TPCalibEq500!$AZ$2:$BB$56,3,)))</f>
        <v>0</v>
      </c>
      <c r="AT3140" s="10" t="b">
        <f>IF(AND(I3140="TN",S3140&lt;=2800),VLOOKUP(AF3140,TNCalibEq2500!$AZ$2:$BB$56,3,),IF(AND(I3140="TDN",S3140&lt;=2800),VLOOKUP(AF3140,TNCalibEq2500!$AZ$2:$BB$56,3,)))</f>
        <v>0</v>
      </c>
      <c r="AU3140" s="10" t="b">
        <f>IF(I3140="TP",VLOOKUP(AF3140,TPCalibEqFull!$AZ$2:$BB$56,3),IF(I3140="TDP",VLOOKUP(AF3140,TPCalibEqFull!$AZ$2:$BB$56,3),IF(I3140="TDN",VLOOKUP(AF3140,TNCalibEqFull!$AZ$1:$BB$56,3),IF(I3140="TN",VLOOKUP(AF3140,TNCalibEqFull!$AZ$1:$BB$56,3),FALSE))))</f>
        <v>0</v>
      </c>
      <c r="AV3140" s="10" t="str">
        <f t="shared" si="361"/>
        <v>0208 05:48:00-HST-0-FIL-1-SW-UKN</v>
      </c>
    </row>
    <row r="3141" spans="1:48" s="10" customFormat="1" x14ac:dyDescent="0.55000000000000004">
      <c r="A3141" s="32">
        <v>44966</v>
      </c>
      <c r="B3141" s="33">
        <v>0.41041666666666665</v>
      </c>
      <c r="C3141" s="10" t="s">
        <v>279</v>
      </c>
      <c r="D3141" s="10">
        <v>0</v>
      </c>
      <c r="E3141" s="10" t="s">
        <v>911</v>
      </c>
      <c r="F3141" s="10">
        <v>1</v>
      </c>
      <c r="G3141" s="10" t="s">
        <v>231</v>
      </c>
      <c r="H3141" s="10" t="s">
        <v>322</v>
      </c>
      <c r="I3141" s="10" t="s">
        <v>209</v>
      </c>
      <c r="J3141" s="10">
        <v>27</v>
      </c>
      <c r="K3141" s="12">
        <v>44972</v>
      </c>
      <c r="L3141" s="33">
        <v>0.51021990740740741</v>
      </c>
      <c r="M3141" s="10">
        <v>1</v>
      </c>
      <c r="N3141" s="10" t="s">
        <v>169</v>
      </c>
      <c r="O3141" s="10">
        <v>15.6</v>
      </c>
      <c r="P3141" s="10">
        <v>0.72899999999999998</v>
      </c>
      <c r="Q3141" s="10">
        <v>2040</v>
      </c>
      <c r="R3141" s="10" t="s">
        <v>77</v>
      </c>
      <c r="S3141" s="34">
        <f t="shared" si="358"/>
        <v>2040</v>
      </c>
      <c r="T3141" s="10" t="s">
        <v>915</v>
      </c>
      <c r="U3141" s="34" t="str">
        <f t="shared" si="359"/>
        <v/>
      </c>
      <c r="V3141" s="31" t="str">
        <f>IF(H3141="CHK",VLOOKUP(I3141,QCCHK,3,),IF(H3141="GUP",VLOOKUP(E3141,QCGUP,2,),IF(AND(H3141="ATP",OR(I3141="TN",I3141="TDN",I3141="TNO2-3",I3141="NO2-3")),VLOOKUP(E3141,QCREC_N,2,),IF(AND(H3141="NIC",OR(I3141="TN",I3141="TDN",I3141="TNO2-3",I3141="NO2-3")),VLOOKUP(E3141,QCNIC_N,2,),IF(AND(H3141="UREA",OR(I3141="TN",I3141="TDN",I3141="TNO2-3",I3141="NO2-3")),VLOOKUP(E3141,QCUREA_N,2,),IF(H3141="PER",VLOOKUP(I3141,QCPER,MATCH(E3141,QCACTUAL!$J$25:$AA$25,0),),IF(H3141="SPK",VLOOKUP(I3141,QCSPK,3,),IF(AND(H3141="ATP",OR(I3141="TP",I3141="TDP")),VLOOKUP(E3141,QCATP_P,2,),""))))))))</f>
        <v/>
      </c>
      <c r="W3141" s="31" t="str">
        <f t="shared" si="360"/>
        <v>TRUE</v>
      </c>
      <c r="X3141" s="31" t="str">
        <f t="shared" si="357"/>
        <v/>
      </c>
      <c r="Y3141" s="10" t="s">
        <v>1206</v>
      </c>
      <c r="Z3141" s="10" t="s">
        <v>910</v>
      </c>
      <c r="AL3141" s="10" t="str">
        <f t="shared" si="355"/>
        <v>FALSE</v>
      </c>
      <c r="AM3141" s="10" t="str">
        <f t="shared" si="355"/>
        <v>FALSE</v>
      </c>
      <c r="AN3141" s="10" t="str">
        <f t="shared" si="355"/>
        <v>FALSE</v>
      </c>
      <c r="AO3141" s="10" t="str">
        <f t="shared" si="356"/>
        <v>FALSE</v>
      </c>
      <c r="AP3141" s="10" t="str">
        <f t="shared" si="356"/>
        <v>FALSE</v>
      </c>
      <c r="AQ3141" s="10" t="b">
        <f>IF(AND(I3141="TP",S3141&lt;=150),VLOOKUP(AF3141,TPCalibEq150!$AZ$2:$BB$55,3,),IF(AND(I3141="TDP",S3141&lt;=150),VLOOKUP(AF3141,TPCalibEq150!$AZ$2:$BB$55,3,)))</f>
        <v>0</v>
      </c>
      <c r="AR3141" s="10" t="b">
        <f>IF(AND(I3141="TP",S3141&lt;=300),VLOOKUP(AF3141,TPCalibEq300!$AZ$2:$BB$55,3,),IF(AND(I3141="TDP",S3141&lt;=300),VLOOKUP(AF3141,TPCalibEq300!$AZ$2:$BB$55,3,)))</f>
        <v>0</v>
      </c>
      <c r="AS3141" s="10" t="b">
        <f>IF(AND(I3141="TP",S3141&lt;=500),VLOOKUP(AF3141,TPCalibEq500!$AZ$2:$BB$56,3,),IF(AND(I3141="TDP",S3141&lt;=500),VLOOKUP(AF3141,TPCalibEq500!$AZ$2:$BB$56,3,)))</f>
        <v>0</v>
      </c>
      <c r="AT3141" s="10" t="b">
        <f>IF(AND(I3141="TN",S3141&lt;=2800),VLOOKUP(AF3141,TNCalibEq2500!$AZ$2:$BB$56,3,),IF(AND(I3141="TDN",S3141&lt;=2800),VLOOKUP(AF3141,TNCalibEq2500!$AZ$2:$BB$56,3,)))</f>
        <v>0</v>
      </c>
      <c r="AU3141" s="10" t="b">
        <f>IF(I3141="TP",VLOOKUP(AF3141,TPCalibEqFull!$AZ$2:$BB$56,3),IF(I3141="TDP",VLOOKUP(AF3141,TPCalibEqFull!$AZ$2:$BB$56,3),IF(I3141="TDN",VLOOKUP(AF3141,TNCalibEqFull!$AZ$1:$BB$56,3),IF(I3141="TN",VLOOKUP(AF3141,TNCalibEqFull!$AZ$1:$BB$56,3),FALSE))))</f>
        <v>0</v>
      </c>
      <c r="AV3141" s="10" t="str">
        <f t="shared" si="361"/>
        <v>0209 09:51:00-EFK-0-FIL-1-SW-UKN</v>
      </c>
    </row>
    <row r="3142" spans="1:48" s="10" customFormat="1" x14ac:dyDescent="0.55000000000000004">
      <c r="A3142" s="32">
        <v>44966</v>
      </c>
      <c r="B3142" s="33">
        <v>0.42708333333333331</v>
      </c>
      <c r="C3142" s="10" t="s">
        <v>333</v>
      </c>
      <c r="D3142" s="10">
        <v>0</v>
      </c>
      <c r="E3142" s="10" t="s">
        <v>911</v>
      </c>
      <c r="F3142" s="10">
        <v>1</v>
      </c>
      <c r="G3142" s="10" t="s">
        <v>231</v>
      </c>
      <c r="H3142" s="10" t="s">
        <v>322</v>
      </c>
      <c r="I3142" s="10" t="s">
        <v>209</v>
      </c>
      <c r="J3142" s="10">
        <v>28</v>
      </c>
      <c r="K3142" s="12">
        <v>44972</v>
      </c>
      <c r="L3142" s="33">
        <v>0.51103009259259258</v>
      </c>
      <c r="M3142" s="10">
        <v>1</v>
      </c>
      <c r="N3142" s="10" t="s">
        <v>169</v>
      </c>
      <c r="O3142" s="10">
        <v>9.32</v>
      </c>
      <c r="P3142" s="10">
        <v>0.433</v>
      </c>
      <c r="Q3142" s="10">
        <v>1220</v>
      </c>
      <c r="R3142" s="10" t="s">
        <v>77</v>
      </c>
      <c r="S3142" s="34">
        <f t="shared" si="358"/>
        <v>1220</v>
      </c>
      <c r="T3142" s="10" t="s">
        <v>915</v>
      </c>
      <c r="U3142" s="34" t="str">
        <f t="shared" si="359"/>
        <v/>
      </c>
      <c r="V3142" s="31" t="str">
        <f>IF(H3142="CHK",VLOOKUP(I3142,QCCHK,3,),IF(H3142="GUP",VLOOKUP(E3142,QCGUP,2,),IF(AND(H3142="ATP",OR(I3142="TN",I3142="TDN",I3142="TNO2-3",I3142="NO2-3")),VLOOKUP(E3142,QCREC_N,2,),IF(AND(H3142="NIC",OR(I3142="TN",I3142="TDN",I3142="TNO2-3",I3142="NO2-3")),VLOOKUP(E3142,QCNIC_N,2,),IF(AND(H3142="UREA",OR(I3142="TN",I3142="TDN",I3142="TNO2-3",I3142="NO2-3")),VLOOKUP(E3142,QCUREA_N,2,),IF(H3142="PER",VLOOKUP(I3142,QCPER,MATCH(E3142,QCACTUAL!$J$25:$AA$25,0),),IF(H3142="SPK",VLOOKUP(I3142,QCSPK,3,),IF(AND(H3142="ATP",OR(I3142="TP",I3142="TDP")),VLOOKUP(E3142,QCATP_P,2,),""))))))))</f>
        <v/>
      </c>
      <c r="W3142" s="31" t="str">
        <f t="shared" si="360"/>
        <v>TRUE</v>
      </c>
      <c r="X3142" s="31" t="str">
        <f t="shared" si="357"/>
        <v/>
      </c>
      <c r="Y3142" s="10" t="s">
        <v>1206</v>
      </c>
      <c r="Z3142" s="10" t="s">
        <v>910</v>
      </c>
      <c r="AL3142" s="10" t="str">
        <f t="shared" si="355"/>
        <v>FALSE</v>
      </c>
      <c r="AM3142" s="10" t="str">
        <f t="shared" si="355"/>
        <v>FALSE</v>
      </c>
      <c r="AN3142" s="10" t="str">
        <f t="shared" si="355"/>
        <v>FALSE</v>
      </c>
      <c r="AO3142" s="10" t="str">
        <f t="shared" si="356"/>
        <v>FALSE</v>
      </c>
      <c r="AP3142" s="10" t="str">
        <f t="shared" si="356"/>
        <v>FALSE</v>
      </c>
      <c r="AQ3142" s="10" t="b">
        <f>IF(AND(I3142="TP",S3142&lt;=150),VLOOKUP(AF3142,TPCalibEq150!$AZ$2:$BB$55,3,),IF(AND(I3142="TDP",S3142&lt;=150),VLOOKUP(AF3142,TPCalibEq150!$AZ$2:$BB$55,3,)))</f>
        <v>0</v>
      </c>
      <c r="AR3142" s="10" t="b">
        <f>IF(AND(I3142="TP",S3142&lt;=300),VLOOKUP(AF3142,TPCalibEq300!$AZ$2:$BB$55,3,),IF(AND(I3142="TDP",S3142&lt;=300),VLOOKUP(AF3142,TPCalibEq300!$AZ$2:$BB$55,3,)))</f>
        <v>0</v>
      </c>
      <c r="AS3142" s="10" t="b">
        <f>IF(AND(I3142="TP",S3142&lt;=500),VLOOKUP(AF3142,TPCalibEq500!$AZ$2:$BB$56,3,),IF(AND(I3142="TDP",S3142&lt;=500),VLOOKUP(AF3142,TPCalibEq500!$AZ$2:$BB$56,3,)))</f>
        <v>0</v>
      </c>
      <c r="AT3142" s="10" t="b">
        <f>IF(AND(I3142="TN",S3142&lt;=2800),VLOOKUP(AF3142,TNCalibEq2500!$AZ$2:$BB$56,3,),IF(AND(I3142="TDN",S3142&lt;=2800),VLOOKUP(AF3142,TNCalibEq2500!$AZ$2:$BB$56,3,)))</f>
        <v>0</v>
      </c>
      <c r="AU3142" s="10" t="b">
        <f>IF(I3142="TP",VLOOKUP(AF3142,TPCalibEqFull!$AZ$2:$BB$56,3),IF(I3142="TDP",VLOOKUP(AF3142,TPCalibEqFull!$AZ$2:$BB$56,3),IF(I3142="TDN",VLOOKUP(AF3142,TNCalibEqFull!$AZ$1:$BB$56,3),IF(I3142="TN",VLOOKUP(AF3142,TNCalibEqFull!$AZ$1:$BB$56,3),FALSE))))</f>
        <v>0</v>
      </c>
      <c r="AV3142" s="10" t="str">
        <f t="shared" si="361"/>
        <v>0209 10:15:00-HST-0-FIL-1-SW-UKN</v>
      </c>
    </row>
    <row r="3143" spans="1:48" s="10" customFormat="1" x14ac:dyDescent="0.55000000000000004">
      <c r="A3143" s="32">
        <v>44967</v>
      </c>
      <c r="B3143" s="33">
        <v>0.59791666666666665</v>
      </c>
      <c r="C3143" s="10" t="s">
        <v>279</v>
      </c>
      <c r="D3143" s="10">
        <v>0</v>
      </c>
      <c r="E3143" s="10" t="s">
        <v>911</v>
      </c>
      <c r="F3143" s="10">
        <v>1</v>
      </c>
      <c r="G3143" s="10" t="s">
        <v>231</v>
      </c>
      <c r="H3143" s="10" t="s">
        <v>322</v>
      </c>
      <c r="I3143" s="10" t="s">
        <v>209</v>
      </c>
      <c r="J3143" s="10">
        <v>29</v>
      </c>
      <c r="K3143" s="12">
        <v>44972</v>
      </c>
      <c r="L3143" s="33">
        <v>0.51184027777777785</v>
      </c>
      <c r="M3143" s="10">
        <v>1</v>
      </c>
      <c r="N3143" s="10" t="s">
        <v>169</v>
      </c>
      <c r="O3143" s="10">
        <v>14.7</v>
      </c>
      <c r="P3143" s="10">
        <v>0.68600000000000005</v>
      </c>
      <c r="Q3143" s="10">
        <v>1920</v>
      </c>
      <c r="R3143" s="10" t="s">
        <v>77</v>
      </c>
      <c r="S3143" s="34">
        <f t="shared" si="358"/>
        <v>1920</v>
      </c>
      <c r="T3143" s="10" t="s">
        <v>915</v>
      </c>
      <c r="U3143" s="34" t="str">
        <f t="shared" si="359"/>
        <v/>
      </c>
      <c r="V3143" s="31" t="str">
        <f>IF(H3143="CHK",VLOOKUP(I3143,QCCHK,3,),IF(H3143="GUP",VLOOKUP(E3143,QCGUP,2,),IF(AND(H3143="ATP",OR(I3143="TN",I3143="TDN",I3143="TNO2-3",I3143="NO2-3")),VLOOKUP(E3143,QCREC_N,2,),IF(AND(H3143="NIC",OR(I3143="TN",I3143="TDN",I3143="TNO2-3",I3143="NO2-3")),VLOOKUP(E3143,QCNIC_N,2,),IF(AND(H3143="UREA",OR(I3143="TN",I3143="TDN",I3143="TNO2-3",I3143="NO2-3")),VLOOKUP(E3143,QCUREA_N,2,),IF(H3143="PER",VLOOKUP(I3143,QCPER,MATCH(E3143,QCACTUAL!$J$25:$AA$25,0),),IF(H3143="SPK",VLOOKUP(I3143,QCSPK,3,),IF(AND(H3143="ATP",OR(I3143="TP",I3143="TDP")),VLOOKUP(E3143,QCATP_P,2,),""))))))))</f>
        <v/>
      </c>
      <c r="W3143" s="31" t="str">
        <f t="shared" si="360"/>
        <v>TRUE</v>
      </c>
      <c r="X3143" s="31" t="str">
        <f t="shared" si="357"/>
        <v/>
      </c>
      <c r="Y3143" s="10" t="s">
        <v>1206</v>
      </c>
      <c r="Z3143" s="10" t="s">
        <v>910</v>
      </c>
      <c r="AL3143" s="10" t="str">
        <f t="shared" si="355"/>
        <v>FALSE</v>
      </c>
      <c r="AM3143" s="10" t="str">
        <f t="shared" si="355"/>
        <v>FALSE</v>
      </c>
      <c r="AN3143" s="10" t="str">
        <f t="shared" si="355"/>
        <v>FALSE</v>
      </c>
      <c r="AO3143" s="10" t="str">
        <f t="shared" si="356"/>
        <v>FALSE</v>
      </c>
      <c r="AP3143" s="10" t="str">
        <f t="shared" si="356"/>
        <v>FALSE</v>
      </c>
      <c r="AQ3143" s="10" t="b">
        <f>IF(AND(I3143="TP",S3143&lt;=150),VLOOKUP(AF3143,TPCalibEq150!$AZ$2:$BB$55,3,),IF(AND(I3143="TDP",S3143&lt;=150),VLOOKUP(AF3143,TPCalibEq150!$AZ$2:$BB$55,3,)))</f>
        <v>0</v>
      </c>
      <c r="AR3143" s="10" t="b">
        <f>IF(AND(I3143="TP",S3143&lt;=300),VLOOKUP(AF3143,TPCalibEq300!$AZ$2:$BB$55,3,),IF(AND(I3143="TDP",S3143&lt;=300),VLOOKUP(AF3143,TPCalibEq300!$AZ$2:$BB$55,3,)))</f>
        <v>0</v>
      </c>
      <c r="AS3143" s="10" t="b">
        <f>IF(AND(I3143="TP",S3143&lt;=500),VLOOKUP(AF3143,TPCalibEq500!$AZ$2:$BB$56,3,),IF(AND(I3143="TDP",S3143&lt;=500),VLOOKUP(AF3143,TPCalibEq500!$AZ$2:$BB$56,3,)))</f>
        <v>0</v>
      </c>
      <c r="AT3143" s="10" t="b">
        <f>IF(AND(I3143="TN",S3143&lt;=2800),VLOOKUP(AF3143,TNCalibEq2500!$AZ$2:$BB$56,3,),IF(AND(I3143="TDN",S3143&lt;=2800),VLOOKUP(AF3143,TNCalibEq2500!$AZ$2:$BB$56,3,)))</f>
        <v>0</v>
      </c>
      <c r="AU3143" s="10" t="b">
        <f>IF(I3143="TP",VLOOKUP(AF3143,TPCalibEqFull!$AZ$2:$BB$56,3),IF(I3143="TDP",VLOOKUP(AF3143,TPCalibEqFull!$AZ$2:$BB$56,3),IF(I3143="TDN",VLOOKUP(AF3143,TNCalibEqFull!$AZ$1:$BB$56,3),IF(I3143="TN",VLOOKUP(AF3143,TNCalibEqFull!$AZ$1:$BB$56,3),FALSE))))</f>
        <v>0</v>
      </c>
      <c r="AV3143" s="10" t="str">
        <f t="shared" si="361"/>
        <v>0210 14:21:00-EFK-0-FIL-1-SW-UKN</v>
      </c>
    </row>
    <row r="3144" spans="1:48" s="10" customFormat="1" x14ac:dyDescent="0.55000000000000004">
      <c r="A3144" s="32">
        <v>44967</v>
      </c>
      <c r="B3144" s="33">
        <v>0.60069444444444442</v>
      </c>
      <c r="C3144" s="10" t="s">
        <v>333</v>
      </c>
      <c r="D3144" s="10">
        <v>0</v>
      </c>
      <c r="E3144" s="10" t="s">
        <v>911</v>
      </c>
      <c r="F3144" s="10">
        <v>1</v>
      </c>
      <c r="G3144" s="10" t="s">
        <v>231</v>
      </c>
      <c r="H3144" s="10" t="s">
        <v>322</v>
      </c>
      <c r="I3144" s="10" t="s">
        <v>209</v>
      </c>
      <c r="J3144" s="10">
        <v>30</v>
      </c>
      <c r="K3144" s="12">
        <v>44972</v>
      </c>
      <c r="L3144" s="33">
        <v>0.51263888888888887</v>
      </c>
      <c r="M3144" s="10">
        <v>1</v>
      </c>
      <c r="N3144" s="10" t="s">
        <v>169</v>
      </c>
      <c r="O3144" s="10">
        <v>5.8</v>
      </c>
      <c r="P3144" s="10">
        <v>0.27</v>
      </c>
      <c r="Q3144" s="10">
        <v>757</v>
      </c>
      <c r="R3144" s="10" t="s">
        <v>77</v>
      </c>
      <c r="S3144" s="34">
        <f t="shared" si="358"/>
        <v>757</v>
      </c>
      <c r="T3144" s="10" t="s">
        <v>915</v>
      </c>
      <c r="U3144" s="34" t="str">
        <f t="shared" si="359"/>
        <v/>
      </c>
      <c r="V3144" s="31" t="str">
        <f>IF(H3144="CHK",VLOOKUP(I3144,QCCHK,3,),IF(H3144="GUP",VLOOKUP(E3144,QCGUP,2,),IF(AND(H3144="ATP",OR(I3144="TN",I3144="TDN",I3144="TNO2-3",I3144="NO2-3")),VLOOKUP(E3144,QCREC_N,2,),IF(AND(H3144="NIC",OR(I3144="TN",I3144="TDN",I3144="TNO2-3",I3144="NO2-3")),VLOOKUP(E3144,QCNIC_N,2,),IF(AND(H3144="UREA",OR(I3144="TN",I3144="TDN",I3144="TNO2-3",I3144="NO2-3")),VLOOKUP(E3144,QCUREA_N,2,),IF(H3144="PER",VLOOKUP(I3144,QCPER,MATCH(E3144,QCACTUAL!$J$25:$AA$25,0),),IF(H3144="SPK",VLOOKUP(I3144,QCSPK,3,),IF(AND(H3144="ATP",OR(I3144="TP",I3144="TDP")),VLOOKUP(E3144,QCATP_P,2,),""))))))))</f>
        <v/>
      </c>
      <c r="W3144" s="31" t="str">
        <f t="shared" si="360"/>
        <v>TRUE</v>
      </c>
      <c r="X3144" s="31" t="str">
        <f t="shared" si="357"/>
        <v/>
      </c>
      <c r="Y3144" s="10" t="s">
        <v>1206</v>
      </c>
      <c r="Z3144" s="10" t="s">
        <v>910</v>
      </c>
      <c r="AL3144" s="10" t="str">
        <f t="shared" si="355"/>
        <v>FALSE</v>
      </c>
      <c r="AM3144" s="10" t="str">
        <f t="shared" si="355"/>
        <v>FALSE</v>
      </c>
      <c r="AN3144" s="10" t="str">
        <f t="shared" si="355"/>
        <v>FALSE</v>
      </c>
      <c r="AO3144" s="10" t="str">
        <f t="shared" si="356"/>
        <v>FALSE</v>
      </c>
      <c r="AP3144" s="10" t="str">
        <f t="shared" si="356"/>
        <v>FALSE</v>
      </c>
      <c r="AQ3144" s="10" t="b">
        <f>IF(AND(I3144="TP",S3144&lt;=150),VLOOKUP(AF3144,TPCalibEq150!$AZ$2:$BB$55,3,),IF(AND(I3144="TDP",S3144&lt;=150),VLOOKUP(AF3144,TPCalibEq150!$AZ$2:$BB$55,3,)))</f>
        <v>0</v>
      </c>
      <c r="AR3144" s="10" t="b">
        <f>IF(AND(I3144="TP",S3144&lt;=300),VLOOKUP(AF3144,TPCalibEq300!$AZ$2:$BB$55,3,),IF(AND(I3144="TDP",S3144&lt;=300),VLOOKUP(AF3144,TPCalibEq300!$AZ$2:$BB$55,3,)))</f>
        <v>0</v>
      </c>
      <c r="AS3144" s="10" t="b">
        <f>IF(AND(I3144="TP",S3144&lt;=500),VLOOKUP(AF3144,TPCalibEq500!$AZ$2:$BB$56,3,),IF(AND(I3144="TDP",S3144&lt;=500),VLOOKUP(AF3144,TPCalibEq500!$AZ$2:$BB$56,3,)))</f>
        <v>0</v>
      </c>
      <c r="AT3144" s="10" t="b">
        <f>IF(AND(I3144="TN",S3144&lt;=2800),VLOOKUP(AF3144,TNCalibEq2500!$AZ$2:$BB$56,3,),IF(AND(I3144="TDN",S3144&lt;=2800),VLOOKUP(AF3144,TNCalibEq2500!$AZ$2:$BB$56,3,)))</f>
        <v>0</v>
      </c>
      <c r="AU3144" s="10" t="b">
        <f>IF(I3144="TP",VLOOKUP(AF3144,TPCalibEqFull!$AZ$2:$BB$56,3),IF(I3144="TDP",VLOOKUP(AF3144,TPCalibEqFull!$AZ$2:$BB$56,3),IF(I3144="TDN",VLOOKUP(AF3144,TNCalibEqFull!$AZ$1:$BB$56,3),IF(I3144="TN",VLOOKUP(AF3144,TNCalibEqFull!$AZ$1:$BB$56,3),FALSE))))</f>
        <v>0</v>
      </c>
      <c r="AV3144" s="10" t="str">
        <f t="shared" si="361"/>
        <v>0210 14:25:00-HST-0-FIL-1-SW-UKN</v>
      </c>
    </row>
    <row r="3145" spans="1:48" s="10" customFormat="1" x14ac:dyDescent="0.55000000000000004">
      <c r="A3145" s="32">
        <v>44970</v>
      </c>
      <c r="B3145" s="33">
        <v>0.32777777777777778</v>
      </c>
      <c r="C3145" s="10" t="s">
        <v>279</v>
      </c>
      <c r="D3145" s="10">
        <v>0</v>
      </c>
      <c r="E3145" s="10" t="s">
        <v>911</v>
      </c>
      <c r="F3145" s="10">
        <v>1</v>
      </c>
      <c r="G3145" s="10" t="s">
        <v>231</v>
      </c>
      <c r="H3145" s="10" t="s">
        <v>322</v>
      </c>
      <c r="I3145" s="10" t="s">
        <v>209</v>
      </c>
      <c r="J3145" s="10">
        <v>31</v>
      </c>
      <c r="K3145" s="12">
        <v>44972</v>
      </c>
      <c r="L3145" s="33">
        <v>0.51347222222222222</v>
      </c>
      <c r="M3145" s="10">
        <v>1</v>
      </c>
      <c r="N3145" s="10" t="s">
        <v>169</v>
      </c>
      <c r="O3145" s="10">
        <v>12.7</v>
      </c>
      <c r="P3145" s="10">
        <v>0.59399999999999997</v>
      </c>
      <c r="Q3145" s="10">
        <v>1660</v>
      </c>
      <c r="R3145" s="10" t="s">
        <v>77</v>
      </c>
      <c r="S3145" s="34">
        <f t="shared" si="358"/>
        <v>1660</v>
      </c>
      <c r="T3145" s="10" t="s">
        <v>915</v>
      </c>
      <c r="U3145" s="34" t="str">
        <f t="shared" si="359"/>
        <v/>
      </c>
      <c r="V3145" s="31" t="str">
        <f>IF(H3145="CHK",VLOOKUP(I3145,QCCHK,3,),IF(H3145="GUP",VLOOKUP(E3145,QCGUP,2,),IF(AND(H3145="ATP",OR(I3145="TN",I3145="TDN",I3145="TNO2-3",I3145="NO2-3")),VLOOKUP(E3145,QCREC_N,2,),IF(AND(H3145="NIC",OR(I3145="TN",I3145="TDN",I3145="TNO2-3",I3145="NO2-3")),VLOOKUP(E3145,QCNIC_N,2,),IF(AND(H3145="UREA",OR(I3145="TN",I3145="TDN",I3145="TNO2-3",I3145="NO2-3")),VLOOKUP(E3145,QCUREA_N,2,),IF(H3145="PER",VLOOKUP(I3145,QCPER,MATCH(E3145,QCACTUAL!$J$25:$AA$25,0),),IF(H3145="SPK",VLOOKUP(I3145,QCSPK,3,),IF(AND(H3145="ATP",OR(I3145="TP",I3145="TDP")),VLOOKUP(E3145,QCATP_P,2,),""))))))))</f>
        <v/>
      </c>
      <c r="W3145" s="31" t="str">
        <f t="shared" si="360"/>
        <v>TRUE</v>
      </c>
      <c r="X3145" s="31" t="str">
        <f t="shared" si="357"/>
        <v/>
      </c>
      <c r="Y3145" s="10" t="s">
        <v>1206</v>
      </c>
      <c r="Z3145" s="10" t="s">
        <v>910</v>
      </c>
      <c r="AL3145" s="10" t="str">
        <f t="shared" si="355"/>
        <v>FALSE</v>
      </c>
      <c r="AM3145" s="10" t="str">
        <f t="shared" si="355"/>
        <v>FALSE</v>
      </c>
      <c r="AN3145" s="10" t="str">
        <f t="shared" si="355"/>
        <v>FALSE</v>
      </c>
      <c r="AO3145" s="10" t="str">
        <f t="shared" si="356"/>
        <v>FALSE</v>
      </c>
      <c r="AP3145" s="10" t="str">
        <f t="shared" si="356"/>
        <v>FALSE</v>
      </c>
      <c r="AQ3145" s="10" t="b">
        <f>IF(AND(I3145="TP",S3145&lt;=150),VLOOKUP(AF3145,TPCalibEq150!$AZ$2:$BB$55,3,),IF(AND(I3145="TDP",S3145&lt;=150),VLOOKUP(AF3145,TPCalibEq150!$AZ$2:$BB$55,3,)))</f>
        <v>0</v>
      </c>
      <c r="AR3145" s="10" t="b">
        <f>IF(AND(I3145="TP",S3145&lt;=300),VLOOKUP(AF3145,TPCalibEq300!$AZ$2:$BB$55,3,),IF(AND(I3145="TDP",S3145&lt;=300),VLOOKUP(AF3145,TPCalibEq300!$AZ$2:$BB$55,3,)))</f>
        <v>0</v>
      </c>
      <c r="AS3145" s="10" t="b">
        <f>IF(AND(I3145="TP",S3145&lt;=500),VLOOKUP(AF3145,TPCalibEq500!$AZ$2:$BB$56,3,),IF(AND(I3145="TDP",S3145&lt;=500),VLOOKUP(AF3145,TPCalibEq500!$AZ$2:$BB$56,3,)))</f>
        <v>0</v>
      </c>
      <c r="AT3145" s="10" t="b">
        <f>IF(AND(I3145="TN",S3145&lt;=2800),VLOOKUP(AF3145,TNCalibEq2500!$AZ$2:$BB$56,3,),IF(AND(I3145="TDN",S3145&lt;=2800),VLOOKUP(AF3145,TNCalibEq2500!$AZ$2:$BB$56,3,)))</f>
        <v>0</v>
      </c>
      <c r="AU3145" s="10" t="b">
        <f>IF(I3145="TP",VLOOKUP(AF3145,TPCalibEqFull!$AZ$2:$BB$56,3),IF(I3145="TDP",VLOOKUP(AF3145,TPCalibEqFull!$AZ$2:$BB$56,3),IF(I3145="TDN",VLOOKUP(AF3145,TNCalibEqFull!$AZ$1:$BB$56,3),IF(I3145="TN",VLOOKUP(AF3145,TNCalibEqFull!$AZ$1:$BB$56,3),FALSE))))</f>
        <v>0</v>
      </c>
      <c r="AV3145" s="10" t="str">
        <f t="shared" si="361"/>
        <v>0213 07:52:00-EFK-0-FIL-1-SW-UKN</v>
      </c>
    </row>
    <row r="3146" spans="1:48" s="10" customFormat="1" x14ac:dyDescent="0.55000000000000004">
      <c r="A3146" s="32">
        <v>44970</v>
      </c>
      <c r="B3146" s="33">
        <v>0.26458333333333334</v>
      </c>
      <c r="C3146" s="10" t="s">
        <v>333</v>
      </c>
      <c r="D3146" s="10">
        <v>0</v>
      </c>
      <c r="E3146" s="10" t="s">
        <v>911</v>
      </c>
      <c r="F3146" s="10" t="s">
        <v>190</v>
      </c>
      <c r="G3146" s="10" t="s">
        <v>231</v>
      </c>
      <c r="H3146" s="10" t="s">
        <v>322</v>
      </c>
      <c r="I3146" s="10" t="s">
        <v>209</v>
      </c>
      <c r="J3146" s="10">
        <v>32</v>
      </c>
      <c r="K3146" s="12">
        <v>44972</v>
      </c>
      <c r="L3146" s="33">
        <v>0.51429398148148142</v>
      </c>
      <c r="M3146" s="10">
        <v>1</v>
      </c>
      <c r="N3146" s="10" t="s">
        <v>169</v>
      </c>
      <c r="O3146" s="10">
        <v>7.72</v>
      </c>
      <c r="P3146" s="10">
        <v>0.35899999999999999</v>
      </c>
      <c r="Q3146" s="10">
        <v>1010</v>
      </c>
      <c r="R3146" s="10" t="s">
        <v>77</v>
      </c>
      <c r="S3146" s="34">
        <f t="shared" si="358"/>
        <v>1010</v>
      </c>
      <c r="T3146" s="10" t="s">
        <v>915</v>
      </c>
      <c r="U3146" s="34" t="str">
        <f t="shared" si="359"/>
        <v/>
      </c>
      <c r="V3146" s="31" t="str">
        <f>IF(H3146="CHK",VLOOKUP(I3146,QCCHK,3,),IF(H3146="GUP",VLOOKUP(E3146,QCGUP,2,),IF(AND(H3146="ATP",OR(I3146="TN",I3146="TDN",I3146="TNO2-3",I3146="NO2-3")),VLOOKUP(E3146,QCREC_N,2,),IF(AND(H3146="NIC",OR(I3146="TN",I3146="TDN",I3146="TNO2-3",I3146="NO2-3")),VLOOKUP(E3146,QCNIC_N,2,),IF(AND(H3146="UREA",OR(I3146="TN",I3146="TDN",I3146="TNO2-3",I3146="NO2-3")),VLOOKUP(E3146,QCUREA_N,2,),IF(H3146="PER",VLOOKUP(I3146,QCPER,MATCH(E3146,QCACTUAL!$J$25:$AA$25,0),),IF(H3146="SPK",VLOOKUP(I3146,QCSPK,3,),IF(AND(H3146="ATP",OR(I3146="TP",I3146="TDP")),VLOOKUP(E3146,QCATP_P,2,),""))))))))</f>
        <v/>
      </c>
      <c r="W3146" s="31" t="str">
        <f t="shared" si="360"/>
        <v>TRUE</v>
      </c>
      <c r="X3146" s="31" t="str">
        <f t="shared" si="357"/>
        <v/>
      </c>
      <c r="Y3146" s="10" t="s">
        <v>1206</v>
      </c>
      <c r="Z3146" s="10" t="s">
        <v>910</v>
      </c>
      <c r="AL3146" s="10" t="str">
        <f t="shared" si="355"/>
        <v>FALSE</v>
      </c>
      <c r="AM3146" s="10" t="str">
        <f t="shared" si="355"/>
        <v>FALSE</v>
      </c>
      <c r="AN3146" s="10" t="str">
        <f t="shared" si="355"/>
        <v>FALSE</v>
      </c>
      <c r="AO3146" s="10" t="str">
        <f t="shared" si="356"/>
        <v>FALSE</v>
      </c>
      <c r="AP3146" s="10" t="str">
        <f t="shared" si="356"/>
        <v>FALSE</v>
      </c>
      <c r="AQ3146" s="10" t="b">
        <f>IF(AND(I3146="TP",S3146&lt;=150),VLOOKUP(AF3146,TPCalibEq150!$AZ$2:$BB$55,3,),IF(AND(I3146="TDP",S3146&lt;=150),VLOOKUP(AF3146,TPCalibEq150!$AZ$2:$BB$55,3,)))</f>
        <v>0</v>
      </c>
      <c r="AR3146" s="10" t="b">
        <f>IF(AND(I3146="TP",S3146&lt;=300),VLOOKUP(AF3146,TPCalibEq300!$AZ$2:$BB$55,3,),IF(AND(I3146="TDP",S3146&lt;=300),VLOOKUP(AF3146,TPCalibEq300!$AZ$2:$BB$55,3,)))</f>
        <v>0</v>
      </c>
      <c r="AS3146" s="10" t="b">
        <f>IF(AND(I3146="TP",S3146&lt;=500),VLOOKUP(AF3146,TPCalibEq500!$AZ$2:$BB$56,3,),IF(AND(I3146="TDP",S3146&lt;=500),VLOOKUP(AF3146,TPCalibEq500!$AZ$2:$BB$56,3,)))</f>
        <v>0</v>
      </c>
      <c r="AT3146" s="10" t="b">
        <f>IF(AND(I3146="TN",S3146&lt;=2800),VLOOKUP(AF3146,TNCalibEq2500!$AZ$2:$BB$56,3,),IF(AND(I3146="TDN",S3146&lt;=2800),VLOOKUP(AF3146,TNCalibEq2500!$AZ$2:$BB$56,3,)))</f>
        <v>0</v>
      </c>
      <c r="AU3146" s="10" t="b">
        <f>IF(I3146="TP",VLOOKUP(AF3146,TPCalibEqFull!$AZ$2:$BB$56,3),IF(I3146="TDP",VLOOKUP(AF3146,TPCalibEqFull!$AZ$2:$BB$56,3),IF(I3146="TDN",VLOOKUP(AF3146,TNCalibEqFull!$AZ$1:$BB$56,3),IF(I3146="TN",VLOOKUP(AF3146,TNCalibEqFull!$AZ$1:$BB$56,3),FALSE))))</f>
        <v>0</v>
      </c>
      <c r="AV3146" s="10" t="str">
        <f t="shared" si="361"/>
        <v>0213 06:21:00-HST-0-FIL-C-SW-UKN</v>
      </c>
    </row>
    <row r="3147" spans="1:48" s="10" customFormat="1" x14ac:dyDescent="0.55000000000000004">
      <c r="A3147" s="32">
        <v>44971</v>
      </c>
      <c r="B3147" s="33">
        <v>0.24097222222222223</v>
      </c>
      <c r="C3147" s="10" t="s">
        <v>279</v>
      </c>
      <c r="D3147" s="10">
        <v>0</v>
      </c>
      <c r="E3147" s="10" t="s">
        <v>911</v>
      </c>
      <c r="F3147" s="10">
        <v>1</v>
      </c>
      <c r="G3147" s="10" t="s">
        <v>231</v>
      </c>
      <c r="H3147" s="10" t="s">
        <v>322</v>
      </c>
      <c r="I3147" s="10" t="s">
        <v>209</v>
      </c>
      <c r="J3147" s="10">
        <v>33</v>
      </c>
      <c r="K3147" s="12">
        <v>44972</v>
      </c>
      <c r="L3147" s="33">
        <v>0.51511574074074074</v>
      </c>
      <c r="M3147" s="10">
        <v>1</v>
      </c>
      <c r="N3147" s="10" t="s">
        <v>169</v>
      </c>
      <c r="O3147" s="10">
        <v>6.77</v>
      </c>
      <c r="P3147" s="10">
        <v>0.316</v>
      </c>
      <c r="Q3147" s="10">
        <v>884</v>
      </c>
      <c r="R3147" s="10" t="s">
        <v>77</v>
      </c>
      <c r="S3147" s="34">
        <f t="shared" si="358"/>
        <v>884</v>
      </c>
      <c r="T3147" s="10" t="s">
        <v>915</v>
      </c>
      <c r="U3147" s="34" t="str">
        <f t="shared" si="359"/>
        <v/>
      </c>
      <c r="V3147" s="31" t="str">
        <f>IF(H3147="CHK",VLOOKUP(I3147,QCCHK,3,),IF(H3147="GUP",VLOOKUP(E3147,QCGUP,2,),IF(AND(H3147="ATP",OR(I3147="TN",I3147="TDN",I3147="TNO2-3",I3147="NO2-3")),VLOOKUP(E3147,QCREC_N,2,),IF(AND(H3147="NIC",OR(I3147="TN",I3147="TDN",I3147="TNO2-3",I3147="NO2-3")),VLOOKUP(E3147,QCNIC_N,2,),IF(AND(H3147="UREA",OR(I3147="TN",I3147="TDN",I3147="TNO2-3",I3147="NO2-3")),VLOOKUP(E3147,QCUREA_N,2,),IF(H3147="PER",VLOOKUP(I3147,QCPER,MATCH(E3147,QCACTUAL!$J$25:$AA$25,0),),IF(H3147="SPK",VLOOKUP(I3147,QCSPK,3,),IF(AND(H3147="ATP",OR(I3147="TP",I3147="TDP")),VLOOKUP(E3147,QCATP_P,2,),""))))))))</f>
        <v/>
      </c>
      <c r="W3147" s="31" t="str">
        <f t="shared" si="360"/>
        <v>TRUE</v>
      </c>
      <c r="X3147" s="31" t="str">
        <f t="shared" si="357"/>
        <v/>
      </c>
      <c r="Y3147" s="10" t="s">
        <v>1206</v>
      </c>
      <c r="AL3147" s="10" t="str">
        <f t="shared" si="355"/>
        <v>FALSE</v>
      </c>
      <c r="AM3147" s="10" t="str">
        <f t="shared" si="355"/>
        <v>FALSE</v>
      </c>
      <c r="AN3147" s="10" t="str">
        <f t="shared" si="355"/>
        <v>FALSE</v>
      </c>
      <c r="AO3147" s="10" t="str">
        <f t="shared" si="356"/>
        <v>FALSE</v>
      </c>
      <c r="AP3147" s="10" t="str">
        <f t="shared" si="356"/>
        <v>FALSE</v>
      </c>
      <c r="AQ3147" s="10" t="b">
        <f>IF(AND(I3147="TP",S3147&lt;=150),VLOOKUP(AF3147,TPCalibEq150!$AZ$2:$BB$55,3,),IF(AND(I3147="TDP",S3147&lt;=150),VLOOKUP(AF3147,TPCalibEq150!$AZ$2:$BB$55,3,)))</f>
        <v>0</v>
      </c>
      <c r="AR3147" s="10" t="b">
        <f>IF(AND(I3147="TP",S3147&lt;=300),VLOOKUP(AF3147,TPCalibEq300!$AZ$2:$BB$55,3,),IF(AND(I3147="TDP",S3147&lt;=300),VLOOKUP(AF3147,TPCalibEq300!$AZ$2:$BB$55,3,)))</f>
        <v>0</v>
      </c>
      <c r="AS3147" s="10" t="b">
        <f>IF(AND(I3147="TP",S3147&lt;=500),VLOOKUP(AF3147,TPCalibEq500!$AZ$2:$BB$56,3,),IF(AND(I3147="TDP",S3147&lt;=500),VLOOKUP(AF3147,TPCalibEq500!$AZ$2:$BB$56,3,)))</f>
        <v>0</v>
      </c>
      <c r="AT3147" s="10" t="b">
        <f>IF(AND(I3147="TN",S3147&lt;=2800),VLOOKUP(AF3147,TNCalibEq2500!$AZ$2:$BB$56,3,),IF(AND(I3147="TDN",S3147&lt;=2800),VLOOKUP(AF3147,TNCalibEq2500!$AZ$2:$BB$56,3,)))</f>
        <v>0</v>
      </c>
      <c r="AU3147" s="10" t="b">
        <f>IF(I3147="TP",VLOOKUP(AF3147,TPCalibEqFull!$AZ$2:$BB$56,3),IF(I3147="TDP",VLOOKUP(AF3147,TPCalibEqFull!$AZ$2:$BB$56,3),IF(I3147="TDN",VLOOKUP(AF3147,TNCalibEqFull!$AZ$1:$BB$56,3),IF(I3147="TN",VLOOKUP(AF3147,TNCalibEqFull!$AZ$1:$BB$56,3),FALSE))))</f>
        <v>0</v>
      </c>
      <c r="AV3147" s="10" t="str">
        <f t="shared" si="361"/>
        <v>0214 05:47:00-EFK-0-FIL-1-SW-UKN</v>
      </c>
    </row>
    <row r="3148" spans="1:48" s="10" customFormat="1" x14ac:dyDescent="0.55000000000000004">
      <c r="A3148" s="32">
        <v>44971</v>
      </c>
      <c r="B3148" s="33">
        <v>0.24444444444444446</v>
      </c>
      <c r="C3148" s="10" t="s">
        <v>333</v>
      </c>
      <c r="D3148" s="10">
        <v>0</v>
      </c>
      <c r="E3148" s="10" t="s">
        <v>911</v>
      </c>
      <c r="F3148" s="10">
        <v>1</v>
      </c>
      <c r="G3148" s="10" t="s">
        <v>231</v>
      </c>
      <c r="H3148" s="10" t="s">
        <v>322</v>
      </c>
      <c r="I3148" s="10" t="s">
        <v>209</v>
      </c>
      <c r="J3148" s="10">
        <v>34</v>
      </c>
      <c r="K3148" s="12">
        <v>44972</v>
      </c>
      <c r="L3148" s="33">
        <v>0.51593750000000005</v>
      </c>
      <c r="M3148" s="10">
        <v>1</v>
      </c>
      <c r="N3148" s="10" t="s">
        <v>169</v>
      </c>
      <c r="O3148" s="10">
        <v>4.63</v>
      </c>
      <c r="P3148" s="10">
        <v>0.216</v>
      </c>
      <c r="Q3148" s="10">
        <v>605</v>
      </c>
      <c r="R3148" s="10" t="s">
        <v>77</v>
      </c>
      <c r="S3148" s="34">
        <f t="shared" si="358"/>
        <v>605</v>
      </c>
      <c r="T3148" s="10" t="s">
        <v>915</v>
      </c>
      <c r="U3148" s="34" t="str">
        <f t="shared" si="359"/>
        <v/>
      </c>
      <c r="V3148" s="31" t="str">
        <f>IF(H3148="CHK",VLOOKUP(I3148,QCCHK,3,),IF(H3148="GUP",VLOOKUP(E3148,QCGUP,2,),IF(AND(H3148="ATP",OR(I3148="TN",I3148="TDN",I3148="TNO2-3",I3148="NO2-3")),VLOOKUP(E3148,QCREC_N,2,),IF(AND(H3148="NIC",OR(I3148="TN",I3148="TDN",I3148="TNO2-3",I3148="NO2-3")),VLOOKUP(E3148,QCNIC_N,2,),IF(AND(H3148="UREA",OR(I3148="TN",I3148="TDN",I3148="TNO2-3",I3148="NO2-3")),VLOOKUP(E3148,QCUREA_N,2,),IF(H3148="PER",VLOOKUP(I3148,QCPER,MATCH(E3148,QCACTUAL!$J$25:$AA$25,0),),IF(H3148="SPK",VLOOKUP(I3148,QCSPK,3,),IF(AND(H3148="ATP",OR(I3148="TP",I3148="TDP")),VLOOKUP(E3148,QCATP_P,2,),""))))))))</f>
        <v/>
      </c>
      <c r="W3148" s="31" t="str">
        <f t="shared" si="360"/>
        <v>TRUE</v>
      </c>
      <c r="X3148" s="31" t="str">
        <f t="shared" si="357"/>
        <v/>
      </c>
      <c r="Y3148" s="10" t="s">
        <v>1206</v>
      </c>
      <c r="AL3148" s="10" t="str">
        <f t="shared" si="355"/>
        <v>FALSE</v>
      </c>
      <c r="AM3148" s="10" t="str">
        <f t="shared" si="355"/>
        <v>FALSE</v>
      </c>
      <c r="AN3148" s="10" t="str">
        <f t="shared" si="355"/>
        <v>FALSE</v>
      </c>
      <c r="AO3148" s="10" t="str">
        <f t="shared" si="356"/>
        <v>FALSE</v>
      </c>
      <c r="AP3148" s="10" t="str">
        <f t="shared" si="356"/>
        <v>FALSE</v>
      </c>
      <c r="AQ3148" s="10" t="b">
        <f>IF(AND(I3148="TP",S3148&lt;=150),VLOOKUP(AF3148,TPCalibEq150!$AZ$2:$BB$55,3,),IF(AND(I3148="TDP",S3148&lt;=150),VLOOKUP(AF3148,TPCalibEq150!$AZ$2:$BB$55,3,)))</f>
        <v>0</v>
      </c>
      <c r="AR3148" s="10" t="b">
        <f>IF(AND(I3148="TP",S3148&lt;=300),VLOOKUP(AF3148,TPCalibEq300!$AZ$2:$BB$55,3,),IF(AND(I3148="TDP",S3148&lt;=300),VLOOKUP(AF3148,TPCalibEq300!$AZ$2:$BB$55,3,)))</f>
        <v>0</v>
      </c>
      <c r="AS3148" s="10" t="b">
        <f>IF(AND(I3148="TP",S3148&lt;=500),VLOOKUP(AF3148,TPCalibEq500!$AZ$2:$BB$56,3,),IF(AND(I3148="TDP",S3148&lt;=500),VLOOKUP(AF3148,TPCalibEq500!$AZ$2:$BB$56,3,)))</f>
        <v>0</v>
      </c>
      <c r="AT3148" s="10" t="b">
        <f>IF(AND(I3148="TN",S3148&lt;=2800),VLOOKUP(AF3148,TNCalibEq2500!$AZ$2:$BB$56,3,),IF(AND(I3148="TDN",S3148&lt;=2800),VLOOKUP(AF3148,TNCalibEq2500!$AZ$2:$BB$56,3,)))</f>
        <v>0</v>
      </c>
      <c r="AU3148" s="10" t="b">
        <f>IF(I3148="TP",VLOOKUP(AF3148,TPCalibEqFull!$AZ$2:$BB$56,3),IF(I3148="TDP",VLOOKUP(AF3148,TPCalibEqFull!$AZ$2:$BB$56,3),IF(I3148="TDN",VLOOKUP(AF3148,TNCalibEqFull!$AZ$1:$BB$56,3),IF(I3148="TN",VLOOKUP(AF3148,TNCalibEqFull!$AZ$1:$BB$56,3),FALSE))))</f>
        <v>0</v>
      </c>
      <c r="AV3148" s="10" t="str">
        <f t="shared" si="361"/>
        <v>0214 05:52:00-HST-0-FIL-1-SW-UKN</v>
      </c>
    </row>
    <row r="3149" spans="1:48" s="10" customFormat="1" x14ac:dyDescent="0.55000000000000004">
      <c r="A3149" s="32">
        <v>44971</v>
      </c>
      <c r="B3149" s="33">
        <v>0.24444444444444446</v>
      </c>
      <c r="C3149" s="10" t="s">
        <v>333</v>
      </c>
      <c r="D3149" s="10">
        <v>0</v>
      </c>
      <c r="E3149" s="10" t="s">
        <v>911</v>
      </c>
      <c r="F3149" s="10">
        <v>1</v>
      </c>
      <c r="G3149" s="10" t="s">
        <v>231</v>
      </c>
      <c r="H3149" s="10" t="s">
        <v>233</v>
      </c>
      <c r="I3149" s="10" t="s">
        <v>209</v>
      </c>
      <c r="J3149" s="10">
        <v>34</v>
      </c>
      <c r="K3149" s="12">
        <v>44972</v>
      </c>
      <c r="L3149" s="33">
        <v>0.51674768518518521</v>
      </c>
      <c r="M3149" s="10">
        <v>1</v>
      </c>
      <c r="N3149" s="10" t="s">
        <v>169</v>
      </c>
      <c r="O3149" s="10">
        <v>4.6100000000000003</v>
      </c>
      <c r="P3149" s="10">
        <v>0.214</v>
      </c>
      <c r="Q3149" s="10">
        <v>602</v>
      </c>
      <c r="R3149" s="10" t="s">
        <v>77</v>
      </c>
      <c r="S3149" s="34">
        <f t="shared" si="358"/>
        <v>602</v>
      </c>
      <c r="T3149" s="10" t="s">
        <v>915</v>
      </c>
      <c r="U3149" s="34">
        <f t="shared" si="359"/>
        <v>0.4971002485501243</v>
      </c>
      <c r="V3149" s="31" t="str">
        <f>IF(H3149="CHK",VLOOKUP(I3149,QCCHK,3,),IF(H3149="GUP",VLOOKUP(E3149,QCGUP,2,),IF(AND(H3149="ATP",OR(I3149="TN",I3149="TDN",I3149="TNO2-3",I3149="NO2-3")),VLOOKUP(E3149,QCREC_N,2,),IF(AND(H3149="NIC",OR(I3149="TN",I3149="TDN",I3149="TNO2-3",I3149="NO2-3")),VLOOKUP(E3149,QCNIC_N,2,),IF(AND(H3149="UREA",OR(I3149="TN",I3149="TDN",I3149="TNO2-3",I3149="NO2-3")),VLOOKUP(E3149,QCUREA_N,2,),IF(H3149="PER",VLOOKUP(I3149,QCPER,MATCH(E3149,QCACTUAL!$J$25:$AA$25,0),),IF(H3149="SPK",VLOOKUP(I3149,QCSPK,3,),IF(AND(H3149="ATP",OR(I3149="TP",I3149="TDP")),VLOOKUP(E3149,QCATP_P,2,),""))))))))</f>
        <v/>
      </c>
      <c r="W3149" s="31" t="str">
        <f t="shared" si="360"/>
        <v>TRUE</v>
      </c>
      <c r="X3149" s="31" t="str">
        <f t="shared" si="357"/>
        <v>((ABS(rep1-rep2))/((rep1+rep2)/2)*100</v>
      </c>
      <c r="Y3149" s="10" t="s">
        <v>1206</v>
      </c>
      <c r="AL3149" s="10" t="str">
        <f t="shared" si="355"/>
        <v>FALSE</v>
      </c>
      <c r="AM3149" s="10" t="str">
        <f t="shared" si="355"/>
        <v>FALSE</v>
      </c>
      <c r="AN3149" s="10" t="str">
        <f t="shared" si="355"/>
        <v>FALSE</v>
      </c>
      <c r="AO3149" s="10" t="str">
        <f t="shared" si="356"/>
        <v>FALSE</v>
      </c>
      <c r="AP3149" s="10" t="str">
        <f t="shared" si="356"/>
        <v>FALSE</v>
      </c>
      <c r="AQ3149" s="10" t="b">
        <f>IF(AND(I3149="TP",S3149&lt;=150),VLOOKUP(AF3149,TPCalibEq150!$AZ$2:$BB$55,3,),IF(AND(I3149="TDP",S3149&lt;=150),VLOOKUP(AF3149,TPCalibEq150!$AZ$2:$BB$55,3,)))</f>
        <v>0</v>
      </c>
      <c r="AR3149" s="10" t="b">
        <f>IF(AND(I3149="TP",S3149&lt;=300),VLOOKUP(AF3149,TPCalibEq300!$AZ$2:$BB$55,3,),IF(AND(I3149="TDP",S3149&lt;=300),VLOOKUP(AF3149,TPCalibEq300!$AZ$2:$BB$55,3,)))</f>
        <v>0</v>
      </c>
      <c r="AS3149" s="10" t="b">
        <f>IF(AND(I3149="TP",S3149&lt;=500),VLOOKUP(AF3149,TPCalibEq500!$AZ$2:$BB$56,3,),IF(AND(I3149="TDP",S3149&lt;=500),VLOOKUP(AF3149,TPCalibEq500!$AZ$2:$BB$56,3,)))</f>
        <v>0</v>
      </c>
      <c r="AT3149" s="10" t="b">
        <f>IF(AND(I3149="TN",S3149&lt;=2800),VLOOKUP(AF3149,TNCalibEq2500!$AZ$2:$BB$56,3,),IF(AND(I3149="TDN",S3149&lt;=2800),VLOOKUP(AF3149,TNCalibEq2500!$AZ$2:$BB$56,3,)))</f>
        <v>0</v>
      </c>
      <c r="AU3149" s="10" t="b">
        <f>IF(I3149="TP",VLOOKUP(AF3149,TPCalibEqFull!$AZ$2:$BB$56,3),IF(I3149="TDP",VLOOKUP(AF3149,TPCalibEqFull!$AZ$2:$BB$56,3),IF(I3149="TDN",VLOOKUP(AF3149,TNCalibEqFull!$AZ$1:$BB$56,3),IF(I3149="TN",VLOOKUP(AF3149,TNCalibEqFull!$AZ$1:$BB$56,3),FALSE))))</f>
        <v>0</v>
      </c>
      <c r="AV3149" s="10" t="str">
        <f t="shared" si="361"/>
        <v>0214 05:52:00-HST-0-FIL-1-SW-DUP</v>
      </c>
    </row>
    <row r="3150" spans="1:48" s="10" customFormat="1" x14ac:dyDescent="0.55000000000000004">
      <c r="A3150" s="32">
        <v>44971</v>
      </c>
      <c r="B3150" s="33">
        <v>0.24444444444444446</v>
      </c>
      <c r="C3150" s="10" t="s">
        <v>333</v>
      </c>
      <c r="D3150" s="10">
        <v>0</v>
      </c>
      <c r="E3150" s="10" t="s">
        <v>911</v>
      </c>
      <c r="F3150" s="10">
        <v>1</v>
      </c>
      <c r="G3150" s="10" t="s">
        <v>231</v>
      </c>
      <c r="H3150" s="10" t="s">
        <v>314</v>
      </c>
      <c r="I3150" s="10" t="s">
        <v>209</v>
      </c>
      <c r="J3150" s="10">
        <v>52</v>
      </c>
      <c r="K3150" s="12">
        <v>44972</v>
      </c>
      <c r="L3150" s="33">
        <v>0.51756944444444442</v>
      </c>
      <c r="M3150" s="10">
        <v>1</v>
      </c>
      <c r="N3150" s="10" t="s">
        <v>169</v>
      </c>
      <c r="O3150" s="10">
        <v>10.1</v>
      </c>
      <c r="P3150" s="10">
        <v>0.46899999999999997</v>
      </c>
      <c r="Q3150" s="10">
        <v>1310</v>
      </c>
      <c r="R3150" s="10" t="s">
        <v>77</v>
      </c>
      <c r="S3150" s="34">
        <f t="shared" si="358"/>
        <v>1310</v>
      </c>
      <c r="T3150" s="10" t="s">
        <v>915</v>
      </c>
      <c r="U3150" s="34">
        <f t="shared" si="359"/>
        <v>113.28</v>
      </c>
      <c r="V3150" s="31">
        <f>IF(H3150="CHK",VLOOKUP(I3150,QCCHK,3,),IF(H3150="GUP",VLOOKUP(E3150,QCGUP,2,),IF(AND(H3150="ATP",OR(I3150="TN",I3150="TDN",I3150="TNO2-3",I3150="NO2-3")),VLOOKUP(E3150,QCREC_N,2,),IF(AND(H3150="NIC",OR(I3150="TN",I3150="TDN",I3150="TNO2-3",I3150="NO2-3")),VLOOKUP(E3150,QCNIC_N,2,),IF(AND(H3150="UREA",OR(I3150="TN",I3150="TDN",I3150="TNO2-3",I3150="NO2-3")),VLOOKUP(E3150,QCUREA_N,2,),IF(H3150="PER",VLOOKUP(I3150,QCPER,MATCH(E3150,QCACTUAL!$J$25:$AA$25,0),),IF(H3150="SPK",VLOOKUP(I3150,QCSPK,3,),IF(AND(H3150="ATP",OR(I3150="TP",I3150="TDP")),VLOOKUP(E3150,QCATP_P,2,),""))))))))</f>
        <v>625</v>
      </c>
      <c r="W3150" s="31" t="str">
        <f t="shared" si="360"/>
        <v>TRUE</v>
      </c>
      <c r="X3150" s="31" t="str">
        <f t="shared" si="357"/>
        <v>([spikedunkn]-[unkn])/[spike]*100</v>
      </c>
      <c r="Y3150" s="10" t="s">
        <v>1206</v>
      </c>
      <c r="AL3150" s="10" t="str">
        <f t="shared" si="355"/>
        <v>FALSE</v>
      </c>
      <c r="AM3150" s="10" t="str">
        <f t="shared" si="355"/>
        <v>FALSE</v>
      </c>
      <c r="AN3150" s="10" t="str">
        <f t="shared" si="355"/>
        <v>FALSE</v>
      </c>
      <c r="AO3150" s="10" t="str">
        <f t="shared" si="356"/>
        <v>FALSE</v>
      </c>
      <c r="AP3150" s="10" t="str">
        <f t="shared" si="356"/>
        <v>FALSE</v>
      </c>
      <c r="AQ3150" s="10" t="b">
        <f>IF(AND(I3150="TP",S3150&lt;=150),VLOOKUP(AF3150,TPCalibEq150!$AZ$2:$BB$55,3,),IF(AND(I3150="TDP",S3150&lt;=150),VLOOKUP(AF3150,TPCalibEq150!$AZ$2:$BB$55,3,)))</f>
        <v>0</v>
      </c>
      <c r="AR3150" s="10" t="b">
        <f>IF(AND(I3150="TP",S3150&lt;=300),VLOOKUP(AF3150,TPCalibEq300!$AZ$2:$BB$55,3,),IF(AND(I3150="TDP",S3150&lt;=300),VLOOKUP(AF3150,TPCalibEq300!$AZ$2:$BB$55,3,)))</f>
        <v>0</v>
      </c>
      <c r="AS3150" s="10" t="b">
        <f>IF(AND(I3150="TP",S3150&lt;=500),VLOOKUP(AF3150,TPCalibEq500!$AZ$2:$BB$56,3,),IF(AND(I3150="TDP",S3150&lt;=500),VLOOKUP(AF3150,TPCalibEq500!$AZ$2:$BB$56,3,)))</f>
        <v>0</v>
      </c>
      <c r="AT3150" s="10" t="b">
        <f>IF(AND(I3150="TN",S3150&lt;=2800),VLOOKUP(AF3150,TNCalibEq2500!$AZ$2:$BB$56,3,),IF(AND(I3150="TDN",S3150&lt;=2800),VLOOKUP(AF3150,TNCalibEq2500!$AZ$2:$BB$56,3,)))</f>
        <v>0</v>
      </c>
      <c r="AU3150" s="10" t="b">
        <f>IF(I3150="TP",VLOOKUP(AF3150,TPCalibEqFull!$AZ$2:$BB$56,3),IF(I3150="TDP",VLOOKUP(AF3150,TPCalibEqFull!$AZ$2:$BB$56,3),IF(I3150="TDN",VLOOKUP(AF3150,TNCalibEqFull!$AZ$1:$BB$56,3),IF(I3150="TN",VLOOKUP(AF3150,TNCalibEqFull!$AZ$1:$BB$56,3),FALSE))))</f>
        <v>0</v>
      </c>
      <c r="AV3150" s="10" t="str">
        <f t="shared" si="361"/>
        <v>0214 05:52:00-HST-0-FIL-1-SW-SPK</v>
      </c>
    </row>
    <row r="3151" spans="1:48" s="10" customFormat="1" x14ac:dyDescent="0.55000000000000004">
      <c r="A3151" s="32">
        <v>44972</v>
      </c>
      <c r="B3151" s="33">
        <v>0.375</v>
      </c>
      <c r="C3151" s="10" t="s">
        <v>70</v>
      </c>
      <c r="D3151" s="10" t="s">
        <v>71</v>
      </c>
      <c r="E3151" s="10" t="s">
        <v>901</v>
      </c>
      <c r="F3151" s="10">
        <v>1</v>
      </c>
      <c r="G3151" s="10" t="s">
        <v>73</v>
      </c>
      <c r="H3151" s="10" t="s">
        <v>207</v>
      </c>
      <c r="I3151" s="10" t="s">
        <v>256</v>
      </c>
      <c r="J3151" s="10">
        <v>200</v>
      </c>
      <c r="K3151" s="12">
        <v>44972</v>
      </c>
      <c r="L3151" s="33">
        <v>0.51840277777777777</v>
      </c>
      <c r="M3151" s="10">
        <v>1</v>
      </c>
      <c r="N3151" s="10" t="s">
        <v>169</v>
      </c>
      <c r="O3151" s="10">
        <v>2.21</v>
      </c>
      <c r="P3151" s="10">
        <v>0.105</v>
      </c>
      <c r="Q3151" s="10">
        <v>288</v>
      </c>
      <c r="R3151" s="10" t="s">
        <v>77</v>
      </c>
      <c r="S3151" s="34">
        <f t="shared" si="358"/>
        <v>288</v>
      </c>
      <c r="T3151" s="10" t="s">
        <v>915</v>
      </c>
      <c r="U3151" s="34">
        <f t="shared" si="359"/>
        <v>96</v>
      </c>
      <c r="V3151" s="31">
        <f>IF(H3151="CHK",VLOOKUP(I3151,QCCHK,3,),IF(H3151="GUP",VLOOKUP(E3151,QCGUP,2,),IF(AND(H3151="ATP",OR(I3151="TN",I3151="TDN",I3151="TNO2-3",I3151="NO2-3")),VLOOKUP(E3151,QCREC_N,2,),IF(AND(H3151="NIC",OR(I3151="TN",I3151="TDN",I3151="TNO2-3",I3151="NO2-3")),VLOOKUP(E3151,QCNIC_N,2,),IF(AND(H3151="UREA",OR(I3151="TN",I3151="TDN",I3151="TNO2-3",I3151="NO2-3")),VLOOKUP(E3151,QCUREA_N,2,),IF(H3151="PER",VLOOKUP(I3151,QCPER,MATCH(E3151,QCACTUAL!$J$25:$AA$25,0),),IF(H3151="SPK",VLOOKUP(I3151,QCSPK,3,),IF(AND(H3151="ATP",OR(I3151="TP",I3151="TDP")),VLOOKUP(E3151,QCATP_P,2,),""))))))))</f>
        <v>300</v>
      </c>
      <c r="W3151" s="31" t="str">
        <f t="shared" si="360"/>
        <v>TRUE</v>
      </c>
      <c r="X3151" s="31" t="str">
        <f t="shared" si="357"/>
        <v>[chk]/[actual]*100</v>
      </c>
      <c r="Y3151" s="10" t="s">
        <v>1206</v>
      </c>
      <c r="AL3151" s="10" t="str">
        <f t="shared" si="355"/>
        <v>FALSE</v>
      </c>
      <c r="AM3151" s="10" t="str">
        <f t="shared" si="355"/>
        <v>FALSE</v>
      </c>
      <c r="AN3151" s="10" t="str">
        <f t="shared" si="355"/>
        <v>FALSE</v>
      </c>
      <c r="AO3151" s="10" t="str">
        <f t="shared" si="356"/>
        <v>FALSE</v>
      </c>
      <c r="AP3151" s="10" t="str">
        <f t="shared" si="356"/>
        <v>FALSE</v>
      </c>
      <c r="AQ3151" s="10" t="b">
        <f>IF(AND(I3151="TP",S3151&lt;=150),VLOOKUP(AF3151,TPCalibEq150!$AZ$2:$BB$55,3,),IF(AND(I3151="TDP",S3151&lt;=150),VLOOKUP(AF3151,TPCalibEq150!$AZ$2:$BB$55,3,)))</f>
        <v>0</v>
      </c>
      <c r="AR3151" s="10" t="b">
        <f>IF(AND(I3151="TP",S3151&lt;=300),VLOOKUP(AF3151,TPCalibEq300!$AZ$2:$BB$55,3,),IF(AND(I3151="TDP",S3151&lt;=300),VLOOKUP(AF3151,TPCalibEq300!$AZ$2:$BB$55,3,)))</f>
        <v>0</v>
      </c>
      <c r="AS3151" s="10" t="b">
        <f>IF(AND(I3151="TP",S3151&lt;=500),VLOOKUP(AF3151,TPCalibEq500!$AZ$2:$BB$56,3,),IF(AND(I3151="TDP",S3151&lt;=500),VLOOKUP(AF3151,TPCalibEq500!$AZ$2:$BB$56,3,)))</f>
        <v>0</v>
      </c>
      <c r="AT3151" s="10" t="b">
        <f>IF(AND(I3151="TN",S3151&lt;=2800),VLOOKUP(AF3151,TNCalibEq2500!$AZ$2:$BB$56,3,),IF(AND(I3151="TDN",S3151&lt;=2800),VLOOKUP(AF3151,TNCalibEq2500!$AZ$2:$BB$56,3,)))</f>
        <v>0</v>
      </c>
      <c r="AU3151" s="10" t="b">
        <f>IF(I3151="TP",VLOOKUP(AF3151,TPCalibEqFull!$AZ$2:$BB$56,3),IF(I3151="TDP",VLOOKUP(AF3151,TPCalibEqFull!$AZ$2:$BB$56,3),IF(I3151="TDN",VLOOKUP(AF3151,TNCalibEqFull!$AZ$1:$BB$56,3),IF(I3151="TN",VLOOKUP(AF3151,TNCalibEqFull!$AZ$1:$BB$56,3),FALSE))))</f>
        <v>0</v>
      </c>
      <c r="AV3151" s="10" t="str">
        <f t="shared" si="361"/>
        <v>0215 09:00:00-QAC-STD-D-1-DI-CHK</v>
      </c>
    </row>
    <row r="3152" spans="1:48" s="10" customFormat="1" x14ac:dyDescent="0.55000000000000004">
      <c r="A3152" s="32">
        <v>44970</v>
      </c>
      <c r="B3152" s="33">
        <v>0.36944444444444446</v>
      </c>
      <c r="C3152" s="10" t="s">
        <v>998</v>
      </c>
      <c r="D3152" s="10">
        <v>0</v>
      </c>
      <c r="E3152" s="10" t="s">
        <v>911</v>
      </c>
      <c r="F3152" s="10">
        <v>1</v>
      </c>
      <c r="G3152" s="10" t="s">
        <v>231</v>
      </c>
      <c r="H3152" s="10" t="s">
        <v>322</v>
      </c>
      <c r="I3152" s="10" t="s">
        <v>209</v>
      </c>
      <c r="J3152" s="10">
        <v>35</v>
      </c>
      <c r="K3152" s="12">
        <v>44972</v>
      </c>
      <c r="L3152" s="33">
        <v>0.53715277777777781</v>
      </c>
      <c r="M3152" s="10">
        <v>10</v>
      </c>
      <c r="N3152" s="10" t="s">
        <v>169</v>
      </c>
      <c r="O3152" s="10">
        <v>0.67900000000000005</v>
      </c>
      <c r="P3152" s="10">
        <v>3.1699999999999999E-2</v>
      </c>
      <c r="Q3152" s="10">
        <v>88.7</v>
      </c>
      <c r="R3152" s="10" t="s">
        <v>77</v>
      </c>
      <c r="S3152" s="34">
        <f t="shared" si="358"/>
        <v>887</v>
      </c>
      <c r="T3152" s="10" t="s">
        <v>915</v>
      </c>
      <c r="U3152" s="34" t="str">
        <f t="shared" si="359"/>
        <v/>
      </c>
      <c r="V3152" s="31" t="str">
        <f>IF(H3152="CHK",VLOOKUP(I3152,QCCHK,3,),IF(H3152="GUP",VLOOKUP(E3152,QCGUP,2,),IF(AND(H3152="ATP",OR(I3152="TN",I3152="TDN",I3152="TNO2-3",I3152="NO2-3")),VLOOKUP(E3152,QCREC_N,2,),IF(AND(H3152="NIC",OR(I3152="TN",I3152="TDN",I3152="TNO2-3",I3152="NO2-3")),VLOOKUP(E3152,QCNIC_N,2,),IF(AND(H3152="UREA",OR(I3152="TN",I3152="TDN",I3152="TNO2-3",I3152="NO2-3")),VLOOKUP(E3152,QCUREA_N,2,),IF(H3152="PER",VLOOKUP(I3152,QCPER,MATCH(E3152,QCACTUAL!$J$25:$AA$25,0),),IF(H3152="SPK",VLOOKUP(I3152,QCSPK,3,),IF(AND(H3152="ATP",OR(I3152="TP",I3152="TDP")),VLOOKUP(E3152,QCATP_P,2,),""))))))))</f>
        <v/>
      </c>
      <c r="W3152" s="31" t="str">
        <f t="shared" si="360"/>
        <v>TRUE</v>
      </c>
      <c r="X3152" s="31" t="str">
        <f t="shared" si="357"/>
        <v/>
      </c>
      <c r="Y3152" s="10" t="s">
        <v>1206</v>
      </c>
      <c r="Z3152" s="10" t="s">
        <v>910</v>
      </c>
      <c r="AL3152" s="10" t="str">
        <f t="shared" si="355"/>
        <v>FALSE</v>
      </c>
      <c r="AM3152" s="10" t="str">
        <f t="shared" si="355"/>
        <v>FALSE</v>
      </c>
      <c r="AN3152" s="10" t="str">
        <f t="shared" si="355"/>
        <v>FALSE</v>
      </c>
      <c r="AO3152" s="10" t="str">
        <f t="shared" si="356"/>
        <v>FALSE</v>
      </c>
      <c r="AP3152" s="10" t="str">
        <f t="shared" si="356"/>
        <v>FALSE</v>
      </c>
      <c r="AQ3152" s="10" t="b">
        <f>IF(AND(I3152="TP",S3152&lt;=150),VLOOKUP(AF3152,TPCalibEq150!$AZ$2:$BB$55,3,),IF(AND(I3152="TDP",S3152&lt;=150),VLOOKUP(AF3152,TPCalibEq150!$AZ$2:$BB$55,3,)))</f>
        <v>0</v>
      </c>
      <c r="AR3152" s="10" t="b">
        <f>IF(AND(I3152="TP",S3152&lt;=300),VLOOKUP(AF3152,TPCalibEq300!$AZ$2:$BB$55,3,),IF(AND(I3152="TDP",S3152&lt;=300),VLOOKUP(AF3152,TPCalibEq300!$AZ$2:$BB$55,3,)))</f>
        <v>0</v>
      </c>
      <c r="AS3152" s="10" t="b">
        <f>IF(AND(I3152="TP",S3152&lt;=500),VLOOKUP(AF3152,TPCalibEq500!$AZ$2:$BB$56,3,),IF(AND(I3152="TDP",S3152&lt;=500),VLOOKUP(AF3152,TPCalibEq500!$AZ$2:$BB$56,3,)))</f>
        <v>0</v>
      </c>
      <c r="AT3152" s="10" t="b">
        <f>IF(AND(I3152="TN",S3152&lt;=2800),VLOOKUP(AF3152,TNCalibEq2500!$AZ$2:$BB$56,3,),IF(AND(I3152="TDN",S3152&lt;=2800),VLOOKUP(AF3152,TNCalibEq2500!$AZ$2:$BB$56,3,)))</f>
        <v>0</v>
      </c>
      <c r="AU3152" s="10" t="b">
        <f>IF(I3152="TP",VLOOKUP(AF3152,TPCalibEqFull!$AZ$2:$BB$56,3),IF(I3152="TDP",VLOOKUP(AF3152,TPCalibEqFull!$AZ$2:$BB$56,3),IF(I3152="TDN",VLOOKUP(AF3152,TNCalibEqFull!$AZ$1:$BB$56,3),IF(I3152="TN",VLOOKUP(AF3152,TNCalibEqFull!$AZ$1:$BB$56,3),FALSE))))</f>
        <v>0</v>
      </c>
      <c r="AV3152" s="10" t="str">
        <f t="shared" si="361"/>
        <v>0213 08:52:00-ELW-0-FIL-1-SW-UKN</v>
      </c>
    </row>
    <row r="3153" spans="1:48" s="10" customFormat="1" x14ac:dyDescent="0.55000000000000004">
      <c r="A3153" s="32">
        <v>44970</v>
      </c>
      <c r="B3153" s="33">
        <v>0.3840277777777778</v>
      </c>
      <c r="C3153" s="10" t="s">
        <v>270</v>
      </c>
      <c r="D3153" s="10">
        <v>0</v>
      </c>
      <c r="E3153" s="10" t="s">
        <v>911</v>
      </c>
      <c r="F3153" s="10">
        <v>1</v>
      </c>
      <c r="G3153" s="10" t="s">
        <v>231</v>
      </c>
      <c r="H3153" s="10" t="s">
        <v>322</v>
      </c>
      <c r="I3153" s="10" t="s">
        <v>209</v>
      </c>
      <c r="J3153" s="10">
        <v>36</v>
      </c>
      <c r="K3153" s="12">
        <v>44972</v>
      </c>
      <c r="L3153" s="33">
        <v>0.52003472222222225</v>
      </c>
      <c r="M3153" s="10">
        <v>1</v>
      </c>
      <c r="N3153" s="10" t="s">
        <v>169</v>
      </c>
      <c r="O3153" s="10">
        <v>5.85</v>
      </c>
      <c r="P3153" s="10">
        <v>0.27200000000000002</v>
      </c>
      <c r="Q3153" s="10">
        <v>764</v>
      </c>
      <c r="R3153" s="10" t="s">
        <v>77</v>
      </c>
      <c r="S3153" s="34">
        <f t="shared" si="358"/>
        <v>764</v>
      </c>
      <c r="T3153" s="10" t="s">
        <v>915</v>
      </c>
      <c r="U3153" s="34" t="str">
        <f t="shared" si="359"/>
        <v/>
      </c>
      <c r="V3153" s="31" t="str">
        <f>IF(H3153="CHK",VLOOKUP(I3153,QCCHK,3,),IF(H3153="GUP",VLOOKUP(E3153,QCGUP,2,),IF(AND(H3153="ATP",OR(I3153="TN",I3153="TDN",I3153="TNO2-3",I3153="NO2-3")),VLOOKUP(E3153,QCREC_N,2,),IF(AND(H3153="NIC",OR(I3153="TN",I3153="TDN",I3153="TNO2-3",I3153="NO2-3")),VLOOKUP(E3153,QCNIC_N,2,),IF(AND(H3153="UREA",OR(I3153="TN",I3153="TDN",I3153="TNO2-3",I3153="NO2-3")),VLOOKUP(E3153,QCUREA_N,2,),IF(H3153="PER",VLOOKUP(I3153,QCPER,MATCH(E3153,QCACTUAL!$J$25:$AA$25,0),),IF(H3153="SPK",VLOOKUP(I3153,QCSPK,3,),IF(AND(H3153="ATP",OR(I3153="TP",I3153="TDP")),VLOOKUP(E3153,QCATP_P,2,),""))))))))</f>
        <v/>
      </c>
      <c r="W3153" s="31" t="str">
        <f t="shared" si="360"/>
        <v>TRUE</v>
      </c>
      <c r="X3153" s="31" t="str">
        <f t="shared" si="357"/>
        <v/>
      </c>
      <c r="Y3153" s="10" t="s">
        <v>1206</v>
      </c>
      <c r="Z3153" s="10" t="s">
        <v>910</v>
      </c>
      <c r="AL3153" s="10" t="str">
        <f t="shared" si="355"/>
        <v>FALSE</v>
      </c>
      <c r="AM3153" s="10" t="str">
        <f t="shared" si="355"/>
        <v>FALSE</v>
      </c>
      <c r="AN3153" s="10" t="str">
        <f t="shared" si="355"/>
        <v>FALSE</v>
      </c>
      <c r="AO3153" s="10" t="str">
        <f t="shared" si="356"/>
        <v>FALSE</v>
      </c>
      <c r="AP3153" s="10" t="str">
        <f t="shared" si="356"/>
        <v>FALSE</v>
      </c>
      <c r="AQ3153" s="10" t="b">
        <f>IF(AND(I3153="TP",S3153&lt;=150),VLOOKUP(AF3153,TPCalibEq150!$AZ$2:$BB$55,3,),IF(AND(I3153="TDP",S3153&lt;=150),VLOOKUP(AF3153,TPCalibEq150!$AZ$2:$BB$55,3,)))</f>
        <v>0</v>
      </c>
      <c r="AR3153" s="10" t="b">
        <f>IF(AND(I3153="TP",S3153&lt;=300),VLOOKUP(AF3153,TPCalibEq300!$AZ$2:$BB$55,3,),IF(AND(I3153="TDP",S3153&lt;=300),VLOOKUP(AF3153,TPCalibEq300!$AZ$2:$BB$55,3,)))</f>
        <v>0</v>
      </c>
      <c r="AS3153" s="10" t="b">
        <f>IF(AND(I3153="TP",S3153&lt;=500),VLOOKUP(AF3153,TPCalibEq500!$AZ$2:$BB$56,3,),IF(AND(I3153="TDP",S3153&lt;=500),VLOOKUP(AF3153,TPCalibEq500!$AZ$2:$BB$56,3,)))</f>
        <v>0</v>
      </c>
      <c r="AT3153" s="10" t="b">
        <f>IF(AND(I3153="TN",S3153&lt;=2800),VLOOKUP(AF3153,TNCalibEq2500!$AZ$2:$BB$56,3,),IF(AND(I3153="TDN",S3153&lt;=2800),VLOOKUP(AF3153,TNCalibEq2500!$AZ$2:$BB$56,3,)))</f>
        <v>0</v>
      </c>
      <c r="AU3153" s="10" t="b">
        <f>IF(I3153="TP",VLOOKUP(AF3153,TPCalibEqFull!$AZ$2:$BB$56,3),IF(I3153="TDP",VLOOKUP(AF3153,TPCalibEqFull!$AZ$2:$BB$56,3),IF(I3153="TDN",VLOOKUP(AF3153,TNCalibEqFull!$AZ$1:$BB$56,3),IF(I3153="TN",VLOOKUP(AF3153,TNCalibEqFull!$AZ$1:$BB$56,3),FALSE))))</f>
        <v>0</v>
      </c>
      <c r="AV3153" s="10" t="str">
        <f t="shared" si="361"/>
        <v>0213 09:13:00-EFG-0-FIL-1-SW-UKN</v>
      </c>
    </row>
    <row r="3154" spans="1:48" s="10" customFormat="1" x14ac:dyDescent="0.55000000000000004">
      <c r="A3154" s="32">
        <v>44970</v>
      </c>
      <c r="B3154" s="33">
        <v>0.3923611111111111</v>
      </c>
      <c r="C3154" s="10" t="s">
        <v>540</v>
      </c>
      <c r="D3154" s="10">
        <v>0</v>
      </c>
      <c r="E3154" s="10" t="s">
        <v>911</v>
      </c>
      <c r="F3154" s="10">
        <v>1</v>
      </c>
      <c r="G3154" s="10" t="s">
        <v>231</v>
      </c>
      <c r="H3154" s="10" t="s">
        <v>322</v>
      </c>
      <c r="I3154" s="10" t="s">
        <v>209</v>
      </c>
      <c r="J3154" s="10">
        <v>37</v>
      </c>
      <c r="K3154" s="12">
        <v>44972</v>
      </c>
      <c r="L3154" s="33">
        <v>0.52085648148148145</v>
      </c>
      <c r="M3154" s="10">
        <v>1</v>
      </c>
      <c r="N3154" s="10" t="s">
        <v>169</v>
      </c>
      <c r="O3154" s="10">
        <v>11.3</v>
      </c>
      <c r="P3154" s="10">
        <v>0.52800000000000002</v>
      </c>
      <c r="Q3154" s="10">
        <v>1480</v>
      </c>
      <c r="R3154" s="10" t="s">
        <v>77</v>
      </c>
      <c r="S3154" s="34">
        <f t="shared" si="358"/>
        <v>1480</v>
      </c>
      <c r="T3154" s="10" t="s">
        <v>915</v>
      </c>
      <c r="U3154" s="34" t="str">
        <f t="shared" si="359"/>
        <v/>
      </c>
      <c r="V3154" s="31" t="str">
        <f>IF(H3154="CHK",VLOOKUP(I3154,QCCHK,3,),IF(H3154="GUP",VLOOKUP(E3154,QCGUP,2,),IF(AND(H3154="ATP",OR(I3154="TN",I3154="TDN",I3154="TNO2-3",I3154="NO2-3")),VLOOKUP(E3154,QCREC_N,2,),IF(AND(H3154="NIC",OR(I3154="TN",I3154="TDN",I3154="TNO2-3",I3154="NO2-3")),VLOOKUP(E3154,QCNIC_N,2,),IF(AND(H3154="UREA",OR(I3154="TN",I3154="TDN",I3154="TNO2-3",I3154="NO2-3")),VLOOKUP(E3154,QCUREA_N,2,),IF(H3154="PER",VLOOKUP(I3154,QCPER,MATCH(E3154,QCACTUAL!$J$25:$AA$25,0),),IF(H3154="SPK",VLOOKUP(I3154,QCSPK,3,),IF(AND(H3154="ATP",OR(I3154="TP",I3154="TDP")),VLOOKUP(E3154,QCATP_P,2,),""))))))))</f>
        <v/>
      </c>
      <c r="W3154" s="31" t="str">
        <f t="shared" si="360"/>
        <v>TRUE</v>
      </c>
      <c r="X3154" s="31" t="str">
        <f t="shared" si="357"/>
        <v/>
      </c>
      <c r="Y3154" s="10" t="s">
        <v>1206</v>
      </c>
      <c r="Z3154" s="10" t="s">
        <v>910</v>
      </c>
      <c r="AL3154" s="10" t="str">
        <f t="shared" si="355"/>
        <v>FALSE</v>
      </c>
      <c r="AM3154" s="10" t="str">
        <f t="shared" si="355"/>
        <v>FALSE</v>
      </c>
      <c r="AN3154" s="10" t="str">
        <f t="shared" si="355"/>
        <v>FALSE</v>
      </c>
      <c r="AO3154" s="10" t="str">
        <f t="shared" si="356"/>
        <v>FALSE</v>
      </c>
      <c r="AP3154" s="10" t="str">
        <f t="shared" si="356"/>
        <v>FALSE</v>
      </c>
      <c r="AQ3154" s="10" t="b">
        <f>IF(AND(I3154="TP",S3154&lt;=150),VLOOKUP(AF3154,TPCalibEq150!$AZ$2:$BB$55,3,),IF(AND(I3154="TDP",S3154&lt;=150),VLOOKUP(AF3154,TPCalibEq150!$AZ$2:$BB$55,3,)))</f>
        <v>0</v>
      </c>
      <c r="AR3154" s="10" t="b">
        <f>IF(AND(I3154="TP",S3154&lt;=300),VLOOKUP(AF3154,TPCalibEq300!$AZ$2:$BB$55,3,),IF(AND(I3154="TDP",S3154&lt;=300),VLOOKUP(AF3154,TPCalibEq300!$AZ$2:$BB$55,3,)))</f>
        <v>0</v>
      </c>
      <c r="AS3154" s="10" t="b">
        <f>IF(AND(I3154="TP",S3154&lt;=500),VLOOKUP(AF3154,TPCalibEq500!$AZ$2:$BB$56,3,),IF(AND(I3154="TDP",S3154&lt;=500),VLOOKUP(AF3154,TPCalibEq500!$AZ$2:$BB$56,3,)))</f>
        <v>0</v>
      </c>
      <c r="AT3154" s="10" t="b">
        <f>IF(AND(I3154="TN",S3154&lt;=2800),VLOOKUP(AF3154,TNCalibEq2500!$AZ$2:$BB$56,3,),IF(AND(I3154="TDN",S3154&lt;=2800),VLOOKUP(AF3154,TNCalibEq2500!$AZ$2:$BB$56,3,)))</f>
        <v>0</v>
      </c>
      <c r="AU3154" s="10" t="b">
        <f>IF(I3154="TP",VLOOKUP(AF3154,TPCalibEqFull!$AZ$2:$BB$56,3),IF(I3154="TDP",VLOOKUP(AF3154,TPCalibEqFull!$AZ$2:$BB$56,3),IF(I3154="TDN",VLOOKUP(AF3154,TNCalibEqFull!$AZ$1:$BB$56,3),IF(I3154="TN",VLOOKUP(AF3154,TNCalibEqFull!$AZ$1:$BB$56,3),FALSE))))</f>
        <v>0</v>
      </c>
      <c r="AV3154" s="10" t="str">
        <f t="shared" si="361"/>
        <v>0213 09:25:00-S50-0-FIL-1-SW-UKN</v>
      </c>
    </row>
    <row r="3155" spans="1:48" s="10" customFormat="1" x14ac:dyDescent="0.55000000000000004">
      <c r="A3155" s="32">
        <v>44970</v>
      </c>
      <c r="B3155" s="33">
        <v>0.41597222222222219</v>
      </c>
      <c r="C3155" s="10" t="s">
        <v>528</v>
      </c>
      <c r="D3155" s="10">
        <v>0</v>
      </c>
      <c r="E3155" s="10" t="s">
        <v>911</v>
      </c>
      <c r="F3155" s="10">
        <v>1</v>
      </c>
      <c r="G3155" s="10" t="s">
        <v>231</v>
      </c>
      <c r="H3155" s="10" t="s">
        <v>322</v>
      </c>
      <c r="I3155" s="10" t="s">
        <v>209</v>
      </c>
      <c r="J3155" s="10">
        <v>38</v>
      </c>
      <c r="K3155" s="12">
        <v>44972</v>
      </c>
      <c r="L3155" s="33">
        <v>0.53797453703703701</v>
      </c>
      <c r="M3155" s="10">
        <v>10</v>
      </c>
      <c r="N3155" s="10" t="s">
        <v>169</v>
      </c>
      <c r="O3155" s="10">
        <v>1.18</v>
      </c>
      <c r="P3155" s="10">
        <v>5.4899999999999997E-2</v>
      </c>
      <c r="Q3155" s="10">
        <v>154</v>
      </c>
      <c r="R3155" s="10" t="s">
        <v>77</v>
      </c>
      <c r="S3155" s="34">
        <f t="shared" si="358"/>
        <v>1540</v>
      </c>
      <c r="T3155" s="10" t="s">
        <v>915</v>
      </c>
      <c r="U3155" s="34" t="str">
        <f t="shared" si="359"/>
        <v/>
      </c>
      <c r="V3155" s="31" t="str">
        <f>IF(H3155="CHK",VLOOKUP(I3155,QCCHK,3,),IF(H3155="GUP",VLOOKUP(E3155,QCGUP,2,),IF(AND(H3155="ATP",OR(I3155="TN",I3155="TDN",I3155="TNO2-3",I3155="NO2-3")),VLOOKUP(E3155,QCREC_N,2,),IF(AND(H3155="NIC",OR(I3155="TN",I3155="TDN",I3155="TNO2-3",I3155="NO2-3")),VLOOKUP(E3155,QCNIC_N,2,),IF(AND(H3155="UREA",OR(I3155="TN",I3155="TDN",I3155="TNO2-3",I3155="NO2-3")),VLOOKUP(E3155,QCUREA_N,2,),IF(H3155="PER",VLOOKUP(I3155,QCPER,MATCH(E3155,QCACTUAL!$J$25:$AA$25,0),),IF(H3155="SPK",VLOOKUP(I3155,QCSPK,3,),IF(AND(H3155="ATP",OR(I3155="TP",I3155="TDP")),VLOOKUP(E3155,QCATP_P,2,),""))))))))</f>
        <v/>
      </c>
      <c r="W3155" s="31" t="str">
        <f t="shared" si="360"/>
        <v>TRUE</v>
      </c>
      <c r="X3155" s="31" t="str">
        <f t="shared" si="357"/>
        <v/>
      </c>
      <c r="Y3155" s="10" t="s">
        <v>1206</v>
      </c>
      <c r="Z3155" s="10" t="s">
        <v>910</v>
      </c>
      <c r="AL3155" s="10" t="str">
        <f t="shared" si="355"/>
        <v>FALSE</v>
      </c>
      <c r="AM3155" s="10" t="str">
        <f t="shared" si="355"/>
        <v>FALSE</v>
      </c>
      <c r="AN3155" s="10" t="str">
        <f t="shared" si="355"/>
        <v>FALSE</v>
      </c>
      <c r="AO3155" s="10" t="str">
        <f t="shared" si="356"/>
        <v>FALSE</v>
      </c>
      <c r="AP3155" s="10" t="str">
        <f t="shared" si="356"/>
        <v>FALSE</v>
      </c>
      <c r="AQ3155" s="10" t="b">
        <f>IF(AND(I3155="TP",S3155&lt;=150),VLOOKUP(AF3155,TPCalibEq150!$AZ$2:$BB$55,3,),IF(AND(I3155="TDP",S3155&lt;=150),VLOOKUP(AF3155,TPCalibEq150!$AZ$2:$BB$55,3,)))</f>
        <v>0</v>
      </c>
      <c r="AR3155" s="10" t="b">
        <f>IF(AND(I3155="TP",S3155&lt;=300),VLOOKUP(AF3155,TPCalibEq300!$AZ$2:$BB$55,3,),IF(AND(I3155="TDP",S3155&lt;=300),VLOOKUP(AF3155,TPCalibEq300!$AZ$2:$BB$55,3,)))</f>
        <v>0</v>
      </c>
      <c r="AS3155" s="10" t="b">
        <f>IF(AND(I3155="TP",S3155&lt;=500),VLOOKUP(AF3155,TPCalibEq500!$AZ$2:$BB$56,3,),IF(AND(I3155="TDP",S3155&lt;=500),VLOOKUP(AF3155,TPCalibEq500!$AZ$2:$BB$56,3,)))</f>
        <v>0</v>
      </c>
      <c r="AT3155" s="10" t="b">
        <f>IF(AND(I3155="TN",S3155&lt;=2800),VLOOKUP(AF3155,TNCalibEq2500!$AZ$2:$BB$56,3,),IF(AND(I3155="TDN",S3155&lt;=2800),VLOOKUP(AF3155,TNCalibEq2500!$AZ$2:$BB$56,3,)))</f>
        <v>0</v>
      </c>
      <c r="AU3155" s="10" t="b">
        <f>IF(I3155="TP",VLOOKUP(AF3155,TPCalibEqFull!$AZ$2:$BB$56,3),IF(I3155="TDP",VLOOKUP(AF3155,TPCalibEqFull!$AZ$2:$BB$56,3),IF(I3155="TDN",VLOOKUP(AF3155,TNCalibEqFull!$AZ$1:$BB$56,3),IF(I3155="TN",VLOOKUP(AF3155,TNCalibEqFull!$AZ$1:$BB$56,3),FALSE))))</f>
        <v>0</v>
      </c>
      <c r="AV3155" s="10" t="str">
        <f t="shared" si="361"/>
        <v>0213 09:59:00-P04-0-FIL-1-SW-UKN</v>
      </c>
    </row>
    <row r="3156" spans="1:48" s="10" customFormat="1" x14ac:dyDescent="0.55000000000000004">
      <c r="A3156" s="32">
        <v>44970</v>
      </c>
      <c r="B3156" s="33">
        <v>0.42777777777777781</v>
      </c>
      <c r="C3156" s="10">
        <v>506</v>
      </c>
      <c r="D3156" s="10">
        <v>0</v>
      </c>
      <c r="E3156" s="10" t="s">
        <v>911</v>
      </c>
      <c r="F3156" s="10">
        <v>1</v>
      </c>
      <c r="G3156" s="10" t="s">
        <v>231</v>
      </c>
      <c r="H3156" s="10" t="s">
        <v>322</v>
      </c>
      <c r="I3156" s="10" t="s">
        <v>209</v>
      </c>
      <c r="J3156" s="10">
        <v>39</v>
      </c>
      <c r="K3156" s="12">
        <v>44972</v>
      </c>
      <c r="L3156" s="33">
        <v>0.52247685185185189</v>
      </c>
      <c r="M3156" s="10">
        <v>1</v>
      </c>
      <c r="N3156" s="10" t="s">
        <v>169</v>
      </c>
      <c r="O3156" s="10">
        <v>16</v>
      </c>
      <c r="P3156" s="10">
        <v>0.74199999999999999</v>
      </c>
      <c r="Q3156" s="10">
        <v>2080</v>
      </c>
      <c r="R3156" s="10" t="s">
        <v>77</v>
      </c>
      <c r="S3156" s="34">
        <f t="shared" si="358"/>
        <v>2080</v>
      </c>
      <c r="T3156" s="10" t="s">
        <v>915</v>
      </c>
      <c r="U3156" s="34" t="str">
        <f t="shared" si="359"/>
        <v/>
      </c>
      <c r="V3156" s="31" t="str">
        <f>IF(H3156="CHK",VLOOKUP(I3156,QCCHK,3,),IF(H3156="GUP",VLOOKUP(E3156,QCGUP,2,),IF(AND(H3156="ATP",OR(I3156="TN",I3156="TDN",I3156="TNO2-3",I3156="NO2-3")),VLOOKUP(E3156,QCREC_N,2,),IF(AND(H3156="NIC",OR(I3156="TN",I3156="TDN",I3156="TNO2-3",I3156="NO2-3")),VLOOKUP(E3156,QCNIC_N,2,),IF(AND(H3156="UREA",OR(I3156="TN",I3156="TDN",I3156="TNO2-3",I3156="NO2-3")),VLOOKUP(E3156,QCUREA_N,2,),IF(H3156="PER",VLOOKUP(I3156,QCPER,MATCH(E3156,QCACTUAL!$J$25:$AA$25,0),),IF(H3156="SPK",VLOOKUP(I3156,QCSPK,3,),IF(AND(H3156="ATP",OR(I3156="TP",I3156="TDP")),VLOOKUP(E3156,QCATP_P,2,),""))))))))</f>
        <v/>
      </c>
      <c r="W3156" s="31" t="str">
        <f t="shared" si="360"/>
        <v>TRUE</v>
      </c>
      <c r="X3156" s="31" t="str">
        <f t="shared" si="357"/>
        <v/>
      </c>
      <c r="Y3156" s="10" t="s">
        <v>1206</v>
      </c>
      <c r="Z3156" s="10" t="s">
        <v>910</v>
      </c>
      <c r="AL3156" s="10" t="str">
        <f t="shared" si="355"/>
        <v>FALSE</v>
      </c>
      <c r="AM3156" s="10" t="str">
        <f t="shared" si="355"/>
        <v>FALSE</v>
      </c>
      <c r="AN3156" s="10" t="str">
        <f t="shared" si="355"/>
        <v>FALSE</v>
      </c>
      <c r="AO3156" s="10" t="str">
        <f t="shared" si="356"/>
        <v>FALSE</v>
      </c>
      <c r="AP3156" s="10" t="str">
        <f t="shared" si="356"/>
        <v>FALSE</v>
      </c>
      <c r="AQ3156" s="10" t="b">
        <f>IF(AND(I3156="TP",S3156&lt;=150),VLOOKUP(AF3156,TPCalibEq150!$AZ$2:$BB$55,3,),IF(AND(I3156="TDP",S3156&lt;=150),VLOOKUP(AF3156,TPCalibEq150!$AZ$2:$BB$55,3,)))</f>
        <v>0</v>
      </c>
      <c r="AR3156" s="10" t="b">
        <f>IF(AND(I3156="TP",S3156&lt;=300),VLOOKUP(AF3156,TPCalibEq300!$AZ$2:$BB$55,3,),IF(AND(I3156="TDP",S3156&lt;=300),VLOOKUP(AF3156,TPCalibEq300!$AZ$2:$BB$55,3,)))</f>
        <v>0</v>
      </c>
      <c r="AS3156" s="10" t="b">
        <f>IF(AND(I3156="TP",S3156&lt;=500),VLOOKUP(AF3156,TPCalibEq500!$AZ$2:$BB$56,3,),IF(AND(I3156="TDP",S3156&lt;=500),VLOOKUP(AF3156,TPCalibEq500!$AZ$2:$BB$56,3,)))</f>
        <v>0</v>
      </c>
      <c r="AT3156" s="10" t="b">
        <f>IF(AND(I3156="TN",S3156&lt;=2800),VLOOKUP(AF3156,TNCalibEq2500!$AZ$2:$BB$56,3,),IF(AND(I3156="TDN",S3156&lt;=2800),VLOOKUP(AF3156,TNCalibEq2500!$AZ$2:$BB$56,3,)))</f>
        <v>0</v>
      </c>
      <c r="AU3156" s="10" t="b">
        <f>IF(I3156="TP",VLOOKUP(AF3156,TPCalibEqFull!$AZ$2:$BB$56,3),IF(I3156="TDP",VLOOKUP(AF3156,TPCalibEqFull!$AZ$2:$BB$56,3),IF(I3156="TDN",VLOOKUP(AF3156,TNCalibEqFull!$AZ$1:$BB$56,3),IF(I3156="TN",VLOOKUP(AF3156,TNCalibEqFull!$AZ$1:$BB$56,3),FALSE))))</f>
        <v>0</v>
      </c>
      <c r="AV3156" s="10" t="str">
        <f t="shared" si="361"/>
        <v>0213 10:16:00-506-0-FIL-1-SW-UKN</v>
      </c>
    </row>
    <row r="3157" spans="1:48" s="10" customFormat="1" x14ac:dyDescent="0.55000000000000004">
      <c r="A3157" s="32">
        <v>44970</v>
      </c>
      <c r="B3157" s="33">
        <v>0.43402777777777773</v>
      </c>
      <c r="C3157" s="10" t="s">
        <v>1104</v>
      </c>
      <c r="D3157" s="10">
        <v>0</v>
      </c>
      <c r="E3157" s="10" t="s">
        <v>911</v>
      </c>
      <c r="F3157" s="10">
        <v>1</v>
      </c>
      <c r="G3157" s="10" t="s">
        <v>231</v>
      </c>
      <c r="H3157" s="10" t="s">
        <v>322</v>
      </c>
      <c r="I3157" s="10" t="s">
        <v>209</v>
      </c>
      <c r="J3157" s="10">
        <v>40</v>
      </c>
      <c r="K3157" s="12">
        <v>44972</v>
      </c>
      <c r="L3157" s="33">
        <v>0.53878472222222229</v>
      </c>
      <c r="M3157" s="10">
        <v>10</v>
      </c>
      <c r="N3157" s="10" t="s">
        <v>169</v>
      </c>
      <c r="O3157" s="10">
        <v>0.54500000000000004</v>
      </c>
      <c r="P3157" s="10">
        <v>2.5700000000000001E-2</v>
      </c>
      <c r="Q3157" s="10">
        <v>71.099999999999994</v>
      </c>
      <c r="R3157" s="10" t="s">
        <v>77</v>
      </c>
      <c r="S3157" s="34">
        <f t="shared" si="358"/>
        <v>711</v>
      </c>
      <c r="T3157" s="10" t="s">
        <v>915</v>
      </c>
      <c r="U3157" s="34" t="str">
        <f t="shared" si="359"/>
        <v/>
      </c>
      <c r="V3157" s="31" t="str">
        <f>IF(H3157="CHK",VLOOKUP(I3157,QCCHK,3,),IF(H3157="GUP",VLOOKUP(E3157,QCGUP,2,),IF(AND(H3157="ATP",OR(I3157="TN",I3157="TDN",I3157="TNO2-3",I3157="NO2-3")),VLOOKUP(E3157,QCREC_N,2,),IF(AND(H3157="NIC",OR(I3157="TN",I3157="TDN",I3157="TNO2-3",I3157="NO2-3")),VLOOKUP(E3157,QCNIC_N,2,),IF(AND(H3157="UREA",OR(I3157="TN",I3157="TDN",I3157="TNO2-3",I3157="NO2-3")),VLOOKUP(E3157,QCUREA_N,2,),IF(H3157="PER",VLOOKUP(I3157,QCPER,MATCH(E3157,QCACTUAL!$J$25:$AA$25,0),),IF(H3157="SPK",VLOOKUP(I3157,QCSPK,3,),IF(AND(H3157="ATP",OR(I3157="TP",I3157="TDP")),VLOOKUP(E3157,QCATP_P,2,),""))))))))</f>
        <v/>
      </c>
      <c r="W3157" s="31" t="str">
        <f t="shared" si="360"/>
        <v>TRUE</v>
      </c>
      <c r="X3157" s="31" t="str">
        <f t="shared" si="357"/>
        <v/>
      </c>
      <c r="Y3157" s="10" t="s">
        <v>1206</v>
      </c>
      <c r="Z3157" s="10" t="s">
        <v>910</v>
      </c>
      <c r="AL3157" s="10" t="str">
        <f t="shared" si="355"/>
        <v>FALSE</v>
      </c>
      <c r="AM3157" s="10" t="str">
        <f t="shared" si="355"/>
        <v>FALSE</v>
      </c>
      <c r="AN3157" s="10" t="str">
        <f t="shared" si="355"/>
        <v>FALSE</v>
      </c>
      <c r="AO3157" s="10" t="str">
        <f t="shared" si="356"/>
        <v>FALSE</v>
      </c>
      <c r="AP3157" s="10" t="str">
        <f t="shared" si="356"/>
        <v>FALSE</v>
      </c>
      <c r="AQ3157" s="10" t="b">
        <f>IF(AND(I3157="TP",S3157&lt;=150),VLOOKUP(AF3157,TPCalibEq150!$AZ$2:$BB$55,3,),IF(AND(I3157="TDP",S3157&lt;=150),VLOOKUP(AF3157,TPCalibEq150!$AZ$2:$BB$55,3,)))</f>
        <v>0</v>
      </c>
      <c r="AR3157" s="10" t="b">
        <f>IF(AND(I3157="TP",S3157&lt;=300),VLOOKUP(AF3157,TPCalibEq300!$AZ$2:$BB$55,3,),IF(AND(I3157="TDP",S3157&lt;=300),VLOOKUP(AF3157,TPCalibEq300!$AZ$2:$BB$55,3,)))</f>
        <v>0</v>
      </c>
      <c r="AS3157" s="10" t="b">
        <f>IF(AND(I3157="TP",S3157&lt;=500),VLOOKUP(AF3157,TPCalibEq500!$AZ$2:$BB$56,3,),IF(AND(I3157="TDP",S3157&lt;=500),VLOOKUP(AF3157,TPCalibEq500!$AZ$2:$BB$56,3,)))</f>
        <v>0</v>
      </c>
      <c r="AT3157" s="10" t="b">
        <f>IF(AND(I3157="TN",S3157&lt;=2800),VLOOKUP(AF3157,TNCalibEq2500!$AZ$2:$BB$56,3,),IF(AND(I3157="TDN",S3157&lt;=2800),VLOOKUP(AF3157,TNCalibEq2500!$AZ$2:$BB$56,3,)))</f>
        <v>0</v>
      </c>
      <c r="AU3157" s="10" t="b">
        <f>IF(I3157="TP",VLOOKUP(AF3157,TPCalibEqFull!$AZ$2:$BB$56,3),IF(I3157="TDP",VLOOKUP(AF3157,TPCalibEqFull!$AZ$2:$BB$56,3),IF(I3157="TDN",VLOOKUP(AF3157,TNCalibEqFull!$AZ$1:$BB$56,3),IF(I3157="TN",VLOOKUP(AF3157,TNCalibEqFull!$AZ$1:$BB$56,3),FALSE))))</f>
        <v>0</v>
      </c>
      <c r="AV3157" s="10" t="str">
        <f t="shared" si="361"/>
        <v>0213 10:25:00-LBW-0-FIL-1-SW-UKN</v>
      </c>
    </row>
    <row r="3158" spans="1:48" s="10" customFormat="1" x14ac:dyDescent="0.55000000000000004">
      <c r="A3158" s="32">
        <v>44970</v>
      </c>
      <c r="B3158" s="33">
        <v>0.45208333333333334</v>
      </c>
      <c r="C3158" s="10" t="s">
        <v>537</v>
      </c>
      <c r="D3158" s="10">
        <v>0</v>
      </c>
      <c r="E3158" s="10" t="s">
        <v>911</v>
      </c>
      <c r="F3158" s="10">
        <v>1</v>
      </c>
      <c r="G3158" s="10" t="s">
        <v>231</v>
      </c>
      <c r="H3158" s="10" t="s">
        <v>322</v>
      </c>
      <c r="I3158" s="10" t="s">
        <v>209</v>
      </c>
      <c r="J3158" s="10">
        <v>41</v>
      </c>
      <c r="K3158" s="12">
        <v>44972</v>
      </c>
      <c r="L3158" s="33">
        <v>0.52409722222222221</v>
      </c>
      <c r="M3158" s="10">
        <v>1</v>
      </c>
      <c r="N3158" s="10" t="s">
        <v>169</v>
      </c>
      <c r="O3158" s="10">
        <v>1.31</v>
      </c>
      <c r="P3158" s="10">
        <v>6.1400000000000003E-2</v>
      </c>
      <c r="Q3158" s="10">
        <v>171</v>
      </c>
      <c r="R3158" s="10" t="s">
        <v>77</v>
      </c>
      <c r="S3158" s="34">
        <f t="shared" si="358"/>
        <v>171</v>
      </c>
      <c r="T3158" s="10" t="s">
        <v>915</v>
      </c>
      <c r="U3158" s="34" t="str">
        <f t="shared" si="359"/>
        <v/>
      </c>
      <c r="V3158" s="31" t="str">
        <f>IF(H3158="CHK",VLOOKUP(I3158,QCCHK,3,),IF(H3158="GUP",VLOOKUP(E3158,QCGUP,2,),IF(AND(H3158="ATP",OR(I3158="TN",I3158="TDN",I3158="TNO2-3",I3158="NO2-3")),VLOOKUP(E3158,QCREC_N,2,),IF(AND(H3158="NIC",OR(I3158="TN",I3158="TDN",I3158="TNO2-3",I3158="NO2-3")),VLOOKUP(E3158,QCNIC_N,2,),IF(AND(H3158="UREA",OR(I3158="TN",I3158="TDN",I3158="TNO2-3",I3158="NO2-3")),VLOOKUP(E3158,QCUREA_N,2,),IF(H3158="PER",VLOOKUP(I3158,QCPER,MATCH(E3158,QCACTUAL!$J$25:$AA$25,0),),IF(H3158="SPK",VLOOKUP(I3158,QCSPK,3,),IF(AND(H3158="ATP",OR(I3158="TP",I3158="TDP")),VLOOKUP(E3158,QCATP_P,2,),""))))))))</f>
        <v/>
      </c>
      <c r="W3158" s="31" t="str">
        <f t="shared" si="360"/>
        <v>TRUE</v>
      </c>
      <c r="X3158" s="31" t="str">
        <f t="shared" si="357"/>
        <v/>
      </c>
      <c r="Y3158" s="10" t="s">
        <v>1206</v>
      </c>
      <c r="Z3158" s="10" t="s">
        <v>910</v>
      </c>
      <c r="AL3158" s="10" t="str">
        <f t="shared" si="355"/>
        <v>FALSE</v>
      </c>
      <c r="AM3158" s="10" t="str">
        <f t="shared" si="355"/>
        <v>FALSE</v>
      </c>
      <c r="AN3158" s="10" t="str">
        <f t="shared" si="355"/>
        <v>FALSE</v>
      </c>
      <c r="AO3158" s="10" t="str">
        <f t="shared" si="356"/>
        <v>FALSE</v>
      </c>
      <c r="AP3158" s="10" t="str">
        <f t="shared" si="356"/>
        <v>FALSE</v>
      </c>
      <c r="AQ3158" s="10" t="b">
        <f>IF(AND(I3158="TP",S3158&lt;=150),VLOOKUP(AF3158,TPCalibEq150!$AZ$2:$BB$55,3,),IF(AND(I3158="TDP",S3158&lt;=150),VLOOKUP(AF3158,TPCalibEq150!$AZ$2:$BB$55,3,)))</f>
        <v>0</v>
      </c>
      <c r="AR3158" s="10" t="b">
        <f>IF(AND(I3158="TP",S3158&lt;=300),VLOOKUP(AF3158,TPCalibEq300!$AZ$2:$BB$55,3,),IF(AND(I3158="TDP",S3158&lt;=300),VLOOKUP(AF3158,TPCalibEq300!$AZ$2:$BB$55,3,)))</f>
        <v>0</v>
      </c>
      <c r="AS3158" s="10" t="b">
        <f>IF(AND(I3158="TP",S3158&lt;=500),VLOOKUP(AF3158,TPCalibEq500!$AZ$2:$BB$56,3,),IF(AND(I3158="TDP",S3158&lt;=500),VLOOKUP(AF3158,TPCalibEq500!$AZ$2:$BB$56,3,)))</f>
        <v>0</v>
      </c>
      <c r="AT3158" s="10" t="b">
        <f>IF(AND(I3158="TN",S3158&lt;=2800),VLOOKUP(AF3158,TNCalibEq2500!$AZ$2:$BB$56,3,),IF(AND(I3158="TDN",S3158&lt;=2800),VLOOKUP(AF3158,TNCalibEq2500!$AZ$2:$BB$56,3,)))</f>
        <v>0</v>
      </c>
      <c r="AU3158" s="10" t="b">
        <f>IF(I3158="TP",VLOOKUP(AF3158,TPCalibEqFull!$AZ$2:$BB$56,3),IF(I3158="TDP",VLOOKUP(AF3158,TPCalibEqFull!$AZ$2:$BB$56,3),IF(I3158="TDN",VLOOKUP(AF3158,TNCalibEqFull!$AZ$1:$BB$56,3),IF(I3158="TN",VLOOKUP(AF3158,TNCalibEqFull!$AZ$1:$BB$56,3),FALSE))))</f>
        <v>0</v>
      </c>
      <c r="AV3158" s="10" t="str">
        <f t="shared" si="361"/>
        <v>0213 10:51:00-S51-0-FIL-1-SW-UKN</v>
      </c>
    </row>
    <row r="3159" spans="1:48" s="10" customFormat="1" x14ac:dyDescent="0.55000000000000004">
      <c r="A3159" s="32">
        <v>44970</v>
      </c>
      <c r="B3159" s="33">
        <v>0.45833333333333331</v>
      </c>
      <c r="C3159" s="10">
        <v>890</v>
      </c>
      <c r="D3159" s="10">
        <v>0</v>
      </c>
      <c r="E3159" s="10" t="s">
        <v>911</v>
      </c>
      <c r="F3159" s="10">
        <v>1</v>
      </c>
      <c r="G3159" s="10" t="s">
        <v>231</v>
      </c>
      <c r="H3159" s="10" t="s">
        <v>322</v>
      </c>
      <c r="I3159" s="10" t="s">
        <v>209</v>
      </c>
      <c r="J3159" s="10">
        <v>42</v>
      </c>
      <c r="K3159" s="12">
        <v>44972</v>
      </c>
      <c r="L3159" s="33">
        <v>0.52494212962962961</v>
      </c>
      <c r="M3159" s="10">
        <v>1</v>
      </c>
      <c r="N3159" s="10" t="s">
        <v>169</v>
      </c>
      <c r="O3159" s="10">
        <v>1.53</v>
      </c>
      <c r="P3159" s="10">
        <v>7.0900000000000005E-2</v>
      </c>
      <c r="Q3159" s="10">
        <v>200</v>
      </c>
      <c r="R3159" s="10" t="s">
        <v>77</v>
      </c>
      <c r="S3159" s="34">
        <f t="shared" si="358"/>
        <v>200</v>
      </c>
      <c r="T3159" s="10" t="s">
        <v>915</v>
      </c>
      <c r="U3159" s="34" t="str">
        <f t="shared" si="359"/>
        <v/>
      </c>
      <c r="V3159" s="31" t="str">
        <f>IF(H3159="CHK",VLOOKUP(I3159,QCCHK,3,),IF(H3159="GUP",VLOOKUP(E3159,QCGUP,2,),IF(AND(H3159="ATP",OR(I3159="TN",I3159="TDN",I3159="TNO2-3",I3159="NO2-3")),VLOOKUP(E3159,QCREC_N,2,),IF(AND(H3159="NIC",OR(I3159="TN",I3159="TDN",I3159="TNO2-3",I3159="NO2-3")),VLOOKUP(E3159,QCNIC_N,2,),IF(AND(H3159="UREA",OR(I3159="TN",I3159="TDN",I3159="TNO2-3",I3159="NO2-3")),VLOOKUP(E3159,QCUREA_N,2,),IF(H3159="PER",VLOOKUP(I3159,QCPER,MATCH(E3159,QCACTUAL!$J$25:$AA$25,0),),IF(H3159="SPK",VLOOKUP(I3159,QCSPK,3,),IF(AND(H3159="ATP",OR(I3159="TP",I3159="TDP")),VLOOKUP(E3159,QCATP_P,2,),""))))))))</f>
        <v/>
      </c>
      <c r="W3159" s="31" t="str">
        <f t="shared" si="360"/>
        <v>TRUE</v>
      </c>
      <c r="X3159" s="31" t="str">
        <f t="shared" si="357"/>
        <v/>
      </c>
      <c r="Y3159" s="10" t="s">
        <v>1206</v>
      </c>
      <c r="Z3159" s="10" t="s">
        <v>910</v>
      </c>
      <c r="AL3159" s="10" t="str">
        <f t="shared" si="355"/>
        <v>FALSE</v>
      </c>
      <c r="AM3159" s="10" t="str">
        <f t="shared" si="355"/>
        <v>FALSE</v>
      </c>
      <c r="AN3159" s="10" t="str">
        <f t="shared" si="355"/>
        <v>FALSE</v>
      </c>
      <c r="AO3159" s="10" t="str">
        <f t="shared" si="356"/>
        <v>FALSE</v>
      </c>
      <c r="AP3159" s="10" t="str">
        <f t="shared" si="356"/>
        <v>FALSE</v>
      </c>
      <c r="AQ3159" s="10" t="b">
        <f>IF(AND(I3159="TP",S3159&lt;=150),VLOOKUP(AF3159,TPCalibEq150!$AZ$2:$BB$55,3,),IF(AND(I3159="TDP",S3159&lt;=150),VLOOKUP(AF3159,TPCalibEq150!$AZ$2:$BB$55,3,)))</f>
        <v>0</v>
      </c>
      <c r="AR3159" s="10" t="b">
        <f>IF(AND(I3159="TP",S3159&lt;=300),VLOOKUP(AF3159,TPCalibEq300!$AZ$2:$BB$55,3,),IF(AND(I3159="TDP",S3159&lt;=300),VLOOKUP(AF3159,TPCalibEq300!$AZ$2:$BB$55,3,)))</f>
        <v>0</v>
      </c>
      <c r="AS3159" s="10" t="b">
        <f>IF(AND(I3159="TP",S3159&lt;=500),VLOOKUP(AF3159,TPCalibEq500!$AZ$2:$BB$56,3,),IF(AND(I3159="TDP",S3159&lt;=500),VLOOKUP(AF3159,TPCalibEq500!$AZ$2:$BB$56,3,)))</f>
        <v>0</v>
      </c>
      <c r="AT3159" s="10" t="b">
        <f>IF(AND(I3159="TN",S3159&lt;=2800),VLOOKUP(AF3159,TNCalibEq2500!$AZ$2:$BB$56,3,),IF(AND(I3159="TDN",S3159&lt;=2800),VLOOKUP(AF3159,TNCalibEq2500!$AZ$2:$BB$56,3,)))</f>
        <v>0</v>
      </c>
      <c r="AU3159" s="10" t="b">
        <f>IF(I3159="TP",VLOOKUP(AF3159,TPCalibEqFull!$AZ$2:$BB$56,3),IF(I3159="TDP",VLOOKUP(AF3159,TPCalibEqFull!$AZ$2:$BB$56,3),IF(I3159="TDN",VLOOKUP(AF3159,TNCalibEqFull!$AZ$1:$BB$56,3),IF(I3159="TN",VLOOKUP(AF3159,TNCalibEqFull!$AZ$1:$BB$56,3),FALSE))))</f>
        <v>0</v>
      </c>
      <c r="AV3159" s="10" t="str">
        <f t="shared" si="361"/>
        <v>0213 11:00:00-890-0-FIL-1-SW-UKN</v>
      </c>
    </row>
    <row r="3160" spans="1:48" s="10" customFormat="1" x14ac:dyDescent="0.55000000000000004">
      <c r="A3160" s="32">
        <v>44970</v>
      </c>
      <c r="B3160" s="33">
        <v>0.47083333333333338</v>
      </c>
      <c r="C3160" s="10" t="s">
        <v>437</v>
      </c>
      <c r="D3160" s="10">
        <v>0</v>
      </c>
      <c r="E3160" s="10" t="s">
        <v>911</v>
      </c>
      <c r="F3160" s="10">
        <v>1</v>
      </c>
      <c r="G3160" s="10" t="s">
        <v>231</v>
      </c>
      <c r="H3160" s="10" t="s">
        <v>322</v>
      </c>
      <c r="I3160" s="10" t="s">
        <v>209</v>
      </c>
      <c r="J3160" s="10">
        <v>43</v>
      </c>
      <c r="K3160" s="12">
        <v>44972</v>
      </c>
      <c r="L3160" s="33">
        <v>0.52572916666666669</v>
      </c>
      <c r="M3160" s="10">
        <v>1</v>
      </c>
      <c r="N3160" s="10" t="s">
        <v>169</v>
      </c>
      <c r="O3160" s="10">
        <v>0.86199999999999999</v>
      </c>
      <c r="P3160" s="10">
        <v>3.95E-2</v>
      </c>
      <c r="Q3160" s="10">
        <v>113</v>
      </c>
      <c r="R3160" s="10" t="s">
        <v>77</v>
      </c>
      <c r="S3160" s="34">
        <f t="shared" si="358"/>
        <v>113</v>
      </c>
      <c r="T3160" s="10" t="s">
        <v>915</v>
      </c>
      <c r="U3160" s="34" t="str">
        <f t="shared" si="359"/>
        <v/>
      </c>
      <c r="V3160" s="31" t="str">
        <f>IF(H3160="CHK",VLOOKUP(I3160,QCCHK,3,),IF(H3160="GUP",VLOOKUP(E3160,QCGUP,2,),IF(AND(H3160="ATP",OR(I3160="TN",I3160="TDN",I3160="TNO2-3",I3160="NO2-3")),VLOOKUP(E3160,QCREC_N,2,),IF(AND(H3160="NIC",OR(I3160="TN",I3160="TDN",I3160="TNO2-3",I3160="NO2-3")),VLOOKUP(E3160,QCNIC_N,2,),IF(AND(H3160="UREA",OR(I3160="TN",I3160="TDN",I3160="TNO2-3",I3160="NO2-3")),VLOOKUP(E3160,QCUREA_N,2,),IF(H3160="PER",VLOOKUP(I3160,QCPER,MATCH(E3160,QCACTUAL!$J$25:$AA$25,0),),IF(H3160="SPK",VLOOKUP(I3160,QCSPK,3,),IF(AND(H3160="ATP",OR(I3160="TP",I3160="TDP")),VLOOKUP(E3160,QCATP_P,2,),""))))))))</f>
        <v/>
      </c>
      <c r="W3160" s="31" t="str">
        <f t="shared" si="360"/>
        <v>TRUE</v>
      </c>
      <c r="X3160" s="31" t="str">
        <f t="shared" si="357"/>
        <v/>
      </c>
      <c r="Y3160" s="10" t="s">
        <v>1206</v>
      </c>
      <c r="Z3160" s="10" t="s">
        <v>910</v>
      </c>
      <c r="AL3160" s="10" t="str">
        <f t="shared" si="355"/>
        <v>FALSE</v>
      </c>
      <c r="AM3160" s="10" t="str">
        <f t="shared" si="355"/>
        <v>FALSE</v>
      </c>
      <c r="AN3160" s="10" t="str">
        <f t="shared" si="355"/>
        <v>FALSE</v>
      </c>
      <c r="AO3160" s="10" t="str">
        <f t="shared" si="356"/>
        <v>FALSE</v>
      </c>
      <c r="AP3160" s="10" t="str">
        <f t="shared" si="356"/>
        <v>FALSE</v>
      </c>
      <c r="AQ3160" s="10" t="b">
        <f>IF(AND(I3160="TP",S3160&lt;=150),VLOOKUP(AF3160,TPCalibEq150!$AZ$2:$BB$55,3,),IF(AND(I3160="TDP",S3160&lt;=150),VLOOKUP(AF3160,TPCalibEq150!$AZ$2:$BB$55,3,)))</f>
        <v>0</v>
      </c>
      <c r="AR3160" s="10" t="b">
        <f>IF(AND(I3160="TP",S3160&lt;=300),VLOOKUP(AF3160,TPCalibEq300!$AZ$2:$BB$55,3,),IF(AND(I3160="TDP",S3160&lt;=300),VLOOKUP(AF3160,TPCalibEq300!$AZ$2:$BB$55,3,)))</f>
        <v>0</v>
      </c>
      <c r="AS3160" s="10" t="b">
        <f>IF(AND(I3160="TP",S3160&lt;=500),VLOOKUP(AF3160,TPCalibEq500!$AZ$2:$BB$56,3,),IF(AND(I3160="TDP",S3160&lt;=500),VLOOKUP(AF3160,TPCalibEq500!$AZ$2:$BB$56,3,)))</f>
        <v>0</v>
      </c>
      <c r="AT3160" s="10" t="b">
        <f>IF(AND(I3160="TN",S3160&lt;=2800),VLOOKUP(AF3160,TNCalibEq2500!$AZ$2:$BB$56,3,),IF(AND(I3160="TDN",S3160&lt;=2800),VLOOKUP(AF3160,TNCalibEq2500!$AZ$2:$BB$56,3,)))</f>
        <v>0</v>
      </c>
      <c r="AU3160" s="10" t="b">
        <f>IF(I3160="TP",VLOOKUP(AF3160,TPCalibEqFull!$AZ$2:$BB$56,3),IF(I3160="TDP",VLOOKUP(AF3160,TPCalibEqFull!$AZ$2:$BB$56,3),IF(I3160="TDN",VLOOKUP(AF3160,TNCalibEqFull!$AZ$1:$BB$56,3),IF(I3160="TN",VLOOKUP(AF3160,TNCalibEqFull!$AZ$1:$BB$56,3),FALSE))))</f>
        <v>0</v>
      </c>
      <c r="AV3160" s="10" t="str">
        <f t="shared" si="361"/>
        <v>0213 11:18:00-FVM-0-FIL-1-SW-UKN</v>
      </c>
    </row>
    <row r="3161" spans="1:48" s="10" customFormat="1" x14ac:dyDescent="0.55000000000000004">
      <c r="A3161" s="32">
        <v>44970</v>
      </c>
      <c r="B3161" s="33">
        <v>0.47083333333333338</v>
      </c>
      <c r="C3161" s="10" t="s">
        <v>437</v>
      </c>
      <c r="D3161" s="10">
        <v>0</v>
      </c>
      <c r="E3161" s="10" t="s">
        <v>911</v>
      </c>
      <c r="F3161" s="10">
        <v>2</v>
      </c>
      <c r="G3161" s="10" t="s">
        <v>231</v>
      </c>
      <c r="H3161" s="10" t="s">
        <v>322</v>
      </c>
      <c r="I3161" s="10" t="s">
        <v>209</v>
      </c>
      <c r="J3161" s="10">
        <v>44</v>
      </c>
      <c r="K3161" s="12">
        <v>44972</v>
      </c>
      <c r="L3161" s="33">
        <v>0.52652777777777782</v>
      </c>
      <c r="M3161" s="10">
        <v>1</v>
      </c>
      <c r="N3161" s="10" t="s">
        <v>169</v>
      </c>
      <c r="O3161" s="10">
        <v>0.83199999999999996</v>
      </c>
      <c r="P3161" s="10">
        <v>3.8199999999999998E-2</v>
      </c>
      <c r="Q3161" s="10">
        <v>109</v>
      </c>
      <c r="R3161" s="10" t="s">
        <v>77</v>
      </c>
      <c r="S3161" s="34">
        <f t="shared" si="358"/>
        <v>109</v>
      </c>
      <c r="T3161" s="10" t="s">
        <v>915</v>
      </c>
      <c r="U3161" s="34" t="str">
        <f t="shared" si="359"/>
        <v/>
      </c>
      <c r="V3161" s="31" t="str">
        <f>IF(H3161="CHK",VLOOKUP(I3161,QCCHK,3,),IF(H3161="GUP",VLOOKUP(E3161,QCGUP,2,),IF(AND(H3161="ATP",OR(I3161="TN",I3161="TDN",I3161="TNO2-3",I3161="NO2-3")),VLOOKUP(E3161,QCREC_N,2,),IF(AND(H3161="NIC",OR(I3161="TN",I3161="TDN",I3161="TNO2-3",I3161="NO2-3")),VLOOKUP(E3161,QCNIC_N,2,),IF(AND(H3161="UREA",OR(I3161="TN",I3161="TDN",I3161="TNO2-3",I3161="NO2-3")),VLOOKUP(E3161,QCUREA_N,2,),IF(H3161="PER",VLOOKUP(I3161,QCPER,MATCH(E3161,QCACTUAL!$J$25:$AA$25,0),),IF(H3161="SPK",VLOOKUP(I3161,QCSPK,3,),IF(AND(H3161="ATP",OR(I3161="TP",I3161="TDP")),VLOOKUP(E3161,QCATP_P,2,),""))))))))</f>
        <v/>
      </c>
      <c r="W3161" s="31" t="str">
        <f t="shared" si="360"/>
        <v>TRUE</v>
      </c>
      <c r="X3161" s="31" t="str">
        <f t="shared" si="357"/>
        <v/>
      </c>
      <c r="Y3161" s="10" t="s">
        <v>1206</v>
      </c>
      <c r="Z3161" s="10" t="s">
        <v>910</v>
      </c>
      <c r="AL3161" s="10" t="str">
        <f t="shared" si="355"/>
        <v>FALSE</v>
      </c>
      <c r="AM3161" s="10" t="str">
        <f t="shared" si="355"/>
        <v>FALSE</v>
      </c>
      <c r="AN3161" s="10" t="str">
        <f t="shared" si="355"/>
        <v>FALSE</v>
      </c>
      <c r="AO3161" s="10" t="str">
        <f t="shared" si="356"/>
        <v>FALSE</v>
      </c>
      <c r="AP3161" s="10" t="str">
        <f t="shared" si="356"/>
        <v>FALSE</v>
      </c>
      <c r="AQ3161" s="10" t="b">
        <f>IF(AND(I3161="TP",S3161&lt;=150),VLOOKUP(AF3161,TPCalibEq150!$AZ$2:$BB$55,3,),IF(AND(I3161="TDP",S3161&lt;=150),VLOOKUP(AF3161,TPCalibEq150!$AZ$2:$BB$55,3,)))</f>
        <v>0</v>
      </c>
      <c r="AR3161" s="10" t="b">
        <f>IF(AND(I3161="TP",S3161&lt;=300),VLOOKUP(AF3161,TPCalibEq300!$AZ$2:$BB$55,3,),IF(AND(I3161="TDP",S3161&lt;=300),VLOOKUP(AF3161,TPCalibEq300!$AZ$2:$BB$55,3,)))</f>
        <v>0</v>
      </c>
      <c r="AS3161" s="10" t="b">
        <f>IF(AND(I3161="TP",S3161&lt;=500),VLOOKUP(AF3161,TPCalibEq500!$AZ$2:$BB$56,3,),IF(AND(I3161="TDP",S3161&lt;=500),VLOOKUP(AF3161,TPCalibEq500!$AZ$2:$BB$56,3,)))</f>
        <v>0</v>
      </c>
      <c r="AT3161" s="10" t="b">
        <f>IF(AND(I3161="TN",S3161&lt;=2800),VLOOKUP(AF3161,TNCalibEq2500!$AZ$2:$BB$56,3,),IF(AND(I3161="TDN",S3161&lt;=2800),VLOOKUP(AF3161,TNCalibEq2500!$AZ$2:$BB$56,3,)))</f>
        <v>0</v>
      </c>
      <c r="AU3161" s="10" t="b">
        <f>IF(I3161="TP",VLOOKUP(AF3161,TPCalibEqFull!$AZ$2:$BB$56,3),IF(I3161="TDP",VLOOKUP(AF3161,TPCalibEqFull!$AZ$2:$BB$56,3),IF(I3161="TDN",VLOOKUP(AF3161,TNCalibEqFull!$AZ$1:$BB$56,3),IF(I3161="TN",VLOOKUP(AF3161,TNCalibEqFull!$AZ$1:$BB$56,3),FALSE))))</f>
        <v>0</v>
      </c>
      <c r="AV3161" s="10" t="str">
        <f t="shared" si="361"/>
        <v>0213 11:18:00-FVM-0-FIL-2-SW-UKN</v>
      </c>
    </row>
    <row r="3162" spans="1:48" s="10" customFormat="1" x14ac:dyDescent="0.55000000000000004">
      <c r="A3162" s="32">
        <v>44970</v>
      </c>
      <c r="B3162" s="33">
        <v>0.47083333333333338</v>
      </c>
      <c r="C3162" s="10" t="s">
        <v>437</v>
      </c>
      <c r="D3162" s="10">
        <v>0</v>
      </c>
      <c r="E3162" s="10" t="s">
        <v>911</v>
      </c>
      <c r="F3162" s="10">
        <v>2</v>
      </c>
      <c r="G3162" s="10" t="s">
        <v>231</v>
      </c>
      <c r="H3162" s="10" t="s">
        <v>233</v>
      </c>
      <c r="I3162" s="10" t="s">
        <v>209</v>
      </c>
      <c r="J3162" s="10">
        <v>44</v>
      </c>
      <c r="K3162" s="12">
        <v>44972</v>
      </c>
      <c r="L3162" s="33">
        <v>0.52733796296296298</v>
      </c>
      <c r="M3162" s="10">
        <v>1</v>
      </c>
      <c r="N3162" s="10" t="s">
        <v>169</v>
      </c>
      <c r="O3162" s="10">
        <v>0.218</v>
      </c>
      <c r="P3162" s="10">
        <v>1.01E-2</v>
      </c>
      <c r="Q3162" s="10">
        <v>28.5</v>
      </c>
      <c r="R3162" s="10" t="s">
        <v>77</v>
      </c>
      <c r="S3162" s="34">
        <f t="shared" si="358"/>
        <v>28.5</v>
      </c>
      <c r="T3162" s="10" t="s">
        <v>915</v>
      </c>
      <c r="U3162" s="34">
        <f t="shared" si="359"/>
        <v>117.09090909090909</v>
      </c>
      <c r="V3162" s="31" t="str">
        <f>IF(H3162="CHK",VLOOKUP(I3162,QCCHK,3,),IF(H3162="GUP",VLOOKUP(E3162,QCGUP,2,),IF(AND(H3162="ATP",OR(I3162="TN",I3162="TDN",I3162="TNO2-3",I3162="NO2-3")),VLOOKUP(E3162,QCREC_N,2,),IF(AND(H3162="NIC",OR(I3162="TN",I3162="TDN",I3162="TNO2-3",I3162="NO2-3")),VLOOKUP(E3162,QCNIC_N,2,),IF(AND(H3162="UREA",OR(I3162="TN",I3162="TDN",I3162="TNO2-3",I3162="NO2-3")),VLOOKUP(E3162,QCUREA_N,2,),IF(H3162="PER",VLOOKUP(I3162,QCPER,MATCH(E3162,QCACTUAL!$J$25:$AA$25,0),),IF(H3162="SPK",VLOOKUP(I3162,QCSPK,3,),IF(AND(H3162="ATP",OR(I3162="TP",I3162="TDP")),VLOOKUP(E3162,QCATP_P,2,),""))))))))</f>
        <v/>
      </c>
      <c r="W3162" s="31" t="str">
        <f t="shared" si="360"/>
        <v>FALSE</v>
      </c>
      <c r="X3162" s="31" t="str">
        <f t="shared" si="357"/>
        <v>((ABS(rep1-rep2))/((rep1+rep2)/2)*100</v>
      </c>
      <c r="Y3162" s="10" t="s">
        <v>1206</v>
      </c>
      <c r="Z3162" s="10" t="s">
        <v>910</v>
      </c>
      <c r="AL3162" s="10" t="str">
        <f t="shared" si="355"/>
        <v>FALSE</v>
      </c>
      <c r="AM3162" s="10" t="str">
        <f t="shared" si="355"/>
        <v>FALSE</v>
      </c>
      <c r="AN3162" s="10" t="str">
        <f t="shared" si="355"/>
        <v>FALSE</v>
      </c>
      <c r="AO3162" s="10" t="str">
        <f t="shared" si="356"/>
        <v>FALSE</v>
      </c>
      <c r="AP3162" s="10" t="str">
        <f t="shared" si="356"/>
        <v>FALSE</v>
      </c>
      <c r="AQ3162" s="10" t="b">
        <f>IF(AND(I3162="TP",S3162&lt;=150),VLOOKUP(AF3162,TPCalibEq150!$AZ$2:$BB$55,3,),IF(AND(I3162="TDP",S3162&lt;=150),VLOOKUP(AF3162,TPCalibEq150!$AZ$2:$BB$55,3,)))</f>
        <v>0</v>
      </c>
      <c r="AR3162" s="10" t="b">
        <f>IF(AND(I3162="TP",S3162&lt;=300),VLOOKUP(AF3162,TPCalibEq300!$AZ$2:$BB$55,3,),IF(AND(I3162="TDP",S3162&lt;=300),VLOOKUP(AF3162,TPCalibEq300!$AZ$2:$BB$55,3,)))</f>
        <v>0</v>
      </c>
      <c r="AS3162" s="10" t="b">
        <f>IF(AND(I3162="TP",S3162&lt;=500),VLOOKUP(AF3162,TPCalibEq500!$AZ$2:$BB$56,3,),IF(AND(I3162="TDP",S3162&lt;=500),VLOOKUP(AF3162,TPCalibEq500!$AZ$2:$BB$56,3,)))</f>
        <v>0</v>
      </c>
      <c r="AT3162" s="10" t="b">
        <f>IF(AND(I3162="TN",S3162&lt;=2800),VLOOKUP(AF3162,TNCalibEq2500!$AZ$2:$BB$56,3,),IF(AND(I3162="TDN",S3162&lt;=2800),VLOOKUP(AF3162,TNCalibEq2500!$AZ$2:$BB$56,3,)))</f>
        <v>0</v>
      </c>
      <c r="AU3162" s="10" t="b">
        <f>IF(I3162="TP",VLOOKUP(AF3162,TPCalibEqFull!$AZ$2:$BB$56,3),IF(I3162="TDP",VLOOKUP(AF3162,TPCalibEqFull!$AZ$2:$BB$56,3),IF(I3162="TDN",VLOOKUP(AF3162,TNCalibEqFull!$AZ$1:$BB$56,3),IF(I3162="TN",VLOOKUP(AF3162,TNCalibEqFull!$AZ$1:$BB$56,3),FALSE))))</f>
        <v>0</v>
      </c>
      <c r="AV3162" s="10" t="str">
        <f t="shared" si="361"/>
        <v>0213 11:18:00-FVM-0-FIL-2-SW-DUP</v>
      </c>
    </row>
    <row r="3163" spans="1:48" s="10" customFormat="1" x14ac:dyDescent="0.55000000000000004">
      <c r="A3163" s="32">
        <v>44970</v>
      </c>
      <c r="B3163" s="33">
        <v>0.47083333333333338</v>
      </c>
      <c r="C3163" s="10" t="s">
        <v>437</v>
      </c>
      <c r="D3163" s="10">
        <v>0</v>
      </c>
      <c r="E3163" s="10" t="s">
        <v>911</v>
      </c>
      <c r="F3163" s="10">
        <v>2</v>
      </c>
      <c r="G3163" s="10" t="s">
        <v>231</v>
      </c>
      <c r="H3163" s="10" t="s">
        <v>314</v>
      </c>
      <c r="I3163" s="10" t="s">
        <v>209</v>
      </c>
      <c r="J3163" s="10">
        <v>53</v>
      </c>
      <c r="K3163" s="12">
        <v>44972</v>
      </c>
      <c r="L3163" s="33">
        <v>0.52815972222222218</v>
      </c>
      <c r="M3163" s="10">
        <v>1</v>
      </c>
      <c r="N3163" s="10" t="s">
        <v>169</v>
      </c>
      <c r="O3163" s="10">
        <v>5</v>
      </c>
      <c r="P3163" s="10">
        <v>0.23300000000000001</v>
      </c>
      <c r="Q3163" s="10">
        <v>653</v>
      </c>
      <c r="R3163" s="10" t="s">
        <v>77</v>
      </c>
      <c r="S3163" s="34">
        <f t="shared" si="358"/>
        <v>653</v>
      </c>
      <c r="T3163" s="10" t="s">
        <v>915</v>
      </c>
      <c r="U3163" s="34">
        <f t="shared" si="359"/>
        <v>99.92</v>
      </c>
      <c r="V3163" s="31">
        <f>IF(H3163="CHK",VLOOKUP(I3163,QCCHK,3,),IF(H3163="GUP",VLOOKUP(E3163,QCGUP,2,),IF(AND(H3163="ATP",OR(I3163="TN",I3163="TDN",I3163="TNO2-3",I3163="NO2-3")),VLOOKUP(E3163,QCREC_N,2,),IF(AND(H3163="NIC",OR(I3163="TN",I3163="TDN",I3163="TNO2-3",I3163="NO2-3")),VLOOKUP(E3163,QCNIC_N,2,),IF(AND(H3163="UREA",OR(I3163="TN",I3163="TDN",I3163="TNO2-3",I3163="NO2-3")),VLOOKUP(E3163,QCUREA_N,2,),IF(H3163="PER",VLOOKUP(I3163,QCPER,MATCH(E3163,QCACTUAL!$J$25:$AA$25,0),),IF(H3163="SPK",VLOOKUP(I3163,QCSPK,3,),IF(AND(H3163="ATP",OR(I3163="TP",I3163="TDP")),VLOOKUP(E3163,QCATP_P,2,),""))))))))</f>
        <v>625</v>
      </c>
      <c r="W3163" s="31" t="str">
        <f t="shared" si="360"/>
        <v>TRUE</v>
      </c>
      <c r="X3163" s="31" t="str">
        <f t="shared" si="357"/>
        <v>([spikedunkn]-[unkn])/[spike]*100</v>
      </c>
      <c r="Y3163" s="10" t="s">
        <v>1206</v>
      </c>
      <c r="Z3163" s="10" t="s">
        <v>910</v>
      </c>
      <c r="AL3163" s="10" t="str">
        <f t="shared" si="355"/>
        <v>FALSE</v>
      </c>
      <c r="AM3163" s="10" t="str">
        <f t="shared" si="355"/>
        <v>FALSE</v>
      </c>
      <c r="AN3163" s="10" t="str">
        <f t="shared" si="355"/>
        <v>FALSE</v>
      </c>
      <c r="AO3163" s="10" t="str">
        <f t="shared" si="356"/>
        <v>FALSE</v>
      </c>
      <c r="AP3163" s="10" t="str">
        <f t="shared" si="356"/>
        <v>FALSE</v>
      </c>
      <c r="AQ3163" s="10" t="b">
        <f>IF(AND(I3163="TP",S3163&lt;=150),VLOOKUP(AF3163,TPCalibEq150!$AZ$2:$BB$55,3,),IF(AND(I3163="TDP",S3163&lt;=150),VLOOKUP(AF3163,TPCalibEq150!$AZ$2:$BB$55,3,)))</f>
        <v>0</v>
      </c>
      <c r="AR3163" s="10" t="b">
        <f>IF(AND(I3163="TP",S3163&lt;=300),VLOOKUP(AF3163,TPCalibEq300!$AZ$2:$BB$55,3,),IF(AND(I3163="TDP",S3163&lt;=300),VLOOKUP(AF3163,TPCalibEq300!$AZ$2:$BB$55,3,)))</f>
        <v>0</v>
      </c>
      <c r="AS3163" s="10" t="b">
        <f>IF(AND(I3163="TP",S3163&lt;=500),VLOOKUP(AF3163,TPCalibEq500!$AZ$2:$BB$56,3,),IF(AND(I3163="TDP",S3163&lt;=500),VLOOKUP(AF3163,TPCalibEq500!$AZ$2:$BB$56,3,)))</f>
        <v>0</v>
      </c>
      <c r="AT3163" s="10" t="b">
        <f>IF(AND(I3163="TN",S3163&lt;=2800),VLOOKUP(AF3163,TNCalibEq2500!$AZ$2:$BB$56,3,),IF(AND(I3163="TDN",S3163&lt;=2800),VLOOKUP(AF3163,TNCalibEq2500!$AZ$2:$BB$56,3,)))</f>
        <v>0</v>
      </c>
      <c r="AU3163" s="10" t="b">
        <f>IF(I3163="TP",VLOOKUP(AF3163,TPCalibEqFull!$AZ$2:$BB$56,3),IF(I3163="TDP",VLOOKUP(AF3163,TPCalibEqFull!$AZ$2:$BB$56,3),IF(I3163="TDN",VLOOKUP(AF3163,TNCalibEqFull!$AZ$1:$BB$56,3),IF(I3163="TN",VLOOKUP(AF3163,TNCalibEqFull!$AZ$1:$BB$56,3),FALSE))))</f>
        <v>0</v>
      </c>
      <c r="AV3163" s="10" t="str">
        <f t="shared" si="361"/>
        <v>0213 11:18:00-FVM-0-FIL-2-SW-SPK</v>
      </c>
    </row>
    <row r="3164" spans="1:48" s="10" customFormat="1" x14ac:dyDescent="0.55000000000000004">
      <c r="A3164" s="32">
        <v>44972</v>
      </c>
      <c r="B3164" s="33">
        <v>0.375</v>
      </c>
      <c r="C3164" s="10" t="s">
        <v>70</v>
      </c>
      <c r="D3164" s="10" t="s">
        <v>71</v>
      </c>
      <c r="E3164" s="10" t="s">
        <v>901</v>
      </c>
      <c r="F3164" s="10">
        <v>1</v>
      </c>
      <c r="G3164" s="10" t="s">
        <v>73</v>
      </c>
      <c r="H3164" s="10" t="s">
        <v>207</v>
      </c>
      <c r="I3164" s="10" t="s">
        <v>256</v>
      </c>
      <c r="J3164" s="10">
        <v>200</v>
      </c>
      <c r="K3164" s="12">
        <v>44972</v>
      </c>
      <c r="L3164" s="33">
        <v>0.5289814814814815</v>
      </c>
      <c r="M3164" s="10">
        <v>1</v>
      </c>
      <c r="N3164" s="10" t="s">
        <v>169</v>
      </c>
      <c r="O3164" s="10">
        <v>2.17</v>
      </c>
      <c r="P3164" s="10">
        <v>0.10299999999999999</v>
      </c>
      <c r="Q3164" s="10">
        <v>284</v>
      </c>
      <c r="R3164" s="10" t="s">
        <v>77</v>
      </c>
      <c r="S3164" s="34">
        <f t="shared" si="358"/>
        <v>284</v>
      </c>
      <c r="T3164" s="10" t="s">
        <v>915</v>
      </c>
      <c r="U3164" s="34">
        <f t="shared" si="359"/>
        <v>94.666666666666671</v>
      </c>
      <c r="V3164" s="31">
        <f>IF(H3164="CHK",VLOOKUP(I3164,QCCHK,3,),IF(H3164="GUP",VLOOKUP(E3164,QCGUP,2,),IF(AND(H3164="ATP",OR(I3164="TN",I3164="TDN",I3164="TNO2-3",I3164="NO2-3")),VLOOKUP(E3164,QCREC_N,2,),IF(AND(H3164="NIC",OR(I3164="TN",I3164="TDN",I3164="TNO2-3",I3164="NO2-3")),VLOOKUP(E3164,QCNIC_N,2,),IF(AND(H3164="UREA",OR(I3164="TN",I3164="TDN",I3164="TNO2-3",I3164="NO2-3")),VLOOKUP(E3164,QCUREA_N,2,),IF(H3164="PER",VLOOKUP(I3164,QCPER,MATCH(E3164,QCACTUAL!$J$25:$AA$25,0),),IF(H3164="SPK",VLOOKUP(I3164,QCSPK,3,),IF(AND(H3164="ATP",OR(I3164="TP",I3164="TDP")),VLOOKUP(E3164,QCATP_P,2,),""))))))))</f>
        <v>300</v>
      </c>
      <c r="W3164" s="31" t="str">
        <f t="shared" si="360"/>
        <v>TRUE</v>
      </c>
      <c r="X3164" s="31" t="str">
        <f t="shared" si="357"/>
        <v>[chk]/[actual]*100</v>
      </c>
      <c r="Y3164" s="10" t="s">
        <v>1206</v>
      </c>
      <c r="AL3164" s="10" t="str">
        <f t="shared" si="355"/>
        <v>FALSE</v>
      </c>
      <c r="AM3164" s="10" t="str">
        <f t="shared" si="355"/>
        <v>FALSE</v>
      </c>
      <c r="AN3164" s="10" t="str">
        <f t="shared" si="355"/>
        <v>FALSE</v>
      </c>
      <c r="AO3164" s="10" t="str">
        <f t="shared" si="356"/>
        <v>FALSE</v>
      </c>
      <c r="AP3164" s="10" t="str">
        <f t="shared" si="356"/>
        <v>FALSE</v>
      </c>
      <c r="AQ3164" s="10" t="b">
        <f>IF(AND(I3164="TP",S3164&lt;=150),VLOOKUP(AF3164,TPCalibEq150!$AZ$2:$BB$55,3,),IF(AND(I3164="TDP",S3164&lt;=150),VLOOKUP(AF3164,TPCalibEq150!$AZ$2:$BB$55,3,)))</f>
        <v>0</v>
      </c>
      <c r="AR3164" s="10" t="b">
        <f>IF(AND(I3164="TP",S3164&lt;=300),VLOOKUP(AF3164,TPCalibEq300!$AZ$2:$BB$55,3,),IF(AND(I3164="TDP",S3164&lt;=300),VLOOKUP(AF3164,TPCalibEq300!$AZ$2:$BB$55,3,)))</f>
        <v>0</v>
      </c>
      <c r="AS3164" s="10" t="b">
        <f>IF(AND(I3164="TP",S3164&lt;=500),VLOOKUP(AF3164,TPCalibEq500!$AZ$2:$BB$56,3,),IF(AND(I3164="TDP",S3164&lt;=500),VLOOKUP(AF3164,TPCalibEq500!$AZ$2:$BB$56,3,)))</f>
        <v>0</v>
      </c>
      <c r="AT3164" s="10" t="b">
        <f>IF(AND(I3164="TN",S3164&lt;=2800),VLOOKUP(AF3164,TNCalibEq2500!$AZ$2:$BB$56,3,),IF(AND(I3164="TDN",S3164&lt;=2800),VLOOKUP(AF3164,TNCalibEq2500!$AZ$2:$BB$56,3,)))</f>
        <v>0</v>
      </c>
      <c r="AU3164" s="10" t="b">
        <f>IF(I3164="TP",VLOOKUP(AF3164,TPCalibEqFull!$AZ$2:$BB$56,3),IF(I3164="TDP",VLOOKUP(AF3164,TPCalibEqFull!$AZ$2:$BB$56,3),IF(I3164="TDN",VLOOKUP(AF3164,TNCalibEqFull!$AZ$1:$BB$56,3),IF(I3164="TN",VLOOKUP(AF3164,TNCalibEqFull!$AZ$1:$BB$56,3),FALSE))))</f>
        <v>0</v>
      </c>
      <c r="AV3164" s="10" t="str">
        <f t="shared" si="361"/>
        <v>0215 09:00:00-QAC-STD-D-1-DI-CHK</v>
      </c>
    </row>
    <row r="3165" spans="1:48" s="10" customFormat="1" x14ac:dyDescent="0.55000000000000004">
      <c r="A3165" s="32">
        <v>44970</v>
      </c>
      <c r="B3165" s="33">
        <v>0.49583333333333335</v>
      </c>
      <c r="C3165" s="10" t="s">
        <v>336</v>
      </c>
      <c r="D3165" s="10">
        <v>0</v>
      </c>
      <c r="E3165" s="10" t="s">
        <v>911</v>
      </c>
      <c r="F3165" s="10">
        <v>1</v>
      </c>
      <c r="G3165" s="10" t="s">
        <v>231</v>
      </c>
      <c r="H3165" s="10" t="s">
        <v>322</v>
      </c>
      <c r="I3165" s="10" t="s">
        <v>209</v>
      </c>
      <c r="J3165" s="10">
        <v>45</v>
      </c>
      <c r="K3165" s="12">
        <v>44972</v>
      </c>
      <c r="L3165" s="33">
        <v>0.52978009259259262</v>
      </c>
      <c r="M3165" s="10">
        <v>1</v>
      </c>
      <c r="N3165" s="10" t="s">
        <v>169</v>
      </c>
      <c r="O3165" s="10">
        <v>0.22700000000000001</v>
      </c>
      <c r="P3165" s="10">
        <v>1.0699999999999999E-2</v>
      </c>
      <c r="Q3165" s="10">
        <v>29.6</v>
      </c>
      <c r="R3165" s="10" t="s">
        <v>77</v>
      </c>
      <c r="S3165" s="34">
        <f t="shared" si="358"/>
        <v>29.6</v>
      </c>
      <c r="T3165" s="10" t="s">
        <v>915</v>
      </c>
      <c r="U3165" s="34" t="str">
        <f t="shared" si="359"/>
        <v/>
      </c>
      <c r="V3165" s="31" t="str">
        <f>IF(H3165="CHK",VLOOKUP(I3165,QCCHK,3,),IF(H3165="GUP",VLOOKUP(E3165,QCGUP,2,),IF(AND(H3165="ATP",OR(I3165="TN",I3165="TDN",I3165="TNO2-3",I3165="NO2-3")),VLOOKUP(E3165,QCREC_N,2,),IF(AND(H3165="NIC",OR(I3165="TN",I3165="TDN",I3165="TNO2-3",I3165="NO2-3")),VLOOKUP(E3165,QCNIC_N,2,),IF(AND(H3165="UREA",OR(I3165="TN",I3165="TDN",I3165="TNO2-3",I3165="NO2-3")),VLOOKUP(E3165,QCUREA_N,2,),IF(H3165="PER",VLOOKUP(I3165,QCPER,MATCH(E3165,QCACTUAL!$J$25:$AA$25,0),),IF(H3165="SPK",VLOOKUP(I3165,QCSPK,3,),IF(AND(H3165="ATP",OR(I3165="TP",I3165="TDP")),VLOOKUP(E3165,QCATP_P,2,),""))))))))</f>
        <v/>
      </c>
      <c r="W3165" s="31" t="str">
        <f t="shared" si="360"/>
        <v>TRUE</v>
      </c>
      <c r="X3165" s="31" t="str">
        <f t="shared" si="357"/>
        <v/>
      </c>
      <c r="Y3165" s="10" t="s">
        <v>1206</v>
      </c>
      <c r="Z3165" s="10" t="s">
        <v>910</v>
      </c>
      <c r="AL3165" s="10" t="str">
        <f t="shared" si="355"/>
        <v>FALSE</v>
      </c>
      <c r="AM3165" s="10" t="str">
        <f t="shared" si="355"/>
        <v>FALSE</v>
      </c>
      <c r="AN3165" s="10" t="str">
        <f t="shared" si="355"/>
        <v>FALSE</v>
      </c>
      <c r="AO3165" s="10" t="str">
        <f t="shared" si="356"/>
        <v>FALSE</v>
      </c>
      <c r="AP3165" s="10" t="str">
        <f t="shared" si="356"/>
        <v>FALSE</v>
      </c>
      <c r="AQ3165" s="10" t="b">
        <f>IF(AND(I3165="TP",S3165&lt;=150),VLOOKUP(AF3165,TPCalibEq150!$AZ$2:$BB$55,3,),IF(AND(I3165="TDP",S3165&lt;=150),VLOOKUP(AF3165,TPCalibEq150!$AZ$2:$BB$55,3,)))</f>
        <v>0</v>
      </c>
      <c r="AR3165" s="10" t="b">
        <f>IF(AND(I3165="TP",S3165&lt;=300),VLOOKUP(AF3165,TPCalibEq300!$AZ$2:$BB$55,3,),IF(AND(I3165="TDP",S3165&lt;=300),VLOOKUP(AF3165,TPCalibEq300!$AZ$2:$BB$55,3,)))</f>
        <v>0</v>
      </c>
      <c r="AS3165" s="10" t="b">
        <f>IF(AND(I3165="TP",S3165&lt;=500),VLOOKUP(AF3165,TPCalibEq500!$AZ$2:$BB$56,3,),IF(AND(I3165="TDP",S3165&lt;=500),VLOOKUP(AF3165,TPCalibEq500!$AZ$2:$BB$56,3,)))</f>
        <v>0</v>
      </c>
      <c r="AT3165" s="10" t="b">
        <f>IF(AND(I3165="TN",S3165&lt;=2800),VLOOKUP(AF3165,TNCalibEq2500!$AZ$2:$BB$56,3,),IF(AND(I3165="TDN",S3165&lt;=2800),VLOOKUP(AF3165,TNCalibEq2500!$AZ$2:$BB$56,3,)))</f>
        <v>0</v>
      </c>
      <c r="AU3165" s="10" t="b">
        <f>IF(I3165="TP",VLOOKUP(AF3165,TPCalibEqFull!$AZ$2:$BB$56,3),IF(I3165="TDP",VLOOKUP(AF3165,TPCalibEqFull!$AZ$2:$BB$56,3),IF(I3165="TDN",VLOOKUP(AF3165,TNCalibEqFull!$AZ$1:$BB$56,3),IF(I3165="TN",VLOOKUP(AF3165,TNCalibEqFull!$AZ$1:$BB$56,3),FALSE))))</f>
        <v>0</v>
      </c>
      <c r="AV3165" s="10" t="str">
        <f t="shared" si="361"/>
        <v>0213 11:54:00-HWR-0-FIL-1-SW-UKN</v>
      </c>
    </row>
    <row r="3166" spans="1:48" s="10" customFormat="1" x14ac:dyDescent="0.55000000000000004">
      <c r="A3166" s="32">
        <v>44970</v>
      </c>
      <c r="B3166" s="33">
        <v>0.48819444444444443</v>
      </c>
      <c r="C3166" s="10" t="s">
        <v>295</v>
      </c>
      <c r="D3166" s="10">
        <v>0</v>
      </c>
      <c r="E3166" s="10" t="s">
        <v>911</v>
      </c>
      <c r="F3166" s="10">
        <v>1</v>
      </c>
      <c r="G3166" s="10" t="s">
        <v>231</v>
      </c>
      <c r="H3166" s="10" t="s">
        <v>322</v>
      </c>
      <c r="I3166" s="10" t="s">
        <v>209</v>
      </c>
      <c r="J3166" s="10">
        <v>46</v>
      </c>
      <c r="K3166" s="12">
        <v>44972</v>
      </c>
      <c r="L3166" s="33">
        <v>0.53061342592592597</v>
      </c>
      <c r="M3166" s="10">
        <v>1</v>
      </c>
      <c r="N3166" s="10" t="s">
        <v>169</v>
      </c>
      <c r="O3166" s="10">
        <v>4.8499999999999996</v>
      </c>
      <c r="P3166" s="10">
        <v>0.22500000000000001</v>
      </c>
      <c r="Q3166" s="10">
        <v>633</v>
      </c>
      <c r="R3166" s="10" t="s">
        <v>77</v>
      </c>
      <c r="S3166" s="34">
        <f t="shared" si="358"/>
        <v>633</v>
      </c>
      <c r="T3166" s="10" t="s">
        <v>915</v>
      </c>
      <c r="U3166" s="34" t="str">
        <f t="shared" si="359"/>
        <v/>
      </c>
      <c r="V3166" s="31" t="str">
        <f>IF(H3166="CHK",VLOOKUP(I3166,QCCHK,3,),IF(H3166="GUP",VLOOKUP(E3166,QCGUP,2,),IF(AND(H3166="ATP",OR(I3166="TN",I3166="TDN",I3166="TNO2-3",I3166="NO2-3")),VLOOKUP(E3166,QCREC_N,2,),IF(AND(H3166="NIC",OR(I3166="TN",I3166="TDN",I3166="TNO2-3",I3166="NO2-3")),VLOOKUP(E3166,QCNIC_N,2,),IF(AND(H3166="UREA",OR(I3166="TN",I3166="TDN",I3166="TNO2-3",I3166="NO2-3")),VLOOKUP(E3166,QCUREA_N,2,),IF(H3166="PER",VLOOKUP(I3166,QCPER,MATCH(E3166,QCACTUAL!$J$25:$AA$25,0),),IF(H3166="SPK",VLOOKUP(I3166,QCSPK,3,),IF(AND(H3166="ATP",OR(I3166="TP",I3166="TDP")),VLOOKUP(E3166,QCATP_P,2,),""))))))))</f>
        <v/>
      </c>
      <c r="W3166" s="31" t="str">
        <f t="shared" si="360"/>
        <v>TRUE</v>
      </c>
      <c r="X3166" s="31" t="str">
        <f t="shared" si="357"/>
        <v/>
      </c>
      <c r="Y3166" s="10" t="s">
        <v>1206</v>
      </c>
      <c r="Z3166" s="10" t="s">
        <v>910</v>
      </c>
      <c r="AL3166" s="10" t="str">
        <f t="shared" si="355"/>
        <v>FALSE</v>
      </c>
      <c r="AM3166" s="10" t="str">
        <f t="shared" si="355"/>
        <v>FALSE</v>
      </c>
      <c r="AN3166" s="10" t="str">
        <f t="shared" si="355"/>
        <v>FALSE</v>
      </c>
      <c r="AO3166" s="10" t="str">
        <f t="shared" si="356"/>
        <v>FALSE</v>
      </c>
      <c r="AP3166" s="10" t="str">
        <f t="shared" si="356"/>
        <v>FALSE</v>
      </c>
      <c r="AQ3166" s="10" t="b">
        <f>IF(AND(I3166="TP",S3166&lt;=150),VLOOKUP(AF3166,TPCalibEq150!$AZ$2:$BB$55,3,),IF(AND(I3166="TDP",S3166&lt;=150),VLOOKUP(AF3166,TPCalibEq150!$AZ$2:$BB$55,3,)))</f>
        <v>0</v>
      </c>
      <c r="AR3166" s="10" t="b">
        <f>IF(AND(I3166="TP",S3166&lt;=300),VLOOKUP(AF3166,TPCalibEq300!$AZ$2:$BB$55,3,),IF(AND(I3166="TDP",S3166&lt;=300),VLOOKUP(AF3166,TPCalibEq300!$AZ$2:$BB$55,3,)))</f>
        <v>0</v>
      </c>
      <c r="AS3166" s="10" t="b">
        <f>IF(AND(I3166="TP",S3166&lt;=500),VLOOKUP(AF3166,TPCalibEq500!$AZ$2:$BB$56,3,),IF(AND(I3166="TDP",S3166&lt;=500),VLOOKUP(AF3166,TPCalibEq500!$AZ$2:$BB$56,3,)))</f>
        <v>0</v>
      </c>
      <c r="AT3166" s="10" t="b">
        <f>IF(AND(I3166="TN",S3166&lt;=2800),VLOOKUP(AF3166,TNCalibEq2500!$AZ$2:$BB$56,3,),IF(AND(I3166="TDN",S3166&lt;=2800),VLOOKUP(AF3166,TNCalibEq2500!$AZ$2:$BB$56,3,)))</f>
        <v>0</v>
      </c>
      <c r="AU3166" s="10" t="b">
        <f>IF(I3166="TP",VLOOKUP(AF3166,TPCalibEqFull!$AZ$2:$BB$56,3),IF(I3166="TDP",VLOOKUP(AF3166,TPCalibEqFull!$AZ$2:$BB$56,3),IF(I3166="TDN",VLOOKUP(AF3166,TNCalibEqFull!$AZ$1:$BB$56,3),IF(I3166="TN",VLOOKUP(AF3166,TNCalibEqFull!$AZ$1:$BB$56,3),FALSE))))</f>
        <v>0</v>
      </c>
      <c r="AV3166" s="10" t="str">
        <f t="shared" si="361"/>
        <v>0213 11:43:00-EFM-0-FIL-1-SW-UKN</v>
      </c>
    </row>
    <row r="3167" spans="1:48" s="10" customFormat="1" x14ac:dyDescent="0.55000000000000004">
      <c r="A3167" s="32">
        <v>44970</v>
      </c>
      <c r="B3167" s="33">
        <v>0.50694444444444442</v>
      </c>
      <c r="C3167" s="10" t="s">
        <v>999</v>
      </c>
      <c r="D3167" s="10">
        <v>0</v>
      </c>
      <c r="E3167" s="10" t="s">
        <v>911</v>
      </c>
      <c r="F3167" s="10">
        <v>1</v>
      </c>
      <c r="G3167" s="10" t="s">
        <v>231</v>
      </c>
      <c r="H3167" s="10" t="s">
        <v>322</v>
      </c>
      <c r="I3167" s="10" t="s">
        <v>209</v>
      </c>
      <c r="J3167" s="10">
        <v>47</v>
      </c>
      <c r="K3167" s="12">
        <v>44972</v>
      </c>
      <c r="L3167" s="33">
        <v>0.53143518518518518</v>
      </c>
      <c r="M3167" s="10">
        <v>1</v>
      </c>
      <c r="N3167" s="10" t="s">
        <v>169</v>
      </c>
      <c r="O3167" s="10">
        <v>5.32</v>
      </c>
      <c r="P3167" s="10">
        <v>0.247</v>
      </c>
      <c r="Q3167" s="10">
        <v>695</v>
      </c>
      <c r="R3167" s="10" t="s">
        <v>77</v>
      </c>
      <c r="S3167" s="34">
        <f t="shared" si="358"/>
        <v>695</v>
      </c>
      <c r="T3167" s="10" t="s">
        <v>915</v>
      </c>
      <c r="U3167" s="34" t="str">
        <f t="shared" si="359"/>
        <v/>
      </c>
      <c r="V3167" s="31" t="str">
        <f>IF(H3167="CHK",VLOOKUP(I3167,QCCHK,3,),IF(H3167="GUP",VLOOKUP(E3167,QCGUP,2,),IF(AND(H3167="ATP",OR(I3167="TN",I3167="TDN",I3167="TNO2-3",I3167="NO2-3")),VLOOKUP(E3167,QCREC_N,2,),IF(AND(H3167="NIC",OR(I3167="TN",I3167="TDN",I3167="TNO2-3",I3167="NO2-3")),VLOOKUP(E3167,QCNIC_N,2,),IF(AND(H3167="UREA",OR(I3167="TN",I3167="TDN",I3167="TNO2-3",I3167="NO2-3")),VLOOKUP(E3167,QCUREA_N,2,),IF(H3167="PER",VLOOKUP(I3167,QCPER,MATCH(E3167,QCACTUAL!$J$25:$AA$25,0),),IF(H3167="SPK",VLOOKUP(I3167,QCSPK,3,),IF(AND(H3167="ATP",OR(I3167="TP",I3167="TDP")),VLOOKUP(E3167,QCATP_P,2,),""))))))))</f>
        <v/>
      </c>
      <c r="W3167" s="31" t="str">
        <f t="shared" si="360"/>
        <v>TRUE</v>
      </c>
      <c r="X3167" s="31" t="str">
        <f t="shared" si="357"/>
        <v/>
      </c>
      <c r="Y3167" s="10" t="s">
        <v>1206</v>
      </c>
      <c r="Z3167" s="10" t="s">
        <v>910</v>
      </c>
      <c r="AL3167" s="10" t="str">
        <f t="shared" si="355"/>
        <v>FALSE</v>
      </c>
      <c r="AM3167" s="10" t="str">
        <f t="shared" si="355"/>
        <v>FALSE</v>
      </c>
      <c r="AN3167" s="10" t="str">
        <f t="shared" si="355"/>
        <v>FALSE</v>
      </c>
      <c r="AO3167" s="10" t="str">
        <f t="shared" si="356"/>
        <v>FALSE</v>
      </c>
      <c r="AP3167" s="10" t="str">
        <f t="shared" si="356"/>
        <v>FALSE</v>
      </c>
      <c r="AQ3167" s="10" t="b">
        <f>IF(AND(I3167="TP",S3167&lt;=150),VLOOKUP(AF3167,TPCalibEq150!$AZ$2:$BB$55,3,),IF(AND(I3167="TDP",S3167&lt;=150),VLOOKUP(AF3167,TPCalibEq150!$AZ$2:$BB$55,3,)))</f>
        <v>0</v>
      </c>
      <c r="AR3167" s="10" t="b">
        <f>IF(AND(I3167="TP",S3167&lt;=300),VLOOKUP(AF3167,TPCalibEq300!$AZ$2:$BB$55,3,),IF(AND(I3167="TDP",S3167&lt;=300),VLOOKUP(AF3167,TPCalibEq300!$AZ$2:$BB$55,3,)))</f>
        <v>0</v>
      </c>
      <c r="AS3167" s="10" t="b">
        <f>IF(AND(I3167="TP",S3167&lt;=500),VLOOKUP(AF3167,TPCalibEq500!$AZ$2:$BB$56,3,),IF(AND(I3167="TDP",S3167&lt;=500),VLOOKUP(AF3167,TPCalibEq500!$AZ$2:$BB$56,3,)))</f>
        <v>0</v>
      </c>
      <c r="AT3167" s="10" t="b">
        <f>IF(AND(I3167="TN",S3167&lt;=2800),VLOOKUP(AF3167,TNCalibEq2500!$AZ$2:$BB$56,3,),IF(AND(I3167="TDN",S3167&lt;=2800),VLOOKUP(AF3167,TNCalibEq2500!$AZ$2:$BB$56,3,)))</f>
        <v>0</v>
      </c>
      <c r="AU3167" s="10" t="b">
        <f>IF(I3167="TP",VLOOKUP(AF3167,TPCalibEqFull!$AZ$2:$BB$56,3),IF(I3167="TDP",VLOOKUP(AF3167,TPCalibEqFull!$AZ$2:$BB$56,3),IF(I3167="TDN",VLOOKUP(AF3167,TNCalibEqFull!$AZ$1:$BB$56,3),IF(I3167="TN",VLOOKUP(AF3167,TNCalibEqFull!$AZ$1:$BB$56,3),FALSE))))</f>
        <v>0</v>
      </c>
      <c r="AV3167" s="10" t="str">
        <f t="shared" si="361"/>
        <v>0213 12:10:00-EAW-0-FIL-1-SW-UKN</v>
      </c>
    </row>
    <row r="3168" spans="1:48" s="10" customFormat="1" x14ac:dyDescent="0.55000000000000004">
      <c r="A3168" s="32">
        <v>44970</v>
      </c>
      <c r="B3168" s="33">
        <v>0.51527777777777783</v>
      </c>
      <c r="C3168" s="10" t="s">
        <v>310</v>
      </c>
      <c r="D3168" s="10">
        <v>0</v>
      </c>
      <c r="E3168" s="10" t="s">
        <v>911</v>
      </c>
      <c r="F3168" s="10">
        <v>1</v>
      </c>
      <c r="G3168" s="10" t="s">
        <v>231</v>
      </c>
      <c r="H3168" s="10" t="s">
        <v>322</v>
      </c>
      <c r="I3168" s="10" t="s">
        <v>209</v>
      </c>
      <c r="J3168" s="10">
        <v>48</v>
      </c>
      <c r="K3168" s="12">
        <v>44972</v>
      </c>
      <c r="L3168" s="33">
        <v>0.53226851851851853</v>
      </c>
      <c r="M3168" s="10">
        <v>1</v>
      </c>
      <c r="N3168" s="10" t="s">
        <v>169</v>
      </c>
      <c r="O3168" s="10">
        <v>6.54</v>
      </c>
      <c r="P3168" s="10">
        <v>0.30399999999999999</v>
      </c>
      <c r="Q3168" s="10">
        <v>854</v>
      </c>
      <c r="R3168" s="10" t="s">
        <v>77</v>
      </c>
      <c r="S3168" s="34">
        <f t="shared" si="358"/>
        <v>854</v>
      </c>
      <c r="T3168" s="10" t="s">
        <v>915</v>
      </c>
      <c r="U3168" s="34" t="str">
        <f t="shared" si="359"/>
        <v/>
      </c>
      <c r="V3168" s="31" t="str">
        <f>IF(H3168="CHK",VLOOKUP(I3168,QCCHK,3,),IF(H3168="GUP",VLOOKUP(E3168,QCGUP,2,),IF(AND(H3168="ATP",OR(I3168="TN",I3168="TDN",I3168="TNO2-3",I3168="NO2-3")),VLOOKUP(E3168,QCREC_N,2,),IF(AND(H3168="NIC",OR(I3168="TN",I3168="TDN",I3168="TNO2-3",I3168="NO2-3")),VLOOKUP(E3168,QCNIC_N,2,),IF(AND(H3168="UREA",OR(I3168="TN",I3168="TDN",I3168="TNO2-3",I3168="NO2-3")),VLOOKUP(E3168,QCUREA_N,2,),IF(H3168="PER",VLOOKUP(I3168,QCPER,MATCH(E3168,QCACTUAL!$J$25:$AA$25,0),),IF(H3168="SPK",VLOOKUP(I3168,QCSPK,3,),IF(AND(H3168="ATP",OR(I3168="TP",I3168="TDP")),VLOOKUP(E3168,QCATP_P,2,),""))))))))</f>
        <v/>
      </c>
      <c r="W3168" s="31" t="str">
        <f t="shared" si="360"/>
        <v>TRUE</v>
      </c>
      <c r="X3168" s="31" t="str">
        <f t="shared" si="357"/>
        <v/>
      </c>
      <c r="Y3168" s="10" t="s">
        <v>1206</v>
      </c>
      <c r="Z3168" s="10" t="s">
        <v>910</v>
      </c>
      <c r="AL3168" s="10" t="str">
        <f t="shared" si="355"/>
        <v>FALSE</v>
      </c>
      <c r="AM3168" s="10" t="str">
        <f t="shared" si="355"/>
        <v>FALSE</v>
      </c>
      <c r="AN3168" s="10" t="str">
        <f t="shared" si="355"/>
        <v>FALSE</v>
      </c>
      <c r="AO3168" s="10" t="str">
        <f t="shared" si="356"/>
        <v>FALSE</v>
      </c>
      <c r="AP3168" s="10" t="str">
        <f t="shared" si="356"/>
        <v>FALSE</v>
      </c>
      <c r="AQ3168" s="10" t="b">
        <f>IF(AND(I3168="TP",S3168&lt;=150),VLOOKUP(AF3168,TPCalibEq150!$AZ$2:$BB$55,3,),IF(AND(I3168="TDP",S3168&lt;=150),VLOOKUP(AF3168,TPCalibEq150!$AZ$2:$BB$55,3,)))</f>
        <v>0</v>
      </c>
      <c r="AR3168" s="10" t="b">
        <f>IF(AND(I3168="TP",S3168&lt;=300),VLOOKUP(AF3168,TPCalibEq300!$AZ$2:$BB$55,3,),IF(AND(I3168="TDP",S3168&lt;=300),VLOOKUP(AF3168,TPCalibEq300!$AZ$2:$BB$55,3,)))</f>
        <v>0</v>
      </c>
      <c r="AS3168" s="10" t="b">
        <f>IF(AND(I3168="TP",S3168&lt;=500),VLOOKUP(AF3168,TPCalibEq500!$AZ$2:$BB$56,3,),IF(AND(I3168="TDP",S3168&lt;=500),VLOOKUP(AF3168,TPCalibEq500!$AZ$2:$BB$56,3,)))</f>
        <v>0</v>
      </c>
      <c r="AT3168" s="10" t="b">
        <f>IF(AND(I3168="TN",S3168&lt;=2800),VLOOKUP(AF3168,TNCalibEq2500!$AZ$2:$BB$56,3,),IF(AND(I3168="TDN",S3168&lt;=2800),VLOOKUP(AF3168,TNCalibEq2500!$AZ$2:$BB$56,3,)))</f>
        <v>0</v>
      </c>
      <c r="AU3168" s="10" t="b">
        <f>IF(I3168="TP",VLOOKUP(AF3168,TPCalibEqFull!$AZ$2:$BB$56,3),IF(I3168="TDP",VLOOKUP(AF3168,TPCalibEqFull!$AZ$2:$BB$56,3),IF(I3168="TDN",VLOOKUP(AF3168,TNCalibEqFull!$AZ$1:$BB$56,3),IF(I3168="TN",VLOOKUP(AF3168,TNCalibEqFull!$AZ$1:$BB$56,3),FALSE))))</f>
        <v>0</v>
      </c>
      <c r="AV3168" s="10" t="str">
        <f t="shared" si="361"/>
        <v>0213 12:22:00-ELI-0-FIL-1-SW-UKN</v>
      </c>
    </row>
    <row r="3169" spans="1:48" s="10" customFormat="1" x14ac:dyDescent="0.55000000000000004">
      <c r="A3169" s="32">
        <v>44970</v>
      </c>
      <c r="B3169" s="33">
        <v>0.51527777777777783</v>
      </c>
      <c r="C3169" s="10" t="s">
        <v>310</v>
      </c>
      <c r="D3169" s="10">
        <v>0</v>
      </c>
      <c r="E3169" s="10" t="s">
        <v>911</v>
      </c>
      <c r="F3169" s="10">
        <v>1</v>
      </c>
      <c r="G3169" s="10" t="s">
        <v>231</v>
      </c>
      <c r="H3169" s="10" t="s">
        <v>233</v>
      </c>
      <c r="I3169" s="10" t="s">
        <v>209</v>
      </c>
      <c r="J3169" s="10">
        <v>48</v>
      </c>
      <c r="K3169" s="12">
        <v>44972</v>
      </c>
      <c r="L3169" s="33">
        <v>0.53307870370370369</v>
      </c>
      <c r="M3169" s="10">
        <v>1</v>
      </c>
      <c r="N3169" s="10" t="s">
        <v>169</v>
      </c>
      <c r="O3169" s="10">
        <v>2.29</v>
      </c>
      <c r="P3169" s="10">
        <v>0.107</v>
      </c>
      <c r="Q3169" s="10">
        <v>299</v>
      </c>
      <c r="R3169" s="10" t="s">
        <v>77</v>
      </c>
      <c r="S3169" s="34">
        <f t="shared" si="358"/>
        <v>299</v>
      </c>
      <c r="T3169" s="10" t="s">
        <v>915</v>
      </c>
      <c r="U3169" s="34">
        <f t="shared" si="359"/>
        <v>96.27059843885516</v>
      </c>
      <c r="V3169" s="31" t="str">
        <f>IF(H3169="CHK",VLOOKUP(I3169,QCCHK,3,),IF(H3169="GUP",VLOOKUP(E3169,QCGUP,2,),IF(AND(H3169="ATP",OR(I3169="TN",I3169="TDN",I3169="TNO2-3",I3169="NO2-3")),VLOOKUP(E3169,QCREC_N,2,),IF(AND(H3169="NIC",OR(I3169="TN",I3169="TDN",I3169="TNO2-3",I3169="NO2-3")),VLOOKUP(E3169,QCNIC_N,2,),IF(AND(H3169="UREA",OR(I3169="TN",I3169="TDN",I3169="TNO2-3",I3169="NO2-3")),VLOOKUP(E3169,QCUREA_N,2,),IF(H3169="PER",VLOOKUP(I3169,QCPER,MATCH(E3169,QCACTUAL!$J$25:$AA$25,0),),IF(H3169="SPK",VLOOKUP(I3169,QCSPK,3,),IF(AND(H3169="ATP",OR(I3169="TP",I3169="TDP")),VLOOKUP(E3169,QCATP_P,2,),""))))))))</f>
        <v/>
      </c>
      <c r="W3169" s="31" t="str">
        <f t="shared" si="360"/>
        <v>FALSE</v>
      </c>
      <c r="X3169" s="31" t="str">
        <f t="shared" si="357"/>
        <v>((ABS(rep1-rep2))/((rep1+rep2)/2)*100</v>
      </c>
      <c r="Y3169" s="10" t="s">
        <v>1206</v>
      </c>
      <c r="Z3169" s="10" t="s">
        <v>910</v>
      </c>
      <c r="AL3169" s="10" t="str">
        <f t="shared" si="355"/>
        <v>FALSE</v>
      </c>
      <c r="AM3169" s="10" t="str">
        <f t="shared" si="355"/>
        <v>FALSE</v>
      </c>
      <c r="AN3169" s="10" t="str">
        <f t="shared" si="355"/>
        <v>FALSE</v>
      </c>
      <c r="AO3169" s="10" t="str">
        <f t="shared" si="356"/>
        <v>FALSE</v>
      </c>
      <c r="AP3169" s="10" t="str">
        <f t="shared" si="356"/>
        <v>FALSE</v>
      </c>
      <c r="AQ3169" s="10" t="b">
        <f>IF(AND(I3169="TP",S3169&lt;=150),VLOOKUP(AF3169,TPCalibEq150!$AZ$2:$BB$55,3,),IF(AND(I3169="TDP",S3169&lt;=150),VLOOKUP(AF3169,TPCalibEq150!$AZ$2:$BB$55,3,)))</f>
        <v>0</v>
      </c>
      <c r="AR3169" s="10" t="b">
        <f>IF(AND(I3169="TP",S3169&lt;=300),VLOOKUP(AF3169,TPCalibEq300!$AZ$2:$BB$55,3,),IF(AND(I3169="TDP",S3169&lt;=300),VLOOKUP(AF3169,TPCalibEq300!$AZ$2:$BB$55,3,)))</f>
        <v>0</v>
      </c>
      <c r="AS3169" s="10" t="b">
        <f>IF(AND(I3169="TP",S3169&lt;=500),VLOOKUP(AF3169,TPCalibEq500!$AZ$2:$BB$56,3,),IF(AND(I3169="TDP",S3169&lt;=500),VLOOKUP(AF3169,TPCalibEq500!$AZ$2:$BB$56,3,)))</f>
        <v>0</v>
      </c>
      <c r="AT3169" s="10" t="b">
        <f>IF(AND(I3169="TN",S3169&lt;=2800),VLOOKUP(AF3169,TNCalibEq2500!$AZ$2:$BB$56,3,),IF(AND(I3169="TDN",S3169&lt;=2800),VLOOKUP(AF3169,TNCalibEq2500!$AZ$2:$BB$56,3,)))</f>
        <v>0</v>
      </c>
      <c r="AU3169" s="10" t="b">
        <f>IF(I3169="TP",VLOOKUP(AF3169,TPCalibEqFull!$AZ$2:$BB$56,3),IF(I3169="TDP",VLOOKUP(AF3169,TPCalibEqFull!$AZ$2:$BB$56,3),IF(I3169="TDN",VLOOKUP(AF3169,TNCalibEqFull!$AZ$1:$BB$56,3),IF(I3169="TN",VLOOKUP(AF3169,TNCalibEqFull!$AZ$1:$BB$56,3),FALSE))))</f>
        <v>0</v>
      </c>
      <c r="AV3169" s="10" t="str">
        <f t="shared" si="361"/>
        <v>0213 12:22:00-ELI-0-FIL-1-SW-DUP</v>
      </c>
    </row>
    <row r="3170" spans="1:48" s="10" customFormat="1" x14ac:dyDescent="0.55000000000000004">
      <c r="A3170" s="32">
        <v>44970</v>
      </c>
      <c r="B3170" s="33">
        <v>0.51527777777777783</v>
      </c>
      <c r="C3170" s="10" t="s">
        <v>310</v>
      </c>
      <c r="D3170" s="10">
        <v>0</v>
      </c>
      <c r="E3170" s="10" t="s">
        <v>911</v>
      </c>
      <c r="F3170" s="10">
        <v>1</v>
      </c>
      <c r="G3170" s="10" t="s">
        <v>231</v>
      </c>
      <c r="H3170" s="10" t="s">
        <v>314</v>
      </c>
      <c r="I3170" s="10" t="s">
        <v>209</v>
      </c>
      <c r="J3170" s="10">
        <v>54</v>
      </c>
      <c r="K3170" s="12">
        <v>44972</v>
      </c>
      <c r="L3170" s="33">
        <v>0.53390046296296301</v>
      </c>
      <c r="M3170" s="10">
        <v>1</v>
      </c>
      <c r="N3170" s="10" t="s">
        <v>169</v>
      </c>
      <c r="O3170" s="10">
        <v>9.25</v>
      </c>
      <c r="P3170" s="10">
        <v>0.43099999999999999</v>
      </c>
      <c r="Q3170" s="10">
        <v>1210</v>
      </c>
      <c r="R3170" s="10" t="s">
        <v>77</v>
      </c>
      <c r="S3170" s="34">
        <f t="shared" si="358"/>
        <v>1210</v>
      </c>
      <c r="T3170" s="10" t="s">
        <v>915</v>
      </c>
      <c r="U3170" s="34">
        <f t="shared" si="359"/>
        <v>145.76</v>
      </c>
      <c r="V3170" s="31">
        <f>IF(H3170="CHK",VLOOKUP(I3170,QCCHK,3,),IF(H3170="GUP",VLOOKUP(E3170,QCGUP,2,),IF(AND(H3170="ATP",OR(I3170="TN",I3170="TDN",I3170="TNO2-3",I3170="NO2-3")),VLOOKUP(E3170,QCREC_N,2,),IF(AND(H3170="NIC",OR(I3170="TN",I3170="TDN",I3170="TNO2-3",I3170="NO2-3")),VLOOKUP(E3170,QCNIC_N,2,),IF(AND(H3170="UREA",OR(I3170="TN",I3170="TDN",I3170="TNO2-3",I3170="NO2-3")),VLOOKUP(E3170,QCUREA_N,2,),IF(H3170="PER",VLOOKUP(I3170,QCPER,MATCH(E3170,QCACTUAL!$J$25:$AA$25,0),),IF(H3170="SPK",VLOOKUP(I3170,QCSPK,3,),IF(AND(H3170="ATP",OR(I3170="TP",I3170="TDP")),VLOOKUP(E3170,QCATP_P,2,),""))))))))</f>
        <v>625</v>
      </c>
      <c r="W3170" s="31" t="str">
        <f t="shared" si="360"/>
        <v>FALSE</v>
      </c>
      <c r="X3170" s="31" t="str">
        <f t="shared" si="357"/>
        <v>([spikedunkn]-[unkn])/[spike]*100</v>
      </c>
      <c r="Y3170" s="10" t="s">
        <v>1206</v>
      </c>
      <c r="Z3170" s="10" t="s">
        <v>910</v>
      </c>
      <c r="AL3170" s="10" t="str">
        <f t="shared" si="355"/>
        <v>FALSE</v>
      </c>
      <c r="AM3170" s="10" t="str">
        <f t="shared" si="355"/>
        <v>FALSE</v>
      </c>
      <c r="AN3170" s="10" t="str">
        <f t="shared" si="355"/>
        <v>FALSE</v>
      </c>
      <c r="AO3170" s="10" t="str">
        <f t="shared" si="356"/>
        <v>FALSE</v>
      </c>
      <c r="AP3170" s="10" t="str">
        <f t="shared" si="356"/>
        <v>FALSE</v>
      </c>
      <c r="AQ3170" s="10" t="b">
        <f>IF(AND(I3170="TP",S3170&lt;=150),VLOOKUP(AF3170,TPCalibEq150!$AZ$2:$BB$55,3,),IF(AND(I3170="TDP",S3170&lt;=150),VLOOKUP(AF3170,TPCalibEq150!$AZ$2:$BB$55,3,)))</f>
        <v>0</v>
      </c>
      <c r="AR3170" s="10" t="b">
        <f>IF(AND(I3170="TP",S3170&lt;=300),VLOOKUP(AF3170,TPCalibEq300!$AZ$2:$BB$55,3,),IF(AND(I3170="TDP",S3170&lt;=300),VLOOKUP(AF3170,TPCalibEq300!$AZ$2:$BB$55,3,)))</f>
        <v>0</v>
      </c>
      <c r="AS3170" s="10" t="b">
        <f>IF(AND(I3170="TP",S3170&lt;=500),VLOOKUP(AF3170,TPCalibEq500!$AZ$2:$BB$56,3,),IF(AND(I3170="TDP",S3170&lt;=500),VLOOKUP(AF3170,TPCalibEq500!$AZ$2:$BB$56,3,)))</f>
        <v>0</v>
      </c>
      <c r="AT3170" s="10" t="b">
        <f>IF(AND(I3170="TN",S3170&lt;=2800),VLOOKUP(AF3170,TNCalibEq2500!$AZ$2:$BB$56,3,),IF(AND(I3170="TDN",S3170&lt;=2800),VLOOKUP(AF3170,TNCalibEq2500!$AZ$2:$BB$56,3,)))</f>
        <v>0</v>
      </c>
      <c r="AU3170" s="10" t="b">
        <f>IF(I3170="TP",VLOOKUP(AF3170,TPCalibEqFull!$AZ$2:$BB$56,3),IF(I3170="TDP",VLOOKUP(AF3170,TPCalibEqFull!$AZ$2:$BB$56,3),IF(I3170="TDN",VLOOKUP(AF3170,TNCalibEqFull!$AZ$1:$BB$56,3),IF(I3170="TN",VLOOKUP(AF3170,TNCalibEqFull!$AZ$1:$BB$56,3),FALSE))))</f>
        <v>0</v>
      </c>
      <c r="AV3170" s="10" t="str">
        <f t="shared" si="361"/>
        <v>0213 12:22:00-ELI-0-FIL-1-SW-SPK</v>
      </c>
    </row>
    <row r="3171" spans="1:48" s="10" customFormat="1" x14ac:dyDescent="0.55000000000000004">
      <c r="A3171" s="32">
        <v>44972</v>
      </c>
      <c r="B3171" s="33">
        <v>0.375</v>
      </c>
      <c r="C3171" s="10" t="s">
        <v>70</v>
      </c>
      <c r="D3171" s="10" t="s">
        <v>71</v>
      </c>
      <c r="E3171" s="10" t="s">
        <v>901</v>
      </c>
      <c r="F3171" s="10">
        <v>1</v>
      </c>
      <c r="G3171" s="10" t="s">
        <v>73</v>
      </c>
      <c r="H3171" s="10" t="s">
        <v>207</v>
      </c>
      <c r="I3171" s="10" t="s">
        <v>256</v>
      </c>
      <c r="J3171" s="10">
        <v>200</v>
      </c>
      <c r="K3171" s="12">
        <v>44972</v>
      </c>
      <c r="L3171" s="33">
        <v>0.53472222222222221</v>
      </c>
      <c r="M3171" s="10">
        <v>1</v>
      </c>
      <c r="N3171" s="10" t="s">
        <v>169</v>
      </c>
      <c r="O3171" s="10">
        <v>2.1800000000000002</v>
      </c>
      <c r="P3171" s="10">
        <v>0.104</v>
      </c>
      <c r="Q3171" s="10">
        <v>285</v>
      </c>
      <c r="R3171" s="10" t="s">
        <v>77</v>
      </c>
      <c r="S3171" s="34">
        <f t="shared" si="358"/>
        <v>285</v>
      </c>
      <c r="T3171" s="10" t="s">
        <v>915</v>
      </c>
      <c r="U3171" s="34">
        <f t="shared" si="359"/>
        <v>95</v>
      </c>
      <c r="V3171" s="31">
        <f>IF(H3171="CHK",VLOOKUP(I3171,QCCHK,3,),IF(H3171="GUP",VLOOKUP(E3171,QCGUP,2,),IF(AND(H3171="ATP",OR(I3171="TN",I3171="TDN",I3171="TNO2-3",I3171="NO2-3")),VLOOKUP(E3171,QCREC_N,2,),IF(AND(H3171="NIC",OR(I3171="TN",I3171="TDN",I3171="TNO2-3",I3171="NO2-3")),VLOOKUP(E3171,QCNIC_N,2,),IF(AND(H3171="UREA",OR(I3171="TN",I3171="TDN",I3171="TNO2-3",I3171="NO2-3")),VLOOKUP(E3171,QCUREA_N,2,),IF(H3171="PER",VLOOKUP(I3171,QCPER,MATCH(E3171,QCACTUAL!$J$25:$AA$25,0),),IF(H3171="SPK",VLOOKUP(I3171,QCSPK,3,),IF(AND(H3171="ATP",OR(I3171="TP",I3171="TDP")),VLOOKUP(E3171,QCATP_P,2,),""))))))))</f>
        <v>300</v>
      </c>
      <c r="W3171" s="31" t="str">
        <f t="shared" si="360"/>
        <v>TRUE</v>
      </c>
      <c r="X3171" s="31" t="str">
        <f t="shared" si="357"/>
        <v>[chk]/[actual]*100</v>
      </c>
      <c r="Y3171" s="10" t="s">
        <v>1206</v>
      </c>
      <c r="AL3171" s="10" t="str">
        <f t="shared" si="355"/>
        <v>FALSE</v>
      </c>
      <c r="AM3171" s="10" t="str">
        <f t="shared" si="355"/>
        <v>FALSE</v>
      </c>
      <c r="AN3171" s="10" t="str">
        <f t="shared" si="355"/>
        <v>FALSE</v>
      </c>
      <c r="AO3171" s="10" t="str">
        <f t="shared" si="356"/>
        <v>FALSE</v>
      </c>
      <c r="AP3171" s="10" t="str">
        <f t="shared" si="356"/>
        <v>FALSE</v>
      </c>
      <c r="AQ3171" s="10" t="b">
        <f>IF(AND(I3171="TP",S3171&lt;=150),VLOOKUP(AF3171,TPCalibEq150!$AZ$2:$BB$55,3,),IF(AND(I3171="TDP",S3171&lt;=150),VLOOKUP(AF3171,TPCalibEq150!$AZ$2:$BB$55,3,)))</f>
        <v>0</v>
      </c>
      <c r="AR3171" s="10" t="b">
        <f>IF(AND(I3171="TP",S3171&lt;=300),VLOOKUP(AF3171,TPCalibEq300!$AZ$2:$BB$55,3,),IF(AND(I3171="TDP",S3171&lt;=300),VLOOKUP(AF3171,TPCalibEq300!$AZ$2:$BB$55,3,)))</f>
        <v>0</v>
      </c>
      <c r="AS3171" s="10" t="b">
        <f>IF(AND(I3171="TP",S3171&lt;=500),VLOOKUP(AF3171,TPCalibEq500!$AZ$2:$BB$56,3,),IF(AND(I3171="TDP",S3171&lt;=500),VLOOKUP(AF3171,TPCalibEq500!$AZ$2:$BB$56,3,)))</f>
        <v>0</v>
      </c>
      <c r="AT3171" s="10" t="b">
        <f>IF(AND(I3171="TN",S3171&lt;=2800),VLOOKUP(AF3171,TNCalibEq2500!$AZ$2:$BB$56,3,),IF(AND(I3171="TDN",S3171&lt;=2800),VLOOKUP(AF3171,TNCalibEq2500!$AZ$2:$BB$56,3,)))</f>
        <v>0</v>
      </c>
      <c r="AU3171" s="10" t="b">
        <f>IF(I3171="TP",VLOOKUP(AF3171,TPCalibEqFull!$AZ$2:$BB$56,3),IF(I3171="TDP",VLOOKUP(AF3171,TPCalibEqFull!$AZ$2:$BB$56,3),IF(I3171="TDN",VLOOKUP(AF3171,TNCalibEqFull!$AZ$1:$BB$56,3),IF(I3171="TN",VLOOKUP(AF3171,TNCalibEqFull!$AZ$1:$BB$56,3),FALSE))))</f>
        <v>0</v>
      </c>
      <c r="AV3171" s="10" t="str">
        <f t="shared" si="361"/>
        <v>0215 09:00:00-QAC-STD-D-1-DI-CHK</v>
      </c>
    </row>
    <row r="3172" spans="1:48" s="10" customFormat="1" x14ac:dyDescent="0.55000000000000004">
      <c r="A3172" s="32">
        <v>44972</v>
      </c>
      <c r="B3172" s="33">
        <v>0.375</v>
      </c>
      <c r="C3172" s="10" t="s">
        <v>70</v>
      </c>
      <c r="D3172" s="10" t="s">
        <v>71</v>
      </c>
      <c r="E3172" s="10" t="s">
        <v>901</v>
      </c>
      <c r="F3172" s="10">
        <v>1</v>
      </c>
      <c r="G3172" s="10" t="s">
        <v>73</v>
      </c>
      <c r="H3172" s="10" t="s">
        <v>207</v>
      </c>
      <c r="I3172" s="10" t="s">
        <v>256</v>
      </c>
      <c r="J3172" s="10">
        <v>201</v>
      </c>
      <c r="K3172" s="12">
        <v>44972</v>
      </c>
      <c r="L3172" s="33">
        <v>0.53960648148148149</v>
      </c>
      <c r="M3172" s="10">
        <v>1</v>
      </c>
      <c r="N3172" s="10" t="s">
        <v>169</v>
      </c>
      <c r="O3172" s="10">
        <v>2.2200000000000002</v>
      </c>
      <c r="P3172" s="10">
        <v>0.106</v>
      </c>
      <c r="Q3172" s="10">
        <v>290</v>
      </c>
      <c r="R3172" s="10" t="s">
        <v>77</v>
      </c>
      <c r="S3172" s="34">
        <f t="shared" si="358"/>
        <v>290</v>
      </c>
      <c r="T3172" s="10" t="s">
        <v>915</v>
      </c>
      <c r="U3172" s="34">
        <f t="shared" si="359"/>
        <v>96.666666666666671</v>
      </c>
      <c r="V3172" s="31">
        <f>IF(H3172="CHK",VLOOKUP(I3172,QCCHK,3,),IF(H3172="GUP",VLOOKUP(E3172,QCGUP,2,),IF(AND(H3172="ATP",OR(I3172="TN",I3172="TDN",I3172="TNO2-3",I3172="NO2-3")),VLOOKUP(E3172,QCREC_N,2,),IF(AND(H3172="NIC",OR(I3172="TN",I3172="TDN",I3172="TNO2-3",I3172="NO2-3")),VLOOKUP(E3172,QCNIC_N,2,),IF(AND(H3172="UREA",OR(I3172="TN",I3172="TDN",I3172="TNO2-3",I3172="NO2-3")),VLOOKUP(E3172,QCUREA_N,2,),IF(H3172="PER",VLOOKUP(I3172,QCPER,MATCH(E3172,QCACTUAL!$J$25:$AA$25,0),),IF(H3172="SPK",VLOOKUP(I3172,QCSPK,3,),IF(AND(H3172="ATP",OR(I3172="TP",I3172="TDP")),VLOOKUP(E3172,QCATP_P,2,),""))))))))</f>
        <v>300</v>
      </c>
      <c r="W3172" s="31" t="str">
        <f t="shared" si="360"/>
        <v>TRUE</v>
      </c>
      <c r="X3172" s="31" t="str">
        <f t="shared" si="357"/>
        <v>[chk]/[actual]*100</v>
      </c>
      <c r="Y3172" s="10" t="s">
        <v>1206</v>
      </c>
      <c r="AL3172" s="10" t="str">
        <f t="shared" si="355"/>
        <v>FALSE</v>
      </c>
      <c r="AM3172" s="10" t="str">
        <f t="shared" si="355"/>
        <v>FALSE</v>
      </c>
      <c r="AN3172" s="10" t="str">
        <f t="shared" si="355"/>
        <v>FALSE</v>
      </c>
      <c r="AO3172" s="10" t="str">
        <f t="shared" si="356"/>
        <v>FALSE</v>
      </c>
      <c r="AP3172" s="10" t="str">
        <f t="shared" si="356"/>
        <v>FALSE</v>
      </c>
      <c r="AQ3172" s="10" t="b">
        <f>IF(AND(I3172="TP",S3172&lt;=150),VLOOKUP(AF3172,TPCalibEq150!$AZ$2:$BB$55,3,),IF(AND(I3172="TDP",S3172&lt;=150),VLOOKUP(AF3172,TPCalibEq150!$AZ$2:$BB$55,3,)))</f>
        <v>0</v>
      </c>
      <c r="AR3172" s="10" t="b">
        <f>IF(AND(I3172="TP",S3172&lt;=300),VLOOKUP(AF3172,TPCalibEq300!$AZ$2:$BB$55,3,),IF(AND(I3172="TDP",S3172&lt;=300),VLOOKUP(AF3172,TPCalibEq300!$AZ$2:$BB$55,3,)))</f>
        <v>0</v>
      </c>
      <c r="AS3172" s="10" t="b">
        <f>IF(AND(I3172="TP",S3172&lt;=500),VLOOKUP(AF3172,TPCalibEq500!$AZ$2:$BB$56,3,),IF(AND(I3172="TDP",S3172&lt;=500),VLOOKUP(AF3172,TPCalibEq500!$AZ$2:$BB$56,3,)))</f>
        <v>0</v>
      </c>
      <c r="AT3172" s="10" t="b">
        <f>IF(AND(I3172="TN",S3172&lt;=2800),VLOOKUP(AF3172,TNCalibEq2500!$AZ$2:$BB$56,3,),IF(AND(I3172="TDN",S3172&lt;=2800),VLOOKUP(AF3172,TNCalibEq2500!$AZ$2:$BB$56,3,)))</f>
        <v>0</v>
      </c>
      <c r="AU3172" s="10" t="b">
        <f>IF(I3172="TP",VLOOKUP(AF3172,TPCalibEqFull!$AZ$2:$BB$56,3),IF(I3172="TDP",VLOOKUP(AF3172,TPCalibEqFull!$AZ$2:$BB$56,3),IF(I3172="TDN",VLOOKUP(AF3172,TNCalibEqFull!$AZ$1:$BB$56,3),IF(I3172="TN",VLOOKUP(AF3172,TNCalibEqFull!$AZ$1:$BB$56,3),FALSE))))</f>
        <v>0</v>
      </c>
      <c r="AV3172" s="10" t="str">
        <f t="shared" si="361"/>
        <v>0215 09:00:00-QAC-STD-D-1-DI-CHK</v>
      </c>
    </row>
    <row r="3173" spans="1:48" s="10" customFormat="1" x14ac:dyDescent="0.55000000000000004">
      <c r="A3173" s="32">
        <v>44972</v>
      </c>
      <c r="B3173" s="33">
        <v>0.375</v>
      </c>
      <c r="C3173" s="10" t="s">
        <v>70</v>
      </c>
      <c r="D3173" s="10" t="s">
        <v>71</v>
      </c>
      <c r="E3173" s="10" t="s">
        <v>917</v>
      </c>
      <c r="F3173" s="10">
        <v>1</v>
      </c>
      <c r="G3173" s="10" t="s">
        <v>73</v>
      </c>
      <c r="H3173" s="10" t="s">
        <v>74</v>
      </c>
      <c r="I3173" s="10" t="s">
        <v>235</v>
      </c>
      <c r="J3173" s="10">
        <v>181</v>
      </c>
      <c r="K3173" s="12">
        <v>44973</v>
      </c>
      <c r="L3173" s="33">
        <v>0.4381944444444445</v>
      </c>
      <c r="M3173" s="10">
        <v>1</v>
      </c>
      <c r="N3173" s="10" t="s">
        <v>196</v>
      </c>
      <c r="O3173" s="10">
        <v>0.56000000000000005</v>
      </c>
      <c r="P3173" s="10">
        <v>2.6599999999999999E-2</v>
      </c>
      <c r="Q3173" s="10">
        <v>0</v>
      </c>
      <c r="R3173" s="10" t="s">
        <v>170</v>
      </c>
      <c r="S3173" s="34">
        <f t="shared" si="358"/>
        <v>0</v>
      </c>
      <c r="T3173" s="10" t="s">
        <v>914</v>
      </c>
      <c r="U3173" s="34" t="str">
        <f t="shared" si="359"/>
        <v/>
      </c>
      <c r="V3173" s="31" t="str">
        <f>IF(H3173="CHK",VLOOKUP(I3173,QCCHK,3,),IF(H3173="GUP",VLOOKUP(E3173,QCGUP,2,),IF(AND(H3173="ATP",OR(I3173="TN",I3173="TDN",I3173="TNO2-3",I3173="NO2-3")),VLOOKUP(E3173,QCREC_N,2,),IF(AND(H3173="NIC",OR(I3173="TN",I3173="TDN",I3173="TNO2-3",I3173="NO2-3")),VLOOKUP(E3173,QCNIC_N,2,),IF(AND(H3173="UREA",OR(I3173="TN",I3173="TDN",I3173="TNO2-3",I3173="NO2-3")),VLOOKUP(E3173,QCUREA_N,2,),IF(H3173="PER",VLOOKUP(I3173,QCPER,MATCH(E3173,QCACTUAL!$J$25:$AA$25,0),),IF(H3173="SPK",VLOOKUP(I3173,QCSPK,3,),IF(AND(H3173="ATP",OR(I3173="TP",I3173="TDP")),VLOOKUP(E3173,QCATP_P,2,),""))))))))</f>
        <v/>
      </c>
      <c r="W3173" s="31" t="str">
        <f t="shared" si="360"/>
        <v>TRUE</v>
      </c>
      <c r="X3173" s="31" t="str">
        <f t="shared" si="357"/>
        <v/>
      </c>
      <c r="Y3173" s="10" t="s">
        <v>1222</v>
      </c>
      <c r="AF3173" s="12">
        <v>44973</v>
      </c>
      <c r="AJ3173" s="10">
        <f>0.1303*0.56^2+171.81*0.56-89.924</f>
        <v>6.3304620800000038</v>
      </c>
      <c r="AK3173" s="10">
        <f>-0.033*0.56^2+178.81*0.56-104.93</f>
        <v>-4.806748799999994</v>
      </c>
      <c r="AL3173" s="10" t="str">
        <f t="shared" si="355"/>
        <v>FALSE</v>
      </c>
      <c r="AM3173" s="10" t="str">
        <f t="shared" si="355"/>
        <v>FALSE</v>
      </c>
      <c r="AN3173" s="10" t="str">
        <f t="shared" si="355"/>
        <v>FALSE</v>
      </c>
      <c r="AO3173" s="10" t="str">
        <f t="shared" si="356"/>
        <v>y=0.1303*0.56^2+171.81*0.56-89.924</v>
      </c>
      <c r="AP3173" s="10" t="str">
        <f t="shared" si="356"/>
        <v>y=-0.033*0.56^2+178.81*0.56-104.93</v>
      </c>
      <c r="AQ3173" s="10" t="b">
        <f>IF(AND(I3173="TP",S3173&lt;=150),VLOOKUP(AF3173,TPCalibEq150!$AZ$2:$BB$55,3,),IF(AND(I3173="TDP",S3173&lt;=150),VLOOKUP(AF3173,TPCalibEq150!$AZ$2:$BB$55,3,)))</f>
        <v>0</v>
      </c>
      <c r="AR3173" s="10" t="b">
        <f>IF(AND(I3173="TP",S3173&lt;=300),VLOOKUP(AF3173,TPCalibEq300!$AZ$2:$BB$55,3,),IF(AND(I3173="TDP",S3173&lt;=300),VLOOKUP(AF3173,TPCalibEq300!$AZ$2:$BB$55,3,)))</f>
        <v>0</v>
      </c>
      <c r="AS3173" s="10" t="b">
        <f>IF(AND(I3173="TP",S3173&lt;=500),VLOOKUP(AF3173,TPCalibEq500!$AZ$2:$BB$56,3,),IF(AND(I3173="TDP",S3173&lt;=500),VLOOKUP(AF3173,TPCalibEq500!$AZ$2:$BB$56,3,)))</f>
        <v>0</v>
      </c>
      <c r="AT3173" s="10" t="str">
        <f>IF(AND(I3173="TN",S3173&lt;=2800),VLOOKUP(AF3173,TNCalibEq2500!$AZ$2:$BB$56,3,),IF(AND(I3173="TDN",S3173&lt;=2800),VLOOKUP(AF3173,TNCalibEq2500!$AZ$2:$BB$56,3,)))</f>
        <v>y=0.1303x2+171.81x-89.924</v>
      </c>
      <c r="AU3173" s="10" t="str">
        <f>IF(I3173="TP",VLOOKUP(AF3173,TPCalibEqFull!$AZ$2:$BB$56,3),IF(I3173="TDP",VLOOKUP(AF3173,TPCalibEqFull!$AZ$2:$BB$56,3),IF(I3173="TDN",VLOOKUP(AF3173,TNCalibEqFull!$AZ$1:$BB$56,3),IF(I3173="TN",VLOOKUP(AF3173,TNCalibEqFull!$AZ$1:$BB$56,3),FALSE))))</f>
        <v>y=-0.033x2+178.81x-104.93</v>
      </c>
      <c r="AV3173" s="10" t="str">
        <f t="shared" si="361"/>
        <v>0215 09:00:00-QAC-STD-D.H-1-DI-CAL</v>
      </c>
    </row>
    <row r="3174" spans="1:48" s="10" customFormat="1" x14ac:dyDescent="0.55000000000000004">
      <c r="A3174" s="32">
        <v>44972</v>
      </c>
      <c r="B3174" s="33">
        <v>0.375</v>
      </c>
      <c r="C3174" s="10" t="s">
        <v>70</v>
      </c>
      <c r="D3174" s="10" t="s">
        <v>71</v>
      </c>
      <c r="E3174" s="10" t="s">
        <v>918</v>
      </c>
      <c r="F3174" s="10">
        <v>1</v>
      </c>
      <c r="G3174" s="10" t="s">
        <v>73</v>
      </c>
      <c r="H3174" s="10" t="s">
        <v>74</v>
      </c>
      <c r="I3174" s="10" t="s">
        <v>235</v>
      </c>
      <c r="J3174" s="10">
        <v>182</v>
      </c>
      <c r="K3174" s="12">
        <v>44973</v>
      </c>
      <c r="L3174" s="33">
        <v>0.43891203703703702</v>
      </c>
      <c r="M3174" s="10">
        <v>1</v>
      </c>
      <c r="N3174" s="10" t="s">
        <v>196</v>
      </c>
      <c r="O3174" s="10">
        <v>0.754</v>
      </c>
      <c r="P3174" s="10">
        <v>3.5700000000000003E-2</v>
      </c>
      <c r="Q3174" s="10">
        <v>30</v>
      </c>
      <c r="R3174" s="10" t="s">
        <v>170</v>
      </c>
      <c r="S3174" s="34">
        <f t="shared" si="358"/>
        <v>30</v>
      </c>
      <c r="T3174" s="10" t="s">
        <v>1223</v>
      </c>
      <c r="U3174" s="34" t="str">
        <f t="shared" si="359"/>
        <v/>
      </c>
      <c r="V3174" s="31" t="str">
        <f>IF(H3174="CHK",VLOOKUP(I3174,QCCHK,3,),IF(H3174="GUP",VLOOKUP(E3174,QCGUP,2,),IF(AND(H3174="ATP",OR(I3174="TN",I3174="TDN",I3174="TNO2-3",I3174="NO2-3")),VLOOKUP(E3174,QCREC_N,2,),IF(AND(H3174="NIC",OR(I3174="TN",I3174="TDN",I3174="TNO2-3",I3174="NO2-3")),VLOOKUP(E3174,QCNIC_N,2,),IF(AND(H3174="UREA",OR(I3174="TN",I3174="TDN",I3174="TNO2-3",I3174="NO2-3")),VLOOKUP(E3174,QCUREA_N,2,),IF(H3174="PER",VLOOKUP(I3174,QCPER,MATCH(E3174,QCACTUAL!$J$25:$AA$25,0),),IF(H3174="SPK",VLOOKUP(I3174,QCSPK,3,),IF(AND(H3174="ATP",OR(I3174="TP",I3174="TDP")),VLOOKUP(E3174,QCATP_P,2,),""))))))))</f>
        <v/>
      </c>
      <c r="W3174" s="31" t="str">
        <f t="shared" si="360"/>
        <v>TRUE</v>
      </c>
      <c r="X3174" s="31" t="str">
        <f t="shared" si="357"/>
        <v/>
      </c>
      <c r="Y3174" s="10" t="s">
        <v>1222</v>
      </c>
      <c r="AF3174" s="12">
        <v>44973</v>
      </c>
      <c r="AJ3174" s="10">
        <f>0.1303*0.754^2+171.81*0.754-89.924</f>
        <v>39.694817634799989</v>
      </c>
      <c r="AK3174" s="10">
        <f>-0.033*0.754^2+178.81*0.754-104.93</f>
        <v>29.873978972000003</v>
      </c>
      <c r="AL3174" s="10" t="str">
        <f t="shared" ref="AL3174:AN3237" si="362">IF($O3174="", "", IF(AQ3174&lt;&gt;"", SUBSTITUTE(SUBSTITUTE(AQ3174, "x", "*"&amp;$O3174&amp;"^", 1), "x", "*"&amp;$O3174, 1), ""))</f>
        <v>FALSE</v>
      </c>
      <c r="AM3174" s="10" t="str">
        <f t="shared" si="362"/>
        <v>FALSE</v>
      </c>
      <c r="AN3174" s="10" t="str">
        <f t="shared" si="362"/>
        <v>FALSE</v>
      </c>
      <c r="AO3174" s="10" t="str">
        <f t="shared" ref="AO3174:AP3237" si="363">IF($O3174="", "FALSE", IF(AT3174&lt;&gt;"FALSE", SUBSTITUTE(SUBSTITUTE(AT3174, "x", "*"&amp;$O3174&amp;"^", 1), "x", "*"&amp;$O3174, 1), ""))</f>
        <v>y=0.1303*0.754^2+171.81*0.754-89.924</v>
      </c>
      <c r="AP3174" s="10" t="str">
        <f t="shared" si="363"/>
        <v>y=-0.033*0.754^2+178.81*0.754-104.93</v>
      </c>
      <c r="AQ3174" s="10" t="b">
        <f>IF(AND(I3174="TP",S3174&lt;=150),VLOOKUP(AF3174,TPCalibEq150!$AZ$2:$BB$55,3,),IF(AND(I3174="TDP",S3174&lt;=150),VLOOKUP(AF3174,TPCalibEq150!$AZ$2:$BB$55,3,)))</f>
        <v>0</v>
      </c>
      <c r="AR3174" s="10" t="b">
        <f>IF(AND(I3174="TP",S3174&lt;=300),VLOOKUP(AF3174,TPCalibEq300!$AZ$2:$BB$55,3,),IF(AND(I3174="TDP",S3174&lt;=300),VLOOKUP(AF3174,TPCalibEq300!$AZ$2:$BB$55,3,)))</f>
        <v>0</v>
      </c>
      <c r="AS3174" s="10" t="b">
        <f>IF(AND(I3174="TP",S3174&lt;=500),VLOOKUP(AF3174,TPCalibEq500!$AZ$2:$BB$56,3,),IF(AND(I3174="TDP",S3174&lt;=500),VLOOKUP(AF3174,TPCalibEq500!$AZ$2:$BB$56,3,)))</f>
        <v>0</v>
      </c>
      <c r="AT3174" s="10" t="str">
        <f>IF(AND(I3174="TN",S3174&lt;=2800),VLOOKUP(AF3174,TNCalibEq2500!$AZ$2:$BB$56,3,),IF(AND(I3174="TDN",S3174&lt;=2800),VLOOKUP(AF3174,TNCalibEq2500!$AZ$2:$BB$56,3,)))</f>
        <v>y=0.1303x2+171.81x-89.924</v>
      </c>
      <c r="AU3174" s="10" t="str">
        <f>IF(I3174="TP",VLOOKUP(AF3174,TPCalibEqFull!$AZ$2:$BB$56,3),IF(I3174="TDP",VLOOKUP(AF3174,TPCalibEqFull!$AZ$2:$BB$56,3),IF(I3174="TDN",VLOOKUP(AF3174,TNCalibEqFull!$AZ$1:$BB$56,3),IF(I3174="TN",VLOOKUP(AF3174,TNCalibEqFull!$AZ$1:$BB$56,3),FALSE))))</f>
        <v>y=-0.033x2+178.81x-104.93</v>
      </c>
      <c r="AV3174" s="10" t="str">
        <f t="shared" si="361"/>
        <v>0215 09:00:00-QAC-STD-D.G-1-DI-CAL</v>
      </c>
    </row>
    <row r="3175" spans="1:48" s="10" customFormat="1" x14ac:dyDescent="0.55000000000000004">
      <c r="A3175" s="32">
        <v>44972</v>
      </c>
      <c r="B3175" s="33">
        <v>0.375</v>
      </c>
      <c r="C3175" s="10" t="s">
        <v>70</v>
      </c>
      <c r="D3175" s="10" t="s">
        <v>71</v>
      </c>
      <c r="E3175" s="10" t="s">
        <v>919</v>
      </c>
      <c r="F3175" s="10">
        <v>1</v>
      </c>
      <c r="G3175" s="10" t="s">
        <v>73</v>
      </c>
      <c r="H3175" s="10" t="s">
        <v>74</v>
      </c>
      <c r="I3175" s="10" t="s">
        <v>235</v>
      </c>
      <c r="J3175" s="10">
        <v>183</v>
      </c>
      <c r="K3175" s="12">
        <v>44973</v>
      </c>
      <c r="L3175" s="33">
        <v>0.43953703703703706</v>
      </c>
      <c r="M3175" s="10">
        <v>1</v>
      </c>
      <c r="N3175" s="10" t="s">
        <v>196</v>
      </c>
      <c r="O3175" s="10">
        <v>1.1599999999999999</v>
      </c>
      <c r="P3175" s="10">
        <v>5.5899999999999998E-2</v>
      </c>
      <c r="Q3175" s="10">
        <v>125</v>
      </c>
      <c r="R3175" s="10" t="s">
        <v>170</v>
      </c>
      <c r="S3175" s="34">
        <f t="shared" si="358"/>
        <v>125</v>
      </c>
      <c r="T3175" s="10" t="s">
        <v>1224</v>
      </c>
      <c r="U3175" s="34" t="str">
        <f t="shared" si="359"/>
        <v/>
      </c>
      <c r="V3175" s="31" t="str">
        <f>IF(H3175="CHK",VLOOKUP(I3175,QCCHK,3,),IF(H3175="GUP",VLOOKUP(E3175,QCGUP,2,),IF(AND(H3175="ATP",OR(I3175="TN",I3175="TDN",I3175="TNO2-3",I3175="NO2-3")),VLOOKUP(E3175,QCREC_N,2,),IF(AND(H3175="NIC",OR(I3175="TN",I3175="TDN",I3175="TNO2-3",I3175="NO2-3")),VLOOKUP(E3175,QCNIC_N,2,),IF(AND(H3175="UREA",OR(I3175="TN",I3175="TDN",I3175="TNO2-3",I3175="NO2-3")),VLOOKUP(E3175,QCUREA_N,2,),IF(H3175="PER",VLOOKUP(I3175,QCPER,MATCH(E3175,QCACTUAL!$J$25:$AA$25,0),),IF(H3175="SPK",VLOOKUP(I3175,QCSPK,3,),IF(AND(H3175="ATP",OR(I3175="TP",I3175="TDP")),VLOOKUP(E3175,QCATP_P,2,),""))))))))</f>
        <v/>
      </c>
      <c r="W3175" s="31" t="str">
        <f t="shared" si="360"/>
        <v>TRUE</v>
      </c>
      <c r="X3175" s="31" t="str">
        <f t="shared" si="357"/>
        <v/>
      </c>
      <c r="Y3175" s="10" t="s">
        <v>1222</v>
      </c>
      <c r="AF3175" s="12">
        <v>44973</v>
      </c>
      <c r="AJ3175" s="10">
        <f>0.1303*1.16^2+171.81*1.16-89.924</f>
        <v>109.55093167999999</v>
      </c>
      <c r="AK3175" s="10">
        <f>-0.033*1.16^2+178.81*1.16-104.93</f>
        <v>102.44519519999997</v>
      </c>
      <c r="AL3175" s="10" t="str">
        <f t="shared" si="362"/>
        <v>FALSE</v>
      </c>
      <c r="AM3175" s="10" t="str">
        <f t="shared" si="362"/>
        <v>FALSE</v>
      </c>
      <c r="AN3175" s="10" t="str">
        <f t="shared" si="362"/>
        <v>FALSE</v>
      </c>
      <c r="AO3175" s="10" t="str">
        <f t="shared" si="363"/>
        <v>y=0.1303*1.16^2+171.81*1.16-89.924</v>
      </c>
      <c r="AP3175" s="10" t="str">
        <f t="shared" si="363"/>
        <v>y=-0.033*1.16^2+178.81*1.16-104.93</v>
      </c>
      <c r="AQ3175" s="10" t="b">
        <f>IF(AND(I3175="TP",S3175&lt;=150),VLOOKUP(AF3175,TPCalibEq150!$AZ$2:$BB$55,3,),IF(AND(I3175="TDP",S3175&lt;=150),VLOOKUP(AF3175,TPCalibEq150!$AZ$2:$BB$55,3,)))</f>
        <v>0</v>
      </c>
      <c r="AR3175" s="10" t="b">
        <f>IF(AND(I3175="TP",S3175&lt;=300),VLOOKUP(AF3175,TPCalibEq300!$AZ$2:$BB$55,3,),IF(AND(I3175="TDP",S3175&lt;=300),VLOOKUP(AF3175,TPCalibEq300!$AZ$2:$BB$55,3,)))</f>
        <v>0</v>
      </c>
      <c r="AS3175" s="10" t="b">
        <f>IF(AND(I3175="TP",S3175&lt;=500),VLOOKUP(AF3175,TPCalibEq500!$AZ$2:$BB$56,3,),IF(AND(I3175="TDP",S3175&lt;=500),VLOOKUP(AF3175,TPCalibEq500!$AZ$2:$BB$56,3,)))</f>
        <v>0</v>
      </c>
      <c r="AT3175" s="10" t="str">
        <f>IF(AND(I3175="TN",S3175&lt;=2800),VLOOKUP(AF3175,TNCalibEq2500!$AZ$2:$BB$56,3,),IF(AND(I3175="TDN",S3175&lt;=2800),VLOOKUP(AF3175,TNCalibEq2500!$AZ$2:$BB$56,3,)))</f>
        <v>y=0.1303x2+171.81x-89.924</v>
      </c>
      <c r="AU3175" s="10" t="str">
        <f>IF(I3175="TP",VLOOKUP(AF3175,TPCalibEqFull!$AZ$2:$BB$56,3),IF(I3175="TDP",VLOOKUP(AF3175,TPCalibEqFull!$AZ$2:$BB$56,3),IF(I3175="TDN",VLOOKUP(AF3175,TNCalibEqFull!$AZ$1:$BB$56,3),IF(I3175="TN",VLOOKUP(AF3175,TNCalibEqFull!$AZ$1:$BB$56,3),FALSE))))</f>
        <v>y=-0.033x2+178.81x-104.93</v>
      </c>
      <c r="AV3175" s="10" t="str">
        <f t="shared" si="361"/>
        <v>0215 09:00:00-QAC-STD-D.F-1-DI-CAL</v>
      </c>
    </row>
    <row r="3176" spans="1:48" s="10" customFormat="1" x14ac:dyDescent="0.55000000000000004">
      <c r="A3176" s="32">
        <v>44972</v>
      </c>
      <c r="B3176" s="33">
        <v>0.375</v>
      </c>
      <c r="C3176" s="10" t="s">
        <v>70</v>
      </c>
      <c r="D3176" s="10" t="s">
        <v>71</v>
      </c>
      <c r="E3176" s="10" t="s">
        <v>920</v>
      </c>
      <c r="F3176" s="10">
        <v>1</v>
      </c>
      <c r="G3176" s="10" t="s">
        <v>73</v>
      </c>
      <c r="H3176" s="10" t="s">
        <v>74</v>
      </c>
      <c r="I3176" s="10" t="s">
        <v>235</v>
      </c>
      <c r="J3176" s="10">
        <v>184</v>
      </c>
      <c r="K3176" s="12">
        <v>44973</v>
      </c>
      <c r="L3176" s="33">
        <v>0.44021990740740741</v>
      </c>
      <c r="M3176" s="10">
        <v>1</v>
      </c>
      <c r="N3176" s="10" t="s">
        <v>196</v>
      </c>
      <c r="O3176" s="10">
        <v>3.4</v>
      </c>
      <c r="P3176" s="10">
        <v>0.16300000000000001</v>
      </c>
      <c r="Q3176" s="10">
        <v>500</v>
      </c>
      <c r="R3176" s="10" t="s">
        <v>170</v>
      </c>
      <c r="S3176" s="34">
        <f t="shared" si="358"/>
        <v>500</v>
      </c>
      <c r="T3176" s="10" t="s">
        <v>1225</v>
      </c>
      <c r="U3176" s="34" t="str">
        <f t="shared" si="359"/>
        <v/>
      </c>
      <c r="V3176" s="31" t="str">
        <f>IF(H3176="CHK",VLOOKUP(I3176,QCCHK,3,),IF(H3176="GUP",VLOOKUP(E3176,QCGUP,2,),IF(AND(H3176="ATP",OR(I3176="TN",I3176="TDN",I3176="TNO2-3",I3176="NO2-3")),VLOOKUP(E3176,QCREC_N,2,),IF(AND(H3176="NIC",OR(I3176="TN",I3176="TDN",I3176="TNO2-3",I3176="NO2-3")),VLOOKUP(E3176,QCNIC_N,2,),IF(AND(H3176="UREA",OR(I3176="TN",I3176="TDN",I3176="TNO2-3",I3176="NO2-3")),VLOOKUP(E3176,QCUREA_N,2,),IF(H3176="PER",VLOOKUP(I3176,QCPER,MATCH(E3176,QCACTUAL!$J$25:$AA$25,0),),IF(H3176="SPK",VLOOKUP(I3176,QCSPK,3,),IF(AND(H3176="ATP",OR(I3176="TP",I3176="TDP")),VLOOKUP(E3176,QCATP_P,2,),""))))))))</f>
        <v/>
      </c>
      <c r="W3176" s="31" t="str">
        <f t="shared" si="360"/>
        <v>TRUE</v>
      </c>
      <c r="X3176" s="31" t="str">
        <f t="shared" si="357"/>
        <v/>
      </c>
      <c r="Y3176" s="10" t="s">
        <v>1222</v>
      </c>
      <c r="AF3176" s="12">
        <v>44973</v>
      </c>
      <c r="AJ3176" s="10">
        <f>0.1303*3.4^2+171.81*3.4-89.924</f>
        <v>495.736268</v>
      </c>
      <c r="AK3176" s="10">
        <f>-0.033*3.4^2+178.81*3.4-104.93</f>
        <v>502.64251999999993</v>
      </c>
      <c r="AL3176" s="10" t="str">
        <f t="shared" si="362"/>
        <v>FALSE</v>
      </c>
      <c r="AM3176" s="10" t="str">
        <f t="shared" si="362"/>
        <v>FALSE</v>
      </c>
      <c r="AN3176" s="10" t="str">
        <f t="shared" si="362"/>
        <v>FALSE</v>
      </c>
      <c r="AO3176" s="10" t="str">
        <f t="shared" si="363"/>
        <v>y=0.1303*3.4^2+171.81*3.4-89.924</v>
      </c>
      <c r="AP3176" s="10" t="str">
        <f t="shared" si="363"/>
        <v>y=-0.033*3.4^2+178.81*3.4-104.93</v>
      </c>
      <c r="AQ3176" s="10" t="b">
        <f>IF(AND(I3176="TP",S3176&lt;=150),VLOOKUP(AF3176,TPCalibEq150!$AZ$2:$BB$55,3,),IF(AND(I3176="TDP",S3176&lt;=150),VLOOKUP(AF3176,TPCalibEq150!$AZ$2:$BB$55,3,)))</f>
        <v>0</v>
      </c>
      <c r="AR3176" s="10" t="b">
        <f>IF(AND(I3176="TP",S3176&lt;=300),VLOOKUP(AF3176,TPCalibEq300!$AZ$2:$BB$55,3,),IF(AND(I3176="TDP",S3176&lt;=300),VLOOKUP(AF3176,TPCalibEq300!$AZ$2:$BB$55,3,)))</f>
        <v>0</v>
      </c>
      <c r="AS3176" s="10" t="b">
        <f>IF(AND(I3176="TP",S3176&lt;=500),VLOOKUP(AF3176,TPCalibEq500!$AZ$2:$BB$56,3,),IF(AND(I3176="TDP",S3176&lt;=500),VLOOKUP(AF3176,TPCalibEq500!$AZ$2:$BB$56,3,)))</f>
        <v>0</v>
      </c>
      <c r="AT3176" s="10" t="str">
        <f>IF(AND(I3176="TN",S3176&lt;=2800),VLOOKUP(AF3176,TNCalibEq2500!$AZ$2:$BB$56,3,),IF(AND(I3176="TDN",S3176&lt;=2800),VLOOKUP(AF3176,TNCalibEq2500!$AZ$2:$BB$56,3,)))</f>
        <v>y=0.1303x2+171.81x-89.924</v>
      </c>
      <c r="AU3176" s="10" t="str">
        <f>IF(I3176="TP",VLOOKUP(AF3176,TPCalibEqFull!$AZ$2:$BB$56,3),IF(I3176="TDP",VLOOKUP(AF3176,TPCalibEqFull!$AZ$2:$BB$56,3),IF(I3176="TDN",VLOOKUP(AF3176,TNCalibEqFull!$AZ$1:$BB$56,3),IF(I3176="TN",VLOOKUP(AF3176,TNCalibEqFull!$AZ$1:$BB$56,3),FALSE))))</f>
        <v>y=-0.033x2+178.81x-104.93</v>
      </c>
      <c r="AV3176" s="10" t="str">
        <f t="shared" si="361"/>
        <v>0215 09:00:00-QAC-STD-D.E-1-DI-CAL</v>
      </c>
    </row>
    <row r="3177" spans="1:48" s="10" customFormat="1" x14ac:dyDescent="0.55000000000000004">
      <c r="A3177" s="32">
        <v>44972</v>
      </c>
      <c r="B3177" s="33">
        <v>0.375</v>
      </c>
      <c r="C3177" s="10" t="s">
        <v>70</v>
      </c>
      <c r="D3177" s="10" t="s">
        <v>71</v>
      </c>
      <c r="E3177" s="10" t="s">
        <v>921</v>
      </c>
      <c r="F3177" s="10">
        <v>1</v>
      </c>
      <c r="G3177" s="10" t="s">
        <v>73</v>
      </c>
      <c r="H3177" s="10" t="s">
        <v>74</v>
      </c>
      <c r="I3177" s="10" t="s">
        <v>235</v>
      </c>
      <c r="J3177" s="10">
        <v>185</v>
      </c>
      <c r="K3177" s="12">
        <v>44973</v>
      </c>
      <c r="L3177" s="33">
        <v>0.44090277777777781</v>
      </c>
      <c r="M3177" s="10">
        <v>1</v>
      </c>
      <c r="N3177" s="10" t="s">
        <v>196</v>
      </c>
      <c r="O3177" s="10">
        <v>7.78</v>
      </c>
      <c r="P3177" s="10">
        <v>0.376</v>
      </c>
      <c r="Q3177" s="10">
        <v>1250</v>
      </c>
      <c r="R3177" s="10" t="s">
        <v>170</v>
      </c>
      <c r="S3177" s="34">
        <f t="shared" si="358"/>
        <v>1250</v>
      </c>
      <c r="T3177" s="10" t="s">
        <v>1226</v>
      </c>
      <c r="U3177" s="34" t="str">
        <f t="shared" si="359"/>
        <v/>
      </c>
      <c r="V3177" s="31" t="str">
        <f>IF(H3177="CHK",VLOOKUP(I3177,QCCHK,3,),IF(H3177="GUP",VLOOKUP(E3177,QCGUP,2,),IF(AND(H3177="ATP",OR(I3177="TN",I3177="TDN",I3177="TNO2-3",I3177="NO2-3")),VLOOKUP(E3177,QCREC_N,2,),IF(AND(H3177="NIC",OR(I3177="TN",I3177="TDN",I3177="TNO2-3",I3177="NO2-3")),VLOOKUP(E3177,QCNIC_N,2,),IF(AND(H3177="UREA",OR(I3177="TN",I3177="TDN",I3177="TNO2-3",I3177="NO2-3")),VLOOKUP(E3177,QCUREA_N,2,),IF(H3177="PER",VLOOKUP(I3177,QCPER,MATCH(E3177,QCACTUAL!$J$25:$AA$25,0),),IF(H3177="SPK",VLOOKUP(I3177,QCSPK,3,),IF(AND(H3177="ATP",OR(I3177="TP",I3177="TDP")),VLOOKUP(E3177,QCATP_P,2,),""))))))))</f>
        <v/>
      </c>
      <c r="W3177" s="31" t="str">
        <f t="shared" si="360"/>
        <v>TRUE</v>
      </c>
      <c r="X3177" s="31" t="str">
        <f t="shared" si="357"/>
        <v/>
      </c>
      <c r="Y3177" s="10" t="s">
        <v>1222</v>
      </c>
      <c r="AF3177" s="12">
        <v>44973</v>
      </c>
      <c r="AJ3177" s="10">
        <f>0.1303*7.78^2+171.81*7.78-89.924</f>
        <v>1254.6446505200001</v>
      </c>
      <c r="AK3177" s="10">
        <f>-0.033*7.78^2+178.81*7.78-104.93</f>
        <v>1284.2143628000001</v>
      </c>
      <c r="AL3177" s="10" t="str">
        <f t="shared" si="362"/>
        <v>FALSE</v>
      </c>
      <c r="AM3177" s="10" t="str">
        <f t="shared" si="362"/>
        <v>FALSE</v>
      </c>
      <c r="AN3177" s="10" t="str">
        <f t="shared" si="362"/>
        <v>FALSE</v>
      </c>
      <c r="AO3177" s="10" t="str">
        <f t="shared" si="363"/>
        <v>y=0.1303*7.78^2+171.81*7.78-89.924</v>
      </c>
      <c r="AP3177" s="10" t="str">
        <f t="shared" si="363"/>
        <v>y=-0.033*7.78^2+178.81*7.78-104.93</v>
      </c>
      <c r="AQ3177" s="10" t="b">
        <f>IF(AND(I3177="TP",S3177&lt;=150),VLOOKUP(AF3177,TPCalibEq150!$AZ$2:$BB$55,3,),IF(AND(I3177="TDP",S3177&lt;=150),VLOOKUP(AF3177,TPCalibEq150!$AZ$2:$BB$55,3,)))</f>
        <v>0</v>
      </c>
      <c r="AR3177" s="10" t="b">
        <f>IF(AND(I3177="TP",S3177&lt;=300),VLOOKUP(AF3177,TPCalibEq300!$AZ$2:$BB$55,3,),IF(AND(I3177="TDP",S3177&lt;=300),VLOOKUP(AF3177,TPCalibEq300!$AZ$2:$BB$55,3,)))</f>
        <v>0</v>
      </c>
      <c r="AS3177" s="10" t="b">
        <f>IF(AND(I3177="TP",S3177&lt;=500),VLOOKUP(AF3177,TPCalibEq500!$AZ$2:$BB$56,3,),IF(AND(I3177="TDP",S3177&lt;=500),VLOOKUP(AF3177,TPCalibEq500!$AZ$2:$BB$56,3,)))</f>
        <v>0</v>
      </c>
      <c r="AT3177" s="10" t="str">
        <f>IF(AND(I3177="TN",S3177&lt;=2800),VLOOKUP(AF3177,TNCalibEq2500!$AZ$2:$BB$56,3,),IF(AND(I3177="TDN",S3177&lt;=2800),VLOOKUP(AF3177,TNCalibEq2500!$AZ$2:$BB$56,3,)))</f>
        <v>y=0.1303x2+171.81x-89.924</v>
      </c>
      <c r="AU3177" s="10" t="str">
        <f>IF(I3177="TP",VLOOKUP(AF3177,TPCalibEqFull!$AZ$2:$BB$56,3),IF(I3177="TDP",VLOOKUP(AF3177,TPCalibEqFull!$AZ$2:$BB$56,3),IF(I3177="TDN",VLOOKUP(AF3177,TNCalibEqFull!$AZ$1:$BB$56,3),IF(I3177="TN",VLOOKUP(AF3177,TNCalibEqFull!$AZ$1:$BB$56,3),FALSE))))</f>
        <v>y=-0.033x2+178.81x-104.93</v>
      </c>
      <c r="AV3177" s="10" t="str">
        <f t="shared" si="361"/>
        <v>0215 09:00:00-QAC-STD-D.D-1-DI-CAL</v>
      </c>
    </row>
    <row r="3178" spans="1:48" s="10" customFormat="1" x14ac:dyDescent="0.55000000000000004">
      <c r="A3178" s="32">
        <v>44972</v>
      </c>
      <c r="B3178" s="33">
        <v>0.375</v>
      </c>
      <c r="C3178" s="10" t="s">
        <v>70</v>
      </c>
      <c r="D3178" s="10" t="s">
        <v>71</v>
      </c>
      <c r="E3178" s="10" t="s">
        <v>922</v>
      </c>
      <c r="F3178" s="10">
        <v>1</v>
      </c>
      <c r="G3178" s="10" t="s">
        <v>73</v>
      </c>
      <c r="H3178" s="10" t="s">
        <v>74</v>
      </c>
      <c r="I3178" s="10" t="s">
        <v>235</v>
      </c>
      <c r="J3178" s="10">
        <v>186</v>
      </c>
      <c r="K3178" s="12">
        <v>44973</v>
      </c>
      <c r="L3178" s="33">
        <v>0.44157407407407406</v>
      </c>
      <c r="M3178" s="10">
        <v>1</v>
      </c>
      <c r="N3178" s="10" t="s">
        <v>196</v>
      </c>
      <c r="O3178" s="10">
        <v>14.9</v>
      </c>
      <c r="P3178" s="10">
        <v>0.71799999999999997</v>
      </c>
      <c r="Q3178" s="10">
        <v>2500</v>
      </c>
      <c r="R3178" s="10" t="s">
        <v>170</v>
      </c>
      <c r="S3178" s="34">
        <f t="shared" si="358"/>
        <v>2500</v>
      </c>
      <c r="T3178" s="10" t="s">
        <v>1227</v>
      </c>
      <c r="U3178" s="34" t="str">
        <f t="shared" si="359"/>
        <v/>
      </c>
      <c r="V3178" s="31" t="str">
        <f>IF(H3178="CHK",VLOOKUP(I3178,QCCHK,3,),IF(H3178="GUP",VLOOKUP(E3178,QCGUP,2,),IF(AND(H3178="ATP",OR(I3178="TN",I3178="TDN",I3178="TNO2-3",I3178="NO2-3")),VLOOKUP(E3178,QCREC_N,2,),IF(AND(H3178="NIC",OR(I3178="TN",I3178="TDN",I3178="TNO2-3",I3178="NO2-3")),VLOOKUP(E3178,QCNIC_N,2,),IF(AND(H3178="UREA",OR(I3178="TN",I3178="TDN",I3178="TNO2-3",I3178="NO2-3")),VLOOKUP(E3178,QCUREA_N,2,),IF(H3178="PER",VLOOKUP(I3178,QCPER,MATCH(E3178,QCACTUAL!$J$25:$AA$25,0),),IF(H3178="SPK",VLOOKUP(I3178,QCSPK,3,),IF(AND(H3178="ATP",OR(I3178="TP",I3178="TDP")),VLOOKUP(E3178,QCATP_P,2,),""))))))))</f>
        <v/>
      </c>
      <c r="W3178" s="31" t="str">
        <f t="shared" si="360"/>
        <v>TRUE</v>
      </c>
      <c r="X3178" s="31" t="str">
        <f t="shared" si="357"/>
        <v/>
      </c>
      <c r="Y3178" s="10" t="s">
        <v>1222</v>
      </c>
      <c r="AF3178" s="12">
        <v>44973</v>
      </c>
      <c r="AJ3178" s="10">
        <f>0.1303*14.9^2+171.81*14.9-89.924</f>
        <v>2498.9729029999999</v>
      </c>
      <c r="AK3178" s="10">
        <f>-0.033*14.9^2+178.81*14.9-104.93</f>
        <v>2552.0126700000005</v>
      </c>
      <c r="AL3178" s="10" t="str">
        <f t="shared" si="362"/>
        <v>FALSE</v>
      </c>
      <c r="AM3178" s="10" t="str">
        <f t="shared" si="362"/>
        <v>FALSE</v>
      </c>
      <c r="AN3178" s="10" t="str">
        <f t="shared" si="362"/>
        <v>FALSE</v>
      </c>
      <c r="AO3178" s="10" t="str">
        <f t="shared" si="363"/>
        <v>y=0.1303*14.9^2+171.81*14.9-89.924</v>
      </c>
      <c r="AP3178" s="10" t="str">
        <f t="shared" si="363"/>
        <v>y=-0.033*14.9^2+178.81*14.9-104.93</v>
      </c>
      <c r="AQ3178" s="10" t="b">
        <f>IF(AND(I3178="TP",S3178&lt;=150),VLOOKUP(AF3178,TPCalibEq150!$AZ$2:$BB$55,3,),IF(AND(I3178="TDP",S3178&lt;=150),VLOOKUP(AF3178,TPCalibEq150!$AZ$2:$BB$55,3,)))</f>
        <v>0</v>
      </c>
      <c r="AR3178" s="10" t="b">
        <f>IF(AND(I3178="TP",S3178&lt;=300),VLOOKUP(AF3178,TPCalibEq300!$AZ$2:$BB$55,3,),IF(AND(I3178="TDP",S3178&lt;=300),VLOOKUP(AF3178,TPCalibEq300!$AZ$2:$BB$55,3,)))</f>
        <v>0</v>
      </c>
      <c r="AS3178" s="10" t="b">
        <f>IF(AND(I3178="TP",S3178&lt;=500),VLOOKUP(AF3178,TPCalibEq500!$AZ$2:$BB$56,3,),IF(AND(I3178="TDP",S3178&lt;=500),VLOOKUP(AF3178,TPCalibEq500!$AZ$2:$BB$56,3,)))</f>
        <v>0</v>
      </c>
      <c r="AT3178" s="10" t="str">
        <f>IF(AND(I3178="TN",S3178&lt;=2800),VLOOKUP(AF3178,TNCalibEq2500!$AZ$2:$BB$56,3,),IF(AND(I3178="TDN",S3178&lt;=2800),VLOOKUP(AF3178,TNCalibEq2500!$AZ$2:$BB$56,3,)))</f>
        <v>y=0.1303x2+171.81x-89.924</v>
      </c>
      <c r="AU3178" s="10" t="str">
        <f>IF(I3178="TP",VLOOKUP(AF3178,TPCalibEqFull!$AZ$2:$BB$56,3),IF(I3178="TDP",VLOOKUP(AF3178,TPCalibEqFull!$AZ$2:$BB$56,3),IF(I3178="TDN",VLOOKUP(AF3178,TNCalibEqFull!$AZ$1:$BB$56,3),IF(I3178="TN",VLOOKUP(AF3178,TNCalibEqFull!$AZ$1:$BB$56,3),FALSE))))</f>
        <v>y=-0.033x2+178.81x-104.93</v>
      </c>
      <c r="AV3178" s="10" t="str">
        <f t="shared" si="361"/>
        <v>0215 09:00:00-QAC-STD-D.C-1-DI-CAL</v>
      </c>
    </row>
    <row r="3179" spans="1:48" s="10" customFormat="1" x14ac:dyDescent="0.55000000000000004">
      <c r="A3179" s="32">
        <v>44972</v>
      </c>
      <c r="B3179" s="33">
        <v>0.375</v>
      </c>
      <c r="C3179" s="10" t="s">
        <v>70</v>
      </c>
      <c r="D3179" s="10" t="s">
        <v>71</v>
      </c>
      <c r="E3179" s="10" t="s">
        <v>923</v>
      </c>
      <c r="F3179" s="10">
        <v>1</v>
      </c>
      <c r="G3179" s="10" t="s">
        <v>73</v>
      </c>
      <c r="H3179" s="10" t="s">
        <v>74</v>
      </c>
      <c r="I3179" s="10" t="s">
        <v>235</v>
      </c>
      <c r="J3179" s="10">
        <v>187</v>
      </c>
      <c r="K3179" s="12">
        <v>44973</v>
      </c>
      <c r="L3179" s="33">
        <v>0.44225694444444441</v>
      </c>
      <c r="M3179" s="10">
        <v>1</v>
      </c>
      <c r="N3179" s="10" t="s">
        <v>196</v>
      </c>
      <c r="O3179" s="10">
        <v>21.1</v>
      </c>
      <c r="P3179" s="10">
        <v>1.02</v>
      </c>
      <c r="Q3179" s="10">
        <v>3750</v>
      </c>
      <c r="R3179" s="10" t="s">
        <v>170</v>
      </c>
      <c r="S3179" s="34">
        <f t="shared" si="358"/>
        <v>3750</v>
      </c>
      <c r="T3179" s="10" t="s">
        <v>1228</v>
      </c>
      <c r="U3179" s="34" t="str">
        <f t="shared" si="359"/>
        <v/>
      </c>
      <c r="V3179" s="31" t="str">
        <f>IF(H3179="CHK",VLOOKUP(I3179,QCCHK,3,),IF(H3179="GUP",VLOOKUP(E3179,QCGUP,2,),IF(AND(H3179="ATP",OR(I3179="TN",I3179="TDN",I3179="TNO2-3",I3179="NO2-3")),VLOOKUP(E3179,QCREC_N,2,),IF(AND(H3179="NIC",OR(I3179="TN",I3179="TDN",I3179="TNO2-3",I3179="NO2-3")),VLOOKUP(E3179,QCNIC_N,2,),IF(AND(H3179="UREA",OR(I3179="TN",I3179="TDN",I3179="TNO2-3",I3179="NO2-3")),VLOOKUP(E3179,QCUREA_N,2,),IF(H3179="PER",VLOOKUP(I3179,QCPER,MATCH(E3179,QCACTUAL!$J$25:$AA$25,0),),IF(H3179="SPK",VLOOKUP(I3179,QCSPK,3,),IF(AND(H3179="ATP",OR(I3179="TP",I3179="TDP")),VLOOKUP(E3179,QCATP_P,2,),""))))))))</f>
        <v/>
      </c>
      <c r="W3179" s="31" t="str">
        <f t="shared" si="360"/>
        <v>TRUE</v>
      </c>
      <c r="X3179" s="31" t="str">
        <f t="shared" si="357"/>
        <v/>
      </c>
      <c r="Y3179" s="10" t="s">
        <v>1222</v>
      </c>
      <c r="AF3179" s="12">
        <v>44973</v>
      </c>
      <c r="AK3179" s="10">
        <f>-0.033*21.1^2+178.81*21.1-104.93</f>
        <v>3653.2690700000003</v>
      </c>
      <c r="AL3179" s="10" t="str">
        <f t="shared" si="362"/>
        <v>FALSE</v>
      </c>
      <c r="AM3179" s="10" t="str">
        <f t="shared" si="362"/>
        <v>FALSE</v>
      </c>
      <c r="AN3179" s="10" t="str">
        <f t="shared" si="362"/>
        <v>FALSE</v>
      </c>
      <c r="AO3179" s="10" t="str">
        <f t="shared" si="363"/>
        <v>FALSE</v>
      </c>
      <c r="AP3179" s="10" t="str">
        <f t="shared" si="363"/>
        <v>y=-0.033*21.1^2+178.81*21.1-104.93</v>
      </c>
      <c r="AQ3179" s="10" t="b">
        <f>IF(AND(I3179="TP",S3179&lt;=150),VLOOKUP(AF3179,TPCalibEq150!$AZ$2:$BB$55,3,),IF(AND(I3179="TDP",S3179&lt;=150),VLOOKUP(AF3179,TPCalibEq150!$AZ$2:$BB$55,3,)))</f>
        <v>0</v>
      </c>
      <c r="AR3179" s="10" t="b">
        <f>IF(AND(I3179="TP",S3179&lt;=300),VLOOKUP(AF3179,TPCalibEq300!$AZ$2:$BB$55,3,),IF(AND(I3179="TDP",S3179&lt;=300),VLOOKUP(AF3179,TPCalibEq300!$AZ$2:$BB$55,3,)))</f>
        <v>0</v>
      </c>
      <c r="AS3179" s="10" t="b">
        <f>IF(AND(I3179="TP",S3179&lt;=500),VLOOKUP(AF3179,TPCalibEq500!$AZ$2:$BB$56,3,),IF(AND(I3179="TDP",S3179&lt;=500),VLOOKUP(AF3179,TPCalibEq500!$AZ$2:$BB$56,3,)))</f>
        <v>0</v>
      </c>
      <c r="AT3179" s="10" t="b">
        <f>IF(AND(I3179="TN",S3179&lt;=2800),VLOOKUP(AF3179,TNCalibEq2500!$AZ$2:$BB$56,3,),IF(AND(I3179="TDN",S3179&lt;=2800),VLOOKUP(AF3179,TNCalibEq2500!$AZ$2:$BB$56,3,)))</f>
        <v>0</v>
      </c>
      <c r="AU3179" s="10" t="str">
        <f>IF(I3179="TP",VLOOKUP(AF3179,TPCalibEqFull!$AZ$2:$BB$56,3),IF(I3179="TDP",VLOOKUP(AF3179,TPCalibEqFull!$AZ$2:$BB$56,3),IF(I3179="TDN",VLOOKUP(AF3179,TNCalibEqFull!$AZ$1:$BB$56,3),IF(I3179="TN",VLOOKUP(AF3179,TNCalibEqFull!$AZ$1:$BB$56,3),FALSE))))</f>
        <v>y=-0.033x2+178.81x-104.93</v>
      </c>
      <c r="AV3179" s="10" t="str">
        <f t="shared" si="361"/>
        <v>0215 09:00:00-QAC-STD-D.B-1-DI-CAL</v>
      </c>
    </row>
    <row r="3180" spans="1:48" s="10" customFormat="1" x14ac:dyDescent="0.55000000000000004">
      <c r="A3180" s="32">
        <v>44972</v>
      </c>
      <c r="B3180" s="33">
        <v>0.375</v>
      </c>
      <c r="C3180" s="10" t="s">
        <v>70</v>
      </c>
      <c r="D3180" s="10" t="s">
        <v>71</v>
      </c>
      <c r="E3180" s="10" t="s">
        <v>924</v>
      </c>
      <c r="F3180" s="10">
        <v>1</v>
      </c>
      <c r="G3180" s="10" t="s">
        <v>73</v>
      </c>
      <c r="H3180" s="10" t="s">
        <v>74</v>
      </c>
      <c r="I3180" s="10" t="s">
        <v>235</v>
      </c>
      <c r="J3180" s="10">
        <v>188</v>
      </c>
      <c r="K3180" s="12">
        <v>44973</v>
      </c>
      <c r="L3180" s="33">
        <v>0.44292824074074072</v>
      </c>
      <c r="M3180" s="10">
        <v>1</v>
      </c>
      <c r="N3180" s="10" t="s">
        <v>196</v>
      </c>
      <c r="O3180" s="10">
        <v>28.9</v>
      </c>
      <c r="P3180" s="10">
        <v>1.38</v>
      </c>
      <c r="Q3180" s="10">
        <v>5000</v>
      </c>
      <c r="R3180" s="10" t="s">
        <v>170</v>
      </c>
      <c r="S3180" s="34">
        <f t="shared" si="358"/>
        <v>5000</v>
      </c>
      <c r="T3180" s="10" t="s">
        <v>1229</v>
      </c>
      <c r="U3180" s="34" t="str">
        <f t="shared" si="359"/>
        <v/>
      </c>
      <c r="V3180" s="31" t="str">
        <f>IF(H3180="CHK",VLOOKUP(I3180,QCCHK,3,),IF(H3180="GUP",VLOOKUP(E3180,QCGUP,2,),IF(AND(H3180="ATP",OR(I3180="TN",I3180="TDN",I3180="TNO2-3",I3180="NO2-3")),VLOOKUP(E3180,QCREC_N,2,),IF(AND(H3180="NIC",OR(I3180="TN",I3180="TDN",I3180="TNO2-3",I3180="NO2-3")),VLOOKUP(E3180,QCNIC_N,2,),IF(AND(H3180="UREA",OR(I3180="TN",I3180="TDN",I3180="TNO2-3",I3180="NO2-3")),VLOOKUP(E3180,QCUREA_N,2,),IF(H3180="PER",VLOOKUP(I3180,QCPER,MATCH(E3180,QCACTUAL!$J$25:$AA$25,0),),IF(H3180="SPK",VLOOKUP(I3180,QCSPK,3,),IF(AND(H3180="ATP",OR(I3180="TP",I3180="TDP")),VLOOKUP(E3180,QCATP_P,2,),""))))))))</f>
        <v/>
      </c>
      <c r="W3180" s="31" t="str">
        <f t="shared" si="360"/>
        <v>TRUE</v>
      </c>
      <c r="X3180" s="31" t="str">
        <f t="shared" si="357"/>
        <v/>
      </c>
      <c r="Y3180" s="10" t="s">
        <v>1222</v>
      </c>
      <c r="AF3180" s="12">
        <v>44973</v>
      </c>
      <c r="AK3180" s="10">
        <f>-0.033*28.9^2+178.81*28.9-104.93</f>
        <v>5035.1170699999993</v>
      </c>
      <c r="AL3180" s="10" t="str">
        <f t="shared" si="362"/>
        <v>FALSE</v>
      </c>
      <c r="AM3180" s="10" t="str">
        <f t="shared" si="362"/>
        <v>FALSE</v>
      </c>
      <c r="AN3180" s="10" t="str">
        <f t="shared" si="362"/>
        <v>FALSE</v>
      </c>
      <c r="AO3180" s="10" t="str">
        <f t="shared" si="363"/>
        <v>FALSE</v>
      </c>
      <c r="AP3180" s="10" t="str">
        <f t="shared" si="363"/>
        <v>y=-0.033*28.9^2+178.81*28.9-104.93</v>
      </c>
      <c r="AQ3180" s="10" t="b">
        <f>IF(AND(I3180="TP",S3180&lt;=150),VLOOKUP(AF3180,TPCalibEq150!$AZ$2:$BB$55,3,),IF(AND(I3180="TDP",S3180&lt;=150),VLOOKUP(AF3180,TPCalibEq150!$AZ$2:$BB$55,3,)))</f>
        <v>0</v>
      </c>
      <c r="AR3180" s="10" t="b">
        <f>IF(AND(I3180="TP",S3180&lt;=300),VLOOKUP(AF3180,TPCalibEq300!$AZ$2:$BB$55,3,),IF(AND(I3180="TDP",S3180&lt;=300),VLOOKUP(AF3180,TPCalibEq300!$AZ$2:$BB$55,3,)))</f>
        <v>0</v>
      </c>
      <c r="AS3180" s="10" t="b">
        <f>IF(AND(I3180="TP",S3180&lt;=500),VLOOKUP(AF3180,TPCalibEq500!$AZ$2:$BB$56,3,),IF(AND(I3180="TDP",S3180&lt;=500),VLOOKUP(AF3180,TPCalibEq500!$AZ$2:$BB$56,3,)))</f>
        <v>0</v>
      </c>
      <c r="AT3180" s="10" t="b">
        <f>IF(AND(I3180="TN",S3180&lt;=2800),VLOOKUP(AF3180,TNCalibEq2500!$AZ$2:$BB$56,3,),IF(AND(I3180="TDN",S3180&lt;=2800),VLOOKUP(AF3180,TNCalibEq2500!$AZ$2:$BB$56,3,)))</f>
        <v>0</v>
      </c>
      <c r="AU3180" s="10" t="str">
        <f>IF(I3180="TP",VLOOKUP(AF3180,TPCalibEqFull!$AZ$2:$BB$56,3),IF(I3180="TDP",VLOOKUP(AF3180,TPCalibEqFull!$AZ$2:$BB$56,3),IF(I3180="TDN",VLOOKUP(AF3180,TNCalibEqFull!$AZ$1:$BB$56,3),IF(I3180="TN",VLOOKUP(AF3180,TNCalibEqFull!$AZ$1:$BB$56,3),FALSE))))</f>
        <v>y=-0.033x2+178.81x-104.93</v>
      </c>
      <c r="AV3180" s="10" t="str">
        <f t="shared" si="361"/>
        <v>0215 09:00:00-QAC-STD-D.A-1-DI-CAL</v>
      </c>
    </row>
    <row r="3181" spans="1:48" s="10" customFormat="1" x14ac:dyDescent="0.55000000000000004">
      <c r="A3181" s="32">
        <v>44972</v>
      </c>
      <c r="B3181" s="33">
        <v>0.375</v>
      </c>
      <c r="C3181" s="10" t="s">
        <v>70</v>
      </c>
      <c r="D3181" s="10" t="s">
        <v>241</v>
      </c>
      <c r="E3181" s="10" t="s">
        <v>866</v>
      </c>
      <c r="F3181" s="10">
        <v>1</v>
      </c>
      <c r="G3181" s="10" t="s">
        <v>73</v>
      </c>
      <c r="H3181" s="10" t="s">
        <v>283</v>
      </c>
      <c r="I3181" s="10" t="s">
        <v>235</v>
      </c>
      <c r="J3181" s="10">
        <v>198</v>
      </c>
      <c r="K3181" s="12">
        <v>44973</v>
      </c>
      <c r="L3181" s="33">
        <v>0.44427083333333334</v>
      </c>
      <c r="M3181" s="10">
        <v>1</v>
      </c>
      <c r="N3181" s="10" t="s">
        <v>196</v>
      </c>
      <c r="O3181" s="10">
        <v>0.56299999999999994</v>
      </c>
      <c r="P3181" s="10">
        <v>2.7E-2</v>
      </c>
      <c r="Q3181" s="10">
        <v>-3.2</v>
      </c>
      <c r="R3181" s="10" t="s">
        <v>170</v>
      </c>
      <c r="S3181" s="34">
        <f t="shared" si="358"/>
        <v>6.8463310606999812</v>
      </c>
      <c r="T3181" s="10" t="s">
        <v>1229</v>
      </c>
      <c r="U3181" s="34">
        <f t="shared" si="359"/>
        <v>6.8463310606999812</v>
      </c>
      <c r="V3181" s="31" t="str">
        <f>IF(H3181="CHK",VLOOKUP(I3181,QCCHK,3,),IF(H3181="GUP",VLOOKUP(E3181,QCGUP,2,),IF(AND(H3181="ATP",OR(I3181="TN",I3181="TDN",I3181="TNO2-3",I3181="NO2-3")),VLOOKUP(E3181,QCREC_N,2,),IF(AND(H3181="NIC",OR(I3181="TN",I3181="TDN",I3181="TNO2-3",I3181="NO2-3")),VLOOKUP(E3181,QCNIC_N,2,),IF(AND(H3181="UREA",OR(I3181="TN",I3181="TDN",I3181="TNO2-3",I3181="NO2-3")),VLOOKUP(E3181,QCUREA_N,2,),IF(H3181="PER",VLOOKUP(I3181,QCPER,MATCH(E3181,QCACTUAL!$J$25:$AA$25,0),),IF(H3181="SPK",VLOOKUP(I3181,QCSPK,3,),IF(AND(H3181="ATP",OR(I3181="TP",I3181="TDP")),VLOOKUP(E3181,QCATP_P,2,),""))))))))</f>
        <v/>
      </c>
      <c r="W3181" s="31" t="str">
        <f t="shared" si="360"/>
        <v>TRUE</v>
      </c>
      <c r="X3181" s="31" t="str">
        <f t="shared" si="357"/>
        <v>nominal concentration</v>
      </c>
      <c r="Y3181" s="10" t="s">
        <v>1222</v>
      </c>
      <c r="AF3181" s="12">
        <v>44973</v>
      </c>
      <c r="AJ3181" s="10">
        <f>0.1303*0.563^2+171.81*0.563-89.924</f>
        <v>6.8463310606999812</v>
      </c>
      <c r="AK3181" s="10">
        <f>-0.033*0.563^2+178.81*0.563-104.93</f>
        <v>-4.2704299770000063</v>
      </c>
      <c r="AL3181" s="10" t="str">
        <f t="shared" si="362"/>
        <v>FALSE</v>
      </c>
      <c r="AM3181" s="10" t="str">
        <f t="shared" si="362"/>
        <v>FALSE</v>
      </c>
      <c r="AN3181" s="10" t="str">
        <f t="shared" si="362"/>
        <v>FALSE</v>
      </c>
      <c r="AO3181" s="10" t="str">
        <f t="shared" si="363"/>
        <v>y=0.1303*0.563^2+171.81*0.563-89.924</v>
      </c>
      <c r="AP3181" s="10" t="str">
        <f t="shared" si="363"/>
        <v>y=-0.033*0.563^2+178.81*0.563-104.93</v>
      </c>
      <c r="AQ3181" s="10" t="b">
        <f>IF(AND(I3181="TP",S3181&lt;=150),VLOOKUP(AF3181,TPCalibEq150!$AZ$2:$BB$55,3,),IF(AND(I3181="TDP",S3181&lt;=150),VLOOKUP(AF3181,TPCalibEq150!$AZ$2:$BB$55,3,)))</f>
        <v>0</v>
      </c>
      <c r="AR3181" s="10" t="b">
        <f>IF(AND(I3181="TP",S3181&lt;=300),VLOOKUP(AF3181,TPCalibEq300!$AZ$2:$BB$55,3,),IF(AND(I3181="TDP",S3181&lt;=300),VLOOKUP(AF3181,TPCalibEq300!$AZ$2:$BB$55,3,)))</f>
        <v>0</v>
      </c>
      <c r="AS3181" s="10" t="b">
        <f>IF(AND(I3181="TP",S3181&lt;=500),VLOOKUP(AF3181,TPCalibEq500!$AZ$2:$BB$56,3,),IF(AND(I3181="TDP",S3181&lt;=500),VLOOKUP(AF3181,TPCalibEq500!$AZ$2:$BB$56,3,)))</f>
        <v>0</v>
      </c>
      <c r="AT3181" s="10" t="str">
        <f>IF(AND(I3181="TN",S3181&lt;=2800),VLOOKUP(AF3181,TNCalibEq2500!$AZ$2:$BB$56,3,),IF(AND(I3181="TDN",S3181&lt;=2800),VLOOKUP(AF3181,TNCalibEq2500!$AZ$2:$BB$56,3,)))</f>
        <v>y=0.1303x2+171.81x-89.924</v>
      </c>
      <c r="AU3181" s="10" t="str">
        <f>IF(I3181="TP",VLOOKUP(AF3181,TPCalibEqFull!$AZ$2:$BB$56,3),IF(I3181="TDP",VLOOKUP(AF3181,TPCalibEqFull!$AZ$2:$BB$56,3),IF(I3181="TDN",VLOOKUP(AF3181,TNCalibEqFull!$AZ$1:$BB$56,3),IF(I3181="TN",VLOOKUP(AF3181,TNCalibEqFull!$AZ$1:$BB$56,3),FALSE))))</f>
        <v>y=-0.033x2+178.81x-104.93</v>
      </c>
      <c r="AV3181" s="10" t="str">
        <f t="shared" si="361"/>
        <v>0215 09:00:00-QAC-BLK-A-1-DI-LAB</v>
      </c>
    </row>
    <row r="3182" spans="1:48" s="10" customFormat="1" x14ac:dyDescent="0.55000000000000004">
      <c r="A3182" s="32">
        <v>44972</v>
      </c>
      <c r="B3182" s="33">
        <v>0.375</v>
      </c>
      <c r="C3182" s="10" t="s">
        <v>70</v>
      </c>
      <c r="D3182" s="10" t="s">
        <v>241</v>
      </c>
      <c r="E3182" s="10" t="s">
        <v>866</v>
      </c>
      <c r="F3182" s="10">
        <v>1</v>
      </c>
      <c r="G3182" s="10" t="s">
        <v>73</v>
      </c>
      <c r="H3182" s="10" t="s">
        <v>314</v>
      </c>
      <c r="I3182" s="10" t="s">
        <v>235</v>
      </c>
      <c r="J3182" s="10">
        <v>225</v>
      </c>
      <c r="K3182" s="12">
        <v>44973</v>
      </c>
      <c r="L3182" s="33">
        <v>0.44494212962962965</v>
      </c>
      <c r="M3182" s="10">
        <v>1</v>
      </c>
      <c r="N3182" s="10" t="s">
        <v>196</v>
      </c>
      <c r="O3182" s="10">
        <v>15</v>
      </c>
      <c r="P3182" s="10">
        <v>0.72099999999999997</v>
      </c>
      <c r="Q3182" s="10">
        <v>2560</v>
      </c>
      <c r="R3182" s="10" t="s">
        <v>170</v>
      </c>
      <c r="S3182" s="34">
        <f t="shared" si="358"/>
        <v>2569.7950000000001</v>
      </c>
      <c r="T3182" s="10" t="s">
        <v>1229</v>
      </c>
      <c r="U3182" s="34">
        <f t="shared" si="359"/>
        <v>102.51794675757199</v>
      </c>
      <c r="V3182" s="31">
        <f>IF(H3182="CHK",VLOOKUP(I3182,QCCHK,3,),IF(H3182="GUP",VLOOKUP(E3182,QCGUP,2,),IF(AND(H3182="ATP",OR(I3182="TN",I3182="TDN",I3182="TNO2-3",I3182="NO2-3")),VLOOKUP(E3182,QCREC_N,2,),IF(AND(H3182="NIC",OR(I3182="TN",I3182="TDN",I3182="TNO2-3",I3182="NO2-3")),VLOOKUP(E3182,QCNIC_N,2,),IF(AND(H3182="UREA",OR(I3182="TN",I3182="TDN",I3182="TNO2-3",I3182="NO2-3")),VLOOKUP(E3182,QCUREA_N,2,),IF(H3182="PER",VLOOKUP(I3182,QCPER,MATCH(E3182,QCACTUAL!$J$25:$AA$25,0),),IF(H3182="SPK",VLOOKUP(I3182,QCSPK,3,),IF(AND(H3182="ATP",OR(I3182="TP",I3182="TDP")),VLOOKUP(E3182,QCATP_P,2,),""))))))))</f>
        <v>2500</v>
      </c>
      <c r="W3182" s="31" t="str">
        <f t="shared" si="360"/>
        <v>TRUE</v>
      </c>
      <c r="X3182" s="31" t="str">
        <f t="shared" si="357"/>
        <v>([spikedunkn]-[unkn])/[spike]*100</v>
      </c>
      <c r="Y3182" s="10" t="s">
        <v>1222</v>
      </c>
      <c r="AF3182" s="12">
        <v>44973</v>
      </c>
      <c r="AJ3182" s="10">
        <f>0.1303*15^2+171.81*15-89.924</f>
        <v>2516.5435000000002</v>
      </c>
      <c r="AK3182" s="10">
        <f>-0.033*15^2+178.81*15-104.93</f>
        <v>2569.7950000000001</v>
      </c>
      <c r="AL3182" s="10" t="str">
        <f t="shared" si="362"/>
        <v>FALSE</v>
      </c>
      <c r="AM3182" s="10" t="str">
        <f t="shared" si="362"/>
        <v>FALSE</v>
      </c>
      <c r="AN3182" s="10" t="str">
        <f t="shared" si="362"/>
        <v>FALSE</v>
      </c>
      <c r="AO3182" s="10" t="str">
        <f t="shared" si="363"/>
        <v>y=0.1303*15^2+171.81*15-89.924</v>
      </c>
      <c r="AP3182" s="10" t="str">
        <f t="shared" si="363"/>
        <v>y=-0.033*15^2+178.81*15-104.93</v>
      </c>
      <c r="AQ3182" s="10" t="b">
        <f>IF(AND(I3182="TP",S3182&lt;=150),VLOOKUP(AF3182,TPCalibEq150!$AZ$2:$BB$55,3,),IF(AND(I3182="TDP",S3182&lt;=150),VLOOKUP(AF3182,TPCalibEq150!$AZ$2:$BB$55,3,)))</f>
        <v>0</v>
      </c>
      <c r="AR3182" s="10" t="b">
        <f>IF(AND(I3182="TP",S3182&lt;=300),VLOOKUP(AF3182,TPCalibEq300!$AZ$2:$BB$55,3,),IF(AND(I3182="TDP",S3182&lt;=300),VLOOKUP(AF3182,TPCalibEq300!$AZ$2:$BB$55,3,)))</f>
        <v>0</v>
      </c>
      <c r="AS3182" s="10" t="b">
        <f>IF(AND(I3182="TP",S3182&lt;=500),VLOOKUP(AF3182,TPCalibEq500!$AZ$2:$BB$56,3,),IF(AND(I3182="TDP",S3182&lt;=500),VLOOKUP(AF3182,TPCalibEq500!$AZ$2:$BB$56,3,)))</f>
        <v>0</v>
      </c>
      <c r="AT3182" s="10" t="str">
        <f>IF(AND(I3182="TN",S3182&lt;=2800),VLOOKUP(AF3182,TNCalibEq2500!$AZ$2:$BB$56,3,),IF(AND(I3182="TDN",S3182&lt;=2800),VLOOKUP(AF3182,TNCalibEq2500!$AZ$2:$BB$56,3,)))</f>
        <v>y=0.1303x2+171.81x-89.924</v>
      </c>
      <c r="AU3182" s="10" t="str">
        <f>IF(I3182="TP",VLOOKUP(AF3182,TPCalibEqFull!$AZ$2:$BB$56,3),IF(I3182="TDP",VLOOKUP(AF3182,TPCalibEqFull!$AZ$2:$BB$56,3),IF(I3182="TDN",VLOOKUP(AF3182,TNCalibEqFull!$AZ$1:$BB$56,3),IF(I3182="TN",VLOOKUP(AF3182,TNCalibEqFull!$AZ$1:$BB$56,3),FALSE))))</f>
        <v>y=-0.033x2+178.81x-104.93</v>
      </c>
      <c r="AV3182" s="10" t="str">
        <f t="shared" si="361"/>
        <v>0215 09:00:00-QAC-BLK-A-1-DI-SPK</v>
      </c>
    </row>
    <row r="3183" spans="1:48" s="10" customFormat="1" x14ac:dyDescent="0.55000000000000004">
      <c r="A3183" s="32">
        <v>44972</v>
      </c>
      <c r="B3183" s="33">
        <v>0.375</v>
      </c>
      <c r="C3183" s="10" t="s">
        <v>70</v>
      </c>
      <c r="D3183" s="10" t="s">
        <v>71</v>
      </c>
      <c r="E3183" s="10" t="s">
        <v>948</v>
      </c>
      <c r="F3183" s="10">
        <v>1</v>
      </c>
      <c r="G3183" s="10" t="s">
        <v>73</v>
      </c>
      <c r="H3183" s="10" t="s">
        <v>299</v>
      </c>
      <c r="I3183" s="10" t="s">
        <v>235</v>
      </c>
      <c r="J3183" s="10">
        <v>197</v>
      </c>
      <c r="K3183" s="12">
        <v>44973</v>
      </c>
      <c r="L3183" s="33">
        <v>0.44562499999999999</v>
      </c>
      <c r="M3183" s="10">
        <v>1</v>
      </c>
      <c r="N3183" s="10" t="s">
        <v>196</v>
      </c>
      <c r="O3183" s="10">
        <v>10.8</v>
      </c>
      <c r="P3183" s="10">
        <v>0.52500000000000002</v>
      </c>
      <c r="Q3183" s="10">
        <v>1830</v>
      </c>
      <c r="R3183" s="10" t="s">
        <v>170</v>
      </c>
      <c r="S3183" s="34">
        <f t="shared" si="358"/>
        <v>1830</v>
      </c>
      <c r="T3183" s="10" t="s">
        <v>1229</v>
      </c>
      <c r="U3183" s="34">
        <f t="shared" si="359"/>
        <v>97.860962566844918</v>
      </c>
      <c r="V3183" s="31">
        <f>IF(H3183="CHK",VLOOKUP(I3183,QCCHK,3,),IF(H3183="GUP",VLOOKUP(E3183,QCGUP,2,),IF(AND(H3183="ATP",OR(I3183="TN",I3183="TDN",I3183="TNO2-3",I3183="NO2-3")),VLOOKUP(E3183,QCREC_N,2,),IF(AND(H3183="NIC",OR(I3183="TN",I3183="TDN",I3183="TNO2-3",I3183="NO2-3")),VLOOKUP(E3183,QCNIC_N,2,),IF(AND(H3183="UREA",OR(I3183="TN",I3183="TDN",I3183="TNO2-3",I3183="NO2-3")),VLOOKUP(E3183,QCUREA_N,2,),IF(H3183="PER",VLOOKUP(I3183,QCPER,MATCH(E3183,QCACTUAL!$J$25:$AA$25,0),),IF(H3183="SPK",VLOOKUP(I3183,QCSPK,3,),IF(AND(H3183="ATP",OR(I3183="TP",I3183="TDP")),VLOOKUP(E3183,QCATP_P,2,),""))))))))</f>
        <v>1870</v>
      </c>
      <c r="W3183" s="31" t="str">
        <f t="shared" si="360"/>
        <v>TRUE</v>
      </c>
      <c r="X3183" s="31" t="str">
        <f t="shared" si="357"/>
        <v>[per]/[actual]*100</v>
      </c>
      <c r="Y3183" s="10" t="s">
        <v>1222</v>
      </c>
      <c r="AF3183" s="12">
        <v>44973</v>
      </c>
      <c r="AJ3183" s="10">
        <f>0.1303*10.8^2+171.81*10.8-89.924</f>
        <v>1780.8221920000003</v>
      </c>
      <c r="AK3183" s="10">
        <f>-0.033*10.8^2+178.81*10.8-104.93</f>
        <v>1822.36888</v>
      </c>
      <c r="AL3183" s="10" t="str">
        <f t="shared" si="362"/>
        <v>FALSE</v>
      </c>
      <c r="AM3183" s="10" t="str">
        <f t="shared" si="362"/>
        <v>FALSE</v>
      </c>
      <c r="AN3183" s="10" t="str">
        <f t="shared" si="362"/>
        <v>FALSE</v>
      </c>
      <c r="AO3183" s="10" t="str">
        <f t="shared" si="363"/>
        <v>y=0.1303*10.8^2+171.81*10.8-89.924</v>
      </c>
      <c r="AP3183" s="10" t="str">
        <f t="shared" si="363"/>
        <v>y=-0.033*10.8^2+178.81*10.8-104.93</v>
      </c>
      <c r="AQ3183" s="10" t="b">
        <f>IF(AND(I3183="TP",S3183&lt;=150),VLOOKUP(AF3183,TPCalibEq150!$AZ$2:$BB$55,3,),IF(AND(I3183="TDP",S3183&lt;=150),VLOOKUP(AF3183,TPCalibEq150!$AZ$2:$BB$55,3,)))</f>
        <v>0</v>
      </c>
      <c r="AR3183" s="10" t="b">
        <f>IF(AND(I3183="TP",S3183&lt;=300),VLOOKUP(AF3183,TPCalibEq300!$AZ$2:$BB$55,3,),IF(AND(I3183="TDP",S3183&lt;=300),VLOOKUP(AF3183,TPCalibEq300!$AZ$2:$BB$55,3,)))</f>
        <v>0</v>
      </c>
      <c r="AS3183" s="10" t="b">
        <f>IF(AND(I3183="TP",S3183&lt;=500),VLOOKUP(AF3183,TPCalibEq500!$AZ$2:$BB$56,3,),IF(AND(I3183="TDP",S3183&lt;=500),VLOOKUP(AF3183,TPCalibEq500!$AZ$2:$BB$56,3,)))</f>
        <v>0</v>
      </c>
      <c r="AT3183" s="10" t="str">
        <f>IF(AND(I3183="TN",S3183&lt;=2800),VLOOKUP(AF3183,TNCalibEq2500!$AZ$2:$BB$56,3,),IF(AND(I3183="TDN",S3183&lt;=2800),VLOOKUP(AF3183,TNCalibEq2500!$AZ$2:$BB$56,3,)))</f>
        <v>y=0.1303x2+171.81x-89.924</v>
      </c>
      <c r="AU3183" s="10" t="str">
        <f>IF(I3183="TP",VLOOKUP(AF3183,TPCalibEqFull!$AZ$2:$BB$56,3),IF(I3183="TDP",VLOOKUP(AF3183,TPCalibEqFull!$AZ$2:$BB$56,3),IF(I3183="TDN",VLOOKUP(AF3183,TNCalibEqFull!$AZ$1:$BB$56,3),IF(I3183="TN",VLOOKUP(AF3183,TNCalibEqFull!$AZ$1:$BB$56,3),FALSE))))</f>
        <v>y=-0.033x2+178.81x-104.93</v>
      </c>
      <c r="AV3183" s="10" t="str">
        <f t="shared" si="361"/>
        <v>0215 09:00:00-QAC-STD-22A-1-DI-PER</v>
      </c>
    </row>
    <row r="3184" spans="1:48" s="10" customFormat="1" x14ac:dyDescent="0.55000000000000004">
      <c r="A3184" s="32">
        <v>44841</v>
      </c>
      <c r="B3184" s="33">
        <v>0.375</v>
      </c>
      <c r="C3184" s="10" t="s">
        <v>70</v>
      </c>
      <c r="D3184" s="10" t="s">
        <v>71</v>
      </c>
      <c r="E3184" s="10" t="s">
        <v>948</v>
      </c>
      <c r="F3184" s="10">
        <v>1</v>
      </c>
      <c r="G3184" s="10" t="s">
        <v>73</v>
      </c>
      <c r="H3184" s="10" t="s">
        <v>299</v>
      </c>
      <c r="I3184" s="10" t="s">
        <v>235</v>
      </c>
      <c r="J3184" s="10">
        <v>218</v>
      </c>
      <c r="K3184" s="12">
        <v>44973</v>
      </c>
      <c r="L3184" s="33">
        <v>0.4463078703703704</v>
      </c>
      <c r="M3184" s="10">
        <v>1</v>
      </c>
      <c r="N3184" s="10" t="s">
        <v>196</v>
      </c>
      <c r="O3184" s="10">
        <v>10.3</v>
      </c>
      <c r="P3184" s="10">
        <v>0.499</v>
      </c>
      <c r="Q3184" s="10">
        <v>1730</v>
      </c>
      <c r="R3184" s="10" t="s">
        <v>170</v>
      </c>
      <c r="S3184" s="34">
        <f t="shared" si="358"/>
        <v>1733.31203</v>
      </c>
      <c r="T3184" s="10" t="s">
        <v>1229</v>
      </c>
      <c r="U3184" s="34">
        <f t="shared" si="359"/>
        <v>92.69048288770054</v>
      </c>
      <c r="V3184" s="31">
        <f>IF(H3184="CHK",VLOOKUP(I3184,QCCHK,3,),IF(H3184="GUP",VLOOKUP(E3184,QCGUP,2,),IF(AND(H3184="ATP",OR(I3184="TN",I3184="TDN",I3184="TNO2-3",I3184="NO2-3")),VLOOKUP(E3184,QCREC_N,2,),IF(AND(H3184="NIC",OR(I3184="TN",I3184="TDN",I3184="TNO2-3",I3184="NO2-3")),VLOOKUP(E3184,QCNIC_N,2,),IF(AND(H3184="UREA",OR(I3184="TN",I3184="TDN",I3184="TNO2-3",I3184="NO2-3")),VLOOKUP(E3184,QCUREA_N,2,),IF(H3184="PER",VLOOKUP(I3184,QCPER,MATCH(E3184,QCACTUAL!$J$25:$AA$25,0),),IF(H3184="SPK",VLOOKUP(I3184,QCSPK,3,),IF(AND(H3184="ATP",OR(I3184="TP",I3184="TDP")),VLOOKUP(E3184,QCATP_P,2,),""))))))))</f>
        <v>1870</v>
      </c>
      <c r="W3184" s="31" t="str">
        <f t="shared" si="360"/>
        <v>TRUE</v>
      </c>
      <c r="X3184" s="31" t="str">
        <f t="shared" si="357"/>
        <v>[per]/[actual]*100</v>
      </c>
      <c r="Y3184" s="10" t="s">
        <v>1222</v>
      </c>
      <c r="AF3184" s="12">
        <v>44973</v>
      </c>
      <c r="AJ3184" s="10">
        <f>0.1303*10.3^2+171.81*10.3-89.924</f>
        <v>1693.5425270000003</v>
      </c>
      <c r="AK3184" s="10">
        <f>-0.033*10.3^2+178.81*10.3-104.93</f>
        <v>1733.31203</v>
      </c>
      <c r="AL3184" s="10" t="str">
        <f t="shared" si="362"/>
        <v>FALSE</v>
      </c>
      <c r="AM3184" s="10" t="str">
        <f t="shared" si="362"/>
        <v>FALSE</v>
      </c>
      <c r="AN3184" s="10" t="str">
        <f t="shared" si="362"/>
        <v>FALSE</v>
      </c>
      <c r="AO3184" s="10" t="str">
        <f t="shared" si="363"/>
        <v>y=0.1303*10.3^2+171.81*10.3-89.924</v>
      </c>
      <c r="AP3184" s="10" t="str">
        <f t="shared" si="363"/>
        <v>y=-0.033*10.3^2+178.81*10.3-104.93</v>
      </c>
      <c r="AQ3184" s="10" t="b">
        <f>IF(AND(I3184="TP",S3184&lt;=150),VLOOKUP(AF3184,TPCalibEq150!$AZ$2:$BB$55,3,),IF(AND(I3184="TDP",S3184&lt;=150),VLOOKUP(AF3184,TPCalibEq150!$AZ$2:$BB$55,3,)))</f>
        <v>0</v>
      </c>
      <c r="AR3184" s="10" t="b">
        <f>IF(AND(I3184="TP",S3184&lt;=300),VLOOKUP(AF3184,TPCalibEq300!$AZ$2:$BB$55,3,),IF(AND(I3184="TDP",S3184&lt;=300),VLOOKUP(AF3184,TPCalibEq300!$AZ$2:$BB$55,3,)))</f>
        <v>0</v>
      </c>
      <c r="AS3184" s="10" t="b">
        <f>IF(AND(I3184="TP",S3184&lt;=500),VLOOKUP(AF3184,TPCalibEq500!$AZ$2:$BB$56,3,),IF(AND(I3184="TDP",S3184&lt;=500),VLOOKUP(AF3184,TPCalibEq500!$AZ$2:$BB$56,3,)))</f>
        <v>0</v>
      </c>
      <c r="AT3184" s="10" t="str">
        <f>IF(AND(I3184="TN",S3184&lt;=2800),VLOOKUP(AF3184,TNCalibEq2500!$AZ$2:$BB$56,3,),IF(AND(I3184="TDN",S3184&lt;=2800),VLOOKUP(AF3184,TNCalibEq2500!$AZ$2:$BB$56,3,)))</f>
        <v>y=0.1303x2+171.81x-89.924</v>
      </c>
      <c r="AU3184" s="10" t="str">
        <f>IF(I3184="TP",VLOOKUP(AF3184,TPCalibEqFull!$AZ$2:$BB$56,3),IF(I3184="TDP",VLOOKUP(AF3184,TPCalibEqFull!$AZ$2:$BB$56,3),IF(I3184="TDN",VLOOKUP(AF3184,TNCalibEqFull!$AZ$1:$BB$56,3),IF(I3184="TN",VLOOKUP(AF3184,TNCalibEqFull!$AZ$1:$BB$56,3),FALSE))))</f>
        <v>y=-0.033x2+178.81x-104.93</v>
      </c>
      <c r="AV3184" s="10" t="str">
        <f t="shared" si="361"/>
        <v>1007 09:00:00-QAC-STD-22A-1-DI-PER</v>
      </c>
    </row>
    <row r="3185" spans="1:48" s="10" customFormat="1" x14ac:dyDescent="0.55000000000000004">
      <c r="A3185" s="32">
        <v>44972</v>
      </c>
      <c r="B3185" s="33">
        <v>0.375</v>
      </c>
      <c r="C3185" s="10" t="s">
        <v>70</v>
      </c>
      <c r="D3185" s="10" t="s">
        <v>305</v>
      </c>
      <c r="E3185" s="10" t="s">
        <v>866</v>
      </c>
      <c r="F3185" s="10">
        <v>1</v>
      </c>
      <c r="G3185" s="10" t="s">
        <v>73</v>
      </c>
      <c r="H3185" s="10" t="s">
        <v>274</v>
      </c>
      <c r="I3185" s="10" t="s">
        <v>235</v>
      </c>
      <c r="J3185" s="10">
        <v>204</v>
      </c>
      <c r="K3185" s="12">
        <v>44973</v>
      </c>
      <c r="L3185" s="33">
        <v>0.44699074074074074</v>
      </c>
      <c r="M3185" s="10">
        <v>1</v>
      </c>
      <c r="N3185" s="10" t="s">
        <v>196</v>
      </c>
      <c r="O3185" s="10">
        <v>5.8</v>
      </c>
      <c r="P3185" s="10">
        <v>0.28100000000000003</v>
      </c>
      <c r="Q3185" s="10">
        <v>930</v>
      </c>
      <c r="R3185" s="10" t="s">
        <v>170</v>
      </c>
      <c r="S3185" s="34">
        <f t="shared" si="358"/>
        <v>931.05787999999984</v>
      </c>
      <c r="T3185" s="10" t="s">
        <v>1229</v>
      </c>
      <c r="U3185" s="34">
        <f t="shared" si="359"/>
        <v>93.10578799999999</v>
      </c>
      <c r="V3185" s="31">
        <f>IF(H3185="CHK",VLOOKUP(I3185,QCCHK,3,),IF(H3185="GUP",VLOOKUP(E3185,QCGUP,2,),IF(AND(H3185="ATP",OR(I3185="TN",I3185="TDN",I3185="TNO2-3",I3185="NO2-3")),VLOOKUP(E3185,QCREC_N,2,),IF(AND(H3185="NIC",OR(I3185="TN",I3185="TDN",I3185="TNO2-3",I3185="NO2-3")),VLOOKUP(E3185,QCNIC_N,2,),IF(AND(H3185="UREA",OR(I3185="TN",I3185="TDN",I3185="TNO2-3",I3185="NO2-3")),VLOOKUP(E3185,QCUREA_N,2,),IF(H3185="PER",VLOOKUP(I3185,QCPER,MATCH(E3185,QCACTUAL!$J$25:$AA$25,0),),IF(H3185="SPK",VLOOKUP(I3185,QCSPK,3,),IF(AND(H3185="ATP",OR(I3185="TP",I3185="TDP")),VLOOKUP(E3185,QCATP_P,2,),""))))))))</f>
        <v>1000</v>
      </c>
      <c r="W3185" s="31" t="str">
        <f t="shared" si="360"/>
        <v>TRUE</v>
      </c>
      <c r="X3185" s="31" t="str">
        <f t="shared" si="357"/>
        <v>[rec]/[actual]*100</v>
      </c>
      <c r="Y3185" s="10" t="s">
        <v>1222</v>
      </c>
      <c r="AF3185" s="12">
        <v>44973</v>
      </c>
      <c r="AJ3185" s="10">
        <f>0.1303*5.8^2+171.81*5.8-89.924</f>
        <v>910.95729199999994</v>
      </c>
      <c r="AK3185" s="10">
        <f>-0.033*5.8^2+178.81*5.8-104.93</f>
        <v>931.05787999999984</v>
      </c>
      <c r="AL3185" s="10" t="str">
        <f t="shared" si="362"/>
        <v>FALSE</v>
      </c>
      <c r="AM3185" s="10" t="str">
        <f t="shared" si="362"/>
        <v>FALSE</v>
      </c>
      <c r="AN3185" s="10" t="str">
        <f t="shared" si="362"/>
        <v>FALSE</v>
      </c>
      <c r="AO3185" s="10" t="str">
        <f t="shared" si="363"/>
        <v>y=0.1303*5.8^2+171.81*5.8-89.924</v>
      </c>
      <c r="AP3185" s="10" t="str">
        <f t="shared" si="363"/>
        <v>y=-0.033*5.8^2+178.81*5.8-104.93</v>
      </c>
      <c r="AQ3185" s="10" t="b">
        <f>IF(AND(I3185="TP",S3185&lt;=150),VLOOKUP(AF3185,TPCalibEq150!$AZ$2:$BB$55,3,),IF(AND(I3185="TDP",S3185&lt;=150),VLOOKUP(AF3185,TPCalibEq150!$AZ$2:$BB$55,3,)))</f>
        <v>0</v>
      </c>
      <c r="AR3185" s="10" t="b">
        <f>IF(AND(I3185="TP",S3185&lt;=300),VLOOKUP(AF3185,TPCalibEq300!$AZ$2:$BB$55,3,),IF(AND(I3185="TDP",S3185&lt;=300),VLOOKUP(AF3185,TPCalibEq300!$AZ$2:$BB$55,3,)))</f>
        <v>0</v>
      </c>
      <c r="AS3185" s="10" t="b">
        <f>IF(AND(I3185="TP",S3185&lt;=500),VLOOKUP(AF3185,TPCalibEq500!$AZ$2:$BB$56,3,),IF(AND(I3185="TDP",S3185&lt;=500),VLOOKUP(AF3185,TPCalibEq500!$AZ$2:$BB$56,3,)))</f>
        <v>0</v>
      </c>
      <c r="AT3185" s="10" t="str">
        <f>IF(AND(I3185="TN",S3185&lt;=2800),VLOOKUP(AF3185,TNCalibEq2500!$AZ$2:$BB$56,3,),IF(AND(I3185="TDN",S3185&lt;=2800),VLOOKUP(AF3185,TNCalibEq2500!$AZ$2:$BB$56,3,)))</f>
        <v>y=0.1303x2+171.81x-89.924</v>
      </c>
      <c r="AU3185" s="10" t="str">
        <f>IF(I3185="TP",VLOOKUP(AF3185,TPCalibEqFull!$AZ$2:$BB$56,3),IF(I3185="TDP",VLOOKUP(AF3185,TPCalibEqFull!$AZ$2:$BB$56,3),IF(I3185="TDN",VLOOKUP(AF3185,TNCalibEqFull!$AZ$1:$BB$56,3),IF(I3185="TN",VLOOKUP(AF3185,TNCalibEqFull!$AZ$1:$BB$56,3),FALSE))))</f>
        <v>y=-0.033x2+178.81x-104.93</v>
      </c>
      <c r="AV3185" s="10" t="str">
        <f t="shared" si="361"/>
        <v>0215 09:00:00-QAC-REC-A-1-DI-GUP</v>
      </c>
    </row>
    <row r="3186" spans="1:48" s="10" customFormat="1" x14ac:dyDescent="0.55000000000000004">
      <c r="A3186" s="32">
        <v>44972</v>
      </c>
      <c r="B3186" s="33">
        <v>0.375</v>
      </c>
      <c r="C3186" s="10" t="s">
        <v>70</v>
      </c>
      <c r="D3186" s="10" t="s">
        <v>305</v>
      </c>
      <c r="E3186" s="10" t="s">
        <v>583</v>
      </c>
      <c r="F3186" s="10">
        <v>1</v>
      </c>
      <c r="G3186" s="10" t="s">
        <v>73</v>
      </c>
      <c r="H3186" s="10" t="s">
        <v>274</v>
      </c>
      <c r="I3186" s="10" t="s">
        <v>235</v>
      </c>
      <c r="J3186" s="10">
        <v>205</v>
      </c>
      <c r="K3186" s="12">
        <v>44973</v>
      </c>
      <c r="L3186" s="33">
        <v>0.44766203703703705</v>
      </c>
      <c r="M3186" s="10">
        <v>1</v>
      </c>
      <c r="N3186" s="10" t="s">
        <v>196</v>
      </c>
      <c r="O3186" s="10">
        <v>1.53</v>
      </c>
      <c r="P3186" s="10">
        <v>7.4499999999999997E-2</v>
      </c>
      <c r="Q3186" s="10">
        <v>170</v>
      </c>
      <c r="R3186" s="10" t="s">
        <v>170</v>
      </c>
      <c r="S3186" s="34">
        <f t="shared" si="358"/>
        <v>173.25031927000001</v>
      </c>
      <c r="T3186" s="10" t="s">
        <v>1229</v>
      </c>
      <c r="U3186" s="34">
        <f t="shared" si="359"/>
        <v>86.625159635000003</v>
      </c>
      <c r="V3186" s="31">
        <f>IF(H3186="CHK",VLOOKUP(I3186,QCCHK,3,),IF(H3186="GUP",VLOOKUP(E3186,QCGUP,2,),IF(AND(H3186="ATP",OR(I3186="TN",I3186="TDN",I3186="TNO2-3",I3186="NO2-3")),VLOOKUP(E3186,QCREC_N,2,),IF(AND(H3186="NIC",OR(I3186="TN",I3186="TDN",I3186="TNO2-3",I3186="NO2-3")),VLOOKUP(E3186,QCNIC_N,2,),IF(AND(H3186="UREA",OR(I3186="TN",I3186="TDN",I3186="TNO2-3",I3186="NO2-3")),VLOOKUP(E3186,QCUREA_N,2,),IF(H3186="PER",VLOOKUP(I3186,QCPER,MATCH(E3186,QCACTUAL!$J$25:$AA$25,0),),IF(H3186="SPK",VLOOKUP(I3186,QCSPK,3,),IF(AND(H3186="ATP",OR(I3186="TP",I3186="TDP")),VLOOKUP(E3186,QCATP_P,2,),""))))))))</f>
        <v>200</v>
      </c>
      <c r="W3186" s="31" t="str">
        <f t="shared" si="360"/>
        <v>TRUE</v>
      </c>
      <c r="X3186" s="31" t="str">
        <f t="shared" si="357"/>
        <v>[rec]/[actual]*100</v>
      </c>
      <c r="Y3186" s="10" t="s">
        <v>1222</v>
      </c>
      <c r="AF3186" s="12">
        <v>44973</v>
      </c>
      <c r="AJ3186" s="10">
        <f>0.1303*1.53^2+171.81*1.53-89.924</f>
        <v>173.25031927000001</v>
      </c>
      <c r="AK3186" s="10">
        <f>-0.033*1.53^2+178.81*1.53-104.93</f>
        <v>168.5720503</v>
      </c>
      <c r="AL3186" s="10" t="str">
        <f t="shared" si="362"/>
        <v>FALSE</v>
      </c>
      <c r="AM3186" s="10" t="str">
        <f t="shared" si="362"/>
        <v>FALSE</v>
      </c>
      <c r="AN3186" s="10" t="str">
        <f t="shared" si="362"/>
        <v>FALSE</v>
      </c>
      <c r="AO3186" s="10" t="str">
        <f t="shared" si="363"/>
        <v>y=0.1303*1.53^2+171.81*1.53-89.924</v>
      </c>
      <c r="AP3186" s="10" t="str">
        <f t="shared" si="363"/>
        <v>y=-0.033*1.53^2+178.81*1.53-104.93</v>
      </c>
      <c r="AQ3186" s="10" t="b">
        <f>IF(AND(I3186="TP",S3186&lt;=150),VLOOKUP(AF3186,TPCalibEq150!$AZ$2:$BB$55,3,),IF(AND(I3186="TDP",S3186&lt;=150),VLOOKUP(AF3186,TPCalibEq150!$AZ$2:$BB$55,3,)))</f>
        <v>0</v>
      </c>
      <c r="AR3186" s="10" t="b">
        <f>IF(AND(I3186="TP",S3186&lt;=300),VLOOKUP(AF3186,TPCalibEq300!$AZ$2:$BB$55,3,),IF(AND(I3186="TDP",S3186&lt;=300),VLOOKUP(AF3186,TPCalibEq300!$AZ$2:$BB$55,3,)))</f>
        <v>0</v>
      </c>
      <c r="AS3186" s="10" t="b">
        <f>IF(AND(I3186="TP",S3186&lt;=500),VLOOKUP(AF3186,TPCalibEq500!$AZ$2:$BB$56,3,),IF(AND(I3186="TDP",S3186&lt;=500),VLOOKUP(AF3186,TPCalibEq500!$AZ$2:$BB$56,3,)))</f>
        <v>0</v>
      </c>
      <c r="AT3186" s="10" t="str">
        <f>IF(AND(I3186="TN",S3186&lt;=2800),VLOOKUP(AF3186,TNCalibEq2500!$AZ$2:$BB$56,3,),IF(AND(I3186="TDN",S3186&lt;=2800),VLOOKUP(AF3186,TNCalibEq2500!$AZ$2:$BB$56,3,)))</f>
        <v>y=0.1303x2+171.81x-89.924</v>
      </c>
      <c r="AU3186" s="10" t="str">
        <f>IF(I3186="TP",VLOOKUP(AF3186,TPCalibEqFull!$AZ$2:$BB$56,3),IF(I3186="TDP",VLOOKUP(AF3186,TPCalibEqFull!$AZ$2:$BB$56,3),IF(I3186="TDN",VLOOKUP(AF3186,TNCalibEqFull!$AZ$1:$BB$56,3),IF(I3186="TN",VLOOKUP(AF3186,TNCalibEqFull!$AZ$1:$BB$56,3),FALSE))))</f>
        <v>y=-0.033x2+178.81x-104.93</v>
      </c>
      <c r="AV3186" s="10" t="str">
        <f t="shared" si="361"/>
        <v>0215 09:00:00-QAC-REC-B-1-DI-GUP</v>
      </c>
    </row>
    <row r="3187" spans="1:48" s="10" customFormat="1" x14ac:dyDescent="0.55000000000000004">
      <c r="A3187" s="32">
        <v>44972</v>
      </c>
      <c r="B3187" s="33">
        <v>0.375</v>
      </c>
      <c r="C3187" s="10" t="s">
        <v>70</v>
      </c>
      <c r="D3187" s="10" t="s">
        <v>305</v>
      </c>
      <c r="E3187" s="10" t="s">
        <v>190</v>
      </c>
      <c r="F3187" s="10">
        <v>1</v>
      </c>
      <c r="G3187" s="10" t="s">
        <v>73</v>
      </c>
      <c r="H3187" s="10" t="s">
        <v>274</v>
      </c>
      <c r="I3187" s="10" t="s">
        <v>235</v>
      </c>
      <c r="J3187" s="10">
        <v>206</v>
      </c>
      <c r="K3187" s="12">
        <v>44973</v>
      </c>
      <c r="L3187" s="33">
        <v>0.44834490740740746</v>
      </c>
      <c r="M3187" s="10">
        <v>1</v>
      </c>
      <c r="N3187" s="10" t="s">
        <v>196</v>
      </c>
      <c r="O3187" s="10">
        <v>1.01</v>
      </c>
      <c r="P3187" s="10">
        <v>4.8399999999999999E-2</v>
      </c>
      <c r="Q3187" s="10">
        <v>75.7</v>
      </c>
      <c r="R3187" s="10" t="s">
        <v>170</v>
      </c>
      <c r="S3187" s="34">
        <f t="shared" si="358"/>
        <v>83.737019029999999</v>
      </c>
      <c r="T3187" s="10" t="s">
        <v>1229</v>
      </c>
      <c r="U3187" s="34">
        <f t="shared" si="359"/>
        <v>83.737019029999999</v>
      </c>
      <c r="V3187" s="31">
        <f>IF(H3187="CHK",VLOOKUP(I3187,QCCHK,3,),IF(H3187="GUP",VLOOKUP(E3187,QCGUP,2,),IF(AND(H3187="ATP",OR(I3187="TN",I3187="TDN",I3187="TNO2-3",I3187="NO2-3")),VLOOKUP(E3187,QCREC_N,2,),IF(AND(H3187="NIC",OR(I3187="TN",I3187="TDN",I3187="TNO2-3",I3187="NO2-3")),VLOOKUP(E3187,QCNIC_N,2,),IF(AND(H3187="UREA",OR(I3187="TN",I3187="TDN",I3187="TNO2-3",I3187="NO2-3")),VLOOKUP(E3187,QCUREA_N,2,),IF(H3187="PER",VLOOKUP(I3187,QCPER,MATCH(E3187,QCACTUAL!$J$25:$AA$25,0),),IF(H3187="SPK",VLOOKUP(I3187,QCSPK,3,),IF(AND(H3187="ATP",OR(I3187="TP",I3187="TDP")),VLOOKUP(E3187,QCATP_P,2,),""))))))))</f>
        <v>100</v>
      </c>
      <c r="W3187" s="31" t="str">
        <f t="shared" si="360"/>
        <v>TRUE</v>
      </c>
      <c r="X3187" s="31" t="str">
        <f t="shared" si="357"/>
        <v>[rec]/[actual]*100</v>
      </c>
      <c r="Y3187" s="10" t="s">
        <v>1222</v>
      </c>
      <c r="AF3187" s="12">
        <v>44973</v>
      </c>
      <c r="AJ3187" s="10">
        <f>0.1303*1.01^2+171.81*1.01-89.924</f>
        <v>83.737019029999999</v>
      </c>
      <c r="AK3187" s="10">
        <f>-0.033*1.01^2+178.81*1.01-104.93</f>
        <v>75.634436700000009</v>
      </c>
      <c r="AL3187" s="10" t="str">
        <f t="shared" si="362"/>
        <v>FALSE</v>
      </c>
      <c r="AM3187" s="10" t="str">
        <f t="shared" si="362"/>
        <v>FALSE</v>
      </c>
      <c r="AN3187" s="10" t="str">
        <f t="shared" si="362"/>
        <v>FALSE</v>
      </c>
      <c r="AO3187" s="10" t="str">
        <f t="shared" si="363"/>
        <v>y=0.1303*1.01^2+171.81*1.01-89.924</v>
      </c>
      <c r="AP3187" s="10" t="str">
        <f t="shared" si="363"/>
        <v>y=-0.033*1.01^2+178.81*1.01-104.93</v>
      </c>
      <c r="AQ3187" s="10" t="b">
        <f>IF(AND(I3187="TP",S3187&lt;=150),VLOOKUP(AF3187,TPCalibEq150!$AZ$2:$BB$55,3,),IF(AND(I3187="TDP",S3187&lt;=150),VLOOKUP(AF3187,TPCalibEq150!$AZ$2:$BB$55,3,)))</f>
        <v>0</v>
      </c>
      <c r="AR3187" s="10" t="b">
        <f>IF(AND(I3187="TP",S3187&lt;=300),VLOOKUP(AF3187,TPCalibEq300!$AZ$2:$BB$55,3,),IF(AND(I3187="TDP",S3187&lt;=300),VLOOKUP(AF3187,TPCalibEq300!$AZ$2:$BB$55,3,)))</f>
        <v>0</v>
      </c>
      <c r="AS3187" s="10" t="b">
        <f>IF(AND(I3187="TP",S3187&lt;=500),VLOOKUP(AF3187,TPCalibEq500!$AZ$2:$BB$56,3,),IF(AND(I3187="TDP",S3187&lt;=500),VLOOKUP(AF3187,TPCalibEq500!$AZ$2:$BB$56,3,)))</f>
        <v>0</v>
      </c>
      <c r="AT3187" s="10" t="str">
        <f>IF(AND(I3187="TN",S3187&lt;=2800),VLOOKUP(AF3187,TNCalibEq2500!$AZ$2:$BB$56,3,),IF(AND(I3187="TDN",S3187&lt;=2800),VLOOKUP(AF3187,TNCalibEq2500!$AZ$2:$BB$56,3,)))</f>
        <v>y=0.1303x2+171.81x-89.924</v>
      </c>
      <c r="AU3187" s="10" t="str">
        <f>IF(I3187="TP",VLOOKUP(AF3187,TPCalibEqFull!$AZ$2:$BB$56,3),IF(I3187="TDP",VLOOKUP(AF3187,TPCalibEqFull!$AZ$2:$BB$56,3),IF(I3187="TDN",VLOOKUP(AF3187,TNCalibEqFull!$AZ$1:$BB$56,3),IF(I3187="TN",VLOOKUP(AF3187,TNCalibEqFull!$AZ$1:$BB$56,3),FALSE))))</f>
        <v>y=-0.033x2+178.81x-104.93</v>
      </c>
      <c r="AV3187" s="10" t="str">
        <f t="shared" si="361"/>
        <v>0215 09:00:00-QAC-REC-C-1-DI-GUP</v>
      </c>
    </row>
    <row r="3188" spans="1:48" s="10" customFormat="1" x14ac:dyDescent="0.55000000000000004">
      <c r="A3188" s="32">
        <v>44972</v>
      </c>
      <c r="B3188" s="33">
        <v>0.375</v>
      </c>
      <c r="C3188" s="10" t="s">
        <v>70</v>
      </c>
      <c r="D3188" s="10" t="s">
        <v>305</v>
      </c>
      <c r="E3188" s="10" t="s">
        <v>866</v>
      </c>
      <c r="F3188" s="10">
        <v>1</v>
      </c>
      <c r="G3188" s="10" t="s">
        <v>73</v>
      </c>
      <c r="H3188" s="10" t="s">
        <v>181</v>
      </c>
      <c r="I3188" s="10" t="s">
        <v>235</v>
      </c>
      <c r="J3188" s="10">
        <v>207</v>
      </c>
      <c r="K3188" s="12">
        <v>44973</v>
      </c>
      <c r="L3188" s="33">
        <v>0.44901620370370371</v>
      </c>
      <c r="M3188" s="10">
        <v>1</v>
      </c>
      <c r="N3188" s="10" t="s">
        <v>196</v>
      </c>
      <c r="O3188" s="10">
        <v>5.42</v>
      </c>
      <c r="P3188" s="10">
        <v>0.26100000000000001</v>
      </c>
      <c r="Q3188" s="10">
        <v>862</v>
      </c>
      <c r="R3188" s="10" t="s">
        <v>170</v>
      </c>
      <c r="S3188" s="34">
        <f t="shared" si="358"/>
        <v>863.25077880000003</v>
      </c>
      <c r="T3188" s="10" t="s">
        <v>1229</v>
      </c>
      <c r="U3188" s="34">
        <f t="shared" si="359"/>
        <v>86.325077879999995</v>
      </c>
      <c r="V3188" s="31">
        <f>IF(H3188="CHK",VLOOKUP(I3188,QCCHK,3,),IF(H3188="GUP",VLOOKUP(E3188,QCGUP,2,),IF(AND(H3188="ATP",OR(I3188="TN",I3188="TDN",I3188="TNO2-3",I3188="NO2-3")),VLOOKUP(E3188,QCREC_N,2,),IF(AND(H3188="NIC",OR(I3188="TN",I3188="TDN",I3188="TNO2-3",I3188="NO2-3")),VLOOKUP(E3188,QCNIC_N,2,),IF(AND(H3188="UREA",OR(I3188="TN",I3188="TDN",I3188="TNO2-3",I3188="NO2-3")),VLOOKUP(E3188,QCUREA_N,2,),IF(H3188="PER",VLOOKUP(I3188,QCPER,MATCH(E3188,QCACTUAL!$J$25:$AA$25,0),),IF(H3188="SPK",VLOOKUP(I3188,QCSPK,3,),IF(AND(H3188="ATP",OR(I3188="TP",I3188="TDP")),VLOOKUP(E3188,QCATP_P,2,),""))))))))</f>
        <v>1000</v>
      </c>
      <c r="W3188" s="31" t="str">
        <f t="shared" si="360"/>
        <v>TRUE</v>
      </c>
      <c r="X3188" s="31" t="str">
        <f t="shared" si="357"/>
        <v>[rec]/[actual]*100</v>
      </c>
      <c r="Y3188" s="10" t="s">
        <v>1222</v>
      </c>
      <c r="AF3188" s="12">
        <v>44973</v>
      </c>
      <c r="AJ3188" s="10">
        <f>0.1303*5.42^2+171.81*5.42-89.924</f>
        <v>845.11394491999999</v>
      </c>
      <c r="AK3188" s="10">
        <f>-0.033*5.42^2+178.81*5.42-104.93</f>
        <v>863.25077880000003</v>
      </c>
      <c r="AL3188" s="10" t="str">
        <f t="shared" si="362"/>
        <v>FALSE</v>
      </c>
      <c r="AM3188" s="10" t="str">
        <f t="shared" si="362"/>
        <v>FALSE</v>
      </c>
      <c r="AN3188" s="10" t="str">
        <f t="shared" si="362"/>
        <v>FALSE</v>
      </c>
      <c r="AO3188" s="10" t="str">
        <f t="shared" si="363"/>
        <v>y=0.1303*5.42^2+171.81*5.42-89.924</v>
      </c>
      <c r="AP3188" s="10" t="str">
        <f t="shared" si="363"/>
        <v>y=-0.033*5.42^2+178.81*5.42-104.93</v>
      </c>
      <c r="AQ3188" s="10" t="b">
        <f>IF(AND(I3188="TP",S3188&lt;=150),VLOOKUP(AF3188,TPCalibEq150!$AZ$2:$BB$55,3,),IF(AND(I3188="TDP",S3188&lt;=150),VLOOKUP(AF3188,TPCalibEq150!$AZ$2:$BB$55,3,)))</f>
        <v>0</v>
      </c>
      <c r="AR3188" s="10" t="b">
        <f>IF(AND(I3188="TP",S3188&lt;=300),VLOOKUP(AF3188,TPCalibEq300!$AZ$2:$BB$55,3,),IF(AND(I3188="TDP",S3188&lt;=300),VLOOKUP(AF3188,TPCalibEq300!$AZ$2:$BB$55,3,)))</f>
        <v>0</v>
      </c>
      <c r="AS3188" s="10" t="b">
        <f>IF(AND(I3188="TP",S3188&lt;=500),VLOOKUP(AF3188,TPCalibEq500!$AZ$2:$BB$56,3,),IF(AND(I3188="TDP",S3188&lt;=500),VLOOKUP(AF3188,TPCalibEq500!$AZ$2:$BB$56,3,)))</f>
        <v>0</v>
      </c>
      <c r="AT3188" s="10" t="str">
        <f>IF(AND(I3188="TN",S3188&lt;=2800),VLOOKUP(AF3188,TNCalibEq2500!$AZ$2:$BB$56,3,),IF(AND(I3188="TDN",S3188&lt;=2800),VLOOKUP(AF3188,TNCalibEq2500!$AZ$2:$BB$56,3,)))</f>
        <v>y=0.1303x2+171.81x-89.924</v>
      </c>
      <c r="AU3188" s="10" t="str">
        <f>IF(I3188="TP",VLOOKUP(AF3188,TPCalibEqFull!$AZ$2:$BB$56,3),IF(I3188="TDP",VLOOKUP(AF3188,TPCalibEqFull!$AZ$2:$BB$56,3),IF(I3188="TDN",VLOOKUP(AF3188,TNCalibEqFull!$AZ$1:$BB$56,3),IF(I3188="TN",VLOOKUP(AF3188,TNCalibEqFull!$AZ$1:$BB$56,3),FALSE))))</f>
        <v>y=-0.033x2+178.81x-104.93</v>
      </c>
      <c r="AV3188" s="10" t="str">
        <f t="shared" si="361"/>
        <v>0215 09:00:00-QAC-REC-A-1-DI-ATP</v>
      </c>
    </row>
    <row r="3189" spans="1:48" s="10" customFormat="1" x14ac:dyDescent="0.55000000000000004">
      <c r="A3189" s="32">
        <v>44972</v>
      </c>
      <c r="B3189" s="33">
        <v>0.375</v>
      </c>
      <c r="C3189" s="10" t="s">
        <v>70</v>
      </c>
      <c r="D3189" s="10" t="s">
        <v>305</v>
      </c>
      <c r="E3189" s="10" t="s">
        <v>583</v>
      </c>
      <c r="F3189" s="10">
        <v>1</v>
      </c>
      <c r="G3189" s="10" t="s">
        <v>73</v>
      </c>
      <c r="H3189" s="10" t="s">
        <v>181</v>
      </c>
      <c r="I3189" s="10" t="s">
        <v>235</v>
      </c>
      <c r="J3189" s="10">
        <v>208</v>
      </c>
      <c r="K3189" s="12">
        <v>44973</v>
      </c>
      <c r="L3189" s="33">
        <v>0.44969907407407406</v>
      </c>
      <c r="M3189" s="10">
        <v>1</v>
      </c>
      <c r="N3189" s="10" t="s">
        <v>196</v>
      </c>
      <c r="O3189" s="10">
        <v>1.46</v>
      </c>
      <c r="P3189" s="10">
        <v>7.0400000000000004E-2</v>
      </c>
      <c r="Q3189" s="10">
        <v>156</v>
      </c>
      <c r="R3189" s="10" t="s">
        <v>170</v>
      </c>
      <c r="S3189" s="34">
        <f t="shared" si="358"/>
        <v>161.19634747999999</v>
      </c>
      <c r="T3189" s="10" t="s">
        <v>1229</v>
      </c>
      <c r="U3189" s="34">
        <f t="shared" si="359"/>
        <v>80.598173739999993</v>
      </c>
      <c r="V3189" s="31">
        <f>IF(H3189="CHK",VLOOKUP(I3189,QCCHK,3,),IF(H3189="GUP",VLOOKUP(E3189,QCGUP,2,),IF(AND(H3189="ATP",OR(I3189="TN",I3189="TDN",I3189="TNO2-3",I3189="NO2-3")),VLOOKUP(E3189,QCREC_N,2,),IF(AND(H3189="NIC",OR(I3189="TN",I3189="TDN",I3189="TNO2-3",I3189="NO2-3")),VLOOKUP(E3189,QCNIC_N,2,),IF(AND(H3189="UREA",OR(I3189="TN",I3189="TDN",I3189="TNO2-3",I3189="NO2-3")),VLOOKUP(E3189,QCUREA_N,2,),IF(H3189="PER",VLOOKUP(I3189,QCPER,MATCH(E3189,QCACTUAL!$J$25:$AA$25,0),),IF(H3189="SPK",VLOOKUP(I3189,QCSPK,3,),IF(AND(H3189="ATP",OR(I3189="TP",I3189="TDP")),VLOOKUP(E3189,QCATP_P,2,),""))))))))</f>
        <v>200</v>
      </c>
      <c r="W3189" s="31" t="str">
        <f t="shared" si="360"/>
        <v>TRUE</v>
      </c>
      <c r="X3189" s="31" t="str">
        <f t="shared" si="357"/>
        <v>[rec]/[actual]*100</v>
      </c>
      <c r="Y3189" s="10" t="s">
        <v>1222</v>
      </c>
      <c r="AF3189" s="12">
        <v>44973</v>
      </c>
      <c r="AJ3189" s="10">
        <f>0.1303*1.46^2+171.81*1.46-89.924</f>
        <v>161.19634747999999</v>
      </c>
      <c r="AK3189" s="10">
        <f>-0.033*1.46^2+178.81*1.46-104.93</f>
        <v>156.06225719999998</v>
      </c>
      <c r="AL3189" s="10" t="str">
        <f t="shared" si="362"/>
        <v>FALSE</v>
      </c>
      <c r="AM3189" s="10" t="str">
        <f t="shared" si="362"/>
        <v>FALSE</v>
      </c>
      <c r="AN3189" s="10" t="str">
        <f t="shared" si="362"/>
        <v>FALSE</v>
      </c>
      <c r="AO3189" s="10" t="str">
        <f t="shared" si="363"/>
        <v>y=0.1303*1.46^2+171.81*1.46-89.924</v>
      </c>
      <c r="AP3189" s="10" t="str">
        <f t="shared" si="363"/>
        <v>y=-0.033*1.46^2+178.81*1.46-104.93</v>
      </c>
      <c r="AQ3189" s="10" t="b">
        <f>IF(AND(I3189="TP",S3189&lt;=150),VLOOKUP(AF3189,TPCalibEq150!$AZ$2:$BB$55,3,),IF(AND(I3189="TDP",S3189&lt;=150),VLOOKUP(AF3189,TPCalibEq150!$AZ$2:$BB$55,3,)))</f>
        <v>0</v>
      </c>
      <c r="AR3189" s="10" t="b">
        <f>IF(AND(I3189="TP",S3189&lt;=300),VLOOKUP(AF3189,TPCalibEq300!$AZ$2:$BB$55,3,),IF(AND(I3189="TDP",S3189&lt;=300),VLOOKUP(AF3189,TPCalibEq300!$AZ$2:$BB$55,3,)))</f>
        <v>0</v>
      </c>
      <c r="AS3189" s="10" t="b">
        <f>IF(AND(I3189="TP",S3189&lt;=500),VLOOKUP(AF3189,TPCalibEq500!$AZ$2:$BB$56,3,),IF(AND(I3189="TDP",S3189&lt;=500),VLOOKUP(AF3189,TPCalibEq500!$AZ$2:$BB$56,3,)))</f>
        <v>0</v>
      </c>
      <c r="AT3189" s="10" t="str">
        <f>IF(AND(I3189="TN",S3189&lt;=2800),VLOOKUP(AF3189,TNCalibEq2500!$AZ$2:$BB$56,3,),IF(AND(I3189="TDN",S3189&lt;=2800),VLOOKUP(AF3189,TNCalibEq2500!$AZ$2:$BB$56,3,)))</f>
        <v>y=0.1303x2+171.81x-89.924</v>
      </c>
      <c r="AU3189" s="10" t="str">
        <f>IF(I3189="TP",VLOOKUP(AF3189,TPCalibEqFull!$AZ$2:$BB$56,3),IF(I3189="TDP",VLOOKUP(AF3189,TPCalibEqFull!$AZ$2:$BB$56,3),IF(I3189="TDN",VLOOKUP(AF3189,TNCalibEqFull!$AZ$1:$BB$56,3),IF(I3189="TN",VLOOKUP(AF3189,TNCalibEqFull!$AZ$1:$BB$56,3),FALSE))))</f>
        <v>y=-0.033x2+178.81x-104.93</v>
      </c>
      <c r="AV3189" s="10" t="str">
        <f t="shared" si="361"/>
        <v>0215 09:00:00-QAC-REC-B-1-DI-ATP</v>
      </c>
    </row>
    <row r="3190" spans="1:48" s="10" customFormat="1" x14ac:dyDescent="0.55000000000000004">
      <c r="A3190" s="32">
        <v>44972</v>
      </c>
      <c r="B3190" s="33">
        <v>0.375</v>
      </c>
      <c r="C3190" s="10" t="s">
        <v>70</v>
      </c>
      <c r="D3190" s="10" t="s">
        <v>305</v>
      </c>
      <c r="E3190" s="10" t="s">
        <v>190</v>
      </c>
      <c r="F3190" s="10">
        <v>1</v>
      </c>
      <c r="G3190" s="10" t="s">
        <v>73</v>
      </c>
      <c r="H3190" s="10" t="s">
        <v>181</v>
      </c>
      <c r="I3190" s="10" t="s">
        <v>235</v>
      </c>
      <c r="J3190" s="10">
        <v>209</v>
      </c>
      <c r="K3190" s="12">
        <v>44973</v>
      </c>
      <c r="L3190" s="33">
        <v>0.4503819444444444</v>
      </c>
      <c r="M3190" s="10">
        <v>1</v>
      </c>
      <c r="N3190" s="10" t="s">
        <v>196</v>
      </c>
      <c r="O3190" s="10">
        <v>0.997</v>
      </c>
      <c r="P3190" s="10">
        <v>4.8099999999999997E-2</v>
      </c>
      <c r="Q3190" s="10">
        <v>74.2</v>
      </c>
      <c r="R3190" s="10" t="s">
        <v>170</v>
      </c>
      <c r="S3190" s="34">
        <f t="shared" si="358"/>
        <v>81.500089372699989</v>
      </c>
      <c r="T3190" s="10" t="s">
        <v>1229</v>
      </c>
      <c r="U3190" s="34">
        <f t="shared" si="359"/>
        <v>81.500089372699989</v>
      </c>
      <c r="V3190" s="31">
        <f>IF(H3190="CHK",VLOOKUP(I3190,QCCHK,3,),IF(H3190="GUP",VLOOKUP(E3190,QCGUP,2,),IF(AND(H3190="ATP",OR(I3190="TN",I3190="TDN",I3190="TNO2-3",I3190="NO2-3")),VLOOKUP(E3190,QCREC_N,2,),IF(AND(H3190="NIC",OR(I3190="TN",I3190="TDN",I3190="TNO2-3",I3190="NO2-3")),VLOOKUP(E3190,QCNIC_N,2,),IF(AND(H3190="UREA",OR(I3190="TN",I3190="TDN",I3190="TNO2-3",I3190="NO2-3")),VLOOKUP(E3190,QCUREA_N,2,),IF(H3190="PER",VLOOKUP(I3190,QCPER,MATCH(E3190,QCACTUAL!$J$25:$AA$25,0),),IF(H3190="SPK",VLOOKUP(I3190,QCSPK,3,),IF(AND(H3190="ATP",OR(I3190="TP",I3190="TDP")),VLOOKUP(E3190,QCATP_P,2,),""))))))))</f>
        <v>100</v>
      </c>
      <c r="W3190" s="31" t="str">
        <f t="shared" si="360"/>
        <v>TRUE</v>
      </c>
      <c r="X3190" s="31" t="str">
        <f t="shared" si="357"/>
        <v>[rec]/[actual]*100</v>
      </c>
      <c r="Y3190" s="10" t="s">
        <v>1222</v>
      </c>
      <c r="AF3190" s="12">
        <v>44973</v>
      </c>
      <c r="AJ3190" s="10">
        <f>0.1303*0.997^2+171.81*0.997-89.924</f>
        <v>81.500089372699989</v>
      </c>
      <c r="AK3190" s="10">
        <f>-0.033*0.997^2+178.81*0.997-104.93</f>
        <v>73.31076770300001</v>
      </c>
      <c r="AL3190" s="10" t="str">
        <f t="shared" si="362"/>
        <v>FALSE</v>
      </c>
      <c r="AM3190" s="10" t="str">
        <f t="shared" si="362"/>
        <v>FALSE</v>
      </c>
      <c r="AN3190" s="10" t="str">
        <f t="shared" si="362"/>
        <v>FALSE</v>
      </c>
      <c r="AO3190" s="10" t="str">
        <f t="shared" si="363"/>
        <v>y=0.1303*0.997^2+171.81*0.997-89.924</v>
      </c>
      <c r="AP3190" s="10" t="str">
        <f t="shared" si="363"/>
        <v>y=-0.033*0.997^2+178.81*0.997-104.93</v>
      </c>
      <c r="AQ3190" s="10" t="b">
        <f>IF(AND(I3190="TP",S3190&lt;=150),VLOOKUP(AF3190,TPCalibEq150!$AZ$2:$BB$55,3,),IF(AND(I3190="TDP",S3190&lt;=150),VLOOKUP(AF3190,TPCalibEq150!$AZ$2:$BB$55,3,)))</f>
        <v>0</v>
      </c>
      <c r="AR3190" s="10" t="b">
        <f>IF(AND(I3190="TP",S3190&lt;=300),VLOOKUP(AF3190,TPCalibEq300!$AZ$2:$BB$55,3,),IF(AND(I3190="TDP",S3190&lt;=300),VLOOKUP(AF3190,TPCalibEq300!$AZ$2:$BB$55,3,)))</f>
        <v>0</v>
      </c>
      <c r="AS3190" s="10" t="b">
        <f>IF(AND(I3190="TP",S3190&lt;=500),VLOOKUP(AF3190,TPCalibEq500!$AZ$2:$BB$56,3,),IF(AND(I3190="TDP",S3190&lt;=500),VLOOKUP(AF3190,TPCalibEq500!$AZ$2:$BB$56,3,)))</f>
        <v>0</v>
      </c>
      <c r="AT3190" s="10" t="str">
        <f>IF(AND(I3190="TN",S3190&lt;=2800),VLOOKUP(AF3190,TNCalibEq2500!$AZ$2:$BB$56,3,),IF(AND(I3190="TDN",S3190&lt;=2800),VLOOKUP(AF3190,TNCalibEq2500!$AZ$2:$BB$56,3,)))</f>
        <v>y=0.1303x2+171.81x-89.924</v>
      </c>
      <c r="AU3190" s="10" t="str">
        <f>IF(I3190="TP",VLOOKUP(AF3190,TPCalibEqFull!$AZ$2:$BB$56,3),IF(I3190="TDP",VLOOKUP(AF3190,TPCalibEqFull!$AZ$2:$BB$56,3),IF(I3190="TDN",VLOOKUP(AF3190,TNCalibEqFull!$AZ$1:$BB$56,3),IF(I3190="TN",VLOOKUP(AF3190,TNCalibEqFull!$AZ$1:$BB$56,3),FALSE))))</f>
        <v>y=-0.033x2+178.81x-104.93</v>
      </c>
      <c r="AV3190" s="10" t="str">
        <f t="shared" si="361"/>
        <v>0215 09:00:00-QAC-REC-C-1-DI-ATP</v>
      </c>
    </row>
    <row r="3191" spans="1:48" s="10" customFormat="1" x14ac:dyDescent="0.55000000000000004">
      <c r="A3191" s="32">
        <v>44935</v>
      </c>
      <c r="B3191" s="33">
        <v>0.375</v>
      </c>
      <c r="C3191" s="10" t="s">
        <v>70</v>
      </c>
      <c r="D3191" s="10" t="s">
        <v>305</v>
      </c>
      <c r="E3191" s="10" t="s">
        <v>190</v>
      </c>
      <c r="F3191" s="10">
        <v>1</v>
      </c>
      <c r="G3191" s="10" t="s">
        <v>73</v>
      </c>
      <c r="H3191" s="10" t="s">
        <v>856</v>
      </c>
      <c r="I3191" s="10" t="s">
        <v>235</v>
      </c>
      <c r="J3191" s="10">
        <v>214</v>
      </c>
      <c r="K3191" s="12">
        <v>44973</v>
      </c>
      <c r="L3191" s="33">
        <v>0.45105324074074077</v>
      </c>
      <c r="M3191" s="10">
        <v>1</v>
      </c>
      <c r="N3191" s="10" t="s">
        <v>196</v>
      </c>
      <c r="O3191" s="10">
        <v>1.1100000000000001</v>
      </c>
      <c r="P3191" s="10">
        <v>5.2999999999999999E-2</v>
      </c>
      <c r="Q3191" s="10">
        <v>94.5</v>
      </c>
      <c r="R3191" s="10" t="s">
        <v>170</v>
      </c>
      <c r="S3191" s="34">
        <f t="shared" si="358"/>
        <v>100.94564263000001</v>
      </c>
      <c r="T3191" s="10" t="s">
        <v>1229</v>
      </c>
      <c r="U3191" s="34">
        <f t="shared" si="359"/>
        <v>100.94564263000001</v>
      </c>
      <c r="V3191" s="31">
        <f>IF(H3191="CHK",VLOOKUP(I3191,QCCHK,3,),IF(H3191="GUP",VLOOKUP(E3191,QCGUP,2,),IF(AND(H3191="ATP",OR(I3191="TN",I3191="TDN",I3191="TNO2-3",I3191="NO2-3")),VLOOKUP(E3191,QCREC_N,2,),IF(AND(H3191="NIC",OR(I3191="TN",I3191="TDN",I3191="TNO2-3",I3191="NO2-3")),VLOOKUP(E3191,QCNIC_N,2,),IF(AND(H3191="UREA",OR(I3191="TN",I3191="TDN",I3191="TNO2-3",I3191="NO2-3")),VLOOKUP(E3191,QCUREA_N,2,),IF(H3191="PER",VLOOKUP(I3191,QCPER,MATCH(E3191,QCACTUAL!$J$25:$AA$25,0),),IF(H3191="SPK",VLOOKUP(I3191,QCSPK,3,),IF(AND(H3191="ATP",OR(I3191="TP",I3191="TDP")),VLOOKUP(E3191,QCATP_P,2,),""))))))))</f>
        <v>100</v>
      </c>
      <c r="W3191" s="31" t="str">
        <f t="shared" si="360"/>
        <v>TRUE</v>
      </c>
      <c r="X3191" s="31" t="str">
        <f t="shared" si="357"/>
        <v>[rec]/[actual]*100</v>
      </c>
      <c r="Y3191" s="10" t="s">
        <v>1222</v>
      </c>
      <c r="AF3191" s="12">
        <v>44973</v>
      </c>
      <c r="AJ3191" s="10">
        <f>0.1303*1.11^2+171.81*1.11-89.924</f>
        <v>100.94564263000001</v>
      </c>
      <c r="AK3191" s="10">
        <f>-0.033*1.11^2+178.81*1.11-104.93</f>
        <v>93.508440700000023</v>
      </c>
      <c r="AL3191" s="10" t="str">
        <f t="shared" si="362"/>
        <v>FALSE</v>
      </c>
      <c r="AM3191" s="10" t="str">
        <f t="shared" si="362"/>
        <v>FALSE</v>
      </c>
      <c r="AN3191" s="10" t="str">
        <f t="shared" si="362"/>
        <v>FALSE</v>
      </c>
      <c r="AO3191" s="10" t="str">
        <f t="shared" si="363"/>
        <v>y=0.1303*1.11^2+171.81*1.11-89.924</v>
      </c>
      <c r="AP3191" s="10" t="str">
        <f t="shared" si="363"/>
        <v>y=-0.033*1.11^2+178.81*1.11-104.93</v>
      </c>
      <c r="AQ3191" s="10" t="b">
        <f>IF(AND(I3191="TP",S3191&lt;=150),VLOOKUP(AF3191,TPCalibEq150!$AZ$2:$BB$55,3,),IF(AND(I3191="TDP",S3191&lt;=150),VLOOKUP(AF3191,TPCalibEq150!$AZ$2:$BB$55,3,)))</f>
        <v>0</v>
      </c>
      <c r="AR3191" s="10" t="b">
        <f>IF(AND(I3191="TP",S3191&lt;=300),VLOOKUP(AF3191,TPCalibEq300!$AZ$2:$BB$55,3,),IF(AND(I3191="TDP",S3191&lt;=300),VLOOKUP(AF3191,TPCalibEq300!$AZ$2:$BB$55,3,)))</f>
        <v>0</v>
      </c>
      <c r="AS3191" s="10" t="b">
        <f>IF(AND(I3191="TP",S3191&lt;=500),VLOOKUP(AF3191,TPCalibEq500!$AZ$2:$BB$56,3,),IF(AND(I3191="TDP",S3191&lt;=500),VLOOKUP(AF3191,TPCalibEq500!$AZ$2:$BB$56,3,)))</f>
        <v>0</v>
      </c>
      <c r="AT3191" s="10" t="str">
        <f>IF(AND(I3191="TN",S3191&lt;=2800),VLOOKUP(AF3191,TNCalibEq2500!$AZ$2:$BB$56,3,),IF(AND(I3191="TDN",S3191&lt;=2800),VLOOKUP(AF3191,TNCalibEq2500!$AZ$2:$BB$56,3,)))</f>
        <v>y=0.1303x2+171.81x-89.924</v>
      </c>
      <c r="AU3191" s="10" t="str">
        <f>IF(I3191="TP",VLOOKUP(AF3191,TPCalibEqFull!$AZ$2:$BB$56,3),IF(I3191="TDP",VLOOKUP(AF3191,TPCalibEqFull!$AZ$2:$BB$56,3),IF(I3191="TDN",VLOOKUP(AF3191,TNCalibEqFull!$AZ$1:$BB$56,3),IF(I3191="TN",VLOOKUP(AF3191,TNCalibEqFull!$AZ$1:$BB$56,3),FALSE))))</f>
        <v>y=-0.033x2+178.81x-104.93</v>
      </c>
      <c r="AV3191" s="10" t="str">
        <f t="shared" si="361"/>
        <v>0109 09:00:00-QAC-REC-C-1-DI-NIC</v>
      </c>
    </row>
    <row r="3192" spans="1:48" s="10" customFormat="1" x14ac:dyDescent="0.55000000000000004">
      <c r="A3192" s="32">
        <v>44972</v>
      </c>
      <c r="B3192" s="33">
        <v>0.375</v>
      </c>
      <c r="C3192" s="10" t="s">
        <v>70</v>
      </c>
      <c r="D3192" s="10" t="s">
        <v>305</v>
      </c>
      <c r="E3192" s="10" t="s">
        <v>190</v>
      </c>
      <c r="F3192" s="10">
        <v>1</v>
      </c>
      <c r="G3192" s="10" t="s">
        <v>73</v>
      </c>
      <c r="H3192" s="10" t="s">
        <v>856</v>
      </c>
      <c r="I3192" s="10" t="s">
        <v>235</v>
      </c>
      <c r="J3192" s="10">
        <v>210</v>
      </c>
      <c r="K3192" s="12">
        <v>44973</v>
      </c>
      <c r="L3192" s="33">
        <v>0.45173611111111112</v>
      </c>
      <c r="M3192" s="10">
        <v>1</v>
      </c>
      <c r="N3192" s="10" t="s">
        <v>196</v>
      </c>
      <c r="O3192" s="10">
        <v>1.01</v>
      </c>
      <c r="P3192" s="10">
        <v>4.8300000000000003E-2</v>
      </c>
      <c r="Q3192" s="10">
        <v>76.400000000000006</v>
      </c>
      <c r="R3192" s="10" t="s">
        <v>170</v>
      </c>
      <c r="S3192" s="34">
        <f t="shared" si="358"/>
        <v>83.737019029999999</v>
      </c>
      <c r="T3192" s="10" t="s">
        <v>1229</v>
      </c>
      <c r="U3192" s="34">
        <f t="shared" si="359"/>
        <v>83.737019029999999</v>
      </c>
      <c r="V3192" s="31">
        <f>IF(H3192="CHK",VLOOKUP(I3192,QCCHK,3,),IF(H3192="GUP",VLOOKUP(E3192,QCGUP,2,),IF(AND(H3192="ATP",OR(I3192="TN",I3192="TDN",I3192="TNO2-3",I3192="NO2-3")),VLOOKUP(E3192,QCREC_N,2,),IF(AND(H3192="NIC",OR(I3192="TN",I3192="TDN",I3192="TNO2-3",I3192="NO2-3")),VLOOKUP(E3192,QCNIC_N,2,),IF(AND(H3192="UREA",OR(I3192="TN",I3192="TDN",I3192="TNO2-3",I3192="NO2-3")),VLOOKUP(E3192,QCUREA_N,2,),IF(H3192="PER",VLOOKUP(I3192,QCPER,MATCH(E3192,QCACTUAL!$J$25:$AA$25,0),),IF(H3192="SPK",VLOOKUP(I3192,QCSPK,3,),IF(AND(H3192="ATP",OR(I3192="TP",I3192="TDP")),VLOOKUP(E3192,QCATP_P,2,),""))))))))</f>
        <v>100</v>
      </c>
      <c r="W3192" s="31" t="str">
        <f t="shared" si="360"/>
        <v>TRUE</v>
      </c>
      <c r="X3192" s="31" t="str">
        <f t="shared" si="357"/>
        <v>[rec]/[actual]*100</v>
      </c>
      <c r="Y3192" s="10" t="s">
        <v>1222</v>
      </c>
      <c r="AF3192" s="12">
        <v>44973</v>
      </c>
      <c r="AJ3192" s="10">
        <f>0.1303*1.01^2+171.81*1.01-89.924</f>
        <v>83.737019029999999</v>
      </c>
      <c r="AK3192" s="10">
        <f>-0.033*1.01^2+178.81*1.01-104.93</f>
        <v>75.634436700000009</v>
      </c>
      <c r="AL3192" s="10" t="str">
        <f t="shared" si="362"/>
        <v>FALSE</v>
      </c>
      <c r="AM3192" s="10" t="str">
        <f t="shared" si="362"/>
        <v>FALSE</v>
      </c>
      <c r="AN3192" s="10" t="str">
        <f t="shared" si="362"/>
        <v>FALSE</v>
      </c>
      <c r="AO3192" s="10" t="str">
        <f t="shared" si="363"/>
        <v>y=0.1303*1.01^2+171.81*1.01-89.924</v>
      </c>
      <c r="AP3192" s="10" t="str">
        <f t="shared" si="363"/>
        <v>y=-0.033*1.01^2+178.81*1.01-104.93</v>
      </c>
      <c r="AQ3192" s="10" t="b">
        <f>IF(AND(I3192="TP",S3192&lt;=150),VLOOKUP(AF3192,TPCalibEq150!$AZ$2:$BB$55,3,),IF(AND(I3192="TDP",S3192&lt;=150),VLOOKUP(AF3192,TPCalibEq150!$AZ$2:$BB$55,3,)))</f>
        <v>0</v>
      </c>
      <c r="AR3192" s="10" t="b">
        <f>IF(AND(I3192="TP",S3192&lt;=300),VLOOKUP(AF3192,TPCalibEq300!$AZ$2:$BB$55,3,),IF(AND(I3192="TDP",S3192&lt;=300),VLOOKUP(AF3192,TPCalibEq300!$AZ$2:$BB$55,3,)))</f>
        <v>0</v>
      </c>
      <c r="AS3192" s="10" t="b">
        <f>IF(AND(I3192="TP",S3192&lt;=500),VLOOKUP(AF3192,TPCalibEq500!$AZ$2:$BB$56,3,),IF(AND(I3192="TDP",S3192&lt;=500),VLOOKUP(AF3192,TPCalibEq500!$AZ$2:$BB$56,3,)))</f>
        <v>0</v>
      </c>
      <c r="AT3192" s="10" t="str">
        <f>IF(AND(I3192="TN",S3192&lt;=2800),VLOOKUP(AF3192,TNCalibEq2500!$AZ$2:$BB$56,3,),IF(AND(I3192="TDN",S3192&lt;=2800),VLOOKUP(AF3192,TNCalibEq2500!$AZ$2:$BB$56,3,)))</f>
        <v>y=0.1303x2+171.81x-89.924</v>
      </c>
      <c r="AU3192" s="10" t="str">
        <f>IF(I3192="TP",VLOOKUP(AF3192,TPCalibEqFull!$AZ$2:$BB$56,3),IF(I3192="TDP",VLOOKUP(AF3192,TPCalibEqFull!$AZ$2:$BB$56,3),IF(I3192="TDN",VLOOKUP(AF3192,TNCalibEqFull!$AZ$1:$BB$56,3),IF(I3192="TN",VLOOKUP(AF3192,TNCalibEqFull!$AZ$1:$BB$56,3),FALSE))))</f>
        <v>y=-0.033x2+178.81x-104.93</v>
      </c>
      <c r="AV3192" s="10" t="str">
        <f t="shared" si="361"/>
        <v>0215 09:00:00-QAC-REC-C-1-DI-NIC</v>
      </c>
    </row>
    <row r="3193" spans="1:48" s="10" customFormat="1" x14ac:dyDescent="0.55000000000000004">
      <c r="A3193" s="32">
        <v>44935</v>
      </c>
      <c r="B3193" s="33">
        <v>0.375</v>
      </c>
      <c r="C3193" s="10" t="s">
        <v>70</v>
      </c>
      <c r="D3193" s="10" t="s">
        <v>305</v>
      </c>
      <c r="E3193" s="10" t="s">
        <v>583</v>
      </c>
      <c r="F3193" s="10">
        <v>1</v>
      </c>
      <c r="G3193" s="10" t="s">
        <v>73</v>
      </c>
      <c r="H3193" s="10" t="s">
        <v>856</v>
      </c>
      <c r="I3193" s="10" t="s">
        <v>235</v>
      </c>
      <c r="J3193" s="10">
        <v>215</v>
      </c>
      <c r="K3193" s="12">
        <v>44973</v>
      </c>
      <c r="L3193" s="33">
        <v>0.45241898148148146</v>
      </c>
      <c r="M3193" s="10">
        <v>1</v>
      </c>
      <c r="N3193" s="10" t="s">
        <v>196</v>
      </c>
      <c r="O3193" s="10">
        <v>1.68</v>
      </c>
      <c r="P3193" s="10">
        <v>8.0399999999999999E-2</v>
      </c>
      <c r="Q3193" s="10">
        <v>197</v>
      </c>
      <c r="R3193" s="10" t="s">
        <v>170</v>
      </c>
      <c r="S3193" s="34">
        <f t="shared" si="358"/>
        <v>199.08455871999999</v>
      </c>
      <c r="T3193" s="10" t="s">
        <v>1229</v>
      </c>
      <c r="U3193" s="34">
        <f t="shared" si="359"/>
        <v>99.542279359999995</v>
      </c>
      <c r="V3193" s="31">
        <f>IF(H3193="CHK",VLOOKUP(I3193,QCCHK,3,),IF(H3193="GUP",VLOOKUP(E3193,QCGUP,2,),IF(AND(H3193="ATP",OR(I3193="TN",I3193="TDN",I3193="TNO2-3",I3193="NO2-3")),VLOOKUP(E3193,QCREC_N,2,),IF(AND(H3193="NIC",OR(I3193="TN",I3193="TDN",I3193="TNO2-3",I3193="NO2-3")),VLOOKUP(E3193,QCNIC_N,2,),IF(AND(H3193="UREA",OR(I3193="TN",I3193="TDN",I3193="TNO2-3",I3193="NO2-3")),VLOOKUP(E3193,QCUREA_N,2,),IF(H3193="PER",VLOOKUP(I3193,QCPER,MATCH(E3193,QCACTUAL!$J$25:$AA$25,0),),IF(H3193="SPK",VLOOKUP(I3193,QCSPK,3,),IF(AND(H3193="ATP",OR(I3193="TP",I3193="TDP")),VLOOKUP(E3193,QCATP_P,2,),""))))))))</f>
        <v>200</v>
      </c>
      <c r="W3193" s="31" t="str">
        <f t="shared" si="360"/>
        <v>TRUE</v>
      </c>
      <c r="X3193" s="31" t="str">
        <f t="shared" si="357"/>
        <v>[rec]/[actual]*100</v>
      </c>
      <c r="Y3193" s="10" t="s">
        <v>1222</v>
      </c>
      <c r="AF3193" s="12">
        <v>44973</v>
      </c>
      <c r="AJ3193" s="10">
        <f>0.1303*1.68^2+171.81*1.68-89.924</f>
        <v>199.08455871999999</v>
      </c>
      <c r="AK3193" s="10">
        <f>-0.033*1.68^2+178.81*1.68-104.93</f>
        <v>195.3776608</v>
      </c>
      <c r="AL3193" s="10" t="str">
        <f t="shared" si="362"/>
        <v>FALSE</v>
      </c>
      <c r="AM3193" s="10" t="str">
        <f t="shared" si="362"/>
        <v>FALSE</v>
      </c>
      <c r="AN3193" s="10" t="str">
        <f t="shared" si="362"/>
        <v>FALSE</v>
      </c>
      <c r="AO3193" s="10" t="str">
        <f t="shared" si="363"/>
        <v>y=0.1303*1.68^2+171.81*1.68-89.924</v>
      </c>
      <c r="AP3193" s="10" t="str">
        <f t="shared" si="363"/>
        <v>y=-0.033*1.68^2+178.81*1.68-104.93</v>
      </c>
      <c r="AQ3193" s="10" t="b">
        <f>IF(AND(I3193="TP",S3193&lt;=150),VLOOKUP(AF3193,TPCalibEq150!$AZ$2:$BB$55,3,),IF(AND(I3193="TDP",S3193&lt;=150),VLOOKUP(AF3193,TPCalibEq150!$AZ$2:$BB$55,3,)))</f>
        <v>0</v>
      </c>
      <c r="AR3193" s="10" t="b">
        <f>IF(AND(I3193="TP",S3193&lt;=300),VLOOKUP(AF3193,TPCalibEq300!$AZ$2:$BB$55,3,),IF(AND(I3193="TDP",S3193&lt;=300),VLOOKUP(AF3193,TPCalibEq300!$AZ$2:$BB$55,3,)))</f>
        <v>0</v>
      </c>
      <c r="AS3193" s="10" t="b">
        <f>IF(AND(I3193="TP",S3193&lt;=500),VLOOKUP(AF3193,TPCalibEq500!$AZ$2:$BB$56,3,),IF(AND(I3193="TDP",S3193&lt;=500),VLOOKUP(AF3193,TPCalibEq500!$AZ$2:$BB$56,3,)))</f>
        <v>0</v>
      </c>
      <c r="AT3193" s="10" t="str">
        <f>IF(AND(I3193="TN",S3193&lt;=2800),VLOOKUP(AF3193,TNCalibEq2500!$AZ$2:$BB$56,3,),IF(AND(I3193="TDN",S3193&lt;=2800),VLOOKUP(AF3193,TNCalibEq2500!$AZ$2:$BB$56,3,)))</f>
        <v>y=0.1303x2+171.81x-89.924</v>
      </c>
      <c r="AU3193" s="10" t="str">
        <f>IF(I3193="TP",VLOOKUP(AF3193,TPCalibEqFull!$AZ$2:$BB$56,3),IF(I3193="TDP",VLOOKUP(AF3193,TPCalibEqFull!$AZ$2:$BB$56,3),IF(I3193="TDN",VLOOKUP(AF3193,TNCalibEqFull!$AZ$1:$BB$56,3),IF(I3193="TN",VLOOKUP(AF3193,TNCalibEqFull!$AZ$1:$BB$56,3),FALSE))))</f>
        <v>y=-0.033x2+178.81x-104.93</v>
      </c>
      <c r="AV3193" s="10" t="str">
        <f t="shared" si="361"/>
        <v>0109 09:00:00-QAC-REC-B-1-DI-NIC</v>
      </c>
    </row>
    <row r="3194" spans="1:48" s="10" customFormat="1" x14ac:dyDescent="0.55000000000000004">
      <c r="A3194" s="32">
        <v>44972</v>
      </c>
      <c r="B3194" s="33">
        <v>0.375</v>
      </c>
      <c r="C3194" s="10" t="s">
        <v>70</v>
      </c>
      <c r="D3194" s="10" t="s">
        <v>305</v>
      </c>
      <c r="E3194" s="10" t="s">
        <v>583</v>
      </c>
      <c r="F3194" s="10">
        <v>1</v>
      </c>
      <c r="G3194" s="10" t="s">
        <v>73</v>
      </c>
      <c r="H3194" s="10" t="s">
        <v>856</v>
      </c>
      <c r="I3194" s="10" t="s">
        <v>235</v>
      </c>
      <c r="J3194" s="10">
        <v>211</v>
      </c>
      <c r="K3194" s="12">
        <v>44973</v>
      </c>
      <c r="L3194" s="33">
        <v>0.45310185185185187</v>
      </c>
      <c r="M3194" s="10">
        <v>1</v>
      </c>
      <c r="N3194" s="10" t="s">
        <v>196</v>
      </c>
      <c r="O3194" s="10">
        <v>1.54</v>
      </c>
      <c r="P3194" s="10">
        <v>7.3899999999999993E-2</v>
      </c>
      <c r="Q3194" s="10">
        <v>170</v>
      </c>
      <c r="R3194" s="10" t="s">
        <v>170</v>
      </c>
      <c r="S3194" s="34">
        <f t="shared" si="358"/>
        <v>174.97241948000001</v>
      </c>
      <c r="T3194" s="10" t="s">
        <v>1229</v>
      </c>
      <c r="U3194" s="34">
        <f t="shared" si="359"/>
        <v>87.486209740000007</v>
      </c>
      <c r="V3194" s="31">
        <f>IF(H3194="CHK",VLOOKUP(I3194,QCCHK,3,),IF(H3194="GUP",VLOOKUP(E3194,QCGUP,2,),IF(AND(H3194="ATP",OR(I3194="TN",I3194="TDN",I3194="TNO2-3",I3194="NO2-3")),VLOOKUP(E3194,QCREC_N,2,),IF(AND(H3194="NIC",OR(I3194="TN",I3194="TDN",I3194="TNO2-3",I3194="NO2-3")),VLOOKUP(E3194,QCNIC_N,2,),IF(AND(H3194="UREA",OR(I3194="TN",I3194="TDN",I3194="TNO2-3",I3194="NO2-3")),VLOOKUP(E3194,QCUREA_N,2,),IF(H3194="PER",VLOOKUP(I3194,QCPER,MATCH(E3194,QCACTUAL!$J$25:$AA$25,0),),IF(H3194="SPK",VLOOKUP(I3194,QCSPK,3,),IF(AND(H3194="ATP",OR(I3194="TP",I3194="TDP")),VLOOKUP(E3194,QCATP_P,2,),""))))))))</f>
        <v>200</v>
      </c>
      <c r="W3194" s="31" t="str">
        <f t="shared" si="360"/>
        <v>TRUE</v>
      </c>
      <c r="X3194" s="31" t="str">
        <f t="shared" si="357"/>
        <v>[rec]/[actual]*100</v>
      </c>
      <c r="Y3194" s="10" t="s">
        <v>1222</v>
      </c>
      <c r="AF3194" s="12">
        <v>44973</v>
      </c>
      <c r="AJ3194" s="10">
        <f>0.1303*1.54^2+171.81*1.54-89.924</f>
        <v>174.97241948000001</v>
      </c>
      <c r="AK3194" s="10">
        <f>-0.033*1.54^2+178.81*1.54-104.93</f>
        <v>170.35913720000002</v>
      </c>
      <c r="AL3194" s="10" t="str">
        <f t="shared" si="362"/>
        <v>FALSE</v>
      </c>
      <c r="AM3194" s="10" t="str">
        <f t="shared" si="362"/>
        <v>FALSE</v>
      </c>
      <c r="AN3194" s="10" t="str">
        <f t="shared" si="362"/>
        <v>FALSE</v>
      </c>
      <c r="AO3194" s="10" t="str">
        <f t="shared" si="363"/>
        <v>y=0.1303*1.54^2+171.81*1.54-89.924</v>
      </c>
      <c r="AP3194" s="10" t="str">
        <f t="shared" si="363"/>
        <v>y=-0.033*1.54^2+178.81*1.54-104.93</v>
      </c>
      <c r="AQ3194" s="10" t="b">
        <f>IF(AND(I3194="TP",S3194&lt;=150),VLOOKUP(AF3194,TPCalibEq150!$AZ$2:$BB$55,3,),IF(AND(I3194="TDP",S3194&lt;=150),VLOOKUP(AF3194,TPCalibEq150!$AZ$2:$BB$55,3,)))</f>
        <v>0</v>
      </c>
      <c r="AR3194" s="10" t="b">
        <f>IF(AND(I3194="TP",S3194&lt;=300),VLOOKUP(AF3194,TPCalibEq300!$AZ$2:$BB$55,3,),IF(AND(I3194="TDP",S3194&lt;=300),VLOOKUP(AF3194,TPCalibEq300!$AZ$2:$BB$55,3,)))</f>
        <v>0</v>
      </c>
      <c r="AS3194" s="10" t="b">
        <f>IF(AND(I3194="TP",S3194&lt;=500),VLOOKUP(AF3194,TPCalibEq500!$AZ$2:$BB$56,3,),IF(AND(I3194="TDP",S3194&lt;=500),VLOOKUP(AF3194,TPCalibEq500!$AZ$2:$BB$56,3,)))</f>
        <v>0</v>
      </c>
      <c r="AT3194" s="10" t="str">
        <f>IF(AND(I3194="TN",S3194&lt;=2800),VLOOKUP(AF3194,TNCalibEq2500!$AZ$2:$BB$56,3,),IF(AND(I3194="TDN",S3194&lt;=2800),VLOOKUP(AF3194,TNCalibEq2500!$AZ$2:$BB$56,3,)))</f>
        <v>y=0.1303x2+171.81x-89.924</v>
      </c>
      <c r="AU3194" s="10" t="str">
        <f>IF(I3194="TP",VLOOKUP(AF3194,TPCalibEqFull!$AZ$2:$BB$56,3),IF(I3194="TDP",VLOOKUP(AF3194,TPCalibEqFull!$AZ$2:$BB$56,3),IF(I3194="TDN",VLOOKUP(AF3194,TNCalibEqFull!$AZ$1:$BB$56,3),IF(I3194="TN",VLOOKUP(AF3194,TNCalibEqFull!$AZ$1:$BB$56,3),FALSE))))</f>
        <v>y=-0.033x2+178.81x-104.93</v>
      </c>
      <c r="AV3194" s="10" t="str">
        <f t="shared" si="361"/>
        <v>0215 09:00:00-QAC-REC-B-1-DI-NIC</v>
      </c>
    </row>
    <row r="3195" spans="1:48" s="10" customFormat="1" x14ac:dyDescent="0.55000000000000004">
      <c r="A3195" s="32">
        <v>44935</v>
      </c>
      <c r="B3195" s="33">
        <v>0.375</v>
      </c>
      <c r="C3195" s="10" t="s">
        <v>70</v>
      </c>
      <c r="D3195" s="10" t="s">
        <v>305</v>
      </c>
      <c r="E3195" s="10" t="s">
        <v>866</v>
      </c>
      <c r="F3195" s="10">
        <v>1</v>
      </c>
      <c r="G3195" s="10" t="s">
        <v>73</v>
      </c>
      <c r="H3195" s="10" t="s">
        <v>856</v>
      </c>
      <c r="I3195" s="10" t="s">
        <v>235</v>
      </c>
      <c r="J3195" s="10">
        <v>216</v>
      </c>
      <c r="K3195" s="12">
        <v>44973</v>
      </c>
      <c r="L3195" s="33">
        <v>0.45377314814814818</v>
      </c>
      <c r="M3195" s="10">
        <v>1</v>
      </c>
      <c r="N3195" s="10" t="s">
        <v>196</v>
      </c>
      <c r="O3195" s="10">
        <v>5.85</v>
      </c>
      <c r="P3195" s="10">
        <v>0.28199999999999997</v>
      </c>
      <c r="Q3195" s="10">
        <v>939</v>
      </c>
      <c r="R3195" s="10" t="s">
        <v>170</v>
      </c>
      <c r="S3195" s="34">
        <f t="shared" si="358"/>
        <v>939.97915749999993</v>
      </c>
      <c r="T3195" s="10" t="s">
        <v>1229</v>
      </c>
      <c r="U3195" s="34">
        <f t="shared" si="359"/>
        <v>93.99791574999999</v>
      </c>
      <c r="V3195" s="31">
        <f>IF(H3195="CHK",VLOOKUP(I3195,QCCHK,3,),IF(H3195="GUP",VLOOKUP(E3195,QCGUP,2,),IF(AND(H3195="ATP",OR(I3195="TN",I3195="TDN",I3195="TNO2-3",I3195="NO2-3")),VLOOKUP(E3195,QCREC_N,2,),IF(AND(H3195="NIC",OR(I3195="TN",I3195="TDN",I3195="TNO2-3",I3195="NO2-3")),VLOOKUP(E3195,QCNIC_N,2,),IF(AND(H3195="UREA",OR(I3195="TN",I3195="TDN",I3195="TNO2-3",I3195="NO2-3")),VLOOKUP(E3195,QCUREA_N,2,),IF(H3195="PER",VLOOKUP(I3195,QCPER,MATCH(E3195,QCACTUAL!$J$25:$AA$25,0),),IF(H3195="SPK",VLOOKUP(I3195,QCSPK,3,),IF(AND(H3195="ATP",OR(I3195="TP",I3195="TDP")),VLOOKUP(E3195,QCATP_P,2,),""))))))))</f>
        <v>1000</v>
      </c>
      <c r="W3195" s="31" t="str">
        <f t="shared" si="360"/>
        <v>TRUE</v>
      </c>
      <c r="X3195" s="31" t="str">
        <f t="shared" si="357"/>
        <v>[rec]/[actual]*100</v>
      </c>
      <c r="Y3195" s="10" t="s">
        <v>1222</v>
      </c>
      <c r="AF3195" s="12">
        <v>44973</v>
      </c>
      <c r="AJ3195" s="10">
        <f>0.1303*5.85^2+171.81*5.85-89.924</f>
        <v>919.62369174999992</v>
      </c>
      <c r="AK3195" s="10">
        <f>-0.033*5.85^2+178.81*5.85-104.93</f>
        <v>939.97915749999993</v>
      </c>
      <c r="AL3195" s="10" t="str">
        <f t="shared" si="362"/>
        <v>FALSE</v>
      </c>
      <c r="AM3195" s="10" t="str">
        <f t="shared" si="362"/>
        <v>FALSE</v>
      </c>
      <c r="AN3195" s="10" t="str">
        <f t="shared" si="362"/>
        <v>FALSE</v>
      </c>
      <c r="AO3195" s="10" t="str">
        <f t="shared" si="363"/>
        <v>y=0.1303*5.85^2+171.81*5.85-89.924</v>
      </c>
      <c r="AP3195" s="10" t="str">
        <f t="shared" si="363"/>
        <v>y=-0.033*5.85^2+178.81*5.85-104.93</v>
      </c>
      <c r="AQ3195" s="10" t="b">
        <f>IF(AND(I3195="TP",S3195&lt;=150),VLOOKUP(AF3195,TPCalibEq150!$AZ$2:$BB$55,3,),IF(AND(I3195="TDP",S3195&lt;=150),VLOOKUP(AF3195,TPCalibEq150!$AZ$2:$BB$55,3,)))</f>
        <v>0</v>
      </c>
      <c r="AR3195" s="10" t="b">
        <f>IF(AND(I3195="TP",S3195&lt;=300),VLOOKUP(AF3195,TPCalibEq300!$AZ$2:$BB$55,3,),IF(AND(I3195="TDP",S3195&lt;=300),VLOOKUP(AF3195,TPCalibEq300!$AZ$2:$BB$55,3,)))</f>
        <v>0</v>
      </c>
      <c r="AS3195" s="10" t="b">
        <f>IF(AND(I3195="TP",S3195&lt;=500),VLOOKUP(AF3195,TPCalibEq500!$AZ$2:$BB$56,3,),IF(AND(I3195="TDP",S3195&lt;=500),VLOOKUP(AF3195,TPCalibEq500!$AZ$2:$BB$56,3,)))</f>
        <v>0</v>
      </c>
      <c r="AT3195" s="10" t="str">
        <f>IF(AND(I3195="TN",S3195&lt;=2800),VLOOKUP(AF3195,TNCalibEq2500!$AZ$2:$BB$56,3,),IF(AND(I3195="TDN",S3195&lt;=2800),VLOOKUP(AF3195,TNCalibEq2500!$AZ$2:$BB$56,3,)))</f>
        <v>y=0.1303x2+171.81x-89.924</v>
      </c>
      <c r="AU3195" s="10" t="str">
        <f>IF(I3195="TP",VLOOKUP(AF3195,TPCalibEqFull!$AZ$2:$BB$56,3),IF(I3195="TDP",VLOOKUP(AF3195,TPCalibEqFull!$AZ$2:$BB$56,3),IF(I3195="TDN",VLOOKUP(AF3195,TNCalibEqFull!$AZ$1:$BB$56,3),IF(I3195="TN",VLOOKUP(AF3195,TNCalibEqFull!$AZ$1:$BB$56,3),FALSE))))</f>
        <v>y=-0.033x2+178.81x-104.93</v>
      </c>
      <c r="AV3195" s="10" t="str">
        <f t="shared" si="361"/>
        <v>0109 09:00:00-QAC-REC-A-1-DI-NIC</v>
      </c>
    </row>
    <row r="3196" spans="1:48" s="10" customFormat="1" x14ac:dyDescent="0.55000000000000004">
      <c r="A3196" s="32">
        <v>44972</v>
      </c>
      <c r="B3196" s="33">
        <v>0.375</v>
      </c>
      <c r="C3196" s="10" t="s">
        <v>70</v>
      </c>
      <c r="D3196" s="10" t="s">
        <v>305</v>
      </c>
      <c r="E3196" s="10" t="s">
        <v>866</v>
      </c>
      <c r="F3196" s="10">
        <v>1</v>
      </c>
      <c r="G3196" s="10" t="s">
        <v>73</v>
      </c>
      <c r="H3196" s="10" t="s">
        <v>856</v>
      </c>
      <c r="I3196" s="10" t="s">
        <v>235</v>
      </c>
      <c r="J3196" s="10">
        <v>212</v>
      </c>
      <c r="K3196" s="12">
        <v>44973</v>
      </c>
      <c r="L3196" s="33">
        <v>0.45444444444444443</v>
      </c>
      <c r="M3196" s="10">
        <v>1</v>
      </c>
      <c r="N3196" s="10" t="s">
        <v>196</v>
      </c>
      <c r="O3196" s="10">
        <v>9.25</v>
      </c>
      <c r="P3196" s="10">
        <v>0.44800000000000001</v>
      </c>
      <c r="Q3196" s="10">
        <v>1540</v>
      </c>
      <c r="R3196" s="10" t="s">
        <v>170</v>
      </c>
      <c r="S3196" s="34">
        <f t="shared" si="358"/>
        <v>1546.2389375</v>
      </c>
      <c r="T3196" s="10" t="s">
        <v>1229</v>
      </c>
      <c r="U3196" s="34">
        <f t="shared" si="359"/>
        <v>154.62389375000001</v>
      </c>
      <c r="V3196" s="31">
        <f>IF(H3196="CHK",VLOOKUP(I3196,QCCHK,3,),IF(H3196="GUP",VLOOKUP(E3196,QCGUP,2,),IF(AND(H3196="ATP",OR(I3196="TN",I3196="TDN",I3196="TNO2-3",I3196="NO2-3")),VLOOKUP(E3196,QCREC_N,2,),IF(AND(H3196="NIC",OR(I3196="TN",I3196="TDN",I3196="TNO2-3",I3196="NO2-3")),VLOOKUP(E3196,QCNIC_N,2,),IF(AND(H3196="UREA",OR(I3196="TN",I3196="TDN",I3196="TNO2-3",I3196="NO2-3")),VLOOKUP(E3196,QCUREA_N,2,),IF(H3196="PER",VLOOKUP(I3196,QCPER,MATCH(E3196,QCACTUAL!$J$25:$AA$25,0),),IF(H3196="SPK",VLOOKUP(I3196,QCSPK,3,),IF(AND(H3196="ATP",OR(I3196="TP",I3196="TDP")),VLOOKUP(E3196,QCATP_P,2,),""))))))))</f>
        <v>1000</v>
      </c>
      <c r="W3196" s="31" t="str">
        <f t="shared" si="360"/>
        <v>FALSE</v>
      </c>
      <c r="X3196" s="31" t="str">
        <f t="shared" si="357"/>
        <v>[rec]/[actual]*100</v>
      </c>
      <c r="Y3196" s="10" t="s">
        <v>1222</v>
      </c>
      <c r="AF3196" s="12">
        <v>44973</v>
      </c>
      <c r="AJ3196" s="10">
        <f>0.1303*9.25^2+171.81*9.25-89.924</f>
        <v>1510.4672937500002</v>
      </c>
      <c r="AK3196" s="10">
        <f>-0.033*9.25^2+178.81*9.25-104.93</f>
        <v>1546.2389375</v>
      </c>
      <c r="AL3196" s="10" t="str">
        <f t="shared" si="362"/>
        <v>FALSE</v>
      </c>
      <c r="AM3196" s="10" t="str">
        <f t="shared" si="362"/>
        <v>FALSE</v>
      </c>
      <c r="AN3196" s="10" t="str">
        <f t="shared" si="362"/>
        <v>FALSE</v>
      </c>
      <c r="AO3196" s="10" t="str">
        <f t="shared" si="363"/>
        <v>y=0.1303*9.25^2+171.81*9.25-89.924</v>
      </c>
      <c r="AP3196" s="10" t="str">
        <f t="shared" si="363"/>
        <v>y=-0.033*9.25^2+178.81*9.25-104.93</v>
      </c>
      <c r="AQ3196" s="10" t="b">
        <f>IF(AND(I3196="TP",S3196&lt;=150),VLOOKUP(AF3196,TPCalibEq150!$AZ$2:$BB$55,3,),IF(AND(I3196="TDP",S3196&lt;=150),VLOOKUP(AF3196,TPCalibEq150!$AZ$2:$BB$55,3,)))</f>
        <v>0</v>
      </c>
      <c r="AR3196" s="10" t="b">
        <f>IF(AND(I3196="TP",S3196&lt;=300),VLOOKUP(AF3196,TPCalibEq300!$AZ$2:$BB$55,3,),IF(AND(I3196="TDP",S3196&lt;=300),VLOOKUP(AF3196,TPCalibEq300!$AZ$2:$BB$55,3,)))</f>
        <v>0</v>
      </c>
      <c r="AS3196" s="10" t="b">
        <f>IF(AND(I3196="TP",S3196&lt;=500),VLOOKUP(AF3196,TPCalibEq500!$AZ$2:$BB$56,3,),IF(AND(I3196="TDP",S3196&lt;=500),VLOOKUP(AF3196,TPCalibEq500!$AZ$2:$BB$56,3,)))</f>
        <v>0</v>
      </c>
      <c r="AT3196" s="10" t="str">
        <f>IF(AND(I3196="TN",S3196&lt;=2800),VLOOKUP(AF3196,TNCalibEq2500!$AZ$2:$BB$56,3,),IF(AND(I3196="TDN",S3196&lt;=2800),VLOOKUP(AF3196,TNCalibEq2500!$AZ$2:$BB$56,3,)))</f>
        <v>y=0.1303x2+171.81x-89.924</v>
      </c>
      <c r="AU3196" s="10" t="str">
        <f>IF(I3196="TP",VLOOKUP(AF3196,TPCalibEqFull!$AZ$2:$BB$56,3),IF(I3196="TDP",VLOOKUP(AF3196,TPCalibEqFull!$AZ$2:$BB$56,3),IF(I3196="TDN",VLOOKUP(AF3196,TNCalibEqFull!$AZ$1:$BB$56,3),IF(I3196="TN",VLOOKUP(AF3196,TNCalibEqFull!$AZ$1:$BB$56,3),FALSE))))</f>
        <v>y=-0.033x2+178.81x-104.93</v>
      </c>
      <c r="AV3196" s="10" t="str">
        <f t="shared" si="361"/>
        <v>0215 09:00:00-QAC-REC-A-1-DI-NIC</v>
      </c>
    </row>
    <row r="3197" spans="1:48" s="10" customFormat="1" x14ac:dyDescent="0.55000000000000004">
      <c r="A3197" s="32">
        <v>44935</v>
      </c>
      <c r="B3197" s="33">
        <v>0.375</v>
      </c>
      <c r="C3197" s="10" t="s">
        <v>70</v>
      </c>
      <c r="D3197" s="10" t="s">
        <v>305</v>
      </c>
      <c r="E3197" s="10" t="s">
        <v>901</v>
      </c>
      <c r="F3197" s="10">
        <v>1</v>
      </c>
      <c r="G3197" s="10" t="s">
        <v>73</v>
      </c>
      <c r="H3197" s="10" t="s">
        <v>856</v>
      </c>
      <c r="I3197" s="10" t="s">
        <v>235</v>
      </c>
      <c r="J3197" s="10">
        <v>217</v>
      </c>
      <c r="K3197" s="12">
        <v>44973</v>
      </c>
      <c r="L3197" s="33">
        <v>0.45512731481481478</v>
      </c>
      <c r="M3197" s="10">
        <v>1</v>
      </c>
      <c r="N3197" s="10" t="s">
        <v>196</v>
      </c>
      <c r="O3197" s="10">
        <v>26.6</v>
      </c>
      <c r="P3197" s="10">
        <v>1.28</v>
      </c>
      <c r="Q3197" s="10">
        <v>4650</v>
      </c>
      <c r="R3197" s="10" t="s">
        <v>170</v>
      </c>
      <c r="S3197" s="34">
        <f t="shared" si="358"/>
        <v>4650</v>
      </c>
      <c r="T3197" s="10" t="s">
        <v>1229</v>
      </c>
      <c r="U3197" s="34">
        <f t="shared" si="359"/>
        <v>93</v>
      </c>
      <c r="V3197" s="31">
        <f>IF(H3197="CHK",VLOOKUP(I3197,QCCHK,3,),IF(H3197="GUP",VLOOKUP(E3197,QCGUP,2,),IF(AND(H3197="ATP",OR(I3197="TN",I3197="TDN",I3197="TNO2-3",I3197="NO2-3")),VLOOKUP(E3197,QCREC_N,2,),IF(AND(H3197="NIC",OR(I3197="TN",I3197="TDN",I3197="TNO2-3",I3197="NO2-3")),VLOOKUP(E3197,QCNIC_N,2,),IF(AND(H3197="UREA",OR(I3197="TN",I3197="TDN",I3197="TNO2-3",I3197="NO2-3")),VLOOKUP(E3197,QCUREA_N,2,),IF(H3197="PER",VLOOKUP(I3197,QCPER,MATCH(E3197,QCACTUAL!$J$25:$AA$25,0),),IF(H3197="SPK",VLOOKUP(I3197,QCSPK,3,),IF(AND(H3197="ATP",OR(I3197="TP",I3197="TDP")),VLOOKUP(E3197,QCATP_P,2,),""))))))))</f>
        <v>5000</v>
      </c>
      <c r="W3197" s="31" t="str">
        <f t="shared" si="360"/>
        <v>TRUE</v>
      </c>
      <c r="X3197" s="31" t="str">
        <f t="shared" si="357"/>
        <v>[rec]/[actual]*100</v>
      </c>
      <c r="Y3197" s="10" t="s">
        <v>1222</v>
      </c>
      <c r="AF3197" s="12">
        <v>44973</v>
      </c>
      <c r="AK3197" s="10">
        <f>-0.033*26.6^2+178.81*26.6-104.93</f>
        <v>4628.0665200000003</v>
      </c>
      <c r="AL3197" s="10" t="str">
        <f t="shared" si="362"/>
        <v>FALSE</v>
      </c>
      <c r="AM3197" s="10" t="str">
        <f t="shared" si="362"/>
        <v>FALSE</v>
      </c>
      <c r="AN3197" s="10" t="str">
        <f t="shared" si="362"/>
        <v>FALSE</v>
      </c>
      <c r="AO3197" s="10" t="str">
        <f t="shared" si="363"/>
        <v>FALSE</v>
      </c>
      <c r="AP3197" s="10" t="str">
        <f t="shared" si="363"/>
        <v>y=-0.033*26.6^2+178.81*26.6-104.93</v>
      </c>
      <c r="AQ3197" s="10" t="b">
        <f>IF(AND(I3197="TP",S3197&lt;=150),VLOOKUP(AF3197,TPCalibEq150!$AZ$2:$BB$55,3,),IF(AND(I3197="TDP",S3197&lt;=150),VLOOKUP(AF3197,TPCalibEq150!$AZ$2:$BB$55,3,)))</f>
        <v>0</v>
      </c>
      <c r="AR3197" s="10" t="b">
        <f>IF(AND(I3197="TP",S3197&lt;=300),VLOOKUP(AF3197,TPCalibEq300!$AZ$2:$BB$55,3,),IF(AND(I3197="TDP",S3197&lt;=300),VLOOKUP(AF3197,TPCalibEq300!$AZ$2:$BB$55,3,)))</f>
        <v>0</v>
      </c>
      <c r="AS3197" s="10" t="b">
        <f>IF(AND(I3197="TP",S3197&lt;=500),VLOOKUP(AF3197,TPCalibEq500!$AZ$2:$BB$56,3,),IF(AND(I3197="TDP",S3197&lt;=500),VLOOKUP(AF3197,TPCalibEq500!$AZ$2:$BB$56,3,)))</f>
        <v>0</v>
      </c>
      <c r="AT3197" s="10" t="b">
        <f>IF(AND(I3197="TN",S3197&lt;=2800),VLOOKUP(AF3197,TNCalibEq2500!$AZ$2:$BB$56,3,),IF(AND(I3197="TDN",S3197&lt;=2800),VLOOKUP(AF3197,TNCalibEq2500!$AZ$2:$BB$56,3,)))</f>
        <v>0</v>
      </c>
      <c r="AU3197" s="10" t="str">
        <f>IF(I3197="TP",VLOOKUP(AF3197,TPCalibEqFull!$AZ$2:$BB$56,3),IF(I3197="TDP",VLOOKUP(AF3197,TPCalibEqFull!$AZ$2:$BB$56,3),IF(I3197="TDN",VLOOKUP(AF3197,TNCalibEqFull!$AZ$1:$BB$56,3),IF(I3197="TN",VLOOKUP(AF3197,TNCalibEqFull!$AZ$1:$BB$56,3),FALSE))))</f>
        <v>y=-0.033x2+178.81x-104.93</v>
      </c>
      <c r="AV3197" s="10" t="str">
        <f t="shared" si="361"/>
        <v>0109 09:00:00-QAC-REC-D-1-DI-NIC</v>
      </c>
    </row>
    <row r="3198" spans="1:48" s="10" customFormat="1" x14ac:dyDescent="0.55000000000000004">
      <c r="A3198" s="32">
        <v>44972</v>
      </c>
      <c r="B3198" s="33">
        <v>0.375</v>
      </c>
      <c r="C3198" s="10" t="s">
        <v>70</v>
      </c>
      <c r="D3198" s="10" t="s">
        <v>305</v>
      </c>
      <c r="E3198" s="10" t="s">
        <v>901</v>
      </c>
      <c r="F3198" s="10">
        <v>1</v>
      </c>
      <c r="G3198" s="10" t="s">
        <v>73</v>
      </c>
      <c r="H3198" s="10" t="s">
        <v>856</v>
      </c>
      <c r="I3198" s="10" t="s">
        <v>235</v>
      </c>
      <c r="J3198" s="10">
        <v>213</v>
      </c>
      <c r="K3198" s="12">
        <v>44973</v>
      </c>
      <c r="L3198" s="33">
        <v>0.45581018518518518</v>
      </c>
      <c r="M3198" s="10">
        <v>1</v>
      </c>
      <c r="N3198" s="10" t="s">
        <v>196</v>
      </c>
      <c r="O3198" s="10">
        <v>26.3</v>
      </c>
      <c r="P3198" s="10">
        <v>1.27</v>
      </c>
      <c r="Q3198" s="10">
        <v>4580</v>
      </c>
      <c r="R3198" s="10" t="s">
        <v>170</v>
      </c>
      <c r="S3198" s="34">
        <f t="shared" si="358"/>
        <v>4580</v>
      </c>
      <c r="T3198" s="10" t="s">
        <v>1229</v>
      </c>
      <c r="U3198" s="34">
        <f t="shared" si="359"/>
        <v>91.600000000000009</v>
      </c>
      <c r="V3198" s="31">
        <f>IF(H3198="CHK",VLOOKUP(I3198,QCCHK,3,),IF(H3198="GUP",VLOOKUP(E3198,QCGUP,2,),IF(AND(H3198="ATP",OR(I3198="TN",I3198="TDN",I3198="TNO2-3",I3198="NO2-3")),VLOOKUP(E3198,QCREC_N,2,),IF(AND(H3198="NIC",OR(I3198="TN",I3198="TDN",I3198="TNO2-3",I3198="NO2-3")),VLOOKUP(E3198,QCNIC_N,2,),IF(AND(H3198="UREA",OR(I3198="TN",I3198="TDN",I3198="TNO2-3",I3198="NO2-3")),VLOOKUP(E3198,QCUREA_N,2,),IF(H3198="PER",VLOOKUP(I3198,QCPER,MATCH(E3198,QCACTUAL!$J$25:$AA$25,0),),IF(H3198="SPK",VLOOKUP(I3198,QCSPK,3,),IF(AND(H3198="ATP",OR(I3198="TP",I3198="TDP")),VLOOKUP(E3198,QCATP_P,2,),""))))))))</f>
        <v>5000</v>
      </c>
      <c r="W3198" s="31" t="str">
        <f t="shared" si="360"/>
        <v>TRUE</v>
      </c>
      <c r="X3198" s="31" t="str">
        <f t="shared" si="357"/>
        <v>[rec]/[actual]*100</v>
      </c>
      <c r="Y3198" s="10" t="s">
        <v>1222</v>
      </c>
      <c r="AF3198" s="12">
        <v>44973</v>
      </c>
      <c r="AK3198" s="10">
        <f>-0.033*26.3^2+178.81*26.3-104.93</f>
        <v>4574.9472299999998</v>
      </c>
      <c r="AL3198" s="10" t="str">
        <f t="shared" si="362"/>
        <v>FALSE</v>
      </c>
      <c r="AM3198" s="10" t="str">
        <f t="shared" si="362"/>
        <v>FALSE</v>
      </c>
      <c r="AN3198" s="10" t="str">
        <f t="shared" si="362"/>
        <v>FALSE</v>
      </c>
      <c r="AO3198" s="10" t="str">
        <f t="shared" si="363"/>
        <v>FALSE</v>
      </c>
      <c r="AP3198" s="10" t="str">
        <f t="shared" si="363"/>
        <v>y=-0.033*26.3^2+178.81*26.3-104.93</v>
      </c>
      <c r="AQ3198" s="10" t="b">
        <f>IF(AND(I3198="TP",S3198&lt;=150),VLOOKUP(AF3198,TPCalibEq150!$AZ$2:$BB$55,3,),IF(AND(I3198="TDP",S3198&lt;=150),VLOOKUP(AF3198,TPCalibEq150!$AZ$2:$BB$55,3,)))</f>
        <v>0</v>
      </c>
      <c r="AR3198" s="10" t="b">
        <f>IF(AND(I3198="TP",S3198&lt;=300),VLOOKUP(AF3198,TPCalibEq300!$AZ$2:$BB$55,3,),IF(AND(I3198="TDP",S3198&lt;=300),VLOOKUP(AF3198,TPCalibEq300!$AZ$2:$BB$55,3,)))</f>
        <v>0</v>
      </c>
      <c r="AS3198" s="10" t="b">
        <f>IF(AND(I3198="TP",S3198&lt;=500),VLOOKUP(AF3198,TPCalibEq500!$AZ$2:$BB$56,3,),IF(AND(I3198="TDP",S3198&lt;=500),VLOOKUP(AF3198,TPCalibEq500!$AZ$2:$BB$56,3,)))</f>
        <v>0</v>
      </c>
      <c r="AT3198" s="10" t="b">
        <f>IF(AND(I3198="TN",S3198&lt;=2800),VLOOKUP(AF3198,TNCalibEq2500!$AZ$2:$BB$56,3,),IF(AND(I3198="TDN",S3198&lt;=2800),VLOOKUP(AF3198,TNCalibEq2500!$AZ$2:$BB$56,3,)))</f>
        <v>0</v>
      </c>
      <c r="AU3198" s="10" t="str">
        <f>IF(I3198="TP",VLOOKUP(AF3198,TPCalibEqFull!$AZ$2:$BB$56,3),IF(I3198="TDP",VLOOKUP(AF3198,TPCalibEqFull!$AZ$2:$BB$56,3),IF(I3198="TDN",VLOOKUP(AF3198,TNCalibEqFull!$AZ$1:$BB$56,3),IF(I3198="TN",VLOOKUP(AF3198,TNCalibEqFull!$AZ$1:$BB$56,3),FALSE))))</f>
        <v>y=-0.033x2+178.81x-104.93</v>
      </c>
      <c r="AV3198" s="10" t="str">
        <f t="shared" si="361"/>
        <v>0215 09:00:00-QAC-REC-D-1-DI-NIC</v>
      </c>
    </row>
    <row r="3199" spans="1:48" s="10" customFormat="1" x14ac:dyDescent="0.55000000000000004">
      <c r="A3199" s="32">
        <v>44972</v>
      </c>
      <c r="B3199" s="33">
        <v>0.375</v>
      </c>
      <c r="C3199" s="10" t="s">
        <v>70</v>
      </c>
      <c r="D3199" s="10" t="s">
        <v>71</v>
      </c>
      <c r="E3199" s="10" t="s">
        <v>901</v>
      </c>
      <c r="F3199" s="10">
        <v>1</v>
      </c>
      <c r="G3199" s="10" t="s">
        <v>73</v>
      </c>
      <c r="H3199" s="10" t="s">
        <v>207</v>
      </c>
      <c r="I3199" s="10" t="s">
        <v>235</v>
      </c>
      <c r="J3199" s="10">
        <v>219</v>
      </c>
      <c r="K3199" s="12">
        <v>44973</v>
      </c>
      <c r="L3199" s="33">
        <v>0.45648148148148149</v>
      </c>
      <c r="M3199" s="10">
        <v>1</v>
      </c>
      <c r="N3199" s="10" t="s">
        <v>196</v>
      </c>
      <c r="O3199" s="10">
        <v>7.17</v>
      </c>
      <c r="P3199" s="10">
        <v>0.35099999999999998</v>
      </c>
      <c r="Q3199" s="10">
        <v>1170</v>
      </c>
      <c r="R3199" s="10" t="s">
        <v>170</v>
      </c>
      <c r="S3199" s="34">
        <f t="shared" si="358"/>
        <v>1175.4412063</v>
      </c>
      <c r="T3199" s="10" t="s">
        <v>1229</v>
      </c>
      <c r="U3199" s="34">
        <f t="shared" si="359"/>
        <v>94.035296504000002</v>
      </c>
      <c r="V3199" s="31">
        <f>IF(H3199="CHK",VLOOKUP(I3199,QCCHK,3,),IF(H3199="GUP",VLOOKUP(E3199,QCGUP,2,),IF(AND(H3199="ATP",OR(I3199="TN",I3199="TDN",I3199="TNO2-3",I3199="NO2-3")),VLOOKUP(E3199,QCREC_N,2,),IF(AND(H3199="NIC",OR(I3199="TN",I3199="TDN",I3199="TNO2-3",I3199="NO2-3")),VLOOKUP(E3199,QCNIC_N,2,),IF(AND(H3199="UREA",OR(I3199="TN",I3199="TDN",I3199="TNO2-3",I3199="NO2-3")),VLOOKUP(E3199,QCUREA_N,2,),IF(H3199="PER",VLOOKUP(I3199,QCPER,MATCH(E3199,QCACTUAL!$J$25:$AA$25,0),),IF(H3199="SPK",VLOOKUP(I3199,QCSPK,3,),IF(AND(H3199="ATP",OR(I3199="TP",I3199="TDP")),VLOOKUP(E3199,QCATP_P,2,),""))))))))</f>
        <v>1250</v>
      </c>
      <c r="W3199" s="31" t="str">
        <f t="shared" si="360"/>
        <v>TRUE</v>
      </c>
      <c r="X3199" s="31" t="str">
        <f t="shared" ref="X3199:X3262" si="364">IF(ISNA(VLOOKUP(H3199,QCEQUATIONS,2,)),"",(VLOOKUP(H3199,QCEQUATIONS,2,)))</f>
        <v>[chk]/[actual]*100</v>
      </c>
      <c r="Y3199" s="10" t="s">
        <v>1222</v>
      </c>
      <c r="AF3199" s="12">
        <v>44973</v>
      </c>
      <c r="AJ3199" s="10">
        <f>0.1303*7.17^2+171.81*7.17-89.924</f>
        <v>1148.6522796700001</v>
      </c>
      <c r="AK3199" s="10">
        <f>-0.033*7.17^2+178.81*7.17-104.93</f>
        <v>1175.4412063</v>
      </c>
      <c r="AL3199" s="10" t="str">
        <f t="shared" si="362"/>
        <v>FALSE</v>
      </c>
      <c r="AM3199" s="10" t="str">
        <f t="shared" si="362"/>
        <v>FALSE</v>
      </c>
      <c r="AN3199" s="10" t="str">
        <f t="shared" si="362"/>
        <v>FALSE</v>
      </c>
      <c r="AO3199" s="10" t="str">
        <f t="shared" si="363"/>
        <v>y=0.1303*7.17^2+171.81*7.17-89.924</v>
      </c>
      <c r="AP3199" s="10" t="str">
        <f t="shared" si="363"/>
        <v>y=-0.033*7.17^2+178.81*7.17-104.93</v>
      </c>
      <c r="AQ3199" s="10" t="b">
        <f>IF(AND(I3199="TP",S3199&lt;=150),VLOOKUP(AF3199,TPCalibEq150!$AZ$2:$BB$55,3,),IF(AND(I3199="TDP",S3199&lt;=150),VLOOKUP(AF3199,TPCalibEq150!$AZ$2:$BB$55,3,)))</f>
        <v>0</v>
      </c>
      <c r="AR3199" s="10" t="b">
        <f>IF(AND(I3199="TP",S3199&lt;=300),VLOOKUP(AF3199,TPCalibEq300!$AZ$2:$BB$55,3,),IF(AND(I3199="TDP",S3199&lt;=300),VLOOKUP(AF3199,TPCalibEq300!$AZ$2:$BB$55,3,)))</f>
        <v>0</v>
      </c>
      <c r="AS3199" s="10" t="b">
        <f>IF(AND(I3199="TP",S3199&lt;=500),VLOOKUP(AF3199,TPCalibEq500!$AZ$2:$BB$56,3,),IF(AND(I3199="TDP",S3199&lt;=500),VLOOKUP(AF3199,TPCalibEq500!$AZ$2:$BB$56,3,)))</f>
        <v>0</v>
      </c>
      <c r="AT3199" s="10" t="str">
        <f>IF(AND(I3199="TN",S3199&lt;=2800),VLOOKUP(AF3199,TNCalibEq2500!$AZ$2:$BB$56,3,),IF(AND(I3199="TDN",S3199&lt;=2800),VLOOKUP(AF3199,TNCalibEq2500!$AZ$2:$BB$56,3,)))</f>
        <v>y=0.1303x2+171.81x-89.924</v>
      </c>
      <c r="AU3199" s="10" t="str">
        <f>IF(I3199="TP",VLOOKUP(AF3199,TPCalibEqFull!$AZ$2:$BB$56,3),IF(I3199="TDP",VLOOKUP(AF3199,TPCalibEqFull!$AZ$2:$BB$56,3),IF(I3199="TDN",VLOOKUP(AF3199,TNCalibEqFull!$AZ$1:$BB$56,3),IF(I3199="TN",VLOOKUP(AF3199,TNCalibEqFull!$AZ$1:$BB$56,3),FALSE))))</f>
        <v>y=-0.033x2+178.81x-104.93</v>
      </c>
      <c r="AV3199" s="10" t="str">
        <f t="shared" si="361"/>
        <v>0215 09:00:00-QAC-STD-D-1-DI-CHK</v>
      </c>
    </row>
    <row r="3200" spans="1:48" s="10" customFormat="1" x14ac:dyDescent="0.55000000000000004">
      <c r="A3200" s="32">
        <v>44970</v>
      </c>
      <c r="B3200" s="33">
        <v>0.25</v>
      </c>
      <c r="C3200" s="10" t="s">
        <v>70</v>
      </c>
      <c r="D3200" s="10" t="s">
        <v>241</v>
      </c>
      <c r="E3200" s="10" t="s">
        <v>866</v>
      </c>
      <c r="F3200" s="10">
        <v>1</v>
      </c>
      <c r="G3200" s="10" t="s">
        <v>73</v>
      </c>
      <c r="H3200" s="10" t="s">
        <v>264</v>
      </c>
      <c r="I3200" s="10" t="s">
        <v>235</v>
      </c>
      <c r="J3200" s="10">
        <v>55</v>
      </c>
      <c r="K3200" s="12">
        <v>44973</v>
      </c>
      <c r="L3200" s="33">
        <v>0.45869212962962963</v>
      </c>
      <c r="M3200" s="10">
        <v>1</v>
      </c>
      <c r="N3200" s="10" t="s">
        <v>196</v>
      </c>
      <c r="O3200" s="10">
        <v>0.39700000000000002</v>
      </c>
      <c r="P3200" s="10">
        <v>1.8499999999999999E-2</v>
      </c>
      <c r="Q3200" s="10">
        <v>-32.799999999999997</v>
      </c>
      <c r="R3200" s="10" t="s">
        <v>170</v>
      </c>
      <c r="S3200" s="34">
        <f t="shared" ref="S3200:S3263" si="365">IF(OR(AND(I3200&lt;&gt;"TP", I3200&lt;&gt;"TDP",I3200&lt;&gt;"TN", I3200&lt;&gt;"TDN"),H3200="CAL"), Q3200*M3200, IF(OR(AND(I3200="TN", Q3200&gt;2500), AND(I3200="TDN", Q3200&gt;2500)),MAX(Q3200, AK3200)*M3200, IF(OR(AND(I3200="TN", Q3200&lt;=2500), AND(I3200="TDN", Q3200&lt;=2500)),MAX(Q3200, AJ3200,AK3200)*M3200, IF(OR(AND(I3200="TP",Q3200&gt;500), AND(I3200="TDP", Q3200&gt;500)),MAX(Q3200,AK3200)*M3200,IF(OR(AND(I3200="TP",Q3200&lt;=150), AND(I3200="TDP", Q3200&lt;=150)),MAX(Q3200,AG3200:AI3200,AK3200)*M3200,IF(OR(AND(I3200="TP",Q3200&lt;=300), AND(I3200="TDP", Q3200&lt;=300)),MAX(Q3200,AH3200,AI3200,AK3200)*M3200,IF(OR(AND(I3200="TP",Q3200&lt;=500), AND(I3200="TDP", Q3200&lt;=500)),MAX(Q3200,AI3200,AK3200)*M3200,"")))))))</f>
        <v>-21.694893547299998</v>
      </c>
      <c r="T3200" s="10" t="s">
        <v>1229</v>
      </c>
      <c r="U3200" s="34">
        <f t="shared" si="359"/>
        <v>-21.694893547299998</v>
      </c>
      <c r="V3200" s="31" t="str">
        <f>IF(H3200="CHK",VLOOKUP(I3200,QCCHK,3,),IF(H3200="GUP",VLOOKUP(E3200,QCGUP,2,),IF(AND(H3200="ATP",OR(I3200="TN",I3200="TDN",I3200="TNO2-3",I3200="NO2-3")),VLOOKUP(E3200,QCREC_N,2,),IF(AND(H3200="NIC",OR(I3200="TN",I3200="TDN",I3200="TNO2-3",I3200="NO2-3")),VLOOKUP(E3200,QCNIC_N,2,),IF(AND(H3200="UREA",OR(I3200="TN",I3200="TDN",I3200="TNO2-3",I3200="NO2-3")),VLOOKUP(E3200,QCUREA_N,2,),IF(H3200="PER",VLOOKUP(I3200,QCPER,MATCH(E3200,QCACTUAL!$J$25:$AA$25,0),),IF(H3200="SPK",VLOOKUP(I3200,QCSPK,3,),IF(AND(H3200="ATP",OR(I3200="TP",I3200="TDP")),VLOOKUP(E3200,QCATP_P,2,),""))))))))</f>
        <v/>
      </c>
      <c r="W3200" s="31" t="str">
        <f t="shared" si="360"/>
        <v>TRUE</v>
      </c>
      <c r="X3200" s="31" t="str">
        <f t="shared" si="364"/>
        <v>nominal concentration</v>
      </c>
      <c r="Y3200" s="10" t="s">
        <v>1222</v>
      </c>
      <c r="Z3200" s="10" t="s">
        <v>910</v>
      </c>
      <c r="AF3200" s="12">
        <v>44973</v>
      </c>
      <c r="AJ3200" s="10">
        <f>0.1303*0.397^2+171.81*0.397-89.924</f>
        <v>-21.694893547299998</v>
      </c>
      <c r="AK3200" s="10">
        <f>-0.033*0.397^2+178.81*0.397-104.93</f>
        <v>-33.947631096999999</v>
      </c>
      <c r="AL3200" s="10" t="str">
        <f t="shared" si="362"/>
        <v>FALSE</v>
      </c>
      <c r="AM3200" s="10" t="str">
        <f t="shared" si="362"/>
        <v>FALSE</v>
      </c>
      <c r="AN3200" s="10" t="str">
        <f t="shared" si="362"/>
        <v>FALSE</v>
      </c>
      <c r="AO3200" s="10" t="str">
        <f t="shared" si="363"/>
        <v>y=0.1303*0.397^2+171.81*0.397-89.924</v>
      </c>
      <c r="AP3200" s="10" t="str">
        <f t="shared" si="363"/>
        <v>y=-0.033*0.397^2+178.81*0.397-104.93</v>
      </c>
      <c r="AQ3200" s="10" t="b">
        <f>IF(AND(I3200="TP",S3200&lt;=150),VLOOKUP(AF3200,TPCalibEq150!$AZ$2:$BB$55,3,),IF(AND(I3200="TDP",S3200&lt;=150),VLOOKUP(AF3200,TPCalibEq150!$AZ$2:$BB$55,3,)))</f>
        <v>0</v>
      </c>
      <c r="AR3200" s="10" t="b">
        <f>IF(AND(I3200="TP",S3200&lt;=300),VLOOKUP(AF3200,TPCalibEq300!$AZ$2:$BB$55,3,),IF(AND(I3200="TDP",S3200&lt;=300),VLOOKUP(AF3200,TPCalibEq300!$AZ$2:$BB$55,3,)))</f>
        <v>0</v>
      </c>
      <c r="AS3200" s="10" t="b">
        <f>IF(AND(I3200="TP",S3200&lt;=500),VLOOKUP(AF3200,TPCalibEq500!$AZ$2:$BB$56,3,),IF(AND(I3200="TDP",S3200&lt;=500),VLOOKUP(AF3200,TPCalibEq500!$AZ$2:$BB$56,3,)))</f>
        <v>0</v>
      </c>
      <c r="AT3200" s="10" t="str">
        <f>IF(AND(I3200="TN",S3200&lt;=2800),VLOOKUP(AF3200,TNCalibEq2500!$AZ$2:$BB$56,3,),IF(AND(I3200="TDN",S3200&lt;=2800),VLOOKUP(AF3200,TNCalibEq2500!$AZ$2:$BB$56,3,)))</f>
        <v>y=0.1303x2+171.81x-89.924</v>
      </c>
      <c r="AU3200" s="10" t="str">
        <f>IF(I3200="TP",VLOOKUP(AF3200,TPCalibEqFull!$AZ$2:$BB$56,3),IF(I3200="TDP",VLOOKUP(AF3200,TPCalibEqFull!$AZ$2:$BB$56,3),IF(I3200="TDN",VLOOKUP(AF3200,TNCalibEqFull!$AZ$1:$BB$56,3),IF(I3200="TN",VLOOKUP(AF3200,TNCalibEqFull!$AZ$1:$BB$56,3),FALSE))))</f>
        <v>y=-0.033x2+178.81x-104.93</v>
      </c>
      <c r="AV3200" s="10" t="str">
        <f t="shared" si="361"/>
        <v>0213 06:00:00-QAC-BLK-A-1-DI-FLD</v>
      </c>
    </row>
    <row r="3201" spans="1:48" s="10" customFormat="1" x14ac:dyDescent="0.55000000000000004">
      <c r="A3201" s="32">
        <v>44971</v>
      </c>
      <c r="B3201" s="33">
        <v>0.30208333333333331</v>
      </c>
      <c r="C3201" s="10" t="s">
        <v>70</v>
      </c>
      <c r="D3201" s="10" t="s">
        <v>241</v>
      </c>
      <c r="E3201" s="10" t="s">
        <v>866</v>
      </c>
      <c r="F3201" s="10">
        <v>1</v>
      </c>
      <c r="G3201" s="10" t="s">
        <v>73</v>
      </c>
      <c r="H3201" s="10" t="s">
        <v>245</v>
      </c>
      <c r="I3201" s="10" t="s">
        <v>235</v>
      </c>
      <c r="J3201" s="10">
        <v>56</v>
      </c>
      <c r="K3201" s="12">
        <v>44973</v>
      </c>
      <c r="L3201" s="33">
        <v>0.45935185185185184</v>
      </c>
      <c r="M3201" s="10">
        <v>1</v>
      </c>
      <c r="N3201" s="10" t="s">
        <v>196</v>
      </c>
      <c r="O3201" s="10">
        <v>0.35199999999999998</v>
      </c>
      <c r="P3201" s="10">
        <v>1.6400000000000001E-2</v>
      </c>
      <c r="Q3201" s="10">
        <v>-40.9</v>
      </c>
      <c r="R3201" s="10" t="s">
        <v>170</v>
      </c>
      <c r="S3201" s="34">
        <f t="shared" si="365"/>
        <v>-29.43073530880001</v>
      </c>
      <c r="T3201" s="10" t="s">
        <v>1229</v>
      </c>
      <c r="U3201" s="34">
        <f t="shared" si="359"/>
        <v>-29.43073530880001</v>
      </c>
      <c r="V3201" s="31" t="str">
        <f>IF(H3201="CHK",VLOOKUP(I3201,QCCHK,3,),IF(H3201="GUP",VLOOKUP(E3201,QCGUP,2,),IF(AND(H3201="ATP",OR(I3201="TN",I3201="TDN",I3201="TNO2-3",I3201="NO2-3")),VLOOKUP(E3201,QCREC_N,2,),IF(AND(H3201="NIC",OR(I3201="TN",I3201="TDN",I3201="TNO2-3",I3201="NO2-3")),VLOOKUP(E3201,QCNIC_N,2,),IF(AND(H3201="UREA",OR(I3201="TN",I3201="TDN",I3201="TNO2-3",I3201="NO2-3")),VLOOKUP(E3201,QCUREA_N,2,),IF(H3201="PER",VLOOKUP(I3201,QCPER,MATCH(E3201,QCACTUAL!$J$25:$AA$25,0),),IF(H3201="SPK",VLOOKUP(I3201,QCSPK,3,),IF(AND(H3201="ATP",OR(I3201="TP",I3201="TDP")),VLOOKUP(E3201,QCATP_P,2,),""))))))))</f>
        <v/>
      </c>
      <c r="W3201" s="31" t="str">
        <f t="shared" si="360"/>
        <v>TRUE</v>
      </c>
      <c r="X3201" s="31" t="str">
        <f t="shared" si="364"/>
        <v>nominal concentration</v>
      </c>
      <c r="Y3201" s="10" t="s">
        <v>1222</v>
      </c>
      <c r="AF3201" s="12">
        <v>44973</v>
      </c>
      <c r="AJ3201" s="10">
        <f>0.1303*0.352^2+171.81*0.352-89.924</f>
        <v>-29.43073530880001</v>
      </c>
      <c r="AK3201" s="10">
        <f>-0.033*0.352^2+178.81*0.352-104.93</f>
        <v>-41.99296883200001</v>
      </c>
      <c r="AL3201" s="10" t="str">
        <f t="shared" si="362"/>
        <v>FALSE</v>
      </c>
      <c r="AM3201" s="10" t="str">
        <f t="shared" si="362"/>
        <v>FALSE</v>
      </c>
      <c r="AN3201" s="10" t="str">
        <f t="shared" si="362"/>
        <v>FALSE</v>
      </c>
      <c r="AO3201" s="10" t="str">
        <f t="shared" si="363"/>
        <v>y=0.1303*0.352^2+171.81*0.352-89.924</v>
      </c>
      <c r="AP3201" s="10" t="str">
        <f t="shared" si="363"/>
        <v>y=-0.033*0.352^2+178.81*0.352-104.93</v>
      </c>
      <c r="AQ3201" s="10" t="b">
        <f>IF(AND(I3201="TP",S3201&lt;=150),VLOOKUP(AF3201,TPCalibEq150!$AZ$2:$BB$55,3,),IF(AND(I3201="TDP",S3201&lt;=150),VLOOKUP(AF3201,TPCalibEq150!$AZ$2:$BB$55,3,)))</f>
        <v>0</v>
      </c>
      <c r="AR3201" s="10" t="b">
        <f>IF(AND(I3201="TP",S3201&lt;=300),VLOOKUP(AF3201,TPCalibEq300!$AZ$2:$BB$55,3,),IF(AND(I3201="TDP",S3201&lt;=300),VLOOKUP(AF3201,TPCalibEq300!$AZ$2:$BB$55,3,)))</f>
        <v>0</v>
      </c>
      <c r="AS3201" s="10" t="b">
        <f>IF(AND(I3201="TP",S3201&lt;=500),VLOOKUP(AF3201,TPCalibEq500!$AZ$2:$BB$56,3,),IF(AND(I3201="TDP",S3201&lt;=500),VLOOKUP(AF3201,TPCalibEq500!$AZ$2:$BB$56,3,)))</f>
        <v>0</v>
      </c>
      <c r="AT3201" s="10" t="str">
        <f>IF(AND(I3201="TN",S3201&lt;=2800),VLOOKUP(AF3201,TNCalibEq2500!$AZ$2:$BB$56,3,),IF(AND(I3201="TDN",S3201&lt;=2800),VLOOKUP(AF3201,TNCalibEq2500!$AZ$2:$BB$56,3,)))</f>
        <v>y=0.1303x2+171.81x-89.924</v>
      </c>
      <c r="AU3201" s="10" t="str">
        <f>IF(I3201="TP",VLOOKUP(AF3201,TPCalibEqFull!$AZ$2:$BB$56,3),IF(I3201="TDP",VLOOKUP(AF3201,TPCalibEqFull!$AZ$2:$BB$56,3),IF(I3201="TDN",VLOOKUP(AF3201,TNCalibEqFull!$AZ$1:$BB$56,3),IF(I3201="TN",VLOOKUP(AF3201,TNCalibEqFull!$AZ$1:$BB$56,3),FALSE))))</f>
        <v>y=-0.033x2+178.81x-104.93</v>
      </c>
      <c r="AV3201" s="10" t="str">
        <f t="shared" si="361"/>
        <v>0214 07:15:00-QAC-BLK-A-1-DI-ESF</v>
      </c>
    </row>
    <row r="3202" spans="1:48" s="10" customFormat="1" x14ac:dyDescent="0.55000000000000004">
      <c r="A3202" s="32">
        <v>44970</v>
      </c>
      <c r="B3202" s="33">
        <v>0.25</v>
      </c>
      <c r="C3202" s="10" t="s">
        <v>70</v>
      </c>
      <c r="D3202" s="10" t="s">
        <v>241</v>
      </c>
      <c r="E3202" s="10" t="s">
        <v>911</v>
      </c>
      <c r="F3202" s="10">
        <v>1</v>
      </c>
      <c r="G3202" s="10" t="s">
        <v>73</v>
      </c>
      <c r="H3202" s="10" t="s">
        <v>264</v>
      </c>
      <c r="I3202" s="10" t="s">
        <v>224</v>
      </c>
      <c r="J3202" s="10">
        <v>57</v>
      </c>
      <c r="K3202" s="12">
        <v>44973</v>
      </c>
      <c r="L3202" s="33">
        <v>0.4600231481481481</v>
      </c>
      <c r="M3202" s="10">
        <v>1</v>
      </c>
      <c r="N3202" s="10" t="s">
        <v>196</v>
      </c>
      <c r="O3202" s="10">
        <v>0.64600000000000002</v>
      </c>
      <c r="P3202" s="10">
        <v>3.1399999999999997E-2</v>
      </c>
      <c r="Q3202" s="10">
        <v>11.5</v>
      </c>
      <c r="R3202" s="10" t="s">
        <v>170</v>
      </c>
      <c r="S3202" s="34">
        <f t="shared" si="365"/>
        <v>21.119636274800001</v>
      </c>
      <c r="T3202" s="10" t="s">
        <v>1229</v>
      </c>
      <c r="U3202" s="34">
        <f t="shared" ref="U3202:U3265" si="366">IF(OR(H3202="CHK",H3202="ATP",H3202="GUP",H3202="PER", H3202="NIC", H3202="UREA"),(S3202/V3202*100),IF(H3202="DUP",((ABS(S3202-S3201))/((S3201+S3202)/2))*100,IF(H3202="SPK",((S3202-S3201)/V3202*100),IF(OR(H3202="LAB",H3202="FLD",H3202="ESF"),S3202,""))))</f>
        <v>21.119636274800001</v>
      </c>
      <c r="V3202" s="31" t="str">
        <f>IF(H3202="CHK",VLOOKUP(I3202,QCCHK,3,),IF(H3202="GUP",VLOOKUP(E3202,QCGUP,2,),IF(AND(H3202="ATP",OR(I3202="TN",I3202="TDN",I3202="TNO2-3",I3202="NO2-3")),VLOOKUP(E3202,QCREC_N,2,),IF(AND(H3202="NIC",OR(I3202="TN",I3202="TDN",I3202="TNO2-3",I3202="NO2-3")),VLOOKUP(E3202,QCNIC_N,2,),IF(AND(H3202="UREA",OR(I3202="TN",I3202="TDN",I3202="TNO2-3",I3202="NO2-3")),VLOOKUP(E3202,QCUREA_N,2,),IF(H3202="PER",VLOOKUP(I3202,QCPER,MATCH(E3202,QCACTUAL!$J$25:$AA$25,0),),IF(H3202="SPK",VLOOKUP(I3202,QCSPK,3,),IF(AND(H3202="ATP",OR(I3202="TP",I3202="TDP")),VLOOKUP(E3202,QCATP_P,2,),""))))))))</f>
        <v/>
      </c>
      <c r="W3202" s="31" t="str">
        <f t="shared" ref="W3202:W3265" si="367">IF(AND(OR(H3202="PER",H3202="ATP",H3202="GUP",H3202="CHK",H3202="SPK", H3202="NIC"),OR(U3202&gt;125,U3202&lt;75)),"FALSE",IF(AND(H3202="DUP",OR(U3202&gt;25, U3202&lt;-25)),"FALSE",IF(AND(OR(H3202="LAB",H3202="FLD",H3202="ESF"),U3202&gt;15),"FALSE","TRUE")))</f>
        <v>FALSE</v>
      </c>
      <c r="X3202" s="31" t="str">
        <f t="shared" si="364"/>
        <v>nominal concentration</v>
      </c>
      <c r="Y3202" s="10" t="s">
        <v>1222</v>
      </c>
      <c r="Z3202" s="10" t="s">
        <v>910</v>
      </c>
      <c r="AF3202" s="12">
        <v>44973</v>
      </c>
      <c r="AJ3202" s="10">
        <f>0.1303*0.646^2+171.81*0.646-89.924</f>
        <v>21.119636274800001</v>
      </c>
      <c r="AK3202" s="10">
        <f>-0.033*0.646^2+178.81*0.646-104.93</f>
        <v>10.567488572000002</v>
      </c>
      <c r="AL3202" s="10" t="str">
        <f t="shared" si="362"/>
        <v>FALSE</v>
      </c>
      <c r="AM3202" s="10" t="str">
        <f t="shared" si="362"/>
        <v>FALSE</v>
      </c>
      <c r="AN3202" s="10" t="str">
        <f t="shared" si="362"/>
        <v>FALSE</v>
      </c>
      <c r="AO3202" s="10" t="str">
        <f t="shared" si="363"/>
        <v>y=0.1303*0.646^2+171.81*0.646-89.924</v>
      </c>
      <c r="AP3202" s="10" t="str">
        <f t="shared" si="363"/>
        <v>y=-0.033*0.646^2+178.81*0.646-104.93</v>
      </c>
      <c r="AQ3202" s="10" t="b">
        <f>IF(AND(I3202="TP",S3202&lt;=150),VLOOKUP(AF3202,TPCalibEq150!$AZ$2:$BB$55,3,),IF(AND(I3202="TDP",S3202&lt;=150),VLOOKUP(AF3202,TPCalibEq150!$AZ$2:$BB$55,3,)))</f>
        <v>0</v>
      </c>
      <c r="AR3202" s="10" t="b">
        <f>IF(AND(I3202="TP",S3202&lt;=300),VLOOKUP(AF3202,TPCalibEq300!$AZ$2:$BB$55,3,),IF(AND(I3202="TDP",S3202&lt;=300),VLOOKUP(AF3202,TPCalibEq300!$AZ$2:$BB$55,3,)))</f>
        <v>0</v>
      </c>
      <c r="AS3202" s="10" t="b">
        <f>IF(AND(I3202="TP",S3202&lt;=500),VLOOKUP(AF3202,TPCalibEq500!$AZ$2:$BB$56,3,),IF(AND(I3202="TDP",S3202&lt;=500),VLOOKUP(AF3202,TPCalibEq500!$AZ$2:$BB$56,3,)))</f>
        <v>0</v>
      </c>
      <c r="AT3202" s="10" t="str">
        <f>IF(AND(I3202="TN",S3202&lt;=2800),VLOOKUP(AF3202,TNCalibEq2500!$AZ$2:$BB$56,3,),IF(AND(I3202="TDN",S3202&lt;=2800),VLOOKUP(AF3202,TNCalibEq2500!$AZ$2:$BB$56,3,)))</f>
        <v>y=0.1303x2+171.81x-89.924</v>
      </c>
      <c r="AU3202" s="10" t="str">
        <f>IF(I3202="TP",VLOOKUP(AF3202,TPCalibEqFull!$AZ$2:$BB$56,3),IF(I3202="TDP",VLOOKUP(AF3202,TPCalibEqFull!$AZ$2:$BB$56,3),IF(I3202="TDN",VLOOKUP(AF3202,TNCalibEqFull!$AZ$1:$BB$56,3),IF(I3202="TN",VLOOKUP(AF3202,TNCalibEqFull!$AZ$1:$BB$56,3),FALSE))))</f>
        <v>y=-0.033x2+178.81x-104.93</v>
      </c>
      <c r="AV3202" s="10" t="str">
        <f t="shared" ref="AV3202:AV3265" si="368">TEXT(A3202, "MMDD")&amp;" "&amp;TEXT(B3202, "HH:MM:SS")&amp;"-"&amp;C3202&amp;"-"&amp;D3202&amp;"-"&amp;E3202&amp;"-"&amp;F3202&amp;"-"&amp;G3202&amp;"-"&amp;H3202</f>
        <v>0213 06:00:00-QAC-BLK-FIL-1-DI-FLD</v>
      </c>
    </row>
    <row r="3203" spans="1:48" s="10" customFormat="1" x14ac:dyDescent="0.55000000000000004">
      <c r="A3203" s="32">
        <v>44971</v>
      </c>
      <c r="B3203" s="33">
        <v>0.30208333333333331</v>
      </c>
      <c r="C3203" s="10" t="s">
        <v>70</v>
      </c>
      <c r="D3203" s="10" t="s">
        <v>241</v>
      </c>
      <c r="E3203" s="10" t="s">
        <v>911</v>
      </c>
      <c r="F3203" s="10">
        <v>1</v>
      </c>
      <c r="G3203" s="10" t="s">
        <v>73</v>
      </c>
      <c r="H3203" s="10" t="s">
        <v>245</v>
      </c>
      <c r="I3203" s="10" t="s">
        <v>224</v>
      </c>
      <c r="J3203" s="10">
        <v>58</v>
      </c>
      <c r="K3203" s="12">
        <v>44973</v>
      </c>
      <c r="L3203" s="33">
        <v>0.46068287037037042</v>
      </c>
      <c r="M3203" s="10">
        <v>1</v>
      </c>
      <c r="N3203" s="10" t="s">
        <v>196</v>
      </c>
      <c r="O3203" s="10">
        <v>0.44600000000000001</v>
      </c>
      <c r="P3203" s="10">
        <v>2.1499999999999998E-2</v>
      </c>
      <c r="Q3203" s="10">
        <v>-24</v>
      </c>
      <c r="R3203" s="10" t="s">
        <v>170</v>
      </c>
      <c r="S3203" s="34">
        <f t="shared" si="365"/>
        <v>-13.270821245199997</v>
      </c>
      <c r="T3203" s="10" t="s">
        <v>1229</v>
      </c>
      <c r="U3203" s="34">
        <f t="shared" si="366"/>
        <v>-13.270821245199997</v>
      </c>
      <c r="V3203" s="31" t="str">
        <f>IF(H3203="CHK",VLOOKUP(I3203,QCCHK,3,),IF(H3203="GUP",VLOOKUP(E3203,QCGUP,2,),IF(AND(H3203="ATP",OR(I3203="TN",I3203="TDN",I3203="TNO2-3",I3203="NO2-3")),VLOOKUP(E3203,QCREC_N,2,),IF(AND(H3203="NIC",OR(I3203="TN",I3203="TDN",I3203="TNO2-3",I3203="NO2-3")),VLOOKUP(E3203,QCNIC_N,2,),IF(AND(H3203="UREA",OR(I3203="TN",I3203="TDN",I3203="TNO2-3",I3203="NO2-3")),VLOOKUP(E3203,QCUREA_N,2,),IF(H3203="PER",VLOOKUP(I3203,QCPER,MATCH(E3203,QCACTUAL!$J$25:$AA$25,0),),IF(H3203="SPK",VLOOKUP(I3203,QCSPK,3,),IF(AND(H3203="ATP",OR(I3203="TP",I3203="TDP")),VLOOKUP(E3203,QCATP_P,2,),""))))))))</f>
        <v/>
      </c>
      <c r="W3203" s="31" t="str">
        <f t="shared" si="367"/>
        <v>TRUE</v>
      </c>
      <c r="X3203" s="31" t="str">
        <f t="shared" si="364"/>
        <v>nominal concentration</v>
      </c>
      <c r="Y3203" s="10" t="s">
        <v>1222</v>
      </c>
      <c r="AF3203" s="12">
        <v>44973</v>
      </c>
      <c r="AJ3203" s="10">
        <f>0.1303*0.446^2+171.81*0.446-89.924</f>
        <v>-13.270821245199997</v>
      </c>
      <c r="AK3203" s="10">
        <f>-0.033*0.446^2+178.81*0.446-104.93</f>
        <v>-25.187304228000002</v>
      </c>
      <c r="AL3203" s="10" t="str">
        <f t="shared" si="362"/>
        <v>FALSE</v>
      </c>
      <c r="AM3203" s="10" t="str">
        <f t="shared" si="362"/>
        <v>FALSE</v>
      </c>
      <c r="AN3203" s="10" t="str">
        <f t="shared" si="362"/>
        <v>FALSE</v>
      </c>
      <c r="AO3203" s="10" t="str">
        <f t="shared" si="363"/>
        <v>y=0.1303*0.446^2+171.81*0.446-89.924</v>
      </c>
      <c r="AP3203" s="10" t="str">
        <f t="shared" si="363"/>
        <v>y=-0.033*0.446^2+178.81*0.446-104.93</v>
      </c>
      <c r="AQ3203" s="10" t="b">
        <f>IF(AND(I3203="TP",S3203&lt;=150),VLOOKUP(AF3203,TPCalibEq150!$AZ$2:$BB$55,3,),IF(AND(I3203="TDP",S3203&lt;=150),VLOOKUP(AF3203,TPCalibEq150!$AZ$2:$BB$55,3,)))</f>
        <v>0</v>
      </c>
      <c r="AR3203" s="10" t="b">
        <f>IF(AND(I3203="TP",S3203&lt;=300),VLOOKUP(AF3203,TPCalibEq300!$AZ$2:$BB$55,3,),IF(AND(I3203="TDP",S3203&lt;=300),VLOOKUP(AF3203,TPCalibEq300!$AZ$2:$BB$55,3,)))</f>
        <v>0</v>
      </c>
      <c r="AS3203" s="10" t="b">
        <f>IF(AND(I3203="TP",S3203&lt;=500),VLOOKUP(AF3203,TPCalibEq500!$AZ$2:$BB$56,3,),IF(AND(I3203="TDP",S3203&lt;=500),VLOOKUP(AF3203,TPCalibEq500!$AZ$2:$BB$56,3,)))</f>
        <v>0</v>
      </c>
      <c r="AT3203" s="10" t="str">
        <f>IF(AND(I3203="TN",S3203&lt;=2800),VLOOKUP(AF3203,TNCalibEq2500!$AZ$2:$BB$56,3,),IF(AND(I3203="TDN",S3203&lt;=2800),VLOOKUP(AF3203,TNCalibEq2500!$AZ$2:$BB$56,3,)))</f>
        <v>y=0.1303x2+171.81x-89.924</v>
      </c>
      <c r="AU3203" s="10" t="str">
        <f>IF(I3203="TP",VLOOKUP(AF3203,TPCalibEqFull!$AZ$2:$BB$56,3),IF(I3203="TDP",VLOOKUP(AF3203,TPCalibEqFull!$AZ$2:$BB$56,3),IF(I3203="TDN",VLOOKUP(AF3203,TNCalibEqFull!$AZ$1:$BB$56,3),IF(I3203="TN",VLOOKUP(AF3203,TNCalibEqFull!$AZ$1:$BB$56,3),FALSE))))</f>
        <v>y=-0.033x2+178.81x-104.93</v>
      </c>
      <c r="AV3203" s="10" t="str">
        <f t="shared" si="368"/>
        <v>0214 07:15:00-QAC-BLK-FIL-1-DI-ESF</v>
      </c>
    </row>
    <row r="3204" spans="1:48" s="10" customFormat="1" x14ac:dyDescent="0.55000000000000004">
      <c r="A3204" s="32">
        <v>44965</v>
      </c>
      <c r="B3204" s="33">
        <v>0.22291666666666665</v>
      </c>
      <c r="C3204" s="10" t="s">
        <v>279</v>
      </c>
      <c r="D3204" s="10">
        <v>0</v>
      </c>
      <c r="E3204" s="10" t="s">
        <v>190</v>
      </c>
      <c r="F3204" s="10">
        <v>1</v>
      </c>
      <c r="G3204" s="10" t="s">
        <v>231</v>
      </c>
      <c r="H3204" s="10" t="s">
        <v>322</v>
      </c>
      <c r="I3204" s="10" t="s">
        <v>235</v>
      </c>
      <c r="J3204" s="10">
        <v>1</v>
      </c>
      <c r="K3204" s="12">
        <v>44973</v>
      </c>
      <c r="L3204" s="33">
        <v>0.46136574074074077</v>
      </c>
      <c r="M3204" s="10">
        <v>1</v>
      </c>
      <c r="N3204" s="10" t="s">
        <v>196</v>
      </c>
      <c r="O3204" s="10">
        <v>7.83</v>
      </c>
      <c r="P3204" s="10">
        <v>0.378</v>
      </c>
      <c r="Q3204" s="10">
        <v>1290</v>
      </c>
      <c r="R3204" s="10" t="s">
        <v>170</v>
      </c>
      <c r="S3204" s="34">
        <f t="shared" si="365"/>
        <v>1293.1291062999999</v>
      </c>
      <c r="T3204" s="10" t="s">
        <v>1229</v>
      </c>
      <c r="U3204" s="34" t="str">
        <f t="shared" si="366"/>
        <v/>
      </c>
      <c r="V3204" s="31" t="str">
        <f>IF(H3204="CHK",VLOOKUP(I3204,QCCHK,3,),IF(H3204="GUP",VLOOKUP(E3204,QCGUP,2,),IF(AND(H3204="ATP",OR(I3204="TN",I3204="TDN",I3204="TNO2-3",I3204="NO2-3")),VLOOKUP(E3204,QCREC_N,2,),IF(AND(H3204="NIC",OR(I3204="TN",I3204="TDN",I3204="TNO2-3",I3204="NO2-3")),VLOOKUP(E3204,QCNIC_N,2,),IF(AND(H3204="UREA",OR(I3204="TN",I3204="TDN",I3204="TNO2-3",I3204="NO2-3")),VLOOKUP(E3204,QCUREA_N,2,),IF(H3204="PER",VLOOKUP(I3204,QCPER,MATCH(E3204,QCACTUAL!$J$25:$AA$25,0),),IF(H3204="SPK",VLOOKUP(I3204,QCSPK,3,),IF(AND(H3204="ATP",OR(I3204="TP",I3204="TDP")),VLOOKUP(E3204,QCATP_P,2,),""))))))))</f>
        <v/>
      </c>
      <c r="W3204" s="31" t="str">
        <f t="shared" si="367"/>
        <v>TRUE</v>
      </c>
      <c r="X3204" s="31" t="str">
        <f t="shared" si="364"/>
        <v/>
      </c>
      <c r="Y3204" s="10" t="s">
        <v>1222</v>
      </c>
      <c r="Z3204" s="10" t="s">
        <v>910</v>
      </c>
      <c r="AF3204" s="12">
        <v>44973</v>
      </c>
      <c r="AJ3204" s="10">
        <f>0.1303*7.83^2+171.81*7.83-89.924</f>
        <v>1263.3368496700002</v>
      </c>
      <c r="AK3204" s="10">
        <f>-0.033*7.83^2+178.81*7.83-104.93</f>
        <v>1293.1291062999999</v>
      </c>
      <c r="AL3204" s="10" t="str">
        <f t="shared" si="362"/>
        <v>FALSE</v>
      </c>
      <c r="AM3204" s="10" t="str">
        <f t="shared" si="362"/>
        <v>FALSE</v>
      </c>
      <c r="AN3204" s="10" t="str">
        <f t="shared" si="362"/>
        <v>FALSE</v>
      </c>
      <c r="AO3204" s="10" t="str">
        <f t="shared" si="363"/>
        <v>y=0.1303*7.83^2+171.81*7.83-89.924</v>
      </c>
      <c r="AP3204" s="10" t="str">
        <f t="shared" si="363"/>
        <v>y=-0.033*7.83^2+178.81*7.83-104.93</v>
      </c>
      <c r="AQ3204" s="10" t="b">
        <f>IF(AND(I3204="TP",S3204&lt;=150),VLOOKUP(AF3204,TPCalibEq150!$AZ$2:$BB$55,3,),IF(AND(I3204="TDP",S3204&lt;=150),VLOOKUP(AF3204,TPCalibEq150!$AZ$2:$BB$55,3,)))</f>
        <v>0</v>
      </c>
      <c r="AR3204" s="10" t="b">
        <f>IF(AND(I3204="TP",S3204&lt;=300),VLOOKUP(AF3204,TPCalibEq300!$AZ$2:$BB$55,3,),IF(AND(I3204="TDP",S3204&lt;=300),VLOOKUP(AF3204,TPCalibEq300!$AZ$2:$BB$55,3,)))</f>
        <v>0</v>
      </c>
      <c r="AS3204" s="10" t="b">
        <f>IF(AND(I3204="TP",S3204&lt;=500),VLOOKUP(AF3204,TPCalibEq500!$AZ$2:$BB$56,3,),IF(AND(I3204="TDP",S3204&lt;=500),VLOOKUP(AF3204,TPCalibEq500!$AZ$2:$BB$56,3,)))</f>
        <v>0</v>
      </c>
      <c r="AT3204" s="10" t="str">
        <f>IF(AND(I3204="TN",S3204&lt;=2800),VLOOKUP(AF3204,TNCalibEq2500!$AZ$2:$BB$56,3,),IF(AND(I3204="TDN",S3204&lt;=2800),VLOOKUP(AF3204,TNCalibEq2500!$AZ$2:$BB$56,3,)))</f>
        <v>y=0.1303x2+171.81x-89.924</v>
      </c>
      <c r="AU3204" s="10" t="str">
        <f>IF(I3204="TP",VLOOKUP(AF3204,TPCalibEqFull!$AZ$2:$BB$56,3),IF(I3204="TDP",VLOOKUP(AF3204,TPCalibEqFull!$AZ$2:$BB$56,3),IF(I3204="TDN",VLOOKUP(AF3204,TNCalibEqFull!$AZ$1:$BB$56,3),IF(I3204="TN",VLOOKUP(AF3204,TNCalibEqFull!$AZ$1:$BB$56,3),FALSE))))</f>
        <v>y=-0.033x2+178.81x-104.93</v>
      </c>
      <c r="AV3204" s="10" t="str">
        <f t="shared" si="368"/>
        <v>0208 05:21:00-EFK-0-C-1-SW-UKN</v>
      </c>
    </row>
    <row r="3205" spans="1:48" s="10" customFormat="1" x14ac:dyDescent="0.55000000000000004">
      <c r="A3205" s="32">
        <v>44965</v>
      </c>
      <c r="B3205" s="33">
        <v>0.24166666666666667</v>
      </c>
      <c r="C3205" s="10" t="s">
        <v>333</v>
      </c>
      <c r="D3205" s="10">
        <v>0</v>
      </c>
      <c r="E3205" s="10" t="s">
        <v>190</v>
      </c>
      <c r="F3205" s="10">
        <v>1</v>
      </c>
      <c r="G3205" s="10" t="s">
        <v>231</v>
      </c>
      <c r="H3205" s="10" t="s">
        <v>322</v>
      </c>
      <c r="I3205" s="10" t="s">
        <v>235</v>
      </c>
      <c r="J3205" s="10">
        <v>2</v>
      </c>
      <c r="K3205" s="12">
        <v>44973</v>
      </c>
      <c r="L3205" s="33">
        <v>0.46203703703703702</v>
      </c>
      <c r="M3205" s="10">
        <v>1</v>
      </c>
      <c r="N3205" s="10" t="s">
        <v>196</v>
      </c>
      <c r="O3205" s="10">
        <v>5.12</v>
      </c>
      <c r="P3205" s="10">
        <v>0.247</v>
      </c>
      <c r="Q3205" s="10">
        <v>808</v>
      </c>
      <c r="R3205" s="10" t="s">
        <v>170</v>
      </c>
      <c r="S3205" s="34">
        <f t="shared" si="365"/>
        <v>809.71212480000008</v>
      </c>
      <c r="T3205" s="10" t="s">
        <v>1229</v>
      </c>
      <c r="U3205" s="34" t="str">
        <f t="shared" si="366"/>
        <v/>
      </c>
      <c r="V3205" s="31" t="str">
        <f>IF(H3205="CHK",VLOOKUP(I3205,QCCHK,3,),IF(H3205="GUP",VLOOKUP(E3205,QCGUP,2,),IF(AND(H3205="ATP",OR(I3205="TN",I3205="TDN",I3205="TNO2-3",I3205="NO2-3")),VLOOKUP(E3205,QCREC_N,2,),IF(AND(H3205="NIC",OR(I3205="TN",I3205="TDN",I3205="TNO2-3",I3205="NO2-3")),VLOOKUP(E3205,QCNIC_N,2,),IF(AND(H3205="UREA",OR(I3205="TN",I3205="TDN",I3205="TNO2-3",I3205="NO2-3")),VLOOKUP(E3205,QCUREA_N,2,),IF(H3205="PER",VLOOKUP(I3205,QCPER,MATCH(E3205,QCACTUAL!$J$25:$AA$25,0),),IF(H3205="SPK",VLOOKUP(I3205,QCSPK,3,),IF(AND(H3205="ATP",OR(I3205="TP",I3205="TDP")),VLOOKUP(E3205,QCATP_P,2,),""))))))))</f>
        <v/>
      </c>
      <c r="W3205" s="31" t="str">
        <f t="shared" si="367"/>
        <v>TRUE</v>
      </c>
      <c r="X3205" s="31" t="str">
        <f t="shared" si="364"/>
        <v/>
      </c>
      <c r="Y3205" s="10" t="s">
        <v>1222</v>
      </c>
      <c r="Z3205" s="10" t="s">
        <v>910</v>
      </c>
      <c r="AF3205" s="12">
        <v>44973</v>
      </c>
      <c r="AJ3205" s="10">
        <f>0.1303*5.12^2+171.81*5.12-89.924</f>
        <v>793.15893631999995</v>
      </c>
      <c r="AK3205" s="10">
        <f>-0.033*5.12^2+178.81*5.12-104.93</f>
        <v>809.71212480000008</v>
      </c>
      <c r="AL3205" s="10" t="str">
        <f t="shared" si="362"/>
        <v>FALSE</v>
      </c>
      <c r="AM3205" s="10" t="str">
        <f t="shared" si="362"/>
        <v>FALSE</v>
      </c>
      <c r="AN3205" s="10" t="str">
        <f t="shared" si="362"/>
        <v>FALSE</v>
      </c>
      <c r="AO3205" s="10" t="str">
        <f t="shared" si="363"/>
        <v>y=0.1303*5.12^2+171.81*5.12-89.924</v>
      </c>
      <c r="AP3205" s="10" t="str">
        <f t="shared" si="363"/>
        <v>y=-0.033*5.12^2+178.81*5.12-104.93</v>
      </c>
      <c r="AQ3205" s="10" t="b">
        <f>IF(AND(I3205="TP",S3205&lt;=150),VLOOKUP(AF3205,TPCalibEq150!$AZ$2:$BB$55,3,),IF(AND(I3205="TDP",S3205&lt;=150),VLOOKUP(AF3205,TPCalibEq150!$AZ$2:$BB$55,3,)))</f>
        <v>0</v>
      </c>
      <c r="AR3205" s="10" t="b">
        <f>IF(AND(I3205="TP",S3205&lt;=300),VLOOKUP(AF3205,TPCalibEq300!$AZ$2:$BB$55,3,),IF(AND(I3205="TDP",S3205&lt;=300),VLOOKUP(AF3205,TPCalibEq300!$AZ$2:$BB$55,3,)))</f>
        <v>0</v>
      </c>
      <c r="AS3205" s="10" t="b">
        <f>IF(AND(I3205="TP",S3205&lt;=500),VLOOKUP(AF3205,TPCalibEq500!$AZ$2:$BB$56,3,),IF(AND(I3205="TDP",S3205&lt;=500),VLOOKUP(AF3205,TPCalibEq500!$AZ$2:$BB$56,3,)))</f>
        <v>0</v>
      </c>
      <c r="AT3205" s="10" t="str">
        <f>IF(AND(I3205="TN",S3205&lt;=2800),VLOOKUP(AF3205,TNCalibEq2500!$AZ$2:$BB$56,3,),IF(AND(I3205="TDN",S3205&lt;=2800),VLOOKUP(AF3205,TNCalibEq2500!$AZ$2:$BB$56,3,)))</f>
        <v>y=0.1303x2+171.81x-89.924</v>
      </c>
      <c r="AU3205" s="10" t="str">
        <f>IF(I3205="TP",VLOOKUP(AF3205,TPCalibEqFull!$AZ$2:$BB$56,3),IF(I3205="TDP",VLOOKUP(AF3205,TPCalibEqFull!$AZ$2:$BB$56,3),IF(I3205="TDN",VLOOKUP(AF3205,TNCalibEqFull!$AZ$1:$BB$56,3),IF(I3205="TN",VLOOKUP(AF3205,TNCalibEqFull!$AZ$1:$BB$56,3),FALSE))))</f>
        <v>y=-0.033x2+178.81x-104.93</v>
      </c>
      <c r="AV3205" s="10" t="str">
        <f t="shared" si="368"/>
        <v>0208 05:48:00-HST-0-C-1-SW-UKN</v>
      </c>
    </row>
    <row r="3206" spans="1:48" s="10" customFormat="1" x14ac:dyDescent="0.55000000000000004">
      <c r="A3206" s="32">
        <v>44966</v>
      </c>
      <c r="B3206" s="33">
        <v>0.41041666666666665</v>
      </c>
      <c r="C3206" s="10" t="s">
        <v>279</v>
      </c>
      <c r="D3206" s="10">
        <v>0</v>
      </c>
      <c r="E3206" s="10" t="s">
        <v>190</v>
      </c>
      <c r="F3206" s="10">
        <v>1</v>
      </c>
      <c r="G3206" s="10" t="s">
        <v>231</v>
      </c>
      <c r="H3206" s="10" t="s">
        <v>322</v>
      </c>
      <c r="I3206" s="10" t="s">
        <v>235</v>
      </c>
      <c r="J3206" s="10">
        <v>3</v>
      </c>
      <c r="K3206" s="12">
        <v>44973</v>
      </c>
      <c r="L3206" s="33">
        <v>0.46271990740740737</v>
      </c>
      <c r="M3206" s="10">
        <v>1</v>
      </c>
      <c r="N3206" s="10" t="s">
        <v>196</v>
      </c>
      <c r="O3206" s="10">
        <v>8.39</v>
      </c>
      <c r="P3206" s="10">
        <v>0.40600000000000003</v>
      </c>
      <c r="Q3206" s="10">
        <v>1390</v>
      </c>
      <c r="R3206" s="10" t="s">
        <v>170</v>
      </c>
      <c r="S3206" s="34">
        <f t="shared" si="365"/>
        <v>1392.9629607000002</v>
      </c>
      <c r="T3206" s="10" t="s">
        <v>1229</v>
      </c>
      <c r="U3206" s="34" t="str">
        <f t="shared" si="366"/>
        <v/>
      </c>
      <c r="V3206" s="31" t="str">
        <f>IF(H3206="CHK",VLOOKUP(I3206,QCCHK,3,),IF(H3206="GUP",VLOOKUP(E3206,QCGUP,2,),IF(AND(H3206="ATP",OR(I3206="TN",I3206="TDN",I3206="TNO2-3",I3206="NO2-3")),VLOOKUP(E3206,QCREC_N,2,),IF(AND(H3206="NIC",OR(I3206="TN",I3206="TDN",I3206="TNO2-3",I3206="NO2-3")),VLOOKUP(E3206,QCNIC_N,2,),IF(AND(H3206="UREA",OR(I3206="TN",I3206="TDN",I3206="TNO2-3",I3206="NO2-3")),VLOOKUP(E3206,QCUREA_N,2,),IF(H3206="PER",VLOOKUP(I3206,QCPER,MATCH(E3206,QCACTUAL!$J$25:$AA$25,0),),IF(H3206="SPK",VLOOKUP(I3206,QCSPK,3,),IF(AND(H3206="ATP",OR(I3206="TP",I3206="TDP")),VLOOKUP(E3206,QCATP_P,2,),""))))))))</f>
        <v/>
      </c>
      <c r="W3206" s="31" t="str">
        <f t="shared" si="367"/>
        <v>TRUE</v>
      </c>
      <c r="X3206" s="31" t="str">
        <f t="shared" si="364"/>
        <v/>
      </c>
      <c r="Y3206" s="10" t="s">
        <v>1222</v>
      </c>
      <c r="Z3206" s="10" t="s">
        <v>910</v>
      </c>
      <c r="AF3206" s="12">
        <v>44973</v>
      </c>
      <c r="AJ3206" s="10">
        <f>0.1303*8.39^2+171.81*8.39-89.924</f>
        <v>1360.7339906300001</v>
      </c>
      <c r="AK3206" s="10">
        <f>-0.033*8.39^2+178.81*8.39-104.93</f>
        <v>1392.9629607000002</v>
      </c>
      <c r="AL3206" s="10" t="str">
        <f t="shared" si="362"/>
        <v>FALSE</v>
      </c>
      <c r="AM3206" s="10" t="str">
        <f t="shared" si="362"/>
        <v>FALSE</v>
      </c>
      <c r="AN3206" s="10" t="str">
        <f t="shared" si="362"/>
        <v>FALSE</v>
      </c>
      <c r="AO3206" s="10" t="str">
        <f t="shared" si="363"/>
        <v>y=0.1303*8.39^2+171.81*8.39-89.924</v>
      </c>
      <c r="AP3206" s="10" t="str">
        <f t="shared" si="363"/>
        <v>y=-0.033*8.39^2+178.81*8.39-104.93</v>
      </c>
      <c r="AQ3206" s="10" t="b">
        <f>IF(AND(I3206="TP",S3206&lt;=150),VLOOKUP(AF3206,TPCalibEq150!$AZ$2:$BB$55,3,),IF(AND(I3206="TDP",S3206&lt;=150),VLOOKUP(AF3206,TPCalibEq150!$AZ$2:$BB$55,3,)))</f>
        <v>0</v>
      </c>
      <c r="AR3206" s="10" t="b">
        <f>IF(AND(I3206="TP",S3206&lt;=300),VLOOKUP(AF3206,TPCalibEq300!$AZ$2:$BB$55,3,),IF(AND(I3206="TDP",S3206&lt;=300),VLOOKUP(AF3206,TPCalibEq300!$AZ$2:$BB$55,3,)))</f>
        <v>0</v>
      </c>
      <c r="AS3206" s="10" t="b">
        <f>IF(AND(I3206="TP",S3206&lt;=500),VLOOKUP(AF3206,TPCalibEq500!$AZ$2:$BB$56,3,),IF(AND(I3206="TDP",S3206&lt;=500),VLOOKUP(AF3206,TPCalibEq500!$AZ$2:$BB$56,3,)))</f>
        <v>0</v>
      </c>
      <c r="AT3206" s="10" t="str">
        <f>IF(AND(I3206="TN",S3206&lt;=2800),VLOOKUP(AF3206,TNCalibEq2500!$AZ$2:$BB$56,3,),IF(AND(I3206="TDN",S3206&lt;=2800),VLOOKUP(AF3206,TNCalibEq2500!$AZ$2:$BB$56,3,)))</f>
        <v>y=0.1303x2+171.81x-89.924</v>
      </c>
      <c r="AU3206" s="10" t="str">
        <f>IF(I3206="TP",VLOOKUP(AF3206,TPCalibEqFull!$AZ$2:$BB$56,3),IF(I3206="TDP",VLOOKUP(AF3206,TPCalibEqFull!$AZ$2:$BB$56,3),IF(I3206="TDN",VLOOKUP(AF3206,TNCalibEqFull!$AZ$1:$BB$56,3),IF(I3206="TN",VLOOKUP(AF3206,TNCalibEqFull!$AZ$1:$BB$56,3),FALSE))))</f>
        <v>y=-0.033x2+178.81x-104.93</v>
      </c>
      <c r="AV3206" s="10" t="str">
        <f t="shared" si="368"/>
        <v>0209 09:51:00-EFK-0-C-1-SW-UKN</v>
      </c>
    </row>
    <row r="3207" spans="1:48" s="10" customFormat="1" x14ac:dyDescent="0.55000000000000004">
      <c r="A3207" s="32">
        <v>44966</v>
      </c>
      <c r="B3207" s="33">
        <v>0.42708333333333331</v>
      </c>
      <c r="C3207" s="10" t="s">
        <v>333</v>
      </c>
      <c r="D3207" s="10">
        <v>0</v>
      </c>
      <c r="E3207" s="10" t="s">
        <v>190</v>
      </c>
      <c r="F3207" s="10">
        <v>1</v>
      </c>
      <c r="G3207" s="10" t="s">
        <v>231</v>
      </c>
      <c r="H3207" s="10" t="s">
        <v>322</v>
      </c>
      <c r="I3207" s="10" t="s">
        <v>235</v>
      </c>
      <c r="J3207" s="10">
        <v>4</v>
      </c>
      <c r="K3207" s="12">
        <v>44973</v>
      </c>
      <c r="L3207" s="33">
        <v>0.46339120370370374</v>
      </c>
      <c r="M3207" s="10">
        <v>1</v>
      </c>
      <c r="N3207" s="10" t="s">
        <v>196</v>
      </c>
      <c r="O3207" s="10">
        <v>4.7</v>
      </c>
      <c r="P3207" s="10">
        <v>0.22800000000000001</v>
      </c>
      <c r="Q3207" s="10">
        <v>733</v>
      </c>
      <c r="R3207" s="10" t="s">
        <v>170</v>
      </c>
      <c r="S3207" s="34">
        <f t="shared" si="365"/>
        <v>734.74802999999997</v>
      </c>
      <c r="T3207" s="10" t="s">
        <v>1229</v>
      </c>
      <c r="U3207" s="34" t="str">
        <f t="shared" si="366"/>
        <v/>
      </c>
      <c r="V3207" s="31" t="str">
        <f>IF(H3207="CHK",VLOOKUP(I3207,QCCHK,3,),IF(H3207="GUP",VLOOKUP(E3207,QCGUP,2,),IF(AND(H3207="ATP",OR(I3207="TN",I3207="TDN",I3207="TNO2-3",I3207="NO2-3")),VLOOKUP(E3207,QCREC_N,2,),IF(AND(H3207="NIC",OR(I3207="TN",I3207="TDN",I3207="TNO2-3",I3207="NO2-3")),VLOOKUP(E3207,QCNIC_N,2,),IF(AND(H3207="UREA",OR(I3207="TN",I3207="TDN",I3207="TNO2-3",I3207="NO2-3")),VLOOKUP(E3207,QCUREA_N,2,),IF(H3207="PER",VLOOKUP(I3207,QCPER,MATCH(E3207,QCACTUAL!$J$25:$AA$25,0),),IF(H3207="SPK",VLOOKUP(I3207,QCSPK,3,),IF(AND(H3207="ATP",OR(I3207="TP",I3207="TDP")),VLOOKUP(E3207,QCATP_P,2,),""))))))))</f>
        <v/>
      </c>
      <c r="W3207" s="31" t="str">
        <f t="shared" si="367"/>
        <v>TRUE</v>
      </c>
      <c r="X3207" s="31" t="str">
        <f t="shared" si="364"/>
        <v/>
      </c>
      <c r="Y3207" s="10" t="s">
        <v>1222</v>
      </c>
      <c r="Z3207" s="10" t="s">
        <v>910</v>
      </c>
      <c r="AF3207" s="12">
        <v>44973</v>
      </c>
      <c r="AJ3207" s="10">
        <f>0.1303*4.7^2+171.81*4.7-89.924</f>
        <v>720.4613270000001</v>
      </c>
      <c r="AK3207" s="10">
        <f>-0.033*4.7^2+178.81*4.7-104.93</f>
        <v>734.74802999999997</v>
      </c>
      <c r="AL3207" s="10" t="str">
        <f t="shared" si="362"/>
        <v>FALSE</v>
      </c>
      <c r="AM3207" s="10" t="str">
        <f t="shared" si="362"/>
        <v>FALSE</v>
      </c>
      <c r="AN3207" s="10" t="str">
        <f t="shared" si="362"/>
        <v>FALSE</v>
      </c>
      <c r="AO3207" s="10" t="str">
        <f t="shared" si="363"/>
        <v>y=0.1303*4.7^2+171.81*4.7-89.924</v>
      </c>
      <c r="AP3207" s="10" t="str">
        <f t="shared" si="363"/>
        <v>y=-0.033*4.7^2+178.81*4.7-104.93</v>
      </c>
      <c r="AQ3207" s="10" t="b">
        <f>IF(AND(I3207="TP",S3207&lt;=150),VLOOKUP(AF3207,TPCalibEq150!$AZ$2:$BB$55,3,),IF(AND(I3207="TDP",S3207&lt;=150),VLOOKUP(AF3207,TPCalibEq150!$AZ$2:$BB$55,3,)))</f>
        <v>0</v>
      </c>
      <c r="AR3207" s="10" t="b">
        <f>IF(AND(I3207="TP",S3207&lt;=300),VLOOKUP(AF3207,TPCalibEq300!$AZ$2:$BB$55,3,),IF(AND(I3207="TDP",S3207&lt;=300),VLOOKUP(AF3207,TPCalibEq300!$AZ$2:$BB$55,3,)))</f>
        <v>0</v>
      </c>
      <c r="AS3207" s="10" t="b">
        <f>IF(AND(I3207="TP",S3207&lt;=500),VLOOKUP(AF3207,TPCalibEq500!$AZ$2:$BB$56,3,),IF(AND(I3207="TDP",S3207&lt;=500),VLOOKUP(AF3207,TPCalibEq500!$AZ$2:$BB$56,3,)))</f>
        <v>0</v>
      </c>
      <c r="AT3207" s="10" t="str">
        <f>IF(AND(I3207="TN",S3207&lt;=2800),VLOOKUP(AF3207,TNCalibEq2500!$AZ$2:$BB$56,3,),IF(AND(I3207="TDN",S3207&lt;=2800),VLOOKUP(AF3207,TNCalibEq2500!$AZ$2:$BB$56,3,)))</f>
        <v>y=0.1303x2+171.81x-89.924</v>
      </c>
      <c r="AU3207" s="10" t="str">
        <f>IF(I3207="TP",VLOOKUP(AF3207,TPCalibEqFull!$AZ$2:$BB$56,3),IF(I3207="TDP",VLOOKUP(AF3207,TPCalibEqFull!$AZ$2:$BB$56,3),IF(I3207="TDN",VLOOKUP(AF3207,TNCalibEqFull!$AZ$1:$BB$56,3),IF(I3207="TN",VLOOKUP(AF3207,TNCalibEqFull!$AZ$1:$BB$56,3),FALSE))))</f>
        <v>y=-0.033x2+178.81x-104.93</v>
      </c>
      <c r="AV3207" s="10" t="str">
        <f t="shared" si="368"/>
        <v>0209 10:15:00-HST-0-C-1-SW-UKN</v>
      </c>
    </row>
    <row r="3208" spans="1:48" s="10" customFormat="1" x14ac:dyDescent="0.55000000000000004">
      <c r="A3208" s="32">
        <v>44967</v>
      </c>
      <c r="B3208" s="33">
        <v>0.59791666666666665</v>
      </c>
      <c r="C3208" s="10" t="s">
        <v>279</v>
      </c>
      <c r="D3208" s="10">
        <v>0</v>
      </c>
      <c r="E3208" s="10" t="s">
        <v>190</v>
      </c>
      <c r="F3208" s="10">
        <v>1</v>
      </c>
      <c r="G3208" s="10" t="s">
        <v>231</v>
      </c>
      <c r="H3208" s="10" t="s">
        <v>322</v>
      </c>
      <c r="I3208" s="10" t="s">
        <v>235</v>
      </c>
      <c r="J3208" s="10">
        <v>5</v>
      </c>
      <c r="K3208" s="12">
        <v>44973</v>
      </c>
      <c r="L3208" s="33">
        <v>0.46406249999999999</v>
      </c>
      <c r="M3208" s="10">
        <v>1</v>
      </c>
      <c r="N3208" s="10" t="s">
        <v>196</v>
      </c>
      <c r="O3208" s="10">
        <v>7.69</v>
      </c>
      <c r="P3208" s="10">
        <v>0.372</v>
      </c>
      <c r="Q3208" s="10">
        <v>1270</v>
      </c>
      <c r="R3208" s="10" t="s">
        <v>170</v>
      </c>
      <c r="S3208" s="34">
        <f t="shared" si="365"/>
        <v>1270</v>
      </c>
      <c r="T3208" s="10" t="s">
        <v>1229</v>
      </c>
      <c r="U3208" s="34" t="str">
        <f t="shared" si="366"/>
        <v/>
      </c>
      <c r="V3208" s="31" t="str">
        <f>IF(H3208="CHK",VLOOKUP(I3208,QCCHK,3,),IF(H3208="GUP",VLOOKUP(E3208,QCGUP,2,),IF(AND(H3208="ATP",OR(I3208="TN",I3208="TDN",I3208="TNO2-3",I3208="NO2-3")),VLOOKUP(E3208,QCREC_N,2,),IF(AND(H3208="NIC",OR(I3208="TN",I3208="TDN",I3208="TNO2-3",I3208="NO2-3")),VLOOKUP(E3208,QCNIC_N,2,),IF(AND(H3208="UREA",OR(I3208="TN",I3208="TDN",I3208="TNO2-3",I3208="NO2-3")),VLOOKUP(E3208,QCUREA_N,2,),IF(H3208="PER",VLOOKUP(I3208,QCPER,MATCH(E3208,QCACTUAL!$J$25:$AA$25,0),),IF(H3208="SPK",VLOOKUP(I3208,QCSPK,3,),IF(AND(H3208="ATP",OR(I3208="TP",I3208="TDP")),VLOOKUP(E3208,QCATP_P,2,),""))))))))</f>
        <v/>
      </c>
      <c r="W3208" s="31" t="str">
        <f t="shared" si="367"/>
        <v>TRUE</v>
      </c>
      <c r="X3208" s="31" t="str">
        <f t="shared" si="364"/>
        <v/>
      </c>
      <c r="Y3208" s="10" t="s">
        <v>1222</v>
      </c>
      <c r="Z3208" s="10" t="s">
        <v>910</v>
      </c>
      <c r="AF3208" s="12">
        <v>44973</v>
      </c>
      <c r="AJ3208" s="10">
        <f>0.1303*7.69^2+171.81*7.69-89.924</f>
        <v>1239.00033383</v>
      </c>
      <c r="AK3208" s="10">
        <f>-0.033*7.69^2+178.81*7.69-104.93</f>
        <v>1268.1674086999999</v>
      </c>
      <c r="AL3208" s="10" t="str">
        <f t="shared" si="362"/>
        <v>FALSE</v>
      </c>
      <c r="AM3208" s="10" t="str">
        <f t="shared" si="362"/>
        <v>FALSE</v>
      </c>
      <c r="AN3208" s="10" t="str">
        <f t="shared" si="362"/>
        <v>FALSE</v>
      </c>
      <c r="AO3208" s="10" t="str">
        <f t="shared" si="363"/>
        <v>y=0.1303*7.69^2+171.81*7.69-89.924</v>
      </c>
      <c r="AP3208" s="10" t="str">
        <f t="shared" si="363"/>
        <v>y=-0.033*7.69^2+178.81*7.69-104.93</v>
      </c>
      <c r="AQ3208" s="10" t="b">
        <f>IF(AND(I3208="TP",S3208&lt;=150),VLOOKUP(AF3208,TPCalibEq150!$AZ$2:$BB$55,3,),IF(AND(I3208="TDP",S3208&lt;=150),VLOOKUP(AF3208,TPCalibEq150!$AZ$2:$BB$55,3,)))</f>
        <v>0</v>
      </c>
      <c r="AR3208" s="10" t="b">
        <f>IF(AND(I3208="TP",S3208&lt;=300),VLOOKUP(AF3208,TPCalibEq300!$AZ$2:$BB$55,3,),IF(AND(I3208="TDP",S3208&lt;=300),VLOOKUP(AF3208,TPCalibEq300!$AZ$2:$BB$55,3,)))</f>
        <v>0</v>
      </c>
      <c r="AS3208" s="10" t="b">
        <f>IF(AND(I3208="TP",S3208&lt;=500),VLOOKUP(AF3208,TPCalibEq500!$AZ$2:$BB$56,3,),IF(AND(I3208="TDP",S3208&lt;=500),VLOOKUP(AF3208,TPCalibEq500!$AZ$2:$BB$56,3,)))</f>
        <v>0</v>
      </c>
      <c r="AT3208" s="10" t="str">
        <f>IF(AND(I3208="TN",S3208&lt;=2800),VLOOKUP(AF3208,TNCalibEq2500!$AZ$2:$BB$56,3,),IF(AND(I3208="TDN",S3208&lt;=2800),VLOOKUP(AF3208,TNCalibEq2500!$AZ$2:$BB$56,3,)))</f>
        <v>y=0.1303x2+171.81x-89.924</v>
      </c>
      <c r="AU3208" s="10" t="str">
        <f>IF(I3208="TP",VLOOKUP(AF3208,TPCalibEqFull!$AZ$2:$BB$56,3),IF(I3208="TDP",VLOOKUP(AF3208,TPCalibEqFull!$AZ$2:$BB$56,3),IF(I3208="TDN",VLOOKUP(AF3208,TNCalibEqFull!$AZ$1:$BB$56,3),IF(I3208="TN",VLOOKUP(AF3208,TNCalibEqFull!$AZ$1:$BB$56,3),FALSE))))</f>
        <v>y=-0.033x2+178.81x-104.93</v>
      </c>
      <c r="AV3208" s="10" t="str">
        <f t="shared" si="368"/>
        <v>0210 14:21:00-EFK-0-C-1-SW-UKN</v>
      </c>
    </row>
    <row r="3209" spans="1:48" s="10" customFormat="1" x14ac:dyDescent="0.55000000000000004">
      <c r="A3209" s="32">
        <v>44967</v>
      </c>
      <c r="B3209" s="33">
        <v>0.60069444444444442</v>
      </c>
      <c r="C3209" s="10" t="s">
        <v>333</v>
      </c>
      <c r="D3209" s="10">
        <v>0</v>
      </c>
      <c r="E3209" s="10" t="s">
        <v>190</v>
      </c>
      <c r="F3209" s="10">
        <v>1</v>
      </c>
      <c r="G3209" s="10" t="s">
        <v>231</v>
      </c>
      <c r="H3209" s="10" t="s">
        <v>322</v>
      </c>
      <c r="I3209" s="10" t="s">
        <v>235</v>
      </c>
      <c r="J3209" s="10">
        <v>6</v>
      </c>
      <c r="K3209" s="12">
        <v>44973</v>
      </c>
      <c r="L3209" s="33">
        <v>0.4647337962962963</v>
      </c>
      <c r="M3209" s="10">
        <v>1</v>
      </c>
      <c r="N3209" s="10" t="s">
        <v>196</v>
      </c>
      <c r="O3209" s="10">
        <v>3.81</v>
      </c>
      <c r="P3209" s="10">
        <v>0.185</v>
      </c>
      <c r="Q3209" s="10">
        <v>575</v>
      </c>
      <c r="R3209" s="10" t="s">
        <v>170</v>
      </c>
      <c r="S3209" s="34">
        <f t="shared" si="365"/>
        <v>575.85706870000013</v>
      </c>
      <c r="T3209" s="10" t="s">
        <v>1229</v>
      </c>
      <c r="U3209" s="34" t="str">
        <f t="shared" si="366"/>
        <v/>
      </c>
      <c r="V3209" s="31" t="str">
        <f>IF(H3209="CHK",VLOOKUP(I3209,QCCHK,3,),IF(H3209="GUP",VLOOKUP(E3209,QCGUP,2,),IF(AND(H3209="ATP",OR(I3209="TN",I3209="TDN",I3209="TNO2-3",I3209="NO2-3")),VLOOKUP(E3209,QCREC_N,2,),IF(AND(H3209="NIC",OR(I3209="TN",I3209="TDN",I3209="TNO2-3",I3209="NO2-3")),VLOOKUP(E3209,QCNIC_N,2,),IF(AND(H3209="UREA",OR(I3209="TN",I3209="TDN",I3209="TNO2-3",I3209="NO2-3")),VLOOKUP(E3209,QCUREA_N,2,),IF(H3209="PER",VLOOKUP(I3209,QCPER,MATCH(E3209,QCACTUAL!$J$25:$AA$25,0),),IF(H3209="SPK",VLOOKUP(I3209,QCSPK,3,),IF(AND(H3209="ATP",OR(I3209="TP",I3209="TDP")),VLOOKUP(E3209,QCATP_P,2,),""))))))))</f>
        <v/>
      </c>
      <c r="W3209" s="31" t="str">
        <f t="shared" si="367"/>
        <v>TRUE</v>
      </c>
      <c r="X3209" s="31" t="str">
        <f t="shared" si="364"/>
        <v/>
      </c>
      <c r="Y3209" s="10" t="s">
        <v>1222</v>
      </c>
      <c r="Z3209" s="10" t="s">
        <v>910</v>
      </c>
      <c r="AF3209" s="12">
        <v>44973</v>
      </c>
      <c r="AJ3209" s="10">
        <f>0.1303*3.81^2+171.81*3.81-89.924</f>
        <v>566.56354782999995</v>
      </c>
      <c r="AK3209" s="10">
        <f>-0.033*3.81^2+178.81*3.81-104.93</f>
        <v>575.85706870000013</v>
      </c>
      <c r="AL3209" s="10" t="str">
        <f t="shared" si="362"/>
        <v>FALSE</v>
      </c>
      <c r="AM3209" s="10" t="str">
        <f t="shared" si="362"/>
        <v>FALSE</v>
      </c>
      <c r="AN3209" s="10" t="str">
        <f t="shared" si="362"/>
        <v>FALSE</v>
      </c>
      <c r="AO3209" s="10" t="str">
        <f t="shared" si="363"/>
        <v>y=0.1303*3.81^2+171.81*3.81-89.924</v>
      </c>
      <c r="AP3209" s="10" t="str">
        <f t="shared" si="363"/>
        <v>y=-0.033*3.81^2+178.81*3.81-104.93</v>
      </c>
      <c r="AQ3209" s="10" t="b">
        <f>IF(AND(I3209="TP",S3209&lt;=150),VLOOKUP(AF3209,TPCalibEq150!$AZ$2:$BB$55,3,),IF(AND(I3209="TDP",S3209&lt;=150),VLOOKUP(AF3209,TPCalibEq150!$AZ$2:$BB$55,3,)))</f>
        <v>0</v>
      </c>
      <c r="AR3209" s="10" t="b">
        <f>IF(AND(I3209="TP",S3209&lt;=300),VLOOKUP(AF3209,TPCalibEq300!$AZ$2:$BB$55,3,),IF(AND(I3209="TDP",S3209&lt;=300),VLOOKUP(AF3209,TPCalibEq300!$AZ$2:$BB$55,3,)))</f>
        <v>0</v>
      </c>
      <c r="AS3209" s="10" t="b">
        <f>IF(AND(I3209="TP",S3209&lt;=500),VLOOKUP(AF3209,TPCalibEq500!$AZ$2:$BB$56,3,),IF(AND(I3209="TDP",S3209&lt;=500),VLOOKUP(AF3209,TPCalibEq500!$AZ$2:$BB$56,3,)))</f>
        <v>0</v>
      </c>
      <c r="AT3209" s="10" t="str">
        <f>IF(AND(I3209="TN",S3209&lt;=2800),VLOOKUP(AF3209,TNCalibEq2500!$AZ$2:$BB$56,3,),IF(AND(I3209="TDN",S3209&lt;=2800),VLOOKUP(AF3209,TNCalibEq2500!$AZ$2:$BB$56,3,)))</f>
        <v>y=0.1303x2+171.81x-89.924</v>
      </c>
      <c r="AU3209" s="10" t="str">
        <f>IF(I3209="TP",VLOOKUP(AF3209,TPCalibEqFull!$AZ$2:$BB$56,3),IF(I3209="TDP",VLOOKUP(AF3209,TPCalibEqFull!$AZ$2:$BB$56,3),IF(I3209="TDN",VLOOKUP(AF3209,TNCalibEqFull!$AZ$1:$BB$56,3),IF(I3209="TN",VLOOKUP(AF3209,TNCalibEqFull!$AZ$1:$BB$56,3),FALSE))))</f>
        <v>y=-0.033x2+178.81x-104.93</v>
      </c>
      <c r="AV3209" s="10" t="str">
        <f t="shared" si="368"/>
        <v>0210 14:25:00-HST-0-C-1-SW-UKN</v>
      </c>
    </row>
    <row r="3210" spans="1:48" s="10" customFormat="1" x14ac:dyDescent="0.55000000000000004">
      <c r="A3210" s="32">
        <v>44970</v>
      </c>
      <c r="B3210" s="33">
        <v>0.32777777777777778</v>
      </c>
      <c r="C3210" s="10" t="s">
        <v>279</v>
      </c>
      <c r="D3210" s="10">
        <v>0</v>
      </c>
      <c r="E3210" s="10" t="s">
        <v>190</v>
      </c>
      <c r="F3210" s="10">
        <v>1</v>
      </c>
      <c r="G3210" s="10" t="s">
        <v>231</v>
      </c>
      <c r="H3210" s="10" t="s">
        <v>322</v>
      </c>
      <c r="I3210" s="10" t="s">
        <v>235</v>
      </c>
      <c r="J3210" s="10">
        <v>7</v>
      </c>
      <c r="K3210" s="12">
        <v>44973</v>
      </c>
      <c r="L3210" s="33">
        <v>0.46540509259259261</v>
      </c>
      <c r="M3210" s="10">
        <v>1</v>
      </c>
      <c r="N3210" s="10" t="s">
        <v>196</v>
      </c>
      <c r="O3210" s="10">
        <v>7.45</v>
      </c>
      <c r="P3210" s="10">
        <v>0.36</v>
      </c>
      <c r="Q3210" s="10">
        <v>1220</v>
      </c>
      <c r="R3210" s="10" t="s">
        <v>170</v>
      </c>
      <c r="S3210" s="34">
        <f t="shared" si="365"/>
        <v>1225.3729175000001</v>
      </c>
      <c r="T3210" s="10" t="s">
        <v>1229</v>
      </c>
      <c r="U3210" s="34" t="str">
        <f t="shared" si="366"/>
        <v/>
      </c>
      <c r="V3210" s="31" t="str">
        <f>IF(H3210="CHK",VLOOKUP(I3210,QCCHK,3,),IF(H3210="GUP",VLOOKUP(E3210,QCGUP,2,),IF(AND(H3210="ATP",OR(I3210="TN",I3210="TDN",I3210="TNO2-3",I3210="NO2-3")),VLOOKUP(E3210,QCREC_N,2,),IF(AND(H3210="NIC",OR(I3210="TN",I3210="TDN",I3210="TNO2-3",I3210="NO2-3")),VLOOKUP(E3210,QCNIC_N,2,),IF(AND(H3210="UREA",OR(I3210="TN",I3210="TDN",I3210="TNO2-3",I3210="NO2-3")),VLOOKUP(E3210,QCUREA_N,2,),IF(H3210="PER",VLOOKUP(I3210,QCPER,MATCH(E3210,QCACTUAL!$J$25:$AA$25,0),),IF(H3210="SPK",VLOOKUP(I3210,QCSPK,3,),IF(AND(H3210="ATP",OR(I3210="TP",I3210="TDP")),VLOOKUP(E3210,QCATP_P,2,),""))))))))</f>
        <v/>
      </c>
      <c r="W3210" s="31" t="str">
        <f t="shared" si="367"/>
        <v>TRUE</v>
      </c>
      <c r="X3210" s="31" t="str">
        <f t="shared" si="364"/>
        <v/>
      </c>
      <c r="Y3210" s="10" t="s">
        <v>1222</v>
      </c>
      <c r="Z3210" s="10" t="s">
        <v>910</v>
      </c>
      <c r="AF3210" s="12">
        <v>44973</v>
      </c>
      <c r="AJ3210" s="10">
        <f>0.1303*7.45^2+171.81*7.45-89.924</f>
        <v>1197.29247575</v>
      </c>
      <c r="AK3210" s="10">
        <f>-0.033*7.45^2+178.81*7.45-104.93</f>
        <v>1225.3729175000001</v>
      </c>
      <c r="AL3210" s="10" t="str">
        <f t="shared" si="362"/>
        <v>FALSE</v>
      </c>
      <c r="AM3210" s="10" t="str">
        <f t="shared" si="362"/>
        <v>FALSE</v>
      </c>
      <c r="AN3210" s="10" t="str">
        <f t="shared" si="362"/>
        <v>FALSE</v>
      </c>
      <c r="AO3210" s="10" t="str">
        <f t="shared" si="363"/>
        <v>y=0.1303*7.45^2+171.81*7.45-89.924</v>
      </c>
      <c r="AP3210" s="10" t="str">
        <f t="shared" si="363"/>
        <v>y=-0.033*7.45^2+178.81*7.45-104.93</v>
      </c>
      <c r="AQ3210" s="10" t="b">
        <f>IF(AND(I3210="TP",S3210&lt;=150),VLOOKUP(AF3210,TPCalibEq150!$AZ$2:$BB$55,3,),IF(AND(I3210="TDP",S3210&lt;=150),VLOOKUP(AF3210,TPCalibEq150!$AZ$2:$BB$55,3,)))</f>
        <v>0</v>
      </c>
      <c r="AR3210" s="10" t="b">
        <f>IF(AND(I3210="TP",S3210&lt;=300),VLOOKUP(AF3210,TPCalibEq300!$AZ$2:$BB$55,3,),IF(AND(I3210="TDP",S3210&lt;=300),VLOOKUP(AF3210,TPCalibEq300!$AZ$2:$BB$55,3,)))</f>
        <v>0</v>
      </c>
      <c r="AS3210" s="10" t="b">
        <f>IF(AND(I3210="TP",S3210&lt;=500),VLOOKUP(AF3210,TPCalibEq500!$AZ$2:$BB$56,3,),IF(AND(I3210="TDP",S3210&lt;=500),VLOOKUP(AF3210,TPCalibEq500!$AZ$2:$BB$56,3,)))</f>
        <v>0</v>
      </c>
      <c r="AT3210" s="10" t="str">
        <f>IF(AND(I3210="TN",S3210&lt;=2800),VLOOKUP(AF3210,TNCalibEq2500!$AZ$2:$BB$56,3,),IF(AND(I3210="TDN",S3210&lt;=2800),VLOOKUP(AF3210,TNCalibEq2500!$AZ$2:$BB$56,3,)))</f>
        <v>y=0.1303x2+171.81x-89.924</v>
      </c>
      <c r="AU3210" s="10" t="str">
        <f>IF(I3210="TP",VLOOKUP(AF3210,TPCalibEqFull!$AZ$2:$BB$56,3),IF(I3210="TDP",VLOOKUP(AF3210,TPCalibEqFull!$AZ$2:$BB$56,3),IF(I3210="TDN",VLOOKUP(AF3210,TNCalibEqFull!$AZ$1:$BB$56,3),IF(I3210="TN",VLOOKUP(AF3210,TNCalibEqFull!$AZ$1:$BB$56,3),FALSE))))</f>
        <v>y=-0.033x2+178.81x-104.93</v>
      </c>
      <c r="AV3210" s="10" t="str">
        <f t="shared" si="368"/>
        <v>0213 07:52:00-EFK-0-C-1-SW-UKN</v>
      </c>
    </row>
    <row r="3211" spans="1:48" s="10" customFormat="1" x14ac:dyDescent="0.55000000000000004">
      <c r="A3211" s="32">
        <v>44970</v>
      </c>
      <c r="B3211" s="33">
        <v>0.26458333333333334</v>
      </c>
      <c r="C3211" s="10" t="s">
        <v>333</v>
      </c>
      <c r="D3211" s="10">
        <v>0</v>
      </c>
      <c r="E3211" s="10" t="s">
        <v>190</v>
      </c>
      <c r="F3211" s="10">
        <v>1</v>
      </c>
      <c r="G3211" s="10" t="s">
        <v>231</v>
      </c>
      <c r="H3211" s="10" t="s">
        <v>322</v>
      </c>
      <c r="I3211" s="10" t="s">
        <v>235</v>
      </c>
      <c r="J3211" s="10">
        <v>8</v>
      </c>
      <c r="K3211" s="12">
        <v>44973</v>
      </c>
      <c r="L3211" s="33">
        <v>0.46607638888888886</v>
      </c>
      <c r="M3211" s="10">
        <v>1</v>
      </c>
      <c r="N3211" s="10" t="s">
        <v>196</v>
      </c>
      <c r="O3211" s="10">
        <v>4.04</v>
      </c>
      <c r="P3211" s="10">
        <v>0.19700000000000001</v>
      </c>
      <c r="Q3211" s="10">
        <v>617</v>
      </c>
      <c r="R3211" s="10" t="s">
        <v>170</v>
      </c>
      <c r="S3211" s="34">
        <f t="shared" si="365"/>
        <v>617</v>
      </c>
      <c r="T3211" s="10" t="s">
        <v>1229</v>
      </c>
      <c r="U3211" s="34" t="str">
        <f t="shared" si="366"/>
        <v/>
      </c>
      <c r="V3211" s="31" t="str">
        <f>IF(H3211="CHK",VLOOKUP(I3211,QCCHK,3,),IF(H3211="GUP",VLOOKUP(E3211,QCGUP,2,),IF(AND(H3211="ATP",OR(I3211="TN",I3211="TDN",I3211="TNO2-3",I3211="NO2-3")),VLOOKUP(E3211,QCREC_N,2,),IF(AND(H3211="NIC",OR(I3211="TN",I3211="TDN",I3211="TNO2-3",I3211="NO2-3")),VLOOKUP(E3211,QCNIC_N,2,),IF(AND(H3211="UREA",OR(I3211="TN",I3211="TDN",I3211="TNO2-3",I3211="NO2-3")),VLOOKUP(E3211,QCUREA_N,2,),IF(H3211="PER",VLOOKUP(I3211,QCPER,MATCH(E3211,QCACTUAL!$J$25:$AA$25,0),),IF(H3211="SPK",VLOOKUP(I3211,QCSPK,3,),IF(AND(H3211="ATP",OR(I3211="TP",I3211="TDP")),VLOOKUP(E3211,QCATP_P,2,),""))))))))</f>
        <v/>
      </c>
      <c r="W3211" s="31" t="str">
        <f t="shared" si="367"/>
        <v>TRUE</v>
      </c>
      <c r="X3211" s="31" t="str">
        <f t="shared" si="364"/>
        <v/>
      </c>
      <c r="Y3211" s="10" t="s">
        <v>1222</v>
      </c>
      <c r="Z3211" s="10" t="s">
        <v>910</v>
      </c>
      <c r="AF3211" s="12">
        <v>44973</v>
      </c>
      <c r="AJ3211" s="10">
        <f>0.1303*4.04^2+171.81*4.04-89.924</f>
        <v>606.31510447999995</v>
      </c>
      <c r="AK3211" s="10">
        <f>-0.033*4.04^2+178.81*4.04-104.93</f>
        <v>616.92378720000011</v>
      </c>
      <c r="AL3211" s="10" t="str">
        <f t="shared" si="362"/>
        <v>FALSE</v>
      </c>
      <c r="AM3211" s="10" t="str">
        <f t="shared" si="362"/>
        <v>FALSE</v>
      </c>
      <c r="AN3211" s="10" t="str">
        <f t="shared" si="362"/>
        <v>FALSE</v>
      </c>
      <c r="AO3211" s="10" t="str">
        <f t="shared" si="363"/>
        <v>y=0.1303*4.04^2+171.81*4.04-89.924</v>
      </c>
      <c r="AP3211" s="10" t="str">
        <f t="shared" si="363"/>
        <v>y=-0.033*4.04^2+178.81*4.04-104.93</v>
      </c>
      <c r="AQ3211" s="10" t="b">
        <f>IF(AND(I3211="TP",S3211&lt;=150),VLOOKUP(AF3211,TPCalibEq150!$AZ$2:$BB$55,3,),IF(AND(I3211="TDP",S3211&lt;=150),VLOOKUP(AF3211,TPCalibEq150!$AZ$2:$BB$55,3,)))</f>
        <v>0</v>
      </c>
      <c r="AR3211" s="10" t="b">
        <f>IF(AND(I3211="TP",S3211&lt;=300),VLOOKUP(AF3211,TPCalibEq300!$AZ$2:$BB$55,3,),IF(AND(I3211="TDP",S3211&lt;=300),VLOOKUP(AF3211,TPCalibEq300!$AZ$2:$BB$55,3,)))</f>
        <v>0</v>
      </c>
      <c r="AS3211" s="10" t="b">
        <f>IF(AND(I3211="TP",S3211&lt;=500),VLOOKUP(AF3211,TPCalibEq500!$AZ$2:$BB$56,3,),IF(AND(I3211="TDP",S3211&lt;=500),VLOOKUP(AF3211,TPCalibEq500!$AZ$2:$BB$56,3,)))</f>
        <v>0</v>
      </c>
      <c r="AT3211" s="10" t="str">
        <f>IF(AND(I3211="TN",S3211&lt;=2800),VLOOKUP(AF3211,TNCalibEq2500!$AZ$2:$BB$56,3,),IF(AND(I3211="TDN",S3211&lt;=2800),VLOOKUP(AF3211,TNCalibEq2500!$AZ$2:$BB$56,3,)))</f>
        <v>y=0.1303x2+171.81x-89.924</v>
      </c>
      <c r="AU3211" s="10" t="str">
        <f>IF(I3211="TP",VLOOKUP(AF3211,TPCalibEqFull!$AZ$2:$BB$56,3),IF(I3211="TDP",VLOOKUP(AF3211,TPCalibEqFull!$AZ$2:$BB$56,3),IF(I3211="TDN",VLOOKUP(AF3211,TNCalibEqFull!$AZ$1:$BB$56,3),IF(I3211="TN",VLOOKUP(AF3211,TNCalibEqFull!$AZ$1:$BB$56,3),FALSE))))</f>
        <v>y=-0.033x2+178.81x-104.93</v>
      </c>
      <c r="AV3211" s="10" t="str">
        <f t="shared" si="368"/>
        <v>0213 06:21:00-HST-0-C-1-SW-UKN</v>
      </c>
    </row>
    <row r="3212" spans="1:48" s="10" customFormat="1" x14ac:dyDescent="0.55000000000000004">
      <c r="A3212" s="32">
        <v>44971</v>
      </c>
      <c r="B3212" s="33">
        <v>0.24097222222222223</v>
      </c>
      <c r="C3212" s="10" t="s">
        <v>279</v>
      </c>
      <c r="D3212" s="10">
        <v>0</v>
      </c>
      <c r="E3212" s="10" t="s">
        <v>190</v>
      </c>
      <c r="F3212" s="10">
        <v>1</v>
      </c>
      <c r="G3212" s="10" t="s">
        <v>231</v>
      </c>
      <c r="H3212" s="10" t="s">
        <v>322</v>
      </c>
      <c r="I3212" s="10" t="s">
        <v>235</v>
      </c>
      <c r="J3212" s="10">
        <v>9</v>
      </c>
      <c r="K3212" s="12">
        <v>44973</v>
      </c>
      <c r="L3212" s="33">
        <v>0.46673611111111107</v>
      </c>
      <c r="M3212" s="10">
        <v>1</v>
      </c>
      <c r="N3212" s="10" t="s">
        <v>196</v>
      </c>
      <c r="O3212" s="10">
        <v>7.15</v>
      </c>
      <c r="P3212" s="10">
        <v>0.34599999999999997</v>
      </c>
      <c r="Q3212" s="10">
        <v>1170</v>
      </c>
      <c r="R3212" s="10" t="s">
        <v>170</v>
      </c>
      <c r="S3212" s="34">
        <f t="shared" si="365"/>
        <v>1171.8744575000001</v>
      </c>
      <c r="T3212" s="10" t="s">
        <v>1229</v>
      </c>
      <c r="U3212" s="34" t="str">
        <f t="shared" si="366"/>
        <v/>
      </c>
      <c r="V3212" s="31" t="str">
        <f>IF(H3212="CHK",VLOOKUP(I3212,QCCHK,3,),IF(H3212="GUP",VLOOKUP(E3212,QCGUP,2,),IF(AND(H3212="ATP",OR(I3212="TN",I3212="TDN",I3212="TNO2-3",I3212="NO2-3")),VLOOKUP(E3212,QCREC_N,2,),IF(AND(H3212="NIC",OR(I3212="TN",I3212="TDN",I3212="TNO2-3",I3212="NO2-3")),VLOOKUP(E3212,QCNIC_N,2,),IF(AND(H3212="UREA",OR(I3212="TN",I3212="TDN",I3212="TNO2-3",I3212="NO2-3")),VLOOKUP(E3212,QCUREA_N,2,),IF(H3212="PER",VLOOKUP(I3212,QCPER,MATCH(E3212,QCACTUAL!$J$25:$AA$25,0),),IF(H3212="SPK",VLOOKUP(I3212,QCSPK,3,),IF(AND(H3212="ATP",OR(I3212="TP",I3212="TDP")),VLOOKUP(E3212,QCATP_P,2,),""))))))))</f>
        <v/>
      </c>
      <c r="W3212" s="31" t="str">
        <f t="shared" si="367"/>
        <v>TRUE</v>
      </c>
      <c r="X3212" s="31" t="str">
        <f t="shared" si="364"/>
        <v/>
      </c>
      <c r="Y3212" s="10" t="s">
        <v>1222</v>
      </c>
      <c r="AF3212" s="12">
        <v>44973</v>
      </c>
      <c r="AJ3212" s="10">
        <f>0.1303*7.15^2+171.81*7.15-89.924</f>
        <v>1145.1787617500001</v>
      </c>
      <c r="AK3212" s="10">
        <f>-0.033*7.15^2+178.81*7.15-104.93</f>
        <v>1171.8744575000001</v>
      </c>
      <c r="AL3212" s="10" t="str">
        <f t="shared" si="362"/>
        <v>FALSE</v>
      </c>
      <c r="AM3212" s="10" t="str">
        <f t="shared" si="362"/>
        <v>FALSE</v>
      </c>
      <c r="AN3212" s="10" t="str">
        <f t="shared" si="362"/>
        <v>FALSE</v>
      </c>
      <c r="AO3212" s="10" t="str">
        <f t="shared" si="363"/>
        <v>y=0.1303*7.15^2+171.81*7.15-89.924</v>
      </c>
      <c r="AP3212" s="10" t="str">
        <f t="shared" si="363"/>
        <v>y=-0.033*7.15^2+178.81*7.15-104.93</v>
      </c>
      <c r="AQ3212" s="10" t="b">
        <f>IF(AND(I3212="TP",S3212&lt;=150),VLOOKUP(AF3212,TPCalibEq150!$AZ$2:$BB$55,3,),IF(AND(I3212="TDP",S3212&lt;=150),VLOOKUP(AF3212,TPCalibEq150!$AZ$2:$BB$55,3,)))</f>
        <v>0</v>
      </c>
      <c r="AR3212" s="10" t="b">
        <f>IF(AND(I3212="TP",S3212&lt;=300),VLOOKUP(AF3212,TPCalibEq300!$AZ$2:$BB$55,3,),IF(AND(I3212="TDP",S3212&lt;=300),VLOOKUP(AF3212,TPCalibEq300!$AZ$2:$BB$55,3,)))</f>
        <v>0</v>
      </c>
      <c r="AS3212" s="10" t="b">
        <f>IF(AND(I3212="TP",S3212&lt;=500),VLOOKUP(AF3212,TPCalibEq500!$AZ$2:$BB$56,3,),IF(AND(I3212="TDP",S3212&lt;=500),VLOOKUP(AF3212,TPCalibEq500!$AZ$2:$BB$56,3,)))</f>
        <v>0</v>
      </c>
      <c r="AT3212" s="10" t="str">
        <f>IF(AND(I3212="TN",S3212&lt;=2800),VLOOKUP(AF3212,TNCalibEq2500!$AZ$2:$BB$56,3,),IF(AND(I3212="TDN",S3212&lt;=2800),VLOOKUP(AF3212,TNCalibEq2500!$AZ$2:$BB$56,3,)))</f>
        <v>y=0.1303x2+171.81x-89.924</v>
      </c>
      <c r="AU3212" s="10" t="str">
        <f>IF(I3212="TP",VLOOKUP(AF3212,TPCalibEqFull!$AZ$2:$BB$56,3),IF(I3212="TDP",VLOOKUP(AF3212,TPCalibEqFull!$AZ$2:$BB$56,3),IF(I3212="TDN",VLOOKUP(AF3212,TNCalibEqFull!$AZ$1:$BB$56,3),IF(I3212="TN",VLOOKUP(AF3212,TNCalibEqFull!$AZ$1:$BB$56,3),FALSE))))</f>
        <v>y=-0.033x2+178.81x-104.93</v>
      </c>
      <c r="AV3212" s="10" t="str">
        <f t="shared" si="368"/>
        <v>0214 05:47:00-EFK-0-C-1-SW-UKN</v>
      </c>
    </row>
    <row r="3213" spans="1:48" s="10" customFormat="1" x14ac:dyDescent="0.55000000000000004">
      <c r="A3213" s="32">
        <v>44971</v>
      </c>
      <c r="B3213" s="33">
        <v>0.24444444444444446</v>
      </c>
      <c r="C3213" s="10" t="s">
        <v>333</v>
      </c>
      <c r="D3213" s="10">
        <v>0</v>
      </c>
      <c r="E3213" s="10" t="s">
        <v>190</v>
      </c>
      <c r="F3213" s="10">
        <v>1</v>
      </c>
      <c r="G3213" s="10" t="s">
        <v>231</v>
      </c>
      <c r="H3213" s="10" t="s">
        <v>322</v>
      </c>
      <c r="I3213" s="10" t="s">
        <v>235</v>
      </c>
      <c r="J3213" s="10">
        <v>10</v>
      </c>
      <c r="K3213" s="12">
        <v>44973</v>
      </c>
      <c r="L3213" s="33">
        <v>0.46740740740740744</v>
      </c>
      <c r="M3213" s="10">
        <v>1</v>
      </c>
      <c r="N3213" s="10" t="s">
        <v>196</v>
      </c>
      <c r="O3213" s="10">
        <v>4.24</v>
      </c>
      <c r="P3213" s="10">
        <v>0.20599999999999999</v>
      </c>
      <c r="Q3213" s="10">
        <v>653</v>
      </c>
      <c r="R3213" s="10" t="s">
        <v>170</v>
      </c>
      <c r="S3213" s="34">
        <f t="shared" si="365"/>
        <v>653</v>
      </c>
      <c r="T3213" s="10" t="s">
        <v>1229</v>
      </c>
      <c r="U3213" s="34" t="str">
        <f t="shared" si="366"/>
        <v/>
      </c>
      <c r="V3213" s="31" t="str">
        <f>IF(H3213="CHK",VLOOKUP(I3213,QCCHK,3,),IF(H3213="GUP",VLOOKUP(E3213,QCGUP,2,),IF(AND(H3213="ATP",OR(I3213="TN",I3213="TDN",I3213="TNO2-3",I3213="NO2-3")),VLOOKUP(E3213,QCREC_N,2,),IF(AND(H3213="NIC",OR(I3213="TN",I3213="TDN",I3213="TNO2-3",I3213="NO2-3")),VLOOKUP(E3213,QCNIC_N,2,),IF(AND(H3213="UREA",OR(I3213="TN",I3213="TDN",I3213="TNO2-3",I3213="NO2-3")),VLOOKUP(E3213,QCUREA_N,2,),IF(H3213="PER",VLOOKUP(I3213,QCPER,MATCH(E3213,QCACTUAL!$J$25:$AA$25,0),),IF(H3213="SPK",VLOOKUP(I3213,QCSPK,3,),IF(AND(H3213="ATP",OR(I3213="TP",I3213="TDP")),VLOOKUP(E3213,QCATP_P,2,),""))))))))</f>
        <v/>
      </c>
      <c r="W3213" s="31" t="str">
        <f t="shared" si="367"/>
        <v>TRUE</v>
      </c>
      <c r="X3213" s="31" t="str">
        <f t="shared" si="364"/>
        <v/>
      </c>
      <c r="Y3213" s="10" t="s">
        <v>1222</v>
      </c>
      <c r="AF3213" s="12">
        <v>44973</v>
      </c>
      <c r="AJ3213" s="10">
        <f>0.1303*4.24^2+171.81*4.24-89.924</f>
        <v>640.8928812800001</v>
      </c>
      <c r="AK3213" s="10">
        <f>-0.033*4.24^2+178.81*4.24-104.93</f>
        <v>652.63113920000001</v>
      </c>
      <c r="AL3213" s="10" t="str">
        <f t="shared" si="362"/>
        <v>FALSE</v>
      </c>
      <c r="AM3213" s="10" t="str">
        <f t="shared" si="362"/>
        <v>FALSE</v>
      </c>
      <c r="AN3213" s="10" t="str">
        <f t="shared" si="362"/>
        <v>FALSE</v>
      </c>
      <c r="AO3213" s="10" t="str">
        <f t="shared" si="363"/>
        <v>y=0.1303*4.24^2+171.81*4.24-89.924</v>
      </c>
      <c r="AP3213" s="10" t="str">
        <f t="shared" si="363"/>
        <v>y=-0.033*4.24^2+178.81*4.24-104.93</v>
      </c>
      <c r="AQ3213" s="10" t="b">
        <f>IF(AND(I3213="TP",S3213&lt;=150),VLOOKUP(AF3213,TPCalibEq150!$AZ$2:$BB$55,3,),IF(AND(I3213="TDP",S3213&lt;=150),VLOOKUP(AF3213,TPCalibEq150!$AZ$2:$BB$55,3,)))</f>
        <v>0</v>
      </c>
      <c r="AR3213" s="10" t="b">
        <f>IF(AND(I3213="TP",S3213&lt;=300),VLOOKUP(AF3213,TPCalibEq300!$AZ$2:$BB$55,3,),IF(AND(I3213="TDP",S3213&lt;=300),VLOOKUP(AF3213,TPCalibEq300!$AZ$2:$BB$55,3,)))</f>
        <v>0</v>
      </c>
      <c r="AS3213" s="10" t="b">
        <f>IF(AND(I3213="TP",S3213&lt;=500),VLOOKUP(AF3213,TPCalibEq500!$AZ$2:$BB$56,3,),IF(AND(I3213="TDP",S3213&lt;=500),VLOOKUP(AF3213,TPCalibEq500!$AZ$2:$BB$56,3,)))</f>
        <v>0</v>
      </c>
      <c r="AT3213" s="10" t="str">
        <f>IF(AND(I3213="TN",S3213&lt;=2800),VLOOKUP(AF3213,TNCalibEq2500!$AZ$2:$BB$56,3,),IF(AND(I3213="TDN",S3213&lt;=2800),VLOOKUP(AF3213,TNCalibEq2500!$AZ$2:$BB$56,3,)))</f>
        <v>y=0.1303x2+171.81x-89.924</v>
      </c>
      <c r="AU3213" s="10" t="str">
        <f>IF(I3213="TP",VLOOKUP(AF3213,TPCalibEqFull!$AZ$2:$BB$56,3),IF(I3213="TDP",VLOOKUP(AF3213,TPCalibEqFull!$AZ$2:$BB$56,3),IF(I3213="TDN",VLOOKUP(AF3213,TNCalibEqFull!$AZ$1:$BB$56,3),IF(I3213="TN",VLOOKUP(AF3213,TNCalibEqFull!$AZ$1:$BB$56,3),FALSE))))</f>
        <v>y=-0.033x2+178.81x-104.93</v>
      </c>
      <c r="AV3213" s="10" t="str">
        <f t="shared" si="368"/>
        <v>0214 05:52:00-HST-0-C-1-SW-UKN</v>
      </c>
    </row>
    <row r="3214" spans="1:48" s="10" customFormat="1" x14ac:dyDescent="0.55000000000000004">
      <c r="A3214" s="32">
        <v>44971</v>
      </c>
      <c r="B3214" s="33">
        <v>0.24444444444444446</v>
      </c>
      <c r="C3214" s="10" t="s">
        <v>333</v>
      </c>
      <c r="D3214" s="10">
        <v>0</v>
      </c>
      <c r="E3214" s="10" t="s">
        <v>190</v>
      </c>
      <c r="F3214" s="10">
        <v>1</v>
      </c>
      <c r="G3214" s="10" t="s">
        <v>231</v>
      </c>
      <c r="H3214" s="10" t="s">
        <v>233</v>
      </c>
      <c r="I3214" s="10" t="s">
        <v>235</v>
      </c>
      <c r="J3214" s="10">
        <v>10</v>
      </c>
      <c r="K3214" s="12">
        <v>44973</v>
      </c>
      <c r="L3214" s="33">
        <v>0.46807870370370369</v>
      </c>
      <c r="M3214" s="10">
        <v>1</v>
      </c>
      <c r="N3214" s="10" t="s">
        <v>196</v>
      </c>
      <c r="O3214" s="10">
        <v>4.28</v>
      </c>
      <c r="P3214" s="10">
        <v>0.20699999999999999</v>
      </c>
      <c r="Q3214" s="10">
        <v>660</v>
      </c>
      <c r="R3214" s="10" t="s">
        <v>170</v>
      </c>
      <c r="S3214" s="34">
        <f t="shared" si="365"/>
        <v>660</v>
      </c>
      <c r="T3214" s="10" t="s">
        <v>1229</v>
      </c>
      <c r="U3214" s="34">
        <f t="shared" si="366"/>
        <v>1.0662604722010662</v>
      </c>
      <c r="V3214" s="31" t="str">
        <f>IF(H3214="CHK",VLOOKUP(I3214,QCCHK,3,),IF(H3214="GUP",VLOOKUP(E3214,QCGUP,2,),IF(AND(H3214="ATP",OR(I3214="TN",I3214="TDN",I3214="TNO2-3",I3214="NO2-3")),VLOOKUP(E3214,QCREC_N,2,),IF(AND(H3214="NIC",OR(I3214="TN",I3214="TDN",I3214="TNO2-3",I3214="NO2-3")),VLOOKUP(E3214,QCNIC_N,2,),IF(AND(H3214="UREA",OR(I3214="TN",I3214="TDN",I3214="TNO2-3",I3214="NO2-3")),VLOOKUP(E3214,QCUREA_N,2,),IF(H3214="PER",VLOOKUP(I3214,QCPER,MATCH(E3214,QCACTUAL!$J$25:$AA$25,0),),IF(H3214="SPK",VLOOKUP(I3214,QCSPK,3,),IF(AND(H3214="ATP",OR(I3214="TP",I3214="TDP")),VLOOKUP(E3214,QCATP_P,2,),""))))))))</f>
        <v/>
      </c>
      <c r="W3214" s="31" t="str">
        <f t="shared" si="367"/>
        <v>TRUE</v>
      </c>
      <c r="X3214" s="31" t="str">
        <f t="shared" si="364"/>
        <v>((ABS(rep1-rep2))/((rep1+rep2)/2)*100</v>
      </c>
      <c r="Y3214" s="10" t="s">
        <v>1222</v>
      </c>
      <c r="AF3214" s="12">
        <v>44973</v>
      </c>
      <c r="AJ3214" s="10">
        <f>0.1303*4.28^2+171.81*4.28-89.924</f>
        <v>647.80968752000001</v>
      </c>
      <c r="AK3214" s="10">
        <f>-0.033*4.28^2+178.81*4.28-104.93</f>
        <v>659.77229280000006</v>
      </c>
      <c r="AL3214" s="10" t="str">
        <f t="shared" si="362"/>
        <v>FALSE</v>
      </c>
      <c r="AM3214" s="10" t="str">
        <f t="shared" si="362"/>
        <v>FALSE</v>
      </c>
      <c r="AN3214" s="10" t="str">
        <f t="shared" si="362"/>
        <v>FALSE</v>
      </c>
      <c r="AO3214" s="10" t="str">
        <f t="shared" si="363"/>
        <v>y=0.1303*4.28^2+171.81*4.28-89.924</v>
      </c>
      <c r="AP3214" s="10" t="str">
        <f t="shared" si="363"/>
        <v>y=-0.033*4.28^2+178.81*4.28-104.93</v>
      </c>
      <c r="AQ3214" s="10" t="b">
        <f>IF(AND(I3214="TP",S3214&lt;=150),VLOOKUP(AF3214,TPCalibEq150!$AZ$2:$BB$55,3,),IF(AND(I3214="TDP",S3214&lt;=150),VLOOKUP(AF3214,TPCalibEq150!$AZ$2:$BB$55,3,)))</f>
        <v>0</v>
      </c>
      <c r="AR3214" s="10" t="b">
        <f>IF(AND(I3214="TP",S3214&lt;=300),VLOOKUP(AF3214,TPCalibEq300!$AZ$2:$BB$55,3,),IF(AND(I3214="TDP",S3214&lt;=300),VLOOKUP(AF3214,TPCalibEq300!$AZ$2:$BB$55,3,)))</f>
        <v>0</v>
      </c>
      <c r="AS3214" s="10" t="b">
        <f>IF(AND(I3214="TP",S3214&lt;=500),VLOOKUP(AF3214,TPCalibEq500!$AZ$2:$BB$56,3,),IF(AND(I3214="TDP",S3214&lt;=500),VLOOKUP(AF3214,TPCalibEq500!$AZ$2:$BB$56,3,)))</f>
        <v>0</v>
      </c>
      <c r="AT3214" s="10" t="str">
        <f>IF(AND(I3214="TN",S3214&lt;=2800),VLOOKUP(AF3214,TNCalibEq2500!$AZ$2:$BB$56,3,),IF(AND(I3214="TDN",S3214&lt;=2800),VLOOKUP(AF3214,TNCalibEq2500!$AZ$2:$BB$56,3,)))</f>
        <v>y=0.1303x2+171.81x-89.924</v>
      </c>
      <c r="AU3214" s="10" t="str">
        <f>IF(I3214="TP",VLOOKUP(AF3214,TPCalibEqFull!$AZ$2:$BB$56,3),IF(I3214="TDP",VLOOKUP(AF3214,TPCalibEqFull!$AZ$2:$BB$56,3),IF(I3214="TDN",VLOOKUP(AF3214,TNCalibEqFull!$AZ$1:$BB$56,3),IF(I3214="TN",VLOOKUP(AF3214,TNCalibEqFull!$AZ$1:$BB$56,3),FALSE))))</f>
        <v>y=-0.033x2+178.81x-104.93</v>
      </c>
      <c r="AV3214" s="10" t="str">
        <f t="shared" si="368"/>
        <v>0214 05:52:00-HST-0-C-1-SW-DUP</v>
      </c>
    </row>
    <row r="3215" spans="1:48" s="10" customFormat="1" x14ac:dyDescent="0.55000000000000004">
      <c r="A3215" s="32">
        <v>44971</v>
      </c>
      <c r="B3215" s="33">
        <v>0.24444444444444446</v>
      </c>
      <c r="C3215" s="10" t="s">
        <v>912</v>
      </c>
      <c r="D3215" s="10">
        <v>0</v>
      </c>
      <c r="E3215" s="10" t="s">
        <v>190</v>
      </c>
      <c r="F3215" s="10">
        <v>1</v>
      </c>
      <c r="G3215" s="10" t="s">
        <v>231</v>
      </c>
      <c r="H3215" s="10" t="s">
        <v>314</v>
      </c>
      <c r="I3215" s="10" t="s">
        <v>235</v>
      </c>
      <c r="J3215" s="10">
        <v>49</v>
      </c>
      <c r="K3215" s="12">
        <v>44973</v>
      </c>
      <c r="L3215" s="33">
        <v>0.46873842592592596</v>
      </c>
      <c r="M3215" s="10">
        <v>1</v>
      </c>
      <c r="N3215" s="10" t="s">
        <v>196</v>
      </c>
      <c r="O3215" s="10">
        <v>17.600000000000001</v>
      </c>
      <c r="P3215" s="10">
        <v>0.85099999999999998</v>
      </c>
      <c r="Q3215" s="10">
        <v>3040</v>
      </c>
      <c r="R3215" s="10" t="s">
        <v>170</v>
      </c>
      <c r="S3215" s="34">
        <f t="shared" si="365"/>
        <v>3040</v>
      </c>
      <c r="T3215" s="10" t="s">
        <v>1229</v>
      </c>
      <c r="U3215" s="34">
        <f t="shared" si="366"/>
        <v>95.199999999999989</v>
      </c>
      <c r="V3215" s="31">
        <f>IF(H3215="CHK",VLOOKUP(I3215,QCCHK,3,),IF(H3215="GUP",VLOOKUP(E3215,QCGUP,2,),IF(AND(H3215="ATP",OR(I3215="TN",I3215="TDN",I3215="TNO2-3",I3215="NO2-3")),VLOOKUP(E3215,QCREC_N,2,),IF(AND(H3215="NIC",OR(I3215="TN",I3215="TDN",I3215="TNO2-3",I3215="NO2-3")),VLOOKUP(E3215,QCNIC_N,2,),IF(AND(H3215="UREA",OR(I3215="TN",I3215="TDN",I3215="TNO2-3",I3215="NO2-3")),VLOOKUP(E3215,QCUREA_N,2,),IF(H3215="PER",VLOOKUP(I3215,QCPER,MATCH(E3215,QCACTUAL!$J$25:$AA$25,0),),IF(H3215="SPK",VLOOKUP(I3215,QCSPK,3,),IF(AND(H3215="ATP",OR(I3215="TP",I3215="TDP")),VLOOKUP(E3215,QCATP_P,2,),""))))))))</f>
        <v>2500</v>
      </c>
      <c r="W3215" s="31" t="str">
        <f t="shared" si="367"/>
        <v>TRUE</v>
      </c>
      <c r="X3215" s="31" t="str">
        <f t="shared" si="364"/>
        <v>([spikedunkn]-[unkn])/[spike]*100</v>
      </c>
      <c r="Y3215" s="10" t="s">
        <v>1222</v>
      </c>
      <c r="AF3215" s="12">
        <v>44973</v>
      </c>
      <c r="AK3215" s="10">
        <f>-0.033*17.6^2+178.81*17.6-104.93</f>
        <v>3031.9039200000007</v>
      </c>
      <c r="AL3215" s="10" t="str">
        <f t="shared" si="362"/>
        <v>FALSE</v>
      </c>
      <c r="AM3215" s="10" t="str">
        <f t="shared" si="362"/>
        <v>FALSE</v>
      </c>
      <c r="AN3215" s="10" t="str">
        <f t="shared" si="362"/>
        <v>FALSE</v>
      </c>
      <c r="AO3215" s="10" t="str">
        <f t="shared" si="363"/>
        <v>FALSE</v>
      </c>
      <c r="AP3215" s="10" t="str">
        <f t="shared" si="363"/>
        <v>y=-0.033*17.6^2+178.81*17.6-104.93</v>
      </c>
      <c r="AQ3215" s="10" t="b">
        <f>IF(AND(I3215="TP",S3215&lt;=150),VLOOKUP(AF3215,TPCalibEq150!$AZ$2:$BB$55,3,),IF(AND(I3215="TDP",S3215&lt;=150),VLOOKUP(AF3215,TPCalibEq150!$AZ$2:$BB$55,3,)))</f>
        <v>0</v>
      </c>
      <c r="AR3215" s="10" t="b">
        <f>IF(AND(I3215="TP",S3215&lt;=300),VLOOKUP(AF3215,TPCalibEq300!$AZ$2:$BB$55,3,),IF(AND(I3215="TDP",S3215&lt;=300),VLOOKUP(AF3215,TPCalibEq300!$AZ$2:$BB$55,3,)))</f>
        <v>0</v>
      </c>
      <c r="AS3215" s="10" t="b">
        <f>IF(AND(I3215="TP",S3215&lt;=500),VLOOKUP(AF3215,TPCalibEq500!$AZ$2:$BB$56,3,),IF(AND(I3215="TDP",S3215&lt;=500),VLOOKUP(AF3215,TPCalibEq500!$AZ$2:$BB$56,3,)))</f>
        <v>0</v>
      </c>
      <c r="AT3215" s="10" t="b">
        <f>IF(AND(I3215="TN",S3215&lt;=2800),VLOOKUP(AF3215,TNCalibEq2500!$AZ$2:$BB$56,3,),IF(AND(I3215="TDN",S3215&lt;=2800),VLOOKUP(AF3215,TNCalibEq2500!$AZ$2:$BB$56,3,)))</f>
        <v>0</v>
      </c>
      <c r="AU3215" s="10" t="str">
        <f>IF(I3215="TP",VLOOKUP(AF3215,TPCalibEqFull!$AZ$2:$BB$56,3),IF(I3215="TDP",VLOOKUP(AF3215,TPCalibEqFull!$AZ$2:$BB$56,3),IF(I3215="TDN",VLOOKUP(AF3215,TNCalibEqFull!$AZ$1:$BB$56,3),IF(I3215="TN",VLOOKUP(AF3215,TNCalibEqFull!$AZ$1:$BB$56,3),FALSE))))</f>
        <v>y=-0.033x2+178.81x-104.93</v>
      </c>
      <c r="AV3215" s="10" t="str">
        <f t="shared" si="368"/>
        <v>0214 05:52:00-HST -0-C-1-SW-SPK</v>
      </c>
    </row>
    <row r="3216" spans="1:48" s="10" customFormat="1" x14ac:dyDescent="0.55000000000000004">
      <c r="A3216" s="32">
        <v>44972</v>
      </c>
      <c r="B3216" s="33">
        <v>0.375</v>
      </c>
      <c r="C3216" s="10" t="s">
        <v>70</v>
      </c>
      <c r="D3216" s="10" t="s">
        <v>71</v>
      </c>
      <c r="E3216" s="10" t="s">
        <v>901</v>
      </c>
      <c r="F3216" s="10">
        <v>1</v>
      </c>
      <c r="G3216" s="10" t="s">
        <v>73</v>
      </c>
      <c r="H3216" s="10" t="s">
        <v>207</v>
      </c>
      <c r="I3216" s="10" t="s">
        <v>235</v>
      </c>
      <c r="J3216" s="10">
        <v>199</v>
      </c>
      <c r="K3216" s="12">
        <v>44973</v>
      </c>
      <c r="L3216" s="33">
        <v>0.46942129629629631</v>
      </c>
      <c r="M3216" s="10">
        <v>1</v>
      </c>
      <c r="N3216" s="10" t="s">
        <v>196</v>
      </c>
      <c r="O3216" s="10">
        <v>6.85</v>
      </c>
      <c r="P3216" s="10">
        <v>0.33500000000000002</v>
      </c>
      <c r="Q3216" s="10">
        <v>1120</v>
      </c>
      <c r="R3216" s="10" t="s">
        <v>170</v>
      </c>
      <c r="S3216" s="34">
        <f t="shared" si="365"/>
        <v>1120</v>
      </c>
      <c r="T3216" s="10" t="s">
        <v>1229</v>
      </c>
      <c r="U3216" s="34">
        <f t="shared" si="366"/>
        <v>89.600000000000009</v>
      </c>
      <c r="V3216" s="31">
        <f>IF(H3216="CHK",VLOOKUP(I3216,QCCHK,3,),IF(H3216="GUP",VLOOKUP(E3216,QCGUP,2,),IF(AND(H3216="ATP",OR(I3216="TN",I3216="TDN",I3216="TNO2-3",I3216="NO2-3")),VLOOKUP(E3216,QCREC_N,2,),IF(AND(H3216="NIC",OR(I3216="TN",I3216="TDN",I3216="TNO2-3",I3216="NO2-3")),VLOOKUP(E3216,QCNIC_N,2,),IF(AND(H3216="UREA",OR(I3216="TN",I3216="TDN",I3216="TNO2-3",I3216="NO2-3")),VLOOKUP(E3216,QCUREA_N,2,),IF(H3216="PER",VLOOKUP(I3216,QCPER,MATCH(E3216,QCACTUAL!$J$25:$AA$25,0),),IF(H3216="SPK",VLOOKUP(I3216,QCSPK,3,),IF(AND(H3216="ATP",OR(I3216="TP",I3216="TDP")),VLOOKUP(E3216,QCATP_P,2,),""))))))))</f>
        <v>1250</v>
      </c>
      <c r="W3216" s="31" t="str">
        <f t="shared" si="367"/>
        <v>TRUE</v>
      </c>
      <c r="X3216" s="31" t="str">
        <f t="shared" si="364"/>
        <v>[chk]/[actual]*100</v>
      </c>
      <c r="Y3216" s="10" t="s">
        <v>1222</v>
      </c>
      <c r="AF3216" s="12">
        <v>44973</v>
      </c>
      <c r="AJ3216" s="10">
        <f>0.1303*6.85^2+171.81*6.85-89.924</f>
        <v>1093.08850175</v>
      </c>
      <c r="AK3216" s="10">
        <f>-0.033*6.85^2+178.81*6.85-104.93</f>
        <v>1118.3700575</v>
      </c>
      <c r="AL3216" s="10" t="str">
        <f t="shared" si="362"/>
        <v>FALSE</v>
      </c>
      <c r="AM3216" s="10" t="str">
        <f t="shared" si="362"/>
        <v>FALSE</v>
      </c>
      <c r="AN3216" s="10" t="str">
        <f t="shared" si="362"/>
        <v>FALSE</v>
      </c>
      <c r="AO3216" s="10" t="str">
        <f t="shared" si="363"/>
        <v>y=0.1303*6.85^2+171.81*6.85-89.924</v>
      </c>
      <c r="AP3216" s="10" t="str">
        <f t="shared" si="363"/>
        <v>y=-0.033*6.85^2+178.81*6.85-104.93</v>
      </c>
      <c r="AQ3216" s="10" t="b">
        <f>IF(AND(I3216="TP",S3216&lt;=150),VLOOKUP(AF3216,TPCalibEq150!$AZ$2:$BB$55,3,),IF(AND(I3216="TDP",S3216&lt;=150),VLOOKUP(AF3216,TPCalibEq150!$AZ$2:$BB$55,3,)))</f>
        <v>0</v>
      </c>
      <c r="AR3216" s="10" t="b">
        <f>IF(AND(I3216="TP",S3216&lt;=300),VLOOKUP(AF3216,TPCalibEq300!$AZ$2:$BB$55,3,),IF(AND(I3216="TDP",S3216&lt;=300),VLOOKUP(AF3216,TPCalibEq300!$AZ$2:$BB$55,3,)))</f>
        <v>0</v>
      </c>
      <c r="AS3216" s="10" t="b">
        <f>IF(AND(I3216="TP",S3216&lt;=500),VLOOKUP(AF3216,TPCalibEq500!$AZ$2:$BB$56,3,),IF(AND(I3216="TDP",S3216&lt;=500),VLOOKUP(AF3216,TPCalibEq500!$AZ$2:$BB$56,3,)))</f>
        <v>0</v>
      </c>
      <c r="AT3216" s="10" t="str">
        <f>IF(AND(I3216="TN",S3216&lt;=2800),VLOOKUP(AF3216,TNCalibEq2500!$AZ$2:$BB$56,3,),IF(AND(I3216="TDN",S3216&lt;=2800),VLOOKUP(AF3216,TNCalibEq2500!$AZ$2:$BB$56,3,)))</f>
        <v>y=0.1303x2+171.81x-89.924</v>
      </c>
      <c r="AU3216" s="10" t="str">
        <f>IF(I3216="TP",VLOOKUP(AF3216,TPCalibEqFull!$AZ$2:$BB$56,3),IF(I3216="TDP",VLOOKUP(AF3216,TPCalibEqFull!$AZ$2:$BB$56,3),IF(I3216="TDN",VLOOKUP(AF3216,TNCalibEqFull!$AZ$1:$BB$56,3),IF(I3216="TN",VLOOKUP(AF3216,TNCalibEqFull!$AZ$1:$BB$56,3),FALSE))))</f>
        <v>y=-0.033x2+178.81x-104.93</v>
      </c>
      <c r="AV3216" s="10" t="str">
        <f t="shared" si="368"/>
        <v>0215 09:00:00-QAC-STD-D-1-DI-CHK</v>
      </c>
    </row>
    <row r="3217" spans="1:48" s="10" customFormat="1" x14ac:dyDescent="0.55000000000000004">
      <c r="A3217" s="32">
        <v>44970</v>
      </c>
      <c r="B3217" s="33">
        <v>0.36944444444444446</v>
      </c>
      <c r="C3217" s="10" t="s">
        <v>998</v>
      </c>
      <c r="D3217" s="10">
        <v>0</v>
      </c>
      <c r="E3217" s="10" t="s">
        <v>190</v>
      </c>
      <c r="F3217" s="10">
        <v>1</v>
      </c>
      <c r="G3217" s="10" t="s">
        <v>231</v>
      </c>
      <c r="H3217" s="10" t="s">
        <v>322</v>
      </c>
      <c r="I3217" s="10" t="s">
        <v>235</v>
      </c>
      <c r="J3217" s="10">
        <v>11</v>
      </c>
      <c r="K3217" s="12">
        <v>44973</v>
      </c>
      <c r="L3217" s="33">
        <v>0.47008101851851852</v>
      </c>
      <c r="M3217" s="10">
        <v>1</v>
      </c>
      <c r="N3217" s="10" t="s">
        <v>196</v>
      </c>
      <c r="O3217" s="10">
        <v>9.68</v>
      </c>
      <c r="P3217" s="10">
        <v>0.47</v>
      </c>
      <c r="Q3217" s="10">
        <v>1620</v>
      </c>
      <c r="R3217" s="10" t="s">
        <v>170</v>
      </c>
      <c r="S3217" s="34">
        <f t="shared" si="365"/>
        <v>1622.8586207999999</v>
      </c>
      <c r="T3217" s="10" t="s">
        <v>1229</v>
      </c>
      <c r="U3217" s="34" t="str">
        <f t="shared" si="366"/>
        <v/>
      </c>
      <c r="V3217" s="31" t="str">
        <f>IF(H3217="CHK",VLOOKUP(I3217,QCCHK,3,),IF(H3217="GUP",VLOOKUP(E3217,QCGUP,2,),IF(AND(H3217="ATP",OR(I3217="TN",I3217="TDN",I3217="TNO2-3",I3217="NO2-3")),VLOOKUP(E3217,QCREC_N,2,),IF(AND(H3217="NIC",OR(I3217="TN",I3217="TDN",I3217="TNO2-3",I3217="NO2-3")),VLOOKUP(E3217,QCNIC_N,2,),IF(AND(H3217="UREA",OR(I3217="TN",I3217="TDN",I3217="TNO2-3",I3217="NO2-3")),VLOOKUP(E3217,QCUREA_N,2,),IF(H3217="PER",VLOOKUP(I3217,QCPER,MATCH(E3217,QCACTUAL!$J$25:$AA$25,0),),IF(H3217="SPK",VLOOKUP(I3217,QCSPK,3,),IF(AND(H3217="ATP",OR(I3217="TP",I3217="TDP")),VLOOKUP(E3217,QCATP_P,2,),""))))))))</f>
        <v/>
      </c>
      <c r="W3217" s="31" t="str">
        <f t="shared" si="367"/>
        <v>TRUE</v>
      </c>
      <c r="X3217" s="31" t="str">
        <f t="shared" si="364"/>
        <v/>
      </c>
      <c r="Y3217" s="10" t="s">
        <v>1222</v>
      </c>
      <c r="Z3217" s="10" t="s">
        <v>910</v>
      </c>
      <c r="AF3217" s="12">
        <v>44973</v>
      </c>
      <c r="AJ3217" s="10">
        <f>0.1303*9.68^2+171.81*9.68-89.924</f>
        <v>1585.40622272</v>
      </c>
      <c r="AK3217" s="10">
        <f>-0.033*9.68^2+178.81*9.68-104.93</f>
        <v>1622.8586207999999</v>
      </c>
      <c r="AL3217" s="10" t="str">
        <f t="shared" si="362"/>
        <v>FALSE</v>
      </c>
      <c r="AM3217" s="10" t="str">
        <f t="shared" si="362"/>
        <v>FALSE</v>
      </c>
      <c r="AN3217" s="10" t="str">
        <f t="shared" si="362"/>
        <v>FALSE</v>
      </c>
      <c r="AO3217" s="10" t="str">
        <f t="shared" si="363"/>
        <v>y=0.1303*9.68^2+171.81*9.68-89.924</v>
      </c>
      <c r="AP3217" s="10" t="str">
        <f t="shared" si="363"/>
        <v>y=-0.033*9.68^2+178.81*9.68-104.93</v>
      </c>
      <c r="AQ3217" s="10" t="b">
        <f>IF(AND(I3217="TP",S3217&lt;=150),VLOOKUP(AF3217,TPCalibEq150!$AZ$2:$BB$55,3,),IF(AND(I3217="TDP",S3217&lt;=150),VLOOKUP(AF3217,TPCalibEq150!$AZ$2:$BB$55,3,)))</f>
        <v>0</v>
      </c>
      <c r="AR3217" s="10" t="b">
        <f>IF(AND(I3217="TP",S3217&lt;=300),VLOOKUP(AF3217,TPCalibEq300!$AZ$2:$BB$55,3,),IF(AND(I3217="TDP",S3217&lt;=300),VLOOKUP(AF3217,TPCalibEq300!$AZ$2:$BB$55,3,)))</f>
        <v>0</v>
      </c>
      <c r="AS3217" s="10" t="b">
        <f>IF(AND(I3217="TP",S3217&lt;=500),VLOOKUP(AF3217,TPCalibEq500!$AZ$2:$BB$56,3,),IF(AND(I3217="TDP",S3217&lt;=500),VLOOKUP(AF3217,TPCalibEq500!$AZ$2:$BB$56,3,)))</f>
        <v>0</v>
      </c>
      <c r="AT3217" s="10" t="str">
        <f>IF(AND(I3217="TN",S3217&lt;=2800),VLOOKUP(AF3217,TNCalibEq2500!$AZ$2:$BB$56,3,),IF(AND(I3217="TDN",S3217&lt;=2800),VLOOKUP(AF3217,TNCalibEq2500!$AZ$2:$BB$56,3,)))</f>
        <v>y=0.1303x2+171.81x-89.924</v>
      </c>
      <c r="AU3217" s="10" t="str">
        <f>IF(I3217="TP",VLOOKUP(AF3217,TPCalibEqFull!$AZ$2:$BB$56,3),IF(I3217="TDP",VLOOKUP(AF3217,TPCalibEqFull!$AZ$2:$BB$56,3),IF(I3217="TDN",VLOOKUP(AF3217,TNCalibEqFull!$AZ$1:$BB$56,3),IF(I3217="TN",VLOOKUP(AF3217,TNCalibEqFull!$AZ$1:$BB$56,3),FALSE))))</f>
        <v>y=-0.033x2+178.81x-104.93</v>
      </c>
      <c r="AV3217" s="10" t="str">
        <f t="shared" si="368"/>
        <v>0213 08:52:00-ELW-0-C-1-SW-UKN</v>
      </c>
    </row>
    <row r="3218" spans="1:48" s="10" customFormat="1" x14ac:dyDescent="0.55000000000000004">
      <c r="A3218" s="32">
        <v>44970</v>
      </c>
      <c r="B3218" s="33">
        <v>0.3840277777777778</v>
      </c>
      <c r="C3218" s="10" t="s">
        <v>270</v>
      </c>
      <c r="D3218" s="10">
        <v>0</v>
      </c>
      <c r="E3218" s="10" t="s">
        <v>190</v>
      </c>
      <c r="F3218" s="10">
        <v>1</v>
      </c>
      <c r="G3218" s="10" t="s">
        <v>231</v>
      </c>
      <c r="H3218" s="10" t="s">
        <v>322</v>
      </c>
      <c r="I3218" s="10" t="s">
        <v>235</v>
      </c>
      <c r="J3218" s="10">
        <v>12</v>
      </c>
      <c r="K3218" s="12">
        <v>44973</v>
      </c>
      <c r="L3218" s="33">
        <v>0.47075231481481478</v>
      </c>
      <c r="M3218" s="10">
        <v>1</v>
      </c>
      <c r="N3218" s="10" t="s">
        <v>196</v>
      </c>
      <c r="O3218" s="10">
        <v>4.13</v>
      </c>
      <c r="P3218" s="10">
        <v>0.20100000000000001</v>
      </c>
      <c r="Q3218" s="10">
        <v>633</v>
      </c>
      <c r="R3218" s="10" t="s">
        <v>170</v>
      </c>
      <c r="S3218" s="34">
        <f t="shared" si="365"/>
        <v>633</v>
      </c>
      <c r="T3218" s="10" t="s">
        <v>1229</v>
      </c>
      <c r="U3218" s="34" t="str">
        <f t="shared" si="366"/>
        <v/>
      </c>
      <c r="V3218" s="31" t="str">
        <f>IF(H3218="CHK",VLOOKUP(I3218,QCCHK,3,),IF(H3218="GUP",VLOOKUP(E3218,QCGUP,2,),IF(AND(H3218="ATP",OR(I3218="TN",I3218="TDN",I3218="TNO2-3",I3218="NO2-3")),VLOOKUP(E3218,QCREC_N,2,),IF(AND(H3218="NIC",OR(I3218="TN",I3218="TDN",I3218="TNO2-3",I3218="NO2-3")),VLOOKUP(E3218,QCNIC_N,2,),IF(AND(H3218="UREA",OR(I3218="TN",I3218="TDN",I3218="TNO2-3",I3218="NO2-3")),VLOOKUP(E3218,QCUREA_N,2,),IF(H3218="PER",VLOOKUP(I3218,QCPER,MATCH(E3218,QCACTUAL!$J$25:$AA$25,0),),IF(H3218="SPK",VLOOKUP(I3218,QCSPK,3,),IF(AND(H3218="ATP",OR(I3218="TP",I3218="TDP")),VLOOKUP(E3218,QCATP_P,2,),""))))))))</f>
        <v/>
      </c>
      <c r="W3218" s="31" t="str">
        <f t="shared" si="367"/>
        <v>TRUE</v>
      </c>
      <c r="X3218" s="31" t="str">
        <f t="shared" si="364"/>
        <v/>
      </c>
      <c r="Y3218" s="10" t="s">
        <v>1222</v>
      </c>
      <c r="Z3218" s="10" t="s">
        <v>910</v>
      </c>
      <c r="AF3218" s="12">
        <v>44973</v>
      </c>
      <c r="AJ3218" s="10">
        <f>0.1303*4.13^2+171.81*4.13-89.924</f>
        <v>621.87381406999998</v>
      </c>
      <c r="AK3218" s="10">
        <f>-0.033*4.13^2+178.81*4.13-104.93</f>
        <v>632.99242230000004</v>
      </c>
      <c r="AL3218" s="10" t="str">
        <f t="shared" si="362"/>
        <v>FALSE</v>
      </c>
      <c r="AM3218" s="10" t="str">
        <f t="shared" si="362"/>
        <v>FALSE</v>
      </c>
      <c r="AN3218" s="10" t="str">
        <f t="shared" si="362"/>
        <v>FALSE</v>
      </c>
      <c r="AO3218" s="10" t="str">
        <f t="shared" si="363"/>
        <v>y=0.1303*4.13^2+171.81*4.13-89.924</v>
      </c>
      <c r="AP3218" s="10" t="str">
        <f t="shared" si="363"/>
        <v>y=-0.033*4.13^2+178.81*4.13-104.93</v>
      </c>
      <c r="AQ3218" s="10" t="b">
        <f>IF(AND(I3218="TP",S3218&lt;=150),VLOOKUP(AF3218,TPCalibEq150!$AZ$2:$BB$55,3,),IF(AND(I3218="TDP",S3218&lt;=150),VLOOKUP(AF3218,TPCalibEq150!$AZ$2:$BB$55,3,)))</f>
        <v>0</v>
      </c>
      <c r="AR3218" s="10" t="b">
        <f>IF(AND(I3218="TP",S3218&lt;=300),VLOOKUP(AF3218,TPCalibEq300!$AZ$2:$BB$55,3,),IF(AND(I3218="TDP",S3218&lt;=300),VLOOKUP(AF3218,TPCalibEq300!$AZ$2:$BB$55,3,)))</f>
        <v>0</v>
      </c>
      <c r="AS3218" s="10" t="b">
        <f>IF(AND(I3218="TP",S3218&lt;=500),VLOOKUP(AF3218,TPCalibEq500!$AZ$2:$BB$56,3,),IF(AND(I3218="TDP",S3218&lt;=500),VLOOKUP(AF3218,TPCalibEq500!$AZ$2:$BB$56,3,)))</f>
        <v>0</v>
      </c>
      <c r="AT3218" s="10" t="str">
        <f>IF(AND(I3218="TN",S3218&lt;=2800),VLOOKUP(AF3218,TNCalibEq2500!$AZ$2:$BB$56,3,),IF(AND(I3218="TDN",S3218&lt;=2800),VLOOKUP(AF3218,TNCalibEq2500!$AZ$2:$BB$56,3,)))</f>
        <v>y=0.1303x2+171.81x-89.924</v>
      </c>
      <c r="AU3218" s="10" t="str">
        <f>IF(I3218="TP",VLOOKUP(AF3218,TPCalibEqFull!$AZ$2:$BB$56,3),IF(I3218="TDP",VLOOKUP(AF3218,TPCalibEqFull!$AZ$2:$BB$56,3),IF(I3218="TDN",VLOOKUP(AF3218,TNCalibEqFull!$AZ$1:$BB$56,3),IF(I3218="TN",VLOOKUP(AF3218,TNCalibEqFull!$AZ$1:$BB$56,3),FALSE))))</f>
        <v>y=-0.033x2+178.81x-104.93</v>
      </c>
      <c r="AV3218" s="10" t="str">
        <f t="shared" si="368"/>
        <v>0213 09:13:00-EFG-0-C-1-SW-UKN</v>
      </c>
    </row>
    <row r="3219" spans="1:48" s="10" customFormat="1" x14ac:dyDescent="0.55000000000000004">
      <c r="A3219" s="32">
        <v>44970</v>
      </c>
      <c r="B3219" s="33">
        <v>0.3923611111111111</v>
      </c>
      <c r="C3219" s="10" t="s">
        <v>540</v>
      </c>
      <c r="D3219" s="10">
        <v>0</v>
      </c>
      <c r="E3219" s="10" t="s">
        <v>190</v>
      </c>
      <c r="F3219" s="10">
        <v>1</v>
      </c>
      <c r="G3219" s="10" t="s">
        <v>231</v>
      </c>
      <c r="H3219" s="10" t="s">
        <v>322</v>
      </c>
      <c r="I3219" s="10" t="s">
        <v>235</v>
      </c>
      <c r="J3219" s="10">
        <v>13</v>
      </c>
      <c r="K3219" s="12">
        <v>44973</v>
      </c>
      <c r="L3219" s="33">
        <v>0.47141203703703699</v>
      </c>
      <c r="M3219" s="10">
        <v>1</v>
      </c>
      <c r="N3219" s="10" t="s">
        <v>196</v>
      </c>
      <c r="O3219" s="10">
        <v>7.18</v>
      </c>
      <c r="P3219" s="10">
        <v>0.34899999999999998</v>
      </c>
      <c r="Q3219" s="10">
        <v>1180</v>
      </c>
      <c r="R3219" s="10" t="s">
        <v>170</v>
      </c>
      <c r="S3219" s="34">
        <f t="shared" si="365"/>
        <v>1180</v>
      </c>
      <c r="T3219" s="10" t="s">
        <v>1229</v>
      </c>
      <c r="U3219" s="34" t="str">
        <f t="shared" si="366"/>
        <v/>
      </c>
      <c r="V3219" s="31" t="str">
        <f>IF(H3219="CHK",VLOOKUP(I3219,QCCHK,3,),IF(H3219="GUP",VLOOKUP(E3219,QCGUP,2,),IF(AND(H3219="ATP",OR(I3219="TN",I3219="TDN",I3219="TNO2-3",I3219="NO2-3")),VLOOKUP(E3219,QCREC_N,2,),IF(AND(H3219="NIC",OR(I3219="TN",I3219="TDN",I3219="TNO2-3",I3219="NO2-3")),VLOOKUP(E3219,QCNIC_N,2,),IF(AND(H3219="UREA",OR(I3219="TN",I3219="TDN",I3219="TNO2-3",I3219="NO2-3")),VLOOKUP(E3219,QCUREA_N,2,),IF(H3219="PER",VLOOKUP(I3219,QCPER,MATCH(E3219,QCACTUAL!$J$25:$AA$25,0),),IF(H3219="SPK",VLOOKUP(I3219,QCSPK,3,),IF(AND(H3219="ATP",OR(I3219="TP",I3219="TDP")),VLOOKUP(E3219,QCATP_P,2,),""))))))))</f>
        <v/>
      </c>
      <c r="W3219" s="31" t="str">
        <f t="shared" si="367"/>
        <v>TRUE</v>
      </c>
      <c r="X3219" s="31" t="str">
        <f t="shared" si="364"/>
        <v/>
      </c>
      <c r="Y3219" s="10" t="s">
        <v>1222</v>
      </c>
      <c r="Z3219" s="10" t="s">
        <v>910</v>
      </c>
      <c r="AF3219" s="12">
        <v>44973</v>
      </c>
      <c r="AJ3219" s="10">
        <f>0.1303*7.18^2+171.81*7.18-89.924</f>
        <v>1150.3890777200002</v>
      </c>
      <c r="AK3219" s="10">
        <f>-0.033*7.18^2+178.81*7.18-104.93</f>
        <v>1177.2245708</v>
      </c>
      <c r="AL3219" s="10" t="str">
        <f t="shared" si="362"/>
        <v>FALSE</v>
      </c>
      <c r="AM3219" s="10" t="str">
        <f t="shared" si="362"/>
        <v>FALSE</v>
      </c>
      <c r="AN3219" s="10" t="str">
        <f t="shared" si="362"/>
        <v>FALSE</v>
      </c>
      <c r="AO3219" s="10" t="str">
        <f t="shared" si="363"/>
        <v>y=0.1303*7.18^2+171.81*7.18-89.924</v>
      </c>
      <c r="AP3219" s="10" t="str">
        <f t="shared" si="363"/>
        <v>y=-0.033*7.18^2+178.81*7.18-104.93</v>
      </c>
      <c r="AQ3219" s="10" t="b">
        <f>IF(AND(I3219="TP",S3219&lt;=150),VLOOKUP(AF3219,TPCalibEq150!$AZ$2:$BB$55,3,),IF(AND(I3219="TDP",S3219&lt;=150),VLOOKUP(AF3219,TPCalibEq150!$AZ$2:$BB$55,3,)))</f>
        <v>0</v>
      </c>
      <c r="AR3219" s="10" t="b">
        <f>IF(AND(I3219="TP",S3219&lt;=300),VLOOKUP(AF3219,TPCalibEq300!$AZ$2:$BB$55,3,),IF(AND(I3219="TDP",S3219&lt;=300),VLOOKUP(AF3219,TPCalibEq300!$AZ$2:$BB$55,3,)))</f>
        <v>0</v>
      </c>
      <c r="AS3219" s="10" t="b">
        <f>IF(AND(I3219="TP",S3219&lt;=500),VLOOKUP(AF3219,TPCalibEq500!$AZ$2:$BB$56,3,),IF(AND(I3219="TDP",S3219&lt;=500),VLOOKUP(AF3219,TPCalibEq500!$AZ$2:$BB$56,3,)))</f>
        <v>0</v>
      </c>
      <c r="AT3219" s="10" t="str">
        <f>IF(AND(I3219="TN",S3219&lt;=2800),VLOOKUP(AF3219,TNCalibEq2500!$AZ$2:$BB$56,3,),IF(AND(I3219="TDN",S3219&lt;=2800),VLOOKUP(AF3219,TNCalibEq2500!$AZ$2:$BB$56,3,)))</f>
        <v>y=0.1303x2+171.81x-89.924</v>
      </c>
      <c r="AU3219" s="10" t="str">
        <f>IF(I3219="TP",VLOOKUP(AF3219,TPCalibEqFull!$AZ$2:$BB$56,3),IF(I3219="TDP",VLOOKUP(AF3219,TPCalibEqFull!$AZ$2:$BB$56,3),IF(I3219="TDN",VLOOKUP(AF3219,TNCalibEqFull!$AZ$1:$BB$56,3),IF(I3219="TN",VLOOKUP(AF3219,TNCalibEqFull!$AZ$1:$BB$56,3),FALSE))))</f>
        <v>y=-0.033x2+178.81x-104.93</v>
      </c>
      <c r="AV3219" s="10" t="str">
        <f t="shared" si="368"/>
        <v>0213 09:25:00-S50-0-C-1-SW-UKN</v>
      </c>
    </row>
    <row r="3220" spans="1:48" s="10" customFormat="1" x14ac:dyDescent="0.55000000000000004">
      <c r="A3220" s="32">
        <v>44970</v>
      </c>
      <c r="B3220" s="33">
        <v>0.41597222222222219</v>
      </c>
      <c r="C3220" s="10" t="s">
        <v>528</v>
      </c>
      <c r="D3220" s="10">
        <v>0</v>
      </c>
      <c r="E3220" s="10" t="s">
        <v>190</v>
      </c>
      <c r="F3220" s="10">
        <v>1</v>
      </c>
      <c r="G3220" s="10" t="s">
        <v>231</v>
      </c>
      <c r="H3220" s="10" t="s">
        <v>322</v>
      </c>
      <c r="I3220" s="10" t="s">
        <v>235</v>
      </c>
      <c r="J3220" s="10">
        <v>14</v>
      </c>
      <c r="K3220" s="12">
        <v>44973</v>
      </c>
      <c r="L3220" s="33">
        <v>0.47208333333333335</v>
      </c>
      <c r="M3220" s="10">
        <v>1</v>
      </c>
      <c r="N3220" s="10" t="s">
        <v>196</v>
      </c>
      <c r="O3220" s="10">
        <v>11.9</v>
      </c>
      <c r="P3220" s="10">
        <v>0.57899999999999996</v>
      </c>
      <c r="Q3220" s="10">
        <v>2020</v>
      </c>
      <c r="R3220" s="10" t="s">
        <v>170</v>
      </c>
      <c r="S3220" s="34">
        <f t="shared" si="365"/>
        <v>2020</v>
      </c>
      <c r="T3220" s="10" t="s">
        <v>1229</v>
      </c>
      <c r="U3220" s="34" t="str">
        <f t="shared" si="366"/>
        <v/>
      </c>
      <c r="V3220" s="31" t="str">
        <f>IF(H3220="CHK",VLOOKUP(I3220,QCCHK,3,),IF(H3220="GUP",VLOOKUP(E3220,QCGUP,2,),IF(AND(H3220="ATP",OR(I3220="TN",I3220="TDN",I3220="TNO2-3",I3220="NO2-3")),VLOOKUP(E3220,QCREC_N,2,),IF(AND(H3220="NIC",OR(I3220="TN",I3220="TDN",I3220="TNO2-3",I3220="NO2-3")),VLOOKUP(E3220,QCNIC_N,2,),IF(AND(H3220="UREA",OR(I3220="TN",I3220="TDN",I3220="TNO2-3",I3220="NO2-3")),VLOOKUP(E3220,QCUREA_N,2,),IF(H3220="PER",VLOOKUP(I3220,QCPER,MATCH(E3220,QCACTUAL!$J$25:$AA$25,0),),IF(H3220="SPK",VLOOKUP(I3220,QCSPK,3,),IF(AND(H3220="ATP",OR(I3220="TP",I3220="TDP")),VLOOKUP(E3220,QCATP_P,2,),""))))))))</f>
        <v/>
      </c>
      <c r="W3220" s="31" t="str">
        <f t="shared" si="367"/>
        <v>TRUE</v>
      </c>
      <c r="X3220" s="31" t="str">
        <f t="shared" si="364"/>
        <v/>
      </c>
      <c r="Y3220" s="10" t="s">
        <v>1222</v>
      </c>
      <c r="Z3220" s="10" t="s">
        <v>910</v>
      </c>
      <c r="AF3220" s="12">
        <v>44973</v>
      </c>
      <c r="AJ3220" s="10">
        <f>0.1303*11.9^2+171.81*11.9-89.924</f>
        <v>1973.0667830000002</v>
      </c>
      <c r="AK3220" s="10">
        <f>-0.033*11.9^2+178.81*11.9-104.93</f>
        <v>2018.2358699999997</v>
      </c>
      <c r="AL3220" s="10" t="str">
        <f t="shared" si="362"/>
        <v>FALSE</v>
      </c>
      <c r="AM3220" s="10" t="str">
        <f t="shared" si="362"/>
        <v>FALSE</v>
      </c>
      <c r="AN3220" s="10" t="str">
        <f t="shared" si="362"/>
        <v>FALSE</v>
      </c>
      <c r="AO3220" s="10" t="str">
        <f t="shared" si="363"/>
        <v>y=0.1303*11.9^2+171.81*11.9-89.924</v>
      </c>
      <c r="AP3220" s="10" t="str">
        <f t="shared" si="363"/>
        <v>y=-0.033*11.9^2+178.81*11.9-104.93</v>
      </c>
      <c r="AQ3220" s="10" t="b">
        <f>IF(AND(I3220="TP",S3220&lt;=150),VLOOKUP(AF3220,TPCalibEq150!$AZ$2:$BB$55,3,),IF(AND(I3220="TDP",S3220&lt;=150),VLOOKUP(AF3220,TPCalibEq150!$AZ$2:$BB$55,3,)))</f>
        <v>0</v>
      </c>
      <c r="AR3220" s="10" t="b">
        <f>IF(AND(I3220="TP",S3220&lt;=300),VLOOKUP(AF3220,TPCalibEq300!$AZ$2:$BB$55,3,),IF(AND(I3220="TDP",S3220&lt;=300),VLOOKUP(AF3220,TPCalibEq300!$AZ$2:$BB$55,3,)))</f>
        <v>0</v>
      </c>
      <c r="AS3220" s="10" t="b">
        <f>IF(AND(I3220="TP",S3220&lt;=500),VLOOKUP(AF3220,TPCalibEq500!$AZ$2:$BB$56,3,),IF(AND(I3220="TDP",S3220&lt;=500),VLOOKUP(AF3220,TPCalibEq500!$AZ$2:$BB$56,3,)))</f>
        <v>0</v>
      </c>
      <c r="AT3220" s="10" t="str">
        <f>IF(AND(I3220="TN",S3220&lt;=2800),VLOOKUP(AF3220,TNCalibEq2500!$AZ$2:$BB$56,3,),IF(AND(I3220="TDN",S3220&lt;=2800),VLOOKUP(AF3220,TNCalibEq2500!$AZ$2:$BB$56,3,)))</f>
        <v>y=0.1303x2+171.81x-89.924</v>
      </c>
      <c r="AU3220" s="10" t="str">
        <f>IF(I3220="TP",VLOOKUP(AF3220,TPCalibEqFull!$AZ$2:$BB$56,3),IF(I3220="TDP",VLOOKUP(AF3220,TPCalibEqFull!$AZ$2:$BB$56,3),IF(I3220="TDN",VLOOKUP(AF3220,TNCalibEqFull!$AZ$1:$BB$56,3),IF(I3220="TN",VLOOKUP(AF3220,TNCalibEqFull!$AZ$1:$BB$56,3),FALSE))))</f>
        <v>y=-0.033x2+178.81x-104.93</v>
      </c>
      <c r="AV3220" s="10" t="str">
        <f t="shared" si="368"/>
        <v>0213 09:59:00-P04-0-C-1-SW-UKN</v>
      </c>
    </row>
    <row r="3221" spans="1:48" s="10" customFormat="1" x14ac:dyDescent="0.55000000000000004">
      <c r="A3221" s="32">
        <v>44970</v>
      </c>
      <c r="B3221" s="33">
        <v>0.42777777777777781</v>
      </c>
      <c r="C3221" s="10">
        <v>506</v>
      </c>
      <c r="D3221" s="10">
        <v>0</v>
      </c>
      <c r="E3221" s="10" t="s">
        <v>190</v>
      </c>
      <c r="F3221" s="10">
        <v>1</v>
      </c>
      <c r="G3221" s="10" t="s">
        <v>231</v>
      </c>
      <c r="H3221" s="10" t="s">
        <v>322</v>
      </c>
      <c r="I3221" s="10" t="s">
        <v>235</v>
      </c>
      <c r="J3221" s="10">
        <v>15</v>
      </c>
      <c r="K3221" s="12">
        <v>44973</v>
      </c>
      <c r="L3221" s="33">
        <v>0.47273148148148153</v>
      </c>
      <c r="M3221" s="10">
        <v>1</v>
      </c>
      <c r="N3221" s="10" t="s">
        <v>196</v>
      </c>
      <c r="O3221" s="10">
        <v>6.46</v>
      </c>
      <c r="P3221" s="10">
        <v>0.313</v>
      </c>
      <c r="Q3221" s="10">
        <v>1050</v>
      </c>
      <c r="R3221" s="10" t="s">
        <v>170</v>
      </c>
      <c r="S3221" s="34">
        <f t="shared" si="365"/>
        <v>1050</v>
      </c>
      <c r="T3221" s="10" t="s">
        <v>1229</v>
      </c>
      <c r="U3221" s="34" t="str">
        <f t="shared" si="366"/>
        <v/>
      </c>
      <c r="V3221" s="31" t="str">
        <f>IF(H3221="CHK",VLOOKUP(I3221,QCCHK,3,),IF(H3221="GUP",VLOOKUP(E3221,QCGUP,2,),IF(AND(H3221="ATP",OR(I3221="TN",I3221="TDN",I3221="TNO2-3",I3221="NO2-3")),VLOOKUP(E3221,QCREC_N,2,),IF(AND(H3221="NIC",OR(I3221="TN",I3221="TDN",I3221="TNO2-3",I3221="NO2-3")),VLOOKUP(E3221,QCNIC_N,2,),IF(AND(H3221="UREA",OR(I3221="TN",I3221="TDN",I3221="TNO2-3",I3221="NO2-3")),VLOOKUP(E3221,QCUREA_N,2,),IF(H3221="PER",VLOOKUP(I3221,QCPER,MATCH(E3221,QCACTUAL!$J$25:$AA$25,0),),IF(H3221="SPK",VLOOKUP(I3221,QCSPK,3,),IF(AND(H3221="ATP",OR(I3221="TP",I3221="TDP")),VLOOKUP(E3221,QCATP_P,2,),""))))))))</f>
        <v/>
      </c>
      <c r="W3221" s="31" t="str">
        <f t="shared" si="367"/>
        <v>TRUE</v>
      </c>
      <c r="X3221" s="31" t="str">
        <f t="shared" si="364"/>
        <v/>
      </c>
      <c r="Y3221" s="10" t="s">
        <v>1222</v>
      </c>
      <c r="Z3221" s="10" t="s">
        <v>910</v>
      </c>
      <c r="AF3221" s="12">
        <v>44973</v>
      </c>
      <c r="AJ3221" s="10">
        <f>0.1303*6.46^2+171.81*6.46-89.924</f>
        <v>1025.4062274799999</v>
      </c>
      <c r="AK3221" s="10">
        <f>-0.033*6.46^2+178.81*6.46-104.93</f>
        <v>1048.8054571999999</v>
      </c>
      <c r="AL3221" s="10" t="str">
        <f t="shared" si="362"/>
        <v>FALSE</v>
      </c>
      <c r="AM3221" s="10" t="str">
        <f t="shared" si="362"/>
        <v>FALSE</v>
      </c>
      <c r="AN3221" s="10" t="str">
        <f t="shared" si="362"/>
        <v>FALSE</v>
      </c>
      <c r="AO3221" s="10" t="str">
        <f t="shared" si="363"/>
        <v>y=0.1303*6.46^2+171.81*6.46-89.924</v>
      </c>
      <c r="AP3221" s="10" t="str">
        <f t="shared" si="363"/>
        <v>y=-0.033*6.46^2+178.81*6.46-104.93</v>
      </c>
      <c r="AQ3221" s="10" t="b">
        <f>IF(AND(I3221="TP",S3221&lt;=150),VLOOKUP(AF3221,TPCalibEq150!$AZ$2:$BB$55,3,),IF(AND(I3221="TDP",S3221&lt;=150),VLOOKUP(AF3221,TPCalibEq150!$AZ$2:$BB$55,3,)))</f>
        <v>0</v>
      </c>
      <c r="AR3221" s="10" t="b">
        <f>IF(AND(I3221="TP",S3221&lt;=300),VLOOKUP(AF3221,TPCalibEq300!$AZ$2:$BB$55,3,),IF(AND(I3221="TDP",S3221&lt;=300),VLOOKUP(AF3221,TPCalibEq300!$AZ$2:$BB$55,3,)))</f>
        <v>0</v>
      </c>
      <c r="AS3221" s="10" t="b">
        <f>IF(AND(I3221="TP",S3221&lt;=500),VLOOKUP(AF3221,TPCalibEq500!$AZ$2:$BB$56,3,),IF(AND(I3221="TDP",S3221&lt;=500),VLOOKUP(AF3221,TPCalibEq500!$AZ$2:$BB$56,3,)))</f>
        <v>0</v>
      </c>
      <c r="AT3221" s="10" t="str">
        <f>IF(AND(I3221="TN",S3221&lt;=2800),VLOOKUP(AF3221,TNCalibEq2500!$AZ$2:$BB$56,3,),IF(AND(I3221="TDN",S3221&lt;=2800),VLOOKUP(AF3221,TNCalibEq2500!$AZ$2:$BB$56,3,)))</f>
        <v>y=0.1303x2+171.81x-89.924</v>
      </c>
      <c r="AU3221" s="10" t="str">
        <f>IF(I3221="TP",VLOOKUP(AF3221,TPCalibEqFull!$AZ$2:$BB$56,3),IF(I3221="TDP",VLOOKUP(AF3221,TPCalibEqFull!$AZ$2:$BB$56,3),IF(I3221="TDN",VLOOKUP(AF3221,TNCalibEqFull!$AZ$1:$BB$56,3),IF(I3221="TN",VLOOKUP(AF3221,TNCalibEqFull!$AZ$1:$BB$56,3),FALSE))))</f>
        <v>y=-0.033x2+178.81x-104.93</v>
      </c>
      <c r="AV3221" s="10" t="str">
        <f t="shared" si="368"/>
        <v>0213 10:16:00-506-0-C-1-SW-UKN</v>
      </c>
    </row>
    <row r="3222" spans="1:48" s="10" customFormat="1" x14ac:dyDescent="0.55000000000000004">
      <c r="A3222" s="32">
        <v>44970</v>
      </c>
      <c r="B3222" s="33">
        <v>0.43402777777777773</v>
      </c>
      <c r="C3222" s="10" t="s">
        <v>1104</v>
      </c>
      <c r="D3222" s="10">
        <v>0</v>
      </c>
      <c r="E3222" s="10" t="s">
        <v>190</v>
      </c>
      <c r="F3222" s="10">
        <v>1</v>
      </c>
      <c r="G3222" s="10" t="s">
        <v>231</v>
      </c>
      <c r="H3222" s="10" t="s">
        <v>322</v>
      </c>
      <c r="I3222" s="10" t="s">
        <v>235</v>
      </c>
      <c r="J3222" s="10">
        <v>16</v>
      </c>
      <c r="K3222" s="12">
        <v>44973</v>
      </c>
      <c r="L3222" s="33">
        <v>0.47341435185185188</v>
      </c>
      <c r="M3222" s="10">
        <v>1</v>
      </c>
      <c r="N3222" s="10" t="s">
        <v>196</v>
      </c>
      <c r="O3222" s="10">
        <v>7.15</v>
      </c>
      <c r="P3222" s="10">
        <v>0.34599999999999997</v>
      </c>
      <c r="Q3222" s="10">
        <v>1170</v>
      </c>
      <c r="R3222" s="10" t="s">
        <v>170</v>
      </c>
      <c r="S3222" s="34">
        <f t="shared" si="365"/>
        <v>1171.8744575000001</v>
      </c>
      <c r="T3222" s="10" t="s">
        <v>1229</v>
      </c>
      <c r="U3222" s="34" t="str">
        <f t="shared" si="366"/>
        <v/>
      </c>
      <c r="V3222" s="31" t="str">
        <f>IF(H3222="CHK",VLOOKUP(I3222,QCCHK,3,),IF(H3222="GUP",VLOOKUP(E3222,QCGUP,2,),IF(AND(H3222="ATP",OR(I3222="TN",I3222="TDN",I3222="TNO2-3",I3222="NO2-3")),VLOOKUP(E3222,QCREC_N,2,),IF(AND(H3222="NIC",OR(I3222="TN",I3222="TDN",I3222="TNO2-3",I3222="NO2-3")),VLOOKUP(E3222,QCNIC_N,2,),IF(AND(H3222="UREA",OR(I3222="TN",I3222="TDN",I3222="TNO2-3",I3222="NO2-3")),VLOOKUP(E3222,QCUREA_N,2,),IF(H3222="PER",VLOOKUP(I3222,QCPER,MATCH(E3222,QCACTUAL!$J$25:$AA$25,0),),IF(H3222="SPK",VLOOKUP(I3222,QCSPK,3,),IF(AND(H3222="ATP",OR(I3222="TP",I3222="TDP")),VLOOKUP(E3222,QCATP_P,2,),""))))))))</f>
        <v/>
      </c>
      <c r="W3222" s="31" t="str">
        <f t="shared" si="367"/>
        <v>TRUE</v>
      </c>
      <c r="X3222" s="31" t="str">
        <f t="shared" si="364"/>
        <v/>
      </c>
      <c r="Y3222" s="10" t="s">
        <v>1222</v>
      </c>
      <c r="Z3222" s="10" t="s">
        <v>910</v>
      </c>
      <c r="AF3222" s="12">
        <v>44973</v>
      </c>
      <c r="AJ3222" s="10">
        <f>0.1303*7.15^2+171.81*7.15-89.924</f>
        <v>1145.1787617500001</v>
      </c>
      <c r="AK3222" s="10">
        <f>-0.033*7.15^2+178.81*7.15-104.93</f>
        <v>1171.8744575000001</v>
      </c>
      <c r="AL3222" s="10" t="str">
        <f t="shared" si="362"/>
        <v>FALSE</v>
      </c>
      <c r="AM3222" s="10" t="str">
        <f t="shared" si="362"/>
        <v>FALSE</v>
      </c>
      <c r="AN3222" s="10" t="str">
        <f t="shared" si="362"/>
        <v>FALSE</v>
      </c>
      <c r="AO3222" s="10" t="str">
        <f t="shared" si="363"/>
        <v>y=0.1303*7.15^2+171.81*7.15-89.924</v>
      </c>
      <c r="AP3222" s="10" t="str">
        <f t="shared" si="363"/>
        <v>y=-0.033*7.15^2+178.81*7.15-104.93</v>
      </c>
      <c r="AQ3222" s="10" t="b">
        <f>IF(AND(I3222="TP",S3222&lt;=150),VLOOKUP(AF3222,TPCalibEq150!$AZ$2:$BB$55,3,),IF(AND(I3222="TDP",S3222&lt;=150),VLOOKUP(AF3222,TPCalibEq150!$AZ$2:$BB$55,3,)))</f>
        <v>0</v>
      </c>
      <c r="AR3222" s="10" t="b">
        <f>IF(AND(I3222="TP",S3222&lt;=300),VLOOKUP(AF3222,TPCalibEq300!$AZ$2:$BB$55,3,),IF(AND(I3222="TDP",S3222&lt;=300),VLOOKUP(AF3222,TPCalibEq300!$AZ$2:$BB$55,3,)))</f>
        <v>0</v>
      </c>
      <c r="AS3222" s="10" t="b">
        <f>IF(AND(I3222="TP",S3222&lt;=500),VLOOKUP(AF3222,TPCalibEq500!$AZ$2:$BB$56,3,),IF(AND(I3222="TDP",S3222&lt;=500),VLOOKUP(AF3222,TPCalibEq500!$AZ$2:$BB$56,3,)))</f>
        <v>0</v>
      </c>
      <c r="AT3222" s="10" t="str">
        <f>IF(AND(I3222="TN",S3222&lt;=2800),VLOOKUP(AF3222,TNCalibEq2500!$AZ$2:$BB$56,3,),IF(AND(I3222="TDN",S3222&lt;=2800),VLOOKUP(AF3222,TNCalibEq2500!$AZ$2:$BB$56,3,)))</f>
        <v>y=0.1303x2+171.81x-89.924</v>
      </c>
      <c r="AU3222" s="10" t="str">
        <f>IF(I3222="TP",VLOOKUP(AF3222,TPCalibEqFull!$AZ$2:$BB$56,3),IF(I3222="TDP",VLOOKUP(AF3222,TPCalibEqFull!$AZ$2:$BB$56,3),IF(I3222="TDN",VLOOKUP(AF3222,TNCalibEqFull!$AZ$1:$BB$56,3),IF(I3222="TN",VLOOKUP(AF3222,TNCalibEqFull!$AZ$1:$BB$56,3),FALSE))))</f>
        <v>y=-0.033x2+178.81x-104.93</v>
      </c>
      <c r="AV3222" s="10" t="str">
        <f t="shared" si="368"/>
        <v>0213 10:25:00-LBW-0-C-1-SW-UKN</v>
      </c>
    </row>
    <row r="3223" spans="1:48" s="10" customFormat="1" x14ac:dyDescent="0.55000000000000004">
      <c r="A3223" s="32">
        <v>44970</v>
      </c>
      <c r="B3223" s="33">
        <v>0.45208333333333334</v>
      </c>
      <c r="C3223" s="10" t="s">
        <v>537</v>
      </c>
      <c r="D3223" s="10">
        <v>0</v>
      </c>
      <c r="E3223" s="10" t="s">
        <v>190</v>
      </c>
      <c r="F3223" s="10">
        <v>1</v>
      </c>
      <c r="G3223" s="10" t="s">
        <v>231</v>
      </c>
      <c r="H3223" s="10" t="s">
        <v>322</v>
      </c>
      <c r="I3223" s="10" t="s">
        <v>235</v>
      </c>
      <c r="J3223" s="10">
        <v>17</v>
      </c>
      <c r="K3223" s="12">
        <v>44973</v>
      </c>
      <c r="L3223" s="33">
        <v>0.47409722222222223</v>
      </c>
      <c r="M3223" s="10">
        <v>1</v>
      </c>
      <c r="N3223" s="10" t="s">
        <v>196</v>
      </c>
      <c r="O3223" s="10">
        <v>2.16</v>
      </c>
      <c r="P3223" s="10">
        <v>0.104</v>
      </c>
      <c r="Q3223" s="10">
        <v>281</v>
      </c>
      <c r="R3223" s="10" t="s">
        <v>170</v>
      </c>
      <c r="S3223" s="34">
        <f t="shared" si="365"/>
        <v>281.79352768000001</v>
      </c>
      <c r="T3223" s="10" t="s">
        <v>1229</v>
      </c>
      <c r="U3223" s="34" t="str">
        <f t="shared" si="366"/>
        <v/>
      </c>
      <c r="V3223" s="31" t="str">
        <f>IF(H3223="CHK",VLOOKUP(I3223,QCCHK,3,),IF(H3223="GUP",VLOOKUP(E3223,QCGUP,2,),IF(AND(H3223="ATP",OR(I3223="TN",I3223="TDN",I3223="TNO2-3",I3223="NO2-3")),VLOOKUP(E3223,QCREC_N,2,),IF(AND(H3223="NIC",OR(I3223="TN",I3223="TDN",I3223="TNO2-3",I3223="NO2-3")),VLOOKUP(E3223,QCNIC_N,2,),IF(AND(H3223="UREA",OR(I3223="TN",I3223="TDN",I3223="TNO2-3",I3223="NO2-3")),VLOOKUP(E3223,QCUREA_N,2,),IF(H3223="PER",VLOOKUP(I3223,QCPER,MATCH(E3223,QCACTUAL!$J$25:$AA$25,0),),IF(H3223="SPK",VLOOKUP(I3223,QCSPK,3,),IF(AND(H3223="ATP",OR(I3223="TP",I3223="TDP")),VLOOKUP(E3223,QCATP_P,2,),""))))))))</f>
        <v/>
      </c>
      <c r="W3223" s="31" t="str">
        <f t="shared" si="367"/>
        <v>TRUE</v>
      </c>
      <c r="X3223" s="31" t="str">
        <f t="shared" si="364"/>
        <v/>
      </c>
      <c r="Y3223" s="10" t="s">
        <v>1222</v>
      </c>
      <c r="Z3223" s="10" t="s">
        <v>910</v>
      </c>
      <c r="AF3223" s="12">
        <v>44973</v>
      </c>
      <c r="AJ3223" s="10">
        <f>0.1303*2.16^2+171.81*2.16-89.924</f>
        <v>281.79352768000001</v>
      </c>
      <c r="AK3223" s="10">
        <f>-0.033*2.16^2+178.81*2.16-104.93</f>
        <v>281.14563520000002</v>
      </c>
      <c r="AL3223" s="10" t="str">
        <f t="shared" si="362"/>
        <v>FALSE</v>
      </c>
      <c r="AM3223" s="10" t="str">
        <f t="shared" si="362"/>
        <v>FALSE</v>
      </c>
      <c r="AN3223" s="10" t="str">
        <f t="shared" si="362"/>
        <v>FALSE</v>
      </c>
      <c r="AO3223" s="10" t="str">
        <f t="shared" si="363"/>
        <v>y=0.1303*2.16^2+171.81*2.16-89.924</v>
      </c>
      <c r="AP3223" s="10" t="str">
        <f t="shared" si="363"/>
        <v>y=-0.033*2.16^2+178.81*2.16-104.93</v>
      </c>
      <c r="AQ3223" s="10" t="b">
        <f>IF(AND(I3223="TP",S3223&lt;=150),VLOOKUP(AF3223,TPCalibEq150!$AZ$2:$BB$55,3,),IF(AND(I3223="TDP",S3223&lt;=150),VLOOKUP(AF3223,TPCalibEq150!$AZ$2:$BB$55,3,)))</f>
        <v>0</v>
      </c>
      <c r="AR3223" s="10" t="b">
        <f>IF(AND(I3223="TP",S3223&lt;=300),VLOOKUP(AF3223,TPCalibEq300!$AZ$2:$BB$55,3,),IF(AND(I3223="TDP",S3223&lt;=300),VLOOKUP(AF3223,TPCalibEq300!$AZ$2:$BB$55,3,)))</f>
        <v>0</v>
      </c>
      <c r="AS3223" s="10" t="b">
        <f>IF(AND(I3223="TP",S3223&lt;=500),VLOOKUP(AF3223,TPCalibEq500!$AZ$2:$BB$56,3,),IF(AND(I3223="TDP",S3223&lt;=500),VLOOKUP(AF3223,TPCalibEq500!$AZ$2:$BB$56,3,)))</f>
        <v>0</v>
      </c>
      <c r="AT3223" s="10" t="str">
        <f>IF(AND(I3223="TN",S3223&lt;=2800),VLOOKUP(AF3223,TNCalibEq2500!$AZ$2:$BB$56,3,),IF(AND(I3223="TDN",S3223&lt;=2800),VLOOKUP(AF3223,TNCalibEq2500!$AZ$2:$BB$56,3,)))</f>
        <v>y=0.1303x2+171.81x-89.924</v>
      </c>
      <c r="AU3223" s="10" t="str">
        <f>IF(I3223="TP",VLOOKUP(AF3223,TPCalibEqFull!$AZ$2:$BB$56,3),IF(I3223="TDP",VLOOKUP(AF3223,TPCalibEqFull!$AZ$2:$BB$56,3),IF(I3223="TDN",VLOOKUP(AF3223,TNCalibEqFull!$AZ$1:$BB$56,3),IF(I3223="TN",VLOOKUP(AF3223,TNCalibEqFull!$AZ$1:$BB$56,3),FALSE))))</f>
        <v>y=-0.033x2+178.81x-104.93</v>
      </c>
      <c r="AV3223" s="10" t="str">
        <f t="shared" si="368"/>
        <v>0213 10:51:00-S51-0-C-1-SW-UKN</v>
      </c>
    </row>
    <row r="3224" spans="1:48" s="10" customFormat="1" x14ac:dyDescent="0.55000000000000004">
      <c r="A3224" s="32">
        <v>44970</v>
      </c>
      <c r="B3224" s="33">
        <v>0.45833333333333331</v>
      </c>
      <c r="C3224" s="10">
        <v>890</v>
      </c>
      <c r="D3224" s="10">
        <v>0</v>
      </c>
      <c r="E3224" s="10" t="s">
        <v>190</v>
      </c>
      <c r="F3224" s="10">
        <v>1</v>
      </c>
      <c r="G3224" s="10" t="s">
        <v>231</v>
      </c>
      <c r="H3224" s="10" t="s">
        <v>322</v>
      </c>
      <c r="I3224" s="10" t="s">
        <v>235</v>
      </c>
      <c r="J3224" s="10">
        <v>18</v>
      </c>
      <c r="K3224" s="12">
        <v>44973</v>
      </c>
      <c r="L3224" s="33">
        <v>0.47476851851851848</v>
      </c>
      <c r="M3224" s="10">
        <v>1</v>
      </c>
      <c r="N3224" s="10" t="s">
        <v>196</v>
      </c>
      <c r="O3224" s="10">
        <v>3.12</v>
      </c>
      <c r="P3224" s="10">
        <v>0.151</v>
      </c>
      <c r="Q3224" s="10">
        <v>453</v>
      </c>
      <c r="R3224" s="10" t="s">
        <v>170</v>
      </c>
      <c r="S3224" s="34">
        <f t="shared" si="365"/>
        <v>453</v>
      </c>
      <c r="T3224" s="10" t="s">
        <v>1229</v>
      </c>
      <c r="U3224" s="34" t="str">
        <f t="shared" si="366"/>
        <v/>
      </c>
      <c r="V3224" s="31" t="str">
        <f>IF(H3224="CHK",VLOOKUP(I3224,QCCHK,3,),IF(H3224="GUP",VLOOKUP(E3224,QCGUP,2,),IF(AND(H3224="ATP",OR(I3224="TN",I3224="TDN",I3224="TNO2-3",I3224="NO2-3")),VLOOKUP(E3224,QCREC_N,2,),IF(AND(H3224="NIC",OR(I3224="TN",I3224="TDN",I3224="TNO2-3",I3224="NO2-3")),VLOOKUP(E3224,QCNIC_N,2,),IF(AND(H3224="UREA",OR(I3224="TN",I3224="TDN",I3224="TNO2-3",I3224="NO2-3")),VLOOKUP(E3224,QCUREA_N,2,),IF(H3224="PER",VLOOKUP(I3224,QCPER,MATCH(E3224,QCACTUAL!$J$25:$AA$25,0),),IF(H3224="SPK",VLOOKUP(I3224,QCSPK,3,),IF(AND(H3224="ATP",OR(I3224="TP",I3224="TDP")),VLOOKUP(E3224,QCATP_P,2,),""))))))))</f>
        <v/>
      </c>
      <c r="W3224" s="31" t="str">
        <f t="shared" si="367"/>
        <v>TRUE</v>
      </c>
      <c r="X3224" s="31" t="str">
        <f t="shared" si="364"/>
        <v/>
      </c>
      <c r="Y3224" s="10" t="s">
        <v>1222</v>
      </c>
      <c r="Z3224" s="10" t="s">
        <v>910</v>
      </c>
      <c r="AF3224" s="12">
        <v>44973</v>
      </c>
      <c r="AJ3224" s="10">
        <f>0.1303*3.12^2+171.81*3.12-89.924</f>
        <v>447.39159231999997</v>
      </c>
      <c r="AK3224" s="10">
        <f>-0.033*3.12^2+178.81*3.12-104.93</f>
        <v>452.63596479999995</v>
      </c>
      <c r="AL3224" s="10" t="str">
        <f t="shared" si="362"/>
        <v>FALSE</v>
      </c>
      <c r="AM3224" s="10" t="str">
        <f t="shared" si="362"/>
        <v>FALSE</v>
      </c>
      <c r="AN3224" s="10" t="str">
        <f t="shared" si="362"/>
        <v>FALSE</v>
      </c>
      <c r="AO3224" s="10" t="str">
        <f t="shared" si="363"/>
        <v>y=0.1303*3.12^2+171.81*3.12-89.924</v>
      </c>
      <c r="AP3224" s="10" t="str">
        <f t="shared" si="363"/>
        <v>y=-0.033*3.12^2+178.81*3.12-104.93</v>
      </c>
      <c r="AQ3224" s="10" t="b">
        <f>IF(AND(I3224="TP",S3224&lt;=150),VLOOKUP(AF3224,TPCalibEq150!$AZ$2:$BB$55,3,),IF(AND(I3224="TDP",S3224&lt;=150),VLOOKUP(AF3224,TPCalibEq150!$AZ$2:$BB$55,3,)))</f>
        <v>0</v>
      </c>
      <c r="AR3224" s="10" t="b">
        <f>IF(AND(I3224="TP",S3224&lt;=300),VLOOKUP(AF3224,TPCalibEq300!$AZ$2:$BB$55,3,),IF(AND(I3224="TDP",S3224&lt;=300),VLOOKUP(AF3224,TPCalibEq300!$AZ$2:$BB$55,3,)))</f>
        <v>0</v>
      </c>
      <c r="AS3224" s="10" t="b">
        <f>IF(AND(I3224="TP",S3224&lt;=500),VLOOKUP(AF3224,TPCalibEq500!$AZ$2:$BB$56,3,),IF(AND(I3224="TDP",S3224&lt;=500),VLOOKUP(AF3224,TPCalibEq500!$AZ$2:$BB$56,3,)))</f>
        <v>0</v>
      </c>
      <c r="AT3224" s="10" t="str">
        <f>IF(AND(I3224="TN",S3224&lt;=2800),VLOOKUP(AF3224,TNCalibEq2500!$AZ$2:$BB$56,3,),IF(AND(I3224="TDN",S3224&lt;=2800),VLOOKUP(AF3224,TNCalibEq2500!$AZ$2:$BB$56,3,)))</f>
        <v>y=0.1303x2+171.81x-89.924</v>
      </c>
      <c r="AU3224" s="10" t="str">
        <f>IF(I3224="TP",VLOOKUP(AF3224,TPCalibEqFull!$AZ$2:$BB$56,3),IF(I3224="TDP",VLOOKUP(AF3224,TPCalibEqFull!$AZ$2:$BB$56,3),IF(I3224="TDN",VLOOKUP(AF3224,TNCalibEqFull!$AZ$1:$BB$56,3),IF(I3224="TN",VLOOKUP(AF3224,TNCalibEqFull!$AZ$1:$BB$56,3),FALSE))))</f>
        <v>y=-0.033x2+178.81x-104.93</v>
      </c>
      <c r="AV3224" s="10" t="str">
        <f t="shared" si="368"/>
        <v>0213 11:00:00-890-0-C-1-SW-UKN</v>
      </c>
    </row>
    <row r="3225" spans="1:48" s="10" customFormat="1" x14ac:dyDescent="0.55000000000000004">
      <c r="A3225" s="32">
        <v>44970</v>
      </c>
      <c r="B3225" s="33">
        <v>0.47083333333333338</v>
      </c>
      <c r="C3225" s="10" t="s">
        <v>437</v>
      </c>
      <c r="D3225" s="10">
        <v>0</v>
      </c>
      <c r="E3225" s="10" t="s">
        <v>190</v>
      </c>
      <c r="F3225" s="10">
        <v>1</v>
      </c>
      <c r="G3225" s="10" t="s">
        <v>231</v>
      </c>
      <c r="H3225" s="10" t="s">
        <v>322</v>
      </c>
      <c r="I3225" s="10" t="s">
        <v>235</v>
      </c>
      <c r="J3225" s="10">
        <v>19</v>
      </c>
      <c r="K3225" s="12">
        <v>44973</v>
      </c>
      <c r="L3225" s="33">
        <v>0.47542824074074069</v>
      </c>
      <c r="M3225" s="10">
        <v>1</v>
      </c>
      <c r="N3225" s="10" t="s">
        <v>196</v>
      </c>
      <c r="O3225" s="10">
        <v>3.94</v>
      </c>
      <c r="P3225" s="10">
        <v>0.19</v>
      </c>
      <c r="Q3225" s="10">
        <v>598</v>
      </c>
      <c r="R3225" s="10" t="s">
        <v>170</v>
      </c>
      <c r="S3225" s="34">
        <f t="shared" si="365"/>
        <v>599.06912119999993</v>
      </c>
      <c r="T3225" s="10" t="s">
        <v>1229</v>
      </c>
      <c r="U3225" s="34" t="str">
        <f t="shared" si="366"/>
        <v/>
      </c>
      <c r="V3225" s="31" t="str">
        <f>IF(H3225="CHK",VLOOKUP(I3225,QCCHK,3,),IF(H3225="GUP",VLOOKUP(E3225,QCGUP,2,),IF(AND(H3225="ATP",OR(I3225="TN",I3225="TDN",I3225="TNO2-3",I3225="NO2-3")),VLOOKUP(E3225,QCREC_N,2,),IF(AND(H3225="NIC",OR(I3225="TN",I3225="TDN",I3225="TNO2-3",I3225="NO2-3")),VLOOKUP(E3225,QCNIC_N,2,),IF(AND(H3225="UREA",OR(I3225="TN",I3225="TDN",I3225="TNO2-3",I3225="NO2-3")),VLOOKUP(E3225,QCUREA_N,2,),IF(H3225="PER",VLOOKUP(I3225,QCPER,MATCH(E3225,QCACTUAL!$J$25:$AA$25,0),),IF(H3225="SPK",VLOOKUP(I3225,QCSPK,3,),IF(AND(H3225="ATP",OR(I3225="TP",I3225="TDP")),VLOOKUP(E3225,QCATP_P,2,),""))))))))</f>
        <v/>
      </c>
      <c r="W3225" s="31" t="str">
        <f t="shared" si="367"/>
        <v>TRUE</v>
      </c>
      <c r="X3225" s="31" t="str">
        <f t="shared" si="364"/>
        <v/>
      </c>
      <c r="Y3225" s="10" t="s">
        <v>1222</v>
      </c>
      <c r="Z3225" s="10" t="s">
        <v>910</v>
      </c>
      <c r="AF3225" s="12">
        <v>44973</v>
      </c>
      <c r="AJ3225" s="10">
        <f>0.1303*3.94^2+171.81*3.94-89.924</f>
        <v>589.03012508000006</v>
      </c>
      <c r="AK3225" s="10">
        <f>-0.033*3.94^2+178.81*3.94-104.93</f>
        <v>599.06912119999993</v>
      </c>
      <c r="AL3225" s="10" t="str">
        <f t="shared" si="362"/>
        <v>FALSE</v>
      </c>
      <c r="AM3225" s="10" t="str">
        <f t="shared" si="362"/>
        <v>FALSE</v>
      </c>
      <c r="AN3225" s="10" t="str">
        <f t="shared" si="362"/>
        <v>FALSE</v>
      </c>
      <c r="AO3225" s="10" t="str">
        <f t="shared" si="363"/>
        <v>y=0.1303*3.94^2+171.81*3.94-89.924</v>
      </c>
      <c r="AP3225" s="10" t="str">
        <f t="shared" si="363"/>
        <v>y=-0.033*3.94^2+178.81*3.94-104.93</v>
      </c>
      <c r="AQ3225" s="10" t="b">
        <f>IF(AND(I3225="TP",S3225&lt;=150),VLOOKUP(AF3225,TPCalibEq150!$AZ$2:$BB$55,3,),IF(AND(I3225="TDP",S3225&lt;=150),VLOOKUP(AF3225,TPCalibEq150!$AZ$2:$BB$55,3,)))</f>
        <v>0</v>
      </c>
      <c r="AR3225" s="10" t="b">
        <f>IF(AND(I3225="TP",S3225&lt;=300),VLOOKUP(AF3225,TPCalibEq300!$AZ$2:$BB$55,3,),IF(AND(I3225="TDP",S3225&lt;=300),VLOOKUP(AF3225,TPCalibEq300!$AZ$2:$BB$55,3,)))</f>
        <v>0</v>
      </c>
      <c r="AS3225" s="10" t="b">
        <f>IF(AND(I3225="TP",S3225&lt;=500),VLOOKUP(AF3225,TPCalibEq500!$AZ$2:$BB$56,3,),IF(AND(I3225="TDP",S3225&lt;=500),VLOOKUP(AF3225,TPCalibEq500!$AZ$2:$BB$56,3,)))</f>
        <v>0</v>
      </c>
      <c r="AT3225" s="10" t="str">
        <f>IF(AND(I3225="TN",S3225&lt;=2800),VLOOKUP(AF3225,TNCalibEq2500!$AZ$2:$BB$56,3,),IF(AND(I3225="TDN",S3225&lt;=2800),VLOOKUP(AF3225,TNCalibEq2500!$AZ$2:$BB$56,3,)))</f>
        <v>y=0.1303x2+171.81x-89.924</v>
      </c>
      <c r="AU3225" s="10" t="str">
        <f>IF(I3225="TP",VLOOKUP(AF3225,TPCalibEqFull!$AZ$2:$BB$56,3),IF(I3225="TDP",VLOOKUP(AF3225,TPCalibEqFull!$AZ$2:$BB$56,3),IF(I3225="TDN",VLOOKUP(AF3225,TNCalibEqFull!$AZ$1:$BB$56,3),IF(I3225="TN",VLOOKUP(AF3225,TNCalibEqFull!$AZ$1:$BB$56,3),FALSE))))</f>
        <v>y=-0.033x2+178.81x-104.93</v>
      </c>
      <c r="AV3225" s="10" t="str">
        <f t="shared" si="368"/>
        <v>0213 11:18:00-FVM-0-C-1-SW-UKN</v>
      </c>
    </row>
    <row r="3226" spans="1:48" s="10" customFormat="1" x14ac:dyDescent="0.55000000000000004">
      <c r="A3226" s="32">
        <v>44970</v>
      </c>
      <c r="B3226" s="33">
        <v>0.47083333333333338</v>
      </c>
      <c r="C3226" s="10" t="s">
        <v>437</v>
      </c>
      <c r="D3226" s="10">
        <v>0</v>
      </c>
      <c r="E3226" s="10" t="s">
        <v>190</v>
      </c>
      <c r="F3226" s="10">
        <v>2</v>
      </c>
      <c r="G3226" s="10" t="s">
        <v>231</v>
      </c>
      <c r="H3226" s="10" t="s">
        <v>322</v>
      </c>
      <c r="I3226" s="10" t="s">
        <v>235</v>
      </c>
      <c r="J3226" s="10">
        <v>20</v>
      </c>
      <c r="K3226" s="12">
        <v>44973</v>
      </c>
      <c r="L3226" s="33">
        <v>0.4761111111111111</v>
      </c>
      <c r="M3226" s="10">
        <v>1</v>
      </c>
      <c r="N3226" s="10" t="s">
        <v>196</v>
      </c>
      <c r="O3226" s="10">
        <v>3.86</v>
      </c>
      <c r="P3226" s="10">
        <v>0.186</v>
      </c>
      <c r="Q3226" s="10">
        <v>584</v>
      </c>
      <c r="R3226" s="10" t="s">
        <v>170</v>
      </c>
      <c r="S3226" s="34">
        <f t="shared" si="365"/>
        <v>584.78491319999989</v>
      </c>
      <c r="T3226" s="10" t="s">
        <v>1229</v>
      </c>
      <c r="U3226" s="34" t="str">
        <f t="shared" si="366"/>
        <v/>
      </c>
      <c r="V3226" s="31" t="str">
        <f>IF(H3226="CHK",VLOOKUP(I3226,QCCHK,3,),IF(H3226="GUP",VLOOKUP(E3226,QCGUP,2,),IF(AND(H3226="ATP",OR(I3226="TN",I3226="TDN",I3226="TNO2-3",I3226="NO2-3")),VLOOKUP(E3226,QCREC_N,2,),IF(AND(H3226="NIC",OR(I3226="TN",I3226="TDN",I3226="TNO2-3",I3226="NO2-3")),VLOOKUP(E3226,QCNIC_N,2,),IF(AND(H3226="UREA",OR(I3226="TN",I3226="TDN",I3226="TNO2-3",I3226="NO2-3")),VLOOKUP(E3226,QCUREA_N,2,),IF(H3226="PER",VLOOKUP(I3226,QCPER,MATCH(E3226,QCACTUAL!$J$25:$AA$25,0),),IF(H3226="SPK",VLOOKUP(I3226,QCSPK,3,),IF(AND(H3226="ATP",OR(I3226="TP",I3226="TDP")),VLOOKUP(E3226,QCATP_P,2,),""))))))))</f>
        <v/>
      </c>
      <c r="W3226" s="31" t="str">
        <f t="shared" si="367"/>
        <v>TRUE</v>
      </c>
      <c r="X3226" s="31" t="str">
        <f t="shared" si="364"/>
        <v/>
      </c>
      <c r="Y3226" s="10" t="s">
        <v>1222</v>
      </c>
      <c r="Z3226" s="10" t="s">
        <v>910</v>
      </c>
      <c r="AF3226" s="12">
        <v>44973</v>
      </c>
      <c r="AJ3226" s="10">
        <f>0.1303*3.86^2+171.81*3.86-89.924</f>
        <v>575.20401788000004</v>
      </c>
      <c r="AK3226" s="10">
        <f>-0.033*3.86^2+178.81*3.86-104.93</f>
        <v>584.78491319999989</v>
      </c>
      <c r="AL3226" s="10" t="str">
        <f t="shared" si="362"/>
        <v>FALSE</v>
      </c>
      <c r="AM3226" s="10" t="str">
        <f t="shared" si="362"/>
        <v>FALSE</v>
      </c>
      <c r="AN3226" s="10" t="str">
        <f t="shared" si="362"/>
        <v>FALSE</v>
      </c>
      <c r="AO3226" s="10" t="str">
        <f t="shared" si="363"/>
        <v>y=0.1303*3.86^2+171.81*3.86-89.924</v>
      </c>
      <c r="AP3226" s="10" t="str">
        <f t="shared" si="363"/>
        <v>y=-0.033*3.86^2+178.81*3.86-104.93</v>
      </c>
      <c r="AQ3226" s="10" t="b">
        <f>IF(AND(I3226="TP",S3226&lt;=150),VLOOKUP(AF3226,TPCalibEq150!$AZ$2:$BB$55,3,),IF(AND(I3226="TDP",S3226&lt;=150),VLOOKUP(AF3226,TPCalibEq150!$AZ$2:$BB$55,3,)))</f>
        <v>0</v>
      </c>
      <c r="AR3226" s="10" t="b">
        <f>IF(AND(I3226="TP",S3226&lt;=300),VLOOKUP(AF3226,TPCalibEq300!$AZ$2:$BB$55,3,),IF(AND(I3226="TDP",S3226&lt;=300),VLOOKUP(AF3226,TPCalibEq300!$AZ$2:$BB$55,3,)))</f>
        <v>0</v>
      </c>
      <c r="AS3226" s="10" t="b">
        <f>IF(AND(I3226="TP",S3226&lt;=500),VLOOKUP(AF3226,TPCalibEq500!$AZ$2:$BB$56,3,),IF(AND(I3226="TDP",S3226&lt;=500),VLOOKUP(AF3226,TPCalibEq500!$AZ$2:$BB$56,3,)))</f>
        <v>0</v>
      </c>
      <c r="AT3226" s="10" t="str">
        <f>IF(AND(I3226="TN",S3226&lt;=2800),VLOOKUP(AF3226,TNCalibEq2500!$AZ$2:$BB$56,3,),IF(AND(I3226="TDN",S3226&lt;=2800),VLOOKUP(AF3226,TNCalibEq2500!$AZ$2:$BB$56,3,)))</f>
        <v>y=0.1303x2+171.81x-89.924</v>
      </c>
      <c r="AU3226" s="10" t="str">
        <f>IF(I3226="TP",VLOOKUP(AF3226,TPCalibEqFull!$AZ$2:$BB$56,3),IF(I3226="TDP",VLOOKUP(AF3226,TPCalibEqFull!$AZ$2:$BB$56,3),IF(I3226="TDN",VLOOKUP(AF3226,TNCalibEqFull!$AZ$1:$BB$56,3),IF(I3226="TN",VLOOKUP(AF3226,TNCalibEqFull!$AZ$1:$BB$56,3),FALSE))))</f>
        <v>y=-0.033x2+178.81x-104.93</v>
      </c>
      <c r="AV3226" s="10" t="str">
        <f t="shared" si="368"/>
        <v>0213 11:18:00-FVM-0-C-2-SW-UKN</v>
      </c>
    </row>
    <row r="3227" spans="1:48" s="10" customFormat="1" x14ac:dyDescent="0.55000000000000004">
      <c r="A3227" s="32">
        <v>44970</v>
      </c>
      <c r="B3227" s="33">
        <v>0.47083333333333338</v>
      </c>
      <c r="C3227" s="10" t="s">
        <v>437</v>
      </c>
      <c r="D3227" s="10">
        <v>0</v>
      </c>
      <c r="E3227" s="10" t="s">
        <v>190</v>
      </c>
      <c r="F3227" s="10">
        <v>2</v>
      </c>
      <c r="G3227" s="10" t="s">
        <v>231</v>
      </c>
      <c r="H3227" s="10" t="s">
        <v>233</v>
      </c>
      <c r="I3227" s="10" t="s">
        <v>235</v>
      </c>
      <c r="J3227" s="10">
        <v>20</v>
      </c>
      <c r="K3227" s="12">
        <v>44973</v>
      </c>
      <c r="L3227" s="33">
        <v>0.4767824074074074</v>
      </c>
      <c r="M3227" s="10">
        <v>1</v>
      </c>
      <c r="N3227" s="10" t="s">
        <v>196</v>
      </c>
      <c r="O3227" s="10">
        <v>3.83</v>
      </c>
      <c r="P3227" s="10">
        <v>0.187</v>
      </c>
      <c r="Q3227" s="10">
        <v>579</v>
      </c>
      <c r="R3227" s="10" t="s">
        <v>170</v>
      </c>
      <c r="S3227" s="34">
        <f t="shared" si="365"/>
        <v>579.42822630000001</v>
      </c>
      <c r="T3227" s="10" t="s">
        <v>1229</v>
      </c>
      <c r="U3227" s="34">
        <f t="shared" si="366"/>
        <v>0.92022443627469241</v>
      </c>
      <c r="V3227" s="31" t="str">
        <f>IF(H3227="CHK",VLOOKUP(I3227,QCCHK,3,),IF(H3227="GUP",VLOOKUP(E3227,QCGUP,2,),IF(AND(H3227="ATP",OR(I3227="TN",I3227="TDN",I3227="TNO2-3",I3227="NO2-3")),VLOOKUP(E3227,QCREC_N,2,),IF(AND(H3227="NIC",OR(I3227="TN",I3227="TDN",I3227="TNO2-3",I3227="NO2-3")),VLOOKUP(E3227,QCNIC_N,2,),IF(AND(H3227="UREA",OR(I3227="TN",I3227="TDN",I3227="TNO2-3",I3227="NO2-3")),VLOOKUP(E3227,QCUREA_N,2,),IF(H3227="PER",VLOOKUP(I3227,QCPER,MATCH(E3227,QCACTUAL!$J$25:$AA$25,0),),IF(H3227="SPK",VLOOKUP(I3227,QCSPK,3,),IF(AND(H3227="ATP",OR(I3227="TP",I3227="TDP")),VLOOKUP(E3227,QCATP_P,2,),""))))))))</f>
        <v/>
      </c>
      <c r="W3227" s="31" t="str">
        <f t="shared" si="367"/>
        <v>TRUE</v>
      </c>
      <c r="X3227" s="31" t="str">
        <f t="shared" si="364"/>
        <v>((ABS(rep1-rep2))/((rep1+rep2)/2)*100</v>
      </c>
      <c r="Y3227" s="10" t="s">
        <v>1222</v>
      </c>
      <c r="Z3227" s="10" t="s">
        <v>910</v>
      </c>
      <c r="AF3227" s="12">
        <v>44973</v>
      </c>
      <c r="AJ3227" s="10">
        <f>0.1303*3.83^2+171.81*3.83-89.924</f>
        <v>570.01965767000013</v>
      </c>
      <c r="AK3227" s="10">
        <f>-0.033*3.83^2+178.81*3.83-104.93</f>
        <v>579.42822630000001</v>
      </c>
      <c r="AL3227" s="10" t="str">
        <f t="shared" si="362"/>
        <v>FALSE</v>
      </c>
      <c r="AM3227" s="10" t="str">
        <f t="shared" si="362"/>
        <v>FALSE</v>
      </c>
      <c r="AN3227" s="10" t="str">
        <f t="shared" si="362"/>
        <v>FALSE</v>
      </c>
      <c r="AO3227" s="10" t="str">
        <f t="shared" si="363"/>
        <v>y=0.1303*3.83^2+171.81*3.83-89.924</v>
      </c>
      <c r="AP3227" s="10" t="str">
        <f t="shared" si="363"/>
        <v>y=-0.033*3.83^2+178.81*3.83-104.93</v>
      </c>
      <c r="AQ3227" s="10" t="b">
        <f>IF(AND(I3227="TP",S3227&lt;=150),VLOOKUP(AF3227,TPCalibEq150!$AZ$2:$BB$55,3,),IF(AND(I3227="TDP",S3227&lt;=150),VLOOKUP(AF3227,TPCalibEq150!$AZ$2:$BB$55,3,)))</f>
        <v>0</v>
      </c>
      <c r="AR3227" s="10" t="b">
        <f>IF(AND(I3227="TP",S3227&lt;=300),VLOOKUP(AF3227,TPCalibEq300!$AZ$2:$BB$55,3,),IF(AND(I3227="TDP",S3227&lt;=300),VLOOKUP(AF3227,TPCalibEq300!$AZ$2:$BB$55,3,)))</f>
        <v>0</v>
      </c>
      <c r="AS3227" s="10" t="b">
        <f>IF(AND(I3227="TP",S3227&lt;=500),VLOOKUP(AF3227,TPCalibEq500!$AZ$2:$BB$56,3,),IF(AND(I3227="TDP",S3227&lt;=500),VLOOKUP(AF3227,TPCalibEq500!$AZ$2:$BB$56,3,)))</f>
        <v>0</v>
      </c>
      <c r="AT3227" s="10" t="str">
        <f>IF(AND(I3227="TN",S3227&lt;=2800),VLOOKUP(AF3227,TNCalibEq2500!$AZ$2:$BB$56,3,),IF(AND(I3227="TDN",S3227&lt;=2800),VLOOKUP(AF3227,TNCalibEq2500!$AZ$2:$BB$56,3,)))</f>
        <v>y=0.1303x2+171.81x-89.924</v>
      </c>
      <c r="AU3227" s="10" t="str">
        <f>IF(I3227="TP",VLOOKUP(AF3227,TPCalibEqFull!$AZ$2:$BB$56,3),IF(I3227="TDP",VLOOKUP(AF3227,TPCalibEqFull!$AZ$2:$BB$56,3),IF(I3227="TDN",VLOOKUP(AF3227,TNCalibEqFull!$AZ$1:$BB$56,3),IF(I3227="TN",VLOOKUP(AF3227,TNCalibEqFull!$AZ$1:$BB$56,3),FALSE))))</f>
        <v>y=-0.033x2+178.81x-104.93</v>
      </c>
      <c r="AV3227" s="10" t="str">
        <f t="shared" si="368"/>
        <v>0213 11:18:00-FVM-0-C-2-SW-DUP</v>
      </c>
    </row>
    <row r="3228" spans="1:48" s="10" customFormat="1" x14ac:dyDescent="0.55000000000000004">
      <c r="A3228" s="32">
        <v>44970</v>
      </c>
      <c r="B3228" s="33">
        <v>0.47083333333333338</v>
      </c>
      <c r="C3228" s="10" t="s">
        <v>437</v>
      </c>
      <c r="D3228" s="10">
        <v>0</v>
      </c>
      <c r="E3228" s="10" t="s">
        <v>190</v>
      </c>
      <c r="F3228" s="10">
        <v>2</v>
      </c>
      <c r="G3228" s="10" t="s">
        <v>231</v>
      </c>
      <c r="H3228" s="10" t="s">
        <v>314</v>
      </c>
      <c r="I3228" s="10" t="s">
        <v>235</v>
      </c>
      <c r="J3228" s="10">
        <v>50</v>
      </c>
      <c r="K3228" s="12">
        <v>44973</v>
      </c>
      <c r="L3228" s="33">
        <v>0.47745370370370371</v>
      </c>
      <c r="M3228" s="10">
        <v>1</v>
      </c>
      <c r="N3228" s="10" t="s">
        <v>196</v>
      </c>
      <c r="O3228" s="10">
        <v>17.2</v>
      </c>
      <c r="P3228" s="10">
        <v>0.82799999999999996</v>
      </c>
      <c r="Q3228" s="10">
        <v>2950</v>
      </c>
      <c r="R3228" s="10" t="s">
        <v>170</v>
      </c>
      <c r="S3228" s="34">
        <f t="shared" si="365"/>
        <v>2960.8392799999997</v>
      </c>
      <c r="T3228" s="10" t="s">
        <v>1229</v>
      </c>
      <c r="U3228" s="34">
        <f t="shared" si="366"/>
        <v>95.256442147999991</v>
      </c>
      <c r="V3228" s="31">
        <f>IF(H3228="CHK",VLOOKUP(I3228,QCCHK,3,),IF(H3228="GUP",VLOOKUP(E3228,QCGUP,2,),IF(AND(H3228="ATP",OR(I3228="TN",I3228="TDN",I3228="TNO2-3",I3228="NO2-3")),VLOOKUP(E3228,QCREC_N,2,),IF(AND(H3228="NIC",OR(I3228="TN",I3228="TDN",I3228="TNO2-3",I3228="NO2-3")),VLOOKUP(E3228,QCNIC_N,2,),IF(AND(H3228="UREA",OR(I3228="TN",I3228="TDN",I3228="TNO2-3",I3228="NO2-3")),VLOOKUP(E3228,QCUREA_N,2,),IF(H3228="PER",VLOOKUP(I3228,QCPER,MATCH(E3228,QCACTUAL!$J$25:$AA$25,0),),IF(H3228="SPK",VLOOKUP(I3228,QCSPK,3,),IF(AND(H3228="ATP",OR(I3228="TP",I3228="TDP")),VLOOKUP(E3228,QCATP_P,2,),""))))))))</f>
        <v>2500</v>
      </c>
      <c r="W3228" s="31" t="str">
        <f t="shared" si="367"/>
        <v>TRUE</v>
      </c>
      <c r="X3228" s="31" t="str">
        <f t="shared" si="364"/>
        <v>([spikedunkn]-[unkn])/[spike]*100</v>
      </c>
      <c r="Y3228" s="10" t="s">
        <v>1222</v>
      </c>
      <c r="Z3228" s="10" t="s">
        <v>910</v>
      </c>
      <c r="AF3228" s="12">
        <v>44973</v>
      </c>
      <c r="AK3228" s="10">
        <f>-0.033*17.2^2+178.81*17.2-104.93</f>
        <v>2960.8392799999997</v>
      </c>
      <c r="AL3228" s="10" t="str">
        <f t="shared" si="362"/>
        <v>FALSE</v>
      </c>
      <c r="AM3228" s="10" t="str">
        <f t="shared" si="362"/>
        <v>FALSE</v>
      </c>
      <c r="AN3228" s="10" t="str">
        <f t="shared" si="362"/>
        <v>FALSE</v>
      </c>
      <c r="AO3228" s="10" t="str">
        <f t="shared" si="363"/>
        <v>FALSE</v>
      </c>
      <c r="AP3228" s="10" t="str">
        <f t="shared" si="363"/>
        <v>y=-0.033*17.2^2+178.81*17.2-104.93</v>
      </c>
      <c r="AQ3228" s="10" t="b">
        <f>IF(AND(I3228="TP",S3228&lt;=150),VLOOKUP(AF3228,TPCalibEq150!$AZ$2:$BB$55,3,),IF(AND(I3228="TDP",S3228&lt;=150),VLOOKUP(AF3228,TPCalibEq150!$AZ$2:$BB$55,3,)))</f>
        <v>0</v>
      </c>
      <c r="AR3228" s="10" t="b">
        <f>IF(AND(I3228="TP",S3228&lt;=300),VLOOKUP(AF3228,TPCalibEq300!$AZ$2:$BB$55,3,),IF(AND(I3228="TDP",S3228&lt;=300),VLOOKUP(AF3228,TPCalibEq300!$AZ$2:$BB$55,3,)))</f>
        <v>0</v>
      </c>
      <c r="AS3228" s="10" t="b">
        <f>IF(AND(I3228="TP",S3228&lt;=500),VLOOKUP(AF3228,TPCalibEq500!$AZ$2:$BB$56,3,),IF(AND(I3228="TDP",S3228&lt;=500),VLOOKUP(AF3228,TPCalibEq500!$AZ$2:$BB$56,3,)))</f>
        <v>0</v>
      </c>
      <c r="AT3228" s="10" t="b">
        <f>IF(AND(I3228="TN",S3228&lt;=2800),VLOOKUP(AF3228,TNCalibEq2500!$AZ$2:$BB$56,3,),IF(AND(I3228="TDN",S3228&lt;=2800),VLOOKUP(AF3228,TNCalibEq2500!$AZ$2:$BB$56,3,)))</f>
        <v>0</v>
      </c>
      <c r="AU3228" s="10" t="str">
        <f>IF(I3228="TP",VLOOKUP(AF3228,TPCalibEqFull!$AZ$2:$BB$56,3),IF(I3228="TDP",VLOOKUP(AF3228,TPCalibEqFull!$AZ$2:$BB$56,3),IF(I3228="TDN",VLOOKUP(AF3228,TNCalibEqFull!$AZ$1:$BB$56,3),IF(I3228="TN",VLOOKUP(AF3228,TNCalibEqFull!$AZ$1:$BB$56,3),FALSE))))</f>
        <v>y=-0.033x2+178.81x-104.93</v>
      </c>
      <c r="AV3228" s="10" t="str">
        <f t="shared" si="368"/>
        <v>0213 11:18:00-FVM-0-C-2-SW-SPK</v>
      </c>
    </row>
    <row r="3229" spans="1:48" s="10" customFormat="1" x14ac:dyDescent="0.55000000000000004">
      <c r="A3229" s="32">
        <v>44972</v>
      </c>
      <c r="B3229" s="33">
        <v>0.375</v>
      </c>
      <c r="C3229" s="10" t="s">
        <v>70</v>
      </c>
      <c r="D3229" s="10" t="s">
        <v>71</v>
      </c>
      <c r="E3229" s="10" t="s">
        <v>901</v>
      </c>
      <c r="F3229" s="10">
        <v>1</v>
      </c>
      <c r="G3229" s="10" t="s">
        <v>73</v>
      </c>
      <c r="H3229" s="10" t="s">
        <v>207</v>
      </c>
      <c r="I3229" s="10" t="s">
        <v>235</v>
      </c>
      <c r="J3229" s="10">
        <v>199</v>
      </c>
      <c r="K3229" s="12">
        <v>44973</v>
      </c>
      <c r="L3229" s="33">
        <v>0.47812499999999997</v>
      </c>
      <c r="M3229" s="10">
        <v>1</v>
      </c>
      <c r="N3229" s="10" t="s">
        <v>196</v>
      </c>
      <c r="O3229" s="10">
        <v>6.91</v>
      </c>
      <c r="P3229" s="10">
        <v>0.33600000000000002</v>
      </c>
      <c r="Q3229" s="10">
        <v>1130</v>
      </c>
      <c r="R3229" s="10" t="s">
        <v>170</v>
      </c>
      <c r="S3229" s="34">
        <f t="shared" si="365"/>
        <v>1130</v>
      </c>
      <c r="T3229" s="10" t="s">
        <v>1229</v>
      </c>
      <c r="U3229" s="34">
        <f t="shared" si="366"/>
        <v>90.4</v>
      </c>
      <c r="V3229" s="31">
        <f>IF(H3229="CHK",VLOOKUP(I3229,QCCHK,3,),IF(H3229="GUP",VLOOKUP(E3229,QCGUP,2,),IF(AND(H3229="ATP",OR(I3229="TN",I3229="TDN",I3229="TNO2-3",I3229="NO2-3")),VLOOKUP(E3229,QCREC_N,2,),IF(AND(H3229="NIC",OR(I3229="TN",I3229="TDN",I3229="TNO2-3",I3229="NO2-3")),VLOOKUP(E3229,QCNIC_N,2,),IF(AND(H3229="UREA",OR(I3229="TN",I3229="TDN",I3229="TNO2-3",I3229="NO2-3")),VLOOKUP(E3229,QCUREA_N,2,),IF(H3229="PER",VLOOKUP(I3229,QCPER,MATCH(E3229,QCACTUAL!$J$25:$AA$25,0),),IF(H3229="SPK",VLOOKUP(I3229,QCSPK,3,),IF(AND(H3229="ATP",OR(I3229="TP",I3229="TDP")),VLOOKUP(E3229,QCATP_P,2,),""))))))))</f>
        <v>1250</v>
      </c>
      <c r="W3229" s="31" t="str">
        <f t="shared" si="367"/>
        <v>TRUE</v>
      </c>
      <c r="X3229" s="31" t="str">
        <f t="shared" si="364"/>
        <v>[chk]/[actual]*100</v>
      </c>
      <c r="Y3229" s="10" t="s">
        <v>1222</v>
      </c>
      <c r="AF3229" s="12">
        <v>44973</v>
      </c>
      <c r="AJ3229" s="10">
        <f>0.1303*6.91^2+171.81*6.91-89.924</f>
        <v>1103.5046774300001</v>
      </c>
      <c r="AK3229" s="10">
        <f>-0.033*6.91^2+178.81*6.91-104.93</f>
        <v>1129.0714126999999</v>
      </c>
      <c r="AL3229" s="10" t="str">
        <f t="shared" si="362"/>
        <v>FALSE</v>
      </c>
      <c r="AM3229" s="10" t="str">
        <f t="shared" si="362"/>
        <v>FALSE</v>
      </c>
      <c r="AN3229" s="10" t="str">
        <f t="shared" si="362"/>
        <v>FALSE</v>
      </c>
      <c r="AO3229" s="10" t="str">
        <f t="shared" si="363"/>
        <v>y=0.1303*6.91^2+171.81*6.91-89.924</v>
      </c>
      <c r="AP3229" s="10" t="str">
        <f t="shared" si="363"/>
        <v>y=-0.033*6.91^2+178.81*6.91-104.93</v>
      </c>
      <c r="AQ3229" s="10" t="b">
        <f>IF(AND(I3229="TP",S3229&lt;=150),VLOOKUP(AF3229,TPCalibEq150!$AZ$2:$BB$55,3,),IF(AND(I3229="TDP",S3229&lt;=150),VLOOKUP(AF3229,TPCalibEq150!$AZ$2:$BB$55,3,)))</f>
        <v>0</v>
      </c>
      <c r="AR3229" s="10" t="b">
        <f>IF(AND(I3229="TP",S3229&lt;=300),VLOOKUP(AF3229,TPCalibEq300!$AZ$2:$BB$55,3,),IF(AND(I3229="TDP",S3229&lt;=300),VLOOKUP(AF3229,TPCalibEq300!$AZ$2:$BB$55,3,)))</f>
        <v>0</v>
      </c>
      <c r="AS3229" s="10" t="b">
        <f>IF(AND(I3229="TP",S3229&lt;=500),VLOOKUP(AF3229,TPCalibEq500!$AZ$2:$BB$56,3,),IF(AND(I3229="TDP",S3229&lt;=500),VLOOKUP(AF3229,TPCalibEq500!$AZ$2:$BB$56,3,)))</f>
        <v>0</v>
      </c>
      <c r="AT3229" s="10" t="str">
        <f>IF(AND(I3229="TN",S3229&lt;=2800),VLOOKUP(AF3229,TNCalibEq2500!$AZ$2:$BB$56,3,),IF(AND(I3229="TDN",S3229&lt;=2800),VLOOKUP(AF3229,TNCalibEq2500!$AZ$2:$BB$56,3,)))</f>
        <v>y=0.1303x2+171.81x-89.924</v>
      </c>
      <c r="AU3229" s="10" t="str">
        <f>IF(I3229="TP",VLOOKUP(AF3229,TPCalibEqFull!$AZ$2:$BB$56,3),IF(I3229="TDP",VLOOKUP(AF3229,TPCalibEqFull!$AZ$2:$BB$56,3),IF(I3229="TDN",VLOOKUP(AF3229,TNCalibEqFull!$AZ$1:$BB$56,3),IF(I3229="TN",VLOOKUP(AF3229,TNCalibEqFull!$AZ$1:$BB$56,3),FALSE))))</f>
        <v>y=-0.033x2+178.81x-104.93</v>
      </c>
      <c r="AV3229" s="10" t="str">
        <f t="shared" si="368"/>
        <v>0215 09:00:00-QAC-STD-D-1-DI-CHK</v>
      </c>
    </row>
    <row r="3230" spans="1:48" s="10" customFormat="1" x14ac:dyDescent="0.55000000000000004">
      <c r="A3230" s="32">
        <v>44970</v>
      </c>
      <c r="B3230" s="33">
        <v>0.49583333333333335</v>
      </c>
      <c r="C3230" s="10" t="s">
        <v>336</v>
      </c>
      <c r="D3230" s="10">
        <v>0</v>
      </c>
      <c r="E3230" s="10" t="s">
        <v>190</v>
      </c>
      <c r="F3230" s="10">
        <v>1</v>
      </c>
      <c r="G3230" s="10" t="s">
        <v>231</v>
      </c>
      <c r="H3230" s="10" t="s">
        <v>322</v>
      </c>
      <c r="I3230" s="10" t="s">
        <v>235</v>
      </c>
      <c r="J3230" s="10">
        <v>21</v>
      </c>
      <c r="K3230" s="12">
        <v>44973</v>
      </c>
      <c r="L3230" s="33">
        <v>0.47879629629629633</v>
      </c>
      <c r="M3230" s="10">
        <v>1</v>
      </c>
      <c r="N3230" s="10" t="s">
        <v>196</v>
      </c>
      <c r="O3230" s="10">
        <v>2.2999999999999998</v>
      </c>
      <c r="P3230" s="10">
        <v>0.112</v>
      </c>
      <c r="Q3230" s="10">
        <v>306</v>
      </c>
      <c r="R3230" s="10" t="s">
        <v>170</v>
      </c>
      <c r="S3230" s="34">
        <f t="shared" si="365"/>
        <v>306.15842999999995</v>
      </c>
      <c r="T3230" s="10" t="s">
        <v>1229</v>
      </c>
      <c r="U3230" s="34" t="str">
        <f t="shared" si="366"/>
        <v/>
      </c>
      <c r="V3230" s="31" t="str">
        <f>IF(H3230="CHK",VLOOKUP(I3230,QCCHK,3,),IF(H3230="GUP",VLOOKUP(E3230,QCGUP,2,),IF(AND(H3230="ATP",OR(I3230="TN",I3230="TDN",I3230="TNO2-3",I3230="NO2-3")),VLOOKUP(E3230,QCREC_N,2,),IF(AND(H3230="NIC",OR(I3230="TN",I3230="TDN",I3230="TNO2-3",I3230="NO2-3")),VLOOKUP(E3230,QCNIC_N,2,),IF(AND(H3230="UREA",OR(I3230="TN",I3230="TDN",I3230="TNO2-3",I3230="NO2-3")),VLOOKUP(E3230,QCUREA_N,2,),IF(H3230="PER",VLOOKUP(I3230,QCPER,MATCH(E3230,QCACTUAL!$J$25:$AA$25,0),),IF(H3230="SPK",VLOOKUP(I3230,QCSPK,3,),IF(AND(H3230="ATP",OR(I3230="TP",I3230="TDP")),VLOOKUP(E3230,QCATP_P,2,),""))))))))</f>
        <v/>
      </c>
      <c r="W3230" s="31" t="str">
        <f t="shared" si="367"/>
        <v>TRUE</v>
      </c>
      <c r="X3230" s="31" t="str">
        <f t="shared" si="364"/>
        <v/>
      </c>
      <c r="Y3230" s="10" t="s">
        <v>1222</v>
      </c>
      <c r="Z3230" s="10" t="s">
        <v>910</v>
      </c>
      <c r="AF3230" s="12">
        <v>44973</v>
      </c>
      <c r="AJ3230" s="10">
        <f>0.1303*2.3^2+171.81*2.3-89.924</f>
        <v>305.92828699999995</v>
      </c>
      <c r="AK3230" s="10">
        <f>-0.033*2.3^2+178.81*2.3-104.93</f>
        <v>306.15842999999995</v>
      </c>
      <c r="AL3230" s="10" t="str">
        <f t="shared" si="362"/>
        <v>FALSE</v>
      </c>
      <c r="AM3230" s="10" t="str">
        <f t="shared" si="362"/>
        <v>FALSE</v>
      </c>
      <c r="AN3230" s="10" t="str">
        <f t="shared" si="362"/>
        <v>FALSE</v>
      </c>
      <c r="AO3230" s="10" t="str">
        <f t="shared" si="363"/>
        <v>y=0.1303*2.3^2+171.81*2.3-89.924</v>
      </c>
      <c r="AP3230" s="10" t="str">
        <f t="shared" si="363"/>
        <v>y=-0.033*2.3^2+178.81*2.3-104.93</v>
      </c>
      <c r="AQ3230" s="10" t="b">
        <f>IF(AND(I3230="TP",S3230&lt;=150),VLOOKUP(AF3230,TPCalibEq150!$AZ$2:$BB$55,3,),IF(AND(I3230="TDP",S3230&lt;=150),VLOOKUP(AF3230,TPCalibEq150!$AZ$2:$BB$55,3,)))</f>
        <v>0</v>
      </c>
      <c r="AR3230" s="10" t="b">
        <f>IF(AND(I3230="TP",S3230&lt;=300),VLOOKUP(AF3230,TPCalibEq300!$AZ$2:$BB$55,3,),IF(AND(I3230="TDP",S3230&lt;=300),VLOOKUP(AF3230,TPCalibEq300!$AZ$2:$BB$55,3,)))</f>
        <v>0</v>
      </c>
      <c r="AS3230" s="10" t="b">
        <f>IF(AND(I3230="TP",S3230&lt;=500),VLOOKUP(AF3230,TPCalibEq500!$AZ$2:$BB$56,3,),IF(AND(I3230="TDP",S3230&lt;=500),VLOOKUP(AF3230,TPCalibEq500!$AZ$2:$BB$56,3,)))</f>
        <v>0</v>
      </c>
      <c r="AT3230" s="10" t="str">
        <f>IF(AND(I3230="TN",S3230&lt;=2800),VLOOKUP(AF3230,TNCalibEq2500!$AZ$2:$BB$56,3,),IF(AND(I3230="TDN",S3230&lt;=2800),VLOOKUP(AF3230,TNCalibEq2500!$AZ$2:$BB$56,3,)))</f>
        <v>y=0.1303x2+171.81x-89.924</v>
      </c>
      <c r="AU3230" s="10" t="str">
        <f>IF(I3230="TP",VLOOKUP(AF3230,TPCalibEqFull!$AZ$2:$BB$56,3),IF(I3230="TDP",VLOOKUP(AF3230,TPCalibEqFull!$AZ$2:$BB$56,3),IF(I3230="TDN",VLOOKUP(AF3230,TNCalibEqFull!$AZ$1:$BB$56,3),IF(I3230="TN",VLOOKUP(AF3230,TNCalibEqFull!$AZ$1:$BB$56,3),FALSE))))</f>
        <v>y=-0.033x2+178.81x-104.93</v>
      </c>
      <c r="AV3230" s="10" t="str">
        <f t="shared" si="368"/>
        <v>0213 11:54:00-HWR-0-C-1-SW-UKN</v>
      </c>
    </row>
    <row r="3231" spans="1:48" s="10" customFormat="1" x14ac:dyDescent="0.55000000000000004">
      <c r="A3231" s="32">
        <v>44970</v>
      </c>
      <c r="B3231" s="33">
        <v>0.48819444444444443</v>
      </c>
      <c r="C3231" s="10" t="s">
        <v>295</v>
      </c>
      <c r="D3231" s="10">
        <v>0</v>
      </c>
      <c r="E3231" s="10" t="s">
        <v>190</v>
      </c>
      <c r="F3231" s="10">
        <v>1</v>
      </c>
      <c r="G3231" s="10" t="s">
        <v>231</v>
      </c>
      <c r="H3231" s="10" t="s">
        <v>322</v>
      </c>
      <c r="I3231" s="10" t="s">
        <v>235</v>
      </c>
      <c r="J3231" s="10">
        <v>22</v>
      </c>
      <c r="K3231" s="12">
        <v>44973</v>
      </c>
      <c r="L3231" s="33">
        <v>0.47946759259259258</v>
      </c>
      <c r="M3231" s="10">
        <v>1</v>
      </c>
      <c r="N3231" s="10" t="s">
        <v>196</v>
      </c>
      <c r="O3231" s="10">
        <v>4.13</v>
      </c>
      <c r="P3231" s="10">
        <v>0.19900000000000001</v>
      </c>
      <c r="Q3231" s="10">
        <v>633</v>
      </c>
      <c r="R3231" s="10" t="s">
        <v>170</v>
      </c>
      <c r="S3231" s="34">
        <f t="shared" si="365"/>
        <v>633</v>
      </c>
      <c r="T3231" s="10" t="s">
        <v>1229</v>
      </c>
      <c r="U3231" s="34" t="str">
        <f t="shared" si="366"/>
        <v/>
      </c>
      <c r="V3231" s="31" t="str">
        <f>IF(H3231="CHK",VLOOKUP(I3231,QCCHK,3,),IF(H3231="GUP",VLOOKUP(E3231,QCGUP,2,),IF(AND(H3231="ATP",OR(I3231="TN",I3231="TDN",I3231="TNO2-3",I3231="NO2-3")),VLOOKUP(E3231,QCREC_N,2,),IF(AND(H3231="NIC",OR(I3231="TN",I3231="TDN",I3231="TNO2-3",I3231="NO2-3")),VLOOKUP(E3231,QCNIC_N,2,),IF(AND(H3231="UREA",OR(I3231="TN",I3231="TDN",I3231="TNO2-3",I3231="NO2-3")),VLOOKUP(E3231,QCUREA_N,2,),IF(H3231="PER",VLOOKUP(I3231,QCPER,MATCH(E3231,QCACTUAL!$J$25:$AA$25,0),),IF(H3231="SPK",VLOOKUP(I3231,QCSPK,3,),IF(AND(H3231="ATP",OR(I3231="TP",I3231="TDP")),VLOOKUP(E3231,QCATP_P,2,),""))))))))</f>
        <v/>
      </c>
      <c r="W3231" s="31" t="str">
        <f t="shared" si="367"/>
        <v>TRUE</v>
      </c>
      <c r="X3231" s="31" t="str">
        <f t="shared" si="364"/>
        <v/>
      </c>
      <c r="Y3231" s="10" t="s">
        <v>1222</v>
      </c>
      <c r="Z3231" s="10" t="s">
        <v>910</v>
      </c>
      <c r="AF3231" s="12">
        <v>44973</v>
      </c>
      <c r="AJ3231" s="10">
        <f>0.1303*4.13^2+171.81*4.13-89.924</f>
        <v>621.87381406999998</v>
      </c>
      <c r="AK3231" s="10">
        <f>-0.033*4.13^2+178.81*4.13-104.93</f>
        <v>632.99242230000004</v>
      </c>
      <c r="AL3231" s="10" t="str">
        <f t="shared" si="362"/>
        <v>FALSE</v>
      </c>
      <c r="AM3231" s="10" t="str">
        <f t="shared" si="362"/>
        <v>FALSE</v>
      </c>
      <c r="AN3231" s="10" t="str">
        <f t="shared" si="362"/>
        <v>FALSE</v>
      </c>
      <c r="AO3231" s="10" t="str">
        <f t="shared" si="363"/>
        <v>y=0.1303*4.13^2+171.81*4.13-89.924</v>
      </c>
      <c r="AP3231" s="10" t="str">
        <f t="shared" si="363"/>
        <v>y=-0.033*4.13^2+178.81*4.13-104.93</v>
      </c>
      <c r="AQ3231" s="10" t="b">
        <f>IF(AND(I3231="TP",S3231&lt;=150),VLOOKUP(AF3231,TPCalibEq150!$AZ$2:$BB$55,3,),IF(AND(I3231="TDP",S3231&lt;=150),VLOOKUP(AF3231,TPCalibEq150!$AZ$2:$BB$55,3,)))</f>
        <v>0</v>
      </c>
      <c r="AR3231" s="10" t="b">
        <f>IF(AND(I3231="TP",S3231&lt;=300),VLOOKUP(AF3231,TPCalibEq300!$AZ$2:$BB$55,3,),IF(AND(I3231="TDP",S3231&lt;=300),VLOOKUP(AF3231,TPCalibEq300!$AZ$2:$BB$55,3,)))</f>
        <v>0</v>
      </c>
      <c r="AS3231" s="10" t="b">
        <f>IF(AND(I3231="TP",S3231&lt;=500),VLOOKUP(AF3231,TPCalibEq500!$AZ$2:$BB$56,3,),IF(AND(I3231="TDP",S3231&lt;=500),VLOOKUP(AF3231,TPCalibEq500!$AZ$2:$BB$56,3,)))</f>
        <v>0</v>
      </c>
      <c r="AT3231" s="10" t="str">
        <f>IF(AND(I3231="TN",S3231&lt;=2800),VLOOKUP(AF3231,TNCalibEq2500!$AZ$2:$BB$56,3,),IF(AND(I3231="TDN",S3231&lt;=2800),VLOOKUP(AF3231,TNCalibEq2500!$AZ$2:$BB$56,3,)))</f>
        <v>y=0.1303x2+171.81x-89.924</v>
      </c>
      <c r="AU3231" s="10" t="str">
        <f>IF(I3231="TP",VLOOKUP(AF3231,TPCalibEqFull!$AZ$2:$BB$56,3),IF(I3231="TDP",VLOOKUP(AF3231,TPCalibEqFull!$AZ$2:$BB$56,3),IF(I3231="TDN",VLOOKUP(AF3231,TNCalibEqFull!$AZ$1:$BB$56,3),IF(I3231="TN",VLOOKUP(AF3231,TNCalibEqFull!$AZ$1:$BB$56,3),FALSE))))</f>
        <v>y=-0.033x2+178.81x-104.93</v>
      </c>
      <c r="AV3231" s="10" t="str">
        <f t="shared" si="368"/>
        <v>0213 11:43:00-EFM-0-C-1-SW-UKN</v>
      </c>
    </row>
    <row r="3232" spans="1:48" s="10" customFormat="1" x14ac:dyDescent="0.55000000000000004">
      <c r="A3232" s="32">
        <v>44970</v>
      </c>
      <c r="B3232" s="33">
        <v>0.50694444444444442</v>
      </c>
      <c r="C3232" s="10" t="s">
        <v>999</v>
      </c>
      <c r="D3232" s="10">
        <v>0</v>
      </c>
      <c r="E3232" s="10" t="s">
        <v>190</v>
      </c>
      <c r="F3232" s="10">
        <v>1</v>
      </c>
      <c r="G3232" s="10" t="s">
        <v>231</v>
      </c>
      <c r="H3232" s="10" t="s">
        <v>322</v>
      </c>
      <c r="I3232" s="10" t="s">
        <v>235</v>
      </c>
      <c r="J3232" s="10">
        <v>23</v>
      </c>
      <c r="K3232" s="12">
        <v>44973</v>
      </c>
      <c r="L3232" s="33">
        <v>0.48013888888888889</v>
      </c>
      <c r="M3232" s="10">
        <v>1</v>
      </c>
      <c r="N3232" s="10" t="s">
        <v>196</v>
      </c>
      <c r="O3232" s="10">
        <v>3.93</v>
      </c>
      <c r="P3232" s="10">
        <v>0.191</v>
      </c>
      <c r="Q3232" s="10">
        <v>597</v>
      </c>
      <c r="R3232" s="10" t="s">
        <v>170</v>
      </c>
      <c r="S3232" s="34">
        <f t="shared" si="365"/>
        <v>597.28361829999994</v>
      </c>
      <c r="T3232" s="10" t="s">
        <v>1229</v>
      </c>
      <c r="U3232" s="34" t="str">
        <f t="shared" si="366"/>
        <v/>
      </c>
      <c r="V3232" s="31" t="str">
        <f>IF(H3232="CHK",VLOOKUP(I3232,QCCHK,3,),IF(H3232="GUP",VLOOKUP(E3232,QCGUP,2,),IF(AND(H3232="ATP",OR(I3232="TN",I3232="TDN",I3232="TNO2-3",I3232="NO2-3")),VLOOKUP(E3232,QCREC_N,2,),IF(AND(H3232="NIC",OR(I3232="TN",I3232="TDN",I3232="TNO2-3",I3232="NO2-3")),VLOOKUP(E3232,QCNIC_N,2,),IF(AND(H3232="UREA",OR(I3232="TN",I3232="TDN",I3232="TNO2-3",I3232="NO2-3")),VLOOKUP(E3232,QCUREA_N,2,),IF(H3232="PER",VLOOKUP(I3232,QCPER,MATCH(E3232,QCACTUAL!$J$25:$AA$25,0),),IF(H3232="SPK",VLOOKUP(I3232,QCSPK,3,),IF(AND(H3232="ATP",OR(I3232="TP",I3232="TDP")),VLOOKUP(E3232,QCATP_P,2,),""))))))))</f>
        <v/>
      </c>
      <c r="W3232" s="31" t="str">
        <f t="shared" si="367"/>
        <v>TRUE</v>
      </c>
      <c r="X3232" s="31" t="str">
        <f t="shared" si="364"/>
        <v/>
      </c>
      <c r="Y3232" s="10" t="s">
        <v>1222</v>
      </c>
      <c r="Z3232" s="10" t="s">
        <v>910</v>
      </c>
      <c r="AF3232" s="12">
        <v>44973</v>
      </c>
      <c r="AJ3232" s="10">
        <f>0.1303*3.93^2+171.81*3.93-89.924</f>
        <v>587.30177047000006</v>
      </c>
      <c r="AK3232" s="10">
        <f>-0.033*3.93^2+178.81*3.93-104.93</f>
        <v>597.28361829999994</v>
      </c>
      <c r="AL3232" s="10" t="str">
        <f t="shared" si="362"/>
        <v>FALSE</v>
      </c>
      <c r="AM3232" s="10" t="str">
        <f t="shared" si="362"/>
        <v>FALSE</v>
      </c>
      <c r="AN3232" s="10" t="str">
        <f t="shared" si="362"/>
        <v>FALSE</v>
      </c>
      <c r="AO3232" s="10" t="str">
        <f t="shared" si="363"/>
        <v>y=0.1303*3.93^2+171.81*3.93-89.924</v>
      </c>
      <c r="AP3232" s="10" t="str">
        <f t="shared" si="363"/>
        <v>y=-0.033*3.93^2+178.81*3.93-104.93</v>
      </c>
      <c r="AQ3232" s="10" t="b">
        <f>IF(AND(I3232="TP",S3232&lt;=150),VLOOKUP(AF3232,TPCalibEq150!$AZ$2:$BB$55,3,),IF(AND(I3232="TDP",S3232&lt;=150),VLOOKUP(AF3232,TPCalibEq150!$AZ$2:$BB$55,3,)))</f>
        <v>0</v>
      </c>
      <c r="AR3232" s="10" t="b">
        <f>IF(AND(I3232="TP",S3232&lt;=300),VLOOKUP(AF3232,TPCalibEq300!$AZ$2:$BB$55,3,),IF(AND(I3232="TDP",S3232&lt;=300),VLOOKUP(AF3232,TPCalibEq300!$AZ$2:$BB$55,3,)))</f>
        <v>0</v>
      </c>
      <c r="AS3232" s="10" t="b">
        <f>IF(AND(I3232="TP",S3232&lt;=500),VLOOKUP(AF3232,TPCalibEq500!$AZ$2:$BB$56,3,),IF(AND(I3232="TDP",S3232&lt;=500),VLOOKUP(AF3232,TPCalibEq500!$AZ$2:$BB$56,3,)))</f>
        <v>0</v>
      </c>
      <c r="AT3232" s="10" t="str">
        <f>IF(AND(I3232="TN",S3232&lt;=2800),VLOOKUP(AF3232,TNCalibEq2500!$AZ$2:$BB$56,3,),IF(AND(I3232="TDN",S3232&lt;=2800),VLOOKUP(AF3232,TNCalibEq2500!$AZ$2:$BB$56,3,)))</f>
        <v>y=0.1303x2+171.81x-89.924</v>
      </c>
      <c r="AU3232" s="10" t="str">
        <f>IF(I3232="TP",VLOOKUP(AF3232,TPCalibEqFull!$AZ$2:$BB$56,3),IF(I3232="TDP",VLOOKUP(AF3232,TPCalibEqFull!$AZ$2:$BB$56,3),IF(I3232="TDN",VLOOKUP(AF3232,TNCalibEqFull!$AZ$1:$BB$56,3),IF(I3232="TN",VLOOKUP(AF3232,TNCalibEqFull!$AZ$1:$BB$56,3),FALSE))))</f>
        <v>y=-0.033x2+178.81x-104.93</v>
      </c>
      <c r="AV3232" s="10" t="str">
        <f t="shared" si="368"/>
        <v>0213 12:10:00-EAW-0-C-1-SW-UKN</v>
      </c>
    </row>
    <row r="3233" spans="1:48" s="10" customFormat="1" x14ac:dyDescent="0.55000000000000004">
      <c r="A3233" s="32">
        <v>44970</v>
      </c>
      <c r="B3233" s="33">
        <v>0.51527777777777783</v>
      </c>
      <c r="C3233" s="10" t="s">
        <v>310</v>
      </c>
      <c r="D3233" s="10">
        <v>0</v>
      </c>
      <c r="E3233" s="10" t="s">
        <v>190</v>
      </c>
      <c r="F3233" s="10">
        <v>1</v>
      </c>
      <c r="G3233" s="10" t="s">
        <v>231</v>
      </c>
      <c r="H3233" s="10" t="s">
        <v>322</v>
      </c>
      <c r="I3233" s="10" t="s">
        <v>235</v>
      </c>
      <c r="J3233" s="10">
        <v>24</v>
      </c>
      <c r="K3233" s="12">
        <v>44973</v>
      </c>
      <c r="L3233" s="33">
        <v>0.48079861111111111</v>
      </c>
      <c r="M3233" s="10">
        <v>1</v>
      </c>
      <c r="N3233" s="10" t="s">
        <v>196</v>
      </c>
      <c r="O3233" s="10">
        <v>4.63</v>
      </c>
      <c r="P3233" s="10">
        <v>0.224</v>
      </c>
      <c r="Q3233" s="10">
        <v>721</v>
      </c>
      <c r="R3233" s="10" t="s">
        <v>170</v>
      </c>
      <c r="S3233" s="34">
        <f t="shared" si="365"/>
        <v>722.25288230000001</v>
      </c>
      <c r="T3233" s="10" t="s">
        <v>1229</v>
      </c>
      <c r="U3233" s="34" t="str">
        <f t="shared" si="366"/>
        <v/>
      </c>
      <c r="V3233" s="31" t="str">
        <f>IF(H3233="CHK",VLOOKUP(I3233,QCCHK,3,),IF(H3233="GUP",VLOOKUP(E3233,QCGUP,2,),IF(AND(H3233="ATP",OR(I3233="TN",I3233="TDN",I3233="TNO2-3",I3233="NO2-3")),VLOOKUP(E3233,QCREC_N,2,),IF(AND(H3233="NIC",OR(I3233="TN",I3233="TDN",I3233="TNO2-3",I3233="NO2-3")),VLOOKUP(E3233,QCNIC_N,2,),IF(AND(H3233="UREA",OR(I3233="TN",I3233="TDN",I3233="TNO2-3",I3233="NO2-3")),VLOOKUP(E3233,QCUREA_N,2,),IF(H3233="PER",VLOOKUP(I3233,QCPER,MATCH(E3233,QCACTUAL!$J$25:$AA$25,0),),IF(H3233="SPK",VLOOKUP(I3233,QCSPK,3,),IF(AND(H3233="ATP",OR(I3233="TP",I3233="TDP")),VLOOKUP(E3233,QCATP_P,2,),""))))))))</f>
        <v/>
      </c>
      <c r="W3233" s="31" t="str">
        <f t="shared" si="367"/>
        <v>TRUE</v>
      </c>
      <c r="X3233" s="31" t="str">
        <f t="shared" si="364"/>
        <v/>
      </c>
      <c r="Y3233" s="10" t="s">
        <v>1222</v>
      </c>
      <c r="Z3233" s="10" t="s">
        <v>910</v>
      </c>
      <c r="AF3233" s="12">
        <v>44973</v>
      </c>
      <c r="AJ3233" s="10">
        <f>0.1303*4.63^2+171.81*4.63-89.924</f>
        <v>708.34952807000002</v>
      </c>
      <c r="AK3233" s="10">
        <f>-0.033*4.63^2+178.81*4.63-104.93</f>
        <v>722.25288230000001</v>
      </c>
      <c r="AL3233" s="10" t="str">
        <f t="shared" si="362"/>
        <v>FALSE</v>
      </c>
      <c r="AM3233" s="10" t="str">
        <f t="shared" si="362"/>
        <v>FALSE</v>
      </c>
      <c r="AN3233" s="10" t="str">
        <f t="shared" si="362"/>
        <v>FALSE</v>
      </c>
      <c r="AO3233" s="10" t="str">
        <f t="shared" si="363"/>
        <v>y=0.1303*4.63^2+171.81*4.63-89.924</v>
      </c>
      <c r="AP3233" s="10" t="str">
        <f t="shared" si="363"/>
        <v>y=-0.033*4.63^2+178.81*4.63-104.93</v>
      </c>
      <c r="AQ3233" s="10" t="b">
        <f>IF(AND(I3233="TP",S3233&lt;=150),VLOOKUP(AF3233,TPCalibEq150!$AZ$2:$BB$55,3,),IF(AND(I3233="TDP",S3233&lt;=150),VLOOKUP(AF3233,TPCalibEq150!$AZ$2:$BB$55,3,)))</f>
        <v>0</v>
      </c>
      <c r="AR3233" s="10" t="b">
        <f>IF(AND(I3233="TP",S3233&lt;=300),VLOOKUP(AF3233,TPCalibEq300!$AZ$2:$BB$55,3,),IF(AND(I3233="TDP",S3233&lt;=300),VLOOKUP(AF3233,TPCalibEq300!$AZ$2:$BB$55,3,)))</f>
        <v>0</v>
      </c>
      <c r="AS3233" s="10" t="b">
        <f>IF(AND(I3233="TP",S3233&lt;=500),VLOOKUP(AF3233,TPCalibEq500!$AZ$2:$BB$56,3,),IF(AND(I3233="TDP",S3233&lt;=500),VLOOKUP(AF3233,TPCalibEq500!$AZ$2:$BB$56,3,)))</f>
        <v>0</v>
      </c>
      <c r="AT3233" s="10" t="str">
        <f>IF(AND(I3233="TN",S3233&lt;=2800),VLOOKUP(AF3233,TNCalibEq2500!$AZ$2:$BB$56,3,),IF(AND(I3233="TDN",S3233&lt;=2800),VLOOKUP(AF3233,TNCalibEq2500!$AZ$2:$BB$56,3,)))</f>
        <v>y=0.1303x2+171.81x-89.924</v>
      </c>
      <c r="AU3233" s="10" t="str">
        <f>IF(I3233="TP",VLOOKUP(AF3233,TPCalibEqFull!$AZ$2:$BB$56,3),IF(I3233="TDP",VLOOKUP(AF3233,TPCalibEqFull!$AZ$2:$BB$56,3),IF(I3233="TDN",VLOOKUP(AF3233,TNCalibEqFull!$AZ$1:$BB$56,3),IF(I3233="TN",VLOOKUP(AF3233,TNCalibEqFull!$AZ$1:$BB$56,3),FALSE))))</f>
        <v>y=-0.033x2+178.81x-104.93</v>
      </c>
      <c r="AV3233" s="10" t="str">
        <f t="shared" si="368"/>
        <v>0213 12:22:00-ELI-0-C-1-SW-UKN</v>
      </c>
    </row>
    <row r="3234" spans="1:48" s="10" customFormat="1" x14ac:dyDescent="0.55000000000000004">
      <c r="A3234" s="32">
        <v>44970</v>
      </c>
      <c r="B3234" s="33">
        <v>0.51527777777777783</v>
      </c>
      <c r="C3234" s="10" t="s">
        <v>310</v>
      </c>
      <c r="D3234" s="10">
        <v>0</v>
      </c>
      <c r="E3234" s="10" t="s">
        <v>190</v>
      </c>
      <c r="F3234" s="10">
        <v>1</v>
      </c>
      <c r="G3234" s="10" t="s">
        <v>231</v>
      </c>
      <c r="H3234" s="10" t="s">
        <v>233</v>
      </c>
      <c r="I3234" s="10" t="s">
        <v>235</v>
      </c>
      <c r="J3234" s="10">
        <v>24</v>
      </c>
      <c r="K3234" s="12">
        <v>44973</v>
      </c>
      <c r="L3234" s="33">
        <v>0.48146990740740742</v>
      </c>
      <c r="M3234" s="10">
        <v>1</v>
      </c>
      <c r="N3234" s="10" t="s">
        <v>196</v>
      </c>
      <c r="O3234" s="10">
        <v>4.62</v>
      </c>
      <c r="P3234" s="10">
        <v>0.224</v>
      </c>
      <c r="Q3234" s="10">
        <v>719</v>
      </c>
      <c r="R3234" s="10" t="s">
        <v>170</v>
      </c>
      <c r="S3234" s="34">
        <f t="shared" si="365"/>
        <v>720.46783479999999</v>
      </c>
      <c r="T3234" s="10" t="s">
        <v>1229</v>
      </c>
      <c r="U3234" s="34">
        <f t="shared" si="366"/>
        <v>0.24745572429127194</v>
      </c>
      <c r="V3234" s="31" t="str">
        <f>IF(H3234="CHK",VLOOKUP(I3234,QCCHK,3,),IF(H3234="GUP",VLOOKUP(E3234,QCGUP,2,),IF(AND(H3234="ATP",OR(I3234="TN",I3234="TDN",I3234="TNO2-3",I3234="NO2-3")),VLOOKUP(E3234,QCREC_N,2,),IF(AND(H3234="NIC",OR(I3234="TN",I3234="TDN",I3234="TNO2-3",I3234="NO2-3")),VLOOKUP(E3234,QCNIC_N,2,),IF(AND(H3234="UREA",OR(I3234="TN",I3234="TDN",I3234="TNO2-3",I3234="NO2-3")),VLOOKUP(E3234,QCUREA_N,2,),IF(H3234="PER",VLOOKUP(I3234,QCPER,MATCH(E3234,QCACTUAL!$J$25:$AA$25,0),),IF(H3234="SPK",VLOOKUP(I3234,QCSPK,3,),IF(AND(H3234="ATP",OR(I3234="TP",I3234="TDP")),VLOOKUP(E3234,QCATP_P,2,),""))))))))</f>
        <v/>
      </c>
      <c r="W3234" s="31" t="str">
        <f t="shared" si="367"/>
        <v>TRUE</v>
      </c>
      <c r="X3234" s="31" t="str">
        <f t="shared" si="364"/>
        <v>((ABS(rep1-rep2))/((rep1+rep2)/2)*100</v>
      </c>
      <c r="Y3234" s="10" t="s">
        <v>1222</v>
      </c>
      <c r="Z3234" s="10" t="s">
        <v>910</v>
      </c>
      <c r="AF3234" s="12">
        <v>44973</v>
      </c>
      <c r="AJ3234" s="10">
        <f>0.1303*4.62^2+171.81*4.62-89.924</f>
        <v>706.61937532000002</v>
      </c>
      <c r="AK3234" s="10">
        <f>-0.033*4.62^2+178.81*4.62-104.93</f>
        <v>720.46783479999999</v>
      </c>
      <c r="AL3234" s="10" t="str">
        <f t="shared" si="362"/>
        <v>FALSE</v>
      </c>
      <c r="AM3234" s="10" t="str">
        <f t="shared" si="362"/>
        <v>FALSE</v>
      </c>
      <c r="AN3234" s="10" t="str">
        <f t="shared" si="362"/>
        <v>FALSE</v>
      </c>
      <c r="AO3234" s="10" t="str">
        <f t="shared" si="363"/>
        <v>y=0.1303*4.62^2+171.81*4.62-89.924</v>
      </c>
      <c r="AP3234" s="10" t="str">
        <f t="shared" si="363"/>
        <v>y=-0.033*4.62^2+178.81*4.62-104.93</v>
      </c>
      <c r="AQ3234" s="10" t="b">
        <f>IF(AND(I3234="TP",S3234&lt;=150),VLOOKUP(AF3234,TPCalibEq150!$AZ$2:$BB$55,3,),IF(AND(I3234="TDP",S3234&lt;=150),VLOOKUP(AF3234,TPCalibEq150!$AZ$2:$BB$55,3,)))</f>
        <v>0</v>
      </c>
      <c r="AR3234" s="10" t="b">
        <f>IF(AND(I3234="TP",S3234&lt;=300),VLOOKUP(AF3234,TPCalibEq300!$AZ$2:$BB$55,3,),IF(AND(I3234="TDP",S3234&lt;=300),VLOOKUP(AF3234,TPCalibEq300!$AZ$2:$BB$55,3,)))</f>
        <v>0</v>
      </c>
      <c r="AS3234" s="10" t="b">
        <f>IF(AND(I3234="TP",S3234&lt;=500),VLOOKUP(AF3234,TPCalibEq500!$AZ$2:$BB$56,3,),IF(AND(I3234="TDP",S3234&lt;=500),VLOOKUP(AF3234,TPCalibEq500!$AZ$2:$BB$56,3,)))</f>
        <v>0</v>
      </c>
      <c r="AT3234" s="10" t="str">
        <f>IF(AND(I3234="TN",S3234&lt;=2800),VLOOKUP(AF3234,TNCalibEq2500!$AZ$2:$BB$56,3,),IF(AND(I3234="TDN",S3234&lt;=2800),VLOOKUP(AF3234,TNCalibEq2500!$AZ$2:$BB$56,3,)))</f>
        <v>y=0.1303x2+171.81x-89.924</v>
      </c>
      <c r="AU3234" s="10" t="str">
        <f>IF(I3234="TP",VLOOKUP(AF3234,TPCalibEqFull!$AZ$2:$BB$56,3),IF(I3234="TDP",VLOOKUP(AF3234,TPCalibEqFull!$AZ$2:$BB$56,3),IF(I3234="TDN",VLOOKUP(AF3234,TNCalibEqFull!$AZ$1:$BB$56,3),IF(I3234="TN",VLOOKUP(AF3234,TNCalibEqFull!$AZ$1:$BB$56,3),FALSE))))</f>
        <v>y=-0.033x2+178.81x-104.93</v>
      </c>
      <c r="AV3234" s="10" t="str">
        <f t="shared" si="368"/>
        <v>0213 12:22:00-ELI-0-C-1-SW-DUP</v>
      </c>
    </row>
    <row r="3235" spans="1:48" s="10" customFormat="1" x14ac:dyDescent="0.55000000000000004">
      <c r="A3235" s="32">
        <v>44970</v>
      </c>
      <c r="B3235" s="33">
        <v>0.51527777777777783</v>
      </c>
      <c r="C3235" s="10" t="s">
        <v>310</v>
      </c>
      <c r="D3235" s="10">
        <v>0</v>
      </c>
      <c r="E3235" s="10" t="s">
        <v>190</v>
      </c>
      <c r="F3235" s="10">
        <v>1</v>
      </c>
      <c r="G3235" s="10" t="s">
        <v>231</v>
      </c>
      <c r="H3235" s="10" t="s">
        <v>314</v>
      </c>
      <c r="I3235" s="10" t="s">
        <v>235</v>
      </c>
      <c r="J3235" s="10">
        <v>51</v>
      </c>
      <c r="K3235" s="12">
        <v>44973</v>
      </c>
      <c r="L3235" s="33">
        <v>0.48214120370370367</v>
      </c>
      <c r="M3235" s="10">
        <v>1</v>
      </c>
      <c r="N3235" s="10" t="s">
        <v>196</v>
      </c>
      <c r="O3235" s="10">
        <v>18.100000000000001</v>
      </c>
      <c r="P3235" s="10">
        <v>0.93600000000000005</v>
      </c>
      <c r="Q3235" s="10">
        <v>3120</v>
      </c>
      <c r="R3235" s="10" t="s">
        <v>170</v>
      </c>
      <c r="S3235" s="34">
        <f t="shared" si="365"/>
        <v>3120.7198700000004</v>
      </c>
      <c r="T3235" s="10" t="s">
        <v>1229</v>
      </c>
      <c r="U3235" s="34">
        <f t="shared" si="366"/>
        <v>96.010081408000005</v>
      </c>
      <c r="V3235" s="31">
        <f>IF(H3235="CHK",VLOOKUP(I3235,QCCHK,3,),IF(H3235="GUP",VLOOKUP(E3235,QCGUP,2,),IF(AND(H3235="ATP",OR(I3235="TN",I3235="TDN",I3235="TNO2-3",I3235="NO2-3")),VLOOKUP(E3235,QCREC_N,2,),IF(AND(H3235="NIC",OR(I3235="TN",I3235="TDN",I3235="TNO2-3",I3235="NO2-3")),VLOOKUP(E3235,QCNIC_N,2,),IF(AND(H3235="UREA",OR(I3235="TN",I3235="TDN",I3235="TNO2-3",I3235="NO2-3")),VLOOKUP(E3235,QCUREA_N,2,),IF(H3235="PER",VLOOKUP(I3235,QCPER,MATCH(E3235,QCACTUAL!$J$25:$AA$25,0),),IF(H3235="SPK",VLOOKUP(I3235,QCSPK,3,),IF(AND(H3235="ATP",OR(I3235="TP",I3235="TDP")),VLOOKUP(E3235,QCATP_P,2,),""))))))))</f>
        <v>2500</v>
      </c>
      <c r="W3235" s="31" t="str">
        <f t="shared" si="367"/>
        <v>TRUE</v>
      </c>
      <c r="X3235" s="31" t="str">
        <f t="shared" si="364"/>
        <v>([spikedunkn]-[unkn])/[spike]*100</v>
      </c>
      <c r="Y3235" s="10" t="s">
        <v>1222</v>
      </c>
      <c r="Z3235" s="10" t="s">
        <v>910</v>
      </c>
      <c r="AF3235" s="12">
        <v>44973</v>
      </c>
      <c r="AK3235" s="10">
        <f>-0.033*18.1^2+178.81*18.1-104.93</f>
        <v>3120.7198700000004</v>
      </c>
      <c r="AL3235" s="10" t="str">
        <f t="shared" si="362"/>
        <v>FALSE</v>
      </c>
      <c r="AM3235" s="10" t="str">
        <f t="shared" si="362"/>
        <v>FALSE</v>
      </c>
      <c r="AN3235" s="10" t="str">
        <f t="shared" si="362"/>
        <v>FALSE</v>
      </c>
      <c r="AO3235" s="10" t="str">
        <f t="shared" si="363"/>
        <v>FALSE</v>
      </c>
      <c r="AP3235" s="10" t="str">
        <f t="shared" si="363"/>
        <v>y=-0.033*18.1^2+178.81*18.1-104.93</v>
      </c>
      <c r="AQ3235" s="10" t="b">
        <f>IF(AND(I3235="TP",S3235&lt;=150),VLOOKUP(AF3235,TPCalibEq150!$AZ$2:$BB$55,3,),IF(AND(I3235="TDP",S3235&lt;=150),VLOOKUP(AF3235,TPCalibEq150!$AZ$2:$BB$55,3,)))</f>
        <v>0</v>
      </c>
      <c r="AR3235" s="10" t="b">
        <f>IF(AND(I3235="TP",S3235&lt;=300),VLOOKUP(AF3235,TPCalibEq300!$AZ$2:$BB$55,3,),IF(AND(I3235="TDP",S3235&lt;=300),VLOOKUP(AF3235,TPCalibEq300!$AZ$2:$BB$55,3,)))</f>
        <v>0</v>
      </c>
      <c r="AS3235" s="10" t="b">
        <f>IF(AND(I3235="TP",S3235&lt;=500),VLOOKUP(AF3235,TPCalibEq500!$AZ$2:$BB$56,3,),IF(AND(I3235="TDP",S3235&lt;=500),VLOOKUP(AF3235,TPCalibEq500!$AZ$2:$BB$56,3,)))</f>
        <v>0</v>
      </c>
      <c r="AT3235" s="10" t="b">
        <f>IF(AND(I3235="TN",S3235&lt;=2800),VLOOKUP(AF3235,TNCalibEq2500!$AZ$2:$BB$56,3,),IF(AND(I3235="TDN",S3235&lt;=2800),VLOOKUP(AF3235,TNCalibEq2500!$AZ$2:$BB$56,3,)))</f>
        <v>0</v>
      </c>
      <c r="AU3235" s="10" t="str">
        <f>IF(I3235="TP",VLOOKUP(AF3235,TPCalibEqFull!$AZ$2:$BB$56,3),IF(I3235="TDP",VLOOKUP(AF3235,TPCalibEqFull!$AZ$2:$BB$56,3),IF(I3235="TDN",VLOOKUP(AF3235,TNCalibEqFull!$AZ$1:$BB$56,3),IF(I3235="TN",VLOOKUP(AF3235,TNCalibEqFull!$AZ$1:$BB$56,3),FALSE))))</f>
        <v>y=-0.033x2+178.81x-104.93</v>
      </c>
      <c r="AV3235" s="10" t="str">
        <f t="shared" si="368"/>
        <v>0213 12:22:00-ELI-0-C-1-SW-SPK</v>
      </c>
    </row>
    <row r="3236" spans="1:48" s="10" customFormat="1" x14ac:dyDescent="0.55000000000000004">
      <c r="A3236" s="32">
        <v>44972</v>
      </c>
      <c r="B3236" s="33">
        <v>0.375</v>
      </c>
      <c r="C3236" s="10" t="s">
        <v>70</v>
      </c>
      <c r="D3236" s="10" t="s">
        <v>71</v>
      </c>
      <c r="E3236" s="10" t="s">
        <v>901</v>
      </c>
      <c r="F3236" s="10">
        <v>1</v>
      </c>
      <c r="G3236" s="10" t="s">
        <v>73</v>
      </c>
      <c r="H3236" s="10" t="s">
        <v>207</v>
      </c>
      <c r="I3236" s="10" t="s">
        <v>235</v>
      </c>
      <c r="J3236" s="10">
        <v>200</v>
      </c>
      <c r="K3236" s="12">
        <v>44973</v>
      </c>
      <c r="L3236" s="33">
        <v>0.48282407407407407</v>
      </c>
      <c r="M3236" s="10">
        <v>1</v>
      </c>
      <c r="N3236" s="10" t="s">
        <v>196</v>
      </c>
      <c r="O3236" s="10">
        <v>7.65</v>
      </c>
      <c r="P3236" s="10">
        <v>0.373</v>
      </c>
      <c r="Q3236" s="10">
        <v>1260</v>
      </c>
      <c r="R3236" s="10" t="s">
        <v>170</v>
      </c>
      <c r="S3236" s="34">
        <f t="shared" si="365"/>
        <v>1261.0352574999999</v>
      </c>
      <c r="T3236" s="10" t="s">
        <v>1229</v>
      </c>
      <c r="U3236" s="34">
        <f t="shared" si="366"/>
        <v>100.8828206</v>
      </c>
      <c r="V3236" s="31">
        <f>IF(H3236="CHK",VLOOKUP(I3236,QCCHK,3,),IF(H3236="GUP",VLOOKUP(E3236,QCGUP,2,),IF(AND(H3236="ATP",OR(I3236="TN",I3236="TDN",I3236="TNO2-3",I3236="NO2-3")),VLOOKUP(E3236,QCREC_N,2,),IF(AND(H3236="NIC",OR(I3236="TN",I3236="TDN",I3236="TNO2-3",I3236="NO2-3")),VLOOKUP(E3236,QCNIC_N,2,),IF(AND(H3236="UREA",OR(I3236="TN",I3236="TDN",I3236="TNO2-3",I3236="NO2-3")),VLOOKUP(E3236,QCUREA_N,2,),IF(H3236="PER",VLOOKUP(I3236,QCPER,MATCH(E3236,QCACTUAL!$J$25:$AA$25,0),),IF(H3236="SPK",VLOOKUP(I3236,QCSPK,3,),IF(AND(H3236="ATP",OR(I3236="TP",I3236="TDP")),VLOOKUP(E3236,QCATP_P,2,),""))))))))</f>
        <v>1250</v>
      </c>
      <c r="W3236" s="31" t="str">
        <f t="shared" si="367"/>
        <v>TRUE</v>
      </c>
      <c r="X3236" s="31" t="str">
        <f t="shared" si="364"/>
        <v>[chk]/[actual]*100</v>
      </c>
      <c r="Y3236" s="10" t="s">
        <v>1222</v>
      </c>
      <c r="AF3236" s="12">
        <v>44973</v>
      </c>
      <c r="AJ3236" s="10">
        <f>0.1303*7.65^2+171.81*7.65-89.924</f>
        <v>1232.0479817500002</v>
      </c>
      <c r="AK3236" s="10">
        <f>-0.033*7.65^2+178.81*7.65-104.93</f>
        <v>1261.0352574999999</v>
      </c>
      <c r="AL3236" s="10" t="str">
        <f t="shared" si="362"/>
        <v>FALSE</v>
      </c>
      <c r="AM3236" s="10" t="str">
        <f t="shared" si="362"/>
        <v>FALSE</v>
      </c>
      <c r="AN3236" s="10" t="str">
        <f t="shared" si="362"/>
        <v>FALSE</v>
      </c>
      <c r="AO3236" s="10" t="str">
        <f t="shared" si="363"/>
        <v>y=0.1303*7.65^2+171.81*7.65-89.924</v>
      </c>
      <c r="AP3236" s="10" t="str">
        <f t="shared" si="363"/>
        <v>y=-0.033*7.65^2+178.81*7.65-104.93</v>
      </c>
      <c r="AQ3236" s="10" t="b">
        <f>IF(AND(I3236="TP",S3236&lt;=150),VLOOKUP(AF3236,TPCalibEq150!$AZ$2:$BB$55,3,),IF(AND(I3236="TDP",S3236&lt;=150),VLOOKUP(AF3236,TPCalibEq150!$AZ$2:$BB$55,3,)))</f>
        <v>0</v>
      </c>
      <c r="AR3236" s="10" t="b">
        <f>IF(AND(I3236="TP",S3236&lt;=300),VLOOKUP(AF3236,TPCalibEq300!$AZ$2:$BB$55,3,),IF(AND(I3236="TDP",S3236&lt;=300),VLOOKUP(AF3236,TPCalibEq300!$AZ$2:$BB$55,3,)))</f>
        <v>0</v>
      </c>
      <c r="AS3236" s="10" t="b">
        <f>IF(AND(I3236="TP",S3236&lt;=500),VLOOKUP(AF3236,TPCalibEq500!$AZ$2:$BB$56,3,),IF(AND(I3236="TDP",S3236&lt;=500),VLOOKUP(AF3236,TPCalibEq500!$AZ$2:$BB$56,3,)))</f>
        <v>0</v>
      </c>
      <c r="AT3236" s="10" t="str">
        <f>IF(AND(I3236="TN",S3236&lt;=2800),VLOOKUP(AF3236,TNCalibEq2500!$AZ$2:$BB$56,3,),IF(AND(I3236="TDN",S3236&lt;=2800),VLOOKUP(AF3236,TNCalibEq2500!$AZ$2:$BB$56,3,)))</f>
        <v>y=0.1303x2+171.81x-89.924</v>
      </c>
      <c r="AU3236" s="10" t="str">
        <f>IF(I3236="TP",VLOOKUP(AF3236,TPCalibEqFull!$AZ$2:$BB$56,3),IF(I3236="TDP",VLOOKUP(AF3236,TPCalibEqFull!$AZ$2:$BB$56,3),IF(I3236="TDN",VLOOKUP(AF3236,TNCalibEqFull!$AZ$1:$BB$56,3),IF(I3236="TN",VLOOKUP(AF3236,TNCalibEqFull!$AZ$1:$BB$56,3),FALSE))))</f>
        <v>y=-0.033x2+178.81x-104.93</v>
      </c>
      <c r="AV3236" s="10" t="str">
        <f t="shared" si="368"/>
        <v>0215 09:00:00-QAC-STD-D-1-DI-CHK</v>
      </c>
    </row>
    <row r="3237" spans="1:48" s="10" customFormat="1" x14ac:dyDescent="0.55000000000000004">
      <c r="A3237" s="32">
        <v>44965</v>
      </c>
      <c r="B3237" s="33">
        <v>0.22291666666666665</v>
      </c>
      <c r="C3237" s="10" t="s">
        <v>279</v>
      </c>
      <c r="D3237" s="10">
        <v>0</v>
      </c>
      <c r="E3237" s="10" t="s">
        <v>911</v>
      </c>
      <c r="F3237" s="10">
        <v>1</v>
      </c>
      <c r="G3237" s="10" t="s">
        <v>231</v>
      </c>
      <c r="H3237" s="10" t="s">
        <v>322</v>
      </c>
      <c r="I3237" s="10" t="s">
        <v>224</v>
      </c>
      <c r="J3237" s="10">
        <v>25</v>
      </c>
      <c r="K3237" s="12">
        <v>44973</v>
      </c>
      <c r="L3237" s="33">
        <v>0.48348379629629629</v>
      </c>
      <c r="M3237" s="10">
        <v>1</v>
      </c>
      <c r="N3237" s="10" t="s">
        <v>196</v>
      </c>
      <c r="O3237" s="10">
        <v>7.58</v>
      </c>
      <c r="P3237" s="10">
        <v>0.36799999999999999</v>
      </c>
      <c r="Q3237" s="10">
        <v>1250</v>
      </c>
      <c r="R3237" s="10" t="s">
        <v>170</v>
      </c>
      <c r="S3237" s="34">
        <f t="shared" si="365"/>
        <v>1250</v>
      </c>
      <c r="T3237" s="10" t="s">
        <v>1229</v>
      </c>
      <c r="U3237" s="34" t="str">
        <f t="shared" si="366"/>
        <v/>
      </c>
      <c r="V3237" s="31" t="str">
        <f>IF(H3237="CHK",VLOOKUP(I3237,QCCHK,3,),IF(H3237="GUP",VLOOKUP(E3237,QCGUP,2,),IF(AND(H3237="ATP",OR(I3237="TN",I3237="TDN",I3237="TNO2-3",I3237="NO2-3")),VLOOKUP(E3237,QCREC_N,2,),IF(AND(H3237="NIC",OR(I3237="TN",I3237="TDN",I3237="TNO2-3",I3237="NO2-3")),VLOOKUP(E3237,QCNIC_N,2,),IF(AND(H3237="UREA",OR(I3237="TN",I3237="TDN",I3237="TNO2-3",I3237="NO2-3")),VLOOKUP(E3237,QCUREA_N,2,),IF(H3237="PER",VLOOKUP(I3237,QCPER,MATCH(E3237,QCACTUAL!$J$25:$AA$25,0),),IF(H3237="SPK",VLOOKUP(I3237,QCSPK,3,),IF(AND(H3237="ATP",OR(I3237="TP",I3237="TDP")),VLOOKUP(E3237,QCATP_P,2,),""))))))))</f>
        <v/>
      </c>
      <c r="W3237" s="31" t="str">
        <f t="shared" si="367"/>
        <v>TRUE</v>
      </c>
      <c r="X3237" s="31" t="str">
        <f t="shared" si="364"/>
        <v/>
      </c>
      <c r="Y3237" s="10" t="s">
        <v>1222</v>
      </c>
      <c r="Z3237" s="10" t="s">
        <v>910</v>
      </c>
      <c r="AF3237" s="12">
        <v>44973</v>
      </c>
      <c r="AJ3237" s="10">
        <f>0.1303*7.58^2+171.81*7.58-89.924</f>
        <v>1219.8823689200001</v>
      </c>
      <c r="AK3237" s="10">
        <f>-0.033*7.58^2+178.81*7.58-104.93</f>
        <v>1248.5537387999998</v>
      </c>
      <c r="AL3237" s="10" t="str">
        <f t="shared" si="362"/>
        <v>FALSE</v>
      </c>
      <c r="AM3237" s="10" t="str">
        <f t="shared" si="362"/>
        <v>FALSE</v>
      </c>
      <c r="AN3237" s="10" t="str">
        <f t="shared" si="362"/>
        <v>FALSE</v>
      </c>
      <c r="AO3237" s="10" t="str">
        <f t="shared" si="363"/>
        <v>y=0.1303*7.58^2+171.81*7.58-89.924</v>
      </c>
      <c r="AP3237" s="10" t="str">
        <f t="shared" si="363"/>
        <v>y=-0.033*7.58^2+178.81*7.58-104.93</v>
      </c>
      <c r="AQ3237" s="10" t="b">
        <f>IF(AND(I3237="TP",S3237&lt;=150),VLOOKUP(AF3237,TPCalibEq150!$AZ$2:$BB$55,3,),IF(AND(I3237="TDP",S3237&lt;=150),VLOOKUP(AF3237,TPCalibEq150!$AZ$2:$BB$55,3,)))</f>
        <v>0</v>
      </c>
      <c r="AR3237" s="10" t="b">
        <f>IF(AND(I3237="TP",S3237&lt;=300),VLOOKUP(AF3237,TPCalibEq300!$AZ$2:$BB$55,3,),IF(AND(I3237="TDP",S3237&lt;=300),VLOOKUP(AF3237,TPCalibEq300!$AZ$2:$BB$55,3,)))</f>
        <v>0</v>
      </c>
      <c r="AS3237" s="10" t="b">
        <f>IF(AND(I3237="TP",S3237&lt;=500),VLOOKUP(AF3237,TPCalibEq500!$AZ$2:$BB$56,3,),IF(AND(I3237="TDP",S3237&lt;=500),VLOOKUP(AF3237,TPCalibEq500!$AZ$2:$BB$56,3,)))</f>
        <v>0</v>
      </c>
      <c r="AT3237" s="10" t="str">
        <f>IF(AND(I3237="TN",S3237&lt;=2800),VLOOKUP(AF3237,TNCalibEq2500!$AZ$2:$BB$56,3,),IF(AND(I3237="TDN",S3237&lt;=2800),VLOOKUP(AF3237,TNCalibEq2500!$AZ$2:$BB$56,3,)))</f>
        <v>y=0.1303x2+171.81x-89.924</v>
      </c>
      <c r="AU3237" s="10" t="str">
        <f>IF(I3237="TP",VLOOKUP(AF3237,TPCalibEqFull!$AZ$2:$BB$56,3),IF(I3237="TDP",VLOOKUP(AF3237,TPCalibEqFull!$AZ$2:$BB$56,3),IF(I3237="TDN",VLOOKUP(AF3237,TNCalibEqFull!$AZ$1:$BB$56,3),IF(I3237="TN",VLOOKUP(AF3237,TNCalibEqFull!$AZ$1:$BB$56,3),FALSE))))</f>
        <v>y=-0.033x2+178.81x-104.93</v>
      </c>
      <c r="AV3237" s="10" t="str">
        <f t="shared" si="368"/>
        <v>0208 05:21:00-EFK-0-FIL-1-SW-UKN</v>
      </c>
    </row>
    <row r="3238" spans="1:48" s="10" customFormat="1" x14ac:dyDescent="0.55000000000000004">
      <c r="A3238" s="32">
        <v>44965</v>
      </c>
      <c r="B3238" s="33">
        <v>0.24166666666666667</v>
      </c>
      <c r="C3238" s="10" t="s">
        <v>333</v>
      </c>
      <c r="D3238" s="10">
        <v>0</v>
      </c>
      <c r="E3238" s="10" t="s">
        <v>911</v>
      </c>
      <c r="F3238" s="10">
        <v>1</v>
      </c>
      <c r="G3238" s="10" t="s">
        <v>231</v>
      </c>
      <c r="H3238" s="10" t="s">
        <v>322</v>
      </c>
      <c r="I3238" s="10" t="s">
        <v>224</v>
      </c>
      <c r="J3238" s="10">
        <v>26</v>
      </c>
      <c r="K3238" s="12">
        <v>44973</v>
      </c>
      <c r="L3238" s="33">
        <v>0.4841550925925926</v>
      </c>
      <c r="M3238" s="10">
        <v>1</v>
      </c>
      <c r="N3238" s="10" t="s">
        <v>196</v>
      </c>
      <c r="O3238" s="10">
        <v>5.19</v>
      </c>
      <c r="P3238" s="10">
        <v>0.252</v>
      </c>
      <c r="Q3238" s="10">
        <v>822</v>
      </c>
      <c r="R3238" s="10" t="s">
        <v>170</v>
      </c>
      <c r="S3238" s="34">
        <f t="shared" si="365"/>
        <v>822.20500870000001</v>
      </c>
      <c r="T3238" s="10" t="s">
        <v>1229</v>
      </c>
      <c r="U3238" s="34" t="str">
        <f t="shared" si="366"/>
        <v/>
      </c>
      <c r="V3238" s="31" t="str">
        <f>IF(H3238="CHK",VLOOKUP(I3238,QCCHK,3,),IF(H3238="GUP",VLOOKUP(E3238,QCGUP,2,),IF(AND(H3238="ATP",OR(I3238="TN",I3238="TDN",I3238="TNO2-3",I3238="NO2-3")),VLOOKUP(E3238,QCREC_N,2,),IF(AND(H3238="NIC",OR(I3238="TN",I3238="TDN",I3238="TNO2-3",I3238="NO2-3")),VLOOKUP(E3238,QCNIC_N,2,),IF(AND(H3238="UREA",OR(I3238="TN",I3238="TDN",I3238="TNO2-3",I3238="NO2-3")),VLOOKUP(E3238,QCUREA_N,2,),IF(H3238="PER",VLOOKUP(I3238,QCPER,MATCH(E3238,QCACTUAL!$J$25:$AA$25,0),),IF(H3238="SPK",VLOOKUP(I3238,QCSPK,3,),IF(AND(H3238="ATP",OR(I3238="TP",I3238="TDP")),VLOOKUP(E3238,QCATP_P,2,),""))))))))</f>
        <v/>
      </c>
      <c r="W3238" s="31" t="str">
        <f t="shared" si="367"/>
        <v>TRUE</v>
      </c>
      <c r="X3238" s="31" t="str">
        <f t="shared" si="364"/>
        <v/>
      </c>
      <c r="Y3238" s="10" t="s">
        <v>1222</v>
      </c>
      <c r="Z3238" s="10" t="s">
        <v>910</v>
      </c>
      <c r="AF3238" s="12">
        <v>44973</v>
      </c>
      <c r="AJ3238" s="10">
        <f>0.1303*5.19^2+171.81*5.19-89.924</f>
        <v>805.27967383000009</v>
      </c>
      <c r="AK3238" s="10">
        <f>-0.033*5.19^2+178.81*5.19-104.93</f>
        <v>822.20500870000001</v>
      </c>
      <c r="AL3238" s="10" t="str">
        <f t="shared" ref="AL3238:AN3270" si="369">IF($O3238="", "", IF(AQ3238&lt;&gt;"", SUBSTITUTE(SUBSTITUTE(AQ3238, "x", "*"&amp;$O3238&amp;"^", 1), "x", "*"&amp;$O3238, 1), ""))</f>
        <v>FALSE</v>
      </c>
      <c r="AM3238" s="10" t="str">
        <f t="shared" si="369"/>
        <v>FALSE</v>
      </c>
      <c r="AN3238" s="10" t="str">
        <f t="shared" si="369"/>
        <v>FALSE</v>
      </c>
      <c r="AO3238" s="10" t="str">
        <f t="shared" ref="AO3238:AP3270" si="370">IF($O3238="", "FALSE", IF(AT3238&lt;&gt;"FALSE", SUBSTITUTE(SUBSTITUTE(AT3238, "x", "*"&amp;$O3238&amp;"^", 1), "x", "*"&amp;$O3238, 1), ""))</f>
        <v>y=0.1303*5.19^2+171.81*5.19-89.924</v>
      </c>
      <c r="AP3238" s="10" t="str">
        <f t="shared" si="370"/>
        <v>y=-0.033*5.19^2+178.81*5.19-104.93</v>
      </c>
      <c r="AQ3238" s="10" t="b">
        <f>IF(AND(I3238="TP",S3238&lt;=150),VLOOKUP(AF3238,TPCalibEq150!$AZ$2:$BB$55,3,),IF(AND(I3238="TDP",S3238&lt;=150),VLOOKUP(AF3238,TPCalibEq150!$AZ$2:$BB$55,3,)))</f>
        <v>0</v>
      </c>
      <c r="AR3238" s="10" t="b">
        <f>IF(AND(I3238="TP",S3238&lt;=300),VLOOKUP(AF3238,TPCalibEq300!$AZ$2:$BB$55,3,),IF(AND(I3238="TDP",S3238&lt;=300),VLOOKUP(AF3238,TPCalibEq300!$AZ$2:$BB$55,3,)))</f>
        <v>0</v>
      </c>
      <c r="AS3238" s="10" t="b">
        <f>IF(AND(I3238="TP",S3238&lt;=500),VLOOKUP(AF3238,TPCalibEq500!$AZ$2:$BB$56,3,),IF(AND(I3238="TDP",S3238&lt;=500),VLOOKUP(AF3238,TPCalibEq500!$AZ$2:$BB$56,3,)))</f>
        <v>0</v>
      </c>
      <c r="AT3238" s="10" t="str">
        <f>IF(AND(I3238="TN",S3238&lt;=2800),VLOOKUP(AF3238,TNCalibEq2500!$AZ$2:$BB$56,3,),IF(AND(I3238="TDN",S3238&lt;=2800),VLOOKUP(AF3238,TNCalibEq2500!$AZ$2:$BB$56,3,)))</f>
        <v>y=0.1303x2+171.81x-89.924</v>
      </c>
      <c r="AU3238" s="10" t="str">
        <f>IF(I3238="TP",VLOOKUP(AF3238,TPCalibEqFull!$AZ$2:$BB$56,3),IF(I3238="TDP",VLOOKUP(AF3238,TPCalibEqFull!$AZ$2:$BB$56,3),IF(I3238="TDN",VLOOKUP(AF3238,TNCalibEqFull!$AZ$1:$BB$56,3),IF(I3238="TN",VLOOKUP(AF3238,TNCalibEqFull!$AZ$1:$BB$56,3),FALSE))))</f>
        <v>y=-0.033x2+178.81x-104.93</v>
      </c>
      <c r="AV3238" s="10" t="str">
        <f t="shared" si="368"/>
        <v>0208 05:48:00-HST-0-FIL-1-SW-UKN</v>
      </c>
    </row>
    <row r="3239" spans="1:48" s="10" customFormat="1" x14ac:dyDescent="0.55000000000000004">
      <c r="A3239" s="32">
        <v>44966</v>
      </c>
      <c r="B3239" s="33">
        <v>0.41041666666666665</v>
      </c>
      <c r="C3239" s="10" t="s">
        <v>279</v>
      </c>
      <c r="D3239" s="10">
        <v>0</v>
      </c>
      <c r="E3239" s="10" t="s">
        <v>911</v>
      </c>
      <c r="F3239" s="10">
        <v>1</v>
      </c>
      <c r="G3239" s="10" t="s">
        <v>231</v>
      </c>
      <c r="H3239" s="10" t="s">
        <v>322</v>
      </c>
      <c r="I3239" s="10" t="s">
        <v>224</v>
      </c>
      <c r="J3239" s="10">
        <v>27</v>
      </c>
      <c r="K3239" s="12">
        <v>44973</v>
      </c>
      <c r="L3239" s="33">
        <v>0.48481481481481481</v>
      </c>
      <c r="M3239" s="10">
        <v>1</v>
      </c>
      <c r="N3239" s="10" t="s">
        <v>196</v>
      </c>
      <c r="O3239" s="10">
        <v>7.98</v>
      </c>
      <c r="P3239" s="10">
        <v>0.38700000000000001</v>
      </c>
      <c r="Q3239" s="10">
        <v>1320</v>
      </c>
      <c r="R3239" s="10" t="s">
        <v>170</v>
      </c>
      <c r="S3239" s="34">
        <f t="shared" si="365"/>
        <v>1320</v>
      </c>
      <c r="T3239" s="10" t="s">
        <v>1229</v>
      </c>
      <c r="U3239" s="34" t="str">
        <f t="shared" si="366"/>
        <v/>
      </c>
      <c r="V3239" s="31" t="str">
        <f>IF(H3239="CHK",VLOOKUP(I3239,QCCHK,3,),IF(H3239="GUP",VLOOKUP(E3239,QCGUP,2,),IF(AND(H3239="ATP",OR(I3239="TN",I3239="TDN",I3239="TNO2-3",I3239="NO2-3")),VLOOKUP(E3239,QCREC_N,2,),IF(AND(H3239="NIC",OR(I3239="TN",I3239="TDN",I3239="TNO2-3",I3239="NO2-3")),VLOOKUP(E3239,QCNIC_N,2,),IF(AND(H3239="UREA",OR(I3239="TN",I3239="TDN",I3239="TNO2-3",I3239="NO2-3")),VLOOKUP(E3239,QCUREA_N,2,),IF(H3239="PER",VLOOKUP(I3239,QCPER,MATCH(E3239,QCACTUAL!$J$25:$AA$25,0),),IF(H3239="SPK",VLOOKUP(I3239,QCSPK,3,),IF(AND(H3239="ATP",OR(I3239="TP",I3239="TDP")),VLOOKUP(E3239,QCATP_P,2,),""))))))))</f>
        <v/>
      </c>
      <c r="W3239" s="31" t="str">
        <f t="shared" si="367"/>
        <v>TRUE</v>
      </c>
      <c r="X3239" s="31" t="str">
        <f t="shared" si="364"/>
        <v/>
      </c>
      <c r="Y3239" s="10" t="s">
        <v>1222</v>
      </c>
      <c r="Z3239" s="10" t="s">
        <v>910</v>
      </c>
      <c r="AF3239" s="12">
        <v>44973</v>
      </c>
      <c r="AJ3239" s="10">
        <f>0.1303*7.98^2+171.81*7.98-89.924</f>
        <v>1289.4173561200002</v>
      </c>
      <c r="AK3239" s="10">
        <f>-0.033*7.98^2+178.81*7.98-104.93</f>
        <v>1319.8723468000001</v>
      </c>
      <c r="AL3239" s="10" t="str">
        <f t="shared" si="369"/>
        <v>FALSE</v>
      </c>
      <c r="AM3239" s="10" t="str">
        <f t="shared" si="369"/>
        <v>FALSE</v>
      </c>
      <c r="AN3239" s="10" t="str">
        <f t="shared" si="369"/>
        <v>FALSE</v>
      </c>
      <c r="AO3239" s="10" t="str">
        <f t="shared" si="370"/>
        <v>y=0.1303*7.98^2+171.81*7.98-89.924</v>
      </c>
      <c r="AP3239" s="10" t="str">
        <f t="shared" si="370"/>
        <v>y=-0.033*7.98^2+178.81*7.98-104.93</v>
      </c>
      <c r="AQ3239" s="10" t="b">
        <f>IF(AND(I3239="TP",S3239&lt;=150),VLOOKUP(AF3239,TPCalibEq150!$AZ$2:$BB$55,3,),IF(AND(I3239="TDP",S3239&lt;=150),VLOOKUP(AF3239,TPCalibEq150!$AZ$2:$BB$55,3,)))</f>
        <v>0</v>
      </c>
      <c r="AR3239" s="10" t="b">
        <f>IF(AND(I3239="TP",S3239&lt;=300),VLOOKUP(AF3239,TPCalibEq300!$AZ$2:$BB$55,3,),IF(AND(I3239="TDP",S3239&lt;=300),VLOOKUP(AF3239,TPCalibEq300!$AZ$2:$BB$55,3,)))</f>
        <v>0</v>
      </c>
      <c r="AS3239" s="10" t="b">
        <f>IF(AND(I3239="TP",S3239&lt;=500),VLOOKUP(AF3239,TPCalibEq500!$AZ$2:$BB$56,3,),IF(AND(I3239="TDP",S3239&lt;=500),VLOOKUP(AF3239,TPCalibEq500!$AZ$2:$BB$56,3,)))</f>
        <v>0</v>
      </c>
      <c r="AT3239" s="10" t="str">
        <f>IF(AND(I3239="TN",S3239&lt;=2800),VLOOKUP(AF3239,TNCalibEq2500!$AZ$2:$BB$56,3,),IF(AND(I3239="TDN",S3239&lt;=2800),VLOOKUP(AF3239,TNCalibEq2500!$AZ$2:$BB$56,3,)))</f>
        <v>y=0.1303x2+171.81x-89.924</v>
      </c>
      <c r="AU3239" s="10" t="str">
        <f>IF(I3239="TP",VLOOKUP(AF3239,TPCalibEqFull!$AZ$2:$BB$56,3),IF(I3239="TDP",VLOOKUP(AF3239,TPCalibEqFull!$AZ$2:$BB$56,3),IF(I3239="TDN",VLOOKUP(AF3239,TNCalibEqFull!$AZ$1:$BB$56,3),IF(I3239="TN",VLOOKUP(AF3239,TNCalibEqFull!$AZ$1:$BB$56,3),FALSE))))</f>
        <v>y=-0.033x2+178.81x-104.93</v>
      </c>
      <c r="AV3239" s="10" t="str">
        <f t="shared" si="368"/>
        <v>0209 09:51:00-EFK-0-FIL-1-SW-UKN</v>
      </c>
    </row>
    <row r="3240" spans="1:48" s="10" customFormat="1" x14ac:dyDescent="0.55000000000000004">
      <c r="A3240" s="32">
        <v>44966</v>
      </c>
      <c r="B3240" s="33">
        <v>0.42708333333333331</v>
      </c>
      <c r="C3240" s="10" t="s">
        <v>333</v>
      </c>
      <c r="D3240" s="10">
        <v>0</v>
      </c>
      <c r="E3240" s="10" t="s">
        <v>911</v>
      </c>
      <c r="F3240" s="10">
        <v>1</v>
      </c>
      <c r="G3240" s="10" t="s">
        <v>231</v>
      </c>
      <c r="H3240" s="10" t="s">
        <v>322</v>
      </c>
      <c r="I3240" s="10" t="s">
        <v>224</v>
      </c>
      <c r="J3240" s="10">
        <v>28</v>
      </c>
      <c r="K3240" s="12">
        <v>44973</v>
      </c>
      <c r="L3240" s="33">
        <v>0.48547453703703702</v>
      </c>
      <c r="M3240" s="10">
        <v>1</v>
      </c>
      <c r="N3240" s="10" t="s">
        <v>196</v>
      </c>
      <c r="O3240" s="10">
        <v>5.19</v>
      </c>
      <c r="P3240" s="10">
        <v>0.253</v>
      </c>
      <c r="Q3240" s="10">
        <v>822</v>
      </c>
      <c r="R3240" s="10" t="s">
        <v>170</v>
      </c>
      <c r="S3240" s="34">
        <f t="shared" si="365"/>
        <v>822.20500870000001</v>
      </c>
      <c r="T3240" s="10" t="s">
        <v>1229</v>
      </c>
      <c r="U3240" s="34" t="str">
        <f t="shared" si="366"/>
        <v/>
      </c>
      <c r="V3240" s="31" t="str">
        <f>IF(H3240="CHK",VLOOKUP(I3240,QCCHK,3,),IF(H3240="GUP",VLOOKUP(E3240,QCGUP,2,),IF(AND(H3240="ATP",OR(I3240="TN",I3240="TDN",I3240="TNO2-3",I3240="NO2-3")),VLOOKUP(E3240,QCREC_N,2,),IF(AND(H3240="NIC",OR(I3240="TN",I3240="TDN",I3240="TNO2-3",I3240="NO2-3")),VLOOKUP(E3240,QCNIC_N,2,),IF(AND(H3240="UREA",OR(I3240="TN",I3240="TDN",I3240="TNO2-3",I3240="NO2-3")),VLOOKUP(E3240,QCUREA_N,2,),IF(H3240="PER",VLOOKUP(I3240,QCPER,MATCH(E3240,QCACTUAL!$J$25:$AA$25,0),),IF(H3240="SPK",VLOOKUP(I3240,QCSPK,3,),IF(AND(H3240="ATP",OR(I3240="TP",I3240="TDP")),VLOOKUP(E3240,QCATP_P,2,),""))))))))</f>
        <v/>
      </c>
      <c r="W3240" s="31" t="str">
        <f t="shared" si="367"/>
        <v>TRUE</v>
      </c>
      <c r="X3240" s="31" t="str">
        <f t="shared" si="364"/>
        <v/>
      </c>
      <c r="Y3240" s="10" t="s">
        <v>1222</v>
      </c>
      <c r="Z3240" s="10" t="s">
        <v>910</v>
      </c>
      <c r="AF3240" s="12">
        <v>44973</v>
      </c>
      <c r="AJ3240" s="10">
        <f>0.1303*5.19^2+171.81*5.19-89.924</f>
        <v>805.27967383000009</v>
      </c>
      <c r="AK3240" s="10">
        <f>-0.033*5.19^2+178.81*5.19-104.93</f>
        <v>822.20500870000001</v>
      </c>
      <c r="AL3240" s="10" t="str">
        <f t="shared" si="369"/>
        <v>FALSE</v>
      </c>
      <c r="AM3240" s="10" t="str">
        <f t="shared" si="369"/>
        <v>FALSE</v>
      </c>
      <c r="AN3240" s="10" t="str">
        <f t="shared" si="369"/>
        <v>FALSE</v>
      </c>
      <c r="AO3240" s="10" t="str">
        <f t="shared" si="370"/>
        <v>y=0.1303*5.19^2+171.81*5.19-89.924</v>
      </c>
      <c r="AP3240" s="10" t="str">
        <f t="shared" si="370"/>
        <v>y=-0.033*5.19^2+178.81*5.19-104.93</v>
      </c>
      <c r="AQ3240" s="10" t="b">
        <f>IF(AND(I3240="TP",S3240&lt;=150),VLOOKUP(AF3240,TPCalibEq150!$AZ$2:$BB$55,3,),IF(AND(I3240="TDP",S3240&lt;=150),VLOOKUP(AF3240,TPCalibEq150!$AZ$2:$BB$55,3,)))</f>
        <v>0</v>
      </c>
      <c r="AR3240" s="10" t="b">
        <f>IF(AND(I3240="TP",S3240&lt;=300),VLOOKUP(AF3240,TPCalibEq300!$AZ$2:$BB$55,3,),IF(AND(I3240="TDP",S3240&lt;=300),VLOOKUP(AF3240,TPCalibEq300!$AZ$2:$BB$55,3,)))</f>
        <v>0</v>
      </c>
      <c r="AS3240" s="10" t="b">
        <f>IF(AND(I3240="TP",S3240&lt;=500),VLOOKUP(AF3240,TPCalibEq500!$AZ$2:$BB$56,3,),IF(AND(I3240="TDP",S3240&lt;=500),VLOOKUP(AF3240,TPCalibEq500!$AZ$2:$BB$56,3,)))</f>
        <v>0</v>
      </c>
      <c r="AT3240" s="10" t="str">
        <f>IF(AND(I3240="TN",S3240&lt;=2800),VLOOKUP(AF3240,TNCalibEq2500!$AZ$2:$BB$56,3,),IF(AND(I3240="TDN",S3240&lt;=2800),VLOOKUP(AF3240,TNCalibEq2500!$AZ$2:$BB$56,3,)))</f>
        <v>y=0.1303x2+171.81x-89.924</v>
      </c>
      <c r="AU3240" s="10" t="str">
        <f>IF(I3240="TP",VLOOKUP(AF3240,TPCalibEqFull!$AZ$2:$BB$56,3),IF(I3240="TDP",VLOOKUP(AF3240,TPCalibEqFull!$AZ$2:$BB$56,3),IF(I3240="TDN",VLOOKUP(AF3240,TNCalibEqFull!$AZ$1:$BB$56,3),IF(I3240="TN",VLOOKUP(AF3240,TNCalibEqFull!$AZ$1:$BB$56,3),FALSE))))</f>
        <v>y=-0.033x2+178.81x-104.93</v>
      </c>
      <c r="AV3240" s="10" t="str">
        <f t="shared" si="368"/>
        <v>0209 10:15:00-HST-0-FIL-1-SW-UKN</v>
      </c>
    </row>
    <row r="3241" spans="1:48" s="10" customFormat="1" x14ac:dyDescent="0.55000000000000004">
      <c r="A3241" s="32">
        <v>44967</v>
      </c>
      <c r="B3241" s="33">
        <v>0.59791666666666665</v>
      </c>
      <c r="C3241" s="10" t="s">
        <v>279</v>
      </c>
      <c r="D3241" s="10">
        <v>0</v>
      </c>
      <c r="E3241" s="10" t="s">
        <v>911</v>
      </c>
      <c r="F3241" s="10">
        <v>1</v>
      </c>
      <c r="G3241" s="10" t="s">
        <v>231</v>
      </c>
      <c r="H3241" s="10" t="s">
        <v>322</v>
      </c>
      <c r="I3241" s="10" t="s">
        <v>224</v>
      </c>
      <c r="J3241" s="10">
        <v>29</v>
      </c>
      <c r="K3241" s="12">
        <v>44973</v>
      </c>
      <c r="L3241" s="33">
        <v>0.48613425925925924</v>
      </c>
      <c r="M3241" s="10">
        <v>1</v>
      </c>
      <c r="N3241" s="10" t="s">
        <v>196</v>
      </c>
      <c r="O3241" s="10">
        <v>8</v>
      </c>
      <c r="P3241" s="10">
        <v>0.38800000000000001</v>
      </c>
      <c r="Q3241" s="10">
        <v>1320</v>
      </c>
      <c r="R3241" s="10" t="s">
        <v>170</v>
      </c>
      <c r="S3241" s="34">
        <f t="shared" si="365"/>
        <v>1323.4379999999999</v>
      </c>
      <c r="T3241" s="10" t="s">
        <v>1229</v>
      </c>
      <c r="U3241" s="34" t="str">
        <f t="shared" si="366"/>
        <v/>
      </c>
      <c r="V3241" s="31" t="str">
        <f>IF(H3241="CHK",VLOOKUP(I3241,QCCHK,3,),IF(H3241="GUP",VLOOKUP(E3241,QCGUP,2,),IF(AND(H3241="ATP",OR(I3241="TN",I3241="TDN",I3241="TNO2-3",I3241="NO2-3")),VLOOKUP(E3241,QCREC_N,2,),IF(AND(H3241="NIC",OR(I3241="TN",I3241="TDN",I3241="TNO2-3",I3241="NO2-3")),VLOOKUP(E3241,QCNIC_N,2,),IF(AND(H3241="UREA",OR(I3241="TN",I3241="TDN",I3241="TNO2-3",I3241="NO2-3")),VLOOKUP(E3241,QCUREA_N,2,),IF(H3241="PER",VLOOKUP(I3241,QCPER,MATCH(E3241,QCACTUAL!$J$25:$AA$25,0),),IF(H3241="SPK",VLOOKUP(I3241,QCSPK,3,),IF(AND(H3241="ATP",OR(I3241="TP",I3241="TDP")),VLOOKUP(E3241,QCATP_P,2,),""))))))))</f>
        <v/>
      </c>
      <c r="W3241" s="31" t="str">
        <f t="shared" si="367"/>
        <v>TRUE</v>
      </c>
      <c r="X3241" s="31" t="str">
        <f t="shared" si="364"/>
        <v/>
      </c>
      <c r="Y3241" s="10" t="s">
        <v>1222</v>
      </c>
      <c r="Z3241" s="10" t="s">
        <v>910</v>
      </c>
      <c r="AF3241" s="12">
        <v>44973</v>
      </c>
      <c r="AJ3241" s="10">
        <f>0.1303*8^2+171.81*8-89.924</f>
        <v>1292.8951999999999</v>
      </c>
      <c r="AK3241" s="10">
        <f>-0.033*8^2+178.81*8-104.93</f>
        <v>1323.4379999999999</v>
      </c>
      <c r="AL3241" s="10" t="str">
        <f t="shared" si="369"/>
        <v>FALSE</v>
      </c>
      <c r="AM3241" s="10" t="str">
        <f t="shared" si="369"/>
        <v>FALSE</v>
      </c>
      <c r="AN3241" s="10" t="str">
        <f t="shared" si="369"/>
        <v>FALSE</v>
      </c>
      <c r="AO3241" s="10" t="str">
        <f t="shared" si="370"/>
        <v>y=0.1303*8^2+171.81*8-89.924</v>
      </c>
      <c r="AP3241" s="10" t="str">
        <f t="shared" si="370"/>
        <v>y=-0.033*8^2+178.81*8-104.93</v>
      </c>
      <c r="AQ3241" s="10" t="b">
        <f>IF(AND(I3241="TP",S3241&lt;=150),VLOOKUP(AF3241,TPCalibEq150!$AZ$2:$BB$55,3,),IF(AND(I3241="TDP",S3241&lt;=150),VLOOKUP(AF3241,TPCalibEq150!$AZ$2:$BB$55,3,)))</f>
        <v>0</v>
      </c>
      <c r="AR3241" s="10" t="b">
        <f>IF(AND(I3241="TP",S3241&lt;=300),VLOOKUP(AF3241,TPCalibEq300!$AZ$2:$BB$55,3,),IF(AND(I3241="TDP",S3241&lt;=300),VLOOKUP(AF3241,TPCalibEq300!$AZ$2:$BB$55,3,)))</f>
        <v>0</v>
      </c>
      <c r="AS3241" s="10" t="b">
        <f>IF(AND(I3241="TP",S3241&lt;=500),VLOOKUP(AF3241,TPCalibEq500!$AZ$2:$BB$56,3,),IF(AND(I3241="TDP",S3241&lt;=500),VLOOKUP(AF3241,TPCalibEq500!$AZ$2:$BB$56,3,)))</f>
        <v>0</v>
      </c>
      <c r="AT3241" s="10" t="str">
        <f>IF(AND(I3241="TN",S3241&lt;=2800),VLOOKUP(AF3241,TNCalibEq2500!$AZ$2:$BB$56,3,),IF(AND(I3241="TDN",S3241&lt;=2800),VLOOKUP(AF3241,TNCalibEq2500!$AZ$2:$BB$56,3,)))</f>
        <v>y=0.1303x2+171.81x-89.924</v>
      </c>
      <c r="AU3241" s="10" t="str">
        <f>IF(I3241="TP",VLOOKUP(AF3241,TPCalibEqFull!$AZ$2:$BB$56,3),IF(I3241="TDP",VLOOKUP(AF3241,TPCalibEqFull!$AZ$2:$BB$56,3),IF(I3241="TDN",VLOOKUP(AF3241,TNCalibEqFull!$AZ$1:$BB$56,3),IF(I3241="TN",VLOOKUP(AF3241,TNCalibEqFull!$AZ$1:$BB$56,3),FALSE))))</f>
        <v>y=-0.033x2+178.81x-104.93</v>
      </c>
      <c r="AV3241" s="10" t="str">
        <f t="shared" si="368"/>
        <v>0210 14:21:00-EFK-0-FIL-1-SW-UKN</v>
      </c>
    </row>
    <row r="3242" spans="1:48" s="10" customFormat="1" x14ac:dyDescent="0.55000000000000004">
      <c r="A3242" s="32">
        <v>44967</v>
      </c>
      <c r="B3242" s="33">
        <v>0.60069444444444442</v>
      </c>
      <c r="C3242" s="10" t="s">
        <v>333</v>
      </c>
      <c r="D3242" s="10">
        <v>0</v>
      </c>
      <c r="E3242" s="10" t="s">
        <v>911</v>
      </c>
      <c r="F3242" s="10">
        <v>1</v>
      </c>
      <c r="G3242" s="10" t="s">
        <v>231</v>
      </c>
      <c r="H3242" s="10" t="s">
        <v>322</v>
      </c>
      <c r="I3242" s="10" t="s">
        <v>224</v>
      </c>
      <c r="J3242" s="10">
        <v>30</v>
      </c>
      <c r="K3242" s="12">
        <v>44973</v>
      </c>
      <c r="L3242" s="33">
        <v>0.48679398148148145</v>
      </c>
      <c r="M3242" s="10">
        <v>1</v>
      </c>
      <c r="N3242" s="10" t="s">
        <v>196</v>
      </c>
      <c r="O3242" s="10">
        <v>4.3600000000000003</v>
      </c>
      <c r="P3242" s="10">
        <v>0.21299999999999999</v>
      </c>
      <c r="Q3242" s="10">
        <v>674</v>
      </c>
      <c r="R3242" s="10" t="s">
        <v>170</v>
      </c>
      <c r="S3242" s="34">
        <f t="shared" si="365"/>
        <v>674.0542832000001</v>
      </c>
      <c r="T3242" s="10" t="s">
        <v>1229</v>
      </c>
      <c r="U3242" s="34" t="str">
        <f t="shared" si="366"/>
        <v/>
      </c>
      <c r="V3242" s="31" t="str">
        <f>IF(H3242="CHK",VLOOKUP(I3242,QCCHK,3,),IF(H3242="GUP",VLOOKUP(E3242,QCGUP,2,),IF(AND(H3242="ATP",OR(I3242="TN",I3242="TDN",I3242="TNO2-3",I3242="NO2-3")),VLOOKUP(E3242,QCREC_N,2,),IF(AND(H3242="NIC",OR(I3242="TN",I3242="TDN",I3242="TNO2-3",I3242="NO2-3")),VLOOKUP(E3242,QCNIC_N,2,),IF(AND(H3242="UREA",OR(I3242="TN",I3242="TDN",I3242="TNO2-3",I3242="NO2-3")),VLOOKUP(E3242,QCUREA_N,2,),IF(H3242="PER",VLOOKUP(I3242,QCPER,MATCH(E3242,QCACTUAL!$J$25:$AA$25,0),),IF(H3242="SPK",VLOOKUP(I3242,QCSPK,3,),IF(AND(H3242="ATP",OR(I3242="TP",I3242="TDP")),VLOOKUP(E3242,QCATP_P,2,),""))))))))</f>
        <v/>
      </c>
      <c r="W3242" s="31" t="str">
        <f t="shared" si="367"/>
        <v>TRUE</v>
      </c>
      <c r="X3242" s="31" t="str">
        <f t="shared" si="364"/>
        <v/>
      </c>
      <c r="Y3242" s="10" t="s">
        <v>1222</v>
      </c>
      <c r="Z3242" s="10" t="s">
        <v>910</v>
      </c>
      <c r="AF3242" s="12">
        <v>44973</v>
      </c>
      <c r="AJ3242" s="10">
        <f>0.1303*4.36^2+171.81*4.36-89.924</f>
        <v>661.64455088000011</v>
      </c>
      <c r="AK3242" s="10">
        <f>-0.033*4.36^2+178.81*4.36-104.93</f>
        <v>674.0542832000001</v>
      </c>
      <c r="AL3242" s="10" t="str">
        <f t="shared" si="369"/>
        <v>FALSE</v>
      </c>
      <c r="AM3242" s="10" t="str">
        <f t="shared" si="369"/>
        <v>FALSE</v>
      </c>
      <c r="AN3242" s="10" t="str">
        <f t="shared" si="369"/>
        <v>FALSE</v>
      </c>
      <c r="AO3242" s="10" t="str">
        <f t="shared" si="370"/>
        <v>y=0.1303*4.36^2+171.81*4.36-89.924</v>
      </c>
      <c r="AP3242" s="10" t="str">
        <f t="shared" si="370"/>
        <v>y=-0.033*4.36^2+178.81*4.36-104.93</v>
      </c>
      <c r="AQ3242" s="10" t="b">
        <f>IF(AND(I3242="TP",S3242&lt;=150),VLOOKUP(AF3242,TPCalibEq150!$AZ$2:$BB$55,3,),IF(AND(I3242="TDP",S3242&lt;=150),VLOOKUP(AF3242,TPCalibEq150!$AZ$2:$BB$55,3,)))</f>
        <v>0</v>
      </c>
      <c r="AR3242" s="10" t="b">
        <f>IF(AND(I3242="TP",S3242&lt;=300),VLOOKUP(AF3242,TPCalibEq300!$AZ$2:$BB$55,3,),IF(AND(I3242="TDP",S3242&lt;=300),VLOOKUP(AF3242,TPCalibEq300!$AZ$2:$BB$55,3,)))</f>
        <v>0</v>
      </c>
      <c r="AS3242" s="10" t="b">
        <f>IF(AND(I3242="TP",S3242&lt;=500),VLOOKUP(AF3242,TPCalibEq500!$AZ$2:$BB$56,3,),IF(AND(I3242="TDP",S3242&lt;=500),VLOOKUP(AF3242,TPCalibEq500!$AZ$2:$BB$56,3,)))</f>
        <v>0</v>
      </c>
      <c r="AT3242" s="10" t="str">
        <f>IF(AND(I3242="TN",S3242&lt;=2800),VLOOKUP(AF3242,TNCalibEq2500!$AZ$2:$BB$56,3,),IF(AND(I3242="TDN",S3242&lt;=2800),VLOOKUP(AF3242,TNCalibEq2500!$AZ$2:$BB$56,3,)))</f>
        <v>y=0.1303x2+171.81x-89.924</v>
      </c>
      <c r="AU3242" s="10" t="str">
        <f>IF(I3242="TP",VLOOKUP(AF3242,TPCalibEqFull!$AZ$2:$BB$56,3),IF(I3242="TDP",VLOOKUP(AF3242,TPCalibEqFull!$AZ$2:$BB$56,3),IF(I3242="TDN",VLOOKUP(AF3242,TNCalibEqFull!$AZ$1:$BB$56,3),IF(I3242="TN",VLOOKUP(AF3242,TNCalibEqFull!$AZ$1:$BB$56,3),FALSE))))</f>
        <v>y=-0.033x2+178.81x-104.93</v>
      </c>
      <c r="AV3242" s="10" t="str">
        <f t="shared" si="368"/>
        <v>0210 14:25:00-HST-0-FIL-1-SW-UKN</v>
      </c>
    </row>
    <row r="3243" spans="1:48" s="10" customFormat="1" x14ac:dyDescent="0.55000000000000004">
      <c r="A3243" s="32">
        <v>44970</v>
      </c>
      <c r="B3243" s="33">
        <v>0.32777777777777778</v>
      </c>
      <c r="C3243" s="10" t="s">
        <v>279</v>
      </c>
      <c r="D3243" s="10">
        <v>0</v>
      </c>
      <c r="E3243" s="10" t="s">
        <v>911</v>
      </c>
      <c r="F3243" s="10">
        <v>1</v>
      </c>
      <c r="G3243" s="10" t="s">
        <v>231</v>
      </c>
      <c r="H3243" s="10" t="s">
        <v>322</v>
      </c>
      <c r="I3243" s="10" t="s">
        <v>224</v>
      </c>
      <c r="J3243" s="10">
        <v>31</v>
      </c>
      <c r="K3243" s="12">
        <v>44973</v>
      </c>
      <c r="L3243" s="33">
        <v>0.48746527777777776</v>
      </c>
      <c r="M3243" s="10">
        <v>1</v>
      </c>
      <c r="N3243" s="10" t="s">
        <v>196</v>
      </c>
      <c r="O3243" s="10">
        <v>7.65</v>
      </c>
      <c r="P3243" s="10">
        <v>0.37</v>
      </c>
      <c r="Q3243" s="10">
        <v>1260</v>
      </c>
      <c r="R3243" s="10" t="s">
        <v>170</v>
      </c>
      <c r="S3243" s="34">
        <f t="shared" si="365"/>
        <v>1261.0352574999999</v>
      </c>
      <c r="T3243" s="10" t="s">
        <v>1229</v>
      </c>
      <c r="U3243" s="34" t="str">
        <f t="shared" si="366"/>
        <v/>
      </c>
      <c r="V3243" s="31" t="str">
        <f>IF(H3243="CHK",VLOOKUP(I3243,QCCHK,3,),IF(H3243="GUP",VLOOKUP(E3243,QCGUP,2,),IF(AND(H3243="ATP",OR(I3243="TN",I3243="TDN",I3243="TNO2-3",I3243="NO2-3")),VLOOKUP(E3243,QCREC_N,2,),IF(AND(H3243="NIC",OR(I3243="TN",I3243="TDN",I3243="TNO2-3",I3243="NO2-3")),VLOOKUP(E3243,QCNIC_N,2,),IF(AND(H3243="UREA",OR(I3243="TN",I3243="TDN",I3243="TNO2-3",I3243="NO2-3")),VLOOKUP(E3243,QCUREA_N,2,),IF(H3243="PER",VLOOKUP(I3243,QCPER,MATCH(E3243,QCACTUAL!$J$25:$AA$25,0),),IF(H3243="SPK",VLOOKUP(I3243,QCSPK,3,),IF(AND(H3243="ATP",OR(I3243="TP",I3243="TDP")),VLOOKUP(E3243,QCATP_P,2,),""))))))))</f>
        <v/>
      </c>
      <c r="W3243" s="31" t="str">
        <f t="shared" si="367"/>
        <v>TRUE</v>
      </c>
      <c r="X3243" s="31" t="str">
        <f t="shared" si="364"/>
        <v/>
      </c>
      <c r="Y3243" s="10" t="s">
        <v>1222</v>
      </c>
      <c r="Z3243" s="10" t="s">
        <v>910</v>
      </c>
      <c r="AF3243" s="12">
        <v>44973</v>
      </c>
      <c r="AJ3243" s="10">
        <f>0.1303*7.65^2+171.81*7.65-89.924</f>
        <v>1232.0479817500002</v>
      </c>
      <c r="AK3243" s="10">
        <f>-0.033*7.65^2+178.81*7.65-104.93</f>
        <v>1261.0352574999999</v>
      </c>
      <c r="AL3243" s="10" t="str">
        <f t="shared" si="369"/>
        <v>FALSE</v>
      </c>
      <c r="AM3243" s="10" t="str">
        <f t="shared" si="369"/>
        <v>FALSE</v>
      </c>
      <c r="AN3243" s="10" t="str">
        <f t="shared" si="369"/>
        <v>FALSE</v>
      </c>
      <c r="AO3243" s="10" t="str">
        <f t="shared" si="370"/>
        <v>y=0.1303*7.65^2+171.81*7.65-89.924</v>
      </c>
      <c r="AP3243" s="10" t="str">
        <f t="shared" si="370"/>
        <v>y=-0.033*7.65^2+178.81*7.65-104.93</v>
      </c>
      <c r="AQ3243" s="10" t="b">
        <f>IF(AND(I3243="TP",S3243&lt;=150),VLOOKUP(AF3243,TPCalibEq150!$AZ$2:$BB$55,3,),IF(AND(I3243="TDP",S3243&lt;=150),VLOOKUP(AF3243,TPCalibEq150!$AZ$2:$BB$55,3,)))</f>
        <v>0</v>
      </c>
      <c r="AR3243" s="10" t="b">
        <f>IF(AND(I3243="TP",S3243&lt;=300),VLOOKUP(AF3243,TPCalibEq300!$AZ$2:$BB$55,3,),IF(AND(I3243="TDP",S3243&lt;=300),VLOOKUP(AF3243,TPCalibEq300!$AZ$2:$BB$55,3,)))</f>
        <v>0</v>
      </c>
      <c r="AS3243" s="10" t="b">
        <f>IF(AND(I3243="TP",S3243&lt;=500),VLOOKUP(AF3243,TPCalibEq500!$AZ$2:$BB$56,3,),IF(AND(I3243="TDP",S3243&lt;=500),VLOOKUP(AF3243,TPCalibEq500!$AZ$2:$BB$56,3,)))</f>
        <v>0</v>
      </c>
      <c r="AT3243" s="10" t="str">
        <f>IF(AND(I3243="TN",S3243&lt;=2800),VLOOKUP(AF3243,TNCalibEq2500!$AZ$2:$BB$56,3,),IF(AND(I3243="TDN",S3243&lt;=2800),VLOOKUP(AF3243,TNCalibEq2500!$AZ$2:$BB$56,3,)))</f>
        <v>y=0.1303x2+171.81x-89.924</v>
      </c>
      <c r="AU3243" s="10" t="str">
        <f>IF(I3243="TP",VLOOKUP(AF3243,TPCalibEqFull!$AZ$2:$BB$56,3),IF(I3243="TDP",VLOOKUP(AF3243,TPCalibEqFull!$AZ$2:$BB$56,3),IF(I3243="TDN",VLOOKUP(AF3243,TNCalibEqFull!$AZ$1:$BB$56,3),IF(I3243="TN",VLOOKUP(AF3243,TNCalibEqFull!$AZ$1:$BB$56,3),FALSE))))</f>
        <v>y=-0.033x2+178.81x-104.93</v>
      </c>
      <c r="AV3243" s="10" t="str">
        <f t="shared" si="368"/>
        <v>0213 07:52:00-EFK-0-FIL-1-SW-UKN</v>
      </c>
    </row>
    <row r="3244" spans="1:48" s="10" customFormat="1" x14ac:dyDescent="0.55000000000000004">
      <c r="A3244" s="32">
        <v>44970</v>
      </c>
      <c r="B3244" s="33">
        <v>0.26458333333333334</v>
      </c>
      <c r="C3244" s="10" t="s">
        <v>333</v>
      </c>
      <c r="D3244" s="10">
        <v>0</v>
      </c>
      <c r="E3244" s="10" t="s">
        <v>911</v>
      </c>
      <c r="F3244" s="10" t="s">
        <v>190</v>
      </c>
      <c r="G3244" s="10" t="s">
        <v>231</v>
      </c>
      <c r="H3244" s="10" t="s">
        <v>322</v>
      </c>
      <c r="I3244" s="10" t="s">
        <v>224</v>
      </c>
      <c r="J3244" s="10">
        <v>32</v>
      </c>
      <c r="K3244" s="12">
        <v>44973</v>
      </c>
      <c r="L3244" s="33">
        <v>0.48814814814814816</v>
      </c>
      <c r="M3244" s="10">
        <v>1</v>
      </c>
      <c r="N3244" s="10" t="s">
        <v>196</v>
      </c>
      <c r="O3244" s="10">
        <v>4.03</v>
      </c>
      <c r="P3244" s="10">
        <v>0.19500000000000001</v>
      </c>
      <c r="Q3244" s="10">
        <v>615</v>
      </c>
      <c r="R3244" s="10" t="s">
        <v>170</v>
      </c>
      <c r="S3244" s="34">
        <f t="shared" si="365"/>
        <v>615.13835030000018</v>
      </c>
      <c r="T3244" s="10" t="s">
        <v>1229</v>
      </c>
      <c r="U3244" s="34" t="str">
        <f t="shared" si="366"/>
        <v/>
      </c>
      <c r="V3244" s="31" t="str">
        <f>IF(H3244="CHK",VLOOKUP(I3244,QCCHK,3,),IF(H3244="GUP",VLOOKUP(E3244,QCGUP,2,),IF(AND(H3244="ATP",OR(I3244="TN",I3244="TDN",I3244="TNO2-3",I3244="NO2-3")),VLOOKUP(E3244,QCREC_N,2,),IF(AND(H3244="NIC",OR(I3244="TN",I3244="TDN",I3244="TNO2-3",I3244="NO2-3")),VLOOKUP(E3244,QCNIC_N,2,),IF(AND(H3244="UREA",OR(I3244="TN",I3244="TDN",I3244="TNO2-3",I3244="NO2-3")),VLOOKUP(E3244,QCUREA_N,2,),IF(H3244="PER",VLOOKUP(I3244,QCPER,MATCH(E3244,QCACTUAL!$J$25:$AA$25,0),),IF(H3244="SPK",VLOOKUP(I3244,QCSPK,3,),IF(AND(H3244="ATP",OR(I3244="TP",I3244="TDP")),VLOOKUP(E3244,QCATP_P,2,),""))))))))</f>
        <v/>
      </c>
      <c r="W3244" s="31" t="str">
        <f t="shared" si="367"/>
        <v>TRUE</v>
      </c>
      <c r="X3244" s="31" t="str">
        <f t="shared" si="364"/>
        <v/>
      </c>
      <c r="Y3244" s="10" t="s">
        <v>1222</v>
      </c>
      <c r="Z3244" s="10" t="s">
        <v>910</v>
      </c>
      <c r="AF3244" s="12">
        <v>44973</v>
      </c>
      <c r="AJ3244" s="10">
        <f>0.1303*4.03^2+171.81*4.03-89.924</f>
        <v>604.58648927000002</v>
      </c>
      <c r="AK3244" s="10">
        <f>-0.033*4.03^2+178.81*4.03-104.93</f>
        <v>615.13835030000018</v>
      </c>
      <c r="AL3244" s="10" t="str">
        <f t="shared" si="369"/>
        <v>FALSE</v>
      </c>
      <c r="AM3244" s="10" t="str">
        <f t="shared" si="369"/>
        <v>FALSE</v>
      </c>
      <c r="AN3244" s="10" t="str">
        <f t="shared" si="369"/>
        <v>FALSE</v>
      </c>
      <c r="AO3244" s="10" t="str">
        <f t="shared" si="370"/>
        <v>y=0.1303*4.03^2+171.81*4.03-89.924</v>
      </c>
      <c r="AP3244" s="10" t="str">
        <f t="shared" si="370"/>
        <v>y=-0.033*4.03^2+178.81*4.03-104.93</v>
      </c>
      <c r="AQ3244" s="10" t="b">
        <f>IF(AND(I3244="TP",S3244&lt;=150),VLOOKUP(AF3244,TPCalibEq150!$AZ$2:$BB$55,3,),IF(AND(I3244="TDP",S3244&lt;=150),VLOOKUP(AF3244,TPCalibEq150!$AZ$2:$BB$55,3,)))</f>
        <v>0</v>
      </c>
      <c r="AR3244" s="10" t="b">
        <f>IF(AND(I3244="TP",S3244&lt;=300),VLOOKUP(AF3244,TPCalibEq300!$AZ$2:$BB$55,3,),IF(AND(I3244="TDP",S3244&lt;=300),VLOOKUP(AF3244,TPCalibEq300!$AZ$2:$BB$55,3,)))</f>
        <v>0</v>
      </c>
      <c r="AS3244" s="10" t="b">
        <f>IF(AND(I3244="TP",S3244&lt;=500),VLOOKUP(AF3244,TPCalibEq500!$AZ$2:$BB$56,3,),IF(AND(I3244="TDP",S3244&lt;=500),VLOOKUP(AF3244,TPCalibEq500!$AZ$2:$BB$56,3,)))</f>
        <v>0</v>
      </c>
      <c r="AT3244" s="10" t="str">
        <f>IF(AND(I3244="TN",S3244&lt;=2800),VLOOKUP(AF3244,TNCalibEq2500!$AZ$2:$BB$56,3,),IF(AND(I3244="TDN",S3244&lt;=2800),VLOOKUP(AF3244,TNCalibEq2500!$AZ$2:$BB$56,3,)))</f>
        <v>y=0.1303x2+171.81x-89.924</v>
      </c>
      <c r="AU3244" s="10" t="str">
        <f>IF(I3244="TP",VLOOKUP(AF3244,TPCalibEqFull!$AZ$2:$BB$56,3),IF(I3244="TDP",VLOOKUP(AF3244,TPCalibEqFull!$AZ$2:$BB$56,3),IF(I3244="TDN",VLOOKUP(AF3244,TNCalibEqFull!$AZ$1:$BB$56,3),IF(I3244="TN",VLOOKUP(AF3244,TNCalibEqFull!$AZ$1:$BB$56,3),FALSE))))</f>
        <v>y=-0.033x2+178.81x-104.93</v>
      </c>
      <c r="AV3244" s="10" t="str">
        <f t="shared" si="368"/>
        <v>0213 06:21:00-HST-0-FIL-C-SW-UKN</v>
      </c>
    </row>
    <row r="3245" spans="1:48" s="10" customFormat="1" x14ac:dyDescent="0.55000000000000004">
      <c r="A3245" s="32">
        <v>44971</v>
      </c>
      <c r="B3245" s="33">
        <v>0.24097222222222223</v>
      </c>
      <c r="C3245" s="10" t="s">
        <v>279</v>
      </c>
      <c r="D3245" s="10">
        <v>0</v>
      </c>
      <c r="E3245" s="10" t="s">
        <v>911</v>
      </c>
      <c r="F3245" s="10">
        <v>1</v>
      </c>
      <c r="G3245" s="10" t="s">
        <v>231</v>
      </c>
      <c r="H3245" s="10" t="s">
        <v>322</v>
      </c>
      <c r="I3245" s="10" t="s">
        <v>224</v>
      </c>
      <c r="J3245" s="10">
        <v>33</v>
      </c>
      <c r="K3245" s="12">
        <v>44973</v>
      </c>
      <c r="L3245" s="33">
        <v>0.48883101851851851</v>
      </c>
      <c r="M3245" s="10">
        <v>1</v>
      </c>
      <c r="N3245" s="10" t="s">
        <v>196</v>
      </c>
      <c r="O3245" s="10">
        <v>7.22</v>
      </c>
      <c r="P3245" s="10">
        <v>0.34899999999999998</v>
      </c>
      <c r="Q3245" s="10">
        <v>1180</v>
      </c>
      <c r="R3245" s="10" t="s">
        <v>170</v>
      </c>
      <c r="S3245" s="34">
        <f t="shared" si="365"/>
        <v>1184.3579628</v>
      </c>
      <c r="T3245" s="10" t="s">
        <v>1229</v>
      </c>
      <c r="U3245" s="34" t="str">
        <f t="shared" si="366"/>
        <v/>
      </c>
      <c r="V3245" s="31" t="str">
        <f>IF(H3245="CHK",VLOOKUP(I3245,QCCHK,3,),IF(H3245="GUP",VLOOKUP(E3245,QCGUP,2,),IF(AND(H3245="ATP",OR(I3245="TN",I3245="TDN",I3245="TNO2-3",I3245="NO2-3")),VLOOKUP(E3245,QCREC_N,2,),IF(AND(H3245="NIC",OR(I3245="TN",I3245="TDN",I3245="TNO2-3",I3245="NO2-3")),VLOOKUP(E3245,QCNIC_N,2,),IF(AND(H3245="UREA",OR(I3245="TN",I3245="TDN",I3245="TNO2-3",I3245="NO2-3")),VLOOKUP(E3245,QCUREA_N,2,),IF(H3245="PER",VLOOKUP(I3245,QCPER,MATCH(E3245,QCACTUAL!$J$25:$AA$25,0),),IF(H3245="SPK",VLOOKUP(I3245,QCSPK,3,),IF(AND(H3245="ATP",OR(I3245="TP",I3245="TDP")),VLOOKUP(E3245,QCATP_P,2,),""))))))))</f>
        <v/>
      </c>
      <c r="W3245" s="31" t="str">
        <f t="shared" si="367"/>
        <v>TRUE</v>
      </c>
      <c r="X3245" s="31" t="str">
        <f t="shared" si="364"/>
        <v/>
      </c>
      <c r="Y3245" s="10" t="s">
        <v>1222</v>
      </c>
      <c r="AF3245" s="12">
        <v>44973</v>
      </c>
      <c r="AJ3245" s="10">
        <f>0.1303*7.22^2+171.81*7.22-89.924</f>
        <v>1157.33653052</v>
      </c>
      <c r="AK3245" s="10">
        <f>-0.033*7.22^2+178.81*7.22-104.93</f>
        <v>1184.3579628</v>
      </c>
      <c r="AL3245" s="10" t="str">
        <f t="shared" si="369"/>
        <v>FALSE</v>
      </c>
      <c r="AM3245" s="10" t="str">
        <f t="shared" si="369"/>
        <v>FALSE</v>
      </c>
      <c r="AN3245" s="10" t="str">
        <f t="shared" si="369"/>
        <v>FALSE</v>
      </c>
      <c r="AO3245" s="10" t="str">
        <f t="shared" si="370"/>
        <v>y=0.1303*7.22^2+171.81*7.22-89.924</v>
      </c>
      <c r="AP3245" s="10" t="str">
        <f t="shared" si="370"/>
        <v>y=-0.033*7.22^2+178.81*7.22-104.93</v>
      </c>
      <c r="AQ3245" s="10" t="b">
        <f>IF(AND(I3245="TP",S3245&lt;=150),VLOOKUP(AF3245,TPCalibEq150!$AZ$2:$BB$55,3,),IF(AND(I3245="TDP",S3245&lt;=150),VLOOKUP(AF3245,TPCalibEq150!$AZ$2:$BB$55,3,)))</f>
        <v>0</v>
      </c>
      <c r="AR3245" s="10" t="b">
        <f>IF(AND(I3245="TP",S3245&lt;=300),VLOOKUP(AF3245,TPCalibEq300!$AZ$2:$BB$55,3,),IF(AND(I3245="TDP",S3245&lt;=300),VLOOKUP(AF3245,TPCalibEq300!$AZ$2:$BB$55,3,)))</f>
        <v>0</v>
      </c>
      <c r="AS3245" s="10" t="b">
        <f>IF(AND(I3245="TP",S3245&lt;=500),VLOOKUP(AF3245,TPCalibEq500!$AZ$2:$BB$56,3,),IF(AND(I3245="TDP",S3245&lt;=500),VLOOKUP(AF3245,TPCalibEq500!$AZ$2:$BB$56,3,)))</f>
        <v>0</v>
      </c>
      <c r="AT3245" s="10" t="str">
        <f>IF(AND(I3245="TN",S3245&lt;=2800),VLOOKUP(AF3245,TNCalibEq2500!$AZ$2:$BB$56,3,),IF(AND(I3245="TDN",S3245&lt;=2800),VLOOKUP(AF3245,TNCalibEq2500!$AZ$2:$BB$56,3,)))</f>
        <v>y=0.1303x2+171.81x-89.924</v>
      </c>
      <c r="AU3245" s="10" t="str">
        <f>IF(I3245="TP",VLOOKUP(AF3245,TPCalibEqFull!$AZ$2:$BB$56,3),IF(I3245="TDP",VLOOKUP(AF3245,TPCalibEqFull!$AZ$2:$BB$56,3),IF(I3245="TDN",VLOOKUP(AF3245,TNCalibEqFull!$AZ$1:$BB$56,3),IF(I3245="TN",VLOOKUP(AF3245,TNCalibEqFull!$AZ$1:$BB$56,3),FALSE))))</f>
        <v>y=-0.033x2+178.81x-104.93</v>
      </c>
      <c r="AV3245" s="10" t="str">
        <f t="shared" si="368"/>
        <v>0214 05:47:00-EFK-0-FIL-1-SW-UKN</v>
      </c>
    </row>
    <row r="3246" spans="1:48" s="10" customFormat="1" x14ac:dyDescent="0.55000000000000004">
      <c r="A3246" s="32">
        <v>44971</v>
      </c>
      <c r="B3246" s="33">
        <v>0.24444444444444446</v>
      </c>
      <c r="C3246" s="10" t="s">
        <v>333</v>
      </c>
      <c r="D3246" s="10">
        <v>0</v>
      </c>
      <c r="E3246" s="10" t="s">
        <v>911</v>
      </c>
      <c r="F3246" s="10">
        <v>1</v>
      </c>
      <c r="G3246" s="10" t="s">
        <v>231</v>
      </c>
      <c r="H3246" s="10" t="s">
        <v>322</v>
      </c>
      <c r="I3246" s="10" t="s">
        <v>224</v>
      </c>
      <c r="J3246" s="10">
        <v>34</v>
      </c>
      <c r="K3246" s="12">
        <v>44973</v>
      </c>
      <c r="L3246" s="33">
        <v>0.48950231481481482</v>
      </c>
      <c r="M3246" s="10">
        <v>1</v>
      </c>
      <c r="N3246" s="10" t="s">
        <v>196</v>
      </c>
      <c r="O3246" s="10">
        <v>4.2699999999999996</v>
      </c>
      <c r="P3246" s="10">
        <v>0.20699999999999999</v>
      </c>
      <c r="Q3246" s="10">
        <v>658</v>
      </c>
      <c r="R3246" s="10" t="s">
        <v>170</v>
      </c>
      <c r="S3246" s="34">
        <f t="shared" si="365"/>
        <v>658</v>
      </c>
      <c r="T3246" s="10" t="s">
        <v>1229</v>
      </c>
      <c r="U3246" s="34" t="str">
        <f t="shared" si="366"/>
        <v/>
      </c>
      <c r="V3246" s="31" t="str">
        <f>IF(H3246="CHK",VLOOKUP(I3246,QCCHK,3,),IF(H3246="GUP",VLOOKUP(E3246,QCGUP,2,),IF(AND(H3246="ATP",OR(I3246="TN",I3246="TDN",I3246="TNO2-3",I3246="NO2-3")),VLOOKUP(E3246,QCREC_N,2,),IF(AND(H3246="NIC",OR(I3246="TN",I3246="TDN",I3246="TNO2-3",I3246="NO2-3")),VLOOKUP(E3246,QCNIC_N,2,),IF(AND(H3246="UREA",OR(I3246="TN",I3246="TDN",I3246="TNO2-3",I3246="NO2-3")),VLOOKUP(E3246,QCUREA_N,2,),IF(H3246="PER",VLOOKUP(I3246,QCPER,MATCH(E3246,QCACTUAL!$J$25:$AA$25,0),),IF(H3246="SPK",VLOOKUP(I3246,QCSPK,3,),IF(AND(H3246="ATP",OR(I3246="TP",I3246="TDP")),VLOOKUP(E3246,QCATP_P,2,),""))))))))</f>
        <v/>
      </c>
      <c r="W3246" s="31" t="str">
        <f t="shared" si="367"/>
        <v>TRUE</v>
      </c>
      <c r="X3246" s="31" t="str">
        <f t="shared" si="364"/>
        <v/>
      </c>
      <c r="Y3246" s="10" t="s">
        <v>1222</v>
      </c>
      <c r="AF3246" s="12">
        <v>44973</v>
      </c>
      <c r="AJ3246" s="10">
        <f>0.1303*4.27^2+171.81*4.27-89.924</f>
        <v>646.08044686999995</v>
      </c>
      <c r="AK3246" s="10">
        <f>-0.033*4.27^2+178.81*4.27-104.93</f>
        <v>657.98701430000006</v>
      </c>
      <c r="AL3246" s="10" t="str">
        <f t="shared" si="369"/>
        <v>FALSE</v>
      </c>
      <c r="AM3246" s="10" t="str">
        <f t="shared" si="369"/>
        <v>FALSE</v>
      </c>
      <c r="AN3246" s="10" t="str">
        <f t="shared" si="369"/>
        <v>FALSE</v>
      </c>
      <c r="AO3246" s="10" t="str">
        <f t="shared" si="370"/>
        <v>y=0.1303*4.27^2+171.81*4.27-89.924</v>
      </c>
      <c r="AP3246" s="10" t="str">
        <f t="shared" si="370"/>
        <v>y=-0.033*4.27^2+178.81*4.27-104.93</v>
      </c>
      <c r="AQ3246" s="10" t="b">
        <f>IF(AND(I3246="TP",S3246&lt;=150),VLOOKUP(AF3246,TPCalibEq150!$AZ$2:$BB$55,3,),IF(AND(I3246="TDP",S3246&lt;=150),VLOOKUP(AF3246,TPCalibEq150!$AZ$2:$BB$55,3,)))</f>
        <v>0</v>
      </c>
      <c r="AR3246" s="10" t="b">
        <f>IF(AND(I3246="TP",S3246&lt;=300),VLOOKUP(AF3246,TPCalibEq300!$AZ$2:$BB$55,3,),IF(AND(I3246="TDP",S3246&lt;=300),VLOOKUP(AF3246,TPCalibEq300!$AZ$2:$BB$55,3,)))</f>
        <v>0</v>
      </c>
      <c r="AS3246" s="10" t="b">
        <f>IF(AND(I3246="TP",S3246&lt;=500),VLOOKUP(AF3246,TPCalibEq500!$AZ$2:$BB$56,3,),IF(AND(I3246="TDP",S3246&lt;=500),VLOOKUP(AF3246,TPCalibEq500!$AZ$2:$BB$56,3,)))</f>
        <v>0</v>
      </c>
      <c r="AT3246" s="10" t="str">
        <f>IF(AND(I3246="TN",S3246&lt;=2800),VLOOKUP(AF3246,TNCalibEq2500!$AZ$2:$BB$56,3,),IF(AND(I3246="TDN",S3246&lt;=2800),VLOOKUP(AF3246,TNCalibEq2500!$AZ$2:$BB$56,3,)))</f>
        <v>y=0.1303x2+171.81x-89.924</v>
      </c>
      <c r="AU3246" s="10" t="str">
        <f>IF(I3246="TP",VLOOKUP(AF3246,TPCalibEqFull!$AZ$2:$BB$56,3),IF(I3246="TDP",VLOOKUP(AF3246,TPCalibEqFull!$AZ$2:$BB$56,3),IF(I3246="TDN",VLOOKUP(AF3246,TNCalibEqFull!$AZ$1:$BB$56,3),IF(I3246="TN",VLOOKUP(AF3246,TNCalibEqFull!$AZ$1:$BB$56,3),FALSE))))</f>
        <v>y=-0.033x2+178.81x-104.93</v>
      </c>
      <c r="AV3246" s="10" t="str">
        <f t="shared" si="368"/>
        <v>0214 05:52:00-HST-0-FIL-1-SW-UKN</v>
      </c>
    </row>
    <row r="3247" spans="1:48" s="10" customFormat="1" x14ac:dyDescent="0.55000000000000004">
      <c r="A3247" s="32">
        <v>44971</v>
      </c>
      <c r="B3247" s="33">
        <v>0.24444444444444446</v>
      </c>
      <c r="C3247" s="10" t="s">
        <v>333</v>
      </c>
      <c r="D3247" s="10">
        <v>0</v>
      </c>
      <c r="E3247" s="10" t="s">
        <v>911</v>
      </c>
      <c r="F3247" s="10">
        <v>1</v>
      </c>
      <c r="G3247" s="10" t="s">
        <v>231</v>
      </c>
      <c r="H3247" s="10" t="s">
        <v>233</v>
      </c>
      <c r="I3247" s="10" t="s">
        <v>224</v>
      </c>
      <c r="J3247" s="10">
        <v>34</v>
      </c>
      <c r="K3247" s="12">
        <v>44973</v>
      </c>
      <c r="L3247" s="33">
        <v>0.49017361111111107</v>
      </c>
      <c r="M3247" s="10">
        <v>1</v>
      </c>
      <c r="N3247" s="10" t="s">
        <v>196</v>
      </c>
      <c r="O3247" s="10">
        <v>4.29</v>
      </c>
      <c r="P3247" s="10">
        <v>0.20799999999999999</v>
      </c>
      <c r="Q3247" s="10">
        <v>661</v>
      </c>
      <c r="R3247" s="10" t="s">
        <v>170</v>
      </c>
      <c r="S3247" s="34">
        <f t="shared" si="365"/>
        <v>661.55756470000006</v>
      </c>
      <c r="T3247" s="10" t="s">
        <v>1229</v>
      </c>
      <c r="U3247" s="34">
        <f t="shared" si="366"/>
        <v>0.53920568456729134</v>
      </c>
      <c r="V3247" s="31" t="str">
        <f>IF(H3247="CHK",VLOOKUP(I3247,QCCHK,3,),IF(H3247="GUP",VLOOKUP(E3247,QCGUP,2,),IF(AND(H3247="ATP",OR(I3247="TN",I3247="TDN",I3247="TNO2-3",I3247="NO2-3")),VLOOKUP(E3247,QCREC_N,2,),IF(AND(H3247="NIC",OR(I3247="TN",I3247="TDN",I3247="TNO2-3",I3247="NO2-3")),VLOOKUP(E3247,QCNIC_N,2,),IF(AND(H3247="UREA",OR(I3247="TN",I3247="TDN",I3247="TNO2-3",I3247="NO2-3")),VLOOKUP(E3247,QCUREA_N,2,),IF(H3247="PER",VLOOKUP(I3247,QCPER,MATCH(E3247,QCACTUAL!$J$25:$AA$25,0),),IF(H3247="SPK",VLOOKUP(I3247,QCSPK,3,),IF(AND(H3247="ATP",OR(I3247="TP",I3247="TDP")),VLOOKUP(E3247,QCATP_P,2,),""))))))))</f>
        <v/>
      </c>
      <c r="W3247" s="31" t="str">
        <f t="shared" si="367"/>
        <v>TRUE</v>
      </c>
      <c r="X3247" s="31" t="str">
        <f t="shared" si="364"/>
        <v>((ABS(rep1-rep2))/((rep1+rep2)/2)*100</v>
      </c>
      <c r="Y3247" s="10" t="s">
        <v>1222</v>
      </c>
      <c r="AF3247" s="12">
        <v>44973</v>
      </c>
      <c r="AJ3247" s="10">
        <f>0.1303*4.29^2+171.81*4.29-89.924</f>
        <v>649.53895422999994</v>
      </c>
      <c r="AK3247" s="10">
        <f>-0.033*4.29^2+178.81*4.29-104.93</f>
        <v>661.55756470000006</v>
      </c>
      <c r="AL3247" s="10" t="str">
        <f t="shared" si="369"/>
        <v>FALSE</v>
      </c>
      <c r="AM3247" s="10" t="str">
        <f t="shared" si="369"/>
        <v>FALSE</v>
      </c>
      <c r="AN3247" s="10" t="str">
        <f t="shared" si="369"/>
        <v>FALSE</v>
      </c>
      <c r="AO3247" s="10" t="str">
        <f t="shared" si="370"/>
        <v>y=0.1303*4.29^2+171.81*4.29-89.924</v>
      </c>
      <c r="AP3247" s="10" t="str">
        <f t="shared" si="370"/>
        <v>y=-0.033*4.29^2+178.81*4.29-104.93</v>
      </c>
      <c r="AQ3247" s="10" t="b">
        <f>IF(AND(I3247="TP",S3247&lt;=150),VLOOKUP(AF3247,TPCalibEq150!$AZ$2:$BB$55,3,),IF(AND(I3247="TDP",S3247&lt;=150),VLOOKUP(AF3247,TPCalibEq150!$AZ$2:$BB$55,3,)))</f>
        <v>0</v>
      </c>
      <c r="AR3247" s="10" t="b">
        <f>IF(AND(I3247="TP",S3247&lt;=300),VLOOKUP(AF3247,TPCalibEq300!$AZ$2:$BB$55,3,),IF(AND(I3247="TDP",S3247&lt;=300),VLOOKUP(AF3247,TPCalibEq300!$AZ$2:$BB$55,3,)))</f>
        <v>0</v>
      </c>
      <c r="AS3247" s="10" t="b">
        <f>IF(AND(I3247="TP",S3247&lt;=500),VLOOKUP(AF3247,TPCalibEq500!$AZ$2:$BB$56,3,),IF(AND(I3247="TDP",S3247&lt;=500),VLOOKUP(AF3247,TPCalibEq500!$AZ$2:$BB$56,3,)))</f>
        <v>0</v>
      </c>
      <c r="AT3247" s="10" t="str">
        <f>IF(AND(I3247="TN",S3247&lt;=2800),VLOOKUP(AF3247,TNCalibEq2500!$AZ$2:$BB$56,3,),IF(AND(I3247="TDN",S3247&lt;=2800),VLOOKUP(AF3247,TNCalibEq2500!$AZ$2:$BB$56,3,)))</f>
        <v>y=0.1303x2+171.81x-89.924</v>
      </c>
      <c r="AU3247" s="10" t="str">
        <f>IF(I3247="TP",VLOOKUP(AF3247,TPCalibEqFull!$AZ$2:$BB$56,3),IF(I3247="TDP",VLOOKUP(AF3247,TPCalibEqFull!$AZ$2:$BB$56,3),IF(I3247="TDN",VLOOKUP(AF3247,TNCalibEqFull!$AZ$1:$BB$56,3),IF(I3247="TN",VLOOKUP(AF3247,TNCalibEqFull!$AZ$1:$BB$56,3),FALSE))))</f>
        <v>y=-0.033x2+178.81x-104.93</v>
      </c>
      <c r="AV3247" s="10" t="str">
        <f t="shared" si="368"/>
        <v>0214 05:52:00-HST-0-FIL-1-SW-DUP</v>
      </c>
    </row>
    <row r="3248" spans="1:48" s="10" customFormat="1" x14ac:dyDescent="0.55000000000000004">
      <c r="A3248" s="32">
        <v>44971</v>
      </c>
      <c r="B3248" s="33">
        <v>0.24444444444444446</v>
      </c>
      <c r="C3248" s="10" t="s">
        <v>333</v>
      </c>
      <c r="D3248" s="10">
        <v>0</v>
      </c>
      <c r="E3248" s="10" t="s">
        <v>911</v>
      </c>
      <c r="F3248" s="10">
        <v>1</v>
      </c>
      <c r="G3248" s="10" t="s">
        <v>231</v>
      </c>
      <c r="H3248" s="10" t="s">
        <v>314</v>
      </c>
      <c r="I3248" s="10" t="s">
        <v>224</v>
      </c>
      <c r="J3248" s="10">
        <v>52</v>
      </c>
      <c r="K3248" s="12">
        <v>44973</v>
      </c>
      <c r="L3248" s="33">
        <v>0.49084490740740744</v>
      </c>
      <c r="M3248" s="10">
        <v>1</v>
      </c>
      <c r="N3248" s="10" t="s">
        <v>196</v>
      </c>
      <c r="O3248" s="10">
        <v>17.899999999999999</v>
      </c>
      <c r="P3248" s="10">
        <v>0.86899999999999999</v>
      </c>
      <c r="Q3248" s="10">
        <v>3080</v>
      </c>
      <c r="R3248" s="10" t="s">
        <v>170</v>
      </c>
      <c r="S3248" s="34">
        <f t="shared" si="365"/>
        <v>3085.1954699999997</v>
      </c>
      <c r="T3248" s="10" t="s">
        <v>1229</v>
      </c>
      <c r="U3248" s="34">
        <f t="shared" si="366"/>
        <v>96.945516211999987</v>
      </c>
      <c r="V3248" s="31">
        <f>IF(H3248="CHK",VLOOKUP(I3248,QCCHK,3,),IF(H3248="GUP",VLOOKUP(E3248,QCGUP,2,),IF(AND(H3248="ATP",OR(I3248="TN",I3248="TDN",I3248="TNO2-3",I3248="NO2-3")),VLOOKUP(E3248,QCREC_N,2,),IF(AND(H3248="NIC",OR(I3248="TN",I3248="TDN",I3248="TNO2-3",I3248="NO2-3")),VLOOKUP(E3248,QCNIC_N,2,),IF(AND(H3248="UREA",OR(I3248="TN",I3248="TDN",I3248="TNO2-3",I3248="NO2-3")),VLOOKUP(E3248,QCUREA_N,2,),IF(H3248="PER",VLOOKUP(I3248,QCPER,MATCH(E3248,QCACTUAL!$J$25:$AA$25,0),),IF(H3248="SPK",VLOOKUP(I3248,QCSPK,3,),IF(AND(H3248="ATP",OR(I3248="TP",I3248="TDP")),VLOOKUP(E3248,QCATP_P,2,),""))))))))</f>
        <v>2500</v>
      </c>
      <c r="W3248" s="31" t="str">
        <f t="shared" si="367"/>
        <v>TRUE</v>
      </c>
      <c r="X3248" s="31" t="str">
        <f t="shared" si="364"/>
        <v>([spikedunkn]-[unkn])/[spike]*100</v>
      </c>
      <c r="Y3248" s="10" t="s">
        <v>1222</v>
      </c>
      <c r="AF3248" s="12">
        <v>44973</v>
      </c>
      <c r="AK3248" s="10">
        <f>-0.033*17.9^2+178.81*17.9-104.93</f>
        <v>3085.1954699999997</v>
      </c>
      <c r="AL3248" s="10" t="str">
        <f t="shared" si="369"/>
        <v>FALSE</v>
      </c>
      <c r="AM3248" s="10" t="str">
        <f t="shared" si="369"/>
        <v>FALSE</v>
      </c>
      <c r="AN3248" s="10" t="str">
        <f t="shared" si="369"/>
        <v>FALSE</v>
      </c>
      <c r="AO3248" s="10" t="str">
        <f t="shared" si="370"/>
        <v>FALSE</v>
      </c>
      <c r="AP3248" s="10" t="str">
        <f t="shared" si="370"/>
        <v>y=-0.033*17.9^2+178.81*17.9-104.93</v>
      </c>
      <c r="AQ3248" s="10" t="b">
        <f>IF(AND(I3248="TP",S3248&lt;=150),VLOOKUP(AF3248,TPCalibEq150!$AZ$2:$BB$55,3,),IF(AND(I3248="TDP",S3248&lt;=150),VLOOKUP(AF3248,TPCalibEq150!$AZ$2:$BB$55,3,)))</f>
        <v>0</v>
      </c>
      <c r="AR3248" s="10" t="b">
        <f>IF(AND(I3248="TP",S3248&lt;=300),VLOOKUP(AF3248,TPCalibEq300!$AZ$2:$BB$55,3,),IF(AND(I3248="TDP",S3248&lt;=300),VLOOKUP(AF3248,TPCalibEq300!$AZ$2:$BB$55,3,)))</f>
        <v>0</v>
      </c>
      <c r="AS3248" s="10" t="b">
        <f>IF(AND(I3248="TP",S3248&lt;=500),VLOOKUP(AF3248,TPCalibEq500!$AZ$2:$BB$56,3,),IF(AND(I3248="TDP",S3248&lt;=500),VLOOKUP(AF3248,TPCalibEq500!$AZ$2:$BB$56,3,)))</f>
        <v>0</v>
      </c>
      <c r="AT3248" s="10" t="b">
        <f>IF(AND(I3248="TN",S3248&lt;=2800),VLOOKUP(AF3248,TNCalibEq2500!$AZ$2:$BB$56,3,),IF(AND(I3248="TDN",S3248&lt;=2800),VLOOKUP(AF3248,TNCalibEq2500!$AZ$2:$BB$56,3,)))</f>
        <v>0</v>
      </c>
      <c r="AU3248" s="10" t="str">
        <f>IF(I3248="TP",VLOOKUP(AF3248,TPCalibEqFull!$AZ$2:$BB$56,3),IF(I3248="TDP",VLOOKUP(AF3248,TPCalibEqFull!$AZ$2:$BB$56,3),IF(I3248="TDN",VLOOKUP(AF3248,TNCalibEqFull!$AZ$1:$BB$56,3),IF(I3248="TN",VLOOKUP(AF3248,TNCalibEqFull!$AZ$1:$BB$56,3),FALSE))))</f>
        <v>y=-0.033x2+178.81x-104.93</v>
      </c>
      <c r="AV3248" s="10" t="str">
        <f t="shared" si="368"/>
        <v>0214 05:52:00-HST-0-FIL-1-SW-SPK</v>
      </c>
    </row>
    <row r="3249" spans="1:48" s="10" customFormat="1" x14ac:dyDescent="0.55000000000000004">
      <c r="A3249" s="32">
        <v>44972</v>
      </c>
      <c r="B3249" s="33">
        <v>0.375</v>
      </c>
      <c r="C3249" s="10" t="s">
        <v>70</v>
      </c>
      <c r="D3249" s="10" t="s">
        <v>71</v>
      </c>
      <c r="E3249" s="10" t="s">
        <v>901</v>
      </c>
      <c r="F3249" s="10">
        <v>1</v>
      </c>
      <c r="G3249" s="10" t="s">
        <v>73</v>
      </c>
      <c r="H3249" s="10" t="s">
        <v>207</v>
      </c>
      <c r="I3249" s="10" t="s">
        <v>235</v>
      </c>
      <c r="J3249" s="10">
        <v>200</v>
      </c>
      <c r="K3249" s="12">
        <v>44973</v>
      </c>
      <c r="L3249" s="33">
        <v>0.49152777777777779</v>
      </c>
      <c r="M3249" s="10">
        <v>1</v>
      </c>
      <c r="N3249" s="10" t="s">
        <v>196</v>
      </c>
      <c r="O3249" s="10">
        <v>7.69</v>
      </c>
      <c r="P3249" s="10">
        <v>0.375</v>
      </c>
      <c r="Q3249" s="10">
        <v>1270</v>
      </c>
      <c r="R3249" s="10" t="s">
        <v>170</v>
      </c>
      <c r="S3249" s="34">
        <f t="shared" si="365"/>
        <v>1270</v>
      </c>
      <c r="T3249" s="10" t="s">
        <v>1229</v>
      </c>
      <c r="U3249" s="34">
        <f t="shared" si="366"/>
        <v>101.6</v>
      </c>
      <c r="V3249" s="31">
        <f>IF(H3249="CHK",VLOOKUP(I3249,QCCHK,3,),IF(H3249="GUP",VLOOKUP(E3249,QCGUP,2,),IF(AND(H3249="ATP",OR(I3249="TN",I3249="TDN",I3249="TNO2-3",I3249="NO2-3")),VLOOKUP(E3249,QCREC_N,2,),IF(AND(H3249="NIC",OR(I3249="TN",I3249="TDN",I3249="TNO2-3",I3249="NO2-3")),VLOOKUP(E3249,QCNIC_N,2,),IF(AND(H3249="UREA",OR(I3249="TN",I3249="TDN",I3249="TNO2-3",I3249="NO2-3")),VLOOKUP(E3249,QCUREA_N,2,),IF(H3249="PER",VLOOKUP(I3249,QCPER,MATCH(E3249,QCACTUAL!$J$25:$AA$25,0),),IF(H3249="SPK",VLOOKUP(I3249,QCSPK,3,),IF(AND(H3249="ATP",OR(I3249="TP",I3249="TDP")),VLOOKUP(E3249,QCATP_P,2,),""))))))))</f>
        <v>1250</v>
      </c>
      <c r="W3249" s="31" t="str">
        <f t="shared" si="367"/>
        <v>TRUE</v>
      </c>
      <c r="X3249" s="31" t="str">
        <f t="shared" si="364"/>
        <v>[chk]/[actual]*100</v>
      </c>
      <c r="Y3249" s="10" t="s">
        <v>1222</v>
      </c>
      <c r="AF3249" s="12">
        <v>44973</v>
      </c>
      <c r="AJ3249" s="10">
        <f>0.1303*7.69^2+171.81*7.69-89.924</f>
        <v>1239.00033383</v>
      </c>
      <c r="AK3249" s="10">
        <f>-0.033*7.69^2+178.81*7.69-104.93</f>
        <v>1268.1674086999999</v>
      </c>
      <c r="AL3249" s="10" t="str">
        <f t="shared" si="369"/>
        <v>FALSE</v>
      </c>
      <c r="AM3249" s="10" t="str">
        <f t="shared" si="369"/>
        <v>FALSE</v>
      </c>
      <c r="AN3249" s="10" t="str">
        <f t="shared" si="369"/>
        <v>FALSE</v>
      </c>
      <c r="AO3249" s="10" t="str">
        <f t="shared" si="370"/>
        <v>y=0.1303*7.69^2+171.81*7.69-89.924</v>
      </c>
      <c r="AP3249" s="10" t="str">
        <f t="shared" si="370"/>
        <v>y=-0.033*7.69^2+178.81*7.69-104.93</v>
      </c>
      <c r="AQ3249" s="10" t="b">
        <f>IF(AND(I3249="TP",S3249&lt;=150),VLOOKUP(AF3249,TPCalibEq150!$AZ$2:$BB$55,3,),IF(AND(I3249="TDP",S3249&lt;=150),VLOOKUP(AF3249,TPCalibEq150!$AZ$2:$BB$55,3,)))</f>
        <v>0</v>
      </c>
      <c r="AR3249" s="10" t="b">
        <f>IF(AND(I3249="TP",S3249&lt;=300),VLOOKUP(AF3249,TPCalibEq300!$AZ$2:$BB$55,3,),IF(AND(I3249="TDP",S3249&lt;=300),VLOOKUP(AF3249,TPCalibEq300!$AZ$2:$BB$55,3,)))</f>
        <v>0</v>
      </c>
      <c r="AS3249" s="10" t="b">
        <f>IF(AND(I3249="TP",S3249&lt;=500),VLOOKUP(AF3249,TPCalibEq500!$AZ$2:$BB$56,3,),IF(AND(I3249="TDP",S3249&lt;=500),VLOOKUP(AF3249,TPCalibEq500!$AZ$2:$BB$56,3,)))</f>
        <v>0</v>
      </c>
      <c r="AT3249" s="10" t="str">
        <f>IF(AND(I3249="TN",S3249&lt;=2800),VLOOKUP(AF3249,TNCalibEq2500!$AZ$2:$BB$56,3,),IF(AND(I3249="TDN",S3249&lt;=2800),VLOOKUP(AF3249,TNCalibEq2500!$AZ$2:$BB$56,3,)))</f>
        <v>y=0.1303x2+171.81x-89.924</v>
      </c>
      <c r="AU3249" s="10" t="str">
        <f>IF(I3249="TP",VLOOKUP(AF3249,TPCalibEqFull!$AZ$2:$BB$56,3),IF(I3249="TDP",VLOOKUP(AF3249,TPCalibEqFull!$AZ$2:$BB$56,3),IF(I3249="TDN",VLOOKUP(AF3249,TNCalibEqFull!$AZ$1:$BB$56,3),IF(I3249="TN",VLOOKUP(AF3249,TNCalibEqFull!$AZ$1:$BB$56,3),FALSE))))</f>
        <v>y=-0.033x2+178.81x-104.93</v>
      </c>
      <c r="AV3249" s="10" t="str">
        <f t="shared" si="368"/>
        <v>0215 09:00:00-QAC-STD-D-1-DI-CHK</v>
      </c>
    </row>
    <row r="3250" spans="1:48" s="10" customFormat="1" x14ac:dyDescent="0.55000000000000004">
      <c r="A3250" s="32">
        <v>44970</v>
      </c>
      <c r="B3250" s="33">
        <v>0.36944444444444446</v>
      </c>
      <c r="C3250" s="10" t="s">
        <v>998</v>
      </c>
      <c r="D3250" s="10">
        <v>0</v>
      </c>
      <c r="E3250" s="10" t="s">
        <v>911</v>
      </c>
      <c r="F3250" s="10">
        <v>1</v>
      </c>
      <c r="G3250" s="10" t="s">
        <v>231</v>
      </c>
      <c r="H3250" s="10" t="s">
        <v>322</v>
      </c>
      <c r="I3250" s="10" t="s">
        <v>224</v>
      </c>
      <c r="J3250" s="10">
        <v>35</v>
      </c>
      <c r="K3250" s="12">
        <v>44973</v>
      </c>
      <c r="L3250" s="33">
        <v>0.49219907407407404</v>
      </c>
      <c r="M3250" s="10">
        <v>1</v>
      </c>
      <c r="N3250" s="10" t="s">
        <v>196</v>
      </c>
      <c r="O3250" s="10">
        <v>9.27</v>
      </c>
      <c r="P3250" s="10">
        <v>0.45</v>
      </c>
      <c r="Q3250" s="10">
        <v>1550</v>
      </c>
      <c r="R3250" s="10" t="s">
        <v>170</v>
      </c>
      <c r="S3250" s="34">
        <f t="shared" si="365"/>
        <v>1550</v>
      </c>
      <c r="T3250" s="10" t="s">
        <v>1229</v>
      </c>
      <c r="U3250" s="34" t="str">
        <f t="shared" si="366"/>
        <v/>
      </c>
      <c r="V3250" s="31" t="str">
        <f>IF(H3250="CHK",VLOOKUP(I3250,QCCHK,3,),IF(H3250="GUP",VLOOKUP(E3250,QCGUP,2,),IF(AND(H3250="ATP",OR(I3250="TN",I3250="TDN",I3250="TNO2-3",I3250="NO2-3")),VLOOKUP(E3250,QCREC_N,2,),IF(AND(H3250="NIC",OR(I3250="TN",I3250="TDN",I3250="TNO2-3",I3250="NO2-3")),VLOOKUP(E3250,QCNIC_N,2,),IF(AND(H3250="UREA",OR(I3250="TN",I3250="TDN",I3250="TNO2-3",I3250="NO2-3")),VLOOKUP(E3250,QCUREA_N,2,),IF(H3250="PER",VLOOKUP(I3250,QCPER,MATCH(E3250,QCACTUAL!$J$25:$AA$25,0),),IF(H3250="SPK",VLOOKUP(I3250,QCSPK,3,),IF(AND(H3250="ATP",OR(I3250="TP",I3250="TDP")),VLOOKUP(E3250,QCATP_P,2,),""))))))))</f>
        <v/>
      </c>
      <c r="W3250" s="31" t="str">
        <f t="shared" si="367"/>
        <v>TRUE</v>
      </c>
      <c r="X3250" s="31" t="str">
        <f t="shared" si="364"/>
        <v/>
      </c>
      <c r="Y3250" s="10" t="s">
        <v>1222</v>
      </c>
      <c r="Z3250" s="10" t="s">
        <v>910</v>
      </c>
      <c r="AF3250" s="12">
        <v>44973</v>
      </c>
      <c r="AJ3250" s="10">
        <f>0.1303*9.27^2+171.81*9.27-89.924</f>
        <v>1513.9517568700001</v>
      </c>
      <c r="AK3250" s="10">
        <f>-0.033*9.27^2+178.81*9.27-104.93</f>
        <v>1549.8029142999999</v>
      </c>
      <c r="AL3250" s="10" t="str">
        <f t="shared" si="369"/>
        <v>FALSE</v>
      </c>
      <c r="AM3250" s="10" t="str">
        <f t="shared" si="369"/>
        <v>FALSE</v>
      </c>
      <c r="AN3250" s="10" t="str">
        <f t="shared" si="369"/>
        <v>FALSE</v>
      </c>
      <c r="AO3250" s="10" t="str">
        <f t="shared" si="370"/>
        <v>y=0.1303*9.27^2+171.81*9.27-89.924</v>
      </c>
      <c r="AP3250" s="10" t="str">
        <f t="shared" si="370"/>
        <v>y=-0.033*9.27^2+178.81*9.27-104.93</v>
      </c>
      <c r="AQ3250" s="10" t="b">
        <f>IF(AND(I3250="TP",S3250&lt;=150),VLOOKUP(AF3250,TPCalibEq150!$AZ$2:$BB$55,3,),IF(AND(I3250="TDP",S3250&lt;=150),VLOOKUP(AF3250,TPCalibEq150!$AZ$2:$BB$55,3,)))</f>
        <v>0</v>
      </c>
      <c r="AR3250" s="10" t="b">
        <f>IF(AND(I3250="TP",S3250&lt;=300),VLOOKUP(AF3250,TPCalibEq300!$AZ$2:$BB$55,3,),IF(AND(I3250="TDP",S3250&lt;=300),VLOOKUP(AF3250,TPCalibEq300!$AZ$2:$BB$55,3,)))</f>
        <v>0</v>
      </c>
      <c r="AS3250" s="10" t="b">
        <f>IF(AND(I3250="TP",S3250&lt;=500),VLOOKUP(AF3250,TPCalibEq500!$AZ$2:$BB$56,3,),IF(AND(I3250="TDP",S3250&lt;=500),VLOOKUP(AF3250,TPCalibEq500!$AZ$2:$BB$56,3,)))</f>
        <v>0</v>
      </c>
      <c r="AT3250" s="10" t="str">
        <f>IF(AND(I3250="TN",S3250&lt;=2800),VLOOKUP(AF3250,TNCalibEq2500!$AZ$2:$BB$56,3,),IF(AND(I3250="TDN",S3250&lt;=2800),VLOOKUP(AF3250,TNCalibEq2500!$AZ$2:$BB$56,3,)))</f>
        <v>y=0.1303x2+171.81x-89.924</v>
      </c>
      <c r="AU3250" s="10" t="str">
        <f>IF(I3250="TP",VLOOKUP(AF3250,TPCalibEqFull!$AZ$2:$BB$56,3),IF(I3250="TDP",VLOOKUP(AF3250,TPCalibEqFull!$AZ$2:$BB$56,3),IF(I3250="TDN",VLOOKUP(AF3250,TNCalibEqFull!$AZ$1:$BB$56,3),IF(I3250="TN",VLOOKUP(AF3250,TNCalibEqFull!$AZ$1:$BB$56,3),FALSE))))</f>
        <v>y=-0.033x2+178.81x-104.93</v>
      </c>
      <c r="AV3250" s="10" t="str">
        <f t="shared" si="368"/>
        <v>0213 08:52:00-ELW-0-FIL-1-SW-UKN</v>
      </c>
    </row>
    <row r="3251" spans="1:48" s="10" customFormat="1" x14ac:dyDescent="0.55000000000000004">
      <c r="A3251" s="32">
        <v>44970</v>
      </c>
      <c r="B3251" s="33">
        <v>0.3840277777777778</v>
      </c>
      <c r="C3251" s="10" t="s">
        <v>270</v>
      </c>
      <c r="D3251" s="10">
        <v>0</v>
      </c>
      <c r="E3251" s="10" t="s">
        <v>911</v>
      </c>
      <c r="F3251" s="10">
        <v>1</v>
      </c>
      <c r="G3251" s="10" t="s">
        <v>231</v>
      </c>
      <c r="H3251" s="10" t="s">
        <v>322</v>
      </c>
      <c r="I3251" s="10" t="s">
        <v>224</v>
      </c>
      <c r="J3251" s="10">
        <v>36</v>
      </c>
      <c r="K3251" s="12">
        <v>44973</v>
      </c>
      <c r="L3251" s="33">
        <v>0.49287037037037035</v>
      </c>
      <c r="M3251" s="10">
        <v>1</v>
      </c>
      <c r="N3251" s="10" t="s">
        <v>196</v>
      </c>
      <c r="O3251" s="10">
        <v>3.88</v>
      </c>
      <c r="P3251" s="10">
        <v>0.19</v>
      </c>
      <c r="Q3251" s="10">
        <v>589</v>
      </c>
      <c r="R3251" s="10" t="s">
        <v>170</v>
      </c>
      <c r="S3251" s="34">
        <f t="shared" si="365"/>
        <v>589</v>
      </c>
      <c r="T3251" s="10" t="s">
        <v>1229</v>
      </c>
      <c r="U3251" s="34" t="str">
        <f t="shared" si="366"/>
        <v/>
      </c>
      <c r="V3251" s="31" t="str">
        <f>IF(H3251="CHK",VLOOKUP(I3251,QCCHK,3,),IF(H3251="GUP",VLOOKUP(E3251,QCGUP,2,),IF(AND(H3251="ATP",OR(I3251="TN",I3251="TDN",I3251="TNO2-3",I3251="NO2-3")),VLOOKUP(E3251,QCREC_N,2,),IF(AND(H3251="NIC",OR(I3251="TN",I3251="TDN",I3251="TNO2-3",I3251="NO2-3")),VLOOKUP(E3251,QCNIC_N,2,),IF(AND(H3251="UREA",OR(I3251="TN",I3251="TDN",I3251="TNO2-3",I3251="NO2-3")),VLOOKUP(E3251,QCUREA_N,2,),IF(H3251="PER",VLOOKUP(I3251,QCPER,MATCH(E3251,QCACTUAL!$J$25:$AA$25,0),),IF(H3251="SPK",VLOOKUP(I3251,QCSPK,3,),IF(AND(H3251="ATP",OR(I3251="TP",I3251="TDP")),VLOOKUP(E3251,QCATP_P,2,),""))))))))</f>
        <v/>
      </c>
      <c r="W3251" s="31" t="str">
        <f t="shared" si="367"/>
        <v>TRUE</v>
      </c>
      <c r="X3251" s="31" t="str">
        <f t="shared" si="364"/>
        <v/>
      </c>
      <c r="Y3251" s="10" t="s">
        <v>1222</v>
      </c>
      <c r="Z3251" s="10" t="s">
        <v>910</v>
      </c>
      <c r="AF3251" s="12">
        <v>44973</v>
      </c>
      <c r="AJ3251" s="10">
        <f>0.1303*3.88^2+171.81*3.88-89.924</f>
        <v>578.66038832000004</v>
      </c>
      <c r="AK3251" s="10">
        <f>-0.033*3.88^2+178.81*3.88-104.93</f>
        <v>588.35600479999994</v>
      </c>
      <c r="AL3251" s="10" t="str">
        <f t="shared" si="369"/>
        <v>FALSE</v>
      </c>
      <c r="AM3251" s="10" t="str">
        <f t="shared" si="369"/>
        <v>FALSE</v>
      </c>
      <c r="AN3251" s="10" t="str">
        <f t="shared" si="369"/>
        <v>FALSE</v>
      </c>
      <c r="AO3251" s="10" t="str">
        <f t="shared" si="370"/>
        <v>y=0.1303*3.88^2+171.81*3.88-89.924</v>
      </c>
      <c r="AP3251" s="10" t="str">
        <f t="shared" si="370"/>
        <v>y=-0.033*3.88^2+178.81*3.88-104.93</v>
      </c>
      <c r="AQ3251" s="10" t="b">
        <f>IF(AND(I3251="TP",S3251&lt;=150),VLOOKUP(AF3251,TPCalibEq150!$AZ$2:$BB$55,3,),IF(AND(I3251="TDP",S3251&lt;=150),VLOOKUP(AF3251,TPCalibEq150!$AZ$2:$BB$55,3,)))</f>
        <v>0</v>
      </c>
      <c r="AR3251" s="10" t="b">
        <f>IF(AND(I3251="TP",S3251&lt;=300),VLOOKUP(AF3251,TPCalibEq300!$AZ$2:$BB$55,3,),IF(AND(I3251="TDP",S3251&lt;=300),VLOOKUP(AF3251,TPCalibEq300!$AZ$2:$BB$55,3,)))</f>
        <v>0</v>
      </c>
      <c r="AS3251" s="10" t="b">
        <f>IF(AND(I3251="TP",S3251&lt;=500),VLOOKUP(AF3251,TPCalibEq500!$AZ$2:$BB$56,3,),IF(AND(I3251="TDP",S3251&lt;=500),VLOOKUP(AF3251,TPCalibEq500!$AZ$2:$BB$56,3,)))</f>
        <v>0</v>
      </c>
      <c r="AT3251" s="10" t="str">
        <f>IF(AND(I3251="TN",S3251&lt;=2800),VLOOKUP(AF3251,TNCalibEq2500!$AZ$2:$BB$56,3,),IF(AND(I3251="TDN",S3251&lt;=2800),VLOOKUP(AF3251,TNCalibEq2500!$AZ$2:$BB$56,3,)))</f>
        <v>y=0.1303x2+171.81x-89.924</v>
      </c>
      <c r="AU3251" s="10" t="str">
        <f>IF(I3251="TP",VLOOKUP(AF3251,TPCalibEqFull!$AZ$2:$BB$56,3),IF(I3251="TDP",VLOOKUP(AF3251,TPCalibEqFull!$AZ$2:$BB$56,3),IF(I3251="TDN",VLOOKUP(AF3251,TNCalibEqFull!$AZ$1:$BB$56,3),IF(I3251="TN",VLOOKUP(AF3251,TNCalibEqFull!$AZ$1:$BB$56,3),FALSE))))</f>
        <v>y=-0.033x2+178.81x-104.93</v>
      </c>
      <c r="AV3251" s="10" t="str">
        <f t="shared" si="368"/>
        <v>0213 09:13:00-EFG-0-FIL-1-SW-UKN</v>
      </c>
    </row>
    <row r="3252" spans="1:48" s="10" customFormat="1" x14ac:dyDescent="0.55000000000000004">
      <c r="A3252" s="32">
        <v>44970</v>
      </c>
      <c r="B3252" s="33">
        <v>0.3923611111111111</v>
      </c>
      <c r="C3252" s="10" t="s">
        <v>540</v>
      </c>
      <c r="D3252" s="10">
        <v>0</v>
      </c>
      <c r="E3252" s="10" t="s">
        <v>911</v>
      </c>
      <c r="F3252" s="10">
        <v>1</v>
      </c>
      <c r="G3252" s="10" t="s">
        <v>231</v>
      </c>
      <c r="H3252" s="10" t="s">
        <v>322</v>
      </c>
      <c r="I3252" s="10" t="s">
        <v>224</v>
      </c>
      <c r="J3252" s="10">
        <v>37</v>
      </c>
      <c r="K3252" s="12">
        <v>44973</v>
      </c>
      <c r="L3252" s="33">
        <v>0.49353009259259256</v>
      </c>
      <c r="M3252" s="10">
        <v>1</v>
      </c>
      <c r="N3252" s="10" t="s">
        <v>196</v>
      </c>
      <c r="O3252" s="10">
        <v>6.65</v>
      </c>
      <c r="P3252" s="10">
        <v>0.32200000000000001</v>
      </c>
      <c r="Q3252" s="10">
        <v>1080</v>
      </c>
      <c r="R3252" s="10" t="s">
        <v>170</v>
      </c>
      <c r="S3252" s="34">
        <f t="shared" si="365"/>
        <v>1082.6971575</v>
      </c>
      <c r="T3252" s="10" t="s">
        <v>1229</v>
      </c>
      <c r="U3252" s="34" t="str">
        <f t="shared" si="366"/>
        <v/>
      </c>
      <c r="V3252" s="31" t="str">
        <f>IF(H3252="CHK",VLOOKUP(I3252,QCCHK,3,),IF(H3252="GUP",VLOOKUP(E3252,QCGUP,2,),IF(AND(H3252="ATP",OR(I3252="TN",I3252="TDN",I3252="TNO2-3",I3252="NO2-3")),VLOOKUP(E3252,QCREC_N,2,),IF(AND(H3252="NIC",OR(I3252="TN",I3252="TDN",I3252="TNO2-3",I3252="NO2-3")),VLOOKUP(E3252,QCNIC_N,2,),IF(AND(H3252="UREA",OR(I3252="TN",I3252="TDN",I3252="TNO2-3",I3252="NO2-3")),VLOOKUP(E3252,QCUREA_N,2,),IF(H3252="PER",VLOOKUP(I3252,QCPER,MATCH(E3252,QCACTUAL!$J$25:$AA$25,0),),IF(H3252="SPK",VLOOKUP(I3252,QCSPK,3,),IF(AND(H3252="ATP",OR(I3252="TP",I3252="TDP")),VLOOKUP(E3252,QCATP_P,2,),""))))))))</f>
        <v/>
      </c>
      <c r="W3252" s="31" t="str">
        <f t="shared" si="367"/>
        <v>TRUE</v>
      </c>
      <c r="X3252" s="31" t="str">
        <f t="shared" si="364"/>
        <v/>
      </c>
      <c r="Y3252" s="10" t="s">
        <v>1222</v>
      </c>
      <c r="Z3252" s="10" t="s">
        <v>910</v>
      </c>
      <c r="AF3252" s="12">
        <v>44973</v>
      </c>
      <c r="AJ3252" s="10">
        <f>0.1303*6.65^2+171.81*6.65-89.924</f>
        <v>1058.3746917500002</v>
      </c>
      <c r="AK3252" s="10">
        <f>-0.033*6.65^2+178.81*6.65-104.93</f>
        <v>1082.6971575</v>
      </c>
      <c r="AL3252" s="10" t="str">
        <f t="shared" si="369"/>
        <v>FALSE</v>
      </c>
      <c r="AM3252" s="10" t="str">
        <f t="shared" si="369"/>
        <v>FALSE</v>
      </c>
      <c r="AN3252" s="10" t="str">
        <f t="shared" si="369"/>
        <v>FALSE</v>
      </c>
      <c r="AO3252" s="10" t="str">
        <f t="shared" si="370"/>
        <v>y=0.1303*6.65^2+171.81*6.65-89.924</v>
      </c>
      <c r="AP3252" s="10" t="str">
        <f t="shared" si="370"/>
        <v>y=-0.033*6.65^2+178.81*6.65-104.93</v>
      </c>
      <c r="AQ3252" s="10" t="b">
        <f>IF(AND(I3252="TP",S3252&lt;=150),VLOOKUP(AF3252,TPCalibEq150!$AZ$2:$BB$55,3,),IF(AND(I3252="TDP",S3252&lt;=150),VLOOKUP(AF3252,TPCalibEq150!$AZ$2:$BB$55,3,)))</f>
        <v>0</v>
      </c>
      <c r="AR3252" s="10" t="b">
        <f>IF(AND(I3252="TP",S3252&lt;=300),VLOOKUP(AF3252,TPCalibEq300!$AZ$2:$BB$55,3,),IF(AND(I3252="TDP",S3252&lt;=300),VLOOKUP(AF3252,TPCalibEq300!$AZ$2:$BB$55,3,)))</f>
        <v>0</v>
      </c>
      <c r="AS3252" s="10" t="b">
        <f>IF(AND(I3252="TP",S3252&lt;=500),VLOOKUP(AF3252,TPCalibEq500!$AZ$2:$BB$56,3,),IF(AND(I3252="TDP",S3252&lt;=500),VLOOKUP(AF3252,TPCalibEq500!$AZ$2:$BB$56,3,)))</f>
        <v>0</v>
      </c>
      <c r="AT3252" s="10" t="str">
        <f>IF(AND(I3252="TN",S3252&lt;=2800),VLOOKUP(AF3252,TNCalibEq2500!$AZ$2:$BB$56,3,),IF(AND(I3252="TDN",S3252&lt;=2800),VLOOKUP(AF3252,TNCalibEq2500!$AZ$2:$BB$56,3,)))</f>
        <v>y=0.1303x2+171.81x-89.924</v>
      </c>
      <c r="AU3252" s="10" t="str">
        <f>IF(I3252="TP",VLOOKUP(AF3252,TPCalibEqFull!$AZ$2:$BB$56,3),IF(I3252="TDP",VLOOKUP(AF3252,TPCalibEqFull!$AZ$2:$BB$56,3),IF(I3252="TDN",VLOOKUP(AF3252,TNCalibEqFull!$AZ$1:$BB$56,3),IF(I3252="TN",VLOOKUP(AF3252,TNCalibEqFull!$AZ$1:$BB$56,3),FALSE))))</f>
        <v>y=-0.033x2+178.81x-104.93</v>
      </c>
      <c r="AV3252" s="10" t="str">
        <f t="shared" si="368"/>
        <v>0213 09:25:00-S50-0-FIL-1-SW-UKN</v>
      </c>
    </row>
    <row r="3253" spans="1:48" s="10" customFormat="1" x14ac:dyDescent="0.55000000000000004">
      <c r="A3253" s="32">
        <v>44970</v>
      </c>
      <c r="B3253" s="33">
        <v>0.41597222222222219</v>
      </c>
      <c r="C3253" s="10" t="s">
        <v>528</v>
      </c>
      <c r="D3253" s="10">
        <v>0</v>
      </c>
      <c r="E3253" s="10" t="s">
        <v>911</v>
      </c>
      <c r="F3253" s="10">
        <v>1</v>
      </c>
      <c r="G3253" s="10" t="s">
        <v>231</v>
      </c>
      <c r="H3253" s="10" t="s">
        <v>322</v>
      </c>
      <c r="I3253" s="10" t="s">
        <v>224</v>
      </c>
      <c r="J3253" s="10">
        <v>38</v>
      </c>
      <c r="K3253" s="12">
        <v>44973</v>
      </c>
      <c r="L3253" s="33">
        <v>0.49420138888888893</v>
      </c>
      <c r="M3253" s="10">
        <v>1</v>
      </c>
      <c r="N3253" s="10" t="s">
        <v>196</v>
      </c>
      <c r="O3253" s="10">
        <v>11.8</v>
      </c>
      <c r="P3253" s="10">
        <v>0.57199999999999995</v>
      </c>
      <c r="Q3253" s="10">
        <v>2000</v>
      </c>
      <c r="R3253" s="10" t="s">
        <v>170</v>
      </c>
      <c r="S3253" s="34">
        <f t="shared" si="365"/>
        <v>2000.43308</v>
      </c>
      <c r="T3253" s="10" t="s">
        <v>1229</v>
      </c>
      <c r="U3253" s="34" t="str">
        <f t="shared" si="366"/>
        <v/>
      </c>
      <c r="V3253" s="31" t="str">
        <f>IF(H3253="CHK",VLOOKUP(I3253,QCCHK,3,),IF(H3253="GUP",VLOOKUP(E3253,QCGUP,2,),IF(AND(H3253="ATP",OR(I3253="TN",I3253="TDN",I3253="TNO2-3",I3253="NO2-3")),VLOOKUP(E3253,QCREC_N,2,),IF(AND(H3253="NIC",OR(I3253="TN",I3253="TDN",I3253="TNO2-3",I3253="NO2-3")),VLOOKUP(E3253,QCNIC_N,2,),IF(AND(H3253="UREA",OR(I3253="TN",I3253="TDN",I3253="TNO2-3",I3253="NO2-3")),VLOOKUP(E3253,QCUREA_N,2,),IF(H3253="PER",VLOOKUP(I3253,QCPER,MATCH(E3253,QCACTUAL!$J$25:$AA$25,0),),IF(H3253="SPK",VLOOKUP(I3253,QCSPK,3,),IF(AND(H3253="ATP",OR(I3253="TP",I3253="TDP")),VLOOKUP(E3253,QCATP_P,2,),""))))))))</f>
        <v/>
      </c>
      <c r="W3253" s="31" t="str">
        <f t="shared" si="367"/>
        <v>TRUE</v>
      </c>
      <c r="X3253" s="31" t="str">
        <f t="shared" si="364"/>
        <v/>
      </c>
      <c r="Y3253" s="10" t="s">
        <v>1222</v>
      </c>
      <c r="Z3253" s="10" t="s">
        <v>910</v>
      </c>
      <c r="AF3253" s="12">
        <v>44973</v>
      </c>
      <c r="AJ3253" s="10">
        <f>0.1303*11.8^2+171.81*11.8-89.924</f>
        <v>1955.5769720000003</v>
      </c>
      <c r="AK3253" s="10">
        <f>-0.033*11.8^2+178.81*11.8-104.93</f>
        <v>2000.43308</v>
      </c>
      <c r="AL3253" s="10" t="str">
        <f t="shared" si="369"/>
        <v>FALSE</v>
      </c>
      <c r="AM3253" s="10" t="str">
        <f t="shared" si="369"/>
        <v>FALSE</v>
      </c>
      <c r="AN3253" s="10" t="str">
        <f t="shared" si="369"/>
        <v>FALSE</v>
      </c>
      <c r="AO3253" s="10" t="str">
        <f t="shared" si="370"/>
        <v>y=0.1303*11.8^2+171.81*11.8-89.924</v>
      </c>
      <c r="AP3253" s="10" t="str">
        <f t="shared" si="370"/>
        <v>y=-0.033*11.8^2+178.81*11.8-104.93</v>
      </c>
      <c r="AQ3253" s="10" t="b">
        <f>IF(AND(I3253="TP",S3253&lt;=150),VLOOKUP(AF3253,TPCalibEq150!$AZ$2:$BB$55,3,),IF(AND(I3253="TDP",S3253&lt;=150),VLOOKUP(AF3253,TPCalibEq150!$AZ$2:$BB$55,3,)))</f>
        <v>0</v>
      </c>
      <c r="AR3253" s="10" t="b">
        <f>IF(AND(I3253="TP",S3253&lt;=300),VLOOKUP(AF3253,TPCalibEq300!$AZ$2:$BB$55,3,),IF(AND(I3253="TDP",S3253&lt;=300),VLOOKUP(AF3253,TPCalibEq300!$AZ$2:$BB$55,3,)))</f>
        <v>0</v>
      </c>
      <c r="AS3253" s="10" t="b">
        <f>IF(AND(I3253="TP",S3253&lt;=500),VLOOKUP(AF3253,TPCalibEq500!$AZ$2:$BB$56,3,),IF(AND(I3253="TDP",S3253&lt;=500),VLOOKUP(AF3253,TPCalibEq500!$AZ$2:$BB$56,3,)))</f>
        <v>0</v>
      </c>
      <c r="AT3253" s="10" t="str">
        <f>IF(AND(I3253="TN",S3253&lt;=2800),VLOOKUP(AF3253,TNCalibEq2500!$AZ$2:$BB$56,3,),IF(AND(I3253="TDN",S3253&lt;=2800),VLOOKUP(AF3253,TNCalibEq2500!$AZ$2:$BB$56,3,)))</f>
        <v>y=0.1303x2+171.81x-89.924</v>
      </c>
      <c r="AU3253" s="10" t="str">
        <f>IF(I3253="TP",VLOOKUP(AF3253,TPCalibEqFull!$AZ$2:$BB$56,3),IF(I3253="TDP",VLOOKUP(AF3253,TPCalibEqFull!$AZ$2:$BB$56,3),IF(I3253="TDN",VLOOKUP(AF3253,TNCalibEqFull!$AZ$1:$BB$56,3),IF(I3253="TN",VLOOKUP(AF3253,TNCalibEqFull!$AZ$1:$BB$56,3),FALSE))))</f>
        <v>y=-0.033x2+178.81x-104.93</v>
      </c>
      <c r="AV3253" s="10" t="str">
        <f t="shared" si="368"/>
        <v>0213 09:59:00-P04-0-FIL-1-SW-UKN</v>
      </c>
    </row>
    <row r="3254" spans="1:48" s="10" customFormat="1" x14ac:dyDescent="0.55000000000000004">
      <c r="A3254" s="32">
        <v>44970</v>
      </c>
      <c r="B3254" s="33">
        <v>0.42777777777777781</v>
      </c>
      <c r="C3254" s="10">
        <v>506</v>
      </c>
      <c r="D3254" s="10">
        <v>0</v>
      </c>
      <c r="E3254" s="10" t="s">
        <v>911</v>
      </c>
      <c r="F3254" s="10">
        <v>1</v>
      </c>
      <c r="G3254" s="10" t="s">
        <v>231</v>
      </c>
      <c r="H3254" s="10" t="s">
        <v>322</v>
      </c>
      <c r="I3254" s="10" t="s">
        <v>224</v>
      </c>
      <c r="J3254" s="10">
        <v>39</v>
      </c>
      <c r="K3254" s="12">
        <v>44973</v>
      </c>
      <c r="L3254" s="33">
        <v>0.49487268518518518</v>
      </c>
      <c r="M3254" s="10">
        <v>1</v>
      </c>
      <c r="N3254" s="10" t="s">
        <v>196</v>
      </c>
      <c r="O3254" s="10">
        <v>6.38</v>
      </c>
      <c r="P3254" s="10">
        <v>0.311</v>
      </c>
      <c r="Q3254" s="10">
        <v>1030</v>
      </c>
      <c r="R3254" s="10" t="s">
        <v>170</v>
      </c>
      <c r="S3254" s="34">
        <f t="shared" si="365"/>
        <v>1034.5345548</v>
      </c>
      <c r="T3254" s="10" t="s">
        <v>1229</v>
      </c>
      <c r="U3254" s="34" t="str">
        <f t="shared" si="366"/>
        <v/>
      </c>
      <c r="V3254" s="31" t="str">
        <f>IF(H3254="CHK",VLOOKUP(I3254,QCCHK,3,),IF(H3254="GUP",VLOOKUP(E3254,QCGUP,2,),IF(AND(H3254="ATP",OR(I3254="TN",I3254="TDN",I3254="TNO2-3",I3254="NO2-3")),VLOOKUP(E3254,QCREC_N,2,),IF(AND(H3254="NIC",OR(I3254="TN",I3254="TDN",I3254="TNO2-3",I3254="NO2-3")),VLOOKUP(E3254,QCNIC_N,2,),IF(AND(H3254="UREA",OR(I3254="TN",I3254="TDN",I3254="TNO2-3",I3254="NO2-3")),VLOOKUP(E3254,QCUREA_N,2,),IF(H3254="PER",VLOOKUP(I3254,QCPER,MATCH(E3254,QCACTUAL!$J$25:$AA$25,0),),IF(H3254="SPK",VLOOKUP(I3254,QCSPK,3,),IF(AND(H3254="ATP",OR(I3254="TP",I3254="TDP")),VLOOKUP(E3254,QCATP_P,2,),""))))))))</f>
        <v/>
      </c>
      <c r="W3254" s="31" t="str">
        <f t="shared" si="367"/>
        <v>TRUE</v>
      </c>
      <c r="X3254" s="31" t="str">
        <f t="shared" si="364"/>
        <v/>
      </c>
      <c r="Y3254" s="10" t="s">
        <v>1222</v>
      </c>
      <c r="Z3254" s="10" t="s">
        <v>910</v>
      </c>
      <c r="AF3254" s="12">
        <v>44973</v>
      </c>
      <c r="AJ3254" s="10">
        <f>0.1303*6.38^2+171.81*6.38-89.924</f>
        <v>1011.5275833200001</v>
      </c>
      <c r="AK3254" s="10">
        <f>-0.033*6.38^2+178.81*6.38-104.93</f>
        <v>1034.5345548</v>
      </c>
      <c r="AL3254" s="10" t="str">
        <f t="shared" si="369"/>
        <v>FALSE</v>
      </c>
      <c r="AM3254" s="10" t="str">
        <f t="shared" si="369"/>
        <v>FALSE</v>
      </c>
      <c r="AN3254" s="10" t="str">
        <f t="shared" si="369"/>
        <v>FALSE</v>
      </c>
      <c r="AO3254" s="10" t="str">
        <f t="shared" si="370"/>
        <v>y=0.1303*6.38^2+171.81*6.38-89.924</v>
      </c>
      <c r="AP3254" s="10" t="str">
        <f t="shared" si="370"/>
        <v>y=-0.033*6.38^2+178.81*6.38-104.93</v>
      </c>
      <c r="AQ3254" s="10" t="b">
        <f>IF(AND(I3254="TP",S3254&lt;=150),VLOOKUP(AF3254,TPCalibEq150!$AZ$2:$BB$55,3,),IF(AND(I3254="TDP",S3254&lt;=150),VLOOKUP(AF3254,TPCalibEq150!$AZ$2:$BB$55,3,)))</f>
        <v>0</v>
      </c>
      <c r="AR3254" s="10" t="b">
        <f>IF(AND(I3254="TP",S3254&lt;=300),VLOOKUP(AF3254,TPCalibEq300!$AZ$2:$BB$55,3,),IF(AND(I3254="TDP",S3254&lt;=300),VLOOKUP(AF3254,TPCalibEq300!$AZ$2:$BB$55,3,)))</f>
        <v>0</v>
      </c>
      <c r="AS3254" s="10" t="b">
        <f>IF(AND(I3254="TP",S3254&lt;=500),VLOOKUP(AF3254,TPCalibEq500!$AZ$2:$BB$56,3,),IF(AND(I3254="TDP",S3254&lt;=500),VLOOKUP(AF3254,TPCalibEq500!$AZ$2:$BB$56,3,)))</f>
        <v>0</v>
      </c>
      <c r="AT3254" s="10" t="str">
        <f>IF(AND(I3254="TN",S3254&lt;=2800),VLOOKUP(AF3254,TNCalibEq2500!$AZ$2:$BB$56,3,),IF(AND(I3254="TDN",S3254&lt;=2800),VLOOKUP(AF3254,TNCalibEq2500!$AZ$2:$BB$56,3,)))</f>
        <v>y=0.1303x2+171.81x-89.924</v>
      </c>
      <c r="AU3254" s="10" t="str">
        <f>IF(I3254="TP",VLOOKUP(AF3254,TPCalibEqFull!$AZ$2:$BB$56,3),IF(I3254="TDP",VLOOKUP(AF3254,TPCalibEqFull!$AZ$2:$BB$56,3),IF(I3254="TDN",VLOOKUP(AF3254,TNCalibEqFull!$AZ$1:$BB$56,3),IF(I3254="TN",VLOOKUP(AF3254,TNCalibEqFull!$AZ$1:$BB$56,3),FALSE))))</f>
        <v>y=-0.033x2+178.81x-104.93</v>
      </c>
      <c r="AV3254" s="10" t="str">
        <f t="shared" si="368"/>
        <v>0213 10:16:00-506-0-FIL-1-SW-UKN</v>
      </c>
    </row>
    <row r="3255" spans="1:48" s="10" customFormat="1" x14ac:dyDescent="0.55000000000000004">
      <c r="A3255" s="32">
        <v>44970</v>
      </c>
      <c r="B3255" s="33">
        <v>0.43402777777777773</v>
      </c>
      <c r="C3255" s="10" t="s">
        <v>1104</v>
      </c>
      <c r="D3255" s="10">
        <v>0</v>
      </c>
      <c r="E3255" s="10" t="s">
        <v>911</v>
      </c>
      <c r="F3255" s="10">
        <v>1</v>
      </c>
      <c r="G3255" s="10" t="s">
        <v>231</v>
      </c>
      <c r="H3255" s="10" t="s">
        <v>322</v>
      </c>
      <c r="I3255" s="10" t="s">
        <v>224</v>
      </c>
      <c r="J3255" s="10">
        <v>40</v>
      </c>
      <c r="K3255" s="12">
        <v>44973</v>
      </c>
      <c r="L3255" s="33">
        <v>0.49553240740740739</v>
      </c>
      <c r="M3255" s="10">
        <v>1</v>
      </c>
      <c r="N3255" s="10" t="s">
        <v>196</v>
      </c>
      <c r="O3255" s="10">
        <v>7.54</v>
      </c>
      <c r="P3255" s="10">
        <v>0.36399999999999999</v>
      </c>
      <c r="Q3255" s="10">
        <v>1240</v>
      </c>
      <c r="R3255" s="10" t="s">
        <v>170</v>
      </c>
      <c r="S3255" s="34">
        <f t="shared" si="365"/>
        <v>1241.4212972</v>
      </c>
      <c r="T3255" s="10" t="s">
        <v>1229</v>
      </c>
      <c r="U3255" s="34" t="str">
        <f t="shared" si="366"/>
        <v/>
      </c>
      <c r="V3255" s="31" t="str">
        <f>IF(H3255="CHK",VLOOKUP(I3255,QCCHK,3,),IF(H3255="GUP",VLOOKUP(E3255,QCGUP,2,),IF(AND(H3255="ATP",OR(I3255="TN",I3255="TDN",I3255="TNO2-3",I3255="NO2-3")),VLOOKUP(E3255,QCREC_N,2,),IF(AND(H3255="NIC",OR(I3255="TN",I3255="TDN",I3255="TNO2-3",I3255="NO2-3")),VLOOKUP(E3255,QCNIC_N,2,),IF(AND(H3255="UREA",OR(I3255="TN",I3255="TDN",I3255="TNO2-3",I3255="NO2-3")),VLOOKUP(E3255,QCUREA_N,2,),IF(H3255="PER",VLOOKUP(I3255,QCPER,MATCH(E3255,QCACTUAL!$J$25:$AA$25,0),),IF(H3255="SPK",VLOOKUP(I3255,QCSPK,3,),IF(AND(H3255="ATP",OR(I3255="TP",I3255="TDP")),VLOOKUP(E3255,QCATP_P,2,),""))))))))</f>
        <v/>
      </c>
      <c r="W3255" s="31" t="str">
        <f t="shared" si="367"/>
        <v>TRUE</v>
      </c>
      <c r="X3255" s="31" t="str">
        <f t="shared" si="364"/>
        <v/>
      </c>
      <c r="Y3255" s="10" t="s">
        <v>1222</v>
      </c>
      <c r="Z3255" s="10" t="s">
        <v>910</v>
      </c>
      <c r="AF3255" s="12">
        <v>44973</v>
      </c>
      <c r="AJ3255" s="10">
        <f>0.1303*7.54^2+171.81*7.54-89.924</f>
        <v>1212.9311634800001</v>
      </c>
      <c r="AK3255" s="10">
        <f>-0.033*7.54^2+178.81*7.54-104.93</f>
        <v>1241.4212972</v>
      </c>
      <c r="AL3255" s="10" t="str">
        <f t="shared" si="369"/>
        <v>FALSE</v>
      </c>
      <c r="AM3255" s="10" t="str">
        <f t="shared" si="369"/>
        <v>FALSE</v>
      </c>
      <c r="AN3255" s="10" t="str">
        <f t="shared" si="369"/>
        <v>FALSE</v>
      </c>
      <c r="AO3255" s="10" t="str">
        <f t="shared" si="370"/>
        <v>y=0.1303*7.54^2+171.81*7.54-89.924</v>
      </c>
      <c r="AP3255" s="10" t="str">
        <f t="shared" si="370"/>
        <v>y=-0.033*7.54^2+178.81*7.54-104.93</v>
      </c>
      <c r="AQ3255" s="10" t="b">
        <f>IF(AND(I3255="TP",S3255&lt;=150),VLOOKUP(AF3255,TPCalibEq150!$AZ$2:$BB$55,3,),IF(AND(I3255="TDP",S3255&lt;=150),VLOOKUP(AF3255,TPCalibEq150!$AZ$2:$BB$55,3,)))</f>
        <v>0</v>
      </c>
      <c r="AR3255" s="10" t="b">
        <f>IF(AND(I3255="TP",S3255&lt;=300),VLOOKUP(AF3255,TPCalibEq300!$AZ$2:$BB$55,3,),IF(AND(I3255="TDP",S3255&lt;=300),VLOOKUP(AF3255,TPCalibEq300!$AZ$2:$BB$55,3,)))</f>
        <v>0</v>
      </c>
      <c r="AS3255" s="10" t="b">
        <f>IF(AND(I3255="TP",S3255&lt;=500),VLOOKUP(AF3255,TPCalibEq500!$AZ$2:$BB$56,3,),IF(AND(I3255="TDP",S3255&lt;=500),VLOOKUP(AF3255,TPCalibEq500!$AZ$2:$BB$56,3,)))</f>
        <v>0</v>
      </c>
      <c r="AT3255" s="10" t="str">
        <f>IF(AND(I3255="TN",S3255&lt;=2800),VLOOKUP(AF3255,TNCalibEq2500!$AZ$2:$BB$56,3,),IF(AND(I3255="TDN",S3255&lt;=2800),VLOOKUP(AF3255,TNCalibEq2500!$AZ$2:$BB$56,3,)))</f>
        <v>y=0.1303x2+171.81x-89.924</v>
      </c>
      <c r="AU3255" s="10" t="str">
        <f>IF(I3255="TP",VLOOKUP(AF3255,TPCalibEqFull!$AZ$2:$BB$56,3),IF(I3255="TDP",VLOOKUP(AF3255,TPCalibEqFull!$AZ$2:$BB$56,3),IF(I3255="TDN",VLOOKUP(AF3255,TNCalibEqFull!$AZ$1:$BB$56,3),IF(I3255="TN",VLOOKUP(AF3255,TNCalibEqFull!$AZ$1:$BB$56,3),FALSE))))</f>
        <v>y=-0.033x2+178.81x-104.93</v>
      </c>
      <c r="AV3255" s="10" t="str">
        <f t="shared" si="368"/>
        <v>0213 10:25:00-LBW-0-FIL-1-SW-UKN</v>
      </c>
    </row>
    <row r="3256" spans="1:48" s="10" customFormat="1" x14ac:dyDescent="0.55000000000000004">
      <c r="A3256" s="32">
        <v>44970</v>
      </c>
      <c r="B3256" s="33">
        <v>0.45208333333333334</v>
      </c>
      <c r="C3256" s="10" t="s">
        <v>537</v>
      </c>
      <c r="D3256" s="10">
        <v>0</v>
      </c>
      <c r="E3256" s="10" t="s">
        <v>911</v>
      </c>
      <c r="F3256" s="10">
        <v>1</v>
      </c>
      <c r="G3256" s="10" t="s">
        <v>231</v>
      </c>
      <c r="H3256" s="10" t="s">
        <v>322</v>
      </c>
      <c r="I3256" s="10" t="s">
        <v>224</v>
      </c>
      <c r="J3256" s="10">
        <v>41</v>
      </c>
      <c r="K3256" s="12">
        <v>44973</v>
      </c>
      <c r="L3256" s="33">
        <v>0.4962037037037037</v>
      </c>
      <c r="M3256" s="10">
        <v>1</v>
      </c>
      <c r="N3256" s="10" t="s">
        <v>196</v>
      </c>
      <c r="O3256" s="10">
        <v>2.06</v>
      </c>
      <c r="P3256" s="10">
        <v>0.1</v>
      </c>
      <c r="Q3256" s="10">
        <v>264</v>
      </c>
      <c r="R3256" s="10" t="s">
        <v>170</v>
      </c>
      <c r="S3256" s="34">
        <f t="shared" si="365"/>
        <v>264.55754107999996</v>
      </c>
      <c r="T3256" s="10" t="s">
        <v>1229</v>
      </c>
      <c r="U3256" s="34" t="str">
        <f t="shared" si="366"/>
        <v/>
      </c>
      <c r="V3256" s="31" t="str">
        <f>IF(H3256="CHK",VLOOKUP(I3256,QCCHK,3,),IF(H3256="GUP",VLOOKUP(E3256,QCGUP,2,),IF(AND(H3256="ATP",OR(I3256="TN",I3256="TDN",I3256="TNO2-3",I3256="NO2-3")),VLOOKUP(E3256,QCREC_N,2,),IF(AND(H3256="NIC",OR(I3256="TN",I3256="TDN",I3256="TNO2-3",I3256="NO2-3")),VLOOKUP(E3256,QCNIC_N,2,),IF(AND(H3256="UREA",OR(I3256="TN",I3256="TDN",I3256="TNO2-3",I3256="NO2-3")),VLOOKUP(E3256,QCUREA_N,2,),IF(H3256="PER",VLOOKUP(I3256,QCPER,MATCH(E3256,QCACTUAL!$J$25:$AA$25,0),),IF(H3256="SPK",VLOOKUP(I3256,QCSPK,3,),IF(AND(H3256="ATP",OR(I3256="TP",I3256="TDP")),VLOOKUP(E3256,QCATP_P,2,),""))))))))</f>
        <v/>
      </c>
      <c r="W3256" s="31" t="str">
        <f t="shared" si="367"/>
        <v>TRUE</v>
      </c>
      <c r="X3256" s="31" t="str">
        <f t="shared" si="364"/>
        <v/>
      </c>
      <c r="Y3256" s="10" t="s">
        <v>1222</v>
      </c>
      <c r="Z3256" s="10" t="s">
        <v>910</v>
      </c>
      <c r="AF3256" s="12">
        <v>44973</v>
      </c>
      <c r="AJ3256" s="10">
        <f>0.1303*2.06^2+171.81*2.06-89.924</f>
        <v>264.55754107999996</v>
      </c>
      <c r="AK3256" s="10">
        <f>-0.033*2.06^2+178.81*2.06-104.93</f>
        <v>263.27856120000001</v>
      </c>
      <c r="AL3256" s="10" t="str">
        <f t="shared" si="369"/>
        <v>FALSE</v>
      </c>
      <c r="AM3256" s="10" t="str">
        <f t="shared" si="369"/>
        <v>FALSE</v>
      </c>
      <c r="AN3256" s="10" t="str">
        <f t="shared" si="369"/>
        <v>FALSE</v>
      </c>
      <c r="AO3256" s="10" t="str">
        <f t="shared" si="370"/>
        <v>y=0.1303*2.06^2+171.81*2.06-89.924</v>
      </c>
      <c r="AP3256" s="10" t="str">
        <f t="shared" si="370"/>
        <v>y=-0.033*2.06^2+178.81*2.06-104.93</v>
      </c>
      <c r="AQ3256" s="10" t="b">
        <f>IF(AND(I3256="TP",S3256&lt;=150),VLOOKUP(AF3256,TPCalibEq150!$AZ$2:$BB$55,3,),IF(AND(I3256="TDP",S3256&lt;=150),VLOOKUP(AF3256,TPCalibEq150!$AZ$2:$BB$55,3,)))</f>
        <v>0</v>
      </c>
      <c r="AR3256" s="10" t="b">
        <f>IF(AND(I3256="TP",S3256&lt;=300),VLOOKUP(AF3256,TPCalibEq300!$AZ$2:$BB$55,3,),IF(AND(I3256="TDP",S3256&lt;=300),VLOOKUP(AF3256,TPCalibEq300!$AZ$2:$BB$55,3,)))</f>
        <v>0</v>
      </c>
      <c r="AS3256" s="10" t="b">
        <f>IF(AND(I3256="TP",S3256&lt;=500),VLOOKUP(AF3256,TPCalibEq500!$AZ$2:$BB$56,3,),IF(AND(I3256="TDP",S3256&lt;=500),VLOOKUP(AF3256,TPCalibEq500!$AZ$2:$BB$56,3,)))</f>
        <v>0</v>
      </c>
      <c r="AT3256" s="10" t="str">
        <f>IF(AND(I3256="TN",S3256&lt;=2800),VLOOKUP(AF3256,TNCalibEq2500!$AZ$2:$BB$56,3,),IF(AND(I3256="TDN",S3256&lt;=2800),VLOOKUP(AF3256,TNCalibEq2500!$AZ$2:$BB$56,3,)))</f>
        <v>y=0.1303x2+171.81x-89.924</v>
      </c>
      <c r="AU3256" s="10" t="str">
        <f>IF(I3256="TP",VLOOKUP(AF3256,TPCalibEqFull!$AZ$2:$BB$56,3),IF(I3256="TDP",VLOOKUP(AF3256,TPCalibEqFull!$AZ$2:$BB$56,3),IF(I3256="TDN",VLOOKUP(AF3256,TNCalibEqFull!$AZ$1:$BB$56,3),IF(I3256="TN",VLOOKUP(AF3256,TNCalibEqFull!$AZ$1:$BB$56,3),FALSE))))</f>
        <v>y=-0.033x2+178.81x-104.93</v>
      </c>
      <c r="AV3256" s="10" t="str">
        <f t="shared" si="368"/>
        <v>0213 10:51:00-S51-0-FIL-1-SW-UKN</v>
      </c>
    </row>
    <row r="3257" spans="1:48" s="10" customFormat="1" x14ac:dyDescent="0.55000000000000004">
      <c r="A3257" s="32">
        <v>44970</v>
      </c>
      <c r="B3257" s="33">
        <v>0.45833333333333331</v>
      </c>
      <c r="C3257" s="10">
        <v>890</v>
      </c>
      <c r="D3257" s="10">
        <v>0</v>
      </c>
      <c r="E3257" s="10" t="s">
        <v>911</v>
      </c>
      <c r="F3257" s="10">
        <v>1</v>
      </c>
      <c r="G3257" s="10" t="s">
        <v>231</v>
      </c>
      <c r="H3257" s="10" t="s">
        <v>322</v>
      </c>
      <c r="I3257" s="10" t="s">
        <v>224</v>
      </c>
      <c r="J3257" s="10">
        <v>42</v>
      </c>
      <c r="K3257" s="12">
        <v>44973</v>
      </c>
      <c r="L3257" s="33">
        <v>0.49687500000000001</v>
      </c>
      <c r="M3257" s="10">
        <v>1</v>
      </c>
      <c r="N3257" s="10" t="s">
        <v>196</v>
      </c>
      <c r="O3257" s="10">
        <v>2.83</v>
      </c>
      <c r="P3257" s="10">
        <v>0.13700000000000001</v>
      </c>
      <c r="Q3257" s="10">
        <v>401</v>
      </c>
      <c r="R3257" s="10" t="s">
        <v>170</v>
      </c>
      <c r="S3257" s="34">
        <f t="shared" si="365"/>
        <v>401</v>
      </c>
      <c r="T3257" s="10" t="s">
        <v>1229</v>
      </c>
      <c r="U3257" s="34" t="str">
        <f t="shared" si="366"/>
        <v/>
      </c>
      <c r="V3257" s="31" t="str">
        <f>IF(H3257="CHK",VLOOKUP(I3257,QCCHK,3,),IF(H3257="GUP",VLOOKUP(E3257,QCGUP,2,),IF(AND(H3257="ATP",OR(I3257="TN",I3257="TDN",I3257="TNO2-3",I3257="NO2-3")),VLOOKUP(E3257,QCREC_N,2,),IF(AND(H3257="NIC",OR(I3257="TN",I3257="TDN",I3257="TNO2-3",I3257="NO2-3")),VLOOKUP(E3257,QCNIC_N,2,),IF(AND(H3257="UREA",OR(I3257="TN",I3257="TDN",I3257="TNO2-3",I3257="NO2-3")),VLOOKUP(E3257,QCUREA_N,2,),IF(H3257="PER",VLOOKUP(I3257,QCPER,MATCH(E3257,QCACTUAL!$J$25:$AA$25,0),),IF(H3257="SPK",VLOOKUP(I3257,QCSPK,3,),IF(AND(H3257="ATP",OR(I3257="TP",I3257="TDP")),VLOOKUP(E3257,QCATP_P,2,),""))))))))</f>
        <v/>
      </c>
      <c r="W3257" s="31" t="str">
        <f t="shared" si="367"/>
        <v>TRUE</v>
      </c>
      <c r="X3257" s="31" t="str">
        <f t="shared" si="364"/>
        <v/>
      </c>
      <c r="Y3257" s="10" t="s">
        <v>1222</v>
      </c>
      <c r="Z3257" s="10" t="s">
        <v>910</v>
      </c>
      <c r="AF3257" s="12">
        <v>44973</v>
      </c>
      <c r="AJ3257" s="10">
        <f>0.1303*2.83^2+171.81*2.83-89.924</f>
        <v>397.34185966999996</v>
      </c>
      <c r="AK3257" s="10">
        <f>-0.033*2.83^2+178.81*2.83-104.93</f>
        <v>400.83800630000002</v>
      </c>
      <c r="AL3257" s="10" t="str">
        <f t="shared" si="369"/>
        <v>FALSE</v>
      </c>
      <c r="AM3257" s="10" t="str">
        <f t="shared" si="369"/>
        <v>FALSE</v>
      </c>
      <c r="AN3257" s="10" t="str">
        <f t="shared" si="369"/>
        <v>FALSE</v>
      </c>
      <c r="AO3257" s="10" t="str">
        <f t="shared" si="370"/>
        <v>y=0.1303*2.83^2+171.81*2.83-89.924</v>
      </c>
      <c r="AP3257" s="10" t="str">
        <f t="shared" si="370"/>
        <v>y=-0.033*2.83^2+178.81*2.83-104.93</v>
      </c>
      <c r="AQ3257" s="10" t="b">
        <f>IF(AND(I3257="TP",S3257&lt;=150),VLOOKUP(AF3257,TPCalibEq150!$AZ$2:$BB$55,3,),IF(AND(I3257="TDP",S3257&lt;=150),VLOOKUP(AF3257,TPCalibEq150!$AZ$2:$BB$55,3,)))</f>
        <v>0</v>
      </c>
      <c r="AR3257" s="10" t="b">
        <f>IF(AND(I3257="TP",S3257&lt;=300),VLOOKUP(AF3257,TPCalibEq300!$AZ$2:$BB$55,3,),IF(AND(I3257="TDP",S3257&lt;=300),VLOOKUP(AF3257,TPCalibEq300!$AZ$2:$BB$55,3,)))</f>
        <v>0</v>
      </c>
      <c r="AS3257" s="10" t="b">
        <f>IF(AND(I3257="TP",S3257&lt;=500),VLOOKUP(AF3257,TPCalibEq500!$AZ$2:$BB$56,3,),IF(AND(I3257="TDP",S3257&lt;=500),VLOOKUP(AF3257,TPCalibEq500!$AZ$2:$BB$56,3,)))</f>
        <v>0</v>
      </c>
      <c r="AT3257" s="10" t="str">
        <f>IF(AND(I3257="TN",S3257&lt;=2800),VLOOKUP(AF3257,TNCalibEq2500!$AZ$2:$BB$56,3,),IF(AND(I3257="TDN",S3257&lt;=2800),VLOOKUP(AF3257,TNCalibEq2500!$AZ$2:$BB$56,3,)))</f>
        <v>y=0.1303x2+171.81x-89.924</v>
      </c>
      <c r="AU3257" s="10" t="str">
        <f>IF(I3257="TP",VLOOKUP(AF3257,TPCalibEqFull!$AZ$2:$BB$56,3),IF(I3257="TDP",VLOOKUP(AF3257,TPCalibEqFull!$AZ$2:$BB$56,3),IF(I3257="TDN",VLOOKUP(AF3257,TNCalibEqFull!$AZ$1:$BB$56,3),IF(I3257="TN",VLOOKUP(AF3257,TNCalibEqFull!$AZ$1:$BB$56,3),FALSE))))</f>
        <v>y=-0.033x2+178.81x-104.93</v>
      </c>
      <c r="AV3257" s="10" t="str">
        <f t="shared" si="368"/>
        <v>0213 11:00:00-890-0-FIL-1-SW-UKN</v>
      </c>
    </row>
    <row r="3258" spans="1:48" s="10" customFormat="1" x14ac:dyDescent="0.55000000000000004">
      <c r="A3258" s="32">
        <v>44970</v>
      </c>
      <c r="B3258" s="33">
        <v>0.47083333333333338</v>
      </c>
      <c r="C3258" s="10" t="s">
        <v>437</v>
      </c>
      <c r="D3258" s="10">
        <v>0</v>
      </c>
      <c r="E3258" s="10" t="s">
        <v>911</v>
      </c>
      <c r="F3258" s="10">
        <v>1</v>
      </c>
      <c r="G3258" s="10" t="s">
        <v>231</v>
      </c>
      <c r="H3258" s="10" t="s">
        <v>322</v>
      </c>
      <c r="I3258" s="10" t="s">
        <v>224</v>
      </c>
      <c r="J3258" s="10">
        <v>43</v>
      </c>
      <c r="K3258" s="12">
        <v>44973</v>
      </c>
      <c r="L3258" s="33">
        <v>0.49753472222222223</v>
      </c>
      <c r="M3258" s="10">
        <v>1</v>
      </c>
      <c r="N3258" s="10" t="s">
        <v>196</v>
      </c>
      <c r="O3258" s="10">
        <v>3.68</v>
      </c>
      <c r="P3258" s="10">
        <v>0.17799999999999999</v>
      </c>
      <c r="Q3258" s="10">
        <v>553</v>
      </c>
      <c r="R3258" s="10" t="s">
        <v>170</v>
      </c>
      <c r="S3258" s="34">
        <f t="shared" si="365"/>
        <v>553</v>
      </c>
      <c r="T3258" s="10" t="s">
        <v>1229</v>
      </c>
      <c r="U3258" s="34" t="str">
        <f t="shared" si="366"/>
        <v/>
      </c>
      <c r="V3258" s="31" t="str">
        <f>IF(H3258="CHK",VLOOKUP(I3258,QCCHK,3,),IF(H3258="GUP",VLOOKUP(E3258,QCGUP,2,),IF(AND(H3258="ATP",OR(I3258="TN",I3258="TDN",I3258="TNO2-3",I3258="NO2-3")),VLOOKUP(E3258,QCREC_N,2,),IF(AND(H3258="NIC",OR(I3258="TN",I3258="TDN",I3258="TNO2-3",I3258="NO2-3")),VLOOKUP(E3258,QCNIC_N,2,),IF(AND(H3258="UREA",OR(I3258="TN",I3258="TDN",I3258="TNO2-3",I3258="NO2-3")),VLOOKUP(E3258,QCUREA_N,2,),IF(H3258="PER",VLOOKUP(I3258,QCPER,MATCH(E3258,QCACTUAL!$J$25:$AA$25,0),),IF(H3258="SPK",VLOOKUP(I3258,QCSPK,3,),IF(AND(H3258="ATP",OR(I3258="TP",I3258="TDP")),VLOOKUP(E3258,QCATP_P,2,),""))))))))</f>
        <v/>
      </c>
      <c r="W3258" s="31" t="str">
        <f t="shared" si="367"/>
        <v>TRUE</v>
      </c>
      <c r="X3258" s="31" t="str">
        <f t="shared" si="364"/>
        <v/>
      </c>
      <c r="Y3258" s="10" t="s">
        <v>1222</v>
      </c>
      <c r="Z3258" s="10" t="s">
        <v>910</v>
      </c>
      <c r="AF3258" s="12">
        <v>44973</v>
      </c>
      <c r="AJ3258" s="10">
        <f>0.1303*3.68^2+171.81*3.68-89.924</f>
        <v>544.10137472000008</v>
      </c>
      <c r="AK3258" s="10">
        <f>-0.033*3.68^2+178.81*3.68-104.93</f>
        <v>552.64390079999998</v>
      </c>
      <c r="AL3258" s="10" t="str">
        <f t="shared" si="369"/>
        <v>FALSE</v>
      </c>
      <c r="AM3258" s="10" t="str">
        <f t="shared" si="369"/>
        <v>FALSE</v>
      </c>
      <c r="AN3258" s="10" t="str">
        <f t="shared" si="369"/>
        <v>FALSE</v>
      </c>
      <c r="AO3258" s="10" t="str">
        <f t="shared" si="370"/>
        <v>y=0.1303*3.68^2+171.81*3.68-89.924</v>
      </c>
      <c r="AP3258" s="10" t="str">
        <f t="shared" si="370"/>
        <v>y=-0.033*3.68^2+178.81*3.68-104.93</v>
      </c>
      <c r="AQ3258" s="10" t="b">
        <f>IF(AND(I3258="TP",S3258&lt;=150),VLOOKUP(AF3258,TPCalibEq150!$AZ$2:$BB$55,3,),IF(AND(I3258="TDP",S3258&lt;=150),VLOOKUP(AF3258,TPCalibEq150!$AZ$2:$BB$55,3,)))</f>
        <v>0</v>
      </c>
      <c r="AR3258" s="10" t="b">
        <f>IF(AND(I3258="TP",S3258&lt;=300),VLOOKUP(AF3258,TPCalibEq300!$AZ$2:$BB$55,3,),IF(AND(I3258="TDP",S3258&lt;=300),VLOOKUP(AF3258,TPCalibEq300!$AZ$2:$BB$55,3,)))</f>
        <v>0</v>
      </c>
      <c r="AS3258" s="10" t="b">
        <f>IF(AND(I3258="TP",S3258&lt;=500),VLOOKUP(AF3258,TPCalibEq500!$AZ$2:$BB$56,3,),IF(AND(I3258="TDP",S3258&lt;=500),VLOOKUP(AF3258,TPCalibEq500!$AZ$2:$BB$56,3,)))</f>
        <v>0</v>
      </c>
      <c r="AT3258" s="10" t="str">
        <f>IF(AND(I3258="TN",S3258&lt;=2800),VLOOKUP(AF3258,TNCalibEq2500!$AZ$2:$BB$56,3,),IF(AND(I3258="TDN",S3258&lt;=2800),VLOOKUP(AF3258,TNCalibEq2500!$AZ$2:$BB$56,3,)))</f>
        <v>y=0.1303x2+171.81x-89.924</v>
      </c>
      <c r="AU3258" s="10" t="str">
        <f>IF(I3258="TP",VLOOKUP(AF3258,TPCalibEqFull!$AZ$2:$BB$56,3),IF(I3258="TDP",VLOOKUP(AF3258,TPCalibEqFull!$AZ$2:$BB$56,3),IF(I3258="TDN",VLOOKUP(AF3258,TNCalibEqFull!$AZ$1:$BB$56,3),IF(I3258="TN",VLOOKUP(AF3258,TNCalibEqFull!$AZ$1:$BB$56,3),FALSE))))</f>
        <v>y=-0.033x2+178.81x-104.93</v>
      </c>
      <c r="AV3258" s="10" t="str">
        <f t="shared" si="368"/>
        <v>0213 11:18:00-FVM-0-FIL-1-SW-UKN</v>
      </c>
    </row>
    <row r="3259" spans="1:48" s="10" customFormat="1" x14ac:dyDescent="0.55000000000000004">
      <c r="A3259" s="32">
        <v>44970</v>
      </c>
      <c r="B3259" s="33">
        <v>0.47083333333333338</v>
      </c>
      <c r="C3259" s="10" t="s">
        <v>437</v>
      </c>
      <c r="D3259" s="10">
        <v>0</v>
      </c>
      <c r="E3259" s="10" t="s">
        <v>911</v>
      </c>
      <c r="F3259" s="10">
        <v>2</v>
      </c>
      <c r="G3259" s="10" t="s">
        <v>231</v>
      </c>
      <c r="H3259" s="10" t="s">
        <v>322</v>
      </c>
      <c r="I3259" s="10" t="s">
        <v>224</v>
      </c>
      <c r="J3259" s="10">
        <v>44</v>
      </c>
      <c r="K3259" s="12">
        <v>44973</v>
      </c>
      <c r="L3259" s="33">
        <v>0.49819444444444444</v>
      </c>
      <c r="M3259" s="10">
        <v>1</v>
      </c>
      <c r="N3259" s="10" t="s">
        <v>196</v>
      </c>
      <c r="O3259" s="10">
        <v>3.8</v>
      </c>
      <c r="P3259" s="10">
        <v>0.184</v>
      </c>
      <c r="Q3259" s="10">
        <v>573</v>
      </c>
      <c r="R3259" s="10" t="s">
        <v>170</v>
      </c>
      <c r="S3259" s="34">
        <f t="shared" si="365"/>
        <v>574.07147999999984</v>
      </c>
      <c r="T3259" s="10" t="s">
        <v>1229</v>
      </c>
      <c r="U3259" s="34" t="str">
        <f t="shared" si="366"/>
        <v/>
      </c>
      <c r="V3259" s="31" t="str">
        <f>IF(H3259="CHK",VLOOKUP(I3259,QCCHK,3,),IF(H3259="GUP",VLOOKUP(E3259,QCGUP,2,),IF(AND(H3259="ATP",OR(I3259="TN",I3259="TDN",I3259="TNO2-3",I3259="NO2-3")),VLOOKUP(E3259,QCREC_N,2,),IF(AND(H3259="NIC",OR(I3259="TN",I3259="TDN",I3259="TNO2-3",I3259="NO2-3")),VLOOKUP(E3259,QCNIC_N,2,),IF(AND(H3259="UREA",OR(I3259="TN",I3259="TDN",I3259="TNO2-3",I3259="NO2-3")),VLOOKUP(E3259,QCUREA_N,2,),IF(H3259="PER",VLOOKUP(I3259,QCPER,MATCH(E3259,QCACTUAL!$J$25:$AA$25,0),),IF(H3259="SPK",VLOOKUP(I3259,QCSPK,3,),IF(AND(H3259="ATP",OR(I3259="TP",I3259="TDP")),VLOOKUP(E3259,QCATP_P,2,),""))))))))</f>
        <v/>
      </c>
      <c r="W3259" s="31" t="str">
        <f t="shared" si="367"/>
        <v>TRUE</v>
      </c>
      <c r="X3259" s="31" t="str">
        <f t="shared" si="364"/>
        <v/>
      </c>
      <c r="Y3259" s="10" t="s">
        <v>1222</v>
      </c>
      <c r="Z3259" s="10" t="s">
        <v>910</v>
      </c>
      <c r="AF3259" s="12">
        <v>44973</v>
      </c>
      <c r="AJ3259" s="10">
        <f>0.1303*3.8^2+171.81*3.8-89.924</f>
        <v>564.83553199999994</v>
      </c>
      <c r="AK3259" s="10">
        <f>-0.033*3.8^2+178.81*3.8-104.93</f>
        <v>574.07147999999984</v>
      </c>
      <c r="AL3259" s="10" t="str">
        <f t="shared" si="369"/>
        <v>FALSE</v>
      </c>
      <c r="AM3259" s="10" t="str">
        <f t="shared" si="369"/>
        <v>FALSE</v>
      </c>
      <c r="AN3259" s="10" t="str">
        <f t="shared" si="369"/>
        <v>FALSE</v>
      </c>
      <c r="AO3259" s="10" t="str">
        <f t="shared" si="370"/>
        <v>y=0.1303*3.8^2+171.81*3.8-89.924</v>
      </c>
      <c r="AP3259" s="10" t="str">
        <f t="shared" si="370"/>
        <v>y=-0.033*3.8^2+178.81*3.8-104.93</v>
      </c>
      <c r="AQ3259" s="10" t="b">
        <f>IF(AND(I3259="TP",S3259&lt;=150),VLOOKUP(AF3259,TPCalibEq150!$AZ$2:$BB$55,3,),IF(AND(I3259="TDP",S3259&lt;=150),VLOOKUP(AF3259,TPCalibEq150!$AZ$2:$BB$55,3,)))</f>
        <v>0</v>
      </c>
      <c r="AR3259" s="10" t="b">
        <f>IF(AND(I3259="TP",S3259&lt;=300),VLOOKUP(AF3259,TPCalibEq300!$AZ$2:$BB$55,3,),IF(AND(I3259="TDP",S3259&lt;=300),VLOOKUP(AF3259,TPCalibEq300!$AZ$2:$BB$55,3,)))</f>
        <v>0</v>
      </c>
      <c r="AS3259" s="10" t="b">
        <f>IF(AND(I3259="TP",S3259&lt;=500),VLOOKUP(AF3259,TPCalibEq500!$AZ$2:$BB$56,3,),IF(AND(I3259="TDP",S3259&lt;=500),VLOOKUP(AF3259,TPCalibEq500!$AZ$2:$BB$56,3,)))</f>
        <v>0</v>
      </c>
      <c r="AT3259" s="10" t="str">
        <f>IF(AND(I3259="TN",S3259&lt;=2800),VLOOKUP(AF3259,TNCalibEq2500!$AZ$2:$BB$56,3,),IF(AND(I3259="TDN",S3259&lt;=2800),VLOOKUP(AF3259,TNCalibEq2500!$AZ$2:$BB$56,3,)))</f>
        <v>y=0.1303x2+171.81x-89.924</v>
      </c>
      <c r="AU3259" s="10" t="str">
        <f>IF(I3259="TP",VLOOKUP(AF3259,TPCalibEqFull!$AZ$2:$BB$56,3),IF(I3259="TDP",VLOOKUP(AF3259,TPCalibEqFull!$AZ$2:$BB$56,3),IF(I3259="TDN",VLOOKUP(AF3259,TNCalibEqFull!$AZ$1:$BB$56,3),IF(I3259="TN",VLOOKUP(AF3259,TNCalibEqFull!$AZ$1:$BB$56,3),FALSE))))</f>
        <v>y=-0.033x2+178.81x-104.93</v>
      </c>
      <c r="AV3259" s="10" t="str">
        <f t="shared" si="368"/>
        <v>0213 11:18:00-FVM-0-FIL-2-SW-UKN</v>
      </c>
    </row>
    <row r="3260" spans="1:48" s="10" customFormat="1" x14ac:dyDescent="0.55000000000000004">
      <c r="A3260" s="32">
        <v>44970</v>
      </c>
      <c r="B3260" s="33">
        <v>0.47083333333333338</v>
      </c>
      <c r="C3260" s="10" t="s">
        <v>437</v>
      </c>
      <c r="D3260" s="10">
        <v>0</v>
      </c>
      <c r="E3260" s="10" t="s">
        <v>911</v>
      </c>
      <c r="F3260" s="10">
        <v>2</v>
      </c>
      <c r="G3260" s="10" t="s">
        <v>231</v>
      </c>
      <c r="H3260" s="10" t="s">
        <v>233</v>
      </c>
      <c r="I3260" s="10" t="s">
        <v>224</v>
      </c>
      <c r="J3260" s="10">
        <v>44</v>
      </c>
      <c r="K3260" s="12">
        <v>44973</v>
      </c>
      <c r="L3260" s="33">
        <v>0.49885416666666665</v>
      </c>
      <c r="M3260" s="10">
        <v>1</v>
      </c>
      <c r="N3260" s="10" t="s">
        <v>196</v>
      </c>
      <c r="O3260" s="10">
        <v>3.8</v>
      </c>
      <c r="P3260" s="10">
        <v>0.184</v>
      </c>
      <c r="Q3260" s="10">
        <v>573</v>
      </c>
      <c r="R3260" s="10" t="s">
        <v>170</v>
      </c>
      <c r="S3260" s="34">
        <f t="shared" si="365"/>
        <v>574.07147999999984</v>
      </c>
      <c r="T3260" s="10" t="s">
        <v>1229</v>
      </c>
      <c r="U3260" s="34">
        <f t="shared" si="366"/>
        <v>0</v>
      </c>
      <c r="V3260" s="31" t="str">
        <f>IF(H3260="CHK",VLOOKUP(I3260,QCCHK,3,),IF(H3260="GUP",VLOOKUP(E3260,QCGUP,2,),IF(AND(H3260="ATP",OR(I3260="TN",I3260="TDN",I3260="TNO2-3",I3260="NO2-3")),VLOOKUP(E3260,QCREC_N,2,),IF(AND(H3260="NIC",OR(I3260="TN",I3260="TDN",I3260="TNO2-3",I3260="NO2-3")),VLOOKUP(E3260,QCNIC_N,2,),IF(AND(H3260="UREA",OR(I3260="TN",I3260="TDN",I3260="TNO2-3",I3260="NO2-3")),VLOOKUP(E3260,QCUREA_N,2,),IF(H3260="PER",VLOOKUP(I3260,QCPER,MATCH(E3260,QCACTUAL!$J$25:$AA$25,0),),IF(H3260="SPK",VLOOKUP(I3260,QCSPK,3,),IF(AND(H3260="ATP",OR(I3260="TP",I3260="TDP")),VLOOKUP(E3260,QCATP_P,2,),""))))))))</f>
        <v/>
      </c>
      <c r="W3260" s="31" t="str">
        <f t="shared" si="367"/>
        <v>TRUE</v>
      </c>
      <c r="X3260" s="31" t="str">
        <f t="shared" si="364"/>
        <v>((ABS(rep1-rep2))/((rep1+rep2)/2)*100</v>
      </c>
      <c r="Y3260" s="10" t="s">
        <v>1222</v>
      </c>
      <c r="Z3260" s="10" t="s">
        <v>910</v>
      </c>
      <c r="AF3260" s="12">
        <v>44973</v>
      </c>
      <c r="AJ3260" s="10">
        <f>0.1303*3.8^2+171.81*3.8-89.924</f>
        <v>564.83553199999994</v>
      </c>
      <c r="AK3260" s="10">
        <f>-0.033*3.8^2+178.81*3.8-104.93</f>
        <v>574.07147999999984</v>
      </c>
      <c r="AL3260" s="10" t="str">
        <f t="shared" si="369"/>
        <v>FALSE</v>
      </c>
      <c r="AM3260" s="10" t="str">
        <f t="shared" si="369"/>
        <v>FALSE</v>
      </c>
      <c r="AN3260" s="10" t="str">
        <f t="shared" si="369"/>
        <v>FALSE</v>
      </c>
      <c r="AO3260" s="10" t="str">
        <f t="shared" si="370"/>
        <v>y=0.1303*3.8^2+171.81*3.8-89.924</v>
      </c>
      <c r="AP3260" s="10" t="str">
        <f t="shared" si="370"/>
        <v>y=-0.033*3.8^2+178.81*3.8-104.93</v>
      </c>
      <c r="AQ3260" s="10" t="b">
        <f>IF(AND(I3260="TP",S3260&lt;=150),VLOOKUP(AF3260,TPCalibEq150!$AZ$2:$BB$55,3,),IF(AND(I3260="TDP",S3260&lt;=150),VLOOKUP(AF3260,TPCalibEq150!$AZ$2:$BB$55,3,)))</f>
        <v>0</v>
      </c>
      <c r="AR3260" s="10" t="b">
        <f>IF(AND(I3260="TP",S3260&lt;=300),VLOOKUP(AF3260,TPCalibEq300!$AZ$2:$BB$55,3,),IF(AND(I3260="TDP",S3260&lt;=300),VLOOKUP(AF3260,TPCalibEq300!$AZ$2:$BB$55,3,)))</f>
        <v>0</v>
      </c>
      <c r="AS3260" s="10" t="b">
        <f>IF(AND(I3260="TP",S3260&lt;=500),VLOOKUP(AF3260,TPCalibEq500!$AZ$2:$BB$56,3,),IF(AND(I3260="TDP",S3260&lt;=500),VLOOKUP(AF3260,TPCalibEq500!$AZ$2:$BB$56,3,)))</f>
        <v>0</v>
      </c>
      <c r="AT3260" s="10" t="str">
        <f>IF(AND(I3260="TN",S3260&lt;=2800),VLOOKUP(AF3260,TNCalibEq2500!$AZ$2:$BB$56,3,),IF(AND(I3260="TDN",S3260&lt;=2800),VLOOKUP(AF3260,TNCalibEq2500!$AZ$2:$BB$56,3,)))</f>
        <v>y=0.1303x2+171.81x-89.924</v>
      </c>
      <c r="AU3260" s="10" t="str">
        <f>IF(I3260="TP",VLOOKUP(AF3260,TPCalibEqFull!$AZ$2:$BB$56,3),IF(I3260="TDP",VLOOKUP(AF3260,TPCalibEqFull!$AZ$2:$BB$56,3),IF(I3260="TDN",VLOOKUP(AF3260,TNCalibEqFull!$AZ$1:$BB$56,3),IF(I3260="TN",VLOOKUP(AF3260,TNCalibEqFull!$AZ$1:$BB$56,3),FALSE))))</f>
        <v>y=-0.033x2+178.81x-104.93</v>
      </c>
      <c r="AV3260" s="10" t="str">
        <f t="shared" si="368"/>
        <v>0213 11:18:00-FVM-0-FIL-2-SW-DUP</v>
      </c>
    </row>
    <row r="3261" spans="1:48" s="10" customFormat="1" x14ac:dyDescent="0.55000000000000004">
      <c r="A3261" s="32">
        <v>44970</v>
      </c>
      <c r="B3261" s="33">
        <v>0.47083333333333338</v>
      </c>
      <c r="C3261" s="10" t="s">
        <v>437</v>
      </c>
      <c r="D3261" s="10">
        <v>0</v>
      </c>
      <c r="E3261" s="10" t="s">
        <v>911</v>
      </c>
      <c r="F3261" s="10">
        <v>2</v>
      </c>
      <c r="G3261" s="10" t="s">
        <v>231</v>
      </c>
      <c r="H3261" s="10" t="s">
        <v>314</v>
      </c>
      <c r="I3261" s="10" t="s">
        <v>224</v>
      </c>
      <c r="J3261" s="10">
        <v>53</v>
      </c>
      <c r="K3261" s="12">
        <v>44973</v>
      </c>
      <c r="L3261" s="33">
        <v>0.49952546296296302</v>
      </c>
      <c r="M3261" s="10">
        <v>1</v>
      </c>
      <c r="N3261" s="10" t="s">
        <v>196</v>
      </c>
      <c r="O3261" s="10">
        <v>16.899999999999999</v>
      </c>
      <c r="P3261" s="10">
        <v>0.81599999999999995</v>
      </c>
      <c r="Q3261" s="10">
        <v>2910</v>
      </c>
      <c r="R3261" s="10" t="s">
        <v>170</v>
      </c>
      <c r="S3261" s="34">
        <f t="shared" si="365"/>
        <v>2910</v>
      </c>
      <c r="T3261" s="10" t="s">
        <v>1229</v>
      </c>
      <c r="U3261" s="34">
        <f t="shared" si="366"/>
        <v>93.437140800000023</v>
      </c>
      <c r="V3261" s="31">
        <f>IF(H3261="CHK",VLOOKUP(I3261,QCCHK,3,),IF(H3261="GUP",VLOOKUP(E3261,QCGUP,2,),IF(AND(H3261="ATP",OR(I3261="TN",I3261="TDN",I3261="TNO2-3",I3261="NO2-3")),VLOOKUP(E3261,QCREC_N,2,),IF(AND(H3261="NIC",OR(I3261="TN",I3261="TDN",I3261="TNO2-3",I3261="NO2-3")),VLOOKUP(E3261,QCNIC_N,2,),IF(AND(H3261="UREA",OR(I3261="TN",I3261="TDN",I3261="TNO2-3",I3261="NO2-3")),VLOOKUP(E3261,QCUREA_N,2,),IF(H3261="PER",VLOOKUP(I3261,QCPER,MATCH(E3261,QCACTUAL!$J$25:$AA$25,0),),IF(H3261="SPK",VLOOKUP(I3261,QCSPK,3,),IF(AND(H3261="ATP",OR(I3261="TP",I3261="TDP")),VLOOKUP(E3261,QCATP_P,2,),""))))))))</f>
        <v>2500</v>
      </c>
      <c r="W3261" s="31" t="str">
        <f t="shared" si="367"/>
        <v>TRUE</v>
      </c>
      <c r="X3261" s="31" t="str">
        <f t="shared" si="364"/>
        <v>([spikedunkn]-[unkn])/[spike]*100</v>
      </c>
      <c r="Y3261" s="10" t="s">
        <v>1222</v>
      </c>
      <c r="Z3261" s="10" t="s">
        <v>910</v>
      </c>
      <c r="AF3261" s="12">
        <v>44973</v>
      </c>
      <c r="AK3261" s="10">
        <f>-0.033*16.9^2+178.81*16.9-104.93</f>
        <v>2907.5338699999998</v>
      </c>
      <c r="AL3261" s="10" t="str">
        <f t="shared" si="369"/>
        <v>FALSE</v>
      </c>
      <c r="AM3261" s="10" t="str">
        <f t="shared" si="369"/>
        <v>FALSE</v>
      </c>
      <c r="AN3261" s="10" t="str">
        <f t="shared" si="369"/>
        <v>FALSE</v>
      </c>
      <c r="AO3261" s="10" t="str">
        <f t="shared" si="370"/>
        <v>FALSE</v>
      </c>
      <c r="AP3261" s="10" t="str">
        <f t="shared" si="370"/>
        <v>y=-0.033*16.9^2+178.81*16.9-104.93</v>
      </c>
      <c r="AQ3261" s="10" t="b">
        <f>IF(AND(I3261="TP",S3261&lt;=150),VLOOKUP(AF3261,TPCalibEq150!$AZ$2:$BB$55,3,),IF(AND(I3261="TDP",S3261&lt;=150),VLOOKUP(AF3261,TPCalibEq150!$AZ$2:$BB$55,3,)))</f>
        <v>0</v>
      </c>
      <c r="AR3261" s="10" t="b">
        <f>IF(AND(I3261="TP",S3261&lt;=300),VLOOKUP(AF3261,TPCalibEq300!$AZ$2:$BB$55,3,),IF(AND(I3261="TDP",S3261&lt;=300),VLOOKUP(AF3261,TPCalibEq300!$AZ$2:$BB$55,3,)))</f>
        <v>0</v>
      </c>
      <c r="AS3261" s="10" t="b">
        <f>IF(AND(I3261="TP",S3261&lt;=500),VLOOKUP(AF3261,TPCalibEq500!$AZ$2:$BB$56,3,),IF(AND(I3261="TDP",S3261&lt;=500),VLOOKUP(AF3261,TPCalibEq500!$AZ$2:$BB$56,3,)))</f>
        <v>0</v>
      </c>
      <c r="AT3261" s="10" t="b">
        <f>IF(AND(I3261="TN",S3261&lt;=2800),VLOOKUP(AF3261,TNCalibEq2500!$AZ$2:$BB$56,3,),IF(AND(I3261="TDN",S3261&lt;=2800),VLOOKUP(AF3261,TNCalibEq2500!$AZ$2:$BB$56,3,)))</f>
        <v>0</v>
      </c>
      <c r="AU3261" s="10" t="str">
        <f>IF(I3261="TP",VLOOKUP(AF3261,TPCalibEqFull!$AZ$2:$BB$56,3),IF(I3261="TDP",VLOOKUP(AF3261,TPCalibEqFull!$AZ$2:$BB$56,3),IF(I3261="TDN",VLOOKUP(AF3261,TNCalibEqFull!$AZ$1:$BB$56,3),IF(I3261="TN",VLOOKUP(AF3261,TNCalibEqFull!$AZ$1:$BB$56,3),FALSE))))</f>
        <v>y=-0.033x2+178.81x-104.93</v>
      </c>
      <c r="AV3261" s="10" t="str">
        <f t="shared" si="368"/>
        <v>0213 11:18:00-FVM-0-FIL-2-SW-SPK</v>
      </c>
    </row>
    <row r="3262" spans="1:48" s="10" customFormat="1" x14ac:dyDescent="0.55000000000000004">
      <c r="A3262" s="32">
        <v>44972</v>
      </c>
      <c r="B3262" s="33">
        <v>0.375</v>
      </c>
      <c r="C3262" s="10" t="s">
        <v>70</v>
      </c>
      <c r="D3262" s="10" t="s">
        <v>71</v>
      </c>
      <c r="E3262" s="10" t="s">
        <v>901</v>
      </c>
      <c r="F3262" s="10">
        <v>1</v>
      </c>
      <c r="G3262" s="10" t="s">
        <v>73</v>
      </c>
      <c r="H3262" s="10" t="s">
        <v>207</v>
      </c>
      <c r="I3262" s="10" t="s">
        <v>235</v>
      </c>
      <c r="J3262" s="10">
        <v>201</v>
      </c>
      <c r="K3262" s="12">
        <v>44973</v>
      </c>
      <c r="L3262" s="33">
        <v>0.50020833333333337</v>
      </c>
      <c r="M3262" s="10">
        <v>1</v>
      </c>
      <c r="N3262" s="10" t="s">
        <v>196</v>
      </c>
      <c r="O3262" s="10">
        <v>7.08</v>
      </c>
      <c r="P3262" s="10">
        <v>0.34699999999999998</v>
      </c>
      <c r="Q3262" s="10">
        <v>1160</v>
      </c>
      <c r="R3262" s="10" t="s">
        <v>170</v>
      </c>
      <c r="S3262" s="34">
        <f t="shared" si="365"/>
        <v>1160</v>
      </c>
      <c r="T3262" s="10" t="s">
        <v>1229</v>
      </c>
      <c r="U3262" s="34">
        <f t="shared" si="366"/>
        <v>92.800000000000011</v>
      </c>
      <c r="V3262" s="31">
        <f>IF(H3262="CHK",VLOOKUP(I3262,QCCHK,3,),IF(H3262="GUP",VLOOKUP(E3262,QCGUP,2,),IF(AND(H3262="ATP",OR(I3262="TN",I3262="TDN",I3262="TNO2-3",I3262="NO2-3")),VLOOKUP(E3262,QCREC_N,2,),IF(AND(H3262="NIC",OR(I3262="TN",I3262="TDN",I3262="TNO2-3",I3262="NO2-3")),VLOOKUP(E3262,QCNIC_N,2,),IF(AND(H3262="UREA",OR(I3262="TN",I3262="TDN",I3262="TNO2-3",I3262="NO2-3")),VLOOKUP(E3262,QCUREA_N,2,),IF(H3262="PER",VLOOKUP(I3262,QCPER,MATCH(E3262,QCACTUAL!$J$25:$AA$25,0),),IF(H3262="SPK",VLOOKUP(I3262,QCSPK,3,),IF(AND(H3262="ATP",OR(I3262="TP",I3262="TDP")),VLOOKUP(E3262,QCATP_P,2,),""))))))))</f>
        <v>1250</v>
      </c>
      <c r="W3262" s="31" t="str">
        <f t="shared" si="367"/>
        <v>TRUE</v>
      </c>
      <c r="X3262" s="31" t="str">
        <f t="shared" si="364"/>
        <v>[chk]/[actual]*100</v>
      </c>
      <c r="Y3262" s="10" t="s">
        <v>1222</v>
      </c>
      <c r="AF3262" s="12">
        <v>44973</v>
      </c>
      <c r="AJ3262" s="10">
        <f>0.1303*7.08^2+171.81*7.08-89.924</f>
        <v>1133.0222699200001</v>
      </c>
      <c r="AK3262" s="10">
        <f>-0.033*7.08^2+178.81*7.08-104.93</f>
        <v>1159.3906287999998</v>
      </c>
      <c r="AL3262" s="10" t="str">
        <f t="shared" si="369"/>
        <v>FALSE</v>
      </c>
      <c r="AM3262" s="10" t="str">
        <f t="shared" si="369"/>
        <v>FALSE</v>
      </c>
      <c r="AN3262" s="10" t="str">
        <f t="shared" si="369"/>
        <v>FALSE</v>
      </c>
      <c r="AO3262" s="10" t="str">
        <f t="shared" si="370"/>
        <v>y=0.1303*7.08^2+171.81*7.08-89.924</v>
      </c>
      <c r="AP3262" s="10" t="str">
        <f t="shared" si="370"/>
        <v>y=-0.033*7.08^2+178.81*7.08-104.93</v>
      </c>
      <c r="AQ3262" s="10" t="b">
        <f>IF(AND(I3262="TP",S3262&lt;=150),VLOOKUP(AF3262,TPCalibEq150!$AZ$2:$BB$55,3,),IF(AND(I3262="TDP",S3262&lt;=150),VLOOKUP(AF3262,TPCalibEq150!$AZ$2:$BB$55,3,)))</f>
        <v>0</v>
      </c>
      <c r="AR3262" s="10" t="b">
        <f>IF(AND(I3262="TP",S3262&lt;=300),VLOOKUP(AF3262,TPCalibEq300!$AZ$2:$BB$55,3,),IF(AND(I3262="TDP",S3262&lt;=300),VLOOKUP(AF3262,TPCalibEq300!$AZ$2:$BB$55,3,)))</f>
        <v>0</v>
      </c>
      <c r="AS3262" s="10" t="b">
        <f>IF(AND(I3262="TP",S3262&lt;=500),VLOOKUP(AF3262,TPCalibEq500!$AZ$2:$BB$56,3,),IF(AND(I3262="TDP",S3262&lt;=500),VLOOKUP(AF3262,TPCalibEq500!$AZ$2:$BB$56,3,)))</f>
        <v>0</v>
      </c>
      <c r="AT3262" s="10" t="str">
        <f>IF(AND(I3262="TN",S3262&lt;=2800),VLOOKUP(AF3262,TNCalibEq2500!$AZ$2:$BB$56,3,),IF(AND(I3262="TDN",S3262&lt;=2800),VLOOKUP(AF3262,TNCalibEq2500!$AZ$2:$BB$56,3,)))</f>
        <v>y=0.1303x2+171.81x-89.924</v>
      </c>
      <c r="AU3262" s="10" t="str">
        <f>IF(I3262="TP",VLOOKUP(AF3262,TPCalibEqFull!$AZ$2:$BB$56,3),IF(I3262="TDP",VLOOKUP(AF3262,TPCalibEqFull!$AZ$2:$BB$56,3),IF(I3262="TDN",VLOOKUP(AF3262,TNCalibEqFull!$AZ$1:$BB$56,3),IF(I3262="TN",VLOOKUP(AF3262,TNCalibEqFull!$AZ$1:$BB$56,3),FALSE))))</f>
        <v>y=-0.033x2+178.81x-104.93</v>
      </c>
      <c r="AV3262" s="10" t="str">
        <f t="shared" si="368"/>
        <v>0215 09:00:00-QAC-STD-D-1-DI-CHK</v>
      </c>
    </row>
    <row r="3263" spans="1:48" s="10" customFormat="1" x14ac:dyDescent="0.55000000000000004">
      <c r="A3263" s="32">
        <v>44970</v>
      </c>
      <c r="B3263" s="33">
        <v>0.49583333333333335</v>
      </c>
      <c r="C3263" s="10" t="s">
        <v>336</v>
      </c>
      <c r="D3263" s="10">
        <v>0</v>
      </c>
      <c r="E3263" s="10" t="s">
        <v>911</v>
      </c>
      <c r="F3263" s="10">
        <v>1</v>
      </c>
      <c r="G3263" s="10" t="s">
        <v>231</v>
      </c>
      <c r="H3263" s="10" t="s">
        <v>322</v>
      </c>
      <c r="I3263" s="10" t="s">
        <v>224</v>
      </c>
      <c r="J3263" s="10">
        <v>45</v>
      </c>
      <c r="K3263" s="12">
        <v>44973</v>
      </c>
      <c r="L3263" s="33">
        <v>0.50085648148148143</v>
      </c>
      <c r="M3263" s="10">
        <v>1</v>
      </c>
      <c r="N3263" s="10" t="s">
        <v>196</v>
      </c>
      <c r="O3263" s="10">
        <v>2.1</v>
      </c>
      <c r="P3263" s="10">
        <v>0.10299999999999999</v>
      </c>
      <c r="Q3263" s="10">
        <v>270</v>
      </c>
      <c r="R3263" s="10" t="s">
        <v>170</v>
      </c>
      <c r="S3263" s="34">
        <f t="shared" si="365"/>
        <v>271.45162300000004</v>
      </c>
      <c r="T3263" s="10" t="s">
        <v>1229</v>
      </c>
      <c r="U3263" s="34" t="str">
        <f t="shared" si="366"/>
        <v/>
      </c>
      <c r="V3263" s="31" t="str">
        <f>IF(H3263="CHK",VLOOKUP(I3263,QCCHK,3,),IF(H3263="GUP",VLOOKUP(E3263,QCGUP,2,),IF(AND(H3263="ATP",OR(I3263="TN",I3263="TDN",I3263="TNO2-3",I3263="NO2-3")),VLOOKUP(E3263,QCREC_N,2,),IF(AND(H3263="NIC",OR(I3263="TN",I3263="TDN",I3263="TNO2-3",I3263="NO2-3")),VLOOKUP(E3263,QCNIC_N,2,),IF(AND(H3263="UREA",OR(I3263="TN",I3263="TDN",I3263="TNO2-3",I3263="NO2-3")),VLOOKUP(E3263,QCUREA_N,2,),IF(H3263="PER",VLOOKUP(I3263,QCPER,MATCH(E3263,QCACTUAL!$J$25:$AA$25,0),),IF(H3263="SPK",VLOOKUP(I3263,QCSPK,3,),IF(AND(H3263="ATP",OR(I3263="TP",I3263="TDP")),VLOOKUP(E3263,QCATP_P,2,),""))))))))</f>
        <v/>
      </c>
      <c r="W3263" s="31" t="str">
        <f t="shared" si="367"/>
        <v>TRUE</v>
      </c>
      <c r="X3263" s="31" t="str">
        <f t="shared" ref="X3263:X3326" si="371">IF(ISNA(VLOOKUP(H3263,QCEQUATIONS,2,)),"",(VLOOKUP(H3263,QCEQUATIONS,2,)))</f>
        <v/>
      </c>
      <c r="Y3263" s="10" t="s">
        <v>1222</v>
      </c>
      <c r="Z3263" s="10" t="s">
        <v>910</v>
      </c>
      <c r="AF3263" s="12">
        <v>44973</v>
      </c>
      <c r="AJ3263" s="10">
        <f>0.1303*2.1^2+171.81*2.1-89.924</f>
        <v>271.45162300000004</v>
      </c>
      <c r="AK3263" s="10">
        <f>-0.033*2.1^2+178.81*2.1-104.93</f>
        <v>270.42547000000002</v>
      </c>
      <c r="AL3263" s="10" t="str">
        <f t="shared" si="369"/>
        <v>FALSE</v>
      </c>
      <c r="AM3263" s="10" t="str">
        <f t="shared" si="369"/>
        <v>FALSE</v>
      </c>
      <c r="AN3263" s="10" t="str">
        <f t="shared" si="369"/>
        <v>FALSE</v>
      </c>
      <c r="AO3263" s="10" t="str">
        <f t="shared" si="370"/>
        <v>y=0.1303*2.1^2+171.81*2.1-89.924</v>
      </c>
      <c r="AP3263" s="10" t="str">
        <f t="shared" si="370"/>
        <v>y=-0.033*2.1^2+178.81*2.1-104.93</v>
      </c>
      <c r="AQ3263" s="10" t="b">
        <f>IF(AND(I3263="TP",S3263&lt;=150),VLOOKUP(AF3263,TPCalibEq150!$AZ$2:$BB$55,3,),IF(AND(I3263="TDP",S3263&lt;=150),VLOOKUP(AF3263,TPCalibEq150!$AZ$2:$BB$55,3,)))</f>
        <v>0</v>
      </c>
      <c r="AR3263" s="10" t="b">
        <f>IF(AND(I3263="TP",S3263&lt;=300),VLOOKUP(AF3263,TPCalibEq300!$AZ$2:$BB$55,3,),IF(AND(I3263="TDP",S3263&lt;=300),VLOOKUP(AF3263,TPCalibEq300!$AZ$2:$BB$55,3,)))</f>
        <v>0</v>
      </c>
      <c r="AS3263" s="10" t="b">
        <f>IF(AND(I3263="TP",S3263&lt;=500),VLOOKUP(AF3263,TPCalibEq500!$AZ$2:$BB$56,3,),IF(AND(I3263="TDP",S3263&lt;=500),VLOOKUP(AF3263,TPCalibEq500!$AZ$2:$BB$56,3,)))</f>
        <v>0</v>
      </c>
      <c r="AT3263" s="10" t="str">
        <f>IF(AND(I3263="TN",S3263&lt;=2800),VLOOKUP(AF3263,TNCalibEq2500!$AZ$2:$BB$56,3,),IF(AND(I3263="TDN",S3263&lt;=2800),VLOOKUP(AF3263,TNCalibEq2500!$AZ$2:$BB$56,3,)))</f>
        <v>y=0.1303x2+171.81x-89.924</v>
      </c>
      <c r="AU3263" s="10" t="str">
        <f>IF(I3263="TP",VLOOKUP(AF3263,TPCalibEqFull!$AZ$2:$BB$56,3),IF(I3263="TDP",VLOOKUP(AF3263,TPCalibEqFull!$AZ$2:$BB$56,3),IF(I3263="TDN",VLOOKUP(AF3263,TNCalibEqFull!$AZ$1:$BB$56,3),IF(I3263="TN",VLOOKUP(AF3263,TNCalibEqFull!$AZ$1:$BB$56,3),FALSE))))</f>
        <v>y=-0.033x2+178.81x-104.93</v>
      </c>
      <c r="AV3263" s="10" t="str">
        <f t="shared" si="368"/>
        <v>0213 11:54:00-HWR-0-FIL-1-SW-UKN</v>
      </c>
    </row>
    <row r="3264" spans="1:48" s="10" customFormat="1" x14ac:dyDescent="0.55000000000000004">
      <c r="A3264" s="32">
        <v>44970</v>
      </c>
      <c r="B3264" s="33">
        <v>0.48819444444444443</v>
      </c>
      <c r="C3264" s="10" t="s">
        <v>295</v>
      </c>
      <c r="D3264" s="10">
        <v>0</v>
      </c>
      <c r="E3264" s="10" t="s">
        <v>911</v>
      </c>
      <c r="F3264" s="10">
        <v>1</v>
      </c>
      <c r="G3264" s="10" t="s">
        <v>231</v>
      </c>
      <c r="H3264" s="10" t="s">
        <v>322</v>
      </c>
      <c r="I3264" s="10" t="s">
        <v>224</v>
      </c>
      <c r="J3264" s="10">
        <v>46</v>
      </c>
      <c r="K3264" s="12">
        <v>44973</v>
      </c>
      <c r="L3264" s="33">
        <v>0.50153935185185183</v>
      </c>
      <c r="M3264" s="10">
        <v>1</v>
      </c>
      <c r="N3264" s="10" t="s">
        <v>196</v>
      </c>
      <c r="O3264" s="10">
        <v>3.84</v>
      </c>
      <c r="P3264" s="10">
        <v>0.185</v>
      </c>
      <c r="Q3264" s="10">
        <v>580</v>
      </c>
      <c r="R3264" s="10" t="s">
        <v>170</v>
      </c>
      <c r="S3264" s="34">
        <f t="shared" ref="S3264:S3327" si="372">IF(OR(AND(I3264&lt;&gt;"TP", I3264&lt;&gt;"TDP",I3264&lt;&gt;"TN", I3264&lt;&gt;"TDN"),H3264="CAL"), Q3264*M3264, IF(OR(AND(I3264="TN", Q3264&gt;2500), AND(I3264="TDN", Q3264&gt;2500)),MAX(Q3264, AK3264)*M3264, IF(OR(AND(I3264="TN", Q3264&lt;=2500), AND(I3264="TDN", Q3264&lt;=2500)),MAX(Q3264, AJ3264,AK3264)*M3264, IF(OR(AND(I3264="TP",Q3264&gt;500), AND(I3264="TDP", Q3264&gt;500)),MAX(Q3264,AK3264)*M3264,IF(OR(AND(I3264="TP",Q3264&lt;=150), AND(I3264="TDP", Q3264&lt;=150)),MAX(Q3264,AG3264:AI3264,AK3264)*M3264,IF(OR(AND(I3264="TP",Q3264&lt;=300), AND(I3264="TDP", Q3264&lt;=300)),MAX(Q3264,AH3264,AI3264,AK3264)*M3264,IF(OR(AND(I3264="TP",Q3264&lt;=500), AND(I3264="TDP", Q3264&lt;=500)),MAX(Q3264,AI3264,AK3264)*M3264,"")))))))</f>
        <v>581.21379520000005</v>
      </c>
      <c r="T3264" s="10" t="s">
        <v>1229</v>
      </c>
      <c r="U3264" s="34" t="str">
        <f t="shared" si="366"/>
        <v/>
      </c>
      <c r="V3264" s="31" t="str">
        <f>IF(H3264="CHK",VLOOKUP(I3264,QCCHK,3,),IF(H3264="GUP",VLOOKUP(E3264,QCGUP,2,),IF(AND(H3264="ATP",OR(I3264="TN",I3264="TDN",I3264="TNO2-3",I3264="NO2-3")),VLOOKUP(E3264,QCREC_N,2,),IF(AND(H3264="NIC",OR(I3264="TN",I3264="TDN",I3264="TNO2-3",I3264="NO2-3")),VLOOKUP(E3264,QCNIC_N,2,),IF(AND(H3264="UREA",OR(I3264="TN",I3264="TDN",I3264="TNO2-3",I3264="NO2-3")),VLOOKUP(E3264,QCUREA_N,2,),IF(H3264="PER",VLOOKUP(I3264,QCPER,MATCH(E3264,QCACTUAL!$J$25:$AA$25,0),),IF(H3264="SPK",VLOOKUP(I3264,QCSPK,3,),IF(AND(H3264="ATP",OR(I3264="TP",I3264="TDP")),VLOOKUP(E3264,QCATP_P,2,),""))))))))</f>
        <v/>
      </c>
      <c r="W3264" s="31" t="str">
        <f t="shared" si="367"/>
        <v>TRUE</v>
      </c>
      <c r="X3264" s="31" t="str">
        <f t="shared" si="371"/>
        <v/>
      </c>
      <c r="Y3264" s="10" t="s">
        <v>1222</v>
      </c>
      <c r="Z3264" s="10" t="s">
        <v>910</v>
      </c>
      <c r="AF3264" s="12">
        <v>44973</v>
      </c>
      <c r="AJ3264" s="10">
        <f>0.1303*3.84^2+171.81*3.84-89.924</f>
        <v>571.74775168000008</v>
      </c>
      <c r="AK3264" s="10">
        <f>-0.033*3.84^2+178.81*3.84-104.93</f>
        <v>581.21379520000005</v>
      </c>
      <c r="AL3264" s="10" t="str">
        <f t="shared" si="369"/>
        <v>FALSE</v>
      </c>
      <c r="AM3264" s="10" t="str">
        <f t="shared" si="369"/>
        <v>FALSE</v>
      </c>
      <c r="AN3264" s="10" t="str">
        <f t="shared" si="369"/>
        <v>FALSE</v>
      </c>
      <c r="AO3264" s="10" t="str">
        <f t="shared" si="370"/>
        <v>y=0.1303*3.84^2+171.81*3.84-89.924</v>
      </c>
      <c r="AP3264" s="10" t="str">
        <f t="shared" si="370"/>
        <v>y=-0.033*3.84^2+178.81*3.84-104.93</v>
      </c>
      <c r="AQ3264" s="10" t="b">
        <f>IF(AND(I3264="TP",S3264&lt;=150),VLOOKUP(AF3264,TPCalibEq150!$AZ$2:$BB$55,3,),IF(AND(I3264="TDP",S3264&lt;=150),VLOOKUP(AF3264,TPCalibEq150!$AZ$2:$BB$55,3,)))</f>
        <v>0</v>
      </c>
      <c r="AR3264" s="10" t="b">
        <f>IF(AND(I3264="TP",S3264&lt;=300),VLOOKUP(AF3264,TPCalibEq300!$AZ$2:$BB$55,3,),IF(AND(I3264="TDP",S3264&lt;=300),VLOOKUP(AF3264,TPCalibEq300!$AZ$2:$BB$55,3,)))</f>
        <v>0</v>
      </c>
      <c r="AS3264" s="10" t="b">
        <f>IF(AND(I3264="TP",S3264&lt;=500),VLOOKUP(AF3264,TPCalibEq500!$AZ$2:$BB$56,3,),IF(AND(I3264="TDP",S3264&lt;=500),VLOOKUP(AF3264,TPCalibEq500!$AZ$2:$BB$56,3,)))</f>
        <v>0</v>
      </c>
      <c r="AT3264" s="10" t="str">
        <f>IF(AND(I3264="TN",S3264&lt;=2800),VLOOKUP(AF3264,TNCalibEq2500!$AZ$2:$BB$56,3,),IF(AND(I3264="TDN",S3264&lt;=2800),VLOOKUP(AF3264,TNCalibEq2500!$AZ$2:$BB$56,3,)))</f>
        <v>y=0.1303x2+171.81x-89.924</v>
      </c>
      <c r="AU3264" s="10" t="str">
        <f>IF(I3264="TP",VLOOKUP(AF3264,TPCalibEqFull!$AZ$2:$BB$56,3),IF(I3264="TDP",VLOOKUP(AF3264,TPCalibEqFull!$AZ$2:$BB$56,3),IF(I3264="TDN",VLOOKUP(AF3264,TNCalibEqFull!$AZ$1:$BB$56,3),IF(I3264="TN",VLOOKUP(AF3264,TNCalibEqFull!$AZ$1:$BB$56,3),FALSE))))</f>
        <v>y=-0.033x2+178.81x-104.93</v>
      </c>
      <c r="AV3264" s="10" t="str">
        <f t="shared" si="368"/>
        <v>0213 11:43:00-EFM-0-FIL-1-SW-UKN</v>
      </c>
    </row>
    <row r="3265" spans="1:48" s="10" customFormat="1" x14ac:dyDescent="0.55000000000000004">
      <c r="A3265" s="32">
        <v>44970</v>
      </c>
      <c r="B3265" s="33">
        <v>0.50694444444444442</v>
      </c>
      <c r="C3265" s="10" t="s">
        <v>999</v>
      </c>
      <c r="D3265" s="10">
        <v>0</v>
      </c>
      <c r="E3265" s="10" t="s">
        <v>911</v>
      </c>
      <c r="F3265" s="10">
        <v>1</v>
      </c>
      <c r="G3265" s="10" t="s">
        <v>231</v>
      </c>
      <c r="H3265" s="10" t="s">
        <v>322</v>
      </c>
      <c r="I3265" s="10" t="s">
        <v>224</v>
      </c>
      <c r="J3265" s="10">
        <v>47</v>
      </c>
      <c r="K3265" s="12">
        <v>44973</v>
      </c>
      <c r="L3265" s="33">
        <v>0.5022106481481482</v>
      </c>
      <c r="M3265" s="10">
        <v>1</v>
      </c>
      <c r="N3265" s="10" t="s">
        <v>196</v>
      </c>
      <c r="O3265" s="10">
        <v>3.86</v>
      </c>
      <c r="P3265" s="10">
        <v>0.186</v>
      </c>
      <c r="Q3265" s="10">
        <v>584</v>
      </c>
      <c r="R3265" s="10" t="s">
        <v>170</v>
      </c>
      <c r="S3265" s="34">
        <f t="shared" si="372"/>
        <v>584.78491319999989</v>
      </c>
      <c r="T3265" s="10" t="s">
        <v>1229</v>
      </c>
      <c r="U3265" s="34" t="str">
        <f t="shared" si="366"/>
        <v/>
      </c>
      <c r="V3265" s="31" t="str">
        <f>IF(H3265="CHK",VLOOKUP(I3265,QCCHK,3,),IF(H3265="GUP",VLOOKUP(E3265,QCGUP,2,),IF(AND(H3265="ATP",OR(I3265="TN",I3265="TDN",I3265="TNO2-3",I3265="NO2-3")),VLOOKUP(E3265,QCREC_N,2,),IF(AND(H3265="NIC",OR(I3265="TN",I3265="TDN",I3265="TNO2-3",I3265="NO2-3")),VLOOKUP(E3265,QCNIC_N,2,),IF(AND(H3265="UREA",OR(I3265="TN",I3265="TDN",I3265="TNO2-3",I3265="NO2-3")),VLOOKUP(E3265,QCUREA_N,2,),IF(H3265="PER",VLOOKUP(I3265,QCPER,MATCH(E3265,QCACTUAL!$J$25:$AA$25,0),),IF(H3265="SPK",VLOOKUP(I3265,QCSPK,3,),IF(AND(H3265="ATP",OR(I3265="TP",I3265="TDP")),VLOOKUP(E3265,QCATP_P,2,),""))))))))</f>
        <v/>
      </c>
      <c r="W3265" s="31" t="str">
        <f t="shared" si="367"/>
        <v>TRUE</v>
      </c>
      <c r="X3265" s="31" t="str">
        <f t="shared" si="371"/>
        <v/>
      </c>
      <c r="Y3265" s="10" t="s">
        <v>1222</v>
      </c>
      <c r="Z3265" s="10" t="s">
        <v>910</v>
      </c>
      <c r="AF3265" s="12">
        <v>44973</v>
      </c>
      <c r="AJ3265" s="10">
        <f>0.1303*3.86^2+171.81*3.86-89.924</f>
        <v>575.20401788000004</v>
      </c>
      <c r="AK3265" s="10">
        <f>-0.033*3.86^2+178.81*3.86-104.93</f>
        <v>584.78491319999989</v>
      </c>
      <c r="AL3265" s="10" t="str">
        <f t="shared" si="369"/>
        <v>FALSE</v>
      </c>
      <c r="AM3265" s="10" t="str">
        <f t="shared" si="369"/>
        <v>FALSE</v>
      </c>
      <c r="AN3265" s="10" t="str">
        <f t="shared" si="369"/>
        <v>FALSE</v>
      </c>
      <c r="AO3265" s="10" t="str">
        <f t="shared" si="370"/>
        <v>y=0.1303*3.86^2+171.81*3.86-89.924</v>
      </c>
      <c r="AP3265" s="10" t="str">
        <f t="shared" si="370"/>
        <v>y=-0.033*3.86^2+178.81*3.86-104.93</v>
      </c>
      <c r="AQ3265" s="10" t="b">
        <f>IF(AND(I3265="TP",S3265&lt;=150),VLOOKUP(AF3265,TPCalibEq150!$AZ$2:$BB$55,3,),IF(AND(I3265="TDP",S3265&lt;=150),VLOOKUP(AF3265,TPCalibEq150!$AZ$2:$BB$55,3,)))</f>
        <v>0</v>
      </c>
      <c r="AR3265" s="10" t="b">
        <f>IF(AND(I3265="TP",S3265&lt;=300),VLOOKUP(AF3265,TPCalibEq300!$AZ$2:$BB$55,3,),IF(AND(I3265="TDP",S3265&lt;=300),VLOOKUP(AF3265,TPCalibEq300!$AZ$2:$BB$55,3,)))</f>
        <v>0</v>
      </c>
      <c r="AS3265" s="10" t="b">
        <f>IF(AND(I3265="TP",S3265&lt;=500),VLOOKUP(AF3265,TPCalibEq500!$AZ$2:$BB$56,3,),IF(AND(I3265="TDP",S3265&lt;=500),VLOOKUP(AF3265,TPCalibEq500!$AZ$2:$BB$56,3,)))</f>
        <v>0</v>
      </c>
      <c r="AT3265" s="10" t="str">
        <f>IF(AND(I3265="TN",S3265&lt;=2800),VLOOKUP(AF3265,TNCalibEq2500!$AZ$2:$BB$56,3,),IF(AND(I3265="TDN",S3265&lt;=2800),VLOOKUP(AF3265,TNCalibEq2500!$AZ$2:$BB$56,3,)))</f>
        <v>y=0.1303x2+171.81x-89.924</v>
      </c>
      <c r="AU3265" s="10" t="str">
        <f>IF(I3265="TP",VLOOKUP(AF3265,TPCalibEqFull!$AZ$2:$BB$56,3),IF(I3265="TDP",VLOOKUP(AF3265,TPCalibEqFull!$AZ$2:$BB$56,3),IF(I3265="TDN",VLOOKUP(AF3265,TNCalibEqFull!$AZ$1:$BB$56,3),IF(I3265="TN",VLOOKUP(AF3265,TNCalibEqFull!$AZ$1:$BB$56,3),FALSE))))</f>
        <v>y=-0.033x2+178.81x-104.93</v>
      </c>
      <c r="AV3265" s="10" t="str">
        <f t="shared" si="368"/>
        <v>0213 12:10:00-EAW-0-FIL-1-SW-UKN</v>
      </c>
    </row>
    <row r="3266" spans="1:48" s="10" customFormat="1" x14ac:dyDescent="0.55000000000000004">
      <c r="A3266" s="32">
        <v>44970</v>
      </c>
      <c r="B3266" s="33">
        <v>0.51527777777777783</v>
      </c>
      <c r="C3266" s="10" t="s">
        <v>310</v>
      </c>
      <c r="D3266" s="10">
        <v>0</v>
      </c>
      <c r="E3266" s="10" t="s">
        <v>911</v>
      </c>
      <c r="F3266" s="10">
        <v>1</v>
      </c>
      <c r="G3266" s="10" t="s">
        <v>231</v>
      </c>
      <c r="H3266" s="10" t="s">
        <v>322</v>
      </c>
      <c r="I3266" s="10" t="s">
        <v>224</v>
      </c>
      <c r="J3266" s="10">
        <v>48</v>
      </c>
      <c r="K3266" s="12">
        <v>44973</v>
      </c>
      <c r="L3266" s="33">
        <v>0.50289351851851849</v>
      </c>
      <c r="M3266" s="10">
        <v>1</v>
      </c>
      <c r="N3266" s="10" t="s">
        <v>196</v>
      </c>
      <c r="O3266" s="10">
        <v>4.28</v>
      </c>
      <c r="P3266" s="10">
        <v>0.20799999999999999</v>
      </c>
      <c r="Q3266" s="10">
        <v>659</v>
      </c>
      <c r="R3266" s="10" t="s">
        <v>170</v>
      </c>
      <c r="S3266" s="34">
        <f t="shared" si="372"/>
        <v>659.77229280000006</v>
      </c>
      <c r="T3266" s="10" t="s">
        <v>1229</v>
      </c>
      <c r="U3266" s="34" t="str">
        <f t="shared" ref="U3266:U3329" si="373">IF(OR(H3266="CHK",H3266="ATP",H3266="GUP",H3266="PER", H3266="NIC", H3266="UREA"),(S3266/V3266*100),IF(H3266="DUP",((ABS(S3266-S3265))/((S3265+S3266)/2))*100,IF(H3266="SPK",((S3266-S3265)/V3266*100),IF(OR(H3266="LAB",H3266="FLD",H3266="ESF"),S3266,""))))</f>
        <v/>
      </c>
      <c r="V3266" s="31" t="str">
        <f>IF(H3266="CHK",VLOOKUP(I3266,QCCHK,3,),IF(H3266="GUP",VLOOKUP(E3266,QCGUP,2,),IF(AND(H3266="ATP",OR(I3266="TN",I3266="TDN",I3266="TNO2-3",I3266="NO2-3")),VLOOKUP(E3266,QCREC_N,2,),IF(AND(H3266="NIC",OR(I3266="TN",I3266="TDN",I3266="TNO2-3",I3266="NO2-3")),VLOOKUP(E3266,QCNIC_N,2,),IF(AND(H3266="UREA",OR(I3266="TN",I3266="TDN",I3266="TNO2-3",I3266="NO2-3")),VLOOKUP(E3266,QCUREA_N,2,),IF(H3266="PER",VLOOKUP(I3266,QCPER,MATCH(E3266,QCACTUAL!$J$25:$AA$25,0),),IF(H3266="SPK",VLOOKUP(I3266,QCSPK,3,),IF(AND(H3266="ATP",OR(I3266="TP",I3266="TDP")),VLOOKUP(E3266,QCATP_P,2,),""))))))))</f>
        <v/>
      </c>
      <c r="W3266" s="31" t="str">
        <f t="shared" ref="W3266:W3329" si="374">IF(AND(OR(H3266="PER",H3266="ATP",H3266="GUP",H3266="CHK",H3266="SPK", H3266="NIC"),OR(U3266&gt;125,U3266&lt;75)),"FALSE",IF(AND(H3266="DUP",OR(U3266&gt;25, U3266&lt;-25)),"FALSE",IF(AND(OR(H3266="LAB",H3266="FLD",H3266="ESF"),U3266&gt;15),"FALSE","TRUE")))</f>
        <v>TRUE</v>
      </c>
      <c r="X3266" s="31" t="str">
        <f t="shared" si="371"/>
        <v/>
      </c>
      <c r="Y3266" s="10" t="s">
        <v>1222</v>
      </c>
      <c r="Z3266" s="10" t="s">
        <v>910</v>
      </c>
      <c r="AF3266" s="12">
        <v>44973</v>
      </c>
      <c r="AJ3266" s="10">
        <f>0.1303*4.28^2+171.81*4.28-89.924</f>
        <v>647.80968752000001</v>
      </c>
      <c r="AK3266" s="10">
        <f>-0.033*4.28^2+178.81*4.28-104.93</f>
        <v>659.77229280000006</v>
      </c>
      <c r="AL3266" s="10" t="str">
        <f t="shared" si="369"/>
        <v>FALSE</v>
      </c>
      <c r="AM3266" s="10" t="str">
        <f t="shared" si="369"/>
        <v>FALSE</v>
      </c>
      <c r="AN3266" s="10" t="str">
        <f t="shared" si="369"/>
        <v>FALSE</v>
      </c>
      <c r="AO3266" s="10" t="str">
        <f t="shared" si="370"/>
        <v>y=0.1303*4.28^2+171.81*4.28-89.924</v>
      </c>
      <c r="AP3266" s="10" t="str">
        <f t="shared" si="370"/>
        <v>y=-0.033*4.28^2+178.81*4.28-104.93</v>
      </c>
      <c r="AQ3266" s="10" t="b">
        <f>IF(AND(I3266="TP",S3266&lt;=150),VLOOKUP(AF3266,TPCalibEq150!$AZ$2:$BB$55,3,),IF(AND(I3266="TDP",S3266&lt;=150),VLOOKUP(AF3266,TPCalibEq150!$AZ$2:$BB$55,3,)))</f>
        <v>0</v>
      </c>
      <c r="AR3266" s="10" t="b">
        <f>IF(AND(I3266="TP",S3266&lt;=300),VLOOKUP(AF3266,TPCalibEq300!$AZ$2:$BB$55,3,),IF(AND(I3266="TDP",S3266&lt;=300),VLOOKUP(AF3266,TPCalibEq300!$AZ$2:$BB$55,3,)))</f>
        <v>0</v>
      </c>
      <c r="AS3266" s="10" t="b">
        <f>IF(AND(I3266="TP",S3266&lt;=500),VLOOKUP(AF3266,TPCalibEq500!$AZ$2:$BB$56,3,),IF(AND(I3266="TDP",S3266&lt;=500),VLOOKUP(AF3266,TPCalibEq500!$AZ$2:$BB$56,3,)))</f>
        <v>0</v>
      </c>
      <c r="AT3266" s="10" t="str">
        <f>IF(AND(I3266="TN",S3266&lt;=2800),VLOOKUP(AF3266,TNCalibEq2500!$AZ$2:$BB$56,3,),IF(AND(I3266="TDN",S3266&lt;=2800),VLOOKUP(AF3266,TNCalibEq2500!$AZ$2:$BB$56,3,)))</f>
        <v>y=0.1303x2+171.81x-89.924</v>
      </c>
      <c r="AU3266" s="10" t="str">
        <f>IF(I3266="TP",VLOOKUP(AF3266,TPCalibEqFull!$AZ$2:$BB$56,3),IF(I3266="TDP",VLOOKUP(AF3266,TPCalibEqFull!$AZ$2:$BB$56,3),IF(I3266="TDN",VLOOKUP(AF3266,TNCalibEqFull!$AZ$1:$BB$56,3),IF(I3266="TN",VLOOKUP(AF3266,TNCalibEqFull!$AZ$1:$BB$56,3),FALSE))))</f>
        <v>y=-0.033x2+178.81x-104.93</v>
      </c>
      <c r="AV3266" s="10" t="str">
        <f t="shared" ref="AV3266:AV3329" si="375">TEXT(A3266, "MMDD")&amp;" "&amp;TEXT(B3266, "HH:MM:SS")&amp;"-"&amp;C3266&amp;"-"&amp;D3266&amp;"-"&amp;E3266&amp;"-"&amp;F3266&amp;"-"&amp;G3266&amp;"-"&amp;H3266</f>
        <v>0213 12:22:00-ELI-0-FIL-1-SW-UKN</v>
      </c>
    </row>
    <row r="3267" spans="1:48" s="10" customFormat="1" x14ac:dyDescent="0.55000000000000004">
      <c r="A3267" s="32">
        <v>44970</v>
      </c>
      <c r="B3267" s="33">
        <v>0.51527777777777783</v>
      </c>
      <c r="C3267" s="10" t="s">
        <v>310</v>
      </c>
      <c r="D3267" s="10">
        <v>0</v>
      </c>
      <c r="E3267" s="10" t="s">
        <v>911</v>
      </c>
      <c r="F3267" s="10">
        <v>1</v>
      </c>
      <c r="G3267" s="10" t="s">
        <v>231</v>
      </c>
      <c r="H3267" s="10" t="s">
        <v>233</v>
      </c>
      <c r="I3267" s="10" t="s">
        <v>224</v>
      </c>
      <c r="J3267" s="10">
        <v>48</v>
      </c>
      <c r="K3267" s="12">
        <v>44973</v>
      </c>
      <c r="L3267" s="33">
        <v>0.50357638888888889</v>
      </c>
      <c r="M3267" s="10">
        <v>1</v>
      </c>
      <c r="N3267" s="10" t="s">
        <v>196</v>
      </c>
      <c r="O3267" s="10">
        <v>4.24</v>
      </c>
      <c r="P3267" s="10">
        <v>0.20599999999999999</v>
      </c>
      <c r="Q3267" s="10">
        <v>652</v>
      </c>
      <c r="R3267" s="10" t="s">
        <v>170</v>
      </c>
      <c r="S3267" s="34">
        <f t="shared" si="372"/>
        <v>652.63113920000001</v>
      </c>
      <c r="T3267" s="10" t="s">
        <v>1229</v>
      </c>
      <c r="U3267" s="34">
        <f t="shared" si="373"/>
        <v>1.0882558557649447</v>
      </c>
      <c r="V3267" s="31" t="str">
        <f>IF(H3267="CHK",VLOOKUP(I3267,QCCHK,3,),IF(H3267="GUP",VLOOKUP(E3267,QCGUP,2,),IF(AND(H3267="ATP",OR(I3267="TN",I3267="TDN",I3267="TNO2-3",I3267="NO2-3")),VLOOKUP(E3267,QCREC_N,2,),IF(AND(H3267="NIC",OR(I3267="TN",I3267="TDN",I3267="TNO2-3",I3267="NO2-3")),VLOOKUP(E3267,QCNIC_N,2,),IF(AND(H3267="UREA",OR(I3267="TN",I3267="TDN",I3267="TNO2-3",I3267="NO2-3")),VLOOKUP(E3267,QCUREA_N,2,),IF(H3267="PER",VLOOKUP(I3267,QCPER,MATCH(E3267,QCACTUAL!$J$25:$AA$25,0),),IF(H3267="SPK",VLOOKUP(I3267,QCSPK,3,),IF(AND(H3267="ATP",OR(I3267="TP",I3267="TDP")),VLOOKUP(E3267,QCATP_P,2,),""))))))))</f>
        <v/>
      </c>
      <c r="W3267" s="31" t="str">
        <f t="shared" si="374"/>
        <v>TRUE</v>
      </c>
      <c r="X3267" s="31" t="str">
        <f t="shared" si="371"/>
        <v>((ABS(rep1-rep2))/((rep1+rep2)/2)*100</v>
      </c>
      <c r="Y3267" s="10" t="s">
        <v>1222</v>
      </c>
      <c r="Z3267" s="10" t="s">
        <v>910</v>
      </c>
      <c r="AF3267" s="12">
        <v>44973</v>
      </c>
      <c r="AJ3267" s="10">
        <f>0.1303*4.24^2+171.81*4.24-89.924</f>
        <v>640.8928812800001</v>
      </c>
      <c r="AK3267" s="10">
        <f>-0.033*4.24^2+178.81*4.24-104.93</f>
        <v>652.63113920000001</v>
      </c>
      <c r="AL3267" s="10" t="str">
        <f t="shared" si="369"/>
        <v>FALSE</v>
      </c>
      <c r="AM3267" s="10" t="str">
        <f t="shared" si="369"/>
        <v>FALSE</v>
      </c>
      <c r="AN3267" s="10" t="str">
        <f t="shared" si="369"/>
        <v>FALSE</v>
      </c>
      <c r="AO3267" s="10" t="str">
        <f t="shared" si="370"/>
        <v>y=0.1303*4.24^2+171.81*4.24-89.924</v>
      </c>
      <c r="AP3267" s="10" t="str">
        <f t="shared" si="370"/>
        <v>y=-0.033*4.24^2+178.81*4.24-104.93</v>
      </c>
      <c r="AQ3267" s="10" t="b">
        <f>IF(AND(I3267="TP",S3267&lt;=150),VLOOKUP(AF3267,TPCalibEq150!$AZ$2:$BB$55,3,),IF(AND(I3267="TDP",S3267&lt;=150),VLOOKUP(AF3267,TPCalibEq150!$AZ$2:$BB$55,3,)))</f>
        <v>0</v>
      </c>
      <c r="AR3267" s="10" t="b">
        <f>IF(AND(I3267="TP",S3267&lt;=300),VLOOKUP(AF3267,TPCalibEq300!$AZ$2:$BB$55,3,),IF(AND(I3267="TDP",S3267&lt;=300),VLOOKUP(AF3267,TPCalibEq300!$AZ$2:$BB$55,3,)))</f>
        <v>0</v>
      </c>
      <c r="AS3267" s="10" t="b">
        <f>IF(AND(I3267="TP",S3267&lt;=500),VLOOKUP(AF3267,TPCalibEq500!$AZ$2:$BB$56,3,),IF(AND(I3267="TDP",S3267&lt;=500),VLOOKUP(AF3267,TPCalibEq500!$AZ$2:$BB$56,3,)))</f>
        <v>0</v>
      </c>
      <c r="AT3267" s="10" t="str">
        <f>IF(AND(I3267="TN",S3267&lt;=2800),VLOOKUP(AF3267,TNCalibEq2500!$AZ$2:$BB$56,3,),IF(AND(I3267="TDN",S3267&lt;=2800),VLOOKUP(AF3267,TNCalibEq2500!$AZ$2:$BB$56,3,)))</f>
        <v>y=0.1303x2+171.81x-89.924</v>
      </c>
      <c r="AU3267" s="10" t="str">
        <f>IF(I3267="TP",VLOOKUP(AF3267,TPCalibEqFull!$AZ$2:$BB$56,3),IF(I3267="TDP",VLOOKUP(AF3267,TPCalibEqFull!$AZ$2:$BB$56,3),IF(I3267="TDN",VLOOKUP(AF3267,TNCalibEqFull!$AZ$1:$BB$56,3),IF(I3267="TN",VLOOKUP(AF3267,TNCalibEqFull!$AZ$1:$BB$56,3),FALSE))))</f>
        <v>y=-0.033x2+178.81x-104.93</v>
      </c>
      <c r="AV3267" s="10" t="str">
        <f t="shared" si="375"/>
        <v>0213 12:22:00-ELI-0-FIL-1-SW-DUP</v>
      </c>
    </row>
    <row r="3268" spans="1:48" s="10" customFormat="1" x14ac:dyDescent="0.55000000000000004">
      <c r="A3268" s="32">
        <v>44970</v>
      </c>
      <c r="B3268" s="33">
        <v>0.51527777777777783</v>
      </c>
      <c r="C3268" s="10" t="s">
        <v>310</v>
      </c>
      <c r="D3268" s="10">
        <v>0</v>
      </c>
      <c r="E3268" s="10" t="s">
        <v>911</v>
      </c>
      <c r="F3268" s="10">
        <v>1</v>
      </c>
      <c r="G3268" s="10" t="s">
        <v>231</v>
      </c>
      <c r="H3268" s="10" t="s">
        <v>314</v>
      </c>
      <c r="I3268" s="10" t="s">
        <v>224</v>
      </c>
      <c r="J3268" s="10">
        <v>54</v>
      </c>
      <c r="K3268" s="12">
        <v>44973</v>
      </c>
      <c r="L3268" s="33">
        <v>0.50423611111111111</v>
      </c>
      <c r="M3268" s="10">
        <v>1</v>
      </c>
      <c r="N3268" s="10" t="s">
        <v>196</v>
      </c>
      <c r="O3268" s="10">
        <v>18.100000000000001</v>
      </c>
      <c r="P3268" s="10">
        <v>0.876</v>
      </c>
      <c r="Q3268" s="10">
        <v>3120</v>
      </c>
      <c r="R3268" s="10" t="s">
        <v>170</v>
      </c>
      <c r="S3268" s="34">
        <f t="shared" si="372"/>
        <v>3120.7198700000004</v>
      </c>
      <c r="T3268" s="10" t="s">
        <v>1229</v>
      </c>
      <c r="U3268" s="34">
        <f t="shared" si="373"/>
        <v>98.723549232000011</v>
      </c>
      <c r="V3268" s="31">
        <f>IF(H3268="CHK",VLOOKUP(I3268,QCCHK,3,),IF(H3268="GUP",VLOOKUP(E3268,QCGUP,2,),IF(AND(H3268="ATP",OR(I3268="TN",I3268="TDN",I3268="TNO2-3",I3268="NO2-3")),VLOOKUP(E3268,QCREC_N,2,),IF(AND(H3268="NIC",OR(I3268="TN",I3268="TDN",I3268="TNO2-3",I3268="NO2-3")),VLOOKUP(E3268,QCNIC_N,2,),IF(AND(H3268="UREA",OR(I3268="TN",I3268="TDN",I3268="TNO2-3",I3268="NO2-3")),VLOOKUP(E3268,QCUREA_N,2,),IF(H3268="PER",VLOOKUP(I3268,QCPER,MATCH(E3268,QCACTUAL!$J$25:$AA$25,0),),IF(H3268="SPK",VLOOKUP(I3268,QCSPK,3,),IF(AND(H3268="ATP",OR(I3268="TP",I3268="TDP")),VLOOKUP(E3268,QCATP_P,2,),""))))))))</f>
        <v>2500</v>
      </c>
      <c r="W3268" s="31" t="str">
        <f t="shared" si="374"/>
        <v>TRUE</v>
      </c>
      <c r="X3268" s="31" t="str">
        <f t="shared" si="371"/>
        <v>([spikedunkn]-[unkn])/[spike]*100</v>
      </c>
      <c r="Y3268" s="10" t="s">
        <v>1222</v>
      </c>
      <c r="Z3268" s="10" t="s">
        <v>910</v>
      </c>
      <c r="AF3268" s="12">
        <v>44973</v>
      </c>
      <c r="AK3268" s="10">
        <f>-0.033*18.1^2+178.81*18.1-104.93</f>
        <v>3120.7198700000004</v>
      </c>
      <c r="AL3268" s="10" t="str">
        <f t="shared" si="369"/>
        <v>FALSE</v>
      </c>
      <c r="AM3268" s="10" t="str">
        <f t="shared" si="369"/>
        <v>FALSE</v>
      </c>
      <c r="AN3268" s="10" t="str">
        <f t="shared" si="369"/>
        <v>FALSE</v>
      </c>
      <c r="AO3268" s="10" t="str">
        <f t="shared" si="370"/>
        <v>FALSE</v>
      </c>
      <c r="AP3268" s="10" t="str">
        <f t="shared" si="370"/>
        <v>y=-0.033*18.1^2+178.81*18.1-104.93</v>
      </c>
      <c r="AQ3268" s="10" t="b">
        <f>IF(AND(I3268="TP",S3268&lt;=150),VLOOKUP(AF3268,TPCalibEq150!$AZ$2:$BB$55,3,),IF(AND(I3268="TDP",S3268&lt;=150),VLOOKUP(AF3268,TPCalibEq150!$AZ$2:$BB$55,3,)))</f>
        <v>0</v>
      </c>
      <c r="AR3268" s="10" t="b">
        <f>IF(AND(I3268="TP",S3268&lt;=300),VLOOKUP(AF3268,TPCalibEq300!$AZ$2:$BB$55,3,),IF(AND(I3268="TDP",S3268&lt;=300),VLOOKUP(AF3268,TPCalibEq300!$AZ$2:$BB$55,3,)))</f>
        <v>0</v>
      </c>
      <c r="AS3268" s="10" t="b">
        <f>IF(AND(I3268="TP",S3268&lt;=500),VLOOKUP(AF3268,TPCalibEq500!$AZ$2:$BB$56,3,),IF(AND(I3268="TDP",S3268&lt;=500),VLOOKUP(AF3268,TPCalibEq500!$AZ$2:$BB$56,3,)))</f>
        <v>0</v>
      </c>
      <c r="AT3268" s="10" t="b">
        <f>IF(AND(I3268="TN",S3268&lt;=2800),VLOOKUP(AF3268,TNCalibEq2500!$AZ$2:$BB$56,3,),IF(AND(I3268="TDN",S3268&lt;=2800),VLOOKUP(AF3268,TNCalibEq2500!$AZ$2:$BB$56,3,)))</f>
        <v>0</v>
      </c>
      <c r="AU3268" s="10" t="str">
        <f>IF(I3268="TP",VLOOKUP(AF3268,TPCalibEqFull!$AZ$2:$BB$56,3),IF(I3268="TDP",VLOOKUP(AF3268,TPCalibEqFull!$AZ$2:$BB$56,3),IF(I3268="TDN",VLOOKUP(AF3268,TNCalibEqFull!$AZ$1:$BB$56,3),IF(I3268="TN",VLOOKUP(AF3268,TNCalibEqFull!$AZ$1:$BB$56,3),FALSE))))</f>
        <v>y=-0.033x2+178.81x-104.93</v>
      </c>
      <c r="AV3268" s="10" t="str">
        <f t="shared" si="375"/>
        <v>0213 12:22:00-ELI-0-FIL-1-SW-SPK</v>
      </c>
    </row>
    <row r="3269" spans="1:48" s="10" customFormat="1" x14ac:dyDescent="0.55000000000000004">
      <c r="A3269" s="32">
        <v>44972</v>
      </c>
      <c r="B3269" s="33">
        <v>0.375</v>
      </c>
      <c r="C3269" s="10" t="s">
        <v>70</v>
      </c>
      <c r="D3269" s="10" t="s">
        <v>71</v>
      </c>
      <c r="E3269" s="10" t="s">
        <v>901</v>
      </c>
      <c r="F3269" s="10">
        <v>1</v>
      </c>
      <c r="G3269" s="10" t="s">
        <v>73</v>
      </c>
      <c r="H3269" s="10" t="s">
        <v>207</v>
      </c>
      <c r="I3269" s="10" t="s">
        <v>235</v>
      </c>
      <c r="J3269" s="10">
        <v>201</v>
      </c>
      <c r="K3269" s="12">
        <v>44973</v>
      </c>
      <c r="L3269" s="33">
        <v>0.50490740740740747</v>
      </c>
      <c r="M3269" s="10">
        <v>1</v>
      </c>
      <c r="N3269" s="10" t="s">
        <v>196</v>
      </c>
      <c r="O3269" s="10">
        <v>7</v>
      </c>
      <c r="P3269" s="10">
        <v>0.34300000000000003</v>
      </c>
      <c r="Q3269" s="10">
        <v>1140</v>
      </c>
      <c r="R3269" s="10" t="s">
        <v>170</v>
      </c>
      <c r="S3269" s="34">
        <f t="shared" si="372"/>
        <v>1145.123</v>
      </c>
      <c r="T3269" s="10" t="s">
        <v>1229</v>
      </c>
      <c r="U3269" s="34">
        <f t="shared" si="373"/>
        <v>91.609840000000005</v>
      </c>
      <c r="V3269" s="31">
        <f>IF(H3269="CHK",VLOOKUP(I3269,QCCHK,3,),IF(H3269="GUP",VLOOKUP(E3269,QCGUP,2,),IF(AND(H3269="ATP",OR(I3269="TN",I3269="TDN",I3269="TNO2-3",I3269="NO2-3")),VLOOKUP(E3269,QCREC_N,2,),IF(AND(H3269="NIC",OR(I3269="TN",I3269="TDN",I3269="TNO2-3",I3269="NO2-3")),VLOOKUP(E3269,QCNIC_N,2,),IF(AND(H3269="UREA",OR(I3269="TN",I3269="TDN",I3269="TNO2-3",I3269="NO2-3")),VLOOKUP(E3269,QCUREA_N,2,),IF(H3269="PER",VLOOKUP(I3269,QCPER,MATCH(E3269,QCACTUAL!$J$25:$AA$25,0),),IF(H3269="SPK",VLOOKUP(I3269,QCSPK,3,),IF(AND(H3269="ATP",OR(I3269="TP",I3269="TDP")),VLOOKUP(E3269,QCATP_P,2,),""))))))))</f>
        <v>1250</v>
      </c>
      <c r="W3269" s="31" t="str">
        <f t="shared" si="374"/>
        <v>TRUE</v>
      </c>
      <c r="X3269" s="31" t="str">
        <f t="shared" si="371"/>
        <v>[chk]/[actual]*100</v>
      </c>
      <c r="Y3269" s="10" t="s">
        <v>1222</v>
      </c>
      <c r="AF3269" s="12">
        <v>44973</v>
      </c>
      <c r="AJ3269" s="10">
        <f>0.1303*7^2+171.81*7-89.924</f>
        <v>1119.1307000000002</v>
      </c>
      <c r="AK3269" s="10">
        <f>-0.033*7^2+178.81*7-104.93</f>
        <v>1145.123</v>
      </c>
      <c r="AL3269" s="10" t="str">
        <f t="shared" si="369"/>
        <v>FALSE</v>
      </c>
      <c r="AM3269" s="10" t="str">
        <f t="shared" si="369"/>
        <v>FALSE</v>
      </c>
      <c r="AN3269" s="10" t="str">
        <f t="shared" si="369"/>
        <v>FALSE</v>
      </c>
      <c r="AO3269" s="10" t="str">
        <f t="shared" si="370"/>
        <v>y=0.1303*7^2+171.81*7-89.924</v>
      </c>
      <c r="AP3269" s="10" t="str">
        <f t="shared" si="370"/>
        <v>y=-0.033*7^2+178.81*7-104.93</v>
      </c>
      <c r="AQ3269" s="10" t="b">
        <f>IF(AND(I3269="TP",S3269&lt;=150),VLOOKUP(AF3269,TPCalibEq150!$AZ$2:$BB$55,3,),IF(AND(I3269="TDP",S3269&lt;=150),VLOOKUP(AF3269,TPCalibEq150!$AZ$2:$BB$55,3,)))</f>
        <v>0</v>
      </c>
      <c r="AR3269" s="10" t="b">
        <f>IF(AND(I3269="TP",S3269&lt;=300),VLOOKUP(AF3269,TPCalibEq300!$AZ$2:$BB$55,3,),IF(AND(I3269="TDP",S3269&lt;=300),VLOOKUP(AF3269,TPCalibEq300!$AZ$2:$BB$55,3,)))</f>
        <v>0</v>
      </c>
      <c r="AS3269" s="10" t="b">
        <f>IF(AND(I3269="TP",S3269&lt;=500),VLOOKUP(AF3269,TPCalibEq500!$AZ$2:$BB$56,3,),IF(AND(I3269="TDP",S3269&lt;=500),VLOOKUP(AF3269,TPCalibEq500!$AZ$2:$BB$56,3,)))</f>
        <v>0</v>
      </c>
      <c r="AT3269" s="10" t="str">
        <f>IF(AND(I3269="TN",S3269&lt;=2800),VLOOKUP(AF3269,TNCalibEq2500!$AZ$2:$BB$56,3,),IF(AND(I3269="TDN",S3269&lt;=2800),VLOOKUP(AF3269,TNCalibEq2500!$AZ$2:$BB$56,3,)))</f>
        <v>y=0.1303x2+171.81x-89.924</v>
      </c>
      <c r="AU3269" s="10" t="str">
        <f>IF(I3269="TP",VLOOKUP(AF3269,TPCalibEqFull!$AZ$2:$BB$56,3),IF(I3269="TDP",VLOOKUP(AF3269,TPCalibEqFull!$AZ$2:$BB$56,3),IF(I3269="TDN",VLOOKUP(AF3269,TNCalibEqFull!$AZ$1:$BB$56,3),IF(I3269="TN",VLOOKUP(AF3269,TNCalibEqFull!$AZ$1:$BB$56,3),FALSE))))</f>
        <v>y=-0.033x2+178.81x-104.93</v>
      </c>
      <c r="AV3269" s="10" t="str">
        <f t="shared" si="375"/>
        <v>0215 09:00:00-QAC-STD-D-1-DI-CHK</v>
      </c>
    </row>
    <row r="3270" spans="1:48" s="10" customFormat="1" x14ac:dyDescent="0.55000000000000004">
      <c r="A3270" s="32">
        <v>44972</v>
      </c>
      <c r="B3270" s="33">
        <v>0.375</v>
      </c>
      <c r="C3270" s="10" t="s">
        <v>70</v>
      </c>
      <c r="D3270" s="10" t="s">
        <v>71</v>
      </c>
      <c r="E3270" s="10" t="s">
        <v>917</v>
      </c>
      <c r="F3270" s="10">
        <v>1</v>
      </c>
      <c r="G3270" s="10" t="s">
        <v>73</v>
      </c>
      <c r="H3270" s="10" t="s">
        <v>74</v>
      </c>
      <c r="I3270" s="10" t="s">
        <v>83</v>
      </c>
      <c r="J3270" s="10">
        <v>181</v>
      </c>
      <c r="K3270" s="12">
        <v>44972</v>
      </c>
      <c r="L3270" s="33">
        <v>0.54408564814814808</v>
      </c>
      <c r="M3270" s="10">
        <v>1</v>
      </c>
      <c r="N3270" s="10" t="s">
        <v>84</v>
      </c>
      <c r="O3270" s="10">
        <v>0.43</v>
      </c>
      <c r="P3270" s="10">
        <v>3.0599999999999999E-2</v>
      </c>
      <c r="Q3270" s="10">
        <v>0</v>
      </c>
      <c r="R3270" s="10" t="s">
        <v>85</v>
      </c>
      <c r="S3270" s="34">
        <f t="shared" si="372"/>
        <v>0</v>
      </c>
      <c r="T3270" s="10" t="s">
        <v>78</v>
      </c>
      <c r="U3270" s="34" t="str">
        <f t="shared" si="373"/>
        <v/>
      </c>
      <c r="V3270" s="31" t="str">
        <f>IF(H3270="CHK",VLOOKUP(I3270,QCCHK,3,),IF(H3270="GUP",VLOOKUP(E3270,QCGUP,2,),IF(AND(H3270="ATP",OR(I3270="TN",I3270="TDN",I3270="TNO2-3",I3270="NO2-3")),VLOOKUP(E3270,QCREC_N,2,),IF(AND(H3270="NIC",OR(I3270="TN",I3270="TDN",I3270="TNO2-3",I3270="NO2-3")),VLOOKUP(E3270,QCNIC_N,2,),IF(AND(H3270="UREA",OR(I3270="TN",I3270="TDN",I3270="TNO2-3",I3270="NO2-3")),VLOOKUP(E3270,QCUREA_N,2,),IF(H3270="PER",VLOOKUP(I3270,QCPER,MATCH(E3270,QCACTUAL!$J$25:$AA$25,0),),IF(H3270="SPK",VLOOKUP(I3270,QCSPK,3,),IF(AND(H3270="ATP",OR(I3270="TP",I3270="TDP")),VLOOKUP(E3270,QCATP_P,2,),""))))))))</f>
        <v/>
      </c>
      <c r="W3270" s="31" t="str">
        <f t="shared" si="374"/>
        <v>TRUE</v>
      </c>
      <c r="X3270" s="31" t="str">
        <f t="shared" si="371"/>
        <v/>
      </c>
      <c r="Y3270" s="10" t="s">
        <v>1232</v>
      </c>
      <c r="AF3270" s="12">
        <v>44972</v>
      </c>
      <c r="AL3270" s="10" t="str">
        <f t="shared" si="369"/>
        <v>y=-8.1564*0.43^2+103.56*0.43-47.896</v>
      </c>
      <c r="AM3270" s="10" t="str">
        <f t="shared" si="369"/>
        <v>y=-3.4074*0.43^2+90.534*0.43-41.641</v>
      </c>
      <c r="AN3270" s="10" t="str">
        <f t="shared" si="369"/>
        <v>y=-1.4395*0.43^2+80.835*0.43-35.016</v>
      </c>
      <c r="AO3270" s="10" t="str">
        <f t="shared" si="370"/>
        <v>FALSE</v>
      </c>
      <c r="AP3270" s="10" t="str">
        <f t="shared" si="370"/>
        <v>y=-0.0466*0.43^2+68.24*0.43-22.954</v>
      </c>
      <c r="AQ3270" s="10" t="str">
        <f>IF(AND(I3270="TP",S3270&lt;=150),VLOOKUP(AF3270,TPCalibEq150!$AZ$2:$BB$55,3,),IF(AND(I3270="TDP",S3270&lt;=150),VLOOKUP(AF3270,TPCalibEq150!$AZ$2:$BB$55,3,)))</f>
        <v>y=-8.1564x2+103.56x-47.896</v>
      </c>
      <c r="AR3270" s="10" t="str">
        <f>IF(AND(I3270="TP",S3270&lt;=300),VLOOKUP(AF3270,TPCalibEq300!$AZ$2:$BB$55,3,),IF(AND(I3270="TDP",S3270&lt;=300),VLOOKUP(AF3270,TPCalibEq300!$AZ$2:$BB$55,3,)))</f>
        <v>y=-3.4074x2+90.534x-41.641</v>
      </c>
      <c r="AS3270" s="10" t="str">
        <f>IF(AND(I3270="TP",S3270&lt;=500),VLOOKUP(AF3270,TPCalibEq500!$AZ$2:$BB$56,3,),IF(AND(I3270="TDP",S3270&lt;=500),VLOOKUP(AF3270,TPCalibEq500!$AZ$2:$BB$56,3,)))</f>
        <v>y=-1.4395x2+80.835x-35.016</v>
      </c>
      <c r="AT3270" s="10" t="b">
        <f>IF(AND(I3270="TN",S3270&lt;=2800),VLOOKUP(AF3270,TNCalibEq2500!$AZ$2:$BB$56,3,),IF(AND(I3270="TDN",S3270&lt;=2800),VLOOKUP(AF3270,TNCalibEq2500!$AZ$2:$BB$56,3,)))</f>
        <v>0</v>
      </c>
      <c r="AU3270" s="10" t="str">
        <f>IF(I3270="TP",VLOOKUP(AF3270,TPCalibEqFull!$AZ$2:$BB$56,3),IF(I3270="TDP",VLOOKUP(AF3270,TPCalibEqFull!$AZ$2:$BB$56,3),IF(I3270="TDN",VLOOKUP(AF3270,TNCalibEqFull!$AZ$1:$BB$56,3),IF(I3270="TN",VLOOKUP(AF3270,TNCalibEqFull!$AZ$1:$BB$56,3),FALSE))))</f>
        <v>y=-0.0466x2+68.24x-22.954</v>
      </c>
      <c r="AV3270" s="10" t="str">
        <f t="shared" si="375"/>
        <v>0215 09:00:00-QAC-STD-D.H-1-DI-CAL</v>
      </c>
    </row>
    <row r="3271" spans="1:48" s="10" customFormat="1" x14ac:dyDescent="0.55000000000000004">
      <c r="A3271" s="32">
        <v>44972</v>
      </c>
      <c r="B3271" s="33">
        <v>0.375</v>
      </c>
      <c r="C3271" s="10" t="s">
        <v>70</v>
      </c>
      <c r="D3271" s="10" t="s">
        <v>71</v>
      </c>
      <c r="E3271" s="10" t="s">
        <v>918</v>
      </c>
      <c r="F3271" s="10">
        <v>1</v>
      </c>
      <c r="G3271" s="10" t="s">
        <v>73</v>
      </c>
      <c r="H3271" s="10" t="s">
        <v>74</v>
      </c>
      <c r="I3271" s="10" t="s">
        <v>83</v>
      </c>
      <c r="J3271" s="10">
        <v>182</v>
      </c>
      <c r="K3271" s="12">
        <v>44972</v>
      </c>
      <c r="L3271" s="33">
        <v>0.54479166666666667</v>
      </c>
      <c r="M3271" s="10">
        <v>1</v>
      </c>
      <c r="N3271" s="10" t="s">
        <v>84</v>
      </c>
      <c r="O3271" s="10">
        <v>0.56899999999999995</v>
      </c>
      <c r="P3271" s="10">
        <v>4.0599999999999997E-2</v>
      </c>
      <c r="Q3271" s="10">
        <v>12</v>
      </c>
      <c r="R3271" s="10" t="s">
        <v>85</v>
      </c>
      <c r="S3271" s="34">
        <f t="shared" si="372"/>
        <v>12</v>
      </c>
      <c r="T3271" s="10" t="s">
        <v>78</v>
      </c>
      <c r="U3271" s="34" t="str">
        <f t="shared" si="373"/>
        <v/>
      </c>
      <c r="V3271" s="31" t="str">
        <f>IF(H3271="CHK",VLOOKUP(I3271,QCCHK,3,),IF(H3271="GUP",VLOOKUP(E3271,QCGUP,2,),IF(AND(H3271="ATP",OR(I3271="TN",I3271="TDN",I3271="TNO2-3",I3271="NO2-3")),VLOOKUP(E3271,QCREC_N,2,),IF(AND(H3271="NIC",OR(I3271="TN",I3271="TDN",I3271="TNO2-3",I3271="NO2-3")),VLOOKUP(E3271,QCNIC_N,2,),IF(AND(H3271="UREA",OR(I3271="TN",I3271="TDN",I3271="TNO2-3",I3271="NO2-3")),VLOOKUP(E3271,QCUREA_N,2,),IF(H3271="PER",VLOOKUP(I3271,QCPER,MATCH(E3271,QCACTUAL!$J$25:$AA$25,0),),IF(H3271="SPK",VLOOKUP(I3271,QCSPK,3,),IF(AND(H3271="ATP",OR(I3271="TP",I3271="TDP")),VLOOKUP(E3271,QCATP_P,2,),""))))))))</f>
        <v/>
      </c>
      <c r="W3271" s="31" t="str">
        <f t="shared" si="374"/>
        <v>TRUE</v>
      </c>
      <c r="X3271" s="31" t="str">
        <f t="shared" si="371"/>
        <v/>
      </c>
      <c r="Y3271" s="10" t="s">
        <v>1232</v>
      </c>
      <c r="AF3271" s="12">
        <v>44972</v>
      </c>
      <c r="AL3271" s="10" t="str">
        <f t="shared" ref="AL3271:AN3334" si="376">IF($O3271="", "", IF(AQ3271&lt;&gt;"", SUBSTITUTE(SUBSTITUTE(AQ3271, "x", "*"&amp;$O3271&amp;"^", 1), "x", "*"&amp;$O3271, 1), ""))</f>
        <v>y=-8.1564*0.569^2+103.56*0.569-47.896</v>
      </c>
      <c r="AM3271" s="10" t="str">
        <f t="shared" si="376"/>
        <v>y=-3.4074*0.569^2+90.534*0.569-41.641</v>
      </c>
      <c r="AN3271" s="10" t="str">
        <f t="shared" si="376"/>
        <v>y=-1.4395*0.569^2+80.835*0.569-35.016</v>
      </c>
      <c r="AO3271" s="10" t="str">
        <f t="shared" ref="AO3271:AP3334" si="377">IF($O3271="", "FALSE", IF(AT3271&lt;&gt;"FALSE", SUBSTITUTE(SUBSTITUTE(AT3271, "x", "*"&amp;$O3271&amp;"^", 1), "x", "*"&amp;$O3271, 1), ""))</f>
        <v>FALSE</v>
      </c>
      <c r="AP3271" s="10" t="str">
        <f t="shared" si="377"/>
        <v>y=-0.0466*0.569^2+68.24*0.569-22.954</v>
      </c>
      <c r="AQ3271" s="10" t="str">
        <f>IF(AND(I3271="TP",S3271&lt;=150),VLOOKUP(AF3271,TPCalibEq150!$AZ$2:$BB$55,3,),IF(AND(I3271="TDP",S3271&lt;=150),VLOOKUP(AF3271,TPCalibEq150!$AZ$2:$BB$55,3,)))</f>
        <v>y=-8.1564x2+103.56x-47.896</v>
      </c>
      <c r="AR3271" s="10" t="str">
        <f>IF(AND(I3271="TP",S3271&lt;=300),VLOOKUP(AF3271,TPCalibEq300!$AZ$2:$BB$55,3,),IF(AND(I3271="TDP",S3271&lt;=300),VLOOKUP(AF3271,TPCalibEq300!$AZ$2:$BB$55,3,)))</f>
        <v>y=-3.4074x2+90.534x-41.641</v>
      </c>
      <c r="AS3271" s="10" t="str">
        <f>IF(AND(I3271="TP",S3271&lt;=500),VLOOKUP(AF3271,TPCalibEq500!$AZ$2:$BB$56,3,),IF(AND(I3271="TDP",S3271&lt;=500),VLOOKUP(AF3271,TPCalibEq500!$AZ$2:$BB$56,3,)))</f>
        <v>y=-1.4395x2+80.835x-35.016</v>
      </c>
      <c r="AT3271" s="10" t="b">
        <f>IF(AND(I3271="TN",S3271&lt;=2800),VLOOKUP(AF3271,TNCalibEq2500!$AZ$2:$BB$56,3,),IF(AND(I3271="TDN",S3271&lt;=2800),VLOOKUP(AF3271,TNCalibEq2500!$AZ$2:$BB$56,3,)))</f>
        <v>0</v>
      </c>
      <c r="AU3271" s="10" t="str">
        <f>IF(I3271="TP",VLOOKUP(AF3271,TPCalibEqFull!$AZ$2:$BB$56,3),IF(I3271="TDP",VLOOKUP(AF3271,TPCalibEqFull!$AZ$2:$BB$56,3),IF(I3271="TDN",VLOOKUP(AF3271,TNCalibEqFull!$AZ$1:$BB$56,3),IF(I3271="TN",VLOOKUP(AF3271,TNCalibEqFull!$AZ$1:$BB$56,3),FALSE))))</f>
        <v>y=-0.0466x2+68.24x-22.954</v>
      </c>
      <c r="AV3271" s="10" t="str">
        <f t="shared" si="375"/>
        <v>0215 09:00:00-QAC-STD-D.G-1-DI-CAL</v>
      </c>
    </row>
    <row r="3272" spans="1:48" s="10" customFormat="1" x14ac:dyDescent="0.55000000000000004">
      <c r="A3272" s="32">
        <v>44972</v>
      </c>
      <c r="B3272" s="33">
        <v>0.375</v>
      </c>
      <c r="C3272" s="10" t="s">
        <v>70</v>
      </c>
      <c r="D3272" s="10" t="s">
        <v>71</v>
      </c>
      <c r="E3272" s="10" t="s">
        <v>919</v>
      </c>
      <c r="F3272" s="10">
        <v>1</v>
      </c>
      <c r="G3272" s="10" t="s">
        <v>73</v>
      </c>
      <c r="H3272" s="10" t="s">
        <v>74</v>
      </c>
      <c r="I3272" s="10" t="s">
        <v>83</v>
      </c>
      <c r="J3272" s="10">
        <v>183</v>
      </c>
      <c r="K3272" s="12">
        <v>44972</v>
      </c>
      <c r="L3272" s="33">
        <v>0.54548611111111112</v>
      </c>
      <c r="M3272" s="10">
        <v>1</v>
      </c>
      <c r="N3272" s="10" t="s">
        <v>84</v>
      </c>
      <c r="O3272" s="10">
        <v>1.05</v>
      </c>
      <c r="P3272" s="10">
        <v>7.4300000000000005E-2</v>
      </c>
      <c r="Q3272" s="10">
        <v>50</v>
      </c>
      <c r="R3272" s="10" t="s">
        <v>85</v>
      </c>
      <c r="S3272" s="34">
        <f t="shared" si="372"/>
        <v>50</v>
      </c>
      <c r="T3272" s="10" t="s">
        <v>1233</v>
      </c>
      <c r="U3272" s="34" t="str">
        <f t="shared" si="373"/>
        <v/>
      </c>
      <c r="V3272" s="31" t="str">
        <f>IF(H3272="CHK",VLOOKUP(I3272,QCCHK,3,),IF(H3272="GUP",VLOOKUP(E3272,QCGUP,2,),IF(AND(H3272="ATP",OR(I3272="TN",I3272="TDN",I3272="TNO2-3",I3272="NO2-3")),VLOOKUP(E3272,QCREC_N,2,),IF(AND(H3272="NIC",OR(I3272="TN",I3272="TDN",I3272="TNO2-3",I3272="NO2-3")),VLOOKUP(E3272,QCNIC_N,2,),IF(AND(H3272="UREA",OR(I3272="TN",I3272="TDN",I3272="TNO2-3",I3272="NO2-3")),VLOOKUP(E3272,QCUREA_N,2,),IF(H3272="PER",VLOOKUP(I3272,QCPER,MATCH(E3272,QCACTUAL!$J$25:$AA$25,0),),IF(H3272="SPK",VLOOKUP(I3272,QCSPK,3,),IF(AND(H3272="ATP",OR(I3272="TP",I3272="TDP")),VLOOKUP(E3272,QCATP_P,2,),""))))))))</f>
        <v/>
      </c>
      <c r="W3272" s="31" t="str">
        <f t="shared" si="374"/>
        <v>TRUE</v>
      </c>
      <c r="X3272" s="31" t="str">
        <f t="shared" si="371"/>
        <v/>
      </c>
      <c r="Y3272" s="10" t="s">
        <v>1232</v>
      </c>
      <c r="AF3272" s="12">
        <v>44972</v>
      </c>
      <c r="AL3272" s="10" t="str">
        <f t="shared" si="376"/>
        <v>y=-8.1564*1.05^2+103.56*1.05-47.896</v>
      </c>
      <c r="AM3272" s="10" t="str">
        <f t="shared" si="376"/>
        <v>y=-3.4074*1.05^2+90.534*1.05-41.641</v>
      </c>
      <c r="AN3272" s="10" t="str">
        <f t="shared" si="376"/>
        <v>y=-1.4395*1.05^2+80.835*1.05-35.016</v>
      </c>
      <c r="AO3272" s="10" t="str">
        <f t="shared" si="377"/>
        <v>FALSE</v>
      </c>
      <c r="AP3272" s="10" t="str">
        <f t="shared" si="377"/>
        <v>y=-0.0466*1.05^2+68.24*1.05-22.954</v>
      </c>
      <c r="AQ3272" s="10" t="str">
        <f>IF(AND(I3272="TP",S3272&lt;=150),VLOOKUP(AF3272,TPCalibEq150!$AZ$2:$BB$55,3,),IF(AND(I3272="TDP",S3272&lt;=150),VLOOKUP(AF3272,TPCalibEq150!$AZ$2:$BB$55,3,)))</f>
        <v>y=-8.1564x2+103.56x-47.896</v>
      </c>
      <c r="AR3272" s="10" t="str">
        <f>IF(AND(I3272="TP",S3272&lt;=300),VLOOKUP(AF3272,TPCalibEq300!$AZ$2:$BB$55,3,),IF(AND(I3272="TDP",S3272&lt;=300),VLOOKUP(AF3272,TPCalibEq300!$AZ$2:$BB$55,3,)))</f>
        <v>y=-3.4074x2+90.534x-41.641</v>
      </c>
      <c r="AS3272" s="10" t="str">
        <f>IF(AND(I3272="TP",S3272&lt;=500),VLOOKUP(AF3272,TPCalibEq500!$AZ$2:$BB$56,3,),IF(AND(I3272="TDP",S3272&lt;=500),VLOOKUP(AF3272,TPCalibEq500!$AZ$2:$BB$56,3,)))</f>
        <v>y=-1.4395x2+80.835x-35.016</v>
      </c>
      <c r="AT3272" s="10" t="b">
        <f>IF(AND(I3272="TN",S3272&lt;=2800),VLOOKUP(AF3272,TNCalibEq2500!$AZ$2:$BB$56,3,),IF(AND(I3272="TDN",S3272&lt;=2800),VLOOKUP(AF3272,TNCalibEq2500!$AZ$2:$BB$56,3,)))</f>
        <v>0</v>
      </c>
      <c r="AU3272" s="10" t="str">
        <f>IF(I3272="TP",VLOOKUP(AF3272,TPCalibEqFull!$AZ$2:$BB$56,3),IF(I3272="TDP",VLOOKUP(AF3272,TPCalibEqFull!$AZ$2:$BB$56,3),IF(I3272="TDN",VLOOKUP(AF3272,TNCalibEqFull!$AZ$1:$BB$56,3),IF(I3272="TN",VLOOKUP(AF3272,TNCalibEqFull!$AZ$1:$BB$56,3),FALSE))))</f>
        <v>y=-0.0466x2+68.24x-22.954</v>
      </c>
      <c r="AV3272" s="10" t="str">
        <f t="shared" si="375"/>
        <v>0215 09:00:00-QAC-STD-D.F-1-DI-CAL</v>
      </c>
    </row>
    <row r="3273" spans="1:48" s="10" customFormat="1" x14ac:dyDescent="0.55000000000000004">
      <c r="A3273" s="32">
        <v>44972</v>
      </c>
      <c r="B3273" s="33">
        <v>0.375</v>
      </c>
      <c r="C3273" s="10" t="s">
        <v>70</v>
      </c>
      <c r="D3273" s="10" t="s">
        <v>71</v>
      </c>
      <c r="E3273" s="10" t="s">
        <v>920</v>
      </c>
      <c r="F3273" s="10">
        <v>1</v>
      </c>
      <c r="G3273" s="10" t="s">
        <v>73</v>
      </c>
      <c r="H3273" s="10" t="s">
        <v>74</v>
      </c>
      <c r="I3273" s="10" t="s">
        <v>83</v>
      </c>
      <c r="J3273" s="10">
        <v>184</v>
      </c>
      <c r="K3273" s="12">
        <v>44972</v>
      </c>
      <c r="L3273" s="33">
        <v>0.5461921296296296</v>
      </c>
      <c r="M3273" s="10">
        <v>1</v>
      </c>
      <c r="N3273" s="10" t="s">
        <v>84</v>
      </c>
      <c r="O3273" s="10">
        <v>3.13</v>
      </c>
      <c r="P3273" s="10">
        <v>0.22800000000000001</v>
      </c>
      <c r="Q3273" s="10">
        <v>200</v>
      </c>
      <c r="R3273" s="10" t="s">
        <v>85</v>
      </c>
      <c r="S3273" s="34">
        <f t="shared" si="372"/>
        <v>200</v>
      </c>
      <c r="T3273" s="10" t="s">
        <v>1234</v>
      </c>
      <c r="U3273" s="34" t="str">
        <f t="shared" si="373"/>
        <v/>
      </c>
      <c r="V3273" s="31" t="str">
        <f>IF(H3273="CHK",VLOOKUP(I3273,QCCHK,3,),IF(H3273="GUP",VLOOKUP(E3273,QCGUP,2,),IF(AND(H3273="ATP",OR(I3273="TN",I3273="TDN",I3273="TNO2-3",I3273="NO2-3")),VLOOKUP(E3273,QCREC_N,2,),IF(AND(H3273="NIC",OR(I3273="TN",I3273="TDN",I3273="TNO2-3",I3273="NO2-3")),VLOOKUP(E3273,QCNIC_N,2,),IF(AND(H3273="UREA",OR(I3273="TN",I3273="TDN",I3273="TNO2-3",I3273="NO2-3")),VLOOKUP(E3273,QCUREA_N,2,),IF(H3273="PER",VLOOKUP(I3273,QCPER,MATCH(E3273,QCACTUAL!$J$25:$AA$25,0),),IF(H3273="SPK",VLOOKUP(I3273,QCSPK,3,),IF(AND(H3273="ATP",OR(I3273="TP",I3273="TDP")),VLOOKUP(E3273,QCATP_P,2,),""))))))))</f>
        <v/>
      </c>
      <c r="W3273" s="31" t="str">
        <f t="shared" si="374"/>
        <v>TRUE</v>
      </c>
      <c r="X3273" s="31" t="str">
        <f t="shared" si="371"/>
        <v/>
      </c>
      <c r="Y3273" s="10" t="s">
        <v>1232</v>
      </c>
      <c r="AF3273" s="12">
        <v>44972</v>
      </c>
      <c r="AL3273" s="10" t="str">
        <f t="shared" si="376"/>
        <v>FALSE</v>
      </c>
      <c r="AM3273" s="10" t="str">
        <f t="shared" si="376"/>
        <v>y=-3.4074*3.13^2+90.534*3.13-41.641</v>
      </c>
      <c r="AN3273" s="10" t="str">
        <f t="shared" si="376"/>
        <v>y=-1.4395*3.13^2+80.835*3.13-35.016</v>
      </c>
      <c r="AO3273" s="10" t="str">
        <f t="shared" si="377"/>
        <v>FALSE</v>
      </c>
      <c r="AP3273" s="10" t="str">
        <f t="shared" si="377"/>
        <v>y=-0.0466*3.13^2+68.24*3.13-22.954</v>
      </c>
      <c r="AQ3273" s="10" t="b">
        <f>IF(AND(I3273="TP",S3273&lt;=150),VLOOKUP(AF3273,TPCalibEq150!$AZ$2:$BB$55,3,),IF(AND(I3273="TDP",S3273&lt;=150),VLOOKUP(AF3273,TPCalibEq150!$AZ$2:$BB$55,3,)))</f>
        <v>0</v>
      </c>
      <c r="AR3273" s="10" t="str">
        <f>IF(AND(I3273="TP",S3273&lt;=300),VLOOKUP(AF3273,TPCalibEq300!$AZ$2:$BB$55,3,),IF(AND(I3273="TDP",S3273&lt;=300),VLOOKUP(AF3273,TPCalibEq300!$AZ$2:$BB$55,3,)))</f>
        <v>y=-3.4074x2+90.534x-41.641</v>
      </c>
      <c r="AS3273" s="10" t="str">
        <f>IF(AND(I3273="TP",S3273&lt;=500),VLOOKUP(AF3273,TPCalibEq500!$AZ$2:$BB$56,3,),IF(AND(I3273="TDP",S3273&lt;=500),VLOOKUP(AF3273,TPCalibEq500!$AZ$2:$BB$56,3,)))</f>
        <v>y=-1.4395x2+80.835x-35.016</v>
      </c>
      <c r="AT3273" s="10" t="b">
        <f>IF(AND(I3273="TN",S3273&lt;=2800),VLOOKUP(AF3273,TNCalibEq2500!$AZ$2:$BB$56,3,),IF(AND(I3273="TDN",S3273&lt;=2800),VLOOKUP(AF3273,TNCalibEq2500!$AZ$2:$BB$56,3,)))</f>
        <v>0</v>
      </c>
      <c r="AU3273" s="10" t="str">
        <f>IF(I3273="TP",VLOOKUP(AF3273,TPCalibEqFull!$AZ$2:$BB$56,3),IF(I3273="TDP",VLOOKUP(AF3273,TPCalibEqFull!$AZ$2:$BB$56,3),IF(I3273="TDN",VLOOKUP(AF3273,TNCalibEqFull!$AZ$1:$BB$56,3),IF(I3273="TN",VLOOKUP(AF3273,TNCalibEqFull!$AZ$1:$BB$56,3),FALSE))))</f>
        <v>y=-0.0466x2+68.24x-22.954</v>
      </c>
      <c r="AV3273" s="10" t="str">
        <f t="shared" si="375"/>
        <v>0215 09:00:00-QAC-STD-D.E-1-DI-CAL</v>
      </c>
    </row>
    <row r="3274" spans="1:48" s="10" customFormat="1" x14ac:dyDescent="0.55000000000000004">
      <c r="A3274" s="32">
        <v>44972</v>
      </c>
      <c r="B3274" s="33">
        <v>0.375</v>
      </c>
      <c r="C3274" s="10" t="s">
        <v>70</v>
      </c>
      <c r="D3274" s="10" t="s">
        <v>71</v>
      </c>
      <c r="E3274" s="10" t="s">
        <v>921</v>
      </c>
      <c r="F3274" s="10">
        <v>1</v>
      </c>
      <c r="G3274" s="10" t="s">
        <v>73</v>
      </c>
      <c r="H3274" s="10" t="s">
        <v>74</v>
      </c>
      <c r="I3274" s="10" t="s">
        <v>83</v>
      </c>
      <c r="J3274" s="10">
        <v>185</v>
      </c>
      <c r="K3274" s="12">
        <v>44972</v>
      </c>
      <c r="L3274" s="33">
        <v>0.54689814814814819</v>
      </c>
      <c r="M3274" s="10">
        <v>1</v>
      </c>
      <c r="N3274" s="10" t="s">
        <v>84</v>
      </c>
      <c r="O3274" s="10">
        <v>7.79</v>
      </c>
      <c r="P3274" s="10">
        <v>0.56999999999999995</v>
      </c>
      <c r="Q3274" s="10">
        <v>500</v>
      </c>
      <c r="R3274" s="10" t="s">
        <v>85</v>
      </c>
      <c r="S3274" s="34">
        <f t="shared" si="372"/>
        <v>500</v>
      </c>
      <c r="T3274" s="10" t="s">
        <v>1235</v>
      </c>
      <c r="U3274" s="34" t="str">
        <f t="shared" si="373"/>
        <v/>
      </c>
      <c r="V3274" s="31" t="str">
        <f>IF(H3274="CHK",VLOOKUP(I3274,QCCHK,3,),IF(H3274="GUP",VLOOKUP(E3274,QCGUP,2,),IF(AND(H3274="ATP",OR(I3274="TN",I3274="TDN",I3274="TNO2-3",I3274="NO2-3")),VLOOKUP(E3274,QCREC_N,2,),IF(AND(H3274="NIC",OR(I3274="TN",I3274="TDN",I3274="TNO2-3",I3274="NO2-3")),VLOOKUP(E3274,QCNIC_N,2,),IF(AND(H3274="UREA",OR(I3274="TN",I3274="TDN",I3274="TNO2-3",I3274="NO2-3")),VLOOKUP(E3274,QCUREA_N,2,),IF(H3274="PER",VLOOKUP(I3274,QCPER,MATCH(E3274,QCACTUAL!$J$25:$AA$25,0),),IF(H3274="SPK",VLOOKUP(I3274,QCSPK,3,),IF(AND(H3274="ATP",OR(I3274="TP",I3274="TDP")),VLOOKUP(E3274,QCATP_P,2,),""))))))))</f>
        <v/>
      </c>
      <c r="W3274" s="31" t="str">
        <f t="shared" si="374"/>
        <v>TRUE</v>
      </c>
      <c r="X3274" s="31" t="str">
        <f t="shared" si="371"/>
        <v/>
      </c>
      <c r="Y3274" s="10" t="s">
        <v>1232</v>
      </c>
      <c r="AF3274" s="12">
        <v>44972</v>
      </c>
      <c r="AL3274" s="10" t="str">
        <f t="shared" si="376"/>
        <v>FALSE</v>
      </c>
      <c r="AM3274" s="10" t="str">
        <f t="shared" si="376"/>
        <v>FALSE</v>
      </c>
      <c r="AN3274" s="10" t="str">
        <f t="shared" si="376"/>
        <v>y=-1.4395*7.79^2+80.835*7.79-35.016</v>
      </c>
      <c r="AO3274" s="10" t="str">
        <f t="shared" si="377"/>
        <v>FALSE</v>
      </c>
      <c r="AP3274" s="10" t="str">
        <f t="shared" si="377"/>
        <v>y=-0.0466*7.79^2+68.24*7.79-22.954</v>
      </c>
      <c r="AQ3274" s="10" t="b">
        <f>IF(AND(I3274="TP",S3274&lt;=150),VLOOKUP(AF3274,TPCalibEq150!$AZ$2:$BB$55,3,),IF(AND(I3274="TDP",S3274&lt;=150),VLOOKUP(AF3274,TPCalibEq150!$AZ$2:$BB$55,3,)))</f>
        <v>0</v>
      </c>
      <c r="AR3274" s="10" t="b">
        <f>IF(AND(I3274="TP",S3274&lt;=300),VLOOKUP(AF3274,TPCalibEq300!$AZ$2:$BB$55,3,),IF(AND(I3274="TDP",S3274&lt;=300),VLOOKUP(AF3274,TPCalibEq300!$AZ$2:$BB$55,3,)))</f>
        <v>0</v>
      </c>
      <c r="AS3274" s="10" t="str">
        <f>IF(AND(I3274="TP",S3274&lt;=500),VLOOKUP(AF3274,TPCalibEq500!$AZ$2:$BB$56,3,),IF(AND(I3274="TDP",S3274&lt;=500),VLOOKUP(AF3274,TPCalibEq500!$AZ$2:$BB$56,3,)))</f>
        <v>y=-1.4395x2+80.835x-35.016</v>
      </c>
      <c r="AT3274" s="10" t="b">
        <f>IF(AND(I3274="TN",S3274&lt;=2800),VLOOKUP(AF3274,TNCalibEq2500!$AZ$2:$BB$56,3,),IF(AND(I3274="TDN",S3274&lt;=2800),VLOOKUP(AF3274,TNCalibEq2500!$AZ$2:$BB$56,3,)))</f>
        <v>0</v>
      </c>
      <c r="AU3274" s="10" t="str">
        <f>IF(I3274="TP",VLOOKUP(AF3274,TPCalibEqFull!$AZ$2:$BB$56,3),IF(I3274="TDP",VLOOKUP(AF3274,TPCalibEqFull!$AZ$2:$BB$56,3),IF(I3274="TDN",VLOOKUP(AF3274,TNCalibEqFull!$AZ$1:$BB$56,3),IF(I3274="TN",VLOOKUP(AF3274,TNCalibEqFull!$AZ$1:$BB$56,3),FALSE))))</f>
        <v>y=-0.0466x2+68.24x-22.954</v>
      </c>
      <c r="AV3274" s="10" t="str">
        <f t="shared" si="375"/>
        <v>0215 09:00:00-QAC-STD-D.D-1-DI-CAL</v>
      </c>
    </row>
    <row r="3275" spans="1:48" s="10" customFormat="1" x14ac:dyDescent="0.55000000000000004">
      <c r="A3275" s="32">
        <v>44972</v>
      </c>
      <c r="B3275" s="33">
        <v>0.375</v>
      </c>
      <c r="C3275" s="10" t="s">
        <v>70</v>
      </c>
      <c r="D3275" s="10" t="s">
        <v>71</v>
      </c>
      <c r="E3275" s="10" t="s">
        <v>922</v>
      </c>
      <c r="F3275" s="10">
        <v>1</v>
      </c>
      <c r="G3275" s="10" t="s">
        <v>73</v>
      </c>
      <c r="H3275" s="10" t="s">
        <v>74</v>
      </c>
      <c r="I3275" s="10" t="s">
        <v>83</v>
      </c>
      <c r="J3275" s="10">
        <v>186</v>
      </c>
      <c r="K3275" s="12">
        <v>44972</v>
      </c>
      <c r="L3275" s="33">
        <v>0.54759259259259252</v>
      </c>
      <c r="M3275" s="10">
        <v>1</v>
      </c>
      <c r="N3275" s="10" t="s">
        <v>84</v>
      </c>
      <c r="O3275" s="10">
        <v>15.4</v>
      </c>
      <c r="P3275" s="10">
        <v>1.1100000000000001</v>
      </c>
      <c r="Q3275" s="10">
        <v>1000</v>
      </c>
      <c r="R3275" s="10" t="s">
        <v>85</v>
      </c>
      <c r="S3275" s="34">
        <f t="shared" si="372"/>
        <v>1000</v>
      </c>
      <c r="T3275" s="10" t="s">
        <v>1236</v>
      </c>
      <c r="U3275" s="34" t="str">
        <f t="shared" si="373"/>
        <v/>
      </c>
      <c r="V3275" s="31" t="str">
        <f>IF(H3275="CHK",VLOOKUP(I3275,QCCHK,3,),IF(H3275="GUP",VLOOKUP(E3275,QCGUP,2,),IF(AND(H3275="ATP",OR(I3275="TN",I3275="TDN",I3275="TNO2-3",I3275="NO2-3")),VLOOKUP(E3275,QCREC_N,2,),IF(AND(H3275="NIC",OR(I3275="TN",I3275="TDN",I3275="TNO2-3",I3275="NO2-3")),VLOOKUP(E3275,QCNIC_N,2,),IF(AND(H3275="UREA",OR(I3275="TN",I3275="TDN",I3275="TNO2-3",I3275="NO2-3")),VLOOKUP(E3275,QCUREA_N,2,),IF(H3275="PER",VLOOKUP(I3275,QCPER,MATCH(E3275,QCACTUAL!$J$25:$AA$25,0),),IF(H3275="SPK",VLOOKUP(I3275,QCSPK,3,),IF(AND(H3275="ATP",OR(I3275="TP",I3275="TDP")),VLOOKUP(E3275,QCATP_P,2,),""))))))))</f>
        <v/>
      </c>
      <c r="W3275" s="31" t="str">
        <f t="shared" si="374"/>
        <v>TRUE</v>
      </c>
      <c r="X3275" s="31" t="str">
        <f t="shared" si="371"/>
        <v/>
      </c>
      <c r="Y3275" s="10" t="s">
        <v>1232</v>
      </c>
      <c r="AF3275" s="12">
        <v>44972</v>
      </c>
      <c r="AL3275" s="10" t="str">
        <f t="shared" si="376"/>
        <v>FALSE</v>
      </c>
      <c r="AM3275" s="10" t="str">
        <f t="shared" si="376"/>
        <v>FALSE</v>
      </c>
      <c r="AN3275" s="10" t="str">
        <f t="shared" si="376"/>
        <v>FALSE</v>
      </c>
      <c r="AO3275" s="10" t="str">
        <f t="shared" si="377"/>
        <v>FALSE</v>
      </c>
      <c r="AP3275" s="10" t="str">
        <f t="shared" si="377"/>
        <v>y=-0.0466*15.4^2+68.24*15.4-22.954</v>
      </c>
      <c r="AQ3275" s="10" t="b">
        <f>IF(AND(I3275="TP",S3275&lt;=150),VLOOKUP(AF3275,TPCalibEq150!$AZ$2:$BB$55,3,),IF(AND(I3275="TDP",S3275&lt;=150),VLOOKUP(AF3275,TPCalibEq150!$AZ$2:$BB$55,3,)))</f>
        <v>0</v>
      </c>
      <c r="AR3275" s="10" t="b">
        <f>IF(AND(I3275="TP",S3275&lt;=300),VLOOKUP(AF3275,TPCalibEq300!$AZ$2:$BB$55,3,),IF(AND(I3275="TDP",S3275&lt;=300),VLOOKUP(AF3275,TPCalibEq300!$AZ$2:$BB$55,3,)))</f>
        <v>0</v>
      </c>
      <c r="AS3275" s="10" t="b">
        <f>IF(AND(I3275="TP",S3275&lt;=500),VLOOKUP(AF3275,TPCalibEq500!$AZ$2:$BB$56,3,),IF(AND(I3275="TDP",S3275&lt;=500),VLOOKUP(AF3275,TPCalibEq500!$AZ$2:$BB$56,3,)))</f>
        <v>0</v>
      </c>
      <c r="AT3275" s="10" t="b">
        <f>IF(AND(I3275="TN",S3275&lt;=2800),VLOOKUP(AF3275,TNCalibEq2500!$AZ$2:$BB$56,3,),IF(AND(I3275="TDN",S3275&lt;=2800),VLOOKUP(AF3275,TNCalibEq2500!$AZ$2:$BB$56,3,)))</f>
        <v>0</v>
      </c>
      <c r="AU3275" s="10" t="str">
        <f>IF(I3275="TP",VLOOKUP(AF3275,TPCalibEqFull!$AZ$2:$BB$56,3),IF(I3275="TDP",VLOOKUP(AF3275,TPCalibEqFull!$AZ$2:$BB$56,3),IF(I3275="TDN",VLOOKUP(AF3275,TNCalibEqFull!$AZ$1:$BB$56,3),IF(I3275="TN",VLOOKUP(AF3275,TNCalibEqFull!$AZ$1:$BB$56,3),FALSE))))</f>
        <v>y=-0.0466x2+68.24x-22.954</v>
      </c>
      <c r="AV3275" s="10" t="str">
        <f t="shared" si="375"/>
        <v>0215 09:00:00-QAC-STD-D.C-1-DI-CAL</v>
      </c>
    </row>
    <row r="3276" spans="1:48" s="10" customFormat="1" x14ac:dyDescent="0.55000000000000004">
      <c r="A3276" s="32">
        <v>44972</v>
      </c>
      <c r="B3276" s="33">
        <v>0.375</v>
      </c>
      <c r="C3276" s="10" t="s">
        <v>70</v>
      </c>
      <c r="D3276" s="10" t="s">
        <v>71</v>
      </c>
      <c r="E3276" s="10" t="s">
        <v>923</v>
      </c>
      <c r="F3276" s="10">
        <v>1</v>
      </c>
      <c r="G3276" s="10" t="s">
        <v>73</v>
      </c>
      <c r="H3276" s="10" t="s">
        <v>74</v>
      </c>
      <c r="I3276" s="10" t="s">
        <v>83</v>
      </c>
      <c r="J3276" s="10">
        <v>187</v>
      </c>
      <c r="K3276" s="12">
        <v>44972</v>
      </c>
      <c r="L3276" s="33">
        <v>0.54829861111111111</v>
      </c>
      <c r="M3276" s="10">
        <v>1</v>
      </c>
      <c r="N3276" s="10" t="s">
        <v>84</v>
      </c>
      <c r="O3276" s="10">
        <v>22.7</v>
      </c>
      <c r="P3276" s="10">
        <v>1.62</v>
      </c>
      <c r="Q3276" s="10">
        <v>1500</v>
      </c>
      <c r="R3276" s="10" t="s">
        <v>85</v>
      </c>
      <c r="S3276" s="34">
        <f t="shared" si="372"/>
        <v>1500</v>
      </c>
      <c r="T3276" s="10" t="s">
        <v>1237</v>
      </c>
      <c r="U3276" s="34" t="str">
        <f t="shared" si="373"/>
        <v/>
      </c>
      <c r="V3276" s="31" t="str">
        <f>IF(H3276="CHK",VLOOKUP(I3276,QCCHK,3,),IF(H3276="GUP",VLOOKUP(E3276,QCGUP,2,),IF(AND(H3276="ATP",OR(I3276="TN",I3276="TDN",I3276="TNO2-3",I3276="NO2-3")),VLOOKUP(E3276,QCREC_N,2,),IF(AND(H3276="NIC",OR(I3276="TN",I3276="TDN",I3276="TNO2-3",I3276="NO2-3")),VLOOKUP(E3276,QCNIC_N,2,),IF(AND(H3276="UREA",OR(I3276="TN",I3276="TDN",I3276="TNO2-3",I3276="NO2-3")),VLOOKUP(E3276,QCUREA_N,2,),IF(H3276="PER",VLOOKUP(I3276,QCPER,MATCH(E3276,QCACTUAL!$J$25:$AA$25,0),),IF(H3276="SPK",VLOOKUP(I3276,QCSPK,3,),IF(AND(H3276="ATP",OR(I3276="TP",I3276="TDP")),VLOOKUP(E3276,QCATP_P,2,),""))))))))</f>
        <v/>
      </c>
      <c r="W3276" s="31" t="str">
        <f t="shared" si="374"/>
        <v>TRUE</v>
      </c>
      <c r="X3276" s="31" t="str">
        <f t="shared" si="371"/>
        <v/>
      </c>
      <c r="Y3276" s="10" t="s">
        <v>1232</v>
      </c>
      <c r="AF3276" s="12">
        <v>44972</v>
      </c>
      <c r="AL3276" s="10" t="str">
        <f t="shared" si="376"/>
        <v>FALSE</v>
      </c>
      <c r="AM3276" s="10" t="str">
        <f t="shared" si="376"/>
        <v>FALSE</v>
      </c>
      <c r="AN3276" s="10" t="str">
        <f t="shared" si="376"/>
        <v>FALSE</v>
      </c>
      <c r="AO3276" s="10" t="str">
        <f t="shared" si="377"/>
        <v>FALSE</v>
      </c>
      <c r="AP3276" s="10" t="str">
        <f t="shared" si="377"/>
        <v>y=-0.0466*22.7^2+68.24*22.7-22.954</v>
      </c>
      <c r="AQ3276" s="10" t="b">
        <f>IF(AND(I3276="TP",S3276&lt;=150),VLOOKUP(AF3276,TPCalibEq150!$AZ$2:$BB$55,3,),IF(AND(I3276="TDP",S3276&lt;=150),VLOOKUP(AF3276,TPCalibEq150!$AZ$2:$BB$55,3,)))</f>
        <v>0</v>
      </c>
      <c r="AR3276" s="10" t="b">
        <f>IF(AND(I3276="TP",S3276&lt;=300),VLOOKUP(AF3276,TPCalibEq300!$AZ$2:$BB$55,3,),IF(AND(I3276="TDP",S3276&lt;=300),VLOOKUP(AF3276,TPCalibEq300!$AZ$2:$BB$55,3,)))</f>
        <v>0</v>
      </c>
      <c r="AS3276" s="10" t="b">
        <f>IF(AND(I3276="TP",S3276&lt;=500),VLOOKUP(AF3276,TPCalibEq500!$AZ$2:$BB$56,3,),IF(AND(I3276="TDP",S3276&lt;=500),VLOOKUP(AF3276,TPCalibEq500!$AZ$2:$BB$56,3,)))</f>
        <v>0</v>
      </c>
      <c r="AT3276" s="10" t="b">
        <f>IF(AND(I3276="TN",S3276&lt;=2800),VLOOKUP(AF3276,TNCalibEq2500!$AZ$2:$BB$56,3,),IF(AND(I3276="TDN",S3276&lt;=2800),VLOOKUP(AF3276,TNCalibEq2500!$AZ$2:$BB$56,3,)))</f>
        <v>0</v>
      </c>
      <c r="AU3276" s="10" t="str">
        <f>IF(I3276="TP",VLOOKUP(AF3276,TPCalibEqFull!$AZ$2:$BB$56,3),IF(I3276="TDP",VLOOKUP(AF3276,TPCalibEqFull!$AZ$2:$BB$56,3),IF(I3276="TDN",VLOOKUP(AF3276,TNCalibEqFull!$AZ$1:$BB$56,3),IF(I3276="TN",VLOOKUP(AF3276,TNCalibEqFull!$AZ$1:$BB$56,3),FALSE))))</f>
        <v>y=-0.0466x2+68.24x-22.954</v>
      </c>
      <c r="AV3276" s="10" t="str">
        <f t="shared" si="375"/>
        <v>0215 09:00:00-QAC-STD-D.B-1-DI-CAL</v>
      </c>
    </row>
    <row r="3277" spans="1:48" s="10" customFormat="1" x14ac:dyDescent="0.55000000000000004">
      <c r="A3277" s="32">
        <v>44972</v>
      </c>
      <c r="B3277" s="33">
        <v>0.375</v>
      </c>
      <c r="C3277" s="10" t="s">
        <v>70</v>
      </c>
      <c r="D3277" s="10" t="s">
        <v>71</v>
      </c>
      <c r="E3277" s="10" t="s">
        <v>924</v>
      </c>
      <c r="F3277" s="10">
        <v>1</v>
      </c>
      <c r="G3277" s="10" t="s">
        <v>73</v>
      </c>
      <c r="H3277" s="10" t="s">
        <v>74</v>
      </c>
      <c r="I3277" s="10" t="s">
        <v>83</v>
      </c>
      <c r="J3277" s="10">
        <v>188</v>
      </c>
      <c r="K3277" s="12">
        <v>44972</v>
      </c>
      <c r="L3277" s="33">
        <v>0.54901620370370374</v>
      </c>
      <c r="M3277" s="10">
        <v>1</v>
      </c>
      <c r="N3277" s="10" t="s">
        <v>84</v>
      </c>
      <c r="O3277" s="10">
        <v>30.2</v>
      </c>
      <c r="P3277" s="10">
        <v>2.13</v>
      </c>
      <c r="Q3277" s="10">
        <v>2000</v>
      </c>
      <c r="R3277" s="10" t="s">
        <v>85</v>
      </c>
      <c r="S3277" s="34">
        <f t="shared" si="372"/>
        <v>2000</v>
      </c>
      <c r="T3277" s="10" t="s">
        <v>1238</v>
      </c>
      <c r="U3277" s="34" t="str">
        <f t="shared" si="373"/>
        <v/>
      </c>
      <c r="V3277" s="31" t="str">
        <f>IF(H3277="CHK",VLOOKUP(I3277,QCCHK,3,),IF(H3277="GUP",VLOOKUP(E3277,QCGUP,2,),IF(AND(H3277="ATP",OR(I3277="TN",I3277="TDN",I3277="TNO2-3",I3277="NO2-3")),VLOOKUP(E3277,QCREC_N,2,),IF(AND(H3277="NIC",OR(I3277="TN",I3277="TDN",I3277="TNO2-3",I3277="NO2-3")),VLOOKUP(E3277,QCNIC_N,2,),IF(AND(H3277="UREA",OR(I3277="TN",I3277="TDN",I3277="TNO2-3",I3277="NO2-3")),VLOOKUP(E3277,QCUREA_N,2,),IF(H3277="PER",VLOOKUP(I3277,QCPER,MATCH(E3277,QCACTUAL!$J$25:$AA$25,0),),IF(H3277="SPK",VLOOKUP(I3277,QCSPK,3,),IF(AND(H3277="ATP",OR(I3277="TP",I3277="TDP")),VLOOKUP(E3277,QCATP_P,2,),""))))))))</f>
        <v/>
      </c>
      <c r="W3277" s="31" t="str">
        <f t="shared" si="374"/>
        <v>TRUE</v>
      </c>
      <c r="X3277" s="31" t="str">
        <f t="shared" si="371"/>
        <v/>
      </c>
      <c r="Y3277" s="10" t="s">
        <v>1232</v>
      </c>
      <c r="AF3277" s="12">
        <v>44972</v>
      </c>
      <c r="AL3277" s="10" t="str">
        <f t="shared" si="376"/>
        <v>FALSE</v>
      </c>
      <c r="AM3277" s="10" t="str">
        <f t="shared" si="376"/>
        <v>FALSE</v>
      </c>
      <c r="AN3277" s="10" t="str">
        <f t="shared" si="376"/>
        <v>FALSE</v>
      </c>
      <c r="AO3277" s="10" t="str">
        <f t="shared" si="377"/>
        <v>FALSE</v>
      </c>
      <c r="AP3277" s="10" t="str">
        <f t="shared" si="377"/>
        <v>y=-0.0466*30.2^2+68.24*30.2-22.954</v>
      </c>
      <c r="AQ3277" s="10" t="b">
        <f>IF(AND(I3277="TP",S3277&lt;=150),VLOOKUP(AF3277,TPCalibEq150!$AZ$2:$BB$55,3,),IF(AND(I3277="TDP",S3277&lt;=150),VLOOKUP(AF3277,TPCalibEq150!$AZ$2:$BB$55,3,)))</f>
        <v>0</v>
      </c>
      <c r="AR3277" s="10" t="b">
        <f>IF(AND(I3277="TP",S3277&lt;=300),VLOOKUP(AF3277,TPCalibEq300!$AZ$2:$BB$55,3,),IF(AND(I3277="TDP",S3277&lt;=300),VLOOKUP(AF3277,TPCalibEq300!$AZ$2:$BB$55,3,)))</f>
        <v>0</v>
      </c>
      <c r="AS3277" s="10" t="b">
        <f>IF(AND(I3277="TP",S3277&lt;=500),VLOOKUP(AF3277,TPCalibEq500!$AZ$2:$BB$56,3,),IF(AND(I3277="TDP",S3277&lt;=500),VLOOKUP(AF3277,TPCalibEq500!$AZ$2:$BB$56,3,)))</f>
        <v>0</v>
      </c>
      <c r="AT3277" s="10" t="b">
        <f>IF(AND(I3277="TN",S3277&lt;=2800),VLOOKUP(AF3277,TNCalibEq2500!$AZ$2:$BB$56,3,),IF(AND(I3277="TDN",S3277&lt;=2800),VLOOKUP(AF3277,TNCalibEq2500!$AZ$2:$BB$56,3,)))</f>
        <v>0</v>
      </c>
      <c r="AU3277" s="10" t="str">
        <f>IF(I3277="TP",VLOOKUP(AF3277,TPCalibEqFull!$AZ$2:$BB$56,3),IF(I3277="TDP",VLOOKUP(AF3277,TPCalibEqFull!$AZ$2:$BB$56,3),IF(I3277="TDN",VLOOKUP(AF3277,TNCalibEqFull!$AZ$1:$BB$56,3),IF(I3277="TN",VLOOKUP(AF3277,TNCalibEqFull!$AZ$1:$BB$56,3),FALSE))))</f>
        <v>y=-0.0466x2+68.24x-22.954</v>
      </c>
      <c r="AV3277" s="10" t="str">
        <f t="shared" si="375"/>
        <v>0215 09:00:00-QAC-STD-D.A-1-DI-CAL</v>
      </c>
    </row>
    <row r="3278" spans="1:48" s="10" customFormat="1" x14ac:dyDescent="0.55000000000000004">
      <c r="A3278" s="32">
        <v>44972</v>
      </c>
      <c r="B3278" s="33">
        <v>0.375</v>
      </c>
      <c r="C3278" s="10" t="s">
        <v>70</v>
      </c>
      <c r="D3278" s="10" t="s">
        <v>71</v>
      </c>
      <c r="E3278" s="10" t="s">
        <v>925</v>
      </c>
      <c r="F3278" s="10">
        <v>1</v>
      </c>
      <c r="G3278" s="10" t="s">
        <v>73</v>
      </c>
      <c r="H3278" s="10" t="s">
        <v>74</v>
      </c>
      <c r="I3278" s="10" t="s">
        <v>83</v>
      </c>
      <c r="J3278" s="10">
        <v>189</v>
      </c>
      <c r="K3278" s="12">
        <v>44972</v>
      </c>
      <c r="L3278" s="33">
        <v>0.54971064814814818</v>
      </c>
      <c r="M3278" s="10">
        <v>1</v>
      </c>
      <c r="N3278" s="10" t="s">
        <v>84</v>
      </c>
      <c r="O3278" s="10">
        <v>0.51700000000000002</v>
      </c>
      <c r="P3278" s="10">
        <v>3.4700000000000002E-2</v>
      </c>
      <c r="Q3278" s="10">
        <v>0</v>
      </c>
      <c r="R3278" s="10" t="s">
        <v>85</v>
      </c>
      <c r="S3278" s="34">
        <f t="shared" si="372"/>
        <v>0</v>
      </c>
      <c r="T3278" s="10" t="s">
        <v>1239</v>
      </c>
      <c r="U3278" s="34" t="str">
        <f t="shared" si="373"/>
        <v/>
      </c>
      <c r="V3278" s="31" t="str">
        <f>IF(H3278="CHK",VLOOKUP(I3278,QCCHK,3,),IF(H3278="GUP",VLOOKUP(E3278,QCGUP,2,),IF(AND(H3278="ATP",OR(I3278="TN",I3278="TDN",I3278="TNO2-3",I3278="NO2-3")),VLOOKUP(E3278,QCREC_N,2,),IF(AND(H3278="NIC",OR(I3278="TN",I3278="TDN",I3278="TNO2-3",I3278="NO2-3")),VLOOKUP(E3278,QCNIC_N,2,),IF(AND(H3278="UREA",OR(I3278="TN",I3278="TDN",I3278="TNO2-3",I3278="NO2-3")),VLOOKUP(E3278,QCUREA_N,2,),IF(H3278="PER",VLOOKUP(I3278,QCPER,MATCH(E3278,QCACTUAL!$J$25:$AA$25,0),),IF(H3278="SPK",VLOOKUP(I3278,QCSPK,3,),IF(AND(H3278="ATP",OR(I3278="TP",I3278="TDP")),VLOOKUP(E3278,QCATP_P,2,),""))))))))</f>
        <v/>
      </c>
      <c r="W3278" s="31" t="str">
        <f t="shared" si="374"/>
        <v>TRUE</v>
      </c>
      <c r="X3278" s="31" t="str">
        <f t="shared" si="371"/>
        <v/>
      </c>
      <c r="Y3278" s="10" t="s">
        <v>1232</v>
      </c>
      <c r="AF3278" s="12">
        <v>44972</v>
      </c>
      <c r="AG3278" s="10">
        <f>-8.1564*0.517^2+103.56*0.517-47.896</f>
        <v>3.4644040004000018</v>
      </c>
      <c r="AH3278" s="10">
        <f>-3.4074*0.517^2+90.534*0.517-41.641</f>
        <v>4.2543174614000066</v>
      </c>
      <c r="AI3278" s="10">
        <f>-1.4395*0.517^2+80.835*0.517-35.016</f>
        <v>6.3909324844999986</v>
      </c>
      <c r="AK3278" s="10">
        <f>-0.0466*0.517^2+68.24*0.517-22.954</f>
        <v>12.3136243326</v>
      </c>
      <c r="AL3278" s="10" t="str">
        <f t="shared" si="376"/>
        <v>y=-8.1564*0.517^2+103.56*0.517-47.896</v>
      </c>
      <c r="AM3278" s="10" t="str">
        <f t="shared" si="376"/>
        <v>y=-3.4074*0.517^2+90.534*0.517-41.641</v>
      </c>
      <c r="AN3278" s="10" t="str">
        <f t="shared" si="376"/>
        <v>y=-1.4395*0.517^2+80.835*0.517-35.016</v>
      </c>
      <c r="AO3278" s="10" t="str">
        <f t="shared" si="377"/>
        <v>FALSE</v>
      </c>
      <c r="AP3278" s="10" t="str">
        <f t="shared" si="377"/>
        <v>y=-0.0466*0.517^2+68.24*0.517-22.954</v>
      </c>
      <c r="AQ3278" s="10" t="str">
        <f>IF(AND(I3278="TP",S3278&lt;=150),VLOOKUP(AF3278,TPCalibEq150!$AZ$2:$BB$55,3,),IF(AND(I3278="TDP",S3278&lt;=150),VLOOKUP(AF3278,TPCalibEq150!$AZ$2:$BB$55,3,)))</f>
        <v>y=-8.1564x2+103.56x-47.896</v>
      </c>
      <c r="AR3278" s="10" t="str">
        <f>IF(AND(I3278="TP",S3278&lt;=300),VLOOKUP(AF3278,TPCalibEq300!$AZ$2:$BB$55,3,),IF(AND(I3278="TDP",S3278&lt;=300),VLOOKUP(AF3278,TPCalibEq300!$AZ$2:$BB$55,3,)))</f>
        <v>y=-3.4074x2+90.534x-41.641</v>
      </c>
      <c r="AS3278" s="10" t="str">
        <f>IF(AND(I3278="TP",S3278&lt;=500),VLOOKUP(AF3278,TPCalibEq500!$AZ$2:$BB$56,3,),IF(AND(I3278="TDP",S3278&lt;=500),VLOOKUP(AF3278,TPCalibEq500!$AZ$2:$BB$56,3,)))</f>
        <v>y=-1.4395x2+80.835x-35.016</v>
      </c>
      <c r="AT3278" s="10" t="b">
        <f>IF(AND(I3278="TN",S3278&lt;=2800),VLOOKUP(AF3278,TNCalibEq2500!$AZ$2:$BB$56,3,),IF(AND(I3278="TDN",S3278&lt;=2800),VLOOKUP(AF3278,TNCalibEq2500!$AZ$2:$BB$56,3,)))</f>
        <v>0</v>
      </c>
      <c r="AU3278" s="10" t="str">
        <f>IF(I3278="TP",VLOOKUP(AF3278,TPCalibEqFull!$AZ$2:$BB$56,3),IF(I3278="TDP",VLOOKUP(AF3278,TPCalibEqFull!$AZ$2:$BB$56,3),IF(I3278="TDN",VLOOKUP(AF3278,TNCalibEqFull!$AZ$1:$BB$56,3),IF(I3278="TN",VLOOKUP(AF3278,TNCalibEqFull!$AZ$1:$BB$56,3),FALSE))))</f>
        <v>y=-0.0466x2+68.24x-22.954</v>
      </c>
      <c r="AV3278" s="10" t="str">
        <f t="shared" si="375"/>
        <v>0215 09:00:00-QAC-STD-Q.H-1-DI-CAL</v>
      </c>
    </row>
    <row r="3279" spans="1:48" s="10" customFormat="1" x14ac:dyDescent="0.55000000000000004">
      <c r="A3279" s="32">
        <v>44972</v>
      </c>
      <c r="B3279" s="33">
        <v>0.375</v>
      </c>
      <c r="C3279" s="10" t="s">
        <v>70</v>
      </c>
      <c r="D3279" s="10" t="s">
        <v>71</v>
      </c>
      <c r="E3279" s="10" t="s">
        <v>926</v>
      </c>
      <c r="F3279" s="10">
        <v>1</v>
      </c>
      <c r="G3279" s="10" t="s">
        <v>73</v>
      </c>
      <c r="H3279" s="10" t="s">
        <v>74</v>
      </c>
      <c r="I3279" s="10" t="s">
        <v>83</v>
      </c>
      <c r="J3279" s="10">
        <v>190</v>
      </c>
      <c r="K3279" s="12">
        <v>44972</v>
      </c>
      <c r="L3279" s="33">
        <v>0.55041666666666667</v>
      </c>
      <c r="M3279" s="10">
        <v>1</v>
      </c>
      <c r="N3279" s="10" t="s">
        <v>84</v>
      </c>
      <c r="O3279" s="10">
        <v>0.53400000000000003</v>
      </c>
      <c r="P3279" s="10">
        <v>3.61E-2</v>
      </c>
      <c r="Q3279" s="10">
        <v>5</v>
      </c>
      <c r="R3279" s="10" t="s">
        <v>85</v>
      </c>
      <c r="S3279" s="34">
        <f t="shared" si="372"/>
        <v>5</v>
      </c>
      <c r="T3279" s="10" t="s">
        <v>1240</v>
      </c>
      <c r="U3279" s="34" t="str">
        <f t="shared" si="373"/>
        <v/>
      </c>
      <c r="V3279" s="31" t="str">
        <f>IF(H3279="CHK",VLOOKUP(I3279,QCCHK,3,),IF(H3279="GUP",VLOOKUP(E3279,QCGUP,2,),IF(AND(H3279="ATP",OR(I3279="TN",I3279="TDN",I3279="TNO2-3",I3279="NO2-3")),VLOOKUP(E3279,QCREC_N,2,),IF(AND(H3279="NIC",OR(I3279="TN",I3279="TDN",I3279="TNO2-3",I3279="NO2-3")),VLOOKUP(E3279,QCNIC_N,2,),IF(AND(H3279="UREA",OR(I3279="TN",I3279="TDN",I3279="TNO2-3",I3279="NO2-3")),VLOOKUP(E3279,QCUREA_N,2,),IF(H3279="PER",VLOOKUP(I3279,QCPER,MATCH(E3279,QCACTUAL!$J$25:$AA$25,0),),IF(H3279="SPK",VLOOKUP(I3279,QCSPK,3,),IF(AND(H3279="ATP",OR(I3279="TP",I3279="TDP")),VLOOKUP(E3279,QCATP_P,2,),""))))))))</f>
        <v/>
      </c>
      <c r="W3279" s="31" t="str">
        <f t="shared" si="374"/>
        <v>TRUE</v>
      </c>
      <c r="X3279" s="31" t="str">
        <f t="shared" si="371"/>
        <v/>
      </c>
      <c r="Y3279" s="10" t="s">
        <v>1232</v>
      </c>
      <c r="AF3279" s="12">
        <v>44972</v>
      </c>
      <c r="AG3279" s="10">
        <f>-8.1564*0.534^2+103.56*0.534-47.896</f>
        <v>5.0791936016000037</v>
      </c>
      <c r="AH3279" s="10">
        <f>-3.4074*0.534^2+90.534*0.534-41.641</f>
        <v>5.7325154456000078</v>
      </c>
      <c r="AI3279" s="10">
        <f>-1.4395*0.534^2+80.835*0.534-35.016</f>
        <v>7.7394079379999994</v>
      </c>
      <c r="AK3279" s="10">
        <f>-0.0466*0.534^2+68.24*0.534-22.954</f>
        <v>13.472871730400001</v>
      </c>
      <c r="AL3279" s="10" t="str">
        <f t="shared" si="376"/>
        <v>y=-8.1564*0.534^2+103.56*0.534-47.896</v>
      </c>
      <c r="AM3279" s="10" t="str">
        <f t="shared" si="376"/>
        <v>y=-3.4074*0.534^2+90.534*0.534-41.641</v>
      </c>
      <c r="AN3279" s="10" t="str">
        <f t="shared" si="376"/>
        <v>y=-1.4395*0.534^2+80.835*0.534-35.016</v>
      </c>
      <c r="AO3279" s="10" t="str">
        <f t="shared" si="377"/>
        <v>FALSE</v>
      </c>
      <c r="AP3279" s="10" t="str">
        <f t="shared" si="377"/>
        <v>y=-0.0466*0.534^2+68.24*0.534-22.954</v>
      </c>
      <c r="AQ3279" s="10" t="str">
        <f>IF(AND(I3279="TP",S3279&lt;=150),VLOOKUP(AF3279,TPCalibEq150!$AZ$2:$BB$55,3,),IF(AND(I3279="TDP",S3279&lt;=150),VLOOKUP(AF3279,TPCalibEq150!$AZ$2:$BB$55,3,)))</f>
        <v>y=-8.1564x2+103.56x-47.896</v>
      </c>
      <c r="AR3279" s="10" t="str">
        <f>IF(AND(I3279="TP",S3279&lt;=300),VLOOKUP(AF3279,TPCalibEq300!$AZ$2:$BB$55,3,),IF(AND(I3279="TDP",S3279&lt;=300),VLOOKUP(AF3279,TPCalibEq300!$AZ$2:$BB$55,3,)))</f>
        <v>y=-3.4074x2+90.534x-41.641</v>
      </c>
      <c r="AS3279" s="10" t="str">
        <f>IF(AND(I3279="TP",S3279&lt;=500),VLOOKUP(AF3279,TPCalibEq500!$AZ$2:$BB$56,3,),IF(AND(I3279="TDP",S3279&lt;=500),VLOOKUP(AF3279,TPCalibEq500!$AZ$2:$BB$56,3,)))</f>
        <v>y=-1.4395x2+80.835x-35.016</v>
      </c>
      <c r="AT3279" s="10" t="b">
        <f>IF(AND(I3279="TN",S3279&lt;=2800),VLOOKUP(AF3279,TNCalibEq2500!$AZ$2:$BB$56,3,),IF(AND(I3279="TDN",S3279&lt;=2800),VLOOKUP(AF3279,TNCalibEq2500!$AZ$2:$BB$56,3,)))</f>
        <v>0</v>
      </c>
      <c r="AU3279" s="10" t="str">
        <f>IF(I3279="TP",VLOOKUP(AF3279,TPCalibEqFull!$AZ$2:$BB$56,3),IF(I3279="TDP",VLOOKUP(AF3279,TPCalibEqFull!$AZ$2:$BB$56,3),IF(I3279="TDN",VLOOKUP(AF3279,TNCalibEqFull!$AZ$1:$BB$56,3),IF(I3279="TN",VLOOKUP(AF3279,TNCalibEqFull!$AZ$1:$BB$56,3),FALSE))))</f>
        <v>y=-0.0466x2+68.24x-22.954</v>
      </c>
      <c r="AV3279" s="10" t="str">
        <f t="shared" si="375"/>
        <v>0215 09:00:00-QAC-STD-Q.G-1-DI-CAL</v>
      </c>
    </row>
    <row r="3280" spans="1:48" s="10" customFormat="1" x14ac:dyDescent="0.55000000000000004">
      <c r="A3280" s="32">
        <v>44972</v>
      </c>
      <c r="B3280" s="33">
        <v>0.375</v>
      </c>
      <c r="C3280" s="10" t="s">
        <v>70</v>
      </c>
      <c r="D3280" s="10" t="s">
        <v>71</v>
      </c>
      <c r="E3280" s="10" t="s">
        <v>927</v>
      </c>
      <c r="F3280" s="10">
        <v>1</v>
      </c>
      <c r="G3280" s="10" t="s">
        <v>73</v>
      </c>
      <c r="H3280" s="10" t="s">
        <v>74</v>
      </c>
      <c r="I3280" s="10" t="s">
        <v>83</v>
      </c>
      <c r="J3280" s="10">
        <v>191</v>
      </c>
      <c r="K3280" s="12">
        <v>44972</v>
      </c>
      <c r="L3280" s="33">
        <v>0.55112268518518526</v>
      </c>
      <c r="M3280" s="10">
        <v>1</v>
      </c>
      <c r="N3280" s="10" t="s">
        <v>84</v>
      </c>
      <c r="O3280" s="10">
        <v>0.63200000000000001</v>
      </c>
      <c r="P3280" s="10">
        <v>4.3099999999999999E-2</v>
      </c>
      <c r="Q3280" s="10">
        <v>15</v>
      </c>
      <c r="R3280" s="10" t="s">
        <v>85</v>
      </c>
      <c r="S3280" s="34">
        <f t="shared" si="372"/>
        <v>15</v>
      </c>
      <c r="T3280" s="10" t="s">
        <v>1241</v>
      </c>
      <c r="U3280" s="34" t="str">
        <f t="shared" si="373"/>
        <v/>
      </c>
      <c r="V3280" s="31" t="str">
        <f>IF(H3280="CHK",VLOOKUP(I3280,QCCHK,3,),IF(H3280="GUP",VLOOKUP(E3280,QCGUP,2,),IF(AND(H3280="ATP",OR(I3280="TN",I3280="TDN",I3280="TNO2-3",I3280="NO2-3")),VLOOKUP(E3280,QCREC_N,2,),IF(AND(H3280="NIC",OR(I3280="TN",I3280="TDN",I3280="TNO2-3",I3280="NO2-3")),VLOOKUP(E3280,QCNIC_N,2,),IF(AND(H3280="UREA",OR(I3280="TN",I3280="TDN",I3280="TNO2-3",I3280="NO2-3")),VLOOKUP(E3280,QCUREA_N,2,),IF(H3280="PER",VLOOKUP(I3280,QCPER,MATCH(E3280,QCACTUAL!$J$25:$AA$25,0),),IF(H3280="SPK",VLOOKUP(I3280,QCSPK,3,),IF(AND(H3280="ATP",OR(I3280="TP",I3280="TDP")),VLOOKUP(E3280,QCATP_P,2,),""))))))))</f>
        <v/>
      </c>
      <c r="W3280" s="31" t="str">
        <f t="shared" si="374"/>
        <v>TRUE</v>
      </c>
      <c r="X3280" s="31" t="str">
        <f t="shared" si="371"/>
        <v/>
      </c>
      <c r="Y3280" s="10" t="s">
        <v>1232</v>
      </c>
      <c r="AF3280" s="12">
        <v>44972</v>
      </c>
      <c r="AG3280" s="10">
        <f>-8.1564*0.632^2+103.56*0.632-47.896</f>
        <v>14.296058086400002</v>
      </c>
      <c r="AH3280" s="10">
        <f>-3.4074*0.632^2+90.534*0.632-41.641</f>
        <v>14.215490662400008</v>
      </c>
      <c r="AI3280" s="10">
        <f>-1.4395*0.632^2+80.835*0.632-35.016</f>
        <v>15.496749152</v>
      </c>
      <c r="AK3280" s="10">
        <f>-0.0466*0.632^2+68.24*0.632-22.954</f>
        <v>20.155066841599997</v>
      </c>
      <c r="AL3280" s="10" t="str">
        <f t="shared" si="376"/>
        <v>y=-8.1564*0.632^2+103.56*0.632-47.896</v>
      </c>
      <c r="AM3280" s="10" t="str">
        <f t="shared" si="376"/>
        <v>y=-3.4074*0.632^2+90.534*0.632-41.641</v>
      </c>
      <c r="AN3280" s="10" t="str">
        <f t="shared" si="376"/>
        <v>y=-1.4395*0.632^2+80.835*0.632-35.016</v>
      </c>
      <c r="AO3280" s="10" t="str">
        <f t="shared" si="377"/>
        <v>FALSE</v>
      </c>
      <c r="AP3280" s="10" t="str">
        <f t="shared" si="377"/>
        <v>y=-0.0466*0.632^2+68.24*0.632-22.954</v>
      </c>
      <c r="AQ3280" s="10" t="str">
        <f>IF(AND(I3280="TP",S3280&lt;=150),VLOOKUP(AF3280,TPCalibEq150!$AZ$2:$BB$55,3,),IF(AND(I3280="TDP",S3280&lt;=150),VLOOKUP(AF3280,TPCalibEq150!$AZ$2:$BB$55,3,)))</f>
        <v>y=-8.1564x2+103.56x-47.896</v>
      </c>
      <c r="AR3280" s="10" t="str">
        <f>IF(AND(I3280="TP",S3280&lt;=300),VLOOKUP(AF3280,TPCalibEq300!$AZ$2:$BB$55,3,),IF(AND(I3280="TDP",S3280&lt;=300),VLOOKUP(AF3280,TPCalibEq300!$AZ$2:$BB$55,3,)))</f>
        <v>y=-3.4074x2+90.534x-41.641</v>
      </c>
      <c r="AS3280" s="10" t="str">
        <f>IF(AND(I3280="TP",S3280&lt;=500),VLOOKUP(AF3280,TPCalibEq500!$AZ$2:$BB$56,3,),IF(AND(I3280="TDP",S3280&lt;=500),VLOOKUP(AF3280,TPCalibEq500!$AZ$2:$BB$56,3,)))</f>
        <v>y=-1.4395x2+80.835x-35.016</v>
      </c>
      <c r="AT3280" s="10" t="b">
        <f>IF(AND(I3280="TN",S3280&lt;=2800),VLOOKUP(AF3280,TNCalibEq2500!$AZ$2:$BB$56,3,),IF(AND(I3280="TDN",S3280&lt;=2800),VLOOKUP(AF3280,TNCalibEq2500!$AZ$2:$BB$56,3,)))</f>
        <v>0</v>
      </c>
      <c r="AU3280" s="10" t="str">
        <f>IF(I3280="TP",VLOOKUP(AF3280,TPCalibEqFull!$AZ$2:$BB$56,3),IF(I3280="TDP",VLOOKUP(AF3280,TPCalibEqFull!$AZ$2:$BB$56,3),IF(I3280="TDN",VLOOKUP(AF3280,TNCalibEqFull!$AZ$1:$BB$56,3),IF(I3280="TN",VLOOKUP(AF3280,TNCalibEqFull!$AZ$1:$BB$56,3),FALSE))))</f>
        <v>y=-0.0466x2+68.24x-22.954</v>
      </c>
      <c r="AV3280" s="10" t="str">
        <f t="shared" si="375"/>
        <v>0215 09:00:00-QAC-STD-Q.F-1-DI-CAL</v>
      </c>
    </row>
    <row r="3281" spans="1:48" s="10" customFormat="1" x14ac:dyDescent="0.55000000000000004">
      <c r="A3281" s="32">
        <v>44972</v>
      </c>
      <c r="B3281" s="33">
        <v>0.375</v>
      </c>
      <c r="C3281" s="10" t="s">
        <v>70</v>
      </c>
      <c r="D3281" s="10" t="s">
        <v>71</v>
      </c>
      <c r="E3281" s="10" t="s">
        <v>928</v>
      </c>
      <c r="F3281" s="10">
        <v>1</v>
      </c>
      <c r="G3281" s="10" t="s">
        <v>73</v>
      </c>
      <c r="H3281" s="10" t="s">
        <v>74</v>
      </c>
      <c r="I3281" s="10" t="s">
        <v>83</v>
      </c>
      <c r="J3281" s="10">
        <v>192</v>
      </c>
      <c r="K3281" s="12">
        <v>44972</v>
      </c>
      <c r="L3281" s="33">
        <v>0.55182870370370374</v>
      </c>
      <c r="M3281" s="10">
        <v>1</v>
      </c>
      <c r="N3281" s="10" t="s">
        <v>84</v>
      </c>
      <c r="O3281" s="10">
        <v>0.65200000000000002</v>
      </c>
      <c r="P3281" s="10">
        <v>4.5199999999999997E-2</v>
      </c>
      <c r="Q3281" s="10">
        <v>20</v>
      </c>
      <c r="R3281" s="10" t="s">
        <v>85</v>
      </c>
      <c r="S3281" s="34">
        <f t="shared" si="372"/>
        <v>20</v>
      </c>
      <c r="T3281" s="10" t="s">
        <v>1242</v>
      </c>
      <c r="U3281" s="34" t="str">
        <f t="shared" si="373"/>
        <v/>
      </c>
      <c r="V3281" s="31" t="str">
        <f>IF(H3281="CHK",VLOOKUP(I3281,QCCHK,3,),IF(H3281="GUP",VLOOKUP(E3281,QCGUP,2,),IF(AND(H3281="ATP",OR(I3281="TN",I3281="TDN",I3281="TNO2-3",I3281="NO2-3")),VLOOKUP(E3281,QCREC_N,2,),IF(AND(H3281="NIC",OR(I3281="TN",I3281="TDN",I3281="TNO2-3",I3281="NO2-3")),VLOOKUP(E3281,QCNIC_N,2,),IF(AND(H3281="UREA",OR(I3281="TN",I3281="TDN",I3281="TNO2-3",I3281="NO2-3")),VLOOKUP(E3281,QCUREA_N,2,),IF(H3281="PER",VLOOKUP(I3281,QCPER,MATCH(E3281,QCACTUAL!$J$25:$AA$25,0),),IF(H3281="SPK",VLOOKUP(I3281,QCSPK,3,),IF(AND(H3281="ATP",OR(I3281="TP",I3281="TDP")),VLOOKUP(E3281,QCATP_P,2,),""))))))))</f>
        <v/>
      </c>
      <c r="W3281" s="31" t="str">
        <f t="shared" si="374"/>
        <v>TRUE</v>
      </c>
      <c r="X3281" s="31" t="str">
        <f t="shared" si="371"/>
        <v/>
      </c>
      <c r="Y3281" s="10" t="s">
        <v>1232</v>
      </c>
      <c r="AF3281" s="12">
        <v>44972</v>
      </c>
      <c r="AG3281" s="10">
        <f>-8.1564*0.652^2+103.56*0.652-47.896</f>
        <v>16.15780173440001</v>
      </c>
      <c r="AH3281" s="10">
        <f>-3.4074*0.652^2+90.534*0.652-41.641</f>
        <v>15.938668630400009</v>
      </c>
      <c r="AI3281" s="10">
        <f>-1.4395*0.652^2+80.835*0.652-35.016</f>
        <v>17.076482792</v>
      </c>
      <c r="AK3281" s="10">
        <f>-0.0466*0.652^2+68.24*0.652-22.954</f>
        <v>21.518670153599999</v>
      </c>
      <c r="AL3281" s="10" t="str">
        <f t="shared" si="376"/>
        <v>y=-8.1564*0.652^2+103.56*0.652-47.896</v>
      </c>
      <c r="AM3281" s="10" t="str">
        <f t="shared" si="376"/>
        <v>y=-3.4074*0.652^2+90.534*0.652-41.641</v>
      </c>
      <c r="AN3281" s="10" t="str">
        <f t="shared" si="376"/>
        <v>y=-1.4395*0.652^2+80.835*0.652-35.016</v>
      </c>
      <c r="AO3281" s="10" t="str">
        <f t="shared" si="377"/>
        <v>FALSE</v>
      </c>
      <c r="AP3281" s="10" t="str">
        <f t="shared" si="377"/>
        <v>y=-0.0466*0.652^2+68.24*0.652-22.954</v>
      </c>
      <c r="AQ3281" s="10" t="str">
        <f>IF(AND(I3281="TP",S3281&lt;=150),VLOOKUP(AF3281,TPCalibEq150!$AZ$2:$BB$55,3,),IF(AND(I3281="TDP",S3281&lt;=150),VLOOKUP(AF3281,TPCalibEq150!$AZ$2:$BB$55,3,)))</f>
        <v>y=-8.1564x2+103.56x-47.896</v>
      </c>
      <c r="AR3281" s="10" t="str">
        <f>IF(AND(I3281="TP",S3281&lt;=300),VLOOKUP(AF3281,TPCalibEq300!$AZ$2:$BB$55,3,),IF(AND(I3281="TDP",S3281&lt;=300),VLOOKUP(AF3281,TPCalibEq300!$AZ$2:$BB$55,3,)))</f>
        <v>y=-3.4074x2+90.534x-41.641</v>
      </c>
      <c r="AS3281" s="10" t="str">
        <f>IF(AND(I3281="TP",S3281&lt;=500),VLOOKUP(AF3281,TPCalibEq500!$AZ$2:$BB$56,3,),IF(AND(I3281="TDP",S3281&lt;=500),VLOOKUP(AF3281,TPCalibEq500!$AZ$2:$BB$56,3,)))</f>
        <v>y=-1.4395x2+80.835x-35.016</v>
      </c>
      <c r="AT3281" s="10" t="b">
        <f>IF(AND(I3281="TN",S3281&lt;=2800),VLOOKUP(AF3281,TNCalibEq2500!$AZ$2:$BB$56,3,),IF(AND(I3281="TDN",S3281&lt;=2800),VLOOKUP(AF3281,TNCalibEq2500!$AZ$2:$BB$56,3,)))</f>
        <v>0</v>
      </c>
      <c r="AU3281" s="10" t="str">
        <f>IF(I3281="TP",VLOOKUP(AF3281,TPCalibEqFull!$AZ$2:$BB$56,3),IF(I3281="TDP",VLOOKUP(AF3281,TPCalibEqFull!$AZ$2:$BB$56,3),IF(I3281="TDN",VLOOKUP(AF3281,TNCalibEqFull!$AZ$1:$BB$56,3),IF(I3281="TN",VLOOKUP(AF3281,TNCalibEqFull!$AZ$1:$BB$56,3),FALSE))))</f>
        <v>y=-0.0466x2+68.24x-22.954</v>
      </c>
      <c r="AV3281" s="10" t="str">
        <f t="shared" si="375"/>
        <v>0215 09:00:00-QAC-STD-Q.E-1-DI-CAL</v>
      </c>
    </row>
    <row r="3282" spans="1:48" s="10" customFormat="1" x14ac:dyDescent="0.55000000000000004">
      <c r="A3282" s="32">
        <v>44972</v>
      </c>
      <c r="B3282" s="33">
        <v>0.375</v>
      </c>
      <c r="C3282" s="10" t="s">
        <v>70</v>
      </c>
      <c r="D3282" s="10" t="s">
        <v>71</v>
      </c>
      <c r="E3282" s="10" t="s">
        <v>929</v>
      </c>
      <c r="F3282" s="10">
        <v>1</v>
      </c>
      <c r="G3282" s="10" t="s">
        <v>73</v>
      </c>
      <c r="H3282" s="10" t="s">
        <v>74</v>
      </c>
      <c r="I3282" s="10" t="s">
        <v>83</v>
      </c>
      <c r="J3282" s="10">
        <v>193</v>
      </c>
      <c r="K3282" s="12">
        <v>44972</v>
      </c>
      <c r="L3282" s="33">
        <v>0.55252314814814818</v>
      </c>
      <c r="M3282" s="10">
        <v>1</v>
      </c>
      <c r="N3282" s="10" t="s">
        <v>84</v>
      </c>
      <c r="O3282" s="10">
        <v>1.34</v>
      </c>
      <c r="P3282" s="10">
        <v>9.4299999999999995E-2</v>
      </c>
      <c r="Q3282" s="10">
        <v>75</v>
      </c>
      <c r="R3282" s="10" t="s">
        <v>85</v>
      </c>
      <c r="S3282" s="34">
        <f t="shared" si="372"/>
        <v>75</v>
      </c>
      <c r="T3282" s="10" t="s">
        <v>1243</v>
      </c>
      <c r="U3282" s="34" t="str">
        <f t="shared" si="373"/>
        <v/>
      </c>
      <c r="V3282" s="31" t="str">
        <f>IF(H3282="CHK",VLOOKUP(I3282,QCCHK,3,),IF(H3282="GUP",VLOOKUP(E3282,QCGUP,2,),IF(AND(H3282="ATP",OR(I3282="TN",I3282="TDN",I3282="TNO2-3",I3282="NO2-3")),VLOOKUP(E3282,QCREC_N,2,),IF(AND(H3282="NIC",OR(I3282="TN",I3282="TDN",I3282="TNO2-3",I3282="NO2-3")),VLOOKUP(E3282,QCNIC_N,2,),IF(AND(H3282="UREA",OR(I3282="TN",I3282="TDN",I3282="TNO2-3",I3282="NO2-3")),VLOOKUP(E3282,QCUREA_N,2,),IF(H3282="PER",VLOOKUP(I3282,QCPER,MATCH(E3282,QCACTUAL!$J$25:$AA$25,0),),IF(H3282="SPK",VLOOKUP(I3282,QCSPK,3,),IF(AND(H3282="ATP",OR(I3282="TP",I3282="TDP")),VLOOKUP(E3282,QCATP_P,2,),""))))))))</f>
        <v/>
      </c>
      <c r="W3282" s="31" t="str">
        <f t="shared" si="374"/>
        <v>TRUE</v>
      </c>
      <c r="X3282" s="31" t="str">
        <f t="shared" si="371"/>
        <v/>
      </c>
      <c r="Y3282" s="10" t="s">
        <v>1232</v>
      </c>
      <c r="AF3282" s="12">
        <v>44972</v>
      </c>
      <c r="AG3282" s="10">
        <f>-8.1564*1.34^2+103.56*1.34-47.896</f>
        <v>76.228768160000016</v>
      </c>
      <c r="AH3282" s="10">
        <f>-3.4074*1.34^2+90.534*1.34-41.641</f>
        <v>73.556232560000012</v>
      </c>
      <c r="AI3282" s="10">
        <f>-1.4395*1.34^2+80.835*1.34-35.016</f>
        <v>70.718133800000004</v>
      </c>
      <c r="AK3282" s="10">
        <f>-0.0466*1.34^2+68.24*1.34-22.954</f>
        <v>68.40392503999999</v>
      </c>
      <c r="AL3282" s="10" t="str">
        <f t="shared" si="376"/>
        <v>y=-8.1564*1.34^2+103.56*1.34-47.896</v>
      </c>
      <c r="AM3282" s="10" t="str">
        <f t="shared" si="376"/>
        <v>y=-3.4074*1.34^2+90.534*1.34-41.641</v>
      </c>
      <c r="AN3282" s="10" t="str">
        <f t="shared" si="376"/>
        <v>y=-1.4395*1.34^2+80.835*1.34-35.016</v>
      </c>
      <c r="AO3282" s="10" t="str">
        <f t="shared" si="377"/>
        <v>FALSE</v>
      </c>
      <c r="AP3282" s="10" t="str">
        <f t="shared" si="377"/>
        <v>y=-0.0466*1.34^2+68.24*1.34-22.954</v>
      </c>
      <c r="AQ3282" s="10" t="str">
        <f>IF(AND(I3282="TP",S3282&lt;=150),VLOOKUP(AF3282,TPCalibEq150!$AZ$2:$BB$55,3,),IF(AND(I3282="TDP",S3282&lt;=150),VLOOKUP(AF3282,TPCalibEq150!$AZ$2:$BB$55,3,)))</f>
        <v>y=-8.1564x2+103.56x-47.896</v>
      </c>
      <c r="AR3282" s="10" t="str">
        <f>IF(AND(I3282="TP",S3282&lt;=300),VLOOKUP(AF3282,TPCalibEq300!$AZ$2:$BB$55,3,),IF(AND(I3282="TDP",S3282&lt;=300),VLOOKUP(AF3282,TPCalibEq300!$AZ$2:$BB$55,3,)))</f>
        <v>y=-3.4074x2+90.534x-41.641</v>
      </c>
      <c r="AS3282" s="10" t="str">
        <f>IF(AND(I3282="TP",S3282&lt;=500),VLOOKUP(AF3282,TPCalibEq500!$AZ$2:$BB$56,3,),IF(AND(I3282="TDP",S3282&lt;=500),VLOOKUP(AF3282,TPCalibEq500!$AZ$2:$BB$56,3,)))</f>
        <v>y=-1.4395x2+80.835x-35.016</v>
      </c>
      <c r="AT3282" s="10" t="b">
        <f>IF(AND(I3282="TN",S3282&lt;=2800),VLOOKUP(AF3282,TNCalibEq2500!$AZ$2:$BB$56,3,),IF(AND(I3282="TDN",S3282&lt;=2800),VLOOKUP(AF3282,TNCalibEq2500!$AZ$2:$BB$56,3,)))</f>
        <v>0</v>
      </c>
      <c r="AU3282" s="10" t="str">
        <f>IF(I3282="TP",VLOOKUP(AF3282,TPCalibEqFull!$AZ$2:$BB$56,3),IF(I3282="TDP",VLOOKUP(AF3282,TPCalibEqFull!$AZ$2:$BB$56,3),IF(I3282="TDN",VLOOKUP(AF3282,TNCalibEqFull!$AZ$1:$BB$56,3),IF(I3282="TN",VLOOKUP(AF3282,TNCalibEqFull!$AZ$1:$BB$56,3),FALSE))))</f>
        <v>y=-0.0466x2+68.24x-22.954</v>
      </c>
      <c r="AV3282" s="10" t="str">
        <f t="shared" si="375"/>
        <v>0215 09:00:00-QAC-STD-Q.D-1-DI-CAL</v>
      </c>
    </row>
    <row r="3283" spans="1:48" s="10" customFormat="1" x14ac:dyDescent="0.55000000000000004">
      <c r="A3283" s="32">
        <v>44972</v>
      </c>
      <c r="B3283" s="33">
        <v>0.375</v>
      </c>
      <c r="C3283" s="10" t="s">
        <v>70</v>
      </c>
      <c r="D3283" s="10" t="s">
        <v>71</v>
      </c>
      <c r="E3283" s="10" t="s">
        <v>930</v>
      </c>
      <c r="F3283" s="10">
        <v>1</v>
      </c>
      <c r="G3283" s="10" t="s">
        <v>73</v>
      </c>
      <c r="H3283" s="10" t="s">
        <v>74</v>
      </c>
      <c r="I3283" s="10" t="s">
        <v>83</v>
      </c>
      <c r="J3283" s="10">
        <v>194</v>
      </c>
      <c r="K3283" s="12">
        <v>44972</v>
      </c>
      <c r="L3283" s="33">
        <v>0.55324074074074081</v>
      </c>
      <c r="M3283" s="10">
        <v>1</v>
      </c>
      <c r="N3283" s="10" t="s">
        <v>84</v>
      </c>
      <c r="O3283" s="10">
        <v>2.34</v>
      </c>
      <c r="P3283" s="10">
        <v>0.16700000000000001</v>
      </c>
      <c r="Q3283" s="10">
        <v>150</v>
      </c>
      <c r="R3283" s="10" t="s">
        <v>85</v>
      </c>
      <c r="S3283" s="34">
        <f t="shared" si="372"/>
        <v>150</v>
      </c>
      <c r="T3283" s="10" t="s">
        <v>1244</v>
      </c>
      <c r="U3283" s="34" t="str">
        <f t="shared" si="373"/>
        <v/>
      </c>
      <c r="V3283" s="31" t="str">
        <f>IF(H3283="CHK",VLOOKUP(I3283,QCCHK,3,),IF(H3283="GUP",VLOOKUP(E3283,QCGUP,2,),IF(AND(H3283="ATP",OR(I3283="TN",I3283="TDN",I3283="TNO2-3",I3283="NO2-3")),VLOOKUP(E3283,QCREC_N,2,),IF(AND(H3283="NIC",OR(I3283="TN",I3283="TDN",I3283="TNO2-3",I3283="NO2-3")),VLOOKUP(E3283,QCNIC_N,2,),IF(AND(H3283="UREA",OR(I3283="TN",I3283="TDN",I3283="TNO2-3",I3283="NO2-3")),VLOOKUP(E3283,QCUREA_N,2,),IF(H3283="PER",VLOOKUP(I3283,QCPER,MATCH(E3283,QCACTUAL!$J$25:$AA$25,0),),IF(H3283="SPK",VLOOKUP(I3283,QCSPK,3,),IF(AND(H3283="ATP",OR(I3283="TP",I3283="TDP")),VLOOKUP(E3283,QCATP_P,2,),""))))))))</f>
        <v/>
      </c>
      <c r="W3283" s="31" t="str">
        <f t="shared" si="374"/>
        <v>TRUE</v>
      </c>
      <c r="X3283" s="31" t="str">
        <f t="shared" si="371"/>
        <v/>
      </c>
      <c r="Y3283" s="10" t="s">
        <v>1232</v>
      </c>
      <c r="AF3283" s="12">
        <v>44972</v>
      </c>
      <c r="AG3283" s="10">
        <f>-8.1564*2.34^2+103.56*2.34-47.896</f>
        <v>149.77321616</v>
      </c>
      <c r="AH3283" s="10">
        <f>-3.4074*2.34^2+90.534*2.34-41.641</f>
        <v>151.55100056000001</v>
      </c>
      <c r="AI3283" s="10">
        <f>-1.4395*2.34^2+80.835*2.34-35.016</f>
        <v>146.25577379999999</v>
      </c>
      <c r="AK3283" s="10">
        <f>-0.0466*2.34^2+68.24*2.34-22.954</f>
        <v>136.47243703999996</v>
      </c>
      <c r="AL3283" s="10" t="str">
        <f t="shared" si="376"/>
        <v>y=-8.1564*2.34^2+103.56*2.34-47.896</v>
      </c>
      <c r="AM3283" s="10" t="str">
        <f t="shared" si="376"/>
        <v>y=-3.4074*2.34^2+90.534*2.34-41.641</v>
      </c>
      <c r="AN3283" s="10" t="str">
        <f t="shared" si="376"/>
        <v>y=-1.4395*2.34^2+80.835*2.34-35.016</v>
      </c>
      <c r="AO3283" s="10" t="str">
        <f t="shared" si="377"/>
        <v>FALSE</v>
      </c>
      <c r="AP3283" s="10" t="str">
        <f t="shared" si="377"/>
        <v>y=-0.0466*2.34^2+68.24*2.34-22.954</v>
      </c>
      <c r="AQ3283" s="10" t="str">
        <f>IF(AND(I3283="TP",S3283&lt;=150),VLOOKUP(AF3283,TPCalibEq150!$AZ$2:$BB$55,3,),IF(AND(I3283="TDP",S3283&lt;=150),VLOOKUP(AF3283,TPCalibEq150!$AZ$2:$BB$55,3,)))</f>
        <v>y=-8.1564x2+103.56x-47.896</v>
      </c>
      <c r="AR3283" s="10" t="str">
        <f>IF(AND(I3283="TP",S3283&lt;=300),VLOOKUP(AF3283,TPCalibEq300!$AZ$2:$BB$55,3,),IF(AND(I3283="TDP",S3283&lt;=300),VLOOKUP(AF3283,TPCalibEq300!$AZ$2:$BB$55,3,)))</f>
        <v>y=-3.4074x2+90.534x-41.641</v>
      </c>
      <c r="AS3283" s="10" t="str">
        <f>IF(AND(I3283="TP",S3283&lt;=500),VLOOKUP(AF3283,TPCalibEq500!$AZ$2:$BB$56,3,),IF(AND(I3283="TDP",S3283&lt;=500),VLOOKUP(AF3283,TPCalibEq500!$AZ$2:$BB$56,3,)))</f>
        <v>y=-1.4395x2+80.835x-35.016</v>
      </c>
      <c r="AT3283" s="10" t="b">
        <f>IF(AND(I3283="TN",S3283&lt;=2800),VLOOKUP(AF3283,TNCalibEq2500!$AZ$2:$BB$56,3,),IF(AND(I3283="TDN",S3283&lt;=2800),VLOOKUP(AF3283,TNCalibEq2500!$AZ$2:$BB$56,3,)))</f>
        <v>0</v>
      </c>
      <c r="AU3283" s="10" t="str">
        <f>IF(I3283="TP",VLOOKUP(AF3283,TPCalibEqFull!$AZ$2:$BB$56,3),IF(I3283="TDP",VLOOKUP(AF3283,TPCalibEqFull!$AZ$2:$BB$56,3),IF(I3283="TDN",VLOOKUP(AF3283,TNCalibEqFull!$AZ$1:$BB$56,3),IF(I3283="TN",VLOOKUP(AF3283,TNCalibEqFull!$AZ$1:$BB$56,3),FALSE))))</f>
        <v>y=-0.0466x2+68.24x-22.954</v>
      </c>
      <c r="AV3283" s="10" t="str">
        <f t="shared" si="375"/>
        <v>0215 09:00:00-QAC-STD-Q.C-1-DI-CAL</v>
      </c>
    </row>
    <row r="3284" spans="1:48" s="10" customFormat="1" x14ac:dyDescent="0.55000000000000004">
      <c r="A3284" s="32">
        <v>44972</v>
      </c>
      <c r="B3284" s="33">
        <v>0.375</v>
      </c>
      <c r="C3284" s="10" t="s">
        <v>70</v>
      </c>
      <c r="D3284" s="10" t="s">
        <v>71</v>
      </c>
      <c r="E3284" s="10" t="s">
        <v>931</v>
      </c>
      <c r="F3284" s="10">
        <v>1</v>
      </c>
      <c r="G3284" s="10" t="s">
        <v>73</v>
      </c>
      <c r="H3284" s="10" t="s">
        <v>74</v>
      </c>
      <c r="I3284" s="10" t="s">
        <v>83</v>
      </c>
      <c r="J3284" s="10">
        <v>195</v>
      </c>
      <c r="K3284" s="12">
        <v>44972</v>
      </c>
      <c r="L3284" s="33">
        <v>0.55393518518518514</v>
      </c>
      <c r="M3284" s="10">
        <v>1</v>
      </c>
      <c r="N3284" s="10" t="s">
        <v>84</v>
      </c>
      <c r="O3284" s="10">
        <v>4.55</v>
      </c>
      <c r="P3284" s="10">
        <v>0.33100000000000002</v>
      </c>
      <c r="Q3284" s="10">
        <v>300</v>
      </c>
      <c r="R3284" s="10" t="s">
        <v>85</v>
      </c>
      <c r="S3284" s="34">
        <f t="shared" si="372"/>
        <v>300</v>
      </c>
      <c r="T3284" s="10" t="s">
        <v>1245</v>
      </c>
      <c r="U3284" s="34" t="str">
        <f t="shared" si="373"/>
        <v/>
      </c>
      <c r="V3284" s="31" t="str">
        <f>IF(H3284="CHK",VLOOKUP(I3284,QCCHK,3,),IF(H3284="GUP",VLOOKUP(E3284,QCGUP,2,),IF(AND(H3284="ATP",OR(I3284="TN",I3284="TDN",I3284="TNO2-3",I3284="NO2-3")),VLOOKUP(E3284,QCREC_N,2,),IF(AND(H3284="NIC",OR(I3284="TN",I3284="TDN",I3284="TNO2-3",I3284="NO2-3")),VLOOKUP(E3284,QCNIC_N,2,),IF(AND(H3284="UREA",OR(I3284="TN",I3284="TDN",I3284="TNO2-3",I3284="NO2-3")),VLOOKUP(E3284,QCUREA_N,2,),IF(H3284="PER",VLOOKUP(I3284,QCPER,MATCH(E3284,QCACTUAL!$J$25:$AA$25,0),),IF(H3284="SPK",VLOOKUP(I3284,QCSPK,3,),IF(AND(H3284="ATP",OR(I3284="TP",I3284="TDP")),VLOOKUP(E3284,QCATP_P,2,),""))))))))</f>
        <v/>
      </c>
      <c r="W3284" s="31" t="str">
        <f t="shared" si="374"/>
        <v>TRUE</v>
      </c>
      <c r="X3284" s="31" t="str">
        <f t="shared" si="371"/>
        <v/>
      </c>
      <c r="Y3284" s="10" t="s">
        <v>1232</v>
      </c>
      <c r="AF3284" s="12">
        <v>44972</v>
      </c>
      <c r="AH3284" s="10">
        <f>-3.4074*4.55^2+90.534*4.55-41.641</f>
        <v>299.74700150000001</v>
      </c>
      <c r="AI3284" s="10">
        <f>-1.4395*4.55^2+80.835*4.55-35.016</f>
        <v>302.98200124999994</v>
      </c>
      <c r="AK3284" s="10">
        <f>-0.0466*4.55^2+68.24*4.55-22.954</f>
        <v>286.57326349999994</v>
      </c>
      <c r="AL3284" s="10" t="str">
        <f t="shared" si="376"/>
        <v>FALSE</v>
      </c>
      <c r="AM3284" s="10" t="str">
        <f t="shared" si="376"/>
        <v>y=-3.4074*4.55^2+90.534*4.55-41.641</v>
      </c>
      <c r="AN3284" s="10" t="str">
        <f t="shared" si="376"/>
        <v>y=-1.4395*4.55^2+80.835*4.55-35.016</v>
      </c>
      <c r="AO3284" s="10" t="str">
        <f t="shared" si="377"/>
        <v>FALSE</v>
      </c>
      <c r="AP3284" s="10" t="str">
        <f t="shared" si="377"/>
        <v>y=-0.0466*4.55^2+68.24*4.55-22.954</v>
      </c>
      <c r="AQ3284" s="10" t="b">
        <f>IF(AND(I3284="TP",S3284&lt;=150),VLOOKUP(AF3284,TPCalibEq150!$AZ$2:$BB$55,3,),IF(AND(I3284="TDP",S3284&lt;=150),VLOOKUP(AF3284,TPCalibEq150!$AZ$2:$BB$55,3,)))</f>
        <v>0</v>
      </c>
      <c r="AR3284" s="10" t="str">
        <f>IF(AND(I3284="TP",S3284&lt;=300),VLOOKUP(AF3284,TPCalibEq300!$AZ$2:$BB$55,3,),IF(AND(I3284="TDP",S3284&lt;=300),VLOOKUP(AF3284,TPCalibEq300!$AZ$2:$BB$55,3,)))</f>
        <v>y=-3.4074x2+90.534x-41.641</v>
      </c>
      <c r="AS3284" s="10" t="str">
        <f>IF(AND(I3284="TP",S3284&lt;=500),VLOOKUP(AF3284,TPCalibEq500!$AZ$2:$BB$56,3,),IF(AND(I3284="TDP",S3284&lt;=500),VLOOKUP(AF3284,TPCalibEq500!$AZ$2:$BB$56,3,)))</f>
        <v>y=-1.4395x2+80.835x-35.016</v>
      </c>
      <c r="AT3284" s="10" t="b">
        <f>IF(AND(I3284="TN",S3284&lt;=2800),VLOOKUP(AF3284,TNCalibEq2500!$AZ$2:$BB$56,3,),IF(AND(I3284="TDN",S3284&lt;=2800),VLOOKUP(AF3284,TNCalibEq2500!$AZ$2:$BB$56,3,)))</f>
        <v>0</v>
      </c>
      <c r="AU3284" s="10" t="str">
        <f>IF(I3284="TP",VLOOKUP(AF3284,TPCalibEqFull!$AZ$2:$BB$56,3),IF(I3284="TDP",VLOOKUP(AF3284,TPCalibEqFull!$AZ$2:$BB$56,3),IF(I3284="TDN",VLOOKUP(AF3284,TNCalibEqFull!$AZ$1:$BB$56,3),IF(I3284="TN",VLOOKUP(AF3284,TNCalibEqFull!$AZ$1:$BB$56,3),FALSE))))</f>
        <v>y=-0.0466x2+68.24x-22.954</v>
      </c>
      <c r="AV3284" s="10" t="str">
        <f t="shared" si="375"/>
        <v>0215 09:00:00-QAC-STD-Q.B-1-DI-CAL</v>
      </c>
    </row>
    <row r="3285" spans="1:48" s="10" customFormat="1" x14ac:dyDescent="0.55000000000000004">
      <c r="A3285" s="32">
        <v>44972</v>
      </c>
      <c r="B3285" s="33">
        <v>0.375</v>
      </c>
      <c r="C3285" s="10" t="s">
        <v>70</v>
      </c>
      <c r="D3285" s="10" t="s">
        <v>71</v>
      </c>
      <c r="E3285" s="10" t="s">
        <v>932</v>
      </c>
      <c r="F3285" s="10">
        <v>1</v>
      </c>
      <c r="G3285" s="10" t="s">
        <v>73</v>
      </c>
      <c r="H3285" s="10" t="s">
        <v>74</v>
      </c>
      <c r="I3285" s="10" t="s">
        <v>83</v>
      </c>
      <c r="J3285" s="10">
        <v>196</v>
      </c>
      <c r="K3285" s="12">
        <v>44972</v>
      </c>
      <c r="L3285" s="33">
        <v>0.55464120370370373</v>
      </c>
      <c r="M3285" s="10">
        <v>1</v>
      </c>
      <c r="N3285" s="10" t="s">
        <v>84</v>
      </c>
      <c r="O3285" s="10">
        <v>7.51</v>
      </c>
      <c r="P3285" s="10">
        <v>0.54700000000000004</v>
      </c>
      <c r="Q3285" s="10">
        <v>500</v>
      </c>
      <c r="R3285" s="10" t="s">
        <v>85</v>
      </c>
      <c r="S3285" s="34">
        <f t="shared" si="372"/>
        <v>500</v>
      </c>
      <c r="T3285" s="10" t="s">
        <v>1246</v>
      </c>
      <c r="U3285" s="34" t="str">
        <f t="shared" si="373"/>
        <v/>
      </c>
      <c r="V3285" s="31" t="str">
        <f>IF(H3285="CHK",VLOOKUP(I3285,QCCHK,3,),IF(H3285="GUP",VLOOKUP(E3285,QCGUP,2,),IF(AND(H3285="ATP",OR(I3285="TN",I3285="TDN",I3285="TNO2-3",I3285="NO2-3")),VLOOKUP(E3285,QCREC_N,2,),IF(AND(H3285="NIC",OR(I3285="TN",I3285="TDN",I3285="TNO2-3",I3285="NO2-3")),VLOOKUP(E3285,QCNIC_N,2,),IF(AND(H3285="UREA",OR(I3285="TN",I3285="TDN",I3285="TNO2-3",I3285="NO2-3")),VLOOKUP(E3285,QCUREA_N,2,),IF(H3285="PER",VLOOKUP(I3285,QCPER,MATCH(E3285,QCACTUAL!$J$25:$AA$25,0),),IF(H3285="SPK",VLOOKUP(I3285,QCSPK,3,),IF(AND(H3285="ATP",OR(I3285="TP",I3285="TDP")),VLOOKUP(E3285,QCATP_P,2,),""))))))))</f>
        <v/>
      </c>
      <c r="W3285" s="31" t="str">
        <f t="shared" si="374"/>
        <v>TRUE</v>
      </c>
      <c r="X3285" s="31" t="str">
        <f t="shared" si="371"/>
        <v/>
      </c>
      <c r="Y3285" s="10" t="s">
        <v>1232</v>
      </c>
      <c r="AF3285" s="12">
        <v>44972</v>
      </c>
      <c r="AI3285" s="10">
        <f>-1.4395*7.51^2+80.835*7.51-35.016</f>
        <v>490.86690604999995</v>
      </c>
      <c r="AK3285" s="10">
        <f>-0.0466*7.51^2+68.24*7.51-22.954</f>
        <v>486.90015533999997</v>
      </c>
      <c r="AL3285" s="10" t="str">
        <f t="shared" si="376"/>
        <v>FALSE</v>
      </c>
      <c r="AM3285" s="10" t="str">
        <f t="shared" si="376"/>
        <v>FALSE</v>
      </c>
      <c r="AN3285" s="10" t="str">
        <f t="shared" si="376"/>
        <v>y=-1.4395*7.51^2+80.835*7.51-35.016</v>
      </c>
      <c r="AO3285" s="10" t="str">
        <f t="shared" si="377"/>
        <v>FALSE</v>
      </c>
      <c r="AP3285" s="10" t="str">
        <f t="shared" si="377"/>
        <v>y=-0.0466*7.51^2+68.24*7.51-22.954</v>
      </c>
      <c r="AQ3285" s="10" t="b">
        <f>IF(AND(I3285="TP",S3285&lt;=150),VLOOKUP(AF3285,TPCalibEq150!$AZ$2:$BB$55,3,),IF(AND(I3285="TDP",S3285&lt;=150),VLOOKUP(AF3285,TPCalibEq150!$AZ$2:$BB$55,3,)))</f>
        <v>0</v>
      </c>
      <c r="AR3285" s="10" t="b">
        <f>IF(AND(I3285="TP",S3285&lt;=300),VLOOKUP(AF3285,TPCalibEq300!$AZ$2:$BB$55,3,),IF(AND(I3285="TDP",S3285&lt;=300),VLOOKUP(AF3285,TPCalibEq300!$AZ$2:$BB$55,3,)))</f>
        <v>0</v>
      </c>
      <c r="AS3285" s="10" t="str">
        <f>IF(AND(I3285="TP",S3285&lt;=500),VLOOKUP(AF3285,TPCalibEq500!$AZ$2:$BB$56,3,),IF(AND(I3285="TDP",S3285&lt;=500),VLOOKUP(AF3285,TPCalibEq500!$AZ$2:$BB$56,3,)))</f>
        <v>y=-1.4395x2+80.835x-35.016</v>
      </c>
      <c r="AT3285" s="10" t="b">
        <f>IF(AND(I3285="TN",S3285&lt;=2800),VLOOKUP(AF3285,TNCalibEq2500!$AZ$2:$BB$56,3,),IF(AND(I3285="TDN",S3285&lt;=2800),VLOOKUP(AF3285,TNCalibEq2500!$AZ$2:$BB$56,3,)))</f>
        <v>0</v>
      </c>
      <c r="AU3285" s="10" t="str">
        <f>IF(I3285="TP",VLOOKUP(AF3285,TPCalibEqFull!$AZ$2:$BB$56,3),IF(I3285="TDP",VLOOKUP(AF3285,TPCalibEqFull!$AZ$2:$BB$56,3),IF(I3285="TDN",VLOOKUP(AF3285,TNCalibEqFull!$AZ$1:$BB$56,3),IF(I3285="TN",VLOOKUP(AF3285,TNCalibEqFull!$AZ$1:$BB$56,3),FALSE))))</f>
        <v>y=-0.0466x2+68.24x-22.954</v>
      </c>
      <c r="AV3285" s="10" t="str">
        <f t="shared" si="375"/>
        <v>0215 09:00:00-QAC-STD-Q.A-1-DI-CAL</v>
      </c>
    </row>
    <row r="3286" spans="1:48" s="10" customFormat="1" x14ac:dyDescent="0.55000000000000004">
      <c r="A3286" s="32">
        <v>44972</v>
      </c>
      <c r="B3286" s="33">
        <v>0.375</v>
      </c>
      <c r="C3286" s="10" t="s">
        <v>70</v>
      </c>
      <c r="D3286" s="10" t="s">
        <v>241</v>
      </c>
      <c r="E3286" s="10" t="s">
        <v>866</v>
      </c>
      <c r="F3286" s="10">
        <v>1</v>
      </c>
      <c r="G3286" s="10" t="s">
        <v>73</v>
      </c>
      <c r="H3286" s="10" t="s">
        <v>283</v>
      </c>
      <c r="I3286" s="10" t="s">
        <v>83</v>
      </c>
      <c r="J3286" s="10">
        <v>198</v>
      </c>
      <c r="K3286" s="12">
        <v>44972</v>
      </c>
      <c r="L3286" s="33">
        <v>0.55601851851851858</v>
      </c>
      <c r="M3286" s="10">
        <v>1</v>
      </c>
      <c r="N3286" s="10" t="s">
        <v>84</v>
      </c>
      <c r="O3286" s="10">
        <v>0.46400000000000002</v>
      </c>
      <c r="P3286" s="10">
        <v>3.1600000000000003E-2</v>
      </c>
      <c r="Q3286" s="10">
        <v>9.2100000000000009</v>
      </c>
      <c r="R3286" s="10" t="s">
        <v>85</v>
      </c>
      <c r="S3286" s="34">
        <f t="shared" si="372"/>
        <v>9.2100000000000009</v>
      </c>
      <c r="T3286" s="10" t="s">
        <v>1246</v>
      </c>
      <c r="U3286" s="34">
        <f t="shared" si="373"/>
        <v>9.2100000000000009</v>
      </c>
      <c r="V3286" s="31" t="str">
        <f>IF(H3286="CHK",VLOOKUP(I3286,QCCHK,3,),IF(H3286="GUP",VLOOKUP(E3286,QCGUP,2,),IF(AND(H3286="ATP",OR(I3286="TN",I3286="TDN",I3286="TNO2-3",I3286="NO2-3")),VLOOKUP(E3286,QCREC_N,2,),IF(AND(H3286="NIC",OR(I3286="TN",I3286="TDN",I3286="TNO2-3",I3286="NO2-3")),VLOOKUP(E3286,QCNIC_N,2,),IF(AND(H3286="UREA",OR(I3286="TN",I3286="TDN",I3286="TNO2-3",I3286="NO2-3")),VLOOKUP(E3286,QCUREA_N,2,),IF(H3286="PER",VLOOKUP(I3286,QCPER,MATCH(E3286,QCACTUAL!$J$25:$AA$25,0),),IF(H3286="SPK",VLOOKUP(I3286,QCSPK,3,),IF(AND(H3286="ATP",OR(I3286="TP",I3286="TDP")),VLOOKUP(E3286,QCATP_P,2,),""))))))))</f>
        <v/>
      </c>
      <c r="W3286" s="31" t="str">
        <f t="shared" si="374"/>
        <v>TRUE</v>
      </c>
      <c r="X3286" s="31" t="str">
        <f t="shared" si="371"/>
        <v>nominal concentration</v>
      </c>
      <c r="Y3286" s="10" t="s">
        <v>1232</v>
      </c>
      <c r="AF3286" s="12">
        <v>44972</v>
      </c>
      <c r="AG3286" s="10">
        <f>-8.1564*0.464^2+103.56*0.464-47.896</f>
        <v>-1.6002002943999969</v>
      </c>
      <c r="AH3286" s="10">
        <f>-3.4074*0.464^2+90.534*0.464-41.641</f>
        <v>-0.36682359039998857</v>
      </c>
      <c r="AI3286" s="10">
        <f>-1.4395*0.464^2+80.835*0.464-35.016</f>
        <v>2.1815214080000018</v>
      </c>
      <c r="AK3286" s="10">
        <f>-0.0466*0.464^2+68.24*0.464-22.954</f>
        <v>8.6993272063999996</v>
      </c>
      <c r="AL3286" s="10" t="str">
        <f t="shared" si="376"/>
        <v>y=-8.1564*0.464^2+103.56*0.464-47.896</v>
      </c>
      <c r="AM3286" s="10" t="str">
        <f t="shared" si="376"/>
        <v>y=-3.4074*0.464^2+90.534*0.464-41.641</v>
      </c>
      <c r="AN3286" s="10" t="str">
        <f t="shared" si="376"/>
        <v>y=-1.4395*0.464^2+80.835*0.464-35.016</v>
      </c>
      <c r="AO3286" s="10" t="str">
        <f t="shared" si="377"/>
        <v>FALSE</v>
      </c>
      <c r="AP3286" s="10" t="str">
        <f t="shared" si="377"/>
        <v>y=-0.0466*0.464^2+68.24*0.464-22.954</v>
      </c>
      <c r="AQ3286" s="10" t="str">
        <f>IF(AND(I3286="TP",S3286&lt;=150),VLOOKUP(AF3286,TPCalibEq150!$AZ$2:$BB$55,3,),IF(AND(I3286="TDP",S3286&lt;=150),VLOOKUP(AF3286,TPCalibEq150!$AZ$2:$BB$55,3,)))</f>
        <v>y=-8.1564x2+103.56x-47.896</v>
      </c>
      <c r="AR3286" s="10" t="str">
        <f>IF(AND(I3286="TP",S3286&lt;=300),VLOOKUP(AF3286,TPCalibEq300!$AZ$2:$BB$55,3,),IF(AND(I3286="TDP",S3286&lt;=300),VLOOKUP(AF3286,TPCalibEq300!$AZ$2:$BB$55,3,)))</f>
        <v>y=-3.4074x2+90.534x-41.641</v>
      </c>
      <c r="AS3286" s="10" t="str">
        <f>IF(AND(I3286="TP",S3286&lt;=500),VLOOKUP(AF3286,TPCalibEq500!$AZ$2:$BB$56,3,),IF(AND(I3286="TDP",S3286&lt;=500),VLOOKUP(AF3286,TPCalibEq500!$AZ$2:$BB$56,3,)))</f>
        <v>y=-1.4395x2+80.835x-35.016</v>
      </c>
      <c r="AT3286" s="10" t="b">
        <f>IF(AND(I3286="TN",S3286&lt;=2800),VLOOKUP(AF3286,TNCalibEq2500!$AZ$2:$BB$56,3,),IF(AND(I3286="TDN",S3286&lt;=2800),VLOOKUP(AF3286,TNCalibEq2500!$AZ$2:$BB$56,3,)))</f>
        <v>0</v>
      </c>
      <c r="AU3286" s="10" t="str">
        <f>IF(I3286="TP",VLOOKUP(AF3286,TPCalibEqFull!$AZ$2:$BB$56,3),IF(I3286="TDP",VLOOKUP(AF3286,TPCalibEqFull!$AZ$2:$BB$56,3),IF(I3286="TDN",VLOOKUP(AF3286,TNCalibEqFull!$AZ$1:$BB$56,3),IF(I3286="TN",VLOOKUP(AF3286,TNCalibEqFull!$AZ$1:$BB$56,3),FALSE))))</f>
        <v>y=-0.0466x2+68.24x-22.954</v>
      </c>
      <c r="AV3286" s="10" t="str">
        <f t="shared" si="375"/>
        <v>0215 09:00:00-QAC-BLK-A-1-DI-LAB</v>
      </c>
    </row>
    <row r="3287" spans="1:48" s="10" customFormat="1" x14ac:dyDescent="0.55000000000000004">
      <c r="A3287" s="32">
        <v>44972</v>
      </c>
      <c r="B3287" s="33">
        <v>0.375</v>
      </c>
      <c r="C3287" s="10" t="s">
        <v>70</v>
      </c>
      <c r="D3287" s="10" t="s">
        <v>241</v>
      </c>
      <c r="E3287" s="10" t="s">
        <v>866</v>
      </c>
      <c r="F3287" s="10">
        <v>1</v>
      </c>
      <c r="G3287" s="10" t="s">
        <v>73</v>
      </c>
      <c r="H3287" s="10" t="s">
        <v>314</v>
      </c>
      <c r="I3287" s="10" t="s">
        <v>83</v>
      </c>
      <c r="J3287" s="10">
        <v>225</v>
      </c>
      <c r="K3287" s="12">
        <v>44972</v>
      </c>
      <c r="L3287" s="33">
        <v>0.55672453703703706</v>
      </c>
      <c r="M3287" s="10">
        <v>1</v>
      </c>
      <c r="N3287" s="10" t="s">
        <v>84</v>
      </c>
      <c r="O3287" s="10">
        <v>16.5</v>
      </c>
      <c r="P3287" s="10">
        <v>1.19</v>
      </c>
      <c r="Q3287" s="10">
        <v>1090</v>
      </c>
      <c r="R3287" s="10" t="s">
        <v>85</v>
      </c>
      <c r="S3287" s="34">
        <f t="shared" si="372"/>
        <v>1090.3191499999998</v>
      </c>
      <c r="T3287" s="10" t="s">
        <v>1246</v>
      </c>
      <c r="U3287" s="34">
        <f t="shared" si="373"/>
        <v>108.11091499999999</v>
      </c>
      <c r="V3287" s="31">
        <f>IF(H3287="CHK",VLOOKUP(I3287,QCCHK,3,),IF(H3287="GUP",VLOOKUP(E3287,QCGUP,2,),IF(AND(H3287="ATP",OR(I3287="TN",I3287="TDN",I3287="TNO2-3",I3287="NO2-3")),VLOOKUP(E3287,QCREC_N,2,),IF(AND(H3287="NIC",OR(I3287="TN",I3287="TDN",I3287="TNO2-3",I3287="NO2-3")),VLOOKUP(E3287,QCNIC_N,2,),IF(AND(H3287="UREA",OR(I3287="TN",I3287="TDN",I3287="TNO2-3",I3287="NO2-3")),VLOOKUP(E3287,QCUREA_N,2,),IF(H3287="PER",VLOOKUP(I3287,QCPER,MATCH(E3287,QCACTUAL!$J$25:$AA$25,0),),IF(H3287="SPK",VLOOKUP(I3287,QCSPK,3,),IF(AND(H3287="ATP",OR(I3287="TP",I3287="TDP")),VLOOKUP(E3287,QCATP_P,2,),""))))))))</f>
        <v>1000</v>
      </c>
      <c r="W3287" s="31" t="str">
        <f t="shared" si="374"/>
        <v>TRUE</v>
      </c>
      <c r="X3287" s="31" t="str">
        <f t="shared" si="371"/>
        <v>([spikedunkn]-[unkn])/[spike]*100</v>
      </c>
      <c r="Y3287" s="10" t="s">
        <v>1232</v>
      </c>
      <c r="AF3287" s="12">
        <v>44972</v>
      </c>
      <c r="AK3287" s="10">
        <f>-0.0466*16.5^2+68.24*16.5-22.954</f>
        <v>1090.3191499999998</v>
      </c>
      <c r="AL3287" s="10" t="str">
        <f t="shared" si="376"/>
        <v>FALSE</v>
      </c>
      <c r="AM3287" s="10" t="str">
        <f t="shared" si="376"/>
        <v>FALSE</v>
      </c>
      <c r="AN3287" s="10" t="str">
        <f t="shared" si="376"/>
        <v>FALSE</v>
      </c>
      <c r="AO3287" s="10" t="str">
        <f t="shared" si="377"/>
        <v>FALSE</v>
      </c>
      <c r="AP3287" s="10" t="str">
        <f t="shared" si="377"/>
        <v>y=-0.0466*16.5^2+68.24*16.5-22.954</v>
      </c>
      <c r="AQ3287" s="10" t="b">
        <f>IF(AND(I3287="TP",S3287&lt;=150),VLOOKUP(AF3287,TPCalibEq150!$AZ$2:$BB$55,3,),IF(AND(I3287="TDP",S3287&lt;=150),VLOOKUP(AF3287,TPCalibEq150!$AZ$2:$BB$55,3,)))</f>
        <v>0</v>
      </c>
      <c r="AR3287" s="10" t="b">
        <f>IF(AND(I3287="TP",S3287&lt;=300),VLOOKUP(AF3287,TPCalibEq300!$AZ$2:$BB$55,3,),IF(AND(I3287="TDP",S3287&lt;=300),VLOOKUP(AF3287,TPCalibEq300!$AZ$2:$BB$55,3,)))</f>
        <v>0</v>
      </c>
      <c r="AS3287" s="10" t="b">
        <f>IF(AND(I3287="TP",S3287&lt;=500),VLOOKUP(AF3287,TPCalibEq500!$AZ$2:$BB$56,3,),IF(AND(I3287="TDP",S3287&lt;=500),VLOOKUP(AF3287,TPCalibEq500!$AZ$2:$BB$56,3,)))</f>
        <v>0</v>
      </c>
      <c r="AT3287" s="10" t="b">
        <f>IF(AND(I3287="TN",S3287&lt;=2800),VLOOKUP(AF3287,TNCalibEq2500!$AZ$2:$BB$56,3,),IF(AND(I3287="TDN",S3287&lt;=2800),VLOOKUP(AF3287,TNCalibEq2500!$AZ$2:$BB$56,3,)))</f>
        <v>0</v>
      </c>
      <c r="AU3287" s="10" t="str">
        <f>IF(I3287="TP",VLOOKUP(AF3287,TPCalibEqFull!$AZ$2:$BB$56,3),IF(I3287="TDP",VLOOKUP(AF3287,TPCalibEqFull!$AZ$2:$BB$56,3),IF(I3287="TDN",VLOOKUP(AF3287,TNCalibEqFull!$AZ$1:$BB$56,3),IF(I3287="TN",VLOOKUP(AF3287,TNCalibEqFull!$AZ$1:$BB$56,3),FALSE))))</f>
        <v>y=-0.0466x2+68.24x-22.954</v>
      </c>
      <c r="AV3287" s="10" t="str">
        <f t="shared" si="375"/>
        <v>0215 09:00:00-QAC-BLK-A-1-DI-SPK</v>
      </c>
    </row>
    <row r="3288" spans="1:48" s="10" customFormat="1" x14ac:dyDescent="0.55000000000000004">
      <c r="A3288" s="32">
        <v>44972</v>
      </c>
      <c r="B3288" s="33">
        <v>0.375</v>
      </c>
      <c r="C3288" s="10" t="s">
        <v>70</v>
      </c>
      <c r="D3288" s="10" t="s">
        <v>71</v>
      </c>
      <c r="E3288" s="10" t="s">
        <v>948</v>
      </c>
      <c r="F3288" s="10">
        <v>1</v>
      </c>
      <c r="G3288" s="10" t="s">
        <v>73</v>
      </c>
      <c r="H3288" s="10" t="s">
        <v>299</v>
      </c>
      <c r="I3288" s="10" t="s">
        <v>83</v>
      </c>
      <c r="J3288" s="10">
        <v>197</v>
      </c>
      <c r="K3288" s="12">
        <v>44972</v>
      </c>
      <c r="L3288" s="33">
        <v>0.55743055555555554</v>
      </c>
      <c r="M3288" s="10">
        <v>1</v>
      </c>
      <c r="N3288" s="10" t="s">
        <v>84</v>
      </c>
      <c r="O3288" s="10">
        <v>4.78</v>
      </c>
      <c r="P3288" s="10">
        <v>0.35199999999999998</v>
      </c>
      <c r="Q3288" s="10">
        <v>304</v>
      </c>
      <c r="R3288" s="10" t="s">
        <v>85</v>
      </c>
      <c r="S3288" s="34">
        <f t="shared" si="372"/>
        <v>318.48502819999999</v>
      </c>
      <c r="T3288" s="10" t="s">
        <v>1246</v>
      </c>
      <c r="U3288" s="34">
        <f t="shared" si="373"/>
        <v>96.510614606060614</v>
      </c>
      <c r="V3288" s="31">
        <f>IF(H3288="CHK",VLOOKUP(I3288,QCCHK,3,),IF(H3288="GUP",VLOOKUP(E3288,QCGUP,2,),IF(AND(H3288="ATP",OR(I3288="TN",I3288="TDN",I3288="TNO2-3",I3288="NO2-3")),VLOOKUP(E3288,QCREC_N,2,),IF(AND(H3288="NIC",OR(I3288="TN",I3288="TDN",I3288="TNO2-3",I3288="NO2-3")),VLOOKUP(E3288,QCNIC_N,2,),IF(AND(H3288="UREA",OR(I3288="TN",I3288="TDN",I3288="TNO2-3",I3288="NO2-3")),VLOOKUP(E3288,QCUREA_N,2,),IF(H3288="PER",VLOOKUP(I3288,QCPER,MATCH(E3288,QCACTUAL!$J$25:$AA$25,0),),IF(H3288="SPK",VLOOKUP(I3288,QCSPK,3,),IF(AND(H3288="ATP",OR(I3288="TP",I3288="TDP")),VLOOKUP(E3288,QCATP_P,2,),""))))))))</f>
        <v>330</v>
      </c>
      <c r="W3288" s="31" t="str">
        <f t="shared" si="374"/>
        <v>TRUE</v>
      </c>
      <c r="X3288" s="31" t="str">
        <f t="shared" si="371"/>
        <v>[per]/[actual]*100</v>
      </c>
      <c r="Y3288" s="10" t="s">
        <v>1232</v>
      </c>
      <c r="AF3288" s="12">
        <v>44972</v>
      </c>
      <c r="AI3288" s="10">
        <f>-1.4395*4.78^2+80.835*4.78-35.016</f>
        <v>318.48502819999999</v>
      </c>
      <c r="AK3288" s="10">
        <f>-0.0466*4.78^2+68.24*4.78-22.954</f>
        <v>302.16846456000002</v>
      </c>
      <c r="AL3288" s="10" t="str">
        <f t="shared" si="376"/>
        <v>FALSE</v>
      </c>
      <c r="AM3288" s="10" t="str">
        <f t="shared" si="376"/>
        <v>FALSE</v>
      </c>
      <c r="AN3288" s="10" t="str">
        <f t="shared" si="376"/>
        <v>y=-1.4395*4.78^2+80.835*4.78-35.016</v>
      </c>
      <c r="AO3288" s="10" t="str">
        <f t="shared" si="377"/>
        <v>FALSE</v>
      </c>
      <c r="AP3288" s="10" t="str">
        <f t="shared" si="377"/>
        <v>y=-0.0466*4.78^2+68.24*4.78-22.954</v>
      </c>
      <c r="AQ3288" s="10" t="b">
        <f>IF(AND(I3288="TP",S3288&lt;=150),VLOOKUP(AF3288,TPCalibEq150!$AZ$2:$BB$55,3,),IF(AND(I3288="TDP",S3288&lt;=150),VLOOKUP(AF3288,TPCalibEq150!$AZ$2:$BB$55,3,)))</f>
        <v>0</v>
      </c>
      <c r="AR3288" s="10" t="b">
        <f>IF(AND(I3288="TP",S3288&lt;=300),VLOOKUP(AF3288,TPCalibEq300!$AZ$2:$BB$55,3,),IF(AND(I3288="TDP",S3288&lt;=300),VLOOKUP(AF3288,TPCalibEq300!$AZ$2:$BB$55,3,)))</f>
        <v>0</v>
      </c>
      <c r="AS3288" s="10" t="str">
        <f>IF(AND(I3288="TP",S3288&lt;=500),VLOOKUP(AF3288,TPCalibEq500!$AZ$2:$BB$56,3,),IF(AND(I3288="TDP",S3288&lt;=500),VLOOKUP(AF3288,TPCalibEq500!$AZ$2:$BB$56,3,)))</f>
        <v>y=-1.4395x2+80.835x-35.016</v>
      </c>
      <c r="AT3288" s="10" t="b">
        <f>IF(AND(I3288="TN",S3288&lt;=2800),VLOOKUP(AF3288,TNCalibEq2500!$AZ$2:$BB$56,3,),IF(AND(I3288="TDN",S3288&lt;=2800),VLOOKUP(AF3288,TNCalibEq2500!$AZ$2:$BB$56,3,)))</f>
        <v>0</v>
      </c>
      <c r="AU3288" s="10" t="str">
        <f>IF(I3288="TP",VLOOKUP(AF3288,TPCalibEqFull!$AZ$2:$BB$56,3),IF(I3288="TDP",VLOOKUP(AF3288,TPCalibEqFull!$AZ$2:$BB$56,3),IF(I3288="TDN",VLOOKUP(AF3288,TNCalibEqFull!$AZ$1:$BB$56,3),IF(I3288="TN",VLOOKUP(AF3288,TNCalibEqFull!$AZ$1:$BB$56,3),FALSE))))</f>
        <v>y=-0.0466x2+68.24x-22.954</v>
      </c>
      <c r="AV3288" s="10" t="str">
        <f t="shared" si="375"/>
        <v>0215 09:00:00-QAC-STD-22A-1-DI-PER</v>
      </c>
    </row>
    <row r="3289" spans="1:48" s="10" customFormat="1" x14ac:dyDescent="0.55000000000000004">
      <c r="A3289" s="32">
        <v>44851</v>
      </c>
      <c r="B3289" s="33">
        <v>0.375</v>
      </c>
      <c r="C3289" s="10" t="s">
        <v>70</v>
      </c>
      <c r="D3289" s="10" t="s">
        <v>71</v>
      </c>
      <c r="E3289" s="10" t="s">
        <v>948</v>
      </c>
      <c r="F3289" s="10">
        <v>1</v>
      </c>
      <c r="G3289" s="10" t="s">
        <v>73</v>
      </c>
      <c r="H3289" s="10" t="s">
        <v>299</v>
      </c>
      <c r="I3289" s="10" t="s">
        <v>83</v>
      </c>
      <c r="J3289" s="10">
        <v>215</v>
      </c>
      <c r="K3289" s="12">
        <v>44972</v>
      </c>
      <c r="L3289" s="33">
        <v>0.55812499999999998</v>
      </c>
      <c r="M3289" s="10">
        <v>1</v>
      </c>
      <c r="N3289" s="10" t="s">
        <v>84</v>
      </c>
      <c r="O3289" s="10">
        <v>5.07</v>
      </c>
      <c r="P3289" s="10">
        <v>0.36899999999999999</v>
      </c>
      <c r="Q3289" s="10">
        <v>323</v>
      </c>
      <c r="R3289" s="10" t="s">
        <v>85</v>
      </c>
      <c r="S3289" s="34">
        <f t="shared" si="372"/>
        <v>337.81524644999996</v>
      </c>
      <c r="T3289" s="10" t="s">
        <v>1246</v>
      </c>
      <c r="U3289" s="34">
        <f t="shared" si="373"/>
        <v>102.36825649999999</v>
      </c>
      <c r="V3289" s="31">
        <f>IF(H3289="CHK",VLOOKUP(I3289,QCCHK,3,),IF(H3289="GUP",VLOOKUP(E3289,QCGUP,2,),IF(AND(H3289="ATP",OR(I3289="TN",I3289="TDN",I3289="TNO2-3",I3289="NO2-3")),VLOOKUP(E3289,QCREC_N,2,),IF(AND(H3289="NIC",OR(I3289="TN",I3289="TDN",I3289="TNO2-3",I3289="NO2-3")),VLOOKUP(E3289,QCNIC_N,2,),IF(AND(H3289="UREA",OR(I3289="TN",I3289="TDN",I3289="TNO2-3",I3289="NO2-3")),VLOOKUP(E3289,QCUREA_N,2,),IF(H3289="PER",VLOOKUP(I3289,QCPER,MATCH(E3289,QCACTUAL!$J$25:$AA$25,0),),IF(H3289="SPK",VLOOKUP(I3289,QCSPK,3,),IF(AND(H3289="ATP",OR(I3289="TP",I3289="TDP")),VLOOKUP(E3289,QCATP_P,2,),""))))))))</f>
        <v>330</v>
      </c>
      <c r="W3289" s="31" t="str">
        <f t="shared" si="374"/>
        <v>TRUE</v>
      </c>
      <c r="X3289" s="31" t="str">
        <f t="shared" si="371"/>
        <v>[per]/[actual]*100</v>
      </c>
      <c r="Y3289" s="10" t="s">
        <v>1232</v>
      </c>
      <c r="AF3289" s="12">
        <v>44972</v>
      </c>
      <c r="AI3289" s="10">
        <f>-1.4395*5.07^2+80.835*5.07-35.016</f>
        <v>337.81524644999996</v>
      </c>
      <c r="AK3289" s="10">
        <f>-0.0466*5.07^2+68.24*5.07-22.954</f>
        <v>321.82495165999995</v>
      </c>
      <c r="AL3289" s="10" t="str">
        <f t="shared" si="376"/>
        <v>FALSE</v>
      </c>
      <c r="AM3289" s="10" t="str">
        <f t="shared" si="376"/>
        <v>FALSE</v>
      </c>
      <c r="AN3289" s="10" t="str">
        <f t="shared" si="376"/>
        <v>y=-1.4395*5.07^2+80.835*5.07-35.016</v>
      </c>
      <c r="AO3289" s="10" t="str">
        <f t="shared" si="377"/>
        <v>FALSE</v>
      </c>
      <c r="AP3289" s="10" t="str">
        <f t="shared" si="377"/>
        <v>y=-0.0466*5.07^2+68.24*5.07-22.954</v>
      </c>
      <c r="AQ3289" s="10" t="b">
        <f>IF(AND(I3289="TP",S3289&lt;=150),VLOOKUP(AF3289,TPCalibEq150!$AZ$2:$BB$55,3,),IF(AND(I3289="TDP",S3289&lt;=150),VLOOKUP(AF3289,TPCalibEq150!$AZ$2:$BB$55,3,)))</f>
        <v>0</v>
      </c>
      <c r="AR3289" s="10" t="b">
        <f>IF(AND(I3289="TP",S3289&lt;=300),VLOOKUP(AF3289,TPCalibEq300!$AZ$2:$BB$55,3,),IF(AND(I3289="TDP",S3289&lt;=300),VLOOKUP(AF3289,TPCalibEq300!$AZ$2:$BB$55,3,)))</f>
        <v>0</v>
      </c>
      <c r="AS3289" s="10" t="str">
        <f>IF(AND(I3289="TP",S3289&lt;=500),VLOOKUP(AF3289,TPCalibEq500!$AZ$2:$BB$56,3,),IF(AND(I3289="TDP",S3289&lt;=500),VLOOKUP(AF3289,TPCalibEq500!$AZ$2:$BB$56,3,)))</f>
        <v>y=-1.4395x2+80.835x-35.016</v>
      </c>
      <c r="AT3289" s="10" t="b">
        <f>IF(AND(I3289="TN",S3289&lt;=2800),VLOOKUP(AF3289,TNCalibEq2500!$AZ$2:$BB$56,3,),IF(AND(I3289="TDN",S3289&lt;=2800),VLOOKUP(AF3289,TNCalibEq2500!$AZ$2:$BB$56,3,)))</f>
        <v>0</v>
      </c>
      <c r="AU3289" s="10" t="str">
        <f>IF(I3289="TP",VLOOKUP(AF3289,TPCalibEqFull!$AZ$2:$BB$56,3),IF(I3289="TDP",VLOOKUP(AF3289,TPCalibEqFull!$AZ$2:$BB$56,3),IF(I3289="TDN",VLOOKUP(AF3289,TNCalibEqFull!$AZ$1:$BB$56,3),IF(I3289="TN",VLOOKUP(AF3289,TNCalibEqFull!$AZ$1:$BB$56,3),FALSE))))</f>
        <v>y=-0.0466x2+68.24x-22.954</v>
      </c>
      <c r="AV3289" s="10" t="str">
        <f t="shared" si="375"/>
        <v>1017 09:00:00-QAC-STD-22A-1-DI-PER</v>
      </c>
    </row>
    <row r="3290" spans="1:48" s="10" customFormat="1" x14ac:dyDescent="0.55000000000000004">
      <c r="A3290" s="32">
        <v>44972</v>
      </c>
      <c r="B3290" s="33">
        <v>0.375</v>
      </c>
      <c r="C3290" s="10" t="s">
        <v>70</v>
      </c>
      <c r="D3290" s="10" t="s">
        <v>71</v>
      </c>
      <c r="E3290" s="10" t="s">
        <v>948</v>
      </c>
      <c r="F3290" s="10">
        <v>2</v>
      </c>
      <c r="G3290" s="10" t="s">
        <v>73</v>
      </c>
      <c r="H3290" s="10" t="s">
        <v>299</v>
      </c>
      <c r="I3290" s="10" t="s">
        <v>83</v>
      </c>
      <c r="J3290" s="10">
        <v>214</v>
      </c>
      <c r="K3290" s="12">
        <v>44972</v>
      </c>
      <c r="L3290" s="33">
        <v>0.55883101851851846</v>
      </c>
      <c r="M3290" s="10">
        <v>1</v>
      </c>
      <c r="N3290" s="10" t="s">
        <v>84</v>
      </c>
      <c r="O3290" s="10">
        <v>3.28</v>
      </c>
      <c r="P3290" s="10">
        <v>0.23899999999999999</v>
      </c>
      <c r="Q3290" s="10">
        <v>202</v>
      </c>
      <c r="R3290" s="10" t="s">
        <v>85</v>
      </c>
      <c r="S3290" s="34">
        <f t="shared" si="372"/>
        <v>218.65234784000003</v>
      </c>
      <c r="T3290" s="10" t="s">
        <v>1246</v>
      </c>
      <c r="U3290" s="34">
        <f t="shared" si="373"/>
        <v>66.258287224242423</v>
      </c>
      <c r="V3290" s="31">
        <f>IF(H3290="CHK",VLOOKUP(I3290,QCCHK,3,),IF(H3290="GUP",VLOOKUP(E3290,QCGUP,2,),IF(AND(H3290="ATP",OR(I3290="TN",I3290="TDN",I3290="TNO2-3",I3290="NO2-3")),VLOOKUP(E3290,QCREC_N,2,),IF(AND(H3290="NIC",OR(I3290="TN",I3290="TDN",I3290="TNO2-3",I3290="NO2-3")),VLOOKUP(E3290,QCNIC_N,2,),IF(AND(H3290="UREA",OR(I3290="TN",I3290="TDN",I3290="TNO2-3",I3290="NO2-3")),VLOOKUP(E3290,QCUREA_N,2,),IF(H3290="PER",VLOOKUP(I3290,QCPER,MATCH(E3290,QCACTUAL!$J$25:$AA$25,0),),IF(H3290="SPK",VLOOKUP(I3290,QCSPK,3,),IF(AND(H3290="ATP",OR(I3290="TP",I3290="TDP")),VLOOKUP(E3290,QCATP_P,2,),""))))))))</f>
        <v>330</v>
      </c>
      <c r="W3290" s="31" t="str">
        <f t="shared" si="374"/>
        <v>FALSE</v>
      </c>
      <c r="X3290" s="31" t="str">
        <f t="shared" si="371"/>
        <v>[per]/[actual]*100</v>
      </c>
      <c r="Y3290" s="10" t="s">
        <v>1232</v>
      </c>
      <c r="AF3290" s="12">
        <v>44972</v>
      </c>
      <c r="AH3290" s="10">
        <f>-3.4074*3.28^2+90.534*3.28-41.641</f>
        <v>218.65234784000003</v>
      </c>
      <c r="AI3290" s="10">
        <f>-1.4395*3.28^2+80.835*3.28-35.016</f>
        <v>214.63608319999994</v>
      </c>
      <c r="AK3290" s="10">
        <f>-0.0466*3.28^2+68.24*3.28-22.954</f>
        <v>200.37185855999996</v>
      </c>
      <c r="AL3290" s="10" t="str">
        <f t="shared" si="376"/>
        <v>FALSE</v>
      </c>
      <c r="AM3290" s="10" t="str">
        <f t="shared" si="376"/>
        <v>y=-3.4074*3.28^2+90.534*3.28-41.641</v>
      </c>
      <c r="AN3290" s="10" t="str">
        <f t="shared" si="376"/>
        <v>y=-1.4395*3.28^2+80.835*3.28-35.016</v>
      </c>
      <c r="AO3290" s="10" t="str">
        <f t="shared" si="377"/>
        <v>FALSE</v>
      </c>
      <c r="AP3290" s="10" t="str">
        <f t="shared" si="377"/>
        <v>y=-0.0466*3.28^2+68.24*3.28-22.954</v>
      </c>
      <c r="AQ3290" s="10" t="b">
        <f>IF(AND(I3290="TP",S3290&lt;=150),VLOOKUP(AF3290,TPCalibEq150!$AZ$2:$BB$55,3,),IF(AND(I3290="TDP",S3290&lt;=150),VLOOKUP(AF3290,TPCalibEq150!$AZ$2:$BB$55,3,)))</f>
        <v>0</v>
      </c>
      <c r="AR3290" s="10" t="str">
        <f>IF(AND(I3290="TP",S3290&lt;=300),VLOOKUP(AF3290,TPCalibEq300!$AZ$2:$BB$55,3,),IF(AND(I3290="TDP",S3290&lt;=300),VLOOKUP(AF3290,TPCalibEq300!$AZ$2:$BB$55,3,)))</f>
        <v>y=-3.4074x2+90.534x-41.641</v>
      </c>
      <c r="AS3290" s="10" t="str">
        <f>IF(AND(I3290="TP",S3290&lt;=500),VLOOKUP(AF3290,TPCalibEq500!$AZ$2:$BB$56,3,),IF(AND(I3290="TDP",S3290&lt;=500),VLOOKUP(AF3290,TPCalibEq500!$AZ$2:$BB$56,3,)))</f>
        <v>y=-1.4395x2+80.835x-35.016</v>
      </c>
      <c r="AT3290" s="10" t="b">
        <f>IF(AND(I3290="TN",S3290&lt;=2800),VLOOKUP(AF3290,TNCalibEq2500!$AZ$2:$BB$56,3,),IF(AND(I3290="TDN",S3290&lt;=2800),VLOOKUP(AF3290,TNCalibEq2500!$AZ$2:$BB$56,3,)))</f>
        <v>0</v>
      </c>
      <c r="AU3290" s="10" t="str">
        <f>IF(I3290="TP",VLOOKUP(AF3290,TPCalibEqFull!$AZ$2:$BB$56,3),IF(I3290="TDP",VLOOKUP(AF3290,TPCalibEqFull!$AZ$2:$BB$56,3),IF(I3290="TDN",VLOOKUP(AF3290,TNCalibEqFull!$AZ$1:$BB$56,3),IF(I3290="TN",VLOOKUP(AF3290,TNCalibEqFull!$AZ$1:$BB$56,3),FALSE))))</f>
        <v>y=-0.0466x2+68.24x-22.954</v>
      </c>
      <c r="AV3290" s="10" t="str">
        <f t="shared" si="375"/>
        <v>0215 09:00:00-QAC-STD-22A-2-DI-PER</v>
      </c>
    </row>
    <row r="3291" spans="1:48" s="10" customFormat="1" x14ac:dyDescent="0.55000000000000004">
      <c r="A3291" s="32">
        <v>44972</v>
      </c>
      <c r="B3291" s="33">
        <v>0.375</v>
      </c>
      <c r="C3291" s="10" t="s">
        <v>70</v>
      </c>
      <c r="D3291" s="10" t="s">
        <v>305</v>
      </c>
      <c r="E3291" s="10" t="s">
        <v>866</v>
      </c>
      <c r="F3291" s="10">
        <v>1</v>
      </c>
      <c r="G3291" s="10" t="s">
        <v>73</v>
      </c>
      <c r="H3291" s="10" t="s">
        <v>274</v>
      </c>
      <c r="I3291" s="10" t="s">
        <v>83</v>
      </c>
      <c r="J3291" s="10">
        <v>204</v>
      </c>
      <c r="K3291" s="12">
        <v>44972</v>
      </c>
      <c r="L3291" s="33">
        <v>0.55953703703703705</v>
      </c>
      <c r="M3291" s="10">
        <v>1</v>
      </c>
      <c r="N3291" s="10" t="s">
        <v>84</v>
      </c>
      <c r="O3291" s="10">
        <v>15.4</v>
      </c>
      <c r="P3291" s="10">
        <v>1.1100000000000001</v>
      </c>
      <c r="Q3291" s="10">
        <v>1020</v>
      </c>
      <c r="R3291" s="10" t="s">
        <v>85</v>
      </c>
      <c r="S3291" s="34">
        <f t="shared" si="372"/>
        <v>1020</v>
      </c>
      <c r="T3291" s="10" t="s">
        <v>1246</v>
      </c>
      <c r="U3291" s="34">
        <f t="shared" si="373"/>
        <v>102</v>
      </c>
      <c r="V3291" s="31">
        <f>IF(H3291="CHK",VLOOKUP(I3291,QCCHK,3,),IF(H3291="GUP",VLOOKUP(E3291,QCGUP,2,),IF(AND(H3291="ATP",OR(I3291="TN",I3291="TDN",I3291="TNO2-3",I3291="NO2-3")),VLOOKUP(E3291,QCREC_N,2,),IF(AND(H3291="NIC",OR(I3291="TN",I3291="TDN",I3291="TNO2-3",I3291="NO2-3")),VLOOKUP(E3291,QCNIC_N,2,),IF(AND(H3291="UREA",OR(I3291="TN",I3291="TDN",I3291="TNO2-3",I3291="NO2-3")),VLOOKUP(E3291,QCUREA_N,2,),IF(H3291="PER",VLOOKUP(I3291,QCPER,MATCH(E3291,QCACTUAL!$J$25:$AA$25,0),),IF(H3291="SPK",VLOOKUP(I3291,QCSPK,3,),IF(AND(H3291="ATP",OR(I3291="TP",I3291="TDP")),VLOOKUP(E3291,QCATP_P,2,),""))))))))</f>
        <v>1000</v>
      </c>
      <c r="W3291" s="31" t="str">
        <f t="shared" si="374"/>
        <v>TRUE</v>
      </c>
      <c r="X3291" s="31" t="str">
        <f t="shared" si="371"/>
        <v>[rec]/[actual]*100</v>
      </c>
      <c r="Y3291" s="10" t="s">
        <v>1232</v>
      </c>
      <c r="AF3291" s="12">
        <v>44972</v>
      </c>
      <c r="AK3291" s="10">
        <f>-0.0466*15.4^2+68.24*15.4-22.954</f>
        <v>1016.8903439999999</v>
      </c>
      <c r="AL3291" s="10" t="str">
        <f t="shared" si="376"/>
        <v>FALSE</v>
      </c>
      <c r="AM3291" s="10" t="str">
        <f t="shared" si="376"/>
        <v>FALSE</v>
      </c>
      <c r="AN3291" s="10" t="str">
        <f t="shared" si="376"/>
        <v>FALSE</v>
      </c>
      <c r="AO3291" s="10" t="str">
        <f t="shared" si="377"/>
        <v>FALSE</v>
      </c>
      <c r="AP3291" s="10" t="str">
        <f t="shared" si="377"/>
        <v>y=-0.0466*15.4^2+68.24*15.4-22.954</v>
      </c>
      <c r="AQ3291" s="10" t="b">
        <f>IF(AND(I3291="TP",S3291&lt;=150),VLOOKUP(AF3291,TPCalibEq150!$AZ$2:$BB$55,3,),IF(AND(I3291="TDP",S3291&lt;=150),VLOOKUP(AF3291,TPCalibEq150!$AZ$2:$BB$55,3,)))</f>
        <v>0</v>
      </c>
      <c r="AR3291" s="10" t="b">
        <f>IF(AND(I3291="TP",S3291&lt;=300),VLOOKUP(AF3291,TPCalibEq300!$AZ$2:$BB$55,3,),IF(AND(I3291="TDP",S3291&lt;=300),VLOOKUP(AF3291,TPCalibEq300!$AZ$2:$BB$55,3,)))</f>
        <v>0</v>
      </c>
      <c r="AS3291" s="10" t="b">
        <f>IF(AND(I3291="TP",S3291&lt;=500),VLOOKUP(AF3291,TPCalibEq500!$AZ$2:$BB$56,3,),IF(AND(I3291="TDP",S3291&lt;=500),VLOOKUP(AF3291,TPCalibEq500!$AZ$2:$BB$56,3,)))</f>
        <v>0</v>
      </c>
      <c r="AT3291" s="10" t="b">
        <f>IF(AND(I3291="TN",S3291&lt;=2800),VLOOKUP(AF3291,TNCalibEq2500!$AZ$2:$BB$56,3,),IF(AND(I3291="TDN",S3291&lt;=2800),VLOOKUP(AF3291,TNCalibEq2500!$AZ$2:$BB$56,3,)))</f>
        <v>0</v>
      </c>
      <c r="AU3291" s="10" t="str">
        <f>IF(I3291="TP",VLOOKUP(AF3291,TPCalibEqFull!$AZ$2:$BB$56,3),IF(I3291="TDP",VLOOKUP(AF3291,TPCalibEqFull!$AZ$2:$BB$56,3),IF(I3291="TDN",VLOOKUP(AF3291,TNCalibEqFull!$AZ$1:$BB$56,3),IF(I3291="TN",VLOOKUP(AF3291,TNCalibEqFull!$AZ$1:$BB$56,3),FALSE))))</f>
        <v>y=-0.0466x2+68.24x-22.954</v>
      </c>
      <c r="AV3291" s="10" t="str">
        <f t="shared" si="375"/>
        <v>0215 09:00:00-QAC-REC-A-1-DI-GUP</v>
      </c>
    </row>
    <row r="3292" spans="1:48" s="10" customFormat="1" x14ac:dyDescent="0.55000000000000004">
      <c r="A3292" s="32">
        <v>44972</v>
      </c>
      <c r="B3292" s="33">
        <v>0.375</v>
      </c>
      <c r="C3292" s="10" t="s">
        <v>70</v>
      </c>
      <c r="D3292" s="10" t="s">
        <v>305</v>
      </c>
      <c r="E3292" s="10" t="s">
        <v>583</v>
      </c>
      <c r="F3292" s="10">
        <v>1</v>
      </c>
      <c r="G3292" s="10" t="s">
        <v>73</v>
      </c>
      <c r="H3292" s="10" t="s">
        <v>274</v>
      </c>
      <c r="I3292" s="10" t="s">
        <v>83</v>
      </c>
      <c r="J3292" s="10">
        <v>205</v>
      </c>
      <c r="K3292" s="12">
        <v>44972</v>
      </c>
      <c r="L3292" s="33">
        <v>0.5602314814814815</v>
      </c>
      <c r="M3292" s="10">
        <v>1</v>
      </c>
      <c r="N3292" s="10" t="s">
        <v>84</v>
      </c>
      <c r="O3292" s="10">
        <v>3.3</v>
      </c>
      <c r="P3292" s="10">
        <v>0.23899999999999999</v>
      </c>
      <c r="Q3292" s="10">
        <v>203</v>
      </c>
      <c r="R3292" s="10" t="s">
        <v>85</v>
      </c>
      <c r="S3292" s="34">
        <f t="shared" si="372"/>
        <v>220.01461400000002</v>
      </c>
      <c r="T3292" s="10" t="s">
        <v>1246</v>
      </c>
      <c r="U3292" s="34">
        <f t="shared" si="373"/>
        <v>110.00730700000001</v>
      </c>
      <c r="V3292" s="31">
        <f>IF(H3292="CHK",VLOOKUP(I3292,QCCHK,3,),IF(H3292="GUP",VLOOKUP(E3292,QCGUP,2,),IF(AND(H3292="ATP",OR(I3292="TN",I3292="TDN",I3292="TNO2-3",I3292="NO2-3")),VLOOKUP(E3292,QCREC_N,2,),IF(AND(H3292="NIC",OR(I3292="TN",I3292="TDN",I3292="TNO2-3",I3292="NO2-3")),VLOOKUP(E3292,QCNIC_N,2,),IF(AND(H3292="UREA",OR(I3292="TN",I3292="TDN",I3292="TNO2-3",I3292="NO2-3")),VLOOKUP(E3292,QCUREA_N,2,),IF(H3292="PER",VLOOKUP(I3292,QCPER,MATCH(E3292,QCACTUAL!$J$25:$AA$25,0),),IF(H3292="SPK",VLOOKUP(I3292,QCSPK,3,),IF(AND(H3292="ATP",OR(I3292="TP",I3292="TDP")),VLOOKUP(E3292,QCATP_P,2,),""))))))))</f>
        <v>200</v>
      </c>
      <c r="W3292" s="31" t="str">
        <f t="shared" si="374"/>
        <v>TRUE</v>
      </c>
      <c r="X3292" s="31" t="str">
        <f t="shared" si="371"/>
        <v>[rec]/[actual]*100</v>
      </c>
      <c r="Y3292" s="10" t="s">
        <v>1232</v>
      </c>
      <c r="AF3292" s="12">
        <v>44972</v>
      </c>
      <c r="AH3292" s="10">
        <f>-3.4074*3.3^2+90.534*3.3-41.641</f>
        <v>220.01461400000002</v>
      </c>
      <c r="AI3292" s="10">
        <f>-1.4395*3.3^2+80.835*3.3-35.016</f>
        <v>216.063345</v>
      </c>
      <c r="AK3292" s="10">
        <f>-0.0466*3.3^2+68.24*3.3-22.954</f>
        <v>201.73052599999997</v>
      </c>
      <c r="AL3292" s="10" t="str">
        <f t="shared" si="376"/>
        <v>FALSE</v>
      </c>
      <c r="AM3292" s="10" t="str">
        <f t="shared" si="376"/>
        <v>y=-3.4074*3.3^2+90.534*3.3-41.641</v>
      </c>
      <c r="AN3292" s="10" t="str">
        <f t="shared" si="376"/>
        <v>y=-1.4395*3.3^2+80.835*3.3-35.016</v>
      </c>
      <c r="AO3292" s="10" t="str">
        <f t="shared" si="377"/>
        <v>FALSE</v>
      </c>
      <c r="AP3292" s="10" t="str">
        <f t="shared" si="377"/>
        <v>y=-0.0466*3.3^2+68.24*3.3-22.954</v>
      </c>
      <c r="AQ3292" s="10" t="b">
        <f>IF(AND(I3292="TP",S3292&lt;=150),VLOOKUP(AF3292,TPCalibEq150!$AZ$2:$BB$55,3,),IF(AND(I3292="TDP",S3292&lt;=150),VLOOKUP(AF3292,TPCalibEq150!$AZ$2:$BB$55,3,)))</f>
        <v>0</v>
      </c>
      <c r="AR3292" s="10" t="str">
        <f>IF(AND(I3292="TP",S3292&lt;=300),VLOOKUP(AF3292,TPCalibEq300!$AZ$2:$BB$55,3,),IF(AND(I3292="TDP",S3292&lt;=300),VLOOKUP(AF3292,TPCalibEq300!$AZ$2:$BB$55,3,)))</f>
        <v>y=-3.4074x2+90.534x-41.641</v>
      </c>
      <c r="AS3292" s="10" t="str">
        <f>IF(AND(I3292="TP",S3292&lt;=500),VLOOKUP(AF3292,TPCalibEq500!$AZ$2:$BB$56,3,),IF(AND(I3292="TDP",S3292&lt;=500),VLOOKUP(AF3292,TPCalibEq500!$AZ$2:$BB$56,3,)))</f>
        <v>y=-1.4395x2+80.835x-35.016</v>
      </c>
      <c r="AT3292" s="10" t="b">
        <f>IF(AND(I3292="TN",S3292&lt;=2800),VLOOKUP(AF3292,TNCalibEq2500!$AZ$2:$BB$56,3,),IF(AND(I3292="TDN",S3292&lt;=2800),VLOOKUP(AF3292,TNCalibEq2500!$AZ$2:$BB$56,3,)))</f>
        <v>0</v>
      </c>
      <c r="AU3292" s="10" t="str">
        <f>IF(I3292="TP",VLOOKUP(AF3292,TPCalibEqFull!$AZ$2:$BB$56,3),IF(I3292="TDP",VLOOKUP(AF3292,TPCalibEqFull!$AZ$2:$BB$56,3),IF(I3292="TDN",VLOOKUP(AF3292,TNCalibEqFull!$AZ$1:$BB$56,3),IF(I3292="TN",VLOOKUP(AF3292,TNCalibEqFull!$AZ$1:$BB$56,3),FALSE))))</f>
        <v>y=-0.0466x2+68.24x-22.954</v>
      </c>
      <c r="AV3292" s="10" t="str">
        <f t="shared" si="375"/>
        <v>0215 09:00:00-QAC-REC-B-1-DI-GUP</v>
      </c>
    </row>
    <row r="3293" spans="1:48" s="10" customFormat="1" x14ac:dyDescent="0.55000000000000004">
      <c r="A3293" s="32">
        <v>44972</v>
      </c>
      <c r="B3293" s="33">
        <v>0.375</v>
      </c>
      <c r="C3293" s="10" t="s">
        <v>70</v>
      </c>
      <c r="D3293" s="10" t="s">
        <v>305</v>
      </c>
      <c r="E3293" s="10" t="s">
        <v>190</v>
      </c>
      <c r="F3293" s="10">
        <v>1</v>
      </c>
      <c r="G3293" s="10" t="s">
        <v>73</v>
      </c>
      <c r="H3293" s="10" t="s">
        <v>274</v>
      </c>
      <c r="I3293" s="10" t="s">
        <v>83</v>
      </c>
      <c r="J3293" s="10">
        <v>206</v>
      </c>
      <c r="K3293" s="12">
        <v>44972</v>
      </c>
      <c r="L3293" s="33">
        <v>0.56092592592592594</v>
      </c>
      <c r="M3293" s="10">
        <v>1</v>
      </c>
      <c r="N3293" s="10" t="s">
        <v>84</v>
      </c>
      <c r="O3293" s="10">
        <v>1.79</v>
      </c>
      <c r="P3293" s="10">
        <v>0.128</v>
      </c>
      <c r="Q3293" s="10">
        <v>100</v>
      </c>
      <c r="R3293" s="10" t="s">
        <v>85</v>
      </c>
      <c r="S3293" s="34">
        <f t="shared" si="372"/>
        <v>111.34247875999999</v>
      </c>
      <c r="T3293" s="10" t="s">
        <v>1246</v>
      </c>
      <c r="U3293" s="34">
        <f t="shared" si="373"/>
        <v>111.34247875999999</v>
      </c>
      <c r="V3293" s="31">
        <f>IF(H3293="CHK",VLOOKUP(I3293,QCCHK,3,),IF(H3293="GUP",VLOOKUP(E3293,QCGUP,2,),IF(AND(H3293="ATP",OR(I3293="TN",I3293="TDN",I3293="TNO2-3",I3293="NO2-3")),VLOOKUP(E3293,QCREC_N,2,),IF(AND(H3293="NIC",OR(I3293="TN",I3293="TDN",I3293="TNO2-3",I3293="NO2-3")),VLOOKUP(E3293,QCNIC_N,2,),IF(AND(H3293="UREA",OR(I3293="TN",I3293="TDN",I3293="TNO2-3",I3293="NO2-3")),VLOOKUP(E3293,QCUREA_N,2,),IF(H3293="PER",VLOOKUP(I3293,QCPER,MATCH(E3293,QCACTUAL!$J$25:$AA$25,0),),IF(H3293="SPK",VLOOKUP(I3293,QCSPK,3,),IF(AND(H3293="ATP",OR(I3293="TP",I3293="TDP")),VLOOKUP(E3293,QCATP_P,2,),""))))))))</f>
        <v>100</v>
      </c>
      <c r="W3293" s="31" t="str">
        <f t="shared" si="374"/>
        <v>TRUE</v>
      </c>
      <c r="X3293" s="31" t="str">
        <f t="shared" si="371"/>
        <v>[rec]/[actual]*100</v>
      </c>
      <c r="Y3293" s="10" t="s">
        <v>1232</v>
      </c>
      <c r="AF3293" s="12">
        <v>44972</v>
      </c>
      <c r="AG3293" s="10">
        <f>-8.1564*1.79^2+103.56*1.79-47.896</f>
        <v>111.34247875999999</v>
      </c>
      <c r="AH3293" s="10">
        <f>-3.4074*1.79^2+90.534*1.79-41.641</f>
        <v>109.49720966000004</v>
      </c>
      <c r="AI3293" s="10">
        <f>-1.4395*1.79^2+80.835*1.79-35.016</f>
        <v>105.06634805000002</v>
      </c>
      <c r="AK3293" s="10">
        <f>-0.0466*1.79^2+68.24*1.79-22.954</f>
        <v>99.046288939999982</v>
      </c>
      <c r="AL3293" s="10" t="str">
        <f t="shared" si="376"/>
        <v>y=-8.1564*1.79^2+103.56*1.79-47.896</v>
      </c>
      <c r="AM3293" s="10" t="str">
        <f t="shared" si="376"/>
        <v>y=-3.4074*1.79^2+90.534*1.79-41.641</v>
      </c>
      <c r="AN3293" s="10" t="str">
        <f t="shared" si="376"/>
        <v>y=-1.4395*1.79^2+80.835*1.79-35.016</v>
      </c>
      <c r="AO3293" s="10" t="str">
        <f t="shared" si="377"/>
        <v>FALSE</v>
      </c>
      <c r="AP3293" s="10" t="str">
        <f t="shared" si="377"/>
        <v>y=-0.0466*1.79^2+68.24*1.79-22.954</v>
      </c>
      <c r="AQ3293" s="10" t="str">
        <f>IF(AND(I3293="TP",S3293&lt;=150),VLOOKUP(AF3293,TPCalibEq150!$AZ$2:$BB$55,3,),IF(AND(I3293="TDP",S3293&lt;=150),VLOOKUP(AF3293,TPCalibEq150!$AZ$2:$BB$55,3,)))</f>
        <v>y=-8.1564x2+103.56x-47.896</v>
      </c>
      <c r="AR3293" s="10" t="str">
        <f>IF(AND(I3293="TP",S3293&lt;=300),VLOOKUP(AF3293,TPCalibEq300!$AZ$2:$BB$55,3,),IF(AND(I3293="TDP",S3293&lt;=300),VLOOKUP(AF3293,TPCalibEq300!$AZ$2:$BB$55,3,)))</f>
        <v>y=-3.4074x2+90.534x-41.641</v>
      </c>
      <c r="AS3293" s="10" t="str">
        <f>IF(AND(I3293="TP",S3293&lt;=500),VLOOKUP(AF3293,TPCalibEq500!$AZ$2:$BB$56,3,),IF(AND(I3293="TDP",S3293&lt;=500),VLOOKUP(AF3293,TPCalibEq500!$AZ$2:$BB$56,3,)))</f>
        <v>y=-1.4395x2+80.835x-35.016</v>
      </c>
      <c r="AT3293" s="10" t="b">
        <f>IF(AND(I3293="TN",S3293&lt;=2800),VLOOKUP(AF3293,TNCalibEq2500!$AZ$2:$BB$56,3,),IF(AND(I3293="TDN",S3293&lt;=2800),VLOOKUP(AF3293,TNCalibEq2500!$AZ$2:$BB$56,3,)))</f>
        <v>0</v>
      </c>
      <c r="AU3293" s="10" t="str">
        <f>IF(I3293="TP",VLOOKUP(AF3293,TPCalibEqFull!$AZ$2:$BB$56,3),IF(I3293="TDP",VLOOKUP(AF3293,TPCalibEqFull!$AZ$2:$BB$56,3),IF(I3293="TDN",VLOOKUP(AF3293,TNCalibEqFull!$AZ$1:$BB$56,3),IF(I3293="TN",VLOOKUP(AF3293,TNCalibEqFull!$AZ$1:$BB$56,3),FALSE))))</f>
        <v>y=-0.0466x2+68.24x-22.954</v>
      </c>
      <c r="AV3293" s="10" t="str">
        <f t="shared" si="375"/>
        <v>0215 09:00:00-QAC-REC-C-1-DI-GUP</v>
      </c>
    </row>
    <row r="3294" spans="1:48" s="10" customFormat="1" x14ac:dyDescent="0.55000000000000004">
      <c r="A3294" s="32">
        <v>44972</v>
      </c>
      <c r="B3294" s="33">
        <v>0.375</v>
      </c>
      <c r="C3294" s="10" t="s">
        <v>70</v>
      </c>
      <c r="D3294" s="10" t="s">
        <v>305</v>
      </c>
      <c r="E3294" s="10" t="s">
        <v>866</v>
      </c>
      <c r="F3294" s="10">
        <v>1</v>
      </c>
      <c r="G3294" s="10" t="s">
        <v>73</v>
      </c>
      <c r="H3294" s="10" t="s">
        <v>181</v>
      </c>
      <c r="I3294" s="10" t="s">
        <v>83</v>
      </c>
      <c r="J3294" s="10">
        <v>207</v>
      </c>
      <c r="K3294" s="12">
        <v>44972</v>
      </c>
      <c r="L3294" s="33">
        <v>0.56163194444444442</v>
      </c>
      <c r="M3294" s="10">
        <v>1</v>
      </c>
      <c r="N3294" s="10" t="s">
        <v>84</v>
      </c>
      <c r="O3294" s="10">
        <v>18.399999999999999</v>
      </c>
      <c r="P3294" s="10">
        <v>1.33</v>
      </c>
      <c r="Q3294" s="10">
        <v>1220</v>
      </c>
      <c r="R3294" s="10" t="s">
        <v>85</v>
      </c>
      <c r="S3294" s="34">
        <f t="shared" si="372"/>
        <v>1220</v>
      </c>
      <c r="T3294" s="10" t="s">
        <v>1246</v>
      </c>
      <c r="U3294" s="34">
        <f t="shared" si="373"/>
        <v>91.522880720180041</v>
      </c>
      <c r="V3294" s="31">
        <f>IF(H3294="CHK",VLOOKUP(I3294,QCCHK,3,),IF(H3294="GUP",VLOOKUP(E3294,QCGUP,2,),IF(AND(H3294="ATP",OR(I3294="TN",I3294="TDN",I3294="TNO2-3",I3294="NO2-3")),VLOOKUP(E3294,QCREC_N,2,),IF(AND(H3294="NIC",OR(I3294="TN",I3294="TDN",I3294="TNO2-3",I3294="NO2-3")),VLOOKUP(E3294,QCNIC_N,2,),IF(AND(H3294="UREA",OR(I3294="TN",I3294="TDN",I3294="TNO2-3",I3294="NO2-3")),VLOOKUP(E3294,QCUREA_N,2,),IF(H3294="PER",VLOOKUP(I3294,QCPER,MATCH(E3294,QCACTUAL!$J$25:$AA$25,0),),IF(H3294="SPK",VLOOKUP(I3294,QCSPK,3,),IF(AND(H3294="ATP",OR(I3294="TP",I3294="TDP")),VLOOKUP(E3294,QCATP_P,2,),""))))))))</f>
        <v>1333</v>
      </c>
      <c r="W3294" s="31" t="str">
        <f t="shared" si="374"/>
        <v>TRUE</v>
      </c>
      <c r="X3294" s="31" t="str">
        <f t="shared" si="371"/>
        <v>[rec]/[actual]*100</v>
      </c>
      <c r="Y3294" s="10" t="s">
        <v>1232</v>
      </c>
      <c r="AF3294" s="12">
        <v>44972</v>
      </c>
      <c r="AK3294" s="10">
        <f>-0.0466*18.4^2+68.24*18.4-22.954</f>
        <v>1216.8851039999997</v>
      </c>
      <c r="AL3294" s="10" t="str">
        <f t="shared" si="376"/>
        <v>FALSE</v>
      </c>
      <c r="AM3294" s="10" t="str">
        <f t="shared" si="376"/>
        <v>FALSE</v>
      </c>
      <c r="AN3294" s="10" t="str">
        <f t="shared" si="376"/>
        <v>FALSE</v>
      </c>
      <c r="AO3294" s="10" t="str">
        <f t="shared" si="377"/>
        <v>FALSE</v>
      </c>
      <c r="AP3294" s="10" t="str">
        <f t="shared" si="377"/>
        <v>y=-0.0466*18.4^2+68.24*18.4-22.954</v>
      </c>
      <c r="AQ3294" s="10" t="b">
        <f>IF(AND(I3294="TP",S3294&lt;=150),VLOOKUP(AF3294,TPCalibEq150!$AZ$2:$BB$55,3,),IF(AND(I3294="TDP",S3294&lt;=150),VLOOKUP(AF3294,TPCalibEq150!$AZ$2:$BB$55,3,)))</f>
        <v>0</v>
      </c>
      <c r="AR3294" s="10" t="b">
        <f>IF(AND(I3294="TP",S3294&lt;=300),VLOOKUP(AF3294,TPCalibEq300!$AZ$2:$BB$55,3,),IF(AND(I3294="TDP",S3294&lt;=300),VLOOKUP(AF3294,TPCalibEq300!$AZ$2:$BB$55,3,)))</f>
        <v>0</v>
      </c>
      <c r="AS3294" s="10" t="b">
        <f>IF(AND(I3294="TP",S3294&lt;=500),VLOOKUP(AF3294,TPCalibEq500!$AZ$2:$BB$56,3,),IF(AND(I3294="TDP",S3294&lt;=500),VLOOKUP(AF3294,TPCalibEq500!$AZ$2:$BB$56,3,)))</f>
        <v>0</v>
      </c>
      <c r="AT3294" s="10" t="b">
        <f>IF(AND(I3294="TN",S3294&lt;=2800),VLOOKUP(AF3294,TNCalibEq2500!$AZ$2:$BB$56,3,),IF(AND(I3294="TDN",S3294&lt;=2800),VLOOKUP(AF3294,TNCalibEq2500!$AZ$2:$BB$56,3,)))</f>
        <v>0</v>
      </c>
      <c r="AU3294" s="10" t="str">
        <f>IF(I3294="TP",VLOOKUP(AF3294,TPCalibEqFull!$AZ$2:$BB$56,3),IF(I3294="TDP",VLOOKUP(AF3294,TPCalibEqFull!$AZ$2:$BB$56,3),IF(I3294="TDN",VLOOKUP(AF3294,TNCalibEqFull!$AZ$1:$BB$56,3),IF(I3294="TN",VLOOKUP(AF3294,TNCalibEqFull!$AZ$1:$BB$56,3),FALSE))))</f>
        <v>y=-0.0466x2+68.24x-22.954</v>
      </c>
      <c r="AV3294" s="10" t="str">
        <f t="shared" si="375"/>
        <v>0215 09:00:00-QAC-REC-A-1-DI-ATP</v>
      </c>
    </row>
    <row r="3295" spans="1:48" s="10" customFormat="1" x14ac:dyDescent="0.55000000000000004">
      <c r="A3295" s="32">
        <v>44972</v>
      </c>
      <c r="B3295" s="33">
        <v>0.375</v>
      </c>
      <c r="C3295" s="10" t="s">
        <v>70</v>
      </c>
      <c r="D3295" s="10" t="s">
        <v>305</v>
      </c>
      <c r="E3295" s="10" t="s">
        <v>583</v>
      </c>
      <c r="F3295" s="10">
        <v>1</v>
      </c>
      <c r="G3295" s="10" t="s">
        <v>73</v>
      </c>
      <c r="H3295" s="10" t="s">
        <v>181</v>
      </c>
      <c r="I3295" s="10" t="s">
        <v>83</v>
      </c>
      <c r="J3295" s="10">
        <v>208</v>
      </c>
      <c r="K3295" s="12">
        <v>44972</v>
      </c>
      <c r="L3295" s="33">
        <v>0.56232638888888886</v>
      </c>
      <c r="M3295" s="10">
        <v>1</v>
      </c>
      <c r="N3295" s="10" t="s">
        <v>84</v>
      </c>
      <c r="O3295" s="10">
        <v>4.1100000000000003</v>
      </c>
      <c r="P3295" s="10">
        <v>0.30099999999999999</v>
      </c>
      <c r="Q3295" s="10">
        <v>259</v>
      </c>
      <c r="R3295" s="10" t="s">
        <v>85</v>
      </c>
      <c r="S3295" s="34">
        <f t="shared" si="372"/>
        <v>272.89967204999999</v>
      </c>
      <c r="T3295" s="10" t="s">
        <v>1246</v>
      </c>
      <c r="U3295" s="34">
        <f t="shared" si="373"/>
        <v>102.59386167293232</v>
      </c>
      <c r="V3295" s="31">
        <f>IF(H3295="CHK",VLOOKUP(I3295,QCCHK,3,),IF(H3295="GUP",VLOOKUP(E3295,QCGUP,2,),IF(AND(H3295="ATP",OR(I3295="TN",I3295="TDN",I3295="TNO2-3",I3295="NO2-3")),VLOOKUP(E3295,QCREC_N,2,),IF(AND(H3295="NIC",OR(I3295="TN",I3295="TDN",I3295="TNO2-3",I3295="NO2-3")),VLOOKUP(E3295,QCNIC_N,2,),IF(AND(H3295="UREA",OR(I3295="TN",I3295="TDN",I3295="TNO2-3",I3295="NO2-3")),VLOOKUP(E3295,QCUREA_N,2,),IF(H3295="PER",VLOOKUP(I3295,QCPER,MATCH(E3295,QCACTUAL!$J$25:$AA$25,0),),IF(H3295="SPK",VLOOKUP(I3295,QCSPK,3,),IF(AND(H3295="ATP",OR(I3295="TP",I3295="TDP")),VLOOKUP(E3295,QCATP_P,2,),""))))))))</f>
        <v>266</v>
      </c>
      <c r="W3295" s="31" t="str">
        <f t="shared" si="374"/>
        <v>TRUE</v>
      </c>
      <c r="X3295" s="31" t="str">
        <f t="shared" si="371"/>
        <v>[rec]/[actual]*100</v>
      </c>
      <c r="Y3295" s="10" t="s">
        <v>1232</v>
      </c>
      <c r="AF3295" s="12">
        <v>44972</v>
      </c>
      <c r="AH3295" s="10">
        <f>-3.4074*4.11^2+90.534*4.11-41.641</f>
        <v>272.89559846000003</v>
      </c>
      <c r="AI3295" s="10">
        <f>-1.4395*4.11^2+80.835*4.11-35.016</f>
        <v>272.89967204999999</v>
      </c>
      <c r="AK3295" s="10">
        <f>-0.0466*4.11^2+68.24*4.11-22.954</f>
        <v>256.72522814000001</v>
      </c>
      <c r="AL3295" s="10" t="str">
        <f t="shared" si="376"/>
        <v>FALSE</v>
      </c>
      <c r="AM3295" s="10" t="str">
        <f t="shared" si="376"/>
        <v>y=-3.4074*4.11^2+90.534*4.11-41.641</v>
      </c>
      <c r="AN3295" s="10" t="str">
        <f t="shared" si="376"/>
        <v>y=-1.4395*4.11^2+80.835*4.11-35.016</v>
      </c>
      <c r="AO3295" s="10" t="str">
        <f t="shared" si="377"/>
        <v>FALSE</v>
      </c>
      <c r="AP3295" s="10" t="str">
        <f t="shared" si="377"/>
        <v>y=-0.0466*4.11^2+68.24*4.11-22.954</v>
      </c>
      <c r="AQ3295" s="10" t="b">
        <f>IF(AND(I3295="TP",S3295&lt;=150),VLOOKUP(AF3295,TPCalibEq150!$AZ$2:$BB$55,3,),IF(AND(I3295="TDP",S3295&lt;=150),VLOOKUP(AF3295,TPCalibEq150!$AZ$2:$BB$55,3,)))</f>
        <v>0</v>
      </c>
      <c r="AR3295" s="10" t="str">
        <f>IF(AND(I3295="TP",S3295&lt;=300),VLOOKUP(AF3295,TPCalibEq300!$AZ$2:$BB$55,3,),IF(AND(I3295="TDP",S3295&lt;=300),VLOOKUP(AF3295,TPCalibEq300!$AZ$2:$BB$55,3,)))</f>
        <v>y=-3.4074x2+90.534x-41.641</v>
      </c>
      <c r="AS3295" s="10" t="str">
        <f>IF(AND(I3295="TP",S3295&lt;=500),VLOOKUP(AF3295,TPCalibEq500!$AZ$2:$BB$56,3,),IF(AND(I3295="TDP",S3295&lt;=500),VLOOKUP(AF3295,TPCalibEq500!$AZ$2:$BB$56,3,)))</f>
        <v>y=-1.4395x2+80.835x-35.016</v>
      </c>
      <c r="AT3295" s="10" t="b">
        <f>IF(AND(I3295="TN",S3295&lt;=2800),VLOOKUP(AF3295,TNCalibEq2500!$AZ$2:$BB$56,3,),IF(AND(I3295="TDN",S3295&lt;=2800),VLOOKUP(AF3295,TNCalibEq2500!$AZ$2:$BB$56,3,)))</f>
        <v>0</v>
      </c>
      <c r="AU3295" s="10" t="str">
        <f>IF(I3295="TP",VLOOKUP(AF3295,TPCalibEqFull!$AZ$2:$BB$56,3),IF(I3295="TDP",VLOOKUP(AF3295,TPCalibEqFull!$AZ$2:$BB$56,3),IF(I3295="TDN",VLOOKUP(AF3295,TNCalibEqFull!$AZ$1:$BB$56,3),IF(I3295="TN",VLOOKUP(AF3295,TNCalibEqFull!$AZ$1:$BB$56,3),FALSE))))</f>
        <v>y=-0.0466x2+68.24x-22.954</v>
      </c>
      <c r="AV3295" s="10" t="str">
        <f t="shared" si="375"/>
        <v>0215 09:00:00-QAC-REC-B-1-DI-ATP</v>
      </c>
    </row>
    <row r="3296" spans="1:48" s="10" customFormat="1" x14ac:dyDescent="0.55000000000000004">
      <c r="A3296" s="32">
        <v>44972</v>
      </c>
      <c r="B3296" s="33">
        <v>0.375</v>
      </c>
      <c r="C3296" s="10" t="s">
        <v>70</v>
      </c>
      <c r="D3296" s="10" t="s">
        <v>305</v>
      </c>
      <c r="E3296" s="10" t="s">
        <v>190</v>
      </c>
      <c r="F3296" s="10">
        <v>1</v>
      </c>
      <c r="G3296" s="10" t="s">
        <v>73</v>
      </c>
      <c r="H3296" s="10" t="s">
        <v>181</v>
      </c>
      <c r="I3296" s="10" t="s">
        <v>83</v>
      </c>
      <c r="J3296" s="10">
        <v>209</v>
      </c>
      <c r="K3296" s="12">
        <v>44972</v>
      </c>
      <c r="L3296" s="33">
        <v>0.56303240740740745</v>
      </c>
      <c r="M3296" s="10">
        <v>1</v>
      </c>
      <c r="N3296" s="10" t="s">
        <v>84</v>
      </c>
      <c r="O3296" s="10">
        <v>2.04</v>
      </c>
      <c r="P3296" s="10">
        <v>0.14499999999999999</v>
      </c>
      <c r="Q3296" s="10">
        <v>117</v>
      </c>
      <c r="R3296" s="10" t="s">
        <v>85</v>
      </c>
      <c r="S3296" s="34">
        <f t="shared" si="372"/>
        <v>129.42272575999999</v>
      </c>
      <c r="T3296" s="10" t="s">
        <v>1246</v>
      </c>
      <c r="U3296" s="34">
        <f t="shared" si="373"/>
        <v>97.310320120300744</v>
      </c>
      <c r="V3296" s="31">
        <f>IF(H3296="CHK",VLOOKUP(I3296,QCCHK,3,),IF(H3296="GUP",VLOOKUP(E3296,QCGUP,2,),IF(AND(H3296="ATP",OR(I3296="TN",I3296="TDN",I3296="TNO2-3",I3296="NO2-3")),VLOOKUP(E3296,QCREC_N,2,),IF(AND(H3296="NIC",OR(I3296="TN",I3296="TDN",I3296="TNO2-3",I3296="NO2-3")),VLOOKUP(E3296,QCNIC_N,2,),IF(AND(H3296="UREA",OR(I3296="TN",I3296="TDN",I3296="TNO2-3",I3296="NO2-3")),VLOOKUP(E3296,QCUREA_N,2,),IF(H3296="PER",VLOOKUP(I3296,QCPER,MATCH(E3296,QCACTUAL!$J$25:$AA$25,0),),IF(H3296="SPK",VLOOKUP(I3296,QCSPK,3,),IF(AND(H3296="ATP",OR(I3296="TP",I3296="TDP")),VLOOKUP(E3296,QCATP_P,2,),""))))))))</f>
        <v>133</v>
      </c>
      <c r="W3296" s="31" t="str">
        <f t="shared" si="374"/>
        <v>TRUE</v>
      </c>
      <c r="X3296" s="31" t="str">
        <f t="shared" si="371"/>
        <v>[rec]/[actual]*100</v>
      </c>
      <c r="Y3296" s="10" t="s">
        <v>1232</v>
      </c>
      <c r="AF3296" s="12">
        <v>44972</v>
      </c>
      <c r="AG3296" s="10">
        <f>-8.1564*2.04^2+103.56*2.04-47.896</f>
        <v>129.42272575999999</v>
      </c>
      <c r="AH3296" s="10">
        <f>-3.4074*2.04^2+90.534*2.04-41.641</f>
        <v>128.86812416000004</v>
      </c>
      <c r="AI3296" s="10">
        <f>-1.4395*2.04^2+80.835*2.04-35.016</f>
        <v>123.8967768</v>
      </c>
      <c r="AK3296" s="10">
        <f>-0.0466*2.04^2+68.24*2.04-22.954</f>
        <v>116.06166943999997</v>
      </c>
      <c r="AL3296" s="10" t="str">
        <f t="shared" si="376"/>
        <v>y=-8.1564*2.04^2+103.56*2.04-47.896</v>
      </c>
      <c r="AM3296" s="10" t="str">
        <f t="shared" si="376"/>
        <v>y=-3.4074*2.04^2+90.534*2.04-41.641</v>
      </c>
      <c r="AN3296" s="10" t="str">
        <f t="shared" si="376"/>
        <v>y=-1.4395*2.04^2+80.835*2.04-35.016</v>
      </c>
      <c r="AO3296" s="10" t="str">
        <f t="shared" si="377"/>
        <v>FALSE</v>
      </c>
      <c r="AP3296" s="10" t="str">
        <f t="shared" si="377"/>
        <v>y=-0.0466*2.04^2+68.24*2.04-22.954</v>
      </c>
      <c r="AQ3296" s="10" t="str">
        <f>IF(AND(I3296="TP",S3296&lt;=150),VLOOKUP(AF3296,TPCalibEq150!$AZ$2:$BB$55,3,),IF(AND(I3296="TDP",S3296&lt;=150),VLOOKUP(AF3296,TPCalibEq150!$AZ$2:$BB$55,3,)))</f>
        <v>y=-8.1564x2+103.56x-47.896</v>
      </c>
      <c r="AR3296" s="10" t="str">
        <f>IF(AND(I3296="TP",S3296&lt;=300),VLOOKUP(AF3296,TPCalibEq300!$AZ$2:$BB$55,3,),IF(AND(I3296="TDP",S3296&lt;=300),VLOOKUP(AF3296,TPCalibEq300!$AZ$2:$BB$55,3,)))</f>
        <v>y=-3.4074x2+90.534x-41.641</v>
      </c>
      <c r="AS3296" s="10" t="str">
        <f>IF(AND(I3296="TP",S3296&lt;=500),VLOOKUP(AF3296,TPCalibEq500!$AZ$2:$BB$56,3,),IF(AND(I3296="TDP",S3296&lt;=500),VLOOKUP(AF3296,TPCalibEq500!$AZ$2:$BB$56,3,)))</f>
        <v>y=-1.4395x2+80.835x-35.016</v>
      </c>
      <c r="AT3296" s="10" t="b">
        <f>IF(AND(I3296="TN",S3296&lt;=2800),VLOOKUP(AF3296,TNCalibEq2500!$AZ$2:$BB$56,3,),IF(AND(I3296="TDN",S3296&lt;=2800),VLOOKUP(AF3296,TNCalibEq2500!$AZ$2:$BB$56,3,)))</f>
        <v>0</v>
      </c>
      <c r="AU3296" s="10" t="str">
        <f>IF(I3296="TP",VLOOKUP(AF3296,TPCalibEqFull!$AZ$2:$BB$56,3),IF(I3296="TDP",VLOOKUP(AF3296,TPCalibEqFull!$AZ$2:$BB$56,3),IF(I3296="TDN",VLOOKUP(AF3296,TNCalibEqFull!$AZ$1:$BB$56,3),IF(I3296="TN",VLOOKUP(AF3296,TNCalibEqFull!$AZ$1:$BB$56,3),FALSE))))</f>
        <v>y=-0.0466x2+68.24x-22.954</v>
      </c>
      <c r="AV3296" s="10" t="str">
        <f t="shared" si="375"/>
        <v>0215 09:00:00-QAC-REC-C-1-DI-ATP</v>
      </c>
    </row>
    <row r="3297" spans="1:48" s="10" customFormat="1" x14ac:dyDescent="0.55000000000000004">
      <c r="A3297" s="32">
        <v>44972</v>
      </c>
      <c r="B3297" s="33">
        <v>0.375</v>
      </c>
      <c r="C3297" s="10" t="s">
        <v>70</v>
      </c>
      <c r="D3297" s="10" t="s">
        <v>71</v>
      </c>
      <c r="E3297" s="10" t="s">
        <v>901</v>
      </c>
      <c r="F3297" s="10">
        <v>1</v>
      </c>
      <c r="G3297" s="10" t="s">
        <v>73</v>
      </c>
      <c r="H3297" s="10" t="s">
        <v>207</v>
      </c>
      <c r="I3297" s="10" t="s">
        <v>83</v>
      </c>
      <c r="J3297" s="10">
        <v>199</v>
      </c>
      <c r="K3297" s="12">
        <v>44972</v>
      </c>
      <c r="L3297" s="33">
        <v>0.56373842592592593</v>
      </c>
      <c r="M3297" s="10">
        <v>1</v>
      </c>
      <c r="N3297" s="10" t="s">
        <v>84</v>
      </c>
      <c r="O3297" s="10">
        <v>7.93</v>
      </c>
      <c r="P3297" s="10">
        <v>0.57499999999999996</v>
      </c>
      <c r="Q3297" s="10">
        <v>518</v>
      </c>
      <c r="R3297" s="10" t="s">
        <v>85</v>
      </c>
      <c r="S3297" s="34">
        <f t="shared" si="372"/>
        <v>518</v>
      </c>
      <c r="T3297" s="10" t="s">
        <v>1246</v>
      </c>
      <c r="U3297" s="34">
        <f t="shared" si="373"/>
        <v>103.60000000000001</v>
      </c>
      <c r="V3297" s="31">
        <f>IF(H3297="CHK",VLOOKUP(I3297,QCCHK,3,),IF(H3297="GUP",VLOOKUP(E3297,QCGUP,2,),IF(AND(H3297="ATP",OR(I3297="TN",I3297="TDN",I3297="TNO2-3",I3297="NO2-3")),VLOOKUP(E3297,QCREC_N,2,),IF(AND(H3297="NIC",OR(I3297="TN",I3297="TDN",I3297="TNO2-3",I3297="NO2-3")),VLOOKUP(E3297,QCNIC_N,2,),IF(AND(H3297="UREA",OR(I3297="TN",I3297="TDN",I3297="TNO2-3",I3297="NO2-3")),VLOOKUP(E3297,QCUREA_N,2,),IF(H3297="PER",VLOOKUP(I3297,QCPER,MATCH(E3297,QCACTUAL!$J$25:$AA$25,0),),IF(H3297="SPK",VLOOKUP(I3297,QCSPK,3,),IF(AND(H3297="ATP",OR(I3297="TP",I3297="TDP")),VLOOKUP(E3297,QCATP_P,2,),""))))))))</f>
        <v>500</v>
      </c>
      <c r="W3297" s="31" t="str">
        <f t="shared" si="374"/>
        <v>TRUE</v>
      </c>
      <c r="X3297" s="31" t="str">
        <f t="shared" si="371"/>
        <v>[chk]/[actual]*100</v>
      </c>
      <c r="Y3297" s="10" t="s">
        <v>1232</v>
      </c>
      <c r="AF3297" s="12">
        <v>44972</v>
      </c>
      <c r="AK3297" s="10">
        <f>-0.0466*7.93^2+68.24*7.93-22.954</f>
        <v>515.25876366</v>
      </c>
      <c r="AL3297" s="10" t="str">
        <f t="shared" si="376"/>
        <v>FALSE</v>
      </c>
      <c r="AM3297" s="10" t="str">
        <f t="shared" si="376"/>
        <v>FALSE</v>
      </c>
      <c r="AN3297" s="10" t="str">
        <f t="shared" si="376"/>
        <v>FALSE</v>
      </c>
      <c r="AO3297" s="10" t="str">
        <f t="shared" si="377"/>
        <v>FALSE</v>
      </c>
      <c r="AP3297" s="10" t="str">
        <f t="shared" si="377"/>
        <v>y=-0.0466*7.93^2+68.24*7.93-22.954</v>
      </c>
      <c r="AQ3297" s="10" t="b">
        <f>IF(AND(I3297="TP",S3297&lt;=150),VLOOKUP(AF3297,TPCalibEq150!$AZ$2:$BB$55,3,),IF(AND(I3297="TDP",S3297&lt;=150),VLOOKUP(AF3297,TPCalibEq150!$AZ$2:$BB$55,3,)))</f>
        <v>0</v>
      </c>
      <c r="AR3297" s="10" t="b">
        <f>IF(AND(I3297="TP",S3297&lt;=300),VLOOKUP(AF3297,TPCalibEq300!$AZ$2:$BB$55,3,),IF(AND(I3297="TDP",S3297&lt;=300),VLOOKUP(AF3297,TPCalibEq300!$AZ$2:$BB$55,3,)))</f>
        <v>0</v>
      </c>
      <c r="AS3297" s="10" t="b">
        <f>IF(AND(I3297="TP",S3297&lt;=500),VLOOKUP(AF3297,TPCalibEq500!$AZ$2:$BB$56,3,),IF(AND(I3297="TDP",S3297&lt;=500),VLOOKUP(AF3297,TPCalibEq500!$AZ$2:$BB$56,3,)))</f>
        <v>0</v>
      </c>
      <c r="AT3297" s="10" t="b">
        <f>IF(AND(I3297="TN",S3297&lt;=2800),VLOOKUP(AF3297,TNCalibEq2500!$AZ$2:$BB$56,3,),IF(AND(I3297="TDN",S3297&lt;=2800),VLOOKUP(AF3297,TNCalibEq2500!$AZ$2:$BB$56,3,)))</f>
        <v>0</v>
      </c>
      <c r="AU3297" s="10" t="str">
        <f>IF(I3297="TP",VLOOKUP(AF3297,TPCalibEqFull!$AZ$2:$BB$56,3),IF(I3297="TDP",VLOOKUP(AF3297,TPCalibEqFull!$AZ$2:$BB$56,3),IF(I3297="TDN",VLOOKUP(AF3297,TNCalibEqFull!$AZ$1:$BB$56,3),IF(I3297="TN",VLOOKUP(AF3297,TNCalibEqFull!$AZ$1:$BB$56,3),FALSE))))</f>
        <v>y=-0.0466x2+68.24x-22.954</v>
      </c>
      <c r="AV3297" s="10" t="str">
        <f t="shared" si="375"/>
        <v>0215 09:00:00-QAC-STD-D-1-DI-CHK</v>
      </c>
    </row>
    <row r="3298" spans="1:48" s="10" customFormat="1" x14ac:dyDescent="0.55000000000000004">
      <c r="A3298" s="32">
        <v>44970</v>
      </c>
      <c r="B3298" s="33">
        <v>0.25</v>
      </c>
      <c r="C3298" s="10" t="s">
        <v>70</v>
      </c>
      <c r="D3298" s="10" t="s">
        <v>241</v>
      </c>
      <c r="E3298" s="10" t="s">
        <v>866</v>
      </c>
      <c r="F3298" s="10">
        <v>1</v>
      </c>
      <c r="G3298" s="10" t="s">
        <v>73</v>
      </c>
      <c r="H3298" s="10" t="s">
        <v>264</v>
      </c>
      <c r="I3298" s="10" t="s">
        <v>83</v>
      </c>
      <c r="J3298" s="10">
        <v>55</v>
      </c>
      <c r="K3298" s="12">
        <v>44972</v>
      </c>
      <c r="L3298" s="33">
        <v>0.56511574074074067</v>
      </c>
      <c r="M3298" s="10">
        <v>1</v>
      </c>
      <c r="N3298" s="10" t="s">
        <v>84</v>
      </c>
      <c r="O3298" s="10">
        <v>1.1200000000000001</v>
      </c>
      <c r="P3298" s="10">
        <v>7.8200000000000006E-2</v>
      </c>
      <c r="Q3298" s="10">
        <v>53.9</v>
      </c>
      <c r="R3298" s="10" t="s">
        <v>85</v>
      </c>
      <c r="S3298" s="34">
        <f t="shared" si="372"/>
        <v>57.859811840000006</v>
      </c>
      <c r="T3298" s="10" t="s">
        <v>1246</v>
      </c>
      <c r="U3298" s="34">
        <f t="shared" si="373"/>
        <v>57.859811840000006</v>
      </c>
      <c r="V3298" s="31" t="str">
        <f>IF(H3298="CHK",VLOOKUP(I3298,QCCHK,3,),IF(H3298="GUP",VLOOKUP(E3298,QCGUP,2,),IF(AND(H3298="ATP",OR(I3298="TN",I3298="TDN",I3298="TNO2-3",I3298="NO2-3")),VLOOKUP(E3298,QCREC_N,2,),IF(AND(H3298="NIC",OR(I3298="TN",I3298="TDN",I3298="TNO2-3",I3298="NO2-3")),VLOOKUP(E3298,QCNIC_N,2,),IF(AND(H3298="UREA",OR(I3298="TN",I3298="TDN",I3298="TNO2-3",I3298="NO2-3")),VLOOKUP(E3298,QCUREA_N,2,),IF(H3298="PER",VLOOKUP(I3298,QCPER,MATCH(E3298,QCACTUAL!$J$25:$AA$25,0),),IF(H3298="SPK",VLOOKUP(I3298,QCSPK,3,),IF(AND(H3298="ATP",OR(I3298="TP",I3298="TDP")),VLOOKUP(E3298,QCATP_P,2,),""))))))))</f>
        <v/>
      </c>
      <c r="W3298" s="31" t="str">
        <f t="shared" si="374"/>
        <v>FALSE</v>
      </c>
      <c r="X3298" s="31" t="str">
        <f t="shared" si="371"/>
        <v>nominal concentration</v>
      </c>
      <c r="Y3298" s="10" t="s">
        <v>1232</v>
      </c>
      <c r="Z3298" s="10" t="s">
        <v>910</v>
      </c>
      <c r="AF3298" s="12">
        <v>44972</v>
      </c>
      <c r="AG3298" s="10">
        <f>-8.1564*1.12^2+103.56*1.12-47.896</f>
        <v>57.859811840000006</v>
      </c>
      <c r="AH3298" s="10">
        <f>-3.4074*1.12^2+90.534*1.12-41.641</f>
        <v>55.482837440000019</v>
      </c>
      <c r="AI3298" s="10">
        <f>-1.4395*1.12^2+80.835*1.12-35.016</f>
        <v>53.7134912</v>
      </c>
      <c r="AK3298" s="10">
        <f>-0.0466*1.12^2+68.24*1.12-22.954</f>
        <v>53.416344959999996</v>
      </c>
      <c r="AL3298" s="10" t="str">
        <f t="shared" si="376"/>
        <v>y=-8.1564*1.12^2+103.56*1.12-47.896</v>
      </c>
      <c r="AM3298" s="10" t="str">
        <f t="shared" si="376"/>
        <v>y=-3.4074*1.12^2+90.534*1.12-41.641</v>
      </c>
      <c r="AN3298" s="10" t="str">
        <f t="shared" si="376"/>
        <v>y=-1.4395*1.12^2+80.835*1.12-35.016</v>
      </c>
      <c r="AO3298" s="10" t="str">
        <f t="shared" si="377"/>
        <v>FALSE</v>
      </c>
      <c r="AP3298" s="10" t="str">
        <f t="shared" si="377"/>
        <v>y=-0.0466*1.12^2+68.24*1.12-22.954</v>
      </c>
      <c r="AQ3298" s="10" t="str">
        <f>IF(AND(I3298="TP",S3298&lt;=150),VLOOKUP(AF3298,TPCalibEq150!$AZ$2:$BB$55,3,),IF(AND(I3298="TDP",S3298&lt;=150),VLOOKUP(AF3298,TPCalibEq150!$AZ$2:$BB$55,3,)))</f>
        <v>y=-8.1564x2+103.56x-47.896</v>
      </c>
      <c r="AR3298" s="10" t="str">
        <f>IF(AND(I3298="TP",S3298&lt;=300),VLOOKUP(AF3298,TPCalibEq300!$AZ$2:$BB$55,3,),IF(AND(I3298="TDP",S3298&lt;=300),VLOOKUP(AF3298,TPCalibEq300!$AZ$2:$BB$55,3,)))</f>
        <v>y=-3.4074x2+90.534x-41.641</v>
      </c>
      <c r="AS3298" s="10" t="str">
        <f>IF(AND(I3298="TP",S3298&lt;=500),VLOOKUP(AF3298,TPCalibEq500!$AZ$2:$BB$56,3,),IF(AND(I3298="TDP",S3298&lt;=500),VLOOKUP(AF3298,TPCalibEq500!$AZ$2:$BB$56,3,)))</f>
        <v>y=-1.4395x2+80.835x-35.016</v>
      </c>
      <c r="AT3298" s="10" t="b">
        <f>IF(AND(I3298="TN",S3298&lt;=2800),VLOOKUP(AF3298,TNCalibEq2500!$AZ$2:$BB$56,3,),IF(AND(I3298="TDN",S3298&lt;=2800),VLOOKUP(AF3298,TNCalibEq2500!$AZ$2:$BB$56,3,)))</f>
        <v>0</v>
      </c>
      <c r="AU3298" s="10" t="str">
        <f>IF(I3298="TP",VLOOKUP(AF3298,TPCalibEqFull!$AZ$2:$BB$56,3),IF(I3298="TDP",VLOOKUP(AF3298,TPCalibEqFull!$AZ$2:$BB$56,3),IF(I3298="TDN",VLOOKUP(AF3298,TNCalibEqFull!$AZ$1:$BB$56,3),IF(I3298="TN",VLOOKUP(AF3298,TNCalibEqFull!$AZ$1:$BB$56,3),FALSE))))</f>
        <v>y=-0.0466x2+68.24x-22.954</v>
      </c>
      <c r="AV3298" s="10" t="str">
        <f t="shared" si="375"/>
        <v>0213 06:00:00-QAC-BLK-A-1-DI-FLD</v>
      </c>
    </row>
    <row r="3299" spans="1:48" s="10" customFormat="1" x14ac:dyDescent="0.55000000000000004">
      <c r="A3299" s="32">
        <v>44971</v>
      </c>
      <c r="B3299" s="33">
        <v>0.30208333333333331</v>
      </c>
      <c r="C3299" s="10" t="s">
        <v>70</v>
      </c>
      <c r="D3299" s="10" t="s">
        <v>241</v>
      </c>
      <c r="E3299" s="10" t="s">
        <v>866</v>
      </c>
      <c r="F3299" s="10">
        <v>1</v>
      </c>
      <c r="G3299" s="10" t="s">
        <v>73</v>
      </c>
      <c r="H3299" s="10" t="s">
        <v>245</v>
      </c>
      <c r="I3299" s="10" t="s">
        <v>83</v>
      </c>
      <c r="J3299" s="10">
        <v>56</v>
      </c>
      <c r="K3299" s="12">
        <v>44972</v>
      </c>
      <c r="L3299" s="33">
        <v>0.56579861111111118</v>
      </c>
      <c r="M3299" s="10">
        <v>1</v>
      </c>
      <c r="N3299" s="10" t="s">
        <v>84</v>
      </c>
      <c r="O3299" s="10">
        <v>0.48199999999999998</v>
      </c>
      <c r="P3299" s="10">
        <v>3.2800000000000003E-2</v>
      </c>
      <c r="Q3299" s="10">
        <v>10.5</v>
      </c>
      <c r="R3299" s="10" t="s">
        <v>85</v>
      </c>
      <c r="S3299" s="34">
        <f t="shared" si="372"/>
        <v>10.5</v>
      </c>
      <c r="T3299" s="10" t="s">
        <v>1246</v>
      </c>
      <c r="U3299" s="34">
        <f t="shared" si="373"/>
        <v>10.5</v>
      </c>
      <c r="V3299" s="31" t="str">
        <f>IF(H3299="CHK",VLOOKUP(I3299,QCCHK,3,),IF(H3299="GUP",VLOOKUP(E3299,QCGUP,2,),IF(AND(H3299="ATP",OR(I3299="TN",I3299="TDN",I3299="TNO2-3",I3299="NO2-3")),VLOOKUP(E3299,QCREC_N,2,),IF(AND(H3299="NIC",OR(I3299="TN",I3299="TDN",I3299="TNO2-3",I3299="NO2-3")),VLOOKUP(E3299,QCNIC_N,2,),IF(AND(H3299="UREA",OR(I3299="TN",I3299="TDN",I3299="TNO2-3",I3299="NO2-3")),VLOOKUP(E3299,QCUREA_N,2,),IF(H3299="PER",VLOOKUP(I3299,QCPER,MATCH(E3299,QCACTUAL!$J$25:$AA$25,0),),IF(H3299="SPK",VLOOKUP(I3299,QCSPK,3,),IF(AND(H3299="ATP",OR(I3299="TP",I3299="TDP")),VLOOKUP(E3299,QCATP_P,2,),""))))))))</f>
        <v/>
      </c>
      <c r="W3299" s="31" t="str">
        <f t="shared" si="374"/>
        <v>TRUE</v>
      </c>
      <c r="X3299" s="31" t="str">
        <f t="shared" si="371"/>
        <v>nominal concentration</v>
      </c>
      <c r="Y3299" s="10" t="s">
        <v>1232</v>
      </c>
      <c r="AF3299" s="12">
        <v>44972</v>
      </c>
      <c r="AG3299" s="10">
        <f>-8.1564*0.482^2+103.56*0.482-47.896</f>
        <v>0.1249925263999998</v>
      </c>
      <c r="AH3299" s="10">
        <f>-3.4074*0.482^2+90.534*0.482-41.641</f>
        <v>1.2047672024000065</v>
      </c>
      <c r="AI3299" s="10">
        <f>-1.4395*0.482^2+80.835*0.482-35.016</f>
        <v>3.6120396019999959</v>
      </c>
      <c r="AK3299" s="10">
        <f>-0.0466*0.482^2+68.24*0.482-22.954</f>
        <v>9.9268537015999954</v>
      </c>
      <c r="AL3299" s="10" t="str">
        <f t="shared" si="376"/>
        <v>y=-8.1564*0.482^2+103.56*0.482-47.896</v>
      </c>
      <c r="AM3299" s="10" t="str">
        <f t="shared" si="376"/>
        <v>y=-3.4074*0.482^2+90.534*0.482-41.641</v>
      </c>
      <c r="AN3299" s="10" t="str">
        <f t="shared" si="376"/>
        <v>y=-1.4395*0.482^2+80.835*0.482-35.016</v>
      </c>
      <c r="AO3299" s="10" t="str">
        <f t="shared" si="377"/>
        <v>FALSE</v>
      </c>
      <c r="AP3299" s="10" t="str">
        <f t="shared" si="377"/>
        <v>y=-0.0466*0.482^2+68.24*0.482-22.954</v>
      </c>
      <c r="AQ3299" s="10" t="str">
        <f>IF(AND(I3299="TP",S3299&lt;=150),VLOOKUP(AF3299,TPCalibEq150!$AZ$2:$BB$55,3,),IF(AND(I3299="TDP",S3299&lt;=150),VLOOKUP(AF3299,TPCalibEq150!$AZ$2:$BB$55,3,)))</f>
        <v>y=-8.1564x2+103.56x-47.896</v>
      </c>
      <c r="AR3299" s="10" t="str">
        <f>IF(AND(I3299="TP",S3299&lt;=300),VLOOKUP(AF3299,TPCalibEq300!$AZ$2:$BB$55,3,),IF(AND(I3299="TDP",S3299&lt;=300),VLOOKUP(AF3299,TPCalibEq300!$AZ$2:$BB$55,3,)))</f>
        <v>y=-3.4074x2+90.534x-41.641</v>
      </c>
      <c r="AS3299" s="10" t="str">
        <f>IF(AND(I3299="TP",S3299&lt;=500),VLOOKUP(AF3299,TPCalibEq500!$AZ$2:$BB$56,3,),IF(AND(I3299="TDP",S3299&lt;=500),VLOOKUP(AF3299,TPCalibEq500!$AZ$2:$BB$56,3,)))</f>
        <v>y=-1.4395x2+80.835x-35.016</v>
      </c>
      <c r="AT3299" s="10" t="b">
        <f>IF(AND(I3299="TN",S3299&lt;=2800),VLOOKUP(AF3299,TNCalibEq2500!$AZ$2:$BB$56,3,),IF(AND(I3299="TDN",S3299&lt;=2800),VLOOKUP(AF3299,TNCalibEq2500!$AZ$2:$BB$56,3,)))</f>
        <v>0</v>
      </c>
      <c r="AU3299" s="10" t="str">
        <f>IF(I3299="TP",VLOOKUP(AF3299,TPCalibEqFull!$AZ$2:$BB$56,3),IF(I3299="TDP",VLOOKUP(AF3299,TPCalibEqFull!$AZ$2:$BB$56,3),IF(I3299="TDN",VLOOKUP(AF3299,TNCalibEqFull!$AZ$1:$BB$56,3),IF(I3299="TN",VLOOKUP(AF3299,TNCalibEqFull!$AZ$1:$BB$56,3),FALSE))))</f>
        <v>y=-0.0466x2+68.24x-22.954</v>
      </c>
      <c r="AV3299" s="10" t="str">
        <f t="shared" si="375"/>
        <v>0214 07:15:00-QAC-BLK-A-1-DI-ESF</v>
      </c>
    </row>
    <row r="3300" spans="1:48" s="10" customFormat="1" x14ac:dyDescent="0.55000000000000004">
      <c r="A3300" s="32">
        <v>44970</v>
      </c>
      <c r="B3300" s="33">
        <v>0.25</v>
      </c>
      <c r="C3300" s="10" t="s">
        <v>70</v>
      </c>
      <c r="D3300" s="10" t="s">
        <v>241</v>
      </c>
      <c r="E3300" s="10" t="s">
        <v>911</v>
      </c>
      <c r="F3300" s="10">
        <v>1</v>
      </c>
      <c r="G3300" s="10" t="s">
        <v>73</v>
      </c>
      <c r="H3300" s="10" t="s">
        <v>264</v>
      </c>
      <c r="I3300" s="10" t="s">
        <v>266</v>
      </c>
      <c r="J3300" s="10">
        <v>57</v>
      </c>
      <c r="K3300" s="12">
        <v>44972</v>
      </c>
      <c r="L3300" s="33">
        <v>0.56649305555555551</v>
      </c>
      <c r="M3300" s="10">
        <v>1</v>
      </c>
      <c r="N3300" s="10" t="s">
        <v>84</v>
      </c>
      <c r="O3300" s="10">
        <v>1.19</v>
      </c>
      <c r="P3300" s="10">
        <v>8.3000000000000004E-2</v>
      </c>
      <c r="Q3300" s="10">
        <v>58.6</v>
      </c>
      <c r="R3300" s="10" t="s">
        <v>85</v>
      </c>
      <c r="S3300" s="34">
        <f t="shared" si="372"/>
        <v>63.790121960000008</v>
      </c>
      <c r="T3300" s="10" t="s">
        <v>1246</v>
      </c>
      <c r="U3300" s="34">
        <f t="shared" si="373"/>
        <v>63.790121960000008</v>
      </c>
      <c r="V3300" s="31" t="str">
        <f>IF(H3300="CHK",VLOOKUP(I3300,QCCHK,3,),IF(H3300="GUP",VLOOKUP(E3300,QCGUP,2,),IF(AND(H3300="ATP",OR(I3300="TN",I3300="TDN",I3300="TNO2-3",I3300="NO2-3")),VLOOKUP(E3300,QCREC_N,2,),IF(AND(H3300="NIC",OR(I3300="TN",I3300="TDN",I3300="TNO2-3",I3300="NO2-3")),VLOOKUP(E3300,QCNIC_N,2,),IF(AND(H3300="UREA",OR(I3300="TN",I3300="TDN",I3300="TNO2-3",I3300="NO2-3")),VLOOKUP(E3300,QCUREA_N,2,),IF(H3300="PER",VLOOKUP(I3300,QCPER,MATCH(E3300,QCACTUAL!$J$25:$AA$25,0),),IF(H3300="SPK",VLOOKUP(I3300,QCSPK,3,),IF(AND(H3300="ATP",OR(I3300="TP",I3300="TDP")),VLOOKUP(E3300,QCATP_P,2,),""))))))))</f>
        <v/>
      </c>
      <c r="W3300" s="31" t="str">
        <f t="shared" si="374"/>
        <v>FALSE</v>
      </c>
      <c r="X3300" s="31" t="str">
        <f t="shared" si="371"/>
        <v>nominal concentration</v>
      </c>
      <c r="Y3300" s="10" t="s">
        <v>1232</v>
      </c>
      <c r="Z3300" s="10" t="s">
        <v>910</v>
      </c>
      <c r="AF3300" s="12">
        <v>44972</v>
      </c>
      <c r="AG3300" s="10">
        <f>-8.1564*1.19^2+103.56*1.19-47.896</f>
        <v>63.790121960000008</v>
      </c>
      <c r="AH3300" s="10">
        <f>-3.4074*1.19^2+90.534*1.19-41.641</f>
        <v>61.269240860000004</v>
      </c>
      <c r="AI3300" s="10">
        <f>-1.4395*1.19^2+80.835*1.19-35.016</f>
        <v>59.139174049999987</v>
      </c>
      <c r="AK3300" s="10">
        <f>-0.0466*1.19^2+68.24*1.19-22.954</f>
        <v>58.185609739999983</v>
      </c>
      <c r="AL3300" s="10" t="str">
        <f t="shared" si="376"/>
        <v>y=-8.1564*1.19^2+103.56*1.19-47.896</v>
      </c>
      <c r="AM3300" s="10" t="str">
        <f t="shared" si="376"/>
        <v>y=-3.4074*1.19^2+90.534*1.19-41.641</v>
      </c>
      <c r="AN3300" s="10" t="str">
        <f t="shared" si="376"/>
        <v>y=-1.4395*1.19^2+80.835*1.19-35.016</v>
      </c>
      <c r="AO3300" s="10" t="str">
        <f t="shared" si="377"/>
        <v>FALSE</v>
      </c>
      <c r="AP3300" s="10" t="str">
        <f t="shared" si="377"/>
        <v>y=-0.0466*1.19^2+68.24*1.19-22.954</v>
      </c>
      <c r="AQ3300" s="10" t="str">
        <f>IF(AND(I3300="TP",S3300&lt;=150),VLOOKUP(AF3300,TPCalibEq150!$AZ$2:$BB$55,3,),IF(AND(I3300="TDP",S3300&lt;=150),VLOOKUP(AF3300,TPCalibEq150!$AZ$2:$BB$55,3,)))</f>
        <v>y=-8.1564x2+103.56x-47.896</v>
      </c>
      <c r="AR3300" s="10" t="str">
        <f>IF(AND(I3300="TP",S3300&lt;=300),VLOOKUP(AF3300,TPCalibEq300!$AZ$2:$BB$55,3,),IF(AND(I3300="TDP",S3300&lt;=300),VLOOKUP(AF3300,TPCalibEq300!$AZ$2:$BB$55,3,)))</f>
        <v>y=-3.4074x2+90.534x-41.641</v>
      </c>
      <c r="AS3300" s="10" t="str">
        <f>IF(AND(I3300="TP",S3300&lt;=500),VLOOKUP(AF3300,TPCalibEq500!$AZ$2:$BB$56,3,),IF(AND(I3300="TDP",S3300&lt;=500),VLOOKUP(AF3300,TPCalibEq500!$AZ$2:$BB$56,3,)))</f>
        <v>y=-1.4395x2+80.835x-35.016</v>
      </c>
      <c r="AT3300" s="10" t="b">
        <f>IF(AND(I3300="TN",S3300&lt;=2800),VLOOKUP(AF3300,TNCalibEq2500!$AZ$2:$BB$56,3,),IF(AND(I3300="TDN",S3300&lt;=2800),VLOOKUP(AF3300,TNCalibEq2500!$AZ$2:$BB$56,3,)))</f>
        <v>0</v>
      </c>
      <c r="AU3300" s="10" t="str">
        <f>IF(I3300="TP",VLOOKUP(AF3300,TPCalibEqFull!$AZ$2:$BB$56,3),IF(I3300="TDP",VLOOKUP(AF3300,TPCalibEqFull!$AZ$2:$BB$56,3),IF(I3300="TDN",VLOOKUP(AF3300,TNCalibEqFull!$AZ$1:$BB$56,3),IF(I3300="TN",VLOOKUP(AF3300,TNCalibEqFull!$AZ$1:$BB$56,3),FALSE))))</f>
        <v>y=-0.0466x2+68.24x-22.954</v>
      </c>
      <c r="AV3300" s="10" t="str">
        <f t="shared" si="375"/>
        <v>0213 06:00:00-QAC-BLK-FIL-1-DI-FLD</v>
      </c>
    </row>
    <row r="3301" spans="1:48" s="10" customFormat="1" x14ac:dyDescent="0.55000000000000004">
      <c r="A3301" s="32">
        <v>44971</v>
      </c>
      <c r="B3301" s="33">
        <v>0.30208333333333331</v>
      </c>
      <c r="C3301" s="10" t="s">
        <v>70</v>
      </c>
      <c r="D3301" s="10" t="s">
        <v>241</v>
      </c>
      <c r="E3301" s="10" t="s">
        <v>911</v>
      </c>
      <c r="F3301" s="10">
        <v>1</v>
      </c>
      <c r="G3301" s="10" t="s">
        <v>73</v>
      </c>
      <c r="H3301" s="10" t="s">
        <v>245</v>
      </c>
      <c r="I3301" s="10" t="s">
        <v>266</v>
      </c>
      <c r="J3301" s="10">
        <v>58</v>
      </c>
      <c r="K3301" s="12">
        <v>44972</v>
      </c>
      <c r="L3301" s="33">
        <v>0.56718750000000007</v>
      </c>
      <c r="M3301" s="10">
        <v>1</v>
      </c>
      <c r="N3301" s="10" t="s">
        <v>84</v>
      </c>
      <c r="O3301" s="10">
        <v>0.50600000000000001</v>
      </c>
      <c r="P3301" s="10">
        <v>3.3799999999999997E-2</v>
      </c>
      <c r="Q3301" s="10">
        <v>12.1</v>
      </c>
      <c r="R3301" s="10" t="s">
        <v>85</v>
      </c>
      <c r="S3301" s="34">
        <f t="shared" si="372"/>
        <v>12.1</v>
      </c>
      <c r="T3301" s="10" t="s">
        <v>1246</v>
      </c>
      <c r="U3301" s="34">
        <f t="shared" si="373"/>
        <v>12.1</v>
      </c>
      <c r="V3301" s="31" t="str">
        <f>IF(H3301="CHK",VLOOKUP(I3301,QCCHK,3,),IF(H3301="GUP",VLOOKUP(E3301,QCGUP,2,),IF(AND(H3301="ATP",OR(I3301="TN",I3301="TDN",I3301="TNO2-3",I3301="NO2-3")),VLOOKUP(E3301,QCREC_N,2,),IF(AND(H3301="NIC",OR(I3301="TN",I3301="TDN",I3301="TNO2-3",I3301="NO2-3")),VLOOKUP(E3301,QCNIC_N,2,),IF(AND(H3301="UREA",OR(I3301="TN",I3301="TDN",I3301="TNO2-3",I3301="NO2-3")),VLOOKUP(E3301,QCUREA_N,2,),IF(H3301="PER",VLOOKUP(I3301,QCPER,MATCH(E3301,QCACTUAL!$J$25:$AA$25,0),),IF(H3301="SPK",VLOOKUP(I3301,QCSPK,3,),IF(AND(H3301="ATP",OR(I3301="TP",I3301="TDP")),VLOOKUP(E3301,QCATP_P,2,),""))))))))</f>
        <v/>
      </c>
      <c r="W3301" s="31" t="str">
        <f t="shared" si="374"/>
        <v>TRUE</v>
      </c>
      <c r="X3301" s="31" t="str">
        <f t="shared" si="371"/>
        <v>nominal concentration</v>
      </c>
      <c r="Y3301" s="10" t="s">
        <v>1232</v>
      </c>
      <c r="AF3301" s="12">
        <v>44972</v>
      </c>
      <c r="AG3301" s="10">
        <f>-8.1564*0.506^2+103.56*0.506-47.896</f>
        <v>2.4170279696000065</v>
      </c>
      <c r="AH3301" s="10">
        <f>-3.4074*0.506^2+90.534*0.506-41.641</f>
        <v>3.2967869336000106</v>
      </c>
      <c r="AI3301" s="10">
        <f>-1.4395*0.506^2+80.835*0.506-35.016</f>
        <v>5.5179461780000025</v>
      </c>
      <c r="AK3301" s="10">
        <f>-0.0466*0.506^2+68.24*0.506-22.954</f>
        <v>11.563508722400002</v>
      </c>
      <c r="AL3301" s="10" t="str">
        <f t="shared" si="376"/>
        <v>y=-8.1564*0.506^2+103.56*0.506-47.896</v>
      </c>
      <c r="AM3301" s="10" t="str">
        <f t="shared" si="376"/>
        <v>y=-3.4074*0.506^2+90.534*0.506-41.641</v>
      </c>
      <c r="AN3301" s="10" t="str">
        <f t="shared" si="376"/>
        <v>y=-1.4395*0.506^2+80.835*0.506-35.016</v>
      </c>
      <c r="AO3301" s="10" t="str">
        <f t="shared" si="377"/>
        <v>FALSE</v>
      </c>
      <c r="AP3301" s="10" t="str">
        <f t="shared" si="377"/>
        <v>y=-0.0466*0.506^2+68.24*0.506-22.954</v>
      </c>
      <c r="AQ3301" s="10" t="str">
        <f>IF(AND(I3301="TP",S3301&lt;=150),VLOOKUP(AF3301,TPCalibEq150!$AZ$2:$BB$55,3,),IF(AND(I3301="TDP",S3301&lt;=150),VLOOKUP(AF3301,TPCalibEq150!$AZ$2:$BB$55,3,)))</f>
        <v>y=-8.1564x2+103.56x-47.896</v>
      </c>
      <c r="AR3301" s="10" t="str">
        <f>IF(AND(I3301="TP",S3301&lt;=300),VLOOKUP(AF3301,TPCalibEq300!$AZ$2:$BB$55,3,),IF(AND(I3301="TDP",S3301&lt;=300),VLOOKUP(AF3301,TPCalibEq300!$AZ$2:$BB$55,3,)))</f>
        <v>y=-3.4074x2+90.534x-41.641</v>
      </c>
      <c r="AS3301" s="10" t="str">
        <f>IF(AND(I3301="TP",S3301&lt;=500),VLOOKUP(AF3301,TPCalibEq500!$AZ$2:$BB$56,3,),IF(AND(I3301="TDP",S3301&lt;=500),VLOOKUP(AF3301,TPCalibEq500!$AZ$2:$BB$56,3,)))</f>
        <v>y=-1.4395x2+80.835x-35.016</v>
      </c>
      <c r="AT3301" s="10" t="b">
        <f>IF(AND(I3301="TN",S3301&lt;=2800),VLOOKUP(AF3301,TNCalibEq2500!$AZ$2:$BB$56,3,),IF(AND(I3301="TDN",S3301&lt;=2800),VLOOKUP(AF3301,TNCalibEq2500!$AZ$2:$BB$56,3,)))</f>
        <v>0</v>
      </c>
      <c r="AU3301" s="10" t="str">
        <f>IF(I3301="TP",VLOOKUP(AF3301,TPCalibEqFull!$AZ$2:$BB$56,3),IF(I3301="TDP",VLOOKUP(AF3301,TPCalibEqFull!$AZ$2:$BB$56,3),IF(I3301="TDN",VLOOKUP(AF3301,TNCalibEqFull!$AZ$1:$BB$56,3),IF(I3301="TN",VLOOKUP(AF3301,TNCalibEqFull!$AZ$1:$BB$56,3),FALSE))))</f>
        <v>y=-0.0466x2+68.24x-22.954</v>
      </c>
      <c r="AV3301" s="10" t="str">
        <f t="shared" si="375"/>
        <v>0214 07:15:00-QAC-BLK-FIL-1-DI-ESF</v>
      </c>
    </row>
    <row r="3302" spans="1:48" s="10" customFormat="1" x14ac:dyDescent="0.55000000000000004">
      <c r="A3302" s="32">
        <v>44965</v>
      </c>
      <c r="B3302" s="33">
        <v>0.22291666666666665</v>
      </c>
      <c r="C3302" s="10" t="s">
        <v>279</v>
      </c>
      <c r="D3302" s="10">
        <v>0</v>
      </c>
      <c r="E3302" s="10" t="s">
        <v>190</v>
      </c>
      <c r="F3302" s="10">
        <v>1</v>
      </c>
      <c r="G3302" s="10" t="s">
        <v>231</v>
      </c>
      <c r="H3302" s="10" t="s">
        <v>322</v>
      </c>
      <c r="I3302" s="10" t="s">
        <v>83</v>
      </c>
      <c r="J3302" s="10">
        <v>1</v>
      </c>
      <c r="K3302" s="12">
        <v>44972</v>
      </c>
      <c r="L3302" s="33">
        <v>0.5678819444444444</v>
      </c>
      <c r="M3302" s="10">
        <v>1</v>
      </c>
      <c r="N3302" s="10" t="s">
        <v>84</v>
      </c>
      <c r="O3302" s="10">
        <v>2.75</v>
      </c>
      <c r="P3302" s="10">
        <v>0.19800000000000001</v>
      </c>
      <c r="Q3302" s="10">
        <v>166</v>
      </c>
      <c r="R3302" s="10" t="s">
        <v>85</v>
      </c>
      <c r="S3302" s="34">
        <f t="shared" si="372"/>
        <v>181.55903750000002</v>
      </c>
      <c r="T3302" s="10" t="s">
        <v>1246</v>
      </c>
      <c r="U3302" s="34" t="str">
        <f t="shared" si="373"/>
        <v/>
      </c>
      <c r="V3302" s="31" t="str">
        <f>IF(H3302="CHK",VLOOKUP(I3302,QCCHK,3,),IF(H3302="GUP",VLOOKUP(E3302,QCGUP,2,),IF(AND(H3302="ATP",OR(I3302="TN",I3302="TDN",I3302="TNO2-3",I3302="NO2-3")),VLOOKUP(E3302,QCREC_N,2,),IF(AND(H3302="NIC",OR(I3302="TN",I3302="TDN",I3302="TNO2-3",I3302="NO2-3")),VLOOKUP(E3302,QCNIC_N,2,),IF(AND(H3302="UREA",OR(I3302="TN",I3302="TDN",I3302="TNO2-3",I3302="NO2-3")),VLOOKUP(E3302,QCUREA_N,2,),IF(H3302="PER",VLOOKUP(I3302,QCPER,MATCH(E3302,QCACTUAL!$J$25:$AA$25,0),),IF(H3302="SPK",VLOOKUP(I3302,QCSPK,3,),IF(AND(H3302="ATP",OR(I3302="TP",I3302="TDP")),VLOOKUP(E3302,QCATP_P,2,),""))))))))</f>
        <v/>
      </c>
      <c r="W3302" s="31" t="str">
        <f t="shared" si="374"/>
        <v>TRUE</v>
      </c>
      <c r="X3302" s="31" t="str">
        <f t="shared" si="371"/>
        <v/>
      </c>
      <c r="Y3302" s="10" t="s">
        <v>1232</v>
      </c>
      <c r="Z3302" s="10" t="s">
        <v>910</v>
      </c>
      <c r="AF3302" s="12">
        <v>44972</v>
      </c>
      <c r="AH3302" s="10">
        <f>-3.4074*2.75^2+90.534*2.75-41.641</f>
        <v>181.55903750000002</v>
      </c>
      <c r="AI3302" s="10">
        <f>-1.4395*2.75^2+80.835*2.75-35.016</f>
        <v>176.39403124999998</v>
      </c>
      <c r="AK3302" s="10">
        <f>-0.0466*2.75^2+68.24*2.75-22.954</f>
        <v>164.35358749999997</v>
      </c>
      <c r="AL3302" s="10" t="str">
        <f t="shared" si="376"/>
        <v>FALSE</v>
      </c>
      <c r="AM3302" s="10" t="str">
        <f t="shared" si="376"/>
        <v>y=-3.4074*2.75^2+90.534*2.75-41.641</v>
      </c>
      <c r="AN3302" s="10" t="str">
        <f t="shared" si="376"/>
        <v>y=-1.4395*2.75^2+80.835*2.75-35.016</v>
      </c>
      <c r="AO3302" s="10" t="str">
        <f t="shared" si="377"/>
        <v>FALSE</v>
      </c>
      <c r="AP3302" s="10" t="str">
        <f t="shared" si="377"/>
        <v>y=-0.0466*2.75^2+68.24*2.75-22.954</v>
      </c>
      <c r="AQ3302" s="10" t="b">
        <f>IF(AND(I3302="TP",S3302&lt;=150),VLOOKUP(AF3302,TPCalibEq150!$AZ$2:$BB$55,3,),IF(AND(I3302="TDP",S3302&lt;=150),VLOOKUP(AF3302,TPCalibEq150!$AZ$2:$BB$55,3,)))</f>
        <v>0</v>
      </c>
      <c r="AR3302" s="10" t="str">
        <f>IF(AND(I3302="TP",S3302&lt;=300),VLOOKUP(AF3302,TPCalibEq300!$AZ$2:$BB$55,3,),IF(AND(I3302="TDP",S3302&lt;=300),VLOOKUP(AF3302,TPCalibEq300!$AZ$2:$BB$55,3,)))</f>
        <v>y=-3.4074x2+90.534x-41.641</v>
      </c>
      <c r="AS3302" s="10" t="str">
        <f>IF(AND(I3302="TP",S3302&lt;=500),VLOOKUP(AF3302,TPCalibEq500!$AZ$2:$BB$56,3,),IF(AND(I3302="TDP",S3302&lt;=500),VLOOKUP(AF3302,TPCalibEq500!$AZ$2:$BB$56,3,)))</f>
        <v>y=-1.4395x2+80.835x-35.016</v>
      </c>
      <c r="AT3302" s="10" t="b">
        <f>IF(AND(I3302="TN",S3302&lt;=2800),VLOOKUP(AF3302,TNCalibEq2500!$AZ$2:$BB$56,3,),IF(AND(I3302="TDN",S3302&lt;=2800),VLOOKUP(AF3302,TNCalibEq2500!$AZ$2:$BB$56,3,)))</f>
        <v>0</v>
      </c>
      <c r="AU3302" s="10" t="str">
        <f>IF(I3302="TP",VLOOKUP(AF3302,TPCalibEqFull!$AZ$2:$BB$56,3),IF(I3302="TDP",VLOOKUP(AF3302,TPCalibEqFull!$AZ$2:$BB$56,3),IF(I3302="TDN",VLOOKUP(AF3302,TNCalibEqFull!$AZ$1:$BB$56,3),IF(I3302="TN",VLOOKUP(AF3302,TNCalibEqFull!$AZ$1:$BB$56,3),FALSE))))</f>
        <v>y=-0.0466x2+68.24x-22.954</v>
      </c>
      <c r="AV3302" s="10" t="str">
        <f t="shared" si="375"/>
        <v>0208 05:21:00-EFK-0-C-1-SW-UKN</v>
      </c>
    </row>
    <row r="3303" spans="1:48" s="10" customFormat="1" x14ac:dyDescent="0.55000000000000004">
      <c r="A3303" s="32">
        <v>44965</v>
      </c>
      <c r="B3303" s="33">
        <v>0.24166666666666667</v>
      </c>
      <c r="C3303" s="10" t="s">
        <v>333</v>
      </c>
      <c r="D3303" s="10">
        <v>0</v>
      </c>
      <c r="E3303" s="10" t="s">
        <v>190</v>
      </c>
      <c r="F3303" s="10">
        <v>1</v>
      </c>
      <c r="G3303" s="10" t="s">
        <v>231</v>
      </c>
      <c r="H3303" s="10" t="s">
        <v>322</v>
      </c>
      <c r="I3303" s="10" t="s">
        <v>83</v>
      </c>
      <c r="J3303" s="10">
        <v>2</v>
      </c>
      <c r="K3303" s="12">
        <v>44972</v>
      </c>
      <c r="L3303" s="33">
        <v>0.56858796296296299</v>
      </c>
      <c r="M3303" s="10">
        <v>1</v>
      </c>
      <c r="N3303" s="10" t="s">
        <v>84</v>
      </c>
      <c r="O3303" s="10">
        <v>4.3499999999999996</v>
      </c>
      <c r="P3303" s="10">
        <v>0.315</v>
      </c>
      <c r="Q3303" s="10">
        <v>275</v>
      </c>
      <c r="R3303" s="10" t="s">
        <v>85</v>
      </c>
      <c r="S3303" s="34">
        <f t="shared" si="372"/>
        <v>289.37731124999993</v>
      </c>
      <c r="T3303" s="10" t="s">
        <v>1246</v>
      </c>
      <c r="U3303" s="34" t="str">
        <f t="shared" si="373"/>
        <v/>
      </c>
      <c r="V3303" s="31" t="str">
        <f>IF(H3303="CHK",VLOOKUP(I3303,QCCHK,3,),IF(H3303="GUP",VLOOKUP(E3303,QCGUP,2,),IF(AND(H3303="ATP",OR(I3303="TN",I3303="TDN",I3303="TNO2-3",I3303="NO2-3")),VLOOKUP(E3303,QCREC_N,2,),IF(AND(H3303="NIC",OR(I3303="TN",I3303="TDN",I3303="TNO2-3",I3303="NO2-3")),VLOOKUP(E3303,QCNIC_N,2,),IF(AND(H3303="UREA",OR(I3303="TN",I3303="TDN",I3303="TNO2-3",I3303="NO2-3")),VLOOKUP(E3303,QCUREA_N,2,),IF(H3303="PER",VLOOKUP(I3303,QCPER,MATCH(E3303,QCACTUAL!$J$25:$AA$25,0),),IF(H3303="SPK",VLOOKUP(I3303,QCSPK,3,),IF(AND(H3303="ATP",OR(I3303="TP",I3303="TDP")),VLOOKUP(E3303,QCATP_P,2,),""))))))))</f>
        <v/>
      </c>
      <c r="W3303" s="31" t="str">
        <f t="shared" si="374"/>
        <v>TRUE</v>
      </c>
      <c r="X3303" s="31" t="str">
        <f t="shared" si="371"/>
        <v/>
      </c>
      <c r="Y3303" s="10" t="s">
        <v>1232</v>
      </c>
      <c r="Z3303" s="10" t="s">
        <v>910</v>
      </c>
      <c r="AF3303" s="12">
        <v>44972</v>
      </c>
      <c r="AH3303" s="10">
        <f>-3.4074*4.35^2+90.534*4.35-41.641</f>
        <v>287.70537350000001</v>
      </c>
      <c r="AI3303" s="10">
        <f>-1.4395*4.35^2+80.835*4.35-35.016</f>
        <v>289.37731124999993</v>
      </c>
      <c r="AK3303" s="10">
        <f>-0.0466*4.35^2+68.24*4.35-22.954</f>
        <v>273.0082114999999</v>
      </c>
      <c r="AL3303" s="10" t="str">
        <f t="shared" si="376"/>
        <v>FALSE</v>
      </c>
      <c r="AM3303" s="10" t="str">
        <f t="shared" si="376"/>
        <v>y=-3.4074*4.35^2+90.534*4.35-41.641</v>
      </c>
      <c r="AN3303" s="10" t="str">
        <f t="shared" si="376"/>
        <v>y=-1.4395*4.35^2+80.835*4.35-35.016</v>
      </c>
      <c r="AO3303" s="10" t="str">
        <f t="shared" si="377"/>
        <v>FALSE</v>
      </c>
      <c r="AP3303" s="10" t="str">
        <f t="shared" si="377"/>
        <v>y=-0.0466*4.35^2+68.24*4.35-22.954</v>
      </c>
      <c r="AQ3303" s="10" t="b">
        <f>IF(AND(I3303="TP",S3303&lt;=150),VLOOKUP(AF3303,TPCalibEq150!$AZ$2:$BB$55,3,),IF(AND(I3303="TDP",S3303&lt;=150),VLOOKUP(AF3303,TPCalibEq150!$AZ$2:$BB$55,3,)))</f>
        <v>0</v>
      </c>
      <c r="AR3303" s="10" t="str">
        <f>IF(AND(I3303="TP",S3303&lt;=300),VLOOKUP(AF3303,TPCalibEq300!$AZ$2:$BB$55,3,),IF(AND(I3303="TDP",S3303&lt;=300),VLOOKUP(AF3303,TPCalibEq300!$AZ$2:$BB$55,3,)))</f>
        <v>y=-3.4074x2+90.534x-41.641</v>
      </c>
      <c r="AS3303" s="10" t="str">
        <f>IF(AND(I3303="TP",S3303&lt;=500),VLOOKUP(AF3303,TPCalibEq500!$AZ$2:$BB$56,3,),IF(AND(I3303="TDP",S3303&lt;=500),VLOOKUP(AF3303,TPCalibEq500!$AZ$2:$BB$56,3,)))</f>
        <v>y=-1.4395x2+80.835x-35.016</v>
      </c>
      <c r="AT3303" s="10" t="b">
        <f>IF(AND(I3303="TN",S3303&lt;=2800),VLOOKUP(AF3303,TNCalibEq2500!$AZ$2:$BB$56,3,),IF(AND(I3303="TDN",S3303&lt;=2800),VLOOKUP(AF3303,TNCalibEq2500!$AZ$2:$BB$56,3,)))</f>
        <v>0</v>
      </c>
      <c r="AU3303" s="10" t="str">
        <f>IF(I3303="TP",VLOOKUP(AF3303,TPCalibEqFull!$AZ$2:$BB$56,3),IF(I3303="TDP",VLOOKUP(AF3303,TPCalibEqFull!$AZ$2:$BB$56,3),IF(I3303="TDN",VLOOKUP(AF3303,TNCalibEqFull!$AZ$1:$BB$56,3),IF(I3303="TN",VLOOKUP(AF3303,TNCalibEqFull!$AZ$1:$BB$56,3),FALSE))))</f>
        <v>y=-0.0466x2+68.24x-22.954</v>
      </c>
      <c r="AV3303" s="10" t="str">
        <f t="shared" si="375"/>
        <v>0208 05:48:00-HST-0-C-1-SW-UKN</v>
      </c>
    </row>
    <row r="3304" spans="1:48" s="10" customFormat="1" x14ac:dyDescent="0.55000000000000004">
      <c r="A3304" s="32">
        <v>44966</v>
      </c>
      <c r="B3304" s="33">
        <v>0.41041666666666665</v>
      </c>
      <c r="C3304" s="10" t="s">
        <v>279</v>
      </c>
      <c r="D3304" s="10">
        <v>0</v>
      </c>
      <c r="E3304" s="10" t="s">
        <v>190</v>
      </c>
      <c r="F3304" s="10">
        <v>1</v>
      </c>
      <c r="G3304" s="10" t="s">
        <v>231</v>
      </c>
      <c r="H3304" s="10" t="s">
        <v>322</v>
      </c>
      <c r="I3304" s="10" t="s">
        <v>83</v>
      </c>
      <c r="J3304" s="10">
        <v>3</v>
      </c>
      <c r="K3304" s="12">
        <v>44972</v>
      </c>
      <c r="L3304" s="33">
        <v>0.56929398148148147</v>
      </c>
      <c r="M3304" s="10">
        <v>1</v>
      </c>
      <c r="N3304" s="10" t="s">
        <v>84</v>
      </c>
      <c r="O3304" s="10">
        <v>3.64</v>
      </c>
      <c r="P3304" s="10">
        <v>0.26200000000000001</v>
      </c>
      <c r="Q3304" s="10">
        <v>226</v>
      </c>
      <c r="R3304" s="10" t="s">
        <v>85</v>
      </c>
      <c r="S3304" s="34">
        <f t="shared" si="372"/>
        <v>242.75607296000001</v>
      </c>
      <c r="T3304" s="10" t="s">
        <v>1246</v>
      </c>
      <c r="U3304" s="34" t="str">
        <f t="shared" si="373"/>
        <v/>
      </c>
      <c r="V3304" s="31" t="str">
        <f>IF(H3304="CHK",VLOOKUP(I3304,QCCHK,3,),IF(H3304="GUP",VLOOKUP(E3304,QCGUP,2,),IF(AND(H3304="ATP",OR(I3304="TN",I3304="TDN",I3304="TNO2-3",I3304="NO2-3")),VLOOKUP(E3304,QCREC_N,2,),IF(AND(H3304="NIC",OR(I3304="TN",I3304="TDN",I3304="TNO2-3",I3304="NO2-3")),VLOOKUP(E3304,QCNIC_N,2,),IF(AND(H3304="UREA",OR(I3304="TN",I3304="TDN",I3304="TNO2-3",I3304="NO2-3")),VLOOKUP(E3304,QCUREA_N,2,),IF(H3304="PER",VLOOKUP(I3304,QCPER,MATCH(E3304,QCACTUAL!$J$25:$AA$25,0),),IF(H3304="SPK",VLOOKUP(I3304,QCSPK,3,),IF(AND(H3304="ATP",OR(I3304="TP",I3304="TDP")),VLOOKUP(E3304,QCATP_P,2,),""))))))))</f>
        <v/>
      </c>
      <c r="W3304" s="31" t="str">
        <f t="shared" si="374"/>
        <v>TRUE</v>
      </c>
      <c r="X3304" s="31" t="str">
        <f t="shared" si="371"/>
        <v/>
      </c>
      <c r="Y3304" s="10" t="s">
        <v>1232</v>
      </c>
      <c r="Z3304" s="10" t="s">
        <v>910</v>
      </c>
      <c r="AF3304" s="12">
        <v>44972</v>
      </c>
      <c r="AH3304" s="10">
        <f>-3.4074*3.64^2+90.534*3.64-41.641</f>
        <v>242.75607296000001</v>
      </c>
      <c r="AI3304" s="10">
        <f>-1.4395*3.64^2+80.835*3.64-35.016</f>
        <v>240.15060079999998</v>
      </c>
      <c r="AK3304" s="10">
        <f>-0.0466*3.64^2+68.24*3.64-22.954</f>
        <v>224.82216863999997</v>
      </c>
      <c r="AL3304" s="10" t="str">
        <f t="shared" si="376"/>
        <v>FALSE</v>
      </c>
      <c r="AM3304" s="10" t="str">
        <f t="shared" si="376"/>
        <v>y=-3.4074*3.64^2+90.534*3.64-41.641</v>
      </c>
      <c r="AN3304" s="10" t="str">
        <f t="shared" si="376"/>
        <v>y=-1.4395*3.64^2+80.835*3.64-35.016</v>
      </c>
      <c r="AO3304" s="10" t="str">
        <f t="shared" si="377"/>
        <v>FALSE</v>
      </c>
      <c r="AP3304" s="10" t="str">
        <f t="shared" si="377"/>
        <v>y=-0.0466*3.64^2+68.24*3.64-22.954</v>
      </c>
      <c r="AQ3304" s="10" t="b">
        <f>IF(AND(I3304="TP",S3304&lt;=150),VLOOKUP(AF3304,TPCalibEq150!$AZ$2:$BB$55,3,),IF(AND(I3304="TDP",S3304&lt;=150),VLOOKUP(AF3304,TPCalibEq150!$AZ$2:$BB$55,3,)))</f>
        <v>0</v>
      </c>
      <c r="AR3304" s="10" t="str">
        <f>IF(AND(I3304="TP",S3304&lt;=300),VLOOKUP(AF3304,TPCalibEq300!$AZ$2:$BB$55,3,),IF(AND(I3304="TDP",S3304&lt;=300),VLOOKUP(AF3304,TPCalibEq300!$AZ$2:$BB$55,3,)))</f>
        <v>y=-3.4074x2+90.534x-41.641</v>
      </c>
      <c r="AS3304" s="10" t="str">
        <f>IF(AND(I3304="TP",S3304&lt;=500),VLOOKUP(AF3304,TPCalibEq500!$AZ$2:$BB$56,3,),IF(AND(I3304="TDP",S3304&lt;=500),VLOOKUP(AF3304,TPCalibEq500!$AZ$2:$BB$56,3,)))</f>
        <v>y=-1.4395x2+80.835x-35.016</v>
      </c>
      <c r="AT3304" s="10" t="b">
        <f>IF(AND(I3304="TN",S3304&lt;=2800),VLOOKUP(AF3304,TNCalibEq2500!$AZ$2:$BB$56,3,),IF(AND(I3304="TDN",S3304&lt;=2800),VLOOKUP(AF3304,TNCalibEq2500!$AZ$2:$BB$56,3,)))</f>
        <v>0</v>
      </c>
      <c r="AU3304" s="10" t="str">
        <f>IF(I3304="TP",VLOOKUP(AF3304,TPCalibEqFull!$AZ$2:$BB$56,3),IF(I3304="TDP",VLOOKUP(AF3304,TPCalibEqFull!$AZ$2:$BB$56,3),IF(I3304="TDN",VLOOKUP(AF3304,TNCalibEqFull!$AZ$1:$BB$56,3),IF(I3304="TN",VLOOKUP(AF3304,TNCalibEqFull!$AZ$1:$BB$56,3),FALSE))))</f>
        <v>y=-0.0466x2+68.24x-22.954</v>
      </c>
      <c r="AV3304" s="10" t="str">
        <f t="shared" si="375"/>
        <v>0209 09:51:00-EFK-0-C-1-SW-UKN</v>
      </c>
    </row>
    <row r="3305" spans="1:48" s="10" customFormat="1" x14ac:dyDescent="0.55000000000000004">
      <c r="A3305" s="32">
        <v>44966</v>
      </c>
      <c r="B3305" s="33">
        <v>0.42708333333333331</v>
      </c>
      <c r="C3305" s="10" t="s">
        <v>333</v>
      </c>
      <c r="D3305" s="10">
        <v>0</v>
      </c>
      <c r="E3305" s="10" t="s">
        <v>190</v>
      </c>
      <c r="F3305" s="10">
        <v>1</v>
      </c>
      <c r="G3305" s="10" t="s">
        <v>231</v>
      </c>
      <c r="H3305" s="10" t="s">
        <v>322</v>
      </c>
      <c r="I3305" s="10" t="s">
        <v>83</v>
      </c>
      <c r="J3305" s="10">
        <v>4</v>
      </c>
      <c r="K3305" s="12">
        <v>44972</v>
      </c>
      <c r="L3305" s="33">
        <v>0.56998842592592591</v>
      </c>
      <c r="M3305" s="10">
        <v>1</v>
      </c>
      <c r="N3305" s="10" t="s">
        <v>84</v>
      </c>
      <c r="O3305" s="10">
        <v>2.61</v>
      </c>
      <c r="P3305" s="10">
        <v>0.188</v>
      </c>
      <c r="Q3305" s="10">
        <v>156</v>
      </c>
      <c r="R3305" s="10" t="s">
        <v>85</v>
      </c>
      <c r="S3305" s="34">
        <f t="shared" si="372"/>
        <v>171.44119046000003</v>
      </c>
      <c r="T3305" s="10" t="s">
        <v>1246</v>
      </c>
      <c r="U3305" s="34" t="str">
        <f t="shared" si="373"/>
        <v/>
      </c>
      <c r="V3305" s="31" t="str">
        <f>IF(H3305="CHK",VLOOKUP(I3305,QCCHK,3,),IF(H3305="GUP",VLOOKUP(E3305,QCGUP,2,),IF(AND(H3305="ATP",OR(I3305="TN",I3305="TDN",I3305="TNO2-3",I3305="NO2-3")),VLOOKUP(E3305,QCREC_N,2,),IF(AND(H3305="NIC",OR(I3305="TN",I3305="TDN",I3305="TNO2-3",I3305="NO2-3")),VLOOKUP(E3305,QCNIC_N,2,),IF(AND(H3305="UREA",OR(I3305="TN",I3305="TDN",I3305="TNO2-3",I3305="NO2-3")),VLOOKUP(E3305,QCUREA_N,2,),IF(H3305="PER",VLOOKUP(I3305,QCPER,MATCH(E3305,QCACTUAL!$J$25:$AA$25,0),),IF(H3305="SPK",VLOOKUP(I3305,QCSPK,3,),IF(AND(H3305="ATP",OR(I3305="TP",I3305="TDP")),VLOOKUP(E3305,QCATP_P,2,),""))))))))</f>
        <v/>
      </c>
      <c r="W3305" s="31" t="str">
        <f t="shared" si="374"/>
        <v>TRUE</v>
      </c>
      <c r="X3305" s="31" t="str">
        <f t="shared" si="371"/>
        <v/>
      </c>
      <c r="Y3305" s="10" t="s">
        <v>1232</v>
      </c>
      <c r="Z3305" s="10" t="s">
        <v>910</v>
      </c>
      <c r="AF3305" s="12">
        <v>44972</v>
      </c>
      <c r="AH3305" s="10">
        <f>-3.4074*2.61^2+90.534*2.61-41.641</f>
        <v>171.44119046000003</v>
      </c>
      <c r="AI3305" s="10">
        <f>-1.4395*2.61^2+80.835*2.61-35.016</f>
        <v>166.15733204999998</v>
      </c>
      <c r="AK3305" s="10">
        <f>-0.0466*2.61^2+68.24*2.61-22.954</f>
        <v>154.83495613999997</v>
      </c>
      <c r="AL3305" s="10" t="str">
        <f t="shared" si="376"/>
        <v>FALSE</v>
      </c>
      <c r="AM3305" s="10" t="str">
        <f t="shared" si="376"/>
        <v>y=-3.4074*2.61^2+90.534*2.61-41.641</v>
      </c>
      <c r="AN3305" s="10" t="str">
        <f t="shared" si="376"/>
        <v>y=-1.4395*2.61^2+80.835*2.61-35.016</v>
      </c>
      <c r="AO3305" s="10" t="str">
        <f t="shared" si="377"/>
        <v>FALSE</v>
      </c>
      <c r="AP3305" s="10" t="str">
        <f t="shared" si="377"/>
        <v>y=-0.0466*2.61^2+68.24*2.61-22.954</v>
      </c>
      <c r="AQ3305" s="10" t="b">
        <f>IF(AND(I3305="TP",S3305&lt;=150),VLOOKUP(AF3305,TPCalibEq150!$AZ$2:$BB$55,3,),IF(AND(I3305="TDP",S3305&lt;=150),VLOOKUP(AF3305,TPCalibEq150!$AZ$2:$BB$55,3,)))</f>
        <v>0</v>
      </c>
      <c r="AR3305" s="10" t="str">
        <f>IF(AND(I3305="TP",S3305&lt;=300),VLOOKUP(AF3305,TPCalibEq300!$AZ$2:$BB$55,3,),IF(AND(I3305="TDP",S3305&lt;=300),VLOOKUP(AF3305,TPCalibEq300!$AZ$2:$BB$55,3,)))</f>
        <v>y=-3.4074x2+90.534x-41.641</v>
      </c>
      <c r="AS3305" s="10" t="str">
        <f>IF(AND(I3305="TP",S3305&lt;=500),VLOOKUP(AF3305,TPCalibEq500!$AZ$2:$BB$56,3,),IF(AND(I3305="TDP",S3305&lt;=500),VLOOKUP(AF3305,TPCalibEq500!$AZ$2:$BB$56,3,)))</f>
        <v>y=-1.4395x2+80.835x-35.016</v>
      </c>
      <c r="AT3305" s="10" t="b">
        <f>IF(AND(I3305="TN",S3305&lt;=2800),VLOOKUP(AF3305,TNCalibEq2500!$AZ$2:$BB$56,3,),IF(AND(I3305="TDN",S3305&lt;=2800),VLOOKUP(AF3305,TNCalibEq2500!$AZ$2:$BB$56,3,)))</f>
        <v>0</v>
      </c>
      <c r="AU3305" s="10" t="str">
        <f>IF(I3305="TP",VLOOKUP(AF3305,TPCalibEqFull!$AZ$2:$BB$56,3),IF(I3305="TDP",VLOOKUP(AF3305,TPCalibEqFull!$AZ$2:$BB$56,3),IF(I3305="TDN",VLOOKUP(AF3305,TNCalibEqFull!$AZ$1:$BB$56,3),IF(I3305="TN",VLOOKUP(AF3305,TNCalibEqFull!$AZ$1:$BB$56,3),FALSE))))</f>
        <v>y=-0.0466x2+68.24x-22.954</v>
      </c>
      <c r="AV3305" s="10" t="str">
        <f t="shared" si="375"/>
        <v>0209 10:15:00-HST-0-C-1-SW-UKN</v>
      </c>
    </row>
    <row r="3306" spans="1:48" s="10" customFormat="1" x14ac:dyDescent="0.55000000000000004">
      <c r="A3306" s="32">
        <v>44967</v>
      </c>
      <c r="B3306" s="33">
        <v>0.59791666666666665</v>
      </c>
      <c r="C3306" s="10" t="s">
        <v>279</v>
      </c>
      <c r="D3306" s="10">
        <v>0</v>
      </c>
      <c r="E3306" s="10" t="s">
        <v>190</v>
      </c>
      <c r="F3306" s="10">
        <v>1</v>
      </c>
      <c r="G3306" s="10" t="s">
        <v>231</v>
      </c>
      <c r="H3306" s="10" t="s">
        <v>322</v>
      </c>
      <c r="I3306" s="10" t="s">
        <v>83</v>
      </c>
      <c r="J3306" s="10">
        <v>5</v>
      </c>
      <c r="K3306" s="12">
        <v>44972</v>
      </c>
      <c r="L3306" s="33">
        <v>0.57068287037037035</v>
      </c>
      <c r="M3306" s="10">
        <v>1</v>
      </c>
      <c r="N3306" s="10" t="s">
        <v>84</v>
      </c>
      <c r="O3306" s="10">
        <v>2.75</v>
      </c>
      <c r="P3306" s="10">
        <v>0.19900000000000001</v>
      </c>
      <c r="Q3306" s="10">
        <v>166</v>
      </c>
      <c r="R3306" s="10" t="s">
        <v>85</v>
      </c>
      <c r="S3306" s="34">
        <f t="shared" si="372"/>
        <v>181.55903750000002</v>
      </c>
      <c r="T3306" s="10" t="s">
        <v>1246</v>
      </c>
      <c r="U3306" s="34" t="str">
        <f t="shared" si="373"/>
        <v/>
      </c>
      <c r="V3306" s="31" t="str">
        <f>IF(H3306="CHK",VLOOKUP(I3306,QCCHK,3,),IF(H3306="GUP",VLOOKUP(E3306,QCGUP,2,),IF(AND(H3306="ATP",OR(I3306="TN",I3306="TDN",I3306="TNO2-3",I3306="NO2-3")),VLOOKUP(E3306,QCREC_N,2,),IF(AND(H3306="NIC",OR(I3306="TN",I3306="TDN",I3306="TNO2-3",I3306="NO2-3")),VLOOKUP(E3306,QCNIC_N,2,),IF(AND(H3306="UREA",OR(I3306="TN",I3306="TDN",I3306="TNO2-3",I3306="NO2-3")),VLOOKUP(E3306,QCUREA_N,2,),IF(H3306="PER",VLOOKUP(I3306,QCPER,MATCH(E3306,QCACTUAL!$J$25:$AA$25,0),),IF(H3306="SPK",VLOOKUP(I3306,QCSPK,3,),IF(AND(H3306="ATP",OR(I3306="TP",I3306="TDP")),VLOOKUP(E3306,QCATP_P,2,),""))))))))</f>
        <v/>
      </c>
      <c r="W3306" s="31" t="str">
        <f t="shared" si="374"/>
        <v>TRUE</v>
      </c>
      <c r="X3306" s="31" t="str">
        <f t="shared" si="371"/>
        <v/>
      </c>
      <c r="Y3306" s="10" t="s">
        <v>1232</v>
      </c>
      <c r="Z3306" s="10" t="s">
        <v>910</v>
      </c>
      <c r="AF3306" s="12">
        <v>44972</v>
      </c>
      <c r="AH3306" s="10">
        <f>-3.4074*2.75^2+90.534*2.75-41.641</f>
        <v>181.55903750000002</v>
      </c>
      <c r="AI3306" s="10">
        <f>-1.4395*2.75^2+80.835*2.75-35.016</f>
        <v>176.39403124999998</v>
      </c>
      <c r="AK3306" s="10">
        <f>-0.0466*2.75^2+68.24*2.75-22.954</f>
        <v>164.35358749999997</v>
      </c>
      <c r="AL3306" s="10" t="str">
        <f t="shared" si="376"/>
        <v>FALSE</v>
      </c>
      <c r="AM3306" s="10" t="str">
        <f t="shared" si="376"/>
        <v>y=-3.4074*2.75^2+90.534*2.75-41.641</v>
      </c>
      <c r="AN3306" s="10" t="str">
        <f t="shared" si="376"/>
        <v>y=-1.4395*2.75^2+80.835*2.75-35.016</v>
      </c>
      <c r="AO3306" s="10" t="str">
        <f t="shared" si="377"/>
        <v>FALSE</v>
      </c>
      <c r="AP3306" s="10" t="str">
        <f t="shared" si="377"/>
        <v>y=-0.0466*2.75^2+68.24*2.75-22.954</v>
      </c>
      <c r="AQ3306" s="10" t="b">
        <f>IF(AND(I3306="TP",S3306&lt;=150),VLOOKUP(AF3306,TPCalibEq150!$AZ$2:$BB$55,3,),IF(AND(I3306="TDP",S3306&lt;=150),VLOOKUP(AF3306,TPCalibEq150!$AZ$2:$BB$55,3,)))</f>
        <v>0</v>
      </c>
      <c r="AR3306" s="10" t="str">
        <f>IF(AND(I3306="TP",S3306&lt;=300),VLOOKUP(AF3306,TPCalibEq300!$AZ$2:$BB$55,3,),IF(AND(I3306="TDP",S3306&lt;=300),VLOOKUP(AF3306,TPCalibEq300!$AZ$2:$BB$55,3,)))</f>
        <v>y=-3.4074x2+90.534x-41.641</v>
      </c>
      <c r="AS3306" s="10" t="str">
        <f>IF(AND(I3306="TP",S3306&lt;=500),VLOOKUP(AF3306,TPCalibEq500!$AZ$2:$BB$56,3,),IF(AND(I3306="TDP",S3306&lt;=500),VLOOKUP(AF3306,TPCalibEq500!$AZ$2:$BB$56,3,)))</f>
        <v>y=-1.4395x2+80.835x-35.016</v>
      </c>
      <c r="AT3306" s="10" t="b">
        <f>IF(AND(I3306="TN",S3306&lt;=2800),VLOOKUP(AF3306,TNCalibEq2500!$AZ$2:$BB$56,3,),IF(AND(I3306="TDN",S3306&lt;=2800),VLOOKUP(AF3306,TNCalibEq2500!$AZ$2:$BB$56,3,)))</f>
        <v>0</v>
      </c>
      <c r="AU3306" s="10" t="str">
        <f>IF(I3306="TP",VLOOKUP(AF3306,TPCalibEqFull!$AZ$2:$BB$56,3),IF(I3306="TDP",VLOOKUP(AF3306,TPCalibEqFull!$AZ$2:$BB$56,3),IF(I3306="TDN",VLOOKUP(AF3306,TNCalibEqFull!$AZ$1:$BB$56,3),IF(I3306="TN",VLOOKUP(AF3306,TNCalibEqFull!$AZ$1:$BB$56,3),FALSE))))</f>
        <v>y=-0.0466x2+68.24x-22.954</v>
      </c>
      <c r="AV3306" s="10" t="str">
        <f t="shared" si="375"/>
        <v>0210 14:21:00-EFK-0-C-1-SW-UKN</v>
      </c>
    </row>
    <row r="3307" spans="1:48" s="10" customFormat="1" x14ac:dyDescent="0.55000000000000004">
      <c r="A3307" s="32">
        <v>44967</v>
      </c>
      <c r="B3307" s="33">
        <v>0.60069444444444442</v>
      </c>
      <c r="C3307" s="10" t="s">
        <v>333</v>
      </c>
      <c r="D3307" s="10">
        <v>0</v>
      </c>
      <c r="E3307" s="10" t="s">
        <v>190</v>
      </c>
      <c r="F3307" s="10">
        <v>1</v>
      </c>
      <c r="G3307" s="10" t="s">
        <v>231</v>
      </c>
      <c r="H3307" s="10" t="s">
        <v>322</v>
      </c>
      <c r="I3307" s="10" t="s">
        <v>83</v>
      </c>
      <c r="J3307" s="10">
        <v>6</v>
      </c>
      <c r="K3307" s="12">
        <v>44972</v>
      </c>
      <c r="L3307" s="33">
        <v>0.5713773148148148</v>
      </c>
      <c r="M3307" s="10">
        <v>1</v>
      </c>
      <c r="N3307" s="10" t="s">
        <v>84</v>
      </c>
      <c r="O3307" s="10">
        <v>3.14</v>
      </c>
      <c r="P3307" s="10">
        <v>0.22500000000000001</v>
      </c>
      <c r="Q3307" s="10">
        <v>192</v>
      </c>
      <c r="R3307" s="10" t="s">
        <v>85</v>
      </c>
      <c r="S3307" s="34">
        <f t="shared" si="372"/>
        <v>209.04015896000004</v>
      </c>
      <c r="T3307" s="10" t="s">
        <v>1246</v>
      </c>
      <c r="U3307" s="34" t="str">
        <f t="shared" si="373"/>
        <v/>
      </c>
      <c r="V3307" s="31" t="str">
        <f>IF(H3307="CHK",VLOOKUP(I3307,QCCHK,3,),IF(H3307="GUP",VLOOKUP(E3307,QCGUP,2,),IF(AND(H3307="ATP",OR(I3307="TN",I3307="TDN",I3307="TNO2-3",I3307="NO2-3")),VLOOKUP(E3307,QCREC_N,2,),IF(AND(H3307="NIC",OR(I3307="TN",I3307="TDN",I3307="TNO2-3",I3307="NO2-3")),VLOOKUP(E3307,QCNIC_N,2,),IF(AND(H3307="UREA",OR(I3307="TN",I3307="TDN",I3307="TNO2-3",I3307="NO2-3")),VLOOKUP(E3307,QCUREA_N,2,),IF(H3307="PER",VLOOKUP(I3307,QCPER,MATCH(E3307,QCACTUAL!$J$25:$AA$25,0),),IF(H3307="SPK",VLOOKUP(I3307,QCSPK,3,),IF(AND(H3307="ATP",OR(I3307="TP",I3307="TDP")),VLOOKUP(E3307,QCATP_P,2,),""))))))))</f>
        <v/>
      </c>
      <c r="W3307" s="31" t="str">
        <f t="shared" si="374"/>
        <v>TRUE</v>
      </c>
      <c r="X3307" s="31" t="str">
        <f t="shared" si="371"/>
        <v/>
      </c>
      <c r="Y3307" s="10" t="s">
        <v>1232</v>
      </c>
      <c r="Z3307" s="10" t="s">
        <v>910</v>
      </c>
      <c r="AF3307" s="12">
        <v>44972</v>
      </c>
      <c r="AH3307" s="10">
        <f>-3.4074*3.14^2+90.534*3.14-41.641</f>
        <v>209.04015896000004</v>
      </c>
      <c r="AI3307" s="10">
        <f>-1.4395*3.14^2+80.835*3.14-35.016</f>
        <v>204.6130058</v>
      </c>
      <c r="AK3307" s="10">
        <f>-0.0466*3.14^2+68.24*3.14-22.954</f>
        <v>190.86014263999999</v>
      </c>
      <c r="AL3307" s="10" t="str">
        <f t="shared" si="376"/>
        <v>FALSE</v>
      </c>
      <c r="AM3307" s="10" t="str">
        <f t="shared" si="376"/>
        <v>y=-3.4074*3.14^2+90.534*3.14-41.641</v>
      </c>
      <c r="AN3307" s="10" t="str">
        <f t="shared" si="376"/>
        <v>y=-1.4395*3.14^2+80.835*3.14-35.016</v>
      </c>
      <c r="AO3307" s="10" t="str">
        <f t="shared" si="377"/>
        <v>FALSE</v>
      </c>
      <c r="AP3307" s="10" t="str">
        <f t="shared" si="377"/>
        <v>y=-0.0466*3.14^2+68.24*3.14-22.954</v>
      </c>
      <c r="AQ3307" s="10" t="b">
        <f>IF(AND(I3307="TP",S3307&lt;=150),VLOOKUP(AF3307,TPCalibEq150!$AZ$2:$BB$55,3,),IF(AND(I3307="TDP",S3307&lt;=150),VLOOKUP(AF3307,TPCalibEq150!$AZ$2:$BB$55,3,)))</f>
        <v>0</v>
      </c>
      <c r="AR3307" s="10" t="str">
        <f>IF(AND(I3307="TP",S3307&lt;=300),VLOOKUP(AF3307,TPCalibEq300!$AZ$2:$BB$55,3,),IF(AND(I3307="TDP",S3307&lt;=300),VLOOKUP(AF3307,TPCalibEq300!$AZ$2:$BB$55,3,)))</f>
        <v>y=-3.4074x2+90.534x-41.641</v>
      </c>
      <c r="AS3307" s="10" t="str">
        <f>IF(AND(I3307="TP",S3307&lt;=500),VLOOKUP(AF3307,TPCalibEq500!$AZ$2:$BB$56,3,),IF(AND(I3307="TDP",S3307&lt;=500),VLOOKUP(AF3307,TPCalibEq500!$AZ$2:$BB$56,3,)))</f>
        <v>y=-1.4395x2+80.835x-35.016</v>
      </c>
      <c r="AT3307" s="10" t="b">
        <f>IF(AND(I3307="TN",S3307&lt;=2800),VLOOKUP(AF3307,TNCalibEq2500!$AZ$2:$BB$56,3,),IF(AND(I3307="TDN",S3307&lt;=2800),VLOOKUP(AF3307,TNCalibEq2500!$AZ$2:$BB$56,3,)))</f>
        <v>0</v>
      </c>
      <c r="AU3307" s="10" t="str">
        <f>IF(I3307="TP",VLOOKUP(AF3307,TPCalibEqFull!$AZ$2:$BB$56,3),IF(I3307="TDP",VLOOKUP(AF3307,TPCalibEqFull!$AZ$2:$BB$56,3),IF(I3307="TDN",VLOOKUP(AF3307,TNCalibEqFull!$AZ$1:$BB$56,3),IF(I3307="TN",VLOOKUP(AF3307,TNCalibEqFull!$AZ$1:$BB$56,3),FALSE))))</f>
        <v>y=-0.0466x2+68.24x-22.954</v>
      </c>
      <c r="AV3307" s="10" t="str">
        <f t="shared" si="375"/>
        <v>0210 14:25:00-HST-0-C-1-SW-UKN</v>
      </c>
    </row>
    <row r="3308" spans="1:48" s="10" customFormat="1" x14ac:dyDescent="0.55000000000000004">
      <c r="A3308" s="32">
        <v>44970</v>
      </c>
      <c r="B3308" s="33">
        <v>0.32777777777777778</v>
      </c>
      <c r="C3308" s="10" t="s">
        <v>279</v>
      </c>
      <c r="D3308" s="10">
        <v>0</v>
      </c>
      <c r="E3308" s="10" t="s">
        <v>190</v>
      </c>
      <c r="F3308" s="10">
        <v>1</v>
      </c>
      <c r="G3308" s="10" t="s">
        <v>231</v>
      </c>
      <c r="H3308" s="10" t="s">
        <v>322</v>
      </c>
      <c r="I3308" s="10" t="s">
        <v>83</v>
      </c>
      <c r="J3308" s="10">
        <v>7</v>
      </c>
      <c r="K3308" s="12">
        <v>44972</v>
      </c>
      <c r="L3308" s="33">
        <v>0.57207175925925924</v>
      </c>
      <c r="M3308" s="10">
        <v>1</v>
      </c>
      <c r="N3308" s="10" t="s">
        <v>84</v>
      </c>
      <c r="O3308" s="10">
        <v>3.92</v>
      </c>
      <c r="P3308" s="10">
        <v>0.28599999999999998</v>
      </c>
      <c r="Q3308" s="10">
        <v>245</v>
      </c>
      <c r="R3308" s="10" t="s">
        <v>85</v>
      </c>
      <c r="S3308" s="34">
        <f t="shared" si="372"/>
        <v>260.89280864</v>
      </c>
      <c r="T3308" s="10" t="s">
        <v>1246</v>
      </c>
      <c r="U3308" s="34" t="str">
        <f t="shared" si="373"/>
        <v/>
      </c>
      <c r="V3308" s="31" t="str">
        <f>IF(H3308="CHK",VLOOKUP(I3308,QCCHK,3,),IF(H3308="GUP",VLOOKUP(E3308,QCGUP,2,),IF(AND(H3308="ATP",OR(I3308="TN",I3308="TDN",I3308="TNO2-3",I3308="NO2-3")),VLOOKUP(E3308,QCREC_N,2,),IF(AND(H3308="NIC",OR(I3308="TN",I3308="TDN",I3308="TNO2-3",I3308="NO2-3")),VLOOKUP(E3308,QCNIC_N,2,),IF(AND(H3308="UREA",OR(I3308="TN",I3308="TDN",I3308="TNO2-3",I3308="NO2-3")),VLOOKUP(E3308,QCUREA_N,2,),IF(H3308="PER",VLOOKUP(I3308,QCPER,MATCH(E3308,QCACTUAL!$J$25:$AA$25,0),),IF(H3308="SPK",VLOOKUP(I3308,QCSPK,3,),IF(AND(H3308="ATP",OR(I3308="TP",I3308="TDP")),VLOOKUP(E3308,QCATP_P,2,),""))))))))</f>
        <v/>
      </c>
      <c r="W3308" s="31" t="str">
        <f t="shared" si="374"/>
        <v>TRUE</v>
      </c>
      <c r="X3308" s="31" t="str">
        <f t="shared" si="371"/>
        <v/>
      </c>
      <c r="Y3308" s="10" t="s">
        <v>1232</v>
      </c>
      <c r="Z3308" s="10" t="s">
        <v>910</v>
      </c>
      <c r="AF3308" s="12">
        <v>44972</v>
      </c>
      <c r="AH3308" s="10">
        <f>-3.4074*3.92^2+90.534*3.92-41.641</f>
        <v>260.89280864</v>
      </c>
      <c r="AI3308" s="10">
        <f>-1.4395*3.92^2+80.835*3.92-35.016</f>
        <v>259.73726719999996</v>
      </c>
      <c r="AK3308" s="10">
        <f>-0.0466*3.92^2+68.24*3.92-22.954</f>
        <v>243.83072575999995</v>
      </c>
      <c r="AL3308" s="10" t="str">
        <f t="shared" si="376"/>
        <v>FALSE</v>
      </c>
      <c r="AM3308" s="10" t="str">
        <f t="shared" si="376"/>
        <v>y=-3.4074*3.92^2+90.534*3.92-41.641</v>
      </c>
      <c r="AN3308" s="10" t="str">
        <f t="shared" si="376"/>
        <v>y=-1.4395*3.92^2+80.835*3.92-35.016</v>
      </c>
      <c r="AO3308" s="10" t="str">
        <f t="shared" si="377"/>
        <v>FALSE</v>
      </c>
      <c r="AP3308" s="10" t="str">
        <f t="shared" si="377"/>
        <v>y=-0.0466*3.92^2+68.24*3.92-22.954</v>
      </c>
      <c r="AQ3308" s="10" t="b">
        <f>IF(AND(I3308="TP",S3308&lt;=150),VLOOKUP(AF3308,TPCalibEq150!$AZ$2:$BB$55,3,),IF(AND(I3308="TDP",S3308&lt;=150),VLOOKUP(AF3308,TPCalibEq150!$AZ$2:$BB$55,3,)))</f>
        <v>0</v>
      </c>
      <c r="AR3308" s="10" t="str">
        <f>IF(AND(I3308="TP",S3308&lt;=300),VLOOKUP(AF3308,TPCalibEq300!$AZ$2:$BB$55,3,),IF(AND(I3308="TDP",S3308&lt;=300),VLOOKUP(AF3308,TPCalibEq300!$AZ$2:$BB$55,3,)))</f>
        <v>y=-3.4074x2+90.534x-41.641</v>
      </c>
      <c r="AS3308" s="10" t="str">
        <f>IF(AND(I3308="TP",S3308&lt;=500),VLOOKUP(AF3308,TPCalibEq500!$AZ$2:$BB$56,3,),IF(AND(I3308="TDP",S3308&lt;=500),VLOOKUP(AF3308,TPCalibEq500!$AZ$2:$BB$56,3,)))</f>
        <v>y=-1.4395x2+80.835x-35.016</v>
      </c>
      <c r="AT3308" s="10" t="b">
        <f>IF(AND(I3308="TN",S3308&lt;=2800),VLOOKUP(AF3308,TNCalibEq2500!$AZ$2:$BB$56,3,),IF(AND(I3308="TDN",S3308&lt;=2800),VLOOKUP(AF3308,TNCalibEq2500!$AZ$2:$BB$56,3,)))</f>
        <v>0</v>
      </c>
      <c r="AU3308" s="10" t="str">
        <f>IF(I3308="TP",VLOOKUP(AF3308,TPCalibEqFull!$AZ$2:$BB$56,3),IF(I3308="TDP",VLOOKUP(AF3308,TPCalibEqFull!$AZ$2:$BB$56,3),IF(I3308="TDN",VLOOKUP(AF3308,TNCalibEqFull!$AZ$1:$BB$56,3),IF(I3308="TN",VLOOKUP(AF3308,TNCalibEqFull!$AZ$1:$BB$56,3),FALSE))))</f>
        <v>y=-0.0466x2+68.24x-22.954</v>
      </c>
      <c r="AV3308" s="10" t="str">
        <f t="shared" si="375"/>
        <v>0213 07:52:00-EFK-0-C-1-SW-UKN</v>
      </c>
    </row>
    <row r="3309" spans="1:48" s="10" customFormat="1" x14ac:dyDescent="0.55000000000000004">
      <c r="A3309" s="32">
        <v>44970</v>
      </c>
      <c r="B3309" s="33">
        <v>0.26458333333333334</v>
      </c>
      <c r="C3309" s="10" t="s">
        <v>333</v>
      </c>
      <c r="D3309" s="10">
        <v>0</v>
      </c>
      <c r="E3309" s="10" t="s">
        <v>190</v>
      </c>
      <c r="F3309" s="10">
        <v>1</v>
      </c>
      <c r="G3309" s="10" t="s">
        <v>231</v>
      </c>
      <c r="H3309" s="10" t="s">
        <v>322</v>
      </c>
      <c r="I3309" s="10" t="s">
        <v>83</v>
      </c>
      <c r="J3309" s="10">
        <v>8</v>
      </c>
      <c r="K3309" s="12">
        <v>44972</v>
      </c>
      <c r="L3309" s="33">
        <v>0.57277777777777772</v>
      </c>
      <c r="M3309" s="10">
        <v>1</v>
      </c>
      <c r="N3309" s="10" t="s">
        <v>84</v>
      </c>
      <c r="O3309" s="10">
        <v>1.68</v>
      </c>
      <c r="P3309" s="10">
        <v>0.11899999999999999</v>
      </c>
      <c r="Q3309" s="10">
        <v>92.7</v>
      </c>
      <c r="R3309" s="10" t="s">
        <v>85</v>
      </c>
      <c r="S3309" s="34">
        <f t="shared" si="372"/>
        <v>103.06417663999999</v>
      </c>
      <c r="T3309" s="10" t="s">
        <v>1246</v>
      </c>
      <c r="U3309" s="34" t="str">
        <f t="shared" si="373"/>
        <v/>
      </c>
      <c r="V3309" s="31" t="str">
        <f>IF(H3309="CHK",VLOOKUP(I3309,QCCHK,3,),IF(H3309="GUP",VLOOKUP(E3309,QCGUP,2,),IF(AND(H3309="ATP",OR(I3309="TN",I3309="TDN",I3309="TNO2-3",I3309="NO2-3")),VLOOKUP(E3309,QCREC_N,2,),IF(AND(H3309="NIC",OR(I3309="TN",I3309="TDN",I3309="TNO2-3",I3309="NO2-3")),VLOOKUP(E3309,QCNIC_N,2,),IF(AND(H3309="UREA",OR(I3309="TN",I3309="TDN",I3309="TNO2-3",I3309="NO2-3")),VLOOKUP(E3309,QCUREA_N,2,),IF(H3309="PER",VLOOKUP(I3309,QCPER,MATCH(E3309,QCACTUAL!$J$25:$AA$25,0),),IF(H3309="SPK",VLOOKUP(I3309,QCSPK,3,),IF(AND(H3309="ATP",OR(I3309="TP",I3309="TDP")),VLOOKUP(E3309,QCATP_P,2,),""))))))))</f>
        <v/>
      </c>
      <c r="W3309" s="31" t="str">
        <f t="shared" si="374"/>
        <v>TRUE</v>
      </c>
      <c r="X3309" s="31" t="str">
        <f t="shared" si="371"/>
        <v/>
      </c>
      <c r="Y3309" s="10" t="s">
        <v>1232</v>
      </c>
      <c r="Z3309" s="10" t="s">
        <v>910</v>
      </c>
      <c r="AF3309" s="12">
        <v>44972</v>
      </c>
      <c r="AG3309" s="10">
        <f>-8.1564*1.68^2+103.56*1.68-47.896</f>
        <v>103.06417663999999</v>
      </c>
      <c r="AH3309" s="10">
        <f>-3.4074*1.68^2+90.534*1.68-41.641</f>
        <v>100.83907424000003</v>
      </c>
      <c r="AI3309" s="10">
        <f>-1.4395*1.68^2+80.835*1.68-35.016</f>
        <v>96.723955200000006</v>
      </c>
      <c r="AK3309" s="10">
        <f>-0.0466*1.68^2+68.24*1.68-22.954</f>
        <v>91.55767616</v>
      </c>
      <c r="AL3309" s="10" t="str">
        <f t="shared" si="376"/>
        <v>y=-8.1564*1.68^2+103.56*1.68-47.896</v>
      </c>
      <c r="AM3309" s="10" t="str">
        <f t="shared" si="376"/>
        <v>y=-3.4074*1.68^2+90.534*1.68-41.641</v>
      </c>
      <c r="AN3309" s="10" t="str">
        <f t="shared" si="376"/>
        <v>y=-1.4395*1.68^2+80.835*1.68-35.016</v>
      </c>
      <c r="AO3309" s="10" t="str">
        <f t="shared" si="377"/>
        <v>FALSE</v>
      </c>
      <c r="AP3309" s="10" t="str">
        <f t="shared" si="377"/>
        <v>y=-0.0466*1.68^2+68.24*1.68-22.954</v>
      </c>
      <c r="AQ3309" s="10" t="str">
        <f>IF(AND(I3309="TP",S3309&lt;=150),VLOOKUP(AF3309,TPCalibEq150!$AZ$2:$BB$55,3,),IF(AND(I3309="TDP",S3309&lt;=150),VLOOKUP(AF3309,TPCalibEq150!$AZ$2:$BB$55,3,)))</f>
        <v>y=-8.1564x2+103.56x-47.896</v>
      </c>
      <c r="AR3309" s="10" t="str">
        <f>IF(AND(I3309="TP",S3309&lt;=300),VLOOKUP(AF3309,TPCalibEq300!$AZ$2:$BB$55,3,),IF(AND(I3309="TDP",S3309&lt;=300),VLOOKUP(AF3309,TPCalibEq300!$AZ$2:$BB$55,3,)))</f>
        <v>y=-3.4074x2+90.534x-41.641</v>
      </c>
      <c r="AS3309" s="10" t="str">
        <f>IF(AND(I3309="TP",S3309&lt;=500),VLOOKUP(AF3309,TPCalibEq500!$AZ$2:$BB$56,3,),IF(AND(I3309="TDP",S3309&lt;=500),VLOOKUP(AF3309,TPCalibEq500!$AZ$2:$BB$56,3,)))</f>
        <v>y=-1.4395x2+80.835x-35.016</v>
      </c>
      <c r="AT3309" s="10" t="b">
        <f>IF(AND(I3309="TN",S3309&lt;=2800),VLOOKUP(AF3309,TNCalibEq2500!$AZ$2:$BB$56,3,),IF(AND(I3309="TDN",S3309&lt;=2800),VLOOKUP(AF3309,TNCalibEq2500!$AZ$2:$BB$56,3,)))</f>
        <v>0</v>
      </c>
      <c r="AU3309" s="10" t="str">
        <f>IF(I3309="TP",VLOOKUP(AF3309,TPCalibEqFull!$AZ$2:$BB$56,3),IF(I3309="TDP",VLOOKUP(AF3309,TPCalibEqFull!$AZ$2:$BB$56,3),IF(I3309="TDN",VLOOKUP(AF3309,TNCalibEqFull!$AZ$1:$BB$56,3),IF(I3309="TN",VLOOKUP(AF3309,TNCalibEqFull!$AZ$1:$BB$56,3),FALSE))))</f>
        <v>y=-0.0466x2+68.24x-22.954</v>
      </c>
      <c r="AV3309" s="10" t="str">
        <f t="shared" si="375"/>
        <v>0213 06:21:00-HST-0-C-1-SW-UKN</v>
      </c>
    </row>
    <row r="3310" spans="1:48" s="10" customFormat="1" x14ac:dyDescent="0.55000000000000004">
      <c r="A3310" s="32">
        <v>44971</v>
      </c>
      <c r="B3310" s="33">
        <v>0.24097222222222223</v>
      </c>
      <c r="C3310" s="10" t="s">
        <v>279</v>
      </c>
      <c r="D3310" s="10">
        <v>0</v>
      </c>
      <c r="E3310" s="10" t="s">
        <v>190</v>
      </c>
      <c r="F3310" s="10">
        <v>1</v>
      </c>
      <c r="G3310" s="10" t="s">
        <v>231</v>
      </c>
      <c r="H3310" s="10" t="s">
        <v>322</v>
      </c>
      <c r="I3310" s="10" t="s">
        <v>83</v>
      </c>
      <c r="J3310" s="10">
        <v>9</v>
      </c>
      <c r="K3310" s="12">
        <v>44972</v>
      </c>
      <c r="L3310" s="33">
        <v>0.57346064814814812</v>
      </c>
      <c r="M3310" s="10">
        <v>1</v>
      </c>
      <c r="N3310" s="10" t="s">
        <v>84</v>
      </c>
      <c r="O3310" s="10">
        <v>3.17</v>
      </c>
      <c r="P3310" s="10">
        <v>0.22800000000000001</v>
      </c>
      <c r="Q3310" s="10">
        <v>194</v>
      </c>
      <c r="R3310" s="10" t="s">
        <v>85</v>
      </c>
      <c r="S3310" s="34">
        <f t="shared" si="372"/>
        <v>211.11115814000004</v>
      </c>
      <c r="T3310" s="10" t="s">
        <v>1246</v>
      </c>
      <c r="U3310" s="34" t="str">
        <f t="shared" si="373"/>
        <v/>
      </c>
      <c r="V3310" s="31" t="str">
        <f>IF(H3310="CHK",VLOOKUP(I3310,QCCHK,3,),IF(H3310="GUP",VLOOKUP(E3310,QCGUP,2,),IF(AND(H3310="ATP",OR(I3310="TN",I3310="TDN",I3310="TNO2-3",I3310="NO2-3")),VLOOKUP(E3310,QCREC_N,2,),IF(AND(H3310="NIC",OR(I3310="TN",I3310="TDN",I3310="TNO2-3",I3310="NO2-3")),VLOOKUP(E3310,QCNIC_N,2,),IF(AND(H3310="UREA",OR(I3310="TN",I3310="TDN",I3310="TNO2-3",I3310="NO2-3")),VLOOKUP(E3310,QCUREA_N,2,),IF(H3310="PER",VLOOKUP(I3310,QCPER,MATCH(E3310,QCACTUAL!$J$25:$AA$25,0),),IF(H3310="SPK",VLOOKUP(I3310,QCSPK,3,),IF(AND(H3310="ATP",OR(I3310="TP",I3310="TDP")),VLOOKUP(E3310,QCATP_P,2,),""))))))))</f>
        <v/>
      </c>
      <c r="W3310" s="31" t="str">
        <f t="shared" si="374"/>
        <v>TRUE</v>
      </c>
      <c r="X3310" s="31" t="str">
        <f t="shared" si="371"/>
        <v/>
      </c>
      <c r="Y3310" s="10" t="s">
        <v>1232</v>
      </c>
      <c r="AF3310" s="12">
        <v>44972</v>
      </c>
      <c r="AH3310" s="10">
        <f>-3.4074*3.17^2+90.534*3.17-41.641</f>
        <v>211.11115814000004</v>
      </c>
      <c r="AI3310" s="10">
        <f>-1.4395*3.17^2+80.835*3.17-35.016</f>
        <v>206.76555844999999</v>
      </c>
      <c r="AK3310" s="10">
        <f>-0.0466*3.17^2+68.24*3.17-22.954</f>
        <v>192.89852126</v>
      </c>
      <c r="AL3310" s="10" t="str">
        <f t="shared" si="376"/>
        <v>FALSE</v>
      </c>
      <c r="AM3310" s="10" t="str">
        <f t="shared" si="376"/>
        <v>y=-3.4074*3.17^2+90.534*3.17-41.641</v>
      </c>
      <c r="AN3310" s="10" t="str">
        <f t="shared" si="376"/>
        <v>y=-1.4395*3.17^2+80.835*3.17-35.016</v>
      </c>
      <c r="AO3310" s="10" t="str">
        <f t="shared" si="377"/>
        <v>FALSE</v>
      </c>
      <c r="AP3310" s="10" t="str">
        <f t="shared" si="377"/>
        <v>y=-0.0466*3.17^2+68.24*3.17-22.954</v>
      </c>
      <c r="AQ3310" s="10" t="b">
        <f>IF(AND(I3310="TP",S3310&lt;=150),VLOOKUP(AF3310,TPCalibEq150!$AZ$2:$BB$55,3,),IF(AND(I3310="TDP",S3310&lt;=150),VLOOKUP(AF3310,TPCalibEq150!$AZ$2:$BB$55,3,)))</f>
        <v>0</v>
      </c>
      <c r="AR3310" s="10" t="str">
        <f>IF(AND(I3310="TP",S3310&lt;=300),VLOOKUP(AF3310,TPCalibEq300!$AZ$2:$BB$55,3,),IF(AND(I3310="TDP",S3310&lt;=300),VLOOKUP(AF3310,TPCalibEq300!$AZ$2:$BB$55,3,)))</f>
        <v>y=-3.4074x2+90.534x-41.641</v>
      </c>
      <c r="AS3310" s="10" t="str">
        <f>IF(AND(I3310="TP",S3310&lt;=500),VLOOKUP(AF3310,TPCalibEq500!$AZ$2:$BB$56,3,),IF(AND(I3310="TDP",S3310&lt;=500),VLOOKUP(AF3310,TPCalibEq500!$AZ$2:$BB$56,3,)))</f>
        <v>y=-1.4395x2+80.835x-35.016</v>
      </c>
      <c r="AT3310" s="10" t="b">
        <f>IF(AND(I3310="TN",S3310&lt;=2800),VLOOKUP(AF3310,TNCalibEq2500!$AZ$2:$BB$56,3,),IF(AND(I3310="TDN",S3310&lt;=2800),VLOOKUP(AF3310,TNCalibEq2500!$AZ$2:$BB$56,3,)))</f>
        <v>0</v>
      </c>
      <c r="AU3310" s="10" t="str">
        <f>IF(I3310="TP",VLOOKUP(AF3310,TPCalibEqFull!$AZ$2:$BB$56,3),IF(I3310="TDP",VLOOKUP(AF3310,TPCalibEqFull!$AZ$2:$BB$56,3),IF(I3310="TDN",VLOOKUP(AF3310,TNCalibEqFull!$AZ$1:$BB$56,3),IF(I3310="TN",VLOOKUP(AF3310,TNCalibEqFull!$AZ$1:$BB$56,3),FALSE))))</f>
        <v>y=-0.0466x2+68.24x-22.954</v>
      </c>
      <c r="AV3310" s="10" t="str">
        <f t="shared" si="375"/>
        <v>0214 05:47:00-EFK-0-C-1-SW-UKN</v>
      </c>
    </row>
    <row r="3311" spans="1:48" s="10" customFormat="1" x14ac:dyDescent="0.55000000000000004">
      <c r="A3311" s="32">
        <v>44971</v>
      </c>
      <c r="B3311" s="33">
        <v>0.24444444444444446</v>
      </c>
      <c r="C3311" s="10" t="s">
        <v>333</v>
      </c>
      <c r="D3311" s="10">
        <v>0</v>
      </c>
      <c r="E3311" s="10" t="s">
        <v>190</v>
      </c>
      <c r="F3311" s="10">
        <v>1</v>
      </c>
      <c r="G3311" s="10" t="s">
        <v>231</v>
      </c>
      <c r="H3311" s="10" t="s">
        <v>322</v>
      </c>
      <c r="I3311" s="10" t="s">
        <v>83</v>
      </c>
      <c r="J3311" s="10">
        <v>10</v>
      </c>
      <c r="K3311" s="12">
        <v>44972</v>
      </c>
      <c r="L3311" s="33">
        <v>0.57415509259259256</v>
      </c>
      <c r="M3311" s="10">
        <v>1</v>
      </c>
      <c r="N3311" s="10" t="s">
        <v>84</v>
      </c>
      <c r="O3311" s="10">
        <v>1.1499999999999999</v>
      </c>
      <c r="P3311" s="10">
        <v>8.1000000000000003E-2</v>
      </c>
      <c r="Q3311" s="10">
        <v>56.5</v>
      </c>
      <c r="R3311" s="10" t="s">
        <v>85</v>
      </c>
      <c r="S3311" s="34">
        <f t="shared" si="372"/>
        <v>60.411160999999993</v>
      </c>
      <c r="T3311" s="10" t="s">
        <v>1246</v>
      </c>
      <c r="U3311" s="34" t="str">
        <f t="shared" si="373"/>
        <v/>
      </c>
      <c r="V3311" s="31" t="str">
        <f>IF(H3311="CHK",VLOOKUP(I3311,QCCHK,3,),IF(H3311="GUP",VLOOKUP(E3311,QCGUP,2,),IF(AND(H3311="ATP",OR(I3311="TN",I3311="TDN",I3311="TNO2-3",I3311="NO2-3")),VLOOKUP(E3311,QCREC_N,2,),IF(AND(H3311="NIC",OR(I3311="TN",I3311="TDN",I3311="TNO2-3",I3311="NO2-3")),VLOOKUP(E3311,QCNIC_N,2,),IF(AND(H3311="UREA",OR(I3311="TN",I3311="TDN",I3311="TNO2-3",I3311="NO2-3")),VLOOKUP(E3311,QCUREA_N,2,),IF(H3311="PER",VLOOKUP(I3311,QCPER,MATCH(E3311,QCACTUAL!$J$25:$AA$25,0),),IF(H3311="SPK",VLOOKUP(I3311,QCSPK,3,),IF(AND(H3311="ATP",OR(I3311="TP",I3311="TDP")),VLOOKUP(E3311,QCATP_P,2,),""))))))))</f>
        <v/>
      </c>
      <c r="W3311" s="31" t="str">
        <f t="shared" si="374"/>
        <v>TRUE</v>
      </c>
      <c r="X3311" s="31" t="str">
        <f t="shared" si="371"/>
        <v/>
      </c>
      <c r="Y3311" s="10" t="s">
        <v>1232</v>
      </c>
      <c r="AF3311" s="12">
        <v>44972</v>
      </c>
      <c r="AG3311" s="10">
        <f>-8.1564*1.15^2+103.56*1.15-47.896</f>
        <v>60.411160999999993</v>
      </c>
      <c r="AH3311" s="10">
        <f>-3.4074*1.15^2+90.534*1.15-41.641</f>
        <v>57.966813499999994</v>
      </c>
      <c r="AI3311" s="10">
        <f>-1.4395*1.15^2+80.835*1.15-35.016</f>
        <v>56.040511249999987</v>
      </c>
      <c r="AK3311" s="10">
        <f>-0.0466*1.15^2+68.24*1.15-22.954</f>
        <v>55.460371499999987</v>
      </c>
      <c r="AL3311" s="10" t="str">
        <f t="shared" si="376"/>
        <v>y=-8.1564*1.15^2+103.56*1.15-47.896</v>
      </c>
      <c r="AM3311" s="10" t="str">
        <f t="shared" si="376"/>
        <v>y=-3.4074*1.15^2+90.534*1.15-41.641</v>
      </c>
      <c r="AN3311" s="10" t="str">
        <f t="shared" si="376"/>
        <v>y=-1.4395*1.15^2+80.835*1.15-35.016</v>
      </c>
      <c r="AO3311" s="10" t="str">
        <f t="shared" si="377"/>
        <v>FALSE</v>
      </c>
      <c r="AP3311" s="10" t="str">
        <f t="shared" si="377"/>
        <v>y=-0.0466*1.15^2+68.24*1.15-22.954</v>
      </c>
      <c r="AQ3311" s="10" t="str">
        <f>IF(AND(I3311="TP",S3311&lt;=150),VLOOKUP(AF3311,TPCalibEq150!$AZ$2:$BB$55,3,),IF(AND(I3311="TDP",S3311&lt;=150),VLOOKUP(AF3311,TPCalibEq150!$AZ$2:$BB$55,3,)))</f>
        <v>y=-8.1564x2+103.56x-47.896</v>
      </c>
      <c r="AR3311" s="10" t="str">
        <f>IF(AND(I3311="TP",S3311&lt;=300),VLOOKUP(AF3311,TPCalibEq300!$AZ$2:$BB$55,3,),IF(AND(I3311="TDP",S3311&lt;=300),VLOOKUP(AF3311,TPCalibEq300!$AZ$2:$BB$55,3,)))</f>
        <v>y=-3.4074x2+90.534x-41.641</v>
      </c>
      <c r="AS3311" s="10" t="str">
        <f>IF(AND(I3311="TP",S3311&lt;=500),VLOOKUP(AF3311,TPCalibEq500!$AZ$2:$BB$56,3,),IF(AND(I3311="TDP",S3311&lt;=500),VLOOKUP(AF3311,TPCalibEq500!$AZ$2:$BB$56,3,)))</f>
        <v>y=-1.4395x2+80.835x-35.016</v>
      </c>
      <c r="AT3311" s="10" t="b">
        <f>IF(AND(I3311="TN",S3311&lt;=2800),VLOOKUP(AF3311,TNCalibEq2500!$AZ$2:$BB$56,3,),IF(AND(I3311="TDN",S3311&lt;=2800),VLOOKUP(AF3311,TNCalibEq2500!$AZ$2:$BB$56,3,)))</f>
        <v>0</v>
      </c>
      <c r="AU3311" s="10" t="str">
        <f>IF(I3311="TP",VLOOKUP(AF3311,TPCalibEqFull!$AZ$2:$BB$56,3),IF(I3311="TDP",VLOOKUP(AF3311,TPCalibEqFull!$AZ$2:$BB$56,3),IF(I3311="TDN",VLOOKUP(AF3311,TNCalibEqFull!$AZ$1:$BB$56,3),IF(I3311="TN",VLOOKUP(AF3311,TNCalibEqFull!$AZ$1:$BB$56,3),FALSE))))</f>
        <v>y=-0.0466x2+68.24x-22.954</v>
      </c>
      <c r="AV3311" s="10" t="str">
        <f t="shared" si="375"/>
        <v>0214 05:52:00-HST-0-C-1-SW-UKN</v>
      </c>
    </row>
    <row r="3312" spans="1:48" s="10" customFormat="1" x14ac:dyDescent="0.55000000000000004">
      <c r="A3312" s="32">
        <v>44971</v>
      </c>
      <c r="B3312" s="33">
        <v>0.24444444444444446</v>
      </c>
      <c r="C3312" s="10" t="s">
        <v>333</v>
      </c>
      <c r="D3312" s="10">
        <v>0</v>
      </c>
      <c r="E3312" s="10" t="s">
        <v>190</v>
      </c>
      <c r="F3312" s="10">
        <v>1</v>
      </c>
      <c r="G3312" s="10" t="s">
        <v>231</v>
      </c>
      <c r="H3312" s="10" t="s">
        <v>233</v>
      </c>
      <c r="I3312" s="10" t="s">
        <v>83</v>
      </c>
      <c r="J3312" s="10">
        <v>10</v>
      </c>
      <c r="K3312" s="12">
        <v>44972</v>
      </c>
      <c r="L3312" s="33">
        <v>0.57483796296296297</v>
      </c>
      <c r="M3312" s="10">
        <v>1</v>
      </c>
      <c r="N3312" s="10" t="s">
        <v>84</v>
      </c>
      <c r="O3312" s="10">
        <v>1.1499999999999999</v>
      </c>
      <c r="P3312" s="10">
        <v>8.09E-2</v>
      </c>
      <c r="Q3312" s="10">
        <v>56.3</v>
      </c>
      <c r="R3312" s="10" t="s">
        <v>85</v>
      </c>
      <c r="S3312" s="34">
        <f t="shared" si="372"/>
        <v>60.411160999999993</v>
      </c>
      <c r="T3312" s="10" t="s">
        <v>1246</v>
      </c>
      <c r="U3312" s="34">
        <f t="shared" si="373"/>
        <v>0</v>
      </c>
      <c r="V3312" s="31" t="str">
        <f>IF(H3312="CHK",VLOOKUP(I3312,QCCHK,3,),IF(H3312="GUP",VLOOKUP(E3312,QCGUP,2,),IF(AND(H3312="ATP",OR(I3312="TN",I3312="TDN",I3312="TNO2-3",I3312="NO2-3")),VLOOKUP(E3312,QCREC_N,2,),IF(AND(H3312="NIC",OR(I3312="TN",I3312="TDN",I3312="TNO2-3",I3312="NO2-3")),VLOOKUP(E3312,QCNIC_N,2,),IF(AND(H3312="UREA",OR(I3312="TN",I3312="TDN",I3312="TNO2-3",I3312="NO2-3")),VLOOKUP(E3312,QCUREA_N,2,),IF(H3312="PER",VLOOKUP(I3312,QCPER,MATCH(E3312,QCACTUAL!$J$25:$AA$25,0),),IF(H3312="SPK",VLOOKUP(I3312,QCSPK,3,),IF(AND(H3312="ATP",OR(I3312="TP",I3312="TDP")),VLOOKUP(E3312,QCATP_P,2,),""))))))))</f>
        <v/>
      </c>
      <c r="W3312" s="31" t="str">
        <f t="shared" si="374"/>
        <v>TRUE</v>
      </c>
      <c r="X3312" s="31" t="str">
        <f t="shared" si="371"/>
        <v>((ABS(rep1-rep2))/((rep1+rep2)/2)*100</v>
      </c>
      <c r="Y3312" s="10" t="s">
        <v>1232</v>
      </c>
      <c r="AF3312" s="12">
        <v>44972</v>
      </c>
      <c r="AG3312" s="10">
        <f>-8.1564*1.15^2+103.56*1.15-47.896</f>
        <v>60.411160999999993</v>
      </c>
      <c r="AH3312" s="10">
        <f>-3.4074*1.15^2+90.534*1.15-41.641</f>
        <v>57.966813499999994</v>
      </c>
      <c r="AI3312" s="10">
        <f>-1.4395*1.15^2+80.835*1.15-35.016</f>
        <v>56.040511249999987</v>
      </c>
      <c r="AK3312" s="10">
        <f>-0.0466*1.15^2+68.24*1.15-22.954</f>
        <v>55.460371499999987</v>
      </c>
      <c r="AL3312" s="10" t="str">
        <f t="shared" si="376"/>
        <v>y=-8.1564*1.15^2+103.56*1.15-47.896</v>
      </c>
      <c r="AM3312" s="10" t="str">
        <f t="shared" si="376"/>
        <v>y=-3.4074*1.15^2+90.534*1.15-41.641</v>
      </c>
      <c r="AN3312" s="10" t="str">
        <f t="shared" si="376"/>
        <v>y=-1.4395*1.15^2+80.835*1.15-35.016</v>
      </c>
      <c r="AO3312" s="10" t="str">
        <f t="shared" si="377"/>
        <v>FALSE</v>
      </c>
      <c r="AP3312" s="10" t="str">
        <f t="shared" si="377"/>
        <v>y=-0.0466*1.15^2+68.24*1.15-22.954</v>
      </c>
      <c r="AQ3312" s="10" t="str">
        <f>IF(AND(I3312="TP",S3312&lt;=150),VLOOKUP(AF3312,TPCalibEq150!$AZ$2:$BB$55,3,),IF(AND(I3312="TDP",S3312&lt;=150),VLOOKUP(AF3312,TPCalibEq150!$AZ$2:$BB$55,3,)))</f>
        <v>y=-8.1564x2+103.56x-47.896</v>
      </c>
      <c r="AR3312" s="10" t="str">
        <f>IF(AND(I3312="TP",S3312&lt;=300),VLOOKUP(AF3312,TPCalibEq300!$AZ$2:$BB$55,3,),IF(AND(I3312="TDP",S3312&lt;=300),VLOOKUP(AF3312,TPCalibEq300!$AZ$2:$BB$55,3,)))</f>
        <v>y=-3.4074x2+90.534x-41.641</v>
      </c>
      <c r="AS3312" s="10" t="str">
        <f>IF(AND(I3312="TP",S3312&lt;=500),VLOOKUP(AF3312,TPCalibEq500!$AZ$2:$BB$56,3,),IF(AND(I3312="TDP",S3312&lt;=500),VLOOKUP(AF3312,TPCalibEq500!$AZ$2:$BB$56,3,)))</f>
        <v>y=-1.4395x2+80.835x-35.016</v>
      </c>
      <c r="AT3312" s="10" t="b">
        <f>IF(AND(I3312="TN",S3312&lt;=2800),VLOOKUP(AF3312,TNCalibEq2500!$AZ$2:$BB$56,3,),IF(AND(I3312="TDN",S3312&lt;=2800),VLOOKUP(AF3312,TNCalibEq2500!$AZ$2:$BB$56,3,)))</f>
        <v>0</v>
      </c>
      <c r="AU3312" s="10" t="str">
        <f>IF(I3312="TP",VLOOKUP(AF3312,TPCalibEqFull!$AZ$2:$BB$56,3),IF(I3312="TDP",VLOOKUP(AF3312,TPCalibEqFull!$AZ$2:$BB$56,3),IF(I3312="TDN",VLOOKUP(AF3312,TNCalibEqFull!$AZ$1:$BB$56,3),IF(I3312="TN",VLOOKUP(AF3312,TNCalibEqFull!$AZ$1:$BB$56,3),FALSE))))</f>
        <v>y=-0.0466x2+68.24x-22.954</v>
      </c>
      <c r="AV3312" s="10" t="str">
        <f t="shared" si="375"/>
        <v>0214 05:52:00-HST-0-C-1-SW-DUP</v>
      </c>
    </row>
    <row r="3313" spans="1:48" s="10" customFormat="1" x14ac:dyDescent="0.55000000000000004">
      <c r="A3313" s="32">
        <v>44971</v>
      </c>
      <c r="B3313" s="33">
        <v>0.24444444444444446</v>
      </c>
      <c r="C3313" s="10" t="s">
        <v>912</v>
      </c>
      <c r="D3313" s="10">
        <v>0</v>
      </c>
      <c r="E3313" s="10" t="s">
        <v>190</v>
      </c>
      <c r="F3313" s="10">
        <v>1</v>
      </c>
      <c r="G3313" s="10" t="s">
        <v>231</v>
      </c>
      <c r="H3313" s="10" t="s">
        <v>314</v>
      </c>
      <c r="I3313" s="10" t="s">
        <v>83</v>
      </c>
      <c r="J3313" s="10">
        <v>49</v>
      </c>
      <c r="K3313" s="12">
        <v>44972</v>
      </c>
      <c r="L3313" s="33">
        <v>0.57553240740740741</v>
      </c>
      <c r="M3313" s="10">
        <v>1</v>
      </c>
      <c r="N3313" s="10" t="s">
        <v>84</v>
      </c>
      <c r="O3313" s="10">
        <v>16.100000000000001</v>
      </c>
      <c r="P3313" s="10">
        <v>1.1599999999999999</v>
      </c>
      <c r="Q3313" s="10">
        <v>1070</v>
      </c>
      <c r="R3313" s="10" t="s">
        <v>85</v>
      </c>
      <c r="S3313" s="34">
        <f t="shared" si="372"/>
        <v>1070</v>
      </c>
      <c r="T3313" s="10" t="s">
        <v>1246</v>
      </c>
      <c r="U3313" s="34">
        <f t="shared" si="373"/>
        <v>100.9588839</v>
      </c>
      <c r="V3313" s="31">
        <f>IF(H3313="CHK",VLOOKUP(I3313,QCCHK,3,),IF(H3313="GUP",VLOOKUP(E3313,QCGUP,2,),IF(AND(H3313="ATP",OR(I3313="TN",I3313="TDN",I3313="TNO2-3",I3313="NO2-3")),VLOOKUP(E3313,QCREC_N,2,),IF(AND(H3313="NIC",OR(I3313="TN",I3313="TDN",I3313="TNO2-3",I3313="NO2-3")),VLOOKUP(E3313,QCNIC_N,2,),IF(AND(H3313="UREA",OR(I3313="TN",I3313="TDN",I3313="TNO2-3",I3313="NO2-3")),VLOOKUP(E3313,QCUREA_N,2,),IF(H3313="PER",VLOOKUP(I3313,QCPER,MATCH(E3313,QCACTUAL!$J$25:$AA$25,0),),IF(H3313="SPK",VLOOKUP(I3313,QCSPK,3,),IF(AND(H3313="ATP",OR(I3313="TP",I3313="TDP")),VLOOKUP(E3313,QCATP_P,2,),""))))))))</f>
        <v>1000</v>
      </c>
      <c r="W3313" s="31" t="str">
        <f t="shared" si="374"/>
        <v>TRUE</v>
      </c>
      <c r="X3313" s="31" t="str">
        <f t="shared" si="371"/>
        <v>([spikedunkn]-[unkn])/[spike]*100</v>
      </c>
      <c r="Y3313" s="10" t="s">
        <v>1232</v>
      </c>
      <c r="AF3313" s="12">
        <v>44972</v>
      </c>
      <c r="AK3313" s="10">
        <f>-0.0466*16.1^2+68.24*16.1-22.954</f>
        <v>1063.6308140000001</v>
      </c>
      <c r="AL3313" s="10" t="str">
        <f t="shared" si="376"/>
        <v>FALSE</v>
      </c>
      <c r="AM3313" s="10" t="str">
        <f t="shared" si="376"/>
        <v>FALSE</v>
      </c>
      <c r="AN3313" s="10" t="str">
        <f t="shared" si="376"/>
        <v>FALSE</v>
      </c>
      <c r="AO3313" s="10" t="str">
        <f t="shared" si="377"/>
        <v>FALSE</v>
      </c>
      <c r="AP3313" s="10" t="str">
        <f t="shared" si="377"/>
        <v>y=-0.0466*16.1^2+68.24*16.1-22.954</v>
      </c>
      <c r="AQ3313" s="10" t="b">
        <f>IF(AND(I3313="TP",S3313&lt;=150),VLOOKUP(AF3313,TPCalibEq150!$AZ$2:$BB$55,3,),IF(AND(I3313="TDP",S3313&lt;=150),VLOOKUP(AF3313,TPCalibEq150!$AZ$2:$BB$55,3,)))</f>
        <v>0</v>
      </c>
      <c r="AR3313" s="10" t="b">
        <f>IF(AND(I3313="TP",S3313&lt;=300),VLOOKUP(AF3313,TPCalibEq300!$AZ$2:$BB$55,3,),IF(AND(I3313="TDP",S3313&lt;=300),VLOOKUP(AF3313,TPCalibEq300!$AZ$2:$BB$55,3,)))</f>
        <v>0</v>
      </c>
      <c r="AS3313" s="10" t="b">
        <f>IF(AND(I3313="TP",S3313&lt;=500),VLOOKUP(AF3313,TPCalibEq500!$AZ$2:$BB$56,3,),IF(AND(I3313="TDP",S3313&lt;=500),VLOOKUP(AF3313,TPCalibEq500!$AZ$2:$BB$56,3,)))</f>
        <v>0</v>
      </c>
      <c r="AT3313" s="10" t="b">
        <f>IF(AND(I3313="TN",S3313&lt;=2800),VLOOKUP(AF3313,TNCalibEq2500!$AZ$2:$BB$56,3,),IF(AND(I3313="TDN",S3313&lt;=2800),VLOOKUP(AF3313,TNCalibEq2500!$AZ$2:$BB$56,3,)))</f>
        <v>0</v>
      </c>
      <c r="AU3313" s="10" t="str">
        <f>IF(I3313="TP",VLOOKUP(AF3313,TPCalibEqFull!$AZ$2:$BB$56,3),IF(I3313="TDP",VLOOKUP(AF3313,TPCalibEqFull!$AZ$2:$BB$56,3),IF(I3313="TDN",VLOOKUP(AF3313,TNCalibEqFull!$AZ$1:$BB$56,3),IF(I3313="TN",VLOOKUP(AF3313,TNCalibEqFull!$AZ$1:$BB$56,3),FALSE))))</f>
        <v>y=-0.0466x2+68.24x-22.954</v>
      </c>
      <c r="AV3313" s="10" t="str">
        <f t="shared" si="375"/>
        <v>0214 05:52:00-HST -0-C-1-SW-SPK</v>
      </c>
    </row>
    <row r="3314" spans="1:48" s="10" customFormat="1" x14ac:dyDescent="0.55000000000000004">
      <c r="A3314" s="32">
        <v>44972</v>
      </c>
      <c r="B3314" s="33">
        <v>0.375</v>
      </c>
      <c r="C3314" s="10" t="s">
        <v>70</v>
      </c>
      <c r="D3314" s="10" t="s">
        <v>71</v>
      </c>
      <c r="E3314" s="10" t="s">
        <v>901</v>
      </c>
      <c r="F3314" s="10">
        <v>1</v>
      </c>
      <c r="G3314" s="10" t="s">
        <v>73</v>
      </c>
      <c r="H3314" s="10" t="s">
        <v>207</v>
      </c>
      <c r="I3314" s="10" t="s">
        <v>83</v>
      </c>
      <c r="J3314" s="10">
        <v>199</v>
      </c>
      <c r="K3314" s="12">
        <v>44972</v>
      </c>
      <c r="L3314" s="33">
        <v>0.57622685185185185</v>
      </c>
      <c r="M3314" s="10">
        <v>1</v>
      </c>
      <c r="N3314" s="10" t="s">
        <v>84</v>
      </c>
      <c r="O3314" s="10">
        <v>7.95</v>
      </c>
      <c r="P3314" s="10">
        <v>0.57899999999999996</v>
      </c>
      <c r="Q3314" s="10">
        <v>519</v>
      </c>
      <c r="R3314" s="10" t="s">
        <v>85</v>
      </c>
      <c r="S3314" s="34">
        <f t="shared" si="372"/>
        <v>519</v>
      </c>
      <c r="T3314" s="10" t="s">
        <v>1246</v>
      </c>
      <c r="U3314" s="34">
        <f t="shared" si="373"/>
        <v>103.8</v>
      </c>
      <c r="V3314" s="31">
        <f>IF(H3314="CHK",VLOOKUP(I3314,QCCHK,3,),IF(H3314="GUP",VLOOKUP(E3314,QCGUP,2,),IF(AND(H3314="ATP",OR(I3314="TN",I3314="TDN",I3314="TNO2-3",I3314="NO2-3")),VLOOKUP(E3314,QCREC_N,2,),IF(AND(H3314="NIC",OR(I3314="TN",I3314="TDN",I3314="TNO2-3",I3314="NO2-3")),VLOOKUP(E3314,QCNIC_N,2,),IF(AND(H3314="UREA",OR(I3314="TN",I3314="TDN",I3314="TNO2-3",I3314="NO2-3")),VLOOKUP(E3314,QCUREA_N,2,),IF(H3314="PER",VLOOKUP(I3314,QCPER,MATCH(E3314,QCACTUAL!$J$25:$AA$25,0),),IF(H3314="SPK",VLOOKUP(I3314,QCSPK,3,),IF(AND(H3314="ATP",OR(I3314="TP",I3314="TDP")),VLOOKUP(E3314,QCATP_P,2,),""))))))))</f>
        <v>500</v>
      </c>
      <c r="W3314" s="31" t="str">
        <f t="shared" si="374"/>
        <v>TRUE</v>
      </c>
      <c r="X3314" s="31" t="str">
        <f t="shared" si="371"/>
        <v>[chk]/[actual]*100</v>
      </c>
      <c r="Y3314" s="10" t="s">
        <v>1232</v>
      </c>
      <c r="AF3314" s="12">
        <v>44972</v>
      </c>
      <c r="AK3314" s="10">
        <f>-0.0466*7.95^2+68.24*7.95-22.954</f>
        <v>516.60876350000001</v>
      </c>
      <c r="AL3314" s="10" t="str">
        <f t="shared" si="376"/>
        <v>FALSE</v>
      </c>
      <c r="AM3314" s="10" t="str">
        <f t="shared" si="376"/>
        <v>FALSE</v>
      </c>
      <c r="AN3314" s="10" t="str">
        <f t="shared" si="376"/>
        <v>FALSE</v>
      </c>
      <c r="AO3314" s="10" t="str">
        <f t="shared" si="377"/>
        <v>FALSE</v>
      </c>
      <c r="AP3314" s="10" t="str">
        <f t="shared" si="377"/>
        <v>y=-0.0466*7.95^2+68.24*7.95-22.954</v>
      </c>
      <c r="AQ3314" s="10" t="b">
        <f>IF(AND(I3314="TP",S3314&lt;=150),VLOOKUP(AF3314,TPCalibEq150!$AZ$2:$BB$55,3,),IF(AND(I3314="TDP",S3314&lt;=150),VLOOKUP(AF3314,TPCalibEq150!$AZ$2:$BB$55,3,)))</f>
        <v>0</v>
      </c>
      <c r="AR3314" s="10" t="b">
        <f>IF(AND(I3314="TP",S3314&lt;=300),VLOOKUP(AF3314,TPCalibEq300!$AZ$2:$BB$55,3,),IF(AND(I3314="TDP",S3314&lt;=300),VLOOKUP(AF3314,TPCalibEq300!$AZ$2:$BB$55,3,)))</f>
        <v>0</v>
      </c>
      <c r="AS3314" s="10" t="b">
        <f>IF(AND(I3314="TP",S3314&lt;=500),VLOOKUP(AF3314,TPCalibEq500!$AZ$2:$BB$56,3,),IF(AND(I3314="TDP",S3314&lt;=500),VLOOKUP(AF3314,TPCalibEq500!$AZ$2:$BB$56,3,)))</f>
        <v>0</v>
      </c>
      <c r="AT3314" s="10" t="b">
        <f>IF(AND(I3314="TN",S3314&lt;=2800),VLOOKUP(AF3314,TNCalibEq2500!$AZ$2:$BB$56,3,),IF(AND(I3314="TDN",S3314&lt;=2800),VLOOKUP(AF3314,TNCalibEq2500!$AZ$2:$BB$56,3,)))</f>
        <v>0</v>
      </c>
      <c r="AU3314" s="10" t="str">
        <f>IF(I3314="TP",VLOOKUP(AF3314,TPCalibEqFull!$AZ$2:$BB$56,3),IF(I3314="TDP",VLOOKUP(AF3314,TPCalibEqFull!$AZ$2:$BB$56,3),IF(I3314="TDN",VLOOKUP(AF3314,TNCalibEqFull!$AZ$1:$BB$56,3),IF(I3314="TN",VLOOKUP(AF3314,TNCalibEqFull!$AZ$1:$BB$56,3),FALSE))))</f>
        <v>y=-0.0466x2+68.24x-22.954</v>
      </c>
      <c r="AV3314" s="10" t="str">
        <f t="shared" si="375"/>
        <v>0215 09:00:00-QAC-STD-D-1-DI-CHK</v>
      </c>
    </row>
    <row r="3315" spans="1:48" s="10" customFormat="1" x14ac:dyDescent="0.55000000000000004">
      <c r="A3315" s="32">
        <v>44970</v>
      </c>
      <c r="B3315" s="33">
        <v>0.36944444444444446</v>
      </c>
      <c r="C3315" s="10" t="s">
        <v>998</v>
      </c>
      <c r="D3315" s="10">
        <v>0</v>
      </c>
      <c r="E3315" s="10" t="s">
        <v>190</v>
      </c>
      <c r="F3315" s="10">
        <v>1</v>
      </c>
      <c r="G3315" s="10" t="s">
        <v>231</v>
      </c>
      <c r="H3315" s="10" t="s">
        <v>322</v>
      </c>
      <c r="I3315" s="10" t="s">
        <v>83</v>
      </c>
      <c r="J3315" s="10">
        <v>11</v>
      </c>
      <c r="K3315" s="12">
        <v>44972</v>
      </c>
      <c r="L3315" s="33">
        <v>0.57692129629629629</v>
      </c>
      <c r="M3315" s="10">
        <v>1</v>
      </c>
      <c r="N3315" s="10" t="s">
        <v>84</v>
      </c>
      <c r="O3315" s="10">
        <v>4.07</v>
      </c>
      <c r="P3315" s="10">
        <v>0.29699999999999999</v>
      </c>
      <c r="Q3315" s="10">
        <v>256</v>
      </c>
      <c r="R3315" s="10" t="s">
        <v>85</v>
      </c>
      <c r="S3315" s="34">
        <f t="shared" si="372"/>
        <v>270.38913974000008</v>
      </c>
      <c r="T3315" s="10" t="s">
        <v>1246</v>
      </c>
      <c r="U3315" s="34" t="str">
        <f t="shared" si="373"/>
        <v/>
      </c>
      <c r="V3315" s="31" t="str">
        <f>IF(H3315="CHK",VLOOKUP(I3315,QCCHK,3,),IF(H3315="GUP",VLOOKUP(E3315,QCGUP,2,),IF(AND(H3315="ATP",OR(I3315="TN",I3315="TDN",I3315="TNO2-3",I3315="NO2-3")),VLOOKUP(E3315,QCREC_N,2,),IF(AND(H3315="NIC",OR(I3315="TN",I3315="TDN",I3315="TNO2-3",I3315="NO2-3")),VLOOKUP(E3315,QCNIC_N,2,),IF(AND(H3315="UREA",OR(I3315="TN",I3315="TDN",I3315="TNO2-3",I3315="NO2-3")),VLOOKUP(E3315,QCUREA_N,2,),IF(H3315="PER",VLOOKUP(I3315,QCPER,MATCH(E3315,QCACTUAL!$J$25:$AA$25,0),),IF(H3315="SPK",VLOOKUP(I3315,QCSPK,3,),IF(AND(H3315="ATP",OR(I3315="TP",I3315="TDP")),VLOOKUP(E3315,QCATP_P,2,),""))))))))</f>
        <v/>
      </c>
      <c r="W3315" s="31" t="str">
        <f t="shared" si="374"/>
        <v>TRUE</v>
      </c>
      <c r="X3315" s="31" t="str">
        <f t="shared" si="371"/>
        <v/>
      </c>
      <c r="Y3315" s="10" t="s">
        <v>1232</v>
      </c>
      <c r="Z3315" s="10" t="s">
        <v>910</v>
      </c>
      <c r="AF3315" s="12">
        <v>44972</v>
      </c>
      <c r="AH3315" s="10">
        <f>-3.4074*4.07^2+90.534*4.07-41.641</f>
        <v>270.38913974000008</v>
      </c>
      <c r="AI3315" s="10">
        <f>-1.4395*4.07^2+80.835*4.07-35.016</f>
        <v>270.13727644999994</v>
      </c>
      <c r="AK3315" s="10">
        <f>-0.0466*4.07^2+68.24*4.07-22.954</f>
        <v>254.01087566000001</v>
      </c>
      <c r="AL3315" s="10" t="str">
        <f t="shared" si="376"/>
        <v>FALSE</v>
      </c>
      <c r="AM3315" s="10" t="str">
        <f t="shared" si="376"/>
        <v>y=-3.4074*4.07^2+90.534*4.07-41.641</v>
      </c>
      <c r="AN3315" s="10" t="str">
        <f t="shared" si="376"/>
        <v>y=-1.4395*4.07^2+80.835*4.07-35.016</v>
      </c>
      <c r="AO3315" s="10" t="str">
        <f t="shared" si="377"/>
        <v>FALSE</v>
      </c>
      <c r="AP3315" s="10" t="str">
        <f t="shared" si="377"/>
        <v>y=-0.0466*4.07^2+68.24*4.07-22.954</v>
      </c>
      <c r="AQ3315" s="10" t="b">
        <f>IF(AND(I3315="TP",S3315&lt;=150),VLOOKUP(AF3315,TPCalibEq150!$AZ$2:$BB$55,3,),IF(AND(I3315="TDP",S3315&lt;=150),VLOOKUP(AF3315,TPCalibEq150!$AZ$2:$BB$55,3,)))</f>
        <v>0</v>
      </c>
      <c r="AR3315" s="10" t="str">
        <f>IF(AND(I3315="TP",S3315&lt;=300),VLOOKUP(AF3315,TPCalibEq300!$AZ$2:$BB$55,3,),IF(AND(I3315="TDP",S3315&lt;=300),VLOOKUP(AF3315,TPCalibEq300!$AZ$2:$BB$55,3,)))</f>
        <v>y=-3.4074x2+90.534x-41.641</v>
      </c>
      <c r="AS3315" s="10" t="str">
        <f>IF(AND(I3315="TP",S3315&lt;=500),VLOOKUP(AF3315,TPCalibEq500!$AZ$2:$BB$56,3,),IF(AND(I3315="TDP",S3315&lt;=500),VLOOKUP(AF3315,TPCalibEq500!$AZ$2:$BB$56,3,)))</f>
        <v>y=-1.4395x2+80.835x-35.016</v>
      </c>
      <c r="AT3315" s="10" t="b">
        <f>IF(AND(I3315="TN",S3315&lt;=2800),VLOOKUP(AF3315,TNCalibEq2500!$AZ$2:$BB$56,3,),IF(AND(I3315="TDN",S3315&lt;=2800),VLOOKUP(AF3315,TNCalibEq2500!$AZ$2:$BB$56,3,)))</f>
        <v>0</v>
      </c>
      <c r="AU3315" s="10" t="str">
        <f>IF(I3315="TP",VLOOKUP(AF3315,TPCalibEqFull!$AZ$2:$BB$56,3),IF(I3315="TDP",VLOOKUP(AF3315,TPCalibEqFull!$AZ$2:$BB$56,3),IF(I3315="TDN",VLOOKUP(AF3315,TNCalibEqFull!$AZ$1:$BB$56,3),IF(I3315="TN",VLOOKUP(AF3315,TNCalibEqFull!$AZ$1:$BB$56,3),FALSE))))</f>
        <v>y=-0.0466x2+68.24x-22.954</v>
      </c>
      <c r="AV3315" s="10" t="str">
        <f t="shared" si="375"/>
        <v>0213 08:52:00-ELW-0-C-1-SW-UKN</v>
      </c>
    </row>
    <row r="3316" spans="1:48" s="10" customFormat="1" x14ac:dyDescent="0.55000000000000004">
      <c r="A3316" s="32">
        <v>44970</v>
      </c>
      <c r="B3316" s="33">
        <v>0.3840277777777778</v>
      </c>
      <c r="C3316" s="10" t="s">
        <v>270</v>
      </c>
      <c r="D3316" s="10">
        <v>0</v>
      </c>
      <c r="E3316" s="10" t="s">
        <v>190</v>
      </c>
      <c r="F3316" s="10">
        <v>1</v>
      </c>
      <c r="G3316" s="10" t="s">
        <v>231</v>
      </c>
      <c r="H3316" s="10" t="s">
        <v>322</v>
      </c>
      <c r="I3316" s="10" t="s">
        <v>83</v>
      </c>
      <c r="J3316" s="10">
        <v>12</v>
      </c>
      <c r="K3316" s="12">
        <v>44972</v>
      </c>
      <c r="L3316" s="33">
        <v>0.5776041666666667</v>
      </c>
      <c r="M3316" s="10">
        <v>1</v>
      </c>
      <c r="N3316" s="10" t="s">
        <v>84</v>
      </c>
      <c r="O3316" s="10">
        <v>1.74</v>
      </c>
      <c r="P3316" s="10">
        <v>0.122</v>
      </c>
      <c r="Q3316" s="10">
        <v>96.4</v>
      </c>
      <c r="R3316" s="10" t="s">
        <v>85</v>
      </c>
      <c r="S3316" s="34">
        <f t="shared" si="372"/>
        <v>107.60408335999999</v>
      </c>
      <c r="T3316" s="10" t="s">
        <v>1246</v>
      </c>
      <c r="U3316" s="34" t="str">
        <f t="shared" si="373"/>
        <v/>
      </c>
      <c r="V3316" s="31" t="str">
        <f>IF(H3316="CHK",VLOOKUP(I3316,QCCHK,3,),IF(H3316="GUP",VLOOKUP(E3316,QCGUP,2,),IF(AND(H3316="ATP",OR(I3316="TN",I3316="TDN",I3316="TNO2-3",I3316="NO2-3")),VLOOKUP(E3316,QCREC_N,2,),IF(AND(H3316="NIC",OR(I3316="TN",I3316="TDN",I3316="TNO2-3",I3316="NO2-3")),VLOOKUP(E3316,QCNIC_N,2,),IF(AND(H3316="UREA",OR(I3316="TN",I3316="TDN",I3316="TNO2-3",I3316="NO2-3")),VLOOKUP(E3316,QCUREA_N,2,),IF(H3316="PER",VLOOKUP(I3316,QCPER,MATCH(E3316,QCACTUAL!$J$25:$AA$25,0),),IF(H3316="SPK",VLOOKUP(I3316,QCSPK,3,),IF(AND(H3316="ATP",OR(I3316="TP",I3316="TDP")),VLOOKUP(E3316,QCATP_P,2,),""))))))))</f>
        <v/>
      </c>
      <c r="W3316" s="31" t="str">
        <f t="shared" si="374"/>
        <v>TRUE</v>
      </c>
      <c r="X3316" s="31" t="str">
        <f t="shared" si="371"/>
        <v/>
      </c>
      <c r="Y3316" s="10" t="s">
        <v>1232</v>
      </c>
      <c r="Z3316" s="10" t="s">
        <v>910</v>
      </c>
      <c r="AF3316" s="12">
        <v>44972</v>
      </c>
      <c r="AG3316" s="10">
        <f>-8.1564*1.74^2+103.56*1.74-47.896</f>
        <v>107.60408335999999</v>
      </c>
      <c r="AH3316" s="10">
        <f>-3.4074*1.74^2+90.534*1.74-41.641</f>
        <v>105.57191576000002</v>
      </c>
      <c r="AI3316" s="10">
        <f>-1.4395*1.74^2+80.835*1.74-35.016</f>
        <v>101.27866979999999</v>
      </c>
      <c r="AK3316" s="10">
        <f>-0.0466*1.74^2+68.24*1.74-22.954</f>
        <v>95.642513839999992</v>
      </c>
      <c r="AL3316" s="10" t="str">
        <f t="shared" si="376"/>
        <v>y=-8.1564*1.74^2+103.56*1.74-47.896</v>
      </c>
      <c r="AM3316" s="10" t="str">
        <f t="shared" si="376"/>
        <v>y=-3.4074*1.74^2+90.534*1.74-41.641</v>
      </c>
      <c r="AN3316" s="10" t="str">
        <f t="shared" si="376"/>
        <v>y=-1.4395*1.74^2+80.835*1.74-35.016</v>
      </c>
      <c r="AO3316" s="10" t="str">
        <f t="shared" si="377"/>
        <v>FALSE</v>
      </c>
      <c r="AP3316" s="10" t="str">
        <f t="shared" si="377"/>
        <v>y=-0.0466*1.74^2+68.24*1.74-22.954</v>
      </c>
      <c r="AQ3316" s="10" t="str">
        <f>IF(AND(I3316="TP",S3316&lt;=150),VLOOKUP(AF3316,TPCalibEq150!$AZ$2:$BB$55,3,),IF(AND(I3316="TDP",S3316&lt;=150),VLOOKUP(AF3316,TPCalibEq150!$AZ$2:$BB$55,3,)))</f>
        <v>y=-8.1564x2+103.56x-47.896</v>
      </c>
      <c r="AR3316" s="10" t="str">
        <f>IF(AND(I3316="TP",S3316&lt;=300),VLOOKUP(AF3316,TPCalibEq300!$AZ$2:$BB$55,3,),IF(AND(I3316="TDP",S3316&lt;=300),VLOOKUP(AF3316,TPCalibEq300!$AZ$2:$BB$55,3,)))</f>
        <v>y=-3.4074x2+90.534x-41.641</v>
      </c>
      <c r="AS3316" s="10" t="str">
        <f>IF(AND(I3316="TP",S3316&lt;=500),VLOOKUP(AF3316,TPCalibEq500!$AZ$2:$BB$56,3,),IF(AND(I3316="TDP",S3316&lt;=500),VLOOKUP(AF3316,TPCalibEq500!$AZ$2:$BB$56,3,)))</f>
        <v>y=-1.4395x2+80.835x-35.016</v>
      </c>
      <c r="AT3316" s="10" t="b">
        <f>IF(AND(I3316="TN",S3316&lt;=2800),VLOOKUP(AF3316,TNCalibEq2500!$AZ$2:$BB$56,3,),IF(AND(I3316="TDN",S3316&lt;=2800),VLOOKUP(AF3316,TNCalibEq2500!$AZ$2:$BB$56,3,)))</f>
        <v>0</v>
      </c>
      <c r="AU3316" s="10" t="str">
        <f>IF(I3316="TP",VLOOKUP(AF3316,TPCalibEqFull!$AZ$2:$BB$56,3),IF(I3316="TDP",VLOOKUP(AF3316,TPCalibEqFull!$AZ$2:$BB$56,3),IF(I3316="TDN",VLOOKUP(AF3316,TNCalibEqFull!$AZ$1:$BB$56,3),IF(I3316="TN",VLOOKUP(AF3316,TNCalibEqFull!$AZ$1:$BB$56,3),FALSE))))</f>
        <v>y=-0.0466x2+68.24x-22.954</v>
      </c>
      <c r="AV3316" s="10" t="str">
        <f t="shared" si="375"/>
        <v>0213 09:13:00-EFG-0-C-1-SW-UKN</v>
      </c>
    </row>
    <row r="3317" spans="1:48" s="10" customFormat="1" x14ac:dyDescent="0.55000000000000004">
      <c r="A3317" s="32">
        <v>44970</v>
      </c>
      <c r="B3317" s="33">
        <v>0.3923611111111111</v>
      </c>
      <c r="C3317" s="10" t="s">
        <v>540</v>
      </c>
      <c r="D3317" s="10">
        <v>0</v>
      </c>
      <c r="E3317" s="10" t="s">
        <v>190</v>
      </c>
      <c r="F3317" s="10">
        <v>1</v>
      </c>
      <c r="G3317" s="10" t="s">
        <v>231</v>
      </c>
      <c r="H3317" s="10" t="s">
        <v>322</v>
      </c>
      <c r="I3317" s="10" t="s">
        <v>83</v>
      </c>
      <c r="J3317" s="10">
        <v>13</v>
      </c>
      <c r="K3317" s="12">
        <v>44972</v>
      </c>
      <c r="L3317" s="33">
        <v>0.5782870370370371</v>
      </c>
      <c r="M3317" s="10">
        <v>1</v>
      </c>
      <c r="N3317" s="10" t="s">
        <v>84</v>
      </c>
      <c r="O3317" s="10">
        <v>2.71</v>
      </c>
      <c r="P3317" s="10">
        <v>0.19400000000000001</v>
      </c>
      <c r="Q3317" s="10">
        <v>163</v>
      </c>
      <c r="R3317" s="10" t="s">
        <v>85</v>
      </c>
      <c r="S3317" s="34">
        <f t="shared" si="372"/>
        <v>178.68185366000003</v>
      </c>
      <c r="T3317" s="10" t="s">
        <v>1246</v>
      </c>
      <c r="U3317" s="34" t="str">
        <f t="shared" si="373"/>
        <v/>
      </c>
      <c r="V3317" s="31" t="str">
        <f>IF(H3317="CHK",VLOOKUP(I3317,QCCHK,3,),IF(H3317="GUP",VLOOKUP(E3317,QCGUP,2,),IF(AND(H3317="ATP",OR(I3317="TN",I3317="TDN",I3317="TNO2-3",I3317="NO2-3")),VLOOKUP(E3317,QCREC_N,2,),IF(AND(H3317="NIC",OR(I3317="TN",I3317="TDN",I3317="TNO2-3",I3317="NO2-3")),VLOOKUP(E3317,QCNIC_N,2,),IF(AND(H3317="UREA",OR(I3317="TN",I3317="TDN",I3317="TNO2-3",I3317="NO2-3")),VLOOKUP(E3317,QCUREA_N,2,),IF(H3317="PER",VLOOKUP(I3317,QCPER,MATCH(E3317,QCACTUAL!$J$25:$AA$25,0),),IF(H3317="SPK",VLOOKUP(I3317,QCSPK,3,),IF(AND(H3317="ATP",OR(I3317="TP",I3317="TDP")),VLOOKUP(E3317,QCATP_P,2,),""))))))))</f>
        <v/>
      </c>
      <c r="W3317" s="31" t="str">
        <f t="shared" si="374"/>
        <v>TRUE</v>
      </c>
      <c r="X3317" s="31" t="str">
        <f t="shared" si="371"/>
        <v/>
      </c>
      <c r="Y3317" s="10" t="s">
        <v>1232</v>
      </c>
      <c r="Z3317" s="10" t="s">
        <v>910</v>
      </c>
      <c r="AF3317" s="12">
        <v>44972</v>
      </c>
      <c r="AH3317" s="10">
        <f>-3.4074*2.71^2+90.534*2.71-41.641</f>
        <v>178.68185366000003</v>
      </c>
      <c r="AI3317" s="10">
        <f>-1.4395*2.71^2+80.835*2.71-35.016</f>
        <v>173.47501804999999</v>
      </c>
      <c r="AK3317" s="10">
        <f>-0.0466*2.71^2+68.24*2.71-22.954</f>
        <v>161.63416493999998</v>
      </c>
      <c r="AL3317" s="10" t="str">
        <f t="shared" si="376"/>
        <v>FALSE</v>
      </c>
      <c r="AM3317" s="10" t="str">
        <f t="shared" si="376"/>
        <v>y=-3.4074*2.71^2+90.534*2.71-41.641</v>
      </c>
      <c r="AN3317" s="10" t="str">
        <f t="shared" si="376"/>
        <v>y=-1.4395*2.71^2+80.835*2.71-35.016</v>
      </c>
      <c r="AO3317" s="10" t="str">
        <f t="shared" si="377"/>
        <v>FALSE</v>
      </c>
      <c r="AP3317" s="10" t="str">
        <f t="shared" si="377"/>
        <v>y=-0.0466*2.71^2+68.24*2.71-22.954</v>
      </c>
      <c r="AQ3317" s="10" t="b">
        <f>IF(AND(I3317="TP",S3317&lt;=150),VLOOKUP(AF3317,TPCalibEq150!$AZ$2:$BB$55,3,),IF(AND(I3317="TDP",S3317&lt;=150),VLOOKUP(AF3317,TPCalibEq150!$AZ$2:$BB$55,3,)))</f>
        <v>0</v>
      </c>
      <c r="AR3317" s="10" t="str">
        <f>IF(AND(I3317="TP",S3317&lt;=300),VLOOKUP(AF3317,TPCalibEq300!$AZ$2:$BB$55,3,),IF(AND(I3317="TDP",S3317&lt;=300),VLOOKUP(AF3317,TPCalibEq300!$AZ$2:$BB$55,3,)))</f>
        <v>y=-3.4074x2+90.534x-41.641</v>
      </c>
      <c r="AS3317" s="10" t="str">
        <f>IF(AND(I3317="TP",S3317&lt;=500),VLOOKUP(AF3317,TPCalibEq500!$AZ$2:$BB$56,3,),IF(AND(I3317="TDP",S3317&lt;=500),VLOOKUP(AF3317,TPCalibEq500!$AZ$2:$BB$56,3,)))</f>
        <v>y=-1.4395x2+80.835x-35.016</v>
      </c>
      <c r="AT3317" s="10" t="b">
        <f>IF(AND(I3317="TN",S3317&lt;=2800),VLOOKUP(AF3317,TNCalibEq2500!$AZ$2:$BB$56,3,),IF(AND(I3317="TDN",S3317&lt;=2800),VLOOKUP(AF3317,TNCalibEq2500!$AZ$2:$BB$56,3,)))</f>
        <v>0</v>
      </c>
      <c r="AU3317" s="10" t="str">
        <f>IF(I3317="TP",VLOOKUP(AF3317,TPCalibEqFull!$AZ$2:$BB$56,3),IF(I3317="TDP",VLOOKUP(AF3317,TPCalibEqFull!$AZ$2:$BB$56,3),IF(I3317="TDN",VLOOKUP(AF3317,TNCalibEqFull!$AZ$1:$BB$56,3),IF(I3317="TN",VLOOKUP(AF3317,TNCalibEqFull!$AZ$1:$BB$56,3),FALSE))))</f>
        <v>y=-0.0466x2+68.24x-22.954</v>
      </c>
      <c r="AV3317" s="10" t="str">
        <f t="shared" si="375"/>
        <v>0213 09:25:00-S50-0-C-1-SW-UKN</v>
      </c>
    </row>
    <row r="3318" spans="1:48" s="10" customFormat="1" x14ac:dyDescent="0.55000000000000004">
      <c r="A3318" s="32">
        <v>44970</v>
      </c>
      <c r="B3318" s="33">
        <v>0.41597222222222219</v>
      </c>
      <c r="C3318" s="10" t="s">
        <v>528</v>
      </c>
      <c r="D3318" s="10">
        <v>0</v>
      </c>
      <c r="E3318" s="10" t="s">
        <v>190</v>
      </c>
      <c r="F3318" s="10">
        <v>1</v>
      </c>
      <c r="G3318" s="10" t="s">
        <v>231</v>
      </c>
      <c r="H3318" s="10" t="s">
        <v>322</v>
      </c>
      <c r="I3318" s="10" t="s">
        <v>83</v>
      </c>
      <c r="J3318" s="10">
        <v>14</v>
      </c>
      <c r="K3318" s="12">
        <v>44972</v>
      </c>
      <c r="L3318" s="33">
        <v>0.57895833333333335</v>
      </c>
      <c r="M3318" s="10">
        <v>1</v>
      </c>
      <c r="N3318" s="10" t="s">
        <v>84</v>
      </c>
      <c r="O3318" s="10">
        <v>1.97</v>
      </c>
      <c r="P3318" s="10">
        <v>0.14099999999999999</v>
      </c>
      <c r="Q3318" s="10">
        <v>112</v>
      </c>
      <c r="R3318" s="10" t="s">
        <v>85</v>
      </c>
      <c r="S3318" s="34">
        <f t="shared" si="372"/>
        <v>124.46302724000002</v>
      </c>
      <c r="T3318" s="10" t="s">
        <v>1246</v>
      </c>
      <c r="U3318" s="34" t="str">
        <f t="shared" si="373"/>
        <v/>
      </c>
      <c r="V3318" s="31" t="str">
        <f>IF(H3318="CHK",VLOOKUP(I3318,QCCHK,3,),IF(H3318="GUP",VLOOKUP(E3318,QCGUP,2,),IF(AND(H3318="ATP",OR(I3318="TN",I3318="TDN",I3318="TNO2-3",I3318="NO2-3")),VLOOKUP(E3318,QCREC_N,2,),IF(AND(H3318="NIC",OR(I3318="TN",I3318="TDN",I3318="TNO2-3",I3318="NO2-3")),VLOOKUP(E3318,QCNIC_N,2,),IF(AND(H3318="UREA",OR(I3318="TN",I3318="TDN",I3318="TNO2-3",I3318="NO2-3")),VLOOKUP(E3318,QCUREA_N,2,),IF(H3318="PER",VLOOKUP(I3318,QCPER,MATCH(E3318,QCACTUAL!$J$25:$AA$25,0),),IF(H3318="SPK",VLOOKUP(I3318,QCSPK,3,),IF(AND(H3318="ATP",OR(I3318="TP",I3318="TDP")),VLOOKUP(E3318,QCATP_P,2,),""))))))))</f>
        <v/>
      </c>
      <c r="W3318" s="31" t="str">
        <f t="shared" si="374"/>
        <v>TRUE</v>
      </c>
      <c r="X3318" s="31" t="str">
        <f t="shared" si="371"/>
        <v/>
      </c>
      <c r="Y3318" s="10" t="s">
        <v>1232</v>
      </c>
      <c r="Z3318" s="10" t="s">
        <v>910</v>
      </c>
      <c r="AF3318" s="12">
        <v>44972</v>
      </c>
      <c r="AG3318" s="10">
        <f>-8.1564*1.97^2+103.56*1.97-47.896</f>
        <v>124.46302724000002</v>
      </c>
      <c r="AH3318" s="10">
        <f>-3.4074*1.97^2+90.534*1.97-41.641</f>
        <v>123.48720134000001</v>
      </c>
      <c r="AI3318" s="10">
        <f>-1.4395*1.97^2+80.835*1.97-35.016</f>
        <v>118.64239445000001</v>
      </c>
      <c r="AK3318" s="10">
        <f>-0.0466*1.97^2+68.24*1.97-22.954</f>
        <v>111.29795005999998</v>
      </c>
      <c r="AL3318" s="10" t="str">
        <f t="shared" si="376"/>
        <v>y=-8.1564*1.97^2+103.56*1.97-47.896</v>
      </c>
      <c r="AM3318" s="10" t="str">
        <f t="shared" si="376"/>
        <v>y=-3.4074*1.97^2+90.534*1.97-41.641</v>
      </c>
      <c r="AN3318" s="10" t="str">
        <f t="shared" si="376"/>
        <v>y=-1.4395*1.97^2+80.835*1.97-35.016</v>
      </c>
      <c r="AO3318" s="10" t="str">
        <f t="shared" si="377"/>
        <v>FALSE</v>
      </c>
      <c r="AP3318" s="10" t="str">
        <f t="shared" si="377"/>
        <v>y=-0.0466*1.97^2+68.24*1.97-22.954</v>
      </c>
      <c r="AQ3318" s="10" t="str">
        <f>IF(AND(I3318="TP",S3318&lt;=150),VLOOKUP(AF3318,TPCalibEq150!$AZ$2:$BB$55,3,),IF(AND(I3318="TDP",S3318&lt;=150),VLOOKUP(AF3318,TPCalibEq150!$AZ$2:$BB$55,3,)))</f>
        <v>y=-8.1564x2+103.56x-47.896</v>
      </c>
      <c r="AR3318" s="10" t="str">
        <f>IF(AND(I3318="TP",S3318&lt;=300),VLOOKUP(AF3318,TPCalibEq300!$AZ$2:$BB$55,3,),IF(AND(I3318="TDP",S3318&lt;=300),VLOOKUP(AF3318,TPCalibEq300!$AZ$2:$BB$55,3,)))</f>
        <v>y=-3.4074x2+90.534x-41.641</v>
      </c>
      <c r="AS3318" s="10" t="str">
        <f>IF(AND(I3318="TP",S3318&lt;=500),VLOOKUP(AF3318,TPCalibEq500!$AZ$2:$BB$56,3,),IF(AND(I3318="TDP",S3318&lt;=500),VLOOKUP(AF3318,TPCalibEq500!$AZ$2:$BB$56,3,)))</f>
        <v>y=-1.4395x2+80.835x-35.016</v>
      </c>
      <c r="AT3318" s="10" t="b">
        <f>IF(AND(I3318="TN",S3318&lt;=2800),VLOOKUP(AF3318,TNCalibEq2500!$AZ$2:$BB$56,3,),IF(AND(I3318="TDN",S3318&lt;=2800),VLOOKUP(AF3318,TNCalibEq2500!$AZ$2:$BB$56,3,)))</f>
        <v>0</v>
      </c>
      <c r="AU3318" s="10" t="str">
        <f>IF(I3318="TP",VLOOKUP(AF3318,TPCalibEqFull!$AZ$2:$BB$56,3),IF(I3318="TDP",VLOOKUP(AF3318,TPCalibEqFull!$AZ$2:$BB$56,3),IF(I3318="TDN",VLOOKUP(AF3318,TNCalibEqFull!$AZ$1:$BB$56,3),IF(I3318="TN",VLOOKUP(AF3318,TNCalibEqFull!$AZ$1:$BB$56,3),FALSE))))</f>
        <v>y=-0.0466x2+68.24x-22.954</v>
      </c>
      <c r="AV3318" s="10" t="str">
        <f t="shared" si="375"/>
        <v>0213 09:59:00-P04-0-C-1-SW-UKN</v>
      </c>
    </row>
    <row r="3319" spans="1:48" s="10" customFormat="1" x14ac:dyDescent="0.55000000000000004">
      <c r="A3319" s="32">
        <v>44970</v>
      </c>
      <c r="B3319" s="33">
        <v>0.42777777777777781</v>
      </c>
      <c r="C3319" s="10">
        <v>506</v>
      </c>
      <c r="D3319" s="10">
        <v>0</v>
      </c>
      <c r="E3319" s="10" t="s">
        <v>190</v>
      </c>
      <c r="F3319" s="10">
        <v>1</v>
      </c>
      <c r="G3319" s="10" t="s">
        <v>231</v>
      </c>
      <c r="H3319" s="10" t="s">
        <v>322</v>
      </c>
      <c r="I3319" s="10" t="s">
        <v>83</v>
      </c>
      <c r="J3319" s="10">
        <v>15</v>
      </c>
      <c r="K3319" s="12">
        <v>44972</v>
      </c>
      <c r="L3319" s="33">
        <v>0.57964120370370364</v>
      </c>
      <c r="M3319" s="10">
        <v>1</v>
      </c>
      <c r="N3319" s="10" t="s">
        <v>84</v>
      </c>
      <c r="O3319" s="10">
        <v>0.97799999999999998</v>
      </c>
      <c r="P3319" s="10">
        <v>6.7799999999999999E-2</v>
      </c>
      <c r="Q3319" s="10">
        <v>44.5</v>
      </c>
      <c r="R3319" s="10" t="s">
        <v>85</v>
      </c>
      <c r="S3319" s="34">
        <f t="shared" si="372"/>
        <v>45.584213902399995</v>
      </c>
      <c r="T3319" s="10" t="s">
        <v>1246</v>
      </c>
      <c r="U3319" s="34" t="str">
        <f t="shared" si="373"/>
        <v/>
      </c>
      <c r="V3319" s="31" t="str">
        <f>IF(H3319="CHK",VLOOKUP(I3319,QCCHK,3,),IF(H3319="GUP",VLOOKUP(E3319,QCGUP,2,),IF(AND(H3319="ATP",OR(I3319="TN",I3319="TDN",I3319="TNO2-3",I3319="NO2-3")),VLOOKUP(E3319,QCREC_N,2,),IF(AND(H3319="NIC",OR(I3319="TN",I3319="TDN",I3319="TNO2-3",I3319="NO2-3")),VLOOKUP(E3319,QCNIC_N,2,),IF(AND(H3319="UREA",OR(I3319="TN",I3319="TDN",I3319="TNO2-3",I3319="NO2-3")),VLOOKUP(E3319,QCUREA_N,2,),IF(H3319="PER",VLOOKUP(I3319,QCPER,MATCH(E3319,QCACTUAL!$J$25:$AA$25,0),),IF(H3319="SPK",VLOOKUP(I3319,QCSPK,3,),IF(AND(H3319="ATP",OR(I3319="TP",I3319="TDP")),VLOOKUP(E3319,QCATP_P,2,),""))))))))</f>
        <v/>
      </c>
      <c r="W3319" s="31" t="str">
        <f t="shared" si="374"/>
        <v>TRUE</v>
      </c>
      <c r="X3319" s="31" t="str">
        <f t="shared" si="371"/>
        <v/>
      </c>
      <c r="Y3319" s="10" t="s">
        <v>1232</v>
      </c>
      <c r="Z3319" s="10" t="s">
        <v>910</v>
      </c>
      <c r="AF3319" s="12">
        <v>44972</v>
      </c>
      <c r="AG3319" s="10">
        <f>-8.1564*0.978^2+103.56*0.978-47.896</f>
        <v>45.584213902399995</v>
      </c>
      <c r="AH3319" s="10">
        <f>-3.4074*0.978^2+90.534*0.978-41.641</f>
        <v>43.642128418400013</v>
      </c>
      <c r="AI3319" s="10">
        <f>-1.4395*0.978^2+80.835*0.978-35.016</f>
        <v>42.663771282000006</v>
      </c>
      <c r="AK3319" s="10">
        <f>-0.0466*0.978^2+68.24*0.978-22.954</f>
        <v>43.740147845599999</v>
      </c>
      <c r="AL3319" s="10" t="str">
        <f t="shared" si="376"/>
        <v>y=-8.1564*0.978^2+103.56*0.978-47.896</v>
      </c>
      <c r="AM3319" s="10" t="str">
        <f t="shared" si="376"/>
        <v>y=-3.4074*0.978^2+90.534*0.978-41.641</v>
      </c>
      <c r="AN3319" s="10" t="str">
        <f t="shared" si="376"/>
        <v>y=-1.4395*0.978^2+80.835*0.978-35.016</v>
      </c>
      <c r="AO3319" s="10" t="str">
        <f t="shared" si="377"/>
        <v>FALSE</v>
      </c>
      <c r="AP3319" s="10" t="str">
        <f t="shared" si="377"/>
        <v>y=-0.0466*0.978^2+68.24*0.978-22.954</v>
      </c>
      <c r="AQ3319" s="10" t="str">
        <f>IF(AND(I3319="TP",S3319&lt;=150),VLOOKUP(AF3319,TPCalibEq150!$AZ$2:$BB$55,3,),IF(AND(I3319="TDP",S3319&lt;=150),VLOOKUP(AF3319,TPCalibEq150!$AZ$2:$BB$55,3,)))</f>
        <v>y=-8.1564x2+103.56x-47.896</v>
      </c>
      <c r="AR3319" s="10" t="str">
        <f>IF(AND(I3319="TP",S3319&lt;=300),VLOOKUP(AF3319,TPCalibEq300!$AZ$2:$BB$55,3,),IF(AND(I3319="TDP",S3319&lt;=300),VLOOKUP(AF3319,TPCalibEq300!$AZ$2:$BB$55,3,)))</f>
        <v>y=-3.4074x2+90.534x-41.641</v>
      </c>
      <c r="AS3319" s="10" t="str">
        <f>IF(AND(I3319="TP",S3319&lt;=500),VLOOKUP(AF3319,TPCalibEq500!$AZ$2:$BB$56,3,),IF(AND(I3319="TDP",S3319&lt;=500),VLOOKUP(AF3319,TPCalibEq500!$AZ$2:$BB$56,3,)))</f>
        <v>y=-1.4395x2+80.835x-35.016</v>
      </c>
      <c r="AT3319" s="10" t="b">
        <f>IF(AND(I3319="TN",S3319&lt;=2800),VLOOKUP(AF3319,TNCalibEq2500!$AZ$2:$BB$56,3,),IF(AND(I3319="TDN",S3319&lt;=2800),VLOOKUP(AF3319,TNCalibEq2500!$AZ$2:$BB$56,3,)))</f>
        <v>0</v>
      </c>
      <c r="AU3319" s="10" t="str">
        <f>IF(I3319="TP",VLOOKUP(AF3319,TPCalibEqFull!$AZ$2:$BB$56,3),IF(I3319="TDP",VLOOKUP(AF3319,TPCalibEqFull!$AZ$2:$BB$56,3),IF(I3319="TDN",VLOOKUP(AF3319,TNCalibEqFull!$AZ$1:$BB$56,3),IF(I3319="TN",VLOOKUP(AF3319,TNCalibEqFull!$AZ$1:$BB$56,3),FALSE))))</f>
        <v>y=-0.0466x2+68.24x-22.954</v>
      </c>
      <c r="AV3319" s="10" t="str">
        <f t="shared" si="375"/>
        <v>0213 10:16:00-506-0-C-1-SW-UKN</v>
      </c>
    </row>
    <row r="3320" spans="1:48" s="10" customFormat="1" x14ac:dyDescent="0.55000000000000004">
      <c r="A3320" s="32">
        <v>44970</v>
      </c>
      <c r="B3320" s="33">
        <v>0.43402777777777773</v>
      </c>
      <c r="C3320" s="10" t="s">
        <v>1104</v>
      </c>
      <c r="D3320" s="10">
        <v>0</v>
      </c>
      <c r="E3320" s="10" t="s">
        <v>190</v>
      </c>
      <c r="F3320" s="10">
        <v>1</v>
      </c>
      <c r="G3320" s="10" t="s">
        <v>231</v>
      </c>
      <c r="H3320" s="10" t="s">
        <v>322</v>
      </c>
      <c r="I3320" s="10" t="s">
        <v>83</v>
      </c>
      <c r="J3320" s="10">
        <v>16</v>
      </c>
      <c r="K3320" s="12">
        <v>44972</v>
      </c>
      <c r="L3320" s="33">
        <v>0.5803356481481482</v>
      </c>
      <c r="M3320" s="10">
        <v>1</v>
      </c>
      <c r="N3320" s="10" t="s">
        <v>84</v>
      </c>
      <c r="O3320" s="10">
        <v>2.0699999999999998</v>
      </c>
      <c r="P3320" s="10">
        <v>0.14699999999999999</v>
      </c>
      <c r="Q3320" s="10">
        <v>119</v>
      </c>
      <c r="R3320" s="10" t="s">
        <v>85</v>
      </c>
      <c r="S3320" s="34">
        <f t="shared" si="372"/>
        <v>131.52384164</v>
      </c>
      <c r="T3320" s="10" t="s">
        <v>1246</v>
      </c>
      <c r="U3320" s="34" t="str">
        <f t="shared" si="373"/>
        <v/>
      </c>
      <c r="V3320" s="31" t="str">
        <f>IF(H3320="CHK",VLOOKUP(I3320,QCCHK,3,),IF(H3320="GUP",VLOOKUP(E3320,QCGUP,2,),IF(AND(H3320="ATP",OR(I3320="TN",I3320="TDN",I3320="TNO2-3",I3320="NO2-3")),VLOOKUP(E3320,QCREC_N,2,),IF(AND(H3320="NIC",OR(I3320="TN",I3320="TDN",I3320="TNO2-3",I3320="NO2-3")),VLOOKUP(E3320,QCNIC_N,2,),IF(AND(H3320="UREA",OR(I3320="TN",I3320="TDN",I3320="TNO2-3",I3320="NO2-3")),VLOOKUP(E3320,QCUREA_N,2,),IF(H3320="PER",VLOOKUP(I3320,QCPER,MATCH(E3320,QCACTUAL!$J$25:$AA$25,0),),IF(H3320="SPK",VLOOKUP(I3320,QCSPK,3,),IF(AND(H3320="ATP",OR(I3320="TP",I3320="TDP")),VLOOKUP(E3320,QCATP_P,2,),""))))))))</f>
        <v/>
      </c>
      <c r="W3320" s="31" t="str">
        <f t="shared" si="374"/>
        <v>TRUE</v>
      </c>
      <c r="X3320" s="31" t="str">
        <f t="shared" si="371"/>
        <v/>
      </c>
      <c r="Y3320" s="10" t="s">
        <v>1232</v>
      </c>
      <c r="Z3320" s="10" t="s">
        <v>910</v>
      </c>
      <c r="AF3320" s="12">
        <v>44972</v>
      </c>
      <c r="AG3320" s="10">
        <f>-8.1564*2.07^2+103.56*2.07-47.896</f>
        <v>131.52384164</v>
      </c>
      <c r="AH3320" s="10">
        <f>-3.4074*2.07^2+90.534*2.07-41.641</f>
        <v>131.16401174000001</v>
      </c>
      <c r="AI3320" s="10">
        <f>-1.4395*2.07^2+80.835*2.07-35.016</f>
        <v>126.14433645</v>
      </c>
      <c r="AK3320" s="10">
        <f>-0.0466*2.07^2+68.24*2.07-22.954</f>
        <v>118.10312365999997</v>
      </c>
      <c r="AL3320" s="10" t="str">
        <f t="shared" si="376"/>
        <v>y=-8.1564*2.07^2+103.56*2.07-47.896</v>
      </c>
      <c r="AM3320" s="10" t="str">
        <f t="shared" si="376"/>
        <v>y=-3.4074*2.07^2+90.534*2.07-41.641</v>
      </c>
      <c r="AN3320" s="10" t="str">
        <f t="shared" si="376"/>
        <v>y=-1.4395*2.07^2+80.835*2.07-35.016</v>
      </c>
      <c r="AO3320" s="10" t="str">
        <f t="shared" si="377"/>
        <v>FALSE</v>
      </c>
      <c r="AP3320" s="10" t="str">
        <f t="shared" si="377"/>
        <v>y=-0.0466*2.07^2+68.24*2.07-22.954</v>
      </c>
      <c r="AQ3320" s="10" t="str">
        <f>IF(AND(I3320="TP",S3320&lt;=150),VLOOKUP(AF3320,TPCalibEq150!$AZ$2:$BB$55,3,),IF(AND(I3320="TDP",S3320&lt;=150),VLOOKUP(AF3320,TPCalibEq150!$AZ$2:$BB$55,3,)))</f>
        <v>y=-8.1564x2+103.56x-47.896</v>
      </c>
      <c r="AR3320" s="10" t="str">
        <f>IF(AND(I3320="TP",S3320&lt;=300),VLOOKUP(AF3320,TPCalibEq300!$AZ$2:$BB$55,3,),IF(AND(I3320="TDP",S3320&lt;=300),VLOOKUP(AF3320,TPCalibEq300!$AZ$2:$BB$55,3,)))</f>
        <v>y=-3.4074x2+90.534x-41.641</v>
      </c>
      <c r="AS3320" s="10" t="str">
        <f>IF(AND(I3320="TP",S3320&lt;=500),VLOOKUP(AF3320,TPCalibEq500!$AZ$2:$BB$56,3,),IF(AND(I3320="TDP",S3320&lt;=500),VLOOKUP(AF3320,TPCalibEq500!$AZ$2:$BB$56,3,)))</f>
        <v>y=-1.4395x2+80.835x-35.016</v>
      </c>
      <c r="AT3320" s="10" t="b">
        <f>IF(AND(I3320="TN",S3320&lt;=2800),VLOOKUP(AF3320,TNCalibEq2500!$AZ$2:$BB$56,3,),IF(AND(I3320="TDN",S3320&lt;=2800),VLOOKUP(AF3320,TNCalibEq2500!$AZ$2:$BB$56,3,)))</f>
        <v>0</v>
      </c>
      <c r="AU3320" s="10" t="str">
        <f>IF(I3320="TP",VLOOKUP(AF3320,TPCalibEqFull!$AZ$2:$BB$56,3),IF(I3320="TDP",VLOOKUP(AF3320,TPCalibEqFull!$AZ$2:$BB$56,3),IF(I3320="TDN",VLOOKUP(AF3320,TNCalibEqFull!$AZ$1:$BB$56,3),IF(I3320="TN",VLOOKUP(AF3320,TNCalibEqFull!$AZ$1:$BB$56,3),FALSE))))</f>
        <v>y=-0.0466x2+68.24x-22.954</v>
      </c>
      <c r="AV3320" s="10" t="str">
        <f t="shared" si="375"/>
        <v>0213 10:25:00-LBW-0-C-1-SW-UKN</v>
      </c>
    </row>
    <row r="3321" spans="1:48" s="10" customFormat="1" x14ac:dyDescent="0.55000000000000004">
      <c r="A3321" s="32">
        <v>44970</v>
      </c>
      <c r="B3321" s="33">
        <v>0.45208333333333334</v>
      </c>
      <c r="C3321" s="10" t="s">
        <v>537</v>
      </c>
      <c r="D3321" s="10">
        <v>0</v>
      </c>
      <c r="E3321" s="10" t="s">
        <v>190</v>
      </c>
      <c r="F3321" s="10">
        <v>1</v>
      </c>
      <c r="G3321" s="10" t="s">
        <v>231</v>
      </c>
      <c r="H3321" s="10" t="s">
        <v>322</v>
      </c>
      <c r="I3321" s="10" t="s">
        <v>83</v>
      </c>
      <c r="J3321" s="10">
        <v>17</v>
      </c>
      <c r="K3321" s="12">
        <v>44972</v>
      </c>
      <c r="L3321" s="33">
        <v>0.58104166666666668</v>
      </c>
      <c r="M3321" s="10">
        <v>1</v>
      </c>
      <c r="N3321" s="10" t="s">
        <v>84</v>
      </c>
      <c r="O3321" s="10">
        <v>2.1</v>
      </c>
      <c r="P3321" s="10">
        <v>0.14899999999999999</v>
      </c>
      <c r="Q3321" s="10">
        <v>121</v>
      </c>
      <c r="R3321" s="10" t="s">
        <v>85</v>
      </c>
      <c r="S3321" s="34">
        <f t="shared" si="372"/>
        <v>133.610276</v>
      </c>
      <c r="T3321" s="10" t="s">
        <v>1246</v>
      </c>
      <c r="U3321" s="34" t="str">
        <f t="shared" si="373"/>
        <v/>
      </c>
      <c r="V3321" s="31" t="str">
        <f>IF(H3321="CHK",VLOOKUP(I3321,QCCHK,3,),IF(H3321="GUP",VLOOKUP(E3321,QCGUP,2,),IF(AND(H3321="ATP",OR(I3321="TN",I3321="TDN",I3321="TNO2-3",I3321="NO2-3")),VLOOKUP(E3321,QCREC_N,2,),IF(AND(H3321="NIC",OR(I3321="TN",I3321="TDN",I3321="TNO2-3",I3321="NO2-3")),VLOOKUP(E3321,QCNIC_N,2,),IF(AND(H3321="UREA",OR(I3321="TN",I3321="TDN",I3321="TNO2-3",I3321="NO2-3")),VLOOKUP(E3321,QCUREA_N,2,),IF(H3321="PER",VLOOKUP(I3321,QCPER,MATCH(E3321,QCACTUAL!$J$25:$AA$25,0),),IF(H3321="SPK",VLOOKUP(I3321,QCSPK,3,),IF(AND(H3321="ATP",OR(I3321="TP",I3321="TDP")),VLOOKUP(E3321,QCATP_P,2,),""))))))))</f>
        <v/>
      </c>
      <c r="W3321" s="31" t="str">
        <f t="shared" si="374"/>
        <v>TRUE</v>
      </c>
      <c r="X3321" s="31" t="str">
        <f t="shared" si="371"/>
        <v/>
      </c>
      <c r="Y3321" s="10" t="s">
        <v>1232</v>
      </c>
      <c r="Z3321" s="10" t="s">
        <v>910</v>
      </c>
      <c r="AF3321" s="12">
        <v>44972</v>
      </c>
      <c r="AG3321" s="10">
        <f>-8.1564*2.1^2+103.56*2.1-47.896</f>
        <v>133.610276</v>
      </c>
      <c r="AH3321" s="10">
        <f>-3.4074*2.1^2+90.534*2.1-41.641</f>
        <v>133.45376600000003</v>
      </c>
      <c r="AI3321" s="10">
        <f>-1.4395*2.1^2+80.835*2.1-35.016</f>
        <v>128.38930500000001</v>
      </c>
      <c r="AK3321" s="10">
        <f>-0.0466*2.1^2+68.24*2.1-22.954</f>
        <v>120.14449399999998</v>
      </c>
      <c r="AL3321" s="10" t="str">
        <f t="shared" si="376"/>
        <v>y=-8.1564*2.1^2+103.56*2.1-47.896</v>
      </c>
      <c r="AM3321" s="10" t="str">
        <f t="shared" si="376"/>
        <v>y=-3.4074*2.1^2+90.534*2.1-41.641</v>
      </c>
      <c r="AN3321" s="10" t="str">
        <f t="shared" si="376"/>
        <v>y=-1.4395*2.1^2+80.835*2.1-35.016</v>
      </c>
      <c r="AO3321" s="10" t="str">
        <f t="shared" si="377"/>
        <v>FALSE</v>
      </c>
      <c r="AP3321" s="10" t="str">
        <f t="shared" si="377"/>
        <v>y=-0.0466*2.1^2+68.24*2.1-22.954</v>
      </c>
      <c r="AQ3321" s="10" t="str">
        <f>IF(AND(I3321="TP",S3321&lt;=150),VLOOKUP(AF3321,TPCalibEq150!$AZ$2:$BB$55,3,),IF(AND(I3321="TDP",S3321&lt;=150),VLOOKUP(AF3321,TPCalibEq150!$AZ$2:$BB$55,3,)))</f>
        <v>y=-8.1564x2+103.56x-47.896</v>
      </c>
      <c r="AR3321" s="10" t="str">
        <f>IF(AND(I3321="TP",S3321&lt;=300),VLOOKUP(AF3321,TPCalibEq300!$AZ$2:$BB$55,3,),IF(AND(I3321="TDP",S3321&lt;=300),VLOOKUP(AF3321,TPCalibEq300!$AZ$2:$BB$55,3,)))</f>
        <v>y=-3.4074x2+90.534x-41.641</v>
      </c>
      <c r="AS3321" s="10" t="str">
        <f>IF(AND(I3321="TP",S3321&lt;=500),VLOOKUP(AF3321,TPCalibEq500!$AZ$2:$BB$56,3,),IF(AND(I3321="TDP",S3321&lt;=500),VLOOKUP(AF3321,TPCalibEq500!$AZ$2:$BB$56,3,)))</f>
        <v>y=-1.4395x2+80.835x-35.016</v>
      </c>
      <c r="AT3321" s="10" t="b">
        <f>IF(AND(I3321="TN",S3321&lt;=2800),VLOOKUP(AF3321,TNCalibEq2500!$AZ$2:$BB$56,3,),IF(AND(I3321="TDN",S3321&lt;=2800),VLOOKUP(AF3321,TNCalibEq2500!$AZ$2:$BB$56,3,)))</f>
        <v>0</v>
      </c>
      <c r="AU3321" s="10" t="str">
        <f>IF(I3321="TP",VLOOKUP(AF3321,TPCalibEqFull!$AZ$2:$BB$56,3),IF(I3321="TDP",VLOOKUP(AF3321,TPCalibEqFull!$AZ$2:$BB$56,3),IF(I3321="TDN",VLOOKUP(AF3321,TNCalibEqFull!$AZ$1:$BB$56,3),IF(I3321="TN",VLOOKUP(AF3321,TNCalibEqFull!$AZ$1:$BB$56,3),FALSE))))</f>
        <v>y=-0.0466x2+68.24x-22.954</v>
      </c>
      <c r="AV3321" s="10" t="str">
        <f t="shared" si="375"/>
        <v>0213 10:51:00-S51-0-C-1-SW-UKN</v>
      </c>
    </row>
    <row r="3322" spans="1:48" s="10" customFormat="1" x14ac:dyDescent="0.55000000000000004">
      <c r="A3322" s="32">
        <v>44970</v>
      </c>
      <c r="B3322" s="33">
        <v>0.45833333333333331</v>
      </c>
      <c r="C3322" s="10">
        <v>890</v>
      </c>
      <c r="D3322" s="10">
        <v>0</v>
      </c>
      <c r="E3322" s="10" t="s">
        <v>190</v>
      </c>
      <c r="F3322" s="10">
        <v>1</v>
      </c>
      <c r="G3322" s="10" t="s">
        <v>231</v>
      </c>
      <c r="H3322" s="10" t="s">
        <v>322</v>
      </c>
      <c r="I3322" s="10" t="s">
        <v>83</v>
      </c>
      <c r="J3322" s="10">
        <v>18</v>
      </c>
      <c r="K3322" s="12">
        <v>44972</v>
      </c>
      <c r="L3322" s="33">
        <v>0.58174768518518516</v>
      </c>
      <c r="M3322" s="10">
        <v>1</v>
      </c>
      <c r="N3322" s="10" t="s">
        <v>84</v>
      </c>
      <c r="O3322" s="10">
        <v>1.9</v>
      </c>
      <c r="P3322" s="10">
        <v>0.13600000000000001</v>
      </c>
      <c r="Q3322" s="10">
        <v>107</v>
      </c>
      <c r="R3322" s="10" t="s">
        <v>85</v>
      </c>
      <c r="S3322" s="34">
        <f t="shared" si="372"/>
        <v>119.42339599999998</v>
      </c>
      <c r="T3322" s="10" t="s">
        <v>1246</v>
      </c>
      <c r="U3322" s="34" t="str">
        <f t="shared" si="373"/>
        <v/>
      </c>
      <c r="V3322" s="31" t="str">
        <f>IF(H3322="CHK",VLOOKUP(I3322,QCCHK,3,),IF(H3322="GUP",VLOOKUP(E3322,QCGUP,2,),IF(AND(H3322="ATP",OR(I3322="TN",I3322="TDN",I3322="TNO2-3",I3322="NO2-3")),VLOOKUP(E3322,QCREC_N,2,),IF(AND(H3322="NIC",OR(I3322="TN",I3322="TDN",I3322="TNO2-3",I3322="NO2-3")),VLOOKUP(E3322,QCNIC_N,2,),IF(AND(H3322="UREA",OR(I3322="TN",I3322="TDN",I3322="TNO2-3",I3322="NO2-3")),VLOOKUP(E3322,QCUREA_N,2,),IF(H3322="PER",VLOOKUP(I3322,QCPER,MATCH(E3322,QCACTUAL!$J$25:$AA$25,0),),IF(H3322="SPK",VLOOKUP(I3322,QCSPK,3,),IF(AND(H3322="ATP",OR(I3322="TP",I3322="TDP")),VLOOKUP(E3322,QCATP_P,2,),""))))))))</f>
        <v/>
      </c>
      <c r="W3322" s="31" t="str">
        <f t="shared" si="374"/>
        <v>TRUE</v>
      </c>
      <c r="X3322" s="31" t="str">
        <f t="shared" si="371"/>
        <v/>
      </c>
      <c r="Y3322" s="10" t="s">
        <v>1232</v>
      </c>
      <c r="Z3322" s="10" t="s">
        <v>910</v>
      </c>
      <c r="AF3322" s="12">
        <v>44972</v>
      </c>
      <c r="AG3322" s="10">
        <f>-8.1564*1.9^2+103.56*1.9-47.896</f>
        <v>119.42339599999998</v>
      </c>
      <c r="AH3322" s="10">
        <f>-3.4074*1.9^2+90.534*1.9-41.641</f>
        <v>118.07288600000001</v>
      </c>
      <c r="AI3322" s="10">
        <f>-1.4395*1.9^2+80.835*1.9-35.016</f>
        <v>113.37390499999998</v>
      </c>
      <c r="AK3322" s="10">
        <f>-0.0466*1.9^2+68.24*1.9-22.954</f>
        <v>106.53377399999997</v>
      </c>
      <c r="AL3322" s="10" t="str">
        <f t="shared" si="376"/>
        <v>y=-8.1564*1.9^2+103.56*1.9-47.896</v>
      </c>
      <c r="AM3322" s="10" t="str">
        <f t="shared" si="376"/>
        <v>y=-3.4074*1.9^2+90.534*1.9-41.641</v>
      </c>
      <c r="AN3322" s="10" t="str">
        <f t="shared" si="376"/>
        <v>y=-1.4395*1.9^2+80.835*1.9-35.016</v>
      </c>
      <c r="AO3322" s="10" t="str">
        <f t="shared" si="377"/>
        <v>FALSE</v>
      </c>
      <c r="AP3322" s="10" t="str">
        <f t="shared" si="377"/>
        <v>y=-0.0466*1.9^2+68.24*1.9-22.954</v>
      </c>
      <c r="AQ3322" s="10" t="str">
        <f>IF(AND(I3322="TP",S3322&lt;=150),VLOOKUP(AF3322,TPCalibEq150!$AZ$2:$BB$55,3,),IF(AND(I3322="TDP",S3322&lt;=150),VLOOKUP(AF3322,TPCalibEq150!$AZ$2:$BB$55,3,)))</f>
        <v>y=-8.1564x2+103.56x-47.896</v>
      </c>
      <c r="AR3322" s="10" t="str">
        <f>IF(AND(I3322="TP",S3322&lt;=300),VLOOKUP(AF3322,TPCalibEq300!$AZ$2:$BB$55,3,),IF(AND(I3322="TDP",S3322&lt;=300),VLOOKUP(AF3322,TPCalibEq300!$AZ$2:$BB$55,3,)))</f>
        <v>y=-3.4074x2+90.534x-41.641</v>
      </c>
      <c r="AS3322" s="10" t="str">
        <f>IF(AND(I3322="TP",S3322&lt;=500),VLOOKUP(AF3322,TPCalibEq500!$AZ$2:$BB$56,3,),IF(AND(I3322="TDP",S3322&lt;=500),VLOOKUP(AF3322,TPCalibEq500!$AZ$2:$BB$56,3,)))</f>
        <v>y=-1.4395x2+80.835x-35.016</v>
      </c>
      <c r="AT3322" s="10" t="b">
        <f>IF(AND(I3322="TN",S3322&lt;=2800),VLOOKUP(AF3322,TNCalibEq2500!$AZ$2:$BB$56,3,),IF(AND(I3322="TDN",S3322&lt;=2800),VLOOKUP(AF3322,TNCalibEq2500!$AZ$2:$BB$56,3,)))</f>
        <v>0</v>
      </c>
      <c r="AU3322" s="10" t="str">
        <f>IF(I3322="TP",VLOOKUP(AF3322,TPCalibEqFull!$AZ$2:$BB$56,3),IF(I3322="TDP",VLOOKUP(AF3322,TPCalibEqFull!$AZ$2:$BB$56,3),IF(I3322="TDN",VLOOKUP(AF3322,TNCalibEqFull!$AZ$1:$BB$56,3),IF(I3322="TN",VLOOKUP(AF3322,TNCalibEqFull!$AZ$1:$BB$56,3),FALSE))))</f>
        <v>y=-0.0466x2+68.24x-22.954</v>
      </c>
      <c r="AV3322" s="10" t="str">
        <f t="shared" si="375"/>
        <v>0213 11:00:00-890-0-C-1-SW-UKN</v>
      </c>
    </row>
    <row r="3323" spans="1:48" s="10" customFormat="1" x14ac:dyDescent="0.55000000000000004">
      <c r="A3323" s="32">
        <v>44970</v>
      </c>
      <c r="B3323" s="33">
        <v>0.47083333333333338</v>
      </c>
      <c r="C3323" s="10" t="s">
        <v>437</v>
      </c>
      <c r="D3323" s="10">
        <v>0</v>
      </c>
      <c r="E3323" s="10" t="s">
        <v>190</v>
      </c>
      <c r="F3323" s="10">
        <v>1</v>
      </c>
      <c r="G3323" s="10" t="s">
        <v>231</v>
      </c>
      <c r="H3323" s="10" t="s">
        <v>322</v>
      </c>
      <c r="I3323" s="10" t="s">
        <v>83</v>
      </c>
      <c r="J3323" s="10">
        <v>19</v>
      </c>
      <c r="K3323" s="12">
        <v>44972</v>
      </c>
      <c r="L3323" s="33">
        <v>0.5824421296296296</v>
      </c>
      <c r="M3323" s="10">
        <v>1</v>
      </c>
      <c r="N3323" s="10" t="s">
        <v>84</v>
      </c>
      <c r="O3323" s="10">
        <v>3.17</v>
      </c>
      <c r="P3323" s="10">
        <v>0.23</v>
      </c>
      <c r="Q3323" s="10">
        <v>194</v>
      </c>
      <c r="R3323" s="10" t="s">
        <v>85</v>
      </c>
      <c r="S3323" s="34">
        <f t="shared" si="372"/>
        <v>211.11115814000004</v>
      </c>
      <c r="T3323" s="10" t="s">
        <v>1246</v>
      </c>
      <c r="U3323" s="34" t="str">
        <f t="shared" si="373"/>
        <v/>
      </c>
      <c r="V3323" s="31" t="str">
        <f>IF(H3323="CHK",VLOOKUP(I3323,QCCHK,3,),IF(H3323="GUP",VLOOKUP(E3323,QCGUP,2,),IF(AND(H3323="ATP",OR(I3323="TN",I3323="TDN",I3323="TNO2-3",I3323="NO2-3")),VLOOKUP(E3323,QCREC_N,2,),IF(AND(H3323="NIC",OR(I3323="TN",I3323="TDN",I3323="TNO2-3",I3323="NO2-3")),VLOOKUP(E3323,QCNIC_N,2,),IF(AND(H3323="UREA",OR(I3323="TN",I3323="TDN",I3323="TNO2-3",I3323="NO2-3")),VLOOKUP(E3323,QCUREA_N,2,),IF(H3323="PER",VLOOKUP(I3323,QCPER,MATCH(E3323,QCACTUAL!$J$25:$AA$25,0),),IF(H3323="SPK",VLOOKUP(I3323,QCSPK,3,),IF(AND(H3323="ATP",OR(I3323="TP",I3323="TDP")),VLOOKUP(E3323,QCATP_P,2,),""))))))))</f>
        <v/>
      </c>
      <c r="W3323" s="31" t="str">
        <f t="shared" si="374"/>
        <v>TRUE</v>
      </c>
      <c r="X3323" s="31" t="str">
        <f t="shared" si="371"/>
        <v/>
      </c>
      <c r="Y3323" s="10" t="s">
        <v>1232</v>
      </c>
      <c r="Z3323" s="10" t="s">
        <v>910</v>
      </c>
      <c r="AF3323" s="12">
        <v>44972</v>
      </c>
      <c r="AH3323" s="10">
        <f>-3.4074*3.17^2+90.534*3.17-41.641</f>
        <v>211.11115814000004</v>
      </c>
      <c r="AI3323" s="10">
        <f>-1.4395*3.17^2+80.835*3.17-35.016</f>
        <v>206.76555844999999</v>
      </c>
      <c r="AK3323" s="10">
        <f>-0.0466*3.17^2+68.24*3.17-22.954</f>
        <v>192.89852126</v>
      </c>
      <c r="AL3323" s="10" t="str">
        <f t="shared" si="376"/>
        <v>FALSE</v>
      </c>
      <c r="AM3323" s="10" t="str">
        <f t="shared" si="376"/>
        <v>y=-3.4074*3.17^2+90.534*3.17-41.641</v>
      </c>
      <c r="AN3323" s="10" t="str">
        <f t="shared" si="376"/>
        <v>y=-1.4395*3.17^2+80.835*3.17-35.016</v>
      </c>
      <c r="AO3323" s="10" t="str">
        <f t="shared" si="377"/>
        <v>FALSE</v>
      </c>
      <c r="AP3323" s="10" t="str">
        <f t="shared" si="377"/>
        <v>y=-0.0466*3.17^2+68.24*3.17-22.954</v>
      </c>
      <c r="AQ3323" s="10" t="b">
        <f>IF(AND(I3323="TP",S3323&lt;=150),VLOOKUP(AF3323,TPCalibEq150!$AZ$2:$BB$55,3,),IF(AND(I3323="TDP",S3323&lt;=150),VLOOKUP(AF3323,TPCalibEq150!$AZ$2:$BB$55,3,)))</f>
        <v>0</v>
      </c>
      <c r="AR3323" s="10" t="str">
        <f>IF(AND(I3323="TP",S3323&lt;=300),VLOOKUP(AF3323,TPCalibEq300!$AZ$2:$BB$55,3,),IF(AND(I3323="TDP",S3323&lt;=300),VLOOKUP(AF3323,TPCalibEq300!$AZ$2:$BB$55,3,)))</f>
        <v>y=-3.4074x2+90.534x-41.641</v>
      </c>
      <c r="AS3323" s="10" t="str">
        <f>IF(AND(I3323="TP",S3323&lt;=500),VLOOKUP(AF3323,TPCalibEq500!$AZ$2:$BB$56,3,),IF(AND(I3323="TDP",S3323&lt;=500),VLOOKUP(AF3323,TPCalibEq500!$AZ$2:$BB$56,3,)))</f>
        <v>y=-1.4395x2+80.835x-35.016</v>
      </c>
      <c r="AT3323" s="10" t="b">
        <f>IF(AND(I3323="TN",S3323&lt;=2800),VLOOKUP(AF3323,TNCalibEq2500!$AZ$2:$BB$56,3,),IF(AND(I3323="TDN",S3323&lt;=2800),VLOOKUP(AF3323,TNCalibEq2500!$AZ$2:$BB$56,3,)))</f>
        <v>0</v>
      </c>
      <c r="AU3323" s="10" t="str">
        <f>IF(I3323="TP",VLOOKUP(AF3323,TPCalibEqFull!$AZ$2:$BB$56,3),IF(I3323="TDP",VLOOKUP(AF3323,TPCalibEqFull!$AZ$2:$BB$56,3),IF(I3323="TDN",VLOOKUP(AF3323,TNCalibEqFull!$AZ$1:$BB$56,3),IF(I3323="TN",VLOOKUP(AF3323,TNCalibEqFull!$AZ$1:$BB$56,3),FALSE))))</f>
        <v>y=-0.0466x2+68.24x-22.954</v>
      </c>
      <c r="AV3323" s="10" t="str">
        <f t="shared" si="375"/>
        <v>0213 11:18:00-FVM-0-C-1-SW-UKN</v>
      </c>
    </row>
    <row r="3324" spans="1:48" s="10" customFormat="1" x14ac:dyDescent="0.55000000000000004">
      <c r="A3324" s="32">
        <v>44970</v>
      </c>
      <c r="B3324" s="33">
        <v>0.47083333333333338</v>
      </c>
      <c r="C3324" s="10" t="s">
        <v>437</v>
      </c>
      <c r="D3324" s="10">
        <v>0</v>
      </c>
      <c r="E3324" s="10" t="s">
        <v>190</v>
      </c>
      <c r="F3324" s="10">
        <v>2</v>
      </c>
      <c r="G3324" s="10" t="s">
        <v>231</v>
      </c>
      <c r="H3324" s="10" t="s">
        <v>322</v>
      </c>
      <c r="I3324" s="10" t="s">
        <v>83</v>
      </c>
      <c r="J3324" s="10">
        <v>20</v>
      </c>
      <c r="K3324" s="12">
        <v>44972</v>
      </c>
      <c r="L3324" s="33">
        <v>0.58313657407407404</v>
      </c>
      <c r="M3324" s="10">
        <v>1</v>
      </c>
      <c r="N3324" s="10" t="s">
        <v>84</v>
      </c>
      <c r="O3324" s="10">
        <v>2.76</v>
      </c>
      <c r="P3324" s="10">
        <v>0.19700000000000001</v>
      </c>
      <c r="Q3324" s="10">
        <v>166</v>
      </c>
      <c r="R3324" s="10" t="s">
        <v>85</v>
      </c>
      <c r="S3324" s="34">
        <f t="shared" si="372"/>
        <v>182.27662976000002</v>
      </c>
      <c r="T3324" s="10" t="s">
        <v>1246</v>
      </c>
      <c r="U3324" s="34" t="str">
        <f t="shared" si="373"/>
        <v/>
      </c>
      <c r="V3324" s="31" t="str">
        <f>IF(H3324="CHK",VLOOKUP(I3324,QCCHK,3,),IF(H3324="GUP",VLOOKUP(E3324,QCGUP,2,),IF(AND(H3324="ATP",OR(I3324="TN",I3324="TDN",I3324="TNO2-3",I3324="NO2-3")),VLOOKUP(E3324,QCREC_N,2,),IF(AND(H3324="NIC",OR(I3324="TN",I3324="TDN",I3324="TNO2-3",I3324="NO2-3")),VLOOKUP(E3324,QCNIC_N,2,),IF(AND(H3324="UREA",OR(I3324="TN",I3324="TDN",I3324="TNO2-3",I3324="NO2-3")),VLOOKUP(E3324,QCUREA_N,2,),IF(H3324="PER",VLOOKUP(I3324,QCPER,MATCH(E3324,QCACTUAL!$J$25:$AA$25,0),),IF(H3324="SPK",VLOOKUP(I3324,QCSPK,3,),IF(AND(H3324="ATP",OR(I3324="TP",I3324="TDP")),VLOOKUP(E3324,QCATP_P,2,),""))))))))</f>
        <v/>
      </c>
      <c r="W3324" s="31" t="str">
        <f t="shared" si="374"/>
        <v>TRUE</v>
      </c>
      <c r="X3324" s="31" t="str">
        <f t="shared" si="371"/>
        <v/>
      </c>
      <c r="Y3324" s="10" t="s">
        <v>1232</v>
      </c>
      <c r="Z3324" s="10" t="s">
        <v>910</v>
      </c>
      <c r="AF3324" s="12">
        <v>44972</v>
      </c>
      <c r="AH3324" s="10">
        <f>-3.4074*2.76^2+90.534*2.76-41.641</f>
        <v>182.27662976000002</v>
      </c>
      <c r="AI3324" s="10">
        <f>-1.4395*2.76^2+80.835*2.76-35.016</f>
        <v>177.12306479999998</v>
      </c>
      <c r="AK3324" s="10">
        <f>-0.0466*2.76^2+68.24*2.76-22.954</f>
        <v>165.03341983999997</v>
      </c>
      <c r="AL3324" s="10" t="str">
        <f t="shared" si="376"/>
        <v>FALSE</v>
      </c>
      <c r="AM3324" s="10" t="str">
        <f t="shared" si="376"/>
        <v>y=-3.4074*2.76^2+90.534*2.76-41.641</v>
      </c>
      <c r="AN3324" s="10" t="str">
        <f t="shared" si="376"/>
        <v>y=-1.4395*2.76^2+80.835*2.76-35.016</v>
      </c>
      <c r="AO3324" s="10" t="str">
        <f t="shared" si="377"/>
        <v>FALSE</v>
      </c>
      <c r="AP3324" s="10" t="str">
        <f t="shared" si="377"/>
        <v>y=-0.0466*2.76^2+68.24*2.76-22.954</v>
      </c>
      <c r="AQ3324" s="10" t="b">
        <f>IF(AND(I3324="TP",S3324&lt;=150),VLOOKUP(AF3324,TPCalibEq150!$AZ$2:$BB$55,3,),IF(AND(I3324="TDP",S3324&lt;=150),VLOOKUP(AF3324,TPCalibEq150!$AZ$2:$BB$55,3,)))</f>
        <v>0</v>
      </c>
      <c r="AR3324" s="10" t="str">
        <f>IF(AND(I3324="TP",S3324&lt;=300),VLOOKUP(AF3324,TPCalibEq300!$AZ$2:$BB$55,3,),IF(AND(I3324="TDP",S3324&lt;=300),VLOOKUP(AF3324,TPCalibEq300!$AZ$2:$BB$55,3,)))</f>
        <v>y=-3.4074x2+90.534x-41.641</v>
      </c>
      <c r="AS3324" s="10" t="str">
        <f>IF(AND(I3324="TP",S3324&lt;=500),VLOOKUP(AF3324,TPCalibEq500!$AZ$2:$BB$56,3,),IF(AND(I3324="TDP",S3324&lt;=500),VLOOKUP(AF3324,TPCalibEq500!$AZ$2:$BB$56,3,)))</f>
        <v>y=-1.4395x2+80.835x-35.016</v>
      </c>
      <c r="AT3324" s="10" t="b">
        <f>IF(AND(I3324="TN",S3324&lt;=2800),VLOOKUP(AF3324,TNCalibEq2500!$AZ$2:$BB$56,3,),IF(AND(I3324="TDN",S3324&lt;=2800),VLOOKUP(AF3324,TNCalibEq2500!$AZ$2:$BB$56,3,)))</f>
        <v>0</v>
      </c>
      <c r="AU3324" s="10" t="str">
        <f>IF(I3324="TP",VLOOKUP(AF3324,TPCalibEqFull!$AZ$2:$BB$56,3),IF(I3324="TDP",VLOOKUP(AF3324,TPCalibEqFull!$AZ$2:$BB$56,3),IF(I3324="TDN",VLOOKUP(AF3324,TNCalibEqFull!$AZ$1:$BB$56,3),IF(I3324="TN",VLOOKUP(AF3324,TNCalibEqFull!$AZ$1:$BB$56,3),FALSE))))</f>
        <v>y=-0.0466x2+68.24x-22.954</v>
      </c>
      <c r="AV3324" s="10" t="str">
        <f t="shared" si="375"/>
        <v>0213 11:18:00-FVM-0-C-2-SW-UKN</v>
      </c>
    </row>
    <row r="3325" spans="1:48" s="10" customFormat="1" x14ac:dyDescent="0.55000000000000004">
      <c r="A3325" s="32">
        <v>44970</v>
      </c>
      <c r="B3325" s="33">
        <v>0.47083333333333338</v>
      </c>
      <c r="C3325" s="10" t="s">
        <v>437</v>
      </c>
      <c r="D3325" s="10">
        <v>0</v>
      </c>
      <c r="E3325" s="10" t="s">
        <v>190</v>
      </c>
      <c r="F3325" s="10">
        <v>2</v>
      </c>
      <c r="G3325" s="10" t="s">
        <v>231</v>
      </c>
      <c r="H3325" s="10" t="s">
        <v>233</v>
      </c>
      <c r="I3325" s="10" t="s">
        <v>83</v>
      </c>
      <c r="J3325" s="10">
        <v>20</v>
      </c>
      <c r="K3325" s="12">
        <v>44972</v>
      </c>
      <c r="L3325" s="33">
        <v>0.58383101851851849</v>
      </c>
      <c r="M3325" s="10">
        <v>1</v>
      </c>
      <c r="N3325" s="10" t="s">
        <v>84</v>
      </c>
      <c r="O3325" s="10">
        <v>2.73</v>
      </c>
      <c r="P3325" s="10">
        <v>0.19600000000000001</v>
      </c>
      <c r="Q3325" s="10">
        <v>164</v>
      </c>
      <c r="R3325" s="10" t="s">
        <v>85</v>
      </c>
      <c r="S3325" s="34">
        <f t="shared" si="372"/>
        <v>180.12180854000002</v>
      </c>
      <c r="T3325" s="10" t="s">
        <v>1246</v>
      </c>
      <c r="U3325" s="34">
        <f t="shared" si="373"/>
        <v>1.1892000584264117</v>
      </c>
      <c r="V3325" s="31" t="str">
        <f>IF(H3325="CHK",VLOOKUP(I3325,QCCHK,3,),IF(H3325="GUP",VLOOKUP(E3325,QCGUP,2,),IF(AND(H3325="ATP",OR(I3325="TN",I3325="TDN",I3325="TNO2-3",I3325="NO2-3")),VLOOKUP(E3325,QCREC_N,2,),IF(AND(H3325="NIC",OR(I3325="TN",I3325="TDN",I3325="TNO2-3",I3325="NO2-3")),VLOOKUP(E3325,QCNIC_N,2,),IF(AND(H3325="UREA",OR(I3325="TN",I3325="TDN",I3325="TNO2-3",I3325="NO2-3")),VLOOKUP(E3325,QCUREA_N,2,),IF(H3325="PER",VLOOKUP(I3325,QCPER,MATCH(E3325,QCACTUAL!$J$25:$AA$25,0),),IF(H3325="SPK",VLOOKUP(I3325,QCSPK,3,),IF(AND(H3325="ATP",OR(I3325="TP",I3325="TDP")),VLOOKUP(E3325,QCATP_P,2,),""))))))))</f>
        <v/>
      </c>
      <c r="W3325" s="31" t="str">
        <f t="shared" si="374"/>
        <v>TRUE</v>
      </c>
      <c r="X3325" s="31" t="str">
        <f t="shared" si="371"/>
        <v>((ABS(rep1-rep2))/((rep1+rep2)/2)*100</v>
      </c>
      <c r="Y3325" s="10" t="s">
        <v>1232</v>
      </c>
      <c r="Z3325" s="10" t="s">
        <v>910</v>
      </c>
      <c r="AF3325" s="12">
        <v>44972</v>
      </c>
      <c r="AH3325" s="10">
        <f>-3.4074*2.73^2+90.534*2.73-41.641</f>
        <v>180.12180854000002</v>
      </c>
      <c r="AI3325" s="10">
        <f>-1.4395*2.73^2+80.835*2.73-35.016</f>
        <v>174.93510044999999</v>
      </c>
      <c r="AK3325" s="10">
        <f>-0.0466*2.73^2+68.24*2.73-22.954</f>
        <v>162.99389485999998</v>
      </c>
      <c r="AL3325" s="10" t="str">
        <f t="shared" si="376"/>
        <v>FALSE</v>
      </c>
      <c r="AM3325" s="10" t="str">
        <f t="shared" si="376"/>
        <v>y=-3.4074*2.73^2+90.534*2.73-41.641</v>
      </c>
      <c r="AN3325" s="10" t="str">
        <f t="shared" si="376"/>
        <v>y=-1.4395*2.73^2+80.835*2.73-35.016</v>
      </c>
      <c r="AO3325" s="10" t="str">
        <f t="shared" si="377"/>
        <v>FALSE</v>
      </c>
      <c r="AP3325" s="10" t="str">
        <f t="shared" si="377"/>
        <v>y=-0.0466*2.73^2+68.24*2.73-22.954</v>
      </c>
      <c r="AQ3325" s="10" t="b">
        <f>IF(AND(I3325="TP",S3325&lt;=150),VLOOKUP(AF3325,TPCalibEq150!$AZ$2:$BB$55,3,),IF(AND(I3325="TDP",S3325&lt;=150),VLOOKUP(AF3325,TPCalibEq150!$AZ$2:$BB$55,3,)))</f>
        <v>0</v>
      </c>
      <c r="AR3325" s="10" t="str">
        <f>IF(AND(I3325="TP",S3325&lt;=300),VLOOKUP(AF3325,TPCalibEq300!$AZ$2:$BB$55,3,),IF(AND(I3325="TDP",S3325&lt;=300),VLOOKUP(AF3325,TPCalibEq300!$AZ$2:$BB$55,3,)))</f>
        <v>y=-3.4074x2+90.534x-41.641</v>
      </c>
      <c r="AS3325" s="10" t="str">
        <f>IF(AND(I3325="TP",S3325&lt;=500),VLOOKUP(AF3325,TPCalibEq500!$AZ$2:$BB$56,3,),IF(AND(I3325="TDP",S3325&lt;=500),VLOOKUP(AF3325,TPCalibEq500!$AZ$2:$BB$56,3,)))</f>
        <v>y=-1.4395x2+80.835x-35.016</v>
      </c>
      <c r="AT3325" s="10" t="b">
        <f>IF(AND(I3325="TN",S3325&lt;=2800),VLOOKUP(AF3325,TNCalibEq2500!$AZ$2:$BB$56,3,),IF(AND(I3325="TDN",S3325&lt;=2800),VLOOKUP(AF3325,TNCalibEq2500!$AZ$2:$BB$56,3,)))</f>
        <v>0</v>
      </c>
      <c r="AU3325" s="10" t="str">
        <f>IF(I3325="TP",VLOOKUP(AF3325,TPCalibEqFull!$AZ$2:$BB$56,3),IF(I3325="TDP",VLOOKUP(AF3325,TPCalibEqFull!$AZ$2:$BB$56,3),IF(I3325="TDN",VLOOKUP(AF3325,TNCalibEqFull!$AZ$1:$BB$56,3),IF(I3325="TN",VLOOKUP(AF3325,TNCalibEqFull!$AZ$1:$BB$56,3),FALSE))))</f>
        <v>y=-0.0466x2+68.24x-22.954</v>
      </c>
      <c r="AV3325" s="10" t="str">
        <f t="shared" si="375"/>
        <v>0213 11:18:00-FVM-0-C-2-SW-DUP</v>
      </c>
    </row>
    <row r="3326" spans="1:48" s="10" customFormat="1" x14ac:dyDescent="0.55000000000000004">
      <c r="A3326" s="32">
        <v>44970</v>
      </c>
      <c r="B3326" s="33">
        <v>0.47083333333333338</v>
      </c>
      <c r="C3326" s="10" t="s">
        <v>437</v>
      </c>
      <c r="D3326" s="10">
        <v>0</v>
      </c>
      <c r="E3326" s="10" t="s">
        <v>190</v>
      </c>
      <c r="F3326" s="10">
        <v>2</v>
      </c>
      <c r="G3326" s="10" t="s">
        <v>231</v>
      </c>
      <c r="H3326" s="10" t="s">
        <v>314</v>
      </c>
      <c r="I3326" s="10" t="s">
        <v>83</v>
      </c>
      <c r="J3326" s="10">
        <v>50</v>
      </c>
      <c r="K3326" s="12">
        <v>44972</v>
      </c>
      <c r="L3326" s="33">
        <v>0.58453703703703697</v>
      </c>
      <c r="M3326" s="10">
        <v>1</v>
      </c>
      <c r="N3326" s="10" t="s">
        <v>84</v>
      </c>
      <c r="O3326" s="10">
        <v>18.5</v>
      </c>
      <c r="P3326" s="10">
        <v>1.31</v>
      </c>
      <c r="Q3326" s="10">
        <v>1230</v>
      </c>
      <c r="R3326" s="10" t="s">
        <v>85</v>
      </c>
      <c r="S3326" s="34">
        <f t="shared" si="372"/>
        <v>1230</v>
      </c>
      <c r="T3326" s="10" t="s">
        <v>1246</v>
      </c>
      <c r="U3326" s="34">
        <f t="shared" si="373"/>
        <v>104.98781914599999</v>
      </c>
      <c r="V3326" s="31">
        <f>IF(H3326="CHK",VLOOKUP(I3326,QCCHK,3,),IF(H3326="GUP",VLOOKUP(E3326,QCGUP,2,),IF(AND(H3326="ATP",OR(I3326="TN",I3326="TDN",I3326="TNO2-3",I3326="NO2-3")),VLOOKUP(E3326,QCREC_N,2,),IF(AND(H3326="NIC",OR(I3326="TN",I3326="TDN",I3326="TNO2-3",I3326="NO2-3")),VLOOKUP(E3326,QCNIC_N,2,),IF(AND(H3326="UREA",OR(I3326="TN",I3326="TDN",I3326="TNO2-3",I3326="NO2-3")),VLOOKUP(E3326,QCUREA_N,2,),IF(H3326="PER",VLOOKUP(I3326,QCPER,MATCH(E3326,QCACTUAL!$J$25:$AA$25,0),),IF(H3326="SPK",VLOOKUP(I3326,QCSPK,3,),IF(AND(H3326="ATP",OR(I3326="TP",I3326="TDP")),VLOOKUP(E3326,QCATP_P,2,),""))))))))</f>
        <v>1000</v>
      </c>
      <c r="W3326" s="31" t="str">
        <f t="shared" si="374"/>
        <v>TRUE</v>
      </c>
      <c r="X3326" s="31" t="str">
        <f t="shared" si="371"/>
        <v>([spikedunkn]-[unkn])/[spike]*100</v>
      </c>
      <c r="Y3326" s="10" t="s">
        <v>1232</v>
      </c>
      <c r="Z3326" s="10" t="s">
        <v>910</v>
      </c>
      <c r="AF3326" s="12">
        <v>44972</v>
      </c>
      <c r="AK3326" s="10">
        <f>-0.0466*18.5^2+68.24*18.5-22.954</f>
        <v>1223.5371499999999</v>
      </c>
      <c r="AL3326" s="10" t="str">
        <f t="shared" si="376"/>
        <v>FALSE</v>
      </c>
      <c r="AM3326" s="10" t="str">
        <f t="shared" si="376"/>
        <v>FALSE</v>
      </c>
      <c r="AN3326" s="10" t="str">
        <f t="shared" si="376"/>
        <v>FALSE</v>
      </c>
      <c r="AO3326" s="10" t="str">
        <f t="shared" si="377"/>
        <v>FALSE</v>
      </c>
      <c r="AP3326" s="10" t="str">
        <f t="shared" si="377"/>
        <v>y=-0.0466*18.5^2+68.24*18.5-22.954</v>
      </c>
      <c r="AQ3326" s="10" t="b">
        <f>IF(AND(I3326="TP",S3326&lt;=150),VLOOKUP(AF3326,TPCalibEq150!$AZ$2:$BB$55,3,),IF(AND(I3326="TDP",S3326&lt;=150),VLOOKUP(AF3326,TPCalibEq150!$AZ$2:$BB$55,3,)))</f>
        <v>0</v>
      </c>
      <c r="AR3326" s="10" t="b">
        <f>IF(AND(I3326="TP",S3326&lt;=300),VLOOKUP(AF3326,TPCalibEq300!$AZ$2:$BB$55,3,),IF(AND(I3326="TDP",S3326&lt;=300),VLOOKUP(AF3326,TPCalibEq300!$AZ$2:$BB$55,3,)))</f>
        <v>0</v>
      </c>
      <c r="AS3326" s="10" t="b">
        <f>IF(AND(I3326="TP",S3326&lt;=500),VLOOKUP(AF3326,TPCalibEq500!$AZ$2:$BB$56,3,),IF(AND(I3326="TDP",S3326&lt;=500),VLOOKUP(AF3326,TPCalibEq500!$AZ$2:$BB$56,3,)))</f>
        <v>0</v>
      </c>
      <c r="AT3326" s="10" t="b">
        <f>IF(AND(I3326="TN",S3326&lt;=2800),VLOOKUP(AF3326,TNCalibEq2500!$AZ$2:$BB$56,3,),IF(AND(I3326="TDN",S3326&lt;=2800),VLOOKUP(AF3326,TNCalibEq2500!$AZ$2:$BB$56,3,)))</f>
        <v>0</v>
      </c>
      <c r="AU3326" s="10" t="str">
        <f>IF(I3326="TP",VLOOKUP(AF3326,TPCalibEqFull!$AZ$2:$BB$56,3),IF(I3326="TDP",VLOOKUP(AF3326,TPCalibEqFull!$AZ$2:$BB$56,3),IF(I3326="TDN",VLOOKUP(AF3326,TNCalibEqFull!$AZ$1:$BB$56,3),IF(I3326="TN",VLOOKUP(AF3326,TNCalibEqFull!$AZ$1:$BB$56,3),FALSE))))</f>
        <v>y=-0.0466x2+68.24x-22.954</v>
      </c>
      <c r="AV3326" s="10" t="str">
        <f t="shared" si="375"/>
        <v>0213 11:18:00-FVM-0-C-2-SW-SPK</v>
      </c>
    </row>
    <row r="3327" spans="1:48" s="10" customFormat="1" x14ac:dyDescent="0.55000000000000004">
      <c r="A3327" s="32">
        <v>44972</v>
      </c>
      <c r="B3327" s="33">
        <v>0.375</v>
      </c>
      <c r="C3327" s="10" t="s">
        <v>70</v>
      </c>
      <c r="D3327" s="10" t="s">
        <v>71</v>
      </c>
      <c r="E3327" s="10" t="s">
        <v>901</v>
      </c>
      <c r="F3327" s="10">
        <v>1</v>
      </c>
      <c r="G3327" s="10" t="s">
        <v>73</v>
      </c>
      <c r="H3327" s="10" t="s">
        <v>207</v>
      </c>
      <c r="I3327" s="10" t="s">
        <v>83</v>
      </c>
      <c r="J3327" s="10">
        <v>200</v>
      </c>
      <c r="K3327" s="12">
        <v>44972</v>
      </c>
      <c r="L3327" s="33">
        <v>0.58523148148148152</v>
      </c>
      <c r="M3327" s="10">
        <v>1</v>
      </c>
      <c r="N3327" s="10" t="s">
        <v>84</v>
      </c>
      <c r="O3327" s="10">
        <v>8</v>
      </c>
      <c r="P3327" s="10">
        <v>0.57899999999999996</v>
      </c>
      <c r="Q3327" s="10">
        <v>522</v>
      </c>
      <c r="R3327" s="10" t="s">
        <v>85</v>
      </c>
      <c r="S3327" s="34">
        <f t="shared" si="372"/>
        <v>522</v>
      </c>
      <c r="T3327" s="10" t="s">
        <v>1246</v>
      </c>
      <c r="U3327" s="34">
        <f t="shared" si="373"/>
        <v>104.4</v>
      </c>
      <c r="V3327" s="31">
        <f>IF(H3327="CHK",VLOOKUP(I3327,QCCHK,3,),IF(H3327="GUP",VLOOKUP(E3327,QCGUP,2,),IF(AND(H3327="ATP",OR(I3327="TN",I3327="TDN",I3327="TNO2-3",I3327="NO2-3")),VLOOKUP(E3327,QCREC_N,2,),IF(AND(H3327="NIC",OR(I3327="TN",I3327="TDN",I3327="TNO2-3",I3327="NO2-3")),VLOOKUP(E3327,QCNIC_N,2,),IF(AND(H3327="UREA",OR(I3327="TN",I3327="TDN",I3327="TNO2-3",I3327="NO2-3")),VLOOKUP(E3327,QCUREA_N,2,),IF(H3327="PER",VLOOKUP(I3327,QCPER,MATCH(E3327,QCACTUAL!$J$25:$AA$25,0),),IF(H3327="SPK",VLOOKUP(I3327,QCSPK,3,),IF(AND(H3327="ATP",OR(I3327="TP",I3327="TDP")),VLOOKUP(E3327,QCATP_P,2,),""))))))))</f>
        <v>500</v>
      </c>
      <c r="W3327" s="31" t="str">
        <f t="shared" si="374"/>
        <v>TRUE</v>
      </c>
      <c r="X3327" s="31" t="str">
        <f t="shared" ref="X3327:X3390" si="378">IF(ISNA(VLOOKUP(H3327,QCEQUATIONS,2,)),"",(VLOOKUP(H3327,QCEQUATIONS,2,)))</f>
        <v>[chk]/[actual]*100</v>
      </c>
      <c r="Y3327" s="10" t="s">
        <v>1232</v>
      </c>
      <c r="AF3327" s="12">
        <v>44972</v>
      </c>
      <c r="AK3327" s="10">
        <f>-0.0466*8^2+68.24*8-22.954</f>
        <v>519.98360000000002</v>
      </c>
      <c r="AL3327" s="10" t="str">
        <f t="shared" si="376"/>
        <v>FALSE</v>
      </c>
      <c r="AM3327" s="10" t="str">
        <f t="shared" si="376"/>
        <v>FALSE</v>
      </c>
      <c r="AN3327" s="10" t="str">
        <f t="shared" si="376"/>
        <v>FALSE</v>
      </c>
      <c r="AO3327" s="10" t="str">
        <f t="shared" si="377"/>
        <v>FALSE</v>
      </c>
      <c r="AP3327" s="10" t="str">
        <f t="shared" si="377"/>
        <v>y=-0.0466*8^2+68.24*8-22.954</v>
      </c>
      <c r="AQ3327" s="10" t="b">
        <f>IF(AND(I3327="TP",S3327&lt;=150),VLOOKUP(AF3327,TPCalibEq150!$AZ$2:$BB$55,3,),IF(AND(I3327="TDP",S3327&lt;=150),VLOOKUP(AF3327,TPCalibEq150!$AZ$2:$BB$55,3,)))</f>
        <v>0</v>
      </c>
      <c r="AR3327" s="10" t="b">
        <f>IF(AND(I3327="TP",S3327&lt;=300),VLOOKUP(AF3327,TPCalibEq300!$AZ$2:$BB$55,3,),IF(AND(I3327="TDP",S3327&lt;=300),VLOOKUP(AF3327,TPCalibEq300!$AZ$2:$BB$55,3,)))</f>
        <v>0</v>
      </c>
      <c r="AS3327" s="10" t="b">
        <f>IF(AND(I3327="TP",S3327&lt;=500),VLOOKUP(AF3327,TPCalibEq500!$AZ$2:$BB$56,3,),IF(AND(I3327="TDP",S3327&lt;=500),VLOOKUP(AF3327,TPCalibEq500!$AZ$2:$BB$56,3,)))</f>
        <v>0</v>
      </c>
      <c r="AT3327" s="10" t="b">
        <f>IF(AND(I3327="TN",S3327&lt;=2800),VLOOKUP(AF3327,TNCalibEq2500!$AZ$2:$BB$56,3,),IF(AND(I3327="TDN",S3327&lt;=2800),VLOOKUP(AF3327,TNCalibEq2500!$AZ$2:$BB$56,3,)))</f>
        <v>0</v>
      </c>
      <c r="AU3327" s="10" t="str">
        <f>IF(I3327="TP",VLOOKUP(AF3327,TPCalibEqFull!$AZ$2:$BB$56,3),IF(I3327="TDP",VLOOKUP(AF3327,TPCalibEqFull!$AZ$2:$BB$56,3),IF(I3327="TDN",VLOOKUP(AF3327,TNCalibEqFull!$AZ$1:$BB$56,3),IF(I3327="TN",VLOOKUP(AF3327,TNCalibEqFull!$AZ$1:$BB$56,3),FALSE))))</f>
        <v>y=-0.0466x2+68.24x-22.954</v>
      </c>
      <c r="AV3327" s="10" t="str">
        <f t="shared" si="375"/>
        <v>0215 09:00:00-QAC-STD-D-1-DI-CHK</v>
      </c>
    </row>
    <row r="3328" spans="1:48" s="10" customFormat="1" x14ac:dyDescent="0.55000000000000004">
      <c r="A3328" s="32">
        <v>44970</v>
      </c>
      <c r="B3328" s="33">
        <v>0.49583333333333335</v>
      </c>
      <c r="C3328" s="10" t="s">
        <v>336</v>
      </c>
      <c r="D3328" s="10">
        <v>0</v>
      </c>
      <c r="E3328" s="10" t="s">
        <v>190</v>
      </c>
      <c r="F3328" s="10">
        <v>1</v>
      </c>
      <c r="G3328" s="10" t="s">
        <v>231</v>
      </c>
      <c r="H3328" s="10" t="s">
        <v>322</v>
      </c>
      <c r="I3328" s="10" t="s">
        <v>83</v>
      </c>
      <c r="J3328" s="10">
        <v>21</v>
      </c>
      <c r="K3328" s="12">
        <v>44972</v>
      </c>
      <c r="L3328" s="33">
        <v>0.5859375</v>
      </c>
      <c r="M3328" s="10">
        <v>1</v>
      </c>
      <c r="N3328" s="10" t="s">
        <v>84</v>
      </c>
      <c r="O3328" s="10">
        <v>1.43</v>
      </c>
      <c r="P3328" s="10">
        <v>0.1</v>
      </c>
      <c r="Q3328" s="10">
        <v>75.3</v>
      </c>
      <c r="R3328" s="10" t="s">
        <v>85</v>
      </c>
      <c r="S3328" s="34">
        <f t="shared" ref="S3328:S3391" si="379">IF(OR(AND(I3328&lt;&gt;"TP", I3328&lt;&gt;"TDP",I3328&lt;&gt;"TN", I3328&lt;&gt;"TDN"),H3328="CAL"), Q3328*M3328, IF(OR(AND(I3328="TN", Q3328&gt;2500), AND(I3328="TDN", Q3328&gt;2500)),MAX(Q3328, AK3328)*M3328, IF(OR(AND(I3328="TN", Q3328&lt;=2500), AND(I3328="TDN", Q3328&lt;=2500)),MAX(Q3328, AJ3328,AK3328)*M3328, IF(OR(AND(I3328="TP",Q3328&gt;500), AND(I3328="TDP", Q3328&gt;500)),MAX(Q3328,AK3328)*M3328,IF(OR(AND(I3328="TP",Q3328&lt;=150), AND(I3328="TDP", Q3328&lt;=150)),MAX(Q3328,AG3328:AI3328,AK3328)*M3328,IF(OR(AND(I3328="TP",Q3328&lt;=300), AND(I3328="TDP", Q3328&lt;=300)),MAX(Q3328,AH3328,AI3328,AK3328)*M3328,IF(OR(AND(I3328="TP",Q3328&lt;=500), AND(I3328="TDP", Q3328&lt;=500)),MAX(Q3328,AI3328,AK3328)*M3328,"")))))))</f>
        <v>83.515777639999996</v>
      </c>
      <c r="T3328" s="10" t="s">
        <v>1246</v>
      </c>
      <c r="U3328" s="34" t="str">
        <f t="shared" si="373"/>
        <v/>
      </c>
      <c r="V3328" s="31" t="str">
        <f>IF(H3328="CHK",VLOOKUP(I3328,QCCHK,3,),IF(H3328="GUP",VLOOKUP(E3328,QCGUP,2,),IF(AND(H3328="ATP",OR(I3328="TN",I3328="TDN",I3328="TNO2-3",I3328="NO2-3")),VLOOKUP(E3328,QCREC_N,2,),IF(AND(H3328="NIC",OR(I3328="TN",I3328="TDN",I3328="TNO2-3",I3328="NO2-3")),VLOOKUP(E3328,QCNIC_N,2,),IF(AND(H3328="UREA",OR(I3328="TN",I3328="TDN",I3328="TNO2-3",I3328="NO2-3")),VLOOKUP(E3328,QCUREA_N,2,),IF(H3328="PER",VLOOKUP(I3328,QCPER,MATCH(E3328,QCACTUAL!$J$25:$AA$25,0),),IF(H3328="SPK",VLOOKUP(I3328,QCSPK,3,),IF(AND(H3328="ATP",OR(I3328="TP",I3328="TDP")),VLOOKUP(E3328,QCATP_P,2,),""))))))))</f>
        <v/>
      </c>
      <c r="W3328" s="31" t="str">
        <f t="shared" si="374"/>
        <v>TRUE</v>
      </c>
      <c r="X3328" s="31" t="str">
        <f t="shared" si="378"/>
        <v/>
      </c>
      <c r="Y3328" s="10" t="s">
        <v>1232</v>
      </c>
      <c r="Z3328" s="10" t="s">
        <v>910</v>
      </c>
      <c r="AF3328" s="12">
        <v>44972</v>
      </c>
      <c r="AG3328" s="10">
        <f>-8.1564*1.43^2+103.56*1.43-47.896</f>
        <v>83.515777639999996</v>
      </c>
      <c r="AH3328" s="10">
        <f>-3.4074*1.43^2+90.534*1.43-41.641</f>
        <v>80.85482773999999</v>
      </c>
      <c r="AI3328" s="10">
        <f>-1.4395*1.43^2+80.835*1.43-35.016</f>
        <v>77.634416449999975</v>
      </c>
      <c r="AK3328" s="10">
        <f>-0.0466*1.43^2+68.24*1.43-22.954</f>
        <v>74.533907659999983</v>
      </c>
      <c r="AL3328" s="10" t="str">
        <f t="shared" si="376"/>
        <v>y=-8.1564*1.43^2+103.56*1.43-47.896</v>
      </c>
      <c r="AM3328" s="10" t="str">
        <f t="shared" si="376"/>
        <v>y=-3.4074*1.43^2+90.534*1.43-41.641</v>
      </c>
      <c r="AN3328" s="10" t="str">
        <f t="shared" si="376"/>
        <v>y=-1.4395*1.43^2+80.835*1.43-35.016</v>
      </c>
      <c r="AO3328" s="10" t="str">
        <f t="shared" si="377"/>
        <v>FALSE</v>
      </c>
      <c r="AP3328" s="10" t="str">
        <f t="shared" si="377"/>
        <v>y=-0.0466*1.43^2+68.24*1.43-22.954</v>
      </c>
      <c r="AQ3328" s="10" t="str">
        <f>IF(AND(I3328="TP",S3328&lt;=150),VLOOKUP(AF3328,TPCalibEq150!$AZ$2:$BB$55,3,),IF(AND(I3328="TDP",S3328&lt;=150),VLOOKUP(AF3328,TPCalibEq150!$AZ$2:$BB$55,3,)))</f>
        <v>y=-8.1564x2+103.56x-47.896</v>
      </c>
      <c r="AR3328" s="10" t="str">
        <f>IF(AND(I3328="TP",S3328&lt;=300),VLOOKUP(AF3328,TPCalibEq300!$AZ$2:$BB$55,3,),IF(AND(I3328="TDP",S3328&lt;=300),VLOOKUP(AF3328,TPCalibEq300!$AZ$2:$BB$55,3,)))</f>
        <v>y=-3.4074x2+90.534x-41.641</v>
      </c>
      <c r="AS3328" s="10" t="str">
        <f>IF(AND(I3328="TP",S3328&lt;=500),VLOOKUP(AF3328,TPCalibEq500!$AZ$2:$BB$56,3,),IF(AND(I3328="TDP",S3328&lt;=500),VLOOKUP(AF3328,TPCalibEq500!$AZ$2:$BB$56,3,)))</f>
        <v>y=-1.4395x2+80.835x-35.016</v>
      </c>
      <c r="AT3328" s="10" t="b">
        <f>IF(AND(I3328="TN",S3328&lt;=2800),VLOOKUP(AF3328,TNCalibEq2500!$AZ$2:$BB$56,3,),IF(AND(I3328="TDN",S3328&lt;=2800),VLOOKUP(AF3328,TNCalibEq2500!$AZ$2:$BB$56,3,)))</f>
        <v>0</v>
      </c>
      <c r="AU3328" s="10" t="str">
        <f>IF(I3328="TP",VLOOKUP(AF3328,TPCalibEqFull!$AZ$2:$BB$56,3),IF(I3328="TDP",VLOOKUP(AF3328,TPCalibEqFull!$AZ$2:$BB$56,3),IF(I3328="TDN",VLOOKUP(AF3328,TNCalibEqFull!$AZ$1:$BB$56,3),IF(I3328="TN",VLOOKUP(AF3328,TNCalibEqFull!$AZ$1:$BB$56,3),FALSE))))</f>
        <v>y=-0.0466x2+68.24x-22.954</v>
      </c>
      <c r="AV3328" s="10" t="str">
        <f t="shared" si="375"/>
        <v>0213 11:54:00-HWR-0-C-1-SW-UKN</v>
      </c>
    </row>
    <row r="3329" spans="1:48" s="10" customFormat="1" x14ac:dyDescent="0.55000000000000004">
      <c r="A3329" s="32">
        <v>44970</v>
      </c>
      <c r="B3329" s="33">
        <v>0.48819444444444443</v>
      </c>
      <c r="C3329" s="10" t="s">
        <v>295</v>
      </c>
      <c r="D3329" s="10">
        <v>0</v>
      </c>
      <c r="E3329" s="10" t="s">
        <v>190</v>
      </c>
      <c r="F3329" s="10">
        <v>1</v>
      </c>
      <c r="G3329" s="10" t="s">
        <v>231</v>
      </c>
      <c r="H3329" s="10" t="s">
        <v>322</v>
      </c>
      <c r="I3329" s="10" t="s">
        <v>83</v>
      </c>
      <c r="J3329" s="10">
        <v>22</v>
      </c>
      <c r="K3329" s="12">
        <v>44972</v>
      </c>
      <c r="L3329" s="33">
        <v>0.58663194444444444</v>
      </c>
      <c r="M3329" s="10">
        <v>1</v>
      </c>
      <c r="N3329" s="10" t="s">
        <v>84</v>
      </c>
      <c r="O3329" s="10">
        <v>1.6</v>
      </c>
      <c r="P3329" s="10">
        <v>0.112</v>
      </c>
      <c r="Q3329" s="10">
        <v>87.1</v>
      </c>
      <c r="R3329" s="10" t="s">
        <v>85</v>
      </c>
      <c r="S3329" s="34">
        <f t="shared" si="379"/>
        <v>96.919616000000033</v>
      </c>
      <c r="T3329" s="10" t="s">
        <v>1246</v>
      </c>
      <c r="U3329" s="34" t="str">
        <f t="shared" si="373"/>
        <v/>
      </c>
      <c r="V3329" s="31" t="str">
        <f>IF(H3329="CHK",VLOOKUP(I3329,QCCHK,3,),IF(H3329="GUP",VLOOKUP(E3329,QCGUP,2,),IF(AND(H3329="ATP",OR(I3329="TN",I3329="TDN",I3329="TNO2-3",I3329="NO2-3")),VLOOKUP(E3329,QCREC_N,2,),IF(AND(H3329="NIC",OR(I3329="TN",I3329="TDN",I3329="TNO2-3",I3329="NO2-3")),VLOOKUP(E3329,QCNIC_N,2,),IF(AND(H3329="UREA",OR(I3329="TN",I3329="TDN",I3329="TNO2-3",I3329="NO2-3")),VLOOKUP(E3329,QCUREA_N,2,),IF(H3329="PER",VLOOKUP(I3329,QCPER,MATCH(E3329,QCACTUAL!$J$25:$AA$25,0),),IF(H3329="SPK",VLOOKUP(I3329,QCSPK,3,),IF(AND(H3329="ATP",OR(I3329="TP",I3329="TDP")),VLOOKUP(E3329,QCATP_P,2,),""))))))))</f>
        <v/>
      </c>
      <c r="W3329" s="31" t="str">
        <f t="shared" si="374"/>
        <v>TRUE</v>
      </c>
      <c r="X3329" s="31" t="str">
        <f t="shared" si="378"/>
        <v/>
      </c>
      <c r="Y3329" s="10" t="s">
        <v>1232</v>
      </c>
      <c r="Z3329" s="10" t="s">
        <v>910</v>
      </c>
      <c r="AF3329" s="12">
        <v>44972</v>
      </c>
      <c r="AG3329" s="10">
        <f>-8.1564*1.6^2+103.56*1.6-47.896</f>
        <v>96.919616000000033</v>
      </c>
      <c r="AH3329" s="10">
        <f>-3.4074*1.6^2+90.534*1.6-41.641</f>
        <v>94.490456000000023</v>
      </c>
      <c r="AI3329" s="10">
        <f>-1.4395*1.6^2+80.835*1.6-35.016</f>
        <v>90.634879999999981</v>
      </c>
      <c r="AK3329" s="10">
        <f>-0.0466*1.6^2+68.24*1.6-22.954</f>
        <v>86.110703999999998</v>
      </c>
      <c r="AL3329" s="10" t="str">
        <f t="shared" si="376"/>
        <v>y=-8.1564*1.6^2+103.56*1.6-47.896</v>
      </c>
      <c r="AM3329" s="10" t="str">
        <f t="shared" si="376"/>
        <v>y=-3.4074*1.6^2+90.534*1.6-41.641</v>
      </c>
      <c r="AN3329" s="10" t="str">
        <f t="shared" si="376"/>
        <v>y=-1.4395*1.6^2+80.835*1.6-35.016</v>
      </c>
      <c r="AO3329" s="10" t="str">
        <f t="shared" si="377"/>
        <v>FALSE</v>
      </c>
      <c r="AP3329" s="10" t="str">
        <f t="shared" si="377"/>
        <v>y=-0.0466*1.6^2+68.24*1.6-22.954</v>
      </c>
      <c r="AQ3329" s="10" t="str">
        <f>IF(AND(I3329="TP",S3329&lt;=150),VLOOKUP(AF3329,TPCalibEq150!$AZ$2:$BB$55,3,),IF(AND(I3329="TDP",S3329&lt;=150),VLOOKUP(AF3329,TPCalibEq150!$AZ$2:$BB$55,3,)))</f>
        <v>y=-8.1564x2+103.56x-47.896</v>
      </c>
      <c r="AR3329" s="10" t="str">
        <f>IF(AND(I3329="TP",S3329&lt;=300),VLOOKUP(AF3329,TPCalibEq300!$AZ$2:$BB$55,3,),IF(AND(I3329="TDP",S3329&lt;=300),VLOOKUP(AF3329,TPCalibEq300!$AZ$2:$BB$55,3,)))</f>
        <v>y=-3.4074x2+90.534x-41.641</v>
      </c>
      <c r="AS3329" s="10" t="str">
        <f>IF(AND(I3329="TP",S3329&lt;=500),VLOOKUP(AF3329,TPCalibEq500!$AZ$2:$BB$56,3,),IF(AND(I3329="TDP",S3329&lt;=500),VLOOKUP(AF3329,TPCalibEq500!$AZ$2:$BB$56,3,)))</f>
        <v>y=-1.4395x2+80.835x-35.016</v>
      </c>
      <c r="AT3329" s="10" t="b">
        <f>IF(AND(I3329="TN",S3329&lt;=2800),VLOOKUP(AF3329,TNCalibEq2500!$AZ$2:$BB$56,3,),IF(AND(I3329="TDN",S3329&lt;=2800),VLOOKUP(AF3329,TNCalibEq2500!$AZ$2:$BB$56,3,)))</f>
        <v>0</v>
      </c>
      <c r="AU3329" s="10" t="str">
        <f>IF(I3329="TP",VLOOKUP(AF3329,TPCalibEqFull!$AZ$2:$BB$56,3),IF(I3329="TDP",VLOOKUP(AF3329,TPCalibEqFull!$AZ$2:$BB$56,3),IF(I3329="TDN",VLOOKUP(AF3329,TNCalibEqFull!$AZ$1:$BB$56,3),IF(I3329="TN",VLOOKUP(AF3329,TNCalibEqFull!$AZ$1:$BB$56,3),FALSE))))</f>
        <v>y=-0.0466x2+68.24x-22.954</v>
      </c>
      <c r="AV3329" s="10" t="str">
        <f t="shared" si="375"/>
        <v>0213 11:43:00-EFM-0-C-1-SW-UKN</v>
      </c>
    </row>
    <row r="3330" spans="1:48" s="10" customFormat="1" x14ac:dyDescent="0.55000000000000004">
      <c r="A3330" s="32">
        <v>44970</v>
      </c>
      <c r="B3330" s="33">
        <v>0.50694444444444442</v>
      </c>
      <c r="C3330" s="10" t="s">
        <v>999</v>
      </c>
      <c r="D3330" s="10">
        <v>0</v>
      </c>
      <c r="E3330" s="10" t="s">
        <v>190</v>
      </c>
      <c r="F3330" s="10">
        <v>1</v>
      </c>
      <c r="G3330" s="10" t="s">
        <v>231</v>
      </c>
      <c r="H3330" s="10" t="s">
        <v>322</v>
      </c>
      <c r="I3330" s="10" t="s">
        <v>83</v>
      </c>
      <c r="J3330" s="10">
        <v>23</v>
      </c>
      <c r="K3330" s="12">
        <v>44972</v>
      </c>
      <c r="L3330" s="33">
        <v>0.58732638888888888</v>
      </c>
      <c r="M3330" s="10">
        <v>1</v>
      </c>
      <c r="N3330" s="10" t="s">
        <v>84</v>
      </c>
      <c r="O3330" s="10">
        <v>1.2</v>
      </c>
      <c r="P3330" s="10">
        <v>8.4099999999999994E-2</v>
      </c>
      <c r="Q3330" s="10">
        <v>59.8</v>
      </c>
      <c r="R3330" s="10" t="s">
        <v>85</v>
      </c>
      <c r="S3330" s="34">
        <f t="shared" si="379"/>
        <v>64.630783999999991</v>
      </c>
      <c r="T3330" s="10" t="s">
        <v>1246</v>
      </c>
      <c r="U3330" s="34" t="str">
        <f t="shared" ref="U3330:U3393" si="380">IF(OR(H3330="CHK",H3330="ATP",H3330="GUP",H3330="PER", H3330="NIC", H3330="UREA"),(S3330/V3330*100),IF(H3330="DUP",((ABS(S3330-S3329))/((S3329+S3330)/2))*100,IF(H3330="SPK",((S3330-S3329)/V3330*100),IF(OR(H3330="LAB",H3330="FLD",H3330="ESF"),S3330,""))))</f>
        <v/>
      </c>
      <c r="V3330" s="31" t="str">
        <f>IF(H3330="CHK",VLOOKUP(I3330,QCCHK,3,),IF(H3330="GUP",VLOOKUP(E3330,QCGUP,2,),IF(AND(H3330="ATP",OR(I3330="TN",I3330="TDN",I3330="TNO2-3",I3330="NO2-3")),VLOOKUP(E3330,QCREC_N,2,),IF(AND(H3330="NIC",OR(I3330="TN",I3330="TDN",I3330="TNO2-3",I3330="NO2-3")),VLOOKUP(E3330,QCNIC_N,2,),IF(AND(H3330="UREA",OR(I3330="TN",I3330="TDN",I3330="TNO2-3",I3330="NO2-3")),VLOOKUP(E3330,QCUREA_N,2,),IF(H3330="PER",VLOOKUP(I3330,QCPER,MATCH(E3330,QCACTUAL!$J$25:$AA$25,0),),IF(H3330="SPK",VLOOKUP(I3330,QCSPK,3,),IF(AND(H3330="ATP",OR(I3330="TP",I3330="TDP")),VLOOKUP(E3330,QCATP_P,2,),""))))))))</f>
        <v/>
      </c>
      <c r="W3330" s="31" t="str">
        <f t="shared" ref="W3330:W3393" si="381">IF(AND(OR(H3330="PER",H3330="ATP",H3330="GUP",H3330="CHK",H3330="SPK", H3330="NIC"),OR(U3330&gt;125,U3330&lt;75)),"FALSE",IF(AND(H3330="DUP",OR(U3330&gt;25, U3330&lt;-25)),"FALSE",IF(AND(OR(H3330="LAB",H3330="FLD",H3330="ESF"),U3330&gt;15),"FALSE","TRUE")))</f>
        <v>TRUE</v>
      </c>
      <c r="X3330" s="31" t="str">
        <f t="shared" si="378"/>
        <v/>
      </c>
      <c r="Y3330" s="10" t="s">
        <v>1232</v>
      </c>
      <c r="Z3330" s="10" t="s">
        <v>910</v>
      </c>
      <c r="AF3330" s="12">
        <v>44972</v>
      </c>
      <c r="AG3330" s="10">
        <f>-8.1564*1.2^2+103.56*1.2-47.896</f>
        <v>64.630783999999991</v>
      </c>
      <c r="AH3330" s="10">
        <f>-3.4074*1.2^2+90.534*1.2-41.641</f>
        <v>62.093144000000002</v>
      </c>
      <c r="AI3330" s="10">
        <f>-1.4395*1.2^2+80.835*1.2-35.016</f>
        <v>59.913119999999999</v>
      </c>
      <c r="AK3330" s="10">
        <f>-0.0466*1.2^2+68.24*1.2-22.954</f>
        <v>58.86689599999999</v>
      </c>
      <c r="AL3330" s="10" t="str">
        <f t="shared" si="376"/>
        <v>y=-8.1564*1.2^2+103.56*1.2-47.896</v>
      </c>
      <c r="AM3330" s="10" t="str">
        <f t="shared" si="376"/>
        <v>y=-3.4074*1.2^2+90.534*1.2-41.641</v>
      </c>
      <c r="AN3330" s="10" t="str">
        <f t="shared" si="376"/>
        <v>y=-1.4395*1.2^2+80.835*1.2-35.016</v>
      </c>
      <c r="AO3330" s="10" t="str">
        <f t="shared" si="377"/>
        <v>FALSE</v>
      </c>
      <c r="AP3330" s="10" t="str">
        <f t="shared" si="377"/>
        <v>y=-0.0466*1.2^2+68.24*1.2-22.954</v>
      </c>
      <c r="AQ3330" s="10" t="str">
        <f>IF(AND(I3330="TP",S3330&lt;=150),VLOOKUP(AF3330,TPCalibEq150!$AZ$2:$BB$55,3,),IF(AND(I3330="TDP",S3330&lt;=150),VLOOKUP(AF3330,TPCalibEq150!$AZ$2:$BB$55,3,)))</f>
        <v>y=-8.1564x2+103.56x-47.896</v>
      </c>
      <c r="AR3330" s="10" t="str">
        <f>IF(AND(I3330="TP",S3330&lt;=300),VLOOKUP(AF3330,TPCalibEq300!$AZ$2:$BB$55,3,),IF(AND(I3330="TDP",S3330&lt;=300),VLOOKUP(AF3330,TPCalibEq300!$AZ$2:$BB$55,3,)))</f>
        <v>y=-3.4074x2+90.534x-41.641</v>
      </c>
      <c r="AS3330" s="10" t="str">
        <f>IF(AND(I3330="TP",S3330&lt;=500),VLOOKUP(AF3330,TPCalibEq500!$AZ$2:$BB$56,3,),IF(AND(I3330="TDP",S3330&lt;=500),VLOOKUP(AF3330,TPCalibEq500!$AZ$2:$BB$56,3,)))</f>
        <v>y=-1.4395x2+80.835x-35.016</v>
      </c>
      <c r="AT3330" s="10" t="b">
        <f>IF(AND(I3330="TN",S3330&lt;=2800),VLOOKUP(AF3330,TNCalibEq2500!$AZ$2:$BB$56,3,),IF(AND(I3330="TDN",S3330&lt;=2800),VLOOKUP(AF3330,TNCalibEq2500!$AZ$2:$BB$56,3,)))</f>
        <v>0</v>
      </c>
      <c r="AU3330" s="10" t="str">
        <f>IF(I3330="TP",VLOOKUP(AF3330,TPCalibEqFull!$AZ$2:$BB$56,3),IF(I3330="TDP",VLOOKUP(AF3330,TPCalibEqFull!$AZ$2:$BB$56,3),IF(I3330="TDN",VLOOKUP(AF3330,TNCalibEqFull!$AZ$1:$BB$56,3),IF(I3330="TN",VLOOKUP(AF3330,TNCalibEqFull!$AZ$1:$BB$56,3),FALSE))))</f>
        <v>y=-0.0466x2+68.24x-22.954</v>
      </c>
      <c r="AV3330" s="10" t="str">
        <f t="shared" ref="AV3330:AV3393" si="382">TEXT(A3330, "MMDD")&amp;" "&amp;TEXT(B3330, "HH:MM:SS")&amp;"-"&amp;C3330&amp;"-"&amp;D3330&amp;"-"&amp;E3330&amp;"-"&amp;F3330&amp;"-"&amp;G3330&amp;"-"&amp;H3330</f>
        <v>0213 12:10:00-EAW-0-C-1-SW-UKN</v>
      </c>
    </row>
    <row r="3331" spans="1:48" s="10" customFormat="1" x14ac:dyDescent="0.55000000000000004">
      <c r="A3331" s="32">
        <v>44970</v>
      </c>
      <c r="B3331" s="33">
        <v>0.51527777777777783</v>
      </c>
      <c r="C3331" s="10" t="s">
        <v>310</v>
      </c>
      <c r="D3331" s="10">
        <v>0</v>
      </c>
      <c r="E3331" s="10" t="s">
        <v>190</v>
      </c>
      <c r="F3331" s="10">
        <v>1</v>
      </c>
      <c r="G3331" s="10" t="s">
        <v>231</v>
      </c>
      <c r="H3331" s="10" t="s">
        <v>322</v>
      </c>
      <c r="I3331" s="10" t="s">
        <v>83</v>
      </c>
      <c r="J3331" s="10">
        <v>24</v>
      </c>
      <c r="K3331" s="12">
        <v>44972</v>
      </c>
      <c r="L3331" s="33">
        <v>0.58803240740740736</v>
      </c>
      <c r="M3331" s="10">
        <v>1</v>
      </c>
      <c r="N3331" s="10" t="s">
        <v>84</v>
      </c>
      <c r="O3331" s="10">
        <v>2.09</v>
      </c>
      <c r="P3331" s="10">
        <v>0.14799999999999999</v>
      </c>
      <c r="Q3331" s="10">
        <v>121</v>
      </c>
      <c r="R3331" s="10" t="s">
        <v>85</v>
      </c>
      <c r="S3331" s="34">
        <f t="shared" si="379"/>
        <v>132.91642916000001</v>
      </c>
      <c r="T3331" s="10" t="s">
        <v>1246</v>
      </c>
      <c r="U3331" s="34" t="str">
        <f t="shared" si="380"/>
        <v/>
      </c>
      <c r="V3331" s="31" t="str">
        <f>IF(H3331="CHK",VLOOKUP(I3331,QCCHK,3,),IF(H3331="GUP",VLOOKUP(E3331,QCGUP,2,),IF(AND(H3331="ATP",OR(I3331="TN",I3331="TDN",I3331="TNO2-3",I3331="NO2-3")),VLOOKUP(E3331,QCREC_N,2,),IF(AND(H3331="NIC",OR(I3331="TN",I3331="TDN",I3331="TNO2-3",I3331="NO2-3")),VLOOKUP(E3331,QCNIC_N,2,),IF(AND(H3331="UREA",OR(I3331="TN",I3331="TDN",I3331="TNO2-3",I3331="NO2-3")),VLOOKUP(E3331,QCUREA_N,2,),IF(H3331="PER",VLOOKUP(I3331,QCPER,MATCH(E3331,QCACTUAL!$J$25:$AA$25,0),),IF(H3331="SPK",VLOOKUP(I3331,QCSPK,3,),IF(AND(H3331="ATP",OR(I3331="TP",I3331="TDP")),VLOOKUP(E3331,QCATP_P,2,),""))))))))</f>
        <v/>
      </c>
      <c r="W3331" s="31" t="str">
        <f t="shared" si="381"/>
        <v>TRUE</v>
      </c>
      <c r="X3331" s="31" t="str">
        <f t="shared" si="378"/>
        <v/>
      </c>
      <c r="Y3331" s="10" t="s">
        <v>1232</v>
      </c>
      <c r="Z3331" s="10" t="s">
        <v>910</v>
      </c>
      <c r="AF3331" s="12">
        <v>44972</v>
      </c>
      <c r="AG3331" s="10">
        <f>-8.1564*2.09^2+103.56*2.09-47.896</f>
        <v>132.91642916000001</v>
      </c>
      <c r="AH3331" s="10">
        <f>-3.4074*2.09^2+90.534*2.09-41.641</f>
        <v>132.69119606000001</v>
      </c>
      <c r="AI3331" s="10">
        <f>-1.4395*2.09^2+80.835*2.09-35.016</f>
        <v>127.64127005</v>
      </c>
      <c r="AK3331" s="10">
        <f>-0.0466*2.09^2+68.24*2.09-22.954</f>
        <v>119.46404653999997</v>
      </c>
      <c r="AL3331" s="10" t="str">
        <f t="shared" si="376"/>
        <v>y=-8.1564*2.09^2+103.56*2.09-47.896</v>
      </c>
      <c r="AM3331" s="10" t="str">
        <f t="shared" si="376"/>
        <v>y=-3.4074*2.09^2+90.534*2.09-41.641</v>
      </c>
      <c r="AN3331" s="10" t="str">
        <f t="shared" si="376"/>
        <v>y=-1.4395*2.09^2+80.835*2.09-35.016</v>
      </c>
      <c r="AO3331" s="10" t="str">
        <f t="shared" si="377"/>
        <v>FALSE</v>
      </c>
      <c r="AP3331" s="10" t="str">
        <f t="shared" si="377"/>
        <v>y=-0.0466*2.09^2+68.24*2.09-22.954</v>
      </c>
      <c r="AQ3331" s="10" t="str">
        <f>IF(AND(I3331="TP",S3331&lt;=150),VLOOKUP(AF3331,TPCalibEq150!$AZ$2:$BB$55,3,),IF(AND(I3331="TDP",S3331&lt;=150),VLOOKUP(AF3331,TPCalibEq150!$AZ$2:$BB$55,3,)))</f>
        <v>y=-8.1564x2+103.56x-47.896</v>
      </c>
      <c r="AR3331" s="10" t="str">
        <f>IF(AND(I3331="TP",S3331&lt;=300),VLOOKUP(AF3331,TPCalibEq300!$AZ$2:$BB$55,3,),IF(AND(I3331="TDP",S3331&lt;=300),VLOOKUP(AF3331,TPCalibEq300!$AZ$2:$BB$55,3,)))</f>
        <v>y=-3.4074x2+90.534x-41.641</v>
      </c>
      <c r="AS3331" s="10" t="str">
        <f>IF(AND(I3331="TP",S3331&lt;=500),VLOOKUP(AF3331,TPCalibEq500!$AZ$2:$BB$56,3,),IF(AND(I3331="TDP",S3331&lt;=500),VLOOKUP(AF3331,TPCalibEq500!$AZ$2:$BB$56,3,)))</f>
        <v>y=-1.4395x2+80.835x-35.016</v>
      </c>
      <c r="AT3331" s="10" t="b">
        <f>IF(AND(I3331="TN",S3331&lt;=2800),VLOOKUP(AF3331,TNCalibEq2500!$AZ$2:$BB$56,3,),IF(AND(I3331="TDN",S3331&lt;=2800),VLOOKUP(AF3331,TNCalibEq2500!$AZ$2:$BB$56,3,)))</f>
        <v>0</v>
      </c>
      <c r="AU3331" s="10" t="str">
        <f>IF(I3331="TP",VLOOKUP(AF3331,TPCalibEqFull!$AZ$2:$BB$56,3),IF(I3331="TDP",VLOOKUP(AF3331,TPCalibEqFull!$AZ$2:$BB$56,3),IF(I3331="TDN",VLOOKUP(AF3331,TNCalibEqFull!$AZ$1:$BB$56,3),IF(I3331="TN",VLOOKUP(AF3331,TNCalibEqFull!$AZ$1:$BB$56,3),FALSE))))</f>
        <v>y=-0.0466x2+68.24x-22.954</v>
      </c>
      <c r="AV3331" s="10" t="str">
        <f t="shared" si="382"/>
        <v>0213 12:22:00-ELI-0-C-1-SW-UKN</v>
      </c>
    </row>
    <row r="3332" spans="1:48" s="10" customFormat="1" x14ac:dyDescent="0.55000000000000004">
      <c r="A3332" s="32">
        <v>44970</v>
      </c>
      <c r="B3332" s="33">
        <v>0.51527777777777783</v>
      </c>
      <c r="C3332" s="10" t="s">
        <v>310</v>
      </c>
      <c r="D3332" s="10">
        <v>0</v>
      </c>
      <c r="E3332" s="10" t="s">
        <v>190</v>
      </c>
      <c r="F3332" s="10">
        <v>1</v>
      </c>
      <c r="G3332" s="10" t="s">
        <v>231</v>
      </c>
      <c r="H3332" s="10" t="s">
        <v>233</v>
      </c>
      <c r="I3332" s="10" t="s">
        <v>83</v>
      </c>
      <c r="J3332" s="10">
        <v>24</v>
      </c>
      <c r="K3332" s="12">
        <v>44972</v>
      </c>
      <c r="L3332" s="33">
        <v>0.58871527777777777</v>
      </c>
      <c r="M3332" s="10">
        <v>1</v>
      </c>
      <c r="N3332" s="10" t="s">
        <v>84</v>
      </c>
      <c r="O3332" s="10">
        <v>2.11</v>
      </c>
      <c r="P3332" s="10">
        <v>0.14899999999999999</v>
      </c>
      <c r="Q3332" s="10">
        <v>122</v>
      </c>
      <c r="R3332" s="10" t="s">
        <v>85</v>
      </c>
      <c r="S3332" s="34">
        <f t="shared" si="379"/>
        <v>134.30249155999996</v>
      </c>
      <c r="T3332" s="10" t="s">
        <v>1246</v>
      </c>
      <c r="U3332" s="34">
        <f t="shared" si="380"/>
        <v>1.0373983969887488</v>
      </c>
      <c r="V3332" s="31" t="str">
        <f>IF(H3332="CHK",VLOOKUP(I3332,QCCHK,3,),IF(H3332="GUP",VLOOKUP(E3332,QCGUP,2,),IF(AND(H3332="ATP",OR(I3332="TN",I3332="TDN",I3332="TNO2-3",I3332="NO2-3")),VLOOKUP(E3332,QCREC_N,2,),IF(AND(H3332="NIC",OR(I3332="TN",I3332="TDN",I3332="TNO2-3",I3332="NO2-3")),VLOOKUP(E3332,QCNIC_N,2,),IF(AND(H3332="UREA",OR(I3332="TN",I3332="TDN",I3332="TNO2-3",I3332="NO2-3")),VLOOKUP(E3332,QCUREA_N,2,),IF(H3332="PER",VLOOKUP(I3332,QCPER,MATCH(E3332,QCACTUAL!$J$25:$AA$25,0),),IF(H3332="SPK",VLOOKUP(I3332,QCSPK,3,),IF(AND(H3332="ATP",OR(I3332="TP",I3332="TDP")),VLOOKUP(E3332,QCATP_P,2,),""))))))))</f>
        <v/>
      </c>
      <c r="W3332" s="31" t="str">
        <f t="shared" si="381"/>
        <v>TRUE</v>
      </c>
      <c r="X3332" s="31" t="str">
        <f t="shared" si="378"/>
        <v>((ABS(rep1-rep2))/((rep1+rep2)/2)*100</v>
      </c>
      <c r="Y3332" s="10" t="s">
        <v>1232</v>
      </c>
      <c r="Z3332" s="10" t="s">
        <v>910</v>
      </c>
      <c r="AF3332" s="12">
        <v>44972</v>
      </c>
      <c r="AG3332" s="10">
        <f>-8.1564*2.11^2+103.56*2.11-47.896</f>
        <v>134.30249155999996</v>
      </c>
      <c r="AH3332" s="10">
        <f>-3.4074*2.11^2+90.534*2.11-41.641</f>
        <v>134.21565446</v>
      </c>
      <c r="AI3332" s="10">
        <f>-1.4395*2.11^2+80.835*2.11-35.016</f>
        <v>129.13705204999997</v>
      </c>
      <c r="AK3332" s="10">
        <f>-0.0466*2.11^2+68.24*2.11-22.954</f>
        <v>120.82493213999996</v>
      </c>
      <c r="AL3332" s="10" t="str">
        <f t="shared" si="376"/>
        <v>y=-8.1564*2.11^2+103.56*2.11-47.896</v>
      </c>
      <c r="AM3332" s="10" t="str">
        <f t="shared" si="376"/>
        <v>y=-3.4074*2.11^2+90.534*2.11-41.641</v>
      </c>
      <c r="AN3332" s="10" t="str">
        <f t="shared" si="376"/>
        <v>y=-1.4395*2.11^2+80.835*2.11-35.016</v>
      </c>
      <c r="AO3332" s="10" t="str">
        <f t="shared" si="377"/>
        <v>FALSE</v>
      </c>
      <c r="AP3332" s="10" t="str">
        <f t="shared" si="377"/>
        <v>y=-0.0466*2.11^2+68.24*2.11-22.954</v>
      </c>
      <c r="AQ3332" s="10" t="str">
        <f>IF(AND(I3332="TP",S3332&lt;=150),VLOOKUP(AF3332,TPCalibEq150!$AZ$2:$BB$55,3,),IF(AND(I3332="TDP",S3332&lt;=150),VLOOKUP(AF3332,TPCalibEq150!$AZ$2:$BB$55,3,)))</f>
        <v>y=-8.1564x2+103.56x-47.896</v>
      </c>
      <c r="AR3332" s="10" t="str">
        <f>IF(AND(I3332="TP",S3332&lt;=300),VLOOKUP(AF3332,TPCalibEq300!$AZ$2:$BB$55,3,),IF(AND(I3332="TDP",S3332&lt;=300),VLOOKUP(AF3332,TPCalibEq300!$AZ$2:$BB$55,3,)))</f>
        <v>y=-3.4074x2+90.534x-41.641</v>
      </c>
      <c r="AS3332" s="10" t="str">
        <f>IF(AND(I3332="TP",S3332&lt;=500),VLOOKUP(AF3332,TPCalibEq500!$AZ$2:$BB$56,3,),IF(AND(I3332="TDP",S3332&lt;=500),VLOOKUP(AF3332,TPCalibEq500!$AZ$2:$BB$56,3,)))</f>
        <v>y=-1.4395x2+80.835x-35.016</v>
      </c>
      <c r="AT3332" s="10" t="b">
        <f>IF(AND(I3332="TN",S3332&lt;=2800),VLOOKUP(AF3332,TNCalibEq2500!$AZ$2:$BB$56,3,),IF(AND(I3332="TDN",S3332&lt;=2800),VLOOKUP(AF3332,TNCalibEq2500!$AZ$2:$BB$56,3,)))</f>
        <v>0</v>
      </c>
      <c r="AU3332" s="10" t="str">
        <f>IF(I3332="TP",VLOOKUP(AF3332,TPCalibEqFull!$AZ$2:$BB$56,3),IF(I3332="TDP",VLOOKUP(AF3332,TPCalibEqFull!$AZ$2:$BB$56,3),IF(I3332="TDN",VLOOKUP(AF3332,TNCalibEqFull!$AZ$1:$BB$56,3),IF(I3332="TN",VLOOKUP(AF3332,TNCalibEqFull!$AZ$1:$BB$56,3),FALSE))))</f>
        <v>y=-0.0466x2+68.24x-22.954</v>
      </c>
      <c r="AV3332" s="10" t="str">
        <f t="shared" si="382"/>
        <v>0213 12:22:00-ELI-0-C-1-SW-DUP</v>
      </c>
    </row>
    <row r="3333" spans="1:48" s="10" customFormat="1" x14ac:dyDescent="0.55000000000000004">
      <c r="A3333" s="32">
        <v>44970</v>
      </c>
      <c r="B3333" s="33">
        <v>0.51527777777777783</v>
      </c>
      <c r="C3333" s="10" t="s">
        <v>310</v>
      </c>
      <c r="D3333" s="10">
        <v>0</v>
      </c>
      <c r="E3333" s="10" t="s">
        <v>190</v>
      </c>
      <c r="F3333" s="10">
        <v>1</v>
      </c>
      <c r="G3333" s="10" t="s">
        <v>231</v>
      </c>
      <c r="H3333" s="10" t="s">
        <v>314</v>
      </c>
      <c r="I3333" s="10" t="s">
        <v>83</v>
      </c>
      <c r="J3333" s="10">
        <v>51</v>
      </c>
      <c r="K3333" s="12">
        <v>44972</v>
      </c>
      <c r="L3333" s="33">
        <v>0.58940972222222221</v>
      </c>
      <c r="M3333" s="10">
        <v>1</v>
      </c>
      <c r="N3333" s="10" t="s">
        <v>84</v>
      </c>
      <c r="O3333" s="10">
        <v>16.8</v>
      </c>
      <c r="P3333" s="10">
        <v>1.2</v>
      </c>
      <c r="Q3333" s="10">
        <v>1110</v>
      </c>
      <c r="R3333" s="10" t="s">
        <v>85</v>
      </c>
      <c r="S3333" s="34">
        <f t="shared" si="379"/>
        <v>1110.3256160000001</v>
      </c>
      <c r="T3333" s="10" t="s">
        <v>1246</v>
      </c>
      <c r="U3333" s="34">
        <f t="shared" si="380"/>
        <v>97.60231244400002</v>
      </c>
      <c r="V3333" s="31">
        <f>IF(H3333="CHK",VLOOKUP(I3333,QCCHK,3,),IF(H3333="GUP",VLOOKUP(E3333,QCGUP,2,),IF(AND(H3333="ATP",OR(I3333="TN",I3333="TDN",I3333="TNO2-3",I3333="NO2-3")),VLOOKUP(E3333,QCREC_N,2,),IF(AND(H3333="NIC",OR(I3333="TN",I3333="TDN",I3333="TNO2-3",I3333="NO2-3")),VLOOKUP(E3333,QCNIC_N,2,),IF(AND(H3333="UREA",OR(I3333="TN",I3333="TDN",I3333="TNO2-3",I3333="NO2-3")),VLOOKUP(E3333,QCUREA_N,2,),IF(H3333="PER",VLOOKUP(I3333,QCPER,MATCH(E3333,QCACTUAL!$J$25:$AA$25,0),),IF(H3333="SPK",VLOOKUP(I3333,QCSPK,3,),IF(AND(H3333="ATP",OR(I3333="TP",I3333="TDP")),VLOOKUP(E3333,QCATP_P,2,),""))))))))</f>
        <v>1000</v>
      </c>
      <c r="W3333" s="31" t="str">
        <f t="shared" si="381"/>
        <v>TRUE</v>
      </c>
      <c r="X3333" s="31" t="str">
        <f t="shared" si="378"/>
        <v>([spikedunkn]-[unkn])/[spike]*100</v>
      </c>
      <c r="Y3333" s="10" t="s">
        <v>1232</v>
      </c>
      <c r="Z3333" s="10" t="s">
        <v>910</v>
      </c>
      <c r="AF3333" s="12">
        <v>44972</v>
      </c>
      <c r="AK3333" s="10">
        <f>-0.0466*16.8^2+68.24*16.8-22.954</f>
        <v>1110.3256160000001</v>
      </c>
      <c r="AL3333" s="10" t="str">
        <f t="shared" si="376"/>
        <v>FALSE</v>
      </c>
      <c r="AM3333" s="10" t="str">
        <f t="shared" si="376"/>
        <v>FALSE</v>
      </c>
      <c r="AN3333" s="10" t="str">
        <f t="shared" si="376"/>
        <v>FALSE</v>
      </c>
      <c r="AO3333" s="10" t="str">
        <f t="shared" si="377"/>
        <v>FALSE</v>
      </c>
      <c r="AP3333" s="10" t="str">
        <f t="shared" si="377"/>
        <v>y=-0.0466*16.8^2+68.24*16.8-22.954</v>
      </c>
      <c r="AQ3333" s="10" t="b">
        <f>IF(AND(I3333="TP",S3333&lt;=150),VLOOKUP(AF3333,TPCalibEq150!$AZ$2:$BB$55,3,),IF(AND(I3333="TDP",S3333&lt;=150),VLOOKUP(AF3333,TPCalibEq150!$AZ$2:$BB$55,3,)))</f>
        <v>0</v>
      </c>
      <c r="AR3333" s="10" t="b">
        <f>IF(AND(I3333="TP",S3333&lt;=300),VLOOKUP(AF3333,TPCalibEq300!$AZ$2:$BB$55,3,),IF(AND(I3333="TDP",S3333&lt;=300),VLOOKUP(AF3333,TPCalibEq300!$AZ$2:$BB$55,3,)))</f>
        <v>0</v>
      </c>
      <c r="AS3333" s="10" t="b">
        <f>IF(AND(I3333="TP",S3333&lt;=500),VLOOKUP(AF3333,TPCalibEq500!$AZ$2:$BB$56,3,),IF(AND(I3333="TDP",S3333&lt;=500),VLOOKUP(AF3333,TPCalibEq500!$AZ$2:$BB$56,3,)))</f>
        <v>0</v>
      </c>
      <c r="AT3333" s="10" t="b">
        <f>IF(AND(I3333="TN",S3333&lt;=2800),VLOOKUP(AF3333,TNCalibEq2500!$AZ$2:$BB$56,3,),IF(AND(I3333="TDN",S3333&lt;=2800),VLOOKUP(AF3333,TNCalibEq2500!$AZ$2:$BB$56,3,)))</f>
        <v>0</v>
      </c>
      <c r="AU3333" s="10" t="str">
        <f>IF(I3333="TP",VLOOKUP(AF3333,TPCalibEqFull!$AZ$2:$BB$56,3),IF(I3333="TDP",VLOOKUP(AF3333,TPCalibEqFull!$AZ$2:$BB$56,3),IF(I3333="TDN",VLOOKUP(AF3333,TNCalibEqFull!$AZ$1:$BB$56,3),IF(I3333="TN",VLOOKUP(AF3333,TNCalibEqFull!$AZ$1:$BB$56,3),FALSE))))</f>
        <v>y=-0.0466x2+68.24x-22.954</v>
      </c>
      <c r="AV3333" s="10" t="str">
        <f t="shared" si="382"/>
        <v>0213 12:22:00-ELI-0-C-1-SW-SPK</v>
      </c>
    </row>
    <row r="3334" spans="1:48" s="10" customFormat="1" x14ac:dyDescent="0.55000000000000004">
      <c r="A3334" s="32">
        <v>44972</v>
      </c>
      <c r="B3334" s="33">
        <v>0.375</v>
      </c>
      <c r="C3334" s="10" t="s">
        <v>70</v>
      </c>
      <c r="D3334" s="10" t="s">
        <v>71</v>
      </c>
      <c r="E3334" s="10" t="s">
        <v>901</v>
      </c>
      <c r="F3334" s="10">
        <v>1</v>
      </c>
      <c r="G3334" s="10" t="s">
        <v>73</v>
      </c>
      <c r="H3334" s="10" t="s">
        <v>207</v>
      </c>
      <c r="I3334" s="10" t="s">
        <v>83</v>
      </c>
      <c r="J3334" s="10">
        <v>200</v>
      </c>
      <c r="K3334" s="12">
        <v>44972</v>
      </c>
      <c r="L3334" s="33">
        <v>0.5901157407407408</v>
      </c>
      <c r="M3334" s="10">
        <v>1</v>
      </c>
      <c r="N3334" s="10" t="s">
        <v>84</v>
      </c>
      <c r="O3334" s="10">
        <v>8</v>
      </c>
      <c r="P3334" s="10">
        <v>0.57999999999999996</v>
      </c>
      <c r="Q3334" s="10">
        <v>522</v>
      </c>
      <c r="R3334" s="10" t="s">
        <v>85</v>
      </c>
      <c r="S3334" s="34">
        <f t="shared" si="379"/>
        <v>522</v>
      </c>
      <c r="T3334" s="10" t="s">
        <v>1246</v>
      </c>
      <c r="U3334" s="34">
        <f t="shared" si="380"/>
        <v>104.4</v>
      </c>
      <c r="V3334" s="31">
        <f>IF(H3334="CHK",VLOOKUP(I3334,QCCHK,3,),IF(H3334="GUP",VLOOKUP(E3334,QCGUP,2,),IF(AND(H3334="ATP",OR(I3334="TN",I3334="TDN",I3334="TNO2-3",I3334="NO2-3")),VLOOKUP(E3334,QCREC_N,2,),IF(AND(H3334="NIC",OR(I3334="TN",I3334="TDN",I3334="TNO2-3",I3334="NO2-3")),VLOOKUP(E3334,QCNIC_N,2,),IF(AND(H3334="UREA",OR(I3334="TN",I3334="TDN",I3334="TNO2-3",I3334="NO2-3")),VLOOKUP(E3334,QCUREA_N,2,),IF(H3334="PER",VLOOKUP(I3334,QCPER,MATCH(E3334,QCACTUAL!$J$25:$AA$25,0),),IF(H3334="SPK",VLOOKUP(I3334,QCSPK,3,),IF(AND(H3334="ATP",OR(I3334="TP",I3334="TDP")),VLOOKUP(E3334,QCATP_P,2,),""))))))))</f>
        <v>500</v>
      </c>
      <c r="W3334" s="31" t="str">
        <f t="shared" si="381"/>
        <v>TRUE</v>
      </c>
      <c r="X3334" s="31" t="str">
        <f t="shared" si="378"/>
        <v>[chk]/[actual]*100</v>
      </c>
      <c r="Y3334" s="10" t="s">
        <v>1232</v>
      </c>
      <c r="AF3334" s="12">
        <v>44972</v>
      </c>
      <c r="AK3334" s="10">
        <f>-0.0466*8^2+68.24*8-22.954</f>
        <v>519.98360000000002</v>
      </c>
      <c r="AL3334" s="10" t="str">
        <f t="shared" si="376"/>
        <v>FALSE</v>
      </c>
      <c r="AM3334" s="10" t="str">
        <f t="shared" si="376"/>
        <v>FALSE</v>
      </c>
      <c r="AN3334" s="10" t="str">
        <f t="shared" si="376"/>
        <v>FALSE</v>
      </c>
      <c r="AO3334" s="10" t="str">
        <f t="shared" si="377"/>
        <v>FALSE</v>
      </c>
      <c r="AP3334" s="10" t="str">
        <f t="shared" si="377"/>
        <v>y=-0.0466*8^2+68.24*8-22.954</v>
      </c>
      <c r="AQ3334" s="10" t="b">
        <f>IF(AND(I3334="TP",S3334&lt;=150),VLOOKUP(AF3334,TPCalibEq150!$AZ$2:$BB$55,3,),IF(AND(I3334="TDP",S3334&lt;=150),VLOOKUP(AF3334,TPCalibEq150!$AZ$2:$BB$55,3,)))</f>
        <v>0</v>
      </c>
      <c r="AR3334" s="10" t="b">
        <f>IF(AND(I3334="TP",S3334&lt;=300),VLOOKUP(AF3334,TPCalibEq300!$AZ$2:$BB$55,3,),IF(AND(I3334="TDP",S3334&lt;=300),VLOOKUP(AF3334,TPCalibEq300!$AZ$2:$BB$55,3,)))</f>
        <v>0</v>
      </c>
      <c r="AS3334" s="10" t="b">
        <f>IF(AND(I3334="TP",S3334&lt;=500),VLOOKUP(AF3334,TPCalibEq500!$AZ$2:$BB$56,3,),IF(AND(I3334="TDP",S3334&lt;=500),VLOOKUP(AF3334,TPCalibEq500!$AZ$2:$BB$56,3,)))</f>
        <v>0</v>
      </c>
      <c r="AT3334" s="10" t="b">
        <f>IF(AND(I3334="TN",S3334&lt;=2800),VLOOKUP(AF3334,TNCalibEq2500!$AZ$2:$BB$56,3,),IF(AND(I3334="TDN",S3334&lt;=2800),VLOOKUP(AF3334,TNCalibEq2500!$AZ$2:$BB$56,3,)))</f>
        <v>0</v>
      </c>
      <c r="AU3334" s="10" t="str">
        <f>IF(I3334="TP",VLOOKUP(AF3334,TPCalibEqFull!$AZ$2:$BB$56,3),IF(I3334="TDP",VLOOKUP(AF3334,TPCalibEqFull!$AZ$2:$BB$56,3),IF(I3334="TDN",VLOOKUP(AF3334,TNCalibEqFull!$AZ$1:$BB$56,3),IF(I3334="TN",VLOOKUP(AF3334,TNCalibEqFull!$AZ$1:$BB$56,3),FALSE))))</f>
        <v>y=-0.0466x2+68.24x-22.954</v>
      </c>
      <c r="AV3334" s="10" t="str">
        <f t="shared" si="382"/>
        <v>0215 09:00:00-QAC-STD-D-1-DI-CHK</v>
      </c>
    </row>
    <row r="3335" spans="1:48" s="10" customFormat="1" x14ac:dyDescent="0.55000000000000004">
      <c r="A3335" s="32">
        <v>44965</v>
      </c>
      <c r="C3335" s="10" t="s">
        <v>279</v>
      </c>
      <c r="D3335" s="10">
        <v>0</v>
      </c>
      <c r="E3335" s="10" t="s">
        <v>911</v>
      </c>
      <c r="F3335" s="10">
        <v>1</v>
      </c>
      <c r="G3335" s="10" t="s">
        <v>231</v>
      </c>
      <c r="H3335" s="10" t="s">
        <v>322</v>
      </c>
      <c r="I3335" s="10" t="s">
        <v>266</v>
      </c>
      <c r="J3335" s="10">
        <v>25</v>
      </c>
      <c r="K3335" s="12">
        <v>44972</v>
      </c>
      <c r="L3335" s="33">
        <v>0.59079861111111109</v>
      </c>
      <c r="M3335" s="10">
        <v>1</v>
      </c>
      <c r="N3335" s="10" t="s">
        <v>84</v>
      </c>
      <c r="O3335" s="10">
        <v>4.0199999999999996</v>
      </c>
      <c r="P3335" s="10">
        <v>0.29099999999999998</v>
      </c>
      <c r="Q3335" s="10">
        <v>252</v>
      </c>
      <c r="R3335" s="10" t="s">
        <v>85</v>
      </c>
      <c r="S3335" s="34">
        <f t="shared" si="379"/>
        <v>267.24073303999995</v>
      </c>
      <c r="T3335" s="10" t="s">
        <v>1246</v>
      </c>
      <c r="U3335" s="34" t="str">
        <f t="shared" si="380"/>
        <v/>
      </c>
      <c r="V3335" s="31" t="str">
        <f>IF(H3335="CHK",VLOOKUP(I3335,QCCHK,3,),IF(H3335="GUP",VLOOKUP(E3335,QCGUP,2,),IF(AND(H3335="ATP",OR(I3335="TN",I3335="TDN",I3335="TNO2-3",I3335="NO2-3")),VLOOKUP(E3335,QCREC_N,2,),IF(AND(H3335="NIC",OR(I3335="TN",I3335="TDN",I3335="TNO2-3",I3335="NO2-3")),VLOOKUP(E3335,QCNIC_N,2,),IF(AND(H3335="UREA",OR(I3335="TN",I3335="TDN",I3335="TNO2-3",I3335="NO2-3")),VLOOKUP(E3335,QCUREA_N,2,),IF(H3335="PER",VLOOKUP(I3335,QCPER,MATCH(E3335,QCACTUAL!$J$25:$AA$25,0),),IF(H3335="SPK",VLOOKUP(I3335,QCSPK,3,),IF(AND(H3335="ATP",OR(I3335="TP",I3335="TDP")),VLOOKUP(E3335,QCATP_P,2,),""))))))))</f>
        <v/>
      </c>
      <c r="W3335" s="31" t="str">
        <f t="shared" si="381"/>
        <v>TRUE</v>
      </c>
      <c r="X3335" s="31" t="str">
        <f t="shared" si="378"/>
        <v/>
      </c>
      <c r="Y3335" s="10" t="s">
        <v>1232</v>
      </c>
      <c r="Z3335" s="10" t="s">
        <v>910</v>
      </c>
      <c r="AF3335" s="12">
        <v>44972</v>
      </c>
      <c r="AH3335" s="10">
        <f>-3.4074*4.02^2+90.534*4.02-41.641</f>
        <v>267.24073303999995</v>
      </c>
      <c r="AI3335" s="10">
        <f>-1.4395*4.02^2+80.835*4.02-35.016</f>
        <v>266.67780419999991</v>
      </c>
      <c r="AK3335" s="10">
        <f>-0.0466*4.02^2+68.24*4.02-22.954</f>
        <v>250.61772535999989</v>
      </c>
      <c r="AL3335" s="10" t="str">
        <f t="shared" ref="AL3335:AN3367" si="383">IF($O3335="", "", IF(AQ3335&lt;&gt;"", SUBSTITUTE(SUBSTITUTE(AQ3335, "x", "*"&amp;$O3335&amp;"^", 1), "x", "*"&amp;$O3335, 1), ""))</f>
        <v>FALSE</v>
      </c>
      <c r="AM3335" s="10" t="str">
        <f t="shared" si="383"/>
        <v>y=-3.4074*4.02^2+90.534*4.02-41.641</v>
      </c>
      <c r="AN3335" s="10" t="str">
        <f t="shared" si="383"/>
        <v>y=-1.4395*4.02^2+80.835*4.02-35.016</v>
      </c>
      <c r="AO3335" s="10" t="str">
        <f t="shared" ref="AO3335:AP3367" si="384">IF($O3335="", "FALSE", IF(AT3335&lt;&gt;"FALSE", SUBSTITUTE(SUBSTITUTE(AT3335, "x", "*"&amp;$O3335&amp;"^", 1), "x", "*"&amp;$O3335, 1), ""))</f>
        <v>FALSE</v>
      </c>
      <c r="AP3335" s="10" t="str">
        <f t="shared" si="384"/>
        <v>y=-0.0466*4.02^2+68.24*4.02-22.954</v>
      </c>
      <c r="AQ3335" s="10" t="b">
        <f>IF(AND(I3335="TP",S3335&lt;=150),VLOOKUP(AF3335,TPCalibEq150!$AZ$2:$BB$55,3,),IF(AND(I3335="TDP",S3335&lt;=150),VLOOKUP(AF3335,TPCalibEq150!$AZ$2:$BB$55,3,)))</f>
        <v>0</v>
      </c>
      <c r="AR3335" s="10" t="str">
        <f>IF(AND(I3335="TP",S3335&lt;=300),VLOOKUP(AF3335,TPCalibEq300!$AZ$2:$BB$55,3,),IF(AND(I3335="TDP",S3335&lt;=300),VLOOKUP(AF3335,TPCalibEq300!$AZ$2:$BB$55,3,)))</f>
        <v>y=-3.4074x2+90.534x-41.641</v>
      </c>
      <c r="AS3335" s="10" t="str">
        <f>IF(AND(I3335="TP",S3335&lt;=500),VLOOKUP(AF3335,TPCalibEq500!$AZ$2:$BB$56,3,),IF(AND(I3335="TDP",S3335&lt;=500),VLOOKUP(AF3335,TPCalibEq500!$AZ$2:$BB$56,3,)))</f>
        <v>y=-1.4395x2+80.835x-35.016</v>
      </c>
      <c r="AT3335" s="10" t="b">
        <f>IF(AND(I3335="TN",S3335&lt;=2800),VLOOKUP(AF3335,TNCalibEq2500!$AZ$2:$BB$56,3,),IF(AND(I3335="TDN",S3335&lt;=2800),VLOOKUP(AF3335,TNCalibEq2500!$AZ$2:$BB$56,3,)))</f>
        <v>0</v>
      </c>
      <c r="AU3335" s="10" t="str">
        <f>IF(I3335="TP",VLOOKUP(AF3335,TPCalibEqFull!$AZ$2:$BB$56,3),IF(I3335="TDP",VLOOKUP(AF3335,TPCalibEqFull!$AZ$2:$BB$56,3),IF(I3335="TDN",VLOOKUP(AF3335,TNCalibEqFull!$AZ$1:$BB$56,3),IF(I3335="TN",VLOOKUP(AF3335,TNCalibEqFull!$AZ$1:$BB$56,3),FALSE))))</f>
        <v>y=-0.0466x2+68.24x-22.954</v>
      </c>
      <c r="AV3335" s="10" t="str">
        <f t="shared" si="382"/>
        <v>0208 00:00:00-EFK-0-FIL-1-SW-UKN</v>
      </c>
    </row>
    <row r="3336" spans="1:48" s="10" customFormat="1" x14ac:dyDescent="0.55000000000000004">
      <c r="A3336" s="32">
        <v>44965</v>
      </c>
      <c r="B3336" s="33">
        <v>0.24166666666666667</v>
      </c>
      <c r="C3336" s="10" t="s">
        <v>333</v>
      </c>
      <c r="D3336" s="10">
        <v>0</v>
      </c>
      <c r="E3336" s="10" t="s">
        <v>911</v>
      </c>
      <c r="F3336" s="10">
        <v>1</v>
      </c>
      <c r="G3336" s="10" t="s">
        <v>231</v>
      </c>
      <c r="H3336" s="10" t="s">
        <v>322</v>
      </c>
      <c r="I3336" s="10" t="s">
        <v>266</v>
      </c>
      <c r="J3336" s="10">
        <v>26</v>
      </c>
      <c r="K3336" s="12">
        <v>44972</v>
      </c>
      <c r="L3336" s="33">
        <v>0.59149305555555554</v>
      </c>
      <c r="M3336" s="10">
        <v>1</v>
      </c>
      <c r="N3336" s="10" t="s">
        <v>84</v>
      </c>
      <c r="O3336" s="10">
        <v>2.71</v>
      </c>
      <c r="P3336" s="10">
        <v>0.19400000000000001</v>
      </c>
      <c r="Q3336" s="10">
        <v>163</v>
      </c>
      <c r="R3336" s="10" t="s">
        <v>85</v>
      </c>
      <c r="S3336" s="34">
        <f t="shared" si="379"/>
        <v>178.68185366000003</v>
      </c>
      <c r="T3336" s="10" t="s">
        <v>1246</v>
      </c>
      <c r="U3336" s="34" t="str">
        <f t="shared" si="380"/>
        <v/>
      </c>
      <c r="V3336" s="31" t="str">
        <f>IF(H3336="CHK",VLOOKUP(I3336,QCCHK,3,),IF(H3336="GUP",VLOOKUP(E3336,QCGUP,2,),IF(AND(H3336="ATP",OR(I3336="TN",I3336="TDN",I3336="TNO2-3",I3336="NO2-3")),VLOOKUP(E3336,QCREC_N,2,),IF(AND(H3336="NIC",OR(I3336="TN",I3336="TDN",I3336="TNO2-3",I3336="NO2-3")),VLOOKUP(E3336,QCNIC_N,2,),IF(AND(H3336="UREA",OR(I3336="TN",I3336="TDN",I3336="TNO2-3",I3336="NO2-3")),VLOOKUP(E3336,QCUREA_N,2,),IF(H3336="PER",VLOOKUP(I3336,QCPER,MATCH(E3336,QCACTUAL!$J$25:$AA$25,0),),IF(H3336="SPK",VLOOKUP(I3336,QCSPK,3,),IF(AND(H3336="ATP",OR(I3336="TP",I3336="TDP")),VLOOKUP(E3336,QCATP_P,2,),""))))))))</f>
        <v/>
      </c>
      <c r="W3336" s="31" t="str">
        <f t="shared" si="381"/>
        <v>TRUE</v>
      </c>
      <c r="X3336" s="31" t="str">
        <f t="shared" si="378"/>
        <v/>
      </c>
      <c r="Y3336" s="10" t="s">
        <v>1232</v>
      </c>
      <c r="Z3336" s="10" t="s">
        <v>910</v>
      </c>
      <c r="AF3336" s="12">
        <v>44972</v>
      </c>
      <c r="AH3336" s="10">
        <f>-3.4074*2.71^2+90.534*2.71-41.641</f>
        <v>178.68185366000003</v>
      </c>
      <c r="AI3336" s="10">
        <f>-1.4395*2.71^2+80.835*2.71-35.016</f>
        <v>173.47501804999999</v>
      </c>
      <c r="AK3336" s="10">
        <f>-0.0466*2.71^2+68.24*2.71-22.954</f>
        <v>161.63416493999998</v>
      </c>
      <c r="AL3336" s="10" t="str">
        <f t="shared" si="383"/>
        <v>FALSE</v>
      </c>
      <c r="AM3336" s="10" t="str">
        <f t="shared" si="383"/>
        <v>y=-3.4074*2.71^2+90.534*2.71-41.641</v>
      </c>
      <c r="AN3336" s="10" t="str">
        <f t="shared" si="383"/>
        <v>y=-1.4395*2.71^2+80.835*2.71-35.016</v>
      </c>
      <c r="AO3336" s="10" t="str">
        <f t="shared" si="384"/>
        <v>FALSE</v>
      </c>
      <c r="AP3336" s="10" t="str">
        <f t="shared" si="384"/>
        <v>y=-0.0466*2.71^2+68.24*2.71-22.954</v>
      </c>
      <c r="AQ3336" s="10" t="b">
        <f>IF(AND(I3336="TP",S3336&lt;=150),VLOOKUP(AF3336,TPCalibEq150!$AZ$2:$BB$55,3,),IF(AND(I3336="TDP",S3336&lt;=150),VLOOKUP(AF3336,TPCalibEq150!$AZ$2:$BB$55,3,)))</f>
        <v>0</v>
      </c>
      <c r="AR3336" s="10" t="str">
        <f>IF(AND(I3336="TP",S3336&lt;=300),VLOOKUP(AF3336,TPCalibEq300!$AZ$2:$BB$55,3,),IF(AND(I3336="TDP",S3336&lt;=300),VLOOKUP(AF3336,TPCalibEq300!$AZ$2:$BB$55,3,)))</f>
        <v>y=-3.4074x2+90.534x-41.641</v>
      </c>
      <c r="AS3336" s="10" t="str">
        <f>IF(AND(I3336="TP",S3336&lt;=500),VLOOKUP(AF3336,TPCalibEq500!$AZ$2:$BB$56,3,),IF(AND(I3336="TDP",S3336&lt;=500),VLOOKUP(AF3336,TPCalibEq500!$AZ$2:$BB$56,3,)))</f>
        <v>y=-1.4395x2+80.835x-35.016</v>
      </c>
      <c r="AT3336" s="10" t="b">
        <f>IF(AND(I3336="TN",S3336&lt;=2800),VLOOKUP(AF3336,TNCalibEq2500!$AZ$2:$BB$56,3,),IF(AND(I3336="TDN",S3336&lt;=2800),VLOOKUP(AF3336,TNCalibEq2500!$AZ$2:$BB$56,3,)))</f>
        <v>0</v>
      </c>
      <c r="AU3336" s="10" t="str">
        <f>IF(I3336="TP",VLOOKUP(AF3336,TPCalibEqFull!$AZ$2:$BB$56,3),IF(I3336="TDP",VLOOKUP(AF3336,TPCalibEqFull!$AZ$2:$BB$56,3),IF(I3336="TDN",VLOOKUP(AF3336,TNCalibEqFull!$AZ$1:$BB$56,3),IF(I3336="TN",VLOOKUP(AF3336,TNCalibEqFull!$AZ$1:$BB$56,3),FALSE))))</f>
        <v>y=-0.0466x2+68.24x-22.954</v>
      </c>
      <c r="AV3336" s="10" t="str">
        <f t="shared" si="382"/>
        <v>0208 05:48:00-HST-0-FIL-1-SW-UKN</v>
      </c>
    </row>
    <row r="3337" spans="1:48" s="10" customFormat="1" x14ac:dyDescent="0.55000000000000004">
      <c r="A3337" s="32">
        <v>44966</v>
      </c>
      <c r="B3337" s="33">
        <v>0.41041666666666665</v>
      </c>
      <c r="C3337" s="10" t="s">
        <v>279</v>
      </c>
      <c r="D3337" s="10">
        <v>0</v>
      </c>
      <c r="E3337" s="10" t="s">
        <v>911</v>
      </c>
      <c r="F3337" s="10">
        <v>1</v>
      </c>
      <c r="G3337" s="10" t="s">
        <v>231</v>
      </c>
      <c r="H3337" s="10" t="s">
        <v>322</v>
      </c>
      <c r="I3337" s="10" t="s">
        <v>266</v>
      </c>
      <c r="J3337" s="10">
        <v>27</v>
      </c>
      <c r="K3337" s="12">
        <v>44972</v>
      </c>
      <c r="L3337" s="33">
        <v>0.59218749999999998</v>
      </c>
      <c r="M3337" s="10">
        <v>1</v>
      </c>
      <c r="N3337" s="10" t="s">
        <v>84</v>
      </c>
      <c r="O3337" s="10">
        <v>3.27</v>
      </c>
      <c r="P3337" s="10">
        <v>0.23499999999999999</v>
      </c>
      <c r="Q3337" s="10">
        <v>201</v>
      </c>
      <c r="R3337" s="10" t="s">
        <v>85</v>
      </c>
      <c r="S3337" s="34">
        <f t="shared" si="379"/>
        <v>217.97019254000006</v>
      </c>
      <c r="T3337" s="10" t="s">
        <v>1246</v>
      </c>
      <c r="U3337" s="34" t="str">
        <f t="shared" si="380"/>
        <v/>
      </c>
      <c r="V3337" s="31" t="str">
        <f>IF(H3337="CHK",VLOOKUP(I3337,QCCHK,3,),IF(H3337="GUP",VLOOKUP(E3337,QCGUP,2,),IF(AND(H3337="ATP",OR(I3337="TN",I3337="TDN",I3337="TNO2-3",I3337="NO2-3")),VLOOKUP(E3337,QCREC_N,2,),IF(AND(H3337="NIC",OR(I3337="TN",I3337="TDN",I3337="TNO2-3",I3337="NO2-3")),VLOOKUP(E3337,QCNIC_N,2,),IF(AND(H3337="UREA",OR(I3337="TN",I3337="TDN",I3337="TNO2-3",I3337="NO2-3")),VLOOKUP(E3337,QCUREA_N,2,),IF(H3337="PER",VLOOKUP(I3337,QCPER,MATCH(E3337,QCACTUAL!$J$25:$AA$25,0),),IF(H3337="SPK",VLOOKUP(I3337,QCSPK,3,),IF(AND(H3337="ATP",OR(I3337="TP",I3337="TDP")),VLOOKUP(E3337,QCATP_P,2,),""))))))))</f>
        <v/>
      </c>
      <c r="W3337" s="31" t="str">
        <f t="shared" si="381"/>
        <v>TRUE</v>
      </c>
      <c r="X3337" s="31" t="str">
        <f t="shared" si="378"/>
        <v/>
      </c>
      <c r="Y3337" s="10" t="s">
        <v>1232</v>
      </c>
      <c r="Z3337" s="10" t="s">
        <v>910</v>
      </c>
      <c r="AF3337" s="12">
        <v>44972</v>
      </c>
      <c r="AH3337" s="10">
        <f>-3.4074*3.27^2+90.534*3.27-41.641</f>
        <v>217.97019254000006</v>
      </c>
      <c r="AI3337" s="10">
        <f>-1.4395*3.27^2+80.835*3.27-35.016</f>
        <v>213.92202044999999</v>
      </c>
      <c r="AK3337" s="10">
        <f>-0.0466*3.27^2+68.24*3.27-22.954</f>
        <v>199.69251085999997</v>
      </c>
      <c r="AL3337" s="10" t="str">
        <f t="shared" si="383"/>
        <v>FALSE</v>
      </c>
      <c r="AM3337" s="10" t="str">
        <f t="shared" si="383"/>
        <v>y=-3.4074*3.27^2+90.534*3.27-41.641</v>
      </c>
      <c r="AN3337" s="10" t="str">
        <f t="shared" si="383"/>
        <v>y=-1.4395*3.27^2+80.835*3.27-35.016</v>
      </c>
      <c r="AO3337" s="10" t="str">
        <f t="shared" si="384"/>
        <v>FALSE</v>
      </c>
      <c r="AP3337" s="10" t="str">
        <f t="shared" si="384"/>
        <v>y=-0.0466*3.27^2+68.24*3.27-22.954</v>
      </c>
      <c r="AQ3337" s="10" t="b">
        <f>IF(AND(I3337="TP",S3337&lt;=150),VLOOKUP(AF3337,TPCalibEq150!$AZ$2:$BB$55,3,),IF(AND(I3337="TDP",S3337&lt;=150),VLOOKUP(AF3337,TPCalibEq150!$AZ$2:$BB$55,3,)))</f>
        <v>0</v>
      </c>
      <c r="AR3337" s="10" t="str">
        <f>IF(AND(I3337="TP",S3337&lt;=300),VLOOKUP(AF3337,TPCalibEq300!$AZ$2:$BB$55,3,),IF(AND(I3337="TDP",S3337&lt;=300),VLOOKUP(AF3337,TPCalibEq300!$AZ$2:$BB$55,3,)))</f>
        <v>y=-3.4074x2+90.534x-41.641</v>
      </c>
      <c r="AS3337" s="10" t="str">
        <f>IF(AND(I3337="TP",S3337&lt;=500),VLOOKUP(AF3337,TPCalibEq500!$AZ$2:$BB$56,3,),IF(AND(I3337="TDP",S3337&lt;=500),VLOOKUP(AF3337,TPCalibEq500!$AZ$2:$BB$56,3,)))</f>
        <v>y=-1.4395x2+80.835x-35.016</v>
      </c>
      <c r="AT3337" s="10" t="b">
        <f>IF(AND(I3337="TN",S3337&lt;=2800),VLOOKUP(AF3337,TNCalibEq2500!$AZ$2:$BB$56,3,),IF(AND(I3337="TDN",S3337&lt;=2800),VLOOKUP(AF3337,TNCalibEq2500!$AZ$2:$BB$56,3,)))</f>
        <v>0</v>
      </c>
      <c r="AU3337" s="10" t="str">
        <f>IF(I3337="TP",VLOOKUP(AF3337,TPCalibEqFull!$AZ$2:$BB$56,3),IF(I3337="TDP",VLOOKUP(AF3337,TPCalibEqFull!$AZ$2:$BB$56,3),IF(I3337="TDN",VLOOKUP(AF3337,TNCalibEqFull!$AZ$1:$BB$56,3),IF(I3337="TN",VLOOKUP(AF3337,TNCalibEqFull!$AZ$1:$BB$56,3),FALSE))))</f>
        <v>y=-0.0466x2+68.24x-22.954</v>
      </c>
      <c r="AV3337" s="10" t="str">
        <f t="shared" si="382"/>
        <v>0209 09:51:00-EFK-0-FIL-1-SW-UKN</v>
      </c>
    </row>
    <row r="3338" spans="1:48" s="10" customFormat="1" x14ac:dyDescent="0.55000000000000004">
      <c r="A3338" s="32">
        <v>44966</v>
      </c>
      <c r="B3338" s="33">
        <v>0.42708333333333331</v>
      </c>
      <c r="C3338" s="10" t="s">
        <v>333</v>
      </c>
      <c r="D3338" s="10">
        <v>0</v>
      </c>
      <c r="E3338" s="10" t="s">
        <v>911</v>
      </c>
      <c r="F3338" s="10">
        <v>1</v>
      </c>
      <c r="G3338" s="10" t="s">
        <v>231</v>
      </c>
      <c r="H3338" s="10" t="s">
        <v>322</v>
      </c>
      <c r="I3338" s="10" t="s">
        <v>266</v>
      </c>
      <c r="J3338" s="10">
        <v>28</v>
      </c>
      <c r="K3338" s="12">
        <v>44972</v>
      </c>
      <c r="L3338" s="33">
        <v>0.59287037037037038</v>
      </c>
      <c r="M3338" s="10">
        <v>1</v>
      </c>
      <c r="N3338" s="10" t="s">
        <v>84</v>
      </c>
      <c r="O3338" s="10">
        <v>3</v>
      </c>
      <c r="P3338" s="10">
        <v>0.214</v>
      </c>
      <c r="Q3338" s="10">
        <v>183</v>
      </c>
      <c r="R3338" s="10" t="s">
        <v>85</v>
      </c>
      <c r="S3338" s="34">
        <f t="shared" si="379"/>
        <v>199.29440000000005</v>
      </c>
      <c r="T3338" s="10" t="s">
        <v>1246</v>
      </c>
      <c r="U3338" s="34" t="str">
        <f t="shared" si="380"/>
        <v/>
      </c>
      <c r="V3338" s="31" t="str">
        <f>IF(H3338="CHK",VLOOKUP(I3338,QCCHK,3,),IF(H3338="GUP",VLOOKUP(E3338,QCGUP,2,),IF(AND(H3338="ATP",OR(I3338="TN",I3338="TDN",I3338="TNO2-3",I3338="NO2-3")),VLOOKUP(E3338,QCREC_N,2,),IF(AND(H3338="NIC",OR(I3338="TN",I3338="TDN",I3338="TNO2-3",I3338="NO2-3")),VLOOKUP(E3338,QCNIC_N,2,),IF(AND(H3338="UREA",OR(I3338="TN",I3338="TDN",I3338="TNO2-3",I3338="NO2-3")),VLOOKUP(E3338,QCUREA_N,2,),IF(H3338="PER",VLOOKUP(I3338,QCPER,MATCH(E3338,QCACTUAL!$J$25:$AA$25,0),),IF(H3338="SPK",VLOOKUP(I3338,QCSPK,3,),IF(AND(H3338="ATP",OR(I3338="TP",I3338="TDP")),VLOOKUP(E3338,QCATP_P,2,),""))))))))</f>
        <v/>
      </c>
      <c r="W3338" s="31" t="str">
        <f t="shared" si="381"/>
        <v>TRUE</v>
      </c>
      <c r="X3338" s="31" t="str">
        <f t="shared" si="378"/>
        <v/>
      </c>
      <c r="Y3338" s="10" t="s">
        <v>1232</v>
      </c>
      <c r="Z3338" s="10" t="s">
        <v>910</v>
      </c>
      <c r="AF3338" s="12">
        <v>44972</v>
      </c>
      <c r="AH3338" s="10">
        <f>-3.4074*3^2+90.534*3-41.641</f>
        <v>199.29440000000005</v>
      </c>
      <c r="AI3338" s="10">
        <f>-1.4395*3^2+80.835*3-35.016</f>
        <v>194.5335</v>
      </c>
      <c r="AK3338" s="10">
        <f>-0.0466*3^2+68.24*3-22.954</f>
        <v>181.34659999999997</v>
      </c>
      <c r="AL3338" s="10" t="str">
        <f t="shared" si="383"/>
        <v>FALSE</v>
      </c>
      <c r="AM3338" s="10" t="str">
        <f t="shared" si="383"/>
        <v>y=-3.4074*3^2+90.534*3-41.641</v>
      </c>
      <c r="AN3338" s="10" t="str">
        <f t="shared" si="383"/>
        <v>y=-1.4395*3^2+80.835*3-35.016</v>
      </c>
      <c r="AO3338" s="10" t="str">
        <f t="shared" si="384"/>
        <v>FALSE</v>
      </c>
      <c r="AP3338" s="10" t="str">
        <f t="shared" si="384"/>
        <v>y=-0.0466*3^2+68.24*3-22.954</v>
      </c>
      <c r="AQ3338" s="10" t="b">
        <f>IF(AND(I3338="TP",S3338&lt;=150),VLOOKUP(AF3338,TPCalibEq150!$AZ$2:$BB$55,3,),IF(AND(I3338="TDP",S3338&lt;=150),VLOOKUP(AF3338,TPCalibEq150!$AZ$2:$BB$55,3,)))</f>
        <v>0</v>
      </c>
      <c r="AR3338" s="10" t="str">
        <f>IF(AND(I3338="TP",S3338&lt;=300),VLOOKUP(AF3338,TPCalibEq300!$AZ$2:$BB$55,3,),IF(AND(I3338="TDP",S3338&lt;=300),VLOOKUP(AF3338,TPCalibEq300!$AZ$2:$BB$55,3,)))</f>
        <v>y=-3.4074x2+90.534x-41.641</v>
      </c>
      <c r="AS3338" s="10" t="str">
        <f>IF(AND(I3338="TP",S3338&lt;=500),VLOOKUP(AF3338,TPCalibEq500!$AZ$2:$BB$56,3,),IF(AND(I3338="TDP",S3338&lt;=500),VLOOKUP(AF3338,TPCalibEq500!$AZ$2:$BB$56,3,)))</f>
        <v>y=-1.4395x2+80.835x-35.016</v>
      </c>
      <c r="AT3338" s="10" t="b">
        <f>IF(AND(I3338="TN",S3338&lt;=2800),VLOOKUP(AF3338,TNCalibEq2500!$AZ$2:$BB$56,3,),IF(AND(I3338="TDN",S3338&lt;=2800),VLOOKUP(AF3338,TNCalibEq2500!$AZ$2:$BB$56,3,)))</f>
        <v>0</v>
      </c>
      <c r="AU3338" s="10" t="str">
        <f>IF(I3338="TP",VLOOKUP(AF3338,TPCalibEqFull!$AZ$2:$BB$56,3),IF(I3338="TDP",VLOOKUP(AF3338,TPCalibEqFull!$AZ$2:$BB$56,3),IF(I3338="TDN",VLOOKUP(AF3338,TNCalibEqFull!$AZ$1:$BB$56,3),IF(I3338="TN",VLOOKUP(AF3338,TNCalibEqFull!$AZ$1:$BB$56,3),FALSE))))</f>
        <v>y=-0.0466x2+68.24x-22.954</v>
      </c>
      <c r="AV3338" s="10" t="str">
        <f t="shared" si="382"/>
        <v>0209 10:15:00-HST-0-FIL-1-SW-UKN</v>
      </c>
    </row>
    <row r="3339" spans="1:48" s="10" customFormat="1" x14ac:dyDescent="0.55000000000000004">
      <c r="A3339" s="32">
        <v>44967</v>
      </c>
      <c r="B3339" s="33">
        <v>0.59791666666666665</v>
      </c>
      <c r="C3339" s="10" t="s">
        <v>279</v>
      </c>
      <c r="D3339" s="10">
        <v>0</v>
      </c>
      <c r="E3339" s="10" t="s">
        <v>911</v>
      </c>
      <c r="F3339" s="10">
        <v>1</v>
      </c>
      <c r="G3339" s="10" t="s">
        <v>231</v>
      </c>
      <c r="H3339" s="10" t="s">
        <v>322</v>
      </c>
      <c r="I3339" s="10" t="s">
        <v>266</v>
      </c>
      <c r="J3339" s="10">
        <v>29</v>
      </c>
      <c r="K3339" s="12">
        <v>44972</v>
      </c>
      <c r="L3339" s="33">
        <v>0.59355324074074078</v>
      </c>
      <c r="M3339" s="10">
        <v>1</v>
      </c>
      <c r="N3339" s="10" t="s">
        <v>84</v>
      </c>
      <c r="O3339" s="10">
        <v>3.7</v>
      </c>
      <c r="P3339" s="10">
        <v>0.26700000000000002</v>
      </c>
      <c r="Q3339" s="10">
        <v>230</v>
      </c>
      <c r="R3339" s="10" t="s">
        <v>85</v>
      </c>
      <c r="S3339" s="34">
        <f t="shared" si="379"/>
        <v>246.68749400000004</v>
      </c>
      <c r="T3339" s="10" t="s">
        <v>1246</v>
      </c>
      <c r="U3339" s="34" t="str">
        <f t="shared" si="380"/>
        <v/>
      </c>
      <c r="V3339" s="31" t="str">
        <f>IF(H3339="CHK",VLOOKUP(I3339,QCCHK,3,),IF(H3339="GUP",VLOOKUP(E3339,QCGUP,2,),IF(AND(H3339="ATP",OR(I3339="TN",I3339="TDN",I3339="TNO2-3",I3339="NO2-3")),VLOOKUP(E3339,QCREC_N,2,),IF(AND(H3339="NIC",OR(I3339="TN",I3339="TDN",I3339="TNO2-3",I3339="NO2-3")),VLOOKUP(E3339,QCNIC_N,2,),IF(AND(H3339="UREA",OR(I3339="TN",I3339="TDN",I3339="TNO2-3",I3339="NO2-3")),VLOOKUP(E3339,QCUREA_N,2,),IF(H3339="PER",VLOOKUP(I3339,QCPER,MATCH(E3339,QCACTUAL!$J$25:$AA$25,0),),IF(H3339="SPK",VLOOKUP(I3339,QCSPK,3,),IF(AND(H3339="ATP",OR(I3339="TP",I3339="TDP")),VLOOKUP(E3339,QCATP_P,2,),""))))))))</f>
        <v/>
      </c>
      <c r="W3339" s="31" t="str">
        <f t="shared" si="381"/>
        <v>TRUE</v>
      </c>
      <c r="X3339" s="31" t="str">
        <f t="shared" si="378"/>
        <v/>
      </c>
      <c r="Y3339" s="10" t="s">
        <v>1232</v>
      </c>
      <c r="Z3339" s="10" t="s">
        <v>910</v>
      </c>
      <c r="AF3339" s="12">
        <v>44972</v>
      </c>
      <c r="AH3339" s="10">
        <f>-3.4074*3.7^2+90.534*3.7-41.641</f>
        <v>246.68749400000004</v>
      </c>
      <c r="AI3339" s="10">
        <f>-1.4395*3.7^2+80.835*3.7-35.016</f>
        <v>244.36674500000001</v>
      </c>
      <c r="AK3339" s="10">
        <f>-0.0466*3.7^2+68.24*3.7-22.954</f>
        <v>228.89604599999998</v>
      </c>
      <c r="AL3339" s="10" t="str">
        <f t="shared" si="383"/>
        <v>FALSE</v>
      </c>
      <c r="AM3339" s="10" t="str">
        <f t="shared" si="383"/>
        <v>y=-3.4074*3.7^2+90.534*3.7-41.641</v>
      </c>
      <c r="AN3339" s="10" t="str">
        <f t="shared" si="383"/>
        <v>y=-1.4395*3.7^2+80.835*3.7-35.016</v>
      </c>
      <c r="AO3339" s="10" t="str">
        <f t="shared" si="384"/>
        <v>FALSE</v>
      </c>
      <c r="AP3339" s="10" t="str">
        <f t="shared" si="384"/>
        <v>y=-0.0466*3.7^2+68.24*3.7-22.954</v>
      </c>
      <c r="AQ3339" s="10" t="b">
        <f>IF(AND(I3339="TP",S3339&lt;=150),VLOOKUP(AF3339,TPCalibEq150!$AZ$2:$BB$55,3,),IF(AND(I3339="TDP",S3339&lt;=150),VLOOKUP(AF3339,TPCalibEq150!$AZ$2:$BB$55,3,)))</f>
        <v>0</v>
      </c>
      <c r="AR3339" s="10" t="str">
        <f>IF(AND(I3339="TP",S3339&lt;=300),VLOOKUP(AF3339,TPCalibEq300!$AZ$2:$BB$55,3,),IF(AND(I3339="TDP",S3339&lt;=300),VLOOKUP(AF3339,TPCalibEq300!$AZ$2:$BB$55,3,)))</f>
        <v>y=-3.4074x2+90.534x-41.641</v>
      </c>
      <c r="AS3339" s="10" t="str">
        <f>IF(AND(I3339="TP",S3339&lt;=500),VLOOKUP(AF3339,TPCalibEq500!$AZ$2:$BB$56,3,),IF(AND(I3339="TDP",S3339&lt;=500),VLOOKUP(AF3339,TPCalibEq500!$AZ$2:$BB$56,3,)))</f>
        <v>y=-1.4395x2+80.835x-35.016</v>
      </c>
      <c r="AT3339" s="10" t="b">
        <f>IF(AND(I3339="TN",S3339&lt;=2800),VLOOKUP(AF3339,TNCalibEq2500!$AZ$2:$BB$56,3,),IF(AND(I3339="TDN",S3339&lt;=2800),VLOOKUP(AF3339,TNCalibEq2500!$AZ$2:$BB$56,3,)))</f>
        <v>0</v>
      </c>
      <c r="AU3339" s="10" t="str">
        <f>IF(I3339="TP",VLOOKUP(AF3339,TPCalibEqFull!$AZ$2:$BB$56,3),IF(I3339="TDP",VLOOKUP(AF3339,TPCalibEqFull!$AZ$2:$BB$56,3),IF(I3339="TDN",VLOOKUP(AF3339,TNCalibEqFull!$AZ$1:$BB$56,3),IF(I3339="TN",VLOOKUP(AF3339,TNCalibEqFull!$AZ$1:$BB$56,3),FALSE))))</f>
        <v>y=-0.0466x2+68.24x-22.954</v>
      </c>
      <c r="AV3339" s="10" t="str">
        <f t="shared" si="382"/>
        <v>0210 14:21:00-EFK-0-FIL-1-SW-UKN</v>
      </c>
    </row>
    <row r="3340" spans="1:48" s="10" customFormat="1" x14ac:dyDescent="0.55000000000000004">
      <c r="A3340" s="32">
        <v>44967</v>
      </c>
      <c r="B3340" s="33">
        <v>0.60069444444444442</v>
      </c>
      <c r="C3340" s="10" t="s">
        <v>333</v>
      </c>
      <c r="D3340" s="10">
        <v>0</v>
      </c>
      <c r="E3340" s="10" t="s">
        <v>911</v>
      </c>
      <c r="F3340" s="10">
        <v>1</v>
      </c>
      <c r="G3340" s="10" t="s">
        <v>231</v>
      </c>
      <c r="H3340" s="10" t="s">
        <v>322</v>
      </c>
      <c r="I3340" s="10" t="s">
        <v>266</v>
      </c>
      <c r="J3340" s="10">
        <v>30</v>
      </c>
      <c r="K3340" s="12">
        <v>44972</v>
      </c>
      <c r="L3340" s="33">
        <v>0.59423611111111108</v>
      </c>
      <c r="M3340" s="10">
        <v>1</v>
      </c>
      <c r="N3340" s="10" t="s">
        <v>84</v>
      </c>
      <c r="O3340" s="10">
        <v>2.27</v>
      </c>
      <c r="P3340" s="10">
        <v>0.16200000000000001</v>
      </c>
      <c r="Q3340" s="10">
        <v>133</v>
      </c>
      <c r="R3340" s="10" t="s">
        <v>85</v>
      </c>
      <c r="S3340" s="34">
        <f t="shared" si="379"/>
        <v>146.31318854000003</v>
      </c>
      <c r="T3340" s="10" t="s">
        <v>1246</v>
      </c>
      <c r="U3340" s="34" t="str">
        <f t="shared" si="380"/>
        <v/>
      </c>
      <c r="V3340" s="31" t="str">
        <f>IF(H3340="CHK",VLOOKUP(I3340,QCCHK,3,),IF(H3340="GUP",VLOOKUP(E3340,QCGUP,2,),IF(AND(H3340="ATP",OR(I3340="TN",I3340="TDN",I3340="TNO2-3",I3340="NO2-3")),VLOOKUP(E3340,QCREC_N,2,),IF(AND(H3340="NIC",OR(I3340="TN",I3340="TDN",I3340="TNO2-3",I3340="NO2-3")),VLOOKUP(E3340,QCNIC_N,2,),IF(AND(H3340="UREA",OR(I3340="TN",I3340="TDN",I3340="TNO2-3",I3340="NO2-3")),VLOOKUP(E3340,QCUREA_N,2,),IF(H3340="PER",VLOOKUP(I3340,QCPER,MATCH(E3340,QCACTUAL!$J$25:$AA$25,0),),IF(H3340="SPK",VLOOKUP(I3340,QCSPK,3,),IF(AND(H3340="ATP",OR(I3340="TP",I3340="TDP")),VLOOKUP(E3340,QCATP_P,2,),""))))))))</f>
        <v/>
      </c>
      <c r="W3340" s="31" t="str">
        <f t="shared" si="381"/>
        <v>TRUE</v>
      </c>
      <c r="X3340" s="31" t="str">
        <f t="shared" si="378"/>
        <v/>
      </c>
      <c r="Y3340" s="10" t="s">
        <v>1232</v>
      </c>
      <c r="Z3340" s="10" t="s">
        <v>910</v>
      </c>
      <c r="AF3340" s="12">
        <v>44972</v>
      </c>
      <c r="AG3340" s="10">
        <f>-8.1564*2.27^2+103.56*2.27-47.896</f>
        <v>145.15608643999997</v>
      </c>
      <c r="AH3340" s="10">
        <f>-3.4074*2.27^2+90.534*2.27-41.641</f>
        <v>146.31318854000003</v>
      </c>
      <c r="AI3340" s="10">
        <f>-1.4395*2.27^2+80.835*2.27-35.016</f>
        <v>141.06185044999998</v>
      </c>
      <c r="AK3340" s="10">
        <f>-0.0466*2.27^2+68.24*2.27-22.954</f>
        <v>131.71067485999998</v>
      </c>
      <c r="AL3340" s="10" t="str">
        <f t="shared" si="383"/>
        <v>y=-8.1564*2.27^2+103.56*2.27-47.896</v>
      </c>
      <c r="AM3340" s="10" t="str">
        <f t="shared" si="383"/>
        <v>y=-3.4074*2.27^2+90.534*2.27-41.641</v>
      </c>
      <c r="AN3340" s="10" t="str">
        <f t="shared" si="383"/>
        <v>y=-1.4395*2.27^2+80.835*2.27-35.016</v>
      </c>
      <c r="AO3340" s="10" t="str">
        <f t="shared" si="384"/>
        <v>FALSE</v>
      </c>
      <c r="AP3340" s="10" t="str">
        <f t="shared" si="384"/>
        <v>y=-0.0466*2.27^2+68.24*2.27-22.954</v>
      </c>
      <c r="AQ3340" s="10" t="str">
        <f>IF(AND(I3340="TP",S3340&lt;=150),VLOOKUP(AF3340,TPCalibEq150!$AZ$2:$BB$55,3,),IF(AND(I3340="TDP",S3340&lt;=150),VLOOKUP(AF3340,TPCalibEq150!$AZ$2:$BB$55,3,)))</f>
        <v>y=-8.1564x2+103.56x-47.896</v>
      </c>
      <c r="AR3340" s="10" t="str">
        <f>IF(AND(I3340="TP",S3340&lt;=300),VLOOKUP(AF3340,TPCalibEq300!$AZ$2:$BB$55,3,),IF(AND(I3340="TDP",S3340&lt;=300),VLOOKUP(AF3340,TPCalibEq300!$AZ$2:$BB$55,3,)))</f>
        <v>y=-3.4074x2+90.534x-41.641</v>
      </c>
      <c r="AS3340" s="10" t="str">
        <f>IF(AND(I3340="TP",S3340&lt;=500),VLOOKUP(AF3340,TPCalibEq500!$AZ$2:$BB$56,3,),IF(AND(I3340="TDP",S3340&lt;=500),VLOOKUP(AF3340,TPCalibEq500!$AZ$2:$BB$56,3,)))</f>
        <v>y=-1.4395x2+80.835x-35.016</v>
      </c>
      <c r="AT3340" s="10" t="b">
        <f>IF(AND(I3340="TN",S3340&lt;=2800),VLOOKUP(AF3340,TNCalibEq2500!$AZ$2:$BB$56,3,),IF(AND(I3340="TDN",S3340&lt;=2800),VLOOKUP(AF3340,TNCalibEq2500!$AZ$2:$BB$56,3,)))</f>
        <v>0</v>
      </c>
      <c r="AU3340" s="10" t="str">
        <f>IF(I3340="TP",VLOOKUP(AF3340,TPCalibEqFull!$AZ$2:$BB$56,3),IF(I3340="TDP",VLOOKUP(AF3340,TPCalibEqFull!$AZ$2:$BB$56,3),IF(I3340="TDN",VLOOKUP(AF3340,TNCalibEqFull!$AZ$1:$BB$56,3),IF(I3340="TN",VLOOKUP(AF3340,TNCalibEqFull!$AZ$1:$BB$56,3),FALSE))))</f>
        <v>y=-0.0466x2+68.24x-22.954</v>
      </c>
      <c r="AV3340" s="10" t="str">
        <f t="shared" si="382"/>
        <v>0210 14:25:00-HST-0-FIL-1-SW-UKN</v>
      </c>
    </row>
    <row r="3341" spans="1:48" s="10" customFormat="1" x14ac:dyDescent="0.55000000000000004">
      <c r="A3341" s="32">
        <v>44970</v>
      </c>
      <c r="B3341" s="33">
        <v>0.32777777777777778</v>
      </c>
      <c r="C3341" s="10" t="s">
        <v>279</v>
      </c>
      <c r="D3341" s="10">
        <v>0</v>
      </c>
      <c r="E3341" s="10" t="s">
        <v>911</v>
      </c>
      <c r="F3341" s="10">
        <v>1</v>
      </c>
      <c r="G3341" s="10" t="s">
        <v>231</v>
      </c>
      <c r="H3341" s="10" t="s">
        <v>322</v>
      </c>
      <c r="I3341" s="10" t="s">
        <v>266</v>
      </c>
      <c r="J3341" s="10">
        <v>31</v>
      </c>
      <c r="K3341" s="12">
        <v>44972</v>
      </c>
      <c r="L3341" s="33">
        <v>0.59494212962962967</v>
      </c>
      <c r="M3341" s="10">
        <v>1</v>
      </c>
      <c r="N3341" s="10" t="s">
        <v>84</v>
      </c>
      <c r="O3341" s="10">
        <v>3.69</v>
      </c>
      <c r="P3341" s="10">
        <v>0.26600000000000001</v>
      </c>
      <c r="Q3341" s="10">
        <v>230</v>
      </c>
      <c r="R3341" s="10" t="s">
        <v>85</v>
      </c>
      <c r="S3341" s="34">
        <f t="shared" si="379"/>
        <v>246.03396086000006</v>
      </c>
      <c r="T3341" s="10" t="s">
        <v>1246</v>
      </c>
      <c r="U3341" s="34" t="str">
        <f t="shared" si="380"/>
        <v/>
      </c>
      <c r="V3341" s="31" t="str">
        <f>IF(H3341="CHK",VLOOKUP(I3341,QCCHK,3,),IF(H3341="GUP",VLOOKUP(E3341,QCGUP,2,),IF(AND(H3341="ATP",OR(I3341="TN",I3341="TDN",I3341="TNO2-3",I3341="NO2-3")),VLOOKUP(E3341,QCREC_N,2,),IF(AND(H3341="NIC",OR(I3341="TN",I3341="TDN",I3341="TNO2-3",I3341="NO2-3")),VLOOKUP(E3341,QCNIC_N,2,),IF(AND(H3341="UREA",OR(I3341="TN",I3341="TDN",I3341="TNO2-3",I3341="NO2-3")),VLOOKUP(E3341,QCUREA_N,2,),IF(H3341="PER",VLOOKUP(I3341,QCPER,MATCH(E3341,QCACTUAL!$J$25:$AA$25,0),),IF(H3341="SPK",VLOOKUP(I3341,QCSPK,3,),IF(AND(H3341="ATP",OR(I3341="TP",I3341="TDP")),VLOOKUP(E3341,QCATP_P,2,),""))))))))</f>
        <v/>
      </c>
      <c r="W3341" s="31" t="str">
        <f t="shared" si="381"/>
        <v>TRUE</v>
      </c>
      <c r="X3341" s="31" t="str">
        <f t="shared" si="378"/>
        <v/>
      </c>
      <c r="Y3341" s="10" t="s">
        <v>1232</v>
      </c>
      <c r="Z3341" s="10" t="s">
        <v>910</v>
      </c>
      <c r="AF3341" s="12">
        <v>44972</v>
      </c>
      <c r="AH3341" s="10">
        <f>-3.4074*3.69^2+90.534*3.69-41.641</f>
        <v>246.03396086000006</v>
      </c>
      <c r="AI3341" s="10">
        <f>-1.4395*3.69^2+80.835*3.69-35.016</f>
        <v>243.66477404999998</v>
      </c>
      <c r="AK3341" s="10">
        <f>-0.0466*3.69^2+68.24*3.69-22.954</f>
        <v>228.21708973999995</v>
      </c>
      <c r="AL3341" s="10" t="str">
        <f t="shared" si="383"/>
        <v>FALSE</v>
      </c>
      <c r="AM3341" s="10" t="str">
        <f t="shared" si="383"/>
        <v>y=-3.4074*3.69^2+90.534*3.69-41.641</v>
      </c>
      <c r="AN3341" s="10" t="str">
        <f t="shared" si="383"/>
        <v>y=-1.4395*3.69^2+80.835*3.69-35.016</v>
      </c>
      <c r="AO3341" s="10" t="str">
        <f t="shared" si="384"/>
        <v>FALSE</v>
      </c>
      <c r="AP3341" s="10" t="str">
        <f t="shared" si="384"/>
        <v>y=-0.0466*3.69^2+68.24*3.69-22.954</v>
      </c>
      <c r="AQ3341" s="10" t="b">
        <f>IF(AND(I3341="TP",S3341&lt;=150),VLOOKUP(AF3341,TPCalibEq150!$AZ$2:$BB$55,3,),IF(AND(I3341="TDP",S3341&lt;=150),VLOOKUP(AF3341,TPCalibEq150!$AZ$2:$BB$55,3,)))</f>
        <v>0</v>
      </c>
      <c r="AR3341" s="10" t="str">
        <f>IF(AND(I3341="TP",S3341&lt;=300),VLOOKUP(AF3341,TPCalibEq300!$AZ$2:$BB$55,3,),IF(AND(I3341="TDP",S3341&lt;=300),VLOOKUP(AF3341,TPCalibEq300!$AZ$2:$BB$55,3,)))</f>
        <v>y=-3.4074x2+90.534x-41.641</v>
      </c>
      <c r="AS3341" s="10" t="str">
        <f>IF(AND(I3341="TP",S3341&lt;=500),VLOOKUP(AF3341,TPCalibEq500!$AZ$2:$BB$56,3,),IF(AND(I3341="TDP",S3341&lt;=500),VLOOKUP(AF3341,TPCalibEq500!$AZ$2:$BB$56,3,)))</f>
        <v>y=-1.4395x2+80.835x-35.016</v>
      </c>
      <c r="AT3341" s="10" t="b">
        <f>IF(AND(I3341="TN",S3341&lt;=2800),VLOOKUP(AF3341,TNCalibEq2500!$AZ$2:$BB$56,3,),IF(AND(I3341="TDN",S3341&lt;=2800),VLOOKUP(AF3341,TNCalibEq2500!$AZ$2:$BB$56,3,)))</f>
        <v>0</v>
      </c>
      <c r="AU3341" s="10" t="str">
        <f>IF(I3341="TP",VLOOKUP(AF3341,TPCalibEqFull!$AZ$2:$BB$56,3),IF(I3341="TDP",VLOOKUP(AF3341,TPCalibEqFull!$AZ$2:$BB$56,3),IF(I3341="TDN",VLOOKUP(AF3341,TNCalibEqFull!$AZ$1:$BB$56,3),IF(I3341="TN",VLOOKUP(AF3341,TNCalibEqFull!$AZ$1:$BB$56,3),FALSE))))</f>
        <v>y=-0.0466x2+68.24x-22.954</v>
      </c>
      <c r="AV3341" s="10" t="str">
        <f t="shared" si="382"/>
        <v>0213 07:52:00-EFK-0-FIL-1-SW-UKN</v>
      </c>
    </row>
    <row r="3342" spans="1:48" s="10" customFormat="1" x14ac:dyDescent="0.55000000000000004">
      <c r="A3342" s="32">
        <v>44970</v>
      </c>
      <c r="B3342" s="33">
        <v>0.26458333333333334</v>
      </c>
      <c r="C3342" s="10" t="s">
        <v>333</v>
      </c>
      <c r="D3342" s="10">
        <v>0</v>
      </c>
      <c r="E3342" s="10" t="s">
        <v>911</v>
      </c>
      <c r="F3342" s="10" t="s">
        <v>190</v>
      </c>
      <c r="G3342" s="10" t="s">
        <v>231</v>
      </c>
      <c r="H3342" s="10" t="s">
        <v>322</v>
      </c>
      <c r="I3342" s="10" t="s">
        <v>266</v>
      </c>
      <c r="J3342" s="10">
        <v>32</v>
      </c>
      <c r="K3342" s="12">
        <v>44972</v>
      </c>
      <c r="L3342" s="33">
        <v>0.59564814814814815</v>
      </c>
      <c r="M3342" s="10">
        <v>1</v>
      </c>
      <c r="N3342" s="10" t="s">
        <v>84</v>
      </c>
      <c r="O3342" s="10">
        <v>1.17</v>
      </c>
      <c r="P3342" s="10">
        <v>8.09E-2</v>
      </c>
      <c r="Q3342" s="10">
        <v>57.7</v>
      </c>
      <c r="R3342" s="10" t="s">
        <v>85</v>
      </c>
      <c r="S3342" s="34">
        <f t="shared" si="379"/>
        <v>62.103904040000003</v>
      </c>
      <c r="T3342" s="10" t="s">
        <v>1246</v>
      </c>
      <c r="U3342" s="34" t="str">
        <f t="shared" si="380"/>
        <v/>
      </c>
      <c r="V3342" s="31" t="str">
        <f>IF(H3342="CHK",VLOOKUP(I3342,QCCHK,3,),IF(H3342="GUP",VLOOKUP(E3342,QCGUP,2,),IF(AND(H3342="ATP",OR(I3342="TN",I3342="TDN",I3342="TNO2-3",I3342="NO2-3")),VLOOKUP(E3342,QCREC_N,2,),IF(AND(H3342="NIC",OR(I3342="TN",I3342="TDN",I3342="TNO2-3",I3342="NO2-3")),VLOOKUP(E3342,QCNIC_N,2,),IF(AND(H3342="UREA",OR(I3342="TN",I3342="TDN",I3342="TNO2-3",I3342="NO2-3")),VLOOKUP(E3342,QCUREA_N,2,),IF(H3342="PER",VLOOKUP(I3342,QCPER,MATCH(E3342,QCACTUAL!$J$25:$AA$25,0),),IF(H3342="SPK",VLOOKUP(I3342,QCSPK,3,),IF(AND(H3342="ATP",OR(I3342="TP",I3342="TDP")),VLOOKUP(E3342,QCATP_P,2,),""))))))))</f>
        <v/>
      </c>
      <c r="W3342" s="31" t="str">
        <f t="shared" si="381"/>
        <v>TRUE</v>
      </c>
      <c r="X3342" s="31" t="str">
        <f t="shared" si="378"/>
        <v/>
      </c>
      <c r="Y3342" s="10" t="s">
        <v>1232</v>
      </c>
      <c r="Z3342" s="10" t="s">
        <v>910</v>
      </c>
      <c r="AF3342" s="12">
        <v>44972</v>
      </c>
      <c r="AG3342" s="10">
        <f>-8.1564*1.17^2+103.56*1.17-47.896</f>
        <v>62.103904040000003</v>
      </c>
      <c r="AH3342" s="10">
        <f>-3.4074*1.17^2+90.534*1.17-41.641</f>
        <v>59.61939014</v>
      </c>
      <c r="AI3342" s="10">
        <f>-1.4395*1.17^2+80.835*1.17-35.016</f>
        <v>57.59041844999998</v>
      </c>
      <c r="AK3342" s="10">
        <f>-0.0466*1.17^2+68.24*1.17-22.954</f>
        <v>56.823009259999985</v>
      </c>
      <c r="AL3342" s="10" t="str">
        <f t="shared" si="383"/>
        <v>y=-8.1564*1.17^2+103.56*1.17-47.896</v>
      </c>
      <c r="AM3342" s="10" t="str">
        <f t="shared" si="383"/>
        <v>y=-3.4074*1.17^2+90.534*1.17-41.641</v>
      </c>
      <c r="AN3342" s="10" t="str">
        <f t="shared" si="383"/>
        <v>y=-1.4395*1.17^2+80.835*1.17-35.016</v>
      </c>
      <c r="AO3342" s="10" t="str">
        <f t="shared" si="384"/>
        <v>FALSE</v>
      </c>
      <c r="AP3342" s="10" t="str">
        <f t="shared" si="384"/>
        <v>y=-0.0466*1.17^2+68.24*1.17-22.954</v>
      </c>
      <c r="AQ3342" s="10" t="str">
        <f>IF(AND(I3342="TP",S3342&lt;=150),VLOOKUP(AF3342,TPCalibEq150!$AZ$2:$BB$55,3,),IF(AND(I3342="TDP",S3342&lt;=150),VLOOKUP(AF3342,TPCalibEq150!$AZ$2:$BB$55,3,)))</f>
        <v>y=-8.1564x2+103.56x-47.896</v>
      </c>
      <c r="AR3342" s="10" t="str">
        <f>IF(AND(I3342="TP",S3342&lt;=300),VLOOKUP(AF3342,TPCalibEq300!$AZ$2:$BB$55,3,),IF(AND(I3342="TDP",S3342&lt;=300),VLOOKUP(AF3342,TPCalibEq300!$AZ$2:$BB$55,3,)))</f>
        <v>y=-3.4074x2+90.534x-41.641</v>
      </c>
      <c r="AS3342" s="10" t="str">
        <f>IF(AND(I3342="TP",S3342&lt;=500),VLOOKUP(AF3342,TPCalibEq500!$AZ$2:$BB$56,3,),IF(AND(I3342="TDP",S3342&lt;=500),VLOOKUP(AF3342,TPCalibEq500!$AZ$2:$BB$56,3,)))</f>
        <v>y=-1.4395x2+80.835x-35.016</v>
      </c>
      <c r="AT3342" s="10" t="b">
        <f>IF(AND(I3342="TN",S3342&lt;=2800),VLOOKUP(AF3342,TNCalibEq2500!$AZ$2:$BB$56,3,),IF(AND(I3342="TDN",S3342&lt;=2800),VLOOKUP(AF3342,TNCalibEq2500!$AZ$2:$BB$56,3,)))</f>
        <v>0</v>
      </c>
      <c r="AU3342" s="10" t="str">
        <f>IF(I3342="TP",VLOOKUP(AF3342,TPCalibEqFull!$AZ$2:$BB$56,3),IF(I3342="TDP",VLOOKUP(AF3342,TPCalibEqFull!$AZ$2:$BB$56,3),IF(I3342="TDN",VLOOKUP(AF3342,TNCalibEqFull!$AZ$1:$BB$56,3),IF(I3342="TN",VLOOKUP(AF3342,TNCalibEqFull!$AZ$1:$BB$56,3),FALSE))))</f>
        <v>y=-0.0466x2+68.24x-22.954</v>
      </c>
      <c r="AV3342" s="10" t="str">
        <f t="shared" si="382"/>
        <v>0213 06:21:00-HST-0-FIL-C-SW-UKN</v>
      </c>
    </row>
    <row r="3343" spans="1:48" s="10" customFormat="1" x14ac:dyDescent="0.55000000000000004">
      <c r="A3343" s="32">
        <v>44971</v>
      </c>
      <c r="B3343" s="33">
        <v>0.24097222222222223</v>
      </c>
      <c r="C3343" s="10" t="s">
        <v>279</v>
      </c>
      <c r="D3343" s="10">
        <v>0</v>
      </c>
      <c r="E3343" s="10" t="s">
        <v>911</v>
      </c>
      <c r="F3343" s="10">
        <v>1</v>
      </c>
      <c r="G3343" s="10" t="s">
        <v>231</v>
      </c>
      <c r="H3343" s="10" t="s">
        <v>322</v>
      </c>
      <c r="I3343" s="10" t="s">
        <v>266</v>
      </c>
      <c r="J3343" s="10">
        <v>33</v>
      </c>
      <c r="K3343" s="12">
        <v>44972</v>
      </c>
      <c r="L3343" s="33">
        <v>0.59635416666666663</v>
      </c>
      <c r="M3343" s="10">
        <v>1</v>
      </c>
      <c r="N3343" s="10" t="s">
        <v>84</v>
      </c>
      <c r="O3343" s="10">
        <v>2.2599999999999998</v>
      </c>
      <c r="P3343" s="10">
        <v>0.16</v>
      </c>
      <c r="Q3343" s="10">
        <v>132</v>
      </c>
      <c r="R3343" s="10" t="s">
        <v>85</v>
      </c>
      <c r="S3343" s="34">
        <f t="shared" si="379"/>
        <v>145.56220376000002</v>
      </c>
      <c r="T3343" s="10" t="s">
        <v>1246</v>
      </c>
      <c r="U3343" s="34" t="str">
        <f t="shared" si="380"/>
        <v/>
      </c>
      <c r="V3343" s="31" t="str">
        <f>IF(H3343="CHK",VLOOKUP(I3343,QCCHK,3,),IF(H3343="GUP",VLOOKUP(E3343,QCGUP,2,),IF(AND(H3343="ATP",OR(I3343="TN",I3343="TDN",I3343="TNO2-3",I3343="NO2-3")),VLOOKUP(E3343,QCREC_N,2,),IF(AND(H3343="NIC",OR(I3343="TN",I3343="TDN",I3343="TNO2-3",I3343="NO2-3")),VLOOKUP(E3343,QCNIC_N,2,),IF(AND(H3343="UREA",OR(I3343="TN",I3343="TDN",I3343="TNO2-3",I3343="NO2-3")),VLOOKUP(E3343,QCUREA_N,2,),IF(H3343="PER",VLOOKUP(I3343,QCPER,MATCH(E3343,QCACTUAL!$J$25:$AA$25,0),),IF(H3343="SPK",VLOOKUP(I3343,QCSPK,3,),IF(AND(H3343="ATP",OR(I3343="TP",I3343="TDP")),VLOOKUP(E3343,QCATP_P,2,),""))))))))</f>
        <v/>
      </c>
      <c r="W3343" s="31" t="str">
        <f t="shared" si="381"/>
        <v>TRUE</v>
      </c>
      <c r="X3343" s="31" t="str">
        <f t="shared" si="378"/>
        <v/>
      </c>
      <c r="Y3343" s="10" t="s">
        <v>1232</v>
      </c>
      <c r="AF3343" s="12">
        <v>44972</v>
      </c>
      <c r="AG3343" s="10">
        <f>-8.1564*2.26^2+103.56*2.26-47.896</f>
        <v>144.48997135999997</v>
      </c>
      <c r="AH3343" s="10">
        <f>-3.4074*2.26^2+90.534*2.26-41.641</f>
        <v>145.56220376000002</v>
      </c>
      <c r="AI3343" s="10">
        <f>-1.4395*2.26^2+80.835*2.26-35.016</f>
        <v>140.31870979999997</v>
      </c>
      <c r="AK3343" s="10">
        <f>-0.0466*2.26^2+68.24*2.26-22.954</f>
        <v>131.03038583999995</v>
      </c>
      <c r="AL3343" s="10" t="str">
        <f t="shared" si="383"/>
        <v>y=-8.1564*2.26^2+103.56*2.26-47.896</v>
      </c>
      <c r="AM3343" s="10" t="str">
        <f t="shared" si="383"/>
        <v>y=-3.4074*2.26^2+90.534*2.26-41.641</v>
      </c>
      <c r="AN3343" s="10" t="str">
        <f t="shared" si="383"/>
        <v>y=-1.4395*2.26^2+80.835*2.26-35.016</v>
      </c>
      <c r="AO3343" s="10" t="str">
        <f t="shared" si="384"/>
        <v>FALSE</v>
      </c>
      <c r="AP3343" s="10" t="str">
        <f t="shared" si="384"/>
        <v>y=-0.0466*2.26^2+68.24*2.26-22.954</v>
      </c>
      <c r="AQ3343" s="10" t="str">
        <f>IF(AND(I3343="TP",S3343&lt;=150),VLOOKUP(AF3343,TPCalibEq150!$AZ$2:$BB$55,3,),IF(AND(I3343="TDP",S3343&lt;=150),VLOOKUP(AF3343,TPCalibEq150!$AZ$2:$BB$55,3,)))</f>
        <v>y=-8.1564x2+103.56x-47.896</v>
      </c>
      <c r="AR3343" s="10" t="str">
        <f>IF(AND(I3343="TP",S3343&lt;=300),VLOOKUP(AF3343,TPCalibEq300!$AZ$2:$BB$55,3,),IF(AND(I3343="TDP",S3343&lt;=300),VLOOKUP(AF3343,TPCalibEq300!$AZ$2:$BB$55,3,)))</f>
        <v>y=-3.4074x2+90.534x-41.641</v>
      </c>
      <c r="AS3343" s="10" t="str">
        <f>IF(AND(I3343="TP",S3343&lt;=500),VLOOKUP(AF3343,TPCalibEq500!$AZ$2:$BB$56,3,),IF(AND(I3343="TDP",S3343&lt;=500),VLOOKUP(AF3343,TPCalibEq500!$AZ$2:$BB$56,3,)))</f>
        <v>y=-1.4395x2+80.835x-35.016</v>
      </c>
      <c r="AT3343" s="10" t="b">
        <f>IF(AND(I3343="TN",S3343&lt;=2800),VLOOKUP(AF3343,TNCalibEq2500!$AZ$2:$BB$56,3,),IF(AND(I3343="TDN",S3343&lt;=2800),VLOOKUP(AF3343,TNCalibEq2500!$AZ$2:$BB$56,3,)))</f>
        <v>0</v>
      </c>
      <c r="AU3343" s="10" t="str">
        <f>IF(I3343="TP",VLOOKUP(AF3343,TPCalibEqFull!$AZ$2:$BB$56,3),IF(I3343="TDP",VLOOKUP(AF3343,TPCalibEqFull!$AZ$2:$BB$56,3),IF(I3343="TDN",VLOOKUP(AF3343,TNCalibEqFull!$AZ$1:$BB$56,3),IF(I3343="TN",VLOOKUP(AF3343,TNCalibEqFull!$AZ$1:$BB$56,3),FALSE))))</f>
        <v>y=-0.0466x2+68.24x-22.954</v>
      </c>
      <c r="AV3343" s="10" t="str">
        <f t="shared" si="382"/>
        <v>0214 05:47:00-EFK-0-FIL-1-SW-UKN</v>
      </c>
    </row>
    <row r="3344" spans="1:48" s="10" customFormat="1" x14ac:dyDescent="0.55000000000000004">
      <c r="A3344" s="32">
        <v>44971</v>
      </c>
      <c r="B3344" s="33">
        <v>0.24444444444444446</v>
      </c>
      <c r="C3344" s="10" t="s">
        <v>333</v>
      </c>
      <c r="D3344" s="10">
        <v>0</v>
      </c>
      <c r="E3344" s="10" t="s">
        <v>911</v>
      </c>
      <c r="F3344" s="10">
        <v>1</v>
      </c>
      <c r="G3344" s="10" t="s">
        <v>231</v>
      </c>
      <c r="H3344" s="10" t="s">
        <v>322</v>
      </c>
      <c r="I3344" s="10" t="s">
        <v>266</v>
      </c>
      <c r="J3344" s="10">
        <v>34</v>
      </c>
      <c r="K3344" s="12">
        <v>44972</v>
      </c>
      <c r="L3344" s="33">
        <v>0.59704861111111118</v>
      </c>
      <c r="M3344" s="10">
        <v>1</v>
      </c>
      <c r="N3344" s="10" t="s">
        <v>84</v>
      </c>
      <c r="O3344" s="10">
        <v>1.06</v>
      </c>
      <c r="P3344" s="10">
        <v>7.3200000000000001E-2</v>
      </c>
      <c r="Q3344" s="10">
        <v>50</v>
      </c>
      <c r="R3344" s="10" t="s">
        <v>85</v>
      </c>
      <c r="S3344" s="34">
        <f t="shared" si="379"/>
        <v>52.713068960000001</v>
      </c>
      <c r="T3344" s="10" t="s">
        <v>1246</v>
      </c>
      <c r="U3344" s="34" t="str">
        <f t="shared" si="380"/>
        <v/>
      </c>
      <c r="V3344" s="31" t="str">
        <f>IF(H3344="CHK",VLOOKUP(I3344,QCCHK,3,),IF(H3344="GUP",VLOOKUP(E3344,QCGUP,2,),IF(AND(H3344="ATP",OR(I3344="TN",I3344="TDN",I3344="TNO2-3",I3344="NO2-3")),VLOOKUP(E3344,QCREC_N,2,),IF(AND(H3344="NIC",OR(I3344="TN",I3344="TDN",I3344="TNO2-3",I3344="NO2-3")),VLOOKUP(E3344,QCNIC_N,2,),IF(AND(H3344="UREA",OR(I3344="TN",I3344="TDN",I3344="TNO2-3",I3344="NO2-3")),VLOOKUP(E3344,QCUREA_N,2,),IF(H3344="PER",VLOOKUP(I3344,QCPER,MATCH(E3344,QCACTUAL!$J$25:$AA$25,0),),IF(H3344="SPK",VLOOKUP(I3344,QCSPK,3,),IF(AND(H3344="ATP",OR(I3344="TP",I3344="TDP")),VLOOKUP(E3344,QCATP_P,2,),""))))))))</f>
        <v/>
      </c>
      <c r="W3344" s="31" t="str">
        <f t="shared" si="381"/>
        <v>TRUE</v>
      </c>
      <c r="X3344" s="31" t="str">
        <f t="shared" si="378"/>
        <v/>
      </c>
      <c r="Y3344" s="10" t="s">
        <v>1232</v>
      </c>
      <c r="AF3344" s="12">
        <v>44972</v>
      </c>
      <c r="AG3344" s="10">
        <f>-8.1564*1.06^2+103.56*1.06-47.896</f>
        <v>52.713068960000001</v>
      </c>
      <c r="AH3344" s="10">
        <f>-3.4074*1.06^2+90.534*1.06-41.641</f>
        <v>50.496485360000001</v>
      </c>
      <c r="AI3344" s="10">
        <f>-1.4395*1.06^2+80.835*1.06-35.016</f>
        <v>49.051677799999986</v>
      </c>
      <c r="AK3344" s="10">
        <f>-0.0466*1.06^2+68.24*1.06-22.954</f>
        <v>49.32804024</v>
      </c>
      <c r="AL3344" s="10" t="str">
        <f t="shared" si="383"/>
        <v>y=-8.1564*1.06^2+103.56*1.06-47.896</v>
      </c>
      <c r="AM3344" s="10" t="str">
        <f t="shared" si="383"/>
        <v>y=-3.4074*1.06^2+90.534*1.06-41.641</v>
      </c>
      <c r="AN3344" s="10" t="str">
        <f t="shared" si="383"/>
        <v>y=-1.4395*1.06^2+80.835*1.06-35.016</v>
      </c>
      <c r="AO3344" s="10" t="str">
        <f t="shared" si="384"/>
        <v>FALSE</v>
      </c>
      <c r="AP3344" s="10" t="str">
        <f t="shared" si="384"/>
        <v>y=-0.0466*1.06^2+68.24*1.06-22.954</v>
      </c>
      <c r="AQ3344" s="10" t="str">
        <f>IF(AND(I3344="TP",S3344&lt;=150),VLOOKUP(AF3344,TPCalibEq150!$AZ$2:$BB$55,3,),IF(AND(I3344="TDP",S3344&lt;=150),VLOOKUP(AF3344,TPCalibEq150!$AZ$2:$BB$55,3,)))</f>
        <v>y=-8.1564x2+103.56x-47.896</v>
      </c>
      <c r="AR3344" s="10" t="str">
        <f>IF(AND(I3344="TP",S3344&lt;=300),VLOOKUP(AF3344,TPCalibEq300!$AZ$2:$BB$55,3,),IF(AND(I3344="TDP",S3344&lt;=300),VLOOKUP(AF3344,TPCalibEq300!$AZ$2:$BB$55,3,)))</f>
        <v>y=-3.4074x2+90.534x-41.641</v>
      </c>
      <c r="AS3344" s="10" t="str">
        <f>IF(AND(I3344="TP",S3344&lt;=500),VLOOKUP(AF3344,TPCalibEq500!$AZ$2:$BB$56,3,),IF(AND(I3344="TDP",S3344&lt;=500),VLOOKUP(AF3344,TPCalibEq500!$AZ$2:$BB$56,3,)))</f>
        <v>y=-1.4395x2+80.835x-35.016</v>
      </c>
      <c r="AT3344" s="10" t="b">
        <f>IF(AND(I3344="TN",S3344&lt;=2800),VLOOKUP(AF3344,TNCalibEq2500!$AZ$2:$BB$56,3,),IF(AND(I3344="TDN",S3344&lt;=2800),VLOOKUP(AF3344,TNCalibEq2500!$AZ$2:$BB$56,3,)))</f>
        <v>0</v>
      </c>
      <c r="AU3344" s="10" t="str">
        <f>IF(I3344="TP",VLOOKUP(AF3344,TPCalibEqFull!$AZ$2:$BB$56,3),IF(I3344="TDP",VLOOKUP(AF3344,TPCalibEqFull!$AZ$2:$BB$56,3),IF(I3344="TDN",VLOOKUP(AF3344,TNCalibEqFull!$AZ$1:$BB$56,3),IF(I3344="TN",VLOOKUP(AF3344,TNCalibEqFull!$AZ$1:$BB$56,3),FALSE))))</f>
        <v>y=-0.0466x2+68.24x-22.954</v>
      </c>
      <c r="AV3344" s="10" t="str">
        <f t="shared" si="382"/>
        <v>0214 05:52:00-HST-0-FIL-1-SW-UKN</v>
      </c>
    </row>
    <row r="3345" spans="1:48" s="10" customFormat="1" x14ac:dyDescent="0.55000000000000004">
      <c r="A3345" s="32">
        <v>44971</v>
      </c>
      <c r="B3345" s="33">
        <v>0.24444444444444446</v>
      </c>
      <c r="C3345" s="10" t="s">
        <v>333</v>
      </c>
      <c r="D3345" s="10">
        <v>0</v>
      </c>
      <c r="E3345" s="10" t="s">
        <v>911</v>
      </c>
      <c r="F3345" s="10">
        <v>1</v>
      </c>
      <c r="G3345" s="10" t="s">
        <v>231</v>
      </c>
      <c r="H3345" s="10" t="s">
        <v>233</v>
      </c>
      <c r="I3345" s="10" t="s">
        <v>266</v>
      </c>
      <c r="J3345" s="10">
        <v>34</v>
      </c>
      <c r="K3345" s="12">
        <v>44972</v>
      </c>
      <c r="L3345" s="33">
        <v>0.59774305555555551</v>
      </c>
      <c r="M3345" s="10">
        <v>1</v>
      </c>
      <c r="N3345" s="10" t="s">
        <v>84</v>
      </c>
      <c r="O3345" s="10">
        <v>1.05</v>
      </c>
      <c r="P3345" s="10">
        <v>7.2599999999999998E-2</v>
      </c>
      <c r="Q3345" s="10">
        <v>49.6</v>
      </c>
      <c r="R3345" s="10" t="s">
        <v>85</v>
      </c>
      <c r="S3345" s="34">
        <f t="shared" si="379"/>
        <v>51.849569000000017</v>
      </c>
      <c r="T3345" s="10" t="s">
        <v>1246</v>
      </c>
      <c r="U3345" s="34">
        <f t="shared" si="380"/>
        <v>1.6516414980469649</v>
      </c>
      <c r="V3345" s="31" t="str">
        <f>IF(H3345="CHK",VLOOKUP(I3345,QCCHK,3,),IF(H3345="GUP",VLOOKUP(E3345,QCGUP,2,),IF(AND(H3345="ATP",OR(I3345="TN",I3345="TDN",I3345="TNO2-3",I3345="NO2-3")),VLOOKUP(E3345,QCREC_N,2,),IF(AND(H3345="NIC",OR(I3345="TN",I3345="TDN",I3345="TNO2-3",I3345="NO2-3")),VLOOKUP(E3345,QCNIC_N,2,),IF(AND(H3345="UREA",OR(I3345="TN",I3345="TDN",I3345="TNO2-3",I3345="NO2-3")),VLOOKUP(E3345,QCUREA_N,2,),IF(H3345="PER",VLOOKUP(I3345,QCPER,MATCH(E3345,QCACTUAL!$J$25:$AA$25,0),),IF(H3345="SPK",VLOOKUP(I3345,QCSPK,3,),IF(AND(H3345="ATP",OR(I3345="TP",I3345="TDP")),VLOOKUP(E3345,QCATP_P,2,),""))))))))</f>
        <v/>
      </c>
      <c r="W3345" s="31" t="str">
        <f t="shared" si="381"/>
        <v>TRUE</v>
      </c>
      <c r="X3345" s="31" t="str">
        <f t="shared" si="378"/>
        <v>((ABS(rep1-rep2))/((rep1+rep2)/2)*100</v>
      </c>
      <c r="Y3345" s="10" t="s">
        <v>1232</v>
      </c>
      <c r="AF3345" s="12">
        <v>44972</v>
      </c>
      <c r="AG3345" s="10">
        <f>-8.1564*1.05^2+103.56*1.05-47.896</f>
        <v>51.849569000000017</v>
      </c>
      <c r="AH3345" s="10">
        <f>-3.4074*1.05^2+90.534*1.05-41.641</f>
        <v>49.663041500000013</v>
      </c>
      <c r="AI3345" s="10">
        <f>-1.4395*1.05^2+80.835*1.05-35.016</f>
        <v>48.273701250000009</v>
      </c>
      <c r="AK3345" s="10">
        <f>-0.0466*1.05^2+68.24*1.05-22.954</f>
        <v>48.646623499999997</v>
      </c>
      <c r="AL3345" s="10" t="str">
        <f t="shared" si="383"/>
        <v>y=-8.1564*1.05^2+103.56*1.05-47.896</v>
      </c>
      <c r="AM3345" s="10" t="str">
        <f t="shared" si="383"/>
        <v>y=-3.4074*1.05^2+90.534*1.05-41.641</v>
      </c>
      <c r="AN3345" s="10" t="str">
        <f t="shared" si="383"/>
        <v>y=-1.4395*1.05^2+80.835*1.05-35.016</v>
      </c>
      <c r="AO3345" s="10" t="str">
        <f t="shared" si="384"/>
        <v>FALSE</v>
      </c>
      <c r="AP3345" s="10" t="str">
        <f t="shared" si="384"/>
        <v>y=-0.0466*1.05^2+68.24*1.05-22.954</v>
      </c>
      <c r="AQ3345" s="10" t="str">
        <f>IF(AND(I3345="TP",S3345&lt;=150),VLOOKUP(AF3345,TPCalibEq150!$AZ$2:$BB$55,3,),IF(AND(I3345="TDP",S3345&lt;=150),VLOOKUP(AF3345,TPCalibEq150!$AZ$2:$BB$55,3,)))</f>
        <v>y=-8.1564x2+103.56x-47.896</v>
      </c>
      <c r="AR3345" s="10" t="str">
        <f>IF(AND(I3345="TP",S3345&lt;=300),VLOOKUP(AF3345,TPCalibEq300!$AZ$2:$BB$55,3,),IF(AND(I3345="TDP",S3345&lt;=300),VLOOKUP(AF3345,TPCalibEq300!$AZ$2:$BB$55,3,)))</f>
        <v>y=-3.4074x2+90.534x-41.641</v>
      </c>
      <c r="AS3345" s="10" t="str">
        <f>IF(AND(I3345="TP",S3345&lt;=500),VLOOKUP(AF3345,TPCalibEq500!$AZ$2:$BB$56,3,),IF(AND(I3345="TDP",S3345&lt;=500),VLOOKUP(AF3345,TPCalibEq500!$AZ$2:$BB$56,3,)))</f>
        <v>y=-1.4395x2+80.835x-35.016</v>
      </c>
      <c r="AT3345" s="10" t="b">
        <f>IF(AND(I3345="TN",S3345&lt;=2800),VLOOKUP(AF3345,TNCalibEq2500!$AZ$2:$BB$56,3,),IF(AND(I3345="TDN",S3345&lt;=2800),VLOOKUP(AF3345,TNCalibEq2500!$AZ$2:$BB$56,3,)))</f>
        <v>0</v>
      </c>
      <c r="AU3345" s="10" t="str">
        <f>IF(I3345="TP",VLOOKUP(AF3345,TPCalibEqFull!$AZ$2:$BB$56,3),IF(I3345="TDP",VLOOKUP(AF3345,TPCalibEqFull!$AZ$2:$BB$56,3),IF(I3345="TDN",VLOOKUP(AF3345,TNCalibEqFull!$AZ$1:$BB$56,3),IF(I3345="TN",VLOOKUP(AF3345,TNCalibEqFull!$AZ$1:$BB$56,3),FALSE))))</f>
        <v>y=-0.0466x2+68.24x-22.954</v>
      </c>
      <c r="AV3345" s="10" t="str">
        <f t="shared" si="382"/>
        <v>0214 05:52:00-HST-0-FIL-1-SW-DUP</v>
      </c>
    </row>
    <row r="3346" spans="1:48" s="10" customFormat="1" x14ac:dyDescent="0.55000000000000004">
      <c r="A3346" s="32">
        <v>44971</v>
      </c>
      <c r="B3346" s="33">
        <v>0.24444444444444446</v>
      </c>
      <c r="C3346" s="10" t="s">
        <v>333</v>
      </c>
      <c r="D3346" s="10">
        <v>0</v>
      </c>
      <c r="E3346" s="10" t="s">
        <v>911</v>
      </c>
      <c r="F3346" s="10">
        <v>1</v>
      </c>
      <c r="G3346" s="10" t="s">
        <v>231</v>
      </c>
      <c r="H3346" s="10" t="s">
        <v>314</v>
      </c>
      <c r="I3346" s="10" t="s">
        <v>266</v>
      </c>
      <c r="J3346" s="10">
        <v>52</v>
      </c>
      <c r="K3346" s="12">
        <v>44972</v>
      </c>
      <c r="L3346" s="33">
        <v>0.59844907407407411</v>
      </c>
      <c r="M3346" s="10">
        <v>1</v>
      </c>
      <c r="N3346" s="10" t="s">
        <v>84</v>
      </c>
      <c r="O3346" s="10">
        <v>16.899999999999999</v>
      </c>
      <c r="P3346" s="10">
        <v>1.21</v>
      </c>
      <c r="Q3346" s="10">
        <v>1120</v>
      </c>
      <c r="R3346" s="10" t="s">
        <v>85</v>
      </c>
      <c r="S3346" s="34">
        <f t="shared" si="379"/>
        <v>1120</v>
      </c>
      <c r="T3346" s="10" t="s">
        <v>1246</v>
      </c>
      <c r="U3346" s="34">
        <f t="shared" si="380"/>
        <v>106.81504310000001</v>
      </c>
      <c r="V3346" s="31">
        <f>IF(H3346="CHK",VLOOKUP(I3346,QCCHK,3,),IF(H3346="GUP",VLOOKUP(E3346,QCGUP,2,),IF(AND(H3346="ATP",OR(I3346="TN",I3346="TDN",I3346="TNO2-3",I3346="NO2-3")),VLOOKUP(E3346,QCREC_N,2,),IF(AND(H3346="NIC",OR(I3346="TN",I3346="TDN",I3346="TNO2-3",I3346="NO2-3")),VLOOKUP(E3346,QCNIC_N,2,),IF(AND(H3346="UREA",OR(I3346="TN",I3346="TDN",I3346="TNO2-3",I3346="NO2-3")),VLOOKUP(E3346,QCUREA_N,2,),IF(H3346="PER",VLOOKUP(I3346,QCPER,MATCH(E3346,QCACTUAL!$J$25:$AA$25,0),),IF(H3346="SPK",VLOOKUP(I3346,QCSPK,3,),IF(AND(H3346="ATP",OR(I3346="TP",I3346="TDP")),VLOOKUP(E3346,QCATP_P,2,),""))))))))</f>
        <v>1000</v>
      </c>
      <c r="W3346" s="31" t="str">
        <f t="shared" si="381"/>
        <v>TRUE</v>
      </c>
      <c r="X3346" s="31" t="str">
        <f t="shared" si="378"/>
        <v>([spikedunkn]-[unkn])/[spike]*100</v>
      </c>
      <c r="Y3346" s="10" t="s">
        <v>1232</v>
      </c>
      <c r="AF3346" s="12">
        <v>44972</v>
      </c>
      <c r="AK3346" s="10">
        <f>-0.0466*16.9^2+68.24*16.9-22.954</f>
        <v>1116.9925739999999</v>
      </c>
      <c r="AL3346" s="10" t="str">
        <f t="shared" si="383"/>
        <v>FALSE</v>
      </c>
      <c r="AM3346" s="10" t="str">
        <f t="shared" si="383"/>
        <v>FALSE</v>
      </c>
      <c r="AN3346" s="10" t="str">
        <f t="shared" si="383"/>
        <v>FALSE</v>
      </c>
      <c r="AO3346" s="10" t="str">
        <f t="shared" si="384"/>
        <v>FALSE</v>
      </c>
      <c r="AP3346" s="10" t="str">
        <f t="shared" si="384"/>
        <v>y=-0.0466*16.9^2+68.24*16.9-22.954</v>
      </c>
      <c r="AQ3346" s="10" t="b">
        <f>IF(AND(I3346="TP",S3346&lt;=150),VLOOKUP(AF3346,TPCalibEq150!$AZ$2:$BB$55,3,),IF(AND(I3346="TDP",S3346&lt;=150),VLOOKUP(AF3346,TPCalibEq150!$AZ$2:$BB$55,3,)))</f>
        <v>0</v>
      </c>
      <c r="AR3346" s="10" t="b">
        <f>IF(AND(I3346="TP",S3346&lt;=300),VLOOKUP(AF3346,TPCalibEq300!$AZ$2:$BB$55,3,),IF(AND(I3346="TDP",S3346&lt;=300),VLOOKUP(AF3346,TPCalibEq300!$AZ$2:$BB$55,3,)))</f>
        <v>0</v>
      </c>
      <c r="AS3346" s="10" t="b">
        <f>IF(AND(I3346="TP",S3346&lt;=500),VLOOKUP(AF3346,TPCalibEq500!$AZ$2:$BB$56,3,),IF(AND(I3346="TDP",S3346&lt;=500),VLOOKUP(AF3346,TPCalibEq500!$AZ$2:$BB$56,3,)))</f>
        <v>0</v>
      </c>
      <c r="AT3346" s="10" t="b">
        <f>IF(AND(I3346="TN",S3346&lt;=2800),VLOOKUP(AF3346,TNCalibEq2500!$AZ$2:$BB$56,3,),IF(AND(I3346="TDN",S3346&lt;=2800),VLOOKUP(AF3346,TNCalibEq2500!$AZ$2:$BB$56,3,)))</f>
        <v>0</v>
      </c>
      <c r="AU3346" s="10" t="str">
        <f>IF(I3346="TP",VLOOKUP(AF3346,TPCalibEqFull!$AZ$2:$BB$56,3),IF(I3346="TDP",VLOOKUP(AF3346,TPCalibEqFull!$AZ$2:$BB$56,3),IF(I3346="TDN",VLOOKUP(AF3346,TNCalibEqFull!$AZ$1:$BB$56,3),IF(I3346="TN",VLOOKUP(AF3346,TNCalibEqFull!$AZ$1:$BB$56,3),FALSE))))</f>
        <v>y=-0.0466x2+68.24x-22.954</v>
      </c>
      <c r="AV3346" s="10" t="str">
        <f t="shared" si="382"/>
        <v>0214 05:52:00-HST-0-FIL-1-SW-SPK</v>
      </c>
    </row>
    <row r="3347" spans="1:48" s="10" customFormat="1" x14ac:dyDescent="0.55000000000000004">
      <c r="A3347" s="32">
        <v>44972</v>
      </c>
      <c r="B3347" s="33">
        <v>0.375</v>
      </c>
      <c r="C3347" s="10" t="s">
        <v>70</v>
      </c>
      <c r="D3347" s="10" t="s">
        <v>71</v>
      </c>
      <c r="E3347" s="10" t="s">
        <v>901</v>
      </c>
      <c r="F3347" s="10">
        <v>1</v>
      </c>
      <c r="G3347" s="10" t="s">
        <v>73</v>
      </c>
      <c r="H3347" s="10" t="s">
        <v>207</v>
      </c>
      <c r="I3347" s="10" t="s">
        <v>83</v>
      </c>
      <c r="J3347" s="10">
        <v>201</v>
      </c>
      <c r="K3347" s="12">
        <v>44972</v>
      </c>
      <c r="L3347" s="33">
        <v>0.59915509259259259</v>
      </c>
      <c r="M3347" s="10">
        <v>1</v>
      </c>
      <c r="N3347" s="10" t="s">
        <v>84</v>
      </c>
      <c r="O3347" s="10">
        <v>8.15</v>
      </c>
      <c r="P3347" s="10">
        <v>0.58699999999999997</v>
      </c>
      <c r="Q3347" s="10">
        <v>533</v>
      </c>
      <c r="R3347" s="10" t="s">
        <v>85</v>
      </c>
      <c r="S3347" s="34">
        <f t="shared" si="379"/>
        <v>533</v>
      </c>
      <c r="T3347" s="10" t="s">
        <v>1246</v>
      </c>
      <c r="U3347" s="34">
        <f t="shared" si="380"/>
        <v>106.60000000000001</v>
      </c>
      <c r="V3347" s="31">
        <f>IF(H3347="CHK",VLOOKUP(I3347,QCCHK,3,),IF(H3347="GUP",VLOOKUP(E3347,QCGUP,2,),IF(AND(H3347="ATP",OR(I3347="TN",I3347="TDN",I3347="TNO2-3",I3347="NO2-3")),VLOOKUP(E3347,QCREC_N,2,),IF(AND(H3347="NIC",OR(I3347="TN",I3347="TDN",I3347="TNO2-3",I3347="NO2-3")),VLOOKUP(E3347,QCNIC_N,2,),IF(AND(H3347="UREA",OR(I3347="TN",I3347="TDN",I3347="TNO2-3",I3347="NO2-3")),VLOOKUP(E3347,QCUREA_N,2,),IF(H3347="PER",VLOOKUP(I3347,QCPER,MATCH(E3347,QCACTUAL!$J$25:$AA$25,0),),IF(H3347="SPK",VLOOKUP(I3347,QCSPK,3,),IF(AND(H3347="ATP",OR(I3347="TP",I3347="TDP")),VLOOKUP(E3347,QCATP_P,2,),""))))))))</f>
        <v>500</v>
      </c>
      <c r="W3347" s="31" t="str">
        <f t="shared" si="381"/>
        <v>TRUE</v>
      </c>
      <c r="X3347" s="31" t="str">
        <f t="shared" si="378"/>
        <v>[chk]/[actual]*100</v>
      </c>
      <c r="Y3347" s="10" t="s">
        <v>1232</v>
      </c>
      <c r="AF3347" s="12">
        <v>44972</v>
      </c>
      <c r="AK3347" s="10">
        <f>-0.0466*8.15^2+68.24*8.15-22.954</f>
        <v>530.10671149999996</v>
      </c>
      <c r="AL3347" s="10" t="str">
        <f t="shared" si="383"/>
        <v>FALSE</v>
      </c>
      <c r="AM3347" s="10" t="str">
        <f t="shared" si="383"/>
        <v>FALSE</v>
      </c>
      <c r="AN3347" s="10" t="str">
        <f t="shared" si="383"/>
        <v>FALSE</v>
      </c>
      <c r="AO3347" s="10" t="str">
        <f t="shared" si="384"/>
        <v>FALSE</v>
      </c>
      <c r="AP3347" s="10" t="str">
        <f t="shared" si="384"/>
        <v>y=-0.0466*8.15^2+68.24*8.15-22.954</v>
      </c>
      <c r="AQ3347" s="10" t="b">
        <f>IF(AND(I3347="TP",S3347&lt;=150),VLOOKUP(AF3347,TPCalibEq150!$AZ$2:$BB$55,3,),IF(AND(I3347="TDP",S3347&lt;=150),VLOOKUP(AF3347,TPCalibEq150!$AZ$2:$BB$55,3,)))</f>
        <v>0</v>
      </c>
      <c r="AR3347" s="10" t="b">
        <f>IF(AND(I3347="TP",S3347&lt;=300),VLOOKUP(AF3347,TPCalibEq300!$AZ$2:$BB$55,3,),IF(AND(I3347="TDP",S3347&lt;=300),VLOOKUP(AF3347,TPCalibEq300!$AZ$2:$BB$55,3,)))</f>
        <v>0</v>
      </c>
      <c r="AS3347" s="10" t="b">
        <f>IF(AND(I3347="TP",S3347&lt;=500),VLOOKUP(AF3347,TPCalibEq500!$AZ$2:$BB$56,3,),IF(AND(I3347="TDP",S3347&lt;=500),VLOOKUP(AF3347,TPCalibEq500!$AZ$2:$BB$56,3,)))</f>
        <v>0</v>
      </c>
      <c r="AT3347" s="10" t="b">
        <f>IF(AND(I3347="TN",S3347&lt;=2800),VLOOKUP(AF3347,TNCalibEq2500!$AZ$2:$BB$56,3,),IF(AND(I3347="TDN",S3347&lt;=2800),VLOOKUP(AF3347,TNCalibEq2500!$AZ$2:$BB$56,3,)))</f>
        <v>0</v>
      </c>
      <c r="AU3347" s="10" t="str">
        <f>IF(I3347="TP",VLOOKUP(AF3347,TPCalibEqFull!$AZ$2:$BB$56,3),IF(I3347="TDP",VLOOKUP(AF3347,TPCalibEqFull!$AZ$2:$BB$56,3),IF(I3347="TDN",VLOOKUP(AF3347,TNCalibEqFull!$AZ$1:$BB$56,3),IF(I3347="TN",VLOOKUP(AF3347,TNCalibEqFull!$AZ$1:$BB$56,3),FALSE))))</f>
        <v>y=-0.0466x2+68.24x-22.954</v>
      </c>
      <c r="AV3347" s="10" t="str">
        <f t="shared" si="382"/>
        <v>0215 09:00:00-QAC-STD-D-1-DI-CHK</v>
      </c>
    </row>
    <row r="3348" spans="1:48" s="10" customFormat="1" x14ac:dyDescent="0.55000000000000004">
      <c r="A3348" s="32">
        <v>44970</v>
      </c>
      <c r="B3348" s="33">
        <v>0.36944444444444446</v>
      </c>
      <c r="C3348" s="10" t="s">
        <v>998</v>
      </c>
      <c r="D3348" s="10">
        <v>0</v>
      </c>
      <c r="E3348" s="10" t="s">
        <v>911</v>
      </c>
      <c r="F3348" s="10">
        <v>1</v>
      </c>
      <c r="G3348" s="10" t="s">
        <v>231</v>
      </c>
      <c r="H3348" s="10" t="s">
        <v>322</v>
      </c>
      <c r="I3348" s="10" t="s">
        <v>266</v>
      </c>
      <c r="J3348" s="10">
        <v>35</v>
      </c>
      <c r="K3348" s="12">
        <v>44972</v>
      </c>
      <c r="L3348" s="33">
        <v>0.59984953703703703</v>
      </c>
      <c r="M3348" s="10">
        <v>1</v>
      </c>
      <c r="N3348" s="10" t="s">
        <v>84</v>
      </c>
      <c r="O3348" s="10">
        <v>3.99</v>
      </c>
      <c r="P3348" s="10">
        <v>0.28899999999999998</v>
      </c>
      <c r="Q3348" s="10">
        <v>250</v>
      </c>
      <c r="R3348" s="10" t="s">
        <v>85</v>
      </c>
      <c r="S3348" s="34">
        <f t="shared" si="379"/>
        <v>265.34351126000001</v>
      </c>
      <c r="T3348" s="10" t="s">
        <v>1246</v>
      </c>
      <c r="U3348" s="34" t="str">
        <f t="shared" si="380"/>
        <v/>
      </c>
      <c r="V3348" s="31" t="str">
        <f>IF(H3348="CHK",VLOOKUP(I3348,QCCHK,3,),IF(H3348="GUP",VLOOKUP(E3348,QCGUP,2,),IF(AND(H3348="ATP",OR(I3348="TN",I3348="TDN",I3348="TNO2-3",I3348="NO2-3")),VLOOKUP(E3348,QCREC_N,2,),IF(AND(H3348="NIC",OR(I3348="TN",I3348="TDN",I3348="TNO2-3",I3348="NO2-3")),VLOOKUP(E3348,QCNIC_N,2,),IF(AND(H3348="UREA",OR(I3348="TN",I3348="TDN",I3348="TNO2-3",I3348="NO2-3")),VLOOKUP(E3348,QCUREA_N,2,),IF(H3348="PER",VLOOKUP(I3348,QCPER,MATCH(E3348,QCACTUAL!$J$25:$AA$25,0),),IF(H3348="SPK",VLOOKUP(I3348,QCSPK,3,),IF(AND(H3348="ATP",OR(I3348="TP",I3348="TDP")),VLOOKUP(E3348,QCATP_P,2,),""))))))))</f>
        <v/>
      </c>
      <c r="W3348" s="31" t="str">
        <f t="shared" si="381"/>
        <v>TRUE</v>
      </c>
      <c r="X3348" s="31" t="str">
        <f t="shared" si="378"/>
        <v/>
      </c>
      <c r="Y3348" s="10" t="s">
        <v>1232</v>
      </c>
      <c r="Z3348" s="10" t="s">
        <v>910</v>
      </c>
      <c r="AF3348" s="12">
        <v>44972</v>
      </c>
      <c r="AH3348" s="10">
        <f>-3.4074*3.99^2+90.534*3.99-41.641</f>
        <v>265.34351126000001</v>
      </c>
      <c r="AI3348" s="10">
        <f>-1.4395*3.99^2+80.835*3.99-35.016</f>
        <v>264.59866604999996</v>
      </c>
      <c r="AK3348" s="10">
        <f>-0.0466*3.99^2+68.24*3.99-22.954</f>
        <v>248.58172334</v>
      </c>
      <c r="AL3348" s="10" t="str">
        <f t="shared" si="383"/>
        <v>FALSE</v>
      </c>
      <c r="AM3348" s="10" t="str">
        <f t="shared" si="383"/>
        <v>y=-3.4074*3.99^2+90.534*3.99-41.641</v>
      </c>
      <c r="AN3348" s="10" t="str">
        <f t="shared" si="383"/>
        <v>y=-1.4395*3.99^2+80.835*3.99-35.016</v>
      </c>
      <c r="AO3348" s="10" t="str">
        <f t="shared" si="384"/>
        <v>FALSE</v>
      </c>
      <c r="AP3348" s="10" t="str">
        <f t="shared" si="384"/>
        <v>y=-0.0466*3.99^2+68.24*3.99-22.954</v>
      </c>
      <c r="AQ3348" s="10" t="b">
        <f>IF(AND(I3348="TP",S3348&lt;=150),VLOOKUP(AF3348,TPCalibEq150!$AZ$2:$BB$55,3,),IF(AND(I3348="TDP",S3348&lt;=150),VLOOKUP(AF3348,TPCalibEq150!$AZ$2:$BB$55,3,)))</f>
        <v>0</v>
      </c>
      <c r="AR3348" s="10" t="str">
        <f>IF(AND(I3348="TP",S3348&lt;=300),VLOOKUP(AF3348,TPCalibEq300!$AZ$2:$BB$55,3,),IF(AND(I3348="TDP",S3348&lt;=300),VLOOKUP(AF3348,TPCalibEq300!$AZ$2:$BB$55,3,)))</f>
        <v>y=-3.4074x2+90.534x-41.641</v>
      </c>
      <c r="AS3348" s="10" t="str">
        <f>IF(AND(I3348="TP",S3348&lt;=500),VLOOKUP(AF3348,TPCalibEq500!$AZ$2:$BB$56,3,),IF(AND(I3348="TDP",S3348&lt;=500),VLOOKUP(AF3348,TPCalibEq500!$AZ$2:$BB$56,3,)))</f>
        <v>y=-1.4395x2+80.835x-35.016</v>
      </c>
      <c r="AT3348" s="10" t="b">
        <f>IF(AND(I3348="TN",S3348&lt;=2800),VLOOKUP(AF3348,TNCalibEq2500!$AZ$2:$BB$56,3,),IF(AND(I3348="TDN",S3348&lt;=2800),VLOOKUP(AF3348,TNCalibEq2500!$AZ$2:$BB$56,3,)))</f>
        <v>0</v>
      </c>
      <c r="AU3348" s="10" t="str">
        <f>IF(I3348="TP",VLOOKUP(AF3348,TPCalibEqFull!$AZ$2:$BB$56,3),IF(I3348="TDP",VLOOKUP(AF3348,TPCalibEqFull!$AZ$2:$BB$56,3),IF(I3348="TDN",VLOOKUP(AF3348,TNCalibEqFull!$AZ$1:$BB$56,3),IF(I3348="TN",VLOOKUP(AF3348,TNCalibEqFull!$AZ$1:$BB$56,3),FALSE))))</f>
        <v>y=-0.0466x2+68.24x-22.954</v>
      </c>
      <c r="AV3348" s="10" t="str">
        <f t="shared" si="382"/>
        <v>0213 08:52:00-ELW-0-FIL-1-SW-UKN</v>
      </c>
    </row>
    <row r="3349" spans="1:48" s="10" customFormat="1" x14ac:dyDescent="0.55000000000000004">
      <c r="A3349" s="32">
        <v>44970</v>
      </c>
      <c r="B3349" s="33">
        <v>0.3840277777777778</v>
      </c>
      <c r="C3349" s="10" t="s">
        <v>270</v>
      </c>
      <c r="D3349" s="10">
        <v>0</v>
      </c>
      <c r="E3349" s="10" t="s">
        <v>911</v>
      </c>
      <c r="F3349" s="10">
        <v>1</v>
      </c>
      <c r="G3349" s="10" t="s">
        <v>231</v>
      </c>
      <c r="H3349" s="10" t="s">
        <v>322</v>
      </c>
      <c r="I3349" s="10" t="s">
        <v>266</v>
      </c>
      <c r="J3349" s="10">
        <v>36</v>
      </c>
      <c r="K3349" s="12">
        <v>44972</v>
      </c>
      <c r="L3349" s="33">
        <v>0.60055555555555562</v>
      </c>
      <c r="M3349" s="10">
        <v>1</v>
      </c>
      <c r="N3349" s="10" t="s">
        <v>84</v>
      </c>
      <c r="O3349" s="10">
        <v>1.75</v>
      </c>
      <c r="P3349" s="10">
        <v>0.123</v>
      </c>
      <c r="Q3349" s="10">
        <v>97.4</v>
      </c>
      <c r="R3349" s="10" t="s">
        <v>85</v>
      </c>
      <c r="S3349" s="34">
        <f t="shared" si="379"/>
        <v>108.35502500000003</v>
      </c>
      <c r="T3349" s="10" t="s">
        <v>1246</v>
      </c>
      <c r="U3349" s="34" t="str">
        <f t="shared" si="380"/>
        <v/>
      </c>
      <c r="V3349" s="31" t="str">
        <f>IF(H3349="CHK",VLOOKUP(I3349,QCCHK,3,),IF(H3349="GUP",VLOOKUP(E3349,QCGUP,2,),IF(AND(H3349="ATP",OR(I3349="TN",I3349="TDN",I3349="TNO2-3",I3349="NO2-3")),VLOOKUP(E3349,QCREC_N,2,),IF(AND(H3349="NIC",OR(I3349="TN",I3349="TDN",I3349="TNO2-3",I3349="NO2-3")),VLOOKUP(E3349,QCNIC_N,2,),IF(AND(H3349="UREA",OR(I3349="TN",I3349="TDN",I3349="TNO2-3",I3349="NO2-3")),VLOOKUP(E3349,QCUREA_N,2,),IF(H3349="PER",VLOOKUP(I3349,QCPER,MATCH(E3349,QCACTUAL!$J$25:$AA$25,0),),IF(H3349="SPK",VLOOKUP(I3349,QCSPK,3,),IF(AND(H3349="ATP",OR(I3349="TP",I3349="TDP")),VLOOKUP(E3349,QCATP_P,2,),""))))))))</f>
        <v/>
      </c>
      <c r="W3349" s="31" t="str">
        <f t="shared" si="381"/>
        <v>TRUE</v>
      </c>
      <c r="X3349" s="31" t="str">
        <f t="shared" si="378"/>
        <v/>
      </c>
      <c r="Y3349" s="10" t="s">
        <v>1232</v>
      </c>
      <c r="Z3349" s="10" t="s">
        <v>910</v>
      </c>
      <c r="AF3349" s="12">
        <v>44972</v>
      </c>
      <c r="AG3349" s="10">
        <f>-8.1564*1.75^2+103.56*1.75-47.896</f>
        <v>108.35502500000003</v>
      </c>
      <c r="AH3349" s="10">
        <f>-3.4074*1.75^2+90.534*1.75-41.641</f>
        <v>106.35833750000003</v>
      </c>
      <c r="AI3349" s="10">
        <f>-1.4395*1.75^2+80.835*1.75-35.016</f>
        <v>102.03678124999999</v>
      </c>
      <c r="AK3349" s="10">
        <f>-0.0466*1.75^2+68.24*1.75-22.954</f>
        <v>96.323287499999992</v>
      </c>
      <c r="AL3349" s="10" t="str">
        <f t="shared" si="383"/>
        <v>y=-8.1564*1.75^2+103.56*1.75-47.896</v>
      </c>
      <c r="AM3349" s="10" t="str">
        <f t="shared" si="383"/>
        <v>y=-3.4074*1.75^2+90.534*1.75-41.641</v>
      </c>
      <c r="AN3349" s="10" t="str">
        <f t="shared" si="383"/>
        <v>y=-1.4395*1.75^2+80.835*1.75-35.016</v>
      </c>
      <c r="AO3349" s="10" t="str">
        <f t="shared" si="384"/>
        <v>FALSE</v>
      </c>
      <c r="AP3349" s="10" t="str">
        <f t="shared" si="384"/>
        <v>y=-0.0466*1.75^2+68.24*1.75-22.954</v>
      </c>
      <c r="AQ3349" s="10" t="str">
        <f>IF(AND(I3349="TP",S3349&lt;=150),VLOOKUP(AF3349,TPCalibEq150!$AZ$2:$BB$55,3,),IF(AND(I3349="TDP",S3349&lt;=150),VLOOKUP(AF3349,TPCalibEq150!$AZ$2:$BB$55,3,)))</f>
        <v>y=-8.1564x2+103.56x-47.896</v>
      </c>
      <c r="AR3349" s="10" t="str">
        <f>IF(AND(I3349="TP",S3349&lt;=300),VLOOKUP(AF3349,TPCalibEq300!$AZ$2:$BB$55,3,),IF(AND(I3349="TDP",S3349&lt;=300),VLOOKUP(AF3349,TPCalibEq300!$AZ$2:$BB$55,3,)))</f>
        <v>y=-3.4074x2+90.534x-41.641</v>
      </c>
      <c r="AS3349" s="10" t="str">
        <f>IF(AND(I3349="TP",S3349&lt;=500),VLOOKUP(AF3349,TPCalibEq500!$AZ$2:$BB$56,3,),IF(AND(I3349="TDP",S3349&lt;=500),VLOOKUP(AF3349,TPCalibEq500!$AZ$2:$BB$56,3,)))</f>
        <v>y=-1.4395x2+80.835x-35.016</v>
      </c>
      <c r="AT3349" s="10" t="b">
        <f>IF(AND(I3349="TN",S3349&lt;=2800),VLOOKUP(AF3349,TNCalibEq2500!$AZ$2:$BB$56,3,),IF(AND(I3349="TDN",S3349&lt;=2800),VLOOKUP(AF3349,TNCalibEq2500!$AZ$2:$BB$56,3,)))</f>
        <v>0</v>
      </c>
      <c r="AU3349" s="10" t="str">
        <f>IF(I3349="TP",VLOOKUP(AF3349,TPCalibEqFull!$AZ$2:$BB$56,3),IF(I3349="TDP",VLOOKUP(AF3349,TPCalibEqFull!$AZ$2:$BB$56,3),IF(I3349="TDN",VLOOKUP(AF3349,TNCalibEqFull!$AZ$1:$BB$56,3),IF(I3349="TN",VLOOKUP(AF3349,TNCalibEqFull!$AZ$1:$BB$56,3),FALSE))))</f>
        <v>y=-0.0466x2+68.24x-22.954</v>
      </c>
      <c r="AV3349" s="10" t="str">
        <f t="shared" si="382"/>
        <v>0213 09:13:00-EFG-0-FIL-1-SW-UKN</v>
      </c>
    </row>
    <row r="3350" spans="1:48" s="10" customFormat="1" x14ac:dyDescent="0.55000000000000004">
      <c r="A3350" s="32">
        <v>44970</v>
      </c>
      <c r="B3350" s="33">
        <v>0.3923611111111111</v>
      </c>
      <c r="C3350" s="10" t="s">
        <v>540</v>
      </c>
      <c r="D3350" s="10">
        <v>0</v>
      </c>
      <c r="E3350" s="10" t="s">
        <v>911</v>
      </c>
      <c r="F3350" s="10">
        <v>1</v>
      </c>
      <c r="G3350" s="10" t="s">
        <v>231</v>
      </c>
      <c r="H3350" s="10" t="s">
        <v>322</v>
      </c>
      <c r="I3350" s="10" t="s">
        <v>266</v>
      </c>
      <c r="J3350" s="10">
        <v>37</v>
      </c>
      <c r="K3350" s="12">
        <v>44972</v>
      </c>
      <c r="L3350" s="33">
        <v>0.60124999999999995</v>
      </c>
      <c r="M3350" s="10">
        <v>1</v>
      </c>
      <c r="N3350" s="10" t="s">
        <v>84</v>
      </c>
      <c r="O3350" s="10">
        <v>1.78</v>
      </c>
      <c r="P3350" s="10">
        <v>0.126</v>
      </c>
      <c r="Q3350" s="10">
        <v>99.5</v>
      </c>
      <c r="R3350" s="10" t="s">
        <v>85</v>
      </c>
      <c r="S3350" s="34">
        <f t="shared" si="379"/>
        <v>110.59806224</v>
      </c>
      <c r="T3350" s="10" t="s">
        <v>1246</v>
      </c>
      <c r="U3350" s="34" t="str">
        <f t="shared" si="380"/>
        <v/>
      </c>
      <c r="V3350" s="31" t="str">
        <f>IF(H3350="CHK",VLOOKUP(I3350,QCCHK,3,),IF(H3350="GUP",VLOOKUP(E3350,QCGUP,2,),IF(AND(H3350="ATP",OR(I3350="TN",I3350="TDN",I3350="TNO2-3",I3350="NO2-3")),VLOOKUP(E3350,QCREC_N,2,),IF(AND(H3350="NIC",OR(I3350="TN",I3350="TDN",I3350="TNO2-3",I3350="NO2-3")),VLOOKUP(E3350,QCNIC_N,2,),IF(AND(H3350="UREA",OR(I3350="TN",I3350="TDN",I3350="TNO2-3",I3350="NO2-3")),VLOOKUP(E3350,QCUREA_N,2,),IF(H3350="PER",VLOOKUP(I3350,QCPER,MATCH(E3350,QCACTUAL!$J$25:$AA$25,0),),IF(H3350="SPK",VLOOKUP(I3350,QCSPK,3,),IF(AND(H3350="ATP",OR(I3350="TP",I3350="TDP")),VLOOKUP(E3350,QCATP_P,2,),""))))))))</f>
        <v/>
      </c>
      <c r="W3350" s="31" t="str">
        <f t="shared" si="381"/>
        <v>TRUE</v>
      </c>
      <c r="X3350" s="31" t="str">
        <f t="shared" si="378"/>
        <v/>
      </c>
      <c r="Y3350" s="10" t="s">
        <v>1232</v>
      </c>
      <c r="Z3350" s="10" t="s">
        <v>910</v>
      </c>
      <c r="AF3350" s="12">
        <v>44972</v>
      </c>
      <c r="AG3350" s="10">
        <f>-8.1564*1.78^2+103.56*1.78-47.896</f>
        <v>110.59806224</v>
      </c>
      <c r="AH3350" s="10">
        <f>-3.4074*1.78^2+90.534*1.78-41.641</f>
        <v>108.71351384000002</v>
      </c>
      <c r="AI3350" s="10">
        <f>-1.4395*1.78^2+80.835*1.78-35.016</f>
        <v>104.30938819999997</v>
      </c>
      <c r="AK3350" s="10">
        <f>-0.0466*1.78^2+68.24*1.78-22.954</f>
        <v>98.365552559999998</v>
      </c>
      <c r="AL3350" s="10" t="str">
        <f t="shared" si="383"/>
        <v>y=-8.1564*1.78^2+103.56*1.78-47.896</v>
      </c>
      <c r="AM3350" s="10" t="str">
        <f t="shared" si="383"/>
        <v>y=-3.4074*1.78^2+90.534*1.78-41.641</v>
      </c>
      <c r="AN3350" s="10" t="str">
        <f t="shared" si="383"/>
        <v>y=-1.4395*1.78^2+80.835*1.78-35.016</v>
      </c>
      <c r="AO3350" s="10" t="str">
        <f t="shared" si="384"/>
        <v>FALSE</v>
      </c>
      <c r="AP3350" s="10" t="str">
        <f t="shared" si="384"/>
        <v>y=-0.0466*1.78^2+68.24*1.78-22.954</v>
      </c>
      <c r="AQ3350" s="10" t="str">
        <f>IF(AND(I3350="TP",S3350&lt;=150),VLOOKUP(AF3350,TPCalibEq150!$AZ$2:$BB$55,3,),IF(AND(I3350="TDP",S3350&lt;=150),VLOOKUP(AF3350,TPCalibEq150!$AZ$2:$BB$55,3,)))</f>
        <v>y=-8.1564x2+103.56x-47.896</v>
      </c>
      <c r="AR3350" s="10" t="str">
        <f>IF(AND(I3350="TP",S3350&lt;=300),VLOOKUP(AF3350,TPCalibEq300!$AZ$2:$BB$55,3,),IF(AND(I3350="TDP",S3350&lt;=300),VLOOKUP(AF3350,TPCalibEq300!$AZ$2:$BB$55,3,)))</f>
        <v>y=-3.4074x2+90.534x-41.641</v>
      </c>
      <c r="AS3350" s="10" t="str">
        <f>IF(AND(I3350="TP",S3350&lt;=500),VLOOKUP(AF3350,TPCalibEq500!$AZ$2:$BB$56,3,),IF(AND(I3350="TDP",S3350&lt;=500),VLOOKUP(AF3350,TPCalibEq500!$AZ$2:$BB$56,3,)))</f>
        <v>y=-1.4395x2+80.835x-35.016</v>
      </c>
      <c r="AT3350" s="10" t="b">
        <f>IF(AND(I3350="TN",S3350&lt;=2800),VLOOKUP(AF3350,TNCalibEq2500!$AZ$2:$BB$56,3,),IF(AND(I3350="TDN",S3350&lt;=2800),VLOOKUP(AF3350,TNCalibEq2500!$AZ$2:$BB$56,3,)))</f>
        <v>0</v>
      </c>
      <c r="AU3350" s="10" t="str">
        <f>IF(I3350="TP",VLOOKUP(AF3350,TPCalibEqFull!$AZ$2:$BB$56,3),IF(I3350="TDP",VLOOKUP(AF3350,TPCalibEqFull!$AZ$2:$BB$56,3),IF(I3350="TDN",VLOOKUP(AF3350,TNCalibEqFull!$AZ$1:$BB$56,3),IF(I3350="TN",VLOOKUP(AF3350,TNCalibEqFull!$AZ$1:$BB$56,3),FALSE))))</f>
        <v>y=-0.0466x2+68.24x-22.954</v>
      </c>
      <c r="AV3350" s="10" t="str">
        <f t="shared" si="382"/>
        <v>0213 09:25:00-S50-0-FIL-1-SW-UKN</v>
      </c>
    </row>
    <row r="3351" spans="1:48" s="10" customFormat="1" x14ac:dyDescent="0.55000000000000004">
      <c r="A3351" s="32">
        <v>44970</v>
      </c>
      <c r="B3351" s="33">
        <v>0.41597222222222219</v>
      </c>
      <c r="C3351" s="10" t="s">
        <v>528</v>
      </c>
      <c r="D3351" s="10">
        <v>0</v>
      </c>
      <c r="E3351" s="10" t="s">
        <v>911</v>
      </c>
      <c r="F3351" s="10">
        <v>1</v>
      </c>
      <c r="G3351" s="10" t="s">
        <v>231</v>
      </c>
      <c r="H3351" s="10" t="s">
        <v>322</v>
      </c>
      <c r="I3351" s="10" t="s">
        <v>266</v>
      </c>
      <c r="J3351" s="10">
        <v>38</v>
      </c>
      <c r="K3351" s="12">
        <v>44972</v>
      </c>
      <c r="L3351" s="33">
        <v>0.6019444444444445</v>
      </c>
      <c r="M3351" s="10">
        <v>1</v>
      </c>
      <c r="N3351" s="10" t="s">
        <v>84</v>
      </c>
      <c r="O3351" s="10">
        <v>1.0900000000000001</v>
      </c>
      <c r="P3351" s="10">
        <v>7.5399999999999995E-2</v>
      </c>
      <c r="Q3351" s="10">
        <v>51.9</v>
      </c>
      <c r="R3351" s="10" t="s">
        <v>85</v>
      </c>
      <c r="S3351" s="34">
        <f t="shared" si="379"/>
        <v>55.293781160000009</v>
      </c>
      <c r="T3351" s="10" t="s">
        <v>1246</v>
      </c>
      <c r="U3351" s="34" t="str">
        <f t="shared" si="380"/>
        <v/>
      </c>
      <c r="V3351" s="31" t="str">
        <f>IF(H3351="CHK",VLOOKUP(I3351,QCCHK,3,),IF(H3351="GUP",VLOOKUP(E3351,QCGUP,2,),IF(AND(H3351="ATP",OR(I3351="TN",I3351="TDN",I3351="TNO2-3",I3351="NO2-3")),VLOOKUP(E3351,QCREC_N,2,),IF(AND(H3351="NIC",OR(I3351="TN",I3351="TDN",I3351="TNO2-3",I3351="NO2-3")),VLOOKUP(E3351,QCNIC_N,2,),IF(AND(H3351="UREA",OR(I3351="TN",I3351="TDN",I3351="TNO2-3",I3351="NO2-3")),VLOOKUP(E3351,QCUREA_N,2,),IF(H3351="PER",VLOOKUP(I3351,QCPER,MATCH(E3351,QCACTUAL!$J$25:$AA$25,0),),IF(H3351="SPK",VLOOKUP(I3351,QCSPK,3,),IF(AND(H3351="ATP",OR(I3351="TP",I3351="TDP")),VLOOKUP(E3351,QCATP_P,2,),""))))))))</f>
        <v/>
      </c>
      <c r="W3351" s="31" t="str">
        <f t="shared" si="381"/>
        <v>TRUE</v>
      </c>
      <c r="X3351" s="31" t="str">
        <f t="shared" si="378"/>
        <v/>
      </c>
      <c r="Y3351" s="10" t="s">
        <v>1232</v>
      </c>
      <c r="Z3351" s="10" t="s">
        <v>910</v>
      </c>
      <c r="AF3351" s="12">
        <v>44972</v>
      </c>
      <c r="AG3351" s="10">
        <f>-8.1564*1.09^2+103.56*1.09-47.896</f>
        <v>55.293781160000009</v>
      </c>
      <c r="AH3351" s="10">
        <f>-3.4074*1.09^2+90.534*1.09-41.641</f>
        <v>52.992728060000012</v>
      </c>
      <c r="AI3351" s="10">
        <f>-1.4395*1.09^2+80.835*1.09-35.016</f>
        <v>51.383880050000009</v>
      </c>
      <c r="AK3351" s="10">
        <f>-0.0466*1.09^2+68.24*1.09-22.954</f>
        <v>51.372234540000001</v>
      </c>
      <c r="AL3351" s="10" t="str">
        <f t="shared" si="383"/>
        <v>y=-8.1564*1.09^2+103.56*1.09-47.896</v>
      </c>
      <c r="AM3351" s="10" t="str">
        <f t="shared" si="383"/>
        <v>y=-3.4074*1.09^2+90.534*1.09-41.641</v>
      </c>
      <c r="AN3351" s="10" t="str">
        <f t="shared" si="383"/>
        <v>y=-1.4395*1.09^2+80.835*1.09-35.016</v>
      </c>
      <c r="AO3351" s="10" t="str">
        <f t="shared" si="384"/>
        <v>FALSE</v>
      </c>
      <c r="AP3351" s="10" t="str">
        <f t="shared" si="384"/>
        <v>y=-0.0466*1.09^2+68.24*1.09-22.954</v>
      </c>
      <c r="AQ3351" s="10" t="str">
        <f>IF(AND(I3351="TP",S3351&lt;=150),VLOOKUP(AF3351,TPCalibEq150!$AZ$2:$BB$55,3,),IF(AND(I3351="TDP",S3351&lt;=150),VLOOKUP(AF3351,TPCalibEq150!$AZ$2:$BB$55,3,)))</f>
        <v>y=-8.1564x2+103.56x-47.896</v>
      </c>
      <c r="AR3351" s="10" t="str">
        <f>IF(AND(I3351="TP",S3351&lt;=300),VLOOKUP(AF3351,TPCalibEq300!$AZ$2:$BB$55,3,),IF(AND(I3351="TDP",S3351&lt;=300),VLOOKUP(AF3351,TPCalibEq300!$AZ$2:$BB$55,3,)))</f>
        <v>y=-3.4074x2+90.534x-41.641</v>
      </c>
      <c r="AS3351" s="10" t="str">
        <f>IF(AND(I3351="TP",S3351&lt;=500),VLOOKUP(AF3351,TPCalibEq500!$AZ$2:$BB$56,3,),IF(AND(I3351="TDP",S3351&lt;=500),VLOOKUP(AF3351,TPCalibEq500!$AZ$2:$BB$56,3,)))</f>
        <v>y=-1.4395x2+80.835x-35.016</v>
      </c>
      <c r="AT3351" s="10" t="b">
        <f>IF(AND(I3351="TN",S3351&lt;=2800),VLOOKUP(AF3351,TNCalibEq2500!$AZ$2:$BB$56,3,),IF(AND(I3351="TDN",S3351&lt;=2800),VLOOKUP(AF3351,TNCalibEq2500!$AZ$2:$BB$56,3,)))</f>
        <v>0</v>
      </c>
      <c r="AU3351" s="10" t="str">
        <f>IF(I3351="TP",VLOOKUP(AF3351,TPCalibEqFull!$AZ$2:$BB$56,3),IF(I3351="TDP",VLOOKUP(AF3351,TPCalibEqFull!$AZ$2:$BB$56,3),IF(I3351="TDN",VLOOKUP(AF3351,TNCalibEqFull!$AZ$1:$BB$56,3),IF(I3351="TN",VLOOKUP(AF3351,TNCalibEqFull!$AZ$1:$BB$56,3),FALSE))))</f>
        <v>y=-0.0466x2+68.24x-22.954</v>
      </c>
      <c r="AV3351" s="10" t="str">
        <f t="shared" si="382"/>
        <v>0213 09:59:00-P04-0-FIL-1-SW-UKN</v>
      </c>
    </row>
    <row r="3352" spans="1:48" s="10" customFormat="1" x14ac:dyDescent="0.55000000000000004">
      <c r="A3352" s="32">
        <v>44970</v>
      </c>
      <c r="B3352" s="33">
        <v>0.42777777777777781</v>
      </c>
      <c r="C3352" s="10">
        <v>506</v>
      </c>
      <c r="D3352" s="10">
        <v>0</v>
      </c>
      <c r="E3352" s="10" t="s">
        <v>911</v>
      </c>
      <c r="F3352" s="10">
        <v>1</v>
      </c>
      <c r="G3352" s="10" t="s">
        <v>231</v>
      </c>
      <c r="H3352" s="10" t="s">
        <v>322</v>
      </c>
      <c r="I3352" s="10" t="s">
        <v>266</v>
      </c>
      <c r="J3352" s="10">
        <v>39</v>
      </c>
      <c r="K3352" s="12">
        <v>44972</v>
      </c>
      <c r="L3352" s="33">
        <v>0.60263888888888884</v>
      </c>
      <c r="M3352" s="10">
        <v>1</v>
      </c>
      <c r="N3352" s="10" t="s">
        <v>84</v>
      </c>
      <c r="O3352" s="10">
        <v>1.88</v>
      </c>
      <c r="P3352" s="10">
        <v>0.13300000000000001</v>
      </c>
      <c r="Q3352" s="10">
        <v>106</v>
      </c>
      <c r="R3352" s="10" t="s">
        <v>85</v>
      </c>
      <c r="S3352" s="34">
        <f t="shared" si="379"/>
        <v>117.96881983999999</v>
      </c>
      <c r="T3352" s="10" t="s">
        <v>1246</v>
      </c>
      <c r="U3352" s="34" t="str">
        <f t="shared" si="380"/>
        <v/>
      </c>
      <c r="V3352" s="31" t="str">
        <f>IF(H3352="CHK",VLOOKUP(I3352,QCCHK,3,),IF(H3352="GUP",VLOOKUP(E3352,QCGUP,2,),IF(AND(H3352="ATP",OR(I3352="TN",I3352="TDN",I3352="TNO2-3",I3352="NO2-3")),VLOOKUP(E3352,QCREC_N,2,),IF(AND(H3352="NIC",OR(I3352="TN",I3352="TDN",I3352="TNO2-3",I3352="NO2-3")),VLOOKUP(E3352,QCNIC_N,2,),IF(AND(H3352="UREA",OR(I3352="TN",I3352="TDN",I3352="TNO2-3",I3352="NO2-3")),VLOOKUP(E3352,QCUREA_N,2,),IF(H3352="PER",VLOOKUP(I3352,QCPER,MATCH(E3352,QCACTUAL!$J$25:$AA$25,0),),IF(H3352="SPK",VLOOKUP(I3352,QCSPK,3,),IF(AND(H3352="ATP",OR(I3352="TP",I3352="TDP")),VLOOKUP(E3352,QCATP_P,2,),""))))))))</f>
        <v/>
      </c>
      <c r="W3352" s="31" t="str">
        <f t="shared" si="381"/>
        <v>TRUE</v>
      </c>
      <c r="X3352" s="31" t="str">
        <f t="shared" si="378"/>
        <v/>
      </c>
      <c r="Y3352" s="10" t="s">
        <v>1232</v>
      </c>
      <c r="Z3352" s="10" t="s">
        <v>910</v>
      </c>
      <c r="AF3352" s="12">
        <v>44972</v>
      </c>
      <c r="AG3352" s="10">
        <f>-8.1564*1.88^2+103.56*1.88-47.896</f>
        <v>117.96881983999999</v>
      </c>
      <c r="AH3352" s="10">
        <f>-3.4074*1.88^2+90.534*1.88-41.641</f>
        <v>116.51980544000003</v>
      </c>
      <c r="AI3352" s="10">
        <f>-1.4395*1.88^2+80.835*1.88-35.016</f>
        <v>111.86603120000001</v>
      </c>
      <c r="AK3352" s="10">
        <f>-0.0466*1.88^2+68.24*1.88-22.954</f>
        <v>105.17249695999996</v>
      </c>
      <c r="AL3352" s="10" t="str">
        <f t="shared" si="383"/>
        <v>y=-8.1564*1.88^2+103.56*1.88-47.896</v>
      </c>
      <c r="AM3352" s="10" t="str">
        <f t="shared" si="383"/>
        <v>y=-3.4074*1.88^2+90.534*1.88-41.641</v>
      </c>
      <c r="AN3352" s="10" t="str">
        <f t="shared" si="383"/>
        <v>y=-1.4395*1.88^2+80.835*1.88-35.016</v>
      </c>
      <c r="AO3352" s="10" t="str">
        <f t="shared" si="384"/>
        <v>FALSE</v>
      </c>
      <c r="AP3352" s="10" t="str">
        <f t="shared" si="384"/>
        <v>y=-0.0466*1.88^2+68.24*1.88-22.954</v>
      </c>
      <c r="AQ3352" s="10" t="str">
        <f>IF(AND(I3352="TP",S3352&lt;=150),VLOOKUP(AF3352,TPCalibEq150!$AZ$2:$BB$55,3,),IF(AND(I3352="TDP",S3352&lt;=150),VLOOKUP(AF3352,TPCalibEq150!$AZ$2:$BB$55,3,)))</f>
        <v>y=-8.1564x2+103.56x-47.896</v>
      </c>
      <c r="AR3352" s="10" t="str">
        <f>IF(AND(I3352="TP",S3352&lt;=300),VLOOKUP(AF3352,TPCalibEq300!$AZ$2:$BB$55,3,),IF(AND(I3352="TDP",S3352&lt;=300),VLOOKUP(AF3352,TPCalibEq300!$AZ$2:$BB$55,3,)))</f>
        <v>y=-3.4074x2+90.534x-41.641</v>
      </c>
      <c r="AS3352" s="10" t="str">
        <f>IF(AND(I3352="TP",S3352&lt;=500),VLOOKUP(AF3352,TPCalibEq500!$AZ$2:$BB$56,3,),IF(AND(I3352="TDP",S3352&lt;=500),VLOOKUP(AF3352,TPCalibEq500!$AZ$2:$BB$56,3,)))</f>
        <v>y=-1.4395x2+80.835x-35.016</v>
      </c>
      <c r="AT3352" s="10" t="b">
        <f>IF(AND(I3352="TN",S3352&lt;=2800),VLOOKUP(AF3352,TNCalibEq2500!$AZ$2:$BB$56,3,),IF(AND(I3352="TDN",S3352&lt;=2800),VLOOKUP(AF3352,TNCalibEq2500!$AZ$2:$BB$56,3,)))</f>
        <v>0</v>
      </c>
      <c r="AU3352" s="10" t="str">
        <f>IF(I3352="TP",VLOOKUP(AF3352,TPCalibEqFull!$AZ$2:$BB$56,3),IF(I3352="TDP",VLOOKUP(AF3352,TPCalibEqFull!$AZ$2:$BB$56,3),IF(I3352="TDN",VLOOKUP(AF3352,TNCalibEqFull!$AZ$1:$BB$56,3),IF(I3352="TN",VLOOKUP(AF3352,TNCalibEqFull!$AZ$1:$BB$56,3),FALSE))))</f>
        <v>y=-0.0466x2+68.24x-22.954</v>
      </c>
      <c r="AV3352" s="10" t="str">
        <f t="shared" si="382"/>
        <v>0213 10:16:00-506-0-FIL-1-SW-UKN</v>
      </c>
    </row>
    <row r="3353" spans="1:48" s="10" customFormat="1" x14ac:dyDescent="0.55000000000000004">
      <c r="A3353" s="32">
        <v>44970</v>
      </c>
      <c r="B3353" s="33">
        <v>0.43402777777777773</v>
      </c>
      <c r="C3353" s="10" t="s">
        <v>1104</v>
      </c>
      <c r="D3353" s="10">
        <v>0</v>
      </c>
      <c r="E3353" s="10" t="s">
        <v>911</v>
      </c>
      <c r="F3353" s="10">
        <v>1</v>
      </c>
      <c r="G3353" s="10" t="s">
        <v>231</v>
      </c>
      <c r="H3353" s="10" t="s">
        <v>322</v>
      </c>
      <c r="I3353" s="10" t="s">
        <v>266</v>
      </c>
      <c r="J3353" s="10">
        <v>40</v>
      </c>
      <c r="K3353" s="12">
        <v>44972</v>
      </c>
      <c r="L3353" s="33">
        <v>0.60333333333333339</v>
      </c>
      <c r="M3353" s="10">
        <v>1</v>
      </c>
      <c r="N3353" s="10" t="s">
        <v>84</v>
      </c>
      <c r="O3353" s="10">
        <v>2.41</v>
      </c>
      <c r="P3353" s="10">
        <v>0.17199999999999999</v>
      </c>
      <c r="Q3353" s="10">
        <v>142</v>
      </c>
      <c r="R3353" s="10" t="s">
        <v>85</v>
      </c>
      <c r="S3353" s="34">
        <f t="shared" si="379"/>
        <v>156.75542006000003</v>
      </c>
      <c r="T3353" s="10" t="s">
        <v>1246</v>
      </c>
      <c r="U3353" s="34" t="str">
        <f t="shared" si="380"/>
        <v/>
      </c>
      <c r="V3353" s="31" t="str">
        <f>IF(H3353="CHK",VLOOKUP(I3353,QCCHK,3,),IF(H3353="GUP",VLOOKUP(E3353,QCGUP,2,),IF(AND(H3353="ATP",OR(I3353="TN",I3353="TDN",I3353="TNO2-3",I3353="NO2-3")),VLOOKUP(E3353,QCREC_N,2,),IF(AND(H3353="NIC",OR(I3353="TN",I3353="TDN",I3353="TNO2-3",I3353="NO2-3")),VLOOKUP(E3353,QCNIC_N,2,),IF(AND(H3353="UREA",OR(I3353="TN",I3353="TDN",I3353="TNO2-3",I3353="NO2-3")),VLOOKUP(E3353,QCUREA_N,2,),IF(H3353="PER",VLOOKUP(I3353,QCPER,MATCH(E3353,QCACTUAL!$J$25:$AA$25,0),),IF(H3353="SPK",VLOOKUP(I3353,QCSPK,3,),IF(AND(H3353="ATP",OR(I3353="TP",I3353="TDP")),VLOOKUP(E3353,QCATP_P,2,),""))))))))</f>
        <v/>
      </c>
      <c r="W3353" s="31" t="str">
        <f t="shared" si="381"/>
        <v>TRUE</v>
      </c>
      <c r="X3353" s="31" t="str">
        <f t="shared" si="378"/>
        <v/>
      </c>
      <c r="Y3353" s="10" t="s">
        <v>1232</v>
      </c>
      <c r="Z3353" s="10" t="s">
        <v>910</v>
      </c>
      <c r="AF3353" s="12">
        <v>44972</v>
      </c>
      <c r="AG3353" s="10">
        <f>-8.1564*2.41^2+103.56*2.41-47.896</f>
        <v>154.31041316</v>
      </c>
      <c r="AH3353" s="10">
        <f>-3.4074*2.41^2+90.534*2.41-41.641</f>
        <v>156.75542006000003</v>
      </c>
      <c r="AI3353" s="10">
        <f>-1.4395*2.41^2+80.835*2.41-35.016</f>
        <v>151.43559005000003</v>
      </c>
      <c r="AK3353" s="10">
        <f>-0.0466*2.41^2+68.24*2.41-22.954</f>
        <v>141.23374253999998</v>
      </c>
      <c r="AL3353" s="10" t="str">
        <f t="shared" si="383"/>
        <v>FALSE</v>
      </c>
      <c r="AM3353" s="10" t="str">
        <f t="shared" si="383"/>
        <v>y=-3.4074*2.41^2+90.534*2.41-41.641</v>
      </c>
      <c r="AN3353" s="10" t="str">
        <f t="shared" si="383"/>
        <v>y=-1.4395*2.41^2+80.835*2.41-35.016</v>
      </c>
      <c r="AO3353" s="10" t="str">
        <f t="shared" si="384"/>
        <v>FALSE</v>
      </c>
      <c r="AP3353" s="10" t="str">
        <f t="shared" si="384"/>
        <v>y=-0.0466*2.41^2+68.24*2.41-22.954</v>
      </c>
      <c r="AQ3353" s="10" t="b">
        <f>IF(AND(I3353="TP",S3353&lt;=150),VLOOKUP(AF3353,TPCalibEq150!$AZ$2:$BB$55,3,),IF(AND(I3353="TDP",S3353&lt;=150),VLOOKUP(AF3353,TPCalibEq150!$AZ$2:$BB$55,3,)))</f>
        <v>0</v>
      </c>
      <c r="AR3353" s="10" t="str">
        <f>IF(AND(I3353="TP",S3353&lt;=300),VLOOKUP(AF3353,TPCalibEq300!$AZ$2:$BB$55,3,),IF(AND(I3353="TDP",S3353&lt;=300),VLOOKUP(AF3353,TPCalibEq300!$AZ$2:$BB$55,3,)))</f>
        <v>y=-3.4074x2+90.534x-41.641</v>
      </c>
      <c r="AS3353" s="10" t="str">
        <f>IF(AND(I3353="TP",S3353&lt;=500),VLOOKUP(AF3353,TPCalibEq500!$AZ$2:$BB$56,3,),IF(AND(I3353="TDP",S3353&lt;=500),VLOOKUP(AF3353,TPCalibEq500!$AZ$2:$BB$56,3,)))</f>
        <v>y=-1.4395x2+80.835x-35.016</v>
      </c>
      <c r="AT3353" s="10" t="b">
        <f>IF(AND(I3353="TN",S3353&lt;=2800),VLOOKUP(AF3353,TNCalibEq2500!$AZ$2:$BB$56,3,),IF(AND(I3353="TDN",S3353&lt;=2800),VLOOKUP(AF3353,TNCalibEq2500!$AZ$2:$BB$56,3,)))</f>
        <v>0</v>
      </c>
      <c r="AU3353" s="10" t="str">
        <f>IF(I3353="TP",VLOOKUP(AF3353,TPCalibEqFull!$AZ$2:$BB$56,3),IF(I3353="TDP",VLOOKUP(AF3353,TPCalibEqFull!$AZ$2:$BB$56,3),IF(I3353="TDN",VLOOKUP(AF3353,TNCalibEqFull!$AZ$1:$BB$56,3),IF(I3353="TN",VLOOKUP(AF3353,TNCalibEqFull!$AZ$1:$BB$56,3),FALSE))))</f>
        <v>y=-0.0466x2+68.24x-22.954</v>
      </c>
      <c r="AV3353" s="10" t="str">
        <f t="shared" si="382"/>
        <v>0213 10:25:00-LBW-0-FIL-1-SW-UKN</v>
      </c>
    </row>
    <row r="3354" spans="1:48" s="10" customFormat="1" x14ac:dyDescent="0.55000000000000004">
      <c r="A3354" s="32">
        <v>44970</v>
      </c>
      <c r="B3354" s="33">
        <v>0.45208333333333334</v>
      </c>
      <c r="C3354" s="10" t="s">
        <v>537</v>
      </c>
      <c r="D3354" s="10">
        <v>0</v>
      </c>
      <c r="E3354" s="10" t="s">
        <v>911</v>
      </c>
      <c r="F3354" s="10">
        <v>1</v>
      </c>
      <c r="G3354" s="10" t="s">
        <v>231</v>
      </c>
      <c r="H3354" s="10" t="s">
        <v>322</v>
      </c>
      <c r="I3354" s="10" t="s">
        <v>266</v>
      </c>
      <c r="J3354" s="10">
        <v>41</v>
      </c>
      <c r="K3354" s="12">
        <v>44972</v>
      </c>
      <c r="L3354" s="33">
        <v>0.60402777777777772</v>
      </c>
      <c r="M3354" s="10">
        <v>1</v>
      </c>
      <c r="N3354" s="10" t="s">
        <v>84</v>
      </c>
      <c r="O3354" s="10">
        <v>1.52</v>
      </c>
      <c r="P3354" s="10">
        <v>0.108</v>
      </c>
      <c r="Q3354" s="10">
        <v>81.8</v>
      </c>
      <c r="R3354" s="10" t="s">
        <v>85</v>
      </c>
      <c r="S3354" s="34">
        <f t="shared" si="379"/>
        <v>90.670653440000009</v>
      </c>
      <c r="T3354" s="10" t="s">
        <v>1246</v>
      </c>
      <c r="U3354" s="34" t="str">
        <f t="shared" si="380"/>
        <v/>
      </c>
      <c r="V3354" s="31" t="str">
        <f>IF(H3354="CHK",VLOOKUP(I3354,QCCHK,3,),IF(H3354="GUP",VLOOKUP(E3354,QCGUP,2,),IF(AND(H3354="ATP",OR(I3354="TN",I3354="TDN",I3354="TNO2-3",I3354="NO2-3")),VLOOKUP(E3354,QCREC_N,2,),IF(AND(H3354="NIC",OR(I3354="TN",I3354="TDN",I3354="TNO2-3",I3354="NO2-3")),VLOOKUP(E3354,QCNIC_N,2,),IF(AND(H3354="UREA",OR(I3354="TN",I3354="TDN",I3354="TNO2-3",I3354="NO2-3")),VLOOKUP(E3354,QCUREA_N,2,),IF(H3354="PER",VLOOKUP(I3354,QCPER,MATCH(E3354,QCACTUAL!$J$25:$AA$25,0),),IF(H3354="SPK",VLOOKUP(I3354,QCSPK,3,),IF(AND(H3354="ATP",OR(I3354="TP",I3354="TDP")),VLOOKUP(E3354,QCATP_P,2,),""))))))))</f>
        <v/>
      </c>
      <c r="W3354" s="31" t="str">
        <f t="shared" si="381"/>
        <v>TRUE</v>
      </c>
      <c r="X3354" s="31" t="str">
        <f t="shared" si="378"/>
        <v/>
      </c>
      <c r="Y3354" s="10" t="s">
        <v>1232</v>
      </c>
      <c r="Z3354" s="10" t="s">
        <v>910</v>
      </c>
      <c r="AF3354" s="12">
        <v>44972</v>
      </c>
      <c r="AG3354" s="10">
        <f>-8.1564*1.52^2+103.56*1.52-47.896</f>
        <v>90.670653440000009</v>
      </c>
      <c r="AH3354" s="10">
        <f>-3.4074*1.52^2+90.534*1.52-41.641</f>
        <v>88.098223040000022</v>
      </c>
      <c r="AI3354" s="10">
        <f>-1.4395*1.52^2+80.835*1.52-35.016</f>
        <v>84.527379199999984</v>
      </c>
      <c r="AK3354" s="10">
        <f>-0.0466*1.52^2+68.24*1.52-22.954</f>
        <v>80.663135359999984</v>
      </c>
      <c r="AL3354" s="10" t="str">
        <f t="shared" si="383"/>
        <v>y=-8.1564*1.52^2+103.56*1.52-47.896</v>
      </c>
      <c r="AM3354" s="10" t="str">
        <f t="shared" si="383"/>
        <v>y=-3.4074*1.52^2+90.534*1.52-41.641</v>
      </c>
      <c r="AN3354" s="10" t="str">
        <f t="shared" si="383"/>
        <v>y=-1.4395*1.52^2+80.835*1.52-35.016</v>
      </c>
      <c r="AO3354" s="10" t="str">
        <f t="shared" si="384"/>
        <v>FALSE</v>
      </c>
      <c r="AP3354" s="10" t="str">
        <f t="shared" si="384"/>
        <v>y=-0.0466*1.52^2+68.24*1.52-22.954</v>
      </c>
      <c r="AQ3354" s="10" t="str">
        <f>IF(AND(I3354="TP",S3354&lt;=150),VLOOKUP(AF3354,TPCalibEq150!$AZ$2:$BB$55,3,),IF(AND(I3354="TDP",S3354&lt;=150),VLOOKUP(AF3354,TPCalibEq150!$AZ$2:$BB$55,3,)))</f>
        <v>y=-8.1564x2+103.56x-47.896</v>
      </c>
      <c r="AR3354" s="10" t="str">
        <f>IF(AND(I3354="TP",S3354&lt;=300),VLOOKUP(AF3354,TPCalibEq300!$AZ$2:$BB$55,3,),IF(AND(I3354="TDP",S3354&lt;=300),VLOOKUP(AF3354,TPCalibEq300!$AZ$2:$BB$55,3,)))</f>
        <v>y=-3.4074x2+90.534x-41.641</v>
      </c>
      <c r="AS3354" s="10" t="str">
        <f>IF(AND(I3354="TP",S3354&lt;=500),VLOOKUP(AF3354,TPCalibEq500!$AZ$2:$BB$56,3,),IF(AND(I3354="TDP",S3354&lt;=500),VLOOKUP(AF3354,TPCalibEq500!$AZ$2:$BB$56,3,)))</f>
        <v>y=-1.4395x2+80.835x-35.016</v>
      </c>
      <c r="AT3354" s="10" t="b">
        <f>IF(AND(I3354="TN",S3354&lt;=2800),VLOOKUP(AF3354,TNCalibEq2500!$AZ$2:$BB$56,3,),IF(AND(I3354="TDN",S3354&lt;=2800),VLOOKUP(AF3354,TNCalibEq2500!$AZ$2:$BB$56,3,)))</f>
        <v>0</v>
      </c>
      <c r="AU3354" s="10" t="str">
        <f>IF(I3354="TP",VLOOKUP(AF3354,TPCalibEqFull!$AZ$2:$BB$56,3),IF(I3354="TDP",VLOOKUP(AF3354,TPCalibEqFull!$AZ$2:$BB$56,3),IF(I3354="TDN",VLOOKUP(AF3354,TNCalibEqFull!$AZ$1:$BB$56,3),IF(I3354="TN",VLOOKUP(AF3354,TNCalibEqFull!$AZ$1:$BB$56,3),FALSE))))</f>
        <v>y=-0.0466x2+68.24x-22.954</v>
      </c>
      <c r="AV3354" s="10" t="str">
        <f t="shared" si="382"/>
        <v>0213 10:51:00-S51-0-FIL-1-SW-UKN</v>
      </c>
    </row>
    <row r="3355" spans="1:48" s="10" customFormat="1" x14ac:dyDescent="0.55000000000000004">
      <c r="A3355" s="32">
        <v>44970</v>
      </c>
      <c r="B3355" s="33">
        <v>0.45833333333333331</v>
      </c>
      <c r="C3355" s="10">
        <v>890</v>
      </c>
      <c r="D3355" s="10">
        <v>0</v>
      </c>
      <c r="E3355" s="10" t="s">
        <v>911</v>
      </c>
      <c r="F3355" s="10">
        <v>1</v>
      </c>
      <c r="G3355" s="10" t="s">
        <v>231</v>
      </c>
      <c r="H3355" s="10" t="s">
        <v>322</v>
      </c>
      <c r="I3355" s="10" t="s">
        <v>266</v>
      </c>
      <c r="J3355" s="10">
        <v>42</v>
      </c>
      <c r="K3355" s="12">
        <v>44972</v>
      </c>
      <c r="L3355" s="33">
        <v>0.60471064814814812</v>
      </c>
      <c r="M3355" s="10">
        <v>1</v>
      </c>
      <c r="N3355" s="10" t="s">
        <v>84</v>
      </c>
      <c r="O3355" s="10">
        <v>1.5</v>
      </c>
      <c r="P3355" s="10">
        <v>0.104</v>
      </c>
      <c r="Q3355" s="10">
        <v>79.900000000000006</v>
      </c>
      <c r="R3355" s="10" t="s">
        <v>85</v>
      </c>
      <c r="S3355" s="34">
        <f t="shared" si="379"/>
        <v>89.092100000000002</v>
      </c>
      <c r="T3355" s="10" t="s">
        <v>1246</v>
      </c>
      <c r="U3355" s="34" t="str">
        <f t="shared" si="380"/>
        <v/>
      </c>
      <c r="V3355" s="31" t="str">
        <f>IF(H3355="CHK",VLOOKUP(I3355,QCCHK,3,),IF(H3355="GUP",VLOOKUP(E3355,QCGUP,2,),IF(AND(H3355="ATP",OR(I3355="TN",I3355="TDN",I3355="TNO2-3",I3355="NO2-3")),VLOOKUP(E3355,QCREC_N,2,),IF(AND(H3355="NIC",OR(I3355="TN",I3355="TDN",I3355="TNO2-3",I3355="NO2-3")),VLOOKUP(E3355,QCNIC_N,2,),IF(AND(H3355="UREA",OR(I3355="TN",I3355="TDN",I3355="TNO2-3",I3355="NO2-3")),VLOOKUP(E3355,QCUREA_N,2,),IF(H3355="PER",VLOOKUP(I3355,QCPER,MATCH(E3355,QCACTUAL!$J$25:$AA$25,0),),IF(H3355="SPK",VLOOKUP(I3355,QCSPK,3,),IF(AND(H3355="ATP",OR(I3355="TP",I3355="TDP")),VLOOKUP(E3355,QCATP_P,2,),""))))))))</f>
        <v/>
      </c>
      <c r="W3355" s="31" t="str">
        <f t="shared" si="381"/>
        <v>TRUE</v>
      </c>
      <c r="X3355" s="31" t="str">
        <f t="shared" si="378"/>
        <v/>
      </c>
      <c r="Y3355" s="10" t="s">
        <v>1232</v>
      </c>
      <c r="Z3355" s="10" t="s">
        <v>910</v>
      </c>
      <c r="AF3355" s="12">
        <v>44972</v>
      </c>
      <c r="AG3355" s="10">
        <f>-8.1564*1.5^2+103.56*1.5-47.896</f>
        <v>89.092100000000002</v>
      </c>
      <c r="AH3355" s="10">
        <f>-3.4074*1.5^2+90.534*1.5-41.641</f>
        <v>86.493350000000021</v>
      </c>
      <c r="AI3355" s="10">
        <f>-1.4395*1.5^2+80.835*1.5-35.016</f>
        <v>82.997624999999999</v>
      </c>
      <c r="AK3355" s="10">
        <f>-0.0466*1.5^2+68.24*1.5-22.954</f>
        <v>79.301149999999978</v>
      </c>
      <c r="AL3355" s="10" t="str">
        <f t="shared" si="383"/>
        <v>y=-8.1564*1.5^2+103.56*1.5-47.896</v>
      </c>
      <c r="AM3355" s="10" t="str">
        <f t="shared" si="383"/>
        <v>y=-3.4074*1.5^2+90.534*1.5-41.641</v>
      </c>
      <c r="AN3355" s="10" t="str">
        <f t="shared" si="383"/>
        <v>y=-1.4395*1.5^2+80.835*1.5-35.016</v>
      </c>
      <c r="AO3355" s="10" t="str">
        <f t="shared" si="384"/>
        <v>FALSE</v>
      </c>
      <c r="AP3355" s="10" t="str">
        <f t="shared" si="384"/>
        <v>y=-0.0466*1.5^2+68.24*1.5-22.954</v>
      </c>
      <c r="AQ3355" s="10" t="str">
        <f>IF(AND(I3355="TP",S3355&lt;=150),VLOOKUP(AF3355,TPCalibEq150!$AZ$2:$BB$55,3,),IF(AND(I3355="TDP",S3355&lt;=150),VLOOKUP(AF3355,TPCalibEq150!$AZ$2:$BB$55,3,)))</f>
        <v>y=-8.1564x2+103.56x-47.896</v>
      </c>
      <c r="AR3355" s="10" t="str">
        <f>IF(AND(I3355="TP",S3355&lt;=300),VLOOKUP(AF3355,TPCalibEq300!$AZ$2:$BB$55,3,),IF(AND(I3355="TDP",S3355&lt;=300),VLOOKUP(AF3355,TPCalibEq300!$AZ$2:$BB$55,3,)))</f>
        <v>y=-3.4074x2+90.534x-41.641</v>
      </c>
      <c r="AS3355" s="10" t="str">
        <f>IF(AND(I3355="TP",S3355&lt;=500),VLOOKUP(AF3355,TPCalibEq500!$AZ$2:$BB$56,3,),IF(AND(I3355="TDP",S3355&lt;=500),VLOOKUP(AF3355,TPCalibEq500!$AZ$2:$BB$56,3,)))</f>
        <v>y=-1.4395x2+80.835x-35.016</v>
      </c>
      <c r="AT3355" s="10" t="b">
        <f>IF(AND(I3355="TN",S3355&lt;=2800),VLOOKUP(AF3355,TNCalibEq2500!$AZ$2:$BB$56,3,),IF(AND(I3355="TDN",S3355&lt;=2800),VLOOKUP(AF3355,TNCalibEq2500!$AZ$2:$BB$56,3,)))</f>
        <v>0</v>
      </c>
      <c r="AU3355" s="10" t="str">
        <f>IF(I3355="TP",VLOOKUP(AF3355,TPCalibEqFull!$AZ$2:$BB$56,3),IF(I3355="TDP",VLOOKUP(AF3355,TPCalibEqFull!$AZ$2:$BB$56,3),IF(I3355="TDN",VLOOKUP(AF3355,TNCalibEqFull!$AZ$1:$BB$56,3),IF(I3355="TN",VLOOKUP(AF3355,TNCalibEqFull!$AZ$1:$BB$56,3),FALSE))))</f>
        <v>y=-0.0466x2+68.24x-22.954</v>
      </c>
      <c r="AV3355" s="10" t="str">
        <f t="shared" si="382"/>
        <v>0213 11:00:00-890-0-FIL-1-SW-UKN</v>
      </c>
    </row>
    <row r="3356" spans="1:48" s="10" customFormat="1" x14ac:dyDescent="0.55000000000000004">
      <c r="A3356" s="32">
        <v>44970</v>
      </c>
      <c r="B3356" s="33">
        <v>0.47083333333333338</v>
      </c>
      <c r="C3356" s="10" t="s">
        <v>437</v>
      </c>
      <c r="D3356" s="10">
        <v>0</v>
      </c>
      <c r="E3356" s="10" t="s">
        <v>911</v>
      </c>
      <c r="F3356" s="10">
        <v>1</v>
      </c>
      <c r="G3356" s="10" t="s">
        <v>231</v>
      </c>
      <c r="H3356" s="10" t="s">
        <v>322</v>
      </c>
      <c r="I3356" s="10" t="s">
        <v>266</v>
      </c>
      <c r="J3356" s="10">
        <v>43</v>
      </c>
      <c r="K3356" s="12">
        <v>44972</v>
      </c>
      <c r="L3356" s="33">
        <v>0.6054166666666666</v>
      </c>
      <c r="M3356" s="10">
        <v>1</v>
      </c>
      <c r="N3356" s="10" t="s">
        <v>84</v>
      </c>
      <c r="O3356" s="10">
        <v>2.92</v>
      </c>
      <c r="P3356" s="10">
        <v>0.21</v>
      </c>
      <c r="Q3356" s="10">
        <v>177</v>
      </c>
      <c r="R3356" s="10" t="s">
        <v>85</v>
      </c>
      <c r="S3356" s="34">
        <f t="shared" si="379"/>
        <v>193.66542464000003</v>
      </c>
      <c r="T3356" s="10" t="s">
        <v>1246</v>
      </c>
      <c r="U3356" s="34" t="str">
        <f t="shared" si="380"/>
        <v/>
      </c>
      <c r="V3356" s="31" t="str">
        <f>IF(H3356="CHK",VLOOKUP(I3356,QCCHK,3,),IF(H3356="GUP",VLOOKUP(E3356,QCGUP,2,),IF(AND(H3356="ATP",OR(I3356="TN",I3356="TDN",I3356="TNO2-3",I3356="NO2-3")),VLOOKUP(E3356,QCREC_N,2,),IF(AND(H3356="NIC",OR(I3356="TN",I3356="TDN",I3356="TNO2-3",I3356="NO2-3")),VLOOKUP(E3356,QCNIC_N,2,),IF(AND(H3356="UREA",OR(I3356="TN",I3356="TDN",I3356="TNO2-3",I3356="NO2-3")),VLOOKUP(E3356,QCUREA_N,2,),IF(H3356="PER",VLOOKUP(I3356,QCPER,MATCH(E3356,QCACTUAL!$J$25:$AA$25,0),),IF(H3356="SPK",VLOOKUP(I3356,QCSPK,3,),IF(AND(H3356="ATP",OR(I3356="TP",I3356="TDP")),VLOOKUP(E3356,QCATP_P,2,),""))))))))</f>
        <v/>
      </c>
      <c r="W3356" s="31" t="str">
        <f t="shared" si="381"/>
        <v>TRUE</v>
      </c>
      <c r="X3356" s="31" t="str">
        <f t="shared" si="378"/>
        <v/>
      </c>
      <c r="Y3356" s="10" t="s">
        <v>1232</v>
      </c>
      <c r="Z3356" s="10" t="s">
        <v>910</v>
      </c>
      <c r="AF3356" s="12">
        <v>44972</v>
      </c>
      <c r="AH3356" s="10">
        <f>-3.4074*2.92^2+90.534*2.92-41.641</f>
        <v>193.66542464000003</v>
      </c>
      <c r="AI3356" s="10">
        <f>-1.4395*2.92^2+80.835*2.92-35.016</f>
        <v>188.74844719999999</v>
      </c>
      <c r="AK3356" s="10">
        <f>-0.0466*2.92^2+68.24*2.92-22.954</f>
        <v>175.90946975999998</v>
      </c>
      <c r="AL3356" s="10" t="str">
        <f t="shared" si="383"/>
        <v>FALSE</v>
      </c>
      <c r="AM3356" s="10" t="str">
        <f t="shared" si="383"/>
        <v>y=-3.4074*2.92^2+90.534*2.92-41.641</v>
      </c>
      <c r="AN3356" s="10" t="str">
        <f t="shared" si="383"/>
        <v>y=-1.4395*2.92^2+80.835*2.92-35.016</v>
      </c>
      <c r="AO3356" s="10" t="str">
        <f t="shared" si="384"/>
        <v>FALSE</v>
      </c>
      <c r="AP3356" s="10" t="str">
        <f t="shared" si="384"/>
        <v>y=-0.0466*2.92^2+68.24*2.92-22.954</v>
      </c>
      <c r="AQ3356" s="10" t="b">
        <f>IF(AND(I3356="TP",S3356&lt;=150),VLOOKUP(AF3356,TPCalibEq150!$AZ$2:$BB$55,3,),IF(AND(I3356="TDP",S3356&lt;=150),VLOOKUP(AF3356,TPCalibEq150!$AZ$2:$BB$55,3,)))</f>
        <v>0</v>
      </c>
      <c r="AR3356" s="10" t="str">
        <f>IF(AND(I3356="TP",S3356&lt;=300),VLOOKUP(AF3356,TPCalibEq300!$AZ$2:$BB$55,3,),IF(AND(I3356="TDP",S3356&lt;=300),VLOOKUP(AF3356,TPCalibEq300!$AZ$2:$BB$55,3,)))</f>
        <v>y=-3.4074x2+90.534x-41.641</v>
      </c>
      <c r="AS3356" s="10" t="str">
        <f>IF(AND(I3356="TP",S3356&lt;=500),VLOOKUP(AF3356,TPCalibEq500!$AZ$2:$BB$56,3,),IF(AND(I3356="TDP",S3356&lt;=500),VLOOKUP(AF3356,TPCalibEq500!$AZ$2:$BB$56,3,)))</f>
        <v>y=-1.4395x2+80.835x-35.016</v>
      </c>
      <c r="AT3356" s="10" t="b">
        <f>IF(AND(I3356="TN",S3356&lt;=2800),VLOOKUP(AF3356,TNCalibEq2500!$AZ$2:$BB$56,3,),IF(AND(I3356="TDN",S3356&lt;=2800),VLOOKUP(AF3356,TNCalibEq2500!$AZ$2:$BB$56,3,)))</f>
        <v>0</v>
      </c>
      <c r="AU3356" s="10" t="str">
        <f>IF(I3356="TP",VLOOKUP(AF3356,TPCalibEqFull!$AZ$2:$BB$56,3),IF(I3356="TDP",VLOOKUP(AF3356,TPCalibEqFull!$AZ$2:$BB$56,3),IF(I3356="TDN",VLOOKUP(AF3356,TNCalibEqFull!$AZ$1:$BB$56,3),IF(I3356="TN",VLOOKUP(AF3356,TNCalibEqFull!$AZ$1:$BB$56,3),FALSE))))</f>
        <v>y=-0.0466x2+68.24x-22.954</v>
      </c>
      <c r="AV3356" s="10" t="str">
        <f t="shared" si="382"/>
        <v>0213 11:18:00-FVM-0-FIL-1-SW-UKN</v>
      </c>
    </row>
    <row r="3357" spans="1:48" s="10" customFormat="1" x14ac:dyDescent="0.55000000000000004">
      <c r="A3357" s="32">
        <v>44970</v>
      </c>
      <c r="B3357" s="33">
        <v>0.47083333333333338</v>
      </c>
      <c r="C3357" s="10" t="s">
        <v>437</v>
      </c>
      <c r="D3357" s="10">
        <v>0</v>
      </c>
      <c r="E3357" s="10" t="s">
        <v>911</v>
      </c>
      <c r="F3357" s="10">
        <v>2</v>
      </c>
      <c r="G3357" s="10" t="s">
        <v>231</v>
      </c>
      <c r="H3357" s="10" t="s">
        <v>322</v>
      </c>
      <c r="I3357" s="10" t="s">
        <v>266</v>
      </c>
      <c r="J3357" s="10">
        <v>44</v>
      </c>
      <c r="K3357" s="12">
        <v>44972</v>
      </c>
      <c r="L3357" s="33">
        <v>0.60609953703703701</v>
      </c>
      <c r="M3357" s="10">
        <v>1</v>
      </c>
      <c r="N3357" s="10" t="s">
        <v>84</v>
      </c>
      <c r="O3357" s="10">
        <v>2.78</v>
      </c>
      <c r="P3357" s="10">
        <v>0.2</v>
      </c>
      <c r="Q3357" s="10">
        <v>167</v>
      </c>
      <c r="R3357" s="10" t="s">
        <v>85</v>
      </c>
      <c r="S3357" s="34">
        <f t="shared" si="379"/>
        <v>183.70976984000001</v>
      </c>
      <c r="T3357" s="10" t="s">
        <v>1246</v>
      </c>
      <c r="U3357" s="34" t="str">
        <f t="shared" si="380"/>
        <v/>
      </c>
      <c r="V3357" s="31" t="str">
        <f>IF(H3357="CHK",VLOOKUP(I3357,QCCHK,3,),IF(H3357="GUP",VLOOKUP(E3357,QCGUP,2,),IF(AND(H3357="ATP",OR(I3357="TN",I3357="TDN",I3357="TNO2-3",I3357="NO2-3")),VLOOKUP(E3357,QCREC_N,2,),IF(AND(H3357="NIC",OR(I3357="TN",I3357="TDN",I3357="TNO2-3",I3357="NO2-3")),VLOOKUP(E3357,QCNIC_N,2,),IF(AND(H3357="UREA",OR(I3357="TN",I3357="TDN",I3357="TNO2-3",I3357="NO2-3")),VLOOKUP(E3357,QCUREA_N,2,),IF(H3357="PER",VLOOKUP(I3357,QCPER,MATCH(E3357,QCACTUAL!$J$25:$AA$25,0),),IF(H3357="SPK",VLOOKUP(I3357,QCSPK,3,),IF(AND(H3357="ATP",OR(I3357="TP",I3357="TDP")),VLOOKUP(E3357,QCATP_P,2,),""))))))))</f>
        <v/>
      </c>
      <c r="W3357" s="31" t="str">
        <f t="shared" si="381"/>
        <v>TRUE</v>
      </c>
      <c r="X3357" s="31" t="str">
        <f t="shared" si="378"/>
        <v/>
      </c>
      <c r="Y3357" s="10" t="s">
        <v>1232</v>
      </c>
      <c r="Z3357" s="10" t="s">
        <v>910</v>
      </c>
      <c r="AF3357" s="12">
        <v>44972</v>
      </c>
      <c r="AH3357" s="10">
        <f>-3.4074*2.78^2+90.534*2.78-41.641</f>
        <v>183.70976984000001</v>
      </c>
      <c r="AI3357" s="10">
        <f>-1.4395*2.78^2+80.835*2.78-35.016</f>
        <v>178.58026819999998</v>
      </c>
      <c r="AK3357" s="10">
        <f>-0.0466*2.78^2+68.24*2.78-22.954</f>
        <v>166.39305655999996</v>
      </c>
      <c r="AL3357" s="10" t="str">
        <f t="shared" si="383"/>
        <v>FALSE</v>
      </c>
      <c r="AM3357" s="10" t="str">
        <f t="shared" si="383"/>
        <v>y=-3.4074*2.78^2+90.534*2.78-41.641</v>
      </c>
      <c r="AN3357" s="10" t="str">
        <f t="shared" si="383"/>
        <v>y=-1.4395*2.78^2+80.835*2.78-35.016</v>
      </c>
      <c r="AO3357" s="10" t="str">
        <f t="shared" si="384"/>
        <v>FALSE</v>
      </c>
      <c r="AP3357" s="10" t="str">
        <f t="shared" si="384"/>
        <v>y=-0.0466*2.78^2+68.24*2.78-22.954</v>
      </c>
      <c r="AQ3357" s="10" t="b">
        <f>IF(AND(I3357="TP",S3357&lt;=150),VLOOKUP(AF3357,TPCalibEq150!$AZ$2:$BB$55,3,),IF(AND(I3357="TDP",S3357&lt;=150),VLOOKUP(AF3357,TPCalibEq150!$AZ$2:$BB$55,3,)))</f>
        <v>0</v>
      </c>
      <c r="AR3357" s="10" t="str">
        <f>IF(AND(I3357="TP",S3357&lt;=300),VLOOKUP(AF3357,TPCalibEq300!$AZ$2:$BB$55,3,),IF(AND(I3357="TDP",S3357&lt;=300),VLOOKUP(AF3357,TPCalibEq300!$AZ$2:$BB$55,3,)))</f>
        <v>y=-3.4074x2+90.534x-41.641</v>
      </c>
      <c r="AS3357" s="10" t="str">
        <f>IF(AND(I3357="TP",S3357&lt;=500),VLOOKUP(AF3357,TPCalibEq500!$AZ$2:$BB$56,3,),IF(AND(I3357="TDP",S3357&lt;=500),VLOOKUP(AF3357,TPCalibEq500!$AZ$2:$BB$56,3,)))</f>
        <v>y=-1.4395x2+80.835x-35.016</v>
      </c>
      <c r="AT3357" s="10" t="b">
        <f>IF(AND(I3357="TN",S3357&lt;=2800),VLOOKUP(AF3357,TNCalibEq2500!$AZ$2:$BB$56,3,),IF(AND(I3357="TDN",S3357&lt;=2800),VLOOKUP(AF3357,TNCalibEq2500!$AZ$2:$BB$56,3,)))</f>
        <v>0</v>
      </c>
      <c r="AU3357" s="10" t="str">
        <f>IF(I3357="TP",VLOOKUP(AF3357,TPCalibEqFull!$AZ$2:$BB$56,3),IF(I3357="TDP",VLOOKUP(AF3357,TPCalibEqFull!$AZ$2:$BB$56,3),IF(I3357="TDN",VLOOKUP(AF3357,TNCalibEqFull!$AZ$1:$BB$56,3),IF(I3357="TN",VLOOKUP(AF3357,TNCalibEqFull!$AZ$1:$BB$56,3),FALSE))))</f>
        <v>y=-0.0466x2+68.24x-22.954</v>
      </c>
      <c r="AV3357" s="10" t="str">
        <f t="shared" si="382"/>
        <v>0213 11:18:00-FVM-0-FIL-2-SW-UKN</v>
      </c>
    </row>
    <row r="3358" spans="1:48" s="10" customFormat="1" x14ac:dyDescent="0.55000000000000004">
      <c r="A3358" s="32">
        <v>44970</v>
      </c>
      <c r="B3358" s="33">
        <v>0.47083333333333338</v>
      </c>
      <c r="C3358" s="10" t="s">
        <v>437</v>
      </c>
      <c r="D3358" s="10">
        <v>0</v>
      </c>
      <c r="E3358" s="10" t="s">
        <v>911</v>
      </c>
      <c r="F3358" s="10">
        <v>2</v>
      </c>
      <c r="G3358" s="10" t="s">
        <v>231</v>
      </c>
      <c r="H3358" s="10" t="s">
        <v>233</v>
      </c>
      <c r="I3358" s="10" t="s">
        <v>266</v>
      </c>
      <c r="J3358" s="10">
        <v>44</v>
      </c>
      <c r="K3358" s="12">
        <v>44972</v>
      </c>
      <c r="L3358" s="33">
        <v>0.60678240740740741</v>
      </c>
      <c r="M3358" s="10">
        <v>1</v>
      </c>
      <c r="N3358" s="10" t="s">
        <v>84</v>
      </c>
      <c r="O3358" s="10">
        <v>2.81</v>
      </c>
      <c r="P3358" s="10">
        <v>0.19900000000000001</v>
      </c>
      <c r="Q3358" s="10">
        <v>169</v>
      </c>
      <c r="R3358" s="10" t="s">
        <v>85</v>
      </c>
      <c r="S3358" s="34">
        <f t="shared" si="379"/>
        <v>185.85436886000005</v>
      </c>
      <c r="T3358" s="10" t="s">
        <v>1246</v>
      </c>
      <c r="U3358" s="34">
        <f t="shared" si="380"/>
        <v>1.160609916072489</v>
      </c>
      <c r="V3358" s="31" t="str">
        <f>IF(H3358="CHK",VLOOKUP(I3358,QCCHK,3,),IF(H3358="GUP",VLOOKUP(E3358,QCGUP,2,),IF(AND(H3358="ATP",OR(I3358="TN",I3358="TDN",I3358="TNO2-3",I3358="NO2-3")),VLOOKUP(E3358,QCREC_N,2,),IF(AND(H3358="NIC",OR(I3358="TN",I3358="TDN",I3358="TNO2-3",I3358="NO2-3")),VLOOKUP(E3358,QCNIC_N,2,),IF(AND(H3358="UREA",OR(I3358="TN",I3358="TDN",I3358="TNO2-3",I3358="NO2-3")),VLOOKUP(E3358,QCUREA_N,2,),IF(H3358="PER",VLOOKUP(I3358,QCPER,MATCH(E3358,QCACTUAL!$J$25:$AA$25,0),),IF(H3358="SPK",VLOOKUP(I3358,QCSPK,3,),IF(AND(H3358="ATP",OR(I3358="TP",I3358="TDP")),VLOOKUP(E3358,QCATP_P,2,),""))))))))</f>
        <v/>
      </c>
      <c r="W3358" s="31" t="str">
        <f t="shared" si="381"/>
        <v>TRUE</v>
      </c>
      <c r="X3358" s="31" t="str">
        <f t="shared" si="378"/>
        <v>((ABS(rep1-rep2))/((rep1+rep2)/2)*100</v>
      </c>
      <c r="Y3358" s="10" t="s">
        <v>1232</v>
      </c>
      <c r="Z3358" s="10" t="s">
        <v>910</v>
      </c>
      <c r="AF3358" s="12">
        <v>44972</v>
      </c>
      <c r="AH3358" s="10">
        <f>-3.4074*2.81^2+90.534*2.81-41.641</f>
        <v>185.85436886000005</v>
      </c>
      <c r="AI3358" s="10">
        <f>-1.4395*2.81^2+80.835*2.81-35.016</f>
        <v>180.76391404999998</v>
      </c>
      <c r="AK3358" s="10">
        <f>-0.0466*2.81^2+68.24*2.81-22.954</f>
        <v>168.43244173999997</v>
      </c>
      <c r="AL3358" s="10" t="str">
        <f t="shared" si="383"/>
        <v>FALSE</v>
      </c>
      <c r="AM3358" s="10" t="str">
        <f t="shared" si="383"/>
        <v>y=-3.4074*2.81^2+90.534*2.81-41.641</v>
      </c>
      <c r="AN3358" s="10" t="str">
        <f t="shared" si="383"/>
        <v>y=-1.4395*2.81^2+80.835*2.81-35.016</v>
      </c>
      <c r="AO3358" s="10" t="str">
        <f t="shared" si="384"/>
        <v>FALSE</v>
      </c>
      <c r="AP3358" s="10" t="str">
        <f t="shared" si="384"/>
        <v>y=-0.0466*2.81^2+68.24*2.81-22.954</v>
      </c>
      <c r="AQ3358" s="10" t="b">
        <f>IF(AND(I3358="TP",S3358&lt;=150),VLOOKUP(AF3358,TPCalibEq150!$AZ$2:$BB$55,3,),IF(AND(I3358="TDP",S3358&lt;=150),VLOOKUP(AF3358,TPCalibEq150!$AZ$2:$BB$55,3,)))</f>
        <v>0</v>
      </c>
      <c r="AR3358" s="10" t="str">
        <f>IF(AND(I3358="TP",S3358&lt;=300),VLOOKUP(AF3358,TPCalibEq300!$AZ$2:$BB$55,3,),IF(AND(I3358="TDP",S3358&lt;=300),VLOOKUP(AF3358,TPCalibEq300!$AZ$2:$BB$55,3,)))</f>
        <v>y=-3.4074x2+90.534x-41.641</v>
      </c>
      <c r="AS3358" s="10" t="str">
        <f>IF(AND(I3358="TP",S3358&lt;=500),VLOOKUP(AF3358,TPCalibEq500!$AZ$2:$BB$56,3,),IF(AND(I3358="TDP",S3358&lt;=500),VLOOKUP(AF3358,TPCalibEq500!$AZ$2:$BB$56,3,)))</f>
        <v>y=-1.4395x2+80.835x-35.016</v>
      </c>
      <c r="AT3358" s="10" t="b">
        <f>IF(AND(I3358="TN",S3358&lt;=2800),VLOOKUP(AF3358,TNCalibEq2500!$AZ$2:$BB$56,3,),IF(AND(I3358="TDN",S3358&lt;=2800),VLOOKUP(AF3358,TNCalibEq2500!$AZ$2:$BB$56,3,)))</f>
        <v>0</v>
      </c>
      <c r="AU3358" s="10" t="str">
        <f>IF(I3358="TP",VLOOKUP(AF3358,TPCalibEqFull!$AZ$2:$BB$56,3),IF(I3358="TDP",VLOOKUP(AF3358,TPCalibEqFull!$AZ$2:$BB$56,3),IF(I3358="TDN",VLOOKUP(AF3358,TNCalibEqFull!$AZ$1:$BB$56,3),IF(I3358="TN",VLOOKUP(AF3358,TNCalibEqFull!$AZ$1:$BB$56,3),FALSE))))</f>
        <v>y=-0.0466x2+68.24x-22.954</v>
      </c>
      <c r="AV3358" s="10" t="str">
        <f t="shared" si="382"/>
        <v>0213 11:18:00-FVM-0-FIL-2-SW-DUP</v>
      </c>
    </row>
    <row r="3359" spans="1:48" s="10" customFormat="1" x14ac:dyDescent="0.55000000000000004">
      <c r="A3359" s="32">
        <v>44970</v>
      </c>
      <c r="B3359" s="33">
        <v>0.47083333333333338</v>
      </c>
      <c r="C3359" s="10" t="s">
        <v>437</v>
      </c>
      <c r="D3359" s="10">
        <v>0</v>
      </c>
      <c r="E3359" s="10" t="s">
        <v>911</v>
      </c>
      <c r="F3359" s="10">
        <v>2</v>
      </c>
      <c r="G3359" s="10" t="s">
        <v>231</v>
      </c>
      <c r="H3359" s="10" t="s">
        <v>314</v>
      </c>
      <c r="I3359" s="10" t="s">
        <v>266</v>
      </c>
      <c r="J3359" s="10">
        <v>53</v>
      </c>
      <c r="K3359" s="12">
        <v>44972</v>
      </c>
      <c r="L3359" s="33">
        <v>0.60747685185185185</v>
      </c>
      <c r="M3359" s="10">
        <v>1</v>
      </c>
      <c r="N3359" s="10" t="s">
        <v>84</v>
      </c>
      <c r="O3359" s="10">
        <v>19</v>
      </c>
      <c r="P3359" s="10">
        <v>1.35</v>
      </c>
      <c r="Q3359" s="10">
        <v>1260</v>
      </c>
      <c r="R3359" s="10" t="s">
        <v>85</v>
      </c>
      <c r="S3359" s="34">
        <f t="shared" si="379"/>
        <v>1260</v>
      </c>
      <c r="T3359" s="10" t="s">
        <v>1246</v>
      </c>
      <c r="U3359" s="34">
        <f t="shared" si="380"/>
        <v>107.41456311399999</v>
      </c>
      <c r="V3359" s="31">
        <f>IF(H3359="CHK",VLOOKUP(I3359,QCCHK,3,),IF(H3359="GUP",VLOOKUP(E3359,QCGUP,2,),IF(AND(H3359="ATP",OR(I3359="TN",I3359="TDN",I3359="TNO2-3",I3359="NO2-3")),VLOOKUP(E3359,QCREC_N,2,),IF(AND(H3359="NIC",OR(I3359="TN",I3359="TDN",I3359="TNO2-3",I3359="NO2-3")),VLOOKUP(E3359,QCNIC_N,2,),IF(AND(H3359="UREA",OR(I3359="TN",I3359="TDN",I3359="TNO2-3",I3359="NO2-3")),VLOOKUP(E3359,QCUREA_N,2,),IF(H3359="PER",VLOOKUP(I3359,QCPER,MATCH(E3359,QCACTUAL!$J$25:$AA$25,0),),IF(H3359="SPK",VLOOKUP(I3359,QCSPK,3,),IF(AND(H3359="ATP",OR(I3359="TP",I3359="TDP")),VLOOKUP(E3359,QCATP_P,2,),""))))))))</f>
        <v>1000</v>
      </c>
      <c r="W3359" s="31" t="str">
        <f t="shared" si="381"/>
        <v>TRUE</v>
      </c>
      <c r="X3359" s="31" t="str">
        <f t="shared" si="378"/>
        <v>([spikedunkn]-[unkn])/[spike]*100</v>
      </c>
      <c r="Y3359" s="10" t="s">
        <v>1232</v>
      </c>
      <c r="Z3359" s="10" t="s">
        <v>910</v>
      </c>
      <c r="AF3359" s="12">
        <v>44972</v>
      </c>
      <c r="AK3359" s="10">
        <f>-0.0466*19^2+68.24*19-22.954</f>
        <v>1256.7834</v>
      </c>
      <c r="AL3359" s="10" t="str">
        <f t="shared" si="383"/>
        <v>FALSE</v>
      </c>
      <c r="AM3359" s="10" t="str">
        <f t="shared" si="383"/>
        <v>FALSE</v>
      </c>
      <c r="AN3359" s="10" t="str">
        <f t="shared" si="383"/>
        <v>FALSE</v>
      </c>
      <c r="AO3359" s="10" t="str">
        <f t="shared" si="384"/>
        <v>FALSE</v>
      </c>
      <c r="AP3359" s="10" t="str">
        <f t="shared" si="384"/>
        <v>y=-0.0466*19^2+68.24*19-22.954</v>
      </c>
      <c r="AQ3359" s="10" t="b">
        <f>IF(AND(I3359="TP",S3359&lt;=150),VLOOKUP(AF3359,TPCalibEq150!$AZ$2:$BB$55,3,),IF(AND(I3359="TDP",S3359&lt;=150),VLOOKUP(AF3359,TPCalibEq150!$AZ$2:$BB$55,3,)))</f>
        <v>0</v>
      </c>
      <c r="AR3359" s="10" t="b">
        <f>IF(AND(I3359="TP",S3359&lt;=300),VLOOKUP(AF3359,TPCalibEq300!$AZ$2:$BB$55,3,),IF(AND(I3359="TDP",S3359&lt;=300),VLOOKUP(AF3359,TPCalibEq300!$AZ$2:$BB$55,3,)))</f>
        <v>0</v>
      </c>
      <c r="AS3359" s="10" t="b">
        <f>IF(AND(I3359="TP",S3359&lt;=500),VLOOKUP(AF3359,TPCalibEq500!$AZ$2:$BB$56,3,),IF(AND(I3359="TDP",S3359&lt;=500),VLOOKUP(AF3359,TPCalibEq500!$AZ$2:$BB$56,3,)))</f>
        <v>0</v>
      </c>
      <c r="AT3359" s="10" t="b">
        <f>IF(AND(I3359="TN",S3359&lt;=2800),VLOOKUP(AF3359,TNCalibEq2500!$AZ$2:$BB$56,3,),IF(AND(I3359="TDN",S3359&lt;=2800),VLOOKUP(AF3359,TNCalibEq2500!$AZ$2:$BB$56,3,)))</f>
        <v>0</v>
      </c>
      <c r="AU3359" s="10" t="str">
        <f>IF(I3359="TP",VLOOKUP(AF3359,TPCalibEqFull!$AZ$2:$BB$56,3),IF(I3359="TDP",VLOOKUP(AF3359,TPCalibEqFull!$AZ$2:$BB$56,3),IF(I3359="TDN",VLOOKUP(AF3359,TNCalibEqFull!$AZ$1:$BB$56,3),IF(I3359="TN",VLOOKUP(AF3359,TNCalibEqFull!$AZ$1:$BB$56,3),FALSE))))</f>
        <v>y=-0.0466x2+68.24x-22.954</v>
      </c>
      <c r="AV3359" s="10" t="str">
        <f t="shared" si="382"/>
        <v>0213 11:18:00-FVM-0-FIL-2-SW-SPK</v>
      </c>
    </row>
    <row r="3360" spans="1:48" s="10" customFormat="1" x14ac:dyDescent="0.55000000000000004">
      <c r="A3360" s="32">
        <v>44972</v>
      </c>
      <c r="B3360" s="33">
        <v>0.375</v>
      </c>
      <c r="C3360" s="10" t="s">
        <v>70</v>
      </c>
      <c r="D3360" s="10" t="s">
        <v>71</v>
      </c>
      <c r="E3360" s="10" t="s">
        <v>901</v>
      </c>
      <c r="F3360" s="10">
        <v>1</v>
      </c>
      <c r="G3360" s="10" t="s">
        <v>73</v>
      </c>
      <c r="H3360" s="10" t="s">
        <v>207</v>
      </c>
      <c r="I3360" s="10" t="s">
        <v>83</v>
      </c>
      <c r="J3360" s="10">
        <v>201</v>
      </c>
      <c r="K3360" s="12">
        <v>44972</v>
      </c>
      <c r="L3360" s="33">
        <v>0.60819444444444437</v>
      </c>
      <c r="M3360" s="10">
        <v>1</v>
      </c>
      <c r="N3360" s="10" t="s">
        <v>84</v>
      </c>
      <c r="O3360" s="10">
        <v>8.07</v>
      </c>
      <c r="P3360" s="10">
        <v>0.58499999999999996</v>
      </c>
      <c r="Q3360" s="10">
        <v>527</v>
      </c>
      <c r="R3360" s="10" t="s">
        <v>85</v>
      </c>
      <c r="S3360" s="34">
        <f t="shared" si="379"/>
        <v>527</v>
      </c>
      <c r="T3360" s="10" t="s">
        <v>1246</v>
      </c>
      <c r="U3360" s="34">
        <f t="shared" si="380"/>
        <v>105.4</v>
      </c>
      <c r="V3360" s="31">
        <f>IF(H3360="CHK",VLOOKUP(I3360,QCCHK,3,),IF(H3360="GUP",VLOOKUP(E3360,QCGUP,2,),IF(AND(H3360="ATP",OR(I3360="TN",I3360="TDN",I3360="TNO2-3",I3360="NO2-3")),VLOOKUP(E3360,QCREC_N,2,),IF(AND(H3360="NIC",OR(I3360="TN",I3360="TDN",I3360="TNO2-3",I3360="NO2-3")),VLOOKUP(E3360,QCNIC_N,2,),IF(AND(H3360="UREA",OR(I3360="TN",I3360="TDN",I3360="TNO2-3",I3360="NO2-3")),VLOOKUP(E3360,QCUREA_N,2,),IF(H3360="PER",VLOOKUP(I3360,QCPER,MATCH(E3360,QCACTUAL!$J$25:$AA$25,0),),IF(H3360="SPK",VLOOKUP(I3360,QCSPK,3,),IF(AND(H3360="ATP",OR(I3360="TP",I3360="TDP")),VLOOKUP(E3360,QCATP_P,2,),""))))))))</f>
        <v>500</v>
      </c>
      <c r="W3360" s="31" t="str">
        <f t="shared" si="381"/>
        <v>TRUE</v>
      </c>
      <c r="X3360" s="31" t="str">
        <f t="shared" si="378"/>
        <v>[chk]/[actual]*100</v>
      </c>
      <c r="Y3360" s="10" t="s">
        <v>1232</v>
      </c>
      <c r="AF3360" s="12">
        <v>44972</v>
      </c>
      <c r="AK3360" s="10">
        <f>-0.0466*8.07^2+68.24*8.07-22.954</f>
        <v>524.70797965999998</v>
      </c>
      <c r="AL3360" s="10" t="str">
        <f t="shared" si="383"/>
        <v>FALSE</v>
      </c>
      <c r="AM3360" s="10" t="str">
        <f t="shared" si="383"/>
        <v>FALSE</v>
      </c>
      <c r="AN3360" s="10" t="str">
        <f t="shared" si="383"/>
        <v>FALSE</v>
      </c>
      <c r="AO3360" s="10" t="str">
        <f t="shared" si="384"/>
        <v>FALSE</v>
      </c>
      <c r="AP3360" s="10" t="str">
        <f t="shared" si="384"/>
        <v>y=-0.0466*8.07^2+68.24*8.07-22.954</v>
      </c>
      <c r="AQ3360" s="10" t="b">
        <f>IF(AND(I3360="TP",S3360&lt;=150),VLOOKUP(AF3360,TPCalibEq150!$AZ$2:$BB$55,3,),IF(AND(I3360="TDP",S3360&lt;=150),VLOOKUP(AF3360,TPCalibEq150!$AZ$2:$BB$55,3,)))</f>
        <v>0</v>
      </c>
      <c r="AR3360" s="10" t="b">
        <f>IF(AND(I3360="TP",S3360&lt;=300),VLOOKUP(AF3360,TPCalibEq300!$AZ$2:$BB$55,3,),IF(AND(I3360="TDP",S3360&lt;=300),VLOOKUP(AF3360,TPCalibEq300!$AZ$2:$BB$55,3,)))</f>
        <v>0</v>
      </c>
      <c r="AS3360" s="10" t="b">
        <f>IF(AND(I3360="TP",S3360&lt;=500),VLOOKUP(AF3360,TPCalibEq500!$AZ$2:$BB$56,3,),IF(AND(I3360="TDP",S3360&lt;=500),VLOOKUP(AF3360,TPCalibEq500!$AZ$2:$BB$56,3,)))</f>
        <v>0</v>
      </c>
      <c r="AT3360" s="10" t="b">
        <f>IF(AND(I3360="TN",S3360&lt;=2800),VLOOKUP(AF3360,TNCalibEq2500!$AZ$2:$BB$56,3,),IF(AND(I3360="TDN",S3360&lt;=2800),VLOOKUP(AF3360,TNCalibEq2500!$AZ$2:$BB$56,3,)))</f>
        <v>0</v>
      </c>
      <c r="AU3360" s="10" t="str">
        <f>IF(I3360="TP",VLOOKUP(AF3360,TPCalibEqFull!$AZ$2:$BB$56,3),IF(I3360="TDP",VLOOKUP(AF3360,TPCalibEqFull!$AZ$2:$BB$56,3),IF(I3360="TDN",VLOOKUP(AF3360,TNCalibEqFull!$AZ$1:$BB$56,3),IF(I3360="TN",VLOOKUP(AF3360,TNCalibEqFull!$AZ$1:$BB$56,3),FALSE))))</f>
        <v>y=-0.0466x2+68.24x-22.954</v>
      </c>
      <c r="AV3360" s="10" t="str">
        <f t="shared" si="382"/>
        <v>0215 09:00:00-QAC-STD-D-1-DI-CHK</v>
      </c>
    </row>
    <row r="3361" spans="1:48" s="10" customFormat="1" x14ac:dyDescent="0.55000000000000004">
      <c r="A3361" s="32">
        <v>44970</v>
      </c>
      <c r="B3361" s="33">
        <v>0.49583333333333335</v>
      </c>
      <c r="C3361" s="10" t="s">
        <v>336</v>
      </c>
      <c r="D3361" s="10">
        <v>0</v>
      </c>
      <c r="E3361" s="10" t="s">
        <v>911</v>
      </c>
      <c r="F3361" s="10">
        <v>1</v>
      </c>
      <c r="G3361" s="10" t="s">
        <v>231</v>
      </c>
      <c r="H3361" s="10" t="s">
        <v>322</v>
      </c>
      <c r="I3361" s="10" t="s">
        <v>266</v>
      </c>
      <c r="J3361" s="10">
        <v>45</v>
      </c>
      <c r="K3361" s="12">
        <v>44972</v>
      </c>
      <c r="L3361" s="33">
        <v>0.60887731481481489</v>
      </c>
      <c r="M3361" s="10">
        <v>1</v>
      </c>
      <c r="N3361" s="10" t="s">
        <v>84</v>
      </c>
      <c r="O3361" s="10">
        <v>2.2400000000000002</v>
      </c>
      <c r="P3361" s="10">
        <v>0.158</v>
      </c>
      <c r="Q3361" s="10">
        <v>131</v>
      </c>
      <c r="R3361" s="10" t="s">
        <v>85</v>
      </c>
      <c r="S3361" s="34">
        <f t="shared" si="379"/>
        <v>144.05818976000006</v>
      </c>
      <c r="T3361" s="10" t="s">
        <v>1246</v>
      </c>
      <c r="U3361" s="34" t="str">
        <f t="shared" si="380"/>
        <v/>
      </c>
      <c r="V3361" s="31" t="str">
        <f>IF(H3361="CHK",VLOOKUP(I3361,QCCHK,3,),IF(H3361="GUP",VLOOKUP(E3361,QCGUP,2,),IF(AND(H3361="ATP",OR(I3361="TN",I3361="TDN",I3361="TNO2-3",I3361="NO2-3")),VLOOKUP(E3361,QCREC_N,2,),IF(AND(H3361="NIC",OR(I3361="TN",I3361="TDN",I3361="TNO2-3",I3361="NO2-3")),VLOOKUP(E3361,QCNIC_N,2,),IF(AND(H3361="UREA",OR(I3361="TN",I3361="TDN",I3361="TNO2-3",I3361="NO2-3")),VLOOKUP(E3361,QCUREA_N,2,),IF(H3361="PER",VLOOKUP(I3361,QCPER,MATCH(E3361,QCACTUAL!$J$25:$AA$25,0),),IF(H3361="SPK",VLOOKUP(I3361,QCSPK,3,),IF(AND(H3361="ATP",OR(I3361="TP",I3361="TDP")),VLOOKUP(E3361,QCATP_P,2,),""))))))))</f>
        <v/>
      </c>
      <c r="W3361" s="31" t="str">
        <f t="shared" si="381"/>
        <v>TRUE</v>
      </c>
      <c r="X3361" s="31" t="str">
        <f t="shared" si="378"/>
        <v/>
      </c>
      <c r="Y3361" s="10" t="s">
        <v>1232</v>
      </c>
      <c r="Z3361" s="10" t="s">
        <v>910</v>
      </c>
      <c r="AF3361" s="12">
        <v>44972</v>
      </c>
      <c r="AG3361" s="10">
        <f>-8.1564*2.24^2+103.56*2.24-47.896</f>
        <v>143.15284736000001</v>
      </c>
      <c r="AH3361" s="10">
        <f>-3.4074*2.24^2+90.534*2.24-41.641</f>
        <v>144.05818976000006</v>
      </c>
      <c r="AI3361" s="10">
        <f>-1.4395*2.24^2+80.835*2.24-35.016</f>
        <v>138.83156480000002</v>
      </c>
      <c r="AK3361" s="10">
        <f>-0.0466*2.24^2+68.24*2.24-22.954</f>
        <v>129.66977983999999</v>
      </c>
      <c r="AL3361" s="10" t="str">
        <f t="shared" si="383"/>
        <v>y=-8.1564*2.24^2+103.56*2.24-47.896</v>
      </c>
      <c r="AM3361" s="10" t="str">
        <f t="shared" si="383"/>
        <v>y=-3.4074*2.24^2+90.534*2.24-41.641</v>
      </c>
      <c r="AN3361" s="10" t="str">
        <f t="shared" si="383"/>
        <v>y=-1.4395*2.24^2+80.835*2.24-35.016</v>
      </c>
      <c r="AO3361" s="10" t="str">
        <f t="shared" si="384"/>
        <v>FALSE</v>
      </c>
      <c r="AP3361" s="10" t="str">
        <f t="shared" si="384"/>
        <v>y=-0.0466*2.24^2+68.24*2.24-22.954</v>
      </c>
      <c r="AQ3361" s="10" t="str">
        <f>IF(AND(I3361="TP",S3361&lt;=150),VLOOKUP(AF3361,TPCalibEq150!$AZ$2:$BB$55,3,),IF(AND(I3361="TDP",S3361&lt;=150),VLOOKUP(AF3361,TPCalibEq150!$AZ$2:$BB$55,3,)))</f>
        <v>y=-8.1564x2+103.56x-47.896</v>
      </c>
      <c r="AR3361" s="10" t="str">
        <f>IF(AND(I3361="TP",S3361&lt;=300),VLOOKUP(AF3361,TPCalibEq300!$AZ$2:$BB$55,3,),IF(AND(I3361="TDP",S3361&lt;=300),VLOOKUP(AF3361,TPCalibEq300!$AZ$2:$BB$55,3,)))</f>
        <v>y=-3.4074x2+90.534x-41.641</v>
      </c>
      <c r="AS3361" s="10" t="str">
        <f>IF(AND(I3361="TP",S3361&lt;=500),VLOOKUP(AF3361,TPCalibEq500!$AZ$2:$BB$56,3,),IF(AND(I3361="TDP",S3361&lt;=500),VLOOKUP(AF3361,TPCalibEq500!$AZ$2:$BB$56,3,)))</f>
        <v>y=-1.4395x2+80.835x-35.016</v>
      </c>
      <c r="AT3361" s="10" t="b">
        <f>IF(AND(I3361="TN",S3361&lt;=2800),VLOOKUP(AF3361,TNCalibEq2500!$AZ$2:$BB$56,3,),IF(AND(I3361="TDN",S3361&lt;=2800),VLOOKUP(AF3361,TNCalibEq2500!$AZ$2:$BB$56,3,)))</f>
        <v>0</v>
      </c>
      <c r="AU3361" s="10" t="str">
        <f>IF(I3361="TP",VLOOKUP(AF3361,TPCalibEqFull!$AZ$2:$BB$56,3),IF(I3361="TDP",VLOOKUP(AF3361,TPCalibEqFull!$AZ$2:$BB$56,3),IF(I3361="TDN",VLOOKUP(AF3361,TNCalibEqFull!$AZ$1:$BB$56,3),IF(I3361="TN",VLOOKUP(AF3361,TNCalibEqFull!$AZ$1:$BB$56,3),FALSE))))</f>
        <v>y=-0.0466x2+68.24x-22.954</v>
      </c>
      <c r="AV3361" s="10" t="str">
        <f t="shared" si="382"/>
        <v>0213 11:54:00-HWR-0-FIL-1-SW-UKN</v>
      </c>
    </row>
    <row r="3362" spans="1:48" s="10" customFormat="1" x14ac:dyDescent="0.55000000000000004">
      <c r="A3362" s="32">
        <v>44970</v>
      </c>
      <c r="B3362" s="33">
        <v>0.48819444444444443</v>
      </c>
      <c r="C3362" s="10" t="s">
        <v>295</v>
      </c>
      <c r="D3362" s="10">
        <v>0</v>
      </c>
      <c r="E3362" s="10" t="s">
        <v>911</v>
      </c>
      <c r="F3362" s="10">
        <v>1</v>
      </c>
      <c r="G3362" s="10" t="s">
        <v>231</v>
      </c>
      <c r="H3362" s="10" t="s">
        <v>322</v>
      </c>
      <c r="I3362" s="10" t="s">
        <v>266</v>
      </c>
      <c r="J3362" s="10">
        <v>46</v>
      </c>
      <c r="K3362" s="12">
        <v>44972</v>
      </c>
      <c r="L3362" s="33">
        <v>0.60958333333333337</v>
      </c>
      <c r="M3362" s="10">
        <v>1</v>
      </c>
      <c r="N3362" s="10" t="s">
        <v>84</v>
      </c>
      <c r="O3362" s="10">
        <v>1.49</v>
      </c>
      <c r="P3362" s="10">
        <v>0.104</v>
      </c>
      <c r="Q3362" s="10">
        <v>79.2</v>
      </c>
      <c r="R3362" s="10" t="s">
        <v>85</v>
      </c>
      <c r="S3362" s="34">
        <f t="shared" si="379"/>
        <v>88.300376360000016</v>
      </c>
      <c r="T3362" s="10" t="s">
        <v>1246</v>
      </c>
      <c r="U3362" s="34" t="str">
        <f t="shared" si="380"/>
        <v/>
      </c>
      <c r="V3362" s="31" t="str">
        <f>IF(H3362="CHK",VLOOKUP(I3362,QCCHK,3,),IF(H3362="GUP",VLOOKUP(E3362,QCGUP,2,),IF(AND(H3362="ATP",OR(I3362="TN",I3362="TDN",I3362="TNO2-3",I3362="NO2-3")),VLOOKUP(E3362,QCREC_N,2,),IF(AND(H3362="NIC",OR(I3362="TN",I3362="TDN",I3362="TNO2-3",I3362="NO2-3")),VLOOKUP(E3362,QCNIC_N,2,),IF(AND(H3362="UREA",OR(I3362="TN",I3362="TDN",I3362="TNO2-3",I3362="NO2-3")),VLOOKUP(E3362,QCUREA_N,2,),IF(H3362="PER",VLOOKUP(I3362,QCPER,MATCH(E3362,QCACTUAL!$J$25:$AA$25,0),),IF(H3362="SPK",VLOOKUP(I3362,QCSPK,3,),IF(AND(H3362="ATP",OR(I3362="TP",I3362="TDP")),VLOOKUP(E3362,QCATP_P,2,),""))))))))</f>
        <v/>
      </c>
      <c r="W3362" s="31" t="str">
        <f t="shared" si="381"/>
        <v>TRUE</v>
      </c>
      <c r="X3362" s="31" t="str">
        <f t="shared" si="378"/>
        <v/>
      </c>
      <c r="Y3362" s="10" t="s">
        <v>1232</v>
      </c>
      <c r="Z3362" s="10" t="s">
        <v>910</v>
      </c>
      <c r="AF3362" s="12">
        <v>44972</v>
      </c>
      <c r="AG3362" s="10">
        <f>-8.1564*1.49^2+103.56*1.49-47.896</f>
        <v>88.300376360000016</v>
      </c>
      <c r="AH3362" s="10">
        <f>-3.4074*1.49^2+90.534*1.49-41.641</f>
        <v>85.689891260000024</v>
      </c>
      <c r="AI3362" s="10">
        <f>-1.4395*1.49^2+80.835*1.49-35.016</f>
        <v>82.232316050000009</v>
      </c>
      <c r="AK3362" s="10">
        <f>-0.0466*1.49^2+68.24*1.49-22.954</f>
        <v>78.620143339999998</v>
      </c>
      <c r="AL3362" s="10" t="str">
        <f t="shared" si="383"/>
        <v>y=-8.1564*1.49^2+103.56*1.49-47.896</v>
      </c>
      <c r="AM3362" s="10" t="str">
        <f t="shared" si="383"/>
        <v>y=-3.4074*1.49^2+90.534*1.49-41.641</v>
      </c>
      <c r="AN3362" s="10" t="str">
        <f t="shared" si="383"/>
        <v>y=-1.4395*1.49^2+80.835*1.49-35.016</v>
      </c>
      <c r="AO3362" s="10" t="str">
        <f t="shared" si="384"/>
        <v>FALSE</v>
      </c>
      <c r="AP3362" s="10" t="str">
        <f t="shared" si="384"/>
        <v>y=-0.0466*1.49^2+68.24*1.49-22.954</v>
      </c>
      <c r="AQ3362" s="10" t="str">
        <f>IF(AND(I3362="TP",S3362&lt;=150),VLOOKUP(AF3362,TPCalibEq150!$AZ$2:$BB$55,3,),IF(AND(I3362="TDP",S3362&lt;=150),VLOOKUP(AF3362,TPCalibEq150!$AZ$2:$BB$55,3,)))</f>
        <v>y=-8.1564x2+103.56x-47.896</v>
      </c>
      <c r="AR3362" s="10" t="str">
        <f>IF(AND(I3362="TP",S3362&lt;=300),VLOOKUP(AF3362,TPCalibEq300!$AZ$2:$BB$55,3,),IF(AND(I3362="TDP",S3362&lt;=300),VLOOKUP(AF3362,TPCalibEq300!$AZ$2:$BB$55,3,)))</f>
        <v>y=-3.4074x2+90.534x-41.641</v>
      </c>
      <c r="AS3362" s="10" t="str">
        <f>IF(AND(I3362="TP",S3362&lt;=500),VLOOKUP(AF3362,TPCalibEq500!$AZ$2:$BB$56,3,),IF(AND(I3362="TDP",S3362&lt;=500),VLOOKUP(AF3362,TPCalibEq500!$AZ$2:$BB$56,3,)))</f>
        <v>y=-1.4395x2+80.835x-35.016</v>
      </c>
      <c r="AT3362" s="10" t="b">
        <f>IF(AND(I3362="TN",S3362&lt;=2800),VLOOKUP(AF3362,TNCalibEq2500!$AZ$2:$BB$56,3,),IF(AND(I3362="TDN",S3362&lt;=2800),VLOOKUP(AF3362,TNCalibEq2500!$AZ$2:$BB$56,3,)))</f>
        <v>0</v>
      </c>
      <c r="AU3362" s="10" t="str">
        <f>IF(I3362="TP",VLOOKUP(AF3362,TPCalibEqFull!$AZ$2:$BB$56,3),IF(I3362="TDP",VLOOKUP(AF3362,TPCalibEqFull!$AZ$2:$BB$56,3),IF(I3362="TDN",VLOOKUP(AF3362,TNCalibEqFull!$AZ$1:$BB$56,3),IF(I3362="TN",VLOOKUP(AF3362,TNCalibEqFull!$AZ$1:$BB$56,3),FALSE))))</f>
        <v>y=-0.0466x2+68.24x-22.954</v>
      </c>
      <c r="AV3362" s="10" t="str">
        <f t="shared" si="382"/>
        <v>0213 11:43:00-EFM-0-FIL-1-SW-UKN</v>
      </c>
    </row>
    <row r="3363" spans="1:48" s="10" customFormat="1" x14ac:dyDescent="0.55000000000000004">
      <c r="A3363" s="32">
        <v>44970</v>
      </c>
      <c r="B3363" s="33">
        <v>0.51527777777777783</v>
      </c>
      <c r="C3363" s="10" t="s">
        <v>310</v>
      </c>
      <c r="D3363" s="10">
        <v>0</v>
      </c>
      <c r="E3363" s="10" t="s">
        <v>911</v>
      </c>
      <c r="F3363" s="10">
        <v>1</v>
      </c>
      <c r="G3363" s="10" t="s">
        <v>231</v>
      </c>
      <c r="H3363" s="10" t="s">
        <v>322</v>
      </c>
      <c r="I3363" s="10" t="s">
        <v>266</v>
      </c>
      <c r="J3363" s="10">
        <v>48</v>
      </c>
      <c r="K3363" s="12">
        <v>44972</v>
      </c>
      <c r="L3363" s="33">
        <v>0.61028935185185185</v>
      </c>
      <c r="M3363" s="10">
        <v>1</v>
      </c>
      <c r="N3363" s="10" t="s">
        <v>84</v>
      </c>
      <c r="O3363" s="10">
        <v>1.03</v>
      </c>
      <c r="P3363" s="10">
        <v>7.1199999999999999E-2</v>
      </c>
      <c r="Q3363" s="10">
        <v>48</v>
      </c>
      <c r="R3363" s="10" t="s">
        <v>85</v>
      </c>
      <c r="S3363" s="34">
        <f t="shared" si="379"/>
        <v>50.117675240000011</v>
      </c>
      <c r="T3363" s="10" t="s">
        <v>1246</v>
      </c>
      <c r="U3363" s="34" t="str">
        <f t="shared" si="380"/>
        <v/>
      </c>
      <c r="V3363" s="31" t="str">
        <f>IF(H3363="CHK",VLOOKUP(I3363,QCCHK,3,),IF(H3363="GUP",VLOOKUP(E3363,QCGUP,2,),IF(AND(H3363="ATP",OR(I3363="TN",I3363="TDN",I3363="TNO2-3",I3363="NO2-3")),VLOOKUP(E3363,QCREC_N,2,),IF(AND(H3363="NIC",OR(I3363="TN",I3363="TDN",I3363="TNO2-3",I3363="NO2-3")),VLOOKUP(E3363,QCNIC_N,2,),IF(AND(H3363="UREA",OR(I3363="TN",I3363="TDN",I3363="TNO2-3",I3363="NO2-3")),VLOOKUP(E3363,QCUREA_N,2,),IF(H3363="PER",VLOOKUP(I3363,QCPER,MATCH(E3363,QCACTUAL!$J$25:$AA$25,0),),IF(H3363="SPK",VLOOKUP(I3363,QCSPK,3,),IF(AND(H3363="ATP",OR(I3363="TP",I3363="TDP")),VLOOKUP(E3363,QCATP_P,2,),""))))))))</f>
        <v/>
      </c>
      <c r="W3363" s="31" t="str">
        <f t="shared" si="381"/>
        <v>TRUE</v>
      </c>
      <c r="X3363" s="31" t="str">
        <f t="shared" si="378"/>
        <v/>
      </c>
      <c r="Y3363" s="10" t="s">
        <v>1232</v>
      </c>
      <c r="Z3363" s="10" t="s">
        <v>910</v>
      </c>
      <c r="AF3363" s="12">
        <v>44972</v>
      </c>
      <c r="AG3363" s="10">
        <f>-8.1564*1.03^2+103.56*1.03-47.896</f>
        <v>50.117675240000011</v>
      </c>
      <c r="AH3363" s="10">
        <f>-3.4074*1.03^2+90.534*1.03-41.641</f>
        <v>47.994109340000016</v>
      </c>
      <c r="AI3363" s="10">
        <f>-1.4395*1.03^2+80.835*1.03-35.016</f>
        <v>46.716884449999988</v>
      </c>
      <c r="AK3363" s="10">
        <f>-0.0466*1.03^2+68.24*1.03-22.954</f>
        <v>47.283762059999994</v>
      </c>
      <c r="AL3363" s="10" t="str">
        <f t="shared" si="383"/>
        <v>y=-8.1564*1.03^2+103.56*1.03-47.896</v>
      </c>
      <c r="AM3363" s="10" t="str">
        <f t="shared" si="383"/>
        <v>y=-3.4074*1.03^2+90.534*1.03-41.641</v>
      </c>
      <c r="AN3363" s="10" t="str">
        <f t="shared" si="383"/>
        <v>y=-1.4395*1.03^2+80.835*1.03-35.016</v>
      </c>
      <c r="AO3363" s="10" t="str">
        <f t="shared" si="384"/>
        <v>FALSE</v>
      </c>
      <c r="AP3363" s="10" t="str">
        <f t="shared" si="384"/>
        <v>y=-0.0466*1.03^2+68.24*1.03-22.954</v>
      </c>
      <c r="AQ3363" s="10" t="str">
        <f>IF(AND(I3363="TP",S3363&lt;=150),VLOOKUP(AF3363,TPCalibEq150!$AZ$2:$BB$55,3,),IF(AND(I3363="TDP",S3363&lt;=150),VLOOKUP(AF3363,TPCalibEq150!$AZ$2:$BB$55,3,)))</f>
        <v>y=-8.1564x2+103.56x-47.896</v>
      </c>
      <c r="AR3363" s="10" t="str">
        <f>IF(AND(I3363="TP",S3363&lt;=300),VLOOKUP(AF3363,TPCalibEq300!$AZ$2:$BB$55,3,),IF(AND(I3363="TDP",S3363&lt;=300),VLOOKUP(AF3363,TPCalibEq300!$AZ$2:$BB$55,3,)))</f>
        <v>y=-3.4074x2+90.534x-41.641</v>
      </c>
      <c r="AS3363" s="10" t="str">
        <f>IF(AND(I3363="TP",S3363&lt;=500),VLOOKUP(AF3363,TPCalibEq500!$AZ$2:$BB$56,3,),IF(AND(I3363="TDP",S3363&lt;=500),VLOOKUP(AF3363,TPCalibEq500!$AZ$2:$BB$56,3,)))</f>
        <v>y=-1.4395x2+80.835x-35.016</v>
      </c>
      <c r="AT3363" s="10" t="b">
        <f>IF(AND(I3363="TN",S3363&lt;=2800),VLOOKUP(AF3363,TNCalibEq2500!$AZ$2:$BB$56,3,),IF(AND(I3363="TDN",S3363&lt;=2800),VLOOKUP(AF3363,TNCalibEq2500!$AZ$2:$BB$56,3,)))</f>
        <v>0</v>
      </c>
      <c r="AU3363" s="10" t="str">
        <f>IF(I3363="TP",VLOOKUP(AF3363,TPCalibEqFull!$AZ$2:$BB$56,3),IF(I3363="TDP",VLOOKUP(AF3363,TPCalibEqFull!$AZ$2:$BB$56,3),IF(I3363="TDN",VLOOKUP(AF3363,TNCalibEqFull!$AZ$1:$BB$56,3),IF(I3363="TN",VLOOKUP(AF3363,TNCalibEqFull!$AZ$1:$BB$56,3),FALSE))))</f>
        <v>y=-0.0466x2+68.24x-22.954</v>
      </c>
      <c r="AV3363" s="10" t="str">
        <f t="shared" si="382"/>
        <v>0213 12:22:00-ELI-0-FIL-1-SW-UKN</v>
      </c>
    </row>
    <row r="3364" spans="1:48" s="10" customFormat="1" x14ac:dyDescent="0.55000000000000004">
      <c r="A3364" s="32">
        <v>44970</v>
      </c>
      <c r="B3364" s="33">
        <v>0.51527777777777783</v>
      </c>
      <c r="C3364" s="10" t="s">
        <v>310</v>
      </c>
      <c r="D3364" s="10">
        <v>0</v>
      </c>
      <c r="E3364" s="10" t="s">
        <v>911</v>
      </c>
      <c r="F3364" s="10">
        <v>1</v>
      </c>
      <c r="G3364" s="10" t="s">
        <v>231</v>
      </c>
      <c r="H3364" s="10" t="s">
        <v>233</v>
      </c>
      <c r="I3364" s="10" t="s">
        <v>266</v>
      </c>
      <c r="J3364" s="10">
        <v>48</v>
      </c>
      <c r="K3364" s="12">
        <v>44972</v>
      </c>
      <c r="L3364" s="33">
        <v>0.61099537037037044</v>
      </c>
      <c r="M3364" s="10">
        <v>1</v>
      </c>
      <c r="N3364" s="10" t="s">
        <v>84</v>
      </c>
      <c r="O3364" s="10">
        <v>1</v>
      </c>
      <c r="P3364" s="10">
        <v>7.0300000000000001E-2</v>
      </c>
      <c r="Q3364" s="10">
        <v>46.2</v>
      </c>
      <c r="R3364" s="10" t="s">
        <v>85</v>
      </c>
      <c r="S3364" s="34">
        <f t="shared" si="379"/>
        <v>47.507599999999996</v>
      </c>
      <c r="T3364" s="10" t="s">
        <v>1246</v>
      </c>
      <c r="U3364" s="34">
        <f t="shared" si="380"/>
        <v>5.3471301024933515</v>
      </c>
      <c r="V3364" s="31" t="str">
        <f>IF(H3364="CHK",VLOOKUP(I3364,QCCHK,3,),IF(H3364="GUP",VLOOKUP(E3364,QCGUP,2,),IF(AND(H3364="ATP",OR(I3364="TN",I3364="TDN",I3364="TNO2-3",I3364="NO2-3")),VLOOKUP(E3364,QCREC_N,2,),IF(AND(H3364="NIC",OR(I3364="TN",I3364="TDN",I3364="TNO2-3",I3364="NO2-3")),VLOOKUP(E3364,QCNIC_N,2,),IF(AND(H3364="UREA",OR(I3364="TN",I3364="TDN",I3364="TNO2-3",I3364="NO2-3")),VLOOKUP(E3364,QCUREA_N,2,),IF(H3364="PER",VLOOKUP(I3364,QCPER,MATCH(E3364,QCACTUAL!$J$25:$AA$25,0),),IF(H3364="SPK",VLOOKUP(I3364,QCSPK,3,),IF(AND(H3364="ATP",OR(I3364="TP",I3364="TDP")),VLOOKUP(E3364,QCATP_P,2,),""))))))))</f>
        <v/>
      </c>
      <c r="W3364" s="31" t="str">
        <f t="shared" si="381"/>
        <v>TRUE</v>
      </c>
      <c r="X3364" s="31" t="str">
        <f t="shared" si="378"/>
        <v>((ABS(rep1-rep2))/((rep1+rep2)/2)*100</v>
      </c>
      <c r="Y3364" s="10" t="s">
        <v>1232</v>
      </c>
      <c r="Z3364" s="10" t="s">
        <v>910</v>
      </c>
      <c r="AF3364" s="12">
        <v>44972</v>
      </c>
      <c r="AG3364" s="10">
        <f>-8.1564*1^2+103.56*1-47.896</f>
        <v>47.507599999999996</v>
      </c>
      <c r="AH3364" s="10">
        <f>-3.4074*1^2+90.534*1-41.641</f>
        <v>45.485600000000012</v>
      </c>
      <c r="AI3364" s="10">
        <f>-1.4395*1^2+80.835*1-35.016</f>
        <v>44.3795</v>
      </c>
      <c r="AK3364" s="10">
        <f>-0.0466*1^2+68.24*1-22.954</f>
        <v>45.239399999999996</v>
      </c>
      <c r="AL3364" s="10" t="str">
        <f t="shared" si="383"/>
        <v>y=-8.1564*1^2+103.56*1-47.896</v>
      </c>
      <c r="AM3364" s="10" t="str">
        <f t="shared" si="383"/>
        <v>y=-3.4074*1^2+90.534*1-41.641</v>
      </c>
      <c r="AN3364" s="10" t="str">
        <f t="shared" si="383"/>
        <v>y=-1.4395*1^2+80.835*1-35.016</v>
      </c>
      <c r="AO3364" s="10" t="str">
        <f t="shared" si="384"/>
        <v>FALSE</v>
      </c>
      <c r="AP3364" s="10" t="str">
        <f t="shared" si="384"/>
        <v>y=-0.0466*1^2+68.24*1-22.954</v>
      </c>
      <c r="AQ3364" s="10" t="str">
        <f>IF(AND(I3364="TP",S3364&lt;=150),VLOOKUP(AF3364,TPCalibEq150!$AZ$2:$BB$55,3,),IF(AND(I3364="TDP",S3364&lt;=150),VLOOKUP(AF3364,TPCalibEq150!$AZ$2:$BB$55,3,)))</f>
        <v>y=-8.1564x2+103.56x-47.896</v>
      </c>
      <c r="AR3364" s="10" t="str">
        <f>IF(AND(I3364="TP",S3364&lt;=300),VLOOKUP(AF3364,TPCalibEq300!$AZ$2:$BB$55,3,),IF(AND(I3364="TDP",S3364&lt;=300),VLOOKUP(AF3364,TPCalibEq300!$AZ$2:$BB$55,3,)))</f>
        <v>y=-3.4074x2+90.534x-41.641</v>
      </c>
      <c r="AS3364" s="10" t="str">
        <f>IF(AND(I3364="TP",S3364&lt;=500),VLOOKUP(AF3364,TPCalibEq500!$AZ$2:$BB$56,3,),IF(AND(I3364="TDP",S3364&lt;=500),VLOOKUP(AF3364,TPCalibEq500!$AZ$2:$BB$56,3,)))</f>
        <v>y=-1.4395x2+80.835x-35.016</v>
      </c>
      <c r="AT3364" s="10" t="b">
        <f>IF(AND(I3364="TN",S3364&lt;=2800),VLOOKUP(AF3364,TNCalibEq2500!$AZ$2:$BB$56,3,),IF(AND(I3364="TDN",S3364&lt;=2800),VLOOKUP(AF3364,TNCalibEq2500!$AZ$2:$BB$56,3,)))</f>
        <v>0</v>
      </c>
      <c r="AU3364" s="10" t="str">
        <f>IF(I3364="TP",VLOOKUP(AF3364,TPCalibEqFull!$AZ$2:$BB$56,3),IF(I3364="TDP",VLOOKUP(AF3364,TPCalibEqFull!$AZ$2:$BB$56,3),IF(I3364="TDN",VLOOKUP(AF3364,TNCalibEqFull!$AZ$1:$BB$56,3),IF(I3364="TN",VLOOKUP(AF3364,TNCalibEqFull!$AZ$1:$BB$56,3),FALSE))))</f>
        <v>y=-0.0466x2+68.24x-22.954</v>
      </c>
      <c r="AV3364" s="10" t="str">
        <f t="shared" si="382"/>
        <v>0213 12:22:00-ELI-0-FIL-1-SW-DUP</v>
      </c>
    </row>
    <row r="3365" spans="1:48" s="10" customFormat="1" x14ac:dyDescent="0.55000000000000004">
      <c r="A3365" s="32">
        <v>44970</v>
      </c>
      <c r="B3365" s="33">
        <v>0.51527777777777783</v>
      </c>
      <c r="C3365" s="10" t="s">
        <v>310</v>
      </c>
      <c r="D3365" s="10">
        <v>0</v>
      </c>
      <c r="E3365" s="10" t="s">
        <v>911</v>
      </c>
      <c r="F3365" s="10">
        <v>1</v>
      </c>
      <c r="G3365" s="10" t="s">
        <v>231</v>
      </c>
      <c r="H3365" s="10" t="s">
        <v>314</v>
      </c>
      <c r="I3365" s="10" t="s">
        <v>266</v>
      </c>
      <c r="J3365" s="10">
        <v>54</v>
      </c>
      <c r="K3365" s="12">
        <v>44972</v>
      </c>
      <c r="L3365" s="33">
        <v>0.61168981481481477</v>
      </c>
      <c r="M3365" s="10">
        <v>1</v>
      </c>
      <c r="N3365" s="10" t="s">
        <v>84</v>
      </c>
      <c r="O3365" s="10">
        <v>17</v>
      </c>
      <c r="P3365" s="10">
        <v>1.2</v>
      </c>
      <c r="Q3365" s="10">
        <v>1130</v>
      </c>
      <c r="R3365" s="10" t="s">
        <v>85</v>
      </c>
      <c r="S3365" s="34">
        <f t="shared" si="379"/>
        <v>1130</v>
      </c>
      <c r="T3365" s="10" t="s">
        <v>1246</v>
      </c>
      <c r="U3365" s="34">
        <f t="shared" si="380"/>
        <v>108.24924</v>
      </c>
      <c r="V3365" s="31">
        <f>IF(H3365="CHK",VLOOKUP(I3365,QCCHK,3,),IF(H3365="GUP",VLOOKUP(E3365,QCGUP,2,),IF(AND(H3365="ATP",OR(I3365="TN",I3365="TDN",I3365="TNO2-3",I3365="NO2-3")),VLOOKUP(E3365,QCREC_N,2,),IF(AND(H3365="NIC",OR(I3365="TN",I3365="TDN",I3365="TNO2-3",I3365="NO2-3")),VLOOKUP(E3365,QCNIC_N,2,),IF(AND(H3365="UREA",OR(I3365="TN",I3365="TDN",I3365="TNO2-3",I3365="NO2-3")),VLOOKUP(E3365,QCUREA_N,2,),IF(H3365="PER",VLOOKUP(I3365,QCPER,MATCH(E3365,QCACTUAL!$J$25:$AA$25,0),),IF(H3365="SPK",VLOOKUP(I3365,QCSPK,3,),IF(AND(H3365="ATP",OR(I3365="TP",I3365="TDP")),VLOOKUP(E3365,QCATP_P,2,),""))))))))</f>
        <v>1000</v>
      </c>
      <c r="W3365" s="31" t="str">
        <f t="shared" si="381"/>
        <v>TRUE</v>
      </c>
      <c r="X3365" s="31" t="str">
        <f t="shared" si="378"/>
        <v>([spikedunkn]-[unkn])/[spike]*100</v>
      </c>
      <c r="Y3365" s="10" t="s">
        <v>1232</v>
      </c>
      <c r="Z3365" s="10" t="s">
        <v>910</v>
      </c>
      <c r="AF3365" s="12">
        <v>44972</v>
      </c>
      <c r="AK3365" s="10">
        <f>-0.0466*17^2+68.24*17-22.954</f>
        <v>1123.6586</v>
      </c>
      <c r="AL3365" s="10" t="str">
        <f t="shared" si="383"/>
        <v>FALSE</v>
      </c>
      <c r="AM3365" s="10" t="str">
        <f t="shared" si="383"/>
        <v>FALSE</v>
      </c>
      <c r="AN3365" s="10" t="str">
        <f t="shared" si="383"/>
        <v>FALSE</v>
      </c>
      <c r="AO3365" s="10" t="str">
        <f t="shared" si="384"/>
        <v>FALSE</v>
      </c>
      <c r="AP3365" s="10" t="str">
        <f t="shared" si="384"/>
        <v>y=-0.0466*17^2+68.24*17-22.954</v>
      </c>
      <c r="AQ3365" s="10" t="b">
        <f>IF(AND(I3365="TP",S3365&lt;=150),VLOOKUP(AF3365,TPCalibEq150!$AZ$2:$BB$55,3,),IF(AND(I3365="TDP",S3365&lt;=150),VLOOKUP(AF3365,TPCalibEq150!$AZ$2:$BB$55,3,)))</f>
        <v>0</v>
      </c>
      <c r="AR3365" s="10" t="b">
        <f>IF(AND(I3365="TP",S3365&lt;=300),VLOOKUP(AF3365,TPCalibEq300!$AZ$2:$BB$55,3,),IF(AND(I3365="TDP",S3365&lt;=300),VLOOKUP(AF3365,TPCalibEq300!$AZ$2:$BB$55,3,)))</f>
        <v>0</v>
      </c>
      <c r="AS3365" s="10" t="b">
        <f>IF(AND(I3365="TP",S3365&lt;=500),VLOOKUP(AF3365,TPCalibEq500!$AZ$2:$BB$56,3,),IF(AND(I3365="TDP",S3365&lt;=500),VLOOKUP(AF3365,TPCalibEq500!$AZ$2:$BB$56,3,)))</f>
        <v>0</v>
      </c>
      <c r="AT3365" s="10" t="b">
        <f>IF(AND(I3365="TN",S3365&lt;=2800),VLOOKUP(AF3365,TNCalibEq2500!$AZ$2:$BB$56,3,),IF(AND(I3365="TDN",S3365&lt;=2800),VLOOKUP(AF3365,TNCalibEq2500!$AZ$2:$BB$56,3,)))</f>
        <v>0</v>
      </c>
      <c r="AU3365" s="10" t="str">
        <f>IF(I3365="TP",VLOOKUP(AF3365,TPCalibEqFull!$AZ$2:$BB$56,3),IF(I3365="TDP",VLOOKUP(AF3365,TPCalibEqFull!$AZ$2:$BB$56,3),IF(I3365="TDN",VLOOKUP(AF3365,TNCalibEqFull!$AZ$1:$BB$56,3),IF(I3365="TN",VLOOKUP(AF3365,TNCalibEqFull!$AZ$1:$BB$56,3),FALSE))))</f>
        <v>y=-0.0466x2+68.24x-22.954</v>
      </c>
      <c r="AV3365" s="10" t="str">
        <f t="shared" si="382"/>
        <v>0213 12:22:00-ELI-0-FIL-1-SW-SPK</v>
      </c>
    </row>
    <row r="3366" spans="1:48" s="10" customFormat="1" x14ac:dyDescent="0.55000000000000004">
      <c r="A3366" s="32">
        <v>44972</v>
      </c>
      <c r="B3366" s="33">
        <v>0.375</v>
      </c>
      <c r="C3366" s="10" t="s">
        <v>70</v>
      </c>
      <c r="D3366" s="10" t="s">
        <v>71</v>
      </c>
      <c r="E3366" s="10" t="s">
        <v>901</v>
      </c>
      <c r="F3366" s="10">
        <v>1</v>
      </c>
      <c r="G3366" s="10" t="s">
        <v>73</v>
      </c>
      <c r="H3366" s="10" t="s">
        <v>207</v>
      </c>
      <c r="I3366" s="10" t="s">
        <v>83</v>
      </c>
      <c r="J3366" s="10">
        <v>202</v>
      </c>
      <c r="K3366" s="12">
        <v>44972</v>
      </c>
      <c r="L3366" s="33">
        <v>0.61239583333333336</v>
      </c>
      <c r="M3366" s="10">
        <v>1</v>
      </c>
      <c r="N3366" s="10" t="s">
        <v>84</v>
      </c>
      <c r="O3366" s="10">
        <v>8.1199999999999992</v>
      </c>
      <c r="P3366" s="10">
        <v>0.58599999999999997</v>
      </c>
      <c r="Q3366" s="10">
        <v>530</v>
      </c>
      <c r="R3366" s="10" t="s">
        <v>85</v>
      </c>
      <c r="S3366" s="34">
        <f t="shared" si="379"/>
        <v>530</v>
      </c>
      <c r="T3366" s="10" t="s">
        <v>1246</v>
      </c>
      <c r="U3366" s="34">
        <f t="shared" si="380"/>
        <v>106</v>
      </c>
      <c r="V3366" s="31">
        <f>IF(H3366="CHK",VLOOKUP(I3366,QCCHK,3,),IF(H3366="GUP",VLOOKUP(E3366,QCGUP,2,),IF(AND(H3366="ATP",OR(I3366="TN",I3366="TDN",I3366="TNO2-3",I3366="NO2-3")),VLOOKUP(E3366,QCREC_N,2,),IF(AND(H3366="NIC",OR(I3366="TN",I3366="TDN",I3366="TNO2-3",I3366="NO2-3")),VLOOKUP(E3366,QCNIC_N,2,),IF(AND(H3366="UREA",OR(I3366="TN",I3366="TDN",I3366="TNO2-3",I3366="NO2-3")),VLOOKUP(E3366,QCUREA_N,2,),IF(H3366="PER",VLOOKUP(I3366,QCPER,MATCH(E3366,QCACTUAL!$J$25:$AA$25,0),),IF(H3366="SPK",VLOOKUP(I3366,QCSPK,3,),IF(AND(H3366="ATP",OR(I3366="TP",I3366="TDP")),VLOOKUP(E3366,QCATP_P,2,),""))))))))</f>
        <v>500</v>
      </c>
      <c r="W3366" s="31" t="str">
        <f t="shared" si="381"/>
        <v>TRUE</v>
      </c>
      <c r="X3366" s="31" t="str">
        <f t="shared" si="378"/>
        <v>[chk]/[actual]*100</v>
      </c>
      <c r="Y3366" s="10" t="s">
        <v>1232</v>
      </c>
      <c r="AF3366" s="12">
        <v>44972</v>
      </c>
      <c r="AK3366" s="10">
        <f>-0.0466*8.12^2+68.24*8.12-22.954</f>
        <v>528.08225695999988</v>
      </c>
      <c r="AL3366" s="10" t="str">
        <f t="shared" si="383"/>
        <v>FALSE</v>
      </c>
      <c r="AM3366" s="10" t="str">
        <f t="shared" si="383"/>
        <v>FALSE</v>
      </c>
      <c r="AN3366" s="10" t="str">
        <f t="shared" si="383"/>
        <v>FALSE</v>
      </c>
      <c r="AO3366" s="10" t="str">
        <f t="shared" si="384"/>
        <v>FALSE</v>
      </c>
      <c r="AP3366" s="10" t="str">
        <f t="shared" si="384"/>
        <v>y=-0.0466*8.12^2+68.24*8.12-22.954</v>
      </c>
      <c r="AQ3366" s="10" t="b">
        <f>IF(AND(I3366="TP",S3366&lt;=150),VLOOKUP(AF3366,TPCalibEq150!$AZ$2:$BB$55,3,),IF(AND(I3366="TDP",S3366&lt;=150),VLOOKUP(AF3366,TPCalibEq150!$AZ$2:$BB$55,3,)))</f>
        <v>0</v>
      </c>
      <c r="AR3366" s="10" t="b">
        <f>IF(AND(I3366="TP",S3366&lt;=300),VLOOKUP(AF3366,TPCalibEq300!$AZ$2:$BB$55,3,),IF(AND(I3366="TDP",S3366&lt;=300),VLOOKUP(AF3366,TPCalibEq300!$AZ$2:$BB$55,3,)))</f>
        <v>0</v>
      </c>
      <c r="AS3366" s="10" t="b">
        <f>IF(AND(I3366="TP",S3366&lt;=500),VLOOKUP(AF3366,TPCalibEq500!$AZ$2:$BB$56,3,),IF(AND(I3366="TDP",S3366&lt;=500),VLOOKUP(AF3366,TPCalibEq500!$AZ$2:$BB$56,3,)))</f>
        <v>0</v>
      </c>
      <c r="AT3366" s="10" t="b">
        <f>IF(AND(I3366="TN",S3366&lt;=2800),VLOOKUP(AF3366,TNCalibEq2500!$AZ$2:$BB$56,3,),IF(AND(I3366="TDN",S3366&lt;=2800),VLOOKUP(AF3366,TNCalibEq2500!$AZ$2:$BB$56,3,)))</f>
        <v>0</v>
      </c>
      <c r="AU3366" s="10" t="str">
        <f>IF(I3366="TP",VLOOKUP(AF3366,TPCalibEqFull!$AZ$2:$BB$56,3),IF(I3366="TDP",VLOOKUP(AF3366,TPCalibEqFull!$AZ$2:$BB$56,3),IF(I3366="TDN",VLOOKUP(AF3366,TNCalibEqFull!$AZ$1:$BB$56,3),IF(I3366="TN",VLOOKUP(AF3366,TNCalibEqFull!$AZ$1:$BB$56,3),FALSE))))</f>
        <v>y=-0.0466x2+68.24x-22.954</v>
      </c>
      <c r="AV3366" s="10" t="str">
        <f t="shared" si="382"/>
        <v>0215 09:00:00-QAC-STD-D-1-DI-CHK</v>
      </c>
    </row>
    <row r="3367" spans="1:48" s="10" customFormat="1" x14ac:dyDescent="0.55000000000000004">
      <c r="A3367" s="32">
        <v>44979</v>
      </c>
      <c r="B3367" s="33">
        <v>0.375</v>
      </c>
      <c r="C3367" s="10" t="s">
        <v>70</v>
      </c>
      <c r="D3367" s="10" t="s">
        <v>71</v>
      </c>
      <c r="E3367" s="10" t="s">
        <v>72</v>
      </c>
      <c r="F3367" s="10">
        <v>1</v>
      </c>
      <c r="G3367" s="10" t="s">
        <v>73</v>
      </c>
      <c r="H3367" s="10" t="s">
        <v>74</v>
      </c>
      <c r="I3367" s="10" t="s">
        <v>75</v>
      </c>
      <c r="J3367" s="10">
        <v>181</v>
      </c>
      <c r="K3367" s="12">
        <v>44980</v>
      </c>
      <c r="L3367" s="33">
        <v>0.47081018518518519</v>
      </c>
      <c r="M3367" s="10">
        <v>1</v>
      </c>
      <c r="N3367" s="10" t="s">
        <v>76</v>
      </c>
      <c r="O3367" s="10">
        <v>4.5699999999999998E-2</v>
      </c>
      <c r="P3367" s="10">
        <v>4.3899999999999998E-3</v>
      </c>
      <c r="Q3367" s="10">
        <v>0</v>
      </c>
      <c r="R3367" s="10" t="s">
        <v>77</v>
      </c>
      <c r="S3367" s="34">
        <f t="shared" si="379"/>
        <v>0</v>
      </c>
      <c r="T3367" s="10" t="s">
        <v>78</v>
      </c>
      <c r="U3367" s="34" t="str">
        <f t="shared" si="380"/>
        <v/>
      </c>
      <c r="V3367" s="31" t="str">
        <f>IF(H3367="CHK",VLOOKUP(I3367,QCCHK,3,),IF(H3367="GUP",VLOOKUP(E3367,QCGUP,2,),IF(AND(H3367="ATP",OR(I3367="TN",I3367="TDN",I3367="TNO2-3",I3367="NO2-3")),VLOOKUP(E3367,QCREC_N,2,),IF(AND(H3367="NIC",OR(I3367="TN",I3367="TDN",I3367="TNO2-3",I3367="NO2-3")),VLOOKUP(E3367,QCNIC_N,2,),IF(AND(H3367="UREA",OR(I3367="TN",I3367="TDN",I3367="TNO2-3",I3367="NO2-3")),VLOOKUP(E3367,QCUREA_N,2,),IF(H3367="PER",VLOOKUP(I3367,QCPER,MATCH(E3367,QCACTUAL!$J$25:$AA$25,0),),IF(H3367="SPK",VLOOKUP(I3367,QCSPK,3,),IF(AND(H3367="ATP",OR(I3367="TP",I3367="TDP")),VLOOKUP(E3367,QCATP_P,2,),""))))))))</f>
        <v/>
      </c>
      <c r="W3367" s="31" t="str">
        <f t="shared" si="381"/>
        <v>TRUE</v>
      </c>
      <c r="X3367" s="31" t="str">
        <f t="shared" si="378"/>
        <v/>
      </c>
      <c r="Y3367" s="10" t="s">
        <v>1253</v>
      </c>
      <c r="AL3367" s="10" t="str">
        <f t="shared" si="383"/>
        <v>FALSE</v>
      </c>
      <c r="AM3367" s="10" t="str">
        <f t="shared" si="383"/>
        <v>FALSE</v>
      </c>
      <c r="AN3367" s="10" t="str">
        <f t="shared" si="383"/>
        <v>FALSE</v>
      </c>
      <c r="AO3367" s="10" t="str">
        <f t="shared" si="384"/>
        <v>FALSE</v>
      </c>
      <c r="AP3367" s="10" t="str">
        <f t="shared" si="384"/>
        <v>FALSE</v>
      </c>
      <c r="AQ3367" s="10" t="b">
        <f>IF(AND(I3367="TP",S3367&lt;=150),VLOOKUP(AF3367,TPCalibEq150!$AZ$2:$BB$55,3,),IF(AND(I3367="TDP",S3367&lt;=150),VLOOKUP(AF3367,TPCalibEq150!$AZ$2:$BB$55,3,)))</f>
        <v>0</v>
      </c>
      <c r="AR3367" s="10" t="b">
        <f>IF(AND(I3367="TP",S3367&lt;=300),VLOOKUP(AF3367,TPCalibEq300!$AZ$2:$BB$55,3,),IF(AND(I3367="TDP",S3367&lt;=300),VLOOKUP(AF3367,TPCalibEq300!$AZ$2:$BB$55,3,)))</f>
        <v>0</v>
      </c>
      <c r="AS3367" s="10" t="b">
        <f>IF(AND(I3367="TP",S3367&lt;=500),VLOOKUP(AF3367,TPCalibEq500!$AZ$2:$BB$56,3,),IF(AND(I3367="TDP",S3367&lt;=500),VLOOKUP(AF3367,TPCalibEq500!$AZ$2:$BB$56,3,)))</f>
        <v>0</v>
      </c>
      <c r="AT3367" s="10" t="b">
        <f>IF(AND(I3367="TN",S3367&lt;=2800),VLOOKUP(AF3367,TNCalibEq2500!$AZ$2:$BB$56,3,),IF(AND(I3367="TDN",S3367&lt;=2800),VLOOKUP(AF3367,TNCalibEq2500!$AZ$2:$BB$56,3,)))</f>
        <v>0</v>
      </c>
      <c r="AU3367" s="10" t="b">
        <f>IF(I3367="TP",VLOOKUP(AF3367,TPCalibEqFull!$AZ$2:$BB$56,3),IF(I3367="TDP",VLOOKUP(AF3367,TPCalibEqFull!$AZ$2:$BB$56,3),IF(I3367="TDN",VLOOKUP(AF3367,TNCalibEqFull!$AZ$1:$BB$56,3),IF(I3367="TN",VLOOKUP(AF3367,TNCalibEqFull!$AZ$1:$BB$56,3),FALSE))))</f>
        <v>0</v>
      </c>
      <c r="AV3367" s="10" t="str">
        <f t="shared" si="382"/>
        <v>0222 09:00:00-QAC-STD-H-1-DI-CAL</v>
      </c>
    </row>
    <row r="3368" spans="1:48" s="10" customFormat="1" x14ac:dyDescent="0.55000000000000004">
      <c r="A3368" s="32">
        <v>44979</v>
      </c>
      <c r="B3368" s="33">
        <v>0.375</v>
      </c>
      <c r="C3368" s="10" t="s">
        <v>70</v>
      </c>
      <c r="D3368" s="10" t="s">
        <v>71</v>
      </c>
      <c r="E3368" s="10" t="s">
        <v>908</v>
      </c>
      <c r="F3368" s="10">
        <v>1</v>
      </c>
      <c r="G3368" s="10" t="s">
        <v>73</v>
      </c>
      <c r="H3368" s="10" t="s">
        <v>74</v>
      </c>
      <c r="I3368" s="10" t="s">
        <v>75</v>
      </c>
      <c r="J3368" s="10">
        <v>182</v>
      </c>
      <c r="K3368" s="12">
        <v>44980</v>
      </c>
      <c r="L3368" s="33">
        <v>0.47165509259259258</v>
      </c>
      <c r="M3368" s="10">
        <v>1</v>
      </c>
      <c r="N3368" s="10" t="s">
        <v>76</v>
      </c>
      <c r="O3368" s="10">
        <v>0.14299999999999999</v>
      </c>
      <c r="P3368" s="10">
        <v>1.24E-2</v>
      </c>
      <c r="Q3368" s="10">
        <v>20</v>
      </c>
      <c r="R3368" s="10" t="s">
        <v>77</v>
      </c>
      <c r="S3368" s="34">
        <f t="shared" si="379"/>
        <v>20</v>
      </c>
      <c r="T3368" s="10" t="s">
        <v>1254</v>
      </c>
      <c r="U3368" s="34" t="str">
        <f t="shared" si="380"/>
        <v/>
      </c>
      <c r="V3368" s="31" t="str">
        <f>IF(H3368="CHK",VLOOKUP(I3368,QCCHK,3,),IF(H3368="GUP",VLOOKUP(E3368,QCGUP,2,),IF(AND(H3368="ATP",OR(I3368="TN",I3368="TDN",I3368="TNO2-3",I3368="NO2-3")),VLOOKUP(E3368,QCREC_N,2,),IF(AND(H3368="NIC",OR(I3368="TN",I3368="TDN",I3368="TNO2-3",I3368="NO2-3")),VLOOKUP(E3368,QCNIC_N,2,),IF(AND(H3368="UREA",OR(I3368="TN",I3368="TDN",I3368="TNO2-3",I3368="NO2-3")),VLOOKUP(E3368,QCUREA_N,2,),IF(H3368="PER",VLOOKUP(I3368,QCPER,MATCH(E3368,QCACTUAL!$J$25:$AA$25,0),),IF(H3368="SPK",VLOOKUP(I3368,QCSPK,3,),IF(AND(H3368="ATP",OR(I3368="TP",I3368="TDP")),VLOOKUP(E3368,QCATP_P,2,),""))))))))</f>
        <v/>
      </c>
      <c r="W3368" s="31" t="str">
        <f t="shared" si="381"/>
        <v>TRUE</v>
      </c>
      <c r="X3368" s="31" t="str">
        <f t="shared" si="378"/>
        <v/>
      </c>
      <c r="Y3368" s="10" t="s">
        <v>1253</v>
      </c>
      <c r="AL3368" s="10" t="str">
        <f t="shared" ref="AL3368:AN3431" si="385">IF($O3368="", "", IF(AQ3368&lt;&gt;"", SUBSTITUTE(SUBSTITUTE(AQ3368, "x", "*"&amp;$O3368&amp;"^", 1), "x", "*"&amp;$O3368, 1), ""))</f>
        <v>FALSE</v>
      </c>
      <c r="AM3368" s="10" t="str">
        <f t="shared" si="385"/>
        <v>FALSE</v>
      </c>
      <c r="AN3368" s="10" t="str">
        <f t="shared" si="385"/>
        <v>FALSE</v>
      </c>
      <c r="AO3368" s="10" t="str">
        <f t="shared" ref="AO3368:AP3431" si="386">IF($O3368="", "FALSE", IF(AT3368&lt;&gt;"FALSE", SUBSTITUTE(SUBSTITUTE(AT3368, "x", "*"&amp;$O3368&amp;"^", 1), "x", "*"&amp;$O3368, 1), ""))</f>
        <v>FALSE</v>
      </c>
      <c r="AP3368" s="10" t="str">
        <f t="shared" si="386"/>
        <v>FALSE</v>
      </c>
      <c r="AQ3368" s="10" t="b">
        <f>IF(AND(I3368="TP",S3368&lt;=150),VLOOKUP(AF3368,TPCalibEq150!$AZ$2:$BB$55,3,),IF(AND(I3368="TDP",S3368&lt;=150),VLOOKUP(AF3368,TPCalibEq150!$AZ$2:$BB$55,3,)))</f>
        <v>0</v>
      </c>
      <c r="AR3368" s="10" t="b">
        <f>IF(AND(I3368="TP",S3368&lt;=300),VLOOKUP(AF3368,TPCalibEq300!$AZ$2:$BB$55,3,),IF(AND(I3368="TDP",S3368&lt;=300),VLOOKUP(AF3368,TPCalibEq300!$AZ$2:$BB$55,3,)))</f>
        <v>0</v>
      </c>
      <c r="AS3368" s="10" t="b">
        <f>IF(AND(I3368="TP",S3368&lt;=500),VLOOKUP(AF3368,TPCalibEq500!$AZ$2:$BB$56,3,),IF(AND(I3368="TDP",S3368&lt;=500),VLOOKUP(AF3368,TPCalibEq500!$AZ$2:$BB$56,3,)))</f>
        <v>0</v>
      </c>
      <c r="AT3368" s="10" t="b">
        <f>IF(AND(I3368="TN",S3368&lt;=2800),VLOOKUP(AF3368,TNCalibEq2500!$AZ$2:$BB$56,3,),IF(AND(I3368="TDN",S3368&lt;=2800),VLOOKUP(AF3368,TNCalibEq2500!$AZ$2:$BB$56,3,)))</f>
        <v>0</v>
      </c>
      <c r="AU3368" s="10" t="b">
        <f>IF(I3368="TP",VLOOKUP(AF3368,TPCalibEqFull!$AZ$2:$BB$56,3),IF(I3368="TDP",VLOOKUP(AF3368,TPCalibEqFull!$AZ$2:$BB$56,3),IF(I3368="TDN",VLOOKUP(AF3368,TNCalibEqFull!$AZ$1:$BB$56,3),IF(I3368="TN",VLOOKUP(AF3368,TNCalibEqFull!$AZ$1:$BB$56,3),FALSE))))</f>
        <v>0</v>
      </c>
      <c r="AV3368" s="10" t="str">
        <f t="shared" si="382"/>
        <v>0222 09:00:00-QAC-STD-G-1-DI-CAL</v>
      </c>
    </row>
    <row r="3369" spans="1:48" s="10" customFormat="1" x14ac:dyDescent="0.55000000000000004">
      <c r="A3369" s="32">
        <v>44979</v>
      </c>
      <c r="B3369" s="33">
        <v>0.375</v>
      </c>
      <c r="C3369" s="10" t="s">
        <v>70</v>
      </c>
      <c r="D3369" s="10" t="s">
        <v>71</v>
      </c>
      <c r="E3369" s="10" t="s">
        <v>550</v>
      </c>
      <c r="F3369" s="10">
        <v>1</v>
      </c>
      <c r="G3369" s="10" t="s">
        <v>73</v>
      </c>
      <c r="H3369" s="10" t="s">
        <v>74</v>
      </c>
      <c r="I3369" s="10" t="s">
        <v>75</v>
      </c>
      <c r="J3369" s="10">
        <v>183</v>
      </c>
      <c r="K3369" s="12">
        <v>44980</v>
      </c>
      <c r="L3369" s="33">
        <v>0.47249999999999998</v>
      </c>
      <c r="M3369" s="10">
        <v>1</v>
      </c>
      <c r="N3369" s="10" t="s">
        <v>76</v>
      </c>
      <c r="O3369" s="10">
        <v>0.68700000000000006</v>
      </c>
      <c r="P3369" s="10">
        <v>5.1999999999999998E-2</v>
      </c>
      <c r="Q3369" s="10">
        <v>60</v>
      </c>
      <c r="R3369" s="10" t="s">
        <v>77</v>
      </c>
      <c r="S3369" s="34">
        <f t="shared" si="379"/>
        <v>60</v>
      </c>
      <c r="T3369" s="10" t="s">
        <v>1255</v>
      </c>
      <c r="U3369" s="34" t="str">
        <f t="shared" si="380"/>
        <v/>
      </c>
      <c r="V3369" s="31" t="str">
        <f>IF(H3369="CHK",VLOOKUP(I3369,QCCHK,3,),IF(H3369="GUP",VLOOKUP(E3369,QCGUP,2,),IF(AND(H3369="ATP",OR(I3369="TN",I3369="TDN",I3369="TNO2-3",I3369="NO2-3")),VLOOKUP(E3369,QCREC_N,2,),IF(AND(H3369="NIC",OR(I3369="TN",I3369="TDN",I3369="TNO2-3",I3369="NO2-3")),VLOOKUP(E3369,QCNIC_N,2,),IF(AND(H3369="UREA",OR(I3369="TN",I3369="TDN",I3369="TNO2-3",I3369="NO2-3")),VLOOKUP(E3369,QCUREA_N,2,),IF(H3369="PER",VLOOKUP(I3369,QCPER,MATCH(E3369,QCACTUAL!$J$25:$AA$25,0),),IF(H3369="SPK",VLOOKUP(I3369,QCSPK,3,),IF(AND(H3369="ATP",OR(I3369="TP",I3369="TDP")),VLOOKUP(E3369,QCATP_P,2,),""))))))))</f>
        <v/>
      </c>
      <c r="W3369" s="31" t="str">
        <f t="shared" si="381"/>
        <v>TRUE</v>
      </c>
      <c r="X3369" s="31" t="str">
        <f t="shared" si="378"/>
        <v/>
      </c>
      <c r="Y3369" s="10" t="s">
        <v>1253</v>
      </c>
      <c r="AL3369" s="10" t="str">
        <f t="shared" si="385"/>
        <v>FALSE</v>
      </c>
      <c r="AM3369" s="10" t="str">
        <f t="shared" si="385"/>
        <v>FALSE</v>
      </c>
      <c r="AN3369" s="10" t="str">
        <f t="shared" si="385"/>
        <v>FALSE</v>
      </c>
      <c r="AO3369" s="10" t="str">
        <f t="shared" si="386"/>
        <v>FALSE</v>
      </c>
      <c r="AP3369" s="10" t="str">
        <f t="shared" si="386"/>
        <v>FALSE</v>
      </c>
      <c r="AQ3369" s="10" t="b">
        <f>IF(AND(I3369="TP",S3369&lt;=150),VLOOKUP(AF3369,TPCalibEq150!$AZ$2:$BB$55,3,),IF(AND(I3369="TDP",S3369&lt;=150),VLOOKUP(AF3369,TPCalibEq150!$AZ$2:$BB$55,3,)))</f>
        <v>0</v>
      </c>
      <c r="AR3369" s="10" t="b">
        <f>IF(AND(I3369="TP",S3369&lt;=300),VLOOKUP(AF3369,TPCalibEq300!$AZ$2:$BB$55,3,),IF(AND(I3369="TDP",S3369&lt;=300),VLOOKUP(AF3369,TPCalibEq300!$AZ$2:$BB$55,3,)))</f>
        <v>0</v>
      </c>
      <c r="AS3369" s="10" t="b">
        <f>IF(AND(I3369="TP",S3369&lt;=500),VLOOKUP(AF3369,TPCalibEq500!$AZ$2:$BB$56,3,),IF(AND(I3369="TDP",S3369&lt;=500),VLOOKUP(AF3369,TPCalibEq500!$AZ$2:$BB$56,3,)))</f>
        <v>0</v>
      </c>
      <c r="AT3369" s="10" t="b">
        <f>IF(AND(I3369="TN",S3369&lt;=2800),VLOOKUP(AF3369,TNCalibEq2500!$AZ$2:$BB$56,3,),IF(AND(I3369="TDN",S3369&lt;=2800),VLOOKUP(AF3369,TNCalibEq2500!$AZ$2:$BB$56,3,)))</f>
        <v>0</v>
      </c>
      <c r="AU3369" s="10" t="b">
        <f>IF(I3369="TP",VLOOKUP(AF3369,TPCalibEqFull!$AZ$2:$BB$56,3),IF(I3369="TDP",VLOOKUP(AF3369,TPCalibEqFull!$AZ$2:$BB$56,3),IF(I3369="TDN",VLOOKUP(AF3369,TNCalibEqFull!$AZ$1:$BB$56,3),IF(I3369="TN",VLOOKUP(AF3369,TNCalibEqFull!$AZ$1:$BB$56,3),FALSE))))</f>
        <v>0</v>
      </c>
      <c r="AV3369" s="10" t="str">
        <f t="shared" si="382"/>
        <v>0222 09:00:00-QAC-STD-F-1-DI-CAL</v>
      </c>
    </row>
    <row r="3370" spans="1:48" s="10" customFormat="1" x14ac:dyDescent="0.55000000000000004">
      <c r="A3370" s="32">
        <v>44979</v>
      </c>
      <c r="B3370" s="33">
        <v>0.375</v>
      </c>
      <c r="C3370" s="10" t="s">
        <v>70</v>
      </c>
      <c r="D3370" s="10" t="s">
        <v>71</v>
      </c>
      <c r="E3370" s="10" t="s">
        <v>909</v>
      </c>
      <c r="F3370" s="10">
        <v>1</v>
      </c>
      <c r="G3370" s="10" t="s">
        <v>73</v>
      </c>
      <c r="H3370" s="10" t="s">
        <v>74</v>
      </c>
      <c r="I3370" s="10" t="s">
        <v>75</v>
      </c>
      <c r="J3370" s="10">
        <v>184</v>
      </c>
      <c r="K3370" s="12">
        <v>44980</v>
      </c>
      <c r="L3370" s="33">
        <v>0.47333333333333333</v>
      </c>
      <c r="M3370" s="10">
        <v>1</v>
      </c>
      <c r="N3370" s="10" t="s">
        <v>76</v>
      </c>
      <c r="O3370" s="10">
        <v>1.03</v>
      </c>
      <c r="P3370" s="10">
        <v>7.8899999999999998E-2</v>
      </c>
      <c r="Q3370" s="10">
        <v>80</v>
      </c>
      <c r="R3370" s="10" t="s">
        <v>77</v>
      </c>
      <c r="S3370" s="34">
        <f t="shared" si="379"/>
        <v>80</v>
      </c>
      <c r="T3370" s="10" t="s">
        <v>1256</v>
      </c>
      <c r="U3370" s="34" t="str">
        <f t="shared" si="380"/>
        <v/>
      </c>
      <c r="V3370" s="31" t="str">
        <f>IF(H3370="CHK",VLOOKUP(I3370,QCCHK,3,),IF(H3370="GUP",VLOOKUP(E3370,QCGUP,2,),IF(AND(H3370="ATP",OR(I3370="TN",I3370="TDN",I3370="TNO2-3",I3370="NO2-3")),VLOOKUP(E3370,QCREC_N,2,),IF(AND(H3370="NIC",OR(I3370="TN",I3370="TDN",I3370="TNO2-3",I3370="NO2-3")),VLOOKUP(E3370,QCNIC_N,2,),IF(AND(H3370="UREA",OR(I3370="TN",I3370="TDN",I3370="TNO2-3",I3370="NO2-3")),VLOOKUP(E3370,QCUREA_N,2,),IF(H3370="PER",VLOOKUP(I3370,QCPER,MATCH(E3370,QCACTUAL!$J$25:$AA$25,0),),IF(H3370="SPK",VLOOKUP(I3370,QCSPK,3,),IF(AND(H3370="ATP",OR(I3370="TP",I3370="TDP")),VLOOKUP(E3370,QCATP_P,2,),""))))))))</f>
        <v/>
      </c>
      <c r="W3370" s="31" t="str">
        <f t="shared" si="381"/>
        <v>TRUE</v>
      </c>
      <c r="X3370" s="31" t="str">
        <f t="shared" si="378"/>
        <v/>
      </c>
      <c r="Y3370" s="10" t="s">
        <v>1253</v>
      </c>
      <c r="AL3370" s="10" t="str">
        <f t="shared" si="385"/>
        <v>FALSE</v>
      </c>
      <c r="AM3370" s="10" t="str">
        <f t="shared" si="385"/>
        <v>FALSE</v>
      </c>
      <c r="AN3370" s="10" t="str">
        <f t="shared" si="385"/>
        <v>FALSE</v>
      </c>
      <c r="AO3370" s="10" t="str">
        <f t="shared" si="386"/>
        <v>FALSE</v>
      </c>
      <c r="AP3370" s="10" t="str">
        <f t="shared" si="386"/>
        <v>FALSE</v>
      </c>
      <c r="AQ3370" s="10" t="b">
        <f>IF(AND(I3370="TP",S3370&lt;=150),VLOOKUP(AF3370,TPCalibEq150!$AZ$2:$BB$55,3,),IF(AND(I3370="TDP",S3370&lt;=150),VLOOKUP(AF3370,TPCalibEq150!$AZ$2:$BB$55,3,)))</f>
        <v>0</v>
      </c>
      <c r="AR3370" s="10" t="b">
        <f>IF(AND(I3370="TP",S3370&lt;=300),VLOOKUP(AF3370,TPCalibEq300!$AZ$2:$BB$55,3,),IF(AND(I3370="TDP",S3370&lt;=300),VLOOKUP(AF3370,TPCalibEq300!$AZ$2:$BB$55,3,)))</f>
        <v>0</v>
      </c>
      <c r="AS3370" s="10" t="b">
        <f>IF(AND(I3370="TP",S3370&lt;=500),VLOOKUP(AF3370,TPCalibEq500!$AZ$2:$BB$56,3,),IF(AND(I3370="TDP",S3370&lt;=500),VLOOKUP(AF3370,TPCalibEq500!$AZ$2:$BB$56,3,)))</f>
        <v>0</v>
      </c>
      <c r="AT3370" s="10" t="b">
        <f>IF(AND(I3370="TN",S3370&lt;=2800),VLOOKUP(AF3370,TNCalibEq2500!$AZ$2:$BB$56,3,),IF(AND(I3370="TDN",S3370&lt;=2800),VLOOKUP(AF3370,TNCalibEq2500!$AZ$2:$BB$56,3,)))</f>
        <v>0</v>
      </c>
      <c r="AU3370" s="10" t="b">
        <f>IF(I3370="TP",VLOOKUP(AF3370,TPCalibEqFull!$AZ$2:$BB$56,3),IF(I3370="TDP",VLOOKUP(AF3370,TPCalibEqFull!$AZ$2:$BB$56,3),IF(I3370="TDN",VLOOKUP(AF3370,TNCalibEqFull!$AZ$1:$BB$56,3),IF(I3370="TN",VLOOKUP(AF3370,TNCalibEqFull!$AZ$1:$BB$56,3),FALSE))))</f>
        <v>0</v>
      </c>
      <c r="AV3370" s="10" t="str">
        <f t="shared" si="382"/>
        <v>0222 09:00:00-QAC-STD-E-1-DI-CAL</v>
      </c>
    </row>
    <row r="3371" spans="1:48" s="10" customFormat="1" x14ac:dyDescent="0.55000000000000004">
      <c r="A3371" s="32">
        <v>44979</v>
      </c>
      <c r="B3371" s="33">
        <v>0.375</v>
      </c>
      <c r="C3371" s="10" t="s">
        <v>70</v>
      </c>
      <c r="D3371" s="10" t="s">
        <v>71</v>
      </c>
      <c r="E3371" s="10" t="s">
        <v>901</v>
      </c>
      <c r="F3371" s="10">
        <v>1</v>
      </c>
      <c r="G3371" s="10" t="s">
        <v>73</v>
      </c>
      <c r="H3371" s="10" t="s">
        <v>74</v>
      </c>
      <c r="I3371" s="10" t="s">
        <v>75</v>
      </c>
      <c r="J3371" s="10">
        <v>185</v>
      </c>
      <c r="K3371" s="12">
        <v>44980</v>
      </c>
      <c r="L3371" s="33">
        <v>0.47415509259259259</v>
      </c>
      <c r="M3371" s="10">
        <v>1</v>
      </c>
      <c r="N3371" s="10" t="s">
        <v>76</v>
      </c>
      <c r="O3371" s="10">
        <v>4.51</v>
      </c>
      <c r="P3371" s="10">
        <v>0.35599999999999998</v>
      </c>
      <c r="Q3371" s="10">
        <v>300</v>
      </c>
      <c r="R3371" s="10" t="s">
        <v>77</v>
      </c>
      <c r="S3371" s="34">
        <f t="shared" si="379"/>
        <v>300</v>
      </c>
      <c r="T3371" s="10" t="s">
        <v>1257</v>
      </c>
      <c r="U3371" s="34" t="str">
        <f t="shared" si="380"/>
        <v/>
      </c>
      <c r="V3371" s="31" t="str">
        <f>IF(H3371="CHK",VLOOKUP(I3371,QCCHK,3,),IF(H3371="GUP",VLOOKUP(E3371,QCGUP,2,),IF(AND(H3371="ATP",OR(I3371="TN",I3371="TDN",I3371="TNO2-3",I3371="NO2-3")),VLOOKUP(E3371,QCREC_N,2,),IF(AND(H3371="NIC",OR(I3371="TN",I3371="TDN",I3371="TNO2-3",I3371="NO2-3")),VLOOKUP(E3371,QCNIC_N,2,),IF(AND(H3371="UREA",OR(I3371="TN",I3371="TDN",I3371="TNO2-3",I3371="NO2-3")),VLOOKUP(E3371,QCUREA_N,2,),IF(H3371="PER",VLOOKUP(I3371,QCPER,MATCH(E3371,QCACTUAL!$J$25:$AA$25,0),),IF(H3371="SPK",VLOOKUP(I3371,QCSPK,3,),IF(AND(H3371="ATP",OR(I3371="TP",I3371="TDP")),VLOOKUP(E3371,QCATP_P,2,),""))))))))</f>
        <v/>
      </c>
      <c r="W3371" s="31" t="str">
        <f t="shared" si="381"/>
        <v>TRUE</v>
      </c>
      <c r="X3371" s="31" t="str">
        <f t="shared" si="378"/>
        <v/>
      </c>
      <c r="Y3371" s="10" t="s">
        <v>1253</v>
      </c>
      <c r="AL3371" s="10" t="str">
        <f t="shared" si="385"/>
        <v>FALSE</v>
      </c>
      <c r="AM3371" s="10" t="str">
        <f t="shared" si="385"/>
        <v>FALSE</v>
      </c>
      <c r="AN3371" s="10" t="str">
        <f t="shared" si="385"/>
        <v>FALSE</v>
      </c>
      <c r="AO3371" s="10" t="str">
        <f t="shared" si="386"/>
        <v>FALSE</v>
      </c>
      <c r="AP3371" s="10" t="str">
        <f t="shared" si="386"/>
        <v>FALSE</v>
      </c>
      <c r="AQ3371" s="10" t="b">
        <f>IF(AND(I3371="TP",S3371&lt;=150),VLOOKUP(AF3371,TPCalibEq150!$AZ$2:$BB$55,3,),IF(AND(I3371="TDP",S3371&lt;=150),VLOOKUP(AF3371,TPCalibEq150!$AZ$2:$BB$55,3,)))</f>
        <v>0</v>
      </c>
      <c r="AR3371" s="10" t="b">
        <f>IF(AND(I3371="TP",S3371&lt;=300),VLOOKUP(AF3371,TPCalibEq300!$AZ$2:$BB$55,3,),IF(AND(I3371="TDP",S3371&lt;=300),VLOOKUP(AF3371,TPCalibEq300!$AZ$2:$BB$55,3,)))</f>
        <v>0</v>
      </c>
      <c r="AS3371" s="10" t="b">
        <f>IF(AND(I3371="TP",S3371&lt;=500),VLOOKUP(AF3371,TPCalibEq500!$AZ$2:$BB$56,3,),IF(AND(I3371="TDP",S3371&lt;=500),VLOOKUP(AF3371,TPCalibEq500!$AZ$2:$BB$56,3,)))</f>
        <v>0</v>
      </c>
      <c r="AT3371" s="10" t="b">
        <f>IF(AND(I3371="TN",S3371&lt;=2800),VLOOKUP(AF3371,TNCalibEq2500!$AZ$2:$BB$56,3,),IF(AND(I3371="TDN",S3371&lt;=2800),VLOOKUP(AF3371,TNCalibEq2500!$AZ$2:$BB$56,3,)))</f>
        <v>0</v>
      </c>
      <c r="AU3371" s="10" t="b">
        <f>IF(I3371="TP",VLOOKUP(AF3371,TPCalibEqFull!$AZ$2:$BB$56,3),IF(I3371="TDP",VLOOKUP(AF3371,TPCalibEqFull!$AZ$2:$BB$56,3),IF(I3371="TDN",VLOOKUP(AF3371,TNCalibEqFull!$AZ$1:$BB$56,3),IF(I3371="TN",VLOOKUP(AF3371,TNCalibEqFull!$AZ$1:$BB$56,3),FALSE))))</f>
        <v>0</v>
      </c>
      <c r="AV3371" s="10" t="str">
        <f t="shared" si="382"/>
        <v>0222 09:00:00-QAC-STD-D-1-DI-CAL</v>
      </c>
    </row>
    <row r="3372" spans="1:48" s="10" customFormat="1" x14ac:dyDescent="0.55000000000000004">
      <c r="A3372" s="32">
        <v>44979</v>
      </c>
      <c r="B3372" s="33">
        <v>0.375</v>
      </c>
      <c r="C3372" s="10" t="s">
        <v>70</v>
      </c>
      <c r="D3372" s="10" t="s">
        <v>71</v>
      </c>
      <c r="E3372" s="10" t="s">
        <v>190</v>
      </c>
      <c r="F3372" s="10">
        <v>1</v>
      </c>
      <c r="G3372" s="10" t="s">
        <v>73</v>
      </c>
      <c r="H3372" s="10" t="s">
        <v>74</v>
      </c>
      <c r="I3372" s="10" t="s">
        <v>75</v>
      </c>
      <c r="J3372" s="10">
        <v>186</v>
      </c>
      <c r="K3372" s="12">
        <v>44980</v>
      </c>
      <c r="L3372" s="33">
        <v>0.47497685185185184</v>
      </c>
      <c r="M3372" s="10">
        <v>1</v>
      </c>
      <c r="N3372" s="10" t="s">
        <v>76</v>
      </c>
      <c r="O3372" s="10">
        <v>9.5299999999999994</v>
      </c>
      <c r="P3372" s="10">
        <v>0.75600000000000001</v>
      </c>
      <c r="Q3372" s="10">
        <v>600</v>
      </c>
      <c r="R3372" s="10" t="s">
        <v>77</v>
      </c>
      <c r="S3372" s="34">
        <f t="shared" si="379"/>
        <v>600</v>
      </c>
      <c r="T3372" s="10" t="s">
        <v>1258</v>
      </c>
      <c r="U3372" s="34" t="str">
        <f t="shared" si="380"/>
        <v/>
      </c>
      <c r="V3372" s="31" t="str">
        <f>IF(H3372="CHK",VLOOKUP(I3372,QCCHK,3,),IF(H3372="GUP",VLOOKUP(E3372,QCGUP,2,),IF(AND(H3372="ATP",OR(I3372="TN",I3372="TDN",I3372="TNO2-3",I3372="NO2-3")),VLOOKUP(E3372,QCREC_N,2,),IF(AND(H3372="NIC",OR(I3372="TN",I3372="TDN",I3372="TNO2-3",I3372="NO2-3")),VLOOKUP(E3372,QCNIC_N,2,),IF(AND(H3372="UREA",OR(I3372="TN",I3372="TDN",I3372="TNO2-3",I3372="NO2-3")),VLOOKUP(E3372,QCUREA_N,2,),IF(H3372="PER",VLOOKUP(I3372,QCPER,MATCH(E3372,QCACTUAL!$J$25:$AA$25,0),),IF(H3372="SPK",VLOOKUP(I3372,QCSPK,3,),IF(AND(H3372="ATP",OR(I3372="TP",I3372="TDP")),VLOOKUP(E3372,QCATP_P,2,),""))))))))</f>
        <v/>
      </c>
      <c r="W3372" s="31" t="str">
        <f t="shared" si="381"/>
        <v>TRUE</v>
      </c>
      <c r="X3372" s="31" t="str">
        <f t="shared" si="378"/>
        <v/>
      </c>
      <c r="Y3372" s="10" t="s">
        <v>1253</v>
      </c>
      <c r="AL3372" s="10" t="str">
        <f t="shared" si="385"/>
        <v>FALSE</v>
      </c>
      <c r="AM3372" s="10" t="str">
        <f t="shared" si="385"/>
        <v>FALSE</v>
      </c>
      <c r="AN3372" s="10" t="str">
        <f t="shared" si="385"/>
        <v>FALSE</v>
      </c>
      <c r="AO3372" s="10" t="str">
        <f t="shared" si="386"/>
        <v>FALSE</v>
      </c>
      <c r="AP3372" s="10" t="str">
        <f t="shared" si="386"/>
        <v>FALSE</v>
      </c>
      <c r="AQ3372" s="10" t="b">
        <f>IF(AND(I3372="TP",S3372&lt;=150),VLOOKUP(AF3372,TPCalibEq150!$AZ$2:$BB$55,3,),IF(AND(I3372="TDP",S3372&lt;=150),VLOOKUP(AF3372,TPCalibEq150!$AZ$2:$BB$55,3,)))</f>
        <v>0</v>
      </c>
      <c r="AR3372" s="10" t="b">
        <f>IF(AND(I3372="TP",S3372&lt;=300),VLOOKUP(AF3372,TPCalibEq300!$AZ$2:$BB$55,3,),IF(AND(I3372="TDP",S3372&lt;=300),VLOOKUP(AF3372,TPCalibEq300!$AZ$2:$BB$55,3,)))</f>
        <v>0</v>
      </c>
      <c r="AS3372" s="10" t="b">
        <f>IF(AND(I3372="TP",S3372&lt;=500),VLOOKUP(AF3372,TPCalibEq500!$AZ$2:$BB$56,3,),IF(AND(I3372="TDP",S3372&lt;=500),VLOOKUP(AF3372,TPCalibEq500!$AZ$2:$BB$56,3,)))</f>
        <v>0</v>
      </c>
      <c r="AT3372" s="10" t="b">
        <f>IF(AND(I3372="TN",S3372&lt;=2800),VLOOKUP(AF3372,TNCalibEq2500!$AZ$2:$BB$56,3,),IF(AND(I3372="TDN",S3372&lt;=2800),VLOOKUP(AF3372,TNCalibEq2500!$AZ$2:$BB$56,3,)))</f>
        <v>0</v>
      </c>
      <c r="AU3372" s="10" t="b">
        <f>IF(I3372="TP",VLOOKUP(AF3372,TPCalibEqFull!$AZ$2:$BB$56,3),IF(I3372="TDP",VLOOKUP(AF3372,TPCalibEqFull!$AZ$2:$BB$56,3),IF(I3372="TDN",VLOOKUP(AF3372,TNCalibEqFull!$AZ$1:$BB$56,3),IF(I3372="TN",VLOOKUP(AF3372,TNCalibEqFull!$AZ$1:$BB$56,3),FALSE))))</f>
        <v>0</v>
      </c>
      <c r="AV3372" s="10" t="str">
        <f t="shared" si="382"/>
        <v>0222 09:00:00-QAC-STD-C-1-DI-CAL</v>
      </c>
    </row>
    <row r="3373" spans="1:48" s="10" customFormat="1" x14ac:dyDescent="0.55000000000000004">
      <c r="A3373" s="32">
        <v>44979</v>
      </c>
      <c r="B3373" s="33">
        <v>0.375</v>
      </c>
      <c r="C3373" s="10" t="s">
        <v>70</v>
      </c>
      <c r="D3373" s="10" t="s">
        <v>71</v>
      </c>
      <c r="E3373" s="10" t="s">
        <v>583</v>
      </c>
      <c r="F3373" s="10">
        <v>1</v>
      </c>
      <c r="G3373" s="10" t="s">
        <v>73</v>
      </c>
      <c r="H3373" s="10" t="s">
        <v>74</v>
      </c>
      <c r="I3373" s="10" t="s">
        <v>75</v>
      </c>
      <c r="J3373" s="10">
        <v>187</v>
      </c>
      <c r="K3373" s="12">
        <v>44980</v>
      </c>
      <c r="L3373" s="33">
        <v>0.47579861111111116</v>
      </c>
      <c r="M3373" s="10">
        <v>1</v>
      </c>
      <c r="N3373" s="10" t="s">
        <v>76</v>
      </c>
      <c r="O3373" s="10">
        <v>19.8</v>
      </c>
      <c r="P3373" s="10">
        <v>1.58</v>
      </c>
      <c r="Q3373" s="10">
        <v>1200</v>
      </c>
      <c r="R3373" s="10" t="s">
        <v>77</v>
      </c>
      <c r="S3373" s="34">
        <f t="shared" si="379"/>
        <v>1200</v>
      </c>
      <c r="T3373" s="10" t="s">
        <v>1259</v>
      </c>
      <c r="U3373" s="34" t="str">
        <f t="shared" si="380"/>
        <v/>
      </c>
      <c r="V3373" s="31" t="str">
        <f>IF(H3373="CHK",VLOOKUP(I3373,QCCHK,3,),IF(H3373="GUP",VLOOKUP(E3373,QCGUP,2,),IF(AND(H3373="ATP",OR(I3373="TN",I3373="TDN",I3373="TNO2-3",I3373="NO2-3")),VLOOKUP(E3373,QCREC_N,2,),IF(AND(H3373="NIC",OR(I3373="TN",I3373="TDN",I3373="TNO2-3",I3373="NO2-3")),VLOOKUP(E3373,QCNIC_N,2,),IF(AND(H3373="UREA",OR(I3373="TN",I3373="TDN",I3373="TNO2-3",I3373="NO2-3")),VLOOKUP(E3373,QCUREA_N,2,),IF(H3373="PER",VLOOKUP(I3373,QCPER,MATCH(E3373,QCACTUAL!$J$25:$AA$25,0),),IF(H3373="SPK",VLOOKUP(I3373,QCSPK,3,),IF(AND(H3373="ATP",OR(I3373="TP",I3373="TDP")),VLOOKUP(E3373,QCATP_P,2,),""))))))))</f>
        <v/>
      </c>
      <c r="W3373" s="31" t="str">
        <f t="shared" si="381"/>
        <v>TRUE</v>
      </c>
      <c r="X3373" s="31" t="str">
        <f t="shared" si="378"/>
        <v/>
      </c>
      <c r="Y3373" s="10" t="s">
        <v>1253</v>
      </c>
      <c r="AL3373" s="10" t="str">
        <f t="shared" si="385"/>
        <v>FALSE</v>
      </c>
      <c r="AM3373" s="10" t="str">
        <f t="shared" si="385"/>
        <v>FALSE</v>
      </c>
      <c r="AN3373" s="10" t="str">
        <f t="shared" si="385"/>
        <v>FALSE</v>
      </c>
      <c r="AO3373" s="10" t="str">
        <f t="shared" si="386"/>
        <v>FALSE</v>
      </c>
      <c r="AP3373" s="10" t="str">
        <f t="shared" si="386"/>
        <v>FALSE</v>
      </c>
      <c r="AQ3373" s="10" t="b">
        <f>IF(AND(I3373="TP",S3373&lt;=150),VLOOKUP(AF3373,TPCalibEq150!$AZ$2:$BB$55,3,),IF(AND(I3373="TDP",S3373&lt;=150),VLOOKUP(AF3373,TPCalibEq150!$AZ$2:$BB$55,3,)))</f>
        <v>0</v>
      </c>
      <c r="AR3373" s="10" t="b">
        <f>IF(AND(I3373="TP",S3373&lt;=300),VLOOKUP(AF3373,TPCalibEq300!$AZ$2:$BB$55,3,),IF(AND(I3373="TDP",S3373&lt;=300),VLOOKUP(AF3373,TPCalibEq300!$AZ$2:$BB$55,3,)))</f>
        <v>0</v>
      </c>
      <c r="AS3373" s="10" t="b">
        <f>IF(AND(I3373="TP",S3373&lt;=500),VLOOKUP(AF3373,TPCalibEq500!$AZ$2:$BB$56,3,),IF(AND(I3373="TDP",S3373&lt;=500),VLOOKUP(AF3373,TPCalibEq500!$AZ$2:$BB$56,3,)))</f>
        <v>0</v>
      </c>
      <c r="AT3373" s="10" t="b">
        <f>IF(AND(I3373="TN",S3373&lt;=2800),VLOOKUP(AF3373,TNCalibEq2500!$AZ$2:$BB$56,3,),IF(AND(I3373="TDN",S3373&lt;=2800),VLOOKUP(AF3373,TNCalibEq2500!$AZ$2:$BB$56,3,)))</f>
        <v>0</v>
      </c>
      <c r="AU3373" s="10" t="b">
        <f>IF(I3373="TP",VLOOKUP(AF3373,TPCalibEqFull!$AZ$2:$BB$56,3),IF(I3373="TDP",VLOOKUP(AF3373,TPCalibEqFull!$AZ$2:$BB$56,3),IF(I3373="TDN",VLOOKUP(AF3373,TNCalibEqFull!$AZ$1:$BB$56,3),IF(I3373="TN",VLOOKUP(AF3373,TNCalibEqFull!$AZ$1:$BB$56,3),FALSE))))</f>
        <v>0</v>
      </c>
      <c r="AV3373" s="10" t="str">
        <f t="shared" si="382"/>
        <v>0222 09:00:00-QAC-STD-B-1-DI-CAL</v>
      </c>
    </row>
    <row r="3374" spans="1:48" s="10" customFormat="1" x14ac:dyDescent="0.55000000000000004">
      <c r="A3374" s="32">
        <v>44979</v>
      </c>
      <c r="B3374" s="33">
        <v>0.375</v>
      </c>
      <c r="C3374" s="10" t="s">
        <v>70</v>
      </c>
      <c r="D3374" s="10" t="s">
        <v>71</v>
      </c>
      <c r="E3374" s="10" t="s">
        <v>866</v>
      </c>
      <c r="F3374" s="10">
        <v>1</v>
      </c>
      <c r="G3374" s="10" t="s">
        <v>73</v>
      </c>
      <c r="H3374" s="10" t="s">
        <v>74</v>
      </c>
      <c r="I3374" s="10" t="s">
        <v>75</v>
      </c>
      <c r="J3374" s="10">
        <v>188</v>
      </c>
      <c r="K3374" s="12">
        <v>44980</v>
      </c>
      <c r="L3374" s="33">
        <v>0.47663194444444446</v>
      </c>
      <c r="M3374" s="10">
        <v>1</v>
      </c>
      <c r="N3374" s="10" t="s">
        <v>76</v>
      </c>
      <c r="O3374" s="10">
        <v>32.9</v>
      </c>
      <c r="P3374" s="10">
        <v>2.61</v>
      </c>
      <c r="Q3374" s="10">
        <v>2000</v>
      </c>
      <c r="R3374" s="10" t="s">
        <v>77</v>
      </c>
      <c r="S3374" s="34">
        <f t="shared" si="379"/>
        <v>2000</v>
      </c>
      <c r="T3374" s="10" t="s">
        <v>1260</v>
      </c>
      <c r="U3374" s="34" t="str">
        <f t="shared" si="380"/>
        <v/>
      </c>
      <c r="V3374" s="31" t="str">
        <f>IF(H3374="CHK",VLOOKUP(I3374,QCCHK,3,),IF(H3374="GUP",VLOOKUP(E3374,QCGUP,2,),IF(AND(H3374="ATP",OR(I3374="TN",I3374="TDN",I3374="TNO2-3",I3374="NO2-3")),VLOOKUP(E3374,QCREC_N,2,),IF(AND(H3374="NIC",OR(I3374="TN",I3374="TDN",I3374="TNO2-3",I3374="NO2-3")),VLOOKUP(E3374,QCNIC_N,2,),IF(AND(H3374="UREA",OR(I3374="TN",I3374="TDN",I3374="TNO2-3",I3374="NO2-3")),VLOOKUP(E3374,QCUREA_N,2,),IF(H3374="PER",VLOOKUP(I3374,QCPER,MATCH(E3374,QCACTUAL!$J$25:$AA$25,0),),IF(H3374="SPK",VLOOKUP(I3374,QCSPK,3,),IF(AND(H3374="ATP",OR(I3374="TP",I3374="TDP")),VLOOKUP(E3374,QCATP_P,2,),""))))))))</f>
        <v/>
      </c>
      <c r="W3374" s="31" t="str">
        <f t="shared" si="381"/>
        <v>TRUE</v>
      </c>
      <c r="X3374" s="31" t="str">
        <f t="shared" si="378"/>
        <v/>
      </c>
      <c r="Y3374" s="10" t="s">
        <v>1253</v>
      </c>
      <c r="AL3374" s="10" t="str">
        <f t="shared" si="385"/>
        <v>FALSE</v>
      </c>
      <c r="AM3374" s="10" t="str">
        <f t="shared" si="385"/>
        <v>FALSE</v>
      </c>
      <c r="AN3374" s="10" t="str">
        <f t="shared" si="385"/>
        <v>FALSE</v>
      </c>
      <c r="AO3374" s="10" t="str">
        <f t="shared" si="386"/>
        <v>FALSE</v>
      </c>
      <c r="AP3374" s="10" t="str">
        <f t="shared" si="386"/>
        <v>FALSE</v>
      </c>
      <c r="AQ3374" s="10" t="b">
        <f>IF(AND(I3374="TP",S3374&lt;=150),VLOOKUP(AF3374,TPCalibEq150!$AZ$2:$BB$55,3,),IF(AND(I3374="TDP",S3374&lt;=150),VLOOKUP(AF3374,TPCalibEq150!$AZ$2:$BB$55,3,)))</f>
        <v>0</v>
      </c>
      <c r="AR3374" s="10" t="b">
        <f>IF(AND(I3374="TP",S3374&lt;=300),VLOOKUP(AF3374,TPCalibEq300!$AZ$2:$BB$55,3,),IF(AND(I3374="TDP",S3374&lt;=300),VLOOKUP(AF3374,TPCalibEq300!$AZ$2:$BB$55,3,)))</f>
        <v>0</v>
      </c>
      <c r="AS3374" s="10" t="b">
        <f>IF(AND(I3374="TP",S3374&lt;=500),VLOOKUP(AF3374,TPCalibEq500!$AZ$2:$BB$56,3,),IF(AND(I3374="TDP",S3374&lt;=500),VLOOKUP(AF3374,TPCalibEq500!$AZ$2:$BB$56,3,)))</f>
        <v>0</v>
      </c>
      <c r="AT3374" s="10" t="b">
        <f>IF(AND(I3374="TN",S3374&lt;=2800),VLOOKUP(AF3374,TNCalibEq2500!$AZ$2:$BB$56,3,),IF(AND(I3374="TDN",S3374&lt;=2800),VLOOKUP(AF3374,TNCalibEq2500!$AZ$2:$BB$56,3,)))</f>
        <v>0</v>
      </c>
      <c r="AU3374" s="10" t="b">
        <f>IF(I3374="TP",VLOOKUP(AF3374,TPCalibEqFull!$AZ$2:$BB$56,3),IF(I3374="TDP",VLOOKUP(AF3374,TPCalibEqFull!$AZ$2:$BB$56,3),IF(I3374="TDN",VLOOKUP(AF3374,TNCalibEqFull!$AZ$1:$BB$56,3),IF(I3374="TN",VLOOKUP(AF3374,TNCalibEqFull!$AZ$1:$BB$56,3),FALSE))))</f>
        <v>0</v>
      </c>
      <c r="AV3374" s="10" t="str">
        <f t="shared" si="382"/>
        <v>0222 09:00:00-QAC-STD-A-1-DI-CAL</v>
      </c>
    </row>
    <row r="3375" spans="1:48" s="10" customFormat="1" x14ac:dyDescent="0.55000000000000004">
      <c r="A3375" s="32">
        <v>44979</v>
      </c>
      <c r="B3375" s="33">
        <v>0.375</v>
      </c>
      <c r="C3375" s="10" t="s">
        <v>70</v>
      </c>
      <c r="D3375" s="10" t="s">
        <v>241</v>
      </c>
      <c r="E3375" s="10" t="s">
        <v>866</v>
      </c>
      <c r="F3375" s="10">
        <v>1</v>
      </c>
      <c r="G3375" s="10" t="s">
        <v>73</v>
      </c>
      <c r="H3375" s="10" t="s">
        <v>283</v>
      </c>
      <c r="I3375" s="10" t="s">
        <v>75</v>
      </c>
      <c r="J3375" s="10">
        <v>198</v>
      </c>
      <c r="K3375" s="12">
        <v>44980</v>
      </c>
      <c r="L3375" s="33">
        <v>0.47825231481481478</v>
      </c>
      <c r="M3375" s="10">
        <v>1</v>
      </c>
      <c r="N3375" s="10" t="s">
        <v>76</v>
      </c>
      <c r="O3375" s="10">
        <v>1.0699999999999999E-2</v>
      </c>
      <c r="P3375" s="10">
        <v>3.1199999999999999E-3</v>
      </c>
      <c r="Q3375" s="10">
        <v>0.67400000000000004</v>
      </c>
      <c r="R3375" s="10" t="s">
        <v>77</v>
      </c>
      <c r="S3375" s="34">
        <f t="shared" si="379"/>
        <v>0.67400000000000004</v>
      </c>
      <c r="T3375" s="10" t="s">
        <v>1260</v>
      </c>
      <c r="U3375" s="34">
        <f t="shared" si="380"/>
        <v>0.67400000000000004</v>
      </c>
      <c r="V3375" s="31" t="str">
        <f>IF(H3375="CHK",VLOOKUP(I3375,QCCHK,3,),IF(H3375="GUP",VLOOKUP(E3375,QCGUP,2,),IF(AND(H3375="ATP",OR(I3375="TN",I3375="TDN",I3375="TNO2-3",I3375="NO2-3")),VLOOKUP(E3375,QCREC_N,2,),IF(AND(H3375="NIC",OR(I3375="TN",I3375="TDN",I3375="TNO2-3",I3375="NO2-3")),VLOOKUP(E3375,QCNIC_N,2,),IF(AND(H3375="UREA",OR(I3375="TN",I3375="TDN",I3375="TNO2-3",I3375="NO2-3")),VLOOKUP(E3375,QCUREA_N,2,),IF(H3375="PER",VLOOKUP(I3375,QCPER,MATCH(E3375,QCACTUAL!$J$25:$AA$25,0),),IF(H3375="SPK",VLOOKUP(I3375,QCSPK,3,),IF(AND(H3375="ATP",OR(I3375="TP",I3375="TDP")),VLOOKUP(E3375,QCATP_P,2,),""))))))))</f>
        <v/>
      </c>
      <c r="W3375" s="31" t="str">
        <f t="shared" si="381"/>
        <v>TRUE</v>
      </c>
      <c r="X3375" s="31" t="str">
        <f t="shared" si="378"/>
        <v>nominal concentration</v>
      </c>
      <c r="Y3375" s="10" t="s">
        <v>1253</v>
      </c>
      <c r="AL3375" s="10" t="str">
        <f t="shared" si="385"/>
        <v>FALSE</v>
      </c>
      <c r="AM3375" s="10" t="str">
        <f t="shared" si="385"/>
        <v>FALSE</v>
      </c>
      <c r="AN3375" s="10" t="str">
        <f t="shared" si="385"/>
        <v>FALSE</v>
      </c>
      <c r="AO3375" s="10" t="str">
        <f t="shared" si="386"/>
        <v>FALSE</v>
      </c>
      <c r="AP3375" s="10" t="str">
        <f t="shared" si="386"/>
        <v>FALSE</v>
      </c>
      <c r="AQ3375" s="10" t="b">
        <f>IF(AND(I3375="TP",S3375&lt;=150),VLOOKUP(AF3375,TPCalibEq150!$AZ$2:$BB$55,3,),IF(AND(I3375="TDP",S3375&lt;=150),VLOOKUP(AF3375,TPCalibEq150!$AZ$2:$BB$55,3,)))</f>
        <v>0</v>
      </c>
      <c r="AR3375" s="10" t="b">
        <f>IF(AND(I3375="TP",S3375&lt;=300),VLOOKUP(AF3375,TPCalibEq300!$AZ$2:$BB$55,3,),IF(AND(I3375="TDP",S3375&lt;=300),VLOOKUP(AF3375,TPCalibEq300!$AZ$2:$BB$55,3,)))</f>
        <v>0</v>
      </c>
      <c r="AS3375" s="10" t="b">
        <f>IF(AND(I3375="TP",S3375&lt;=500),VLOOKUP(AF3375,TPCalibEq500!$AZ$2:$BB$56,3,),IF(AND(I3375="TDP",S3375&lt;=500),VLOOKUP(AF3375,TPCalibEq500!$AZ$2:$BB$56,3,)))</f>
        <v>0</v>
      </c>
      <c r="AT3375" s="10" t="b">
        <f>IF(AND(I3375="TN",S3375&lt;=2800),VLOOKUP(AF3375,TNCalibEq2500!$AZ$2:$BB$56,3,),IF(AND(I3375="TDN",S3375&lt;=2800),VLOOKUP(AF3375,TNCalibEq2500!$AZ$2:$BB$56,3,)))</f>
        <v>0</v>
      </c>
      <c r="AU3375" s="10" t="b">
        <f>IF(I3375="TP",VLOOKUP(AF3375,TPCalibEqFull!$AZ$2:$BB$56,3),IF(I3375="TDP",VLOOKUP(AF3375,TPCalibEqFull!$AZ$2:$BB$56,3),IF(I3375="TDN",VLOOKUP(AF3375,TNCalibEqFull!$AZ$1:$BB$56,3),IF(I3375="TN",VLOOKUP(AF3375,TNCalibEqFull!$AZ$1:$BB$56,3),FALSE))))</f>
        <v>0</v>
      </c>
      <c r="AV3375" s="10" t="str">
        <f t="shared" si="382"/>
        <v>0222 09:00:00-QAC-BLK-A-1-DI-LAB</v>
      </c>
    </row>
    <row r="3376" spans="1:48" s="10" customFormat="1" x14ac:dyDescent="0.55000000000000004">
      <c r="A3376" s="32">
        <v>44979</v>
      </c>
      <c r="B3376" s="33">
        <v>0.375</v>
      </c>
      <c r="C3376" s="10" t="s">
        <v>70</v>
      </c>
      <c r="D3376" s="10" t="s">
        <v>241</v>
      </c>
      <c r="E3376" s="10" t="s">
        <v>866</v>
      </c>
      <c r="F3376" s="10">
        <v>1</v>
      </c>
      <c r="G3376" s="10" t="s">
        <v>73</v>
      </c>
      <c r="H3376" s="10" t="s">
        <v>314</v>
      </c>
      <c r="I3376" s="10" t="s">
        <v>75</v>
      </c>
      <c r="J3376" s="10">
        <v>225</v>
      </c>
      <c r="K3376" s="12">
        <v>44980</v>
      </c>
      <c r="L3376" s="33">
        <v>0.47908564814814819</v>
      </c>
      <c r="M3376" s="10">
        <v>1</v>
      </c>
      <c r="N3376" s="10" t="s">
        <v>76</v>
      </c>
      <c r="O3376" s="10">
        <v>10.7</v>
      </c>
      <c r="P3376" s="10">
        <v>0.86399999999999999</v>
      </c>
      <c r="Q3376" s="10">
        <v>667</v>
      </c>
      <c r="R3376" s="10" t="s">
        <v>77</v>
      </c>
      <c r="S3376" s="34">
        <f t="shared" si="379"/>
        <v>667</v>
      </c>
      <c r="T3376" s="10" t="s">
        <v>1260</v>
      </c>
      <c r="U3376" s="34">
        <f t="shared" si="380"/>
        <v>106.61216</v>
      </c>
      <c r="V3376" s="31">
        <f>IF(H3376="CHK",VLOOKUP(I3376,QCCHK,3,),IF(H3376="GUP",VLOOKUP(E3376,QCGUP,2,),IF(AND(H3376="ATP",OR(I3376="TN",I3376="TDN",I3376="TNO2-3",I3376="NO2-3")),VLOOKUP(E3376,QCREC_N,2,),IF(AND(H3376="NIC",OR(I3376="TN",I3376="TDN",I3376="TNO2-3",I3376="NO2-3")),VLOOKUP(E3376,QCNIC_N,2,),IF(AND(H3376="UREA",OR(I3376="TN",I3376="TDN",I3376="TNO2-3",I3376="NO2-3")),VLOOKUP(E3376,QCUREA_N,2,),IF(H3376="PER",VLOOKUP(I3376,QCPER,MATCH(E3376,QCACTUAL!$J$25:$AA$25,0),),IF(H3376="SPK",VLOOKUP(I3376,QCSPK,3,),IF(AND(H3376="ATP",OR(I3376="TP",I3376="TDP")),VLOOKUP(E3376,QCATP_P,2,),""))))))))</f>
        <v>625</v>
      </c>
      <c r="W3376" s="31" t="str">
        <f t="shared" si="381"/>
        <v>TRUE</v>
      </c>
      <c r="X3376" s="31" t="str">
        <f t="shared" si="378"/>
        <v>([spikedunkn]-[unkn])/[spike]*100</v>
      </c>
      <c r="Y3376" s="10" t="s">
        <v>1253</v>
      </c>
      <c r="AL3376" s="10" t="str">
        <f t="shared" si="385"/>
        <v>FALSE</v>
      </c>
      <c r="AM3376" s="10" t="str">
        <f t="shared" si="385"/>
        <v>FALSE</v>
      </c>
      <c r="AN3376" s="10" t="str">
        <f t="shared" si="385"/>
        <v>FALSE</v>
      </c>
      <c r="AO3376" s="10" t="str">
        <f t="shared" si="386"/>
        <v>FALSE</v>
      </c>
      <c r="AP3376" s="10" t="str">
        <f t="shared" si="386"/>
        <v>FALSE</v>
      </c>
      <c r="AQ3376" s="10" t="b">
        <f>IF(AND(I3376="TP",S3376&lt;=150),VLOOKUP(AF3376,TPCalibEq150!$AZ$2:$BB$55,3,),IF(AND(I3376="TDP",S3376&lt;=150),VLOOKUP(AF3376,TPCalibEq150!$AZ$2:$BB$55,3,)))</f>
        <v>0</v>
      </c>
      <c r="AR3376" s="10" t="b">
        <f>IF(AND(I3376="TP",S3376&lt;=300),VLOOKUP(AF3376,TPCalibEq300!$AZ$2:$BB$55,3,),IF(AND(I3376="TDP",S3376&lt;=300),VLOOKUP(AF3376,TPCalibEq300!$AZ$2:$BB$55,3,)))</f>
        <v>0</v>
      </c>
      <c r="AS3376" s="10" t="b">
        <f>IF(AND(I3376="TP",S3376&lt;=500),VLOOKUP(AF3376,TPCalibEq500!$AZ$2:$BB$56,3,),IF(AND(I3376="TDP",S3376&lt;=500),VLOOKUP(AF3376,TPCalibEq500!$AZ$2:$BB$56,3,)))</f>
        <v>0</v>
      </c>
      <c r="AT3376" s="10" t="b">
        <f>IF(AND(I3376="TN",S3376&lt;=2800),VLOOKUP(AF3376,TNCalibEq2500!$AZ$2:$BB$56,3,),IF(AND(I3376="TDN",S3376&lt;=2800),VLOOKUP(AF3376,TNCalibEq2500!$AZ$2:$BB$56,3,)))</f>
        <v>0</v>
      </c>
      <c r="AU3376" s="10" t="b">
        <f>IF(I3376="TP",VLOOKUP(AF3376,TPCalibEqFull!$AZ$2:$BB$56,3),IF(I3376="TDP",VLOOKUP(AF3376,TPCalibEqFull!$AZ$2:$BB$56,3),IF(I3376="TDN",VLOOKUP(AF3376,TNCalibEqFull!$AZ$1:$BB$56,3),IF(I3376="TN",VLOOKUP(AF3376,TNCalibEqFull!$AZ$1:$BB$56,3),FALSE))))</f>
        <v>0</v>
      </c>
      <c r="AV3376" s="10" t="str">
        <f t="shared" si="382"/>
        <v>0222 09:00:00-QAC-BLK-A-1-DI-SPK</v>
      </c>
    </row>
    <row r="3377" spans="1:48" s="10" customFormat="1" x14ac:dyDescent="0.55000000000000004">
      <c r="A3377" s="32">
        <v>44979</v>
      </c>
      <c r="B3377" s="33">
        <v>0.375</v>
      </c>
      <c r="C3377" s="10" t="s">
        <v>70</v>
      </c>
      <c r="D3377" s="10" t="s">
        <v>71</v>
      </c>
      <c r="E3377" s="10" t="s">
        <v>948</v>
      </c>
      <c r="F3377" s="10">
        <v>1</v>
      </c>
      <c r="G3377" s="10" t="s">
        <v>73</v>
      </c>
      <c r="H3377" s="10" t="s">
        <v>299</v>
      </c>
      <c r="I3377" s="10" t="s">
        <v>75</v>
      </c>
      <c r="J3377" s="10">
        <v>197</v>
      </c>
      <c r="K3377" s="12">
        <v>44980</v>
      </c>
      <c r="L3377" s="33">
        <v>0.47990740740740739</v>
      </c>
      <c r="M3377" s="10">
        <v>1</v>
      </c>
      <c r="N3377" s="10" t="s">
        <v>76</v>
      </c>
      <c r="O3377" s="10">
        <v>17.7</v>
      </c>
      <c r="P3377" s="10">
        <v>1.42</v>
      </c>
      <c r="Q3377" s="10">
        <v>1090</v>
      </c>
      <c r="R3377" s="10" t="s">
        <v>77</v>
      </c>
      <c r="S3377" s="34">
        <f t="shared" si="379"/>
        <v>1090</v>
      </c>
      <c r="T3377" s="10" t="s">
        <v>1260</v>
      </c>
      <c r="U3377" s="34">
        <f t="shared" si="380"/>
        <v>103.80952380952382</v>
      </c>
      <c r="V3377" s="31">
        <f>IF(H3377="CHK",VLOOKUP(I3377,QCCHK,3,),IF(H3377="GUP",VLOOKUP(E3377,QCGUP,2,),IF(AND(H3377="ATP",OR(I3377="TN",I3377="TDN",I3377="TNO2-3",I3377="NO2-3")),VLOOKUP(E3377,QCREC_N,2,),IF(AND(H3377="NIC",OR(I3377="TN",I3377="TDN",I3377="TNO2-3",I3377="NO2-3")),VLOOKUP(E3377,QCNIC_N,2,),IF(AND(H3377="UREA",OR(I3377="TN",I3377="TDN",I3377="TNO2-3",I3377="NO2-3")),VLOOKUP(E3377,QCUREA_N,2,),IF(H3377="PER",VLOOKUP(I3377,QCPER,MATCH(E3377,QCACTUAL!$J$25:$AA$25,0),),IF(H3377="SPK",VLOOKUP(I3377,QCSPK,3,),IF(AND(H3377="ATP",OR(I3377="TP",I3377="TDP")),VLOOKUP(E3377,QCATP_P,2,),""))))))))</f>
        <v>1050</v>
      </c>
      <c r="W3377" s="31" t="str">
        <f t="shared" si="381"/>
        <v>TRUE</v>
      </c>
      <c r="X3377" s="31" t="str">
        <f t="shared" si="378"/>
        <v>[per]/[actual]*100</v>
      </c>
      <c r="Y3377" s="10" t="s">
        <v>1253</v>
      </c>
      <c r="AL3377" s="10" t="str">
        <f t="shared" si="385"/>
        <v>FALSE</v>
      </c>
      <c r="AM3377" s="10" t="str">
        <f t="shared" si="385"/>
        <v>FALSE</v>
      </c>
      <c r="AN3377" s="10" t="str">
        <f t="shared" si="385"/>
        <v>FALSE</v>
      </c>
      <c r="AO3377" s="10" t="str">
        <f t="shared" si="386"/>
        <v>FALSE</v>
      </c>
      <c r="AP3377" s="10" t="str">
        <f t="shared" si="386"/>
        <v>FALSE</v>
      </c>
      <c r="AQ3377" s="10" t="b">
        <f>IF(AND(I3377="TP",S3377&lt;=150),VLOOKUP(AF3377,TPCalibEq150!$AZ$2:$BB$55,3,),IF(AND(I3377="TDP",S3377&lt;=150),VLOOKUP(AF3377,TPCalibEq150!$AZ$2:$BB$55,3,)))</f>
        <v>0</v>
      </c>
      <c r="AR3377" s="10" t="b">
        <f>IF(AND(I3377="TP",S3377&lt;=300),VLOOKUP(AF3377,TPCalibEq300!$AZ$2:$BB$55,3,),IF(AND(I3377="TDP",S3377&lt;=300),VLOOKUP(AF3377,TPCalibEq300!$AZ$2:$BB$55,3,)))</f>
        <v>0</v>
      </c>
      <c r="AS3377" s="10" t="b">
        <f>IF(AND(I3377="TP",S3377&lt;=500),VLOOKUP(AF3377,TPCalibEq500!$AZ$2:$BB$56,3,),IF(AND(I3377="TDP",S3377&lt;=500),VLOOKUP(AF3377,TPCalibEq500!$AZ$2:$BB$56,3,)))</f>
        <v>0</v>
      </c>
      <c r="AT3377" s="10" t="b">
        <f>IF(AND(I3377="TN",S3377&lt;=2800),VLOOKUP(AF3377,TNCalibEq2500!$AZ$2:$BB$56,3,),IF(AND(I3377="TDN",S3377&lt;=2800),VLOOKUP(AF3377,TNCalibEq2500!$AZ$2:$BB$56,3,)))</f>
        <v>0</v>
      </c>
      <c r="AU3377" s="10" t="b">
        <f>IF(I3377="TP",VLOOKUP(AF3377,TPCalibEqFull!$AZ$2:$BB$56,3),IF(I3377="TDP",VLOOKUP(AF3377,TPCalibEqFull!$AZ$2:$BB$56,3),IF(I3377="TDN",VLOOKUP(AF3377,TNCalibEqFull!$AZ$1:$BB$56,3),IF(I3377="TN",VLOOKUP(AF3377,TNCalibEqFull!$AZ$1:$BB$56,3),FALSE))))</f>
        <v>0</v>
      </c>
      <c r="AV3377" s="10" t="str">
        <f t="shared" si="382"/>
        <v>0222 09:00:00-QAC-STD-22A-1-DI-PER</v>
      </c>
    </row>
    <row r="3378" spans="1:48" s="10" customFormat="1" x14ac:dyDescent="0.55000000000000004">
      <c r="A3378" s="32">
        <v>44978</v>
      </c>
      <c r="B3378" s="33">
        <v>0.25</v>
      </c>
      <c r="C3378" s="10" t="s">
        <v>70</v>
      </c>
      <c r="D3378" s="10" t="s">
        <v>241</v>
      </c>
      <c r="E3378" s="10">
        <v>800</v>
      </c>
      <c r="F3378" s="10">
        <v>1</v>
      </c>
      <c r="G3378" s="10" t="s">
        <v>73</v>
      </c>
      <c r="H3378" s="10" t="s">
        <v>264</v>
      </c>
      <c r="I3378" s="10" t="s">
        <v>75</v>
      </c>
      <c r="J3378" s="10">
        <v>91</v>
      </c>
      <c r="K3378" s="12">
        <v>44980</v>
      </c>
      <c r="L3378" s="33">
        <v>0.48319444444444443</v>
      </c>
      <c r="M3378" s="10">
        <v>1</v>
      </c>
      <c r="N3378" s="10" t="s">
        <v>76</v>
      </c>
      <c r="O3378" s="10">
        <v>1.31</v>
      </c>
      <c r="P3378" s="10">
        <v>0.108</v>
      </c>
      <c r="Q3378" s="10">
        <v>81.900000000000006</v>
      </c>
      <c r="R3378" s="10" t="s">
        <v>77</v>
      </c>
      <c r="S3378" s="34">
        <f t="shared" si="379"/>
        <v>81.900000000000006</v>
      </c>
      <c r="T3378" s="10" t="s">
        <v>1260</v>
      </c>
      <c r="U3378" s="34">
        <f t="shared" si="380"/>
        <v>81.900000000000006</v>
      </c>
      <c r="V3378" s="31" t="str">
        <f>IF(H3378="CHK",VLOOKUP(I3378,QCCHK,3,),IF(H3378="GUP",VLOOKUP(E3378,QCGUP,2,),IF(AND(H3378="ATP",OR(I3378="TN",I3378="TDN",I3378="TNO2-3",I3378="NO2-3")),VLOOKUP(E3378,QCREC_N,2,),IF(AND(H3378="NIC",OR(I3378="TN",I3378="TDN",I3378="TNO2-3",I3378="NO2-3")),VLOOKUP(E3378,QCNIC_N,2,),IF(AND(H3378="UREA",OR(I3378="TN",I3378="TDN",I3378="TNO2-3",I3378="NO2-3")),VLOOKUP(E3378,QCUREA_N,2,),IF(H3378="PER",VLOOKUP(I3378,QCPER,MATCH(E3378,QCACTUAL!$J$25:$AA$25,0),),IF(H3378="SPK",VLOOKUP(I3378,QCSPK,3,),IF(AND(H3378="ATP",OR(I3378="TP",I3378="TDP")),VLOOKUP(E3378,QCATP_P,2,),""))))))))</f>
        <v/>
      </c>
      <c r="W3378" s="31" t="str">
        <f t="shared" si="381"/>
        <v>FALSE</v>
      </c>
      <c r="X3378" s="31" t="str">
        <f t="shared" si="378"/>
        <v>nominal concentration</v>
      </c>
      <c r="Y3378" s="10" t="s">
        <v>1253</v>
      </c>
      <c r="AL3378" s="10" t="str">
        <f t="shared" si="385"/>
        <v>FALSE</v>
      </c>
      <c r="AM3378" s="10" t="str">
        <f t="shared" si="385"/>
        <v>FALSE</v>
      </c>
      <c r="AN3378" s="10" t="str">
        <f t="shared" si="385"/>
        <v>FALSE</v>
      </c>
      <c r="AO3378" s="10" t="str">
        <f t="shared" si="386"/>
        <v>FALSE</v>
      </c>
      <c r="AP3378" s="10" t="str">
        <f t="shared" si="386"/>
        <v>FALSE</v>
      </c>
      <c r="AQ3378" s="10" t="b">
        <f>IF(AND(I3378="TP",S3378&lt;=150),VLOOKUP(AF3378,TPCalibEq150!$AZ$2:$BB$55,3,),IF(AND(I3378="TDP",S3378&lt;=150),VLOOKUP(AF3378,TPCalibEq150!$AZ$2:$BB$55,3,)))</f>
        <v>0</v>
      </c>
      <c r="AR3378" s="10" t="b">
        <f>IF(AND(I3378="TP",S3378&lt;=300),VLOOKUP(AF3378,TPCalibEq300!$AZ$2:$BB$55,3,),IF(AND(I3378="TDP",S3378&lt;=300),VLOOKUP(AF3378,TPCalibEq300!$AZ$2:$BB$55,3,)))</f>
        <v>0</v>
      </c>
      <c r="AS3378" s="10" t="b">
        <f>IF(AND(I3378="TP",S3378&lt;=500),VLOOKUP(AF3378,TPCalibEq500!$AZ$2:$BB$56,3,),IF(AND(I3378="TDP",S3378&lt;=500),VLOOKUP(AF3378,TPCalibEq500!$AZ$2:$BB$56,3,)))</f>
        <v>0</v>
      </c>
      <c r="AT3378" s="10" t="b">
        <f>IF(AND(I3378="TN",S3378&lt;=2800),VLOOKUP(AF3378,TNCalibEq2500!$AZ$2:$BB$56,3,),IF(AND(I3378="TDN",S3378&lt;=2800),VLOOKUP(AF3378,TNCalibEq2500!$AZ$2:$BB$56,3,)))</f>
        <v>0</v>
      </c>
      <c r="AU3378" s="10" t="b">
        <f>IF(I3378="TP",VLOOKUP(AF3378,TPCalibEqFull!$AZ$2:$BB$56,3),IF(I3378="TDP",VLOOKUP(AF3378,TPCalibEqFull!$AZ$2:$BB$56,3),IF(I3378="TDN",VLOOKUP(AF3378,TNCalibEqFull!$AZ$1:$BB$56,3),IF(I3378="TN",VLOOKUP(AF3378,TNCalibEqFull!$AZ$1:$BB$56,3),FALSE))))</f>
        <v>0</v>
      </c>
      <c r="AV3378" s="10" t="str">
        <f t="shared" si="382"/>
        <v>0221 06:00:00-QAC-BLK-800-1-DI-FLD</v>
      </c>
    </row>
    <row r="3379" spans="1:48" s="10" customFormat="1" x14ac:dyDescent="0.55000000000000004">
      <c r="A3379" s="32">
        <v>44978</v>
      </c>
      <c r="B3379" s="33">
        <v>0.23333333333333331</v>
      </c>
      <c r="C3379" s="10" t="s">
        <v>70</v>
      </c>
      <c r="D3379" s="10" t="s">
        <v>241</v>
      </c>
      <c r="E3379" s="10" t="s">
        <v>866</v>
      </c>
      <c r="F3379" s="10">
        <v>1</v>
      </c>
      <c r="G3379" s="10" t="s">
        <v>73</v>
      </c>
      <c r="H3379" s="10" t="s">
        <v>264</v>
      </c>
      <c r="I3379" s="10" t="s">
        <v>75</v>
      </c>
      <c r="J3379" s="10">
        <v>92</v>
      </c>
      <c r="K3379" s="12">
        <v>44980</v>
      </c>
      <c r="L3379" s="33">
        <v>0.48401620370370368</v>
      </c>
      <c r="M3379" s="10">
        <v>1</v>
      </c>
      <c r="N3379" s="10" t="s">
        <v>76</v>
      </c>
      <c r="O3379" s="10">
        <v>6.2199999999999998E-2</v>
      </c>
      <c r="P3379" s="10">
        <v>4.3600000000000002E-3</v>
      </c>
      <c r="Q3379" s="10">
        <v>3.91</v>
      </c>
      <c r="R3379" s="10" t="s">
        <v>77</v>
      </c>
      <c r="S3379" s="34">
        <f t="shared" si="379"/>
        <v>3.91</v>
      </c>
      <c r="T3379" s="10" t="s">
        <v>1260</v>
      </c>
      <c r="U3379" s="34">
        <f t="shared" si="380"/>
        <v>3.91</v>
      </c>
      <c r="V3379" s="31" t="str">
        <f>IF(H3379="CHK",VLOOKUP(I3379,QCCHK,3,),IF(H3379="GUP",VLOOKUP(E3379,QCGUP,2,),IF(AND(H3379="ATP",OR(I3379="TN",I3379="TDN",I3379="TNO2-3",I3379="NO2-3")),VLOOKUP(E3379,QCREC_N,2,),IF(AND(H3379="NIC",OR(I3379="TN",I3379="TDN",I3379="TNO2-3",I3379="NO2-3")),VLOOKUP(E3379,QCNIC_N,2,),IF(AND(H3379="UREA",OR(I3379="TN",I3379="TDN",I3379="TNO2-3",I3379="NO2-3")),VLOOKUP(E3379,QCUREA_N,2,),IF(H3379="PER",VLOOKUP(I3379,QCPER,MATCH(E3379,QCACTUAL!$J$25:$AA$25,0),),IF(H3379="SPK",VLOOKUP(I3379,QCSPK,3,),IF(AND(H3379="ATP",OR(I3379="TP",I3379="TDP")),VLOOKUP(E3379,QCATP_P,2,),""))))))))</f>
        <v/>
      </c>
      <c r="W3379" s="31" t="str">
        <f t="shared" si="381"/>
        <v>TRUE</v>
      </c>
      <c r="X3379" s="31" t="str">
        <f t="shared" si="378"/>
        <v>nominal concentration</v>
      </c>
      <c r="Y3379" s="10" t="s">
        <v>1253</v>
      </c>
      <c r="AL3379" s="10" t="str">
        <f t="shared" si="385"/>
        <v>FALSE</v>
      </c>
      <c r="AM3379" s="10" t="str">
        <f t="shared" si="385"/>
        <v>FALSE</v>
      </c>
      <c r="AN3379" s="10" t="str">
        <f t="shared" si="385"/>
        <v>FALSE</v>
      </c>
      <c r="AO3379" s="10" t="str">
        <f t="shared" si="386"/>
        <v>FALSE</v>
      </c>
      <c r="AP3379" s="10" t="str">
        <f t="shared" si="386"/>
        <v>FALSE</v>
      </c>
      <c r="AQ3379" s="10" t="b">
        <f>IF(AND(I3379="TP",S3379&lt;=150),VLOOKUP(AF3379,TPCalibEq150!$AZ$2:$BB$55,3,),IF(AND(I3379="TDP",S3379&lt;=150),VLOOKUP(AF3379,TPCalibEq150!$AZ$2:$BB$55,3,)))</f>
        <v>0</v>
      </c>
      <c r="AR3379" s="10" t="b">
        <f>IF(AND(I3379="TP",S3379&lt;=300),VLOOKUP(AF3379,TPCalibEq300!$AZ$2:$BB$55,3,),IF(AND(I3379="TDP",S3379&lt;=300),VLOOKUP(AF3379,TPCalibEq300!$AZ$2:$BB$55,3,)))</f>
        <v>0</v>
      </c>
      <c r="AS3379" s="10" t="b">
        <f>IF(AND(I3379="TP",S3379&lt;=500),VLOOKUP(AF3379,TPCalibEq500!$AZ$2:$BB$56,3,),IF(AND(I3379="TDP",S3379&lt;=500),VLOOKUP(AF3379,TPCalibEq500!$AZ$2:$BB$56,3,)))</f>
        <v>0</v>
      </c>
      <c r="AT3379" s="10" t="b">
        <f>IF(AND(I3379="TN",S3379&lt;=2800),VLOOKUP(AF3379,TNCalibEq2500!$AZ$2:$BB$56,3,),IF(AND(I3379="TDN",S3379&lt;=2800),VLOOKUP(AF3379,TNCalibEq2500!$AZ$2:$BB$56,3,)))</f>
        <v>0</v>
      </c>
      <c r="AU3379" s="10" t="b">
        <f>IF(I3379="TP",VLOOKUP(AF3379,TPCalibEqFull!$AZ$2:$BB$56,3),IF(I3379="TDP",VLOOKUP(AF3379,TPCalibEqFull!$AZ$2:$BB$56,3),IF(I3379="TDN",VLOOKUP(AF3379,TNCalibEqFull!$AZ$1:$BB$56,3),IF(I3379="TN",VLOOKUP(AF3379,TNCalibEqFull!$AZ$1:$BB$56,3),FALSE))))</f>
        <v>0</v>
      </c>
      <c r="AV3379" s="10" t="str">
        <f t="shared" si="382"/>
        <v>0221 05:36:00-QAC-BLK-A-1-DI-FLD</v>
      </c>
    </row>
    <row r="3380" spans="1:48" s="10" customFormat="1" x14ac:dyDescent="0.55000000000000004">
      <c r="A3380" s="32">
        <v>44978</v>
      </c>
      <c r="B3380" s="33">
        <v>0.25</v>
      </c>
      <c r="C3380" s="10" t="s">
        <v>70</v>
      </c>
      <c r="D3380" s="10" t="s">
        <v>241</v>
      </c>
      <c r="E3380" s="10" t="s">
        <v>911</v>
      </c>
      <c r="F3380" s="10">
        <v>1</v>
      </c>
      <c r="G3380" s="10" t="s">
        <v>73</v>
      </c>
      <c r="H3380" s="10" t="s">
        <v>245</v>
      </c>
      <c r="I3380" s="10" t="s">
        <v>183</v>
      </c>
      <c r="J3380" s="10">
        <v>93</v>
      </c>
      <c r="K3380" s="12">
        <v>44980</v>
      </c>
      <c r="L3380" s="33">
        <v>0.48483796296296294</v>
      </c>
      <c r="M3380" s="10">
        <v>1</v>
      </c>
      <c r="N3380" s="10" t="s">
        <v>76</v>
      </c>
      <c r="O3380" s="10">
        <v>4.1300000000000003E-2</v>
      </c>
      <c r="P3380" s="10">
        <v>3.3700000000000002E-3</v>
      </c>
      <c r="Q3380" s="10">
        <v>2.59</v>
      </c>
      <c r="R3380" s="10" t="s">
        <v>77</v>
      </c>
      <c r="S3380" s="34">
        <f t="shared" si="379"/>
        <v>2.59</v>
      </c>
      <c r="T3380" s="10" t="s">
        <v>1260</v>
      </c>
      <c r="U3380" s="34">
        <f t="shared" si="380"/>
        <v>2.59</v>
      </c>
      <c r="V3380" s="31" t="str">
        <f>IF(H3380="CHK",VLOOKUP(I3380,QCCHK,3,),IF(H3380="GUP",VLOOKUP(E3380,QCGUP,2,),IF(AND(H3380="ATP",OR(I3380="TN",I3380="TDN",I3380="TNO2-3",I3380="NO2-3")),VLOOKUP(E3380,QCREC_N,2,),IF(AND(H3380="NIC",OR(I3380="TN",I3380="TDN",I3380="TNO2-3",I3380="NO2-3")),VLOOKUP(E3380,QCNIC_N,2,),IF(AND(H3380="UREA",OR(I3380="TN",I3380="TDN",I3380="TNO2-3",I3380="NO2-3")),VLOOKUP(E3380,QCUREA_N,2,),IF(H3380="PER",VLOOKUP(I3380,QCPER,MATCH(E3380,QCACTUAL!$J$25:$AA$25,0),),IF(H3380="SPK",VLOOKUP(I3380,QCSPK,3,),IF(AND(H3380="ATP",OR(I3380="TP",I3380="TDP")),VLOOKUP(E3380,QCATP_P,2,),""))))))))</f>
        <v/>
      </c>
      <c r="W3380" s="31" t="str">
        <f t="shared" si="381"/>
        <v>TRUE</v>
      </c>
      <c r="X3380" s="31" t="str">
        <f t="shared" si="378"/>
        <v>nominal concentration</v>
      </c>
      <c r="Y3380" s="10" t="s">
        <v>1253</v>
      </c>
      <c r="AL3380" s="10" t="str">
        <f t="shared" si="385"/>
        <v>FALSE</v>
      </c>
      <c r="AM3380" s="10" t="str">
        <f t="shared" si="385"/>
        <v>FALSE</v>
      </c>
      <c r="AN3380" s="10" t="str">
        <f t="shared" si="385"/>
        <v>FALSE</v>
      </c>
      <c r="AO3380" s="10" t="str">
        <f t="shared" si="386"/>
        <v>FALSE</v>
      </c>
      <c r="AP3380" s="10" t="str">
        <f t="shared" si="386"/>
        <v>FALSE</v>
      </c>
      <c r="AQ3380" s="10" t="b">
        <f>IF(AND(I3380="TP",S3380&lt;=150),VLOOKUP(AF3380,TPCalibEq150!$AZ$2:$BB$55,3,),IF(AND(I3380="TDP",S3380&lt;=150),VLOOKUP(AF3380,TPCalibEq150!$AZ$2:$BB$55,3,)))</f>
        <v>0</v>
      </c>
      <c r="AR3380" s="10" t="b">
        <f>IF(AND(I3380="TP",S3380&lt;=300),VLOOKUP(AF3380,TPCalibEq300!$AZ$2:$BB$55,3,),IF(AND(I3380="TDP",S3380&lt;=300),VLOOKUP(AF3380,TPCalibEq300!$AZ$2:$BB$55,3,)))</f>
        <v>0</v>
      </c>
      <c r="AS3380" s="10" t="b">
        <f>IF(AND(I3380="TP",S3380&lt;=500),VLOOKUP(AF3380,TPCalibEq500!$AZ$2:$BB$56,3,),IF(AND(I3380="TDP",S3380&lt;=500),VLOOKUP(AF3380,TPCalibEq500!$AZ$2:$BB$56,3,)))</f>
        <v>0</v>
      </c>
      <c r="AT3380" s="10" t="b">
        <f>IF(AND(I3380="TN",S3380&lt;=2800),VLOOKUP(AF3380,TNCalibEq2500!$AZ$2:$BB$56,3,),IF(AND(I3380="TDN",S3380&lt;=2800),VLOOKUP(AF3380,TNCalibEq2500!$AZ$2:$BB$56,3,)))</f>
        <v>0</v>
      </c>
      <c r="AU3380" s="10" t="b">
        <f>IF(I3380="TP",VLOOKUP(AF3380,TPCalibEqFull!$AZ$2:$BB$56,3),IF(I3380="TDP",VLOOKUP(AF3380,TPCalibEqFull!$AZ$2:$BB$56,3),IF(I3380="TDN",VLOOKUP(AF3380,TNCalibEqFull!$AZ$1:$BB$56,3),IF(I3380="TN",VLOOKUP(AF3380,TNCalibEqFull!$AZ$1:$BB$56,3),FALSE))))</f>
        <v>0</v>
      </c>
      <c r="AV3380" s="10" t="str">
        <f t="shared" si="382"/>
        <v>0221 06:00:00-QAC-BLK-FIL-1-DI-ESF</v>
      </c>
    </row>
    <row r="3381" spans="1:48" s="10" customFormat="1" x14ac:dyDescent="0.55000000000000004">
      <c r="A3381" s="32">
        <v>44978</v>
      </c>
      <c r="B3381" s="33">
        <v>0.23333333333333331</v>
      </c>
      <c r="C3381" s="10" t="s">
        <v>70</v>
      </c>
      <c r="D3381" s="10" t="s">
        <v>241</v>
      </c>
      <c r="E3381" s="10" t="s">
        <v>911</v>
      </c>
      <c r="F3381" s="10">
        <v>1</v>
      </c>
      <c r="G3381" s="10" t="s">
        <v>73</v>
      </c>
      <c r="H3381" s="10" t="s">
        <v>245</v>
      </c>
      <c r="I3381" s="10" t="s">
        <v>183</v>
      </c>
      <c r="J3381" s="10">
        <v>94</v>
      </c>
      <c r="K3381" s="12">
        <v>44980</v>
      </c>
      <c r="L3381" s="33">
        <v>0.48564814814814811</v>
      </c>
      <c r="M3381" s="10">
        <v>1</v>
      </c>
      <c r="N3381" s="10" t="s">
        <v>76</v>
      </c>
      <c r="O3381" s="10">
        <v>2.6200000000000001E-2</v>
      </c>
      <c r="P3381" s="10">
        <v>3.29E-3</v>
      </c>
      <c r="Q3381" s="10">
        <v>1.65</v>
      </c>
      <c r="R3381" s="10" t="s">
        <v>77</v>
      </c>
      <c r="S3381" s="34">
        <f t="shared" si="379"/>
        <v>1.65</v>
      </c>
      <c r="T3381" s="10" t="s">
        <v>1260</v>
      </c>
      <c r="U3381" s="34">
        <f t="shared" si="380"/>
        <v>1.65</v>
      </c>
      <c r="V3381" s="31" t="str">
        <f>IF(H3381="CHK",VLOOKUP(I3381,QCCHK,3,),IF(H3381="GUP",VLOOKUP(E3381,QCGUP,2,),IF(AND(H3381="ATP",OR(I3381="TN",I3381="TDN",I3381="TNO2-3",I3381="NO2-3")),VLOOKUP(E3381,QCREC_N,2,),IF(AND(H3381="NIC",OR(I3381="TN",I3381="TDN",I3381="TNO2-3",I3381="NO2-3")),VLOOKUP(E3381,QCNIC_N,2,),IF(AND(H3381="UREA",OR(I3381="TN",I3381="TDN",I3381="TNO2-3",I3381="NO2-3")),VLOOKUP(E3381,QCUREA_N,2,),IF(H3381="PER",VLOOKUP(I3381,QCPER,MATCH(E3381,QCACTUAL!$J$25:$AA$25,0),),IF(H3381="SPK",VLOOKUP(I3381,QCSPK,3,),IF(AND(H3381="ATP",OR(I3381="TP",I3381="TDP")),VLOOKUP(E3381,QCATP_P,2,),""))))))))</f>
        <v/>
      </c>
      <c r="W3381" s="31" t="str">
        <f t="shared" si="381"/>
        <v>TRUE</v>
      </c>
      <c r="X3381" s="31" t="str">
        <f t="shared" si="378"/>
        <v>nominal concentration</v>
      </c>
      <c r="Y3381" s="10" t="s">
        <v>1253</v>
      </c>
      <c r="AL3381" s="10" t="str">
        <f t="shared" si="385"/>
        <v>FALSE</v>
      </c>
      <c r="AM3381" s="10" t="str">
        <f t="shared" si="385"/>
        <v>FALSE</v>
      </c>
      <c r="AN3381" s="10" t="str">
        <f t="shared" si="385"/>
        <v>FALSE</v>
      </c>
      <c r="AO3381" s="10" t="str">
        <f t="shared" si="386"/>
        <v>FALSE</v>
      </c>
      <c r="AP3381" s="10" t="str">
        <f t="shared" si="386"/>
        <v>FALSE</v>
      </c>
      <c r="AQ3381" s="10" t="b">
        <f>IF(AND(I3381="TP",S3381&lt;=150),VLOOKUP(AF3381,TPCalibEq150!$AZ$2:$BB$55,3,),IF(AND(I3381="TDP",S3381&lt;=150),VLOOKUP(AF3381,TPCalibEq150!$AZ$2:$BB$55,3,)))</f>
        <v>0</v>
      </c>
      <c r="AR3381" s="10" t="b">
        <f>IF(AND(I3381="TP",S3381&lt;=300),VLOOKUP(AF3381,TPCalibEq300!$AZ$2:$BB$55,3,),IF(AND(I3381="TDP",S3381&lt;=300),VLOOKUP(AF3381,TPCalibEq300!$AZ$2:$BB$55,3,)))</f>
        <v>0</v>
      </c>
      <c r="AS3381" s="10" t="b">
        <f>IF(AND(I3381="TP",S3381&lt;=500),VLOOKUP(AF3381,TPCalibEq500!$AZ$2:$BB$56,3,),IF(AND(I3381="TDP",S3381&lt;=500),VLOOKUP(AF3381,TPCalibEq500!$AZ$2:$BB$56,3,)))</f>
        <v>0</v>
      </c>
      <c r="AT3381" s="10" t="b">
        <f>IF(AND(I3381="TN",S3381&lt;=2800),VLOOKUP(AF3381,TNCalibEq2500!$AZ$2:$BB$56,3,),IF(AND(I3381="TDN",S3381&lt;=2800),VLOOKUP(AF3381,TNCalibEq2500!$AZ$2:$BB$56,3,)))</f>
        <v>0</v>
      </c>
      <c r="AU3381" s="10" t="b">
        <f>IF(I3381="TP",VLOOKUP(AF3381,TPCalibEqFull!$AZ$2:$BB$56,3),IF(I3381="TDP",VLOOKUP(AF3381,TPCalibEqFull!$AZ$2:$BB$56,3),IF(I3381="TDN",VLOOKUP(AF3381,TNCalibEqFull!$AZ$1:$BB$56,3),IF(I3381="TN",VLOOKUP(AF3381,TNCalibEqFull!$AZ$1:$BB$56,3),FALSE))))</f>
        <v>0</v>
      </c>
      <c r="AV3381" s="10" t="str">
        <f t="shared" si="382"/>
        <v>0221 05:36:00-QAC-BLK-FIL-1-DI-ESF</v>
      </c>
    </row>
    <row r="3382" spans="1:48" s="10" customFormat="1" x14ac:dyDescent="0.55000000000000004">
      <c r="A3382" s="32">
        <v>44972</v>
      </c>
      <c r="B3382" s="33">
        <v>0.22430555555555556</v>
      </c>
      <c r="C3382" s="10" t="s">
        <v>279</v>
      </c>
      <c r="D3382" s="10">
        <v>0</v>
      </c>
      <c r="E3382" s="10" t="s">
        <v>190</v>
      </c>
      <c r="F3382" s="10">
        <v>1</v>
      </c>
      <c r="G3382" s="10" t="s">
        <v>231</v>
      </c>
      <c r="H3382" s="10" t="s">
        <v>322</v>
      </c>
      <c r="I3382" s="10" t="s">
        <v>75</v>
      </c>
      <c r="J3382" s="10">
        <v>1</v>
      </c>
      <c r="K3382" s="12">
        <v>44980</v>
      </c>
      <c r="L3382" s="33">
        <v>0.48648148148148151</v>
      </c>
      <c r="M3382" s="10">
        <v>1</v>
      </c>
      <c r="N3382" s="10" t="s">
        <v>76</v>
      </c>
      <c r="O3382" s="10">
        <v>0.29899999999999999</v>
      </c>
      <c r="P3382" s="10">
        <v>2.5000000000000001E-2</v>
      </c>
      <c r="Q3382" s="10">
        <v>18.8</v>
      </c>
      <c r="R3382" s="10" t="s">
        <v>77</v>
      </c>
      <c r="S3382" s="34">
        <f t="shared" si="379"/>
        <v>18.8</v>
      </c>
      <c r="T3382" s="10" t="s">
        <v>1260</v>
      </c>
      <c r="U3382" s="34" t="str">
        <f t="shared" si="380"/>
        <v/>
      </c>
      <c r="V3382" s="31" t="str">
        <f>IF(H3382="CHK",VLOOKUP(I3382,QCCHK,3,),IF(H3382="GUP",VLOOKUP(E3382,QCGUP,2,),IF(AND(H3382="ATP",OR(I3382="TN",I3382="TDN",I3382="TNO2-3",I3382="NO2-3")),VLOOKUP(E3382,QCREC_N,2,),IF(AND(H3382="NIC",OR(I3382="TN",I3382="TDN",I3382="TNO2-3",I3382="NO2-3")),VLOOKUP(E3382,QCNIC_N,2,),IF(AND(H3382="UREA",OR(I3382="TN",I3382="TDN",I3382="TNO2-3",I3382="NO2-3")),VLOOKUP(E3382,QCUREA_N,2,),IF(H3382="PER",VLOOKUP(I3382,QCPER,MATCH(E3382,QCACTUAL!$J$25:$AA$25,0),),IF(H3382="SPK",VLOOKUP(I3382,QCSPK,3,),IF(AND(H3382="ATP",OR(I3382="TP",I3382="TDP")),VLOOKUP(E3382,QCATP_P,2,),""))))))))</f>
        <v/>
      </c>
      <c r="W3382" s="31" t="str">
        <f t="shared" si="381"/>
        <v>TRUE</v>
      </c>
      <c r="X3382" s="31" t="str">
        <f t="shared" si="378"/>
        <v/>
      </c>
      <c r="Y3382" s="10" t="s">
        <v>1253</v>
      </c>
      <c r="Z3382" s="10" t="s">
        <v>910</v>
      </c>
      <c r="AL3382" s="10" t="str">
        <f t="shared" si="385"/>
        <v>FALSE</v>
      </c>
      <c r="AM3382" s="10" t="str">
        <f t="shared" si="385"/>
        <v>FALSE</v>
      </c>
      <c r="AN3382" s="10" t="str">
        <f t="shared" si="385"/>
        <v>FALSE</v>
      </c>
      <c r="AO3382" s="10" t="str">
        <f t="shared" si="386"/>
        <v>FALSE</v>
      </c>
      <c r="AP3382" s="10" t="str">
        <f t="shared" si="386"/>
        <v>FALSE</v>
      </c>
      <c r="AQ3382" s="10" t="b">
        <f>IF(AND(I3382="TP",S3382&lt;=150),VLOOKUP(AF3382,TPCalibEq150!$AZ$2:$BB$55,3,),IF(AND(I3382="TDP",S3382&lt;=150),VLOOKUP(AF3382,TPCalibEq150!$AZ$2:$BB$55,3,)))</f>
        <v>0</v>
      </c>
      <c r="AR3382" s="10" t="b">
        <f>IF(AND(I3382="TP",S3382&lt;=300),VLOOKUP(AF3382,TPCalibEq300!$AZ$2:$BB$55,3,),IF(AND(I3382="TDP",S3382&lt;=300),VLOOKUP(AF3382,TPCalibEq300!$AZ$2:$BB$55,3,)))</f>
        <v>0</v>
      </c>
      <c r="AS3382" s="10" t="b">
        <f>IF(AND(I3382="TP",S3382&lt;=500),VLOOKUP(AF3382,TPCalibEq500!$AZ$2:$BB$56,3,),IF(AND(I3382="TDP",S3382&lt;=500),VLOOKUP(AF3382,TPCalibEq500!$AZ$2:$BB$56,3,)))</f>
        <v>0</v>
      </c>
      <c r="AT3382" s="10" t="b">
        <f>IF(AND(I3382="TN",S3382&lt;=2800),VLOOKUP(AF3382,TNCalibEq2500!$AZ$2:$BB$56,3,),IF(AND(I3382="TDN",S3382&lt;=2800),VLOOKUP(AF3382,TNCalibEq2500!$AZ$2:$BB$56,3,)))</f>
        <v>0</v>
      </c>
      <c r="AU3382" s="10" t="b">
        <f>IF(I3382="TP",VLOOKUP(AF3382,TPCalibEqFull!$AZ$2:$BB$56,3),IF(I3382="TDP",VLOOKUP(AF3382,TPCalibEqFull!$AZ$2:$BB$56,3),IF(I3382="TDN",VLOOKUP(AF3382,TNCalibEqFull!$AZ$1:$BB$56,3),IF(I3382="TN",VLOOKUP(AF3382,TNCalibEqFull!$AZ$1:$BB$56,3),FALSE))))</f>
        <v>0</v>
      </c>
      <c r="AV3382" s="10" t="str">
        <f t="shared" si="382"/>
        <v>0215 05:23:00-EFK-0-C-1-SW-UKN</v>
      </c>
    </row>
    <row r="3383" spans="1:48" s="10" customFormat="1" x14ac:dyDescent="0.55000000000000004">
      <c r="A3383" s="32">
        <v>44972</v>
      </c>
      <c r="B3383" s="33">
        <v>0.22777777777777777</v>
      </c>
      <c r="C3383" s="10" t="s">
        <v>333</v>
      </c>
      <c r="D3383" s="10">
        <v>0</v>
      </c>
      <c r="E3383" s="10" t="s">
        <v>190</v>
      </c>
      <c r="F3383" s="10">
        <v>1</v>
      </c>
      <c r="G3383" s="10" t="s">
        <v>231</v>
      </c>
      <c r="H3383" s="10" t="s">
        <v>322</v>
      </c>
      <c r="I3383" s="10" t="s">
        <v>75</v>
      </c>
      <c r="J3383" s="10">
        <v>2</v>
      </c>
      <c r="K3383" s="12">
        <v>44980</v>
      </c>
      <c r="L3383" s="33">
        <v>0.48730324074074072</v>
      </c>
      <c r="M3383" s="10">
        <v>1</v>
      </c>
      <c r="N3383" s="10" t="s">
        <v>76</v>
      </c>
      <c r="O3383" s="10">
        <v>6.6299999999999998E-2</v>
      </c>
      <c r="P3383" s="10">
        <v>4.4299999999999999E-3</v>
      </c>
      <c r="Q3383" s="10">
        <v>4.16</v>
      </c>
      <c r="R3383" s="10" t="s">
        <v>77</v>
      </c>
      <c r="S3383" s="34">
        <f t="shared" si="379"/>
        <v>4.16</v>
      </c>
      <c r="T3383" s="10" t="s">
        <v>1260</v>
      </c>
      <c r="U3383" s="34" t="str">
        <f t="shared" si="380"/>
        <v/>
      </c>
      <c r="V3383" s="31" t="str">
        <f>IF(H3383="CHK",VLOOKUP(I3383,QCCHK,3,),IF(H3383="GUP",VLOOKUP(E3383,QCGUP,2,),IF(AND(H3383="ATP",OR(I3383="TN",I3383="TDN",I3383="TNO2-3",I3383="NO2-3")),VLOOKUP(E3383,QCREC_N,2,),IF(AND(H3383="NIC",OR(I3383="TN",I3383="TDN",I3383="TNO2-3",I3383="NO2-3")),VLOOKUP(E3383,QCNIC_N,2,),IF(AND(H3383="UREA",OR(I3383="TN",I3383="TDN",I3383="TNO2-3",I3383="NO2-3")),VLOOKUP(E3383,QCUREA_N,2,),IF(H3383="PER",VLOOKUP(I3383,QCPER,MATCH(E3383,QCACTUAL!$J$25:$AA$25,0),),IF(H3383="SPK",VLOOKUP(I3383,QCSPK,3,),IF(AND(H3383="ATP",OR(I3383="TP",I3383="TDP")),VLOOKUP(E3383,QCATP_P,2,),""))))))))</f>
        <v/>
      </c>
      <c r="W3383" s="31" t="str">
        <f t="shared" si="381"/>
        <v>TRUE</v>
      </c>
      <c r="X3383" s="31" t="str">
        <f t="shared" si="378"/>
        <v/>
      </c>
      <c r="Y3383" s="10" t="s">
        <v>1253</v>
      </c>
      <c r="Z3383" s="10" t="s">
        <v>910</v>
      </c>
      <c r="AL3383" s="10" t="str">
        <f t="shared" si="385"/>
        <v>FALSE</v>
      </c>
      <c r="AM3383" s="10" t="str">
        <f t="shared" si="385"/>
        <v>FALSE</v>
      </c>
      <c r="AN3383" s="10" t="str">
        <f t="shared" si="385"/>
        <v>FALSE</v>
      </c>
      <c r="AO3383" s="10" t="str">
        <f t="shared" si="386"/>
        <v>FALSE</v>
      </c>
      <c r="AP3383" s="10" t="str">
        <f t="shared" si="386"/>
        <v>FALSE</v>
      </c>
      <c r="AQ3383" s="10" t="b">
        <f>IF(AND(I3383="TP",S3383&lt;=150),VLOOKUP(AF3383,TPCalibEq150!$AZ$2:$BB$55,3,),IF(AND(I3383="TDP",S3383&lt;=150),VLOOKUP(AF3383,TPCalibEq150!$AZ$2:$BB$55,3,)))</f>
        <v>0</v>
      </c>
      <c r="AR3383" s="10" t="b">
        <f>IF(AND(I3383="TP",S3383&lt;=300),VLOOKUP(AF3383,TPCalibEq300!$AZ$2:$BB$55,3,),IF(AND(I3383="TDP",S3383&lt;=300),VLOOKUP(AF3383,TPCalibEq300!$AZ$2:$BB$55,3,)))</f>
        <v>0</v>
      </c>
      <c r="AS3383" s="10" t="b">
        <f>IF(AND(I3383="TP",S3383&lt;=500),VLOOKUP(AF3383,TPCalibEq500!$AZ$2:$BB$56,3,),IF(AND(I3383="TDP",S3383&lt;=500),VLOOKUP(AF3383,TPCalibEq500!$AZ$2:$BB$56,3,)))</f>
        <v>0</v>
      </c>
      <c r="AT3383" s="10" t="b">
        <f>IF(AND(I3383="TN",S3383&lt;=2800),VLOOKUP(AF3383,TNCalibEq2500!$AZ$2:$BB$56,3,),IF(AND(I3383="TDN",S3383&lt;=2800),VLOOKUP(AF3383,TNCalibEq2500!$AZ$2:$BB$56,3,)))</f>
        <v>0</v>
      </c>
      <c r="AU3383" s="10" t="b">
        <f>IF(I3383="TP",VLOOKUP(AF3383,TPCalibEqFull!$AZ$2:$BB$56,3),IF(I3383="TDP",VLOOKUP(AF3383,TPCalibEqFull!$AZ$2:$BB$56,3),IF(I3383="TDN",VLOOKUP(AF3383,TNCalibEqFull!$AZ$1:$BB$56,3),IF(I3383="TN",VLOOKUP(AF3383,TNCalibEqFull!$AZ$1:$BB$56,3),FALSE))))</f>
        <v>0</v>
      </c>
      <c r="AV3383" s="10" t="str">
        <f t="shared" si="382"/>
        <v>0215 05:28:00-HST-0-C-1-SW-UKN</v>
      </c>
    </row>
    <row r="3384" spans="1:48" s="10" customFormat="1" x14ac:dyDescent="0.55000000000000004">
      <c r="A3384" s="32">
        <v>44974</v>
      </c>
      <c r="B3384" s="33">
        <v>0.36388888888888887</v>
      </c>
      <c r="C3384" s="10" t="s">
        <v>279</v>
      </c>
      <c r="D3384" s="10">
        <v>0</v>
      </c>
      <c r="E3384" s="10" t="s">
        <v>190</v>
      </c>
      <c r="F3384" s="10">
        <v>1</v>
      </c>
      <c r="G3384" s="10" t="s">
        <v>231</v>
      </c>
      <c r="H3384" s="10" t="s">
        <v>322</v>
      </c>
      <c r="I3384" s="10" t="s">
        <v>75</v>
      </c>
      <c r="J3384" s="10">
        <v>3</v>
      </c>
      <c r="K3384" s="12">
        <v>44980</v>
      </c>
      <c r="L3384" s="33">
        <v>0.48812499999999998</v>
      </c>
      <c r="M3384" s="10">
        <v>1</v>
      </c>
      <c r="N3384" s="10" t="s">
        <v>76</v>
      </c>
      <c r="O3384" s="10">
        <v>0.80200000000000005</v>
      </c>
      <c r="P3384" s="10">
        <v>5.96E-2</v>
      </c>
      <c r="Q3384" s="10">
        <v>50.3</v>
      </c>
      <c r="R3384" s="10" t="s">
        <v>77</v>
      </c>
      <c r="S3384" s="34">
        <f t="shared" si="379"/>
        <v>50.3</v>
      </c>
      <c r="T3384" s="10" t="s">
        <v>1260</v>
      </c>
      <c r="U3384" s="34" t="str">
        <f t="shared" si="380"/>
        <v/>
      </c>
      <c r="V3384" s="31" t="str">
        <f>IF(H3384="CHK",VLOOKUP(I3384,QCCHK,3,),IF(H3384="GUP",VLOOKUP(E3384,QCGUP,2,),IF(AND(H3384="ATP",OR(I3384="TN",I3384="TDN",I3384="TNO2-3",I3384="NO2-3")),VLOOKUP(E3384,QCREC_N,2,),IF(AND(H3384="NIC",OR(I3384="TN",I3384="TDN",I3384="TNO2-3",I3384="NO2-3")),VLOOKUP(E3384,QCNIC_N,2,),IF(AND(H3384="UREA",OR(I3384="TN",I3384="TDN",I3384="TNO2-3",I3384="NO2-3")),VLOOKUP(E3384,QCUREA_N,2,),IF(H3384="PER",VLOOKUP(I3384,QCPER,MATCH(E3384,QCACTUAL!$J$25:$AA$25,0),),IF(H3384="SPK",VLOOKUP(I3384,QCSPK,3,),IF(AND(H3384="ATP",OR(I3384="TP",I3384="TDP")),VLOOKUP(E3384,QCATP_P,2,),""))))))))</f>
        <v/>
      </c>
      <c r="W3384" s="31" t="str">
        <f t="shared" si="381"/>
        <v>TRUE</v>
      </c>
      <c r="X3384" s="31" t="str">
        <f t="shared" si="378"/>
        <v/>
      </c>
      <c r="Y3384" s="10" t="s">
        <v>1253</v>
      </c>
      <c r="Z3384" s="10" t="s">
        <v>910</v>
      </c>
      <c r="AL3384" s="10" t="str">
        <f t="shared" si="385"/>
        <v>FALSE</v>
      </c>
      <c r="AM3384" s="10" t="str">
        <f t="shared" si="385"/>
        <v>FALSE</v>
      </c>
      <c r="AN3384" s="10" t="str">
        <f t="shared" si="385"/>
        <v>FALSE</v>
      </c>
      <c r="AO3384" s="10" t="str">
        <f t="shared" si="386"/>
        <v>FALSE</v>
      </c>
      <c r="AP3384" s="10" t="str">
        <f t="shared" si="386"/>
        <v>FALSE</v>
      </c>
      <c r="AQ3384" s="10" t="b">
        <f>IF(AND(I3384="TP",S3384&lt;=150),VLOOKUP(AF3384,TPCalibEq150!$AZ$2:$BB$55,3,),IF(AND(I3384="TDP",S3384&lt;=150),VLOOKUP(AF3384,TPCalibEq150!$AZ$2:$BB$55,3,)))</f>
        <v>0</v>
      </c>
      <c r="AR3384" s="10" t="b">
        <f>IF(AND(I3384="TP",S3384&lt;=300),VLOOKUP(AF3384,TPCalibEq300!$AZ$2:$BB$55,3,),IF(AND(I3384="TDP",S3384&lt;=300),VLOOKUP(AF3384,TPCalibEq300!$AZ$2:$BB$55,3,)))</f>
        <v>0</v>
      </c>
      <c r="AS3384" s="10" t="b">
        <f>IF(AND(I3384="TP",S3384&lt;=500),VLOOKUP(AF3384,TPCalibEq500!$AZ$2:$BB$56,3,),IF(AND(I3384="TDP",S3384&lt;=500),VLOOKUP(AF3384,TPCalibEq500!$AZ$2:$BB$56,3,)))</f>
        <v>0</v>
      </c>
      <c r="AT3384" s="10" t="b">
        <f>IF(AND(I3384="TN",S3384&lt;=2800),VLOOKUP(AF3384,TNCalibEq2500!$AZ$2:$BB$56,3,),IF(AND(I3384="TDN",S3384&lt;=2800),VLOOKUP(AF3384,TNCalibEq2500!$AZ$2:$BB$56,3,)))</f>
        <v>0</v>
      </c>
      <c r="AU3384" s="10" t="b">
        <f>IF(I3384="TP",VLOOKUP(AF3384,TPCalibEqFull!$AZ$2:$BB$56,3),IF(I3384="TDP",VLOOKUP(AF3384,TPCalibEqFull!$AZ$2:$BB$56,3),IF(I3384="TDN",VLOOKUP(AF3384,TNCalibEqFull!$AZ$1:$BB$56,3),IF(I3384="TN",VLOOKUP(AF3384,TNCalibEqFull!$AZ$1:$BB$56,3),FALSE))))</f>
        <v>0</v>
      </c>
      <c r="AV3384" s="10" t="str">
        <f t="shared" si="382"/>
        <v>0217 08:44:00-EFK-0-C-1-SW-UKN</v>
      </c>
    </row>
    <row r="3385" spans="1:48" s="10" customFormat="1" x14ac:dyDescent="0.55000000000000004">
      <c r="A3385" s="32">
        <v>44974</v>
      </c>
      <c r="B3385" s="33">
        <v>0.35833333333333334</v>
      </c>
      <c r="C3385" s="10" t="s">
        <v>333</v>
      </c>
      <c r="D3385" s="10">
        <v>0</v>
      </c>
      <c r="E3385" s="10" t="s">
        <v>190</v>
      </c>
      <c r="F3385" s="10">
        <v>1</v>
      </c>
      <c r="G3385" s="10" t="s">
        <v>231</v>
      </c>
      <c r="H3385" s="10" t="s">
        <v>322</v>
      </c>
      <c r="I3385" s="10" t="s">
        <v>75</v>
      </c>
      <c r="J3385" s="10">
        <v>4</v>
      </c>
      <c r="K3385" s="12">
        <v>44980</v>
      </c>
      <c r="L3385" s="33">
        <v>0.48894675925925929</v>
      </c>
      <c r="M3385" s="10">
        <v>1</v>
      </c>
      <c r="N3385" s="10" t="s">
        <v>76</v>
      </c>
      <c r="O3385" s="10">
        <v>0.107</v>
      </c>
      <c r="P3385" s="10">
        <v>8.6199999999999992E-3</v>
      </c>
      <c r="Q3385" s="10">
        <v>6.71</v>
      </c>
      <c r="R3385" s="10" t="s">
        <v>77</v>
      </c>
      <c r="S3385" s="34">
        <f t="shared" si="379"/>
        <v>6.71</v>
      </c>
      <c r="T3385" s="10" t="s">
        <v>1260</v>
      </c>
      <c r="U3385" s="34" t="str">
        <f t="shared" si="380"/>
        <v/>
      </c>
      <c r="V3385" s="31" t="str">
        <f>IF(H3385="CHK",VLOOKUP(I3385,QCCHK,3,),IF(H3385="GUP",VLOOKUP(E3385,QCGUP,2,),IF(AND(H3385="ATP",OR(I3385="TN",I3385="TDN",I3385="TNO2-3",I3385="NO2-3")),VLOOKUP(E3385,QCREC_N,2,),IF(AND(H3385="NIC",OR(I3385="TN",I3385="TDN",I3385="TNO2-3",I3385="NO2-3")),VLOOKUP(E3385,QCNIC_N,2,),IF(AND(H3385="UREA",OR(I3385="TN",I3385="TDN",I3385="TNO2-3",I3385="NO2-3")),VLOOKUP(E3385,QCUREA_N,2,),IF(H3385="PER",VLOOKUP(I3385,QCPER,MATCH(E3385,QCACTUAL!$J$25:$AA$25,0),),IF(H3385="SPK",VLOOKUP(I3385,QCSPK,3,),IF(AND(H3385="ATP",OR(I3385="TP",I3385="TDP")),VLOOKUP(E3385,QCATP_P,2,),""))))))))</f>
        <v/>
      </c>
      <c r="W3385" s="31" t="str">
        <f t="shared" si="381"/>
        <v>TRUE</v>
      </c>
      <c r="X3385" s="31" t="str">
        <f t="shared" si="378"/>
        <v/>
      </c>
      <c r="Y3385" s="10" t="s">
        <v>1253</v>
      </c>
      <c r="Z3385" s="10" t="s">
        <v>910</v>
      </c>
      <c r="AL3385" s="10" t="str">
        <f t="shared" si="385"/>
        <v>FALSE</v>
      </c>
      <c r="AM3385" s="10" t="str">
        <f t="shared" si="385"/>
        <v>FALSE</v>
      </c>
      <c r="AN3385" s="10" t="str">
        <f t="shared" si="385"/>
        <v>FALSE</v>
      </c>
      <c r="AO3385" s="10" t="str">
        <f t="shared" si="386"/>
        <v>FALSE</v>
      </c>
      <c r="AP3385" s="10" t="str">
        <f t="shared" si="386"/>
        <v>FALSE</v>
      </c>
      <c r="AQ3385" s="10" t="b">
        <f>IF(AND(I3385="TP",S3385&lt;=150),VLOOKUP(AF3385,TPCalibEq150!$AZ$2:$BB$55,3,),IF(AND(I3385="TDP",S3385&lt;=150),VLOOKUP(AF3385,TPCalibEq150!$AZ$2:$BB$55,3,)))</f>
        <v>0</v>
      </c>
      <c r="AR3385" s="10" t="b">
        <f>IF(AND(I3385="TP",S3385&lt;=300),VLOOKUP(AF3385,TPCalibEq300!$AZ$2:$BB$55,3,),IF(AND(I3385="TDP",S3385&lt;=300),VLOOKUP(AF3385,TPCalibEq300!$AZ$2:$BB$55,3,)))</f>
        <v>0</v>
      </c>
      <c r="AS3385" s="10" t="b">
        <f>IF(AND(I3385="TP",S3385&lt;=500),VLOOKUP(AF3385,TPCalibEq500!$AZ$2:$BB$56,3,),IF(AND(I3385="TDP",S3385&lt;=500),VLOOKUP(AF3385,TPCalibEq500!$AZ$2:$BB$56,3,)))</f>
        <v>0</v>
      </c>
      <c r="AT3385" s="10" t="b">
        <f>IF(AND(I3385="TN",S3385&lt;=2800),VLOOKUP(AF3385,TNCalibEq2500!$AZ$2:$BB$56,3,),IF(AND(I3385="TDN",S3385&lt;=2800),VLOOKUP(AF3385,TNCalibEq2500!$AZ$2:$BB$56,3,)))</f>
        <v>0</v>
      </c>
      <c r="AU3385" s="10" t="b">
        <f>IF(I3385="TP",VLOOKUP(AF3385,TPCalibEqFull!$AZ$2:$BB$56,3),IF(I3385="TDP",VLOOKUP(AF3385,TPCalibEqFull!$AZ$2:$BB$56,3),IF(I3385="TDN",VLOOKUP(AF3385,TNCalibEqFull!$AZ$1:$BB$56,3),IF(I3385="TN",VLOOKUP(AF3385,TNCalibEqFull!$AZ$1:$BB$56,3),FALSE))))</f>
        <v>0</v>
      </c>
      <c r="AV3385" s="10" t="str">
        <f t="shared" si="382"/>
        <v>0217 08:36:00-HST-0-C-1-SW-UKN</v>
      </c>
    </row>
    <row r="3386" spans="1:48" s="10" customFormat="1" x14ac:dyDescent="0.55000000000000004">
      <c r="A3386" s="32">
        <v>44978</v>
      </c>
      <c r="B3386" s="33">
        <v>0.31597222222222221</v>
      </c>
      <c r="C3386" s="10" t="s">
        <v>279</v>
      </c>
      <c r="D3386" s="10">
        <v>0</v>
      </c>
      <c r="E3386" s="10" t="s">
        <v>190</v>
      </c>
      <c r="F3386" s="10">
        <v>1</v>
      </c>
      <c r="G3386" s="10" t="s">
        <v>231</v>
      </c>
      <c r="H3386" s="10" t="s">
        <v>322</v>
      </c>
      <c r="I3386" s="10" t="s">
        <v>75</v>
      </c>
      <c r="J3386" s="10">
        <v>5</v>
      </c>
      <c r="K3386" s="12">
        <v>44980</v>
      </c>
      <c r="L3386" s="33">
        <v>0.48976851851851855</v>
      </c>
      <c r="M3386" s="10">
        <v>1</v>
      </c>
      <c r="N3386" s="10" t="s">
        <v>76</v>
      </c>
      <c r="O3386" s="10">
        <v>0.44700000000000001</v>
      </c>
      <c r="P3386" s="10">
        <v>3.3599999999999998E-2</v>
      </c>
      <c r="Q3386" s="10">
        <v>28.1</v>
      </c>
      <c r="R3386" s="10" t="s">
        <v>77</v>
      </c>
      <c r="S3386" s="34">
        <f t="shared" si="379"/>
        <v>28.1</v>
      </c>
      <c r="T3386" s="10" t="s">
        <v>1260</v>
      </c>
      <c r="U3386" s="34" t="str">
        <f t="shared" si="380"/>
        <v/>
      </c>
      <c r="V3386" s="31" t="str">
        <f>IF(H3386="CHK",VLOOKUP(I3386,QCCHK,3,),IF(H3386="GUP",VLOOKUP(E3386,QCGUP,2,),IF(AND(H3386="ATP",OR(I3386="TN",I3386="TDN",I3386="TNO2-3",I3386="NO2-3")),VLOOKUP(E3386,QCREC_N,2,),IF(AND(H3386="NIC",OR(I3386="TN",I3386="TDN",I3386="TNO2-3",I3386="NO2-3")),VLOOKUP(E3386,QCNIC_N,2,),IF(AND(H3386="UREA",OR(I3386="TN",I3386="TDN",I3386="TNO2-3",I3386="NO2-3")),VLOOKUP(E3386,QCUREA_N,2,),IF(H3386="PER",VLOOKUP(I3386,QCPER,MATCH(E3386,QCACTUAL!$J$25:$AA$25,0),),IF(H3386="SPK",VLOOKUP(I3386,QCSPK,3,),IF(AND(H3386="ATP",OR(I3386="TP",I3386="TDP")),VLOOKUP(E3386,QCATP_P,2,),""))))))))</f>
        <v/>
      </c>
      <c r="W3386" s="31" t="str">
        <f t="shared" si="381"/>
        <v>TRUE</v>
      </c>
      <c r="X3386" s="31" t="str">
        <f t="shared" si="378"/>
        <v/>
      </c>
      <c r="Y3386" s="10" t="s">
        <v>1253</v>
      </c>
      <c r="AL3386" s="10" t="str">
        <f t="shared" si="385"/>
        <v>FALSE</v>
      </c>
      <c r="AM3386" s="10" t="str">
        <f t="shared" si="385"/>
        <v>FALSE</v>
      </c>
      <c r="AN3386" s="10" t="str">
        <f t="shared" si="385"/>
        <v>FALSE</v>
      </c>
      <c r="AO3386" s="10" t="str">
        <f t="shared" si="386"/>
        <v>FALSE</v>
      </c>
      <c r="AP3386" s="10" t="str">
        <f t="shared" si="386"/>
        <v>FALSE</v>
      </c>
      <c r="AQ3386" s="10" t="b">
        <f>IF(AND(I3386="TP",S3386&lt;=150),VLOOKUP(AF3386,TPCalibEq150!$AZ$2:$BB$55,3,),IF(AND(I3386="TDP",S3386&lt;=150),VLOOKUP(AF3386,TPCalibEq150!$AZ$2:$BB$55,3,)))</f>
        <v>0</v>
      </c>
      <c r="AR3386" s="10" t="b">
        <f>IF(AND(I3386="TP",S3386&lt;=300),VLOOKUP(AF3386,TPCalibEq300!$AZ$2:$BB$55,3,),IF(AND(I3386="TDP",S3386&lt;=300),VLOOKUP(AF3386,TPCalibEq300!$AZ$2:$BB$55,3,)))</f>
        <v>0</v>
      </c>
      <c r="AS3386" s="10" t="b">
        <f>IF(AND(I3386="TP",S3386&lt;=500),VLOOKUP(AF3386,TPCalibEq500!$AZ$2:$BB$56,3,),IF(AND(I3386="TDP",S3386&lt;=500),VLOOKUP(AF3386,TPCalibEq500!$AZ$2:$BB$56,3,)))</f>
        <v>0</v>
      </c>
      <c r="AT3386" s="10" t="b">
        <f>IF(AND(I3386="TN",S3386&lt;=2800),VLOOKUP(AF3386,TNCalibEq2500!$AZ$2:$BB$56,3,),IF(AND(I3386="TDN",S3386&lt;=2800),VLOOKUP(AF3386,TNCalibEq2500!$AZ$2:$BB$56,3,)))</f>
        <v>0</v>
      </c>
      <c r="AU3386" s="10" t="b">
        <f>IF(I3386="TP",VLOOKUP(AF3386,TPCalibEqFull!$AZ$2:$BB$56,3),IF(I3386="TDP",VLOOKUP(AF3386,TPCalibEqFull!$AZ$2:$BB$56,3),IF(I3386="TDN",VLOOKUP(AF3386,TNCalibEqFull!$AZ$1:$BB$56,3),IF(I3386="TN",VLOOKUP(AF3386,TNCalibEqFull!$AZ$1:$BB$56,3),FALSE))))</f>
        <v>0</v>
      </c>
      <c r="AV3386" s="10" t="str">
        <f t="shared" si="382"/>
        <v>0221 07:35:00-EFK-0-C-1-SW-UKN</v>
      </c>
    </row>
    <row r="3387" spans="1:48" s="10" customFormat="1" x14ac:dyDescent="0.55000000000000004">
      <c r="A3387" s="32">
        <v>44978</v>
      </c>
      <c r="B3387" s="33">
        <v>0.31944444444444448</v>
      </c>
      <c r="C3387" s="10" t="s">
        <v>333</v>
      </c>
      <c r="D3387" s="10">
        <v>0</v>
      </c>
      <c r="E3387" s="10" t="s">
        <v>190</v>
      </c>
      <c r="F3387" s="10">
        <v>1</v>
      </c>
      <c r="G3387" s="10" t="s">
        <v>231</v>
      </c>
      <c r="H3387" s="10" t="s">
        <v>322</v>
      </c>
      <c r="I3387" s="10" t="s">
        <v>75</v>
      </c>
      <c r="J3387" s="10">
        <v>6</v>
      </c>
      <c r="K3387" s="12">
        <v>44980</v>
      </c>
      <c r="L3387" s="33">
        <v>0.49057870370370371</v>
      </c>
      <c r="M3387" s="10">
        <v>1</v>
      </c>
      <c r="N3387" s="10" t="s">
        <v>76</v>
      </c>
      <c r="O3387" s="10">
        <v>4.3700000000000003E-2</v>
      </c>
      <c r="P3387" s="10">
        <v>3.4299999999999999E-3</v>
      </c>
      <c r="Q3387" s="10">
        <v>2.74</v>
      </c>
      <c r="R3387" s="10" t="s">
        <v>77</v>
      </c>
      <c r="S3387" s="34">
        <f t="shared" si="379"/>
        <v>2.74</v>
      </c>
      <c r="T3387" s="10" t="s">
        <v>1260</v>
      </c>
      <c r="U3387" s="34" t="str">
        <f t="shared" si="380"/>
        <v/>
      </c>
      <c r="V3387" s="31" t="str">
        <f>IF(H3387="CHK",VLOOKUP(I3387,QCCHK,3,),IF(H3387="GUP",VLOOKUP(E3387,QCGUP,2,),IF(AND(H3387="ATP",OR(I3387="TN",I3387="TDN",I3387="TNO2-3",I3387="NO2-3")),VLOOKUP(E3387,QCREC_N,2,),IF(AND(H3387="NIC",OR(I3387="TN",I3387="TDN",I3387="TNO2-3",I3387="NO2-3")),VLOOKUP(E3387,QCNIC_N,2,),IF(AND(H3387="UREA",OR(I3387="TN",I3387="TDN",I3387="TNO2-3",I3387="NO2-3")),VLOOKUP(E3387,QCUREA_N,2,),IF(H3387="PER",VLOOKUP(I3387,QCPER,MATCH(E3387,QCACTUAL!$J$25:$AA$25,0),),IF(H3387="SPK",VLOOKUP(I3387,QCSPK,3,),IF(AND(H3387="ATP",OR(I3387="TP",I3387="TDP")),VLOOKUP(E3387,QCATP_P,2,),""))))))))</f>
        <v/>
      </c>
      <c r="W3387" s="31" t="str">
        <f t="shared" si="381"/>
        <v>TRUE</v>
      </c>
      <c r="X3387" s="31" t="str">
        <f t="shared" si="378"/>
        <v/>
      </c>
      <c r="Y3387" s="10" t="s">
        <v>1253</v>
      </c>
      <c r="AL3387" s="10" t="str">
        <f t="shared" si="385"/>
        <v>FALSE</v>
      </c>
      <c r="AM3387" s="10" t="str">
        <f t="shared" si="385"/>
        <v>FALSE</v>
      </c>
      <c r="AN3387" s="10" t="str">
        <f t="shared" si="385"/>
        <v>FALSE</v>
      </c>
      <c r="AO3387" s="10" t="str">
        <f t="shared" si="386"/>
        <v>FALSE</v>
      </c>
      <c r="AP3387" s="10" t="str">
        <f t="shared" si="386"/>
        <v>FALSE</v>
      </c>
      <c r="AQ3387" s="10" t="b">
        <f>IF(AND(I3387="TP",S3387&lt;=150),VLOOKUP(AF3387,TPCalibEq150!$AZ$2:$BB$55,3,),IF(AND(I3387="TDP",S3387&lt;=150),VLOOKUP(AF3387,TPCalibEq150!$AZ$2:$BB$55,3,)))</f>
        <v>0</v>
      </c>
      <c r="AR3387" s="10" t="b">
        <f>IF(AND(I3387="TP",S3387&lt;=300),VLOOKUP(AF3387,TPCalibEq300!$AZ$2:$BB$55,3,),IF(AND(I3387="TDP",S3387&lt;=300),VLOOKUP(AF3387,TPCalibEq300!$AZ$2:$BB$55,3,)))</f>
        <v>0</v>
      </c>
      <c r="AS3387" s="10" t="b">
        <f>IF(AND(I3387="TP",S3387&lt;=500),VLOOKUP(AF3387,TPCalibEq500!$AZ$2:$BB$56,3,),IF(AND(I3387="TDP",S3387&lt;=500),VLOOKUP(AF3387,TPCalibEq500!$AZ$2:$BB$56,3,)))</f>
        <v>0</v>
      </c>
      <c r="AT3387" s="10" t="b">
        <f>IF(AND(I3387="TN",S3387&lt;=2800),VLOOKUP(AF3387,TNCalibEq2500!$AZ$2:$BB$56,3,),IF(AND(I3387="TDN",S3387&lt;=2800),VLOOKUP(AF3387,TNCalibEq2500!$AZ$2:$BB$56,3,)))</f>
        <v>0</v>
      </c>
      <c r="AU3387" s="10" t="b">
        <f>IF(I3387="TP",VLOOKUP(AF3387,TPCalibEqFull!$AZ$2:$BB$56,3),IF(I3387="TDP",VLOOKUP(AF3387,TPCalibEqFull!$AZ$2:$BB$56,3),IF(I3387="TDN",VLOOKUP(AF3387,TNCalibEqFull!$AZ$1:$BB$56,3),IF(I3387="TN",VLOOKUP(AF3387,TNCalibEqFull!$AZ$1:$BB$56,3),FALSE))))</f>
        <v>0</v>
      </c>
      <c r="AV3387" s="10" t="str">
        <f t="shared" si="382"/>
        <v>0221 07:40:00-HST-0-C-1-SW-UKN</v>
      </c>
    </row>
    <row r="3388" spans="1:48" s="10" customFormat="1" x14ac:dyDescent="0.55000000000000004">
      <c r="A3388" s="32">
        <v>44978</v>
      </c>
      <c r="B3388" s="33">
        <v>0.31944444444444448</v>
      </c>
      <c r="C3388" s="10" t="s">
        <v>333</v>
      </c>
      <c r="D3388" s="10">
        <v>0</v>
      </c>
      <c r="E3388" s="10" t="s">
        <v>190</v>
      </c>
      <c r="F3388" s="10">
        <v>1</v>
      </c>
      <c r="G3388" s="10" t="s">
        <v>231</v>
      </c>
      <c r="H3388" s="10" t="s">
        <v>233</v>
      </c>
      <c r="I3388" s="10" t="s">
        <v>75</v>
      </c>
      <c r="J3388" s="10">
        <v>6</v>
      </c>
      <c r="K3388" s="12">
        <v>44980</v>
      </c>
      <c r="L3388" s="33">
        <v>0.49140046296296297</v>
      </c>
      <c r="M3388" s="10">
        <v>1</v>
      </c>
      <c r="N3388" s="10" t="s">
        <v>76</v>
      </c>
      <c r="O3388" s="10">
        <v>3.1899999999999998E-2</v>
      </c>
      <c r="P3388" s="10">
        <v>3.3E-3</v>
      </c>
      <c r="Q3388" s="10">
        <v>2</v>
      </c>
      <c r="R3388" s="10" t="s">
        <v>77</v>
      </c>
      <c r="S3388" s="34">
        <f t="shared" si="379"/>
        <v>2</v>
      </c>
      <c r="T3388" s="10" t="s">
        <v>1260</v>
      </c>
      <c r="U3388" s="34">
        <f t="shared" si="380"/>
        <v>31.22362869198313</v>
      </c>
      <c r="V3388" s="31" t="str">
        <f>IF(H3388="CHK",VLOOKUP(I3388,QCCHK,3,),IF(H3388="GUP",VLOOKUP(E3388,QCGUP,2,),IF(AND(H3388="ATP",OR(I3388="TN",I3388="TDN",I3388="TNO2-3",I3388="NO2-3")),VLOOKUP(E3388,QCREC_N,2,),IF(AND(H3388="NIC",OR(I3388="TN",I3388="TDN",I3388="TNO2-3",I3388="NO2-3")),VLOOKUP(E3388,QCNIC_N,2,),IF(AND(H3388="UREA",OR(I3388="TN",I3388="TDN",I3388="TNO2-3",I3388="NO2-3")),VLOOKUP(E3388,QCUREA_N,2,),IF(H3388="PER",VLOOKUP(I3388,QCPER,MATCH(E3388,QCACTUAL!$J$25:$AA$25,0),),IF(H3388="SPK",VLOOKUP(I3388,QCSPK,3,),IF(AND(H3388="ATP",OR(I3388="TP",I3388="TDP")),VLOOKUP(E3388,QCATP_P,2,),""))))))))</f>
        <v/>
      </c>
      <c r="W3388" s="31" t="b">
        <v>1</v>
      </c>
      <c r="X3388" s="31" t="str">
        <f t="shared" si="378"/>
        <v>((ABS(rep1-rep2))/((rep1+rep2)/2)*100</v>
      </c>
      <c r="Y3388" s="10" t="s">
        <v>1253</v>
      </c>
      <c r="Z3388" s="10" t="s">
        <v>1115</v>
      </c>
      <c r="AL3388" s="10" t="str">
        <f t="shared" si="385"/>
        <v>FALSE</v>
      </c>
      <c r="AM3388" s="10" t="str">
        <f t="shared" si="385"/>
        <v>FALSE</v>
      </c>
      <c r="AN3388" s="10" t="str">
        <f t="shared" si="385"/>
        <v>FALSE</v>
      </c>
      <c r="AO3388" s="10" t="str">
        <f t="shared" si="386"/>
        <v>FALSE</v>
      </c>
      <c r="AP3388" s="10" t="str">
        <f t="shared" si="386"/>
        <v>FALSE</v>
      </c>
      <c r="AQ3388" s="10" t="b">
        <f>IF(AND(I3388="TP",S3388&lt;=150),VLOOKUP(AF3388,TPCalibEq150!$AZ$2:$BB$55,3,),IF(AND(I3388="TDP",S3388&lt;=150),VLOOKUP(AF3388,TPCalibEq150!$AZ$2:$BB$55,3,)))</f>
        <v>0</v>
      </c>
      <c r="AR3388" s="10" t="b">
        <f>IF(AND(I3388="TP",S3388&lt;=300),VLOOKUP(AF3388,TPCalibEq300!$AZ$2:$BB$55,3,),IF(AND(I3388="TDP",S3388&lt;=300),VLOOKUP(AF3388,TPCalibEq300!$AZ$2:$BB$55,3,)))</f>
        <v>0</v>
      </c>
      <c r="AS3388" s="10" t="b">
        <f>IF(AND(I3388="TP",S3388&lt;=500),VLOOKUP(AF3388,TPCalibEq500!$AZ$2:$BB$56,3,),IF(AND(I3388="TDP",S3388&lt;=500),VLOOKUP(AF3388,TPCalibEq500!$AZ$2:$BB$56,3,)))</f>
        <v>0</v>
      </c>
      <c r="AT3388" s="10" t="b">
        <f>IF(AND(I3388="TN",S3388&lt;=2800),VLOOKUP(AF3388,TNCalibEq2500!$AZ$2:$BB$56,3,),IF(AND(I3388="TDN",S3388&lt;=2800),VLOOKUP(AF3388,TNCalibEq2500!$AZ$2:$BB$56,3,)))</f>
        <v>0</v>
      </c>
      <c r="AU3388" s="10" t="b">
        <f>IF(I3388="TP",VLOOKUP(AF3388,TPCalibEqFull!$AZ$2:$BB$56,3),IF(I3388="TDP",VLOOKUP(AF3388,TPCalibEqFull!$AZ$2:$BB$56,3),IF(I3388="TDN",VLOOKUP(AF3388,TNCalibEqFull!$AZ$1:$BB$56,3),IF(I3388="TN",VLOOKUP(AF3388,TNCalibEqFull!$AZ$1:$BB$56,3),FALSE))))</f>
        <v>0</v>
      </c>
      <c r="AV3388" s="10" t="str">
        <f t="shared" si="382"/>
        <v>0221 07:40:00-HST-0-C-1-SW-DUP</v>
      </c>
    </row>
    <row r="3389" spans="1:48" s="10" customFormat="1" x14ac:dyDescent="0.55000000000000004">
      <c r="A3389" s="32">
        <v>44978</v>
      </c>
      <c r="B3389" s="33">
        <v>0.31944444444444448</v>
      </c>
      <c r="C3389" s="10" t="s">
        <v>912</v>
      </c>
      <c r="D3389" s="10">
        <v>0</v>
      </c>
      <c r="E3389" s="10" t="s">
        <v>190</v>
      </c>
      <c r="F3389" s="10">
        <v>1</v>
      </c>
      <c r="G3389" s="10" t="s">
        <v>231</v>
      </c>
      <c r="H3389" s="10" t="s">
        <v>314</v>
      </c>
      <c r="I3389" s="10" t="s">
        <v>75</v>
      </c>
      <c r="J3389" s="10">
        <v>81</v>
      </c>
      <c r="K3389" s="12">
        <v>44980</v>
      </c>
      <c r="L3389" s="33">
        <v>0.4946875</v>
      </c>
      <c r="M3389" s="10">
        <v>1</v>
      </c>
      <c r="N3389" s="10" t="s">
        <v>76</v>
      </c>
      <c r="O3389" s="10">
        <v>11.6</v>
      </c>
      <c r="P3389" s="10">
        <v>0.93100000000000005</v>
      </c>
      <c r="Q3389" s="10">
        <v>719</v>
      </c>
      <c r="R3389" s="10" t="s">
        <v>77</v>
      </c>
      <c r="S3389" s="34">
        <f t="shared" si="379"/>
        <v>719</v>
      </c>
      <c r="T3389" s="10" t="s">
        <v>1260</v>
      </c>
      <c r="U3389" s="34">
        <f t="shared" si="380"/>
        <v>114.72</v>
      </c>
      <c r="V3389" s="31">
        <f>IF(H3389="CHK",VLOOKUP(I3389,QCCHK,3,),IF(H3389="GUP",VLOOKUP(E3389,QCGUP,2,),IF(AND(H3389="ATP",OR(I3389="TN",I3389="TDN",I3389="TNO2-3",I3389="NO2-3")),VLOOKUP(E3389,QCREC_N,2,),IF(AND(H3389="NIC",OR(I3389="TN",I3389="TDN",I3389="TNO2-3",I3389="NO2-3")),VLOOKUP(E3389,QCNIC_N,2,),IF(AND(H3389="UREA",OR(I3389="TN",I3389="TDN",I3389="TNO2-3",I3389="NO2-3")),VLOOKUP(E3389,QCUREA_N,2,),IF(H3389="PER",VLOOKUP(I3389,QCPER,MATCH(E3389,QCACTUAL!$J$25:$AA$25,0),),IF(H3389="SPK",VLOOKUP(I3389,QCSPK,3,),IF(AND(H3389="ATP",OR(I3389="TP",I3389="TDP")),VLOOKUP(E3389,QCATP_P,2,),""))))))))</f>
        <v>625</v>
      </c>
      <c r="W3389" s="31" t="str">
        <f t="shared" si="381"/>
        <v>TRUE</v>
      </c>
      <c r="X3389" s="31" t="str">
        <f t="shared" si="378"/>
        <v>([spikedunkn]-[unkn])/[spike]*100</v>
      </c>
      <c r="Y3389" s="10" t="s">
        <v>1253</v>
      </c>
      <c r="AL3389" s="10" t="str">
        <f t="shared" si="385"/>
        <v>FALSE</v>
      </c>
      <c r="AM3389" s="10" t="str">
        <f t="shared" si="385"/>
        <v>FALSE</v>
      </c>
      <c r="AN3389" s="10" t="str">
        <f t="shared" si="385"/>
        <v>FALSE</v>
      </c>
      <c r="AO3389" s="10" t="str">
        <f t="shared" si="386"/>
        <v>FALSE</v>
      </c>
      <c r="AP3389" s="10" t="str">
        <f t="shared" si="386"/>
        <v>FALSE</v>
      </c>
      <c r="AQ3389" s="10" t="b">
        <f>IF(AND(I3389="TP",S3389&lt;=150),VLOOKUP(AF3389,TPCalibEq150!$AZ$2:$BB$55,3,),IF(AND(I3389="TDP",S3389&lt;=150),VLOOKUP(AF3389,TPCalibEq150!$AZ$2:$BB$55,3,)))</f>
        <v>0</v>
      </c>
      <c r="AR3389" s="10" t="b">
        <f>IF(AND(I3389="TP",S3389&lt;=300),VLOOKUP(AF3389,TPCalibEq300!$AZ$2:$BB$55,3,),IF(AND(I3389="TDP",S3389&lt;=300),VLOOKUP(AF3389,TPCalibEq300!$AZ$2:$BB$55,3,)))</f>
        <v>0</v>
      </c>
      <c r="AS3389" s="10" t="b">
        <f>IF(AND(I3389="TP",S3389&lt;=500),VLOOKUP(AF3389,TPCalibEq500!$AZ$2:$BB$56,3,),IF(AND(I3389="TDP",S3389&lt;=500),VLOOKUP(AF3389,TPCalibEq500!$AZ$2:$BB$56,3,)))</f>
        <v>0</v>
      </c>
      <c r="AT3389" s="10" t="b">
        <f>IF(AND(I3389="TN",S3389&lt;=2800),VLOOKUP(AF3389,TNCalibEq2500!$AZ$2:$BB$56,3,),IF(AND(I3389="TDN",S3389&lt;=2800),VLOOKUP(AF3389,TNCalibEq2500!$AZ$2:$BB$56,3,)))</f>
        <v>0</v>
      </c>
      <c r="AU3389" s="10" t="b">
        <f>IF(I3389="TP",VLOOKUP(AF3389,TPCalibEqFull!$AZ$2:$BB$56,3),IF(I3389="TDP",VLOOKUP(AF3389,TPCalibEqFull!$AZ$2:$BB$56,3),IF(I3389="TDN",VLOOKUP(AF3389,TNCalibEqFull!$AZ$1:$BB$56,3),IF(I3389="TN",VLOOKUP(AF3389,TNCalibEqFull!$AZ$1:$BB$56,3),FALSE))))</f>
        <v>0</v>
      </c>
      <c r="AV3389" s="10" t="str">
        <f t="shared" si="382"/>
        <v>0221 07:40:00-HST -0-C-1-SW-SPK</v>
      </c>
    </row>
    <row r="3390" spans="1:48" s="10" customFormat="1" x14ac:dyDescent="0.55000000000000004">
      <c r="A3390" s="32">
        <v>44979</v>
      </c>
      <c r="B3390" s="33">
        <v>0.375</v>
      </c>
      <c r="C3390" s="10" t="s">
        <v>70</v>
      </c>
      <c r="D3390" s="10" t="s">
        <v>71</v>
      </c>
      <c r="E3390" s="10" t="s">
        <v>901</v>
      </c>
      <c r="F3390" s="10">
        <v>1</v>
      </c>
      <c r="G3390" s="10" t="s">
        <v>73</v>
      </c>
      <c r="H3390" s="10" t="s">
        <v>207</v>
      </c>
      <c r="I3390" s="10" t="s">
        <v>75</v>
      </c>
      <c r="J3390" s="10">
        <v>199</v>
      </c>
      <c r="K3390" s="12">
        <v>44980</v>
      </c>
      <c r="L3390" s="33">
        <v>0.49304398148148149</v>
      </c>
      <c r="M3390" s="10">
        <v>1</v>
      </c>
      <c r="N3390" s="10" t="s">
        <v>76</v>
      </c>
      <c r="O3390" s="10">
        <v>4.6399999999999997</v>
      </c>
      <c r="P3390" s="10">
        <v>0.373</v>
      </c>
      <c r="Q3390" s="10">
        <v>290</v>
      </c>
      <c r="R3390" s="10" t="s">
        <v>77</v>
      </c>
      <c r="S3390" s="34">
        <f t="shared" si="379"/>
        <v>290</v>
      </c>
      <c r="T3390" s="10" t="s">
        <v>1260</v>
      </c>
      <c r="U3390" s="34">
        <f t="shared" si="380"/>
        <v>96.666666666666671</v>
      </c>
      <c r="V3390" s="31">
        <f>IF(H3390="CHK",VLOOKUP(I3390,QCCHK,3,),IF(H3390="GUP",VLOOKUP(E3390,QCGUP,2,),IF(AND(H3390="ATP",OR(I3390="TN",I3390="TDN",I3390="TNO2-3",I3390="NO2-3")),VLOOKUP(E3390,QCREC_N,2,),IF(AND(H3390="NIC",OR(I3390="TN",I3390="TDN",I3390="TNO2-3",I3390="NO2-3")),VLOOKUP(E3390,QCNIC_N,2,),IF(AND(H3390="UREA",OR(I3390="TN",I3390="TDN",I3390="TNO2-3",I3390="NO2-3")),VLOOKUP(E3390,QCUREA_N,2,),IF(H3390="PER",VLOOKUP(I3390,QCPER,MATCH(E3390,QCACTUAL!$J$25:$AA$25,0),),IF(H3390="SPK",VLOOKUP(I3390,QCSPK,3,),IF(AND(H3390="ATP",OR(I3390="TP",I3390="TDP")),VLOOKUP(E3390,QCATP_P,2,),""))))))))</f>
        <v>300</v>
      </c>
      <c r="W3390" s="31" t="str">
        <f t="shared" si="381"/>
        <v>TRUE</v>
      </c>
      <c r="X3390" s="31" t="str">
        <f t="shared" si="378"/>
        <v>[chk]/[actual]*100</v>
      </c>
      <c r="Y3390" s="10" t="s">
        <v>1253</v>
      </c>
      <c r="AL3390" s="10" t="str">
        <f t="shared" si="385"/>
        <v>FALSE</v>
      </c>
      <c r="AM3390" s="10" t="str">
        <f t="shared" si="385"/>
        <v>FALSE</v>
      </c>
      <c r="AN3390" s="10" t="str">
        <f t="shared" si="385"/>
        <v>FALSE</v>
      </c>
      <c r="AO3390" s="10" t="str">
        <f t="shared" si="386"/>
        <v>FALSE</v>
      </c>
      <c r="AP3390" s="10" t="str">
        <f t="shared" si="386"/>
        <v>FALSE</v>
      </c>
      <c r="AQ3390" s="10" t="b">
        <f>IF(AND(I3390="TP",S3390&lt;=150),VLOOKUP(AF3390,TPCalibEq150!$AZ$2:$BB$55,3,),IF(AND(I3390="TDP",S3390&lt;=150),VLOOKUP(AF3390,TPCalibEq150!$AZ$2:$BB$55,3,)))</f>
        <v>0</v>
      </c>
      <c r="AR3390" s="10" t="b">
        <f>IF(AND(I3390="TP",S3390&lt;=300),VLOOKUP(AF3390,TPCalibEq300!$AZ$2:$BB$55,3,),IF(AND(I3390="TDP",S3390&lt;=300),VLOOKUP(AF3390,TPCalibEq300!$AZ$2:$BB$55,3,)))</f>
        <v>0</v>
      </c>
      <c r="AS3390" s="10" t="b">
        <f>IF(AND(I3390="TP",S3390&lt;=500),VLOOKUP(AF3390,TPCalibEq500!$AZ$2:$BB$56,3,),IF(AND(I3390="TDP",S3390&lt;=500),VLOOKUP(AF3390,TPCalibEq500!$AZ$2:$BB$56,3,)))</f>
        <v>0</v>
      </c>
      <c r="AT3390" s="10" t="b">
        <f>IF(AND(I3390="TN",S3390&lt;=2800),VLOOKUP(AF3390,TNCalibEq2500!$AZ$2:$BB$56,3,),IF(AND(I3390="TDN",S3390&lt;=2800),VLOOKUP(AF3390,TNCalibEq2500!$AZ$2:$BB$56,3,)))</f>
        <v>0</v>
      </c>
      <c r="AU3390" s="10" t="b">
        <f>IF(I3390="TP",VLOOKUP(AF3390,TPCalibEqFull!$AZ$2:$BB$56,3),IF(I3390="TDP",VLOOKUP(AF3390,TPCalibEqFull!$AZ$2:$BB$56,3),IF(I3390="TDN",VLOOKUP(AF3390,TNCalibEqFull!$AZ$1:$BB$56,3),IF(I3390="TN",VLOOKUP(AF3390,TNCalibEqFull!$AZ$1:$BB$56,3),FALSE))))</f>
        <v>0</v>
      </c>
      <c r="AV3390" s="10" t="str">
        <f t="shared" si="382"/>
        <v>0222 09:00:00-QAC-STD-D-1-DI-CHK</v>
      </c>
    </row>
    <row r="3391" spans="1:48" s="10" customFormat="1" x14ac:dyDescent="0.55000000000000004">
      <c r="A3391" s="32">
        <v>44978</v>
      </c>
      <c r="B3391" s="33">
        <v>0.4777777777777778</v>
      </c>
      <c r="C3391" s="10" t="s">
        <v>431</v>
      </c>
      <c r="D3391" s="10">
        <v>0</v>
      </c>
      <c r="E3391" s="10">
        <v>240</v>
      </c>
      <c r="F3391" s="10">
        <v>1</v>
      </c>
      <c r="G3391" s="10" t="s">
        <v>231</v>
      </c>
      <c r="H3391" s="10" t="s">
        <v>322</v>
      </c>
      <c r="I3391" s="10" t="s">
        <v>75</v>
      </c>
      <c r="J3391" s="10">
        <v>7</v>
      </c>
      <c r="K3391" s="12">
        <v>44980</v>
      </c>
      <c r="L3391" s="33">
        <v>0.49386574074074074</v>
      </c>
      <c r="M3391" s="10">
        <v>1</v>
      </c>
      <c r="N3391" s="10" t="s">
        <v>76</v>
      </c>
      <c r="O3391" s="10">
        <v>0.79200000000000004</v>
      </c>
      <c r="P3391" s="10">
        <v>6.0999999999999999E-2</v>
      </c>
      <c r="Q3391" s="10">
        <v>49.7</v>
      </c>
      <c r="R3391" s="10" t="s">
        <v>77</v>
      </c>
      <c r="S3391" s="34">
        <f t="shared" si="379"/>
        <v>49.7</v>
      </c>
      <c r="T3391" s="10" t="s">
        <v>1260</v>
      </c>
      <c r="U3391" s="34" t="str">
        <f t="shared" si="380"/>
        <v/>
      </c>
      <c r="V3391" s="31" t="str">
        <f>IF(H3391="CHK",VLOOKUP(I3391,QCCHK,3,),IF(H3391="GUP",VLOOKUP(E3391,QCGUP,2,),IF(AND(H3391="ATP",OR(I3391="TN",I3391="TDN",I3391="TNO2-3",I3391="NO2-3")),VLOOKUP(E3391,QCREC_N,2,),IF(AND(H3391="NIC",OR(I3391="TN",I3391="TDN",I3391="TNO2-3",I3391="NO2-3")),VLOOKUP(E3391,QCNIC_N,2,),IF(AND(H3391="UREA",OR(I3391="TN",I3391="TDN",I3391="TNO2-3",I3391="NO2-3")),VLOOKUP(E3391,QCUREA_N,2,),IF(H3391="PER",VLOOKUP(I3391,QCPER,MATCH(E3391,QCACTUAL!$J$25:$AA$25,0),),IF(H3391="SPK",VLOOKUP(I3391,QCSPK,3,),IF(AND(H3391="ATP",OR(I3391="TP",I3391="TDP")),VLOOKUP(E3391,QCATP_P,2,),""))))))))</f>
        <v/>
      </c>
      <c r="W3391" s="31" t="str">
        <f t="shared" si="381"/>
        <v>TRUE</v>
      </c>
      <c r="X3391" s="31" t="str">
        <f t="shared" ref="X3391:X3454" si="387">IF(ISNA(VLOOKUP(H3391,QCEQUATIONS,2,)),"",(VLOOKUP(H3391,QCEQUATIONS,2,)))</f>
        <v/>
      </c>
      <c r="Y3391" s="10" t="s">
        <v>1253</v>
      </c>
      <c r="AL3391" s="10" t="str">
        <f t="shared" si="385"/>
        <v>FALSE</v>
      </c>
      <c r="AM3391" s="10" t="str">
        <f t="shared" si="385"/>
        <v>FALSE</v>
      </c>
      <c r="AN3391" s="10" t="str">
        <f t="shared" si="385"/>
        <v>FALSE</v>
      </c>
      <c r="AO3391" s="10" t="str">
        <f t="shared" si="386"/>
        <v>FALSE</v>
      </c>
      <c r="AP3391" s="10" t="str">
        <f t="shared" si="386"/>
        <v>FALSE</v>
      </c>
      <c r="AQ3391" s="10" t="b">
        <f>IF(AND(I3391="TP",S3391&lt;=150),VLOOKUP(AF3391,TPCalibEq150!$AZ$2:$BB$55,3,),IF(AND(I3391="TDP",S3391&lt;=150),VLOOKUP(AF3391,TPCalibEq150!$AZ$2:$BB$55,3,)))</f>
        <v>0</v>
      </c>
      <c r="AR3391" s="10" t="b">
        <f>IF(AND(I3391="TP",S3391&lt;=300),VLOOKUP(AF3391,TPCalibEq300!$AZ$2:$BB$55,3,),IF(AND(I3391="TDP",S3391&lt;=300),VLOOKUP(AF3391,TPCalibEq300!$AZ$2:$BB$55,3,)))</f>
        <v>0</v>
      </c>
      <c r="AS3391" s="10" t="b">
        <f>IF(AND(I3391="TP",S3391&lt;=500),VLOOKUP(AF3391,TPCalibEq500!$AZ$2:$BB$56,3,),IF(AND(I3391="TDP",S3391&lt;=500),VLOOKUP(AF3391,TPCalibEq500!$AZ$2:$BB$56,3,)))</f>
        <v>0</v>
      </c>
      <c r="AT3391" s="10" t="b">
        <f>IF(AND(I3391="TN",S3391&lt;=2800),VLOOKUP(AF3391,TNCalibEq2500!$AZ$2:$BB$56,3,),IF(AND(I3391="TDN",S3391&lt;=2800),VLOOKUP(AF3391,TNCalibEq2500!$AZ$2:$BB$56,3,)))</f>
        <v>0</v>
      </c>
      <c r="AU3391" s="10" t="b">
        <f>IF(I3391="TP",VLOOKUP(AF3391,TPCalibEqFull!$AZ$2:$BB$56,3),IF(I3391="TDP",VLOOKUP(AF3391,TPCalibEqFull!$AZ$2:$BB$56,3),IF(I3391="TDN",VLOOKUP(AF3391,TNCalibEqFull!$AZ$1:$BB$56,3),IF(I3391="TN",VLOOKUP(AF3391,TNCalibEqFull!$AZ$1:$BB$56,3),FALSE))))</f>
        <v>0</v>
      </c>
      <c r="AV3391" s="10" t="str">
        <f t="shared" si="382"/>
        <v>0221 11:28:00-EUS-0-240-1-SW-UKN</v>
      </c>
    </row>
    <row r="3392" spans="1:48" s="10" customFormat="1" x14ac:dyDescent="0.55000000000000004">
      <c r="A3392" s="32">
        <v>44978</v>
      </c>
      <c r="B3392" s="33">
        <v>0.48055555555555557</v>
      </c>
      <c r="C3392" s="10" t="s">
        <v>431</v>
      </c>
      <c r="D3392" s="10">
        <v>5</v>
      </c>
      <c r="E3392" s="10" t="s">
        <v>190</v>
      </c>
      <c r="F3392" s="10">
        <v>1</v>
      </c>
      <c r="G3392" s="10" t="s">
        <v>231</v>
      </c>
      <c r="H3392" s="10" t="s">
        <v>322</v>
      </c>
      <c r="I3392" s="10" t="s">
        <v>75</v>
      </c>
      <c r="J3392" s="10">
        <v>8</v>
      </c>
      <c r="K3392" s="12">
        <v>44980</v>
      </c>
      <c r="L3392" s="33">
        <v>0.49549768518518517</v>
      </c>
      <c r="M3392" s="10">
        <v>1</v>
      </c>
      <c r="N3392" s="10" t="s">
        <v>76</v>
      </c>
      <c r="O3392" s="10">
        <v>0.53200000000000003</v>
      </c>
      <c r="P3392" s="10">
        <v>3.9199999999999999E-2</v>
      </c>
      <c r="Q3392" s="10">
        <v>33.4</v>
      </c>
      <c r="R3392" s="10" t="s">
        <v>77</v>
      </c>
      <c r="S3392" s="34">
        <f t="shared" ref="S3392:S3455" si="388">IF(OR(AND(I3392&lt;&gt;"TP", I3392&lt;&gt;"TDP",I3392&lt;&gt;"TN", I3392&lt;&gt;"TDN"),H3392="CAL"), Q3392*M3392, IF(OR(AND(I3392="TN", Q3392&gt;2500), AND(I3392="TDN", Q3392&gt;2500)),MAX(Q3392, AK3392)*M3392, IF(OR(AND(I3392="TN", Q3392&lt;=2500), AND(I3392="TDN", Q3392&lt;=2500)),MAX(Q3392, AJ3392,AK3392)*M3392, IF(OR(AND(I3392="TP",Q3392&gt;500), AND(I3392="TDP", Q3392&gt;500)),MAX(Q3392,AK3392)*M3392,IF(OR(AND(I3392="TP",Q3392&lt;=150), AND(I3392="TDP", Q3392&lt;=150)),MAX(Q3392,AG3392:AI3392,AK3392)*M3392,IF(OR(AND(I3392="TP",Q3392&lt;=300), AND(I3392="TDP", Q3392&lt;=300)),MAX(Q3392,AH3392,AI3392,AK3392)*M3392,IF(OR(AND(I3392="TP",Q3392&lt;=500), AND(I3392="TDP", Q3392&lt;=500)),MAX(Q3392,AI3392,AK3392)*M3392,"")))))))</f>
        <v>33.4</v>
      </c>
      <c r="T3392" s="10" t="s">
        <v>1260</v>
      </c>
      <c r="U3392" s="34" t="str">
        <f t="shared" si="380"/>
        <v/>
      </c>
      <c r="V3392" s="31" t="str">
        <f>IF(H3392="CHK",VLOOKUP(I3392,QCCHK,3,),IF(H3392="GUP",VLOOKUP(E3392,QCGUP,2,),IF(AND(H3392="ATP",OR(I3392="TN",I3392="TDN",I3392="TNO2-3",I3392="NO2-3")),VLOOKUP(E3392,QCREC_N,2,),IF(AND(H3392="NIC",OR(I3392="TN",I3392="TDN",I3392="TNO2-3",I3392="NO2-3")),VLOOKUP(E3392,QCNIC_N,2,),IF(AND(H3392="UREA",OR(I3392="TN",I3392="TDN",I3392="TNO2-3",I3392="NO2-3")),VLOOKUP(E3392,QCUREA_N,2,),IF(H3392="PER",VLOOKUP(I3392,QCPER,MATCH(E3392,QCACTUAL!$J$25:$AA$25,0),),IF(H3392="SPK",VLOOKUP(I3392,QCSPK,3,),IF(AND(H3392="ATP",OR(I3392="TP",I3392="TDP")),VLOOKUP(E3392,QCATP_P,2,),""))))))))</f>
        <v/>
      </c>
      <c r="W3392" s="31" t="str">
        <f t="shared" si="381"/>
        <v>TRUE</v>
      </c>
      <c r="X3392" s="31" t="str">
        <f t="shared" si="387"/>
        <v/>
      </c>
      <c r="Y3392" s="10" t="s">
        <v>1253</v>
      </c>
      <c r="AL3392" s="10" t="str">
        <f t="shared" si="385"/>
        <v>FALSE</v>
      </c>
      <c r="AM3392" s="10" t="str">
        <f t="shared" si="385"/>
        <v>FALSE</v>
      </c>
      <c r="AN3392" s="10" t="str">
        <f t="shared" si="385"/>
        <v>FALSE</v>
      </c>
      <c r="AO3392" s="10" t="str">
        <f t="shared" si="386"/>
        <v>FALSE</v>
      </c>
      <c r="AP3392" s="10" t="str">
        <f t="shared" si="386"/>
        <v>FALSE</v>
      </c>
      <c r="AQ3392" s="10" t="b">
        <f>IF(AND(I3392="TP",S3392&lt;=150),VLOOKUP(AF3392,TPCalibEq150!$AZ$2:$BB$55,3,),IF(AND(I3392="TDP",S3392&lt;=150),VLOOKUP(AF3392,TPCalibEq150!$AZ$2:$BB$55,3,)))</f>
        <v>0</v>
      </c>
      <c r="AR3392" s="10" t="b">
        <f>IF(AND(I3392="TP",S3392&lt;=300),VLOOKUP(AF3392,TPCalibEq300!$AZ$2:$BB$55,3,),IF(AND(I3392="TDP",S3392&lt;=300),VLOOKUP(AF3392,TPCalibEq300!$AZ$2:$BB$55,3,)))</f>
        <v>0</v>
      </c>
      <c r="AS3392" s="10" t="b">
        <f>IF(AND(I3392="TP",S3392&lt;=500),VLOOKUP(AF3392,TPCalibEq500!$AZ$2:$BB$56,3,),IF(AND(I3392="TDP",S3392&lt;=500),VLOOKUP(AF3392,TPCalibEq500!$AZ$2:$BB$56,3,)))</f>
        <v>0</v>
      </c>
      <c r="AT3392" s="10" t="b">
        <f>IF(AND(I3392="TN",S3392&lt;=2800),VLOOKUP(AF3392,TNCalibEq2500!$AZ$2:$BB$56,3,),IF(AND(I3392="TDN",S3392&lt;=2800),VLOOKUP(AF3392,TNCalibEq2500!$AZ$2:$BB$56,3,)))</f>
        <v>0</v>
      </c>
      <c r="AU3392" s="10" t="b">
        <f>IF(I3392="TP",VLOOKUP(AF3392,TPCalibEqFull!$AZ$2:$BB$56,3),IF(I3392="TDP",VLOOKUP(AF3392,TPCalibEqFull!$AZ$2:$BB$56,3),IF(I3392="TDN",VLOOKUP(AF3392,TNCalibEqFull!$AZ$1:$BB$56,3),IF(I3392="TN",VLOOKUP(AF3392,TNCalibEqFull!$AZ$1:$BB$56,3),FALSE))))</f>
        <v>0</v>
      </c>
      <c r="AV3392" s="10" t="str">
        <f t="shared" si="382"/>
        <v>0221 11:32:00-EUS-5-C-1-SW-UKN</v>
      </c>
    </row>
    <row r="3393" spans="1:48" s="10" customFormat="1" x14ac:dyDescent="0.55000000000000004">
      <c r="A3393" s="32">
        <v>44978</v>
      </c>
      <c r="B3393" s="33">
        <v>0.49444444444444446</v>
      </c>
      <c r="C3393" s="10" t="s">
        <v>618</v>
      </c>
      <c r="D3393" s="10">
        <v>0</v>
      </c>
      <c r="E3393" s="10">
        <v>180</v>
      </c>
      <c r="F3393" s="10">
        <v>1</v>
      </c>
      <c r="G3393" s="10" t="s">
        <v>231</v>
      </c>
      <c r="H3393" s="10" t="s">
        <v>322</v>
      </c>
      <c r="I3393" s="10" t="s">
        <v>75</v>
      </c>
      <c r="J3393" s="10">
        <v>9</v>
      </c>
      <c r="K3393" s="12">
        <v>44980</v>
      </c>
      <c r="L3393" s="33">
        <v>0.49631944444444448</v>
      </c>
      <c r="M3393" s="10">
        <v>1</v>
      </c>
      <c r="N3393" s="10" t="s">
        <v>76</v>
      </c>
      <c r="O3393" s="10">
        <v>1.7</v>
      </c>
      <c r="P3393" s="10">
        <v>0.128</v>
      </c>
      <c r="Q3393" s="10">
        <v>107</v>
      </c>
      <c r="R3393" s="10" t="s">
        <v>77</v>
      </c>
      <c r="S3393" s="34">
        <f t="shared" si="388"/>
        <v>107</v>
      </c>
      <c r="T3393" s="10" t="s">
        <v>1260</v>
      </c>
      <c r="U3393" s="34" t="str">
        <f t="shared" si="380"/>
        <v/>
      </c>
      <c r="V3393" s="31" t="str">
        <f>IF(H3393="CHK",VLOOKUP(I3393,QCCHK,3,),IF(H3393="GUP",VLOOKUP(E3393,QCGUP,2,),IF(AND(H3393="ATP",OR(I3393="TN",I3393="TDN",I3393="TNO2-3",I3393="NO2-3")),VLOOKUP(E3393,QCREC_N,2,),IF(AND(H3393="NIC",OR(I3393="TN",I3393="TDN",I3393="TNO2-3",I3393="NO2-3")),VLOOKUP(E3393,QCNIC_N,2,),IF(AND(H3393="UREA",OR(I3393="TN",I3393="TDN",I3393="TNO2-3",I3393="NO2-3")),VLOOKUP(E3393,QCUREA_N,2,),IF(H3393="PER",VLOOKUP(I3393,QCPER,MATCH(E3393,QCACTUAL!$J$25:$AA$25,0),),IF(H3393="SPK",VLOOKUP(I3393,QCSPK,3,),IF(AND(H3393="ATP",OR(I3393="TP",I3393="TDP")),VLOOKUP(E3393,QCATP_P,2,),""))))))))</f>
        <v/>
      </c>
      <c r="W3393" s="31" t="str">
        <f t="shared" si="381"/>
        <v>TRUE</v>
      </c>
      <c r="X3393" s="31" t="str">
        <f t="shared" si="387"/>
        <v/>
      </c>
      <c r="Y3393" s="10" t="s">
        <v>1253</v>
      </c>
      <c r="AL3393" s="10" t="str">
        <f t="shared" si="385"/>
        <v>FALSE</v>
      </c>
      <c r="AM3393" s="10" t="str">
        <f t="shared" si="385"/>
        <v>FALSE</v>
      </c>
      <c r="AN3393" s="10" t="str">
        <f t="shared" si="385"/>
        <v>FALSE</v>
      </c>
      <c r="AO3393" s="10" t="str">
        <f t="shared" si="386"/>
        <v>FALSE</v>
      </c>
      <c r="AP3393" s="10" t="str">
        <f t="shared" si="386"/>
        <v>FALSE</v>
      </c>
      <c r="AQ3393" s="10" t="b">
        <f>IF(AND(I3393="TP",S3393&lt;=150),VLOOKUP(AF3393,TPCalibEq150!$AZ$2:$BB$55,3,),IF(AND(I3393="TDP",S3393&lt;=150),VLOOKUP(AF3393,TPCalibEq150!$AZ$2:$BB$55,3,)))</f>
        <v>0</v>
      </c>
      <c r="AR3393" s="10" t="b">
        <f>IF(AND(I3393="TP",S3393&lt;=300),VLOOKUP(AF3393,TPCalibEq300!$AZ$2:$BB$55,3,),IF(AND(I3393="TDP",S3393&lt;=300),VLOOKUP(AF3393,TPCalibEq300!$AZ$2:$BB$55,3,)))</f>
        <v>0</v>
      </c>
      <c r="AS3393" s="10" t="b">
        <f>IF(AND(I3393="TP",S3393&lt;=500),VLOOKUP(AF3393,TPCalibEq500!$AZ$2:$BB$56,3,),IF(AND(I3393="TDP",S3393&lt;=500),VLOOKUP(AF3393,TPCalibEq500!$AZ$2:$BB$56,3,)))</f>
        <v>0</v>
      </c>
      <c r="AT3393" s="10" t="b">
        <f>IF(AND(I3393="TN",S3393&lt;=2800),VLOOKUP(AF3393,TNCalibEq2500!$AZ$2:$BB$56,3,),IF(AND(I3393="TDN",S3393&lt;=2800),VLOOKUP(AF3393,TNCalibEq2500!$AZ$2:$BB$56,3,)))</f>
        <v>0</v>
      </c>
      <c r="AU3393" s="10" t="b">
        <f>IF(I3393="TP",VLOOKUP(AF3393,TPCalibEqFull!$AZ$2:$BB$56,3),IF(I3393="TDP",VLOOKUP(AF3393,TPCalibEqFull!$AZ$2:$BB$56,3),IF(I3393="TDN",VLOOKUP(AF3393,TNCalibEqFull!$AZ$1:$BB$56,3),IF(I3393="TN",VLOOKUP(AF3393,TNCalibEqFull!$AZ$1:$BB$56,3),FALSE))))</f>
        <v>0</v>
      </c>
      <c r="AV3393" s="10" t="str">
        <f t="shared" si="382"/>
        <v>0221 11:52:00-ECP-0-180-1-SW-UKN</v>
      </c>
    </row>
    <row r="3394" spans="1:48" s="10" customFormat="1" x14ac:dyDescent="0.55000000000000004">
      <c r="A3394" s="32">
        <v>44978</v>
      </c>
      <c r="B3394" s="33">
        <v>0.49444444444444446</v>
      </c>
      <c r="C3394" s="10" t="s">
        <v>618</v>
      </c>
      <c r="D3394" s="10">
        <v>0</v>
      </c>
      <c r="E3394" s="10">
        <v>180</v>
      </c>
      <c r="F3394" s="10">
        <v>2</v>
      </c>
      <c r="G3394" s="10" t="s">
        <v>231</v>
      </c>
      <c r="H3394" s="10" t="s">
        <v>322</v>
      </c>
      <c r="I3394" s="10" t="s">
        <v>75</v>
      </c>
      <c r="J3394" s="10">
        <v>10</v>
      </c>
      <c r="K3394" s="12">
        <v>44980</v>
      </c>
      <c r="L3394" s="33">
        <v>0.49712962962962964</v>
      </c>
      <c r="M3394" s="10">
        <v>1</v>
      </c>
      <c r="N3394" s="10" t="s">
        <v>76</v>
      </c>
      <c r="O3394" s="10">
        <v>1.62</v>
      </c>
      <c r="P3394" s="10">
        <v>0.124</v>
      </c>
      <c r="Q3394" s="10">
        <v>102</v>
      </c>
      <c r="R3394" s="10" t="s">
        <v>77</v>
      </c>
      <c r="S3394" s="34">
        <f t="shared" si="388"/>
        <v>102</v>
      </c>
      <c r="T3394" s="10" t="s">
        <v>1260</v>
      </c>
      <c r="U3394" s="34" t="str">
        <f t="shared" ref="U3394:U3457" si="389">IF(OR(H3394="CHK",H3394="ATP",H3394="GUP",H3394="PER", H3394="NIC", H3394="UREA"),(S3394/V3394*100),IF(H3394="DUP",((ABS(S3394-S3393))/((S3393+S3394)/2))*100,IF(H3394="SPK",((S3394-S3393)/V3394*100),IF(OR(H3394="LAB",H3394="FLD",H3394="ESF"),S3394,""))))</f>
        <v/>
      </c>
      <c r="V3394" s="31" t="str">
        <f>IF(H3394="CHK",VLOOKUP(I3394,QCCHK,3,),IF(H3394="GUP",VLOOKUP(E3394,QCGUP,2,),IF(AND(H3394="ATP",OR(I3394="TN",I3394="TDN",I3394="TNO2-3",I3394="NO2-3")),VLOOKUP(E3394,QCREC_N,2,),IF(AND(H3394="NIC",OR(I3394="TN",I3394="TDN",I3394="TNO2-3",I3394="NO2-3")),VLOOKUP(E3394,QCNIC_N,2,),IF(AND(H3394="UREA",OR(I3394="TN",I3394="TDN",I3394="TNO2-3",I3394="NO2-3")),VLOOKUP(E3394,QCUREA_N,2,),IF(H3394="PER",VLOOKUP(I3394,QCPER,MATCH(E3394,QCACTUAL!$J$25:$AA$25,0),),IF(H3394="SPK",VLOOKUP(I3394,QCSPK,3,),IF(AND(H3394="ATP",OR(I3394="TP",I3394="TDP")),VLOOKUP(E3394,QCATP_P,2,),""))))))))</f>
        <v/>
      </c>
      <c r="W3394" s="31" t="str">
        <f t="shared" ref="W3394:W3457" si="390">IF(AND(OR(H3394="PER",H3394="ATP",H3394="GUP",H3394="CHK",H3394="SPK", H3394="NIC"),OR(U3394&gt;125,U3394&lt;75)),"FALSE",IF(AND(H3394="DUP",OR(U3394&gt;25, U3394&lt;-25)),"FALSE",IF(AND(OR(H3394="LAB",H3394="FLD",H3394="ESF"),U3394&gt;15),"FALSE","TRUE")))</f>
        <v>TRUE</v>
      </c>
      <c r="X3394" s="31" t="str">
        <f t="shared" si="387"/>
        <v/>
      </c>
      <c r="Y3394" s="10" t="s">
        <v>1253</v>
      </c>
      <c r="AL3394" s="10" t="str">
        <f t="shared" si="385"/>
        <v>FALSE</v>
      </c>
      <c r="AM3394" s="10" t="str">
        <f t="shared" si="385"/>
        <v>FALSE</v>
      </c>
      <c r="AN3394" s="10" t="str">
        <f t="shared" si="385"/>
        <v>FALSE</v>
      </c>
      <c r="AO3394" s="10" t="str">
        <f t="shared" si="386"/>
        <v>FALSE</v>
      </c>
      <c r="AP3394" s="10" t="str">
        <f t="shared" si="386"/>
        <v>FALSE</v>
      </c>
      <c r="AQ3394" s="10" t="b">
        <f>IF(AND(I3394="TP",S3394&lt;=150),VLOOKUP(AF3394,TPCalibEq150!$AZ$2:$BB$55,3,),IF(AND(I3394="TDP",S3394&lt;=150),VLOOKUP(AF3394,TPCalibEq150!$AZ$2:$BB$55,3,)))</f>
        <v>0</v>
      </c>
      <c r="AR3394" s="10" t="b">
        <f>IF(AND(I3394="TP",S3394&lt;=300),VLOOKUP(AF3394,TPCalibEq300!$AZ$2:$BB$55,3,),IF(AND(I3394="TDP",S3394&lt;=300),VLOOKUP(AF3394,TPCalibEq300!$AZ$2:$BB$55,3,)))</f>
        <v>0</v>
      </c>
      <c r="AS3394" s="10" t="b">
        <f>IF(AND(I3394="TP",S3394&lt;=500),VLOOKUP(AF3394,TPCalibEq500!$AZ$2:$BB$56,3,),IF(AND(I3394="TDP",S3394&lt;=500),VLOOKUP(AF3394,TPCalibEq500!$AZ$2:$BB$56,3,)))</f>
        <v>0</v>
      </c>
      <c r="AT3394" s="10" t="b">
        <f>IF(AND(I3394="TN",S3394&lt;=2800),VLOOKUP(AF3394,TNCalibEq2500!$AZ$2:$BB$56,3,),IF(AND(I3394="TDN",S3394&lt;=2800),VLOOKUP(AF3394,TNCalibEq2500!$AZ$2:$BB$56,3,)))</f>
        <v>0</v>
      </c>
      <c r="AU3394" s="10" t="b">
        <f>IF(I3394="TP",VLOOKUP(AF3394,TPCalibEqFull!$AZ$2:$BB$56,3),IF(I3394="TDP",VLOOKUP(AF3394,TPCalibEqFull!$AZ$2:$BB$56,3),IF(I3394="TDN",VLOOKUP(AF3394,TNCalibEqFull!$AZ$1:$BB$56,3),IF(I3394="TN",VLOOKUP(AF3394,TNCalibEqFull!$AZ$1:$BB$56,3),FALSE))))</f>
        <v>0</v>
      </c>
      <c r="AV3394" s="10" t="str">
        <f t="shared" ref="AV3394:AV3457" si="391">TEXT(A3394, "MMDD")&amp;" "&amp;TEXT(B3394, "HH:MM:SS")&amp;"-"&amp;C3394&amp;"-"&amp;D3394&amp;"-"&amp;E3394&amp;"-"&amp;F3394&amp;"-"&amp;G3394&amp;"-"&amp;H3394</f>
        <v>0221 11:52:00-ECP-0-180-2-SW-UKN</v>
      </c>
    </row>
    <row r="3395" spans="1:48" s="10" customFormat="1" x14ac:dyDescent="0.55000000000000004">
      <c r="A3395" s="32">
        <v>44978</v>
      </c>
      <c r="B3395" s="33">
        <v>0.49444444444444446</v>
      </c>
      <c r="C3395" s="10" t="s">
        <v>618</v>
      </c>
      <c r="D3395" s="10">
        <v>0</v>
      </c>
      <c r="E3395" s="10">
        <v>180</v>
      </c>
      <c r="F3395" s="10">
        <v>2</v>
      </c>
      <c r="G3395" s="10" t="s">
        <v>231</v>
      </c>
      <c r="H3395" s="10" t="s">
        <v>233</v>
      </c>
      <c r="I3395" s="10" t="s">
        <v>75</v>
      </c>
      <c r="J3395" s="10">
        <v>10</v>
      </c>
      <c r="K3395" s="12">
        <v>44980</v>
      </c>
      <c r="L3395" s="33">
        <v>0.49793981481481481</v>
      </c>
      <c r="M3395" s="10">
        <v>1</v>
      </c>
      <c r="N3395" s="10" t="s">
        <v>76</v>
      </c>
      <c r="O3395" s="10">
        <v>1.62</v>
      </c>
      <c r="P3395" s="10">
        <v>0.122</v>
      </c>
      <c r="Q3395" s="10">
        <v>101</v>
      </c>
      <c r="R3395" s="10" t="s">
        <v>77</v>
      </c>
      <c r="S3395" s="34">
        <f t="shared" si="388"/>
        <v>101</v>
      </c>
      <c r="T3395" s="10" t="s">
        <v>1260</v>
      </c>
      <c r="U3395" s="34">
        <f t="shared" si="389"/>
        <v>0.98522167487684731</v>
      </c>
      <c r="V3395" s="31" t="str">
        <f>IF(H3395="CHK",VLOOKUP(I3395,QCCHK,3,),IF(H3395="GUP",VLOOKUP(E3395,QCGUP,2,),IF(AND(H3395="ATP",OR(I3395="TN",I3395="TDN",I3395="TNO2-3",I3395="NO2-3")),VLOOKUP(E3395,QCREC_N,2,),IF(AND(H3395="NIC",OR(I3395="TN",I3395="TDN",I3395="TNO2-3",I3395="NO2-3")),VLOOKUP(E3395,QCNIC_N,2,),IF(AND(H3395="UREA",OR(I3395="TN",I3395="TDN",I3395="TNO2-3",I3395="NO2-3")),VLOOKUP(E3395,QCUREA_N,2,),IF(H3395="PER",VLOOKUP(I3395,QCPER,MATCH(E3395,QCACTUAL!$J$25:$AA$25,0),),IF(H3395="SPK",VLOOKUP(I3395,QCSPK,3,),IF(AND(H3395="ATP",OR(I3395="TP",I3395="TDP")),VLOOKUP(E3395,QCATP_P,2,),""))))))))</f>
        <v/>
      </c>
      <c r="W3395" s="31" t="str">
        <f t="shared" si="390"/>
        <v>TRUE</v>
      </c>
      <c r="X3395" s="31" t="str">
        <f t="shared" si="387"/>
        <v>((ABS(rep1-rep2))/((rep1+rep2)/2)*100</v>
      </c>
      <c r="Y3395" s="10" t="s">
        <v>1253</v>
      </c>
      <c r="AL3395" s="10" t="str">
        <f t="shared" si="385"/>
        <v>FALSE</v>
      </c>
      <c r="AM3395" s="10" t="str">
        <f t="shared" si="385"/>
        <v>FALSE</v>
      </c>
      <c r="AN3395" s="10" t="str">
        <f t="shared" si="385"/>
        <v>FALSE</v>
      </c>
      <c r="AO3395" s="10" t="str">
        <f t="shared" si="386"/>
        <v>FALSE</v>
      </c>
      <c r="AP3395" s="10" t="str">
        <f t="shared" si="386"/>
        <v>FALSE</v>
      </c>
      <c r="AQ3395" s="10" t="b">
        <f>IF(AND(I3395="TP",S3395&lt;=150),VLOOKUP(AF3395,TPCalibEq150!$AZ$2:$BB$55,3,),IF(AND(I3395="TDP",S3395&lt;=150),VLOOKUP(AF3395,TPCalibEq150!$AZ$2:$BB$55,3,)))</f>
        <v>0</v>
      </c>
      <c r="AR3395" s="10" t="b">
        <f>IF(AND(I3395="TP",S3395&lt;=300),VLOOKUP(AF3395,TPCalibEq300!$AZ$2:$BB$55,3,),IF(AND(I3395="TDP",S3395&lt;=300),VLOOKUP(AF3395,TPCalibEq300!$AZ$2:$BB$55,3,)))</f>
        <v>0</v>
      </c>
      <c r="AS3395" s="10" t="b">
        <f>IF(AND(I3395="TP",S3395&lt;=500),VLOOKUP(AF3395,TPCalibEq500!$AZ$2:$BB$56,3,),IF(AND(I3395="TDP",S3395&lt;=500),VLOOKUP(AF3395,TPCalibEq500!$AZ$2:$BB$56,3,)))</f>
        <v>0</v>
      </c>
      <c r="AT3395" s="10" t="b">
        <f>IF(AND(I3395="TN",S3395&lt;=2800),VLOOKUP(AF3395,TNCalibEq2500!$AZ$2:$BB$56,3,),IF(AND(I3395="TDN",S3395&lt;=2800),VLOOKUP(AF3395,TNCalibEq2500!$AZ$2:$BB$56,3,)))</f>
        <v>0</v>
      </c>
      <c r="AU3395" s="10" t="b">
        <f>IF(I3395="TP",VLOOKUP(AF3395,TPCalibEqFull!$AZ$2:$BB$56,3),IF(I3395="TDP",VLOOKUP(AF3395,TPCalibEqFull!$AZ$2:$BB$56,3),IF(I3395="TDN",VLOOKUP(AF3395,TNCalibEqFull!$AZ$1:$BB$56,3),IF(I3395="TN",VLOOKUP(AF3395,TNCalibEqFull!$AZ$1:$BB$56,3),FALSE))))</f>
        <v>0</v>
      </c>
      <c r="AV3395" s="10" t="str">
        <f t="shared" si="391"/>
        <v>0221 11:52:00-ECP-0-180-2-SW-DUP</v>
      </c>
    </row>
    <row r="3396" spans="1:48" s="10" customFormat="1" x14ac:dyDescent="0.55000000000000004">
      <c r="A3396" s="32">
        <v>44978</v>
      </c>
      <c r="B3396" s="33">
        <v>0.49444444444444446</v>
      </c>
      <c r="C3396" s="10" t="s">
        <v>618</v>
      </c>
      <c r="D3396" s="10">
        <v>0</v>
      </c>
      <c r="E3396" s="10">
        <v>180</v>
      </c>
      <c r="F3396" s="10">
        <v>2</v>
      </c>
      <c r="G3396" s="10" t="s">
        <v>231</v>
      </c>
      <c r="H3396" s="10" t="s">
        <v>314</v>
      </c>
      <c r="I3396" s="10" t="s">
        <v>75</v>
      </c>
      <c r="J3396" s="10">
        <v>82</v>
      </c>
      <c r="K3396" s="12">
        <v>44980</v>
      </c>
      <c r="L3396" s="33">
        <v>0.49875000000000003</v>
      </c>
      <c r="M3396" s="10">
        <v>1</v>
      </c>
      <c r="N3396" s="10" t="s">
        <v>76</v>
      </c>
      <c r="O3396" s="10">
        <v>14.4</v>
      </c>
      <c r="P3396" s="10">
        <v>1.1499999999999999</v>
      </c>
      <c r="Q3396" s="10">
        <v>893</v>
      </c>
      <c r="R3396" s="10" t="s">
        <v>77</v>
      </c>
      <c r="S3396" s="34">
        <f t="shared" si="388"/>
        <v>893</v>
      </c>
      <c r="T3396" s="10" t="s">
        <v>1260</v>
      </c>
      <c r="U3396" s="34">
        <f t="shared" si="389"/>
        <v>126.72000000000001</v>
      </c>
      <c r="V3396" s="31">
        <f>IF(H3396="CHK",VLOOKUP(I3396,QCCHK,3,),IF(H3396="GUP",VLOOKUP(E3396,QCGUP,2,),IF(AND(H3396="ATP",OR(I3396="TN",I3396="TDN",I3396="TNO2-3",I3396="NO2-3")),VLOOKUP(E3396,QCREC_N,2,),IF(AND(H3396="NIC",OR(I3396="TN",I3396="TDN",I3396="TNO2-3",I3396="NO2-3")),VLOOKUP(E3396,QCNIC_N,2,),IF(AND(H3396="UREA",OR(I3396="TN",I3396="TDN",I3396="TNO2-3",I3396="NO2-3")),VLOOKUP(E3396,QCUREA_N,2,),IF(H3396="PER",VLOOKUP(I3396,QCPER,MATCH(E3396,QCACTUAL!$J$25:$AA$25,0),),IF(H3396="SPK",VLOOKUP(I3396,QCSPK,3,),IF(AND(H3396="ATP",OR(I3396="TP",I3396="TDP")),VLOOKUP(E3396,QCATP_P,2,),""))))))))</f>
        <v>625</v>
      </c>
      <c r="W3396" s="31" t="str">
        <f t="shared" si="390"/>
        <v>FALSE</v>
      </c>
      <c r="X3396" s="31" t="str">
        <f t="shared" si="387"/>
        <v>([spikedunkn]-[unkn])/[spike]*100</v>
      </c>
      <c r="Y3396" s="10" t="s">
        <v>1253</v>
      </c>
      <c r="AL3396" s="10" t="str">
        <f t="shared" si="385"/>
        <v>FALSE</v>
      </c>
      <c r="AM3396" s="10" t="str">
        <f t="shared" si="385"/>
        <v>FALSE</v>
      </c>
      <c r="AN3396" s="10" t="str">
        <f t="shared" si="385"/>
        <v>FALSE</v>
      </c>
      <c r="AO3396" s="10" t="str">
        <f t="shared" si="386"/>
        <v>FALSE</v>
      </c>
      <c r="AP3396" s="10" t="str">
        <f t="shared" si="386"/>
        <v>FALSE</v>
      </c>
      <c r="AQ3396" s="10" t="b">
        <f>IF(AND(I3396="TP",S3396&lt;=150),VLOOKUP(AF3396,TPCalibEq150!$AZ$2:$BB$55,3,),IF(AND(I3396="TDP",S3396&lt;=150),VLOOKUP(AF3396,TPCalibEq150!$AZ$2:$BB$55,3,)))</f>
        <v>0</v>
      </c>
      <c r="AR3396" s="10" t="b">
        <f>IF(AND(I3396="TP",S3396&lt;=300),VLOOKUP(AF3396,TPCalibEq300!$AZ$2:$BB$55,3,),IF(AND(I3396="TDP",S3396&lt;=300),VLOOKUP(AF3396,TPCalibEq300!$AZ$2:$BB$55,3,)))</f>
        <v>0</v>
      </c>
      <c r="AS3396" s="10" t="b">
        <f>IF(AND(I3396="TP",S3396&lt;=500),VLOOKUP(AF3396,TPCalibEq500!$AZ$2:$BB$56,3,),IF(AND(I3396="TDP",S3396&lt;=500),VLOOKUP(AF3396,TPCalibEq500!$AZ$2:$BB$56,3,)))</f>
        <v>0</v>
      </c>
      <c r="AT3396" s="10" t="b">
        <f>IF(AND(I3396="TN",S3396&lt;=2800),VLOOKUP(AF3396,TNCalibEq2500!$AZ$2:$BB$56,3,),IF(AND(I3396="TDN",S3396&lt;=2800),VLOOKUP(AF3396,TNCalibEq2500!$AZ$2:$BB$56,3,)))</f>
        <v>0</v>
      </c>
      <c r="AU3396" s="10" t="b">
        <f>IF(I3396="TP",VLOOKUP(AF3396,TPCalibEqFull!$AZ$2:$BB$56,3),IF(I3396="TDP",VLOOKUP(AF3396,TPCalibEqFull!$AZ$2:$BB$56,3),IF(I3396="TDN",VLOOKUP(AF3396,TNCalibEqFull!$AZ$1:$BB$56,3),IF(I3396="TN",VLOOKUP(AF3396,TNCalibEqFull!$AZ$1:$BB$56,3),FALSE))))</f>
        <v>0</v>
      </c>
      <c r="AV3396" s="10" t="str">
        <f t="shared" si="391"/>
        <v>0221 11:52:00-ECP-0-180-2-SW-SPK</v>
      </c>
    </row>
    <row r="3397" spans="1:48" s="10" customFormat="1" x14ac:dyDescent="0.55000000000000004">
      <c r="A3397" s="32">
        <v>44979</v>
      </c>
      <c r="B3397" s="33">
        <v>0.375</v>
      </c>
      <c r="C3397" s="10" t="s">
        <v>70</v>
      </c>
      <c r="D3397" s="10" t="s">
        <v>71</v>
      </c>
      <c r="E3397" s="10" t="s">
        <v>901</v>
      </c>
      <c r="F3397" s="10">
        <v>1</v>
      </c>
      <c r="G3397" s="10" t="s">
        <v>73</v>
      </c>
      <c r="H3397" s="10" t="s">
        <v>207</v>
      </c>
      <c r="I3397" s="10" t="s">
        <v>75</v>
      </c>
      <c r="J3397" s="10">
        <v>199</v>
      </c>
      <c r="K3397" s="12">
        <v>44980</v>
      </c>
      <c r="L3397" s="33">
        <v>0.49958333333333332</v>
      </c>
      <c r="M3397" s="10">
        <v>1</v>
      </c>
      <c r="N3397" s="10" t="s">
        <v>76</v>
      </c>
      <c r="O3397" s="10">
        <v>4.75</v>
      </c>
      <c r="P3397" s="10">
        <v>0.38200000000000001</v>
      </c>
      <c r="Q3397" s="10">
        <v>297</v>
      </c>
      <c r="R3397" s="10" t="s">
        <v>77</v>
      </c>
      <c r="S3397" s="34">
        <f t="shared" si="388"/>
        <v>297</v>
      </c>
      <c r="T3397" s="10" t="s">
        <v>1260</v>
      </c>
      <c r="U3397" s="34">
        <f t="shared" si="389"/>
        <v>99</v>
      </c>
      <c r="V3397" s="31">
        <f>IF(H3397="CHK",VLOOKUP(I3397,QCCHK,3,),IF(H3397="GUP",VLOOKUP(E3397,QCGUP,2,),IF(AND(H3397="ATP",OR(I3397="TN",I3397="TDN",I3397="TNO2-3",I3397="NO2-3")),VLOOKUP(E3397,QCREC_N,2,),IF(AND(H3397="NIC",OR(I3397="TN",I3397="TDN",I3397="TNO2-3",I3397="NO2-3")),VLOOKUP(E3397,QCNIC_N,2,),IF(AND(H3397="UREA",OR(I3397="TN",I3397="TDN",I3397="TNO2-3",I3397="NO2-3")),VLOOKUP(E3397,QCUREA_N,2,),IF(H3397="PER",VLOOKUP(I3397,QCPER,MATCH(E3397,QCACTUAL!$J$25:$AA$25,0),),IF(H3397="SPK",VLOOKUP(I3397,QCSPK,3,),IF(AND(H3397="ATP",OR(I3397="TP",I3397="TDP")),VLOOKUP(E3397,QCATP_P,2,),""))))))))</f>
        <v>300</v>
      </c>
      <c r="W3397" s="31" t="str">
        <f t="shared" si="390"/>
        <v>TRUE</v>
      </c>
      <c r="X3397" s="31" t="str">
        <f t="shared" si="387"/>
        <v>[chk]/[actual]*100</v>
      </c>
      <c r="Y3397" s="10" t="s">
        <v>1253</v>
      </c>
      <c r="AL3397" s="10" t="str">
        <f t="shared" si="385"/>
        <v>FALSE</v>
      </c>
      <c r="AM3397" s="10" t="str">
        <f t="shared" si="385"/>
        <v>FALSE</v>
      </c>
      <c r="AN3397" s="10" t="str">
        <f t="shared" si="385"/>
        <v>FALSE</v>
      </c>
      <c r="AO3397" s="10" t="str">
        <f t="shared" si="386"/>
        <v>FALSE</v>
      </c>
      <c r="AP3397" s="10" t="str">
        <f t="shared" si="386"/>
        <v>FALSE</v>
      </c>
      <c r="AQ3397" s="10" t="b">
        <f>IF(AND(I3397="TP",S3397&lt;=150),VLOOKUP(AF3397,TPCalibEq150!$AZ$2:$BB$55,3,),IF(AND(I3397="TDP",S3397&lt;=150),VLOOKUP(AF3397,TPCalibEq150!$AZ$2:$BB$55,3,)))</f>
        <v>0</v>
      </c>
      <c r="AR3397" s="10" t="b">
        <f>IF(AND(I3397="TP",S3397&lt;=300),VLOOKUP(AF3397,TPCalibEq300!$AZ$2:$BB$55,3,),IF(AND(I3397="TDP",S3397&lt;=300),VLOOKUP(AF3397,TPCalibEq300!$AZ$2:$BB$55,3,)))</f>
        <v>0</v>
      </c>
      <c r="AS3397" s="10" t="b">
        <f>IF(AND(I3397="TP",S3397&lt;=500),VLOOKUP(AF3397,TPCalibEq500!$AZ$2:$BB$56,3,),IF(AND(I3397="TDP",S3397&lt;=500),VLOOKUP(AF3397,TPCalibEq500!$AZ$2:$BB$56,3,)))</f>
        <v>0</v>
      </c>
      <c r="AT3397" s="10" t="b">
        <f>IF(AND(I3397="TN",S3397&lt;=2800),VLOOKUP(AF3397,TNCalibEq2500!$AZ$2:$BB$56,3,),IF(AND(I3397="TDN",S3397&lt;=2800),VLOOKUP(AF3397,TNCalibEq2500!$AZ$2:$BB$56,3,)))</f>
        <v>0</v>
      </c>
      <c r="AU3397" s="10" t="b">
        <f>IF(I3397="TP",VLOOKUP(AF3397,TPCalibEqFull!$AZ$2:$BB$56,3),IF(I3397="TDP",VLOOKUP(AF3397,TPCalibEqFull!$AZ$2:$BB$56,3),IF(I3397="TDN",VLOOKUP(AF3397,TNCalibEqFull!$AZ$1:$BB$56,3),IF(I3397="TN",VLOOKUP(AF3397,TNCalibEqFull!$AZ$1:$BB$56,3),FALSE))))</f>
        <v>0</v>
      </c>
      <c r="AV3397" s="10" t="str">
        <f t="shared" si="391"/>
        <v>0222 09:00:00-QAC-STD-D-1-DI-CHK</v>
      </c>
    </row>
    <row r="3398" spans="1:48" s="10" customFormat="1" x14ac:dyDescent="0.55000000000000004">
      <c r="A3398" s="32">
        <v>44978</v>
      </c>
      <c r="B3398" s="33">
        <v>0.49652777777777773</v>
      </c>
      <c r="C3398" s="10" t="s">
        <v>618</v>
      </c>
      <c r="D3398" s="10">
        <v>5</v>
      </c>
      <c r="E3398" s="10">
        <v>180</v>
      </c>
      <c r="F3398" s="10">
        <v>1</v>
      </c>
      <c r="G3398" s="10" t="s">
        <v>231</v>
      </c>
      <c r="H3398" s="10" t="s">
        <v>322</v>
      </c>
      <c r="I3398" s="10" t="s">
        <v>75</v>
      </c>
      <c r="J3398" s="10">
        <v>11</v>
      </c>
      <c r="K3398" s="12">
        <v>44980</v>
      </c>
      <c r="L3398" s="33">
        <v>0.50039351851851854</v>
      </c>
      <c r="M3398" s="10">
        <v>1</v>
      </c>
      <c r="N3398" s="10" t="s">
        <v>76</v>
      </c>
      <c r="O3398" s="10">
        <v>1.99</v>
      </c>
      <c r="P3398" s="10">
        <v>0.154</v>
      </c>
      <c r="Q3398" s="10">
        <v>125</v>
      </c>
      <c r="R3398" s="10" t="s">
        <v>77</v>
      </c>
      <c r="S3398" s="34">
        <f t="shared" si="388"/>
        <v>125</v>
      </c>
      <c r="T3398" s="10" t="s">
        <v>1260</v>
      </c>
      <c r="U3398" s="34" t="str">
        <f t="shared" si="389"/>
        <v/>
      </c>
      <c r="V3398" s="31" t="str">
        <f>IF(H3398="CHK",VLOOKUP(I3398,QCCHK,3,),IF(H3398="GUP",VLOOKUP(E3398,QCGUP,2,),IF(AND(H3398="ATP",OR(I3398="TN",I3398="TDN",I3398="TNO2-3",I3398="NO2-3")),VLOOKUP(E3398,QCREC_N,2,),IF(AND(H3398="NIC",OR(I3398="TN",I3398="TDN",I3398="TNO2-3",I3398="NO2-3")),VLOOKUP(E3398,QCNIC_N,2,),IF(AND(H3398="UREA",OR(I3398="TN",I3398="TDN",I3398="TNO2-3",I3398="NO2-3")),VLOOKUP(E3398,QCUREA_N,2,),IF(H3398="PER",VLOOKUP(I3398,QCPER,MATCH(E3398,QCACTUAL!$J$25:$AA$25,0),),IF(H3398="SPK",VLOOKUP(I3398,QCSPK,3,),IF(AND(H3398="ATP",OR(I3398="TP",I3398="TDP")),VLOOKUP(E3398,QCATP_P,2,),""))))))))</f>
        <v/>
      </c>
      <c r="W3398" s="31" t="str">
        <f t="shared" si="390"/>
        <v>TRUE</v>
      </c>
      <c r="X3398" s="31" t="str">
        <f t="shared" si="387"/>
        <v/>
      </c>
      <c r="Y3398" s="10" t="s">
        <v>1253</v>
      </c>
      <c r="AL3398" s="10" t="str">
        <f t="shared" si="385"/>
        <v>FALSE</v>
      </c>
      <c r="AM3398" s="10" t="str">
        <f t="shared" si="385"/>
        <v>FALSE</v>
      </c>
      <c r="AN3398" s="10" t="str">
        <f t="shared" si="385"/>
        <v>FALSE</v>
      </c>
      <c r="AO3398" s="10" t="str">
        <f t="shared" si="386"/>
        <v>FALSE</v>
      </c>
      <c r="AP3398" s="10" t="str">
        <f t="shared" si="386"/>
        <v>FALSE</v>
      </c>
      <c r="AQ3398" s="10" t="b">
        <f>IF(AND(I3398="TP",S3398&lt;=150),VLOOKUP(AF3398,TPCalibEq150!$AZ$2:$BB$55,3,),IF(AND(I3398="TDP",S3398&lt;=150),VLOOKUP(AF3398,TPCalibEq150!$AZ$2:$BB$55,3,)))</f>
        <v>0</v>
      </c>
      <c r="AR3398" s="10" t="b">
        <f>IF(AND(I3398="TP",S3398&lt;=300),VLOOKUP(AF3398,TPCalibEq300!$AZ$2:$BB$55,3,),IF(AND(I3398="TDP",S3398&lt;=300),VLOOKUP(AF3398,TPCalibEq300!$AZ$2:$BB$55,3,)))</f>
        <v>0</v>
      </c>
      <c r="AS3398" s="10" t="b">
        <f>IF(AND(I3398="TP",S3398&lt;=500),VLOOKUP(AF3398,TPCalibEq500!$AZ$2:$BB$56,3,),IF(AND(I3398="TDP",S3398&lt;=500),VLOOKUP(AF3398,TPCalibEq500!$AZ$2:$BB$56,3,)))</f>
        <v>0</v>
      </c>
      <c r="AT3398" s="10" t="b">
        <f>IF(AND(I3398="TN",S3398&lt;=2800),VLOOKUP(AF3398,TNCalibEq2500!$AZ$2:$BB$56,3,),IF(AND(I3398="TDN",S3398&lt;=2800),VLOOKUP(AF3398,TNCalibEq2500!$AZ$2:$BB$56,3,)))</f>
        <v>0</v>
      </c>
      <c r="AU3398" s="10" t="b">
        <f>IF(I3398="TP",VLOOKUP(AF3398,TPCalibEqFull!$AZ$2:$BB$56,3),IF(I3398="TDP",VLOOKUP(AF3398,TPCalibEqFull!$AZ$2:$BB$56,3),IF(I3398="TDN",VLOOKUP(AF3398,TNCalibEqFull!$AZ$1:$BB$56,3),IF(I3398="TN",VLOOKUP(AF3398,TNCalibEqFull!$AZ$1:$BB$56,3),FALSE))))</f>
        <v>0</v>
      </c>
      <c r="AV3398" s="10" t="str">
        <f t="shared" si="391"/>
        <v>0221 11:55:00-ECP-5-180-1-SW-UKN</v>
      </c>
    </row>
    <row r="3399" spans="1:48" s="10" customFormat="1" x14ac:dyDescent="0.55000000000000004">
      <c r="A3399" s="32">
        <v>44978</v>
      </c>
      <c r="B3399" s="33">
        <v>0.49861111111111112</v>
      </c>
      <c r="C3399" s="10" t="s">
        <v>618</v>
      </c>
      <c r="D3399" s="10">
        <v>10</v>
      </c>
      <c r="E3399" s="10">
        <v>200</v>
      </c>
      <c r="F3399" s="10">
        <v>1</v>
      </c>
      <c r="G3399" s="10" t="s">
        <v>231</v>
      </c>
      <c r="H3399" s="10" t="s">
        <v>322</v>
      </c>
      <c r="I3399" s="10" t="s">
        <v>75</v>
      </c>
      <c r="J3399" s="10">
        <v>12</v>
      </c>
      <c r="K3399" s="12">
        <v>44980</v>
      </c>
      <c r="L3399" s="33">
        <v>0.50120370370370371</v>
      </c>
      <c r="M3399" s="10">
        <v>1</v>
      </c>
      <c r="N3399" s="10" t="s">
        <v>76</v>
      </c>
      <c r="O3399" s="10">
        <v>1.77</v>
      </c>
      <c r="P3399" s="10">
        <v>0.13100000000000001</v>
      </c>
      <c r="Q3399" s="10">
        <v>111</v>
      </c>
      <c r="R3399" s="10" t="s">
        <v>77</v>
      </c>
      <c r="S3399" s="34">
        <f t="shared" si="388"/>
        <v>111</v>
      </c>
      <c r="T3399" s="10" t="s">
        <v>1260</v>
      </c>
      <c r="U3399" s="34" t="str">
        <f t="shared" si="389"/>
        <v/>
      </c>
      <c r="V3399" s="31" t="str">
        <f>IF(H3399="CHK",VLOOKUP(I3399,QCCHK,3,),IF(H3399="GUP",VLOOKUP(E3399,QCGUP,2,),IF(AND(H3399="ATP",OR(I3399="TN",I3399="TDN",I3399="TNO2-3",I3399="NO2-3")),VLOOKUP(E3399,QCREC_N,2,),IF(AND(H3399="NIC",OR(I3399="TN",I3399="TDN",I3399="TNO2-3",I3399="NO2-3")),VLOOKUP(E3399,QCNIC_N,2,),IF(AND(H3399="UREA",OR(I3399="TN",I3399="TDN",I3399="TNO2-3",I3399="NO2-3")),VLOOKUP(E3399,QCUREA_N,2,),IF(H3399="PER",VLOOKUP(I3399,QCPER,MATCH(E3399,QCACTUAL!$J$25:$AA$25,0),),IF(H3399="SPK",VLOOKUP(I3399,QCSPK,3,),IF(AND(H3399="ATP",OR(I3399="TP",I3399="TDP")),VLOOKUP(E3399,QCATP_P,2,),""))))))))</f>
        <v/>
      </c>
      <c r="W3399" s="31" t="str">
        <f t="shared" si="390"/>
        <v>TRUE</v>
      </c>
      <c r="X3399" s="31" t="str">
        <f t="shared" si="387"/>
        <v/>
      </c>
      <c r="Y3399" s="10" t="s">
        <v>1253</v>
      </c>
      <c r="AL3399" s="10" t="str">
        <f t="shared" si="385"/>
        <v>FALSE</v>
      </c>
      <c r="AM3399" s="10" t="str">
        <f t="shared" si="385"/>
        <v>FALSE</v>
      </c>
      <c r="AN3399" s="10" t="str">
        <f t="shared" si="385"/>
        <v>FALSE</v>
      </c>
      <c r="AO3399" s="10" t="str">
        <f t="shared" si="386"/>
        <v>FALSE</v>
      </c>
      <c r="AP3399" s="10" t="str">
        <f t="shared" si="386"/>
        <v>FALSE</v>
      </c>
      <c r="AQ3399" s="10" t="b">
        <f>IF(AND(I3399="TP",S3399&lt;=150),VLOOKUP(AF3399,TPCalibEq150!$AZ$2:$BB$55,3,),IF(AND(I3399="TDP",S3399&lt;=150),VLOOKUP(AF3399,TPCalibEq150!$AZ$2:$BB$55,3,)))</f>
        <v>0</v>
      </c>
      <c r="AR3399" s="10" t="b">
        <f>IF(AND(I3399="TP",S3399&lt;=300),VLOOKUP(AF3399,TPCalibEq300!$AZ$2:$BB$55,3,),IF(AND(I3399="TDP",S3399&lt;=300),VLOOKUP(AF3399,TPCalibEq300!$AZ$2:$BB$55,3,)))</f>
        <v>0</v>
      </c>
      <c r="AS3399" s="10" t="b">
        <f>IF(AND(I3399="TP",S3399&lt;=500),VLOOKUP(AF3399,TPCalibEq500!$AZ$2:$BB$56,3,),IF(AND(I3399="TDP",S3399&lt;=500),VLOOKUP(AF3399,TPCalibEq500!$AZ$2:$BB$56,3,)))</f>
        <v>0</v>
      </c>
      <c r="AT3399" s="10" t="b">
        <f>IF(AND(I3399="TN",S3399&lt;=2800),VLOOKUP(AF3399,TNCalibEq2500!$AZ$2:$BB$56,3,),IF(AND(I3399="TDN",S3399&lt;=2800),VLOOKUP(AF3399,TNCalibEq2500!$AZ$2:$BB$56,3,)))</f>
        <v>0</v>
      </c>
      <c r="AU3399" s="10" t="b">
        <f>IF(I3399="TP",VLOOKUP(AF3399,TPCalibEqFull!$AZ$2:$BB$56,3),IF(I3399="TDP",VLOOKUP(AF3399,TPCalibEqFull!$AZ$2:$BB$56,3),IF(I3399="TDN",VLOOKUP(AF3399,TNCalibEqFull!$AZ$1:$BB$56,3),IF(I3399="TN",VLOOKUP(AF3399,TNCalibEqFull!$AZ$1:$BB$56,3),FALSE))))</f>
        <v>0</v>
      </c>
      <c r="AV3399" s="10" t="str">
        <f t="shared" si="391"/>
        <v>0221 11:58:00-ECP-10-200-1-SW-UKN</v>
      </c>
    </row>
    <row r="3400" spans="1:48" s="10" customFormat="1" x14ac:dyDescent="0.55000000000000004">
      <c r="A3400" s="32">
        <v>44978</v>
      </c>
      <c r="B3400" s="33">
        <v>0.50208333333333333</v>
      </c>
      <c r="C3400" s="10" t="s">
        <v>618</v>
      </c>
      <c r="D3400" s="10">
        <v>20</v>
      </c>
      <c r="E3400" s="10" t="s">
        <v>190</v>
      </c>
      <c r="F3400" s="10">
        <v>1</v>
      </c>
      <c r="G3400" s="10" t="s">
        <v>231</v>
      </c>
      <c r="H3400" s="10" t="s">
        <v>322</v>
      </c>
      <c r="I3400" s="10" t="s">
        <v>75</v>
      </c>
      <c r="J3400" s="10">
        <v>13</v>
      </c>
      <c r="K3400" s="12">
        <v>44980</v>
      </c>
      <c r="L3400" s="33">
        <v>0.50201388888888887</v>
      </c>
      <c r="M3400" s="10">
        <v>1</v>
      </c>
      <c r="N3400" s="10" t="s">
        <v>76</v>
      </c>
      <c r="O3400" s="10">
        <v>1.67</v>
      </c>
      <c r="P3400" s="10">
        <v>0.127</v>
      </c>
      <c r="Q3400" s="10">
        <v>105</v>
      </c>
      <c r="R3400" s="10" t="s">
        <v>77</v>
      </c>
      <c r="S3400" s="34">
        <f t="shared" si="388"/>
        <v>105</v>
      </c>
      <c r="T3400" s="10" t="s">
        <v>1260</v>
      </c>
      <c r="U3400" s="34" t="str">
        <f t="shared" si="389"/>
        <v/>
      </c>
      <c r="V3400" s="31" t="str">
        <f>IF(H3400="CHK",VLOOKUP(I3400,QCCHK,3,),IF(H3400="GUP",VLOOKUP(E3400,QCGUP,2,),IF(AND(H3400="ATP",OR(I3400="TN",I3400="TDN",I3400="TNO2-3",I3400="NO2-3")),VLOOKUP(E3400,QCREC_N,2,),IF(AND(H3400="NIC",OR(I3400="TN",I3400="TDN",I3400="TNO2-3",I3400="NO2-3")),VLOOKUP(E3400,QCNIC_N,2,),IF(AND(H3400="UREA",OR(I3400="TN",I3400="TDN",I3400="TNO2-3",I3400="NO2-3")),VLOOKUP(E3400,QCUREA_N,2,),IF(H3400="PER",VLOOKUP(I3400,QCPER,MATCH(E3400,QCACTUAL!$J$25:$AA$25,0),),IF(H3400="SPK",VLOOKUP(I3400,QCSPK,3,),IF(AND(H3400="ATP",OR(I3400="TP",I3400="TDP")),VLOOKUP(E3400,QCATP_P,2,),""))))))))</f>
        <v/>
      </c>
      <c r="W3400" s="31" t="str">
        <f t="shared" si="390"/>
        <v>TRUE</v>
      </c>
      <c r="X3400" s="31" t="str">
        <f t="shared" si="387"/>
        <v/>
      </c>
      <c r="Y3400" s="10" t="s">
        <v>1253</v>
      </c>
      <c r="AL3400" s="10" t="str">
        <f t="shared" si="385"/>
        <v>FALSE</v>
      </c>
      <c r="AM3400" s="10" t="str">
        <f t="shared" si="385"/>
        <v>FALSE</v>
      </c>
      <c r="AN3400" s="10" t="str">
        <f t="shared" si="385"/>
        <v>FALSE</v>
      </c>
      <c r="AO3400" s="10" t="str">
        <f t="shared" si="386"/>
        <v>FALSE</v>
      </c>
      <c r="AP3400" s="10" t="str">
        <f t="shared" si="386"/>
        <v>FALSE</v>
      </c>
      <c r="AQ3400" s="10" t="b">
        <f>IF(AND(I3400="TP",S3400&lt;=150),VLOOKUP(AF3400,TPCalibEq150!$AZ$2:$BB$55,3,),IF(AND(I3400="TDP",S3400&lt;=150),VLOOKUP(AF3400,TPCalibEq150!$AZ$2:$BB$55,3,)))</f>
        <v>0</v>
      </c>
      <c r="AR3400" s="10" t="b">
        <f>IF(AND(I3400="TP",S3400&lt;=300),VLOOKUP(AF3400,TPCalibEq300!$AZ$2:$BB$55,3,),IF(AND(I3400="TDP",S3400&lt;=300),VLOOKUP(AF3400,TPCalibEq300!$AZ$2:$BB$55,3,)))</f>
        <v>0</v>
      </c>
      <c r="AS3400" s="10" t="b">
        <f>IF(AND(I3400="TP",S3400&lt;=500),VLOOKUP(AF3400,TPCalibEq500!$AZ$2:$BB$56,3,),IF(AND(I3400="TDP",S3400&lt;=500),VLOOKUP(AF3400,TPCalibEq500!$AZ$2:$BB$56,3,)))</f>
        <v>0</v>
      </c>
      <c r="AT3400" s="10" t="b">
        <f>IF(AND(I3400="TN",S3400&lt;=2800),VLOOKUP(AF3400,TNCalibEq2500!$AZ$2:$BB$56,3,),IF(AND(I3400="TDN",S3400&lt;=2800),VLOOKUP(AF3400,TNCalibEq2500!$AZ$2:$BB$56,3,)))</f>
        <v>0</v>
      </c>
      <c r="AU3400" s="10" t="b">
        <f>IF(I3400="TP",VLOOKUP(AF3400,TPCalibEqFull!$AZ$2:$BB$56,3),IF(I3400="TDP",VLOOKUP(AF3400,TPCalibEqFull!$AZ$2:$BB$56,3),IF(I3400="TDN",VLOOKUP(AF3400,TNCalibEqFull!$AZ$1:$BB$56,3),IF(I3400="TN",VLOOKUP(AF3400,TNCalibEqFull!$AZ$1:$BB$56,3),FALSE))))</f>
        <v>0</v>
      </c>
      <c r="AV3400" s="10" t="str">
        <f t="shared" si="391"/>
        <v>0221 12:03:00-ECP-20-C-1-SW-UKN</v>
      </c>
    </row>
    <row r="3401" spans="1:48" s="10" customFormat="1" x14ac:dyDescent="0.55000000000000004">
      <c r="A3401" s="32">
        <v>44978</v>
      </c>
      <c r="B3401" s="33">
        <v>0.50416666666666665</v>
      </c>
      <c r="C3401" s="10" t="s">
        <v>618</v>
      </c>
      <c r="D3401" s="10">
        <v>29</v>
      </c>
      <c r="E3401" s="10" t="s">
        <v>190</v>
      </c>
      <c r="F3401" s="10">
        <v>1</v>
      </c>
      <c r="G3401" s="10" t="s">
        <v>231</v>
      </c>
      <c r="H3401" s="10" t="s">
        <v>322</v>
      </c>
      <c r="I3401" s="10" t="s">
        <v>75</v>
      </c>
      <c r="J3401" s="10">
        <v>14</v>
      </c>
      <c r="K3401" s="12">
        <v>44980</v>
      </c>
      <c r="L3401" s="33">
        <v>0.50282407407407403</v>
      </c>
      <c r="M3401" s="10">
        <v>1</v>
      </c>
      <c r="N3401" s="10" t="s">
        <v>76</v>
      </c>
      <c r="O3401" s="10">
        <v>2.2799999999999998</v>
      </c>
      <c r="P3401" s="10">
        <v>0.17499999999999999</v>
      </c>
      <c r="Q3401" s="10">
        <v>143</v>
      </c>
      <c r="R3401" s="10" t="s">
        <v>77</v>
      </c>
      <c r="S3401" s="34">
        <f t="shared" si="388"/>
        <v>143</v>
      </c>
      <c r="T3401" s="10" t="s">
        <v>1260</v>
      </c>
      <c r="U3401" s="34" t="str">
        <f t="shared" si="389"/>
        <v/>
      </c>
      <c r="V3401" s="31" t="str">
        <f>IF(H3401="CHK",VLOOKUP(I3401,QCCHK,3,),IF(H3401="GUP",VLOOKUP(E3401,QCGUP,2,),IF(AND(H3401="ATP",OR(I3401="TN",I3401="TDN",I3401="TNO2-3",I3401="NO2-3")),VLOOKUP(E3401,QCREC_N,2,),IF(AND(H3401="NIC",OR(I3401="TN",I3401="TDN",I3401="TNO2-3",I3401="NO2-3")),VLOOKUP(E3401,QCNIC_N,2,),IF(AND(H3401="UREA",OR(I3401="TN",I3401="TDN",I3401="TNO2-3",I3401="NO2-3")),VLOOKUP(E3401,QCUREA_N,2,),IF(H3401="PER",VLOOKUP(I3401,QCPER,MATCH(E3401,QCACTUAL!$J$25:$AA$25,0),),IF(H3401="SPK",VLOOKUP(I3401,QCSPK,3,),IF(AND(H3401="ATP",OR(I3401="TP",I3401="TDP")),VLOOKUP(E3401,QCATP_P,2,),""))))))))</f>
        <v/>
      </c>
      <c r="W3401" s="31" t="str">
        <f t="shared" si="390"/>
        <v>TRUE</v>
      </c>
      <c r="X3401" s="31" t="str">
        <f t="shared" si="387"/>
        <v/>
      </c>
      <c r="Y3401" s="10" t="s">
        <v>1253</v>
      </c>
      <c r="AL3401" s="10" t="str">
        <f t="shared" si="385"/>
        <v>FALSE</v>
      </c>
      <c r="AM3401" s="10" t="str">
        <f t="shared" si="385"/>
        <v>FALSE</v>
      </c>
      <c r="AN3401" s="10" t="str">
        <f t="shared" si="385"/>
        <v>FALSE</v>
      </c>
      <c r="AO3401" s="10" t="str">
        <f t="shared" si="386"/>
        <v>FALSE</v>
      </c>
      <c r="AP3401" s="10" t="str">
        <f t="shared" si="386"/>
        <v>FALSE</v>
      </c>
      <c r="AQ3401" s="10" t="b">
        <f>IF(AND(I3401="TP",S3401&lt;=150),VLOOKUP(AF3401,TPCalibEq150!$AZ$2:$BB$55,3,),IF(AND(I3401="TDP",S3401&lt;=150),VLOOKUP(AF3401,TPCalibEq150!$AZ$2:$BB$55,3,)))</f>
        <v>0</v>
      </c>
      <c r="AR3401" s="10" t="b">
        <f>IF(AND(I3401="TP",S3401&lt;=300),VLOOKUP(AF3401,TPCalibEq300!$AZ$2:$BB$55,3,),IF(AND(I3401="TDP",S3401&lt;=300),VLOOKUP(AF3401,TPCalibEq300!$AZ$2:$BB$55,3,)))</f>
        <v>0</v>
      </c>
      <c r="AS3401" s="10" t="b">
        <f>IF(AND(I3401="TP",S3401&lt;=500),VLOOKUP(AF3401,TPCalibEq500!$AZ$2:$BB$56,3,),IF(AND(I3401="TDP",S3401&lt;=500),VLOOKUP(AF3401,TPCalibEq500!$AZ$2:$BB$56,3,)))</f>
        <v>0</v>
      </c>
      <c r="AT3401" s="10" t="b">
        <f>IF(AND(I3401="TN",S3401&lt;=2800),VLOOKUP(AF3401,TNCalibEq2500!$AZ$2:$BB$56,3,),IF(AND(I3401="TDN",S3401&lt;=2800),VLOOKUP(AF3401,TNCalibEq2500!$AZ$2:$BB$56,3,)))</f>
        <v>0</v>
      </c>
      <c r="AU3401" s="10" t="b">
        <f>IF(I3401="TP",VLOOKUP(AF3401,TPCalibEqFull!$AZ$2:$BB$56,3),IF(I3401="TDP",VLOOKUP(AF3401,TPCalibEqFull!$AZ$2:$BB$56,3),IF(I3401="TDN",VLOOKUP(AF3401,TNCalibEqFull!$AZ$1:$BB$56,3),IF(I3401="TN",VLOOKUP(AF3401,TNCalibEqFull!$AZ$1:$BB$56,3),FALSE))))</f>
        <v>0</v>
      </c>
      <c r="AV3401" s="10" t="str">
        <f t="shared" si="391"/>
        <v>0221 12:06:00-ECP-29-C-1-SW-UKN</v>
      </c>
    </row>
    <row r="3402" spans="1:48" s="10" customFormat="1" x14ac:dyDescent="0.55000000000000004">
      <c r="A3402" s="32">
        <v>44978</v>
      </c>
      <c r="B3402" s="33">
        <v>0.50972222222222219</v>
      </c>
      <c r="C3402" s="10" t="s">
        <v>661</v>
      </c>
      <c r="D3402" s="10">
        <v>0</v>
      </c>
      <c r="E3402" s="10">
        <v>170</v>
      </c>
      <c r="F3402" s="10">
        <v>1</v>
      </c>
      <c r="G3402" s="10" t="s">
        <v>231</v>
      </c>
      <c r="H3402" s="10" t="s">
        <v>322</v>
      </c>
      <c r="I3402" s="10" t="s">
        <v>75</v>
      </c>
      <c r="J3402" s="10">
        <v>15</v>
      </c>
      <c r="K3402" s="12">
        <v>44980</v>
      </c>
      <c r="L3402" s="33">
        <v>0.50362268518518516</v>
      </c>
      <c r="M3402" s="10">
        <v>1</v>
      </c>
      <c r="N3402" s="10" t="s">
        <v>76</v>
      </c>
      <c r="O3402" s="10">
        <v>1.71</v>
      </c>
      <c r="P3402" s="10">
        <v>0.128</v>
      </c>
      <c r="Q3402" s="10">
        <v>107</v>
      </c>
      <c r="R3402" s="10" t="s">
        <v>77</v>
      </c>
      <c r="S3402" s="34">
        <f t="shared" si="388"/>
        <v>107</v>
      </c>
      <c r="T3402" s="10" t="s">
        <v>1260</v>
      </c>
      <c r="U3402" s="34" t="str">
        <f t="shared" si="389"/>
        <v/>
      </c>
      <c r="V3402" s="31" t="str">
        <f>IF(H3402="CHK",VLOOKUP(I3402,QCCHK,3,),IF(H3402="GUP",VLOOKUP(E3402,QCGUP,2,),IF(AND(H3402="ATP",OR(I3402="TN",I3402="TDN",I3402="TNO2-3",I3402="NO2-3")),VLOOKUP(E3402,QCREC_N,2,),IF(AND(H3402="NIC",OR(I3402="TN",I3402="TDN",I3402="TNO2-3",I3402="NO2-3")),VLOOKUP(E3402,QCNIC_N,2,),IF(AND(H3402="UREA",OR(I3402="TN",I3402="TDN",I3402="TNO2-3",I3402="NO2-3")),VLOOKUP(E3402,QCUREA_N,2,),IF(H3402="PER",VLOOKUP(I3402,QCPER,MATCH(E3402,QCACTUAL!$J$25:$AA$25,0),),IF(H3402="SPK",VLOOKUP(I3402,QCSPK,3,),IF(AND(H3402="ATP",OR(I3402="TP",I3402="TDP")),VLOOKUP(E3402,QCATP_P,2,),""))))))))</f>
        <v/>
      </c>
      <c r="W3402" s="31" t="str">
        <f t="shared" si="390"/>
        <v>TRUE</v>
      </c>
      <c r="X3402" s="31" t="str">
        <f t="shared" si="387"/>
        <v/>
      </c>
      <c r="Y3402" s="10" t="s">
        <v>1253</v>
      </c>
      <c r="AL3402" s="10" t="str">
        <f t="shared" si="385"/>
        <v>FALSE</v>
      </c>
      <c r="AM3402" s="10" t="str">
        <f t="shared" si="385"/>
        <v>FALSE</v>
      </c>
      <c r="AN3402" s="10" t="str">
        <f t="shared" si="385"/>
        <v>FALSE</v>
      </c>
      <c r="AO3402" s="10" t="str">
        <f t="shared" si="386"/>
        <v>FALSE</v>
      </c>
      <c r="AP3402" s="10" t="str">
        <f t="shared" si="386"/>
        <v>FALSE</v>
      </c>
      <c r="AQ3402" s="10" t="b">
        <f>IF(AND(I3402="TP",S3402&lt;=150),VLOOKUP(AF3402,TPCalibEq150!$AZ$2:$BB$55,3,),IF(AND(I3402="TDP",S3402&lt;=150),VLOOKUP(AF3402,TPCalibEq150!$AZ$2:$BB$55,3,)))</f>
        <v>0</v>
      </c>
      <c r="AR3402" s="10" t="b">
        <f>IF(AND(I3402="TP",S3402&lt;=300),VLOOKUP(AF3402,TPCalibEq300!$AZ$2:$BB$55,3,),IF(AND(I3402="TDP",S3402&lt;=300),VLOOKUP(AF3402,TPCalibEq300!$AZ$2:$BB$55,3,)))</f>
        <v>0</v>
      </c>
      <c r="AS3402" s="10" t="b">
        <f>IF(AND(I3402="TP",S3402&lt;=500),VLOOKUP(AF3402,TPCalibEq500!$AZ$2:$BB$56,3,),IF(AND(I3402="TDP",S3402&lt;=500),VLOOKUP(AF3402,TPCalibEq500!$AZ$2:$BB$56,3,)))</f>
        <v>0</v>
      </c>
      <c r="AT3402" s="10" t="b">
        <f>IF(AND(I3402="TN",S3402&lt;=2800),VLOOKUP(AF3402,TNCalibEq2500!$AZ$2:$BB$56,3,),IF(AND(I3402="TDN",S3402&lt;=2800),VLOOKUP(AF3402,TNCalibEq2500!$AZ$2:$BB$56,3,)))</f>
        <v>0</v>
      </c>
      <c r="AU3402" s="10" t="b">
        <f>IF(I3402="TP",VLOOKUP(AF3402,TPCalibEqFull!$AZ$2:$BB$56,3),IF(I3402="TDP",VLOOKUP(AF3402,TPCalibEqFull!$AZ$2:$BB$56,3),IF(I3402="TDN",VLOOKUP(AF3402,TNCalibEqFull!$AZ$1:$BB$56,3),IF(I3402="TN",VLOOKUP(AF3402,TNCalibEqFull!$AZ$1:$BB$56,3),FALSE))))</f>
        <v>0</v>
      </c>
      <c r="AV3402" s="10" t="str">
        <f t="shared" si="391"/>
        <v>0221 12:14:00-ENN-0-170-1-SW-UKN</v>
      </c>
    </row>
    <row r="3403" spans="1:48" s="10" customFormat="1" x14ac:dyDescent="0.55000000000000004">
      <c r="A3403" s="32">
        <v>44978</v>
      </c>
      <c r="B3403" s="33">
        <v>0.51180555555555551</v>
      </c>
      <c r="C3403" s="10" t="s">
        <v>661</v>
      </c>
      <c r="D3403" s="10">
        <v>5</v>
      </c>
      <c r="E3403" s="10">
        <v>160</v>
      </c>
      <c r="F3403" s="10">
        <v>1</v>
      </c>
      <c r="G3403" s="10" t="s">
        <v>231</v>
      </c>
      <c r="H3403" s="10" t="s">
        <v>322</v>
      </c>
      <c r="I3403" s="10" t="s">
        <v>75</v>
      </c>
      <c r="J3403" s="10">
        <v>16</v>
      </c>
      <c r="K3403" s="12">
        <v>44980</v>
      </c>
      <c r="L3403" s="33">
        <v>0.50444444444444447</v>
      </c>
      <c r="M3403" s="10">
        <v>1</v>
      </c>
      <c r="N3403" s="10" t="s">
        <v>76</v>
      </c>
      <c r="O3403" s="10">
        <v>1.62</v>
      </c>
      <c r="P3403" s="10">
        <v>0.124</v>
      </c>
      <c r="Q3403" s="10">
        <v>101</v>
      </c>
      <c r="R3403" s="10" t="s">
        <v>77</v>
      </c>
      <c r="S3403" s="34">
        <f t="shared" si="388"/>
        <v>101</v>
      </c>
      <c r="T3403" s="10" t="s">
        <v>1260</v>
      </c>
      <c r="U3403" s="34" t="str">
        <f t="shared" si="389"/>
        <v/>
      </c>
      <c r="V3403" s="31" t="str">
        <f>IF(H3403="CHK",VLOOKUP(I3403,QCCHK,3,),IF(H3403="GUP",VLOOKUP(E3403,QCGUP,2,),IF(AND(H3403="ATP",OR(I3403="TN",I3403="TDN",I3403="TNO2-3",I3403="NO2-3")),VLOOKUP(E3403,QCREC_N,2,),IF(AND(H3403="NIC",OR(I3403="TN",I3403="TDN",I3403="TNO2-3",I3403="NO2-3")),VLOOKUP(E3403,QCNIC_N,2,),IF(AND(H3403="UREA",OR(I3403="TN",I3403="TDN",I3403="TNO2-3",I3403="NO2-3")),VLOOKUP(E3403,QCUREA_N,2,),IF(H3403="PER",VLOOKUP(I3403,QCPER,MATCH(E3403,QCACTUAL!$J$25:$AA$25,0),),IF(H3403="SPK",VLOOKUP(I3403,QCSPK,3,),IF(AND(H3403="ATP",OR(I3403="TP",I3403="TDP")),VLOOKUP(E3403,QCATP_P,2,),""))))))))</f>
        <v/>
      </c>
      <c r="W3403" s="31" t="str">
        <f t="shared" si="390"/>
        <v>TRUE</v>
      </c>
      <c r="X3403" s="31" t="str">
        <f t="shared" si="387"/>
        <v/>
      </c>
      <c r="Y3403" s="10" t="s">
        <v>1253</v>
      </c>
      <c r="AL3403" s="10" t="str">
        <f t="shared" si="385"/>
        <v>FALSE</v>
      </c>
      <c r="AM3403" s="10" t="str">
        <f t="shared" si="385"/>
        <v>FALSE</v>
      </c>
      <c r="AN3403" s="10" t="str">
        <f t="shared" si="385"/>
        <v>FALSE</v>
      </c>
      <c r="AO3403" s="10" t="str">
        <f t="shared" si="386"/>
        <v>FALSE</v>
      </c>
      <c r="AP3403" s="10" t="str">
        <f t="shared" si="386"/>
        <v>FALSE</v>
      </c>
      <c r="AQ3403" s="10" t="b">
        <f>IF(AND(I3403="TP",S3403&lt;=150),VLOOKUP(AF3403,TPCalibEq150!$AZ$2:$BB$55,3,),IF(AND(I3403="TDP",S3403&lt;=150),VLOOKUP(AF3403,TPCalibEq150!$AZ$2:$BB$55,3,)))</f>
        <v>0</v>
      </c>
      <c r="AR3403" s="10" t="b">
        <f>IF(AND(I3403="TP",S3403&lt;=300),VLOOKUP(AF3403,TPCalibEq300!$AZ$2:$BB$55,3,),IF(AND(I3403="TDP",S3403&lt;=300),VLOOKUP(AF3403,TPCalibEq300!$AZ$2:$BB$55,3,)))</f>
        <v>0</v>
      </c>
      <c r="AS3403" s="10" t="b">
        <f>IF(AND(I3403="TP",S3403&lt;=500),VLOOKUP(AF3403,TPCalibEq500!$AZ$2:$BB$56,3,),IF(AND(I3403="TDP",S3403&lt;=500),VLOOKUP(AF3403,TPCalibEq500!$AZ$2:$BB$56,3,)))</f>
        <v>0</v>
      </c>
      <c r="AT3403" s="10" t="b">
        <f>IF(AND(I3403="TN",S3403&lt;=2800),VLOOKUP(AF3403,TNCalibEq2500!$AZ$2:$BB$56,3,),IF(AND(I3403="TDN",S3403&lt;=2800),VLOOKUP(AF3403,TNCalibEq2500!$AZ$2:$BB$56,3,)))</f>
        <v>0</v>
      </c>
      <c r="AU3403" s="10" t="b">
        <f>IF(I3403="TP",VLOOKUP(AF3403,TPCalibEqFull!$AZ$2:$BB$56,3),IF(I3403="TDP",VLOOKUP(AF3403,TPCalibEqFull!$AZ$2:$BB$56,3),IF(I3403="TDN",VLOOKUP(AF3403,TNCalibEqFull!$AZ$1:$BB$56,3),IF(I3403="TN",VLOOKUP(AF3403,TNCalibEqFull!$AZ$1:$BB$56,3),FALSE))))</f>
        <v>0</v>
      </c>
      <c r="AV3403" s="10" t="str">
        <f t="shared" si="391"/>
        <v>0221 12:17:00-ENN-5-160-1-SW-UKN</v>
      </c>
    </row>
    <row r="3404" spans="1:48" s="10" customFormat="1" x14ac:dyDescent="0.55000000000000004">
      <c r="A3404" s="32">
        <v>44978</v>
      </c>
      <c r="B3404" s="33">
        <v>0.51388888888888895</v>
      </c>
      <c r="C3404" s="10" t="s">
        <v>661</v>
      </c>
      <c r="D3404" s="10">
        <v>10</v>
      </c>
      <c r="E3404" s="10">
        <v>220</v>
      </c>
      <c r="F3404" s="10">
        <v>1</v>
      </c>
      <c r="G3404" s="10" t="s">
        <v>231</v>
      </c>
      <c r="H3404" s="10" t="s">
        <v>322</v>
      </c>
      <c r="I3404" s="10" t="s">
        <v>75</v>
      </c>
      <c r="J3404" s="10">
        <v>17</v>
      </c>
      <c r="K3404" s="12">
        <v>44980</v>
      </c>
      <c r="L3404" s="33">
        <v>0.50527777777777783</v>
      </c>
      <c r="M3404" s="10">
        <v>1</v>
      </c>
      <c r="N3404" s="10" t="s">
        <v>76</v>
      </c>
      <c r="O3404" s="10">
        <v>1.57</v>
      </c>
      <c r="P3404" s="10">
        <v>0.127</v>
      </c>
      <c r="Q3404" s="10">
        <v>98.5</v>
      </c>
      <c r="R3404" s="10" t="s">
        <v>77</v>
      </c>
      <c r="S3404" s="34">
        <f t="shared" si="388"/>
        <v>98.5</v>
      </c>
      <c r="T3404" s="10" t="s">
        <v>1260</v>
      </c>
      <c r="U3404" s="34" t="str">
        <f t="shared" si="389"/>
        <v/>
      </c>
      <c r="V3404" s="31" t="str">
        <f>IF(H3404="CHK",VLOOKUP(I3404,QCCHK,3,),IF(H3404="GUP",VLOOKUP(E3404,QCGUP,2,),IF(AND(H3404="ATP",OR(I3404="TN",I3404="TDN",I3404="TNO2-3",I3404="NO2-3")),VLOOKUP(E3404,QCREC_N,2,),IF(AND(H3404="NIC",OR(I3404="TN",I3404="TDN",I3404="TNO2-3",I3404="NO2-3")),VLOOKUP(E3404,QCNIC_N,2,),IF(AND(H3404="UREA",OR(I3404="TN",I3404="TDN",I3404="TNO2-3",I3404="NO2-3")),VLOOKUP(E3404,QCUREA_N,2,),IF(H3404="PER",VLOOKUP(I3404,QCPER,MATCH(E3404,QCACTUAL!$J$25:$AA$25,0),),IF(H3404="SPK",VLOOKUP(I3404,QCSPK,3,),IF(AND(H3404="ATP",OR(I3404="TP",I3404="TDP")),VLOOKUP(E3404,QCATP_P,2,),""))))))))</f>
        <v/>
      </c>
      <c r="W3404" s="31" t="str">
        <f t="shared" si="390"/>
        <v>TRUE</v>
      </c>
      <c r="X3404" s="31" t="str">
        <f t="shared" si="387"/>
        <v/>
      </c>
      <c r="Y3404" s="10" t="s">
        <v>1253</v>
      </c>
      <c r="AL3404" s="10" t="str">
        <f t="shared" si="385"/>
        <v>FALSE</v>
      </c>
      <c r="AM3404" s="10" t="str">
        <f t="shared" si="385"/>
        <v>FALSE</v>
      </c>
      <c r="AN3404" s="10" t="str">
        <f t="shared" si="385"/>
        <v>FALSE</v>
      </c>
      <c r="AO3404" s="10" t="str">
        <f t="shared" si="386"/>
        <v>FALSE</v>
      </c>
      <c r="AP3404" s="10" t="str">
        <f t="shared" si="386"/>
        <v>FALSE</v>
      </c>
      <c r="AQ3404" s="10" t="b">
        <f>IF(AND(I3404="TP",S3404&lt;=150),VLOOKUP(AF3404,TPCalibEq150!$AZ$2:$BB$55,3,),IF(AND(I3404="TDP",S3404&lt;=150),VLOOKUP(AF3404,TPCalibEq150!$AZ$2:$BB$55,3,)))</f>
        <v>0</v>
      </c>
      <c r="AR3404" s="10" t="b">
        <f>IF(AND(I3404="TP",S3404&lt;=300),VLOOKUP(AF3404,TPCalibEq300!$AZ$2:$BB$55,3,),IF(AND(I3404="TDP",S3404&lt;=300),VLOOKUP(AF3404,TPCalibEq300!$AZ$2:$BB$55,3,)))</f>
        <v>0</v>
      </c>
      <c r="AS3404" s="10" t="b">
        <f>IF(AND(I3404="TP",S3404&lt;=500),VLOOKUP(AF3404,TPCalibEq500!$AZ$2:$BB$56,3,),IF(AND(I3404="TDP",S3404&lt;=500),VLOOKUP(AF3404,TPCalibEq500!$AZ$2:$BB$56,3,)))</f>
        <v>0</v>
      </c>
      <c r="AT3404" s="10" t="b">
        <f>IF(AND(I3404="TN",S3404&lt;=2800),VLOOKUP(AF3404,TNCalibEq2500!$AZ$2:$BB$56,3,),IF(AND(I3404="TDN",S3404&lt;=2800),VLOOKUP(AF3404,TNCalibEq2500!$AZ$2:$BB$56,3,)))</f>
        <v>0</v>
      </c>
      <c r="AU3404" s="10" t="b">
        <f>IF(I3404="TP",VLOOKUP(AF3404,TPCalibEqFull!$AZ$2:$BB$56,3),IF(I3404="TDP",VLOOKUP(AF3404,TPCalibEqFull!$AZ$2:$BB$56,3),IF(I3404="TDN",VLOOKUP(AF3404,TNCalibEqFull!$AZ$1:$BB$56,3),IF(I3404="TN",VLOOKUP(AF3404,TNCalibEqFull!$AZ$1:$BB$56,3),FALSE))))</f>
        <v>0</v>
      </c>
      <c r="AV3404" s="10" t="str">
        <f t="shared" si="391"/>
        <v>0221 12:20:00-ENN-10-220-1-SW-UKN</v>
      </c>
    </row>
    <row r="3405" spans="1:48" s="10" customFormat="1" x14ac:dyDescent="0.55000000000000004">
      <c r="A3405" s="32">
        <v>44978</v>
      </c>
      <c r="B3405" s="33">
        <v>0.51666666666666672</v>
      </c>
      <c r="C3405" s="10" t="s">
        <v>661</v>
      </c>
      <c r="D3405" s="10">
        <v>20</v>
      </c>
      <c r="E3405" s="10" t="s">
        <v>190</v>
      </c>
      <c r="F3405" s="10">
        <v>1</v>
      </c>
      <c r="G3405" s="10" t="s">
        <v>231</v>
      </c>
      <c r="H3405" s="10" t="s">
        <v>322</v>
      </c>
      <c r="I3405" s="10" t="s">
        <v>75</v>
      </c>
      <c r="J3405" s="10">
        <v>18</v>
      </c>
      <c r="K3405" s="12">
        <v>44980</v>
      </c>
      <c r="L3405" s="33">
        <v>0.50609953703703703</v>
      </c>
      <c r="M3405" s="10">
        <v>1</v>
      </c>
      <c r="N3405" s="10" t="s">
        <v>76</v>
      </c>
      <c r="O3405" s="10">
        <v>1.59</v>
      </c>
      <c r="P3405" s="10">
        <v>0.122</v>
      </c>
      <c r="Q3405" s="10">
        <v>100</v>
      </c>
      <c r="R3405" s="10" t="s">
        <v>77</v>
      </c>
      <c r="S3405" s="34">
        <f t="shared" si="388"/>
        <v>100</v>
      </c>
      <c r="T3405" s="10" t="s">
        <v>1260</v>
      </c>
      <c r="U3405" s="34" t="str">
        <f t="shared" si="389"/>
        <v/>
      </c>
      <c r="V3405" s="31" t="str">
        <f>IF(H3405="CHK",VLOOKUP(I3405,QCCHK,3,),IF(H3405="GUP",VLOOKUP(E3405,QCGUP,2,),IF(AND(H3405="ATP",OR(I3405="TN",I3405="TDN",I3405="TNO2-3",I3405="NO2-3")),VLOOKUP(E3405,QCREC_N,2,),IF(AND(H3405="NIC",OR(I3405="TN",I3405="TDN",I3405="TNO2-3",I3405="NO2-3")),VLOOKUP(E3405,QCNIC_N,2,),IF(AND(H3405="UREA",OR(I3405="TN",I3405="TDN",I3405="TNO2-3",I3405="NO2-3")),VLOOKUP(E3405,QCUREA_N,2,),IF(H3405="PER",VLOOKUP(I3405,QCPER,MATCH(E3405,QCACTUAL!$J$25:$AA$25,0),),IF(H3405="SPK",VLOOKUP(I3405,QCSPK,3,),IF(AND(H3405="ATP",OR(I3405="TP",I3405="TDP")),VLOOKUP(E3405,QCATP_P,2,),""))))))))</f>
        <v/>
      </c>
      <c r="W3405" s="31" t="str">
        <f t="shared" si="390"/>
        <v>TRUE</v>
      </c>
      <c r="X3405" s="31" t="str">
        <f t="shared" si="387"/>
        <v/>
      </c>
      <c r="Y3405" s="10" t="s">
        <v>1253</v>
      </c>
      <c r="AL3405" s="10" t="str">
        <f t="shared" si="385"/>
        <v>FALSE</v>
      </c>
      <c r="AM3405" s="10" t="str">
        <f t="shared" si="385"/>
        <v>FALSE</v>
      </c>
      <c r="AN3405" s="10" t="str">
        <f t="shared" si="385"/>
        <v>FALSE</v>
      </c>
      <c r="AO3405" s="10" t="str">
        <f t="shared" si="386"/>
        <v>FALSE</v>
      </c>
      <c r="AP3405" s="10" t="str">
        <f t="shared" si="386"/>
        <v>FALSE</v>
      </c>
      <c r="AQ3405" s="10" t="b">
        <f>IF(AND(I3405="TP",S3405&lt;=150),VLOOKUP(AF3405,TPCalibEq150!$AZ$2:$BB$55,3,),IF(AND(I3405="TDP",S3405&lt;=150),VLOOKUP(AF3405,TPCalibEq150!$AZ$2:$BB$55,3,)))</f>
        <v>0</v>
      </c>
      <c r="AR3405" s="10" t="b">
        <f>IF(AND(I3405="TP",S3405&lt;=300),VLOOKUP(AF3405,TPCalibEq300!$AZ$2:$BB$55,3,),IF(AND(I3405="TDP",S3405&lt;=300),VLOOKUP(AF3405,TPCalibEq300!$AZ$2:$BB$55,3,)))</f>
        <v>0</v>
      </c>
      <c r="AS3405" s="10" t="b">
        <f>IF(AND(I3405="TP",S3405&lt;=500),VLOOKUP(AF3405,TPCalibEq500!$AZ$2:$BB$56,3,),IF(AND(I3405="TDP",S3405&lt;=500),VLOOKUP(AF3405,TPCalibEq500!$AZ$2:$BB$56,3,)))</f>
        <v>0</v>
      </c>
      <c r="AT3405" s="10" t="b">
        <f>IF(AND(I3405="TN",S3405&lt;=2800),VLOOKUP(AF3405,TNCalibEq2500!$AZ$2:$BB$56,3,),IF(AND(I3405="TDN",S3405&lt;=2800),VLOOKUP(AF3405,TNCalibEq2500!$AZ$2:$BB$56,3,)))</f>
        <v>0</v>
      </c>
      <c r="AU3405" s="10" t="b">
        <f>IF(I3405="TP",VLOOKUP(AF3405,TPCalibEqFull!$AZ$2:$BB$56,3),IF(I3405="TDP",VLOOKUP(AF3405,TPCalibEqFull!$AZ$2:$BB$56,3),IF(I3405="TDN",VLOOKUP(AF3405,TNCalibEqFull!$AZ$1:$BB$56,3),IF(I3405="TN",VLOOKUP(AF3405,TNCalibEqFull!$AZ$1:$BB$56,3),FALSE))))</f>
        <v>0</v>
      </c>
      <c r="AV3405" s="10" t="str">
        <f t="shared" si="391"/>
        <v>0221 12:24:00-ENN-20-C-1-SW-UKN</v>
      </c>
    </row>
    <row r="3406" spans="1:48" s="10" customFormat="1" x14ac:dyDescent="0.55000000000000004">
      <c r="A3406" s="32">
        <v>44978</v>
      </c>
      <c r="B3406" s="33">
        <v>0.51944444444444449</v>
      </c>
      <c r="C3406" s="10" t="s">
        <v>661</v>
      </c>
      <c r="D3406" s="10">
        <v>24</v>
      </c>
      <c r="E3406" s="10" t="s">
        <v>190</v>
      </c>
      <c r="F3406" s="10">
        <v>1</v>
      </c>
      <c r="G3406" s="10" t="s">
        <v>231</v>
      </c>
      <c r="H3406" s="10" t="s">
        <v>322</v>
      </c>
      <c r="I3406" s="10" t="s">
        <v>75</v>
      </c>
      <c r="J3406" s="10">
        <v>19</v>
      </c>
      <c r="K3406" s="12">
        <v>44980</v>
      </c>
      <c r="L3406" s="33">
        <v>0.50692129629629623</v>
      </c>
      <c r="M3406" s="10">
        <v>1</v>
      </c>
      <c r="N3406" s="10" t="s">
        <v>76</v>
      </c>
      <c r="O3406" s="10">
        <v>1.56</v>
      </c>
      <c r="P3406" s="10">
        <v>0.12</v>
      </c>
      <c r="Q3406" s="10">
        <v>97.6</v>
      </c>
      <c r="R3406" s="10" t="s">
        <v>77</v>
      </c>
      <c r="S3406" s="34">
        <f t="shared" si="388"/>
        <v>97.6</v>
      </c>
      <c r="T3406" s="10" t="s">
        <v>1260</v>
      </c>
      <c r="U3406" s="34" t="str">
        <f t="shared" si="389"/>
        <v/>
      </c>
      <c r="V3406" s="31" t="str">
        <f>IF(H3406="CHK",VLOOKUP(I3406,QCCHK,3,),IF(H3406="GUP",VLOOKUP(E3406,QCGUP,2,),IF(AND(H3406="ATP",OR(I3406="TN",I3406="TDN",I3406="TNO2-3",I3406="NO2-3")),VLOOKUP(E3406,QCREC_N,2,),IF(AND(H3406="NIC",OR(I3406="TN",I3406="TDN",I3406="TNO2-3",I3406="NO2-3")),VLOOKUP(E3406,QCNIC_N,2,),IF(AND(H3406="UREA",OR(I3406="TN",I3406="TDN",I3406="TNO2-3",I3406="NO2-3")),VLOOKUP(E3406,QCUREA_N,2,),IF(H3406="PER",VLOOKUP(I3406,QCPER,MATCH(E3406,QCACTUAL!$J$25:$AA$25,0),),IF(H3406="SPK",VLOOKUP(I3406,QCSPK,3,),IF(AND(H3406="ATP",OR(I3406="TP",I3406="TDP")),VLOOKUP(E3406,QCATP_P,2,),""))))))))</f>
        <v/>
      </c>
      <c r="W3406" s="31" t="str">
        <f t="shared" si="390"/>
        <v>TRUE</v>
      </c>
      <c r="X3406" s="31" t="str">
        <f t="shared" si="387"/>
        <v/>
      </c>
      <c r="Y3406" s="10" t="s">
        <v>1253</v>
      </c>
      <c r="AL3406" s="10" t="str">
        <f t="shared" si="385"/>
        <v>FALSE</v>
      </c>
      <c r="AM3406" s="10" t="str">
        <f t="shared" si="385"/>
        <v>FALSE</v>
      </c>
      <c r="AN3406" s="10" t="str">
        <f t="shared" si="385"/>
        <v>FALSE</v>
      </c>
      <c r="AO3406" s="10" t="str">
        <f t="shared" si="386"/>
        <v>FALSE</v>
      </c>
      <c r="AP3406" s="10" t="str">
        <f t="shared" si="386"/>
        <v>FALSE</v>
      </c>
      <c r="AQ3406" s="10" t="b">
        <f>IF(AND(I3406="TP",S3406&lt;=150),VLOOKUP(AF3406,TPCalibEq150!$AZ$2:$BB$55,3,),IF(AND(I3406="TDP",S3406&lt;=150),VLOOKUP(AF3406,TPCalibEq150!$AZ$2:$BB$55,3,)))</f>
        <v>0</v>
      </c>
      <c r="AR3406" s="10" t="b">
        <f>IF(AND(I3406="TP",S3406&lt;=300),VLOOKUP(AF3406,TPCalibEq300!$AZ$2:$BB$55,3,),IF(AND(I3406="TDP",S3406&lt;=300),VLOOKUP(AF3406,TPCalibEq300!$AZ$2:$BB$55,3,)))</f>
        <v>0</v>
      </c>
      <c r="AS3406" s="10" t="b">
        <f>IF(AND(I3406="TP",S3406&lt;=500),VLOOKUP(AF3406,TPCalibEq500!$AZ$2:$BB$56,3,),IF(AND(I3406="TDP",S3406&lt;=500),VLOOKUP(AF3406,TPCalibEq500!$AZ$2:$BB$56,3,)))</f>
        <v>0</v>
      </c>
      <c r="AT3406" s="10" t="b">
        <f>IF(AND(I3406="TN",S3406&lt;=2800),VLOOKUP(AF3406,TNCalibEq2500!$AZ$2:$BB$56,3,),IF(AND(I3406="TDN",S3406&lt;=2800),VLOOKUP(AF3406,TNCalibEq2500!$AZ$2:$BB$56,3,)))</f>
        <v>0</v>
      </c>
      <c r="AU3406" s="10" t="b">
        <f>IF(I3406="TP",VLOOKUP(AF3406,TPCalibEqFull!$AZ$2:$BB$56,3),IF(I3406="TDP",VLOOKUP(AF3406,TPCalibEqFull!$AZ$2:$BB$56,3),IF(I3406="TDN",VLOOKUP(AF3406,TNCalibEqFull!$AZ$1:$BB$56,3),IF(I3406="TN",VLOOKUP(AF3406,TNCalibEqFull!$AZ$1:$BB$56,3),FALSE))))</f>
        <v>0</v>
      </c>
      <c r="AV3406" s="10" t="str">
        <f t="shared" si="391"/>
        <v>0221 12:28:00-ENN-24-C-1-SW-UKN</v>
      </c>
    </row>
    <row r="3407" spans="1:48" s="10" customFormat="1" x14ac:dyDescent="0.55000000000000004">
      <c r="A3407" s="32">
        <v>44978</v>
      </c>
      <c r="B3407" s="33">
        <v>0.45069444444444445</v>
      </c>
      <c r="C3407" s="10" t="s">
        <v>646</v>
      </c>
      <c r="D3407" s="10">
        <v>0</v>
      </c>
      <c r="E3407" s="10">
        <v>360</v>
      </c>
      <c r="F3407" s="10">
        <v>1</v>
      </c>
      <c r="G3407" s="10" t="s">
        <v>231</v>
      </c>
      <c r="H3407" s="10" t="s">
        <v>322</v>
      </c>
      <c r="I3407" s="10" t="s">
        <v>75</v>
      </c>
      <c r="J3407" s="10">
        <v>20</v>
      </c>
      <c r="K3407" s="12">
        <v>44980</v>
      </c>
      <c r="L3407" s="33">
        <v>0.50773148148148151</v>
      </c>
      <c r="M3407" s="10">
        <v>1</v>
      </c>
      <c r="N3407" s="10" t="s">
        <v>76</v>
      </c>
      <c r="O3407" s="10">
        <v>0.85599999999999998</v>
      </c>
      <c r="P3407" s="10">
        <v>6.5100000000000005E-2</v>
      </c>
      <c r="Q3407" s="10">
        <v>53.7</v>
      </c>
      <c r="R3407" s="10" t="s">
        <v>77</v>
      </c>
      <c r="S3407" s="34">
        <f t="shared" si="388"/>
        <v>53.7</v>
      </c>
      <c r="T3407" s="10" t="s">
        <v>1260</v>
      </c>
      <c r="U3407" s="34" t="str">
        <f t="shared" si="389"/>
        <v/>
      </c>
      <c r="V3407" s="31" t="str">
        <f>IF(H3407="CHK",VLOOKUP(I3407,QCCHK,3,),IF(H3407="GUP",VLOOKUP(E3407,QCGUP,2,),IF(AND(H3407="ATP",OR(I3407="TN",I3407="TDN",I3407="TNO2-3",I3407="NO2-3")),VLOOKUP(E3407,QCREC_N,2,),IF(AND(H3407="NIC",OR(I3407="TN",I3407="TDN",I3407="TNO2-3",I3407="NO2-3")),VLOOKUP(E3407,QCNIC_N,2,),IF(AND(H3407="UREA",OR(I3407="TN",I3407="TDN",I3407="TNO2-3",I3407="NO2-3")),VLOOKUP(E3407,QCUREA_N,2,),IF(H3407="PER",VLOOKUP(I3407,QCPER,MATCH(E3407,QCACTUAL!$J$25:$AA$25,0),),IF(H3407="SPK",VLOOKUP(I3407,QCSPK,3,),IF(AND(H3407="ATP",OR(I3407="TP",I3407="TDP")),VLOOKUP(E3407,QCATP_P,2,),""))))))))</f>
        <v/>
      </c>
      <c r="W3407" s="31" t="str">
        <f t="shared" si="390"/>
        <v>TRUE</v>
      </c>
      <c r="X3407" s="31" t="str">
        <f t="shared" si="387"/>
        <v/>
      </c>
      <c r="Y3407" s="10" t="s">
        <v>1253</v>
      </c>
      <c r="AL3407" s="10" t="str">
        <f t="shared" si="385"/>
        <v>FALSE</v>
      </c>
      <c r="AM3407" s="10" t="str">
        <f t="shared" si="385"/>
        <v>FALSE</v>
      </c>
      <c r="AN3407" s="10" t="str">
        <f t="shared" si="385"/>
        <v>FALSE</v>
      </c>
      <c r="AO3407" s="10" t="str">
        <f t="shared" si="386"/>
        <v>FALSE</v>
      </c>
      <c r="AP3407" s="10" t="str">
        <f t="shared" si="386"/>
        <v>FALSE</v>
      </c>
      <c r="AQ3407" s="10" t="b">
        <f>IF(AND(I3407="TP",S3407&lt;=150),VLOOKUP(AF3407,TPCalibEq150!$AZ$2:$BB$55,3,),IF(AND(I3407="TDP",S3407&lt;=150),VLOOKUP(AF3407,TPCalibEq150!$AZ$2:$BB$55,3,)))</f>
        <v>0</v>
      </c>
      <c r="AR3407" s="10" t="b">
        <f>IF(AND(I3407="TP",S3407&lt;=300),VLOOKUP(AF3407,TPCalibEq300!$AZ$2:$BB$55,3,),IF(AND(I3407="TDP",S3407&lt;=300),VLOOKUP(AF3407,TPCalibEq300!$AZ$2:$BB$55,3,)))</f>
        <v>0</v>
      </c>
      <c r="AS3407" s="10" t="b">
        <f>IF(AND(I3407="TP",S3407&lt;=500),VLOOKUP(AF3407,TPCalibEq500!$AZ$2:$BB$56,3,),IF(AND(I3407="TDP",S3407&lt;=500),VLOOKUP(AF3407,TPCalibEq500!$AZ$2:$BB$56,3,)))</f>
        <v>0</v>
      </c>
      <c r="AT3407" s="10" t="b">
        <f>IF(AND(I3407="TN",S3407&lt;=2800),VLOOKUP(AF3407,TNCalibEq2500!$AZ$2:$BB$56,3,),IF(AND(I3407="TDN",S3407&lt;=2800),VLOOKUP(AF3407,TNCalibEq2500!$AZ$2:$BB$56,3,)))</f>
        <v>0</v>
      </c>
      <c r="AU3407" s="10" t="b">
        <f>IF(I3407="TP",VLOOKUP(AF3407,TPCalibEqFull!$AZ$2:$BB$56,3),IF(I3407="TDP",VLOOKUP(AF3407,TPCalibEqFull!$AZ$2:$BB$56,3),IF(I3407="TDN",VLOOKUP(AF3407,TNCalibEqFull!$AZ$1:$BB$56,3),IF(I3407="TN",VLOOKUP(AF3407,TNCalibEqFull!$AZ$1:$BB$56,3),FALSE))))</f>
        <v>0</v>
      </c>
      <c r="AV3407" s="10" t="str">
        <f t="shared" si="391"/>
        <v>0221 10:49:00-EMB-0-360-1-SW-UKN</v>
      </c>
    </row>
    <row r="3408" spans="1:48" s="10" customFormat="1" x14ac:dyDescent="0.55000000000000004">
      <c r="A3408" s="32">
        <v>44978</v>
      </c>
      <c r="B3408" s="33">
        <v>0.45069444444444445</v>
      </c>
      <c r="C3408" s="10" t="s">
        <v>646</v>
      </c>
      <c r="D3408" s="10">
        <v>0</v>
      </c>
      <c r="E3408" s="10">
        <v>360</v>
      </c>
      <c r="F3408" s="10">
        <v>1</v>
      </c>
      <c r="G3408" s="10" t="s">
        <v>231</v>
      </c>
      <c r="H3408" s="10" t="s">
        <v>233</v>
      </c>
      <c r="I3408" s="10" t="s">
        <v>75</v>
      </c>
      <c r="J3408" s="10">
        <v>20</v>
      </c>
      <c r="K3408" s="12">
        <v>44980</v>
      </c>
      <c r="L3408" s="33">
        <v>0.50855324074074071</v>
      </c>
      <c r="M3408" s="10">
        <v>1</v>
      </c>
      <c r="N3408" s="10" t="s">
        <v>76</v>
      </c>
      <c r="O3408" s="10">
        <v>0.83399999999999996</v>
      </c>
      <c r="P3408" s="10">
        <v>6.4399999999999999E-2</v>
      </c>
      <c r="Q3408" s="10">
        <v>52.4</v>
      </c>
      <c r="R3408" s="10" t="s">
        <v>77</v>
      </c>
      <c r="S3408" s="34">
        <f t="shared" si="388"/>
        <v>52.4</v>
      </c>
      <c r="T3408" s="10" t="s">
        <v>1260</v>
      </c>
      <c r="U3408" s="34">
        <f t="shared" si="389"/>
        <v>2.4505183788878497</v>
      </c>
      <c r="V3408" s="31" t="str">
        <f>IF(H3408="CHK",VLOOKUP(I3408,QCCHK,3,),IF(H3408="GUP",VLOOKUP(E3408,QCGUP,2,),IF(AND(H3408="ATP",OR(I3408="TN",I3408="TDN",I3408="TNO2-3",I3408="NO2-3")),VLOOKUP(E3408,QCREC_N,2,),IF(AND(H3408="NIC",OR(I3408="TN",I3408="TDN",I3408="TNO2-3",I3408="NO2-3")),VLOOKUP(E3408,QCNIC_N,2,),IF(AND(H3408="UREA",OR(I3408="TN",I3408="TDN",I3408="TNO2-3",I3408="NO2-3")),VLOOKUP(E3408,QCUREA_N,2,),IF(H3408="PER",VLOOKUP(I3408,QCPER,MATCH(E3408,QCACTUAL!$J$25:$AA$25,0),),IF(H3408="SPK",VLOOKUP(I3408,QCSPK,3,),IF(AND(H3408="ATP",OR(I3408="TP",I3408="TDP")),VLOOKUP(E3408,QCATP_P,2,),""))))))))</f>
        <v/>
      </c>
      <c r="W3408" s="31" t="str">
        <f t="shared" si="390"/>
        <v>TRUE</v>
      </c>
      <c r="X3408" s="31" t="str">
        <f t="shared" si="387"/>
        <v>((ABS(rep1-rep2))/((rep1+rep2)/2)*100</v>
      </c>
      <c r="Y3408" s="10" t="s">
        <v>1253</v>
      </c>
      <c r="AL3408" s="10" t="str">
        <f t="shared" si="385"/>
        <v>FALSE</v>
      </c>
      <c r="AM3408" s="10" t="str">
        <f t="shared" si="385"/>
        <v>FALSE</v>
      </c>
      <c r="AN3408" s="10" t="str">
        <f t="shared" si="385"/>
        <v>FALSE</v>
      </c>
      <c r="AO3408" s="10" t="str">
        <f t="shared" si="386"/>
        <v>FALSE</v>
      </c>
      <c r="AP3408" s="10" t="str">
        <f t="shared" si="386"/>
        <v>FALSE</v>
      </c>
      <c r="AQ3408" s="10" t="b">
        <f>IF(AND(I3408="TP",S3408&lt;=150),VLOOKUP(AF3408,TPCalibEq150!$AZ$2:$BB$55,3,),IF(AND(I3408="TDP",S3408&lt;=150),VLOOKUP(AF3408,TPCalibEq150!$AZ$2:$BB$55,3,)))</f>
        <v>0</v>
      </c>
      <c r="AR3408" s="10" t="b">
        <f>IF(AND(I3408="TP",S3408&lt;=300),VLOOKUP(AF3408,TPCalibEq300!$AZ$2:$BB$55,3,),IF(AND(I3408="TDP",S3408&lt;=300),VLOOKUP(AF3408,TPCalibEq300!$AZ$2:$BB$55,3,)))</f>
        <v>0</v>
      </c>
      <c r="AS3408" s="10" t="b">
        <f>IF(AND(I3408="TP",S3408&lt;=500),VLOOKUP(AF3408,TPCalibEq500!$AZ$2:$BB$56,3,),IF(AND(I3408="TDP",S3408&lt;=500),VLOOKUP(AF3408,TPCalibEq500!$AZ$2:$BB$56,3,)))</f>
        <v>0</v>
      </c>
      <c r="AT3408" s="10" t="b">
        <f>IF(AND(I3408="TN",S3408&lt;=2800),VLOOKUP(AF3408,TNCalibEq2500!$AZ$2:$BB$56,3,),IF(AND(I3408="TDN",S3408&lt;=2800),VLOOKUP(AF3408,TNCalibEq2500!$AZ$2:$BB$56,3,)))</f>
        <v>0</v>
      </c>
      <c r="AU3408" s="10" t="b">
        <f>IF(I3408="TP",VLOOKUP(AF3408,TPCalibEqFull!$AZ$2:$BB$56,3),IF(I3408="TDP",VLOOKUP(AF3408,TPCalibEqFull!$AZ$2:$BB$56,3),IF(I3408="TDN",VLOOKUP(AF3408,TNCalibEqFull!$AZ$1:$BB$56,3),IF(I3408="TN",VLOOKUP(AF3408,TNCalibEqFull!$AZ$1:$BB$56,3),FALSE))))</f>
        <v>0</v>
      </c>
      <c r="AV3408" s="10" t="str">
        <f t="shared" si="391"/>
        <v>0221 10:49:00-EMB-0-360-1-SW-DUP</v>
      </c>
    </row>
    <row r="3409" spans="1:48" s="10" customFormat="1" x14ac:dyDescent="0.55000000000000004">
      <c r="A3409" s="32">
        <v>44978</v>
      </c>
      <c r="B3409" s="33">
        <v>0.45069444444444445</v>
      </c>
      <c r="C3409" s="10" t="s">
        <v>646</v>
      </c>
      <c r="D3409" s="10">
        <v>0</v>
      </c>
      <c r="E3409" s="10">
        <v>360</v>
      </c>
      <c r="F3409" s="10">
        <v>1</v>
      </c>
      <c r="G3409" s="10" t="s">
        <v>231</v>
      </c>
      <c r="H3409" s="10" t="s">
        <v>314</v>
      </c>
      <c r="I3409" s="10" t="s">
        <v>75</v>
      </c>
      <c r="J3409" s="10">
        <v>83</v>
      </c>
      <c r="K3409" s="12">
        <v>44980</v>
      </c>
      <c r="L3409" s="33">
        <v>0.50936342592592598</v>
      </c>
      <c r="M3409" s="10">
        <v>1</v>
      </c>
      <c r="N3409" s="10" t="s">
        <v>76</v>
      </c>
      <c r="O3409" s="10">
        <v>13.1</v>
      </c>
      <c r="P3409" s="10">
        <v>1.1000000000000001</v>
      </c>
      <c r="Q3409" s="10">
        <v>811</v>
      </c>
      <c r="R3409" s="10" t="s">
        <v>77</v>
      </c>
      <c r="S3409" s="34">
        <f t="shared" si="388"/>
        <v>811</v>
      </c>
      <c r="T3409" s="10" t="s">
        <v>1260</v>
      </c>
      <c r="U3409" s="34">
        <f t="shared" si="389"/>
        <v>121.37599999999999</v>
      </c>
      <c r="V3409" s="31">
        <f>IF(H3409="CHK",VLOOKUP(I3409,QCCHK,3,),IF(H3409="GUP",VLOOKUP(E3409,QCGUP,2,),IF(AND(H3409="ATP",OR(I3409="TN",I3409="TDN",I3409="TNO2-3",I3409="NO2-3")),VLOOKUP(E3409,QCREC_N,2,),IF(AND(H3409="NIC",OR(I3409="TN",I3409="TDN",I3409="TNO2-3",I3409="NO2-3")),VLOOKUP(E3409,QCNIC_N,2,),IF(AND(H3409="UREA",OR(I3409="TN",I3409="TDN",I3409="TNO2-3",I3409="NO2-3")),VLOOKUP(E3409,QCUREA_N,2,),IF(H3409="PER",VLOOKUP(I3409,QCPER,MATCH(E3409,QCACTUAL!$J$25:$AA$25,0),),IF(H3409="SPK",VLOOKUP(I3409,QCSPK,3,),IF(AND(H3409="ATP",OR(I3409="TP",I3409="TDP")),VLOOKUP(E3409,QCATP_P,2,),""))))))))</f>
        <v>625</v>
      </c>
      <c r="W3409" s="31" t="str">
        <f t="shared" si="390"/>
        <v>TRUE</v>
      </c>
      <c r="X3409" s="31" t="str">
        <f t="shared" si="387"/>
        <v>([spikedunkn]-[unkn])/[spike]*100</v>
      </c>
      <c r="Y3409" s="10" t="s">
        <v>1253</v>
      </c>
      <c r="AL3409" s="10" t="str">
        <f t="shared" si="385"/>
        <v>FALSE</v>
      </c>
      <c r="AM3409" s="10" t="str">
        <f t="shared" si="385"/>
        <v>FALSE</v>
      </c>
      <c r="AN3409" s="10" t="str">
        <f t="shared" si="385"/>
        <v>FALSE</v>
      </c>
      <c r="AO3409" s="10" t="str">
        <f t="shared" si="386"/>
        <v>FALSE</v>
      </c>
      <c r="AP3409" s="10" t="str">
        <f t="shared" si="386"/>
        <v>FALSE</v>
      </c>
      <c r="AQ3409" s="10" t="b">
        <f>IF(AND(I3409="TP",S3409&lt;=150),VLOOKUP(AF3409,TPCalibEq150!$AZ$2:$BB$55,3,),IF(AND(I3409="TDP",S3409&lt;=150),VLOOKUP(AF3409,TPCalibEq150!$AZ$2:$BB$55,3,)))</f>
        <v>0</v>
      </c>
      <c r="AR3409" s="10" t="b">
        <f>IF(AND(I3409="TP",S3409&lt;=300),VLOOKUP(AF3409,TPCalibEq300!$AZ$2:$BB$55,3,),IF(AND(I3409="TDP",S3409&lt;=300),VLOOKUP(AF3409,TPCalibEq300!$AZ$2:$BB$55,3,)))</f>
        <v>0</v>
      </c>
      <c r="AS3409" s="10" t="b">
        <f>IF(AND(I3409="TP",S3409&lt;=500),VLOOKUP(AF3409,TPCalibEq500!$AZ$2:$BB$56,3,),IF(AND(I3409="TDP",S3409&lt;=500),VLOOKUP(AF3409,TPCalibEq500!$AZ$2:$BB$56,3,)))</f>
        <v>0</v>
      </c>
      <c r="AT3409" s="10" t="b">
        <f>IF(AND(I3409="TN",S3409&lt;=2800),VLOOKUP(AF3409,TNCalibEq2500!$AZ$2:$BB$56,3,),IF(AND(I3409="TDN",S3409&lt;=2800),VLOOKUP(AF3409,TNCalibEq2500!$AZ$2:$BB$56,3,)))</f>
        <v>0</v>
      </c>
      <c r="AU3409" s="10" t="b">
        <f>IF(I3409="TP",VLOOKUP(AF3409,TPCalibEqFull!$AZ$2:$BB$56,3),IF(I3409="TDP",VLOOKUP(AF3409,TPCalibEqFull!$AZ$2:$BB$56,3),IF(I3409="TDN",VLOOKUP(AF3409,TNCalibEqFull!$AZ$1:$BB$56,3),IF(I3409="TN",VLOOKUP(AF3409,TNCalibEqFull!$AZ$1:$BB$56,3),FALSE))))</f>
        <v>0</v>
      </c>
      <c r="AV3409" s="10" t="str">
        <f t="shared" si="391"/>
        <v>0221 10:49:00-EMB-0-360-1-SW-SPK</v>
      </c>
    </row>
    <row r="3410" spans="1:48" s="10" customFormat="1" x14ac:dyDescent="0.55000000000000004">
      <c r="A3410" s="32">
        <v>44979</v>
      </c>
      <c r="B3410" s="33">
        <v>0.375</v>
      </c>
      <c r="C3410" s="10" t="s">
        <v>70</v>
      </c>
      <c r="D3410" s="10" t="s">
        <v>71</v>
      </c>
      <c r="E3410" s="10" t="s">
        <v>901</v>
      </c>
      <c r="F3410" s="10">
        <v>1</v>
      </c>
      <c r="G3410" s="10" t="s">
        <v>73</v>
      </c>
      <c r="H3410" s="10" t="s">
        <v>207</v>
      </c>
      <c r="I3410" s="10" t="s">
        <v>75</v>
      </c>
      <c r="J3410" s="10">
        <v>200</v>
      </c>
      <c r="K3410" s="12">
        <v>44980</v>
      </c>
      <c r="L3410" s="33">
        <v>0.51019675925925922</v>
      </c>
      <c r="M3410" s="10">
        <v>1</v>
      </c>
      <c r="N3410" s="10" t="s">
        <v>76</v>
      </c>
      <c r="O3410" s="10">
        <v>4.75</v>
      </c>
      <c r="P3410" s="10">
        <v>0.38</v>
      </c>
      <c r="Q3410" s="10">
        <v>297</v>
      </c>
      <c r="R3410" s="10" t="s">
        <v>77</v>
      </c>
      <c r="S3410" s="34">
        <f t="shared" si="388"/>
        <v>297</v>
      </c>
      <c r="T3410" s="10" t="s">
        <v>1260</v>
      </c>
      <c r="U3410" s="34">
        <f t="shared" si="389"/>
        <v>99</v>
      </c>
      <c r="V3410" s="31">
        <f>IF(H3410="CHK",VLOOKUP(I3410,QCCHK,3,),IF(H3410="GUP",VLOOKUP(E3410,QCGUP,2,),IF(AND(H3410="ATP",OR(I3410="TN",I3410="TDN",I3410="TNO2-3",I3410="NO2-3")),VLOOKUP(E3410,QCREC_N,2,),IF(AND(H3410="NIC",OR(I3410="TN",I3410="TDN",I3410="TNO2-3",I3410="NO2-3")),VLOOKUP(E3410,QCNIC_N,2,),IF(AND(H3410="UREA",OR(I3410="TN",I3410="TDN",I3410="TNO2-3",I3410="NO2-3")),VLOOKUP(E3410,QCUREA_N,2,),IF(H3410="PER",VLOOKUP(I3410,QCPER,MATCH(E3410,QCACTUAL!$J$25:$AA$25,0),),IF(H3410="SPK",VLOOKUP(I3410,QCSPK,3,),IF(AND(H3410="ATP",OR(I3410="TP",I3410="TDP")),VLOOKUP(E3410,QCATP_P,2,),""))))))))</f>
        <v>300</v>
      </c>
      <c r="W3410" s="31" t="str">
        <f t="shared" si="390"/>
        <v>TRUE</v>
      </c>
      <c r="X3410" s="31" t="str">
        <f t="shared" si="387"/>
        <v>[chk]/[actual]*100</v>
      </c>
      <c r="Y3410" s="10" t="s">
        <v>1253</v>
      </c>
      <c r="AL3410" s="10" t="str">
        <f t="shared" si="385"/>
        <v>FALSE</v>
      </c>
      <c r="AM3410" s="10" t="str">
        <f t="shared" si="385"/>
        <v>FALSE</v>
      </c>
      <c r="AN3410" s="10" t="str">
        <f t="shared" si="385"/>
        <v>FALSE</v>
      </c>
      <c r="AO3410" s="10" t="str">
        <f t="shared" si="386"/>
        <v>FALSE</v>
      </c>
      <c r="AP3410" s="10" t="str">
        <f t="shared" si="386"/>
        <v>FALSE</v>
      </c>
      <c r="AQ3410" s="10" t="b">
        <f>IF(AND(I3410="TP",S3410&lt;=150),VLOOKUP(AF3410,TPCalibEq150!$AZ$2:$BB$55,3,),IF(AND(I3410="TDP",S3410&lt;=150),VLOOKUP(AF3410,TPCalibEq150!$AZ$2:$BB$55,3,)))</f>
        <v>0</v>
      </c>
      <c r="AR3410" s="10" t="b">
        <f>IF(AND(I3410="TP",S3410&lt;=300),VLOOKUP(AF3410,TPCalibEq300!$AZ$2:$BB$55,3,),IF(AND(I3410="TDP",S3410&lt;=300),VLOOKUP(AF3410,TPCalibEq300!$AZ$2:$BB$55,3,)))</f>
        <v>0</v>
      </c>
      <c r="AS3410" s="10" t="b">
        <f>IF(AND(I3410="TP",S3410&lt;=500),VLOOKUP(AF3410,TPCalibEq500!$AZ$2:$BB$56,3,),IF(AND(I3410="TDP",S3410&lt;=500),VLOOKUP(AF3410,TPCalibEq500!$AZ$2:$BB$56,3,)))</f>
        <v>0</v>
      </c>
      <c r="AT3410" s="10" t="b">
        <f>IF(AND(I3410="TN",S3410&lt;=2800),VLOOKUP(AF3410,TNCalibEq2500!$AZ$2:$BB$56,3,),IF(AND(I3410="TDN",S3410&lt;=2800),VLOOKUP(AF3410,TNCalibEq2500!$AZ$2:$BB$56,3,)))</f>
        <v>0</v>
      </c>
      <c r="AU3410" s="10" t="b">
        <f>IF(I3410="TP",VLOOKUP(AF3410,TPCalibEqFull!$AZ$2:$BB$56,3),IF(I3410="TDP",VLOOKUP(AF3410,TPCalibEqFull!$AZ$2:$BB$56,3),IF(I3410="TDN",VLOOKUP(AF3410,TNCalibEqFull!$AZ$1:$BB$56,3),IF(I3410="TN",VLOOKUP(AF3410,TNCalibEqFull!$AZ$1:$BB$56,3),FALSE))))</f>
        <v>0</v>
      </c>
      <c r="AV3410" s="10" t="str">
        <f t="shared" si="391"/>
        <v>0222 09:00:00-QAC-STD-D-1-DI-CHK</v>
      </c>
    </row>
    <row r="3411" spans="1:48" s="10" customFormat="1" x14ac:dyDescent="0.55000000000000004">
      <c r="A3411" s="32">
        <v>44978</v>
      </c>
      <c r="B3411" s="33">
        <v>0.45277777777777778</v>
      </c>
      <c r="C3411" s="10" t="s">
        <v>646</v>
      </c>
      <c r="D3411" s="10">
        <v>5</v>
      </c>
      <c r="E3411" s="10">
        <v>360</v>
      </c>
      <c r="F3411" s="10">
        <v>1</v>
      </c>
      <c r="G3411" s="10" t="s">
        <v>231</v>
      </c>
      <c r="H3411" s="10" t="s">
        <v>322</v>
      </c>
      <c r="I3411" s="10" t="s">
        <v>75</v>
      </c>
      <c r="J3411" s="10">
        <v>21</v>
      </c>
      <c r="K3411" s="12">
        <v>44980</v>
      </c>
      <c r="L3411" s="33">
        <v>0.51101851851851854</v>
      </c>
      <c r="M3411" s="10">
        <v>1</v>
      </c>
      <c r="N3411" s="10" t="s">
        <v>76</v>
      </c>
      <c r="O3411" s="10">
        <v>0.74399999999999999</v>
      </c>
      <c r="P3411" s="10">
        <v>5.7799999999999997E-2</v>
      </c>
      <c r="Q3411" s="10">
        <v>46.7</v>
      </c>
      <c r="R3411" s="10" t="s">
        <v>77</v>
      </c>
      <c r="S3411" s="34">
        <f t="shared" si="388"/>
        <v>46.7</v>
      </c>
      <c r="T3411" s="10" t="s">
        <v>1260</v>
      </c>
      <c r="U3411" s="34" t="str">
        <f t="shared" si="389"/>
        <v/>
      </c>
      <c r="V3411" s="31" t="str">
        <f>IF(H3411="CHK",VLOOKUP(I3411,QCCHK,3,),IF(H3411="GUP",VLOOKUP(E3411,QCGUP,2,),IF(AND(H3411="ATP",OR(I3411="TN",I3411="TDN",I3411="TNO2-3",I3411="NO2-3")),VLOOKUP(E3411,QCREC_N,2,),IF(AND(H3411="NIC",OR(I3411="TN",I3411="TDN",I3411="TNO2-3",I3411="NO2-3")),VLOOKUP(E3411,QCNIC_N,2,),IF(AND(H3411="UREA",OR(I3411="TN",I3411="TDN",I3411="TNO2-3",I3411="NO2-3")),VLOOKUP(E3411,QCUREA_N,2,),IF(H3411="PER",VLOOKUP(I3411,QCPER,MATCH(E3411,QCACTUAL!$J$25:$AA$25,0),),IF(H3411="SPK",VLOOKUP(I3411,QCSPK,3,),IF(AND(H3411="ATP",OR(I3411="TP",I3411="TDP")),VLOOKUP(E3411,QCATP_P,2,),""))))))))</f>
        <v/>
      </c>
      <c r="W3411" s="31" t="str">
        <f t="shared" si="390"/>
        <v>TRUE</v>
      </c>
      <c r="X3411" s="31" t="str">
        <f t="shared" si="387"/>
        <v/>
      </c>
      <c r="Y3411" s="10" t="s">
        <v>1253</v>
      </c>
      <c r="AL3411" s="10" t="str">
        <f t="shared" si="385"/>
        <v>FALSE</v>
      </c>
      <c r="AM3411" s="10" t="str">
        <f t="shared" si="385"/>
        <v>FALSE</v>
      </c>
      <c r="AN3411" s="10" t="str">
        <f t="shared" si="385"/>
        <v>FALSE</v>
      </c>
      <c r="AO3411" s="10" t="str">
        <f t="shared" si="386"/>
        <v>FALSE</v>
      </c>
      <c r="AP3411" s="10" t="str">
        <f t="shared" si="386"/>
        <v>FALSE</v>
      </c>
      <c r="AQ3411" s="10" t="b">
        <f>IF(AND(I3411="TP",S3411&lt;=150),VLOOKUP(AF3411,TPCalibEq150!$AZ$2:$BB$55,3,),IF(AND(I3411="TDP",S3411&lt;=150),VLOOKUP(AF3411,TPCalibEq150!$AZ$2:$BB$55,3,)))</f>
        <v>0</v>
      </c>
      <c r="AR3411" s="10" t="b">
        <f>IF(AND(I3411="TP",S3411&lt;=300),VLOOKUP(AF3411,TPCalibEq300!$AZ$2:$BB$55,3,),IF(AND(I3411="TDP",S3411&lt;=300),VLOOKUP(AF3411,TPCalibEq300!$AZ$2:$BB$55,3,)))</f>
        <v>0</v>
      </c>
      <c r="AS3411" s="10" t="b">
        <f>IF(AND(I3411="TP",S3411&lt;=500),VLOOKUP(AF3411,TPCalibEq500!$AZ$2:$BB$56,3,),IF(AND(I3411="TDP",S3411&lt;=500),VLOOKUP(AF3411,TPCalibEq500!$AZ$2:$BB$56,3,)))</f>
        <v>0</v>
      </c>
      <c r="AT3411" s="10" t="b">
        <f>IF(AND(I3411="TN",S3411&lt;=2800),VLOOKUP(AF3411,TNCalibEq2500!$AZ$2:$BB$56,3,),IF(AND(I3411="TDN",S3411&lt;=2800),VLOOKUP(AF3411,TNCalibEq2500!$AZ$2:$BB$56,3,)))</f>
        <v>0</v>
      </c>
      <c r="AU3411" s="10" t="b">
        <f>IF(I3411="TP",VLOOKUP(AF3411,TPCalibEqFull!$AZ$2:$BB$56,3),IF(I3411="TDP",VLOOKUP(AF3411,TPCalibEqFull!$AZ$2:$BB$56,3),IF(I3411="TDN",VLOOKUP(AF3411,TNCalibEqFull!$AZ$1:$BB$56,3),IF(I3411="TN",VLOOKUP(AF3411,TNCalibEqFull!$AZ$1:$BB$56,3),FALSE))))</f>
        <v>0</v>
      </c>
      <c r="AV3411" s="10" t="str">
        <f t="shared" si="391"/>
        <v>0221 10:52:00-EMB-5-360-1-SW-UKN</v>
      </c>
    </row>
    <row r="3412" spans="1:48" s="10" customFormat="1" x14ac:dyDescent="0.55000000000000004">
      <c r="A3412" s="32">
        <v>44978</v>
      </c>
      <c r="B3412" s="33">
        <v>0.4548611111111111</v>
      </c>
      <c r="C3412" s="10" t="s">
        <v>646</v>
      </c>
      <c r="D3412" s="10">
        <v>10</v>
      </c>
      <c r="E3412" s="10">
        <v>380</v>
      </c>
      <c r="F3412" s="10">
        <v>1</v>
      </c>
      <c r="G3412" s="10" t="s">
        <v>231</v>
      </c>
      <c r="H3412" s="10" t="s">
        <v>322</v>
      </c>
      <c r="I3412" s="10" t="s">
        <v>75</v>
      </c>
      <c r="J3412" s="10">
        <v>22</v>
      </c>
      <c r="K3412" s="12">
        <v>44980</v>
      </c>
      <c r="L3412" s="33">
        <v>0.5118287037037037</v>
      </c>
      <c r="M3412" s="10">
        <v>1</v>
      </c>
      <c r="N3412" s="10" t="s">
        <v>76</v>
      </c>
      <c r="O3412" s="10">
        <v>0.748</v>
      </c>
      <c r="P3412" s="10">
        <v>5.5500000000000001E-2</v>
      </c>
      <c r="Q3412" s="10">
        <v>47</v>
      </c>
      <c r="R3412" s="10" t="s">
        <v>77</v>
      </c>
      <c r="S3412" s="34">
        <f t="shared" si="388"/>
        <v>47</v>
      </c>
      <c r="T3412" s="10" t="s">
        <v>1260</v>
      </c>
      <c r="U3412" s="34" t="str">
        <f t="shared" si="389"/>
        <v/>
      </c>
      <c r="V3412" s="31" t="str">
        <f>IF(H3412="CHK",VLOOKUP(I3412,QCCHK,3,),IF(H3412="GUP",VLOOKUP(E3412,QCGUP,2,),IF(AND(H3412="ATP",OR(I3412="TN",I3412="TDN",I3412="TNO2-3",I3412="NO2-3")),VLOOKUP(E3412,QCREC_N,2,),IF(AND(H3412="NIC",OR(I3412="TN",I3412="TDN",I3412="TNO2-3",I3412="NO2-3")),VLOOKUP(E3412,QCNIC_N,2,),IF(AND(H3412="UREA",OR(I3412="TN",I3412="TDN",I3412="TNO2-3",I3412="NO2-3")),VLOOKUP(E3412,QCUREA_N,2,),IF(H3412="PER",VLOOKUP(I3412,QCPER,MATCH(E3412,QCACTUAL!$J$25:$AA$25,0),),IF(H3412="SPK",VLOOKUP(I3412,QCSPK,3,),IF(AND(H3412="ATP",OR(I3412="TP",I3412="TDP")),VLOOKUP(E3412,QCATP_P,2,),""))))))))</f>
        <v/>
      </c>
      <c r="W3412" s="31" t="str">
        <f t="shared" si="390"/>
        <v>TRUE</v>
      </c>
      <c r="X3412" s="31" t="str">
        <f t="shared" si="387"/>
        <v/>
      </c>
      <c r="Y3412" s="10" t="s">
        <v>1253</v>
      </c>
      <c r="AL3412" s="10" t="str">
        <f t="shared" si="385"/>
        <v>FALSE</v>
      </c>
      <c r="AM3412" s="10" t="str">
        <f t="shared" si="385"/>
        <v>FALSE</v>
      </c>
      <c r="AN3412" s="10" t="str">
        <f t="shared" si="385"/>
        <v>FALSE</v>
      </c>
      <c r="AO3412" s="10" t="str">
        <f t="shared" si="386"/>
        <v>FALSE</v>
      </c>
      <c r="AP3412" s="10" t="str">
        <f t="shared" si="386"/>
        <v>FALSE</v>
      </c>
      <c r="AQ3412" s="10" t="b">
        <f>IF(AND(I3412="TP",S3412&lt;=150),VLOOKUP(AF3412,TPCalibEq150!$AZ$2:$BB$55,3,),IF(AND(I3412="TDP",S3412&lt;=150),VLOOKUP(AF3412,TPCalibEq150!$AZ$2:$BB$55,3,)))</f>
        <v>0</v>
      </c>
      <c r="AR3412" s="10" t="b">
        <f>IF(AND(I3412="TP",S3412&lt;=300),VLOOKUP(AF3412,TPCalibEq300!$AZ$2:$BB$55,3,),IF(AND(I3412="TDP",S3412&lt;=300),VLOOKUP(AF3412,TPCalibEq300!$AZ$2:$BB$55,3,)))</f>
        <v>0</v>
      </c>
      <c r="AS3412" s="10" t="b">
        <f>IF(AND(I3412="TP",S3412&lt;=500),VLOOKUP(AF3412,TPCalibEq500!$AZ$2:$BB$56,3,),IF(AND(I3412="TDP",S3412&lt;=500),VLOOKUP(AF3412,TPCalibEq500!$AZ$2:$BB$56,3,)))</f>
        <v>0</v>
      </c>
      <c r="AT3412" s="10" t="b">
        <f>IF(AND(I3412="TN",S3412&lt;=2800),VLOOKUP(AF3412,TNCalibEq2500!$AZ$2:$BB$56,3,),IF(AND(I3412="TDN",S3412&lt;=2800),VLOOKUP(AF3412,TNCalibEq2500!$AZ$2:$BB$56,3,)))</f>
        <v>0</v>
      </c>
      <c r="AU3412" s="10" t="b">
        <f>IF(I3412="TP",VLOOKUP(AF3412,TPCalibEqFull!$AZ$2:$BB$56,3),IF(I3412="TDP",VLOOKUP(AF3412,TPCalibEqFull!$AZ$2:$BB$56,3),IF(I3412="TDN",VLOOKUP(AF3412,TNCalibEqFull!$AZ$1:$BB$56,3),IF(I3412="TN",VLOOKUP(AF3412,TNCalibEqFull!$AZ$1:$BB$56,3),FALSE))))</f>
        <v>0</v>
      </c>
      <c r="AV3412" s="10" t="str">
        <f t="shared" si="391"/>
        <v>0221 10:55:00-EMB-10-380-1-SW-UKN</v>
      </c>
    </row>
    <row r="3413" spans="1:48" s="10" customFormat="1" x14ac:dyDescent="0.55000000000000004">
      <c r="A3413" s="32">
        <v>44978</v>
      </c>
      <c r="B3413" s="33">
        <v>0.45763888888888887</v>
      </c>
      <c r="C3413" s="10" t="s">
        <v>646</v>
      </c>
      <c r="D3413" s="10">
        <v>20</v>
      </c>
      <c r="E3413" s="10" t="s">
        <v>190</v>
      </c>
      <c r="F3413" s="10">
        <v>1</v>
      </c>
      <c r="G3413" s="10" t="s">
        <v>231</v>
      </c>
      <c r="H3413" s="10" t="s">
        <v>322</v>
      </c>
      <c r="I3413" s="10" t="s">
        <v>75</v>
      </c>
      <c r="J3413" s="10">
        <v>23</v>
      </c>
      <c r="K3413" s="12">
        <v>44980</v>
      </c>
      <c r="L3413" s="33">
        <v>0.51265046296296302</v>
      </c>
      <c r="M3413" s="10">
        <v>1</v>
      </c>
      <c r="N3413" s="10" t="s">
        <v>76</v>
      </c>
      <c r="O3413" s="10">
        <v>0.69099999999999995</v>
      </c>
      <c r="P3413" s="10">
        <v>5.1299999999999998E-2</v>
      </c>
      <c r="Q3413" s="10">
        <v>43.4</v>
      </c>
      <c r="R3413" s="10" t="s">
        <v>77</v>
      </c>
      <c r="S3413" s="34">
        <f t="shared" si="388"/>
        <v>43.4</v>
      </c>
      <c r="T3413" s="10" t="s">
        <v>1260</v>
      </c>
      <c r="U3413" s="34" t="str">
        <f t="shared" si="389"/>
        <v/>
      </c>
      <c r="V3413" s="31" t="str">
        <f>IF(H3413="CHK",VLOOKUP(I3413,QCCHK,3,),IF(H3413="GUP",VLOOKUP(E3413,QCGUP,2,),IF(AND(H3413="ATP",OR(I3413="TN",I3413="TDN",I3413="TNO2-3",I3413="NO2-3")),VLOOKUP(E3413,QCREC_N,2,),IF(AND(H3413="NIC",OR(I3413="TN",I3413="TDN",I3413="TNO2-3",I3413="NO2-3")),VLOOKUP(E3413,QCNIC_N,2,),IF(AND(H3413="UREA",OR(I3413="TN",I3413="TDN",I3413="TNO2-3",I3413="NO2-3")),VLOOKUP(E3413,QCUREA_N,2,),IF(H3413="PER",VLOOKUP(I3413,QCPER,MATCH(E3413,QCACTUAL!$J$25:$AA$25,0),),IF(H3413="SPK",VLOOKUP(I3413,QCSPK,3,),IF(AND(H3413="ATP",OR(I3413="TP",I3413="TDP")),VLOOKUP(E3413,QCATP_P,2,),""))))))))</f>
        <v/>
      </c>
      <c r="W3413" s="31" t="str">
        <f t="shared" si="390"/>
        <v>TRUE</v>
      </c>
      <c r="X3413" s="31" t="str">
        <f t="shared" si="387"/>
        <v/>
      </c>
      <c r="Y3413" s="10" t="s">
        <v>1253</v>
      </c>
      <c r="AL3413" s="10" t="str">
        <f t="shared" si="385"/>
        <v>FALSE</v>
      </c>
      <c r="AM3413" s="10" t="str">
        <f t="shared" si="385"/>
        <v>FALSE</v>
      </c>
      <c r="AN3413" s="10" t="str">
        <f t="shared" si="385"/>
        <v>FALSE</v>
      </c>
      <c r="AO3413" s="10" t="str">
        <f t="shared" si="386"/>
        <v>FALSE</v>
      </c>
      <c r="AP3413" s="10" t="str">
        <f t="shared" si="386"/>
        <v>FALSE</v>
      </c>
      <c r="AQ3413" s="10" t="b">
        <f>IF(AND(I3413="TP",S3413&lt;=150),VLOOKUP(AF3413,TPCalibEq150!$AZ$2:$BB$55,3,),IF(AND(I3413="TDP",S3413&lt;=150),VLOOKUP(AF3413,TPCalibEq150!$AZ$2:$BB$55,3,)))</f>
        <v>0</v>
      </c>
      <c r="AR3413" s="10" t="b">
        <f>IF(AND(I3413="TP",S3413&lt;=300),VLOOKUP(AF3413,TPCalibEq300!$AZ$2:$BB$55,3,),IF(AND(I3413="TDP",S3413&lt;=300),VLOOKUP(AF3413,TPCalibEq300!$AZ$2:$BB$55,3,)))</f>
        <v>0</v>
      </c>
      <c r="AS3413" s="10" t="b">
        <f>IF(AND(I3413="TP",S3413&lt;=500),VLOOKUP(AF3413,TPCalibEq500!$AZ$2:$BB$56,3,),IF(AND(I3413="TDP",S3413&lt;=500),VLOOKUP(AF3413,TPCalibEq500!$AZ$2:$BB$56,3,)))</f>
        <v>0</v>
      </c>
      <c r="AT3413" s="10" t="b">
        <f>IF(AND(I3413="TN",S3413&lt;=2800),VLOOKUP(AF3413,TNCalibEq2500!$AZ$2:$BB$56,3,),IF(AND(I3413="TDN",S3413&lt;=2800),VLOOKUP(AF3413,TNCalibEq2500!$AZ$2:$BB$56,3,)))</f>
        <v>0</v>
      </c>
      <c r="AU3413" s="10" t="b">
        <f>IF(I3413="TP",VLOOKUP(AF3413,TPCalibEqFull!$AZ$2:$BB$56,3),IF(I3413="TDP",VLOOKUP(AF3413,TPCalibEqFull!$AZ$2:$BB$56,3),IF(I3413="TDN",VLOOKUP(AF3413,TNCalibEqFull!$AZ$1:$BB$56,3),IF(I3413="TN",VLOOKUP(AF3413,TNCalibEqFull!$AZ$1:$BB$56,3),FALSE))))</f>
        <v>0</v>
      </c>
      <c r="AV3413" s="10" t="str">
        <f t="shared" si="391"/>
        <v>0221 10:59:00-EMB-20-C-1-SW-UKN</v>
      </c>
    </row>
    <row r="3414" spans="1:48" s="10" customFormat="1" x14ac:dyDescent="0.55000000000000004">
      <c r="A3414" s="32">
        <v>44978</v>
      </c>
      <c r="B3414" s="33">
        <v>0.46249999999999997</v>
      </c>
      <c r="C3414" s="10" t="s">
        <v>646</v>
      </c>
      <c r="D3414" s="10">
        <v>60</v>
      </c>
      <c r="E3414" s="10" t="s">
        <v>190</v>
      </c>
      <c r="F3414" s="10">
        <v>1</v>
      </c>
      <c r="G3414" s="10" t="s">
        <v>231</v>
      </c>
      <c r="H3414" s="10" t="s">
        <v>322</v>
      </c>
      <c r="I3414" s="10" t="s">
        <v>75</v>
      </c>
      <c r="J3414" s="10">
        <v>24</v>
      </c>
      <c r="K3414" s="12">
        <v>44980</v>
      </c>
      <c r="L3414" s="33">
        <v>0.51347222222222222</v>
      </c>
      <c r="M3414" s="10">
        <v>1</v>
      </c>
      <c r="N3414" s="10" t="s">
        <v>76</v>
      </c>
      <c r="O3414" s="10">
        <v>0.68700000000000006</v>
      </c>
      <c r="P3414" s="10">
        <v>5.3199999999999997E-2</v>
      </c>
      <c r="Q3414" s="10">
        <v>43.1</v>
      </c>
      <c r="R3414" s="10" t="s">
        <v>77</v>
      </c>
      <c r="S3414" s="34">
        <f t="shared" si="388"/>
        <v>43.1</v>
      </c>
      <c r="T3414" s="10" t="s">
        <v>1260</v>
      </c>
      <c r="U3414" s="34" t="str">
        <f t="shared" si="389"/>
        <v/>
      </c>
      <c r="V3414" s="31" t="str">
        <f>IF(H3414="CHK",VLOOKUP(I3414,QCCHK,3,),IF(H3414="GUP",VLOOKUP(E3414,QCGUP,2,),IF(AND(H3414="ATP",OR(I3414="TN",I3414="TDN",I3414="TNO2-3",I3414="NO2-3")),VLOOKUP(E3414,QCREC_N,2,),IF(AND(H3414="NIC",OR(I3414="TN",I3414="TDN",I3414="TNO2-3",I3414="NO2-3")),VLOOKUP(E3414,QCNIC_N,2,),IF(AND(H3414="UREA",OR(I3414="TN",I3414="TDN",I3414="TNO2-3",I3414="NO2-3")),VLOOKUP(E3414,QCUREA_N,2,),IF(H3414="PER",VLOOKUP(I3414,QCPER,MATCH(E3414,QCACTUAL!$J$25:$AA$25,0),),IF(H3414="SPK",VLOOKUP(I3414,QCSPK,3,),IF(AND(H3414="ATP",OR(I3414="TP",I3414="TDP")),VLOOKUP(E3414,QCATP_P,2,),""))))))))</f>
        <v/>
      </c>
      <c r="W3414" s="31" t="str">
        <f t="shared" si="390"/>
        <v>TRUE</v>
      </c>
      <c r="X3414" s="31" t="str">
        <f t="shared" si="387"/>
        <v/>
      </c>
      <c r="Y3414" s="10" t="s">
        <v>1253</v>
      </c>
      <c r="AL3414" s="10" t="str">
        <f t="shared" si="385"/>
        <v>FALSE</v>
      </c>
      <c r="AM3414" s="10" t="str">
        <f t="shared" si="385"/>
        <v>FALSE</v>
      </c>
      <c r="AN3414" s="10" t="str">
        <f t="shared" si="385"/>
        <v>FALSE</v>
      </c>
      <c r="AO3414" s="10" t="str">
        <f t="shared" si="386"/>
        <v>FALSE</v>
      </c>
      <c r="AP3414" s="10" t="str">
        <f t="shared" si="386"/>
        <v>FALSE</v>
      </c>
      <c r="AQ3414" s="10" t="b">
        <f>IF(AND(I3414="TP",S3414&lt;=150),VLOOKUP(AF3414,TPCalibEq150!$AZ$2:$BB$55,3,),IF(AND(I3414="TDP",S3414&lt;=150),VLOOKUP(AF3414,TPCalibEq150!$AZ$2:$BB$55,3,)))</f>
        <v>0</v>
      </c>
      <c r="AR3414" s="10" t="b">
        <f>IF(AND(I3414="TP",S3414&lt;=300),VLOOKUP(AF3414,TPCalibEq300!$AZ$2:$BB$55,3,),IF(AND(I3414="TDP",S3414&lt;=300),VLOOKUP(AF3414,TPCalibEq300!$AZ$2:$BB$55,3,)))</f>
        <v>0</v>
      </c>
      <c r="AS3414" s="10" t="b">
        <f>IF(AND(I3414="TP",S3414&lt;=500),VLOOKUP(AF3414,TPCalibEq500!$AZ$2:$BB$56,3,),IF(AND(I3414="TDP",S3414&lt;=500),VLOOKUP(AF3414,TPCalibEq500!$AZ$2:$BB$56,3,)))</f>
        <v>0</v>
      </c>
      <c r="AT3414" s="10" t="b">
        <f>IF(AND(I3414="TN",S3414&lt;=2800),VLOOKUP(AF3414,TNCalibEq2500!$AZ$2:$BB$56,3,),IF(AND(I3414="TDN",S3414&lt;=2800),VLOOKUP(AF3414,TNCalibEq2500!$AZ$2:$BB$56,3,)))</f>
        <v>0</v>
      </c>
      <c r="AU3414" s="10" t="b">
        <f>IF(I3414="TP",VLOOKUP(AF3414,TPCalibEqFull!$AZ$2:$BB$56,3),IF(I3414="TDP",VLOOKUP(AF3414,TPCalibEqFull!$AZ$2:$BB$56,3),IF(I3414="TDN",VLOOKUP(AF3414,TNCalibEqFull!$AZ$1:$BB$56,3),IF(I3414="TN",VLOOKUP(AF3414,TNCalibEqFull!$AZ$1:$BB$56,3),FALSE))))</f>
        <v>0</v>
      </c>
      <c r="AV3414" s="10" t="str">
        <f t="shared" si="391"/>
        <v>0221 11:06:00-EMB-60-C-1-SW-UKN</v>
      </c>
    </row>
    <row r="3415" spans="1:48" s="10" customFormat="1" x14ac:dyDescent="0.55000000000000004">
      <c r="A3415" s="32">
        <v>44978</v>
      </c>
      <c r="B3415" s="33">
        <v>0.41319444444444442</v>
      </c>
      <c r="C3415" s="10" t="s">
        <v>287</v>
      </c>
      <c r="D3415" s="10">
        <v>0</v>
      </c>
      <c r="E3415" s="10">
        <v>290</v>
      </c>
      <c r="F3415" s="10">
        <v>1</v>
      </c>
      <c r="G3415" s="10" t="s">
        <v>231</v>
      </c>
      <c r="H3415" s="10" t="s">
        <v>322</v>
      </c>
      <c r="I3415" s="10" t="s">
        <v>75</v>
      </c>
      <c r="J3415" s="10">
        <v>25</v>
      </c>
      <c r="K3415" s="12">
        <v>44980</v>
      </c>
      <c r="L3415" s="33">
        <v>0.51427083333333334</v>
      </c>
      <c r="M3415" s="10">
        <v>1</v>
      </c>
      <c r="N3415" s="10" t="s">
        <v>76</v>
      </c>
      <c r="O3415" s="10">
        <v>1</v>
      </c>
      <c r="P3415" s="10">
        <v>7.5499999999999998E-2</v>
      </c>
      <c r="Q3415" s="10">
        <v>62.9</v>
      </c>
      <c r="R3415" s="10" t="s">
        <v>77</v>
      </c>
      <c r="S3415" s="34">
        <f t="shared" si="388"/>
        <v>62.9</v>
      </c>
      <c r="T3415" s="10" t="s">
        <v>1260</v>
      </c>
      <c r="U3415" s="34" t="str">
        <f t="shared" si="389"/>
        <v/>
      </c>
      <c r="V3415" s="31" t="str">
        <f>IF(H3415="CHK",VLOOKUP(I3415,QCCHK,3,),IF(H3415="GUP",VLOOKUP(E3415,QCGUP,2,),IF(AND(H3415="ATP",OR(I3415="TN",I3415="TDN",I3415="TNO2-3",I3415="NO2-3")),VLOOKUP(E3415,QCREC_N,2,),IF(AND(H3415="NIC",OR(I3415="TN",I3415="TDN",I3415="TNO2-3",I3415="NO2-3")),VLOOKUP(E3415,QCNIC_N,2,),IF(AND(H3415="UREA",OR(I3415="TN",I3415="TDN",I3415="TNO2-3",I3415="NO2-3")),VLOOKUP(E3415,QCUREA_N,2,),IF(H3415="PER",VLOOKUP(I3415,QCPER,MATCH(E3415,QCACTUAL!$J$25:$AA$25,0),),IF(H3415="SPK",VLOOKUP(I3415,QCSPK,3,),IF(AND(H3415="ATP",OR(I3415="TP",I3415="TDP")),VLOOKUP(E3415,QCATP_P,2,),""))))))))</f>
        <v/>
      </c>
      <c r="W3415" s="31" t="str">
        <f t="shared" si="390"/>
        <v>TRUE</v>
      </c>
      <c r="X3415" s="31" t="str">
        <f t="shared" si="387"/>
        <v/>
      </c>
      <c r="Y3415" s="10" t="s">
        <v>1253</v>
      </c>
      <c r="AL3415" s="10" t="str">
        <f t="shared" si="385"/>
        <v>FALSE</v>
      </c>
      <c r="AM3415" s="10" t="str">
        <f t="shared" si="385"/>
        <v>FALSE</v>
      </c>
      <c r="AN3415" s="10" t="str">
        <f t="shared" si="385"/>
        <v>FALSE</v>
      </c>
      <c r="AO3415" s="10" t="str">
        <f t="shared" si="386"/>
        <v>FALSE</v>
      </c>
      <c r="AP3415" s="10" t="str">
        <f t="shared" si="386"/>
        <v>FALSE</v>
      </c>
      <c r="AQ3415" s="10" t="b">
        <f>IF(AND(I3415="TP",S3415&lt;=150),VLOOKUP(AF3415,TPCalibEq150!$AZ$2:$BB$55,3,),IF(AND(I3415="TDP",S3415&lt;=150),VLOOKUP(AF3415,TPCalibEq150!$AZ$2:$BB$55,3,)))</f>
        <v>0</v>
      </c>
      <c r="AR3415" s="10" t="b">
        <f>IF(AND(I3415="TP",S3415&lt;=300),VLOOKUP(AF3415,TPCalibEq300!$AZ$2:$BB$55,3,),IF(AND(I3415="TDP",S3415&lt;=300),VLOOKUP(AF3415,TPCalibEq300!$AZ$2:$BB$55,3,)))</f>
        <v>0</v>
      </c>
      <c r="AS3415" s="10" t="b">
        <f>IF(AND(I3415="TP",S3415&lt;=500),VLOOKUP(AF3415,TPCalibEq500!$AZ$2:$BB$56,3,),IF(AND(I3415="TDP",S3415&lt;=500),VLOOKUP(AF3415,TPCalibEq500!$AZ$2:$BB$56,3,)))</f>
        <v>0</v>
      </c>
      <c r="AT3415" s="10" t="b">
        <f>IF(AND(I3415="TN",S3415&lt;=2800),VLOOKUP(AF3415,TNCalibEq2500!$AZ$2:$BB$56,3,),IF(AND(I3415="TDN",S3415&lt;=2800),VLOOKUP(AF3415,TNCalibEq2500!$AZ$2:$BB$56,3,)))</f>
        <v>0</v>
      </c>
      <c r="AU3415" s="10" t="b">
        <f>IF(I3415="TP",VLOOKUP(AF3415,TPCalibEqFull!$AZ$2:$BB$56,3),IF(I3415="TDP",VLOOKUP(AF3415,TPCalibEqFull!$AZ$2:$BB$56,3),IF(I3415="TDN",VLOOKUP(AF3415,TNCalibEqFull!$AZ$1:$BB$56,3),IF(I3415="TN",VLOOKUP(AF3415,TNCalibEqFull!$AZ$1:$BB$56,3),FALSE))))</f>
        <v>0</v>
      </c>
      <c r="AV3415" s="10" t="str">
        <f t="shared" si="391"/>
        <v>0221 09:55:00-EFL-0-290-1-SW-UKN</v>
      </c>
    </row>
    <row r="3416" spans="1:48" s="10" customFormat="1" x14ac:dyDescent="0.55000000000000004">
      <c r="A3416" s="32">
        <v>44978</v>
      </c>
      <c r="B3416" s="33">
        <v>0.41597222222222219</v>
      </c>
      <c r="C3416" s="10" t="s">
        <v>287</v>
      </c>
      <c r="D3416" s="10">
        <v>5</v>
      </c>
      <c r="E3416" s="10">
        <v>400</v>
      </c>
      <c r="F3416" s="10">
        <v>1</v>
      </c>
      <c r="G3416" s="10" t="s">
        <v>231</v>
      </c>
      <c r="H3416" s="10" t="s">
        <v>322</v>
      </c>
      <c r="I3416" s="10" t="s">
        <v>75</v>
      </c>
      <c r="J3416" s="10">
        <v>26</v>
      </c>
      <c r="K3416" s="12">
        <v>44980</v>
      </c>
      <c r="L3416" s="33">
        <v>0.51508101851851851</v>
      </c>
      <c r="M3416" s="10">
        <v>1</v>
      </c>
      <c r="N3416" s="10" t="s">
        <v>76</v>
      </c>
      <c r="O3416" s="10">
        <v>1.02</v>
      </c>
      <c r="P3416" s="10">
        <v>7.8299999999999995E-2</v>
      </c>
      <c r="Q3416" s="10">
        <v>64</v>
      </c>
      <c r="R3416" s="10" t="s">
        <v>77</v>
      </c>
      <c r="S3416" s="34">
        <f t="shared" si="388"/>
        <v>64</v>
      </c>
      <c r="T3416" s="10" t="s">
        <v>1260</v>
      </c>
      <c r="U3416" s="34" t="str">
        <f t="shared" si="389"/>
        <v/>
      </c>
      <c r="V3416" s="31" t="str">
        <f>IF(H3416="CHK",VLOOKUP(I3416,QCCHK,3,),IF(H3416="GUP",VLOOKUP(E3416,QCGUP,2,),IF(AND(H3416="ATP",OR(I3416="TN",I3416="TDN",I3416="TNO2-3",I3416="NO2-3")),VLOOKUP(E3416,QCREC_N,2,),IF(AND(H3416="NIC",OR(I3416="TN",I3416="TDN",I3416="TNO2-3",I3416="NO2-3")),VLOOKUP(E3416,QCNIC_N,2,),IF(AND(H3416="UREA",OR(I3416="TN",I3416="TDN",I3416="TNO2-3",I3416="NO2-3")),VLOOKUP(E3416,QCUREA_N,2,),IF(H3416="PER",VLOOKUP(I3416,QCPER,MATCH(E3416,QCACTUAL!$J$25:$AA$25,0),),IF(H3416="SPK",VLOOKUP(I3416,QCSPK,3,),IF(AND(H3416="ATP",OR(I3416="TP",I3416="TDP")),VLOOKUP(E3416,QCATP_P,2,),""))))))))</f>
        <v/>
      </c>
      <c r="W3416" s="31" t="str">
        <f t="shared" si="390"/>
        <v>TRUE</v>
      </c>
      <c r="X3416" s="31" t="str">
        <f t="shared" si="387"/>
        <v/>
      </c>
      <c r="Y3416" s="10" t="s">
        <v>1253</v>
      </c>
      <c r="AL3416" s="10" t="str">
        <f t="shared" si="385"/>
        <v>FALSE</v>
      </c>
      <c r="AM3416" s="10" t="str">
        <f t="shared" si="385"/>
        <v>FALSE</v>
      </c>
      <c r="AN3416" s="10" t="str">
        <f t="shared" si="385"/>
        <v>FALSE</v>
      </c>
      <c r="AO3416" s="10" t="str">
        <f t="shared" si="386"/>
        <v>FALSE</v>
      </c>
      <c r="AP3416" s="10" t="str">
        <f t="shared" si="386"/>
        <v>FALSE</v>
      </c>
      <c r="AQ3416" s="10" t="b">
        <f>IF(AND(I3416="TP",S3416&lt;=150),VLOOKUP(AF3416,TPCalibEq150!$AZ$2:$BB$55,3,),IF(AND(I3416="TDP",S3416&lt;=150),VLOOKUP(AF3416,TPCalibEq150!$AZ$2:$BB$55,3,)))</f>
        <v>0</v>
      </c>
      <c r="AR3416" s="10" t="b">
        <f>IF(AND(I3416="TP",S3416&lt;=300),VLOOKUP(AF3416,TPCalibEq300!$AZ$2:$BB$55,3,),IF(AND(I3416="TDP",S3416&lt;=300),VLOOKUP(AF3416,TPCalibEq300!$AZ$2:$BB$55,3,)))</f>
        <v>0</v>
      </c>
      <c r="AS3416" s="10" t="b">
        <f>IF(AND(I3416="TP",S3416&lt;=500),VLOOKUP(AF3416,TPCalibEq500!$AZ$2:$BB$56,3,),IF(AND(I3416="TDP",S3416&lt;=500),VLOOKUP(AF3416,TPCalibEq500!$AZ$2:$BB$56,3,)))</f>
        <v>0</v>
      </c>
      <c r="AT3416" s="10" t="b">
        <f>IF(AND(I3416="TN",S3416&lt;=2800),VLOOKUP(AF3416,TNCalibEq2500!$AZ$2:$BB$56,3,),IF(AND(I3416="TDN",S3416&lt;=2800),VLOOKUP(AF3416,TNCalibEq2500!$AZ$2:$BB$56,3,)))</f>
        <v>0</v>
      </c>
      <c r="AU3416" s="10" t="b">
        <f>IF(I3416="TP",VLOOKUP(AF3416,TPCalibEqFull!$AZ$2:$BB$56,3),IF(I3416="TDP",VLOOKUP(AF3416,TPCalibEqFull!$AZ$2:$BB$56,3),IF(I3416="TDN",VLOOKUP(AF3416,TNCalibEqFull!$AZ$1:$BB$56,3),IF(I3416="TN",VLOOKUP(AF3416,TNCalibEqFull!$AZ$1:$BB$56,3),FALSE))))</f>
        <v>0</v>
      </c>
      <c r="AV3416" s="10" t="str">
        <f t="shared" si="391"/>
        <v>0221 09:59:00-EFL-5-400-1-SW-UKN</v>
      </c>
    </row>
    <row r="3417" spans="1:48" s="10" customFormat="1" x14ac:dyDescent="0.55000000000000004">
      <c r="A3417" s="32">
        <v>44978</v>
      </c>
      <c r="B3417" s="33">
        <v>0.41805555555555557</v>
      </c>
      <c r="C3417" s="10" t="s">
        <v>287</v>
      </c>
      <c r="D3417" s="10">
        <v>10</v>
      </c>
      <c r="E3417" s="10">
        <v>490</v>
      </c>
      <c r="F3417" s="10">
        <v>1</v>
      </c>
      <c r="G3417" s="10" t="s">
        <v>231</v>
      </c>
      <c r="H3417" s="10" t="s">
        <v>322</v>
      </c>
      <c r="I3417" s="10" t="s">
        <v>75</v>
      </c>
      <c r="J3417" s="10">
        <v>27</v>
      </c>
      <c r="K3417" s="12">
        <v>44980</v>
      </c>
      <c r="L3417" s="33">
        <v>0.51590277777777771</v>
      </c>
      <c r="M3417" s="10">
        <v>1</v>
      </c>
      <c r="N3417" s="10" t="s">
        <v>76</v>
      </c>
      <c r="O3417" s="10">
        <v>0.86</v>
      </c>
      <c r="P3417" s="10">
        <v>6.4799999999999996E-2</v>
      </c>
      <c r="Q3417" s="10">
        <v>54</v>
      </c>
      <c r="R3417" s="10" t="s">
        <v>77</v>
      </c>
      <c r="S3417" s="34">
        <f t="shared" si="388"/>
        <v>54</v>
      </c>
      <c r="T3417" s="10" t="s">
        <v>1260</v>
      </c>
      <c r="U3417" s="34" t="str">
        <f t="shared" si="389"/>
        <v/>
      </c>
      <c r="V3417" s="31" t="str">
        <f>IF(H3417="CHK",VLOOKUP(I3417,QCCHK,3,),IF(H3417="GUP",VLOOKUP(E3417,QCGUP,2,),IF(AND(H3417="ATP",OR(I3417="TN",I3417="TDN",I3417="TNO2-3",I3417="NO2-3")),VLOOKUP(E3417,QCREC_N,2,),IF(AND(H3417="NIC",OR(I3417="TN",I3417="TDN",I3417="TNO2-3",I3417="NO2-3")),VLOOKUP(E3417,QCNIC_N,2,),IF(AND(H3417="UREA",OR(I3417="TN",I3417="TDN",I3417="TNO2-3",I3417="NO2-3")),VLOOKUP(E3417,QCUREA_N,2,),IF(H3417="PER",VLOOKUP(I3417,QCPER,MATCH(E3417,QCACTUAL!$J$25:$AA$25,0),),IF(H3417="SPK",VLOOKUP(I3417,QCSPK,3,),IF(AND(H3417="ATP",OR(I3417="TP",I3417="TDP")),VLOOKUP(E3417,QCATP_P,2,),""))))))))</f>
        <v/>
      </c>
      <c r="W3417" s="31" t="str">
        <f t="shared" si="390"/>
        <v>TRUE</v>
      </c>
      <c r="X3417" s="31" t="str">
        <f t="shared" si="387"/>
        <v/>
      </c>
      <c r="Y3417" s="10" t="s">
        <v>1253</v>
      </c>
      <c r="AL3417" s="10" t="str">
        <f t="shared" si="385"/>
        <v>FALSE</v>
      </c>
      <c r="AM3417" s="10" t="str">
        <f t="shared" si="385"/>
        <v>FALSE</v>
      </c>
      <c r="AN3417" s="10" t="str">
        <f t="shared" si="385"/>
        <v>FALSE</v>
      </c>
      <c r="AO3417" s="10" t="str">
        <f t="shared" si="386"/>
        <v>FALSE</v>
      </c>
      <c r="AP3417" s="10" t="str">
        <f t="shared" si="386"/>
        <v>FALSE</v>
      </c>
      <c r="AQ3417" s="10" t="b">
        <f>IF(AND(I3417="TP",S3417&lt;=150),VLOOKUP(AF3417,TPCalibEq150!$AZ$2:$BB$55,3,),IF(AND(I3417="TDP",S3417&lt;=150),VLOOKUP(AF3417,TPCalibEq150!$AZ$2:$BB$55,3,)))</f>
        <v>0</v>
      </c>
      <c r="AR3417" s="10" t="b">
        <f>IF(AND(I3417="TP",S3417&lt;=300),VLOOKUP(AF3417,TPCalibEq300!$AZ$2:$BB$55,3,),IF(AND(I3417="TDP",S3417&lt;=300),VLOOKUP(AF3417,TPCalibEq300!$AZ$2:$BB$55,3,)))</f>
        <v>0</v>
      </c>
      <c r="AS3417" s="10" t="b">
        <f>IF(AND(I3417="TP",S3417&lt;=500),VLOOKUP(AF3417,TPCalibEq500!$AZ$2:$BB$56,3,),IF(AND(I3417="TDP",S3417&lt;=500),VLOOKUP(AF3417,TPCalibEq500!$AZ$2:$BB$56,3,)))</f>
        <v>0</v>
      </c>
      <c r="AT3417" s="10" t="b">
        <f>IF(AND(I3417="TN",S3417&lt;=2800),VLOOKUP(AF3417,TNCalibEq2500!$AZ$2:$BB$56,3,),IF(AND(I3417="TDN",S3417&lt;=2800),VLOOKUP(AF3417,TNCalibEq2500!$AZ$2:$BB$56,3,)))</f>
        <v>0</v>
      </c>
      <c r="AU3417" s="10" t="b">
        <f>IF(I3417="TP",VLOOKUP(AF3417,TPCalibEqFull!$AZ$2:$BB$56,3),IF(I3417="TDP",VLOOKUP(AF3417,TPCalibEqFull!$AZ$2:$BB$56,3),IF(I3417="TDN",VLOOKUP(AF3417,TNCalibEqFull!$AZ$1:$BB$56,3),IF(I3417="TN",VLOOKUP(AF3417,TNCalibEqFull!$AZ$1:$BB$56,3),FALSE))))</f>
        <v>0</v>
      </c>
      <c r="AV3417" s="10" t="str">
        <f t="shared" si="391"/>
        <v>0221 10:02:00-EFL-10-490-1-SW-UKN</v>
      </c>
    </row>
    <row r="3418" spans="1:48" s="10" customFormat="1" x14ac:dyDescent="0.55000000000000004">
      <c r="A3418" s="32">
        <v>44978</v>
      </c>
      <c r="B3418" s="33">
        <v>0.42083333333333334</v>
      </c>
      <c r="C3418" s="10" t="s">
        <v>287</v>
      </c>
      <c r="D3418" s="10">
        <v>20</v>
      </c>
      <c r="E3418" s="10">
        <v>280</v>
      </c>
      <c r="F3418" s="10">
        <v>1</v>
      </c>
      <c r="G3418" s="10" t="s">
        <v>231</v>
      </c>
      <c r="H3418" s="10" t="s">
        <v>322</v>
      </c>
      <c r="I3418" s="10" t="s">
        <v>75</v>
      </c>
      <c r="J3418" s="10">
        <v>28</v>
      </c>
      <c r="K3418" s="12">
        <v>44980</v>
      </c>
      <c r="L3418" s="33">
        <v>0.51671296296296299</v>
      </c>
      <c r="M3418" s="10">
        <v>1</v>
      </c>
      <c r="N3418" s="10" t="s">
        <v>76</v>
      </c>
      <c r="O3418" s="10">
        <v>0.89500000000000002</v>
      </c>
      <c r="P3418" s="10">
        <v>6.7599999999999993E-2</v>
      </c>
      <c r="Q3418" s="10">
        <v>56.2</v>
      </c>
      <c r="R3418" s="10" t="s">
        <v>77</v>
      </c>
      <c r="S3418" s="34">
        <f t="shared" si="388"/>
        <v>56.2</v>
      </c>
      <c r="T3418" s="10" t="s">
        <v>1260</v>
      </c>
      <c r="U3418" s="34" t="str">
        <f t="shared" si="389"/>
        <v/>
      </c>
      <c r="V3418" s="31" t="str">
        <f>IF(H3418="CHK",VLOOKUP(I3418,QCCHK,3,),IF(H3418="GUP",VLOOKUP(E3418,QCGUP,2,),IF(AND(H3418="ATP",OR(I3418="TN",I3418="TDN",I3418="TNO2-3",I3418="NO2-3")),VLOOKUP(E3418,QCREC_N,2,),IF(AND(H3418="NIC",OR(I3418="TN",I3418="TDN",I3418="TNO2-3",I3418="NO2-3")),VLOOKUP(E3418,QCNIC_N,2,),IF(AND(H3418="UREA",OR(I3418="TN",I3418="TDN",I3418="TNO2-3",I3418="NO2-3")),VLOOKUP(E3418,QCUREA_N,2,),IF(H3418="PER",VLOOKUP(I3418,QCPER,MATCH(E3418,QCACTUAL!$J$25:$AA$25,0),),IF(H3418="SPK",VLOOKUP(I3418,QCSPK,3,),IF(AND(H3418="ATP",OR(I3418="TP",I3418="TDP")),VLOOKUP(E3418,QCATP_P,2,),""))))))))</f>
        <v/>
      </c>
      <c r="W3418" s="31" t="str">
        <f t="shared" si="390"/>
        <v>TRUE</v>
      </c>
      <c r="X3418" s="31" t="str">
        <f t="shared" si="387"/>
        <v/>
      </c>
      <c r="Y3418" s="10" t="s">
        <v>1253</v>
      </c>
      <c r="AL3418" s="10" t="str">
        <f t="shared" si="385"/>
        <v>FALSE</v>
      </c>
      <c r="AM3418" s="10" t="str">
        <f t="shared" si="385"/>
        <v>FALSE</v>
      </c>
      <c r="AN3418" s="10" t="str">
        <f t="shared" si="385"/>
        <v>FALSE</v>
      </c>
      <c r="AO3418" s="10" t="str">
        <f t="shared" si="386"/>
        <v>FALSE</v>
      </c>
      <c r="AP3418" s="10" t="str">
        <f t="shared" si="386"/>
        <v>FALSE</v>
      </c>
      <c r="AQ3418" s="10" t="b">
        <f>IF(AND(I3418="TP",S3418&lt;=150),VLOOKUP(AF3418,TPCalibEq150!$AZ$2:$BB$55,3,),IF(AND(I3418="TDP",S3418&lt;=150),VLOOKUP(AF3418,TPCalibEq150!$AZ$2:$BB$55,3,)))</f>
        <v>0</v>
      </c>
      <c r="AR3418" s="10" t="b">
        <f>IF(AND(I3418="TP",S3418&lt;=300),VLOOKUP(AF3418,TPCalibEq300!$AZ$2:$BB$55,3,),IF(AND(I3418="TDP",S3418&lt;=300),VLOOKUP(AF3418,TPCalibEq300!$AZ$2:$BB$55,3,)))</f>
        <v>0</v>
      </c>
      <c r="AS3418" s="10" t="b">
        <f>IF(AND(I3418="TP",S3418&lt;=500),VLOOKUP(AF3418,TPCalibEq500!$AZ$2:$BB$56,3,),IF(AND(I3418="TDP",S3418&lt;=500),VLOOKUP(AF3418,TPCalibEq500!$AZ$2:$BB$56,3,)))</f>
        <v>0</v>
      </c>
      <c r="AT3418" s="10" t="b">
        <f>IF(AND(I3418="TN",S3418&lt;=2800),VLOOKUP(AF3418,TNCalibEq2500!$AZ$2:$BB$56,3,),IF(AND(I3418="TDN",S3418&lt;=2800),VLOOKUP(AF3418,TNCalibEq2500!$AZ$2:$BB$56,3,)))</f>
        <v>0</v>
      </c>
      <c r="AU3418" s="10" t="b">
        <f>IF(I3418="TP",VLOOKUP(AF3418,TPCalibEqFull!$AZ$2:$BB$56,3),IF(I3418="TDP",VLOOKUP(AF3418,TPCalibEqFull!$AZ$2:$BB$56,3),IF(I3418="TDN",VLOOKUP(AF3418,TNCalibEqFull!$AZ$1:$BB$56,3),IF(I3418="TN",VLOOKUP(AF3418,TNCalibEqFull!$AZ$1:$BB$56,3),FALSE))))</f>
        <v>0</v>
      </c>
      <c r="AV3418" s="10" t="str">
        <f t="shared" si="391"/>
        <v>0221 10:06:00-EFL-20-280-1-SW-UKN</v>
      </c>
    </row>
    <row r="3419" spans="1:48" s="10" customFormat="1" x14ac:dyDescent="0.55000000000000004">
      <c r="A3419" s="32">
        <v>44978</v>
      </c>
      <c r="B3419" s="33">
        <v>0.42083333333333334</v>
      </c>
      <c r="C3419" s="10" t="s">
        <v>287</v>
      </c>
      <c r="D3419" s="10">
        <v>20</v>
      </c>
      <c r="E3419" s="10">
        <v>270</v>
      </c>
      <c r="F3419" s="10">
        <v>2</v>
      </c>
      <c r="G3419" s="10" t="s">
        <v>231</v>
      </c>
      <c r="H3419" s="10" t="s">
        <v>322</v>
      </c>
      <c r="I3419" s="10" t="s">
        <v>75</v>
      </c>
      <c r="J3419" s="10">
        <v>29</v>
      </c>
      <c r="K3419" s="12">
        <v>44980</v>
      </c>
      <c r="L3419" s="33">
        <v>0.517511574074074</v>
      </c>
      <c r="M3419" s="10">
        <v>1</v>
      </c>
      <c r="N3419" s="10" t="s">
        <v>76</v>
      </c>
      <c r="O3419" s="10">
        <v>0.93899999999999995</v>
      </c>
      <c r="P3419" s="10">
        <v>7.0099999999999996E-2</v>
      </c>
      <c r="Q3419" s="10">
        <v>59</v>
      </c>
      <c r="R3419" s="10" t="s">
        <v>77</v>
      </c>
      <c r="S3419" s="34">
        <f t="shared" si="388"/>
        <v>59</v>
      </c>
      <c r="T3419" s="10" t="s">
        <v>1260</v>
      </c>
      <c r="U3419" s="34" t="str">
        <f t="shared" si="389"/>
        <v/>
      </c>
      <c r="V3419" s="31" t="str">
        <f>IF(H3419="CHK",VLOOKUP(I3419,QCCHK,3,),IF(H3419="GUP",VLOOKUP(E3419,QCGUP,2,),IF(AND(H3419="ATP",OR(I3419="TN",I3419="TDN",I3419="TNO2-3",I3419="NO2-3")),VLOOKUP(E3419,QCREC_N,2,),IF(AND(H3419="NIC",OR(I3419="TN",I3419="TDN",I3419="TNO2-3",I3419="NO2-3")),VLOOKUP(E3419,QCNIC_N,2,),IF(AND(H3419="UREA",OR(I3419="TN",I3419="TDN",I3419="TNO2-3",I3419="NO2-3")),VLOOKUP(E3419,QCUREA_N,2,),IF(H3419="PER",VLOOKUP(I3419,QCPER,MATCH(E3419,QCACTUAL!$J$25:$AA$25,0),),IF(H3419="SPK",VLOOKUP(I3419,QCSPK,3,),IF(AND(H3419="ATP",OR(I3419="TP",I3419="TDP")),VLOOKUP(E3419,QCATP_P,2,),""))))))))</f>
        <v/>
      </c>
      <c r="W3419" s="31" t="str">
        <f t="shared" si="390"/>
        <v>TRUE</v>
      </c>
      <c r="X3419" s="31" t="str">
        <f t="shared" si="387"/>
        <v/>
      </c>
      <c r="Y3419" s="10" t="s">
        <v>1253</v>
      </c>
      <c r="AL3419" s="10" t="str">
        <f t="shared" si="385"/>
        <v>FALSE</v>
      </c>
      <c r="AM3419" s="10" t="str">
        <f t="shared" si="385"/>
        <v>FALSE</v>
      </c>
      <c r="AN3419" s="10" t="str">
        <f t="shared" si="385"/>
        <v>FALSE</v>
      </c>
      <c r="AO3419" s="10" t="str">
        <f t="shared" si="386"/>
        <v>FALSE</v>
      </c>
      <c r="AP3419" s="10" t="str">
        <f t="shared" si="386"/>
        <v>FALSE</v>
      </c>
      <c r="AQ3419" s="10" t="b">
        <f>IF(AND(I3419="TP",S3419&lt;=150),VLOOKUP(AF3419,TPCalibEq150!$AZ$2:$BB$55,3,),IF(AND(I3419="TDP",S3419&lt;=150),VLOOKUP(AF3419,TPCalibEq150!$AZ$2:$BB$55,3,)))</f>
        <v>0</v>
      </c>
      <c r="AR3419" s="10" t="b">
        <f>IF(AND(I3419="TP",S3419&lt;=300),VLOOKUP(AF3419,TPCalibEq300!$AZ$2:$BB$55,3,),IF(AND(I3419="TDP",S3419&lt;=300),VLOOKUP(AF3419,TPCalibEq300!$AZ$2:$BB$55,3,)))</f>
        <v>0</v>
      </c>
      <c r="AS3419" s="10" t="b">
        <f>IF(AND(I3419="TP",S3419&lt;=500),VLOOKUP(AF3419,TPCalibEq500!$AZ$2:$BB$56,3,),IF(AND(I3419="TDP",S3419&lt;=500),VLOOKUP(AF3419,TPCalibEq500!$AZ$2:$BB$56,3,)))</f>
        <v>0</v>
      </c>
      <c r="AT3419" s="10" t="b">
        <f>IF(AND(I3419="TN",S3419&lt;=2800),VLOOKUP(AF3419,TNCalibEq2500!$AZ$2:$BB$56,3,),IF(AND(I3419="TDN",S3419&lt;=2800),VLOOKUP(AF3419,TNCalibEq2500!$AZ$2:$BB$56,3,)))</f>
        <v>0</v>
      </c>
      <c r="AU3419" s="10" t="b">
        <f>IF(I3419="TP",VLOOKUP(AF3419,TPCalibEqFull!$AZ$2:$BB$56,3),IF(I3419="TDP",VLOOKUP(AF3419,TPCalibEqFull!$AZ$2:$BB$56,3),IF(I3419="TDN",VLOOKUP(AF3419,TNCalibEqFull!$AZ$1:$BB$56,3),IF(I3419="TN",VLOOKUP(AF3419,TNCalibEqFull!$AZ$1:$BB$56,3),FALSE))))</f>
        <v>0</v>
      </c>
      <c r="AV3419" s="10" t="str">
        <f t="shared" si="391"/>
        <v>0221 10:06:00-EFL-20-270-2-SW-UKN</v>
      </c>
    </row>
    <row r="3420" spans="1:48" s="10" customFormat="1" x14ac:dyDescent="0.55000000000000004">
      <c r="A3420" s="32">
        <v>44978</v>
      </c>
      <c r="B3420" s="33">
        <v>0.42569444444444443</v>
      </c>
      <c r="C3420" s="10" t="s">
        <v>287</v>
      </c>
      <c r="D3420" s="10">
        <v>45</v>
      </c>
      <c r="E3420" s="10" t="s">
        <v>190</v>
      </c>
      <c r="F3420" s="10">
        <v>1</v>
      </c>
      <c r="G3420" s="10" t="s">
        <v>231</v>
      </c>
      <c r="H3420" s="10" t="s">
        <v>322</v>
      </c>
      <c r="I3420" s="10" t="s">
        <v>75</v>
      </c>
      <c r="J3420" s="10">
        <v>30</v>
      </c>
      <c r="K3420" s="12">
        <v>44980</v>
      </c>
      <c r="L3420" s="33">
        <v>0.51832175925925927</v>
      </c>
      <c r="M3420" s="10">
        <v>1</v>
      </c>
      <c r="N3420" s="10" t="s">
        <v>76</v>
      </c>
      <c r="O3420" s="10">
        <v>0.79600000000000004</v>
      </c>
      <c r="P3420" s="10">
        <v>6.0600000000000001E-2</v>
      </c>
      <c r="Q3420" s="10">
        <v>50</v>
      </c>
      <c r="R3420" s="10" t="s">
        <v>77</v>
      </c>
      <c r="S3420" s="34">
        <f t="shared" si="388"/>
        <v>50</v>
      </c>
      <c r="T3420" s="10" t="s">
        <v>1260</v>
      </c>
      <c r="U3420" s="34" t="str">
        <f t="shared" si="389"/>
        <v/>
      </c>
      <c r="V3420" s="31" t="str">
        <f>IF(H3420="CHK",VLOOKUP(I3420,QCCHK,3,),IF(H3420="GUP",VLOOKUP(E3420,QCGUP,2,),IF(AND(H3420="ATP",OR(I3420="TN",I3420="TDN",I3420="TNO2-3",I3420="NO2-3")),VLOOKUP(E3420,QCREC_N,2,),IF(AND(H3420="NIC",OR(I3420="TN",I3420="TDN",I3420="TNO2-3",I3420="NO2-3")),VLOOKUP(E3420,QCNIC_N,2,),IF(AND(H3420="UREA",OR(I3420="TN",I3420="TDN",I3420="TNO2-3",I3420="NO2-3")),VLOOKUP(E3420,QCUREA_N,2,),IF(H3420="PER",VLOOKUP(I3420,QCPER,MATCH(E3420,QCACTUAL!$J$25:$AA$25,0),),IF(H3420="SPK",VLOOKUP(I3420,QCSPK,3,),IF(AND(H3420="ATP",OR(I3420="TP",I3420="TDP")),VLOOKUP(E3420,QCATP_P,2,),""))))))))</f>
        <v/>
      </c>
      <c r="W3420" s="31" t="str">
        <f t="shared" si="390"/>
        <v>TRUE</v>
      </c>
      <c r="X3420" s="31" t="str">
        <f t="shared" si="387"/>
        <v/>
      </c>
      <c r="Y3420" s="10" t="s">
        <v>1253</v>
      </c>
      <c r="AL3420" s="10" t="str">
        <f t="shared" si="385"/>
        <v>FALSE</v>
      </c>
      <c r="AM3420" s="10" t="str">
        <f t="shared" si="385"/>
        <v>FALSE</v>
      </c>
      <c r="AN3420" s="10" t="str">
        <f t="shared" si="385"/>
        <v>FALSE</v>
      </c>
      <c r="AO3420" s="10" t="str">
        <f t="shared" si="386"/>
        <v>FALSE</v>
      </c>
      <c r="AP3420" s="10" t="str">
        <f t="shared" si="386"/>
        <v>FALSE</v>
      </c>
      <c r="AQ3420" s="10" t="b">
        <f>IF(AND(I3420="TP",S3420&lt;=150),VLOOKUP(AF3420,TPCalibEq150!$AZ$2:$BB$55,3,),IF(AND(I3420="TDP",S3420&lt;=150),VLOOKUP(AF3420,TPCalibEq150!$AZ$2:$BB$55,3,)))</f>
        <v>0</v>
      </c>
      <c r="AR3420" s="10" t="b">
        <f>IF(AND(I3420="TP",S3420&lt;=300),VLOOKUP(AF3420,TPCalibEq300!$AZ$2:$BB$55,3,),IF(AND(I3420="TDP",S3420&lt;=300),VLOOKUP(AF3420,TPCalibEq300!$AZ$2:$BB$55,3,)))</f>
        <v>0</v>
      </c>
      <c r="AS3420" s="10" t="b">
        <f>IF(AND(I3420="TP",S3420&lt;=500),VLOOKUP(AF3420,TPCalibEq500!$AZ$2:$BB$56,3,),IF(AND(I3420="TDP",S3420&lt;=500),VLOOKUP(AF3420,TPCalibEq500!$AZ$2:$BB$56,3,)))</f>
        <v>0</v>
      </c>
      <c r="AT3420" s="10" t="b">
        <f>IF(AND(I3420="TN",S3420&lt;=2800),VLOOKUP(AF3420,TNCalibEq2500!$AZ$2:$BB$56,3,),IF(AND(I3420="TDN",S3420&lt;=2800),VLOOKUP(AF3420,TNCalibEq2500!$AZ$2:$BB$56,3,)))</f>
        <v>0</v>
      </c>
      <c r="AU3420" s="10" t="b">
        <f>IF(I3420="TP",VLOOKUP(AF3420,TPCalibEqFull!$AZ$2:$BB$56,3),IF(I3420="TDP",VLOOKUP(AF3420,TPCalibEqFull!$AZ$2:$BB$56,3),IF(I3420="TDN",VLOOKUP(AF3420,TNCalibEqFull!$AZ$1:$BB$56,3),IF(I3420="TN",VLOOKUP(AF3420,TNCalibEqFull!$AZ$1:$BB$56,3),FALSE))))</f>
        <v>0</v>
      </c>
      <c r="AV3420" s="10" t="str">
        <f t="shared" si="391"/>
        <v>0221 10:13:00-EFL-45-C-1-SW-UKN</v>
      </c>
    </row>
    <row r="3421" spans="1:48" s="10" customFormat="1" x14ac:dyDescent="0.55000000000000004">
      <c r="A3421" s="32">
        <v>44978</v>
      </c>
      <c r="B3421" s="33">
        <v>0.42569444444444443</v>
      </c>
      <c r="C3421" s="10" t="s">
        <v>287</v>
      </c>
      <c r="D3421" s="10">
        <v>45</v>
      </c>
      <c r="E3421" s="10" t="s">
        <v>190</v>
      </c>
      <c r="F3421" s="10">
        <v>1</v>
      </c>
      <c r="G3421" s="10" t="s">
        <v>231</v>
      </c>
      <c r="H3421" s="10" t="s">
        <v>233</v>
      </c>
      <c r="I3421" s="10" t="s">
        <v>75</v>
      </c>
      <c r="J3421" s="10">
        <v>30</v>
      </c>
      <c r="K3421" s="12">
        <v>44980</v>
      </c>
      <c r="L3421" s="33">
        <v>0.5191203703703704</v>
      </c>
      <c r="M3421" s="10">
        <v>1</v>
      </c>
      <c r="N3421" s="10" t="s">
        <v>76</v>
      </c>
      <c r="O3421" s="10">
        <v>0.77600000000000002</v>
      </c>
      <c r="P3421" s="10">
        <v>5.9700000000000003E-2</v>
      </c>
      <c r="Q3421" s="10">
        <v>48.7</v>
      </c>
      <c r="R3421" s="10" t="s">
        <v>77</v>
      </c>
      <c r="S3421" s="34">
        <f t="shared" si="388"/>
        <v>48.7</v>
      </c>
      <c r="T3421" s="10" t="s">
        <v>1260</v>
      </c>
      <c r="U3421" s="34">
        <f t="shared" si="389"/>
        <v>2.634245187436671</v>
      </c>
      <c r="V3421" s="31" t="str">
        <f>IF(H3421="CHK",VLOOKUP(I3421,QCCHK,3,),IF(H3421="GUP",VLOOKUP(E3421,QCGUP,2,),IF(AND(H3421="ATP",OR(I3421="TN",I3421="TDN",I3421="TNO2-3",I3421="NO2-3")),VLOOKUP(E3421,QCREC_N,2,),IF(AND(H3421="NIC",OR(I3421="TN",I3421="TDN",I3421="TNO2-3",I3421="NO2-3")),VLOOKUP(E3421,QCNIC_N,2,),IF(AND(H3421="UREA",OR(I3421="TN",I3421="TDN",I3421="TNO2-3",I3421="NO2-3")),VLOOKUP(E3421,QCUREA_N,2,),IF(H3421="PER",VLOOKUP(I3421,QCPER,MATCH(E3421,QCACTUAL!$J$25:$AA$25,0),),IF(H3421="SPK",VLOOKUP(I3421,QCSPK,3,),IF(AND(H3421="ATP",OR(I3421="TP",I3421="TDP")),VLOOKUP(E3421,QCATP_P,2,),""))))))))</f>
        <v/>
      </c>
      <c r="W3421" s="31" t="str">
        <f t="shared" si="390"/>
        <v>TRUE</v>
      </c>
      <c r="X3421" s="31" t="str">
        <f t="shared" si="387"/>
        <v>((ABS(rep1-rep2))/((rep1+rep2)/2)*100</v>
      </c>
      <c r="Y3421" s="10" t="s">
        <v>1253</v>
      </c>
      <c r="AL3421" s="10" t="str">
        <f t="shared" si="385"/>
        <v>FALSE</v>
      </c>
      <c r="AM3421" s="10" t="str">
        <f t="shared" si="385"/>
        <v>FALSE</v>
      </c>
      <c r="AN3421" s="10" t="str">
        <f t="shared" si="385"/>
        <v>FALSE</v>
      </c>
      <c r="AO3421" s="10" t="str">
        <f t="shared" si="386"/>
        <v>FALSE</v>
      </c>
      <c r="AP3421" s="10" t="str">
        <f t="shared" si="386"/>
        <v>FALSE</v>
      </c>
      <c r="AQ3421" s="10" t="b">
        <f>IF(AND(I3421="TP",S3421&lt;=150),VLOOKUP(AF3421,TPCalibEq150!$AZ$2:$BB$55,3,),IF(AND(I3421="TDP",S3421&lt;=150),VLOOKUP(AF3421,TPCalibEq150!$AZ$2:$BB$55,3,)))</f>
        <v>0</v>
      </c>
      <c r="AR3421" s="10" t="b">
        <f>IF(AND(I3421="TP",S3421&lt;=300),VLOOKUP(AF3421,TPCalibEq300!$AZ$2:$BB$55,3,),IF(AND(I3421="TDP",S3421&lt;=300),VLOOKUP(AF3421,TPCalibEq300!$AZ$2:$BB$55,3,)))</f>
        <v>0</v>
      </c>
      <c r="AS3421" s="10" t="b">
        <f>IF(AND(I3421="TP",S3421&lt;=500),VLOOKUP(AF3421,TPCalibEq500!$AZ$2:$BB$56,3,),IF(AND(I3421="TDP",S3421&lt;=500),VLOOKUP(AF3421,TPCalibEq500!$AZ$2:$BB$56,3,)))</f>
        <v>0</v>
      </c>
      <c r="AT3421" s="10" t="b">
        <f>IF(AND(I3421="TN",S3421&lt;=2800),VLOOKUP(AF3421,TNCalibEq2500!$AZ$2:$BB$56,3,),IF(AND(I3421="TDN",S3421&lt;=2800),VLOOKUP(AF3421,TNCalibEq2500!$AZ$2:$BB$56,3,)))</f>
        <v>0</v>
      </c>
      <c r="AU3421" s="10" t="b">
        <f>IF(I3421="TP",VLOOKUP(AF3421,TPCalibEqFull!$AZ$2:$BB$56,3),IF(I3421="TDP",VLOOKUP(AF3421,TPCalibEqFull!$AZ$2:$BB$56,3),IF(I3421="TDN",VLOOKUP(AF3421,TNCalibEqFull!$AZ$1:$BB$56,3),IF(I3421="TN",VLOOKUP(AF3421,TNCalibEqFull!$AZ$1:$BB$56,3),FALSE))))</f>
        <v>0</v>
      </c>
      <c r="AV3421" s="10" t="str">
        <f t="shared" si="391"/>
        <v>0221 10:13:00-EFL-45-C-1-SW-DUP</v>
      </c>
    </row>
    <row r="3422" spans="1:48" s="10" customFormat="1" x14ac:dyDescent="0.55000000000000004">
      <c r="A3422" s="32">
        <v>44978</v>
      </c>
      <c r="B3422" s="33">
        <v>0.42569444444444443</v>
      </c>
      <c r="C3422" s="10" t="s">
        <v>287</v>
      </c>
      <c r="D3422" s="10">
        <v>45</v>
      </c>
      <c r="E3422" s="10" t="s">
        <v>190</v>
      </c>
      <c r="F3422" s="10">
        <v>1</v>
      </c>
      <c r="G3422" s="10" t="s">
        <v>231</v>
      </c>
      <c r="H3422" s="10" t="s">
        <v>314</v>
      </c>
      <c r="I3422" s="10" t="s">
        <v>75</v>
      </c>
      <c r="J3422" s="10">
        <v>84</v>
      </c>
      <c r="K3422" s="12">
        <v>44980</v>
      </c>
      <c r="L3422" s="33">
        <v>0.5199421296296296</v>
      </c>
      <c r="M3422" s="10">
        <v>1</v>
      </c>
      <c r="N3422" s="10" t="s">
        <v>76</v>
      </c>
      <c r="O3422" s="10">
        <v>11.2</v>
      </c>
      <c r="P3422" s="10">
        <v>0.89500000000000002</v>
      </c>
      <c r="Q3422" s="10">
        <v>697</v>
      </c>
      <c r="R3422" s="10" t="s">
        <v>77</v>
      </c>
      <c r="S3422" s="34">
        <f t="shared" si="388"/>
        <v>697</v>
      </c>
      <c r="T3422" s="10" t="s">
        <v>1260</v>
      </c>
      <c r="U3422" s="34">
        <f t="shared" si="389"/>
        <v>103.72799999999999</v>
      </c>
      <c r="V3422" s="31">
        <f>IF(H3422="CHK",VLOOKUP(I3422,QCCHK,3,),IF(H3422="GUP",VLOOKUP(E3422,QCGUP,2,),IF(AND(H3422="ATP",OR(I3422="TN",I3422="TDN",I3422="TNO2-3",I3422="NO2-3")),VLOOKUP(E3422,QCREC_N,2,),IF(AND(H3422="NIC",OR(I3422="TN",I3422="TDN",I3422="TNO2-3",I3422="NO2-3")),VLOOKUP(E3422,QCNIC_N,2,),IF(AND(H3422="UREA",OR(I3422="TN",I3422="TDN",I3422="TNO2-3",I3422="NO2-3")),VLOOKUP(E3422,QCUREA_N,2,),IF(H3422="PER",VLOOKUP(I3422,QCPER,MATCH(E3422,QCACTUAL!$J$25:$AA$25,0),),IF(H3422="SPK",VLOOKUP(I3422,QCSPK,3,),IF(AND(H3422="ATP",OR(I3422="TP",I3422="TDP")),VLOOKUP(E3422,QCATP_P,2,),""))))))))</f>
        <v>625</v>
      </c>
      <c r="W3422" s="31" t="str">
        <f t="shared" si="390"/>
        <v>TRUE</v>
      </c>
      <c r="X3422" s="31" t="str">
        <f t="shared" si="387"/>
        <v>([spikedunkn]-[unkn])/[spike]*100</v>
      </c>
      <c r="Y3422" s="10" t="s">
        <v>1253</v>
      </c>
      <c r="AL3422" s="10" t="str">
        <f t="shared" si="385"/>
        <v>FALSE</v>
      </c>
      <c r="AM3422" s="10" t="str">
        <f t="shared" si="385"/>
        <v>FALSE</v>
      </c>
      <c r="AN3422" s="10" t="str">
        <f t="shared" si="385"/>
        <v>FALSE</v>
      </c>
      <c r="AO3422" s="10" t="str">
        <f t="shared" si="386"/>
        <v>FALSE</v>
      </c>
      <c r="AP3422" s="10" t="str">
        <f t="shared" si="386"/>
        <v>FALSE</v>
      </c>
      <c r="AQ3422" s="10" t="b">
        <f>IF(AND(I3422="TP",S3422&lt;=150),VLOOKUP(AF3422,TPCalibEq150!$AZ$2:$BB$55,3,),IF(AND(I3422="TDP",S3422&lt;=150),VLOOKUP(AF3422,TPCalibEq150!$AZ$2:$BB$55,3,)))</f>
        <v>0</v>
      </c>
      <c r="AR3422" s="10" t="b">
        <f>IF(AND(I3422="TP",S3422&lt;=300),VLOOKUP(AF3422,TPCalibEq300!$AZ$2:$BB$55,3,),IF(AND(I3422="TDP",S3422&lt;=300),VLOOKUP(AF3422,TPCalibEq300!$AZ$2:$BB$55,3,)))</f>
        <v>0</v>
      </c>
      <c r="AS3422" s="10" t="b">
        <f>IF(AND(I3422="TP",S3422&lt;=500),VLOOKUP(AF3422,TPCalibEq500!$AZ$2:$BB$56,3,),IF(AND(I3422="TDP",S3422&lt;=500),VLOOKUP(AF3422,TPCalibEq500!$AZ$2:$BB$56,3,)))</f>
        <v>0</v>
      </c>
      <c r="AT3422" s="10" t="b">
        <f>IF(AND(I3422="TN",S3422&lt;=2800),VLOOKUP(AF3422,TNCalibEq2500!$AZ$2:$BB$56,3,),IF(AND(I3422="TDN",S3422&lt;=2800),VLOOKUP(AF3422,TNCalibEq2500!$AZ$2:$BB$56,3,)))</f>
        <v>0</v>
      </c>
      <c r="AU3422" s="10" t="b">
        <f>IF(I3422="TP",VLOOKUP(AF3422,TPCalibEqFull!$AZ$2:$BB$56,3),IF(I3422="TDP",VLOOKUP(AF3422,TPCalibEqFull!$AZ$2:$BB$56,3),IF(I3422="TDN",VLOOKUP(AF3422,TNCalibEqFull!$AZ$1:$BB$56,3),IF(I3422="TN",VLOOKUP(AF3422,TNCalibEqFull!$AZ$1:$BB$56,3),FALSE))))</f>
        <v>0</v>
      </c>
      <c r="AV3422" s="10" t="str">
        <f t="shared" si="391"/>
        <v>0221 10:13:00-EFL-45-C-1-SW-SPK</v>
      </c>
    </row>
    <row r="3423" spans="1:48" s="10" customFormat="1" x14ac:dyDescent="0.55000000000000004">
      <c r="A3423" s="32">
        <v>44979</v>
      </c>
      <c r="B3423" s="33">
        <v>0.375</v>
      </c>
      <c r="C3423" s="10" t="s">
        <v>70</v>
      </c>
      <c r="D3423" s="10" t="s">
        <v>71</v>
      </c>
      <c r="E3423" s="10" t="s">
        <v>901</v>
      </c>
      <c r="F3423" s="10">
        <v>1</v>
      </c>
      <c r="G3423" s="10" t="s">
        <v>73</v>
      </c>
      <c r="H3423" s="10" t="s">
        <v>207</v>
      </c>
      <c r="I3423" s="10" t="s">
        <v>75</v>
      </c>
      <c r="J3423" s="10">
        <v>200</v>
      </c>
      <c r="K3423" s="12">
        <v>44980</v>
      </c>
      <c r="L3423" s="33">
        <v>0.52076388888888892</v>
      </c>
      <c r="M3423" s="10">
        <v>1</v>
      </c>
      <c r="N3423" s="10" t="s">
        <v>76</v>
      </c>
      <c r="O3423" s="10">
        <v>4.71</v>
      </c>
      <c r="P3423" s="10">
        <v>0.377</v>
      </c>
      <c r="Q3423" s="10">
        <v>294</v>
      </c>
      <c r="R3423" s="10" t="s">
        <v>77</v>
      </c>
      <c r="S3423" s="34">
        <f t="shared" si="388"/>
        <v>294</v>
      </c>
      <c r="T3423" s="10" t="s">
        <v>1260</v>
      </c>
      <c r="U3423" s="34">
        <f t="shared" si="389"/>
        <v>98</v>
      </c>
      <c r="V3423" s="31">
        <f>IF(H3423="CHK",VLOOKUP(I3423,QCCHK,3,),IF(H3423="GUP",VLOOKUP(E3423,QCGUP,2,),IF(AND(H3423="ATP",OR(I3423="TN",I3423="TDN",I3423="TNO2-3",I3423="NO2-3")),VLOOKUP(E3423,QCREC_N,2,),IF(AND(H3423="NIC",OR(I3423="TN",I3423="TDN",I3423="TNO2-3",I3423="NO2-3")),VLOOKUP(E3423,QCNIC_N,2,),IF(AND(H3423="UREA",OR(I3423="TN",I3423="TDN",I3423="TNO2-3",I3423="NO2-3")),VLOOKUP(E3423,QCUREA_N,2,),IF(H3423="PER",VLOOKUP(I3423,QCPER,MATCH(E3423,QCACTUAL!$J$25:$AA$25,0),),IF(H3423="SPK",VLOOKUP(I3423,QCSPK,3,),IF(AND(H3423="ATP",OR(I3423="TP",I3423="TDP")),VLOOKUP(E3423,QCATP_P,2,),""))))))))</f>
        <v>300</v>
      </c>
      <c r="W3423" s="31" t="str">
        <f t="shared" si="390"/>
        <v>TRUE</v>
      </c>
      <c r="X3423" s="31" t="str">
        <f t="shared" si="387"/>
        <v>[chk]/[actual]*100</v>
      </c>
      <c r="Y3423" s="10" t="s">
        <v>1253</v>
      </c>
      <c r="AL3423" s="10" t="str">
        <f t="shared" si="385"/>
        <v>FALSE</v>
      </c>
      <c r="AM3423" s="10" t="str">
        <f t="shared" si="385"/>
        <v>FALSE</v>
      </c>
      <c r="AN3423" s="10" t="str">
        <f t="shared" si="385"/>
        <v>FALSE</v>
      </c>
      <c r="AO3423" s="10" t="str">
        <f t="shared" si="386"/>
        <v>FALSE</v>
      </c>
      <c r="AP3423" s="10" t="str">
        <f t="shared" si="386"/>
        <v>FALSE</v>
      </c>
      <c r="AQ3423" s="10" t="b">
        <f>IF(AND(I3423="TP",S3423&lt;=150),VLOOKUP(AF3423,TPCalibEq150!$AZ$2:$BB$55,3,),IF(AND(I3423="TDP",S3423&lt;=150),VLOOKUP(AF3423,TPCalibEq150!$AZ$2:$BB$55,3,)))</f>
        <v>0</v>
      </c>
      <c r="AR3423" s="10" t="b">
        <f>IF(AND(I3423="TP",S3423&lt;=300),VLOOKUP(AF3423,TPCalibEq300!$AZ$2:$BB$55,3,),IF(AND(I3423="TDP",S3423&lt;=300),VLOOKUP(AF3423,TPCalibEq300!$AZ$2:$BB$55,3,)))</f>
        <v>0</v>
      </c>
      <c r="AS3423" s="10" t="b">
        <f>IF(AND(I3423="TP",S3423&lt;=500),VLOOKUP(AF3423,TPCalibEq500!$AZ$2:$BB$56,3,),IF(AND(I3423="TDP",S3423&lt;=500),VLOOKUP(AF3423,TPCalibEq500!$AZ$2:$BB$56,3,)))</f>
        <v>0</v>
      </c>
      <c r="AT3423" s="10" t="b">
        <f>IF(AND(I3423="TN",S3423&lt;=2800),VLOOKUP(AF3423,TNCalibEq2500!$AZ$2:$BB$56,3,),IF(AND(I3423="TDN",S3423&lt;=2800),VLOOKUP(AF3423,TNCalibEq2500!$AZ$2:$BB$56,3,)))</f>
        <v>0</v>
      </c>
      <c r="AU3423" s="10" t="b">
        <f>IF(I3423="TP",VLOOKUP(AF3423,TPCalibEqFull!$AZ$2:$BB$56,3),IF(I3423="TDP",VLOOKUP(AF3423,TPCalibEqFull!$AZ$2:$BB$56,3),IF(I3423="TDN",VLOOKUP(AF3423,TNCalibEqFull!$AZ$1:$BB$56,3),IF(I3423="TN",VLOOKUP(AF3423,TNCalibEqFull!$AZ$1:$BB$56,3),FALSE))))</f>
        <v>0</v>
      </c>
      <c r="AV3423" s="10" t="str">
        <f t="shared" si="391"/>
        <v>0222 09:00:00-QAC-STD-D-1-DI-CHK</v>
      </c>
    </row>
    <row r="3424" spans="1:48" s="10" customFormat="1" x14ac:dyDescent="0.55000000000000004">
      <c r="A3424" s="32">
        <v>44978</v>
      </c>
      <c r="B3424" s="33">
        <v>0.38958333333333334</v>
      </c>
      <c r="C3424" s="10" t="s">
        <v>428</v>
      </c>
      <c r="D3424" s="10">
        <v>0</v>
      </c>
      <c r="E3424" s="10">
        <v>480</v>
      </c>
      <c r="F3424" s="10">
        <v>1</v>
      </c>
      <c r="G3424" s="10" t="s">
        <v>231</v>
      </c>
      <c r="H3424" s="10" t="s">
        <v>322</v>
      </c>
      <c r="I3424" s="10" t="s">
        <v>75</v>
      </c>
      <c r="J3424" s="10">
        <v>31</v>
      </c>
      <c r="K3424" s="12">
        <v>44980</v>
      </c>
      <c r="L3424" s="33">
        <v>0.52158564814814812</v>
      </c>
      <c r="M3424" s="10">
        <v>1</v>
      </c>
      <c r="N3424" s="10" t="s">
        <v>76</v>
      </c>
      <c r="O3424" s="10">
        <v>0.755</v>
      </c>
      <c r="P3424" s="10">
        <v>5.7599999999999998E-2</v>
      </c>
      <c r="Q3424" s="10">
        <v>47.4</v>
      </c>
      <c r="R3424" s="10" t="s">
        <v>77</v>
      </c>
      <c r="S3424" s="34">
        <f t="shared" si="388"/>
        <v>47.4</v>
      </c>
      <c r="T3424" s="10" t="s">
        <v>1260</v>
      </c>
      <c r="U3424" s="34" t="str">
        <f t="shared" si="389"/>
        <v/>
      </c>
      <c r="V3424" s="31" t="str">
        <f>IF(H3424="CHK",VLOOKUP(I3424,QCCHK,3,),IF(H3424="GUP",VLOOKUP(E3424,QCGUP,2,),IF(AND(H3424="ATP",OR(I3424="TN",I3424="TDN",I3424="TNO2-3",I3424="NO2-3")),VLOOKUP(E3424,QCREC_N,2,),IF(AND(H3424="NIC",OR(I3424="TN",I3424="TDN",I3424="TNO2-3",I3424="NO2-3")),VLOOKUP(E3424,QCNIC_N,2,),IF(AND(H3424="UREA",OR(I3424="TN",I3424="TDN",I3424="TNO2-3",I3424="NO2-3")),VLOOKUP(E3424,QCUREA_N,2,),IF(H3424="PER",VLOOKUP(I3424,QCPER,MATCH(E3424,QCACTUAL!$J$25:$AA$25,0),),IF(H3424="SPK",VLOOKUP(I3424,QCSPK,3,),IF(AND(H3424="ATP",OR(I3424="TP",I3424="TDP")),VLOOKUP(E3424,QCATP_P,2,),""))))))))</f>
        <v/>
      </c>
      <c r="W3424" s="31" t="str">
        <f t="shared" si="390"/>
        <v>TRUE</v>
      </c>
      <c r="X3424" s="31" t="str">
        <f t="shared" si="387"/>
        <v/>
      </c>
      <c r="Y3424" s="10" t="s">
        <v>1253</v>
      </c>
      <c r="AL3424" s="10" t="str">
        <f t="shared" si="385"/>
        <v>FALSE</v>
      </c>
      <c r="AM3424" s="10" t="str">
        <f t="shared" si="385"/>
        <v>FALSE</v>
      </c>
      <c r="AN3424" s="10" t="str">
        <f t="shared" si="385"/>
        <v>FALSE</v>
      </c>
      <c r="AO3424" s="10" t="str">
        <f t="shared" si="386"/>
        <v>FALSE</v>
      </c>
      <c r="AP3424" s="10" t="str">
        <f t="shared" si="386"/>
        <v>FALSE</v>
      </c>
      <c r="AQ3424" s="10" t="b">
        <f>IF(AND(I3424="TP",S3424&lt;=150),VLOOKUP(AF3424,TPCalibEq150!$AZ$2:$BB$55,3,),IF(AND(I3424="TDP",S3424&lt;=150),VLOOKUP(AF3424,TPCalibEq150!$AZ$2:$BB$55,3,)))</f>
        <v>0</v>
      </c>
      <c r="AR3424" s="10" t="b">
        <f>IF(AND(I3424="TP",S3424&lt;=300),VLOOKUP(AF3424,TPCalibEq300!$AZ$2:$BB$55,3,),IF(AND(I3424="TDP",S3424&lt;=300),VLOOKUP(AF3424,TPCalibEq300!$AZ$2:$BB$55,3,)))</f>
        <v>0</v>
      </c>
      <c r="AS3424" s="10" t="b">
        <f>IF(AND(I3424="TP",S3424&lt;=500),VLOOKUP(AF3424,TPCalibEq500!$AZ$2:$BB$56,3,),IF(AND(I3424="TDP",S3424&lt;=500),VLOOKUP(AF3424,TPCalibEq500!$AZ$2:$BB$56,3,)))</f>
        <v>0</v>
      </c>
      <c r="AT3424" s="10" t="b">
        <f>IF(AND(I3424="TN",S3424&lt;=2800),VLOOKUP(AF3424,TNCalibEq2500!$AZ$2:$BB$56,3,),IF(AND(I3424="TDN",S3424&lt;=2800),VLOOKUP(AF3424,TNCalibEq2500!$AZ$2:$BB$56,3,)))</f>
        <v>0</v>
      </c>
      <c r="AU3424" s="10" t="b">
        <f>IF(I3424="TP",VLOOKUP(AF3424,TPCalibEqFull!$AZ$2:$BB$56,3),IF(I3424="TDP",VLOOKUP(AF3424,TPCalibEqFull!$AZ$2:$BB$56,3),IF(I3424="TDN",VLOOKUP(AF3424,TNCalibEqFull!$AZ$1:$BB$56,3),IF(I3424="TN",VLOOKUP(AF3424,TNCalibEqFull!$AZ$1:$BB$56,3),FALSE))))</f>
        <v>0</v>
      </c>
      <c r="AV3424" s="10" t="str">
        <f t="shared" si="391"/>
        <v>0221 09:21:00-EOF-0-480-1-SW-UKN</v>
      </c>
    </row>
    <row r="3425" spans="1:48" s="10" customFormat="1" x14ac:dyDescent="0.55000000000000004">
      <c r="A3425" s="32">
        <v>44978</v>
      </c>
      <c r="B3425" s="33">
        <v>0.39166666666666666</v>
      </c>
      <c r="C3425" s="10" t="s">
        <v>428</v>
      </c>
      <c r="D3425" s="10">
        <v>5</v>
      </c>
      <c r="E3425" s="10">
        <v>480</v>
      </c>
      <c r="F3425" s="10">
        <v>1</v>
      </c>
      <c r="G3425" s="10" t="s">
        <v>231</v>
      </c>
      <c r="H3425" s="10" t="s">
        <v>322</v>
      </c>
      <c r="I3425" s="10" t="s">
        <v>75</v>
      </c>
      <c r="J3425" s="10">
        <v>32</v>
      </c>
      <c r="K3425" s="12">
        <v>44980</v>
      </c>
      <c r="L3425" s="33">
        <v>0.52240740740740743</v>
      </c>
      <c r="M3425" s="10">
        <v>1</v>
      </c>
      <c r="N3425" s="10" t="s">
        <v>76</v>
      </c>
      <c r="O3425" s="10">
        <v>0.63500000000000001</v>
      </c>
      <c r="P3425" s="10">
        <v>4.7E-2</v>
      </c>
      <c r="Q3425" s="10">
        <v>39.9</v>
      </c>
      <c r="R3425" s="10" t="s">
        <v>77</v>
      </c>
      <c r="S3425" s="34">
        <f t="shared" si="388"/>
        <v>39.9</v>
      </c>
      <c r="T3425" s="10" t="s">
        <v>1260</v>
      </c>
      <c r="U3425" s="34" t="str">
        <f t="shared" si="389"/>
        <v/>
      </c>
      <c r="V3425" s="31" t="str">
        <f>IF(H3425="CHK",VLOOKUP(I3425,QCCHK,3,),IF(H3425="GUP",VLOOKUP(E3425,QCGUP,2,),IF(AND(H3425="ATP",OR(I3425="TN",I3425="TDN",I3425="TNO2-3",I3425="NO2-3")),VLOOKUP(E3425,QCREC_N,2,),IF(AND(H3425="NIC",OR(I3425="TN",I3425="TDN",I3425="TNO2-3",I3425="NO2-3")),VLOOKUP(E3425,QCNIC_N,2,),IF(AND(H3425="UREA",OR(I3425="TN",I3425="TDN",I3425="TNO2-3",I3425="NO2-3")),VLOOKUP(E3425,QCUREA_N,2,),IF(H3425="PER",VLOOKUP(I3425,QCPER,MATCH(E3425,QCACTUAL!$J$25:$AA$25,0),),IF(H3425="SPK",VLOOKUP(I3425,QCSPK,3,),IF(AND(H3425="ATP",OR(I3425="TP",I3425="TDP")),VLOOKUP(E3425,QCATP_P,2,),""))))))))</f>
        <v/>
      </c>
      <c r="W3425" s="31" t="str">
        <f t="shared" si="390"/>
        <v>TRUE</v>
      </c>
      <c r="X3425" s="31" t="str">
        <f t="shared" si="387"/>
        <v/>
      </c>
      <c r="Y3425" s="10" t="s">
        <v>1253</v>
      </c>
      <c r="AL3425" s="10" t="str">
        <f t="shared" si="385"/>
        <v>FALSE</v>
      </c>
      <c r="AM3425" s="10" t="str">
        <f t="shared" si="385"/>
        <v>FALSE</v>
      </c>
      <c r="AN3425" s="10" t="str">
        <f t="shared" si="385"/>
        <v>FALSE</v>
      </c>
      <c r="AO3425" s="10" t="str">
        <f t="shared" si="386"/>
        <v>FALSE</v>
      </c>
      <c r="AP3425" s="10" t="str">
        <f t="shared" si="386"/>
        <v>FALSE</v>
      </c>
      <c r="AQ3425" s="10" t="b">
        <f>IF(AND(I3425="TP",S3425&lt;=150),VLOOKUP(AF3425,TPCalibEq150!$AZ$2:$BB$55,3,),IF(AND(I3425="TDP",S3425&lt;=150),VLOOKUP(AF3425,TPCalibEq150!$AZ$2:$BB$55,3,)))</f>
        <v>0</v>
      </c>
      <c r="AR3425" s="10" t="b">
        <f>IF(AND(I3425="TP",S3425&lt;=300),VLOOKUP(AF3425,TPCalibEq300!$AZ$2:$BB$55,3,),IF(AND(I3425="TDP",S3425&lt;=300),VLOOKUP(AF3425,TPCalibEq300!$AZ$2:$BB$55,3,)))</f>
        <v>0</v>
      </c>
      <c r="AS3425" s="10" t="b">
        <f>IF(AND(I3425="TP",S3425&lt;=500),VLOOKUP(AF3425,TPCalibEq500!$AZ$2:$BB$56,3,),IF(AND(I3425="TDP",S3425&lt;=500),VLOOKUP(AF3425,TPCalibEq500!$AZ$2:$BB$56,3,)))</f>
        <v>0</v>
      </c>
      <c r="AT3425" s="10" t="b">
        <f>IF(AND(I3425="TN",S3425&lt;=2800),VLOOKUP(AF3425,TNCalibEq2500!$AZ$2:$BB$56,3,),IF(AND(I3425="TDN",S3425&lt;=2800),VLOOKUP(AF3425,TNCalibEq2500!$AZ$2:$BB$56,3,)))</f>
        <v>0</v>
      </c>
      <c r="AU3425" s="10" t="b">
        <f>IF(I3425="TP",VLOOKUP(AF3425,TPCalibEqFull!$AZ$2:$BB$56,3),IF(I3425="TDP",VLOOKUP(AF3425,TPCalibEqFull!$AZ$2:$BB$56,3),IF(I3425="TDN",VLOOKUP(AF3425,TNCalibEqFull!$AZ$1:$BB$56,3),IF(I3425="TN",VLOOKUP(AF3425,TNCalibEqFull!$AZ$1:$BB$56,3),FALSE))))</f>
        <v>0</v>
      </c>
      <c r="AV3425" s="10" t="str">
        <f t="shared" si="391"/>
        <v>0221 09:24:00-EOF-5-480-1-SW-UKN</v>
      </c>
    </row>
    <row r="3426" spans="1:48" s="10" customFormat="1" x14ac:dyDescent="0.55000000000000004">
      <c r="A3426" s="32">
        <v>44978</v>
      </c>
      <c r="B3426" s="33">
        <v>0.39444444444444443</v>
      </c>
      <c r="C3426" s="10" t="s">
        <v>428</v>
      </c>
      <c r="D3426" s="10">
        <v>10</v>
      </c>
      <c r="E3426" s="10">
        <v>490</v>
      </c>
      <c r="F3426" s="10">
        <v>1</v>
      </c>
      <c r="G3426" s="10" t="s">
        <v>231</v>
      </c>
      <c r="H3426" s="10" t="s">
        <v>322</v>
      </c>
      <c r="I3426" s="10" t="s">
        <v>75</v>
      </c>
      <c r="J3426" s="10">
        <v>33</v>
      </c>
      <c r="K3426" s="12">
        <v>44980</v>
      </c>
      <c r="L3426" s="33">
        <v>0.52324074074074078</v>
      </c>
      <c r="M3426" s="10">
        <v>1</v>
      </c>
      <c r="N3426" s="10" t="s">
        <v>76</v>
      </c>
      <c r="O3426" s="10">
        <v>0.59099999999999997</v>
      </c>
      <c r="P3426" s="10">
        <v>4.4999999999999998E-2</v>
      </c>
      <c r="Q3426" s="10">
        <v>37.1</v>
      </c>
      <c r="R3426" s="10" t="s">
        <v>77</v>
      </c>
      <c r="S3426" s="34">
        <f t="shared" si="388"/>
        <v>37.1</v>
      </c>
      <c r="T3426" s="10" t="s">
        <v>1260</v>
      </c>
      <c r="U3426" s="34" t="str">
        <f t="shared" si="389"/>
        <v/>
      </c>
      <c r="V3426" s="31" t="str">
        <f>IF(H3426="CHK",VLOOKUP(I3426,QCCHK,3,),IF(H3426="GUP",VLOOKUP(E3426,QCGUP,2,),IF(AND(H3426="ATP",OR(I3426="TN",I3426="TDN",I3426="TNO2-3",I3426="NO2-3")),VLOOKUP(E3426,QCREC_N,2,),IF(AND(H3426="NIC",OR(I3426="TN",I3426="TDN",I3426="TNO2-3",I3426="NO2-3")),VLOOKUP(E3426,QCNIC_N,2,),IF(AND(H3426="UREA",OR(I3426="TN",I3426="TDN",I3426="TNO2-3",I3426="NO2-3")),VLOOKUP(E3426,QCUREA_N,2,),IF(H3426="PER",VLOOKUP(I3426,QCPER,MATCH(E3426,QCACTUAL!$J$25:$AA$25,0),),IF(H3426="SPK",VLOOKUP(I3426,QCSPK,3,),IF(AND(H3426="ATP",OR(I3426="TP",I3426="TDP")),VLOOKUP(E3426,QCATP_P,2,),""))))))))</f>
        <v/>
      </c>
      <c r="W3426" s="31" t="str">
        <f t="shared" si="390"/>
        <v>TRUE</v>
      </c>
      <c r="X3426" s="31" t="str">
        <f t="shared" si="387"/>
        <v/>
      </c>
      <c r="Y3426" s="10" t="s">
        <v>1253</v>
      </c>
      <c r="AL3426" s="10" t="str">
        <f t="shared" si="385"/>
        <v>FALSE</v>
      </c>
      <c r="AM3426" s="10" t="str">
        <f t="shared" si="385"/>
        <v>FALSE</v>
      </c>
      <c r="AN3426" s="10" t="str">
        <f t="shared" si="385"/>
        <v>FALSE</v>
      </c>
      <c r="AO3426" s="10" t="str">
        <f t="shared" si="386"/>
        <v>FALSE</v>
      </c>
      <c r="AP3426" s="10" t="str">
        <f t="shared" si="386"/>
        <v>FALSE</v>
      </c>
      <c r="AQ3426" s="10" t="b">
        <f>IF(AND(I3426="TP",S3426&lt;=150),VLOOKUP(AF3426,TPCalibEq150!$AZ$2:$BB$55,3,),IF(AND(I3426="TDP",S3426&lt;=150),VLOOKUP(AF3426,TPCalibEq150!$AZ$2:$BB$55,3,)))</f>
        <v>0</v>
      </c>
      <c r="AR3426" s="10" t="b">
        <f>IF(AND(I3426="TP",S3426&lt;=300),VLOOKUP(AF3426,TPCalibEq300!$AZ$2:$BB$55,3,),IF(AND(I3426="TDP",S3426&lt;=300),VLOOKUP(AF3426,TPCalibEq300!$AZ$2:$BB$55,3,)))</f>
        <v>0</v>
      </c>
      <c r="AS3426" s="10" t="b">
        <f>IF(AND(I3426="TP",S3426&lt;=500),VLOOKUP(AF3426,TPCalibEq500!$AZ$2:$BB$56,3,),IF(AND(I3426="TDP",S3426&lt;=500),VLOOKUP(AF3426,TPCalibEq500!$AZ$2:$BB$56,3,)))</f>
        <v>0</v>
      </c>
      <c r="AT3426" s="10" t="b">
        <f>IF(AND(I3426="TN",S3426&lt;=2800),VLOOKUP(AF3426,TNCalibEq2500!$AZ$2:$BB$56,3,),IF(AND(I3426="TDN",S3426&lt;=2800),VLOOKUP(AF3426,TNCalibEq2500!$AZ$2:$BB$56,3,)))</f>
        <v>0</v>
      </c>
      <c r="AU3426" s="10" t="b">
        <f>IF(I3426="TP",VLOOKUP(AF3426,TPCalibEqFull!$AZ$2:$BB$56,3),IF(I3426="TDP",VLOOKUP(AF3426,TPCalibEqFull!$AZ$2:$BB$56,3),IF(I3426="TDN",VLOOKUP(AF3426,TNCalibEqFull!$AZ$1:$BB$56,3),IF(I3426="TN",VLOOKUP(AF3426,TNCalibEqFull!$AZ$1:$BB$56,3),FALSE))))</f>
        <v>0</v>
      </c>
      <c r="AV3426" s="10" t="str">
        <f t="shared" si="391"/>
        <v>0221 09:28:00-EOF-10-490-1-SW-UKN</v>
      </c>
    </row>
    <row r="3427" spans="1:48" s="10" customFormat="1" x14ac:dyDescent="0.55000000000000004">
      <c r="A3427" s="32">
        <v>44978</v>
      </c>
      <c r="B3427" s="33">
        <v>0.39652777777777781</v>
      </c>
      <c r="C3427" s="10" t="s">
        <v>428</v>
      </c>
      <c r="D3427" s="10">
        <v>20</v>
      </c>
      <c r="E3427" s="10" t="s">
        <v>190</v>
      </c>
      <c r="F3427" s="10">
        <v>1</v>
      </c>
      <c r="G3427" s="10" t="s">
        <v>231</v>
      </c>
      <c r="H3427" s="10" t="s">
        <v>322</v>
      </c>
      <c r="I3427" s="10" t="s">
        <v>75</v>
      </c>
      <c r="J3427" s="10">
        <v>34</v>
      </c>
      <c r="K3427" s="12">
        <v>44980</v>
      </c>
      <c r="L3427" s="33">
        <v>0.52405092592592595</v>
      </c>
      <c r="M3427" s="10">
        <v>1</v>
      </c>
      <c r="N3427" s="10" t="s">
        <v>76</v>
      </c>
      <c r="O3427" s="10">
        <v>0.57599999999999996</v>
      </c>
      <c r="P3427" s="10">
        <v>4.41E-2</v>
      </c>
      <c r="Q3427" s="10">
        <v>36.1</v>
      </c>
      <c r="R3427" s="10" t="s">
        <v>77</v>
      </c>
      <c r="S3427" s="34">
        <f t="shared" si="388"/>
        <v>36.1</v>
      </c>
      <c r="T3427" s="10" t="s">
        <v>1260</v>
      </c>
      <c r="U3427" s="34" t="str">
        <f t="shared" si="389"/>
        <v/>
      </c>
      <c r="V3427" s="31" t="str">
        <f>IF(H3427="CHK",VLOOKUP(I3427,QCCHK,3,),IF(H3427="GUP",VLOOKUP(E3427,QCGUP,2,),IF(AND(H3427="ATP",OR(I3427="TN",I3427="TDN",I3427="TNO2-3",I3427="NO2-3")),VLOOKUP(E3427,QCREC_N,2,),IF(AND(H3427="NIC",OR(I3427="TN",I3427="TDN",I3427="TNO2-3",I3427="NO2-3")),VLOOKUP(E3427,QCNIC_N,2,),IF(AND(H3427="UREA",OR(I3427="TN",I3427="TDN",I3427="TNO2-3",I3427="NO2-3")),VLOOKUP(E3427,QCUREA_N,2,),IF(H3427="PER",VLOOKUP(I3427,QCPER,MATCH(E3427,QCACTUAL!$J$25:$AA$25,0),),IF(H3427="SPK",VLOOKUP(I3427,QCSPK,3,),IF(AND(H3427="ATP",OR(I3427="TP",I3427="TDP")),VLOOKUP(E3427,QCATP_P,2,),""))))))))</f>
        <v/>
      </c>
      <c r="W3427" s="31" t="str">
        <f t="shared" si="390"/>
        <v>TRUE</v>
      </c>
      <c r="X3427" s="31" t="str">
        <f t="shared" si="387"/>
        <v/>
      </c>
      <c r="Y3427" s="10" t="s">
        <v>1253</v>
      </c>
      <c r="AL3427" s="10" t="str">
        <f t="shared" si="385"/>
        <v>FALSE</v>
      </c>
      <c r="AM3427" s="10" t="str">
        <f t="shared" si="385"/>
        <v>FALSE</v>
      </c>
      <c r="AN3427" s="10" t="str">
        <f t="shared" si="385"/>
        <v>FALSE</v>
      </c>
      <c r="AO3427" s="10" t="str">
        <f t="shared" si="386"/>
        <v>FALSE</v>
      </c>
      <c r="AP3427" s="10" t="str">
        <f t="shared" si="386"/>
        <v>FALSE</v>
      </c>
      <c r="AQ3427" s="10" t="b">
        <f>IF(AND(I3427="TP",S3427&lt;=150),VLOOKUP(AF3427,TPCalibEq150!$AZ$2:$BB$55,3,),IF(AND(I3427="TDP",S3427&lt;=150),VLOOKUP(AF3427,TPCalibEq150!$AZ$2:$BB$55,3,)))</f>
        <v>0</v>
      </c>
      <c r="AR3427" s="10" t="b">
        <f>IF(AND(I3427="TP",S3427&lt;=300),VLOOKUP(AF3427,TPCalibEq300!$AZ$2:$BB$55,3,),IF(AND(I3427="TDP",S3427&lt;=300),VLOOKUP(AF3427,TPCalibEq300!$AZ$2:$BB$55,3,)))</f>
        <v>0</v>
      </c>
      <c r="AS3427" s="10" t="b">
        <f>IF(AND(I3427="TP",S3427&lt;=500),VLOOKUP(AF3427,TPCalibEq500!$AZ$2:$BB$56,3,),IF(AND(I3427="TDP",S3427&lt;=500),VLOOKUP(AF3427,TPCalibEq500!$AZ$2:$BB$56,3,)))</f>
        <v>0</v>
      </c>
      <c r="AT3427" s="10" t="b">
        <f>IF(AND(I3427="TN",S3427&lt;=2800),VLOOKUP(AF3427,TNCalibEq2500!$AZ$2:$BB$56,3,),IF(AND(I3427="TDN",S3427&lt;=2800),VLOOKUP(AF3427,TNCalibEq2500!$AZ$2:$BB$56,3,)))</f>
        <v>0</v>
      </c>
      <c r="AU3427" s="10" t="b">
        <f>IF(I3427="TP",VLOOKUP(AF3427,TPCalibEqFull!$AZ$2:$BB$56,3),IF(I3427="TDP",VLOOKUP(AF3427,TPCalibEqFull!$AZ$2:$BB$56,3),IF(I3427="TDN",VLOOKUP(AF3427,TNCalibEqFull!$AZ$1:$BB$56,3),IF(I3427="TN",VLOOKUP(AF3427,TNCalibEqFull!$AZ$1:$BB$56,3),FALSE))))</f>
        <v>0</v>
      </c>
      <c r="AV3427" s="10" t="str">
        <f t="shared" si="391"/>
        <v>0221 09:31:00-EOF-20-C-1-SW-UKN</v>
      </c>
    </row>
    <row r="3428" spans="1:48" s="10" customFormat="1" x14ac:dyDescent="0.55000000000000004">
      <c r="A3428" s="32">
        <v>44978</v>
      </c>
      <c r="B3428" s="33">
        <v>0.40347222222222223</v>
      </c>
      <c r="C3428" s="10" t="s">
        <v>428</v>
      </c>
      <c r="D3428" s="10">
        <v>97</v>
      </c>
      <c r="E3428" s="10" t="s">
        <v>190</v>
      </c>
      <c r="F3428" s="10">
        <v>1</v>
      </c>
      <c r="G3428" s="10" t="s">
        <v>231</v>
      </c>
      <c r="H3428" s="10" t="s">
        <v>322</v>
      </c>
      <c r="I3428" s="10" t="s">
        <v>75</v>
      </c>
      <c r="J3428" s="10">
        <v>35</v>
      </c>
      <c r="K3428" s="12">
        <v>44980</v>
      </c>
      <c r="L3428" s="33">
        <v>0.52487268518518515</v>
      </c>
      <c r="M3428" s="10">
        <v>1</v>
      </c>
      <c r="N3428" s="10" t="s">
        <v>76</v>
      </c>
      <c r="O3428" s="10">
        <v>1.35</v>
      </c>
      <c r="P3428" s="10">
        <v>0.10100000000000001</v>
      </c>
      <c r="Q3428" s="10">
        <v>85</v>
      </c>
      <c r="R3428" s="10" t="s">
        <v>77</v>
      </c>
      <c r="S3428" s="34">
        <f t="shared" si="388"/>
        <v>85</v>
      </c>
      <c r="T3428" s="10" t="s">
        <v>1260</v>
      </c>
      <c r="U3428" s="34" t="str">
        <f t="shared" si="389"/>
        <v/>
      </c>
      <c r="V3428" s="31" t="str">
        <f>IF(H3428="CHK",VLOOKUP(I3428,QCCHK,3,),IF(H3428="GUP",VLOOKUP(E3428,QCGUP,2,),IF(AND(H3428="ATP",OR(I3428="TN",I3428="TDN",I3428="TNO2-3",I3428="NO2-3")),VLOOKUP(E3428,QCREC_N,2,),IF(AND(H3428="NIC",OR(I3428="TN",I3428="TDN",I3428="TNO2-3",I3428="NO2-3")),VLOOKUP(E3428,QCNIC_N,2,),IF(AND(H3428="UREA",OR(I3428="TN",I3428="TDN",I3428="TNO2-3",I3428="NO2-3")),VLOOKUP(E3428,QCUREA_N,2,),IF(H3428="PER",VLOOKUP(I3428,QCPER,MATCH(E3428,QCACTUAL!$J$25:$AA$25,0),),IF(H3428="SPK",VLOOKUP(I3428,QCSPK,3,),IF(AND(H3428="ATP",OR(I3428="TP",I3428="TDP")),VLOOKUP(E3428,QCATP_P,2,),""))))))))</f>
        <v/>
      </c>
      <c r="W3428" s="31" t="str">
        <f t="shared" si="390"/>
        <v>TRUE</v>
      </c>
      <c r="X3428" s="31" t="str">
        <f t="shared" si="387"/>
        <v/>
      </c>
      <c r="Y3428" s="10" t="s">
        <v>1253</v>
      </c>
      <c r="AL3428" s="10" t="str">
        <f t="shared" si="385"/>
        <v>FALSE</v>
      </c>
      <c r="AM3428" s="10" t="str">
        <f t="shared" si="385"/>
        <v>FALSE</v>
      </c>
      <c r="AN3428" s="10" t="str">
        <f t="shared" si="385"/>
        <v>FALSE</v>
      </c>
      <c r="AO3428" s="10" t="str">
        <f t="shared" si="386"/>
        <v>FALSE</v>
      </c>
      <c r="AP3428" s="10" t="str">
        <f t="shared" si="386"/>
        <v>FALSE</v>
      </c>
      <c r="AQ3428" s="10" t="b">
        <f>IF(AND(I3428="TP",S3428&lt;=150),VLOOKUP(AF3428,TPCalibEq150!$AZ$2:$BB$55,3,),IF(AND(I3428="TDP",S3428&lt;=150),VLOOKUP(AF3428,TPCalibEq150!$AZ$2:$BB$55,3,)))</f>
        <v>0</v>
      </c>
      <c r="AR3428" s="10" t="b">
        <f>IF(AND(I3428="TP",S3428&lt;=300),VLOOKUP(AF3428,TPCalibEq300!$AZ$2:$BB$55,3,),IF(AND(I3428="TDP",S3428&lt;=300),VLOOKUP(AF3428,TPCalibEq300!$AZ$2:$BB$55,3,)))</f>
        <v>0</v>
      </c>
      <c r="AS3428" s="10" t="b">
        <f>IF(AND(I3428="TP",S3428&lt;=500),VLOOKUP(AF3428,TPCalibEq500!$AZ$2:$BB$56,3,),IF(AND(I3428="TDP",S3428&lt;=500),VLOOKUP(AF3428,TPCalibEq500!$AZ$2:$BB$56,3,)))</f>
        <v>0</v>
      </c>
      <c r="AT3428" s="10" t="b">
        <f>IF(AND(I3428="TN",S3428&lt;=2800),VLOOKUP(AF3428,TNCalibEq2500!$AZ$2:$BB$56,3,),IF(AND(I3428="TDN",S3428&lt;=2800),VLOOKUP(AF3428,TNCalibEq2500!$AZ$2:$BB$56,3,)))</f>
        <v>0</v>
      </c>
      <c r="AU3428" s="10" t="b">
        <f>IF(I3428="TP",VLOOKUP(AF3428,TPCalibEqFull!$AZ$2:$BB$56,3),IF(I3428="TDP",VLOOKUP(AF3428,TPCalibEqFull!$AZ$2:$BB$56,3),IF(I3428="TDN",VLOOKUP(AF3428,TNCalibEqFull!$AZ$1:$BB$56,3),IF(I3428="TN",VLOOKUP(AF3428,TNCalibEqFull!$AZ$1:$BB$56,3),FALSE))))</f>
        <v>0</v>
      </c>
      <c r="AV3428" s="10" t="str">
        <f t="shared" si="391"/>
        <v>0221 09:41:00-EOF-97-C-1-SW-UKN</v>
      </c>
    </row>
    <row r="3429" spans="1:48" s="10" customFormat="1" x14ac:dyDescent="0.55000000000000004">
      <c r="A3429" s="32">
        <v>44978</v>
      </c>
      <c r="B3429" s="33">
        <v>0.43124999999999997</v>
      </c>
      <c r="C3429" s="10" t="s">
        <v>611</v>
      </c>
      <c r="D3429" s="10">
        <v>0</v>
      </c>
      <c r="E3429" s="10">
        <v>260</v>
      </c>
      <c r="F3429" s="10">
        <v>1</v>
      </c>
      <c r="G3429" s="10" t="s">
        <v>231</v>
      </c>
      <c r="H3429" s="10" t="s">
        <v>322</v>
      </c>
      <c r="I3429" s="10" t="s">
        <v>75</v>
      </c>
      <c r="J3429" s="10">
        <v>36</v>
      </c>
      <c r="K3429" s="12">
        <v>44980</v>
      </c>
      <c r="L3429" s="33">
        <v>0.52569444444444446</v>
      </c>
      <c r="M3429" s="10">
        <v>1</v>
      </c>
      <c r="N3429" s="10" t="s">
        <v>76</v>
      </c>
      <c r="O3429" s="10">
        <v>1.06</v>
      </c>
      <c r="P3429" s="10">
        <v>8.0500000000000002E-2</v>
      </c>
      <c r="Q3429" s="10">
        <v>66.5</v>
      </c>
      <c r="R3429" s="10" t="s">
        <v>77</v>
      </c>
      <c r="S3429" s="34">
        <f t="shared" si="388"/>
        <v>66.5</v>
      </c>
      <c r="T3429" s="10" t="s">
        <v>1260</v>
      </c>
      <c r="U3429" s="34" t="str">
        <f t="shared" si="389"/>
        <v/>
      </c>
      <c r="V3429" s="31" t="str">
        <f>IF(H3429="CHK",VLOOKUP(I3429,QCCHK,3,),IF(H3429="GUP",VLOOKUP(E3429,QCGUP,2,),IF(AND(H3429="ATP",OR(I3429="TN",I3429="TDN",I3429="TNO2-3",I3429="NO2-3")),VLOOKUP(E3429,QCREC_N,2,),IF(AND(H3429="NIC",OR(I3429="TN",I3429="TDN",I3429="TNO2-3",I3429="NO2-3")),VLOOKUP(E3429,QCNIC_N,2,),IF(AND(H3429="UREA",OR(I3429="TN",I3429="TDN",I3429="TNO2-3",I3429="NO2-3")),VLOOKUP(E3429,QCUREA_N,2,),IF(H3429="PER",VLOOKUP(I3429,QCPER,MATCH(E3429,QCACTUAL!$J$25:$AA$25,0),),IF(H3429="SPK",VLOOKUP(I3429,QCSPK,3,),IF(AND(H3429="ATP",OR(I3429="TP",I3429="TDP")),VLOOKUP(E3429,QCATP_P,2,),""))))))))</f>
        <v/>
      </c>
      <c r="W3429" s="31" t="str">
        <f t="shared" si="390"/>
        <v>TRUE</v>
      </c>
      <c r="X3429" s="31" t="str">
        <f t="shared" si="387"/>
        <v/>
      </c>
      <c r="Y3429" s="10" t="s">
        <v>1253</v>
      </c>
      <c r="AL3429" s="10" t="str">
        <f t="shared" si="385"/>
        <v>FALSE</v>
      </c>
      <c r="AM3429" s="10" t="str">
        <f t="shared" si="385"/>
        <v>FALSE</v>
      </c>
      <c r="AN3429" s="10" t="str">
        <f t="shared" si="385"/>
        <v>FALSE</v>
      </c>
      <c r="AO3429" s="10" t="str">
        <f t="shared" si="386"/>
        <v>FALSE</v>
      </c>
      <c r="AP3429" s="10" t="str">
        <f t="shared" si="386"/>
        <v>FALSE</v>
      </c>
      <c r="AQ3429" s="10" t="b">
        <f>IF(AND(I3429="TP",S3429&lt;=150),VLOOKUP(AF3429,TPCalibEq150!$AZ$2:$BB$55,3,),IF(AND(I3429="TDP",S3429&lt;=150),VLOOKUP(AF3429,TPCalibEq150!$AZ$2:$BB$55,3,)))</f>
        <v>0</v>
      </c>
      <c r="AR3429" s="10" t="b">
        <f>IF(AND(I3429="TP",S3429&lt;=300),VLOOKUP(AF3429,TPCalibEq300!$AZ$2:$BB$55,3,),IF(AND(I3429="TDP",S3429&lt;=300),VLOOKUP(AF3429,TPCalibEq300!$AZ$2:$BB$55,3,)))</f>
        <v>0</v>
      </c>
      <c r="AS3429" s="10" t="b">
        <f>IF(AND(I3429="TP",S3429&lt;=500),VLOOKUP(AF3429,TPCalibEq500!$AZ$2:$BB$56,3,),IF(AND(I3429="TDP",S3429&lt;=500),VLOOKUP(AF3429,TPCalibEq500!$AZ$2:$BB$56,3,)))</f>
        <v>0</v>
      </c>
      <c r="AT3429" s="10" t="b">
        <f>IF(AND(I3429="TN",S3429&lt;=2800),VLOOKUP(AF3429,TNCalibEq2500!$AZ$2:$BB$56,3,),IF(AND(I3429="TDN",S3429&lt;=2800),VLOOKUP(AF3429,TNCalibEq2500!$AZ$2:$BB$56,3,)))</f>
        <v>0</v>
      </c>
      <c r="AU3429" s="10" t="b">
        <f>IF(I3429="TP",VLOOKUP(AF3429,TPCalibEqFull!$AZ$2:$BB$56,3),IF(I3429="TDP",VLOOKUP(AF3429,TPCalibEqFull!$AZ$2:$BB$56,3),IF(I3429="TDN",VLOOKUP(AF3429,TNCalibEqFull!$AZ$1:$BB$56,3),IF(I3429="TN",VLOOKUP(AF3429,TNCalibEqFull!$AZ$1:$BB$56,3),FALSE))))</f>
        <v>0</v>
      </c>
      <c r="AV3429" s="10" t="str">
        <f t="shared" si="391"/>
        <v>0221 10:21:00-BUO-0-260-1-SW-UKN</v>
      </c>
    </row>
    <row r="3430" spans="1:48" s="10" customFormat="1" x14ac:dyDescent="0.55000000000000004">
      <c r="A3430" s="32">
        <v>44978</v>
      </c>
      <c r="B3430" s="33">
        <v>0.43472222222222223</v>
      </c>
      <c r="C3430" s="10" t="s">
        <v>611</v>
      </c>
      <c r="D3430" s="10">
        <v>5</v>
      </c>
      <c r="E3430" s="10">
        <v>260</v>
      </c>
      <c r="F3430" s="10">
        <v>1</v>
      </c>
      <c r="G3430" s="10" t="s">
        <v>231</v>
      </c>
      <c r="H3430" s="10" t="s">
        <v>322</v>
      </c>
      <c r="I3430" s="10" t="s">
        <v>75</v>
      </c>
      <c r="J3430" s="10">
        <v>37</v>
      </c>
      <c r="K3430" s="12">
        <v>44980</v>
      </c>
      <c r="L3430" s="33">
        <v>0.52650462962962963</v>
      </c>
      <c r="M3430" s="10">
        <v>1</v>
      </c>
      <c r="N3430" s="10" t="s">
        <v>76</v>
      </c>
      <c r="O3430" s="10">
        <v>0.88200000000000001</v>
      </c>
      <c r="P3430" s="10">
        <v>6.7299999999999999E-2</v>
      </c>
      <c r="Q3430" s="10">
        <v>55.4</v>
      </c>
      <c r="R3430" s="10" t="s">
        <v>77</v>
      </c>
      <c r="S3430" s="34">
        <f t="shared" si="388"/>
        <v>55.4</v>
      </c>
      <c r="T3430" s="10" t="s">
        <v>1260</v>
      </c>
      <c r="U3430" s="34" t="str">
        <f t="shared" si="389"/>
        <v/>
      </c>
      <c r="V3430" s="31" t="str">
        <f>IF(H3430="CHK",VLOOKUP(I3430,QCCHK,3,),IF(H3430="GUP",VLOOKUP(E3430,QCGUP,2,),IF(AND(H3430="ATP",OR(I3430="TN",I3430="TDN",I3430="TNO2-3",I3430="NO2-3")),VLOOKUP(E3430,QCREC_N,2,),IF(AND(H3430="NIC",OR(I3430="TN",I3430="TDN",I3430="TNO2-3",I3430="NO2-3")),VLOOKUP(E3430,QCNIC_N,2,),IF(AND(H3430="UREA",OR(I3430="TN",I3430="TDN",I3430="TNO2-3",I3430="NO2-3")),VLOOKUP(E3430,QCUREA_N,2,),IF(H3430="PER",VLOOKUP(I3430,QCPER,MATCH(E3430,QCACTUAL!$J$25:$AA$25,0),),IF(H3430="SPK",VLOOKUP(I3430,QCSPK,3,),IF(AND(H3430="ATP",OR(I3430="TP",I3430="TDP")),VLOOKUP(E3430,QCATP_P,2,),""))))))))</f>
        <v/>
      </c>
      <c r="W3430" s="31" t="str">
        <f t="shared" si="390"/>
        <v>TRUE</v>
      </c>
      <c r="X3430" s="31" t="str">
        <f t="shared" si="387"/>
        <v/>
      </c>
      <c r="Y3430" s="10" t="s">
        <v>1253</v>
      </c>
      <c r="AL3430" s="10" t="str">
        <f t="shared" si="385"/>
        <v>FALSE</v>
      </c>
      <c r="AM3430" s="10" t="str">
        <f t="shared" si="385"/>
        <v>FALSE</v>
      </c>
      <c r="AN3430" s="10" t="str">
        <f t="shared" si="385"/>
        <v>FALSE</v>
      </c>
      <c r="AO3430" s="10" t="str">
        <f t="shared" si="386"/>
        <v>FALSE</v>
      </c>
      <c r="AP3430" s="10" t="str">
        <f t="shared" si="386"/>
        <v>FALSE</v>
      </c>
      <c r="AQ3430" s="10" t="b">
        <f>IF(AND(I3430="TP",S3430&lt;=150),VLOOKUP(AF3430,TPCalibEq150!$AZ$2:$BB$55,3,),IF(AND(I3430="TDP",S3430&lt;=150),VLOOKUP(AF3430,TPCalibEq150!$AZ$2:$BB$55,3,)))</f>
        <v>0</v>
      </c>
      <c r="AR3430" s="10" t="b">
        <f>IF(AND(I3430="TP",S3430&lt;=300),VLOOKUP(AF3430,TPCalibEq300!$AZ$2:$BB$55,3,),IF(AND(I3430="TDP",S3430&lt;=300),VLOOKUP(AF3430,TPCalibEq300!$AZ$2:$BB$55,3,)))</f>
        <v>0</v>
      </c>
      <c r="AS3430" s="10" t="b">
        <f>IF(AND(I3430="TP",S3430&lt;=500),VLOOKUP(AF3430,TPCalibEq500!$AZ$2:$BB$56,3,),IF(AND(I3430="TDP",S3430&lt;=500),VLOOKUP(AF3430,TPCalibEq500!$AZ$2:$BB$56,3,)))</f>
        <v>0</v>
      </c>
      <c r="AT3430" s="10" t="b">
        <f>IF(AND(I3430="TN",S3430&lt;=2800),VLOOKUP(AF3430,TNCalibEq2500!$AZ$2:$BB$56,3,),IF(AND(I3430="TDN",S3430&lt;=2800),VLOOKUP(AF3430,TNCalibEq2500!$AZ$2:$BB$56,3,)))</f>
        <v>0</v>
      </c>
      <c r="AU3430" s="10" t="b">
        <f>IF(I3430="TP",VLOOKUP(AF3430,TPCalibEqFull!$AZ$2:$BB$56,3),IF(I3430="TDP",VLOOKUP(AF3430,TPCalibEqFull!$AZ$2:$BB$56,3),IF(I3430="TDN",VLOOKUP(AF3430,TNCalibEqFull!$AZ$1:$BB$56,3),IF(I3430="TN",VLOOKUP(AF3430,TNCalibEqFull!$AZ$1:$BB$56,3),FALSE))))</f>
        <v>0</v>
      </c>
      <c r="AV3430" s="10" t="str">
        <f t="shared" si="391"/>
        <v>0221 10:26:00-BUO-5-260-1-SW-UKN</v>
      </c>
    </row>
    <row r="3431" spans="1:48" s="10" customFormat="1" x14ac:dyDescent="0.55000000000000004">
      <c r="A3431" s="32">
        <v>44978</v>
      </c>
      <c r="B3431" s="33">
        <v>0.4368055555555555</v>
      </c>
      <c r="C3431" s="10" t="s">
        <v>611</v>
      </c>
      <c r="D3431" s="10">
        <v>10</v>
      </c>
      <c r="E3431" s="10">
        <v>230</v>
      </c>
      <c r="F3431" s="10">
        <v>1</v>
      </c>
      <c r="G3431" s="10" t="s">
        <v>231</v>
      </c>
      <c r="H3431" s="10" t="s">
        <v>322</v>
      </c>
      <c r="I3431" s="10" t="s">
        <v>75</v>
      </c>
      <c r="J3431" s="10">
        <v>38</v>
      </c>
      <c r="K3431" s="12">
        <v>44980</v>
      </c>
      <c r="L3431" s="33">
        <v>0.52732638888888894</v>
      </c>
      <c r="M3431" s="10">
        <v>1</v>
      </c>
      <c r="N3431" s="10" t="s">
        <v>76</v>
      </c>
      <c r="O3431" s="10">
        <v>1.08</v>
      </c>
      <c r="P3431" s="10">
        <v>8.3500000000000005E-2</v>
      </c>
      <c r="Q3431" s="10">
        <v>67.599999999999994</v>
      </c>
      <c r="R3431" s="10" t="s">
        <v>77</v>
      </c>
      <c r="S3431" s="34">
        <f t="shared" si="388"/>
        <v>67.599999999999994</v>
      </c>
      <c r="T3431" s="10" t="s">
        <v>1260</v>
      </c>
      <c r="U3431" s="34" t="str">
        <f t="shared" si="389"/>
        <v/>
      </c>
      <c r="V3431" s="31" t="str">
        <f>IF(H3431="CHK",VLOOKUP(I3431,QCCHK,3,),IF(H3431="GUP",VLOOKUP(E3431,QCGUP,2,),IF(AND(H3431="ATP",OR(I3431="TN",I3431="TDN",I3431="TNO2-3",I3431="NO2-3")),VLOOKUP(E3431,QCREC_N,2,),IF(AND(H3431="NIC",OR(I3431="TN",I3431="TDN",I3431="TNO2-3",I3431="NO2-3")),VLOOKUP(E3431,QCNIC_N,2,),IF(AND(H3431="UREA",OR(I3431="TN",I3431="TDN",I3431="TNO2-3",I3431="NO2-3")),VLOOKUP(E3431,QCUREA_N,2,),IF(H3431="PER",VLOOKUP(I3431,QCPER,MATCH(E3431,QCACTUAL!$J$25:$AA$25,0),),IF(H3431="SPK",VLOOKUP(I3431,QCSPK,3,),IF(AND(H3431="ATP",OR(I3431="TP",I3431="TDP")),VLOOKUP(E3431,QCATP_P,2,),""))))))))</f>
        <v/>
      </c>
      <c r="W3431" s="31" t="str">
        <f t="shared" si="390"/>
        <v>TRUE</v>
      </c>
      <c r="X3431" s="31" t="str">
        <f t="shared" si="387"/>
        <v/>
      </c>
      <c r="Y3431" s="10" t="s">
        <v>1253</v>
      </c>
      <c r="AL3431" s="10" t="str">
        <f t="shared" si="385"/>
        <v>FALSE</v>
      </c>
      <c r="AM3431" s="10" t="str">
        <f t="shared" si="385"/>
        <v>FALSE</v>
      </c>
      <c r="AN3431" s="10" t="str">
        <f t="shared" si="385"/>
        <v>FALSE</v>
      </c>
      <c r="AO3431" s="10" t="str">
        <f t="shared" si="386"/>
        <v>FALSE</v>
      </c>
      <c r="AP3431" s="10" t="str">
        <f t="shared" si="386"/>
        <v>FALSE</v>
      </c>
      <c r="AQ3431" s="10" t="b">
        <f>IF(AND(I3431="TP",S3431&lt;=150),VLOOKUP(AF3431,TPCalibEq150!$AZ$2:$BB$55,3,),IF(AND(I3431="TDP",S3431&lt;=150),VLOOKUP(AF3431,TPCalibEq150!$AZ$2:$BB$55,3,)))</f>
        <v>0</v>
      </c>
      <c r="AR3431" s="10" t="b">
        <f>IF(AND(I3431="TP",S3431&lt;=300),VLOOKUP(AF3431,TPCalibEq300!$AZ$2:$BB$55,3,),IF(AND(I3431="TDP",S3431&lt;=300),VLOOKUP(AF3431,TPCalibEq300!$AZ$2:$BB$55,3,)))</f>
        <v>0</v>
      </c>
      <c r="AS3431" s="10" t="b">
        <f>IF(AND(I3431="TP",S3431&lt;=500),VLOOKUP(AF3431,TPCalibEq500!$AZ$2:$BB$56,3,),IF(AND(I3431="TDP",S3431&lt;=500),VLOOKUP(AF3431,TPCalibEq500!$AZ$2:$BB$56,3,)))</f>
        <v>0</v>
      </c>
      <c r="AT3431" s="10" t="b">
        <f>IF(AND(I3431="TN",S3431&lt;=2800),VLOOKUP(AF3431,TNCalibEq2500!$AZ$2:$BB$56,3,),IF(AND(I3431="TDN",S3431&lt;=2800),VLOOKUP(AF3431,TNCalibEq2500!$AZ$2:$BB$56,3,)))</f>
        <v>0</v>
      </c>
      <c r="AU3431" s="10" t="b">
        <f>IF(I3431="TP",VLOOKUP(AF3431,TPCalibEqFull!$AZ$2:$BB$56,3),IF(I3431="TDP",VLOOKUP(AF3431,TPCalibEqFull!$AZ$2:$BB$56,3),IF(I3431="TDN",VLOOKUP(AF3431,TNCalibEqFull!$AZ$1:$BB$56,3),IF(I3431="TN",VLOOKUP(AF3431,TNCalibEqFull!$AZ$1:$BB$56,3),FALSE))))</f>
        <v>0</v>
      </c>
      <c r="AV3431" s="10" t="str">
        <f t="shared" si="391"/>
        <v>0221 10:29:00-BUO-10-230-1-SW-UKN</v>
      </c>
    </row>
    <row r="3432" spans="1:48" s="10" customFormat="1" x14ac:dyDescent="0.55000000000000004">
      <c r="A3432" s="32">
        <v>44978</v>
      </c>
      <c r="B3432" s="33">
        <v>0.43958333333333338</v>
      </c>
      <c r="C3432" s="10" t="s">
        <v>611</v>
      </c>
      <c r="D3432" s="10">
        <v>20</v>
      </c>
      <c r="E3432" s="10" t="s">
        <v>190</v>
      </c>
      <c r="F3432" s="10">
        <v>1</v>
      </c>
      <c r="G3432" s="10" t="s">
        <v>231</v>
      </c>
      <c r="H3432" s="10" t="s">
        <v>322</v>
      </c>
      <c r="I3432" s="10" t="s">
        <v>75</v>
      </c>
      <c r="J3432" s="10">
        <v>39</v>
      </c>
      <c r="K3432" s="12">
        <v>44980</v>
      </c>
      <c r="L3432" s="33">
        <v>0.52813657407407411</v>
      </c>
      <c r="M3432" s="10">
        <v>1</v>
      </c>
      <c r="N3432" s="10" t="s">
        <v>76</v>
      </c>
      <c r="O3432" s="10">
        <v>1.01</v>
      </c>
      <c r="P3432" s="10">
        <v>7.6499999999999999E-2</v>
      </c>
      <c r="Q3432" s="10">
        <v>63.2</v>
      </c>
      <c r="R3432" s="10" t="s">
        <v>77</v>
      </c>
      <c r="S3432" s="34">
        <f t="shared" si="388"/>
        <v>63.2</v>
      </c>
      <c r="T3432" s="10" t="s">
        <v>1260</v>
      </c>
      <c r="U3432" s="34" t="str">
        <f t="shared" si="389"/>
        <v/>
      </c>
      <c r="V3432" s="31" t="str">
        <f>IF(H3432="CHK",VLOOKUP(I3432,QCCHK,3,),IF(H3432="GUP",VLOOKUP(E3432,QCGUP,2,),IF(AND(H3432="ATP",OR(I3432="TN",I3432="TDN",I3432="TNO2-3",I3432="NO2-3")),VLOOKUP(E3432,QCREC_N,2,),IF(AND(H3432="NIC",OR(I3432="TN",I3432="TDN",I3432="TNO2-3",I3432="NO2-3")),VLOOKUP(E3432,QCNIC_N,2,),IF(AND(H3432="UREA",OR(I3432="TN",I3432="TDN",I3432="TNO2-3",I3432="NO2-3")),VLOOKUP(E3432,QCUREA_N,2,),IF(H3432="PER",VLOOKUP(I3432,QCPER,MATCH(E3432,QCACTUAL!$J$25:$AA$25,0),),IF(H3432="SPK",VLOOKUP(I3432,QCSPK,3,),IF(AND(H3432="ATP",OR(I3432="TP",I3432="TDP")),VLOOKUP(E3432,QCATP_P,2,),""))))))))</f>
        <v/>
      </c>
      <c r="W3432" s="31" t="str">
        <f t="shared" si="390"/>
        <v>TRUE</v>
      </c>
      <c r="X3432" s="31" t="str">
        <f t="shared" si="387"/>
        <v/>
      </c>
      <c r="Y3432" s="10" t="s">
        <v>1253</v>
      </c>
      <c r="AL3432" s="10" t="str">
        <f t="shared" ref="AL3432:AN3495" si="392">IF($O3432="", "", IF(AQ3432&lt;&gt;"", SUBSTITUTE(SUBSTITUTE(AQ3432, "x", "*"&amp;$O3432&amp;"^", 1), "x", "*"&amp;$O3432, 1), ""))</f>
        <v>FALSE</v>
      </c>
      <c r="AM3432" s="10" t="str">
        <f t="shared" si="392"/>
        <v>FALSE</v>
      </c>
      <c r="AN3432" s="10" t="str">
        <f t="shared" si="392"/>
        <v>FALSE</v>
      </c>
      <c r="AO3432" s="10" t="str">
        <f t="shared" ref="AO3432:AP3495" si="393">IF($O3432="", "FALSE", IF(AT3432&lt;&gt;"FALSE", SUBSTITUTE(SUBSTITUTE(AT3432, "x", "*"&amp;$O3432&amp;"^", 1), "x", "*"&amp;$O3432, 1), ""))</f>
        <v>FALSE</v>
      </c>
      <c r="AP3432" s="10" t="str">
        <f t="shared" si="393"/>
        <v>FALSE</v>
      </c>
      <c r="AQ3432" s="10" t="b">
        <f>IF(AND(I3432="TP",S3432&lt;=150),VLOOKUP(AF3432,TPCalibEq150!$AZ$2:$BB$55,3,),IF(AND(I3432="TDP",S3432&lt;=150),VLOOKUP(AF3432,TPCalibEq150!$AZ$2:$BB$55,3,)))</f>
        <v>0</v>
      </c>
      <c r="AR3432" s="10" t="b">
        <f>IF(AND(I3432="TP",S3432&lt;=300),VLOOKUP(AF3432,TPCalibEq300!$AZ$2:$BB$55,3,),IF(AND(I3432="TDP",S3432&lt;=300),VLOOKUP(AF3432,TPCalibEq300!$AZ$2:$BB$55,3,)))</f>
        <v>0</v>
      </c>
      <c r="AS3432" s="10" t="b">
        <f>IF(AND(I3432="TP",S3432&lt;=500),VLOOKUP(AF3432,TPCalibEq500!$AZ$2:$BB$56,3,),IF(AND(I3432="TDP",S3432&lt;=500),VLOOKUP(AF3432,TPCalibEq500!$AZ$2:$BB$56,3,)))</f>
        <v>0</v>
      </c>
      <c r="AT3432" s="10" t="b">
        <f>IF(AND(I3432="TN",S3432&lt;=2800),VLOOKUP(AF3432,TNCalibEq2500!$AZ$2:$BB$56,3,),IF(AND(I3432="TDN",S3432&lt;=2800),VLOOKUP(AF3432,TNCalibEq2500!$AZ$2:$BB$56,3,)))</f>
        <v>0</v>
      </c>
      <c r="AU3432" s="10" t="b">
        <f>IF(I3432="TP",VLOOKUP(AF3432,TPCalibEqFull!$AZ$2:$BB$56,3),IF(I3432="TDP",VLOOKUP(AF3432,TPCalibEqFull!$AZ$2:$BB$56,3),IF(I3432="TDN",VLOOKUP(AF3432,TNCalibEqFull!$AZ$1:$BB$56,3),IF(I3432="TN",VLOOKUP(AF3432,TNCalibEqFull!$AZ$1:$BB$56,3),FALSE))))</f>
        <v>0</v>
      </c>
      <c r="AV3432" s="10" t="str">
        <f t="shared" si="391"/>
        <v>0221 10:33:00-BUO-20-C-1-SW-UKN</v>
      </c>
    </row>
    <row r="3433" spans="1:48" s="10" customFormat="1" x14ac:dyDescent="0.55000000000000004">
      <c r="A3433" s="32">
        <v>44978</v>
      </c>
      <c r="B3433" s="33">
        <v>0.44375000000000003</v>
      </c>
      <c r="C3433" s="10" t="s">
        <v>611</v>
      </c>
      <c r="D3433" s="10">
        <v>48</v>
      </c>
      <c r="E3433" s="10" t="s">
        <v>190</v>
      </c>
      <c r="F3433" s="10">
        <v>1</v>
      </c>
      <c r="G3433" s="10" t="s">
        <v>231</v>
      </c>
      <c r="H3433" s="10" t="s">
        <v>322</v>
      </c>
      <c r="I3433" s="10" t="s">
        <v>75</v>
      </c>
      <c r="J3433" s="10">
        <v>40</v>
      </c>
      <c r="K3433" s="12">
        <v>44980</v>
      </c>
      <c r="L3433" s="33">
        <v>0.52894675925925927</v>
      </c>
      <c r="M3433" s="10">
        <v>1</v>
      </c>
      <c r="N3433" s="10" t="s">
        <v>76</v>
      </c>
      <c r="O3433" s="10">
        <v>1.1200000000000001</v>
      </c>
      <c r="P3433" s="10">
        <v>8.5300000000000001E-2</v>
      </c>
      <c r="Q3433" s="10">
        <v>70.099999999999994</v>
      </c>
      <c r="R3433" s="10" t="s">
        <v>77</v>
      </c>
      <c r="S3433" s="34">
        <f t="shared" si="388"/>
        <v>70.099999999999994</v>
      </c>
      <c r="T3433" s="10" t="s">
        <v>1260</v>
      </c>
      <c r="U3433" s="34" t="str">
        <f t="shared" si="389"/>
        <v/>
      </c>
      <c r="V3433" s="31" t="str">
        <f>IF(H3433="CHK",VLOOKUP(I3433,QCCHK,3,),IF(H3433="GUP",VLOOKUP(E3433,QCGUP,2,),IF(AND(H3433="ATP",OR(I3433="TN",I3433="TDN",I3433="TNO2-3",I3433="NO2-3")),VLOOKUP(E3433,QCREC_N,2,),IF(AND(H3433="NIC",OR(I3433="TN",I3433="TDN",I3433="TNO2-3",I3433="NO2-3")),VLOOKUP(E3433,QCNIC_N,2,),IF(AND(H3433="UREA",OR(I3433="TN",I3433="TDN",I3433="TNO2-3",I3433="NO2-3")),VLOOKUP(E3433,QCUREA_N,2,),IF(H3433="PER",VLOOKUP(I3433,QCPER,MATCH(E3433,QCACTUAL!$J$25:$AA$25,0),),IF(H3433="SPK",VLOOKUP(I3433,QCSPK,3,),IF(AND(H3433="ATP",OR(I3433="TP",I3433="TDP")),VLOOKUP(E3433,QCATP_P,2,),""))))))))</f>
        <v/>
      </c>
      <c r="W3433" s="31" t="str">
        <f t="shared" si="390"/>
        <v>TRUE</v>
      </c>
      <c r="X3433" s="31" t="str">
        <f t="shared" si="387"/>
        <v/>
      </c>
      <c r="Y3433" s="10" t="s">
        <v>1253</v>
      </c>
      <c r="AL3433" s="10" t="str">
        <f t="shared" si="392"/>
        <v>FALSE</v>
      </c>
      <c r="AM3433" s="10" t="str">
        <f t="shared" si="392"/>
        <v>FALSE</v>
      </c>
      <c r="AN3433" s="10" t="str">
        <f t="shared" si="392"/>
        <v>FALSE</v>
      </c>
      <c r="AO3433" s="10" t="str">
        <f t="shared" si="393"/>
        <v>FALSE</v>
      </c>
      <c r="AP3433" s="10" t="str">
        <f t="shared" si="393"/>
        <v>FALSE</v>
      </c>
      <c r="AQ3433" s="10" t="b">
        <f>IF(AND(I3433="TP",S3433&lt;=150),VLOOKUP(AF3433,TPCalibEq150!$AZ$2:$BB$55,3,),IF(AND(I3433="TDP",S3433&lt;=150),VLOOKUP(AF3433,TPCalibEq150!$AZ$2:$BB$55,3,)))</f>
        <v>0</v>
      </c>
      <c r="AR3433" s="10" t="b">
        <f>IF(AND(I3433="TP",S3433&lt;=300),VLOOKUP(AF3433,TPCalibEq300!$AZ$2:$BB$55,3,),IF(AND(I3433="TDP",S3433&lt;=300),VLOOKUP(AF3433,TPCalibEq300!$AZ$2:$BB$55,3,)))</f>
        <v>0</v>
      </c>
      <c r="AS3433" s="10" t="b">
        <f>IF(AND(I3433="TP",S3433&lt;=500),VLOOKUP(AF3433,TPCalibEq500!$AZ$2:$BB$56,3,),IF(AND(I3433="TDP",S3433&lt;=500),VLOOKUP(AF3433,TPCalibEq500!$AZ$2:$BB$56,3,)))</f>
        <v>0</v>
      </c>
      <c r="AT3433" s="10" t="b">
        <f>IF(AND(I3433="TN",S3433&lt;=2800),VLOOKUP(AF3433,TNCalibEq2500!$AZ$2:$BB$56,3,),IF(AND(I3433="TDN",S3433&lt;=2800),VLOOKUP(AF3433,TNCalibEq2500!$AZ$2:$BB$56,3,)))</f>
        <v>0</v>
      </c>
      <c r="AU3433" s="10" t="b">
        <f>IF(I3433="TP",VLOOKUP(AF3433,TPCalibEqFull!$AZ$2:$BB$56,3),IF(I3433="TDP",VLOOKUP(AF3433,TPCalibEqFull!$AZ$2:$BB$56,3),IF(I3433="TDN",VLOOKUP(AF3433,TNCalibEqFull!$AZ$1:$BB$56,3),IF(I3433="TN",VLOOKUP(AF3433,TNCalibEqFull!$AZ$1:$BB$56,3),FALSE))))</f>
        <v>0</v>
      </c>
      <c r="AV3433" s="10" t="str">
        <f t="shared" si="391"/>
        <v>0221 10:39:00-BUO-48-C-1-SW-UKN</v>
      </c>
    </row>
    <row r="3434" spans="1:48" s="10" customFormat="1" x14ac:dyDescent="0.55000000000000004">
      <c r="A3434" s="32">
        <v>44978</v>
      </c>
      <c r="B3434" s="33">
        <v>0.44375000000000003</v>
      </c>
      <c r="C3434" s="10" t="s">
        <v>611</v>
      </c>
      <c r="D3434" s="10">
        <v>48</v>
      </c>
      <c r="E3434" s="10" t="s">
        <v>190</v>
      </c>
      <c r="F3434" s="10">
        <v>1</v>
      </c>
      <c r="G3434" s="10" t="s">
        <v>231</v>
      </c>
      <c r="H3434" s="10" t="s">
        <v>233</v>
      </c>
      <c r="I3434" s="10" t="s">
        <v>75</v>
      </c>
      <c r="J3434" s="10">
        <v>40</v>
      </c>
      <c r="K3434" s="12">
        <v>44980</v>
      </c>
      <c r="L3434" s="33">
        <v>0.52975694444444443</v>
      </c>
      <c r="M3434" s="10">
        <v>1</v>
      </c>
      <c r="N3434" s="10" t="s">
        <v>76</v>
      </c>
      <c r="O3434" s="10">
        <v>1.08</v>
      </c>
      <c r="P3434" s="10">
        <v>8.48E-2</v>
      </c>
      <c r="Q3434" s="10">
        <v>67.900000000000006</v>
      </c>
      <c r="R3434" s="10" t="s">
        <v>77</v>
      </c>
      <c r="S3434" s="34">
        <f t="shared" si="388"/>
        <v>67.900000000000006</v>
      </c>
      <c r="T3434" s="10" t="s">
        <v>1260</v>
      </c>
      <c r="U3434" s="34">
        <f t="shared" si="389"/>
        <v>3.1884057971014323</v>
      </c>
      <c r="V3434" s="31" t="str">
        <f>IF(H3434="CHK",VLOOKUP(I3434,QCCHK,3,),IF(H3434="GUP",VLOOKUP(E3434,QCGUP,2,),IF(AND(H3434="ATP",OR(I3434="TN",I3434="TDN",I3434="TNO2-3",I3434="NO2-3")),VLOOKUP(E3434,QCREC_N,2,),IF(AND(H3434="NIC",OR(I3434="TN",I3434="TDN",I3434="TNO2-3",I3434="NO2-3")),VLOOKUP(E3434,QCNIC_N,2,),IF(AND(H3434="UREA",OR(I3434="TN",I3434="TDN",I3434="TNO2-3",I3434="NO2-3")),VLOOKUP(E3434,QCUREA_N,2,),IF(H3434="PER",VLOOKUP(I3434,QCPER,MATCH(E3434,QCACTUAL!$J$25:$AA$25,0),),IF(H3434="SPK",VLOOKUP(I3434,QCSPK,3,),IF(AND(H3434="ATP",OR(I3434="TP",I3434="TDP")),VLOOKUP(E3434,QCATP_P,2,),""))))))))</f>
        <v/>
      </c>
      <c r="W3434" s="31" t="str">
        <f t="shared" si="390"/>
        <v>TRUE</v>
      </c>
      <c r="X3434" s="31" t="str">
        <f t="shared" si="387"/>
        <v>((ABS(rep1-rep2))/((rep1+rep2)/2)*100</v>
      </c>
      <c r="Y3434" s="10" t="s">
        <v>1253</v>
      </c>
      <c r="AL3434" s="10" t="str">
        <f t="shared" si="392"/>
        <v>FALSE</v>
      </c>
      <c r="AM3434" s="10" t="str">
        <f t="shared" si="392"/>
        <v>FALSE</v>
      </c>
      <c r="AN3434" s="10" t="str">
        <f t="shared" si="392"/>
        <v>FALSE</v>
      </c>
      <c r="AO3434" s="10" t="str">
        <f t="shared" si="393"/>
        <v>FALSE</v>
      </c>
      <c r="AP3434" s="10" t="str">
        <f t="shared" si="393"/>
        <v>FALSE</v>
      </c>
      <c r="AQ3434" s="10" t="b">
        <f>IF(AND(I3434="TP",S3434&lt;=150),VLOOKUP(AF3434,TPCalibEq150!$AZ$2:$BB$55,3,),IF(AND(I3434="TDP",S3434&lt;=150),VLOOKUP(AF3434,TPCalibEq150!$AZ$2:$BB$55,3,)))</f>
        <v>0</v>
      </c>
      <c r="AR3434" s="10" t="b">
        <f>IF(AND(I3434="TP",S3434&lt;=300),VLOOKUP(AF3434,TPCalibEq300!$AZ$2:$BB$55,3,),IF(AND(I3434="TDP",S3434&lt;=300),VLOOKUP(AF3434,TPCalibEq300!$AZ$2:$BB$55,3,)))</f>
        <v>0</v>
      </c>
      <c r="AS3434" s="10" t="b">
        <f>IF(AND(I3434="TP",S3434&lt;=500),VLOOKUP(AF3434,TPCalibEq500!$AZ$2:$BB$56,3,),IF(AND(I3434="TDP",S3434&lt;=500),VLOOKUP(AF3434,TPCalibEq500!$AZ$2:$BB$56,3,)))</f>
        <v>0</v>
      </c>
      <c r="AT3434" s="10" t="b">
        <f>IF(AND(I3434="TN",S3434&lt;=2800),VLOOKUP(AF3434,TNCalibEq2500!$AZ$2:$BB$56,3,),IF(AND(I3434="TDN",S3434&lt;=2800),VLOOKUP(AF3434,TNCalibEq2500!$AZ$2:$BB$56,3,)))</f>
        <v>0</v>
      </c>
      <c r="AU3434" s="10" t="b">
        <f>IF(I3434="TP",VLOOKUP(AF3434,TPCalibEqFull!$AZ$2:$BB$56,3),IF(I3434="TDP",VLOOKUP(AF3434,TPCalibEqFull!$AZ$2:$BB$56,3),IF(I3434="TDN",VLOOKUP(AF3434,TNCalibEqFull!$AZ$1:$BB$56,3),IF(I3434="TN",VLOOKUP(AF3434,TNCalibEqFull!$AZ$1:$BB$56,3),FALSE))))</f>
        <v>0</v>
      </c>
      <c r="AV3434" s="10" t="str">
        <f t="shared" si="391"/>
        <v>0221 10:39:00-BUO-48-C-1-SW-DUP</v>
      </c>
    </row>
    <row r="3435" spans="1:48" s="10" customFormat="1" x14ac:dyDescent="0.55000000000000004">
      <c r="A3435" s="32">
        <v>44978</v>
      </c>
      <c r="B3435" s="33">
        <v>0.44375000000000003</v>
      </c>
      <c r="C3435" s="10" t="s">
        <v>611</v>
      </c>
      <c r="D3435" s="10">
        <v>48</v>
      </c>
      <c r="E3435" s="10" t="s">
        <v>190</v>
      </c>
      <c r="F3435" s="10">
        <v>1</v>
      </c>
      <c r="G3435" s="10" t="s">
        <v>231</v>
      </c>
      <c r="H3435" s="10" t="s">
        <v>314</v>
      </c>
      <c r="I3435" s="10" t="s">
        <v>75</v>
      </c>
      <c r="J3435" s="10">
        <v>85</v>
      </c>
      <c r="K3435" s="12">
        <v>44980</v>
      </c>
      <c r="L3435" s="33">
        <v>0.53057870370370364</v>
      </c>
      <c r="M3435" s="10">
        <v>1</v>
      </c>
      <c r="N3435" s="10" t="s">
        <v>76</v>
      </c>
      <c r="O3435" s="10">
        <v>12.4</v>
      </c>
      <c r="P3435" s="10">
        <v>0.98699999999999999</v>
      </c>
      <c r="Q3435" s="10">
        <v>766</v>
      </c>
      <c r="R3435" s="10" t="s">
        <v>77</v>
      </c>
      <c r="S3435" s="34">
        <f t="shared" si="388"/>
        <v>766</v>
      </c>
      <c r="T3435" s="10" t="s">
        <v>1260</v>
      </c>
      <c r="U3435" s="34">
        <f t="shared" si="389"/>
        <v>111.696</v>
      </c>
      <c r="V3435" s="31">
        <f>IF(H3435="CHK",VLOOKUP(I3435,QCCHK,3,),IF(H3435="GUP",VLOOKUP(E3435,QCGUP,2,),IF(AND(H3435="ATP",OR(I3435="TN",I3435="TDN",I3435="TNO2-3",I3435="NO2-3")),VLOOKUP(E3435,QCREC_N,2,),IF(AND(H3435="NIC",OR(I3435="TN",I3435="TDN",I3435="TNO2-3",I3435="NO2-3")),VLOOKUP(E3435,QCNIC_N,2,),IF(AND(H3435="UREA",OR(I3435="TN",I3435="TDN",I3435="TNO2-3",I3435="NO2-3")),VLOOKUP(E3435,QCUREA_N,2,),IF(H3435="PER",VLOOKUP(I3435,QCPER,MATCH(E3435,QCACTUAL!$J$25:$AA$25,0),),IF(H3435="SPK",VLOOKUP(I3435,QCSPK,3,),IF(AND(H3435="ATP",OR(I3435="TP",I3435="TDP")),VLOOKUP(E3435,QCATP_P,2,),""))))))))</f>
        <v>625</v>
      </c>
      <c r="W3435" s="31" t="str">
        <f t="shared" si="390"/>
        <v>TRUE</v>
      </c>
      <c r="X3435" s="31" t="str">
        <f t="shared" si="387"/>
        <v>([spikedunkn]-[unkn])/[spike]*100</v>
      </c>
      <c r="Y3435" s="10" t="s">
        <v>1253</v>
      </c>
      <c r="AL3435" s="10" t="str">
        <f t="shared" si="392"/>
        <v>FALSE</v>
      </c>
      <c r="AM3435" s="10" t="str">
        <f t="shared" si="392"/>
        <v>FALSE</v>
      </c>
      <c r="AN3435" s="10" t="str">
        <f t="shared" si="392"/>
        <v>FALSE</v>
      </c>
      <c r="AO3435" s="10" t="str">
        <f t="shared" si="393"/>
        <v>FALSE</v>
      </c>
      <c r="AP3435" s="10" t="str">
        <f t="shared" si="393"/>
        <v>FALSE</v>
      </c>
      <c r="AQ3435" s="10" t="b">
        <f>IF(AND(I3435="TP",S3435&lt;=150),VLOOKUP(AF3435,TPCalibEq150!$AZ$2:$BB$55,3,),IF(AND(I3435="TDP",S3435&lt;=150),VLOOKUP(AF3435,TPCalibEq150!$AZ$2:$BB$55,3,)))</f>
        <v>0</v>
      </c>
      <c r="AR3435" s="10" t="b">
        <f>IF(AND(I3435="TP",S3435&lt;=300),VLOOKUP(AF3435,TPCalibEq300!$AZ$2:$BB$55,3,),IF(AND(I3435="TDP",S3435&lt;=300),VLOOKUP(AF3435,TPCalibEq300!$AZ$2:$BB$55,3,)))</f>
        <v>0</v>
      </c>
      <c r="AS3435" s="10" t="b">
        <f>IF(AND(I3435="TP",S3435&lt;=500),VLOOKUP(AF3435,TPCalibEq500!$AZ$2:$BB$56,3,),IF(AND(I3435="TDP",S3435&lt;=500),VLOOKUP(AF3435,TPCalibEq500!$AZ$2:$BB$56,3,)))</f>
        <v>0</v>
      </c>
      <c r="AT3435" s="10" t="b">
        <f>IF(AND(I3435="TN",S3435&lt;=2800),VLOOKUP(AF3435,TNCalibEq2500!$AZ$2:$BB$56,3,),IF(AND(I3435="TDN",S3435&lt;=2800),VLOOKUP(AF3435,TNCalibEq2500!$AZ$2:$BB$56,3,)))</f>
        <v>0</v>
      </c>
      <c r="AU3435" s="10" t="b">
        <f>IF(I3435="TP",VLOOKUP(AF3435,TPCalibEqFull!$AZ$2:$BB$56,3),IF(I3435="TDP",VLOOKUP(AF3435,TPCalibEqFull!$AZ$2:$BB$56,3),IF(I3435="TDN",VLOOKUP(AF3435,TNCalibEqFull!$AZ$1:$BB$56,3),IF(I3435="TN",VLOOKUP(AF3435,TNCalibEqFull!$AZ$1:$BB$56,3),FALSE))))</f>
        <v>0</v>
      </c>
      <c r="AV3435" s="10" t="str">
        <f t="shared" si="391"/>
        <v>0221 10:39:00-BUO-48-C-1-SW-SPK</v>
      </c>
    </row>
    <row r="3436" spans="1:48" s="10" customFormat="1" x14ac:dyDescent="0.55000000000000004">
      <c r="A3436" s="32">
        <v>44979</v>
      </c>
      <c r="B3436" s="33">
        <v>0.375</v>
      </c>
      <c r="C3436" s="10" t="s">
        <v>70</v>
      </c>
      <c r="D3436" s="10" t="s">
        <v>71</v>
      </c>
      <c r="E3436" s="10" t="s">
        <v>901</v>
      </c>
      <c r="F3436" s="10">
        <v>1</v>
      </c>
      <c r="G3436" s="10" t="s">
        <v>73</v>
      </c>
      <c r="H3436" s="10" t="s">
        <v>207</v>
      </c>
      <c r="I3436" s="10" t="s">
        <v>75</v>
      </c>
      <c r="J3436" s="10">
        <v>201</v>
      </c>
      <c r="K3436" s="12">
        <v>44980</v>
      </c>
      <c r="L3436" s="33">
        <v>0.53140046296296295</v>
      </c>
      <c r="M3436" s="10">
        <v>1</v>
      </c>
      <c r="N3436" s="10" t="s">
        <v>76</v>
      </c>
      <c r="O3436" s="10">
        <v>4.7300000000000004</v>
      </c>
      <c r="P3436" s="10">
        <v>0.379</v>
      </c>
      <c r="Q3436" s="10">
        <v>295</v>
      </c>
      <c r="R3436" s="10" t="s">
        <v>77</v>
      </c>
      <c r="S3436" s="34">
        <f t="shared" si="388"/>
        <v>295</v>
      </c>
      <c r="T3436" s="10" t="s">
        <v>1260</v>
      </c>
      <c r="U3436" s="34">
        <f t="shared" si="389"/>
        <v>98.333333333333329</v>
      </c>
      <c r="V3436" s="31">
        <f>IF(H3436="CHK",VLOOKUP(I3436,QCCHK,3,),IF(H3436="GUP",VLOOKUP(E3436,QCGUP,2,),IF(AND(H3436="ATP",OR(I3436="TN",I3436="TDN",I3436="TNO2-3",I3436="NO2-3")),VLOOKUP(E3436,QCREC_N,2,),IF(AND(H3436="NIC",OR(I3436="TN",I3436="TDN",I3436="TNO2-3",I3436="NO2-3")),VLOOKUP(E3436,QCNIC_N,2,),IF(AND(H3436="UREA",OR(I3436="TN",I3436="TDN",I3436="TNO2-3",I3436="NO2-3")),VLOOKUP(E3436,QCUREA_N,2,),IF(H3436="PER",VLOOKUP(I3436,QCPER,MATCH(E3436,QCACTUAL!$J$25:$AA$25,0),),IF(H3436="SPK",VLOOKUP(I3436,QCSPK,3,),IF(AND(H3436="ATP",OR(I3436="TP",I3436="TDP")),VLOOKUP(E3436,QCATP_P,2,),""))))))))</f>
        <v>300</v>
      </c>
      <c r="W3436" s="31" t="str">
        <f t="shared" si="390"/>
        <v>TRUE</v>
      </c>
      <c r="X3436" s="31" t="str">
        <f t="shared" si="387"/>
        <v>[chk]/[actual]*100</v>
      </c>
      <c r="Y3436" s="10" t="s">
        <v>1253</v>
      </c>
      <c r="AL3436" s="10" t="str">
        <f t="shared" si="392"/>
        <v>FALSE</v>
      </c>
      <c r="AM3436" s="10" t="str">
        <f t="shared" si="392"/>
        <v>FALSE</v>
      </c>
      <c r="AN3436" s="10" t="str">
        <f t="shared" si="392"/>
        <v>FALSE</v>
      </c>
      <c r="AO3436" s="10" t="str">
        <f t="shared" si="393"/>
        <v>FALSE</v>
      </c>
      <c r="AP3436" s="10" t="str">
        <f t="shared" si="393"/>
        <v>FALSE</v>
      </c>
      <c r="AQ3436" s="10" t="b">
        <f>IF(AND(I3436="TP",S3436&lt;=150),VLOOKUP(AF3436,TPCalibEq150!$AZ$2:$BB$55,3,),IF(AND(I3436="TDP",S3436&lt;=150),VLOOKUP(AF3436,TPCalibEq150!$AZ$2:$BB$55,3,)))</f>
        <v>0</v>
      </c>
      <c r="AR3436" s="10" t="b">
        <f>IF(AND(I3436="TP",S3436&lt;=300),VLOOKUP(AF3436,TPCalibEq300!$AZ$2:$BB$55,3,),IF(AND(I3436="TDP",S3436&lt;=300),VLOOKUP(AF3436,TPCalibEq300!$AZ$2:$BB$55,3,)))</f>
        <v>0</v>
      </c>
      <c r="AS3436" s="10" t="b">
        <f>IF(AND(I3436="TP",S3436&lt;=500),VLOOKUP(AF3436,TPCalibEq500!$AZ$2:$BB$56,3,),IF(AND(I3436="TDP",S3436&lt;=500),VLOOKUP(AF3436,TPCalibEq500!$AZ$2:$BB$56,3,)))</f>
        <v>0</v>
      </c>
      <c r="AT3436" s="10" t="b">
        <f>IF(AND(I3436="TN",S3436&lt;=2800),VLOOKUP(AF3436,TNCalibEq2500!$AZ$2:$BB$56,3,),IF(AND(I3436="TDN",S3436&lt;=2800),VLOOKUP(AF3436,TNCalibEq2500!$AZ$2:$BB$56,3,)))</f>
        <v>0</v>
      </c>
      <c r="AU3436" s="10" t="b">
        <f>IF(I3436="TP",VLOOKUP(AF3436,TPCalibEqFull!$AZ$2:$BB$56,3),IF(I3436="TDP",VLOOKUP(AF3436,TPCalibEqFull!$AZ$2:$BB$56,3),IF(I3436="TDN",VLOOKUP(AF3436,TNCalibEqFull!$AZ$1:$BB$56,3),IF(I3436="TN",VLOOKUP(AF3436,TNCalibEqFull!$AZ$1:$BB$56,3),FALSE))))</f>
        <v>0</v>
      </c>
      <c r="AV3436" s="10" t="str">
        <f t="shared" si="391"/>
        <v>0222 09:00:00-QAC-STD-D-1-DI-CHK</v>
      </c>
    </row>
    <row r="3437" spans="1:48" s="10" customFormat="1" x14ac:dyDescent="0.55000000000000004">
      <c r="A3437" s="32">
        <v>44972</v>
      </c>
      <c r="B3437" s="33">
        <v>0.22430555555555556</v>
      </c>
      <c r="C3437" s="10" t="s">
        <v>279</v>
      </c>
      <c r="D3437" s="10">
        <v>0</v>
      </c>
      <c r="E3437" s="10" t="s">
        <v>911</v>
      </c>
      <c r="F3437" s="10">
        <v>1</v>
      </c>
      <c r="G3437" s="10" t="s">
        <v>231</v>
      </c>
      <c r="H3437" s="10" t="s">
        <v>322</v>
      </c>
      <c r="I3437" s="10" t="s">
        <v>183</v>
      </c>
      <c r="J3437" s="10">
        <v>41</v>
      </c>
      <c r="K3437" s="12">
        <v>44980</v>
      </c>
      <c r="L3437" s="33">
        <v>0.53221064814814811</v>
      </c>
      <c r="M3437" s="10">
        <v>1</v>
      </c>
      <c r="N3437" s="10" t="s">
        <v>76</v>
      </c>
      <c r="O3437" s="10">
        <v>0.38</v>
      </c>
      <c r="P3437" s="10">
        <v>3.1199999999999999E-2</v>
      </c>
      <c r="Q3437" s="10">
        <v>23.9</v>
      </c>
      <c r="R3437" s="10" t="s">
        <v>77</v>
      </c>
      <c r="S3437" s="34">
        <f t="shared" si="388"/>
        <v>23.9</v>
      </c>
      <c r="T3437" s="10" t="s">
        <v>1260</v>
      </c>
      <c r="U3437" s="34" t="str">
        <f t="shared" si="389"/>
        <v/>
      </c>
      <c r="V3437" s="31" t="str">
        <f>IF(H3437="CHK",VLOOKUP(I3437,QCCHK,3,),IF(H3437="GUP",VLOOKUP(E3437,QCGUP,2,),IF(AND(H3437="ATP",OR(I3437="TN",I3437="TDN",I3437="TNO2-3",I3437="NO2-3")),VLOOKUP(E3437,QCREC_N,2,),IF(AND(H3437="NIC",OR(I3437="TN",I3437="TDN",I3437="TNO2-3",I3437="NO2-3")),VLOOKUP(E3437,QCNIC_N,2,),IF(AND(H3437="UREA",OR(I3437="TN",I3437="TDN",I3437="TNO2-3",I3437="NO2-3")),VLOOKUP(E3437,QCUREA_N,2,),IF(H3437="PER",VLOOKUP(I3437,QCPER,MATCH(E3437,QCACTUAL!$J$25:$AA$25,0),),IF(H3437="SPK",VLOOKUP(I3437,QCSPK,3,),IF(AND(H3437="ATP",OR(I3437="TP",I3437="TDP")),VLOOKUP(E3437,QCATP_P,2,),""))))))))</f>
        <v/>
      </c>
      <c r="W3437" s="31" t="str">
        <f t="shared" si="390"/>
        <v>TRUE</v>
      </c>
      <c r="X3437" s="31" t="str">
        <f t="shared" si="387"/>
        <v/>
      </c>
      <c r="Y3437" s="10" t="s">
        <v>1253</v>
      </c>
      <c r="Z3437" s="10" t="s">
        <v>910</v>
      </c>
      <c r="AL3437" s="10" t="str">
        <f t="shared" si="392"/>
        <v>FALSE</v>
      </c>
      <c r="AM3437" s="10" t="str">
        <f t="shared" si="392"/>
        <v>FALSE</v>
      </c>
      <c r="AN3437" s="10" t="str">
        <f t="shared" si="392"/>
        <v>FALSE</v>
      </c>
      <c r="AO3437" s="10" t="str">
        <f t="shared" si="393"/>
        <v>FALSE</v>
      </c>
      <c r="AP3437" s="10" t="str">
        <f t="shared" si="393"/>
        <v>FALSE</v>
      </c>
      <c r="AQ3437" s="10" t="b">
        <f>IF(AND(I3437="TP",S3437&lt;=150),VLOOKUP(AF3437,TPCalibEq150!$AZ$2:$BB$55,3,),IF(AND(I3437="TDP",S3437&lt;=150),VLOOKUP(AF3437,TPCalibEq150!$AZ$2:$BB$55,3,)))</f>
        <v>0</v>
      </c>
      <c r="AR3437" s="10" t="b">
        <f>IF(AND(I3437="TP",S3437&lt;=300),VLOOKUP(AF3437,TPCalibEq300!$AZ$2:$BB$55,3,),IF(AND(I3437="TDP",S3437&lt;=300),VLOOKUP(AF3437,TPCalibEq300!$AZ$2:$BB$55,3,)))</f>
        <v>0</v>
      </c>
      <c r="AS3437" s="10" t="b">
        <f>IF(AND(I3437="TP",S3437&lt;=500),VLOOKUP(AF3437,TPCalibEq500!$AZ$2:$BB$56,3,),IF(AND(I3437="TDP",S3437&lt;=500),VLOOKUP(AF3437,TPCalibEq500!$AZ$2:$BB$56,3,)))</f>
        <v>0</v>
      </c>
      <c r="AT3437" s="10" t="b">
        <f>IF(AND(I3437="TN",S3437&lt;=2800),VLOOKUP(AF3437,TNCalibEq2500!$AZ$2:$BB$56,3,),IF(AND(I3437="TDN",S3437&lt;=2800),VLOOKUP(AF3437,TNCalibEq2500!$AZ$2:$BB$56,3,)))</f>
        <v>0</v>
      </c>
      <c r="AU3437" s="10" t="b">
        <f>IF(I3437="TP",VLOOKUP(AF3437,TPCalibEqFull!$AZ$2:$BB$56,3),IF(I3437="TDP",VLOOKUP(AF3437,TPCalibEqFull!$AZ$2:$BB$56,3),IF(I3437="TDN",VLOOKUP(AF3437,TNCalibEqFull!$AZ$1:$BB$56,3),IF(I3437="TN",VLOOKUP(AF3437,TNCalibEqFull!$AZ$1:$BB$56,3),FALSE))))</f>
        <v>0</v>
      </c>
      <c r="AV3437" s="10" t="str">
        <f t="shared" si="391"/>
        <v>0215 05:23:00-EFK-0-FIL-1-SW-UKN</v>
      </c>
    </row>
    <row r="3438" spans="1:48" s="10" customFormat="1" x14ac:dyDescent="0.55000000000000004">
      <c r="A3438" s="32">
        <v>44972</v>
      </c>
      <c r="B3438" s="33">
        <v>0.22777777777777777</v>
      </c>
      <c r="C3438" s="10" t="s">
        <v>333</v>
      </c>
      <c r="D3438" s="10">
        <v>0</v>
      </c>
      <c r="E3438" s="10" t="s">
        <v>911</v>
      </c>
      <c r="F3438" s="10">
        <v>1</v>
      </c>
      <c r="G3438" s="10" t="s">
        <v>231</v>
      </c>
      <c r="H3438" s="10" t="s">
        <v>322</v>
      </c>
      <c r="I3438" s="10" t="s">
        <v>183</v>
      </c>
      <c r="J3438" s="10">
        <v>42</v>
      </c>
      <c r="K3438" s="12">
        <v>44980</v>
      </c>
      <c r="L3438" s="33">
        <v>0.53302083333333339</v>
      </c>
      <c r="M3438" s="10">
        <v>1</v>
      </c>
      <c r="N3438" s="10" t="s">
        <v>76</v>
      </c>
      <c r="O3438" s="10">
        <v>6.1199999999999997E-2</v>
      </c>
      <c r="P3438" s="10">
        <v>5.8399999999999997E-3</v>
      </c>
      <c r="Q3438" s="10">
        <v>3.85</v>
      </c>
      <c r="R3438" s="10" t="s">
        <v>77</v>
      </c>
      <c r="S3438" s="34">
        <f t="shared" si="388"/>
        <v>3.85</v>
      </c>
      <c r="T3438" s="10" t="s">
        <v>1260</v>
      </c>
      <c r="U3438" s="34" t="str">
        <f t="shared" si="389"/>
        <v/>
      </c>
      <c r="V3438" s="31" t="str">
        <f>IF(H3438="CHK",VLOOKUP(I3438,QCCHK,3,),IF(H3438="GUP",VLOOKUP(E3438,QCGUP,2,),IF(AND(H3438="ATP",OR(I3438="TN",I3438="TDN",I3438="TNO2-3",I3438="NO2-3")),VLOOKUP(E3438,QCREC_N,2,),IF(AND(H3438="NIC",OR(I3438="TN",I3438="TDN",I3438="TNO2-3",I3438="NO2-3")),VLOOKUP(E3438,QCNIC_N,2,),IF(AND(H3438="UREA",OR(I3438="TN",I3438="TDN",I3438="TNO2-3",I3438="NO2-3")),VLOOKUP(E3438,QCUREA_N,2,),IF(H3438="PER",VLOOKUP(I3438,QCPER,MATCH(E3438,QCACTUAL!$J$25:$AA$25,0),),IF(H3438="SPK",VLOOKUP(I3438,QCSPK,3,),IF(AND(H3438="ATP",OR(I3438="TP",I3438="TDP")),VLOOKUP(E3438,QCATP_P,2,),""))))))))</f>
        <v/>
      </c>
      <c r="W3438" s="31" t="str">
        <f t="shared" si="390"/>
        <v>TRUE</v>
      </c>
      <c r="X3438" s="31" t="str">
        <f t="shared" si="387"/>
        <v/>
      </c>
      <c r="Y3438" s="10" t="s">
        <v>1253</v>
      </c>
      <c r="Z3438" s="10" t="s">
        <v>910</v>
      </c>
      <c r="AL3438" s="10" t="str">
        <f t="shared" si="392"/>
        <v>FALSE</v>
      </c>
      <c r="AM3438" s="10" t="str">
        <f t="shared" si="392"/>
        <v>FALSE</v>
      </c>
      <c r="AN3438" s="10" t="str">
        <f t="shared" si="392"/>
        <v>FALSE</v>
      </c>
      <c r="AO3438" s="10" t="str">
        <f t="shared" si="393"/>
        <v>FALSE</v>
      </c>
      <c r="AP3438" s="10" t="str">
        <f t="shared" si="393"/>
        <v>FALSE</v>
      </c>
      <c r="AQ3438" s="10" t="b">
        <f>IF(AND(I3438="TP",S3438&lt;=150),VLOOKUP(AF3438,TPCalibEq150!$AZ$2:$BB$55,3,),IF(AND(I3438="TDP",S3438&lt;=150),VLOOKUP(AF3438,TPCalibEq150!$AZ$2:$BB$55,3,)))</f>
        <v>0</v>
      </c>
      <c r="AR3438" s="10" t="b">
        <f>IF(AND(I3438="TP",S3438&lt;=300),VLOOKUP(AF3438,TPCalibEq300!$AZ$2:$BB$55,3,),IF(AND(I3438="TDP",S3438&lt;=300),VLOOKUP(AF3438,TPCalibEq300!$AZ$2:$BB$55,3,)))</f>
        <v>0</v>
      </c>
      <c r="AS3438" s="10" t="b">
        <f>IF(AND(I3438="TP",S3438&lt;=500),VLOOKUP(AF3438,TPCalibEq500!$AZ$2:$BB$56,3,),IF(AND(I3438="TDP",S3438&lt;=500),VLOOKUP(AF3438,TPCalibEq500!$AZ$2:$BB$56,3,)))</f>
        <v>0</v>
      </c>
      <c r="AT3438" s="10" t="b">
        <f>IF(AND(I3438="TN",S3438&lt;=2800),VLOOKUP(AF3438,TNCalibEq2500!$AZ$2:$BB$56,3,),IF(AND(I3438="TDN",S3438&lt;=2800),VLOOKUP(AF3438,TNCalibEq2500!$AZ$2:$BB$56,3,)))</f>
        <v>0</v>
      </c>
      <c r="AU3438" s="10" t="b">
        <f>IF(I3438="TP",VLOOKUP(AF3438,TPCalibEqFull!$AZ$2:$BB$56,3),IF(I3438="TDP",VLOOKUP(AF3438,TPCalibEqFull!$AZ$2:$BB$56,3),IF(I3438="TDN",VLOOKUP(AF3438,TNCalibEqFull!$AZ$1:$BB$56,3),IF(I3438="TN",VLOOKUP(AF3438,TNCalibEqFull!$AZ$1:$BB$56,3),FALSE))))</f>
        <v>0</v>
      </c>
      <c r="AV3438" s="10" t="str">
        <f t="shared" si="391"/>
        <v>0215 05:28:00-HST-0-FIL-1-SW-UKN</v>
      </c>
    </row>
    <row r="3439" spans="1:48" s="10" customFormat="1" x14ac:dyDescent="0.55000000000000004">
      <c r="A3439" s="32">
        <v>44974</v>
      </c>
      <c r="B3439" s="33">
        <v>0.36388888888888887</v>
      </c>
      <c r="C3439" s="10" t="s">
        <v>279</v>
      </c>
      <c r="D3439" s="10">
        <v>0</v>
      </c>
      <c r="E3439" s="10" t="s">
        <v>911</v>
      </c>
      <c r="F3439" s="10">
        <v>1</v>
      </c>
      <c r="G3439" s="10" t="s">
        <v>231</v>
      </c>
      <c r="H3439" s="10" t="s">
        <v>322</v>
      </c>
      <c r="I3439" s="10" t="s">
        <v>183</v>
      </c>
      <c r="J3439" s="10">
        <v>43</v>
      </c>
      <c r="K3439" s="12">
        <v>44980</v>
      </c>
      <c r="L3439" s="33">
        <v>0.53383101851851855</v>
      </c>
      <c r="M3439" s="10">
        <v>1</v>
      </c>
      <c r="N3439" s="10" t="s">
        <v>76</v>
      </c>
      <c r="O3439" s="10">
        <v>0.64300000000000002</v>
      </c>
      <c r="P3439" s="10">
        <v>5.1299999999999998E-2</v>
      </c>
      <c r="Q3439" s="10">
        <v>40.4</v>
      </c>
      <c r="R3439" s="10" t="s">
        <v>77</v>
      </c>
      <c r="S3439" s="34">
        <f t="shared" si="388"/>
        <v>40.4</v>
      </c>
      <c r="T3439" s="10" t="s">
        <v>1260</v>
      </c>
      <c r="U3439" s="34" t="str">
        <f t="shared" si="389"/>
        <v/>
      </c>
      <c r="V3439" s="31" t="str">
        <f>IF(H3439="CHK",VLOOKUP(I3439,QCCHK,3,),IF(H3439="GUP",VLOOKUP(E3439,QCGUP,2,),IF(AND(H3439="ATP",OR(I3439="TN",I3439="TDN",I3439="TNO2-3",I3439="NO2-3")),VLOOKUP(E3439,QCREC_N,2,),IF(AND(H3439="NIC",OR(I3439="TN",I3439="TDN",I3439="TNO2-3",I3439="NO2-3")),VLOOKUP(E3439,QCNIC_N,2,),IF(AND(H3439="UREA",OR(I3439="TN",I3439="TDN",I3439="TNO2-3",I3439="NO2-3")),VLOOKUP(E3439,QCUREA_N,2,),IF(H3439="PER",VLOOKUP(I3439,QCPER,MATCH(E3439,QCACTUAL!$J$25:$AA$25,0),),IF(H3439="SPK",VLOOKUP(I3439,QCSPK,3,),IF(AND(H3439="ATP",OR(I3439="TP",I3439="TDP")),VLOOKUP(E3439,QCATP_P,2,),""))))))))</f>
        <v/>
      </c>
      <c r="W3439" s="31" t="str">
        <f t="shared" si="390"/>
        <v>TRUE</v>
      </c>
      <c r="X3439" s="31" t="str">
        <f t="shared" si="387"/>
        <v/>
      </c>
      <c r="Y3439" s="10" t="s">
        <v>1253</v>
      </c>
      <c r="Z3439" s="10" t="s">
        <v>910</v>
      </c>
      <c r="AL3439" s="10" t="str">
        <f t="shared" si="392"/>
        <v>FALSE</v>
      </c>
      <c r="AM3439" s="10" t="str">
        <f t="shared" si="392"/>
        <v>FALSE</v>
      </c>
      <c r="AN3439" s="10" t="str">
        <f t="shared" si="392"/>
        <v>FALSE</v>
      </c>
      <c r="AO3439" s="10" t="str">
        <f t="shared" si="393"/>
        <v>FALSE</v>
      </c>
      <c r="AP3439" s="10" t="str">
        <f t="shared" si="393"/>
        <v>FALSE</v>
      </c>
      <c r="AQ3439" s="10" t="b">
        <f>IF(AND(I3439="TP",S3439&lt;=150),VLOOKUP(AF3439,TPCalibEq150!$AZ$2:$BB$55,3,),IF(AND(I3439="TDP",S3439&lt;=150),VLOOKUP(AF3439,TPCalibEq150!$AZ$2:$BB$55,3,)))</f>
        <v>0</v>
      </c>
      <c r="AR3439" s="10" t="b">
        <f>IF(AND(I3439="TP",S3439&lt;=300),VLOOKUP(AF3439,TPCalibEq300!$AZ$2:$BB$55,3,),IF(AND(I3439="TDP",S3439&lt;=300),VLOOKUP(AF3439,TPCalibEq300!$AZ$2:$BB$55,3,)))</f>
        <v>0</v>
      </c>
      <c r="AS3439" s="10" t="b">
        <f>IF(AND(I3439="TP",S3439&lt;=500),VLOOKUP(AF3439,TPCalibEq500!$AZ$2:$BB$56,3,),IF(AND(I3439="TDP",S3439&lt;=500),VLOOKUP(AF3439,TPCalibEq500!$AZ$2:$BB$56,3,)))</f>
        <v>0</v>
      </c>
      <c r="AT3439" s="10" t="b">
        <f>IF(AND(I3439="TN",S3439&lt;=2800),VLOOKUP(AF3439,TNCalibEq2500!$AZ$2:$BB$56,3,),IF(AND(I3439="TDN",S3439&lt;=2800),VLOOKUP(AF3439,TNCalibEq2500!$AZ$2:$BB$56,3,)))</f>
        <v>0</v>
      </c>
      <c r="AU3439" s="10" t="b">
        <f>IF(I3439="TP",VLOOKUP(AF3439,TPCalibEqFull!$AZ$2:$BB$56,3),IF(I3439="TDP",VLOOKUP(AF3439,TPCalibEqFull!$AZ$2:$BB$56,3),IF(I3439="TDN",VLOOKUP(AF3439,TNCalibEqFull!$AZ$1:$BB$56,3),IF(I3439="TN",VLOOKUP(AF3439,TNCalibEqFull!$AZ$1:$BB$56,3),FALSE))))</f>
        <v>0</v>
      </c>
      <c r="AV3439" s="10" t="str">
        <f t="shared" si="391"/>
        <v>0217 08:44:00-EFK-0-FIL-1-SW-UKN</v>
      </c>
    </row>
    <row r="3440" spans="1:48" s="10" customFormat="1" x14ac:dyDescent="0.55000000000000004">
      <c r="A3440" s="32">
        <v>44974</v>
      </c>
      <c r="B3440" s="33">
        <v>0.35833333333333334</v>
      </c>
      <c r="C3440" s="10" t="s">
        <v>333</v>
      </c>
      <c r="D3440" s="10">
        <v>0</v>
      </c>
      <c r="E3440" s="10" t="s">
        <v>911</v>
      </c>
      <c r="F3440" s="10">
        <v>1</v>
      </c>
      <c r="G3440" s="10" t="s">
        <v>231</v>
      </c>
      <c r="H3440" s="10" t="s">
        <v>322</v>
      </c>
      <c r="I3440" s="10" t="s">
        <v>183</v>
      </c>
      <c r="J3440" s="10">
        <v>44</v>
      </c>
      <c r="K3440" s="12">
        <v>44980</v>
      </c>
      <c r="L3440" s="33">
        <v>0.53464120370370372</v>
      </c>
      <c r="M3440" s="10">
        <v>1</v>
      </c>
      <c r="N3440" s="10" t="s">
        <v>76</v>
      </c>
      <c r="O3440" s="10">
        <v>0.33500000000000002</v>
      </c>
      <c r="P3440" s="10">
        <v>2.7199999999999998E-2</v>
      </c>
      <c r="Q3440" s="10">
        <v>21</v>
      </c>
      <c r="R3440" s="10" t="s">
        <v>77</v>
      </c>
      <c r="S3440" s="34">
        <f t="shared" si="388"/>
        <v>21</v>
      </c>
      <c r="T3440" s="10" t="s">
        <v>1260</v>
      </c>
      <c r="U3440" s="34" t="str">
        <f t="shared" si="389"/>
        <v/>
      </c>
      <c r="V3440" s="31" t="str">
        <f>IF(H3440="CHK",VLOOKUP(I3440,QCCHK,3,),IF(H3440="GUP",VLOOKUP(E3440,QCGUP,2,),IF(AND(H3440="ATP",OR(I3440="TN",I3440="TDN",I3440="TNO2-3",I3440="NO2-3")),VLOOKUP(E3440,QCREC_N,2,),IF(AND(H3440="NIC",OR(I3440="TN",I3440="TDN",I3440="TNO2-3",I3440="NO2-3")),VLOOKUP(E3440,QCNIC_N,2,),IF(AND(H3440="UREA",OR(I3440="TN",I3440="TDN",I3440="TNO2-3",I3440="NO2-3")),VLOOKUP(E3440,QCUREA_N,2,),IF(H3440="PER",VLOOKUP(I3440,QCPER,MATCH(E3440,QCACTUAL!$J$25:$AA$25,0),),IF(H3440="SPK",VLOOKUP(I3440,QCSPK,3,),IF(AND(H3440="ATP",OR(I3440="TP",I3440="TDP")),VLOOKUP(E3440,QCATP_P,2,),""))))))))</f>
        <v/>
      </c>
      <c r="W3440" s="31" t="str">
        <f t="shared" si="390"/>
        <v>TRUE</v>
      </c>
      <c r="X3440" s="31" t="str">
        <f t="shared" si="387"/>
        <v/>
      </c>
      <c r="Y3440" s="10" t="s">
        <v>1253</v>
      </c>
      <c r="Z3440" s="10" t="s">
        <v>910</v>
      </c>
      <c r="AL3440" s="10" t="str">
        <f t="shared" si="392"/>
        <v>FALSE</v>
      </c>
      <c r="AM3440" s="10" t="str">
        <f t="shared" si="392"/>
        <v>FALSE</v>
      </c>
      <c r="AN3440" s="10" t="str">
        <f t="shared" si="392"/>
        <v>FALSE</v>
      </c>
      <c r="AO3440" s="10" t="str">
        <f t="shared" si="393"/>
        <v>FALSE</v>
      </c>
      <c r="AP3440" s="10" t="str">
        <f t="shared" si="393"/>
        <v>FALSE</v>
      </c>
      <c r="AQ3440" s="10" t="b">
        <f>IF(AND(I3440="TP",S3440&lt;=150),VLOOKUP(AF3440,TPCalibEq150!$AZ$2:$BB$55,3,),IF(AND(I3440="TDP",S3440&lt;=150),VLOOKUP(AF3440,TPCalibEq150!$AZ$2:$BB$55,3,)))</f>
        <v>0</v>
      </c>
      <c r="AR3440" s="10" t="b">
        <f>IF(AND(I3440="TP",S3440&lt;=300),VLOOKUP(AF3440,TPCalibEq300!$AZ$2:$BB$55,3,),IF(AND(I3440="TDP",S3440&lt;=300),VLOOKUP(AF3440,TPCalibEq300!$AZ$2:$BB$55,3,)))</f>
        <v>0</v>
      </c>
      <c r="AS3440" s="10" t="b">
        <f>IF(AND(I3440="TP",S3440&lt;=500),VLOOKUP(AF3440,TPCalibEq500!$AZ$2:$BB$56,3,),IF(AND(I3440="TDP",S3440&lt;=500),VLOOKUP(AF3440,TPCalibEq500!$AZ$2:$BB$56,3,)))</f>
        <v>0</v>
      </c>
      <c r="AT3440" s="10" t="b">
        <f>IF(AND(I3440="TN",S3440&lt;=2800),VLOOKUP(AF3440,TNCalibEq2500!$AZ$2:$BB$56,3,),IF(AND(I3440="TDN",S3440&lt;=2800),VLOOKUP(AF3440,TNCalibEq2500!$AZ$2:$BB$56,3,)))</f>
        <v>0</v>
      </c>
      <c r="AU3440" s="10" t="b">
        <f>IF(I3440="TP",VLOOKUP(AF3440,TPCalibEqFull!$AZ$2:$BB$56,3),IF(I3440="TDP",VLOOKUP(AF3440,TPCalibEqFull!$AZ$2:$BB$56,3),IF(I3440="TDN",VLOOKUP(AF3440,TNCalibEqFull!$AZ$1:$BB$56,3),IF(I3440="TN",VLOOKUP(AF3440,TNCalibEqFull!$AZ$1:$BB$56,3),FALSE))))</f>
        <v>0</v>
      </c>
      <c r="AV3440" s="10" t="str">
        <f t="shared" si="391"/>
        <v>0217 08:36:00-HST-0-FIL-1-SW-UKN</v>
      </c>
    </row>
    <row r="3441" spans="1:48" s="10" customFormat="1" x14ac:dyDescent="0.55000000000000004">
      <c r="A3441" s="32">
        <v>44978</v>
      </c>
      <c r="B3441" s="33">
        <v>0.31597222222222221</v>
      </c>
      <c r="C3441" s="10" t="s">
        <v>279</v>
      </c>
      <c r="D3441" s="10">
        <v>0</v>
      </c>
      <c r="E3441" s="10" t="s">
        <v>911</v>
      </c>
      <c r="F3441" s="10">
        <v>1</v>
      </c>
      <c r="G3441" s="10" t="s">
        <v>231</v>
      </c>
      <c r="H3441" s="10" t="s">
        <v>322</v>
      </c>
      <c r="I3441" s="10" t="s">
        <v>183</v>
      </c>
      <c r="J3441" s="10">
        <v>45</v>
      </c>
      <c r="K3441" s="12">
        <v>44980</v>
      </c>
      <c r="L3441" s="33">
        <v>0.53543981481481484</v>
      </c>
      <c r="M3441" s="10">
        <v>1</v>
      </c>
      <c r="N3441" s="10" t="s">
        <v>76</v>
      </c>
      <c r="O3441" s="10">
        <v>0.61299999999999999</v>
      </c>
      <c r="P3441" s="10">
        <v>4.9599999999999998E-2</v>
      </c>
      <c r="Q3441" s="10">
        <v>38.5</v>
      </c>
      <c r="R3441" s="10" t="s">
        <v>77</v>
      </c>
      <c r="S3441" s="34">
        <f t="shared" si="388"/>
        <v>38.5</v>
      </c>
      <c r="T3441" s="10" t="s">
        <v>1260</v>
      </c>
      <c r="U3441" s="34" t="str">
        <f t="shared" si="389"/>
        <v/>
      </c>
      <c r="V3441" s="31" t="str">
        <f>IF(H3441="CHK",VLOOKUP(I3441,QCCHK,3,),IF(H3441="GUP",VLOOKUP(E3441,QCGUP,2,),IF(AND(H3441="ATP",OR(I3441="TN",I3441="TDN",I3441="TNO2-3",I3441="NO2-3")),VLOOKUP(E3441,QCREC_N,2,),IF(AND(H3441="NIC",OR(I3441="TN",I3441="TDN",I3441="TNO2-3",I3441="NO2-3")),VLOOKUP(E3441,QCNIC_N,2,),IF(AND(H3441="UREA",OR(I3441="TN",I3441="TDN",I3441="TNO2-3",I3441="NO2-3")),VLOOKUP(E3441,QCUREA_N,2,),IF(H3441="PER",VLOOKUP(I3441,QCPER,MATCH(E3441,QCACTUAL!$J$25:$AA$25,0),),IF(H3441="SPK",VLOOKUP(I3441,QCSPK,3,),IF(AND(H3441="ATP",OR(I3441="TP",I3441="TDP")),VLOOKUP(E3441,QCATP_P,2,),""))))))))</f>
        <v/>
      </c>
      <c r="W3441" s="31" t="str">
        <f t="shared" si="390"/>
        <v>TRUE</v>
      </c>
      <c r="X3441" s="31" t="str">
        <f t="shared" si="387"/>
        <v/>
      </c>
      <c r="Y3441" s="10" t="s">
        <v>1253</v>
      </c>
      <c r="AL3441" s="10" t="str">
        <f t="shared" si="392"/>
        <v>FALSE</v>
      </c>
      <c r="AM3441" s="10" t="str">
        <f t="shared" si="392"/>
        <v>FALSE</v>
      </c>
      <c r="AN3441" s="10" t="str">
        <f t="shared" si="392"/>
        <v>FALSE</v>
      </c>
      <c r="AO3441" s="10" t="str">
        <f t="shared" si="393"/>
        <v>FALSE</v>
      </c>
      <c r="AP3441" s="10" t="str">
        <f t="shared" si="393"/>
        <v>FALSE</v>
      </c>
      <c r="AQ3441" s="10" t="b">
        <f>IF(AND(I3441="TP",S3441&lt;=150),VLOOKUP(AF3441,TPCalibEq150!$AZ$2:$BB$55,3,),IF(AND(I3441="TDP",S3441&lt;=150),VLOOKUP(AF3441,TPCalibEq150!$AZ$2:$BB$55,3,)))</f>
        <v>0</v>
      </c>
      <c r="AR3441" s="10" t="b">
        <f>IF(AND(I3441="TP",S3441&lt;=300),VLOOKUP(AF3441,TPCalibEq300!$AZ$2:$BB$55,3,),IF(AND(I3441="TDP",S3441&lt;=300),VLOOKUP(AF3441,TPCalibEq300!$AZ$2:$BB$55,3,)))</f>
        <v>0</v>
      </c>
      <c r="AS3441" s="10" t="b">
        <f>IF(AND(I3441="TP",S3441&lt;=500),VLOOKUP(AF3441,TPCalibEq500!$AZ$2:$BB$56,3,),IF(AND(I3441="TDP",S3441&lt;=500),VLOOKUP(AF3441,TPCalibEq500!$AZ$2:$BB$56,3,)))</f>
        <v>0</v>
      </c>
      <c r="AT3441" s="10" t="b">
        <f>IF(AND(I3441="TN",S3441&lt;=2800),VLOOKUP(AF3441,TNCalibEq2500!$AZ$2:$BB$56,3,),IF(AND(I3441="TDN",S3441&lt;=2800),VLOOKUP(AF3441,TNCalibEq2500!$AZ$2:$BB$56,3,)))</f>
        <v>0</v>
      </c>
      <c r="AU3441" s="10" t="b">
        <f>IF(I3441="TP",VLOOKUP(AF3441,TPCalibEqFull!$AZ$2:$BB$56,3),IF(I3441="TDP",VLOOKUP(AF3441,TPCalibEqFull!$AZ$2:$BB$56,3),IF(I3441="TDN",VLOOKUP(AF3441,TNCalibEqFull!$AZ$1:$BB$56,3),IF(I3441="TN",VLOOKUP(AF3441,TNCalibEqFull!$AZ$1:$BB$56,3),FALSE))))</f>
        <v>0</v>
      </c>
      <c r="AV3441" s="10" t="str">
        <f t="shared" si="391"/>
        <v>0221 07:35:00-EFK-0-FIL-1-SW-UKN</v>
      </c>
    </row>
    <row r="3442" spans="1:48" s="10" customFormat="1" x14ac:dyDescent="0.55000000000000004">
      <c r="A3442" s="32">
        <v>44978</v>
      </c>
      <c r="B3442" s="33">
        <v>0.31944444444444448</v>
      </c>
      <c r="C3442" s="10" t="s">
        <v>333</v>
      </c>
      <c r="D3442" s="10">
        <v>0</v>
      </c>
      <c r="E3442" s="10" t="s">
        <v>911</v>
      </c>
      <c r="F3442" s="10">
        <v>1</v>
      </c>
      <c r="G3442" s="10" t="s">
        <v>231</v>
      </c>
      <c r="H3442" s="10" t="s">
        <v>322</v>
      </c>
      <c r="I3442" s="10" t="s">
        <v>183</v>
      </c>
      <c r="J3442" s="10">
        <v>46</v>
      </c>
      <c r="K3442" s="12">
        <v>44980</v>
      </c>
      <c r="L3442" s="33">
        <v>0.53627314814814808</v>
      </c>
      <c r="M3442" s="10">
        <v>1</v>
      </c>
      <c r="N3442" s="10" t="s">
        <v>76</v>
      </c>
      <c r="O3442" s="10">
        <v>3.9699999999999999E-2</v>
      </c>
      <c r="P3442" s="10">
        <v>3.7599999999999999E-3</v>
      </c>
      <c r="Q3442" s="10">
        <v>2.4900000000000002</v>
      </c>
      <c r="R3442" s="10" t="s">
        <v>77</v>
      </c>
      <c r="S3442" s="34">
        <f t="shared" si="388"/>
        <v>2.4900000000000002</v>
      </c>
      <c r="T3442" s="10" t="s">
        <v>1260</v>
      </c>
      <c r="U3442" s="34" t="str">
        <f t="shared" si="389"/>
        <v/>
      </c>
      <c r="V3442" s="31" t="str">
        <f>IF(H3442="CHK",VLOOKUP(I3442,QCCHK,3,),IF(H3442="GUP",VLOOKUP(E3442,QCGUP,2,),IF(AND(H3442="ATP",OR(I3442="TN",I3442="TDN",I3442="TNO2-3",I3442="NO2-3")),VLOOKUP(E3442,QCREC_N,2,),IF(AND(H3442="NIC",OR(I3442="TN",I3442="TDN",I3442="TNO2-3",I3442="NO2-3")),VLOOKUP(E3442,QCNIC_N,2,),IF(AND(H3442="UREA",OR(I3442="TN",I3442="TDN",I3442="TNO2-3",I3442="NO2-3")),VLOOKUP(E3442,QCUREA_N,2,),IF(H3442="PER",VLOOKUP(I3442,QCPER,MATCH(E3442,QCACTUAL!$J$25:$AA$25,0),),IF(H3442="SPK",VLOOKUP(I3442,QCSPK,3,),IF(AND(H3442="ATP",OR(I3442="TP",I3442="TDP")),VLOOKUP(E3442,QCATP_P,2,),""))))))))</f>
        <v/>
      </c>
      <c r="W3442" s="31" t="str">
        <f t="shared" si="390"/>
        <v>TRUE</v>
      </c>
      <c r="X3442" s="31" t="str">
        <f t="shared" si="387"/>
        <v/>
      </c>
      <c r="Y3442" s="10" t="s">
        <v>1253</v>
      </c>
      <c r="AL3442" s="10" t="str">
        <f t="shared" si="392"/>
        <v>FALSE</v>
      </c>
      <c r="AM3442" s="10" t="str">
        <f t="shared" si="392"/>
        <v>FALSE</v>
      </c>
      <c r="AN3442" s="10" t="str">
        <f t="shared" si="392"/>
        <v>FALSE</v>
      </c>
      <c r="AO3442" s="10" t="str">
        <f t="shared" si="393"/>
        <v>FALSE</v>
      </c>
      <c r="AP3442" s="10" t="str">
        <f t="shared" si="393"/>
        <v>FALSE</v>
      </c>
      <c r="AQ3442" s="10" t="b">
        <f>IF(AND(I3442="TP",S3442&lt;=150),VLOOKUP(AF3442,TPCalibEq150!$AZ$2:$BB$55,3,),IF(AND(I3442="TDP",S3442&lt;=150),VLOOKUP(AF3442,TPCalibEq150!$AZ$2:$BB$55,3,)))</f>
        <v>0</v>
      </c>
      <c r="AR3442" s="10" t="b">
        <f>IF(AND(I3442="TP",S3442&lt;=300),VLOOKUP(AF3442,TPCalibEq300!$AZ$2:$BB$55,3,),IF(AND(I3442="TDP",S3442&lt;=300),VLOOKUP(AF3442,TPCalibEq300!$AZ$2:$BB$55,3,)))</f>
        <v>0</v>
      </c>
      <c r="AS3442" s="10" t="b">
        <f>IF(AND(I3442="TP",S3442&lt;=500),VLOOKUP(AF3442,TPCalibEq500!$AZ$2:$BB$56,3,),IF(AND(I3442="TDP",S3442&lt;=500),VLOOKUP(AF3442,TPCalibEq500!$AZ$2:$BB$56,3,)))</f>
        <v>0</v>
      </c>
      <c r="AT3442" s="10" t="b">
        <f>IF(AND(I3442="TN",S3442&lt;=2800),VLOOKUP(AF3442,TNCalibEq2500!$AZ$2:$BB$56,3,),IF(AND(I3442="TDN",S3442&lt;=2800),VLOOKUP(AF3442,TNCalibEq2500!$AZ$2:$BB$56,3,)))</f>
        <v>0</v>
      </c>
      <c r="AU3442" s="10" t="b">
        <f>IF(I3442="TP",VLOOKUP(AF3442,TPCalibEqFull!$AZ$2:$BB$56,3),IF(I3442="TDP",VLOOKUP(AF3442,TPCalibEqFull!$AZ$2:$BB$56,3),IF(I3442="TDN",VLOOKUP(AF3442,TNCalibEqFull!$AZ$1:$BB$56,3),IF(I3442="TN",VLOOKUP(AF3442,TNCalibEqFull!$AZ$1:$BB$56,3),FALSE))))</f>
        <v>0</v>
      </c>
      <c r="AV3442" s="10" t="str">
        <f t="shared" si="391"/>
        <v>0221 07:40:00-HST-0-FIL-1-SW-UKN</v>
      </c>
    </row>
    <row r="3443" spans="1:48" s="10" customFormat="1" x14ac:dyDescent="0.55000000000000004">
      <c r="A3443" s="32">
        <v>44978</v>
      </c>
      <c r="B3443" s="33">
        <v>0.31944444444444448</v>
      </c>
      <c r="C3443" s="10" t="s">
        <v>333</v>
      </c>
      <c r="D3443" s="10">
        <v>0</v>
      </c>
      <c r="E3443" s="10" t="s">
        <v>911</v>
      </c>
      <c r="F3443" s="10">
        <v>1</v>
      </c>
      <c r="G3443" s="10" t="s">
        <v>231</v>
      </c>
      <c r="H3443" s="10" t="s">
        <v>233</v>
      </c>
      <c r="I3443" s="10" t="s">
        <v>183</v>
      </c>
      <c r="J3443" s="10">
        <v>46</v>
      </c>
      <c r="K3443" s="12">
        <v>44980</v>
      </c>
      <c r="L3443" s="33">
        <v>0.5370949074074074</v>
      </c>
      <c r="M3443" s="10">
        <v>1</v>
      </c>
      <c r="N3443" s="10" t="s">
        <v>76</v>
      </c>
      <c r="O3443" s="10">
        <v>3.6900000000000002E-2</v>
      </c>
      <c r="P3443" s="10">
        <v>4.0000000000000001E-3</v>
      </c>
      <c r="Q3443" s="10">
        <v>2.3199999999999998</v>
      </c>
      <c r="R3443" s="10" t="s">
        <v>77</v>
      </c>
      <c r="S3443" s="34">
        <f t="shared" si="388"/>
        <v>2.3199999999999998</v>
      </c>
      <c r="T3443" s="10" t="s">
        <v>1260</v>
      </c>
      <c r="U3443" s="34">
        <f t="shared" si="389"/>
        <v>7.0686070686070828</v>
      </c>
      <c r="V3443" s="31" t="str">
        <f>IF(H3443="CHK",VLOOKUP(I3443,QCCHK,3,),IF(H3443="GUP",VLOOKUP(E3443,QCGUP,2,),IF(AND(H3443="ATP",OR(I3443="TN",I3443="TDN",I3443="TNO2-3",I3443="NO2-3")),VLOOKUP(E3443,QCREC_N,2,),IF(AND(H3443="NIC",OR(I3443="TN",I3443="TDN",I3443="TNO2-3",I3443="NO2-3")),VLOOKUP(E3443,QCNIC_N,2,),IF(AND(H3443="UREA",OR(I3443="TN",I3443="TDN",I3443="TNO2-3",I3443="NO2-3")),VLOOKUP(E3443,QCUREA_N,2,),IF(H3443="PER",VLOOKUP(I3443,QCPER,MATCH(E3443,QCACTUAL!$J$25:$AA$25,0),),IF(H3443="SPK",VLOOKUP(I3443,QCSPK,3,),IF(AND(H3443="ATP",OR(I3443="TP",I3443="TDP")),VLOOKUP(E3443,QCATP_P,2,),""))))))))</f>
        <v/>
      </c>
      <c r="W3443" s="31" t="str">
        <f t="shared" si="390"/>
        <v>TRUE</v>
      </c>
      <c r="X3443" s="31" t="str">
        <f t="shared" si="387"/>
        <v>((ABS(rep1-rep2))/((rep1+rep2)/2)*100</v>
      </c>
      <c r="Y3443" s="10" t="s">
        <v>1253</v>
      </c>
      <c r="AL3443" s="10" t="str">
        <f t="shared" si="392"/>
        <v>FALSE</v>
      </c>
      <c r="AM3443" s="10" t="str">
        <f t="shared" si="392"/>
        <v>FALSE</v>
      </c>
      <c r="AN3443" s="10" t="str">
        <f t="shared" si="392"/>
        <v>FALSE</v>
      </c>
      <c r="AO3443" s="10" t="str">
        <f t="shared" si="393"/>
        <v>FALSE</v>
      </c>
      <c r="AP3443" s="10" t="str">
        <f t="shared" si="393"/>
        <v>FALSE</v>
      </c>
      <c r="AQ3443" s="10" t="b">
        <f>IF(AND(I3443="TP",S3443&lt;=150),VLOOKUP(AF3443,TPCalibEq150!$AZ$2:$BB$55,3,),IF(AND(I3443="TDP",S3443&lt;=150),VLOOKUP(AF3443,TPCalibEq150!$AZ$2:$BB$55,3,)))</f>
        <v>0</v>
      </c>
      <c r="AR3443" s="10" t="b">
        <f>IF(AND(I3443="TP",S3443&lt;=300),VLOOKUP(AF3443,TPCalibEq300!$AZ$2:$BB$55,3,),IF(AND(I3443="TDP",S3443&lt;=300),VLOOKUP(AF3443,TPCalibEq300!$AZ$2:$BB$55,3,)))</f>
        <v>0</v>
      </c>
      <c r="AS3443" s="10" t="b">
        <f>IF(AND(I3443="TP",S3443&lt;=500),VLOOKUP(AF3443,TPCalibEq500!$AZ$2:$BB$56,3,),IF(AND(I3443="TDP",S3443&lt;=500),VLOOKUP(AF3443,TPCalibEq500!$AZ$2:$BB$56,3,)))</f>
        <v>0</v>
      </c>
      <c r="AT3443" s="10" t="b">
        <f>IF(AND(I3443="TN",S3443&lt;=2800),VLOOKUP(AF3443,TNCalibEq2500!$AZ$2:$BB$56,3,),IF(AND(I3443="TDN",S3443&lt;=2800),VLOOKUP(AF3443,TNCalibEq2500!$AZ$2:$BB$56,3,)))</f>
        <v>0</v>
      </c>
      <c r="AU3443" s="10" t="b">
        <f>IF(I3443="TP",VLOOKUP(AF3443,TPCalibEqFull!$AZ$2:$BB$56,3),IF(I3443="TDP",VLOOKUP(AF3443,TPCalibEqFull!$AZ$2:$BB$56,3),IF(I3443="TDN",VLOOKUP(AF3443,TNCalibEqFull!$AZ$1:$BB$56,3),IF(I3443="TN",VLOOKUP(AF3443,TNCalibEqFull!$AZ$1:$BB$56,3),FALSE))))</f>
        <v>0</v>
      </c>
      <c r="AV3443" s="10" t="str">
        <f t="shared" si="391"/>
        <v>0221 07:40:00-HST-0-FIL-1-SW-DUP</v>
      </c>
    </row>
    <row r="3444" spans="1:48" s="10" customFormat="1" x14ac:dyDescent="0.55000000000000004">
      <c r="A3444" s="32">
        <v>44978</v>
      </c>
      <c r="B3444" s="33">
        <v>0.31944444444444448</v>
      </c>
      <c r="C3444" s="10" t="s">
        <v>912</v>
      </c>
      <c r="D3444" s="10">
        <v>0</v>
      </c>
      <c r="E3444" s="10" t="s">
        <v>911</v>
      </c>
      <c r="F3444" s="10">
        <v>1</v>
      </c>
      <c r="G3444" s="10" t="s">
        <v>231</v>
      </c>
      <c r="H3444" s="10" t="s">
        <v>314</v>
      </c>
      <c r="I3444" s="10" t="s">
        <v>183</v>
      </c>
      <c r="J3444" s="10">
        <v>86</v>
      </c>
      <c r="K3444" s="12">
        <v>44980</v>
      </c>
      <c r="L3444" s="33">
        <v>0.53790509259259256</v>
      </c>
      <c r="M3444" s="10">
        <v>1</v>
      </c>
      <c r="N3444" s="10" t="s">
        <v>76</v>
      </c>
      <c r="O3444" s="10">
        <v>11</v>
      </c>
      <c r="P3444" s="10">
        <v>0.88400000000000001</v>
      </c>
      <c r="Q3444" s="10">
        <v>683</v>
      </c>
      <c r="R3444" s="10" t="s">
        <v>77</v>
      </c>
      <c r="S3444" s="34">
        <f t="shared" si="388"/>
        <v>683</v>
      </c>
      <c r="T3444" s="10" t="s">
        <v>1260</v>
      </c>
      <c r="U3444" s="34">
        <f t="shared" si="389"/>
        <v>108.90879999999999</v>
      </c>
      <c r="V3444" s="31">
        <f>IF(H3444="CHK",VLOOKUP(I3444,QCCHK,3,),IF(H3444="GUP",VLOOKUP(E3444,QCGUP,2,),IF(AND(H3444="ATP",OR(I3444="TN",I3444="TDN",I3444="TNO2-3",I3444="NO2-3")),VLOOKUP(E3444,QCREC_N,2,),IF(AND(H3444="NIC",OR(I3444="TN",I3444="TDN",I3444="TNO2-3",I3444="NO2-3")),VLOOKUP(E3444,QCNIC_N,2,),IF(AND(H3444="UREA",OR(I3444="TN",I3444="TDN",I3444="TNO2-3",I3444="NO2-3")),VLOOKUP(E3444,QCUREA_N,2,),IF(H3444="PER",VLOOKUP(I3444,QCPER,MATCH(E3444,QCACTUAL!$J$25:$AA$25,0),),IF(H3444="SPK",VLOOKUP(I3444,QCSPK,3,),IF(AND(H3444="ATP",OR(I3444="TP",I3444="TDP")),VLOOKUP(E3444,QCATP_P,2,),""))))))))</f>
        <v>625</v>
      </c>
      <c r="W3444" s="31" t="str">
        <f t="shared" si="390"/>
        <v>TRUE</v>
      </c>
      <c r="X3444" s="31" t="str">
        <f t="shared" si="387"/>
        <v>([spikedunkn]-[unkn])/[spike]*100</v>
      </c>
      <c r="Y3444" s="10" t="s">
        <v>1253</v>
      </c>
      <c r="AL3444" s="10" t="str">
        <f t="shared" si="392"/>
        <v>FALSE</v>
      </c>
      <c r="AM3444" s="10" t="str">
        <f t="shared" si="392"/>
        <v>FALSE</v>
      </c>
      <c r="AN3444" s="10" t="str">
        <f t="shared" si="392"/>
        <v>FALSE</v>
      </c>
      <c r="AO3444" s="10" t="str">
        <f t="shared" si="393"/>
        <v>FALSE</v>
      </c>
      <c r="AP3444" s="10" t="str">
        <f t="shared" si="393"/>
        <v>FALSE</v>
      </c>
      <c r="AQ3444" s="10" t="b">
        <f>IF(AND(I3444="TP",S3444&lt;=150),VLOOKUP(AF3444,TPCalibEq150!$AZ$2:$BB$55,3,),IF(AND(I3444="TDP",S3444&lt;=150),VLOOKUP(AF3444,TPCalibEq150!$AZ$2:$BB$55,3,)))</f>
        <v>0</v>
      </c>
      <c r="AR3444" s="10" t="b">
        <f>IF(AND(I3444="TP",S3444&lt;=300),VLOOKUP(AF3444,TPCalibEq300!$AZ$2:$BB$55,3,),IF(AND(I3444="TDP",S3444&lt;=300),VLOOKUP(AF3444,TPCalibEq300!$AZ$2:$BB$55,3,)))</f>
        <v>0</v>
      </c>
      <c r="AS3444" s="10" t="b">
        <f>IF(AND(I3444="TP",S3444&lt;=500),VLOOKUP(AF3444,TPCalibEq500!$AZ$2:$BB$56,3,),IF(AND(I3444="TDP",S3444&lt;=500),VLOOKUP(AF3444,TPCalibEq500!$AZ$2:$BB$56,3,)))</f>
        <v>0</v>
      </c>
      <c r="AT3444" s="10" t="b">
        <f>IF(AND(I3444="TN",S3444&lt;=2800),VLOOKUP(AF3444,TNCalibEq2500!$AZ$2:$BB$56,3,),IF(AND(I3444="TDN",S3444&lt;=2800),VLOOKUP(AF3444,TNCalibEq2500!$AZ$2:$BB$56,3,)))</f>
        <v>0</v>
      </c>
      <c r="AU3444" s="10" t="b">
        <f>IF(I3444="TP",VLOOKUP(AF3444,TPCalibEqFull!$AZ$2:$BB$56,3),IF(I3444="TDP",VLOOKUP(AF3444,TPCalibEqFull!$AZ$2:$BB$56,3),IF(I3444="TDN",VLOOKUP(AF3444,TNCalibEqFull!$AZ$1:$BB$56,3),IF(I3444="TN",VLOOKUP(AF3444,TNCalibEqFull!$AZ$1:$BB$56,3),FALSE))))</f>
        <v>0</v>
      </c>
      <c r="AV3444" s="10" t="str">
        <f t="shared" si="391"/>
        <v>0221 07:40:00-HST -0-FIL-1-SW-SPK</v>
      </c>
    </row>
    <row r="3445" spans="1:48" s="10" customFormat="1" x14ac:dyDescent="0.55000000000000004">
      <c r="A3445" s="32">
        <v>44979</v>
      </c>
      <c r="B3445" s="33">
        <v>0.375</v>
      </c>
      <c r="C3445" s="10" t="s">
        <v>70</v>
      </c>
      <c r="D3445" s="10" t="s">
        <v>71</v>
      </c>
      <c r="E3445" s="10" t="s">
        <v>901</v>
      </c>
      <c r="F3445" s="10">
        <v>1</v>
      </c>
      <c r="G3445" s="10" t="s">
        <v>73</v>
      </c>
      <c r="H3445" s="10" t="s">
        <v>207</v>
      </c>
      <c r="I3445" s="10" t="s">
        <v>75</v>
      </c>
      <c r="J3445" s="10">
        <v>201</v>
      </c>
      <c r="K3445" s="12">
        <v>44980</v>
      </c>
      <c r="L3445" s="33">
        <v>0.53872685185185187</v>
      </c>
      <c r="M3445" s="10">
        <v>1</v>
      </c>
      <c r="N3445" s="10" t="s">
        <v>76</v>
      </c>
      <c r="O3445" s="10">
        <v>4.76</v>
      </c>
      <c r="P3445" s="10">
        <v>0.38100000000000001</v>
      </c>
      <c r="Q3445" s="10">
        <v>297</v>
      </c>
      <c r="R3445" s="10" t="s">
        <v>77</v>
      </c>
      <c r="S3445" s="34">
        <f t="shared" si="388"/>
        <v>297</v>
      </c>
      <c r="T3445" s="10" t="s">
        <v>1260</v>
      </c>
      <c r="U3445" s="34">
        <f t="shared" si="389"/>
        <v>99</v>
      </c>
      <c r="V3445" s="31">
        <f>IF(H3445="CHK",VLOOKUP(I3445,QCCHK,3,),IF(H3445="GUP",VLOOKUP(E3445,QCGUP,2,),IF(AND(H3445="ATP",OR(I3445="TN",I3445="TDN",I3445="TNO2-3",I3445="NO2-3")),VLOOKUP(E3445,QCREC_N,2,),IF(AND(H3445="NIC",OR(I3445="TN",I3445="TDN",I3445="TNO2-3",I3445="NO2-3")),VLOOKUP(E3445,QCNIC_N,2,),IF(AND(H3445="UREA",OR(I3445="TN",I3445="TDN",I3445="TNO2-3",I3445="NO2-3")),VLOOKUP(E3445,QCUREA_N,2,),IF(H3445="PER",VLOOKUP(I3445,QCPER,MATCH(E3445,QCACTUAL!$J$25:$AA$25,0),),IF(H3445="SPK",VLOOKUP(I3445,QCSPK,3,),IF(AND(H3445="ATP",OR(I3445="TP",I3445="TDP")),VLOOKUP(E3445,QCATP_P,2,),""))))))))</f>
        <v>300</v>
      </c>
      <c r="W3445" s="31" t="str">
        <f t="shared" si="390"/>
        <v>TRUE</v>
      </c>
      <c r="X3445" s="31" t="str">
        <f t="shared" si="387"/>
        <v>[chk]/[actual]*100</v>
      </c>
      <c r="Y3445" s="10" t="s">
        <v>1253</v>
      </c>
      <c r="AL3445" s="10" t="str">
        <f t="shared" si="392"/>
        <v>FALSE</v>
      </c>
      <c r="AM3445" s="10" t="str">
        <f t="shared" si="392"/>
        <v>FALSE</v>
      </c>
      <c r="AN3445" s="10" t="str">
        <f t="shared" si="392"/>
        <v>FALSE</v>
      </c>
      <c r="AO3445" s="10" t="str">
        <f t="shared" si="393"/>
        <v>FALSE</v>
      </c>
      <c r="AP3445" s="10" t="str">
        <f t="shared" si="393"/>
        <v>FALSE</v>
      </c>
      <c r="AQ3445" s="10" t="b">
        <f>IF(AND(I3445="TP",S3445&lt;=150),VLOOKUP(AF3445,TPCalibEq150!$AZ$2:$BB$55,3,),IF(AND(I3445="TDP",S3445&lt;=150),VLOOKUP(AF3445,TPCalibEq150!$AZ$2:$BB$55,3,)))</f>
        <v>0</v>
      </c>
      <c r="AR3445" s="10" t="b">
        <f>IF(AND(I3445="TP",S3445&lt;=300),VLOOKUP(AF3445,TPCalibEq300!$AZ$2:$BB$55,3,),IF(AND(I3445="TDP",S3445&lt;=300),VLOOKUP(AF3445,TPCalibEq300!$AZ$2:$BB$55,3,)))</f>
        <v>0</v>
      </c>
      <c r="AS3445" s="10" t="b">
        <f>IF(AND(I3445="TP",S3445&lt;=500),VLOOKUP(AF3445,TPCalibEq500!$AZ$2:$BB$56,3,),IF(AND(I3445="TDP",S3445&lt;=500),VLOOKUP(AF3445,TPCalibEq500!$AZ$2:$BB$56,3,)))</f>
        <v>0</v>
      </c>
      <c r="AT3445" s="10" t="b">
        <f>IF(AND(I3445="TN",S3445&lt;=2800),VLOOKUP(AF3445,TNCalibEq2500!$AZ$2:$BB$56,3,),IF(AND(I3445="TDN",S3445&lt;=2800),VLOOKUP(AF3445,TNCalibEq2500!$AZ$2:$BB$56,3,)))</f>
        <v>0</v>
      </c>
      <c r="AU3445" s="10" t="b">
        <f>IF(I3445="TP",VLOOKUP(AF3445,TPCalibEqFull!$AZ$2:$BB$56,3),IF(I3445="TDP",VLOOKUP(AF3445,TPCalibEqFull!$AZ$2:$BB$56,3),IF(I3445="TDN",VLOOKUP(AF3445,TNCalibEqFull!$AZ$1:$BB$56,3),IF(I3445="TN",VLOOKUP(AF3445,TNCalibEqFull!$AZ$1:$BB$56,3),FALSE))))</f>
        <v>0</v>
      </c>
      <c r="AV3445" s="10" t="str">
        <f t="shared" si="391"/>
        <v>0222 09:00:00-QAC-STD-D-1-DI-CHK</v>
      </c>
    </row>
    <row r="3446" spans="1:48" s="10" customFormat="1" x14ac:dyDescent="0.55000000000000004">
      <c r="A3446" s="32">
        <v>44978</v>
      </c>
      <c r="B3446" s="33">
        <v>0.4777777777777778</v>
      </c>
      <c r="C3446" s="10" t="s">
        <v>431</v>
      </c>
      <c r="D3446" s="10">
        <v>0</v>
      </c>
      <c r="E3446" s="10" t="s">
        <v>911</v>
      </c>
      <c r="F3446" s="10">
        <v>1</v>
      </c>
      <c r="G3446" s="10" t="s">
        <v>231</v>
      </c>
      <c r="H3446" s="10" t="s">
        <v>322</v>
      </c>
      <c r="I3446" s="10" t="s">
        <v>183</v>
      </c>
      <c r="J3446" s="10">
        <v>47</v>
      </c>
      <c r="K3446" s="12">
        <v>44980</v>
      </c>
      <c r="L3446" s="33">
        <v>0.53956018518518511</v>
      </c>
      <c r="M3446" s="10">
        <v>1</v>
      </c>
      <c r="N3446" s="10" t="s">
        <v>76</v>
      </c>
      <c r="O3446" s="10">
        <v>0.76300000000000001</v>
      </c>
      <c r="P3446" s="10">
        <v>6.2399999999999997E-2</v>
      </c>
      <c r="Q3446" s="10">
        <v>47.9</v>
      </c>
      <c r="R3446" s="10" t="s">
        <v>77</v>
      </c>
      <c r="S3446" s="34">
        <f t="shared" si="388"/>
        <v>47.9</v>
      </c>
      <c r="T3446" s="10" t="s">
        <v>1260</v>
      </c>
      <c r="U3446" s="34" t="str">
        <f t="shared" si="389"/>
        <v/>
      </c>
      <c r="V3446" s="31" t="str">
        <f>IF(H3446="CHK",VLOOKUP(I3446,QCCHK,3,),IF(H3446="GUP",VLOOKUP(E3446,QCGUP,2,),IF(AND(H3446="ATP",OR(I3446="TN",I3446="TDN",I3446="TNO2-3",I3446="NO2-3")),VLOOKUP(E3446,QCREC_N,2,),IF(AND(H3446="NIC",OR(I3446="TN",I3446="TDN",I3446="TNO2-3",I3446="NO2-3")),VLOOKUP(E3446,QCNIC_N,2,),IF(AND(H3446="UREA",OR(I3446="TN",I3446="TDN",I3446="TNO2-3",I3446="NO2-3")),VLOOKUP(E3446,QCUREA_N,2,),IF(H3446="PER",VLOOKUP(I3446,QCPER,MATCH(E3446,QCACTUAL!$J$25:$AA$25,0),),IF(H3446="SPK",VLOOKUP(I3446,QCSPK,3,),IF(AND(H3446="ATP",OR(I3446="TP",I3446="TDP")),VLOOKUP(E3446,QCATP_P,2,),""))))))))</f>
        <v/>
      </c>
      <c r="W3446" s="31" t="str">
        <f t="shared" si="390"/>
        <v>TRUE</v>
      </c>
      <c r="X3446" s="31" t="str">
        <f t="shared" si="387"/>
        <v/>
      </c>
      <c r="Y3446" s="10" t="s">
        <v>1253</v>
      </c>
      <c r="AL3446" s="10" t="str">
        <f t="shared" si="392"/>
        <v>FALSE</v>
      </c>
      <c r="AM3446" s="10" t="str">
        <f t="shared" si="392"/>
        <v>FALSE</v>
      </c>
      <c r="AN3446" s="10" t="str">
        <f t="shared" si="392"/>
        <v>FALSE</v>
      </c>
      <c r="AO3446" s="10" t="str">
        <f t="shared" si="393"/>
        <v>FALSE</v>
      </c>
      <c r="AP3446" s="10" t="str">
        <f t="shared" si="393"/>
        <v>FALSE</v>
      </c>
      <c r="AQ3446" s="10" t="b">
        <f>IF(AND(I3446="TP",S3446&lt;=150),VLOOKUP(AF3446,TPCalibEq150!$AZ$2:$BB$55,3,),IF(AND(I3446="TDP",S3446&lt;=150),VLOOKUP(AF3446,TPCalibEq150!$AZ$2:$BB$55,3,)))</f>
        <v>0</v>
      </c>
      <c r="AR3446" s="10" t="b">
        <f>IF(AND(I3446="TP",S3446&lt;=300),VLOOKUP(AF3446,TPCalibEq300!$AZ$2:$BB$55,3,),IF(AND(I3446="TDP",S3446&lt;=300),VLOOKUP(AF3446,TPCalibEq300!$AZ$2:$BB$55,3,)))</f>
        <v>0</v>
      </c>
      <c r="AS3446" s="10" t="b">
        <f>IF(AND(I3446="TP",S3446&lt;=500),VLOOKUP(AF3446,TPCalibEq500!$AZ$2:$BB$56,3,),IF(AND(I3446="TDP",S3446&lt;=500),VLOOKUP(AF3446,TPCalibEq500!$AZ$2:$BB$56,3,)))</f>
        <v>0</v>
      </c>
      <c r="AT3446" s="10" t="b">
        <f>IF(AND(I3446="TN",S3446&lt;=2800),VLOOKUP(AF3446,TNCalibEq2500!$AZ$2:$BB$56,3,),IF(AND(I3446="TDN",S3446&lt;=2800),VLOOKUP(AF3446,TNCalibEq2500!$AZ$2:$BB$56,3,)))</f>
        <v>0</v>
      </c>
      <c r="AU3446" s="10" t="b">
        <f>IF(I3446="TP",VLOOKUP(AF3446,TPCalibEqFull!$AZ$2:$BB$56,3),IF(I3446="TDP",VLOOKUP(AF3446,TPCalibEqFull!$AZ$2:$BB$56,3),IF(I3446="TDN",VLOOKUP(AF3446,TNCalibEqFull!$AZ$1:$BB$56,3),IF(I3446="TN",VLOOKUP(AF3446,TNCalibEqFull!$AZ$1:$BB$56,3),FALSE))))</f>
        <v>0</v>
      </c>
      <c r="AV3446" s="10" t="str">
        <f t="shared" si="391"/>
        <v>0221 11:28:00-EUS-0-FIL-1-SW-UKN</v>
      </c>
    </row>
    <row r="3447" spans="1:48" s="10" customFormat="1" x14ac:dyDescent="0.55000000000000004">
      <c r="A3447" s="32">
        <v>44978</v>
      </c>
      <c r="B3447" s="33">
        <v>0.48055555555555557</v>
      </c>
      <c r="C3447" s="10" t="s">
        <v>431</v>
      </c>
      <c r="D3447" s="10">
        <v>5</v>
      </c>
      <c r="E3447" s="10" t="s">
        <v>911</v>
      </c>
      <c r="F3447" s="10">
        <v>1</v>
      </c>
      <c r="G3447" s="10" t="s">
        <v>231</v>
      </c>
      <c r="H3447" s="10" t="s">
        <v>322</v>
      </c>
      <c r="I3447" s="10" t="s">
        <v>183</v>
      </c>
      <c r="J3447" s="10">
        <v>48</v>
      </c>
      <c r="K3447" s="12">
        <v>44980</v>
      </c>
      <c r="L3447" s="33">
        <v>0.54037037037037039</v>
      </c>
      <c r="M3447" s="10">
        <v>1</v>
      </c>
      <c r="N3447" s="10" t="s">
        <v>76</v>
      </c>
      <c r="O3447" s="10">
        <v>0.55900000000000005</v>
      </c>
      <c r="P3447" s="10">
        <v>4.4900000000000002E-2</v>
      </c>
      <c r="Q3447" s="10">
        <v>35.1</v>
      </c>
      <c r="R3447" s="10" t="s">
        <v>77</v>
      </c>
      <c r="S3447" s="34">
        <f t="shared" si="388"/>
        <v>35.1</v>
      </c>
      <c r="T3447" s="10" t="s">
        <v>1260</v>
      </c>
      <c r="U3447" s="34" t="str">
        <f t="shared" si="389"/>
        <v/>
      </c>
      <c r="V3447" s="31" t="str">
        <f>IF(H3447="CHK",VLOOKUP(I3447,QCCHK,3,),IF(H3447="GUP",VLOOKUP(E3447,QCGUP,2,),IF(AND(H3447="ATP",OR(I3447="TN",I3447="TDN",I3447="TNO2-3",I3447="NO2-3")),VLOOKUP(E3447,QCREC_N,2,),IF(AND(H3447="NIC",OR(I3447="TN",I3447="TDN",I3447="TNO2-3",I3447="NO2-3")),VLOOKUP(E3447,QCNIC_N,2,),IF(AND(H3447="UREA",OR(I3447="TN",I3447="TDN",I3447="TNO2-3",I3447="NO2-3")),VLOOKUP(E3447,QCUREA_N,2,),IF(H3447="PER",VLOOKUP(I3447,QCPER,MATCH(E3447,QCACTUAL!$J$25:$AA$25,0),),IF(H3447="SPK",VLOOKUP(I3447,QCSPK,3,),IF(AND(H3447="ATP",OR(I3447="TP",I3447="TDP")),VLOOKUP(E3447,QCATP_P,2,),""))))))))</f>
        <v/>
      </c>
      <c r="W3447" s="31" t="str">
        <f t="shared" si="390"/>
        <v>TRUE</v>
      </c>
      <c r="X3447" s="31" t="str">
        <f t="shared" si="387"/>
        <v/>
      </c>
      <c r="Y3447" s="10" t="s">
        <v>1253</v>
      </c>
      <c r="AL3447" s="10" t="str">
        <f t="shared" si="392"/>
        <v>FALSE</v>
      </c>
      <c r="AM3447" s="10" t="str">
        <f t="shared" si="392"/>
        <v>FALSE</v>
      </c>
      <c r="AN3447" s="10" t="str">
        <f t="shared" si="392"/>
        <v>FALSE</v>
      </c>
      <c r="AO3447" s="10" t="str">
        <f t="shared" si="393"/>
        <v>FALSE</v>
      </c>
      <c r="AP3447" s="10" t="str">
        <f t="shared" si="393"/>
        <v>FALSE</v>
      </c>
      <c r="AQ3447" s="10" t="b">
        <f>IF(AND(I3447="TP",S3447&lt;=150),VLOOKUP(AF3447,TPCalibEq150!$AZ$2:$BB$55,3,),IF(AND(I3447="TDP",S3447&lt;=150),VLOOKUP(AF3447,TPCalibEq150!$AZ$2:$BB$55,3,)))</f>
        <v>0</v>
      </c>
      <c r="AR3447" s="10" t="b">
        <f>IF(AND(I3447="TP",S3447&lt;=300),VLOOKUP(AF3447,TPCalibEq300!$AZ$2:$BB$55,3,),IF(AND(I3447="TDP",S3447&lt;=300),VLOOKUP(AF3447,TPCalibEq300!$AZ$2:$BB$55,3,)))</f>
        <v>0</v>
      </c>
      <c r="AS3447" s="10" t="b">
        <f>IF(AND(I3447="TP",S3447&lt;=500),VLOOKUP(AF3447,TPCalibEq500!$AZ$2:$BB$56,3,),IF(AND(I3447="TDP",S3447&lt;=500),VLOOKUP(AF3447,TPCalibEq500!$AZ$2:$BB$56,3,)))</f>
        <v>0</v>
      </c>
      <c r="AT3447" s="10" t="b">
        <f>IF(AND(I3447="TN",S3447&lt;=2800),VLOOKUP(AF3447,TNCalibEq2500!$AZ$2:$BB$56,3,),IF(AND(I3447="TDN",S3447&lt;=2800),VLOOKUP(AF3447,TNCalibEq2500!$AZ$2:$BB$56,3,)))</f>
        <v>0</v>
      </c>
      <c r="AU3447" s="10" t="b">
        <f>IF(I3447="TP",VLOOKUP(AF3447,TPCalibEqFull!$AZ$2:$BB$56,3),IF(I3447="TDP",VLOOKUP(AF3447,TPCalibEqFull!$AZ$2:$BB$56,3),IF(I3447="TDN",VLOOKUP(AF3447,TNCalibEqFull!$AZ$1:$BB$56,3),IF(I3447="TN",VLOOKUP(AF3447,TNCalibEqFull!$AZ$1:$BB$56,3),FALSE))))</f>
        <v>0</v>
      </c>
      <c r="AV3447" s="10" t="str">
        <f t="shared" si="391"/>
        <v>0221 11:32:00-EUS-5-FIL-1-SW-UKN</v>
      </c>
    </row>
    <row r="3448" spans="1:48" s="10" customFormat="1" x14ac:dyDescent="0.55000000000000004">
      <c r="A3448" s="32">
        <v>44978</v>
      </c>
      <c r="B3448" s="33">
        <v>0.49444444444444446</v>
      </c>
      <c r="C3448" s="10" t="s">
        <v>618</v>
      </c>
      <c r="D3448" s="10">
        <v>0</v>
      </c>
      <c r="E3448" s="10" t="s">
        <v>911</v>
      </c>
      <c r="F3448" s="10">
        <v>1</v>
      </c>
      <c r="G3448" s="10" t="s">
        <v>231</v>
      </c>
      <c r="H3448" s="10" t="s">
        <v>322</v>
      </c>
      <c r="I3448" s="10" t="s">
        <v>183</v>
      </c>
      <c r="J3448" s="10">
        <v>49</v>
      </c>
      <c r="K3448" s="12">
        <v>44980</v>
      </c>
      <c r="L3448" s="33">
        <v>0.5411921296296297</v>
      </c>
      <c r="M3448" s="10">
        <v>1</v>
      </c>
      <c r="N3448" s="10" t="s">
        <v>76</v>
      </c>
      <c r="O3448" s="10">
        <v>1.35</v>
      </c>
      <c r="P3448" s="10">
        <v>0.108</v>
      </c>
      <c r="Q3448" s="10">
        <v>84.4</v>
      </c>
      <c r="R3448" s="10" t="s">
        <v>77</v>
      </c>
      <c r="S3448" s="34">
        <f t="shared" si="388"/>
        <v>84.4</v>
      </c>
      <c r="T3448" s="10" t="s">
        <v>1260</v>
      </c>
      <c r="U3448" s="34" t="str">
        <f t="shared" si="389"/>
        <v/>
      </c>
      <c r="V3448" s="31" t="str">
        <f>IF(H3448="CHK",VLOOKUP(I3448,QCCHK,3,),IF(H3448="GUP",VLOOKUP(E3448,QCGUP,2,),IF(AND(H3448="ATP",OR(I3448="TN",I3448="TDN",I3448="TNO2-3",I3448="NO2-3")),VLOOKUP(E3448,QCREC_N,2,),IF(AND(H3448="NIC",OR(I3448="TN",I3448="TDN",I3448="TNO2-3",I3448="NO2-3")),VLOOKUP(E3448,QCNIC_N,2,),IF(AND(H3448="UREA",OR(I3448="TN",I3448="TDN",I3448="TNO2-3",I3448="NO2-3")),VLOOKUP(E3448,QCUREA_N,2,),IF(H3448="PER",VLOOKUP(I3448,QCPER,MATCH(E3448,QCACTUAL!$J$25:$AA$25,0),),IF(H3448="SPK",VLOOKUP(I3448,QCSPK,3,),IF(AND(H3448="ATP",OR(I3448="TP",I3448="TDP")),VLOOKUP(E3448,QCATP_P,2,),""))))))))</f>
        <v/>
      </c>
      <c r="W3448" s="31" t="str">
        <f t="shared" si="390"/>
        <v>TRUE</v>
      </c>
      <c r="X3448" s="31" t="str">
        <f t="shared" si="387"/>
        <v/>
      </c>
      <c r="Y3448" s="10" t="s">
        <v>1253</v>
      </c>
      <c r="AL3448" s="10" t="str">
        <f t="shared" si="392"/>
        <v>FALSE</v>
      </c>
      <c r="AM3448" s="10" t="str">
        <f t="shared" si="392"/>
        <v>FALSE</v>
      </c>
      <c r="AN3448" s="10" t="str">
        <f t="shared" si="392"/>
        <v>FALSE</v>
      </c>
      <c r="AO3448" s="10" t="str">
        <f t="shared" si="393"/>
        <v>FALSE</v>
      </c>
      <c r="AP3448" s="10" t="str">
        <f t="shared" si="393"/>
        <v>FALSE</v>
      </c>
      <c r="AQ3448" s="10" t="b">
        <f>IF(AND(I3448="TP",S3448&lt;=150),VLOOKUP(AF3448,TPCalibEq150!$AZ$2:$BB$55,3,),IF(AND(I3448="TDP",S3448&lt;=150),VLOOKUP(AF3448,TPCalibEq150!$AZ$2:$BB$55,3,)))</f>
        <v>0</v>
      </c>
      <c r="AR3448" s="10" t="b">
        <f>IF(AND(I3448="TP",S3448&lt;=300),VLOOKUP(AF3448,TPCalibEq300!$AZ$2:$BB$55,3,),IF(AND(I3448="TDP",S3448&lt;=300),VLOOKUP(AF3448,TPCalibEq300!$AZ$2:$BB$55,3,)))</f>
        <v>0</v>
      </c>
      <c r="AS3448" s="10" t="b">
        <f>IF(AND(I3448="TP",S3448&lt;=500),VLOOKUP(AF3448,TPCalibEq500!$AZ$2:$BB$56,3,),IF(AND(I3448="TDP",S3448&lt;=500),VLOOKUP(AF3448,TPCalibEq500!$AZ$2:$BB$56,3,)))</f>
        <v>0</v>
      </c>
      <c r="AT3448" s="10" t="b">
        <f>IF(AND(I3448="TN",S3448&lt;=2800),VLOOKUP(AF3448,TNCalibEq2500!$AZ$2:$BB$56,3,),IF(AND(I3448="TDN",S3448&lt;=2800),VLOOKUP(AF3448,TNCalibEq2500!$AZ$2:$BB$56,3,)))</f>
        <v>0</v>
      </c>
      <c r="AU3448" s="10" t="b">
        <f>IF(I3448="TP",VLOOKUP(AF3448,TPCalibEqFull!$AZ$2:$BB$56,3),IF(I3448="TDP",VLOOKUP(AF3448,TPCalibEqFull!$AZ$2:$BB$56,3),IF(I3448="TDN",VLOOKUP(AF3448,TNCalibEqFull!$AZ$1:$BB$56,3),IF(I3448="TN",VLOOKUP(AF3448,TNCalibEqFull!$AZ$1:$BB$56,3),FALSE))))</f>
        <v>0</v>
      </c>
      <c r="AV3448" s="10" t="str">
        <f t="shared" si="391"/>
        <v>0221 11:52:00-ECP-0-FIL-1-SW-UKN</v>
      </c>
    </row>
    <row r="3449" spans="1:48" s="10" customFormat="1" x14ac:dyDescent="0.55000000000000004">
      <c r="A3449" s="32">
        <v>44978</v>
      </c>
      <c r="B3449" s="33">
        <v>0.49444444444444446</v>
      </c>
      <c r="C3449" s="10" t="s">
        <v>618</v>
      </c>
      <c r="D3449" s="10">
        <v>0</v>
      </c>
      <c r="E3449" s="10" t="s">
        <v>911</v>
      </c>
      <c r="F3449" s="10">
        <v>2</v>
      </c>
      <c r="G3449" s="10" t="s">
        <v>231</v>
      </c>
      <c r="H3449" s="10" t="s">
        <v>322</v>
      </c>
      <c r="I3449" s="10" t="s">
        <v>183</v>
      </c>
      <c r="J3449" s="10">
        <v>50</v>
      </c>
      <c r="K3449" s="12">
        <v>44980</v>
      </c>
      <c r="L3449" s="33">
        <v>0.54201388888888891</v>
      </c>
      <c r="M3449" s="10">
        <v>1</v>
      </c>
      <c r="N3449" s="10" t="s">
        <v>76</v>
      </c>
      <c r="O3449" s="10">
        <v>1.29</v>
      </c>
      <c r="P3449" s="10">
        <v>0.104</v>
      </c>
      <c r="Q3449" s="10">
        <v>81.2</v>
      </c>
      <c r="R3449" s="10" t="s">
        <v>77</v>
      </c>
      <c r="S3449" s="34">
        <f t="shared" si="388"/>
        <v>81.2</v>
      </c>
      <c r="T3449" s="10" t="s">
        <v>1260</v>
      </c>
      <c r="U3449" s="34" t="str">
        <f t="shared" si="389"/>
        <v/>
      </c>
      <c r="V3449" s="31" t="str">
        <f>IF(H3449="CHK",VLOOKUP(I3449,QCCHK,3,),IF(H3449="GUP",VLOOKUP(E3449,QCGUP,2,),IF(AND(H3449="ATP",OR(I3449="TN",I3449="TDN",I3449="TNO2-3",I3449="NO2-3")),VLOOKUP(E3449,QCREC_N,2,),IF(AND(H3449="NIC",OR(I3449="TN",I3449="TDN",I3449="TNO2-3",I3449="NO2-3")),VLOOKUP(E3449,QCNIC_N,2,),IF(AND(H3449="UREA",OR(I3449="TN",I3449="TDN",I3449="TNO2-3",I3449="NO2-3")),VLOOKUP(E3449,QCUREA_N,2,),IF(H3449="PER",VLOOKUP(I3449,QCPER,MATCH(E3449,QCACTUAL!$J$25:$AA$25,0),),IF(H3449="SPK",VLOOKUP(I3449,QCSPK,3,),IF(AND(H3449="ATP",OR(I3449="TP",I3449="TDP")),VLOOKUP(E3449,QCATP_P,2,),""))))))))</f>
        <v/>
      </c>
      <c r="W3449" s="31" t="str">
        <f t="shared" si="390"/>
        <v>TRUE</v>
      </c>
      <c r="X3449" s="31" t="str">
        <f t="shared" si="387"/>
        <v/>
      </c>
      <c r="Y3449" s="10" t="s">
        <v>1253</v>
      </c>
      <c r="AL3449" s="10" t="str">
        <f t="shared" si="392"/>
        <v>FALSE</v>
      </c>
      <c r="AM3449" s="10" t="str">
        <f t="shared" si="392"/>
        <v>FALSE</v>
      </c>
      <c r="AN3449" s="10" t="str">
        <f t="shared" si="392"/>
        <v>FALSE</v>
      </c>
      <c r="AO3449" s="10" t="str">
        <f t="shared" si="393"/>
        <v>FALSE</v>
      </c>
      <c r="AP3449" s="10" t="str">
        <f t="shared" si="393"/>
        <v>FALSE</v>
      </c>
      <c r="AQ3449" s="10" t="b">
        <f>IF(AND(I3449="TP",S3449&lt;=150),VLOOKUP(AF3449,TPCalibEq150!$AZ$2:$BB$55,3,),IF(AND(I3449="TDP",S3449&lt;=150),VLOOKUP(AF3449,TPCalibEq150!$AZ$2:$BB$55,3,)))</f>
        <v>0</v>
      </c>
      <c r="AR3449" s="10" t="b">
        <f>IF(AND(I3449="TP",S3449&lt;=300),VLOOKUP(AF3449,TPCalibEq300!$AZ$2:$BB$55,3,),IF(AND(I3449="TDP",S3449&lt;=300),VLOOKUP(AF3449,TPCalibEq300!$AZ$2:$BB$55,3,)))</f>
        <v>0</v>
      </c>
      <c r="AS3449" s="10" t="b">
        <f>IF(AND(I3449="TP",S3449&lt;=500),VLOOKUP(AF3449,TPCalibEq500!$AZ$2:$BB$56,3,),IF(AND(I3449="TDP",S3449&lt;=500),VLOOKUP(AF3449,TPCalibEq500!$AZ$2:$BB$56,3,)))</f>
        <v>0</v>
      </c>
      <c r="AT3449" s="10" t="b">
        <f>IF(AND(I3449="TN",S3449&lt;=2800),VLOOKUP(AF3449,TNCalibEq2500!$AZ$2:$BB$56,3,),IF(AND(I3449="TDN",S3449&lt;=2800),VLOOKUP(AF3449,TNCalibEq2500!$AZ$2:$BB$56,3,)))</f>
        <v>0</v>
      </c>
      <c r="AU3449" s="10" t="b">
        <f>IF(I3449="TP",VLOOKUP(AF3449,TPCalibEqFull!$AZ$2:$BB$56,3),IF(I3449="TDP",VLOOKUP(AF3449,TPCalibEqFull!$AZ$2:$BB$56,3),IF(I3449="TDN",VLOOKUP(AF3449,TNCalibEqFull!$AZ$1:$BB$56,3),IF(I3449="TN",VLOOKUP(AF3449,TNCalibEqFull!$AZ$1:$BB$56,3),FALSE))))</f>
        <v>0</v>
      </c>
      <c r="AV3449" s="10" t="str">
        <f t="shared" si="391"/>
        <v>0221 11:52:00-ECP-0-FIL-2-SW-UKN</v>
      </c>
    </row>
    <row r="3450" spans="1:48" s="10" customFormat="1" x14ac:dyDescent="0.55000000000000004">
      <c r="A3450" s="32">
        <v>44978</v>
      </c>
      <c r="B3450" s="33">
        <v>0.49444444444444446</v>
      </c>
      <c r="C3450" s="10" t="s">
        <v>618</v>
      </c>
      <c r="D3450" s="10">
        <v>0</v>
      </c>
      <c r="E3450" s="10" t="s">
        <v>911</v>
      </c>
      <c r="F3450" s="10">
        <v>2</v>
      </c>
      <c r="G3450" s="10" t="s">
        <v>231</v>
      </c>
      <c r="H3450" s="10" t="s">
        <v>233</v>
      </c>
      <c r="I3450" s="10" t="s">
        <v>183</v>
      </c>
      <c r="J3450" s="10">
        <v>50</v>
      </c>
      <c r="K3450" s="12">
        <v>44980</v>
      </c>
      <c r="L3450" s="33">
        <v>0.54283564814814811</v>
      </c>
      <c r="M3450" s="10">
        <v>1</v>
      </c>
      <c r="N3450" s="10" t="s">
        <v>76</v>
      </c>
      <c r="O3450" s="10">
        <v>1.29</v>
      </c>
      <c r="P3450" s="10">
        <v>0.108</v>
      </c>
      <c r="Q3450" s="10">
        <v>81.099999999999994</v>
      </c>
      <c r="R3450" s="10" t="s">
        <v>77</v>
      </c>
      <c r="S3450" s="34">
        <f t="shared" si="388"/>
        <v>81.099999999999994</v>
      </c>
      <c r="T3450" s="10" t="s">
        <v>1260</v>
      </c>
      <c r="U3450" s="34">
        <f t="shared" si="389"/>
        <v>0.12322858903266608</v>
      </c>
      <c r="V3450" s="31" t="str">
        <f>IF(H3450="CHK",VLOOKUP(I3450,QCCHK,3,),IF(H3450="GUP",VLOOKUP(E3450,QCGUP,2,),IF(AND(H3450="ATP",OR(I3450="TN",I3450="TDN",I3450="TNO2-3",I3450="NO2-3")),VLOOKUP(E3450,QCREC_N,2,),IF(AND(H3450="NIC",OR(I3450="TN",I3450="TDN",I3450="TNO2-3",I3450="NO2-3")),VLOOKUP(E3450,QCNIC_N,2,),IF(AND(H3450="UREA",OR(I3450="TN",I3450="TDN",I3450="TNO2-3",I3450="NO2-3")),VLOOKUP(E3450,QCUREA_N,2,),IF(H3450="PER",VLOOKUP(I3450,QCPER,MATCH(E3450,QCACTUAL!$J$25:$AA$25,0),),IF(H3450="SPK",VLOOKUP(I3450,QCSPK,3,),IF(AND(H3450="ATP",OR(I3450="TP",I3450="TDP")),VLOOKUP(E3450,QCATP_P,2,),""))))))))</f>
        <v/>
      </c>
      <c r="W3450" s="31" t="str">
        <f t="shared" si="390"/>
        <v>TRUE</v>
      </c>
      <c r="X3450" s="31" t="str">
        <f t="shared" si="387"/>
        <v>((ABS(rep1-rep2))/((rep1+rep2)/2)*100</v>
      </c>
      <c r="Y3450" s="10" t="s">
        <v>1253</v>
      </c>
      <c r="AL3450" s="10" t="str">
        <f t="shared" si="392"/>
        <v>FALSE</v>
      </c>
      <c r="AM3450" s="10" t="str">
        <f t="shared" si="392"/>
        <v>FALSE</v>
      </c>
      <c r="AN3450" s="10" t="str">
        <f t="shared" si="392"/>
        <v>FALSE</v>
      </c>
      <c r="AO3450" s="10" t="str">
        <f t="shared" si="393"/>
        <v>FALSE</v>
      </c>
      <c r="AP3450" s="10" t="str">
        <f t="shared" si="393"/>
        <v>FALSE</v>
      </c>
      <c r="AQ3450" s="10" t="b">
        <f>IF(AND(I3450="TP",S3450&lt;=150),VLOOKUP(AF3450,TPCalibEq150!$AZ$2:$BB$55,3,),IF(AND(I3450="TDP",S3450&lt;=150),VLOOKUP(AF3450,TPCalibEq150!$AZ$2:$BB$55,3,)))</f>
        <v>0</v>
      </c>
      <c r="AR3450" s="10" t="b">
        <f>IF(AND(I3450="TP",S3450&lt;=300),VLOOKUP(AF3450,TPCalibEq300!$AZ$2:$BB$55,3,),IF(AND(I3450="TDP",S3450&lt;=300),VLOOKUP(AF3450,TPCalibEq300!$AZ$2:$BB$55,3,)))</f>
        <v>0</v>
      </c>
      <c r="AS3450" s="10" t="b">
        <f>IF(AND(I3450="TP",S3450&lt;=500),VLOOKUP(AF3450,TPCalibEq500!$AZ$2:$BB$56,3,),IF(AND(I3450="TDP",S3450&lt;=500),VLOOKUP(AF3450,TPCalibEq500!$AZ$2:$BB$56,3,)))</f>
        <v>0</v>
      </c>
      <c r="AT3450" s="10" t="b">
        <f>IF(AND(I3450="TN",S3450&lt;=2800),VLOOKUP(AF3450,TNCalibEq2500!$AZ$2:$BB$56,3,),IF(AND(I3450="TDN",S3450&lt;=2800),VLOOKUP(AF3450,TNCalibEq2500!$AZ$2:$BB$56,3,)))</f>
        <v>0</v>
      </c>
      <c r="AU3450" s="10" t="b">
        <f>IF(I3450="TP",VLOOKUP(AF3450,TPCalibEqFull!$AZ$2:$BB$56,3),IF(I3450="TDP",VLOOKUP(AF3450,TPCalibEqFull!$AZ$2:$BB$56,3),IF(I3450="TDN",VLOOKUP(AF3450,TNCalibEqFull!$AZ$1:$BB$56,3),IF(I3450="TN",VLOOKUP(AF3450,TNCalibEqFull!$AZ$1:$BB$56,3),FALSE))))</f>
        <v>0</v>
      </c>
      <c r="AV3450" s="10" t="str">
        <f t="shared" si="391"/>
        <v>0221 11:52:00-ECP-0-FIL-2-SW-DUP</v>
      </c>
    </row>
    <row r="3451" spans="1:48" s="10" customFormat="1" x14ac:dyDescent="0.55000000000000004">
      <c r="A3451" s="32">
        <v>44978</v>
      </c>
      <c r="B3451" s="33">
        <v>0.49444444444444446</v>
      </c>
      <c r="C3451" s="10" t="s">
        <v>618</v>
      </c>
      <c r="D3451" s="10">
        <v>0</v>
      </c>
      <c r="E3451" s="10" t="s">
        <v>911</v>
      </c>
      <c r="F3451" s="10">
        <v>2</v>
      </c>
      <c r="G3451" s="10" t="s">
        <v>231</v>
      </c>
      <c r="H3451" s="10" t="s">
        <v>314</v>
      </c>
      <c r="I3451" s="10" t="s">
        <v>183</v>
      </c>
      <c r="J3451" s="10">
        <v>87</v>
      </c>
      <c r="K3451" s="12">
        <v>44980</v>
      </c>
      <c r="L3451" s="33">
        <v>0.54364583333333327</v>
      </c>
      <c r="M3451" s="10">
        <v>1</v>
      </c>
      <c r="N3451" s="10" t="s">
        <v>76</v>
      </c>
      <c r="O3451" s="10">
        <v>11.8</v>
      </c>
      <c r="P3451" s="10">
        <v>0.95399999999999996</v>
      </c>
      <c r="Q3451" s="10">
        <v>731</v>
      </c>
      <c r="R3451" s="10" t="s">
        <v>77</v>
      </c>
      <c r="S3451" s="34">
        <f t="shared" si="388"/>
        <v>731</v>
      </c>
      <c r="T3451" s="10" t="s">
        <v>1260</v>
      </c>
      <c r="U3451" s="34">
        <f t="shared" si="389"/>
        <v>103.98399999999998</v>
      </c>
      <c r="V3451" s="31">
        <f>IF(H3451="CHK",VLOOKUP(I3451,QCCHK,3,),IF(H3451="GUP",VLOOKUP(E3451,QCGUP,2,),IF(AND(H3451="ATP",OR(I3451="TN",I3451="TDN",I3451="TNO2-3",I3451="NO2-3")),VLOOKUP(E3451,QCREC_N,2,),IF(AND(H3451="NIC",OR(I3451="TN",I3451="TDN",I3451="TNO2-3",I3451="NO2-3")),VLOOKUP(E3451,QCNIC_N,2,),IF(AND(H3451="UREA",OR(I3451="TN",I3451="TDN",I3451="TNO2-3",I3451="NO2-3")),VLOOKUP(E3451,QCUREA_N,2,),IF(H3451="PER",VLOOKUP(I3451,QCPER,MATCH(E3451,QCACTUAL!$J$25:$AA$25,0),),IF(H3451="SPK",VLOOKUP(I3451,QCSPK,3,),IF(AND(H3451="ATP",OR(I3451="TP",I3451="TDP")),VLOOKUP(E3451,QCATP_P,2,),""))))))))</f>
        <v>625</v>
      </c>
      <c r="W3451" s="31" t="str">
        <f t="shared" si="390"/>
        <v>TRUE</v>
      </c>
      <c r="X3451" s="31" t="str">
        <f t="shared" si="387"/>
        <v>([spikedunkn]-[unkn])/[spike]*100</v>
      </c>
      <c r="Y3451" s="10" t="s">
        <v>1253</v>
      </c>
      <c r="AL3451" s="10" t="str">
        <f t="shared" si="392"/>
        <v>FALSE</v>
      </c>
      <c r="AM3451" s="10" t="str">
        <f t="shared" si="392"/>
        <v>FALSE</v>
      </c>
      <c r="AN3451" s="10" t="str">
        <f t="shared" si="392"/>
        <v>FALSE</v>
      </c>
      <c r="AO3451" s="10" t="str">
        <f t="shared" si="393"/>
        <v>FALSE</v>
      </c>
      <c r="AP3451" s="10" t="str">
        <f t="shared" si="393"/>
        <v>FALSE</v>
      </c>
      <c r="AQ3451" s="10" t="b">
        <f>IF(AND(I3451="TP",S3451&lt;=150),VLOOKUP(AF3451,TPCalibEq150!$AZ$2:$BB$55,3,),IF(AND(I3451="TDP",S3451&lt;=150),VLOOKUP(AF3451,TPCalibEq150!$AZ$2:$BB$55,3,)))</f>
        <v>0</v>
      </c>
      <c r="AR3451" s="10" t="b">
        <f>IF(AND(I3451="TP",S3451&lt;=300),VLOOKUP(AF3451,TPCalibEq300!$AZ$2:$BB$55,3,),IF(AND(I3451="TDP",S3451&lt;=300),VLOOKUP(AF3451,TPCalibEq300!$AZ$2:$BB$55,3,)))</f>
        <v>0</v>
      </c>
      <c r="AS3451" s="10" t="b">
        <f>IF(AND(I3451="TP",S3451&lt;=500),VLOOKUP(AF3451,TPCalibEq500!$AZ$2:$BB$56,3,),IF(AND(I3451="TDP",S3451&lt;=500),VLOOKUP(AF3451,TPCalibEq500!$AZ$2:$BB$56,3,)))</f>
        <v>0</v>
      </c>
      <c r="AT3451" s="10" t="b">
        <f>IF(AND(I3451="TN",S3451&lt;=2800),VLOOKUP(AF3451,TNCalibEq2500!$AZ$2:$BB$56,3,),IF(AND(I3451="TDN",S3451&lt;=2800),VLOOKUP(AF3451,TNCalibEq2500!$AZ$2:$BB$56,3,)))</f>
        <v>0</v>
      </c>
      <c r="AU3451" s="10" t="b">
        <f>IF(I3451="TP",VLOOKUP(AF3451,TPCalibEqFull!$AZ$2:$BB$56,3),IF(I3451="TDP",VLOOKUP(AF3451,TPCalibEqFull!$AZ$2:$BB$56,3),IF(I3451="TDN",VLOOKUP(AF3451,TNCalibEqFull!$AZ$1:$BB$56,3),IF(I3451="TN",VLOOKUP(AF3451,TNCalibEqFull!$AZ$1:$BB$56,3),FALSE))))</f>
        <v>0</v>
      </c>
      <c r="AV3451" s="10" t="str">
        <f t="shared" si="391"/>
        <v>0221 11:52:00-ECP-0-FIL-2-SW-SPK</v>
      </c>
    </row>
    <row r="3452" spans="1:48" s="10" customFormat="1" x14ac:dyDescent="0.55000000000000004">
      <c r="A3452" s="32">
        <v>44979</v>
      </c>
      <c r="B3452" s="33">
        <v>0.375</v>
      </c>
      <c r="C3452" s="10" t="s">
        <v>70</v>
      </c>
      <c r="D3452" s="10" t="s">
        <v>71</v>
      </c>
      <c r="E3452" s="10" t="s">
        <v>901</v>
      </c>
      <c r="F3452" s="10">
        <v>1</v>
      </c>
      <c r="G3452" s="10" t="s">
        <v>73</v>
      </c>
      <c r="H3452" s="10" t="s">
        <v>207</v>
      </c>
      <c r="I3452" s="10" t="s">
        <v>75</v>
      </c>
      <c r="J3452" s="10">
        <v>202</v>
      </c>
      <c r="K3452" s="12">
        <v>44980</v>
      </c>
      <c r="L3452" s="33">
        <v>0.54446759259259259</v>
      </c>
      <c r="M3452" s="10">
        <v>1</v>
      </c>
      <c r="N3452" s="10" t="s">
        <v>76</v>
      </c>
      <c r="O3452" s="10">
        <v>4.74</v>
      </c>
      <c r="P3452" s="10">
        <v>0.38200000000000001</v>
      </c>
      <c r="Q3452" s="10">
        <v>296</v>
      </c>
      <c r="R3452" s="10" t="s">
        <v>77</v>
      </c>
      <c r="S3452" s="34">
        <f t="shared" si="388"/>
        <v>296</v>
      </c>
      <c r="T3452" s="10" t="s">
        <v>1260</v>
      </c>
      <c r="U3452" s="34">
        <f t="shared" si="389"/>
        <v>98.666666666666671</v>
      </c>
      <c r="V3452" s="31">
        <f>IF(H3452="CHK",VLOOKUP(I3452,QCCHK,3,),IF(H3452="GUP",VLOOKUP(E3452,QCGUP,2,),IF(AND(H3452="ATP",OR(I3452="TN",I3452="TDN",I3452="TNO2-3",I3452="NO2-3")),VLOOKUP(E3452,QCREC_N,2,),IF(AND(H3452="NIC",OR(I3452="TN",I3452="TDN",I3452="TNO2-3",I3452="NO2-3")),VLOOKUP(E3452,QCNIC_N,2,),IF(AND(H3452="UREA",OR(I3452="TN",I3452="TDN",I3452="TNO2-3",I3452="NO2-3")),VLOOKUP(E3452,QCUREA_N,2,),IF(H3452="PER",VLOOKUP(I3452,QCPER,MATCH(E3452,QCACTUAL!$J$25:$AA$25,0),),IF(H3452="SPK",VLOOKUP(I3452,QCSPK,3,),IF(AND(H3452="ATP",OR(I3452="TP",I3452="TDP")),VLOOKUP(E3452,QCATP_P,2,),""))))))))</f>
        <v>300</v>
      </c>
      <c r="W3452" s="31" t="str">
        <f t="shared" si="390"/>
        <v>TRUE</v>
      </c>
      <c r="X3452" s="31" t="str">
        <f t="shared" si="387"/>
        <v>[chk]/[actual]*100</v>
      </c>
      <c r="Y3452" s="10" t="s">
        <v>1253</v>
      </c>
      <c r="AL3452" s="10" t="str">
        <f t="shared" si="392"/>
        <v>FALSE</v>
      </c>
      <c r="AM3452" s="10" t="str">
        <f t="shared" si="392"/>
        <v>FALSE</v>
      </c>
      <c r="AN3452" s="10" t="str">
        <f t="shared" si="392"/>
        <v>FALSE</v>
      </c>
      <c r="AO3452" s="10" t="str">
        <f t="shared" si="393"/>
        <v>FALSE</v>
      </c>
      <c r="AP3452" s="10" t="str">
        <f t="shared" si="393"/>
        <v>FALSE</v>
      </c>
      <c r="AQ3452" s="10" t="b">
        <f>IF(AND(I3452="TP",S3452&lt;=150),VLOOKUP(AF3452,TPCalibEq150!$AZ$2:$BB$55,3,),IF(AND(I3452="TDP",S3452&lt;=150),VLOOKUP(AF3452,TPCalibEq150!$AZ$2:$BB$55,3,)))</f>
        <v>0</v>
      </c>
      <c r="AR3452" s="10" t="b">
        <f>IF(AND(I3452="TP",S3452&lt;=300),VLOOKUP(AF3452,TPCalibEq300!$AZ$2:$BB$55,3,),IF(AND(I3452="TDP",S3452&lt;=300),VLOOKUP(AF3452,TPCalibEq300!$AZ$2:$BB$55,3,)))</f>
        <v>0</v>
      </c>
      <c r="AS3452" s="10" t="b">
        <f>IF(AND(I3452="TP",S3452&lt;=500),VLOOKUP(AF3452,TPCalibEq500!$AZ$2:$BB$56,3,),IF(AND(I3452="TDP",S3452&lt;=500),VLOOKUP(AF3452,TPCalibEq500!$AZ$2:$BB$56,3,)))</f>
        <v>0</v>
      </c>
      <c r="AT3452" s="10" t="b">
        <f>IF(AND(I3452="TN",S3452&lt;=2800),VLOOKUP(AF3452,TNCalibEq2500!$AZ$2:$BB$56,3,),IF(AND(I3452="TDN",S3452&lt;=2800),VLOOKUP(AF3452,TNCalibEq2500!$AZ$2:$BB$56,3,)))</f>
        <v>0</v>
      </c>
      <c r="AU3452" s="10" t="b">
        <f>IF(I3452="TP",VLOOKUP(AF3452,TPCalibEqFull!$AZ$2:$BB$56,3),IF(I3452="TDP",VLOOKUP(AF3452,TPCalibEqFull!$AZ$2:$BB$56,3),IF(I3452="TDN",VLOOKUP(AF3452,TNCalibEqFull!$AZ$1:$BB$56,3),IF(I3452="TN",VLOOKUP(AF3452,TNCalibEqFull!$AZ$1:$BB$56,3),FALSE))))</f>
        <v>0</v>
      </c>
      <c r="AV3452" s="10" t="str">
        <f t="shared" si="391"/>
        <v>0222 09:00:00-QAC-STD-D-1-DI-CHK</v>
      </c>
    </row>
    <row r="3453" spans="1:48" s="10" customFormat="1" x14ac:dyDescent="0.55000000000000004">
      <c r="A3453" s="32">
        <v>44978</v>
      </c>
      <c r="B3453" s="33">
        <v>0.49652777777777773</v>
      </c>
      <c r="C3453" s="10" t="s">
        <v>618</v>
      </c>
      <c r="D3453" s="10">
        <v>5</v>
      </c>
      <c r="E3453" s="10" t="s">
        <v>911</v>
      </c>
      <c r="F3453" s="10">
        <v>1</v>
      </c>
      <c r="G3453" s="10" t="s">
        <v>231</v>
      </c>
      <c r="H3453" s="10" t="s">
        <v>322</v>
      </c>
      <c r="I3453" s="10" t="s">
        <v>183</v>
      </c>
      <c r="J3453" s="10">
        <v>51</v>
      </c>
      <c r="K3453" s="12">
        <v>44980</v>
      </c>
      <c r="L3453" s="33">
        <v>0.5452893518518519</v>
      </c>
      <c r="M3453" s="10">
        <v>1</v>
      </c>
      <c r="N3453" s="10" t="s">
        <v>76</v>
      </c>
      <c r="O3453" s="10">
        <v>1.34</v>
      </c>
      <c r="P3453" s="10">
        <v>0.11</v>
      </c>
      <c r="Q3453" s="10">
        <v>84.2</v>
      </c>
      <c r="R3453" s="10" t="s">
        <v>77</v>
      </c>
      <c r="S3453" s="34">
        <f t="shared" si="388"/>
        <v>84.2</v>
      </c>
      <c r="T3453" s="10" t="s">
        <v>1260</v>
      </c>
      <c r="U3453" s="34" t="str">
        <f t="shared" si="389"/>
        <v/>
      </c>
      <c r="V3453" s="31" t="str">
        <f>IF(H3453="CHK",VLOOKUP(I3453,QCCHK,3,),IF(H3453="GUP",VLOOKUP(E3453,QCGUP,2,),IF(AND(H3453="ATP",OR(I3453="TN",I3453="TDN",I3453="TNO2-3",I3453="NO2-3")),VLOOKUP(E3453,QCREC_N,2,),IF(AND(H3453="NIC",OR(I3453="TN",I3453="TDN",I3453="TNO2-3",I3453="NO2-3")),VLOOKUP(E3453,QCNIC_N,2,),IF(AND(H3453="UREA",OR(I3453="TN",I3453="TDN",I3453="TNO2-3",I3453="NO2-3")),VLOOKUP(E3453,QCUREA_N,2,),IF(H3453="PER",VLOOKUP(I3453,QCPER,MATCH(E3453,QCACTUAL!$J$25:$AA$25,0),),IF(H3453="SPK",VLOOKUP(I3453,QCSPK,3,),IF(AND(H3453="ATP",OR(I3453="TP",I3453="TDP")),VLOOKUP(E3453,QCATP_P,2,),""))))))))</f>
        <v/>
      </c>
      <c r="W3453" s="31" t="str">
        <f t="shared" si="390"/>
        <v>TRUE</v>
      </c>
      <c r="X3453" s="31" t="str">
        <f t="shared" si="387"/>
        <v/>
      </c>
      <c r="Y3453" s="10" t="s">
        <v>1253</v>
      </c>
      <c r="AL3453" s="10" t="str">
        <f t="shared" si="392"/>
        <v>FALSE</v>
      </c>
      <c r="AM3453" s="10" t="str">
        <f t="shared" si="392"/>
        <v>FALSE</v>
      </c>
      <c r="AN3453" s="10" t="str">
        <f t="shared" si="392"/>
        <v>FALSE</v>
      </c>
      <c r="AO3453" s="10" t="str">
        <f t="shared" si="393"/>
        <v>FALSE</v>
      </c>
      <c r="AP3453" s="10" t="str">
        <f t="shared" si="393"/>
        <v>FALSE</v>
      </c>
      <c r="AQ3453" s="10" t="b">
        <f>IF(AND(I3453="TP",S3453&lt;=150),VLOOKUP(AF3453,TPCalibEq150!$AZ$2:$BB$55,3,),IF(AND(I3453="TDP",S3453&lt;=150),VLOOKUP(AF3453,TPCalibEq150!$AZ$2:$BB$55,3,)))</f>
        <v>0</v>
      </c>
      <c r="AR3453" s="10" t="b">
        <f>IF(AND(I3453="TP",S3453&lt;=300),VLOOKUP(AF3453,TPCalibEq300!$AZ$2:$BB$55,3,),IF(AND(I3453="TDP",S3453&lt;=300),VLOOKUP(AF3453,TPCalibEq300!$AZ$2:$BB$55,3,)))</f>
        <v>0</v>
      </c>
      <c r="AS3453" s="10" t="b">
        <f>IF(AND(I3453="TP",S3453&lt;=500),VLOOKUP(AF3453,TPCalibEq500!$AZ$2:$BB$56,3,),IF(AND(I3453="TDP",S3453&lt;=500),VLOOKUP(AF3453,TPCalibEq500!$AZ$2:$BB$56,3,)))</f>
        <v>0</v>
      </c>
      <c r="AT3453" s="10" t="b">
        <f>IF(AND(I3453="TN",S3453&lt;=2800),VLOOKUP(AF3453,TNCalibEq2500!$AZ$2:$BB$56,3,),IF(AND(I3453="TDN",S3453&lt;=2800),VLOOKUP(AF3453,TNCalibEq2500!$AZ$2:$BB$56,3,)))</f>
        <v>0</v>
      </c>
      <c r="AU3453" s="10" t="b">
        <f>IF(I3453="TP",VLOOKUP(AF3453,TPCalibEqFull!$AZ$2:$BB$56,3),IF(I3453="TDP",VLOOKUP(AF3453,TPCalibEqFull!$AZ$2:$BB$56,3),IF(I3453="TDN",VLOOKUP(AF3453,TNCalibEqFull!$AZ$1:$BB$56,3),IF(I3453="TN",VLOOKUP(AF3453,TNCalibEqFull!$AZ$1:$BB$56,3),FALSE))))</f>
        <v>0</v>
      </c>
      <c r="AV3453" s="10" t="str">
        <f t="shared" si="391"/>
        <v>0221 11:55:00-ECP-5-FIL-1-SW-UKN</v>
      </c>
    </row>
    <row r="3454" spans="1:48" s="10" customFormat="1" x14ac:dyDescent="0.55000000000000004">
      <c r="A3454" s="32">
        <v>44978</v>
      </c>
      <c r="B3454" s="33">
        <v>0.49861111111111112</v>
      </c>
      <c r="C3454" s="10" t="s">
        <v>618</v>
      </c>
      <c r="D3454" s="10">
        <v>10</v>
      </c>
      <c r="E3454" s="10" t="s">
        <v>911</v>
      </c>
      <c r="F3454" s="10">
        <v>1</v>
      </c>
      <c r="G3454" s="10" t="s">
        <v>231</v>
      </c>
      <c r="H3454" s="10" t="s">
        <v>322</v>
      </c>
      <c r="I3454" s="10" t="s">
        <v>183</v>
      </c>
      <c r="J3454" s="10">
        <v>52</v>
      </c>
      <c r="K3454" s="12">
        <v>44980</v>
      </c>
      <c r="L3454" s="33">
        <v>0.5461111111111111</v>
      </c>
      <c r="M3454" s="10">
        <v>1</v>
      </c>
      <c r="N3454" s="10" t="s">
        <v>76</v>
      </c>
      <c r="O3454" s="10">
        <v>1.5</v>
      </c>
      <c r="P3454" s="10">
        <v>0.122</v>
      </c>
      <c r="Q3454" s="10">
        <v>94.1</v>
      </c>
      <c r="R3454" s="10" t="s">
        <v>77</v>
      </c>
      <c r="S3454" s="34">
        <f t="shared" si="388"/>
        <v>94.1</v>
      </c>
      <c r="T3454" s="10" t="s">
        <v>1260</v>
      </c>
      <c r="U3454" s="34" t="str">
        <f t="shared" si="389"/>
        <v/>
      </c>
      <c r="V3454" s="31" t="str">
        <f>IF(H3454="CHK",VLOOKUP(I3454,QCCHK,3,),IF(H3454="GUP",VLOOKUP(E3454,QCGUP,2,),IF(AND(H3454="ATP",OR(I3454="TN",I3454="TDN",I3454="TNO2-3",I3454="NO2-3")),VLOOKUP(E3454,QCREC_N,2,),IF(AND(H3454="NIC",OR(I3454="TN",I3454="TDN",I3454="TNO2-3",I3454="NO2-3")),VLOOKUP(E3454,QCNIC_N,2,),IF(AND(H3454="UREA",OR(I3454="TN",I3454="TDN",I3454="TNO2-3",I3454="NO2-3")),VLOOKUP(E3454,QCUREA_N,2,),IF(H3454="PER",VLOOKUP(I3454,QCPER,MATCH(E3454,QCACTUAL!$J$25:$AA$25,0),),IF(H3454="SPK",VLOOKUP(I3454,QCSPK,3,),IF(AND(H3454="ATP",OR(I3454="TP",I3454="TDP")),VLOOKUP(E3454,QCATP_P,2,),""))))))))</f>
        <v/>
      </c>
      <c r="W3454" s="31" t="str">
        <f t="shared" si="390"/>
        <v>TRUE</v>
      </c>
      <c r="X3454" s="31" t="str">
        <f t="shared" si="387"/>
        <v/>
      </c>
      <c r="Y3454" s="10" t="s">
        <v>1253</v>
      </c>
      <c r="AL3454" s="10" t="str">
        <f t="shared" si="392"/>
        <v>FALSE</v>
      </c>
      <c r="AM3454" s="10" t="str">
        <f t="shared" si="392"/>
        <v>FALSE</v>
      </c>
      <c r="AN3454" s="10" t="str">
        <f t="shared" si="392"/>
        <v>FALSE</v>
      </c>
      <c r="AO3454" s="10" t="str">
        <f t="shared" si="393"/>
        <v>FALSE</v>
      </c>
      <c r="AP3454" s="10" t="str">
        <f t="shared" si="393"/>
        <v>FALSE</v>
      </c>
      <c r="AQ3454" s="10" t="b">
        <f>IF(AND(I3454="TP",S3454&lt;=150),VLOOKUP(AF3454,TPCalibEq150!$AZ$2:$BB$55,3,),IF(AND(I3454="TDP",S3454&lt;=150),VLOOKUP(AF3454,TPCalibEq150!$AZ$2:$BB$55,3,)))</f>
        <v>0</v>
      </c>
      <c r="AR3454" s="10" t="b">
        <f>IF(AND(I3454="TP",S3454&lt;=300),VLOOKUP(AF3454,TPCalibEq300!$AZ$2:$BB$55,3,),IF(AND(I3454="TDP",S3454&lt;=300),VLOOKUP(AF3454,TPCalibEq300!$AZ$2:$BB$55,3,)))</f>
        <v>0</v>
      </c>
      <c r="AS3454" s="10" t="b">
        <f>IF(AND(I3454="TP",S3454&lt;=500),VLOOKUP(AF3454,TPCalibEq500!$AZ$2:$BB$56,3,),IF(AND(I3454="TDP",S3454&lt;=500),VLOOKUP(AF3454,TPCalibEq500!$AZ$2:$BB$56,3,)))</f>
        <v>0</v>
      </c>
      <c r="AT3454" s="10" t="b">
        <f>IF(AND(I3454="TN",S3454&lt;=2800),VLOOKUP(AF3454,TNCalibEq2500!$AZ$2:$BB$56,3,),IF(AND(I3454="TDN",S3454&lt;=2800),VLOOKUP(AF3454,TNCalibEq2500!$AZ$2:$BB$56,3,)))</f>
        <v>0</v>
      </c>
      <c r="AU3454" s="10" t="b">
        <f>IF(I3454="TP",VLOOKUP(AF3454,TPCalibEqFull!$AZ$2:$BB$56,3),IF(I3454="TDP",VLOOKUP(AF3454,TPCalibEqFull!$AZ$2:$BB$56,3),IF(I3454="TDN",VLOOKUP(AF3454,TNCalibEqFull!$AZ$1:$BB$56,3),IF(I3454="TN",VLOOKUP(AF3454,TNCalibEqFull!$AZ$1:$BB$56,3),FALSE))))</f>
        <v>0</v>
      </c>
      <c r="AV3454" s="10" t="str">
        <f t="shared" si="391"/>
        <v>0221 11:58:00-ECP-10-FIL-1-SW-UKN</v>
      </c>
    </row>
    <row r="3455" spans="1:48" s="10" customFormat="1" x14ac:dyDescent="0.55000000000000004">
      <c r="A3455" s="32">
        <v>44978</v>
      </c>
      <c r="B3455" s="33">
        <v>0.50208333333333333</v>
      </c>
      <c r="C3455" s="10" t="s">
        <v>618</v>
      </c>
      <c r="D3455" s="10">
        <v>20</v>
      </c>
      <c r="E3455" s="10" t="s">
        <v>911</v>
      </c>
      <c r="F3455" s="10">
        <v>1</v>
      </c>
      <c r="G3455" s="10" t="s">
        <v>231</v>
      </c>
      <c r="H3455" s="10" t="s">
        <v>322</v>
      </c>
      <c r="I3455" s="10" t="s">
        <v>183</v>
      </c>
      <c r="J3455" s="10">
        <v>53</v>
      </c>
      <c r="K3455" s="12">
        <v>44980</v>
      </c>
      <c r="L3455" s="33">
        <v>0.54692129629629627</v>
      </c>
      <c r="M3455" s="10">
        <v>1</v>
      </c>
      <c r="N3455" s="10" t="s">
        <v>76</v>
      </c>
      <c r="O3455" s="10">
        <v>1.4</v>
      </c>
      <c r="P3455" s="10">
        <v>0.115</v>
      </c>
      <c r="Q3455" s="10">
        <v>88.1</v>
      </c>
      <c r="R3455" s="10" t="s">
        <v>77</v>
      </c>
      <c r="S3455" s="34">
        <f t="shared" si="388"/>
        <v>88.1</v>
      </c>
      <c r="T3455" s="10" t="s">
        <v>1260</v>
      </c>
      <c r="U3455" s="34" t="str">
        <f t="shared" si="389"/>
        <v/>
      </c>
      <c r="V3455" s="31" t="str">
        <f>IF(H3455="CHK",VLOOKUP(I3455,QCCHK,3,),IF(H3455="GUP",VLOOKUP(E3455,QCGUP,2,),IF(AND(H3455="ATP",OR(I3455="TN",I3455="TDN",I3455="TNO2-3",I3455="NO2-3")),VLOOKUP(E3455,QCREC_N,2,),IF(AND(H3455="NIC",OR(I3455="TN",I3455="TDN",I3455="TNO2-3",I3455="NO2-3")),VLOOKUP(E3455,QCNIC_N,2,),IF(AND(H3455="UREA",OR(I3455="TN",I3455="TDN",I3455="TNO2-3",I3455="NO2-3")),VLOOKUP(E3455,QCUREA_N,2,),IF(H3455="PER",VLOOKUP(I3455,QCPER,MATCH(E3455,QCACTUAL!$J$25:$AA$25,0),),IF(H3455="SPK",VLOOKUP(I3455,QCSPK,3,),IF(AND(H3455="ATP",OR(I3455="TP",I3455="TDP")),VLOOKUP(E3455,QCATP_P,2,),""))))))))</f>
        <v/>
      </c>
      <c r="W3455" s="31" t="str">
        <f t="shared" si="390"/>
        <v>TRUE</v>
      </c>
      <c r="X3455" s="31" t="str">
        <f t="shared" ref="X3455:X3518" si="394">IF(ISNA(VLOOKUP(H3455,QCEQUATIONS,2,)),"",(VLOOKUP(H3455,QCEQUATIONS,2,)))</f>
        <v/>
      </c>
      <c r="Y3455" s="10" t="s">
        <v>1253</v>
      </c>
      <c r="AL3455" s="10" t="str">
        <f t="shared" si="392"/>
        <v>FALSE</v>
      </c>
      <c r="AM3455" s="10" t="str">
        <f t="shared" si="392"/>
        <v>FALSE</v>
      </c>
      <c r="AN3455" s="10" t="str">
        <f t="shared" si="392"/>
        <v>FALSE</v>
      </c>
      <c r="AO3455" s="10" t="str">
        <f t="shared" si="393"/>
        <v>FALSE</v>
      </c>
      <c r="AP3455" s="10" t="str">
        <f t="shared" si="393"/>
        <v>FALSE</v>
      </c>
      <c r="AQ3455" s="10" t="b">
        <f>IF(AND(I3455="TP",S3455&lt;=150),VLOOKUP(AF3455,TPCalibEq150!$AZ$2:$BB$55,3,),IF(AND(I3455="TDP",S3455&lt;=150),VLOOKUP(AF3455,TPCalibEq150!$AZ$2:$BB$55,3,)))</f>
        <v>0</v>
      </c>
      <c r="AR3455" s="10" t="b">
        <f>IF(AND(I3455="TP",S3455&lt;=300),VLOOKUP(AF3455,TPCalibEq300!$AZ$2:$BB$55,3,),IF(AND(I3455="TDP",S3455&lt;=300),VLOOKUP(AF3455,TPCalibEq300!$AZ$2:$BB$55,3,)))</f>
        <v>0</v>
      </c>
      <c r="AS3455" s="10" t="b">
        <f>IF(AND(I3455="TP",S3455&lt;=500),VLOOKUP(AF3455,TPCalibEq500!$AZ$2:$BB$56,3,),IF(AND(I3455="TDP",S3455&lt;=500),VLOOKUP(AF3455,TPCalibEq500!$AZ$2:$BB$56,3,)))</f>
        <v>0</v>
      </c>
      <c r="AT3455" s="10" t="b">
        <f>IF(AND(I3455="TN",S3455&lt;=2800),VLOOKUP(AF3455,TNCalibEq2500!$AZ$2:$BB$56,3,),IF(AND(I3455="TDN",S3455&lt;=2800),VLOOKUP(AF3455,TNCalibEq2500!$AZ$2:$BB$56,3,)))</f>
        <v>0</v>
      </c>
      <c r="AU3455" s="10" t="b">
        <f>IF(I3455="TP",VLOOKUP(AF3455,TPCalibEqFull!$AZ$2:$BB$56,3),IF(I3455="TDP",VLOOKUP(AF3455,TPCalibEqFull!$AZ$2:$BB$56,3),IF(I3455="TDN",VLOOKUP(AF3455,TNCalibEqFull!$AZ$1:$BB$56,3),IF(I3455="TN",VLOOKUP(AF3455,TNCalibEqFull!$AZ$1:$BB$56,3),FALSE))))</f>
        <v>0</v>
      </c>
      <c r="AV3455" s="10" t="str">
        <f t="shared" si="391"/>
        <v>0221 12:03:00-ECP-20-FIL-1-SW-UKN</v>
      </c>
    </row>
    <row r="3456" spans="1:48" s="10" customFormat="1" x14ac:dyDescent="0.55000000000000004">
      <c r="A3456" s="32">
        <v>44978</v>
      </c>
      <c r="B3456" s="33">
        <v>0.50416666666666665</v>
      </c>
      <c r="C3456" s="10" t="s">
        <v>618</v>
      </c>
      <c r="D3456" s="10">
        <v>29</v>
      </c>
      <c r="E3456" s="10" t="s">
        <v>911</v>
      </c>
      <c r="F3456" s="10">
        <v>1</v>
      </c>
      <c r="G3456" s="10" t="s">
        <v>231</v>
      </c>
      <c r="H3456" s="10" t="s">
        <v>322</v>
      </c>
      <c r="I3456" s="10" t="s">
        <v>183</v>
      </c>
      <c r="J3456" s="10">
        <v>54</v>
      </c>
      <c r="K3456" s="12">
        <v>44980</v>
      </c>
      <c r="L3456" s="33">
        <v>0.54773148148148143</v>
      </c>
      <c r="M3456" s="10">
        <v>1</v>
      </c>
      <c r="N3456" s="10" t="s">
        <v>76</v>
      </c>
      <c r="O3456" s="10">
        <v>1.92</v>
      </c>
      <c r="P3456" s="10">
        <v>0.155</v>
      </c>
      <c r="Q3456" s="10">
        <v>120</v>
      </c>
      <c r="R3456" s="10" t="s">
        <v>77</v>
      </c>
      <c r="S3456" s="34">
        <f t="shared" ref="S3456:S3519" si="395">IF(OR(AND(I3456&lt;&gt;"TP", I3456&lt;&gt;"TDP",I3456&lt;&gt;"TN", I3456&lt;&gt;"TDN"),H3456="CAL"), Q3456*M3456, IF(OR(AND(I3456="TN", Q3456&gt;2500), AND(I3456="TDN", Q3456&gt;2500)),MAX(Q3456, AK3456)*M3456, IF(OR(AND(I3456="TN", Q3456&lt;=2500), AND(I3456="TDN", Q3456&lt;=2500)),MAX(Q3456, AJ3456,AK3456)*M3456, IF(OR(AND(I3456="TP",Q3456&gt;500), AND(I3456="TDP", Q3456&gt;500)),MAX(Q3456,AK3456)*M3456,IF(OR(AND(I3456="TP",Q3456&lt;=150), AND(I3456="TDP", Q3456&lt;=150)),MAX(Q3456,AG3456:AI3456,AK3456)*M3456,IF(OR(AND(I3456="TP",Q3456&lt;=300), AND(I3456="TDP", Q3456&lt;=300)),MAX(Q3456,AH3456,AI3456,AK3456)*M3456,IF(OR(AND(I3456="TP",Q3456&lt;=500), AND(I3456="TDP", Q3456&lt;=500)),MAX(Q3456,AI3456,AK3456)*M3456,"")))))))</f>
        <v>120</v>
      </c>
      <c r="T3456" s="10" t="s">
        <v>1260</v>
      </c>
      <c r="U3456" s="34" t="str">
        <f t="shared" si="389"/>
        <v/>
      </c>
      <c r="V3456" s="31" t="str">
        <f>IF(H3456="CHK",VLOOKUP(I3456,QCCHK,3,),IF(H3456="GUP",VLOOKUP(E3456,QCGUP,2,),IF(AND(H3456="ATP",OR(I3456="TN",I3456="TDN",I3456="TNO2-3",I3456="NO2-3")),VLOOKUP(E3456,QCREC_N,2,),IF(AND(H3456="NIC",OR(I3456="TN",I3456="TDN",I3456="TNO2-3",I3456="NO2-3")),VLOOKUP(E3456,QCNIC_N,2,),IF(AND(H3456="UREA",OR(I3456="TN",I3456="TDN",I3456="TNO2-3",I3456="NO2-3")),VLOOKUP(E3456,QCUREA_N,2,),IF(H3456="PER",VLOOKUP(I3456,QCPER,MATCH(E3456,QCACTUAL!$J$25:$AA$25,0),),IF(H3456="SPK",VLOOKUP(I3456,QCSPK,3,),IF(AND(H3456="ATP",OR(I3456="TP",I3456="TDP")),VLOOKUP(E3456,QCATP_P,2,),""))))))))</f>
        <v/>
      </c>
      <c r="W3456" s="31" t="str">
        <f t="shared" si="390"/>
        <v>TRUE</v>
      </c>
      <c r="X3456" s="31" t="str">
        <f t="shared" si="394"/>
        <v/>
      </c>
      <c r="Y3456" s="10" t="s">
        <v>1253</v>
      </c>
      <c r="AL3456" s="10" t="str">
        <f t="shared" si="392"/>
        <v>FALSE</v>
      </c>
      <c r="AM3456" s="10" t="str">
        <f t="shared" si="392"/>
        <v>FALSE</v>
      </c>
      <c r="AN3456" s="10" t="str">
        <f t="shared" si="392"/>
        <v>FALSE</v>
      </c>
      <c r="AO3456" s="10" t="str">
        <f t="shared" si="393"/>
        <v>FALSE</v>
      </c>
      <c r="AP3456" s="10" t="str">
        <f t="shared" si="393"/>
        <v>FALSE</v>
      </c>
      <c r="AQ3456" s="10" t="b">
        <f>IF(AND(I3456="TP",S3456&lt;=150),VLOOKUP(AF3456,TPCalibEq150!$AZ$2:$BB$55,3,),IF(AND(I3456="TDP",S3456&lt;=150),VLOOKUP(AF3456,TPCalibEq150!$AZ$2:$BB$55,3,)))</f>
        <v>0</v>
      </c>
      <c r="AR3456" s="10" t="b">
        <f>IF(AND(I3456="TP",S3456&lt;=300),VLOOKUP(AF3456,TPCalibEq300!$AZ$2:$BB$55,3,),IF(AND(I3456="TDP",S3456&lt;=300),VLOOKUP(AF3456,TPCalibEq300!$AZ$2:$BB$55,3,)))</f>
        <v>0</v>
      </c>
      <c r="AS3456" s="10" t="b">
        <f>IF(AND(I3456="TP",S3456&lt;=500),VLOOKUP(AF3456,TPCalibEq500!$AZ$2:$BB$56,3,),IF(AND(I3456="TDP",S3456&lt;=500),VLOOKUP(AF3456,TPCalibEq500!$AZ$2:$BB$56,3,)))</f>
        <v>0</v>
      </c>
      <c r="AT3456" s="10" t="b">
        <f>IF(AND(I3456="TN",S3456&lt;=2800),VLOOKUP(AF3456,TNCalibEq2500!$AZ$2:$BB$56,3,),IF(AND(I3456="TDN",S3456&lt;=2800),VLOOKUP(AF3456,TNCalibEq2500!$AZ$2:$BB$56,3,)))</f>
        <v>0</v>
      </c>
      <c r="AU3456" s="10" t="b">
        <f>IF(I3456="TP",VLOOKUP(AF3456,TPCalibEqFull!$AZ$2:$BB$56,3),IF(I3456="TDP",VLOOKUP(AF3456,TPCalibEqFull!$AZ$2:$BB$56,3),IF(I3456="TDN",VLOOKUP(AF3456,TNCalibEqFull!$AZ$1:$BB$56,3),IF(I3456="TN",VLOOKUP(AF3456,TNCalibEqFull!$AZ$1:$BB$56,3),FALSE))))</f>
        <v>0</v>
      </c>
      <c r="AV3456" s="10" t="str">
        <f t="shared" si="391"/>
        <v>0221 12:06:00-ECP-29-FIL-1-SW-UKN</v>
      </c>
    </row>
    <row r="3457" spans="1:48" s="10" customFormat="1" x14ac:dyDescent="0.55000000000000004">
      <c r="A3457" s="32">
        <v>44978</v>
      </c>
      <c r="B3457" s="33">
        <v>0.50972222222222219</v>
      </c>
      <c r="C3457" s="10" t="s">
        <v>661</v>
      </c>
      <c r="D3457" s="10">
        <v>0</v>
      </c>
      <c r="E3457" s="10" t="s">
        <v>911</v>
      </c>
      <c r="F3457" s="10">
        <v>1</v>
      </c>
      <c r="G3457" s="10" t="s">
        <v>231</v>
      </c>
      <c r="H3457" s="10" t="s">
        <v>322</v>
      </c>
      <c r="I3457" s="10" t="s">
        <v>183</v>
      </c>
      <c r="J3457" s="10">
        <v>55</v>
      </c>
      <c r="K3457" s="12">
        <v>44980</v>
      </c>
      <c r="L3457" s="33">
        <v>0.54854166666666659</v>
      </c>
      <c r="M3457" s="10">
        <v>1</v>
      </c>
      <c r="N3457" s="10" t="s">
        <v>76</v>
      </c>
      <c r="O3457" s="10">
        <v>1.34</v>
      </c>
      <c r="P3457" s="10">
        <v>0.108</v>
      </c>
      <c r="Q3457" s="10">
        <v>84.2</v>
      </c>
      <c r="R3457" s="10" t="s">
        <v>77</v>
      </c>
      <c r="S3457" s="34">
        <f t="shared" si="395"/>
        <v>84.2</v>
      </c>
      <c r="T3457" s="10" t="s">
        <v>1260</v>
      </c>
      <c r="U3457" s="34" t="str">
        <f t="shared" si="389"/>
        <v/>
      </c>
      <c r="V3457" s="31" t="str">
        <f>IF(H3457="CHK",VLOOKUP(I3457,QCCHK,3,),IF(H3457="GUP",VLOOKUP(E3457,QCGUP,2,),IF(AND(H3457="ATP",OR(I3457="TN",I3457="TDN",I3457="TNO2-3",I3457="NO2-3")),VLOOKUP(E3457,QCREC_N,2,),IF(AND(H3457="NIC",OR(I3457="TN",I3457="TDN",I3457="TNO2-3",I3457="NO2-3")),VLOOKUP(E3457,QCNIC_N,2,),IF(AND(H3457="UREA",OR(I3457="TN",I3457="TDN",I3457="TNO2-3",I3457="NO2-3")),VLOOKUP(E3457,QCUREA_N,2,),IF(H3457="PER",VLOOKUP(I3457,QCPER,MATCH(E3457,QCACTUAL!$J$25:$AA$25,0),),IF(H3457="SPK",VLOOKUP(I3457,QCSPK,3,),IF(AND(H3457="ATP",OR(I3457="TP",I3457="TDP")),VLOOKUP(E3457,QCATP_P,2,),""))))))))</f>
        <v/>
      </c>
      <c r="W3457" s="31" t="str">
        <f t="shared" si="390"/>
        <v>TRUE</v>
      </c>
      <c r="X3457" s="31" t="str">
        <f t="shared" si="394"/>
        <v/>
      </c>
      <c r="Y3457" s="10" t="s">
        <v>1253</v>
      </c>
      <c r="AL3457" s="10" t="str">
        <f t="shared" si="392"/>
        <v>FALSE</v>
      </c>
      <c r="AM3457" s="10" t="str">
        <f t="shared" si="392"/>
        <v>FALSE</v>
      </c>
      <c r="AN3457" s="10" t="str">
        <f t="shared" si="392"/>
        <v>FALSE</v>
      </c>
      <c r="AO3457" s="10" t="str">
        <f t="shared" si="393"/>
        <v>FALSE</v>
      </c>
      <c r="AP3457" s="10" t="str">
        <f t="shared" si="393"/>
        <v>FALSE</v>
      </c>
      <c r="AQ3457" s="10" t="b">
        <f>IF(AND(I3457="TP",S3457&lt;=150),VLOOKUP(AF3457,TPCalibEq150!$AZ$2:$BB$55,3,),IF(AND(I3457="TDP",S3457&lt;=150),VLOOKUP(AF3457,TPCalibEq150!$AZ$2:$BB$55,3,)))</f>
        <v>0</v>
      </c>
      <c r="AR3457" s="10" t="b">
        <f>IF(AND(I3457="TP",S3457&lt;=300),VLOOKUP(AF3457,TPCalibEq300!$AZ$2:$BB$55,3,),IF(AND(I3457="TDP",S3457&lt;=300),VLOOKUP(AF3457,TPCalibEq300!$AZ$2:$BB$55,3,)))</f>
        <v>0</v>
      </c>
      <c r="AS3457" s="10" t="b">
        <f>IF(AND(I3457="TP",S3457&lt;=500),VLOOKUP(AF3457,TPCalibEq500!$AZ$2:$BB$56,3,),IF(AND(I3457="TDP",S3457&lt;=500),VLOOKUP(AF3457,TPCalibEq500!$AZ$2:$BB$56,3,)))</f>
        <v>0</v>
      </c>
      <c r="AT3457" s="10" t="b">
        <f>IF(AND(I3457="TN",S3457&lt;=2800),VLOOKUP(AF3457,TNCalibEq2500!$AZ$2:$BB$56,3,),IF(AND(I3457="TDN",S3457&lt;=2800),VLOOKUP(AF3457,TNCalibEq2500!$AZ$2:$BB$56,3,)))</f>
        <v>0</v>
      </c>
      <c r="AU3457" s="10" t="b">
        <f>IF(I3457="TP",VLOOKUP(AF3457,TPCalibEqFull!$AZ$2:$BB$56,3),IF(I3457="TDP",VLOOKUP(AF3457,TPCalibEqFull!$AZ$2:$BB$56,3),IF(I3457="TDN",VLOOKUP(AF3457,TNCalibEqFull!$AZ$1:$BB$56,3),IF(I3457="TN",VLOOKUP(AF3457,TNCalibEqFull!$AZ$1:$BB$56,3),FALSE))))</f>
        <v>0</v>
      </c>
      <c r="AV3457" s="10" t="str">
        <f t="shared" si="391"/>
        <v>0221 12:14:00-ENN-0-FIL-1-SW-UKN</v>
      </c>
    </row>
    <row r="3458" spans="1:48" s="10" customFormat="1" x14ac:dyDescent="0.55000000000000004">
      <c r="A3458" s="32">
        <v>44978</v>
      </c>
      <c r="B3458" s="33">
        <v>0.51180555555555551</v>
      </c>
      <c r="C3458" s="10" t="s">
        <v>661</v>
      </c>
      <c r="D3458" s="10">
        <v>5</v>
      </c>
      <c r="E3458" s="10" t="s">
        <v>911</v>
      </c>
      <c r="F3458" s="10">
        <v>1</v>
      </c>
      <c r="G3458" s="10" t="s">
        <v>231</v>
      </c>
      <c r="H3458" s="10" t="s">
        <v>322</v>
      </c>
      <c r="I3458" s="10" t="s">
        <v>183</v>
      </c>
      <c r="J3458" s="10">
        <v>56</v>
      </c>
      <c r="K3458" s="12">
        <v>44980</v>
      </c>
      <c r="L3458" s="33">
        <v>0.54936342592592591</v>
      </c>
      <c r="M3458" s="10">
        <v>1</v>
      </c>
      <c r="N3458" s="10" t="s">
        <v>76</v>
      </c>
      <c r="O3458" s="10">
        <v>1.34</v>
      </c>
      <c r="P3458" s="10">
        <v>0.11</v>
      </c>
      <c r="Q3458" s="10">
        <v>84.1</v>
      </c>
      <c r="R3458" s="10" t="s">
        <v>77</v>
      </c>
      <c r="S3458" s="34">
        <f t="shared" si="395"/>
        <v>84.1</v>
      </c>
      <c r="T3458" s="10" t="s">
        <v>1260</v>
      </c>
      <c r="U3458" s="34" t="str">
        <f t="shared" ref="U3458:U3521" si="396">IF(OR(H3458="CHK",H3458="ATP",H3458="GUP",H3458="PER", H3458="NIC", H3458="UREA"),(S3458/V3458*100),IF(H3458="DUP",((ABS(S3458-S3457))/((S3457+S3458)/2))*100,IF(H3458="SPK",((S3458-S3457)/V3458*100),IF(OR(H3458="LAB",H3458="FLD",H3458="ESF"),S3458,""))))</f>
        <v/>
      </c>
      <c r="V3458" s="31" t="str">
        <f>IF(H3458="CHK",VLOOKUP(I3458,QCCHK,3,),IF(H3458="GUP",VLOOKUP(E3458,QCGUP,2,),IF(AND(H3458="ATP",OR(I3458="TN",I3458="TDN",I3458="TNO2-3",I3458="NO2-3")),VLOOKUP(E3458,QCREC_N,2,),IF(AND(H3458="NIC",OR(I3458="TN",I3458="TDN",I3458="TNO2-3",I3458="NO2-3")),VLOOKUP(E3458,QCNIC_N,2,),IF(AND(H3458="UREA",OR(I3458="TN",I3458="TDN",I3458="TNO2-3",I3458="NO2-3")),VLOOKUP(E3458,QCUREA_N,2,),IF(H3458="PER",VLOOKUP(I3458,QCPER,MATCH(E3458,QCACTUAL!$J$25:$AA$25,0),),IF(H3458="SPK",VLOOKUP(I3458,QCSPK,3,),IF(AND(H3458="ATP",OR(I3458="TP",I3458="TDP")),VLOOKUP(E3458,QCATP_P,2,),""))))))))</f>
        <v/>
      </c>
      <c r="W3458" s="31" t="str">
        <f t="shared" ref="W3458:W3521" si="397">IF(AND(OR(H3458="PER",H3458="ATP",H3458="GUP",H3458="CHK",H3458="SPK", H3458="NIC"),OR(U3458&gt;125,U3458&lt;75)),"FALSE",IF(AND(H3458="DUP",OR(U3458&gt;25, U3458&lt;-25)),"FALSE",IF(AND(OR(H3458="LAB",H3458="FLD",H3458="ESF"),U3458&gt;15),"FALSE","TRUE")))</f>
        <v>TRUE</v>
      </c>
      <c r="X3458" s="31" t="str">
        <f t="shared" si="394"/>
        <v/>
      </c>
      <c r="Y3458" s="10" t="s">
        <v>1253</v>
      </c>
      <c r="AL3458" s="10" t="str">
        <f t="shared" si="392"/>
        <v>FALSE</v>
      </c>
      <c r="AM3458" s="10" t="str">
        <f t="shared" si="392"/>
        <v>FALSE</v>
      </c>
      <c r="AN3458" s="10" t="str">
        <f t="shared" si="392"/>
        <v>FALSE</v>
      </c>
      <c r="AO3458" s="10" t="str">
        <f t="shared" si="393"/>
        <v>FALSE</v>
      </c>
      <c r="AP3458" s="10" t="str">
        <f t="shared" si="393"/>
        <v>FALSE</v>
      </c>
      <c r="AQ3458" s="10" t="b">
        <f>IF(AND(I3458="TP",S3458&lt;=150),VLOOKUP(AF3458,TPCalibEq150!$AZ$2:$BB$55,3,),IF(AND(I3458="TDP",S3458&lt;=150),VLOOKUP(AF3458,TPCalibEq150!$AZ$2:$BB$55,3,)))</f>
        <v>0</v>
      </c>
      <c r="AR3458" s="10" t="b">
        <f>IF(AND(I3458="TP",S3458&lt;=300),VLOOKUP(AF3458,TPCalibEq300!$AZ$2:$BB$55,3,),IF(AND(I3458="TDP",S3458&lt;=300),VLOOKUP(AF3458,TPCalibEq300!$AZ$2:$BB$55,3,)))</f>
        <v>0</v>
      </c>
      <c r="AS3458" s="10" t="b">
        <f>IF(AND(I3458="TP",S3458&lt;=500),VLOOKUP(AF3458,TPCalibEq500!$AZ$2:$BB$56,3,),IF(AND(I3458="TDP",S3458&lt;=500),VLOOKUP(AF3458,TPCalibEq500!$AZ$2:$BB$56,3,)))</f>
        <v>0</v>
      </c>
      <c r="AT3458" s="10" t="b">
        <f>IF(AND(I3458="TN",S3458&lt;=2800),VLOOKUP(AF3458,TNCalibEq2500!$AZ$2:$BB$56,3,),IF(AND(I3458="TDN",S3458&lt;=2800),VLOOKUP(AF3458,TNCalibEq2500!$AZ$2:$BB$56,3,)))</f>
        <v>0</v>
      </c>
      <c r="AU3458" s="10" t="b">
        <f>IF(I3458="TP",VLOOKUP(AF3458,TPCalibEqFull!$AZ$2:$BB$56,3),IF(I3458="TDP",VLOOKUP(AF3458,TPCalibEqFull!$AZ$2:$BB$56,3),IF(I3458="TDN",VLOOKUP(AF3458,TNCalibEqFull!$AZ$1:$BB$56,3),IF(I3458="TN",VLOOKUP(AF3458,TNCalibEqFull!$AZ$1:$BB$56,3),FALSE))))</f>
        <v>0</v>
      </c>
      <c r="AV3458" s="10" t="str">
        <f t="shared" ref="AV3458:AV3521" si="398">TEXT(A3458, "MMDD")&amp;" "&amp;TEXT(B3458, "HH:MM:SS")&amp;"-"&amp;C3458&amp;"-"&amp;D3458&amp;"-"&amp;E3458&amp;"-"&amp;F3458&amp;"-"&amp;G3458&amp;"-"&amp;H3458</f>
        <v>0221 12:17:00-ENN-5-FIL-1-SW-UKN</v>
      </c>
    </row>
    <row r="3459" spans="1:48" s="10" customFormat="1" x14ac:dyDescent="0.55000000000000004">
      <c r="A3459" s="32">
        <v>44978</v>
      </c>
      <c r="B3459" s="33">
        <v>0.51388888888888895</v>
      </c>
      <c r="C3459" s="10" t="s">
        <v>661</v>
      </c>
      <c r="D3459" s="10">
        <v>10</v>
      </c>
      <c r="E3459" s="10" t="s">
        <v>911</v>
      </c>
      <c r="F3459" s="10">
        <v>1</v>
      </c>
      <c r="G3459" s="10" t="s">
        <v>231</v>
      </c>
      <c r="H3459" s="10" t="s">
        <v>322</v>
      </c>
      <c r="I3459" s="10" t="s">
        <v>183</v>
      </c>
      <c r="J3459" s="10">
        <v>57</v>
      </c>
      <c r="K3459" s="12">
        <v>44980</v>
      </c>
      <c r="L3459" s="33">
        <v>0.55017361111111118</v>
      </c>
      <c r="M3459" s="10">
        <v>1</v>
      </c>
      <c r="N3459" s="10" t="s">
        <v>76</v>
      </c>
      <c r="O3459" s="10">
        <v>1.35</v>
      </c>
      <c r="P3459" s="10">
        <v>0.109</v>
      </c>
      <c r="Q3459" s="10">
        <v>84.7</v>
      </c>
      <c r="R3459" s="10" t="s">
        <v>77</v>
      </c>
      <c r="S3459" s="34">
        <f t="shared" si="395"/>
        <v>84.7</v>
      </c>
      <c r="T3459" s="10" t="s">
        <v>1260</v>
      </c>
      <c r="U3459" s="34" t="str">
        <f t="shared" si="396"/>
        <v/>
      </c>
      <c r="V3459" s="31" t="str">
        <f>IF(H3459="CHK",VLOOKUP(I3459,QCCHK,3,),IF(H3459="GUP",VLOOKUP(E3459,QCGUP,2,),IF(AND(H3459="ATP",OR(I3459="TN",I3459="TDN",I3459="TNO2-3",I3459="NO2-3")),VLOOKUP(E3459,QCREC_N,2,),IF(AND(H3459="NIC",OR(I3459="TN",I3459="TDN",I3459="TNO2-3",I3459="NO2-3")),VLOOKUP(E3459,QCNIC_N,2,),IF(AND(H3459="UREA",OR(I3459="TN",I3459="TDN",I3459="TNO2-3",I3459="NO2-3")),VLOOKUP(E3459,QCUREA_N,2,),IF(H3459="PER",VLOOKUP(I3459,QCPER,MATCH(E3459,QCACTUAL!$J$25:$AA$25,0),),IF(H3459="SPK",VLOOKUP(I3459,QCSPK,3,),IF(AND(H3459="ATP",OR(I3459="TP",I3459="TDP")),VLOOKUP(E3459,QCATP_P,2,),""))))))))</f>
        <v/>
      </c>
      <c r="W3459" s="31" t="str">
        <f t="shared" si="397"/>
        <v>TRUE</v>
      </c>
      <c r="X3459" s="31" t="str">
        <f t="shared" si="394"/>
        <v/>
      </c>
      <c r="Y3459" s="10" t="s">
        <v>1253</v>
      </c>
      <c r="AL3459" s="10" t="str">
        <f t="shared" si="392"/>
        <v>FALSE</v>
      </c>
      <c r="AM3459" s="10" t="str">
        <f t="shared" si="392"/>
        <v>FALSE</v>
      </c>
      <c r="AN3459" s="10" t="str">
        <f t="shared" si="392"/>
        <v>FALSE</v>
      </c>
      <c r="AO3459" s="10" t="str">
        <f t="shared" si="393"/>
        <v>FALSE</v>
      </c>
      <c r="AP3459" s="10" t="str">
        <f t="shared" si="393"/>
        <v>FALSE</v>
      </c>
      <c r="AQ3459" s="10" t="b">
        <f>IF(AND(I3459="TP",S3459&lt;=150),VLOOKUP(AF3459,TPCalibEq150!$AZ$2:$BB$55,3,),IF(AND(I3459="TDP",S3459&lt;=150),VLOOKUP(AF3459,TPCalibEq150!$AZ$2:$BB$55,3,)))</f>
        <v>0</v>
      </c>
      <c r="AR3459" s="10" t="b">
        <f>IF(AND(I3459="TP",S3459&lt;=300),VLOOKUP(AF3459,TPCalibEq300!$AZ$2:$BB$55,3,),IF(AND(I3459="TDP",S3459&lt;=300),VLOOKUP(AF3459,TPCalibEq300!$AZ$2:$BB$55,3,)))</f>
        <v>0</v>
      </c>
      <c r="AS3459" s="10" t="b">
        <f>IF(AND(I3459="TP",S3459&lt;=500),VLOOKUP(AF3459,TPCalibEq500!$AZ$2:$BB$56,3,),IF(AND(I3459="TDP",S3459&lt;=500),VLOOKUP(AF3459,TPCalibEq500!$AZ$2:$BB$56,3,)))</f>
        <v>0</v>
      </c>
      <c r="AT3459" s="10" t="b">
        <f>IF(AND(I3459="TN",S3459&lt;=2800),VLOOKUP(AF3459,TNCalibEq2500!$AZ$2:$BB$56,3,),IF(AND(I3459="TDN",S3459&lt;=2800),VLOOKUP(AF3459,TNCalibEq2500!$AZ$2:$BB$56,3,)))</f>
        <v>0</v>
      </c>
      <c r="AU3459" s="10" t="b">
        <f>IF(I3459="TP",VLOOKUP(AF3459,TPCalibEqFull!$AZ$2:$BB$56,3),IF(I3459="TDP",VLOOKUP(AF3459,TPCalibEqFull!$AZ$2:$BB$56,3),IF(I3459="TDN",VLOOKUP(AF3459,TNCalibEqFull!$AZ$1:$BB$56,3),IF(I3459="TN",VLOOKUP(AF3459,TNCalibEqFull!$AZ$1:$BB$56,3),FALSE))))</f>
        <v>0</v>
      </c>
      <c r="AV3459" s="10" t="str">
        <f t="shared" si="398"/>
        <v>0221 12:20:00-ENN-10-FIL-1-SW-UKN</v>
      </c>
    </row>
    <row r="3460" spans="1:48" s="10" customFormat="1" x14ac:dyDescent="0.55000000000000004">
      <c r="A3460" s="32">
        <v>44978</v>
      </c>
      <c r="B3460" s="33">
        <v>0.51666666666666672</v>
      </c>
      <c r="C3460" s="10" t="s">
        <v>661</v>
      </c>
      <c r="D3460" s="10">
        <v>20</v>
      </c>
      <c r="E3460" s="10" t="s">
        <v>911</v>
      </c>
      <c r="F3460" s="10">
        <v>1</v>
      </c>
      <c r="G3460" s="10" t="s">
        <v>231</v>
      </c>
      <c r="H3460" s="10" t="s">
        <v>322</v>
      </c>
      <c r="I3460" s="10" t="s">
        <v>183</v>
      </c>
      <c r="J3460" s="10">
        <v>58</v>
      </c>
      <c r="K3460" s="12">
        <v>44980</v>
      </c>
      <c r="L3460" s="33">
        <v>0.55098379629629635</v>
      </c>
      <c r="M3460" s="10">
        <v>1</v>
      </c>
      <c r="N3460" s="10" t="s">
        <v>76</v>
      </c>
      <c r="O3460" s="10">
        <v>1.43</v>
      </c>
      <c r="P3460" s="10">
        <v>0.113</v>
      </c>
      <c r="Q3460" s="10">
        <v>89.6</v>
      </c>
      <c r="R3460" s="10" t="s">
        <v>77</v>
      </c>
      <c r="S3460" s="34">
        <f t="shared" si="395"/>
        <v>89.6</v>
      </c>
      <c r="T3460" s="10" t="s">
        <v>1260</v>
      </c>
      <c r="U3460" s="34" t="str">
        <f t="shared" si="396"/>
        <v/>
      </c>
      <c r="V3460" s="31" t="str">
        <f>IF(H3460="CHK",VLOOKUP(I3460,QCCHK,3,),IF(H3460="GUP",VLOOKUP(E3460,QCGUP,2,),IF(AND(H3460="ATP",OR(I3460="TN",I3460="TDN",I3460="TNO2-3",I3460="NO2-3")),VLOOKUP(E3460,QCREC_N,2,),IF(AND(H3460="NIC",OR(I3460="TN",I3460="TDN",I3460="TNO2-3",I3460="NO2-3")),VLOOKUP(E3460,QCNIC_N,2,),IF(AND(H3460="UREA",OR(I3460="TN",I3460="TDN",I3460="TNO2-3",I3460="NO2-3")),VLOOKUP(E3460,QCUREA_N,2,),IF(H3460="PER",VLOOKUP(I3460,QCPER,MATCH(E3460,QCACTUAL!$J$25:$AA$25,0),),IF(H3460="SPK",VLOOKUP(I3460,QCSPK,3,),IF(AND(H3460="ATP",OR(I3460="TP",I3460="TDP")),VLOOKUP(E3460,QCATP_P,2,),""))))))))</f>
        <v/>
      </c>
      <c r="W3460" s="31" t="str">
        <f t="shared" si="397"/>
        <v>TRUE</v>
      </c>
      <c r="X3460" s="31" t="str">
        <f t="shared" si="394"/>
        <v/>
      </c>
      <c r="Y3460" s="10" t="s">
        <v>1253</v>
      </c>
      <c r="AL3460" s="10" t="str">
        <f t="shared" si="392"/>
        <v>FALSE</v>
      </c>
      <c r="AM3460" s="10" t="str">
        <f t="shared" si="392"/>
        <v>FALSE</v>
      </c>
      <c r="AN3460" s="10" t="str">
        <f t="shared" si="392"/>
        <v>FALSE</v>
      </c>
      <c r="AO3460" s="10" t="str">
        <f t="shared" si="393"/>
        <v>FALSE</v>
      </c>
      <c r="AP3460" s="10" t="str">
        <f t="shared" si="393"/>
        <v>FALSE</v>
      </c>
      <c r="AQ3460" s="10" t="b">
        <f>IF(AND(I3460="TP",S3460&lt;=150),VLOOKUP(AF3460,TPCalibEq150!$AZ$2:$BB$55,3,),IF(AND(I3460="TDP",S3460&lt;=150),VLOOKUP(AF3460,TPCalibEq150!$AZ$2:$BB$55,3,)))</f>
        <v>0</v>
      </c>
      <c r="AR3460" s="10" t="b">
        <f>IF(AND(I3460="TP",S3460&lt;=300),VLOOKUP(AF3460,TPCalibEq300!$AZ$2:$BB$55,3,),IF(AND(I3460="TDP",S3460&lt;=300),VLOOKUP(AF3460,TPCalibEq300!$AZ$2:$BB$55,3,)))</f>
        <v>0</v>
      </c>
      <c r="AS3460" s="10" t="b">
        <f>IF(AND(I3460="TP",S3460&lt;=500),VLOOKUP(AF3460,TPCalibEq500!$AZ$2:$BB$56,3,),IF(AND(I3460="TDP",S3460&lt;=500),VLOOKUP(AF3460,TPCalibEq500!$AZ$2:$BB$56,3,)))</f>
        <v>0</v>
      </c>
      <c r="AT3460" s="10" t="b">
        <f>IF(AND(I3460="TN",S3460&lt;=2800),VLOOKUP(AF3460,TNCalibEq2500!$AZ$2:$BB$56,3,),IF(AND(I3460="TDN",S3460&lt;=2800),VLOOKUP(AF3460,TNCalibEq2500!$AZ$2:$BB$56,3,)))</f>
        <v>0</v>
      </c>
      <c r="AU3460" s="10" t="b">
        <f>IF(I3460="TP",VLOOKUP(AF3460,TPCalibEqFull!$AZ$2:$BB$56,3),IF(I3460="TDP",VLOOKUP(AF3460,TPCalibEqFull!$AZ$2:$BB$56,3),IF(I3460="TDN",VLOOKUP(AF3460,TNCalibEqFull!$AZ$1:$BB$56,3),IF(I3460="TN",VLOOKUP(AF3460,TNCalibEqFull!$AZ$1:$BB$56,3),FALSE))))</f>
        <v>0</v>
      </c>
      <c r="AV3460" s="10" t="str">
        <f t="shared" si="398"/>
        <v>0221 12:24:00-ENN-20-FIL-1-SW-UKN</v>
      </c>
    </row>
    <row r="3461" spans="1:48" s="10" customFormat="1" x14ac:dyDescent="0.55000000000000004">
      <c r="A3461" s="32">
        <v>44978</v>
      </c>
      <c r="B3461" s="33">
        <v>0.51944444444444449</v>
      </c>
      <c r="C3461" s="10" t="s">
        <v>661</v>
      </c>
      <c r="D3461" s="10">
        <v>24</v>
      </c>
      <c r="E3461" s="10" t="s">
        <v>911</v>
      </c>
      <c r="F3461" s="10">
        <v>1</v>
      </c>
      <c r="G3461" s="10" t="s">
        <v>231</v>
      </c>
      <c r="H3461" s="10" t="s">
        <v>322</v>
      </c>
      <c r="I3461" s="10" t="s">
        <v>183</v>
      </c>
      <c r="J3461" s="10">
        <v>59</v>
      </c>
      <c r="K3461" s="12">
        <v>44980</v>
      </c>
      <c r="L3461" s="33">
        <v>0.55179398148148151</v>
      </c>
      <c r="M3461" s="10">
        <v>1</v>
      </c>
      <c r="N3461" s="10" t="s">
        <v>76</v>
      </c>
      <c r="O3461" s="10">
        <v>1.4</v>
      </c>
      <c r="P3461" s="10">
        <v>0.114</v>
      </c>
      <c r="Q3461" s="10">
        <v>87.6</v>
      </c>
      <c r="R3461" s="10" t="s">
        <v>77</v>
      </c>
      <c r="S3461" s="34">
        <f t="shared" si="395"/>
        <v>87.6</v>
      </c>
      <c r="T3461" s="10" t="s">
        <v>1260</v>
      </c>
      <c r="U3461" s="34" t="str">
        <f t="shared" si="396"/>
        <v/>
      </c>
      <c r="V3461" s="31" t="str">
        <f>IF(H3461="CHK",VLOOKUP(I3461,QCCHK,3,),IF(H3461="GUP",VLOOKUP(E3461,QCGUP,2,),IF(AND(H3461="ATP",OR(I3461="TN",I3461="TDN",I3461="TNO2-3",I3461="NO2-3")),VLOOKUP(E3461,QCREC_N,2,),IF(AND(H3461="NIC",OR(I3461="TN",I3461="TDN",I3461="TNO2-3",I3461="NO2-3")),VLOOKUP(E3461,QCNIC_N,2,),IF(AND(H3461="UREA",OR(I3461="TN",I3461="TDN",I3461="TNO2-3",I3461="NO2-3")),VLOOKUP(E3461,QCUREA_N,2,),IF(H3461="PER",VLOOKUP(I3461,QCPER,MATCH(E3461,QCACTUAL!$J$25:$AA$25,0),),IF(H3461="SPK",VLOOKUP(I3461,QCSPK,3,),IF(AND(H3461="ATP",OR(I3461="TP",I3461="TDP")),VLOOKUP(E3461,QCATP_P,2,),""))))))))</f>
        <v/>
      </c>
      <c r="W3461" s="31" t="str">
        <f t="shared" si="397"/>
        <v>TRUE</v>
      </c>
      <c r="X3461" s="31" t="str">
        <f t="shared" si="394"/>
        <v/>
      </c>
      <c r="Y3461" s="10" t="s">
        <v>1253</v>
      </c>
      <c r="AL3461" s="10" t="str">
        <f t="shared" si="392"/>
        <v>FALSE</v>
      </c>
      <c r="AM3461" s="10" t="str">
        <f t="shared" si="392"/>
        <v>FALSE</v>
      </c>
      <c r="AN3461" s="10" t="str">
        <f t="shared" si="392"/>
        <v>FALSE</v>
      </c>
      <c r="AO3461" s="10" t="str">
        <f t="shared" si="393"/>
        <v>FALSE</v>
      </c>
      <c r="AP3461" s="10" t="str">
        <f t="shared" si="393"/>
        <v>FALSE</v>
      </c>
      <c r="AQ3461" s="10" t="b">
        <f>IF(AND(I3461="TP",S3461&lt;=150),VLOOKUP(AF3461,TPCalibEq150!$AZ$2:$BB$55,3,),IF(AND(I3461="TDP",S3461&lt;=150),VLOOKUP(AF3461,TPCalibEq150!$AZ$2:$BB$55,3,)))</f>
        <v>0</v>
      </c>
      <c r="AR3461" s="10" t="b">
        <f>IF(AND(I3461="TP",S3461&lt;=300),VLOOKUP(AF3461,TPCalibEq300!$AZ$2:$BB$55,3,),IF(AND(I3461="TDP",S3461&lt;=300),VLOOKUP(AF3461,TPCalibEq300!$AZ$2:$BB$55,3,)))</f>
        <v>0</v>
      </c>
      <c r="AS3461" s="10" t="b">
        <f>IF(AND(I3461="TP",S3461&lt;=500),VLOOKUP(AF3461,TPCalibEq500!$AZ$2:$BB$56,3,),IF(AND(I3461="TDP",S3461&lt;=500),VLOOKUP(AF3461,TPCalibEq500!$AZ$2:$BB$56,3,)))</f>
        <v>0</v>
      </c>
      <c r="AT3461" s="10" t="b">
        <f>IF(AND(I3461="TN",S3461&lt;=2800),VLOOKUP(AF3461,TNCalibEq2500!$AZ$2:$BB$56,3,),IF(AND(I3461="TDN",S3461&lt;=2800),VLOOKUP(AF3461,TNCalibEq2500!$AZ$2:$BB$56,3,)))</f>
        <v>0</v>
      </c>
      <c r="AU3461" s="10" t="b">
        <f>IF(I3461="TP",VLOOKUP(AF3461,TPCalibEqFull!$AZ$2:$BB$56,3),IF(I3461="TDP",VLOOKUP(AF3461,TPCalibEqFull!$AZ$2:$BB$56,3),IF(I3461="TDN",VLOOKUP(AF3461,TNCalibEqFull!$AZ$1:$BB$56,3),IF(I3461="TN",VLOOKUP(AF3461,TNCalibEqFull!$AZ$1:$BB$56,3),FALSE))))</f>
        <v>0</v>
      </c>
      <c r="AV3461" s="10" t="str">
        <f t="shared" si="398"/>
        <v>0221 12:28:00-ENN-24-FIL-1-SW-UKN</v>
      </c>
    </row>
    <row r="3462" spans="1:48" s="10" customFormat="1" x14ac:dyDescent="0.55000000000000004">
      <c r="A3462" s="32">
        <v>44978</v>
      </c>
      <c r="B3462" s="33">
        <v>0.45069444444444445</v>
      </c>
      <c r="C3462" s="10" t="s">
        <v>646</v>
      </c>
      <c r="D3462" s="10">
        <v>0</v>
      </c>
      <c r="E3462" s="10" t="s">
        <v>911</v>
      </c>
      <c r="F3462" s="10">
        <v>1</v>
      </c>
      <c r="G3462" s="10" t="s">
        <v>231</v>
      </c>
      <c r="H3462" s="10" t="s">
        <v>322</v>
      </c>
      <c r="I3462" s="10" t="s">
        <v>183</v>
      </c>
      <c r="J3462" s="10">
        <v>60</v>
      </c>
      <c r="K3462" s="12">
        <v>44980</v>
      </c>
      <c r="L3462" s="33">
        <v>0.55260416666666667</v>
      </c>
      <c r="M3462" s="10">
        <v>1</v>
      </c>
      <c r="N3462" s="10" t="s">
        <v>76</v>
      </c>
      <c r="O3462" s="10">
        <v>0.81499999999999995</v>
      </c>
      <c r="P3462" s="10">
        <v>6.7199999999999996E-2</v>
      </c>
      <c r="Q3462" s="10">
        <v>51.2</v>
      </c>
      <c r="R3462" s="10" t="s">
        <v>77</v>
      </c>
      <c r="S3462" s="34">
        <f t="shared" si="395"/>
        <v>51.2</v>
      </c>
      <c r="T3462" s="10" t="s">
        <v>1260</v>
      </c>
      <c r="U3462" s="34" t="str">
        <f t="shared" si="396"/>
        <v/>
      </c>
      <c r="V3462" s="31" t="str">
        <f>IF(H3462="CHK",VLOOKUP(I3462,QCCHK,3,),IF(H3462="GUP",VLOOKUP(E3462,QCGUP,2,),IF(AND(H3462="ATP",OR(I3462="TN",I3462="TDN",I3462="TNO2-3",I3462="NO2-3")),VLOOKUP(E3462,QCREC_N,2,),IF(AND(H3462="NIC",OR(I3462="TN",I3462="TDN",I3462="TNO2-3",I3462="NO2-3")),VLOOKUP(E3462,QCNIC_N,2,),IF(AND(H3462="UREA",OR(I3462="TN",I3462="TDN",I3462="TNO2-3",I3462="NO2-3")),VLOOKUP(E3462,QCUREA_N,2,),IF(H3462="PER",VLOOKUP(I3462,QCPER,MATCH(E3462,QCACTUAL!$J$25:$AA$25,0),),IF(H3462="SPK",VLOOKUP(I3462,QCSPK,3,),IF(AND(H3462="ATP",OR(I3462="TP",I3462="TDP")),VLOOKUP(E3462,QCATP_P,2,),""))))))))</f>
        <v/>
      </c>
      <c r="W3462" s="31" t="str">
        <f t="shared" si="397"/>
        <v>TRUE</v>
      </c>
      <c r="X3462" s="31" t="str">
        <f t="shared" si="394"/>
        <v/>
      </c>
      <c r="Y3462" s="10" t="s">
        <v>1253</v>
      </c>
      <c r="AL3462" s="10" t="str">
        <f t="shared" si="392"/>
        <v>FALSE</v>
      </c>
      <c r="AM3462" s="10" t="str">
        <f t="shared" si="392"/>
        <v>FALSE</v>
      </c>
      <c r="AN3462" s="10" t="str">
        <f t="shared" si="392"/>
        <v>FALSE</v>
      </c>
      <c r="AO3462" s="10" t="str">
        <f t="shared" si="393"/>
        <v>FALSE</v>
      </c>
      <c r="AP3462" s="10" t="str">
        <f t="shared" si="393"/>
        <v>FALSE</v>
      </c>
      <c r="AQ3462" s="10" t="b">
        <f>IF(AND(I3462="TP",S3462&lt;=150),VLOOKUP(AF3462,TPCalibEq150!$AZ$2:$BB$55,3,),IF(AND(I3462="TDP",S3462&lt;=150),VLOOKUP(AF3462,TPCalibEq150!$AZ$2:$BB$55,3,)))</f>
        <v>0</v>
      </c>
      <c r="AR3462" s="10" t="b">
        <f>IF(AND(I3462="TP",S3462&lt;=300),VLOOKUP(AF3462,TPCalibEq300!$AZ$2:$BB$55,3,),IF(AND(I3462="TDP",S3462&lt;=300),VLOOKUP(AF3462,TPCalibEq300!$AZ$2:$BB$55,3,)))</f>
        <v>0</v>
      </c>
      <c r="AS3462" s="10" t="b">
        <f>IF(AND(I3462="TP",S3462&lt;=500),VLOOKUP(AF3462,TPCalibEq500!$AZ$2:$BB$56,3,),IF(AND(I3462="TDP",S3462&lt;=500),VLOOKUP(AF3462,TPCalibEq500!$AZ$2:$BB$56,3,)))</f>
        <v>0</v>
      </c>
      <c r="AT3462" s="10" t="b">
        <f>IF(AND(I3462="TN",S3462&lt;=2800),VLOOKUP(AF3462,TNCalibEq2500!$AZ$2:$BB$56,3,),IF(AND(I3462="TDN",S3462&lt;=2800),VLOOKUP(AF3462,TNCalibEq2500!$AZ$2:$BB$56,3,)))</f>
        <v>0</v>
      </c>
      <c r="AU3462" s="10" t="b">
        <f>IF(I3462="TP",VLOOKUP(AF3462,TPCalibEqFull!$AZ$2:$BB$56,3),IF(I3462="TDP",VLOOKUP(AF3462,TPCalibEqFull!$AZ$2:$BB$56,3),IF(I3462="TDN",VLOOKUP(AF3462,TNCalibEqFull!$AZ$1:$BB$56,3),IF(I3462="TN",VLOOKUP(AF3462,TNCalibEqFull!$AZ$1:$BB$56,3),FALSE))))</f>
        <v>0</v>
      </c>
      <c r="AV3462" s="10" t="str">
        <f t="shared" si="398"/>
        <v>0221 10:49:00-EMB-0-FIL-1-SW-UKN</v>
      </c>
    </row>
    <row r="3463" spans="1:48" s="10" customFormat="1" x14ac:dyDescent="0.55000000000000004">
      <c r="A3463" s="32">
        <v>44978</v>
      </c>
      <c r="B3463" s="33">
        <v>0.45069444444444445</v>
      </c>
      <c r="C3463" s="10" t="s">
        <v>646</v>
      </c>
      <c r="D3463" s="10">
        <v>0</v>
      </c>
      <c r="E3463" s="10" t="s">
        <v>911</v>
      </c>
      <c r="F3463" s="10">
        <v>1</v>
      </c>
      <c r="G3463" s="10" t="s">
        <v>231</v>
      </c>
      <c r="H3463" s="10" t="s">
        <v>233</v>
      </c>
      <c r="I3463" s="10" t="s">
        <v>183</v>
      </c>
      <c r="J3463" s="10">
        <v>60</v>
      </c>
      <c r="K3463" s="12">
        <v>44980</v>
      </c>
      <c r="L3463" s="33">
        <v>0.5534027777777778</v>
      </c>
      <c r="M3463" s="10">
        <v>1</v>
      </c>
      <c r="N3463" s="10" t="s">
        <v>76</v>
      </c>
      <c r="O3463" s="10">
        <v>0.82</v>
      </c>
      <c r="P3463" s="10">
        <v>6.7000000000000004E-2</v>
      </c>
      <c r="Q3463" s="10">
        <v>51.5</v>
      </c>
      <c r="R3463" s="10" t="s">
        <v>77</v>
      </c>
      <c r="S3463" s="34">
        <f t="shared" si="395"/>
        <v>51.5</v>
      </c>
      <c r="T3463" s="10" t="s">
        <v>1260</v>
      </c>
      <c r="U3463" s="34">
        <f t="shared" si="396"/>
        <v>0.5842259006815913</v>
      </c>
      <c r="V3463" s="31" t="str">
        <f>IF(H3463="CHK",VLOOKUP(I3463,QCCHK,3,),IF(H3463="GUP",VLOOKUP(E3463,QCGUP,2,),IF(AND(H3463="ATP",OR(I3463="TN",I3463="TDN",I3463="TNO2-3",I3463="NO2-3")),VLOOKUP(E3463,QCREC_N,2,),IF(AND(H3463="NIC",OR(I3463="TN",I3463="TDN",I3463="TNO2-3",I3463="NO2-3")),VLOOKUP(E3463,QCNIC_N,2,),IF(AND(H3463="UREA",OR(I3463="TN",I3463="TDN",I3463="TNO2-3",I3463="NO2-3")),VLOOKUP(E3463,QCUREA_N,2,),IF(H3463="PER",VLOOKUP(I3463,QCPER,MATCH(E3463,QCACTUAL!$J$25:$AA$25,0),),IF(H3463="SPK",VLOOKUP(I3463,QCSPK,3,),IF(AND(H3463="ATP",OR(I3463="TP",I3463="TDP")),VLOOKUP(E3463,QCATP_P,2,),""))))))))</f>
        <v/>
      </c>
      <c r="W3463" s="31" t="str">
        <f t="shared" si="397"/>
        <v>TRUE</v>
      </c>
      <c r="X3463" s="31" t="str">
        <f t="shared" si="394"/>
        <v>((ABS(rep1-rep2))/((rep1+rep2)/2)*100</v>
      </c>
      <c r="Y3463" s="10" t="s">
        <v>1253</v>
      </c>
      <c r="AL3463" s="10" t="str">
        <f t="shared" si="392"/>
        <v>FALSE</v>
      </c>
      <c r="AM3463" s="10" t="str">
        <f t="shared" si="392"/>
        <v>FALSE</v>
      </c>
      <c r="AN3463" s="10" t="str">
        <f t="shared" si="392"/>
        <v>FALSE</v>
      </c>
      <c r="AO3463" s="10" t="str">
        <f t="shared" si="393"/>
        <v>FALSE</v>
      </c>
      <c r="AP3463" s="10" t="str">
        <f t="shared" si="393"/>
        <v>FALSE</v>
      </c>
      <c r="AQ3463" s="10" t="b">
        <f>IF(AND(I3463="TP",S3463&lt;=150),VLOOKUP(AF3463,TPCalibEq150!$AZ$2:$BB$55,3,),IF(AND(I3463="TDP",S3463&lt;=150),VLOOKUP(AF3463,TPCalibEq150!$AZ$2:$BB$55,3,)))</f>
        <v>0</v>
      </c>
      <c r="AR3463" s="10" t="b">
        <f>IF(AND(I3463="TP",S3463&lt;=300),VLOOKUP(AF3463,TPCalibEq300!$AZ$2:$BB$55,3,),IF(AND(I3463="TDP",S3463&lt;=300),VLOOKUP(AF3463,TPCalibEq300!$AZ$2:$BB$55,3,)))</f>
        <v>0</v>
      </c>
      <c r="AS3463" s="10" t="b">
        <f>IF(AND(I3463="TP",S3463&lt;=500),VLOOKUP(AF3463,TPCalibEq500!$AZ$2:$BB$56,3,),IF(AND(I3463="TDP",S3463&lt;=500),VLOOKUP(AF3463,TPCalibEq500!$AZ$2:$BB$56,3,)))</f>
        <v>0</v>
      </c>
      <c r="AT3463" s="10" t="b">
        <f>IF(AND(I3463="TN",S3463&lt;=2800),VLOOKUP(AF3463,TNCalibEq2500!$AZ$2:$BB$56,3,),IF(AND(I3463="TDN",S3463&lt;=2800),VLOOKUP(AF3463,TNCalibEq2500!$AZ$2:$BB$56,3,)))</f>
        <v>0</v>
      </c>
      <c r="AU3463" s="10" t="b">
        <f>IF(I3463="TP",VLOOKUP(AF3463,TPCalibEqFull!$AZ$2:$BB$56,3),IF(I3463="TDP",VLOOKUP(AF3463,TPCalibEqFull!$AZ$2:$BB$56,3),IF(I3463="TDN",VLOOKUP(AF3463,TNCalibEqFull!$AZ$1:$BB$56,3),IF(I3463="TN",VLOOKUP(AF3463,TNCalibEqFull!$AZ$1:$BB$56,3),FALSE))))</f>
        <v>0</v>
      </c>
      <c r="AV3463" s="10" t="str">
        <f t="shared" si="398"/>
        <v>0221 10:49:00-EMB-0-FIL-1-SW-DUP</v>
      </c>
    </row>
    <row r="3464" spans="1:48" s="10" customFormat="1" x14ac:dyDescent="0.55000000000000004">
      <c r="A3464" s="32">
        <v>44978</v>
      </c>
      <c r="B3464" s="33">
        <v>0.45069444444444445</v>
      </c>
      <c r="C3464" s="10" t="s">
        <v>646</v>
      </c>
      <c r="D3464" s="10">
        <v>0</v>
      </c>
      <c r="E3464" s="10" t="s">
        <v>911</v>
      </c>
      <c r="F3464" s="10">
        <v>1</v>
      </c>
      <c r="G3464" s="10" t="s">
        <v>231</v>
      </c>
      <c r="H3464" s="10" t="s">
        <v>314</v>
      </c>
      <c r="I3464" s="10" t="s">
        <v>183</v>
      </c>
      <c r="J3464" s="10">
        <v>88</v>
      </c>
      <c r="K3464" s="12">
        <v>44980</v>
      </c>
      <c r="L3464" s="33">
        <v>0.55421296296296296</v>
      </c>
      <c r="M3464" s="10">
        <v>1</v>
      </c>
      <c r="N3464" s="10" t="s">
        <v>76</v>
      </c>
      <c r="O3464" s="10">
        <v>12.1</v>
      </c>
      <c r="P3464" s="10">
        <v>0.97499999999999998</v>
      </c>
      <c r="Q3464" s="10">
        <v>750</v>
      </c>
      <c r="R3464" s="10" t="s">
        <v>77</v>
      </c>
      <c r="S3464" s="34">
        <f t="shared" si="395"/>
        <v>750</v>
      </c>
      <c r="T3464" s="10" t="s">
        <v>1260</v>
      </c>
      <c r="U3464" s="34">
        <f t="shared" si="396"/>
        <v>111.75999999999999</v>
      </c>
      <c r="V3464" s="31">
        <f>IF(H3464="CHK",VLOOKUP(I3464,QCCHK,3,),IF(H3464="GUP",VLOOKUP(E3464,QCGUP,2,),IF(AND(H3464="ATP",OR(I3464="TN",I3464="TDN",I3464="TNO2-3",I3464="NO2-3")),VLOOKUP(E3464,QCREC_N,2,),IF(AND(H3464="NIC",OR(I3464="TN",I3464="TDN",I3464="TNO2-3",I3464="NO2-3")),VLOOKUP(E3464,QCNIC_N,2,),IF(AND(H3464="UREA",OR(I3464="TN",I3464="TDN",I3464="TNO2-3",I3464="NO2-3")),VLOOKUP(E3464,QCUREA_N,2,),IF(H3464="PER",VLOOKUP(I3464,QCPER,MATCH(E3464,QCACTUAL!$J$25:$AA$25,0),),IF(H3464="SPK",VLOOKUP(I3464,QCSPK,3,),IF(AND(H3464="ATP",OR(I3464="TP",I3464="TDP")),VLOOKUP(E3464,QCATP_P,2,),""))))))))</f>
        <v>625</v>
      </c>
      <c r="W3464" s="31" t="str">
        <f t="shared" si="397"/>
        <v>TRUE</v>
      </c>
      <c r="X3464" s="31" t="str">
        <f t="shared" si="394"/>
        <v>([spikedunkn]-[unkn])/[spike]*100</v>
      </c>
      <c r="Y3464" s="10" t="s">
        <v>1253</v>
      </c>
      <c r="AL3464" s="10" t="str">
        <f t="shared" si="392"/>
        <v>FALSE</v>
      </c>
      <c r="AM3464" s="10" t="str">
        <f t="shared" si="392"/>
        <v>FALSE</v>
      </c>
      <c r="AN3464" s="10" t="str">
        <f t="shared" si="392"/>
        <v>FALSE</v>
      </c>
      <c r="AO3464" s="10" t="str">
        <f t="shared" si="393"/>
        <v>FALSE</v>
      </c>
      <c r="AP3464" s="10" t="str">
        <f t="shared" si="393"/>
        <v>FALSE</v>
      </c>
      <c r="AQ3464" s="10" t="b">
        <f>IF(AND(I3464="TP",S3464&lt;=150),VLOOKUP(AF3464,TPCalibEq150!$AZ$2:$BB$55,3,),IF(AND(I3464="TDP",S3464&lt;=150),VLOOKUP(AF3464,TPCalibEq150!$AZ$2:$BB$55,3,)))</f>
        <v>0</v>
      </c>
      <c r="AR3464" s="10" t="b">
        <f>IF(AND(I3464="TP",S3464&lt;=300),VLOOKUP(AF3464,TPCalibEq300!$AZ$2:$BB$55,3,),IF(AND(I3464="TDP",S3464&lt;=300),VLOOKUP(AF3464,TPCalibEq300!$AZ$2:$BB$55,3,)))</f>
        <v>0</v>
      </c>
      <c r="AS3464" s="10" t="b">
        <f>IF(AND(I3464="TP",S3464&lt;=500),VLOOKUP(AF3464,TPCalibEq500!$AZ$2:$BB$56,3,),IF(AND(I3464="TDP",S3464&lt;=500),VLOOKUP(AF3464,TPCalibEq500!$AZ$2:$BB$56,3,)))</f>
        <v>0</v>
      </c>
      <c r="AT3464" s="10" t="b">
        <f>IF(AND(I3464="TN",S3464&lt;=2800),VLOOKUP(AF3464,TNCalibEq2500!$AZ$2:$BB$56,3,),IF(AND(I3464="TDN",S3464&lt;=2800),VLOOKUP(AF3464,TNCalibEq2500!$AZ$2:$BB$56,3,)))</f>
        <v>0</v>
      </c>
      <c r="AU3464" s="10" t="b">
        <f>IF(I3464="TP",VLOOKUP(AF3464,TPCalibEqFull!$AZ$2:$BB$56,3),IF(I3464="TDP",VLOOKUP(AF3464,TPCalibEqFull!$AZ$2:$BB$56,3),IF(I3464="TDN",VLOOKUP(AF3464,TNCalibEqFull!$AZ$1:$BB$56,3),IF(I3464="TN",VLOOKUP(AF3464,TNCalibEqFull!$AZ$1:$BB$56,3),FALSE))))</f>
        <v>0</v>
      </c>
      <c r="AV3464" s="10" t="str">
        <f t="shared" si="398"/>
        <v>0221 10:49:00-EMB-0-FIL-1-SW-SPK</v>
      </c>
    </row>
    <row r="3465" spans="1:48" s="10" customFormat="1" x14ac:dyDescent="0.55000000000000004">
      <c r="A3465" s="32">
        <v>44979</v>
      </c>
      <c r="B3465" s="33">
        <v>0.375</v>
      </c>
      <c r="C3465" s="10" t="s">
        <v>70</v>
      </c>
      <c r="D3465" s="10" t="s">
        <v>71</v>
      </c>
      <c r="E3465" s="10" t="s">
        <v>901</v>
      </c>
      <c r="F3465" s="10">
        <v>1</v>
      </c>
      <c r="G3465" s="10" t="s">
        <v>73</v>
      </c>
      <c r="H3465" s="10" t="s">
        <v>207</v>
      </c>
      <c r="I3465" s="10" t="s">
        <v>75</v>
      </c>
      <c r="J3465" s="10">
        <v>202</v>
      </c>
      <c r="K3465" s="12">
        <v>44980</v>
      </c>
      <c r="L3465" s="33">
        <v>0.55504629629629632</v>
      </c>
      <c r="M3465" s="10">
        <v>1</v>
      </c>
      <c r="N3465" s="10" t="s">
        <v>76</v>
      </c>
      <c r="O3465" s="10">
        <v>4.71</v>
      </c>
      <c r="P3465" s="10">
        <v>0.38200000000000001</v>
      </c>
      <c r="Q3465" s="10">
        <v>294</v>
      </c>
      <c r="R3465" s="10" t="s">
        <v>77</v>
      </c>
      <c r="S3465" s="34">
        <f t="shared" si="395"/>
        <v>294</v>
      </c>
      <c r="T3465" s="10" t="s">
        <v>1260</v>
      </c>
      <c r="U3465" s="34">
        <f t="shared" si="396"/>
        <v>98</v>
      </c>
      <c r="V3465" s="31">
        <f>IF(H3465="CHK",VLOOKUP(I3465,QCCHK,3,),IF(H3465="GUP",VLOOKUP(E3465,QCGUP,2,),IF(AND(H3465="ATP",OR(I3465="TN",I3465="TDN",I3465="TNO2-3",I3465="NO2-3")),VLOOKUP(E3465,QCREC_N,2,),IF(AND(H3465="NIC",OR(I3465="TN",I3465="TDN",I3465="TNO2-3",I3465="NO2-3")),VLOOKUP(E3465,QCNIC_N,2,),IF(AND(H3465="UREA",OR(I3465="TN",I3465="TDN",I3465="TNO2-3",I3465="NO2-3")),VLOOKUP(E3465,QCUREA_N,2,),IF(H3465="PER",VLOOKUP(I3465,QCPER,MATCH(E3465,QCACTUAL!$J$25:$AA$25,0),),IF(H3465="SPK",VLOOKUP(I3465,QCSPK,3,),IF(AND(H3465="ATP",OR(I3465="TP",I3465="TDP")),VLOOKUP(E3465,QCATP_P,2,),""))))))))</f>
        <v>300</v>
      </c>
      <c r="W3465" s="31" t="str">
        <f t="shared" si="397"/>
        <v>TRUE</v>
      </c>
      <c r="X3465" s="31" t="str">
        <f t="shared" si="394"/>
        <v>[chk]/[actual]*100</v>
      </c>
      <c r="Y3465" s="10" t="s">
        <v>1253</v>
      </c>
      <c r="AL3465" s="10" t="str">
        <f t="shared" si="392"/>
        <v>FALSE</v>
      </c>
      <c r="AM3465" s="10" t="str">
        <f t="shared" si="392"/>
        <v>FALSE</v>
      </c>
      <c r="AN3465" s="10" t="str">
        <f t="shared" si="392"/>
        <v>FALSE</v>
      </c>
      <c r="AO3465" s="10" t="str">
        <f t="shared" si="393"/>
        <v>FALSE</v>
      </c>
      <c r="AP3465" s="10" t="str">
        <f t="shared" si="393"/>
        <v>FALSE</v>
      </c>
      <c r="AQ3465" s="10" t="b">
        <f>IF(AND(I3465="TP",S3465&lt;=150),VLOOKUP(AF3465,TPCalibEq150!$AZ$2:$BB$55,3,),IF(AND(I3465="TDP",S3465&lt;=150),VLOOKUP(AF3465,TPCalibEq150!$AZ$2:$BB$55,3,)))</f>
        <v>0</v>
      </c>
      <c r="AR3465" s="10" t="b">
        <f>IF(AND(I3465="TP",S3465&lt;=300),VLOOKUP(AF3465,TPCalibEq300!$AZ$2:$BB$55,3,),IF(AND(I3465="TDP",S3465&lt;=300),VLOOKUP(AF3465,TPCalibEq300!$AZ$2:$BB$55,3,)))</f>
        <v>0</v>
      </c>
      <c r="AS3465" s="10" t="b">
        <f>IF(AND(I3465="TP",S3465&lt;=500),VLOOKUP(AF3465,TPCalibEq500!$AZ$2:$BB$56,3,),IF(AND(I3465="TDP",S3465&lt;=500),VLOOKUP(AF3465,TPCalibEq500!$AZ$2:$BB$56,3,)))</f>
        <v>0</v>
      </c>
      <c r="AT3465" s="10" t="b">
        <f>IF(AND(I3465="TN",S3465&lt;=2800),VLOOKUP(AF3465,TNCalibEq2500!$AZ$2:$BB$56,3,),IF(AND(I3465="TDN",S3465&lt;=2800),VLOOKUP(AF3465,TNCalibEq2500!$AZ$2:$BB$56,3,)))</f>
        <v>0</v>
      </c>
      <c r="AU3465" s="10" t="b">
        <f>IF(I3465="TP",VLOOKUP(AF3465,TPCalibEqFull!$AZ$2:$BB$56,3),IF(I3465="TDP",VLOOKUP(AF3465,TPCalibEqFull!$AZ$2:$BB$56,3),IF(I3465="TDN",VLOOKUP(AF3465,TNCalibEqFull!$AZ$1:$BB$56,3),IF(I3465="TN",VLOOKUP(AF3465,TNCalibEqFull!$AZ$1:$BB$56,3),FALSE))))</f>
        <v>0</v>
      </c>
      <c r="AV3465" s="10" t="str">
        <f t="shared" si="398"/>
        <v>0222 09:00:00-QAC-STD-D-1-DI-CHK</v>
      </c>
    </row>
    <row r="3466" spans="1:48" s="10" customFormat="1" x14ac:dyDescent="0.55000000000000004">
      <c r="A3466" s="32">
        <v>44978</v>
      </c>
      <c r="B3466" s="33">
        <v>0.45277777777777778</v>
      </c>
      <c r="C3466" s="10" t="s">
        <v>646</v>
      </c>
      <c r="D3466" s="10">
        <v>5</v>
      </c>
      <c r="E3466" s="10" t="s">
        <v>911</v>
      </c>
      <c r="F3466" s="10">
        <v>1</v>
      </c>
      <c r="G3466" s="10" t="s">
        <v>231</v>
      </c>
      <c r="H3466" s="10" t="s">
        <v>322</v>
      </c>
      <c r="I3466" s="10" t="s">
        <v>183</v>
      </c>
      <c r="J3466" s="10">
        <v>61</v>
      </c>
      <c r="K3466" s="12">
        <v>44980</v>
      </c>
      <c r="L3466" s="33">
        <v>0.55586805555555552</v>
      </c>
      <c r="M3466" s="10">
        <v>1</v>
      </c>
      <c r="N3466" s="10" t="s">
        <v>76</v>
      </c>
      <c r="O3466" s="10">
        <v>0.85699999999999998</v>
      </c>
      <c r="P3466" s="10">
        <v>7.1400000000000005E-2</v>
      </c>
      <c r="Q3466" s="10">
        <v>53.8</v>
      </c>
      <c r="R3466" s="10" t="s">
        <v>77</v>
      </c>
      <c r="S3466" s="34">
        <f t="shared" si="395"/>
        <v>53.8</v>
      </c>
      <c r="T3466" s="10" t="s">
        <v>1260</v>
      </c>
      <c r="U3466" s="34" t="str">
        <f t="shared" si="396"/>
        <v/>
      </c>
      <c r="V3466" s="31" t="str">
        <f>IF(H3466="CHK",VLOOKUP(I3466,QCCHK,3,),IF(H3466="GUP",VLOOKUP(E3466,QCGUP,2,),IF(AND(H3466="ATP",OR(I3466="TN",I3466="TDN",I3466="TNO2-3",I3466="NO2-3")),VLOOKUP(E3466,QCREC_N,2,),IF(AND(H3466="NIC",OR(I3466="TN",I3466="TDN",I3466="TNO2-3",I3466="NO2-3")),VLOOKUP(E3466,QCNIC_N,2,),IF(AND(H3466="UREA",OR(I3466="TN",I3466="TDN",I3466="TNO2-3",I3466="NO2-3")),VLOOKUP(E3466,QCUREA_N,2,),IF(H3466="PER",VLOOKUP(I3466,QCPER,MATCH(E3466,QCACTUAL!$J$25:$AA$25,0),),IF(H3466="SPK",VLOOKUP(I3466,QCSPK,3,),IF(AND(H3466="ATP",OR(I3466="TP",I3466="TDP")),VLOOKUP(E3466,QCATP_P,2,),""))))))))</f>
        <v/>
      </c>
      <c r="W3466" s="31" t="str">
        <f t="shared" si="397"/>
        <v>TRUE</v>
      </c>
      <c r="X3466" s="31" t="str">
        <f t="shared" si="394"/>
        <v/>
      </c>
      <c r="Y3466" s="10" t="s">
        <v>1253</v>
      </c>
      <c r="AL3466" s="10" t="str">
        <f t="shared" si="392"/>
        <v>FALSE</v>
      </c>
      <c r="AM3466" s="10" t="str">
        <f t="shared" si="392"/>
        <v>FALSE</v>
      </c>
      <c r="AN3466" s="10" t="str">
        <f t="shared" si="392"/>
        <v>FALSE</v>
      </c>
      <c r="AO3466" s="10" t="str">
        <f t="shared" si="393"/>
        <v>FALSE</v>
      </c>
      <c r="AP3466" s="10" t="str">
        <f t="shared" si="393"/>
        <v>FALSE</v>
      </c>
      <c r="AQ3466" s="10" t="b">
        <f>IF(AND(I3466="TP",S3466&lt;=150),VLOOKUP(AF3466,TPCalibEq150!$AZ$2:$BB$55,3,),IF(AND(I3466="TDP",S3466&lt;=150),VLOOKUP(AF3466,TPCalibEq150!$AZ$2:$BB$55,3,)))</f>
        <v>0</v>
      </c>
      <c r="AR3466" s="10" t="b">
        <f>IF(AND(I3466="TP",S3466&lt;=300),VLOOKUP(AF3466,TPCalibEq300!$AZ$2:$BB$55,3,),IF(AND(I3466="TDP",S3466&lt;=300),VLOOKUP(AF3466,TPCalibEq300!$AZ$2:$BB$55,3,)))</f>
        <v>0</v>
      </c>
      <c r="AS3466" s="10" t="b">
        <f>IF(AND(I3466="TP",S3466&lt;=500),VLOOKUP(AF3466,TPCalibEq500!$AZ$2:$BB$56,3,),IF(AND(I3466="TDP",S3466&lt;=500),VLOOKUP(AF3466,TPCalibEq500!$AZ$2:$BB$56,3,)))</f>
        <v>0</v>
      </c>
      <c r="AT3466" s="10" t="b">
        <f>IF(AND(I3466="TN",S3466&lt;=2800),VLOOKUP(AF3466,TNCalibEq2500!$AZ$2:$BB$56,3,),IF(AND(I3466="TDN",S3466&lt;=2800),VLOOKUP(AF3466,TNCalibEq2500!$AZ$2:$BB$56,3,)))</f>
        <v>0</v>
      </c>
      <c r="AU3466" s="10" t="b">
        <f>IF(I3466="TP",VLOOKUP(AF3466,TPCalibEqFull!$AZ$2:$BB$56,3),IF(I3466="TDP",VLOOKUP(AF3466,TPCalibEqFull!$AZ$2:$BB$56,3),IF(I3466="TDN",VLOOKUP(AF3466,TNCalibEqFull!$AZ$1:$BB$56,3),IF(I3466="TN",VLOOKUP(AF3466,TNCalibEqFull!$AZ$1:$BB$56,3),FALSE))))</f>
        <v>0</v>
      </c>
      <c r="AV3466" s="10" t="str">
        <f t="shared" si="398"/>
        <v>0221 10:52:00-EMB-5-FIL-1-SW-UKN</v>
      </c>
    </row>
    <row r="3467" spans="1:48" s="10" customFormat="1" x14ac:dyDescent="0.55000000000000004">
      <c r="A3467" s="32">
        <v>44978</v>
      </c>
      <c r="B3467" s="33">
        <v>0.4548611111111111</v>
      </c>
      <c r="C3467" s="10" t="s">
        <v>646</v>
      </c>
      <c r="D3467" s="10">
        <v>10</v>
      </c>
      <c r="E3467" s="10" t="s">
        <v>911</v>
      </c>
      <c r="F3467" s="10">
        <v>1</v>
      </c>
      <c r="G3467" s="10" t="s">
        <v>231</v>
      </c>
      <c r="H3467" s="10" t="s">
        <v>322</v>
      </c>
      <c r="I3467" s="10" t="s">
        <v>183</v>
      </c>
      <c r="J3467" s="10">
        <v>62</v>
      </c>
      <c r="K3467" s="12">
        <v>44980</v>
      </c>
      <c r="L3467" s="33">
        <v>0.55668981481481483</v>
      </c>
      <c r="M3467" s="10">
        <v>1</v>
      </c>
      <c r="N3467" s="10" t="s">
        <v>76</v>
      </c>
      <c r="O3467" s="10">
        <v>0.75600000000000001</v>
      </c>
      <c r="P3467" s="10">
        <v>6.3700000000000007E-2</v>
      </c>
      <c r="Q3467" s="10">
        <v>47.5</v>
      </c>
      <c r="R3467" s="10" t="s">
        <v>77</v>
      </c>
      <c r="S3467" s="34">
        <f t="shared" si="395"/>
        <v>47.5</v>
      </c>
      <c r="T3467" s="10" t="s">
        <v>1260</v>
      </c>
      <c r="U3467" s="34" t="str">
        <f t="shared" si="396"/>
        <v/>
      </c>
      <c r="V3467" s="31" t="str">
        <f>IF(H3467="CHK",VLOOKUP(I3467,QCCHK,3,),IF(H3467="GUP",VLOOKUP(E3467,QCGUP,2,),IF(AND(H3467="ATP",OR(I3467="TN",I3467="TDN",I3467="TNO2-3",I3467="NO2-3")),VLOOKUP(E3467,QCREC_N,2,),IF(AND(H3467="NIC",OR(I3467="TN",I3467="TDN",I3467="TNO2-3",I3467="NO2-3")),VLOOKUP(E3467,QCNIC_N,2,),IF(AND(H3467="UREA",OR(I3467="TN",I3467="TDN",I3467="TNO2-3",I3467="NO2-3")),VLOOKUP(E3467,QCUREA_N,2,),IF(H3467="PER",VLOOKUP(I3467,QCPER,MATCH(E3467,QCACTUAL!$J$25:$AA$25,0),),IF(H3467="SPK",VLOOKUP(I3467,QCSPK,3,),IF(AND(H3467="ATP",OR(I3467="TP",I3467="TDP")),VLOOKUP(E3467,QCATP_P,2,),""))))))))</f>
        <v/>
      </c>
      <c r="W3467" s="31" t="str">
        <f t="shared" si="397"/>
        <v>TRUE</v>
      </c>
      <c r="X3467" s="31" t="str">
        <f t="shared" si="394"/>
        <v/>
      </c>
      <c r="Y3467" s="10" t="s">
        <v>1253</v>
      </c>
      <c r="AL3467" s="10" t="str">
        <f t="shared" si="392"/>
        <v>FALSE</v>
      </c>
      <c r="AM3467" s="10" t="str">
        <f t="shared" si="392"/>
        <v>FALSE</v>
      </c>
      <c r="AN3467" s="10" t="str">
        <f t="shared" si="392"/>
        <v>FALSE</v>
      </c>
      <c r="AO3467" s="10" t="str">
        <f t="shared" si="393"/>
        <v>FALSE</v>
      </c>
      <c r="AP3467" s="10" t="str">
        <f t="shared" si="393"/>
        <v>FALSE</v>
      </c>
      <c r="AQ3467" s="10" t="b">
        <f>IF(AND(I3467="TP",S3467&lt;=150),VLOOKUP(AF3467,TPCalibEq150!$AZ$2:$BB$55,3,),IF(AND(I3467="TDP",S3467&lt;=150),VLOOKUP(AF3467,TPCalibEq150!$AZ$2:$BB$55,3,)))</f>
        <v>0</v>
      </c>
      <c r="AR3467" s="10" t="b">
        <f>IF(AND(I3467="TP",S3467&lt;=300),VLOOKUP(AF3467,TPCalibEq300!$AZ$2:$BB$55,3,),IF(AND(I3467="TDP",S3467&lt;=300),VLOOKUP(AF3467,TPCalibEq300!$AZ$2:$BB$55,3,)))</f>
        <v>0</v>
      </c>
      <c r="AS3467" s="10" t="b">
        <f>IF(AND(I3467="TP",S3467&lt;=500),VLOOKUP(AF3467,TPCalibEq500!$AZ$2:$BB$56,3,),IF(AND(I3467="TDP",S3467&lt;=500),VLOOKUP(AF3467,TPCalibEq500!$AZ$2:$BB$56,3,)))</f>
        <v>0</v>
      </c>
      <c r="AT3467" s="10" t="b">
        <f>IF(AND(I3467="TN",S3467&lt;=2800),VLOOKUP(AF3467,TNCalibEq2500!$AZ$2:$BB$56,3,),IF(AND(I3467="TDN",S3467&lt;=2800),VLOOKUP(AF3467,TNCalibEq2500!$AZ$2:$BB$56,3,)))</f>
        <v>0</v>
      </c>
      <c r="AU3467" s="10" t="b">
        <f>IF(I3467="TP",VLOOKUP(AF3467,TPCalibEqFull!$AZ$2:$BB$56,3),IF(I3467="TDP",VLOOKUP(AF3467,TPCalibEqFull!$AZ$2:$BB$56,3),IF(I3467="TDN",VLOOKUP(AF3467,TNCalibEqFull!$AZ$1:$BB$56,3),IF(I3467="TN",VLOOKUP(AF3467,TNCalibEqFull!$AZ$1:$BB$56,3),FALSE))))</f>
        <v>0</v>
      </c>
      <c r="AV3467" s="10" t="str">
        <f t="shared" si="398"/>
        <v>0221 10:55:00-EMB-10-FIL-1-SW-UKN</v>
      </c>
    </row>
    <row r="3468" spans="1:48" s="10" customFormat="1" x14ac:dyDescent="0.55000000000000004">
      <c r="A3468" s="32">
        <v>44978</v>
      </c>
      <c r="B3468" s="33">
        <v>0.45763888888888887</v>
      </c>
      <c r="C3468" s="10" t="s">
        <v>646</v>
      </c>
      <c r="D3468" s="10">
        <v>20</v>
      </c>
      <c r="E3468" s="10" t="s">
        <v>911</v>
      </c>
      <c r="F3468" s="10">
        <v>1</v>
      </c>
      <c r="G3468" s="10" t="s">
        <v>231</v>
      </c>
      <c r="H3468" s="10" t="s">
        <v>322</v>
      </c>
      <c r="I3468" s="10" t="s">
        <v>183</v>
      </c>
      <c r="J3468" s="10">
        <v>63</v>
      </c>
      <c r="K3468" s="12">
        <v>44980</v>
      </c>
      <c r="L3468" s="33">
        <v>0.55751157407407403</v>
      </c>
      <c r="M3468" s="10">
        <v>1</v>
      </c>
      <c r="N3468" s="10" t="s">
        <v>76</v>
      </c>
      <c r="O3468" s="10">
        <v>0.70899999999999996</v>
      </c>
      <c r="P3468" s="10">
        <v>5.74E-2</v>
      </c>
      <c r="Q3468" s="10">
        <v>44.5</v>
      </c>
      <c r="R3468" s="10" t="s">
        <v>77</v>
      </c>
      <c r="S3468" s="34">
        <f t="shared" si="395"/>
        <v>44.5</v>
      </c>
      <c r="T3468" s="10" t="s">
        <v>1260</v>
      </c>
      <c r="U3468" s="34" t="str">
        <f t="shared" si="396"/>
        <v/>
      </c>
      <c r="V3468" s="31" t="str">
        <f>IF(H3468="CHK",VLOOKUP(I3468,QCCHK,3,),IF(H3468="GUP",VLOOKUP(E3468,QCGUP,2,),IF(AND(H3468="ATP",OR(I3468="TN",I3468="TDN",I3468="TNO2-3",I3468="NO2-3")),VLOOKUP(E3468,QCREC_N,2,),IF(AND(H3468="NIC",OR(I3468="TN",I3468="TDN",I3468="TNO2-3",I3468="NO2-3")),VLOOKUP(E3468,QCNIC_N,2,),IF(AND(H3468="UREA",OR(I3468="TN",I3468="TDN",I3468="TNO2-3",I3468="NO2-3")),VLOOKUP(E3468,QCUREA_N,2,),IF(H3468="PER",VLOOKUP(I3468,QCPER,MATCH(E3468,QCACTUAL!$J$25:$AA$25,0),),IF(H3468="SPK",VLOOKUP(I3468,QCSPK,3,),IF(AND(H3468="ATP",OR(I3468="TP",I3468="TDP")),VLOOKUP(E3468,QCATP_P,2,),""))))))))</f>
        <v/>
      </c>
      <c r="W3468" s="31" t="str">
        <f t="shared" si="397"/>
        <v>TRUE</v>
      </c>
      <c r="X3468" s="31" t="str">
        <f t="shared" si="394"/>
        <v/>
      </c>
      <c r="Y3468" s="10" t="s">
        <v>1253</v>
      </c>
      <c r="AL3468" s="10" t="str">
        <f t="shared" si="392"/>
        <v>FALSE</v>
      </c>
      <c r="AM3468" s="10" t="str">
        <f t="shared" si="392"/>
        <v>FALSE</v>
      </c>
      <c r="AN3468" s="10" t="str">
        <f t="shared" si="392"/>
        <v>FALSE</v>
      </c>
      <c r="AO3468" s="10" t="str">
        <f t="shared" si="393"/>
        <v>FALSE</v>
      </c>
      <c r="AP3468" s="10" t="str">
        <f t="shared" si="393"/>
        <v>FALSE</v>
      </c>
      <c r="AQ3468" s="10" t="b">
        <f>IF(AND(I3468="TP",S3468&lt;=150),VLOOKUP(AF3468,TPCalibEq150!$AZ$2:$BB$55,3,),IF(AND(I3468="TDP",S3468&lt;=150),VLOOKUP(AF3468,TPCalibEq150!$AZ$2:$BB$55,3,)))</f>
        <v>0</v>
      </c>
      <c r="AR3468" s="10" t="b">
        <f>IF(AND(I3468="TP",S3468&lt;=300),VLOOKUP(AF3468,TPCalibEq300!$AZ$2:$BB$55,3,),IF(AND(I3468="TDP",S3468&lt;=300),VLOOKUP(AF3468,TPCalibEq300!$AZ$2:$BB$55,3,)))</f>
        <v>0</v>
      </c>
      <c r="AS3468" s="10" t="b">
        <f>IF(AND(I3468="TP",S3468&lt;=500),VLOOKUP(AF3468,TPCalibEq500!$AZ$2:$BB$56,3,),IF(AND(I3468="TDP",S3468&lt;=500),VLOOKUP(AF3468,TPCalibEq500!$AZ$2:$BB$56,3,)))</f>
        <v>0</v>
      </c>
      <c r="AT3468" s="10" t="b">
        <f>IF(AND(I3468="TN",S3468&lt;=2800),VLOOKUP(AF3468,TNCalibEq2500!$AZ$2:$BB$56,3,),IF(AND(I3468="TDN",S3468&lt;=2800),VLOOKUP(AF3468,TNCalibEq2500!$AZ$2:$BB$56,3,)))</f>
        <v>0</v>
      </c>
      <c r="AU3468" s="10" t="b">
        <f>IF(I3468="TP",VLOOKUP(AF3468,TPCalibEqFull!$AZ$2:$BB$56,3),IF(I3468="TDP",VLOOKUP(AF3468,TPCalibEqFull!$AZ$2:$BB$56,3),IF(I3468="TDN",VLOOKUP(AF3468,TNCalibEqFull!$AZ$1:$BB$56,3),IF(I3468="TN",VLOOKUP(AF3468,TNCalibEqFull!$AZ$1:$BB$56,3),FALSE))))</f>
        <v>0</v>
      </c>
      <c r="AV3468" s="10" t="str">
        <f t="shared" si="398"/>
        <v>0221 10:59:00-EMB-20-FIL-1-SW-UKN</v>
      </c>
    </row>
    <row r="3469" spans="1:48" s="10" customFormat="1" x14ac:dyDescent="0.55000000000000004">
      <c r="A3469" s="32">
        <v>44978</v>
      </c>
      <c r="B3469" s="33">
        <v>0.46249999999999997</v>
      </c>
      <c r="C3469" s="10" t="s">
        <v>646</v>
      </c>
      <c r="D3469" s="10">
        <v>60</v>
      </c>
      <c r="E3469" s="10" t="s">
        <v>911</v>
      </c>
      <c r="F3469" s="10">
        <v>1</v>
      </c>
      <c r="G3469" s="10" t="s">
        <v>231</v>
      </c>
      <c r="H3469" s="10" t="s">
        <v>322</v>
      </c>
      <c r="I3469" s="10" t="s">
        <v>183</v>
      </c>
      <c r="J3469" s="10">
        <v>64</v>
      </c>
      <c r="K3469" s="12">
        <v>44980</v>
      </c>
      <c r="L3469" s="33">
        <v>0.55833333333333335</v>
      </c>
      <c r="M3469" s="10">
        <v>1</v>
      </c>
      <c r="N3469" s="10" t="s">
        <v>76</v>
      </c>
      <c r="O3469" s="10">
        <v>0.79900000000000004</v>
      </c>
      <c r="P3469" s="10">
        <v>6.54E-2</v>
      </c>
      <c r="Q3469" s="10">
        <v>50.2</v>
      </c>
      <c r="R3469" s="10" t="s">
        <v>77</v>
      </c>
      <c r="S3469" s="34">
        <f t="shared" si="395"/>
        <v>50.2</v>
      </c>
      <c r="T3469" s="10" t="s">
        <v>1260</v>
      </c>
      <c r="U3469" s="34" t="str">
        <f t="shared" si="396"/>
        <v/>
      </c>
      <c r="V3469" s="31" t="str">
        <f>IF(H3469="CHK",VLOOKUP(I3469,QCCHK,3,),IF(H3469="GUP",VLOOKUP(E3469,QCGUP,2,),IF(AND(H3469="ATP",OR(I3469="TN",I3469="TDN",I3469="TNO2-3",I3469="NO2-3")),VLOOKUP(E3469,QCREC_N,2,),IF(AND(H3469="NIC",OR(I3469="TN",I3469="TDN",I3469="TNO2-3",I3469="NO2-3")),VLOOKUP(E3469,QCNIC_N,2,),IF(AND(H3469="UREA",OR(I3469="TN",I3469="TDN",I3469="TNO2-3",I3469="NO2-3")),VLOOKUP(E3469,QCUREA_N,2,),IF(H3469="PER",VLOOKUP(I3469,QCPER,MATCH(E3469,QCACTUAL!$J$25:$AA$25,0),),IF(H3469="SPK",VLOOKUP(I3469,QCSPK,3,),IF(AND(H3469="ATP",OR(I3469="TP",I3469="TDP")),VLOOKUP(E3469,QCATP_P,2,),""))))))))</f>
        <v/>
      </c>
      <c r="W3469" s="31" t="str">
        <f t="shared" si="397"/>
        <v>TRUE</v>
      </c>
      <c r="X3469" s="31" t="str">
        <f t="shared" si="394"/>
        <v/>
      </c>
      <c r="Y3469" s="10" t="s">
        <v>1253</v>
      </c>
      <c r="AL3469" s="10" t="str">
        <f t="shared" si="392"/>
        <v>FALSE</v>
      </c>
      <c r="AM3469" s="10" t="str">
        <f t="shared" si="392"/>
        <v>FALSE</v>
      </c>
      <c r="AN3469" s="10" t="str">
        <f t="shared" si="392"/>
        <v>FALSE</v>
      </c>
      <c r="AO3469" s="10" t="str">
        <f t="shared" si="393"/>
        <v>FALSE</v>
      </c>
      <c r="AP3469" s="10" t="str">
        <f t="shared" si="393"/>
        <v>FALSE</v>
      </c>
      <c r="AQ3469" s="10" t="b">
        <f>IF(AND(I3469="TP",S3469&lt;=150),VLOOKUP(AF3469,TPCalibEq150!$AZ$2:$BB$55,3,),IF(AND(I3469="TDP",S3469&lt;=150),VLOOKUP(AF3469,TPCalibEq150!$AZ$2:$BB$55,3,)))</f>
        <v>0</v>
      </c>
      <c r="AR3469" s="10" t="b">
        <f>IF(AND(I3469="TP",S3469&lt;=300),VLOOKUP(AF3469,TPCalibEq300!$AZ$2:$BB$55,3,),IF(AND(I3469="TDP",S3469&lt;=300),VLOOKUP(AF3469,TPCalibEq300!$AZ$2:$BB$55,3,)))</f>
        <v>0</v>
      </c>
      <c r="AS3469" s="10" t="b">
        <f>IF(AND(I3469="TP",S3469&lt;=500),VLOOKUP(AF3469,TPCalibEq500!$AZ$2:$BB$56,3,),IF(AND(I3469="TDP",S3469&lt;=500),VLOOKUP(AF3469,TPCalibEq500!$AZ$2:$BB$56,3,)))</f>
        <v>0</v>
      </c>
      <c r="AT3469" s="10" t="b">
        <f>IF(AND(I3469="TN",S3469&lt;=2800),VLOOKUP(AF3469,TNCalibEq2500!$AZ$2:$BB$56,3,),IF(AND(I3469="TDN",S3469&lt;=2800),VLOOKUP(AF3469,TNCalibEq2500!$AZ$2:$BB$56,3,)))</f>
        <v>0</v>
      </c>
      <c r="AU3469" s="10" t="b">
        <f>IF(I3469="TP",VLOOKUP(AF3469,TPCalibEqFull!$AZ$2:$BB$56,3),IF(I3469="TDP",VLOOKUP(AF3469,TPCalibEqFull!$AZ$2:$BB$56,3),IF(I3469="TDN",VLOOKUP(AF3469,TNCalibEqFull!$AZ$1:$BB$56,3),IF(I3469="TN",VLOOKUP(AF3469,TNCalibEqFull!$AZ$1:$BB$56,3),FALSE))))</f>
        <v>0</v>
      </c>
      <c r="AV3469" s="10" t="str">
        <f t="shared" si="398"/>
        <v>0221 11:06:00-EMB-60-FIL-1-SW-UKN</v>
      </c>
    </row>
    <row r="3470" spans="1:48" s="10" customFormat="1" x14ac:dyDescent="0.55000000000000004">
      <c r="A3470" s="32">
        <v>44978</v>
      </c>
      <c r="B3470" s="33">
        <v>0.41319444444444442</v>
      </c>
      <c r="C3470" s="10" t="s">
        <v>287</v>
      </c>
      <c r="D3470" s="10">
        <v>0</v>
      </c>
      <c r="E3470" s="10" t="s">
        <v>911</v>
      </c>
      <c r="F3470" s="10">
        <v>1</v>
      </c>
      <c r="G3470" s="10" t="s">
        <v>231</v>
      </c>
      <c r="H3470" s="10" t="s">
        <v>322</v>
      </c>
      <c r="I3470" s="10" t="s">
        <v>183</v>
      </c>
      <c r="J3470" s="10">
        <v>65</v>
      </c>
      <c r="K3470" s="12">
        <v>44980</v>
      </c>
      <c r="L3470" s="33">
        <v>0.55915509259259266</v>
      </c>
      <c r="M3470" s="10">
        <v>1</v>
      </c>
      <c r="N3470" s="10" t="s">
        <v>76</v>
      </c>
      <c r="O3470" s="10">
        <v>0.95199999999999996</v>
      </c>
      <c r="P3470" s="10">
        <v>7.6799999999999993E-2</v>
      </c>
      <c r="Q3470" s="10">
        <v>59.7</v>
      </c>
      <c r="R3470" s="10" t="s">
        <v>77</v>
      </c>
      <c r="S3470" s="34">
        <f t="shared" si="395"/>
        <v>59.7</v>
      </c>
      <c r="T3470" s="10" t="s">
        <v>1260</v>
      </c>
      <c r="U3470" s="34" t="str">
        <f t="shared" si="396"/>
        <v/>
      </c>
      <c r="V3470" s="31" t="str">
        <f>IF(H3470="CHK",VLOOKUP(I3470,QCCHK,3,),IF(H3470="GUP",VLOOKUP(E3470,QCGUP,2,),IF(AND(H3470="ATP",OR(I3470="TN",I3470="TDN",I3470="TNO2-3",I3470="NO2-3")),VLOOKUP(E3470,QCREC_N,2,),IF(AND(H3470="NIC",OR(I3470="TN",I3470="TDN",I3470="TNO2-3",I3470="NO2-3")),VLOOKUP(E3470,QCNIC_N,2,),IF(AND(H3470="UREA",OR(I3470="TN",I3470="TDN",I3470="TNO2-3",I3470="NO2-3")),VLOOKUP(E3470,QCUREA_N,2,),IF(H3470="PER",VLOOKUP(I3470,QCPER,MATCH(E3470,QCACTUAL!$J$25:$AA$25,0),),IF(H3470="SPK",VLOOKUP(I3470,QCSPK,3,),IF(AND(H3470="ATP",OR(I3470="TP",I3470="TDP")),VLOOKUP(E3470,QCATP_P,2,),""))))))))</f>
        <v/>
      </c>
      <c r="W3470" s="31" t="str">
        <f t="shared" si="397"/>
        <v>TRUE</v>
      </c>
      <c r="X3470" s="31" t="str">
        <f t="shared" si="394"/>
        <v/>
      </c>
      <c r="Y3470" s="10" t="s">
        <v>1253</v>
      </c>
      <c r="AL3470" s="10" t="str">
        <f t="shared" si="392"/>
        <v>FALSE</v>
      </c>
      <c r="AM3470" s="10" t="str">
        <f t="shared" si="392"/>
        <v>FALSE</v>
      </c>
      <c r="AN3470" s="10" t="str">
        <f t="shared" si="392"/>
        <v>FALSE</v>
      </c>
      <c r="AO3470" s="10" t="str">
        <f t="shared" si="393"/>
        <v>FALSE</v>
      </c>
      <c r="AP3470" s="10" t="str">
        <f t="shared" si="393"/>
        <v>FALSE</v>
      </c>
      <c r="AQ3470" s="10" t="b">
        <f>IF(AND(I3470="TP",S3470&lt;=150),VLOOKUP(AF3470,TPCalibEq150!$AZ$2:$BB$55,3,),IF(AND(I3470="TDP",S3470&lt;=150),VLOOKUP(AF3470,TPCalibEq150!$AZ$2:$BB$55,3,)))</f>
        <v>0</v>
      </c>
      <c r="AR3470" s="10" t="b">
        <f>IF(AND(I3470="TP",S3470&lt;=300),VLOOKUP(AF3470,TPCalibEq300!$AZ$2:$BB$55,3,),IF(AND(I3470="TDP",S3470&lt;=300),VLOOKUP(AF3470,TPCalibEq300!$AZ$2:$BB$55,3,)))</f>
        <v>0</v>
      </c>
      <c r="AS3470" s="10" t="b">
        <f>IF(AND(I3470="TP",S3470&lt;=500),VLOOKUP(AF3470,TPCalibEq500!$AZ$2:$BB$56,3,),IF(AND(I3470="TDP",S3470&lt;=500),VLOOKUP(AF3470,TPCalibEq500!$AZ$2:$BB$56,3,)))</f>
        <v>0</v>
      </c>
      <c r="AT3470" s="10" t="b">
        <f>IF(AND(I3470="TN",S3470&lt;=2800),VLOOKUP(AF3470,TNCalibEq2500!$AZ$2:$BB$56,3,),IF(AND(I3470="TDN",S3470&lt;=2800),VLOOKUP(AF3470,TNCalibEq2500!$AZ$2:$BB$56,3,)))</f>
        <v>0</v>
      </c>
      <c r="AU3470" s="10" t="b">
        <f>IF(I3470="TP",VLOOKUP(AF3470,TPCalibEqFull!$AZ$2:$BB$56,3),IF(I3470="TDP",VLOOKUP(AF3470,TPCalibEqFull!$AZ$2:$BB$56,3),IF(I3470="TDN",VLOOKUP(AF3470,TNCalibEqFull!$AZ$1:$BB$56,3),IF(I3470="TN",VLOOKUP(AF3470,TNCalibEqFull!$AZ$1:$BB$56,3),FALSE))))</f>
        <v>0</v>
      </c>
      <c r="AV3470" s="10" t="str">
        <f t="shared" si="398"/>
        <v>0221 09:55:00-EFL-0-FIL-1-SW-UKN</v>
      </c>
    </row>
    <row r="3471" spans="1:48" s="10" customFormat="1" x14ac:dyDescent="0.55000000000000004">
      <c r="A3471" s="32">
        <v>44978</v>
      </c>
      <c r="B3471" s="33">
        <v>0.41597222222222219</v>
      </c>
      <c r="C3471" s="10" t="s">
        <v>287</v>
      </c>
      <c r="D3471" s="10">
        <v>5</v>
      </c>
      <c r="E3471" s="10" t="s">
        <v>911</v>
      </c>
      <c r="F3471" s="10">
        <v>1</v>
      </c>
      <c r="G3471" s="10" t="s">
        <v>231</v>
      </c>
      <c r="H3471" s="10" t="s">
        <v>322</v>
      </c>
      <c r="I3471" s="10" t="s">
        <v>183</v>
      </c>
      <c r="J3471" s="10">
        <v>66</v>
      </c>
      <c r="K3471" s="12">
        <v>44980</v>
      </c>
      <c r="L3471" s="33">
        <v>0.55997685185185186</v>
      </c>
      <c r="M3471" s="10">
        <v>1</v>
      </c>
      <c r="N3471" s="10" t="s">
        <v>76</v>
      </c>
      <c r="O3471" s="10">
        <v>0.84899999999999998</v>
      </c>
      <c r="P3471" s="10">
        <v>6.7900000000000002E-2</v>
      </c>
      <c r="Q3471" s="10">
        <v>53.3</v>
      </c>
      <c r="R3471" s="10" t="s">
        <v>77</v>
      </c>
      <c r="S3471" s="34">
        <f t="shared" si="395"/>
        <v>53.3</v>
      </c>
      <c r="T3471" s="10" t="s">
        <v>1260</v>
      </c>
      <c r="U3471" s="34" t="str">
        <f t="shared" si="396"/>
        <v/>
      </c>
      <c r="V3471" s="31" t="str">
        <f>IF(H3471="CHK",VLOOKUP(I3471,QCCHK,3,),IF(H3471="GUP",VLOOKUP(E3471,QCGUP,2,),IF(AND(H3471="ATP",OR(I3471="TN",I3471="TDN",I3471="TNO2-3",I3471="NO2-3")),VLOOKUP(E3471,QCREC_N,2,),IF(AND(H3471="NIC",OR(I3471="TN",I3471="TDN",I3471="TNO2-3",I3471="NO2-3")),VLOOKUP(E3471,QCNIC_N,2,),IF(AND(H3471="UREA",OR(I3471="TN",I3471="TDN",I3471="TNO2-3",I3471="NO2-3")),VLOOKUP(E3471,QCUREA_N,2,),IF(H3471="PER",VLOOKUP(I3471,QCPER,MATCH(E3471,QCACTUAL!$J$25:$AA$25,0),),IF(H3471="SPK",VLOOKUP(I3471,QCSPK,3,),IF(AND(H3471="ATP",OR(I3471="TP",I3471="TDP")),VLOOKUP(E3471,QCATP_P,2,),""))))))))</f>
        <v/>
      </c>
      <c r="W3471" s="31" t="str">
        <f t="shared" si="397"/>
        <v>TRUE</v>
      </c>
      <c r="X3471" s="31" t="str">
        <f t="shared" si="394"/>
        <v/>
      </c>
      <c r="Y3471" s="10" t="s">
        <v>1253</v>
      </c>
      <c r="AL3471" s="10" t="str">
        <f t="shared" si="392"/>
        <v>FALSE</v>
      </c>
      <c r="AM3471" s="10" t="str">
        <f t="shared" si="392"/>
        <v>FALSE</v>
      </c>
      <c r="AN3471" s="10" t="str">
        <f t="shared" si="392"/>
        <v>FALSE</v>
      </c>
      <c r="AO3471" s="10" t="str">
        <f t="shared" si="393"/>
        <v>FALSE</v>
      </c>
      <c r="AP3471" s="10" t="str">
        <f t="shared" si="393"/>
        <v>FALSE</v>
      </c>
      <c r="AQ3471" s="10" t="b">
        <f>IF(AND(I3471="TP",S3471&lt;=150),VLOOKUP(AF3471,TPCalibEq150!$AZ$2:$BB$55,3,),IF(AND(I3471="TDP",S3471&lt;=150),VLOOKUP(AF3471,TPCalibEq150!$AZ$2:$BB$55,3,)))</f>
        <v>0</v>
      </c>
      <c r="AR3471" s="10" t="b">
        <f>IF(AND(I3471="TP",S3471&lt;=300),VLOOKUP(AF3471,TPCalibEq300!$AZ$2:$BB$55,3,),IF(AND(I3471="TDP",S3471&lt;=300),VLOOKUP(AF3471,TPCalibEq300!$AZ$2:$BB$55,3,)))</f>
        <v>0</v>
      </c>
      <c r="AS3471" s="10" t="b">
        <f>IF(AND(I3471="TP",S3471&lt;=500),VLOOKUP(AF3471,TPCalibEq500!$AZ$2:$BB$56,3,),IF(AND(I3471="TDP",S3471&lt;=500),VLOOKUP(AF3471,TPCalibEq500!$AZ$2:$BB$56,3,)))</f>
        <v>0</v>
      </c>
      <c r="AT3471" s="10" t="b">
        <f>IF(AND(I3471="TN",S3471&lt;=2800),VLOOKUP(AF3471,TNCalibEq2500!$AZ$2:$BB$56,3,),IF(AND(I3471="TDN",S3471&lt;=2800),VLOOKUP(AF3471,TNCalibEq2500!$AZ$2:$BB$56,3,)))</f>
        <v>0</v>
      </c>
      <c r="AU3471" s="10" t="b">
        <f>IF(I3471="TP",VLOOKUP(AF3471,TPCalibEqFull!$AZ$2:$BB$56,3),IF(I3471="TDP",VLOOKUP(AF3471,TPCalibEqFull!$AZ$2:$BB$56,3),IF(I3471="TDN",VLOOKUP(AF3471,TNCalibEqFull!$AZ$1:$BB$56,3),IF(I3471="TN",VLOOKUP(AF3471,TNCalibEqFull!$AZ$1:$BB$56,3),FALSE))))</f>
        <v>0</v>
      </c>
      <c r="AV3471" s="10" t="str">
        <f t="shared" si="398"/>
        <v>0221 09:59:00-EFL-5-FIL-1-SW-UKN</v>
      </c>
    </row>
    <row r="3472" spans="1:48" s="10" customFormat="1" x14ac:dyDescent="0.55000000000000004">
      <c r="A3472" s="32">
        <v>44978</v>
      </c>
      <c r="B3472" s="33">
        <v>0.41805555555555557</v>
      </c>
      <c r="C3472" s="10" t="s">
        <v>287</v>
      </c>
      <c r="D3472" s="10">
        <v>10</v>
      </c>
      <c r="E3472" s="10" t="s">
        <v>911</v>
      </c>
      <c r="F3472" s="10">
        <v>1</v>
      </c>
      <c r="G3472" s="10" t="s">
        <v>231</v>
      </c>
      <c r="H3472" s="10" t="s">
        <v>322</v>
      </c>
      <c r="I3472" s="10" t="s">
        <v>183</v>
      </c>
      <c r="J3472" s="10">
        <v>67</v>
      </c>
      <c r="K3472" s="12">
        <v>44980</v>
      </c>
      <c r="L3472" s="33">
        <v>0.56078703703703703</v>
      </c>
      <c r="M3472" s="10">
        <v>1</v>
      </c>
      <c r="N3472" s="10" t="s">
        <v>76</v>
      </c>
      <c r="O3472" s="10">
        <v>0.85099999999999998</v>
      </c>
      <c r="P3472" s="10">
        <v>6.7900000000000002E-2</v>
      </c>
      <c r="Q3472" s="10">
        <v>53.4</v>
      </c>
      <c r="R3472" s="10" t="s">
        <v>77</v>
      </c>
      <c r="S3472" s="34">
        <f t="shared" si="395"/>
        <v>53.4</v>
      </c>
      <c r="T3472" s="10" t="s">
        <v>1260</v>
      </c>
      <c r="U3472" s="34" t="str">
        <f t="shared" si="396"/>
        <v/>
      </c>
      <c r="V3472" s="31" t="str">
        <f>IF(H3472="CHK",VLOOKUP(I3472,QCCHK,3,),IF(H3472="GUP",VLOOKUP(E3472,QCGUP,2,),IF(AND(H3472="ATP",OR(I3472="TN",I3472="TDN",I3472="TNO2-3",I3472="NO2-3")),VLOOKUP(E3472,QCREC_N,2,),IF(AND(H3472="NIC",OR(I3472="TN",I3472="TDN",I3472="TNO2-3",I3472="NO2-3")),VLOOKUP(E3472,QCNIC_N,2,),IF(AND(H3472="UREA",OR(I3472="TN",I3472="TDN",I3472="TNO2-3",I3472="NO2-3")),VLOOKUP(E3472,QCUREA_N,2,),IF(H3472="PER",VLOOKUP(I3472,QCPER,MATCH(E3472,QCACTUAL!$J$25:$AA$25,0),),IF(H3472="SPK",VLOOKUP(I3472,QCSPK,3,),IF(AND(H3472="ATP",OR(I3472="TP",I3472="TDP")),VLOOKUP(E3472,QCATP_P,2,),""))))))))</f>
        <v/>
      </c>
      <c r="W3472" s="31" t="str">
        <f t="shared" si="397"/>
        <v>TRUE</v>
      </c>
      <c r="X3472" s="31" t="str">
        <f t="shared" si="394"/>
        <v/>
      </c>
      <c r="Y3472" s="10" t="s">
        <v>1253</v>
      </c>
      <c r="AL3472" s="10" t="str">
        <f t="shared" si="392"/>
        <v>FALSE</v>
      </c>
      <c r="AM3472" s="10" t="str">
        <f t="shared" si="392"/>
        <v>FALSE</v>
      </c>
      <c r="AN3472" s="10" t="str">
        <f t="shared" si="392"/>
        <v>FALSE</v>
      </c>
      <c r="AO3472" s="10" t="str">
        <f t="shared" si="393"/>
        <v>FALSE</v>
      </c>
      <c r="AP3472" s="10" t="str">
        <f t="shared" si="393"/>
        <v>FALSE</v>
      </c>
      <c r="AQ3472" s="10" t="b">
        <f>IF(AND(I3472="TP",S3472&lt;=150),VLOOKUP(AF3472,TPCalibEq150!$AZ$2:$BB$55,3,),IF(AND(I3472="TDP",S3472&lt;=150),VLOOKUP(AF3472,TPCalibEq150!$AZ$2:$BB$55,3,)))</f>
        <v>0</v>
      </c>
      <c r="AR3472" s="10" t="b">
        <f>IF(AND(I3472="TP",S3472&lt;=300),VLOOKUP(AF3472,TPCalibEq300!$AZ$2:$BB$55,3,),IF(AND(I3472="TDP",S3472&lt;=300),VLOOKUP(AF3472,TPCalibEq300!$AZ$2:$BB$55,3,)))</f>
        <v>0</v>
      </c>
      <c r="AS3472" s="10" t="b">
        <f>IF(AND(I3472="TP",S3472&lt;=500),VLOOKUP(AF3472,TPCalibEq500!$AZ$2:$BB$56,3,),IF(AND(I3472="TDP",S3472&lt;=500),VLOOKUP(AF3472,TPCalibEq500!$AZ$2:$BB$56,3,)))</f>
        <v>0</v>
      </c>
      <c r="AT3472" s="10" t="b">
        <f>IF(AND(I3472="TN",S3472&lt;=2800),VLOOKUP(AF3472,TNCalibEq2500!$AZ$2:$BB$56,3,),IF(AND(I3472="TDN",S3472&lt;=2800),VLOOKUP(AF3472,TNCalibEq2500!$AZ$2:$BB$56,3,)))</f>
        <v>0</v>
      </c>
      <c r="AU3472" s="10" t="b">
        <f>IF(I3472="TP",VLOOKUP(AF3472,TPCalibEqFull!$AZ$2:$BB$56,3),IF(I3472="TDP",VLOOKUP(AF3472,TPCalibEqFull!$AZ$2:$BB$56,3),IF(I3472="TDN",VLOOKUP(AF3472,TNCalibEqFull!$AZ$1:$BB$56,3),IF(I3472="TN",VLOOKUP(AF3472,TNCalibEqFull!$AZ$1:$BB$56,3),FALSE))))</f>
        <v>0</v>
      </c>
      <c r="AV3472" s="10" t="str">
        <f t="shared" si="398"/>
        <v>0221 10:02:00-EFL-10-FIL-1-SW-UKN</v>
      </c>
    </row>
    <row r="3473" spans="1:48" s="10" customFormat="1" x14ac:dyDescent="0.55000000000000004">
      <c r="A3473" s="32">
        <v>44978</v>
      </c>
      <c r="B3473" s="33">
        <v>0.42083333333333334</v>
      </c>
      <c r="C3473" s="10" t="s">
        <v>287</v>
      </c>
      <c r="D3473" s="10">
        <v>20</v>
      </c>
      <c r="E3473" s="10" t="s">
        <v>911</v>
      </c>
      <c r="F3473" s="10">
        <v>1</v>
      </c>
      <c r="G3473" s="10" t="s">
        <v>231</v>
      </c>
      <c r="H3473" s="10" t="s">
        <v>322</v>
      </c>
      <c r="I3473" s="10" t="s">
        <v>183</v>
      </c>
      <c r="J3473" s="10">
        <v>68</v>
      </c>
      <c r="K3473" s="12">
        <v>44980</v>
      </c>
      <c r="L3473" s="33">
        <v>0.56160879629629623</v>
      </c>
      <c r="M3473" s="10">
        <v>1</v>
      </c>
      <c r="N3473" s="10" t="s">
        <v>76</v>
      </c>
      <c r="O3473" s="10">
        <v>0.85299999999999998</v>
      </c>
      <c r="P3473" s="10">
        <v>6.7199999999999996E-2</v>
      </c>
      <c r="Q3473" s="10">
        <v>53.6</v>
      </c>
      <c r="R3473" s="10" t="s">
        <v>77</v>
      </c>
      <c r="S3473" s="34">
        <f t="shared" si="395"/>
        <v>53.6</v>
      </c>
      <c r="T3473" s="10" t="s">
        <v>1260</v>
      </c>
      <c r="U3473" s="34" t="str">
        <f t="shared" si="396"/>
        <v/>
      </c>
      <c r="V3473" s="31" t="str">
        <f>IF(H3473="CHK",VLOOKUP(I3473,QCCHK,3,),IF(H3473="GUP",VLOOKUP(E3473,QCGUP,2,),IF(AND(H3473="ATP",OR(I3473="TN",I3473="TDN",I3473="TNO2-3",I3473="NO2-3")),VLOOKUP(E3473,QCREC_N,2,),IF(AND(H3473="NIC",OR(I3473="TN",I3473="TDN",I3473="TNO2-3",I3473="NO2-3")),VLOOKUP(E3473,QCNIC_N,2,),IF(AND(H3473="UREA",OR(I3473="TN",I3473="TDN",I3473="TNO2-3",I3473="NO2-3")),VLOOKUP(E3473,QCUREA_N,2,),IF(H3473="PER",VLOOKUP(I3473,QCPER,MATCH(E3473,QCACTUAL!$J$25:$AA$25,0),),IF(H3473="SPK",VLOOKUP(I3473,QCSPK,3,),IF(AND(H3473="ATP",OR(I3473="TP",I3473="TDP")),VLOOKUP(E3473,QCATP_P,2,),""))))))))</f>
        <v/>
      </c>
      <c r="W3473" s="31" t="str">
        <f t="shared" si="397"/>
        <v>TRUE</v>
      </c>
      <c r="X3473" s="31" t="str">
        <f t="shared" si="394"/>
        <v/>
      </c>
      <c r="Y3473" s="10" t="s">
        <v>1253</v>
      </c>
      <c r="AL3473" s="10" t="str">
        <f t="shared" si="392"/>
        <v>FALSE</v>
      </c>
      <c r="AM3473" s="10" t="str">
        <f t="shared" si="392"/>
        <v>FALSE</v>
      </c>
      <c r="AN3473" s="10" t="str">
        <f t="shared" si="392"/>
        <v>FALSE</v>
      </c>
      <c r="AO3473" s="10" t="str">
        <f t="shared" si="393"/>
        <v>FALSE</v>
      </c>
      <c r="AP3473" s="10" t="str">
        <f t="shared" si="393"/>
        <v>FALSE</v>
      </c>
      <c r="AQ3473" s="10" t="b">
        <f>IF(AND(I3473="TP",S3473&lt;=150),VLOOKUP(AF3473,TPCalibEq150!$AZ$2:$BB$55,3,),IF(AND(I3473="TDP",S3473&lt;=150),VLOOKUP(AF3473,TPCalibEq150!$AZ$2:$BB$55,3,)))</f>
        <v>0</v>
      </c>
      <c r="AR3473" s="10" t="b">
        <f>IF(AND(I3473="TP",S3473&lt;=300),VLOOKUP(AF3473,TPCalibEq300!$AZ$2:$BB$55,3,),IF(AND(I3473="TDP",S3473&lt;=300),VLOOKUP(AF3473,TPCalibEq300!$AZ$2:$BB$55,3,)))</f>
        <v>0</v>
      </c>
      <c r="AS3473" s="10" t="b">
        <f>IF(AND(I3473="TP",S3473&lt;=500),VLOOKUP(AF3473,TPCalibEq500!$AZ$2:$BB$56,3,),IF(AND(I3473="TDP",S3473&lt;=500),VLOOKUP(AF3473,TPCalibEq500!$AZ$2:$BB$56,3,)))</f>
        <v>0</v>
      </c>
      <c r="AT3473" s="10" t="b">
        <f>IF(AND(I3473="TN",S3473&lt;=2800),VLOOKUP(AF3473,TNCalibEq2500!$AZ$2:$BB$56,3,),IF(AND(I3473="TDN",S3473&lt;=2800),VLOOKUP(AF3473,TNCalibEq2500!$AZ$2:$BB$56,3,)))</f>
        <v>0</v>
      </c>
      <c r="AU3473" s="10" t="b">
        <f>IF(I3473="TP",VLOOKUP(AF3473,TPCalibEqFull!$AZ$2:$BB$56,3),IF(I3473="TDP",VLOOKUP(AF3473,TPCalibEqFull!$AZ$2:$BB$56,3),IF(I3473="TDN",VLOOKUP(AF3473,TNCalibEqFull!$AZ$1:$BB$56,3),IF(I3473="TN",VLOOKUP(AF3473,TNCalibEqFull!$AZ$1:$BB$56,3),FALSE))))</f>
        <v>0</v>
      </c>
      <c r="AV3473" s="10" t="str">
        <f t="shared" si="398"/>
        <v>0221 10:06:00-EFL-20-FIL-1-SW-UKN</v>
      </c>
    </row>
    <row r="3474" spans="1:48" s="10" customFormat="1" x14ac:dyDescent="0.55000000000000004">
      <c r="A3474" s="32">
        <v>44978</v>
      </c>
      <c r="B3474" s="33">
        <v>0.42083333333333334</v>
      </c>
      <c r="C3474" s="10" t="s">
        <v>287</v>
      </c>
      <c r="D3474" s="10">
        <v>20</v>
      </c>
      <c r="E3474" s="10" t="s">
        <v>911</v>
      </c>
      <c r="F3474" s="10">
        <v>2</v>
      </c>
      <c r="G3474" s="10" t="s">
        <v>231</v>
      </c>
      <c r="H3474" s="10" t="s">
        <v>322</v>
      </c>
      <c r="I3474" s="10" t="s">
        <v>183</v>
      </c>
      <c r="J3474" s="10">
        <v>69</v>
      </c>
      <c r="K3474" s="12">
        <v>44980</v>
      </c>
      <c r="L3474" s="33">
        <v>0.56241898148148151</v>
      </c>
      <c r="M3474" s="10">
        <v>1</v>
      </c>
      <c r="N3474" s="10" t="s">
        <v>76</v>
      </c>
      <c r="O3474" s="10">
        <v>0.9</v>
      </c>
      <c r="P3474" s="10">
        <v>7.3499999999999996E-2</v>
      </c>
      <c r="Q3474" s="10">
        <v>56.5</v>
      </c>
      <c r="R3474" s="10" t="s">
        <v>77</v>
      </c>
      <c r="S3474" s="34">
        <f t="shared" si="395"/>
        <v>56.5</v>
      </c>
      <c r="T3474" s="10" t="s">
        <v>1260</v>
      </c>
      <c r="U3474" s="34" t="str">
        <f t="shared" si="396"/>
        <v/>
      </c>
      <c r="V3474" s="31" t="str">
        <f>IF(H3474="CHK",VLOOKUP(I3474,QCCHK,3,),IF(H3474="GUP",VLOOKUP(E3474,QCGUP,2,),IF(AND(H3474="ATP",OR(I3474="TN",I3474="TDN",I3474="TNO2-3",I3474="NO2-3")),VLOOKUP(E3474,QCREC_N,2,),IF(AND(H3474="NIC",OR(I3474="TN",I3474="TDN",I3474="TNO2-3",I3474="NO2-3")),VLOOKUP(E3474,QCNIC_N,2,),IF(AND(H3474="UREA",OR(I3474="TN",I3474="TDN",I3474="TNO2-3",I3474="NO2-3")),VLOOKUP(E3474,QCUREA_N,2,),IF(H3474="PER",VLOOKUP(I3474,QCPER,MATCH(E3474,QCACTUAL!$J$25:$AA$25,0),),IF(H3474="SPK",VLOOKUP(I3474,QCSPK,3,),IF(AND(H3474="ATP",OR(I3474="TP",I3474="TDP")),VLOOKUP(E3474,QCATP_P,2,),""))))))))</f>
        <v/>
      </c>
      <c r="W3474" s="31" t="str">
        <f t="shared" si="397"/>
        <v>TRUE</v>
      </c>
      <c r="X3474" s="31" t="str">
        <f t="shared" si="394"/>
        <v/>
      </c>
      <c r="Y3474" s="10" t="s">
        <v>1253</v>
      </c>
      <c r="AL3474" s="10" t="str">
        <f t="shared" si="392"/>
        <v>FALSE</v>
      </c>
      <c r="AM3474" s="10" t="str">
        <f t="shared" si="392"/>
        <v>FALSE</v>
      </c>
      <c r="AN3474" s="10" t="str">
        <f t="shared" si="392"/>
        <v>FALSE</v>
      </c>
      <c r="AO3474" s="10" t="str">
        <f t="shared" si="393"/>
        <v>FALSE</v>
      </c>
      <c r="AP3474" s="10" t="str">
        <f t="shared" si="393"/>
        <v>FALSE</v>
      </c>
      <c r="AQ3474" s="10" t="b">
        <f>IF(AND(I3474="TP",S3474&lt;=150),VLOOKUP(AF3474,TPCalibEq150!$AZ$2:$BB$55,3,),IF(AND(I3474="TDP",S3474&lt;=150),VLOOKUP(AF3474,TPCalibEq150!$AZ$2:$BB$55,3,)))</f>
        <v>0</v>
      </c>
      <c r="AR3474" s="10" t="b">
        <f>IF(AND(I3474="TP",S3474&lt;=300),VLOOKUP(AF3474,TPCalibEq300!$AZ$2:$BB$55,3,),IF(AND(I3474="TDP",S3474&lt;=300),VLOOKUP(AF3474,TPCalibEq300!$AZ$2:$BB$55,3,)))</f>
        <v>0</v>
      </c>
      <c r="AS3474" s="10" t="b">
        <f>IF(AND(I3474="TP",S3474&lt;=500),VLOOKUP(AF3474,TPCalibEq500!$AZ$2:$BB$56,3,),IF(AND(I3474="TDP",S3474&lt;=500),VLOOKUP(AF3474,TPCalibEq500!$AZ$2:$BB$56,3,)))</f>
        <v>0</v>
      </c>
      <c r="AT3474" s="10" t="b">
        <f>IF(AND(I3474="TN",S3474&lt;=2800),VLOOKUP(AF3474,TNCalibEq2500!$AZ$2:$BB$56,3,),IF(AND(I3474="TDN",S3474&lt;=2800),VLOOKUP(AF3474,TNCalibEq2500!$AZ$2:$BB$56,3,)))</f>
        <v>0</v>
      </c>
      <c r="AU3474" s="10" t="b">
        <f>IF(I3474="TP",VLOOKUP(AF3474,TPCalibEqFull!$AZ$2:$BB$56,3),IF(I3474="TDP",VLOOKUP(AF3474,TPCalibEqFull!$AZ$2:$BB$56,3),IF(I3474="TDN",VLOOKUP(AF3474,TNCalibEqFull!$AZ$1:$BB$56,3),IF(I3474="TN",VLOOKUP(AF3474,TNCalibEqFull!$AZ$1:$BB$56,3),FALSE))))</f>
        <v>0</v>
      </c>
      <c r="AV3474" s="10" t="str">
        <f t="shared" si="398"/>
        <v>0221 10:06:00-EFL-20-FIL-2-SW-UKN</v>
      </c>
    </row>
    <row r="3475" spans="1:48" s="10" customFormat="1" x14ac:dyDescent="0.55000000000000004">
      <c r="A3475" s="32">
        <v>44978</v>
      </c>
      <c r="B3475" s="33">
        <v>0.42569444444444443</v>
      </c>
      <c r="C3475" s="10" t="s">
        <v>287</v>
      </c>
      <c r="D3475" s="10">
        <v>45</v>
      </c>
      <c r="E3475" s="10" t="s">
        <v>911</v>
      </c>
      <c r="F3475" s="10">
        <v>1</v>
      </c>
      <c r="G3475" s="10" t="s">
        <v>231</v>
      </c>
      <c r="H3475" s="10" t="s">
        <v>322</v>
      </c>
      <c r="I3475" s="10" t="s">
        <v>183</v>
      </c>
      <c r="J3475" s="10">
        <v>70</v>
      </c>
      <c r="K3475" s="12">
        <v>44980</v>
      </c>
      <c r="L3475" s="33">
        <v>0.56322916666666667</v>
      </c>
      <c r="M3475" s="10">
        <v>1</v>
      </c>
      <c r="N3475" s="10" t="s">
        <v>76</v>
      </c>
      <c r="O3475" s="10">
        <v>0.80800000000000005</v>
      </c>
      <c r="P3475" s="10">
        <v>6.4899999999999999E-2</v>
      </c>
      <c r="Q3475" s="10">
        <v>50.7</v>
      </c>
      <c r="R3475" s="10" t="s">
        <v>77</v>
      </c>
      <c r="S3475" s="34">
        <f t="shared" si="395"/>
        <v>50.7</v>
      </c>
      <c r="T3475" s="10" t="s">
        <v>1260</v>
      </c>
      <c r="U3475" s="34" t="str">
        <f t="shared" si="396"/>
        <v/>
      </c>
      <c r="V3475" s="31" t="str">
        <f>IF(H3475="CHK",VLOOKUP(I3475,QCCHK,3,),IF(H3475="GUP",VLOOKUP(E3475,QCGUP,2,),IF(AND(H3475="ATP",OR(I3475="TN",I3475="TDN",I3475="TNO2-3",I3475="NO2-3")),VLOOKUP(E3475,QCREC_N,2,),IF(AND(H3475="NIC",OR(I3475="TN",I3475="TDN",I3475="TNO2-3",I3475="NO2-3")),VLOOKUP(E3475,QCNIC_N,2,),IF(AND(H3475="UREA",OR(I3475="TN",I3475="TDN",I3475="TNO2-3",I3475="NO2-3")),VLOOKUP(E3475,QCUREA_N,2,),IF(H3475="PER",VLOOKUP(I3475,QCPER,MATCH(E3475,QCACTUAL!$J$25:$AA$25,0),),IF(H3475="SPK",VLOOKUP(I3475,QCSPK,3,),IF(AND(H3475="ATP",OR(I3475="TP",I3475="TDP")),VLOOKUP(E3475,QCATP_P,2,),""))))))))</f>
        <v/>
      </c>
      <c r="W3475" s="31" t="str">
        <f t="shared" si="397"/>
        <v>TRUE</v>
      </c>
      <c r="X3475" s="31" t="str">
        <f t="shared" si="394"/>
        <v/>
      </c>
      <c r="Y3475" s="10" t="s">
        <v>1253</v>
      </c>
      <c r="AL3475" s="10" t="str">
        <f t="shared" si="392"/>
        <v>FALSE</v>
      </c>
      <c r="AM3475" s="10" t="str">
        <f t="shared" si="392"/>
        <v>FALSE</v>
      </c>
      <c r="AN3475" s="10" t="str">
        <f t="shared" si="392"/>
        <v>FALSE</v>
      </c>
      <c r="AO3475" s="10" t="str">
        <f t="shared" si="393"/>
        <v>FALSE</v>
      </c>
      <c r="AP3475" s="10" t="str">
        <f t="shared" si="393"/>
        <v>FALSE</v>
      </c>
      <c r="AQ3475" s="10" t="b">
        <f>IF(AND(I3475="TP",S3475&lt;=150),VLOOKUP(AF3475,TPCalibEq150!$AZ$2:$BB$55,3,),IF(AND(I3475="TDP",S3475&lt;=150),VLOOKUP(AF3475,TPCalibEq150!$AZ$2:$BB$55,3,)))</f>
        <v>0</v>
      </c>
      <c r="AR3475" s="10" t="b">
        <f>IF(AND(I3475="TP",S3475&lt;=300),VLOOKUP(AF3475,TPCalibEq300!$AZ$2:$BB$55,3,),IF(AND(I3475="TDP",S3475&lt;=300),VLOOKUP(AF3475,TPCalibEq300!$AZ$2:$BB$55,3,)))</f>
        <v>0</v>
      </c>
      <c r="AS3475" s="10" t="b">
        <f>IF(AND(I3475="TP",S3475&lt;=500),VLOOKUP(AF3475,TPCalibEq500!$AZ$2:$BB$56,3,),IF(AND(I3475="TDP",S3475&lt;=500),VLOOKUP(AF3475,TPCalibEq500!$AZ$2:$BB$56,3,)))</f>
        <v>0</v>
      </c>
      <c r="AT3475" s="10" t="b">
        <f>IF(AND(I3475="TN",S3475&lt;=2800),VLOOKUP(AF3475,TNCalibEq2500!$AZ$2:$BB$56,3,),IF(AND(I3475="TDN",S3475&lt;=2800),VLOOKUP(AF3475,TNCalibEq2500!$AZ$2:$BB$56,3,)))</f>
        <v>0</v>
      </c>
      <c r="AU3475" s="10" t="b">
        <f>IF(I3475="TP",VLOOKUP(AF3475,TPCalibEqFull!$AZ$2:$BB$56,3),IF(I3475="TDP",VLOOKUP(AF3475,TPCalibEqFull!$AZ$2:$BB$56,3),IF(I3475="TDN",VLOOKUP(AF3475,TNCalibEqFull!$AZ$1:$BB$56,3),IF(I3475="TN",VLOOKUP(AF3475,TNCalibEqFull!$AZ$1:$BB$56,3),FALSE))))</f>
        <v>0</v>
      </c>
      <c r="AV3475" s="10" t="str">
        <f t="shared" si="398"/>
        <v>0221 10:13:00-EFL-45-FIL-1-SW-UKN</v>
      </c>
    </row>
    <row r="3476" spans="1:48" s="10" customFormat="1" x14ac:dyDescent="0.55000000000000004">
      <c r="A3476" s="32">
        <v>44978</v>
      </c>
      <c r="B3476" s="33">
        <v>0.42569444444444443</v>
      </c>
      <c r="C3476" s="10" t="s">
        <v>287</v>
      </c>
      <c r="D3476" s="10">
        <v>45</v>
      </c>
      <c r="E3476" s="10" t="s">
        <v>911</v>
      </c>
      <c r="F3476" s="10">
        <v>1</v>
      </c>
      <c r="G3476" s="10" t="s">
        <v>231</v>
      </c>
      <c r="H3476" s="10" t="s">
        <v>233</v>
      </c>
      <c r="I3476" s="10" t="s">
        <v>183</v>
      </c>
      <c r="J3476" s="10">
        <v>70</v>
      </c>
      <c r="K3476" s="12">
        <v>44980</v>
      </c>
      <c r="L3476" s="33">
        <v>0.56403935185185183</v>
      </c>
      <c r="M3476" s="10">
        <v>1</v>
      </c>
      <c r="N3476" s="10" t="s">
        <v>76</v>
      </c>
      <c r="O3476" s="10">
        <v>0.82199999999999995</v>
      </c>
      <c r="P3476" s="10">
        <v>6.5699999999999995E-2</v>
      </c>
      <c r="Q3476" s="10">
        <v>51.6</v>
      </c>
      <c r="R3476" s="10" t="s">
        <v>77</v>
      </c>
      <c r="S3476" s="34">
        <f t="shared" si="395"/>
        <v>51.6</v>
      </c>
      <c r="T3476" s="10" t="s">
        <v>1260</v>
      </c>
      <c r="U3476" s="34">
        <f t="shared" si="396"/>
        <v>1.7595307917888534</v>
      </c>
      <c r="V3476" s="31" t="str">
        <f>IF(H3476="CHK",VLOOKUP(I3476,QCCHK,3,),IF(H3476="GUP",VLOOKUP(E3476,QCGUP,2,),IF(AND(H3476="ATP",OR(I3476="TN",I3476="TDN",I3476="TNO2-3",I3476="NO2-3")),VLOOKUP(E3476,QCREC_N,2,),IF(AND(H3476="NIC",OR(I3476="TN",I3476="TDN",I3476="TNO2-3",I3476="NO2-3")),VLOOKUP(E3476,QCNIC_N,2,),IF(AND(H3476="UREA",OR(I3476="TN",I3476="TDN",I3476="TNO2-3",I3476="NO2-3")),VLOOKUP(E3476,QCUREA_N,2,),IF(H3476="PER",VLOOKUP(I3476,QCPER,MATCH(E3476,QCACTUAL!$J$25:$AA$25,0),),IF(H3476="SPK",VLOOKUP(I3476,QCSPK,3,),IF(AND(H3476="ATP",OR(I3476="TP",I3476="TDP")),VLOOKUP(E3476,QCATP_P,2,),""))))))))</f>
        <v/>
      </c>
      <c r="W3476" s="31" t="str">
        <f t="shared" si="397"/>
        <v>TRUE</v>
      </c>
      <c r="X3476" s="31" t="str">
        <f t="shared" si="394"/>
        <v>((ABS(rep1-rep2))/((rep1+rep2)/2)*100</v>
      </c>
      <c r="Y3476" s="10" t="s">
        <v>1253</v>
      </c>
      <c r="AL3476" s="10" t="str">
        <f t="shared" si="392"/>
        <v>FALSE</v>
      </c>
      <c r="AM3476" s="10" t="str">
        <f t="shared" si="392"/>
        <v>FALSE</v>
      </c>
      <c r="AN3476" s="10" t="str">
        <f t="shared" si="392"/>
        <v>FALSE</v>
      </c>
      <c r="AO3476" s="10" t="str">
        <f t="shared" si="393"/>
        <v>FALSE</v>
      </c>
      <c r="AP3476" s="10" t="str">
        <f t="shared" si="393"/>
        <v>FALSE</v>
      </c>
      <c r="AQ3476" s="10" t="b">
        <f>IF(AND(I3476="TP",S3476&lt;=150),VLOOKUP(AF3476,TPCalibEq150!$AZ$2:$BB$55,3,),IF(AND(I3476="TDP",S3476&lt;=150),VLOOKUP(AF3476,TPCalibEq150!$AZ$2:$BB$55,3,)))</f>
        <v>0</v>
      </c>
      <c r="AR3476" s="10" t="b">
        <f>IF(AND(I3476="TP",S3476&lt;=300),VLOOKUP(AF3476,TPCalibEq300!$AZ$2:$BB$55,3,),IF(AND(I3476="TDP",S3476&lt;=300),VLOOKUP(AF3476,TPCalibEq300!$AZ$2:$BB$55,3,)))</f>
        <v>0</v>
      </c>
      <c r="AS3476" s="10" t="b">
        <f>IF(AND(I3476="TP",S3476&lt;=500),VLOOKUP(AF3476,TPCalibEq500!$AZ$2:$BB$56,3,),IF(AND(I3476="TDP",S3476&lt;=500),VLOOKUP(AF3476,TPCalibEq500!$AZ$2:$BB$56,3,)))</f>
        <v>0</v>
      </c>
      <c r="AT3476" s="10" t="b">
        <f>IF(AND(I3476="TN",S3476&lt;=2800),VLOOKUP(AF3476,TNCalibEq2500!$AZ$2:$BB$56,3,),IF(AND(I3476="TDN",S3476&lt;=2800),VLOOKUP(AF3476,TNCalibEq2500!$AZ$2:$BB$56,3,)))</f>
        <v>0</v>
      </c>
      <c r="AU3476" s="10" t="b">
        <f>IF(I3476="TP",VLOOKUP(AF3476,TPCalibEqFull!$AZ$2:$BB$56,3),IF(I3476="TDP",VLOOKUP(AF3476,TPCalibEqFull!$AZ$2:$BB$56,3),IF(I3476="TDN",VLOOKUP(AF3476,TNCalibEqFull!$AZ$1:$BB$56,3),IF(I3476="TN",VLOOKUP(AF3476,TNCalibEqFull!$AZ$1:$BB$56,3),FALSE))))</f>
        <v>0</v>
      </c>
      <c r="AV3476" s="10" t="str">
        <f t="shared" si="398"/>
        <v>0221 10:13:00-EFL-45-FIL-1-SW-DUP</v>
      </c>
    </row>
    <row r="3477" spans="1:48" s="10" customFormat="1" x14ac:dyDescent="0.55000000000000004">
      <c r="A3477" s="32">
        <v>44978</v>
      </c>
      <c r="B3477" s="33">
        <v>0.42569444444444443</v>
      </c>
      <c r="C3477" s="10" t="s">
        <v>287</v>
      </c>
      <c r="D3477" s="10">
        <v>45</v>
      </c>
      <c r="E3477" s="10" t="s">
        <v>911</v>
      </c>
      <c r="F3477" s="10">
        <v>1</v>
      </c>
      <c r="G3477" s="10" t="s">
        <v>231</v>
      </c>
      <c r="H3477" s="10" t="s">
        <v>314</v>
      </c>
      <c r="I3477" s="10" t="s">
        <v>183</v>
      </c>
      <c r="J3477" s="10">
        <v>89</v>
      </c>
      <c r="K3477" s="12">
        <v>44980</v>
      </c>
      <c r="L3477" s="33">
        <v>0.56484953703703711</v>
      </c>
      <c r="M3477" s="10">
        <v>1</v>
      </c>
      <c r="N3477" s="10" t="s">
        <v>76</v>
      </c>
      <c r="O3477" s="10">
        <v>14.6</v>
      </c>
      <c r="P3477" s="10">
        <v>1.17</v>
      </c>
      <c r="Q3477" s="10">
        <v>902</v>
      </c>
      <c r="R3477" s="10" t="s">
        <v>77</v>
      </c>
      <c r="S3477" s="34">
        <f t="shared" si="395"/>
        <v>902</v>
      </c>
      <c r="T3477" s="10" t="s">
        <v>1260</v>
      </c>
      <c r="U3477" s="34">
        <f t="shared" si="396"/>
        <v>136.06400000000002</v>
      </c>
      <c r="V3477" s="31">
        <f>IF(H3477="CHK",VLOOKUP(I3477,QCCHK,3,),IF(H3477="GUP",VLOOKUP(E3477,QCGUP,2,),IF(AND(H3477="ATP",OR(I3477="TN",I3477="TDN",I3477="TNO2-3",I3477="NO2-3")),VLOOKUP(E3477,QCREC_N,2,),IF(AND(H3477="NIC",OR(I3477="TN",I3477="TDN",I3477="TNO2-3",I3477="NO2-3")),VLOOKUP(E3477,QCNIC_N,2,),IF(AND(H3477="UREA",OR(I3477="TN",I3477="TDN",I3477="TNO2-3",I3477="NO2-3")),VLOOKUP(E3477,QCUREA_N,2,),IF(H3477="PER",VLOOKUP(I3477,QCPER,MATCH(E3477,QCACTUAL!$J$25:$AA$25,0),),IF(H3477="SPK",VLOOKUP(I3477,QCSPK,3,),IF(AND(H3477="ATP",OR(I3477="TP",I3477="TDP")),VLOOKUP(E3477,QCATP_P,2,),""))))))))</f>
        <v>625</v>
      </c>
      <c r="W3477" s="31" t="str">
        <f t="shared" si="397"/>
        <v>FALSE</v>
      </c>
      <c r="X3477" s="31" t="str">
        <f t="shared" si="394"/>
        <v>([spikedunkn]-[unkn])/[spike]*100</v>
      </c>
      <c r="Y3477" s="10" t="s">
        <v>1253</v>
      </c>
      <c r="AL3477" s="10" t="str">
        <f t="shared" si="392"/>
        <v>FALSE</v>
      </c>
      <c r="AM3477" s="10" t="str">
        <f t="shared" si="392"/>
        <v>FALSE</v>
      </c>
      <c r="AN3477" s="10" t="str">
        <f t="shared" si="392"/>
        <v>FALSE</v>
      </c>
      <c r="AO3477" s="10" t="str">
        <f t="shared" si="393"/>
        <v>FALSE</v>
      </c>
      <c r="AP3477" s="10" t="str">
        <f t="shared" si="393"/>
        <v>FALSE</v>
      </c>
      <c r="AQ3477" s="10" t="b">
        <f>IF(AND(I3477="TP",S3477&lt;=150),VLOOKUP(AF3477,TPCalibEq150!$AZ$2:$BB$55,3,),IF(AND(I3477="TDP",S3477&lt;=150),VLOOKUP(AF3477,TPCalibEq150!$AZ$2:$BB$55,3,)))</f>
        <v>0</v>
      </c>
      <c r="AR3477" s="10" t="b">
        <f>IF(AND(I3477="TP",S3477&lt;=300),VLOOKUP(AF3477,TPCalibEq300!$AZ$2:$BB$55,3,),IF(AND(I3477="TDP",S3477&lt;=300),VLOOKUP(AF3477,TPCalibEq300!$AZ$2:$BB$55,3,)))</f>
        <v>0</v>
      </c>
      <c r="AS3477" s="10" t="b">
        <f>IF(AND(I3477="TP",S3477&lt;=500),VLOOKUP(AF3477,TPCalibEq500!$AZ$2:$BB$56,3,),IF(AND(I3477="TDP",S3477&lt;=500),VLOOKUP(AF3477,TPCalibEq500!$AZ$2:$BB$56,3,)))</f>
        <v>0</v>
      </c>
      <c r="AT3477" s="10" t="b">
        <f>IF(AND(I3477="TN",S3477&lt;=2800),VLOOKUP(AF3477,TNCalibEq2500!$AZ$2:$BB$56,3,),IF(AND(I3477="TDN",S3477&lt;=2800),VLOOKUP(AF3477,TNCalibEq2500!$AZ$2:$BB$56,3,)))</f>
        <v>0</v>
      </c>
      <c r="AU3477" s="10" t="b">
        <f>IF(I3477="TP",VLOOKUP(AF3477,TPCalibEqFull!$AZ$2:$BB$56,3),IF(I3477="TDP",VLOOKUP(AF3477,TPCalibEqFull!$AZ$2:$BB$56,3),IF(I3477="TDN",VLOOKUP(AF3477,TNCalibEqFull!$AZ$1:$BB$56,3),IF(I3477="TN",VLOOKUP(AF3477,TNCalibEqFull!$AZ$1:$BB$56,3),FALSE))))</f>
        <v>0</v>
      </c>
      <c r="AV3477" s="10" t="str">
        <f t="shared" si="398"/>
        <v>0221 10:13:00-EFL-45-FIL-1-SW-SPK</v>
      </c>
    </row>
    <row r="3478" spans="1:48" s="10" customFormat="1" x14ac:dyDescent="0.55000000000000004">
      <c r="A3478" s="32">
        <v>44979</v>
      </c>
      <c r="B3478" s="33">
        <v>0.375</v>
      </c>
      <c r="C3478" s="10" t="s">
        <v>70</v>
      </c>
      <c r="D3478" s="10" t="s">
        <v>71</v>
      </c>
      <c r="E3478" s="10" t="s">
        <v>901</v>
      </c>
      <c r="F3478" s="10">
        <v>1</v>
      </c>
      <c r="G3478" s="10" t="s">
        <v>73</v>
      </c>
      <c r="H3478" s="10" t="s">
        <v>207</v>
      </c>
      <c r="I3478" s="10" t="s">
        <v>75</v>
      </c>
      <c r="J3478" s="10">
        <v>203</v>
      </c>
      <c r="K3478" s="12">
        <v>44980</v>
      </c>
      <c r="L3478" s="33">
        <v>0.56568287037037035</v>
      </c>
      <c r="M3478" s="10">
        <v>1</v>
      </c>
      <c r="N3478" s="10" t="s">
        <v>76</v>
      </c>
      <c r="O3478" s="10">
        <v>4.84</v>
      </c>
      <c r="P3478" s="10">
        <v>0.38800000000000001</v>
      </c>
      <c r="Q3478" s="10">
        <v>303</v>
      </c>
      <c r="R3478" s="10" t="s">
        <v>77</v>
      </c>
      <c r="S3478" s="34">
        <f t="shared" si="395"/>
        <v>303</v>
      </c>
      <c r="T3478" s="10" t="s">
        <v>1260</v>
      </c>
      <c r="U3478" s="34">
        <f t="shared" si="396"/>
        <v>101</v>
      </c>
      <c r="V3478" s="31">
        <f>IF(H3478="CHK",VLOOKUP(I3478,QCCHK,3,),IF(H3478="GUP",VLOOKUP(E3478,QCGUP,2,),IF(AND(H3478="ATP",OR(I3478="TN",I3478="TDN",I3478="TNO2-3",I3478="NO2-3")),VLOOKUP(E3478,QCREC_N,2,),IF(AND(H3478="NIC",OR(I3478="TN",I3478="TDN",I3478="TNO2-3",I3478="NO2-3")),VLOOKUP(E3478,QCNIC_N,2,),IF(AND(H3478="UREA",OR(I3478="TN",I3478="TDN",I3478="TNO2-3",I3478="NO2-3")),VLOOKUP(E3478,QCUREA_N,2,),IF(H3478="PER",VLOOKUP(I3478,QCPER,MATCH(E3478,QCACTUAL!$J$25:$AA$25,0),),IF(H3478="SPK",VLOOKUP(I3478,QCSPK,3,),IF(AND(H3478="ATP",OR(I3478="TP",I3478="TDP")),VLOOKUP(E3478,QCATP_P,2,),""))))))))</f>
        <v>300</v>
      </c>
      <c r="W3478" s="31" t="str">
        <f t="shared" si="397"/>
        <v>TRUE</v>
      </c>
      <c r="X3478" s="31" t="str">
        <f t="shared" si="394"/>
        <v>[chk]/[actual]*100</v>
      </c>
      <c r="Y3478" s="10" t="s">
        <v>1253</v>
      </c>
      <c r="AL3478" s="10" t="str">
        <f t="shared" si="392"/>
        <v>FALSE</v>
      </c>
      <c r="AM3478" s="10" t="str">
        <f t="shared" si="392"/>
        <v>FALSE</v>
      </c>
      <c r="AN3478" s="10" t="str">
        <f t="shared" si="392"/>
        <v>FALSE</v>
      </c>
      <c r="AO3478" s="10" t="str">
        <f t="shared" si="393"/>
        <v>FALSE</v>
      </c>
      <c r="AP3478" s="10" t="str">
        <f t="shared" si="393"/>
        <v>FALSE</v>
      </c>
      <c r="AQ3478" s="10" t="b">
        <f>IF(AND(I3478="TP",S3478&lt;=150),VLOOKUP(AF3478,TPCalibEq150!$AZ$2:$BB$55,3,),IF(AND(I3478="TDP",S3478&lt;=150),VLOOKUP(AF3478,TPCalibEq150!$AZ$2:$BB$55,3,)))</f>
        <v>0</v>
      </c>
      <c r="AR3478" s="10" t="b">
        <f>IF(AND(I3478="TP",S3478&lt;=300),VLOOKUP(AF3478,TPCalibEq300!$AZ$2:$BB$55,3,),IF(AND(I3478="TDP",S3478&lt;=300),VLOOKUP(AF3478,TPCalibEq300!$AZ$2:$BB$55,3,)))</f>
        <v>0</v>
      </c>
      <c r="AS3478" s="10" t="b">
        <f>IF(AND(I3478="TP",S3478&lt;=500),VLOOKUP(AF3478,TPCalibEq500!$AZ$2:$BB$56,3,),IF(AND(I3478="TDP",S3478&lt;=500),VLOOKUP(AF3478,TPCalibEq500!$AZ$2:$BB$56,3,)))</f>
        <v>0</v>
      </c>
      <c r="AT3478" s="10" t="b">
        <f>IF(AND(I3478="TN",S3478&lt;=2800),VLOOKUP(AF3478,TNCalibEq2500!$AZ$2:$BB$56,3,),IF(AND(I3478="TDN",S3478&lt;=2800),VLOOKUP(AF3478,TNCalibEq2500!$AZ$2:$BB$56,3,)))</f>
        <v>0</v>
      </c>
      <c r="AU3478" s="10" t="b">
        <f>IF(I3478="TP",VLOOKUP(AF3478,TPCalibEqFull!$AZ$2:$BB$56,3),IF(I3478="TDP",VLOOKUP(AF3478,TPCalibEqFull!$AZ$2:$BB$56,3),IF(I3478="TDN",VLOOKUP(AF3478,TNCalibEqFull!$AZ$1:$BB$56,3),IF(I3478="TN",VLOOKUP(AF3478,TNCalibEqFull!$AZ$1:$BB$56,3),FALSE))))</f>
        <v>0</v>
      </c>
      <c r="AV3478" s="10" t="str">
        <f t="shared" si="398"/>
        <v>0222 09:00:00-QAC-STD-D-1-DI-CHK</v>
      </c>
    </row>
    <row r="3479" spans="1:48" s="10" customFormat="1" x14ac:dyDescent="0.55000000000000004">
      <c r="A3479" s="32">
        <v>44978</v>
      </c>
      <c r="B3479" s="33">
        <v>0.38958333333333334</v>
      </c>
      <c r="C3479" s="10" t="s">
        <v>428</v>
      </c>
      <c r="D3479" s="10">
        <v>0</v>
      </c>
      <c r="E3479" s="10" t="s">
        <v>911</v>
      </c>
      <c r="F3479" s="10">
        <v>1</v>
      </c>
      <c r="G3479" s="10" t="s">
        <v>231</v>
      </c>
      <c r="H3479" s="10" t="s">
        <v>322</v>
      </c>
      <c r="I3479" s="10" t="s">
        <v>183</v>
      </c>
      <c r="J3479" s="10">
        <v>71</v>
      </c>
      <c r="K3479" s="12">
        <v>44980</v>
      </c>
      <c r="L3479" s="33">
        <v>0.56649305555555551</v>
      </c>
      <c r="M3479" s="10">
        <v>1</v>
      </c>
      <c r="N3479" s="10" t="s">
        <v>76</v>
      </c>
      <c r="O3479" s="10">
        <v>0.82199999999999995</v>
      </c>
      <c r="P3479" s="10">
        <v>6.4799999999999996E-2</v>
      </c>
      <c r="Q3479" s="10">
        <v>51.6</v>
      </c>
      <c r="R3479" s="10" t="s">
        <v>77</v>
      </c>
      <c r="S3479" s="34">
        <f t="shared" si="395"/>
        <v>51.6</v>
      </c>
      <c r="T3479" s="10" t="s">
        <v>1260</v>
      </c>
      <c r="U3479" s="34" t="str">
        <f t="shared" si="396"/>
        <v/>
      </c>
      <c r="V3479" s="31" t="str">
        <f>IF(H3479="CHK",VLOOKUP(I3479,QCCHK,3,),IF(H3479="GUP",VLOOKUP(E3479,QCGUP,2,),IF(AND(H3479="ATP",OR(I3479="TN",I3479="TDN",I3479="TNO2-3",I3479="NO2-3")),VLOOKUP(E3479,QCREC_N,2,),IF(AND(H3479="NIC",OR(I3479="TN",I3479="TDN",I3479="TNO2-3",I3479="NO2-3")),VLOOKUP(E3479,QCNIC_N,2,),IF(AND(H3479="UREA",OR(I3479="TN",I3479="TDN",I3479="TNO2-3",I3479="NO2-3")),VLOOKUP(E3479,QCUREA_N,2,),IF(H3479="PER",VLOOKUP(I3479,QCPER,MATCH(E3479,QCACTUAL!$J$25:$AA$25,0),),IF(H3479="SPK",VLOOKUP(I3479,QCSPK,3,),IF(AND(H3479="ATP",OR(I3479="TP",I3479="TDP")),VLOOKUP(E3479,QCATP_P,2,),""))))))))</f>
        <v/>
      </c>
      <c r="W3479" s="31" t="str">
        <f t="shared" si="397"/>
        <v>TRUE</v>
      </c>
      <c r="X3479" s="31" t="str">
        <f t="shared" si="394"/>
        <v/>
      </c>
      <c r="Y3479" s="10" t="s">
        <v>1253</v>
      </c>
      <c r="AL3479" s="10" t="str">
        <f t="shared" si="392"/>
        <v>FALSE</v>
      </c>
      <c r="AM3479" s="10" t="str">
        <f t="shared" si="392"/>
        <v>FALSE</v>
      </c>
      <c r="AN3479" s="10" t="str">
        <f t="shared" si="392"/>
        <v>FALSE</v>
      </c>
      <c r="AO3479" s="10" t="str">
        <f t="shared" si="393"/>
        <v>FALSE</v>
      </c>
      <c r="AP3479" s="10" t="str">
        <f t="shared" si="393"/>
        <v>FALSE</v>
      </c>
      <c r="AQ3479" s="10" t="b">
        <f>IF(AND(I3479="TP",S3479&lt;=150),VLOOKUP(AF3479,TPCalibEq150!$AZ$2:$BB$55,3,),IF(AND(I3479="TDP",S3479&lt;=150),VLOOKUP(AF3479,TPCalibEq150!$AZ$2:$BB$55,3,)))</f>
        <v>0</v>
      </c>
      <c r="AR3479" s="10" t="b">
        <f>IF(AND(I3479="TP",S3479&lt;=300),VLOOKUP(AF3479,TPCalibEq300!$AZ$2:$BB$55,3,),IF(AND(I3479="TDP",S3479&lt;=300),VLOOKUP(AF3479,TPCalibEq300!$AZ$2:$BB$55,3,)))</f>
        <v>0</v>
      </c>
      <c r="AS3479" s="10" t="b">
        <f>IF(AND(I3479="TP",S3479&lt;=500),VLOOKUP(AF3479,TPCalibEq500!$AZ$2:$BB$56,3,),IF(AND(I3479="TDP",S3479&lt;=500),VLOOKUP(AF3479,TPCalibEq500!$AZ$2:$BB$56,3,)))</f>
        <v>0</v>
      </c>
      <c r="AT3479" s="10" t="b">
        <f>IF(AND(I3479="TN",S3479&lt;=2800),VLOOKUP(AF3479,TNCalibEq2500!$AZ$2:$BB$56,3,),IF(AND(I3479="TDN",S3479&lt;=2800),VLOOKUP(AF3479,TNCalibEq2500!$AZ$2:$BB$56,3,)))</f>
        <v>0</v>
      </c>
      <c r="AU3479" s="10" t="b">
        <f>IF(I3479="TP",VLOOKUP(AF3479,TPCalibEqFull!$AZ$2:$BB$56,3),IF(I3479="TDP",VLOOKUP(AF3479,TPCalibEqFull!$AZ$2:$BB$56,3),IF(I3479="TDN",VLOOKUP(AF3479,TNCalibEqFull!$AZ$1:$BB$56,3),IF(I3479="TN",VLOOKUP(AF3479,TNCalibEqFull!$AZ$1:$BB$56,3),FALSE))))</f>
        <v>0</v>
      </c>
      <c r="AV3479" s="10" t="str">
        <f t="shared" si="398"/>
        <v>0221 09:21:00-EOF-0-FIL-1-SW-UKN</v>
      </c>
    </row>
    <row r="3480" spans="1:48" s="10" customFormat="1" x14ac:dyDescent="0.55000000000000004">
      <c r="A3480" s="32">
        <v>44978</v>
      </c>
      <c r="B3480" s="33">
        <v>0.39166666666666666</v>
      </c>
      <c r="C3480" s="10" t="s">
        <v>428</v>
      </c>
      <c r="D3480" s="10">
        <v>5</v>
      </c>
      <c r="E3480" s="10" t="s">
        <v>911</v>
      </c>
      <c r="F3480" s="10">
        <v>1</v>
      </c>
      <c r="G3480" s="10" t="s">
        <v>231</v>
      </c>
      <c r="H3480" s="10" t="s">
        <v>322</v>
      </c>
      <c r="I3480" s="10" t="s">
        <v>183</v>
      </c>
      <c r="J3480" s="10">
        <v>72</v>
      </c>
      <c r="K3480" s="12">
        <v>44980</v>
      </c>
      <c r="L3480" s="33">
        <v>0.56730324074074068</v>
      </c>
      <c r="M3480" s="10">
        <v>1</v>
      </c>
      <c r="N3480" s="10" t="s">
        <v>76</v>
      </c>
      <c r="O3480" s="10">
        <v>0.77900000000000003</v>
      </c>
      <c r="P3480" s="10">
        <v>6.2700000000000006E-2</v>
      </c>
      <c r="Q3480" s="10">
        <v>48.9</v>
      </c>
      <c r="R3480" s="10" t="s">
        <v>77</v>
      </c>
      <c r="S3480" s="34">
        <f t="shared" si="395"/>
        <v>48.9</v>
      </c>
      <c r="T3480" s="10" t="s">
        <v>1260</v>
      </c>
      <c r="U3480" s="34" t="str">
        <f t="shared" si="396"/>
        <v/>
      </c>
      <c r="V3480" s="31" t="str">
        <f>IF(H3480="CHK",VLOOKUP(I3480,QCCHK,3,),IF(H3480="GUP",VLOOKUP(E3480,QCGUP,2,),IF(AND(H3480="ATP",OR(I3480="TN",I3480="TDN",I3480="TNO2-3",I3480="NO2-3")),VLOOKUP(E3480,QCREC_N,2,),IF(AND(H3480="NIC",OR(I3480="TN",I3480="TDN",I3480="TNO2-3",I3480="NO2-3")),VLOOKUP(E3480,QCNIC_N,2,),IF(AND(H3480="UREA",OR(I3480="TN",I3480="TDN",I3480="TNO2-3",I3480="NO2-3")),VLOOKUP(E3480,QCUREA_N,2,),IF(H3480="PER",VLOOKUP(I3480,QCPER,MATCH(E3480,QCACTUAL!$J$25:$AA$25,0),),IF(H3480="SPK",VLOOKUP(I3480,QCSPK,3,),IF(AND(H3480="ATP",OR(I3480="TP",I3480="TDP")),VLOOKUP(E3480,QCATP_P,2,),""))))))))</f>
        <v/>
      </c>
      <c r="W3480" s="31" t="str">
        <f t="shared" si="397"/>
        <v>TRUE</v>
      </c>
      <c r="X3480" s="31" t="str">
        <f t="shared" si="394"/>
        <v/>
      </c>
      <c r="Y3480" s="10" t="s">
        <v>1253</v>
      </c>
      <c r="AL3480" s="10" t="str">
        <f t="shared" si="392"/>
        <v>FALSE</v>
      </c>
      <c r="AM3480" s="10" t="str">
        <f t="shared" si="392"/>
        <v>FALSE</v>
      </c>
      <c r="AN3480" s="10" t="str">
        <f t="shared" si="392"/>
        <v>FALSE</v>
      </c>
      <c r="AO3480" s="10" t="str">
        <f t="shared" si="393"/>
        <v>FALSE</v>
      </c>
      <c r="AP3480" s="10" t="str">
        <f t="shared" si="393"/>
        <v>FALSE</v>
      </c>
      <c r="AQ3480" s="10" t="b">
        <f>IF(AND(I3480="TP",S3480&lt;=150),VLOOKUP(AF3480,TPCalibEq150!$AZ$2:$BB$55,3,),IF(AND(I3480="TDP",S3480&lt;=150),VLOOKUP(AF3480,TPCalibEq150!$AZ$2:$BB$55,3,)))</f>
        <v>0</v>
      </c>
      <c r="AR3480" s="10" t="b">
        <f>IF(AND(I3480="TP",S3480&lt;=300),VLOOKUP(AF3480,TPCalibEq300!$AZ$2:$BB$55,3,),IF(AND(I3480="TDP",S3480&lt;=300),VLOOKUP(AF3480,TPCalibEq300!$AZ$2:$BB$55,3,)))</f>
        <v>0</v>
      </c>
      <c r="AS3480" s="10" t="b">
        <f>IF(AND(I3480="TP",S3480&lt;=500),VLOOKUP(AF3480,TPCalibEq500!$AZ$2:$BB$56,3,),IF(AND(I3480="TDP",S3480&lt;=500),VLOOKUP(AF3480,TPCalibEq500!$AZ$2:$BB$56,3,)))</f>
        <v>0</v>
      </c>
      <c r="AT3480" s="10" t="b">
        <f>IF(AND(I3480="TN",S3480&lt;=2800),VLOOKUP(AF3480,TNCalibEq2500!$AZ$2:$BB$56,3,),IF(AND(I3480="TDN",S3480&lt;=2800),VLOOKUP(AF3480,TNCalibEq2500!$AZ$2:$BB$56,3,)))</f>
        <v>0</v>
      </c>
      <c r="AU3480" s="10" t="b">
        <f>IF(I3480="TP",VLOOKUP(AF3480,TPCalibEqFull!$AZ$2:$BB$56,3),IF(I3480="TDP",VLOOKUP(AF3480,TPCalibEqFull!$AZ$2:$BB$56,3),IF(I3480="TDN",VLOOKUP(AF3480,TNCalibEqFull!$AZ$1:$BB$56,3),IF(I3480="TN",VLOOKUP(AF3480,TNCalibEqFull!$AZ$1:$BB$56,3),FALSE))))</f>
        <v>0</v>
      </c>
      <c r="AV3480" s="10" t="str">
        <f t="shared" si="398"/>
        <v>0221 09:24:00-EOF-5-FIL-1-SW-UKN</v>
      </c>
    </row>
    <row r="3481" spans="1:48" s="10" customFormat="1" x14ac:dyDescent="0.55000000000000004">
      <c r="A3481" s="32">
        <v>44978</v>
      </c>
      <c r="B3481" s="33">
        <v>0.39444444444444443</v>
      </c>
      <c r="C3481" s="10" t="s">
        <v>428</v>
      </c>
      <c r="D3481" s="10">
        <v>10</v>
      </c>
      <c r="E3481" s="10" t="s">
        <v>911</v>
      </c>
      <c r="F3481" s="10">
        <v>1</v>
      </c>
      <c r="G3481" s="10" t="s">
        <v>231</v>
      </c>
      <c r="H3481" s="10" t="s">
        <v>322</v>
      </c>
      <c r="I3481" s="10" t="s">
        <v>183</v>
      </c>
      <c r="J3481" s="10">
        <v>73</v>
      </c>
      <c r="K3481" s="12">
        <v>44980</v>
      </c>
      <c r="L3481" s="33">
        <v>0.56811342592592595</v>
      </c>
      <c r="M3481" s="10">
        <v>1</v>
      </c>
      <c r="N3481" s="10" t="s">
        <v>76</v>
      </c>
      <c r="O3481" s="10">
        <v>0.66900000000000004</v>
      </c>
      <c r="P3481" s="10">
        <v>5.3800000000000001E-2</v>
      </c>
      <c r="Q3481" s="10">
        <v>42</v>
      </c>
      <c r="R3481" s="10" t="s">
        <v>77</v>
      </c>
      <c r="S3481" s="34">
        <f t="shared" si="395"/>
        <v>42</v>
      </c>
      <c r="T3481" s="10" t="s">
        <v>1260</v>
      </c>
      <c r="U3481" s="34" t="str">
        <f t="shared" si="396"/>
        <v/>
      </c>
      <c r="V3481" s="31" t="str">
        <f>IF(H3481="CHK",VLOOKUP(I3481,QCCHK,3,),IF(H3481="GUP",VLOOKUP(E3481,QCGUP,2,),IF(AND(H3481="ATP",OR(I3481="TN",I3481="TDN",I3481="TNO2-3",I3481="NO2-3")),VLOOKUP(E3481,QCREC_N,2,),IF(AND(H3481="NIC",OR(I3481="TN",I3481="TDN",I3481="TNO2-3",I3481="NO2-3")),VLOOKUP(E3481,QCNIC_N,2,),IF(AND(H3481="UREA",OR(I3481="TN",I3481="TDN",I3481="TNO2-3",I3481="NO2-3")),VLOOKUP(E3481,QCUREA_N,2,),IF(H3481="PER",VLOOKUP(I3481,QCPER,MATCH(E3481,QCACTUAL!$J$25:$AA$25,0),),IF(H3481="SPK",VLOOKUP(I3481,QCSPK,3,),IF(AND(H3481="ATP",OR(I3481="TP",I3481="TDP")),VLOOKUP(E3481,QCATP_P,2,),""))))))))</f>
        <v/>
      </c>
      <c r="W3481" s="31" t="str">
        <f t="shared" si="397"/>
        <v>TRUE</v>
      </c>
      <c r="X3481" s="31" t="str">
        <f t="shared" si="394"/>
        <v/>
      </c>
      <c r="Y3481" s="10" t="s">
        <v>1253</v>
      </c>
      <c r="AL3481" s="10" t="str">
        <f t="shared" si="392"/>
        <v>FALSE</v>
      </c>
      <c r="AM3481" s="10" t="str">
        <f t="shared" si="392"/>
        <v>FALSE</v>
      </c>
      <c r="AN3481" s="10" t="str">
        <f t="shared" si="392"/>
        <v>FALSE</v>
      </c>
      <c r="AO3481" s="10" t="str">
        <f t="shared" si="393"/>
        <v>FALSE</v>
      </c>
      <c r="AP3481" s="10" t="str">
        <f t="shared" si="393"/>
        <v>FALSE</v>
      </c>
      <c r="AQ3481" s="10" t="b">
        <f>IF(AND(I3481="TP",S3481&lt;=150),VLOOKUP(AF3481,TPCalibEq150!$AZ$2:$BB$55,3,),IF(AND(I3481="TDP",S3481&lt;=150),VLOOKUP(AF3481,TPCalibEq150!$AZ$2:$BB$55,3,)))</f>
        <v>0</v>
      </c>
      <c r="AR3481" s="10" t="b">
        <f>IF(AND(I3481="TP",S3481&lt;=300),VLOOKUP(AF3481,TPCalibEq300!$AZ$2:$BB$55,3,),IF(AND(I3481="TDP",S3481&lt;=300),VLOOKUP(AF3481,TPCalibEq300!$AZ$2:$BB$55,3,)))</f>
        <v>0</v>
      </c>
      <c r="AS3481" s="10" t="b">
        <f>IF(AND(I3481="TP",S3481&lt;=500),VLOOKUP(AF3481,TPCalibEq500!$AZ$2:$BB$56,3,),IF(AND(I3481="TDP",S3481&lt;=500),VLOOKUP(AF3481,TPCalibEq500!$AZ$2:$BB$56,3,)))</f>
        <v>0</v>
      </c>
      <c r="AT3481" s="10" t="b">
        <f>IF(AND(I3481="TN",S3481&lt;=2800),VLOOKUP(AF3481,TNCalibEq2500!$AZ$2:$BB$56,3,),IF(AND(I3481="TDN",S3481&lt;=2800),VLOOKUP(AF3481,TNCalibEq2500!$AZ$2:$BB$56,3,)))</f>
        <v>0</v>
      </c>
      <c r="AU3481" s="10" t="b">
        <f>IF(I3481="TP",VLOOKUP(AF3481,TPCalibEqFull!$AZ$2:$BB$56,3),IF(I3481="TDP",VLOOKUP(AF3481,TPCalibEqFull!$AZ$2:$BB$56,3),IF(I3481="TDN",VLOOKUP(AF3481,TNCalibEqFull!$AZ$1:$BB$56,3),IF(I3481="TN",VLOOKUP(AF3481,TNCalibEqFull!$AZ$1:$BB$56,3),FALSE))))</f>
        <v>0</v>
      </c>
      <c r="AV3481" s="10" t="str">
        <f t="shared" si="398"/>
        <v>0221 09:28:00-EOF-10-FIL-1-SW-UKN</v>
      </c>
    </row>
    <row r="3482" spans="1:48" s="10" customFormat="1" x14ac:dyDescent="0.55000000000000004">
      <c r="A3482" s="32">
        <v>44978</v>
      </c>
      <c r="B3482" s="33">
        <v>0.39652777777777781</v>
      </c>
      <c r="C3482" s="10" t="s">
        <v>428</v>
      </c>
      <c r="D3482" s="10">
        <v>20</v>
      </c>
      <c r="E3482" s="10" t="s">
        <v>911</v>
      </c>
      <c r="F3482" s="10">
        <v>1</v>
      </c>
      <c r="G3482" s="10" t="s">
        <v>231</v>
      </c>
      <c r="H3482" s="10" t="s">
        <v>322</v>
      </c>
      <c r="I3482" s="10" t="s">
        <v>183</v>
      </c>
      <c r="J3482" s="10">
        <v>74</v>
      </c>
      <c r="K3482" s="12">
        <v>44980</v>
      </c>
      <c r="L3482" s="33">
        <v>0.56892361111111112</v>
      </c>
      <c r="M3482" s="10">
        <v>1</v>
      </c>
      <c r="N3482" s="10" t="s">
        <v>76</v>
      </c>
      <c r="O3482" s="10">
        <v>0.65800000000000003</v>
      </c>
      <c r="P3482" s="10">
        <v>5.4300000000000001E-2</v>
      </c>
      <c r="Q3482" s="10">
        <v>41.3</v>
      </c>
      <c r="R3482" s="10" t="s">
        <v>77</v>
      </c>
      <c r="S3482" s="34">
        <f t="shared" si="395"/>
        <v>41.3</v>
      </c>
      <c r="T3482" s="10" t="s">
        <v>1260</v>
      </c>
      <c r="U3482" s="34" t="str">
        <f t="shared" si="396"/>
        <v/>
      </c>
      <c r="V3482" s="31" t="str">
        <f>IF(H3482="CHK",VLOOKUP(I3482,QCCHK,3,),IF(H3482="GUP",VLOOKUP(E3482,QCGUP,2,),IF(AND(H3482="ATP",OR(I3482="TN",I3482="TDN",I3482="TNO2-3",I3482="NO2-3")),VLOOKUP(E3482,QCREC_N,2,),IF(AND(H3482="NIC",OR(I3482="TN",I3482="TDN",I3482="TNO2-3",I3482="NO2-3")),VLOOKUP(E3482,QCNIC_N,2,),IF(AND(H3482="UREA",OR(I3482="TN",I3482="TDN",I3482="TNO2-3",I3482="NO2-3")),VLOOKUP(E3482,QCUREA_N,2,),IF(H3482="PER",VLOOKUP(I3482,QCPER,MATCH(E3482,QCACTUAL!$J$25:$AA$25,0),),IF(H3482="SPK",VLOOKUP(I3482,QCSPK,3,),IF(AND(H3482="ATP",OR(I3482="TP",I3482="TDP")),VLOOKUP(E3482,QCATP_P,2,),""))))))))</f>
        <v/>
      </c>
      <c r="W3482" s="31" t="str">
        <f t="shared" si="397"/>
        <v>TRUE</v>
      </c>
      <c r="X3482" s="31" t="str">
        <f t="shared" si="394"/>
        <v/>
      </c>
      <c r="Y3482" s="10" t="s">
        <v>1253</v>
      </c>
      <c r="AL3482" s="10" t="str">
        <f t="shared" si="392"/>
        <v>FALSE</v>
      </c>
      <c r="AM3482" s="10" t="str">
        <f t="shared" si="392"/>
        <v>FALSE</v>
      </c>
      <c r="AN3482" s="10" t="str">
        <f t="shared" si="392"/>
        <v>FALSE</v>
      </c>
      <c r="AO3482" s="10" t="str">
        <f t="shared" si="393"/>
        <v>FALSE</v>
      </c>
      <c r="AP3482" s="10" t="str">
        <f t="shared" si="393"/>
        <v>FALSE</v>
      </c>
      <c r="AQ3482" s="10" t="b">
        <f>IF(AND(I3482="TP",S3482&lt;=150),VLOOKUP(AF3482,TPCalibEq150!$AZ$2:$BB$55,3,),IF(AND(I3482="TDP",S3482&lt;=150),VLOOKUP(AF3482,TPCalibEq150!$AZ$2:$BB$55,3,)))</f>
        <v>0</v>
      </c>
      <c r="AR3482" s="10" t="b">
        <f>IF(AND(I3482="TP",S3482&lt;=300),VLOOKUP(AF3482,TPCalibEq300!$AZ$2:$BB$55,3,),IF(AND(I3482="TDP",S3482&lt;=300),VLOOKUP(AF3482,TPCalibEq300!$AZ$2:$BB$55,3,)))</f>
        <v>0</v>
      </c>
      <c r="AS3482" s="10" t="b">
        <f>IF(AND(I3482="TP",S3482&lt;=500),VLOOKUP(AF3482,TPCalibEq500!$AZ$2:$BB$56,3,),IF(AND(I3482="TDP",S3482&lt;=500),VLOOKUP(AF3482,TPCalibEq500!$AZ$2:$BB$56,3,)))</f>
        <v>0</v>
      </c>
      <c r="AT3482" s="10" t="b">
        <f>IF(AND(I3482="TN",S3482&lt;=2800),VLOOKUP(AF3482,TNCalibEq2500!$AZ$2:$BB$56,3,),IF(AND(I3482="TDN",S3482&lt;=2800),VLOOKUP(AF3482,TNCalibEq2500!$AZ$2:$BB$56,3,)))</f>
        <v>0</v>
      </c>
      <c r="AU3482" s="10" t="b">
        <f>IF(I3482="TP",VLOOKUP(AF3482,TPCalibEqFull!$AZ$2:$BB$56,3),IF(I3482="TDP",VLOOKUP(AF3482,TPCalibEqFull!$AZ$2:$BB$56,3),IF(I3482="TDN",VLOOKUP(AF3482,TNCalibEqFull!$AZ$1:$BB$56,3),IF(I3482="TN",VLOOKUP(AF3482,TNCalibEqFull!$AZ$1:$BB$56,3),FALSE))))</f>
        <v>0</v>
      </c>
      <c r="AV3482" s="10" t="str">
        <f t="shared" si="398"/>
        <v>0221 09:31:00-EOF-20-FIL-1-SW-UKN</v>
      </c>
    </row>
    <row r="3483" spans="1:48" s="10" customFormat="1" x14ac:dyDescent="0.55000000000000004">
      <c r="A3483" s="32">
        <v>44978</v>
      </c>
      <c r="B3483" s="33">
        <v>0.40347222222222223</v>
      </c>
      <c r="C3483" s="10" t="s">
        <v>428</v>
      </c>
      <c r="D3483" s="10">
        <v>97</v>
      </c>
      <c r="E3483" s="10" t="s">
        <v>911</v>
      </c>
      <c r="F3483" s="10">
        <v>1</v>
      </c>
      <c r="G3483" s="10" t="s">
        <v>231</v>
      </c>
      <c r="H3483" s="10" t="s">
        <v>322</v>
      </c>
      <c r="I3483" s="10" t="s">
        <v>183</v>
      </c>
      <c r="J3483" s="10">
        <v>75</v>
      </c>
      <c r="K3483" s="12">
        <v>44980</v>
      </c>
      <c r="L3483" s="33">
        <v>0.56973379629629628</v>
      </c>
      <c r="M3483" s="10">
        <v>1</v>
      </c>
      <c r="N3483" s="10" t="s">
        <v>76</v>
      </c>
      <c r="O3483" s="10">
        <v>1.5</v>
      </c>
      <c r="P3483" s="10">
        <v>0.11799999999999999</v>
      </c>
      <c r="Q3483" s="10">
        <v>94.4</v>
      </c>
      <c r="R3483" s="10" t="s">
        <v>77</v>
      </c>
      <c r="S3483" s="34">
        <f t="shared" si="395"/>
        <v>94.4</v>
      </c>
      <c r="T3483" s="10" t="s">
        <v>1260</v>
      </c>
      <c r="U3483" s="34" t="str">
        <f t="shared" si="396"/>
        <v/>
      </c>
      <c r="V3483" s="31" t="str">
        <f>IF(H3483="CHK",VLOOKUP(I3483,QCCHK,3,),IF(H3483="GUP",VLOOKUP(E3483,QCGUP,2,),IF(AND(H3483="ATP",OR(I3483="TN",I3483="TDN",I3483="TNO2-3",I3483="NO2-3")),VLOOKUP(E3483,QCREC_N,2,),IF(AND(H3483="NIC",OR(I3483="TN",I3483="TDN",I3483="TNO2-3",I3483="NO2-3")),VLOOKUP(E3483,QCNIC_N,2,),IF(AND(H3483="UREA",OR(I3483="TN",I3483="TDN",I3483="TNO2-3",I3483="NO2-3")),VLOOKUP(E3483,QCUREA_N,2,),IF(H3483="PER",VLOOKUP(I3483,QCPER,MATCH(E3483,QCACTUAL!$J$25:$AA$25,0),),IF(H3483="SPK",VLOOKUP(I3483,QCSPK,3,),IF(AND(H3483="ATP",OR(I3483="TP",I3483="TDP")),VLOOKUP(E3483,QCATP_P,2,),""))))))))</f>
        <v/>
      </c>
      <c r="W3483" s="31" t="str">
        <f t="shared" si="397"/>
        <v>TRUE</v>
      </c>
      <c r="X3483" s="31" t="str">
        <f t="shared" si="394"/>
        <v/>
      </c>
      <c r="Y3483" s="10" t="s">
        <v>1253</v>
      </c>
      <c r="AL3483" s="10" t="str">
        <f t="shared" si="392"/>
        <v>FALSE</v>
      </c>
      <c r="AM3483" s="10" t="str">
        <f t="shared" si="392"/>
        <v>FALSE</v>
      </c>
      <c r="AN3483" s="10" t="str">
        <f t="shared" si="392"/>
        <v>FALSE</v>
      </c>
      <c r="AO3483" s="10" t="str">
        <f t="shared" si="393"/>
        <v>FALSE</v>
      </c>
      <c r="AP3483" s="10" t="str">
        <f t="shared" si="393"/>
        <v>FALSE</v>
      </c>
      <c r="AQ3483" s="10" t="b">
        <f>IF(AND(I3483="TP",S3483&lt;=150),VLOOKUP(AF3483,TPCalibEq150!$AZ$2:$BB$55,3,),IF(AND(I3483="TDP",S3483&lt;=150),VLOOKUP(AF3483,TPCalibEq150!$AZ$2:$BB$55,3,)))</f>
        <v>0</v>
      </c>
      <c r="AR3483" s="10" t="b">
        <f>IF(AND(I3483="TP",S3483&lt;=300),VLOOKUP(AF3483,TPCalibEq300!$AZ$2:$BB$55,3,),IF(AND(I3483="TDP",S3483&lt;=300),VLOOKUP(AF3483,TPCalibEq300!$AZ$2:$BB$55,3,)))</f>
        <v>0</v>
      </c>
      <c r="AS3483" s="10" t="b">
        <f>IF(AND(I3483="TP",S3483&lt;=500),VLOOKUP(AF3483,TPCalibEq500!$AZ$2:$BB$56,3,),IF(AND(I3483="TDP",S3483&lt;=500),VLOOKUP(AF3483,TPCalibEq500!$AZ$2:$BB$56,3,)))</f>
        <v>0</v>
      </c>
      <c r="AT3483" s="10" t="b">
        <f>IF(AND(I3483="TN",S3483&lt;=2800),VLOOKUP(AF3483,TNCalibEq2500!$AZ$2:$BB$56,3,),IF(AND(I3483="TDN",S3483&lt;=2800),VLOOKUP(AF3483,TNCalibEq2500!$AZ$2:$BB$56,3,)))</f>
        <v>0</v>
      </c>
      <c r="AU3483" s="10" t="b">
        <f>IF(I3483="TP",VLOOKUP(AF3483,TPCalibEqFull!$AZ$2:$BB$56,3),IF(I3483="TDP",VLOOKUP(AF3483,TPCalibEqFull!$AZ$2:$BB$56,3),IF(I3483="TDN",VLOOKUP(AF3483,TNCalibEqFull!$AZ$1:$BB$56,3),IF(I3483="TN",VLOOKUP(AF3483,TNCalibEqFull!$AZ$1:$BB$56,3),FALSE))))</f>
        <v>0</v>
      </c>
      <c r="AV3483" s="10" t="str">
        <f t="shared" si="398"/>
        <v>0221 09:41:00-EOF-97-FIL-1-SW-UKN</v>
      </c>
    </row>
    <row r="3484" spans="1:48" s="10" customFormat="1" x14ac:dyDescent="0.55000000000000004">
      <c r="A3484" s="32">
        <v>44978</v>
      </c>
      <c r="B3484" s="33">
        <v>0.43124999999999997</v>
      </c>
      <c r="C3484" s="10" t="s">
        <v>611</v>
      </c>
      <c r="D3484" s="10">
        <v>0</v>
      </c>
      <c r="E3484" s="10" t="s">
        <v>911</v>
      </c>
      <c r="F3484" s="10">
        <v>1</v>
      </c>
      <c r="G3484" s="10" t="s">
        <v>231</v>
      </c>
      <c r="H3484" s="10" t="s">
        <v>322</v>
      </c>
      <c r="I3484" s="10" t="s">
        <v>183</v>
      </c>
      <c r="J3484" s="10">
        <v>76</v>
      </c>
      <c r="K3484" s="12">
        <v>44980</v>
      </c>
      <c r="L3484" s="33">
        <v>0.57055555555555559</v>
      </c>
      <c r="M3484" s="10">
        <v>1</v>
      </c>
      <c r="N3484" s="10" t="s">
        <v>76</v>
      </c>
      <c r="O3484" s="10">
        <v>0.96699999999999997</v>
      </c>
      <c r="P3484" s="10">
        <v>7.7600000000000002E-2</v>
      </c>
      <c r="Q3484" s="10">
        <v>60.7</v>
      </c>
      <c r="R3484" s="10" t="s">
        <v>77</v>
      </c>
      <c r="S3484" s="34">
        <f t="shared" si="395"/>
        <v>60.7</v>
      </c>
      <c r="T3484" s="10" t="s">
        <v>1260</v>
      </c>
      <c r="U3484" s="34" t="str">
        <f t="shared" si="396"/>
        <v/>
      </c>
      <c r="V3484" s="31" t="str">
        <f>IF(H3484="CHK",VLOOKUP(I3484,QCCHK,3,),IF(H3484="GUP",VLOOKUP(E3484,QCGUP,2,),IF(AND(H3484="ATP",OR(I3484="TN",I3484="TDN",I3484="TNO2-3",I3484="NO2-3")),VLOOKUP(E3484,QCREC_N,2,),IF(AND(H3484="NIC",OR(I3484="TN",I3484="TDN",I3484="TNO2-3",I3484="NO2-3")),VLOOKUP(E3484,QCNIC_N,2,),IF(AND(H3484="UREA",OR(I3484="TN",I3484="TDN",I3484="TNO2-3",I3484="NO2-3")),VLOOKUP(E3484,QCUREA_N,2,),IF(H3484="PER",VLOOKUP(I3484,QCPER,MATCH(E3484,QCACTUAL!$J$25:$AA$25,0),),IF(H3484="SPK",VLOOKUP(I3484,QCSPK,3,),IF(AND(H3484="ATP",OR(I3484="TP",I3484="TDP")),VLOOKUP(E3484,QCATP_P,2,),""))))))))</f>
        <v/>
      </c>
      <c r="W3484" s="31" t="str">
        <f t="shared" si="397"/>
        <v>TRUE</v>
      </c>
      <c r="X3484" s="31" t="str">
        <f t="shared" si="394"/>
        <v/>
      </c>
      <c r="Y3484" s="10" t="s">
        <v>1253</v>
      </c>
      <c r="AL3484" s="10" t="str">
        <f t="shared" si="392"/>
        <v>FALSE</v>
      </c>
      <c r="AM3484" s="10" t="str">
        <f t="shared" si="392"/>
        <v>FALSE</v>
      </c>
      <c r="AN3484" s="10" t="str">
        <f t="shared" si="392"/>
        <v>FALSE</v>
      </c>
      <c r="AO3484" s="10" t="str">
        <f t="shared" si="393"/>
        <v>FALSE</v>
      </c>
      <c r="AP3484" s="10" t="str">
        <f t="shared" si="393"/>
        <v>FALSE</v>
      </c>
      <c r="AQ3484" s="10" t="b">
        <f>IF(AND(I3484="TP",S3484&lt;=150),VLOOKUP(AF3484,TPCalibEq150!$AZ$2:$BB$55,3,),IF(AND(I3484="TDP",S3484&lt;=150),VLOOKUP(AF3484,TPCalibEq150!$AZ$2:$BB$55,3,)))</f>
        <v>0</v>
      </c>
      <c r="AR3484" s="10" t="b">
        <f>IF(AND(I3484="TP",S3484&lt;=300),VLOOKUP(AF3484,TPCalibEq300!$AZ$2:$BB$55,3,),IF(AND(I3484="TDP",S3484&lt;=300),VLOOKUP(AF3484,TPCalibEq300!$AZ$2:$BB$55,3,)))</f>
        <v>0</v>
      </c>
      <c r="AS3484" s="10" t="b">
        <f>IF(AND(I3484="TP",S3484&lt;=500),VLOOKUP(AF3484,TPCalibEq500!$AZ$2:$BB$56,3,),IF(AND(I3484="TDP",S3484&lt;=500),VLOOKUP(AF3484,TPCalibEq500!$AZ$2:$BB$56,3,)))</f>
        <v>0</v>
      </c>
      <c r="AT3484" s="10" t="b">
        <f>IF(AND(I3484="TN",S3484&lt;=2800),VLOOKUP(AF3484,TNCalibEq2500!$AZ$2:$BB$56,3,),IF(AND(I3484="TDN",S3484&lt;=2800),VLOOKUP(AF3484,TNCalibEq2500!$AZ$2:$BB$56,3,)))</f>
        <v>0</v>
      </c>
      <c r="AU3484" s="10" t="b">
        <f>IF(I3484="TP",VLOOKUP(AF3484,TPCalibEqFull!$AZ$2:$BB$56,3),IF(I3484="TDP",VLOOKUP(AF3484,TPCalibEqFull!$AZ$2:$BB$56,3),IF(I3484="TDN",VLOOKUP(AF3484,TNCalibEqFull!$AZ$1:$BB$56,3),IF(I3484="TN",VLOOKUP(AF3484,TNCalibEqFull!$AZ$1:$BB$56,3),FALSE))))</f>
        <v>0</v>
      </c>
      <c r="AV3484" s="10" t="str">
        <f t="shared" si="398"/>
        <v>0221 10:21:00-BUO-0-FIL-1-SW-UKN</v>
      </c>
    </row>
    <row r="3485" spans="1:48" s="10" customFormat="1" x14ac:dyDescent="0.55000000000000004">
      <c r="A3485" s="32">
        <v>44978</v>
      </c>
      <c r="B3485" s="33">
        <v>0.43472222222222223</v>
      </c>
      <c r="C3485" s="10" t="s">
        <v>611</v>
      </c>
      <c r="D3485" s="10">
        <v>5</v>
      </c>
      <c r="E3485" s="10" t="s">
        <v>911</v>
      </c>
      <c r="F3485" s="10">
        <v>1</v>
      </c>
      <c r="G3485" s="10" t="s">
        <v>231</v>
      </c>
      <c r="H3485" s="10" t="s">
        <v>322</v>
      </c>
      <c r="I3485" s="10" t="s">
        <v>183</v>
      </c>
      <c r="J3485" s="10">
        <v>77</v>
      </c>
      <c r="K3485" s="12">
        <v>44980</v>
      </c>
      <c r="L3485" s="33">
        <v>0.57138888888888884</v>
      </c>
      <c r="M3485" s="10">
        <v>1</v>
      </c>
      <c r="N3485" s="10" t="s">
        <v>76</v>
      </c>
      <c r="O3485" s="10">
        <v>0.91800000000000004</v>
      </c>
      <c r="P3485" s="10">
        <v>7.3499999999999996E-2</v>
      </c>
      <c r="Q3485" s="10">
        <v>57.6</v>
      </c>
      <c r="R3485" s="10" t="s">
        <v>77</v>
      </c>
      <c r="S3485" s="34">
        <f t="shared" si="395"/>
        <v>57.6</v>
      </c>
      <c r="T3485" s="10" t="s">
        <v>1260</v>
      </c>
      <c r="U3485" s="34" t="str">
        <f t="shared" si="396"/>
        <v/>
      </c>
      <c r="V3485" s="31" t="str">
        <f>IF(H3485="CHK",VLOOKUP(I3485,QCCHK,3,),IF(H3485="GUP",VLOOKUP(E3485,QCGUP,2,),IF(AND(H3485="ATP",OR(I3485="TN",I3485="TDN",I3485="TNO2-3",I3485="NO2-3")),VLOOKUP(E3485,QCREC_N,2,),IF(AND(H3485="NIC",OR(I3485="TN",I3485="TDN",I3485="TNO2-3",I3485="NO2-3")),VLOOKUP(E3485,QCNIC_N,2,),IF(AND(H3485="UREA",OR(I3485="TN",I3485="TDN",I3485="TNO2-3",I3485="NO2-3")),VLOOKUP(E3485,QCUREA_N,2,),IF(H3485="PER",VLOOKUP(I3485,QCPER,MATCH(E3485,QCACTUAL!$J$25:$AA$25,0),),IF(H3485="SPK",VLOOKUP(I3485,QCSPK,3,),IF(AND(H3485="ATP",OR(I3485="TP",I3485="TDP")),VLOOKUP(E3485,QCATP_P,2,),""))))))))</f>
        <v/>
      </c>
      <c r="W3485" s="31" t="str">
        <f t="shared" si="397"/>
        <v>TRUE</v>
      </c>
      <c r="X3485" s="31" t="str">
        <f t="shared" si="394"/>
        <v/>
      </c>
      <c r="Y3485" s="10" t="s">
        <v>1253</v>
      </c>
      <c r="AL3485" s="10" t="str">
        <f t="shared" si="392"/>
        <v>FALSE</v>
      </c>
      <c r="AM3485" s="10" t="str">
        <f t="shared" si="392"/>
        <v>FALSE</v>
      </c>
      <c r="AN3485" s="10" t="str">
        <f t="shared" si="392"/>
        <v>FALSE</v>
      </c>
      <c r="AO3485" s="10" t="str">
        <f t="shared" si="393"/>
        <v>FALSE</v>
      </c>
      <c r="AP3485" s="10" t="str">
        <f t="shared" si="393"/>
        <v>FALSE</v>
      </c>
      <c r="AQ3485" s="10" t="b">
        <f>IF(AND(I3485="TP",S3485&lt;=150),VLOOKUP(AF3485,TPCalibEq150!$AZ$2:$BB$55,3,),IF(AND(I3485="TDP",S3485&lt;=150),VLOOKUP(AF3485,TPCalibEq150!$AZ$2:$BB$55,3,)))</f>
        <v>0</v>
      </c>
      <c r="AR3485" s="10" t="b">
        <f>IF(AND(I3485="TP",S3485&lt;=300),VLOOKUP(AF3485,TPCalibEq300!$AZ$2:$BB$55,3,),IF(AND(I3485="TDP",S3485&lt;=300),VLOOKUP(AF3485,TPCalibEq300!$AZ$2:$BB$55,3,)))</f>
        <v>0</v>
      </c>
      <c r="AS3485" s="10" t="b">
        <f>IF(AND(I3485="TP",S3485&lt;=500),VLOOKUP(AF3485,TPCalibEq500!$AZ$2:$BB$56,3,),IF(AND(I3485="TDP",S3485&lt;=500),VLOOKUP(AF3485,TPCalibEq500!$AZ$2:$BB$56,3,)))</f>
        <v>0</v>
      </c>
      <c r="AT3485" s="10" t="b">
        <f>IF(AND(I3485="TN",S3485&lt;=2800),VLOOKUP(AF3485,TNCalibEq2500!$AZ$2:$BB$56,3,),IF(AND(I3485="TDN",S3485&lt;=2800),VLOOKUP(AF3485,TNCalibEq2500!$AZ$2:$BB$56,3,)))</f>
        <v>0</v>
      </c>
      <c r="AU3485" s="10" t="b">
        <f>IF(I3485="TP",VLOOKUP(AF3485,TPCalibEqFull!$AZ$2:$BB$56,3),IF(I3485="TDP",VLOOKUP(AF3485,TPCalibEqFull!$AZ$2:$BB$56,3),IF(I3485="TDN",VLOOKUP(AF3485,TNCalibEqFull!$AZ$1:$BB$56,3),IF(I3485="TN",VLOOKUP(AF3485,TNCalibEqFull!$AZ$1:$BB$56,3),FALSE))))</f>
        <v>0</v>
      </c>
      <c r="AV3485" s="10" t="str">
        <f t="shared" si="398"/>
        <v>0221 10:26:00-BUO-5-FIL-1-SW-UKN</v>
      </c>
    </row>
    <row r="3486" spans="1:48" s="10" customFormat="1" x14ac:dyDescent="0.55000000000000004">
      <c r="A3486" s="32">
        <v>44978</v>
      </c>
      <c r="B3486" s="33">
        <v>0.4368055555555555</v>
      </c>
      <c r="C3486" s="10" t="s">
        <v>611</v>
      </c>
      <c r="D3486" s="10">
        <v>10</v>
      </c>
      <c r="E3486" s="10" t="s">
        <v>911</v>
      </c>
      <c r="F3486" s="10">
        <v>1</v>
      </c>
      <c r="G3486" s="10" t="s">
        <v>231</v>
      </c>
      <c r="H3486" s="10" t="s">
        <v>322</v>
      </c>
      <c r="I3486" s="10" t="s">
        <v>183</v>
      </c>
      <c r="J3486" s="10">
        <v>78</v>
      </c>
      <c r="K3486" s="12">
        <v>44980</v>
      </c>
      <c r="L3486" s="33">
        <v>0.57221064814814815</v>
      </c>
      <c r="M3486" s="10">
        <v>1</v>
      </c>
      <c r="N3486" s="10" t="s">
        <v>76</v>
      </c>
      <c r="O3486" s="10">
        <v>1.01</v>
      </c>
      <c r="P3486" s="10">
        <v>8.14E-2</v>
      </c>
      <c r="Q3486" s="10">
        <v>63.3</v>
      </c>
      <c r="R3486" s="10" t="s">
        <v>77</v>
      </c>
      <c r="S3486" s="34">
        <f t="shared" si="395"/>
        <v>63.3</v>
      </c>
      <c r="T3486" s="10" t="s">
        <v>1260</v>
      </c>
      <c r="U3486" s="34" t="str">
        <f t="shared" si="396"/>
        <v/>
      </c>
      <c r="V3486" s="31" t="str">
        <f>IF(H3486="CHK",VLOOKUP(I3486,QCCHK,3,),IF(H3486="GUP",VLOOKUP(E3486,QCGUP,2,),IF(AND(H3486="ATP",OR(I3486="TN",I3486="TDN",I3486="TNO2-3",I3486="NO2-3")),VLOOKUP(E3486,QCREC_N,2,),IF(AND(H3486="NIC",OR(I3486="TN",I3486="TDN",I3486="TNO2-3",I3486="NO2-3")),VLOOKUP(E3486,QCNIC_N,2,),IF(AND(H3486="UREA",OR(I3486="TN",I3486="TDN",I3486="TNO2-3",I3486="NO2-3")),VLOOKUP(E3486,QCUREA_N,2,),IF(H3486="PER",VLOOKUP(I3486,QCPER,MATCH(E3486,QCACTUAL!$J$25:$AA$25,0),),IF(H3486="SPK",VLOOKUP(I3486,QCSPK,3,),IF(AND(H3486="ATP",OR(I3486="TP",I3486="TDP")),VLOOKUP(E3486,QCATP_P,2,),""))))))))</f>
        <v/>
      </c>
      <c r="W3486" s="31" t="str">
        <f t="shared" si="397"/>
        <v>TRUE</v>
      </c>
      <c r="X3486" s="31" t="str">
        <f t="shared" si="394"/>
        <v/>
      </c>
      <c r="Y3486" s="10" t="s">
        <v>1253</v>
      </c>
      <c r="AL3486" s="10" t="str">
        <f t="shared" si="392"/>
        <v>FALSE</v>
      </c>
      <c r="AM3486" s="10" t="str">
        <f t="shared" si="392"/>
        <v>FALSE</v>
      </c>
      <c r="AN3486" s="10" t="str">
        <f t="shared" si="392"/>
        <v>FALSE</v>
      </c>
      <c r="AO3486" s="10" t="str">
        <f t="shared" si="393"/>
        <v>FALSE</v>
      </c>
      <c r="AP3486" s="10" t="str">
        <f t="shared" si="393"/>
        <v>FALSE</v>
      </c>
      <c r="AQ3486" s="10" t="b">
        <f>IF(AND(I3486="TP",S3486&lt;=150),VLOOKUP(AF3486,TPCalibEq150!$AZ$2:$BB$55,3,),IF(AND(I3486="TDP",S3486&lt;=150),VLOOKUP(AF3486,TPCalibEq150!$AZ$2:$BB$55,3,)))</f>
        <v>0</v>
      </c>
      <c r="AR3486" s="10" t="b">
        <f>IF(AND(I3486="TP",S3486&lt;=300),VLOOKUP(AF3486,TPCalibEq300!$AZ$2:$BB$55,3,),IF(AND(I3486="TDP",S3486&lt;=300),VLOOKUP(AF3486,TPCalibEq300!$AZ$2:$BB$55,3,)))</f>
        <v>0</v>
      </c>
      <c r="AS3486" s="10" t="b">
        <f>IF(AND(I3486="TP",S3486&lt;=500),VLOOKUP(AF3486,TPCalibEq500!$AZ$2:$BB$56,3,),IF(AND(I3486="TDP",S3486&lt;=500),VLOOKUP(AF3486,TPCalibEq500!$AZ$2:$BB$56,3,)))</f>
        <v>0</v>
      </c>
      <c r="AT3486" s="10" t="b">
        <f>IF(AND(I3486="TN",S3486&lt;=2800),VLOOKUP(AF3486,TNCalibEq2500!$AZ$2:$BB$56,3,),IF(AND(I3486="TDN",S3486&lt;=2800),VLOOKUP(AF3486,TNCalibEq2500!$AZ$2:$BB$56,3,)))</f>
        <v>0</v>
      </c>
      <c r="AU3486" s="10" t="b">
        <f>IF(I3486="TP",VLOOKUP(AF3486,TPCalibEqFull!$AZ$2:$BB$56,3),IF(I3486="TDP",VLOOKUP(AF3486,TPCalibEqFull!$AZ$2:$BB$56,3),IF(I3486="TDN",VLOOKUP(AF3486,TNCalibEqFull!$AZ$1:$BB$56,3),IF(I3486="TN",VLOOKUP(AF3486,TNCalibEqFull!$AZ$1:$BB$56,3),FALSE))))</f>
        <v>0</v>
      </c>
      <c r="AV3486" s="10" t="str">
        <f t="shared" si="398"/>
        <v>0221 10:29:00-BUO-10-FIL-1-SW-UKN</v>
      </c>
    </row>
    <row r="3487" spans="1:48" s="10" customFormat="1" x14ac:dyDescent="0.55000000000000004">
      <c r="A3487" s="32">
        <v>44978</v>
      </c>
      <c r="B3487" s="33">
        <v>0.43958333333333338</v>
      </c>
      <c r="C3487" s="10" t="s">
        <v>611</v>
      </c>
      <c r="D3487" s="10">
        <v>20</v>
      </c>
      <c r="E3487" s="10" t="s">
        <v>911</v>
      </c>
      <c r="F3487" s="10">
        <v>1</v>
      </c>
      <c r="G3487" s="10" t="s">
        <v>231</v>
      </c>
      <c r="H3487" s="10" t="s">
        <v>322</v>
      </c>
      <c r="I3487" s="10" t="s">
        <v>183</v>
      </c>
      <c r="J3487" s="10">
        <v>79</v>
      </c>
      <c r="K3487" s="12">
        <v>44980</v>
      </c>
      <c r="L3487" s="33">
        <v>0.57303240740740746</v>
      </c>
      <c r="M3487" s="10">
        <v>1</v>
      </c>
      <c r="N3487" s="10" t="s">
        <v>76</v>
      </c>
      <c r="O3487" s="10">
        <v>1.1000000000000001</v>
      </c>
      <c r="P3487" s="10">
        <v>8.7999999999999995E-2</v>
      </c>
      <c r="Q3487" s="10">
        <v>69</v>
      </c>
      <c r="R3487" s="10" t="s">
        <v>77</v>
      </c>
      <c r="S3487" s="34">
        <f t="shared" si="395"/>
        <v>69</v>
      </c>
      <c r="T3487" s="10" t="s">
        <v>1260</v>
      </c>
      <c r="U3487" s="34" t="str">
        <f t="shared" si="396"/>
        <v/>
      </c>
      <c r="V3487" s="31" t="str">
        <f>IF(H3487="CHK",VLOOKUP(I3487,QCCHK,3,),IF(H3487="GUP",VLOOKUP(E3487,QCGUP,2,),IF(AND(H3487="ATP",OR(I3487="TN",I3487="TDN",I3487="TNO2-3",I3487="NO2-3")),VLOOKUP(E3487,QCREC_N,2,),IF(AND(H3487="NIC",OR(I3487="TN",I3487="TDN",I3487="TNO2-3",I3487="NO2-3")),VLOOKUP(E3487,QCNIC_N,2,),IF(AND(H3487="UREA",OR(I3487="TN",I3487="TDN",I3487="TNO2-3",I3487="NO2-3")),VLOOKUP(E3487,QCUREA_N,2,),IF(H3487="PER",VLOOKUP(I3487,QCPER,MATCH(E3487,QCACTUAL!$J$25:$AA$25,0),),IF(H3487="SPK",VLOOKUP(I3487,QCSPK,3,),IF(AND(H3487="ATP",OR(I3487="TP",I3487="TDP")),VLOOKUP(E3487,QCATP_P,2,),""))))))))</f>
        <v/>
      </c>
      <c r="W3487" s="31" t="str">
        <f t="shared" si="397"/>
        <v>TRUE</v>
      </c>
      <c r="X3487" s="31" t="str">
        <f t="shared" si="394"/>
        <v/>
      </c>
      <c r="Y3487" s="10" t="s">
        <v>1253</v>
      </c>
      <c r="AL3487" s="10" t="str">
        <f t="shared" si="392"/>
        <v>FALSE</v>
      </c>
      <c r="AM3487" s="10" t="str">
        <f t="shared" si="392"/>
        <v>FALSE</v>
      </c>
      <c r="AN3487" s="10" t="str">
        <f t="shared" si="392"/>
        <v>FALSE</v>
      </c>
      <c r="AO3487" s="10" t="str">
        <f t="shared" si="393"/>
        <v>FALSE</v>
      </c>
      <c r="AP3487" s="10" t="str">
        <f t="shared" si="393"/>
        <v>FALSE</v>
      </c>
      <c r="AQ3487" s="10" t="b">
        <f>IF(AND(I3487="TP",S3487&lt;=150),VLOOKUP(AF3487,TPCalibEq150!$AZ$2:$BB$55,3,),IF(AND(I3487="TDP",S3487&lt;=150),VLOOKUP(AF3487,TPCalibEq150!$AZ$2:$BB$55,3,)))</f>
        <v>0</v>
      </c>
      <c r="AR3487" s="10" t="b">
        <f>IF(AND(I3487="TP",S3487&lt;=300),VLOOKUP(AF3487,TPCalibEq300!$AZ$2:$BB$55,3,),IF(AND(I3487="TDP",S3487&lt;=300),VLOOKUP(AF3487,TPCalibEq300!$AZ$2:$BB$55,3,)))</f>
        <v>0</v>
      </c>
      <c r="AS3487" s="10" t="b">
        <f>IF(AND(I3487="TP",S3487&lt;=500),VLOOKUP(AF3487,TPCalibEq500!$AZ$2:$BB$56,3,),IF(AND(I3487="TDP",S3487&lt;=500),VLOOKUP(AF3487,TPCalibEq500!$AZ$2:$BB$56,3,)))</f>
        <v>0</v>
      </c>
      <c r="AT3487" s="10" t="b">
        <f>IF(AND(I3487="TN",S3487&lt;=2800),VLOOKUP(AF3487,TNCalibEq2500!$AZ$2:$BB$56,3,),IF(AND(I3487="TDN",S3487&lt;=2800),VLOOKUP(AF3487,TNCalibEq2500!$AZ$2:$BB$56,3,)))</f>
        <v>0</v>
      </c>
      <c r="AU3487" s="10" t="b">
        <f>IF(I3487="TP",VLOOKUP(AF3487,TPCalibEqFull!$AZ$2:$BB$56,3),IF(I3487="TDP",VLOOKUP(AF3487,TPCalibEqFull!$AZ$2:$BB$56,3),IF(I3487="TDN",VLOOKUP(AF3487,TNCalibEqFull!$AZ$1:$BB$56,3),IF(I3487="TN",VLOOKUP(AF3487,TNCalibEqFull!$AZ$1:$BB$56,3),FALSE))))</f>
        <v>0</v>
      </c>
      <c r="AV3487" s="10" t="str">
        <f t="shared" si="398"/>
        <v>0221 10:33:00-BUO-20-FIL-1-SW-UKN</v>
      </c>
    </row>
    <row r="3488" spans="1:48" s="10" customFormat="1" x14ac:dyDescent="0.55000000000000004">
      <c r="A3488" s="32">
        <v>44978</v>
      </c>
      <c r="B3488" s="33">
        <v>0.44375000000000003</v>
      </c>
      <c r="C3488" s="10" t="s">
        <v>611</v>
      </c>
      <c r="D3488" s="10">
        <v>48</v>
      </c>
      <c r="E3488" s="10" t="s">
        <v>911</v>
      </c>
      <c r="F3488" s="10">
        <v>1</v>
      </c>
      <c r="G3488" s="10" t="s">
        <v>231</v>
      </c>
      <c r="H3488" s="10" t="s">
        <v>322</v>
      </c>
      <c r="I3488" s="10" t="s">
        <v>183</v>
      </c>
      <c r="J3488" s="10">
        <v>80</v>
      </c>
      <c r="K3488" s="12">
        <v>44980</v>
      </c>
      <c r="L3488" s="33">
        <v>0.57384259259259263</v>
      </c>
      <c r="M3488" s="10">
        <v>1</v>
      </c>
      <c r="N3488" s="10" t="s">
        <v>76</v>
      </c>
      <c r="O3488" s="10">
        <v>1.1599999999999999</v>
      </c>
      <c r="P3488" s="10">
        <v>9.2999999999999999E-2</v>
      </c>
      <c r="Q3488" s="10">
        <v>72.7</v>
      </c>
      <c r="R3488" s="10" t="s">
        <v>77</v>
      </c>
      <c r="S3488" s="34">
        <f t="shared" si="395"/>
        <v>72.7</v>
      </c>
      <c r="T3488" s="10" t="s">
        <v>1260</v>
      </c>
      <c r="U3488" s="34" t="str">
        <f t="shared" si="396"/>
        <v/>
      </c>
      <c r="V3488" s="31" t="str">
        <f>IF(H3488="CHK",VLOOKUP(I3488,QCCHK,3,),IF(H3488="GUP",VLOOKUP(E3488,QCGUP,2,),IF(AND(H3488="ATP",OR(I3488="TN",I3488="TDN",I3488="TNO2-3",I3488="NO2-3")),VLOOKUP(E3488,QCREC_N,2,),IF(AND(H3488="NIC",OR(I3488="TN",I3488="TDN",I3488="TNO2-3",I3488="NO2-3")),VLOOKUP(E3488,QCNIC_N,2,),IF(AND(H3488="UREA",OR(I3488="TN",I3488="TDN",I3488="TNO2-3",I3488="NO2-3")),VLOOKUP(E3488,QCUREA_N,2,),IF(H3488="PER",VLOOKUP(I3488,QCPER,MATCH(E3488,QCACTUAL!$J$25:$AA$25,0),),IF(H3488="SPK",VLOOKUP(I3488,QCSPK,3,),IF(AND(H3488="ATP",OR(I3488="TP",I3488="TDP")),VLOOKUP(E3488,QCATP_P,2,),""))))))))</f>
        <v/>
      </c>
      <c r="W3488" s="31" t="str">
        <f t="shared" si="397"/>
        <v>TRUE</v>
      </c>
      <c r="X3488" s="31" t="str">
        <f t="shared" si="394"/>
        <v/>
      </c>
      <c r="Y3488" s="10" t="s">
        <v>1253</v>
      </c>
      <c r="AL3488" s="10" t="str">
        <f t="shared" si="392"/>
        <v>FALSE</v>
      </c>
      <c r="AM3488" s="10" t="str">
        <f t="shared" si="392"/>
        <v>FALSE</v>
      </c>
      <c r="AN3488" s="10" t="str">
        <f t="shared" si="392"/>
        <v>FALSE</v>
      </c>
      <c r="AO3488" s="10" t="str">
        <f t="shared" si="393"/>
        <v>FALSE</v>
      </c>
      <c r="AP3488" s="10" t="str">
        <f t="shared" si="393"/>
        <v>FALSE</v>
      </c>
      <c r="AQ3488" s="10" t="b">
        <f>IF(AND(I3488="TP",S3488&lt;=150),VLOOKUP(AF3488,TPCalibEq150!$AZ$2:$BB$55,3,),IF(AND(I3488="TDP",S3488&lt;=150),VLOOKUP(AF3488,TPCalibEq150!$AZ$2:$BB$55,3,)))</f>
        <v>0</v>
      </c>
      <c r="AR3488" s="10" t="b">
        <f>IF(AND(I3488="TP",S3488&lt;=300),VLOOKUP(AF3488,TPCalibEq300!$AZ$2:$BB$55,3,),IF(AND(I3488="TDP",S3488&lt;=300),VLOOKUP(AF3488,TPCalibEq300!$AZ$2:$BB$55,3,)))</f>
        <v>0</v>
      </c>
      <c r="AS3488" s="10" t="b">
        <f>IF(AND(I3488="TP",S3488&lt;=500),VLOOKUP(AF3488,TPCalibEq500!$AZ$2:$BB$56,3,),IF(AND(I3488="TDP",S3488&lt;=500),VLOOKUP(AF3488,TPCalibEq500!$AZ$2:$BB$56,3,)))</f>
        <v>0</v>
      </c>
      <c r="AT3488" s="10" t="b">
        <f>IF(AND(I3488="TN",S3488&lt;=2800),VLOOKUP(AF3488,TNCalibEq2500!$AZ$2:$BB$56,3,),IF(AND(I3488="TDN",S3488&lt;=2800),VLOOKUP(AF3488,TNCalibEq2500!$AZ$2:$BB$56,3,)))</f>
        <v>0</v>
      </c>
      <c r="AU3488" s="10" t="b">
        <f>IF(I3488="TP",VLOOKUP(AF3488,TPCalibEqFull!$AZ$2:$BB$56,3),IF(I3488="TDP",VLOOKUP(AF3488,TPCalibEqFull!$AZ$2:$BB$56,3),IF(I3488="TDN",VLOOKUP(AF3488,TNCalibEqFull!$AZ$1:$BB$56,3),IF(I3488="TN",VLOOKUP(AF3488,TNCalibEqFull!$AZ$1:$BB$56,3),FALSE))))</f>
        <v>0</v>
      </c>
      <c r="AV3488" s="10" t="str">
        <f t="shared" si="398"/>
        <v>0221 10:39:00-BUO-48-FIL-1-SW-UKN</v>
      </c>
    </row>
    <row r="3489" spans="1:48" s="10" customFormat="1" x14ac:dyDescent="0.55000000000000004">
      <c r="A3489" s="32">
        <v>44978</v>
      </c>
      <c r="B3489" s="33">
        <v>0.44375000000000003</v>
      </c>
      <c r="C3489" s="10" t="s">
        <v>611</v>
      </c>
      <c r="D3489" s="10">
        <v>48</v>
      </c>
      <c r="E3489" s="10" t="s">
        <v>911</v>
      </c>
      <c r="F3489" s="10">
        <v>1</v>
      </c>
      <c r="G3489" s="10" t="s">
        <v>231</v>
      </c>
      <c r="H3489" s="10" t="s">
        <v>233</v>
      </c>
      <c r="I3489" s="10" t="s">
        <v>183</v>
      </c>
      <c r="J3489" s="10">
        <v>80</v>
      </c>
      <c r="K3489" s="12">
        <v>44980</v>
      </c>
      <c r="L3489" s="33">
        <v>0.57466435185185183</v>
      </c>
      <c r="M3489" s="10">
        <v>1</v>
      </c>
      <c r="N3489" s="10" t="s">
        <v>76</v>
      </c>
      <c r="O3489" s="10">
        <v>1.19</v>
      </c>
      <c r="P3489" s="10">
        <v>9.4100000000000003E-2</v>
      </c>
      <c r="Q3489" s="10">
        <v>74.900000000000006</v>
      </c>
      <c r="R3489" s="10" t="s">
        <v>77</v>
      </c>
      <c r="S3489" s="34">
        <f t="shared" si="395"/>
        <v>74.900000000000006</v>
      </c>
      <c r="T3489" s="10" t="s">
        <v>1260</v>
      </c>
      <c r="U3489" s="34">
        <f t="shared" si="396"/>
        <v>2.9810298102981063</v>
      </c>
      <c r="V3489" s="31" t="str">
        <f>IF(H3489="CHK",VLOOKUP(I3489,QCCHK,3,),IF(H3489="GUP",VLOOKUP(E3489,QCGUP,2,),IF(AND(H3489="ATP",OR(I3489="TN",I3489="TDN",I3489="TNO2-3",I3489="NO2-3")),VLOOKUP(E3489,QCREC_N,2,),IF(AND(H3489="NIC",OR(I3489="TN",I3489="TDN",I3489="TNO2-3",I3489="NO2-3")),VLOOKUP(E3489,QCNIC_N,2,),IF(AND(H3489="UREA",OR(I3489="TN",I3489="TDN",I3489="TNO2-3",I3489="NO2-3")),VLOOKUP(E3489,QCUREA_N,2,),IF(H3489="PER",VLOOKUP(I3489,QCPER,MATCH(E3489,QCACTUAL!$J$25:$AA$25,0),),IF(H3489="SPK",VLOOKUP(I3489,QCSPK,3,),IF(AND(H3489="ATP",OR(I3489="TP",I3489="TDP")),VLOOKUP(E3489,QCATP_P,2,),""))))))))</f>
        <v/>
      </c>
      <c r="W3489" s="31" t="str">
        <f t="shared" si="397"/>
        <v>TRUE</v>
      </c>
      <c r="X3489" s="31" t="str">
        <f t="shared" si="394"/>
        <v>((ABS(rep1-rep2))/((rep1+rep2)/2)*100</v>
      </c>
      <c r="Y3489" s="10" t="s">
        <v>1253</v>
      </c>
      <c r="AL3489" s="10" t="str">
        <f t="shared" si="392"/>
        <v>FALSE</v>
      </c>
      <c r="AM3489" s="10" t="str">
        <f t="shared" si="392"/>
        <v>FALSE</v>
      </c>
      <c r="AN3489" s="10" t="str">
        <f t="shared" si="392"/>
        <v>FALSE</v>
      </c>
      <c r="AO3489" s="10" t="str">
        <f t="shared" si="393"/>
        <v>FALSE</v>
      </c>
      <c r="AP3489" s="10" t="str">
        <f t="shared" si="393"/>
        <v>FALSE</v>
      </c>
      <c r="AQ3489" s="10" t="b">
        <f>IF(AND(I3489="TP",S3489&lt;=150),VLOOKUP(AF3489,TPCalibEq150!$AZ$2:$BB$55,3,),IF(AND(I3489="TDP",S3489&lt;=150),VLOOKUP(AF3489,TPCalibEq150!$AZ$2:$BB$55,3,)))</f>
        <v>0</v>
      </c>
      <c r="AR3489" s="10" t="b">
        <f>IF(AND(I3489="TP",S3489&lt;=300),VLOOKUP(AF3489,TPCalibEq300!$AZ$2:$BB$55,3,),IF(AND(I3489="TDP",S3489&lt;=300),VLOOKUP(AF3489,TPCalibEq300!$AZ$2:$BB$55,3,)))</f>
        <v>0</v>
      </c>
      <c r="AS3489" s="10" t="b">
        <f>IF(AND(I3489="TP",S3489&lt;=500),VLOOKUP(AF3489,TPCalibEq500!$AZ$2:$BB$56,3,),IF(AND(I3489="TDP",S3489&lt;=500),VLOOKUP(AF3489,TPCalibEq500!$AZ$2:$BB$56,3,)))</f>
        <v>0</v>
      </c>
      <c r="AT3489" s="10" t="b">
        <f>IF(AND(I3489="TN",S3489&lt;=2800),VLOOKUP(AF3489,TNCalibEq2500!$AZ$2:$BB$56,3,),IF(AND(I3489="TDN",S3489&lt;=2800),VLOOKUP(AF3489,TNCalibEq2500!$AZ$2:$BB$56,3,)))</f>
        <v>0</v>
      </c>
      <c r="AU3489" s="10" t="b">
        <f>IF(I3489="TP",VLOOKUP(AF3489,TPCalibEqFull!$AZ$2:$BB$56,3),IF(I3489="TDP",VLOOKUP(AF3489,TPCalibEqFull!$AZ$2:$BB$56,3),IF(I3489="TDN",VLOOKUP(AF3489,TNCalibEqFull!$AZ$1:$BB$56,3),IF(I3489="TN",VLOOKUP(AF3489,TNCalibEqFull!$AZ$1:$BB$56,3),FALSE))))</f>
        <v>0</v>
      </c>
      <c r="AV3489" s="10" t="str">
        <f t="shared" si="398"/>
        <v>0221 10:39:00-BUO-48-FIL-1-SW-DUP</v>
      </c>
    </row>
    <row r="3490" spans="1:48" s="10" customFormat="1" x14ac:dyDescent="0.55000000000000004">
      <c r="A3490" s="32">
        <v>44978</v>
      </c>
      <c r="B3490" s="33">
        <v>0.44375000000000003</v>
      </c>
      <c r="C3490" s="10" t="s">
        <v>611</v>
      </c>
      <c r="D3490" s="10">
        <v>48</v>
      </c>
      <c r="E3490" s="10" t="s">
        <v>911</v>
      </c>
      <c r="F3490" s="10">
        <v>1</v>
      </c>
      <c r="G3490" s="10" t="s">
        <v>231</v>
      </c>
      <c r="H3490" s="10" t="s">
        <v>314</v>
      </c>
      <c r="I3490" s="10" t="s">
        <v>183</v>
      </c>
      <c r="J3490" s="10">
        <v>90</v>
      </c>
      <c r="K3490" s="12">
        <v>44980</v>
      </c>
      <c r="L3490" s="33">
        <v>0.57547453703703699</v>
      </c>
      <c r="M3490" s="10">
        <v>1</v>
      </c>
      <c r="N3490" s="10" t="s">
        <v>76</v>
      </c>
      <c r="O3490" s="10">
        <v>12.5</v>
      </c>
      <c r="P3490" s="10">
        <v>0.999</v>
      </c>
      <c r="Q3490" s="10">
        <v>773</v>
      </c>
      <c r="R3490" s="10" t="s">
        <v>77</v>
      </c>
      <c r="S3490" s="34">
        <f t="shared" si="395"/>
        <v>773</v>
      </c>
      <c r="T3490" s="10" t="s">
        <v>1260</v>
      </c>
      <c r="U3490" s="34">
        <f t="shared" si="396"/>
        <v>111.696</v>
      </c>
      <c r="V3490" s="31">
        <f>IF(H3490="CHK",VLOOKUP(I3490,QCCHK,3,),IF(H3490="GUP",VLOOKUP(E3490,QCGUP,2,),IF(AND(H3490="ATP",OR(I3490="TN",I3490="TDN",I3490="TNO2-3",I3490="NO2-3")),VLOOKUP(E3490,QCREC_N,2,),IF(AND(H3490="NIC",OR(I3490="TN",I3490="TDN",I3490="TNO2-3",I3490="NO2-3")),VLOOKUP(E3490,QCNIC_N,2,),IF(AND(H3490="UREA",OR(I3490="TN",I3490="TDN",I3490="TNO2-3",I3490="NO2-3")),VLOOKUP(E3490,QCUREA_N,2,),IF(H3490="PER",VLOOKUP(I3490,QCPER,MATCH(E3490,QCACTUAL!$J$25:$AA$25,0),),IF(H3490="SPK",VLOOKUP(I3490,QCSPK,3,),IF(AND(H3490="ATP",OR(I3490="TP",I3490="TDP")),VLOOKUP(E3490,QCATP_P,2,),""))))))))</f>
        <v>625</v>
      </c>
      <c r="W3490" s="31" t="str">
        <f t="shared" si="397"/>
        <v>TRUE</v>
      </c>
      <c r="X3490" s="31" t="str">
        <f t="shared" si="394"/>
        <v>([spikedunkn]-[unkn])/[spike]*100</v>
      </c>
      <c r="Y3490" s="10" t="s">
        <v>1253</v>
      </c>
      <c r="AL3490" s="10" t="str">
        <f t="shared" si="392"/>
        <v>FALSE</v>
      </c>
      <c r="AM3490" s="10" t="str">
        <f t="shared" si="392"/>
        <v>FALSE</v>
      </c>
      <c r="AN3490" s="10" t="str">
        <f t="shared" si="392"/>
        <v>FALSE</v>
      </c>
      <c r="AO3490" s="10" t="str">
        <f t="shared" si="393"/>
        <v>FALSE</v>
      </c>
      <c r="AP3490" s="10" t="str">
        <f t="shared" si="393"/>
        <v>FALSE</v>
      </c>
      <c r="AQ3490" s="10" t="b">
        <f>IF(AND(I3490="TP",S3490&lt;=150),VLOOKUP(AF3490,TPCalibEq150!$AZ$2:$BB$55,3,),IF(AND(I3490="TDP",S3490&lt;=150),VLOOKUP(AF3490,TPCalibEq150!$AZ$2:$BB$55,3,)))</f>
        <v>0</v>
      </c>
      <c r="AR3490" s="10" t="b">
        <f>IF(AND(I3490="TP",S3490&lt;=300),VLOOKUP(AF3490,TPCalibEq300!$AZ$2:$BB$55,3,),IF(AND(I3490="TDP",S3490&lt;=300),VLOOKUP(AF3490,TPCalibEq300!$AZ$2:$BB$55,3,)))</f>
        <v>0</v>
      </c>
      <c r="AS3490" s="10" t="b">
        <f>IF(AND(I3490="TP",S3490&lt;=500),VLOOKUP(AF3490,TPCalibEq500!$AZ$2:$BB$56,3,),IF(AND(I3490="TDP",S3490&lt;=500),VLOOKUP(AF3490,TPCalibEq500!$AZ$2:$BB$56,3,)))</f>
        <v>0</v>
      </c>
      <c r="AT3490" s="10" t="b">
        <f>IF(AND(I3490="TN",S3490&lt;=2800),VLOOKUP(AF3490,TNCalibEq2500!$AZ$2:$BB$56,3,),IF(AND(I3490="TDN",S3490&lt;=2800),VLOOKUP(AF3490,TNCalibEq2500!$AZ$2:$BB$56,3,)))</f>
        <v>0</v>
      </c>
      <c r="AU3490" s="10" t="b">
        <f>IF(I3490="TP",VLOOKUP(AF3490,TPCalibEqFull!$AZ$2:$BB$56,3),IF(I3490="TDP",VLOOKUP(AF3490,TPCalibEqFull!$AZ$2:$BB$56,3),IF(I3490="TDN",VLOOKUP(AF3490,TNCalibEqFull!$AZ$1:$BB$56,3),IF(I3490="TN",VLOOKUP(AF3490,TNCalibEqFull!$AZ$1:$BB$56,3),FALSE))))</f>
        <v>0</v>
      </c>
      <c r="AV3490" s="10" t="str">
        <f t="shared" si="398"/>
        <v>0221 10:39:00-BUO-48-FIL-1-SW-SPK</v>
      </c>
    </row>
    <row r="3491" spans="1:48" s="10" customFormat="1" x14ac:dyDescent="0.55000000000000004">
      <c r="A3491" s="32">
        <v>44979</v>
      </c>
      <c r="B3491" s="33">
        <v>0.375</v>
      </c>
      <c r="C3491" s="10" t="s">
        <v>70</v>
      </c>
      <c r="D3491" s="10" t="s">
        <v>71</v>
      </c>
      <c r="E3491" s="10" t="s">
        <v>901</v>
      </c>
      <c r="F3491" s="10">
        <v>1</v>
      </c>
      <c r="G3491" s="10" t="s">
        <v>73</v>
      </c>
      <c r="H3491" s="10" t="s">
        <v>207</v>
      </c>
      <c r="I3491" s="10" t="s">
        <v>75</v>
      </c>
      <c r="J3491" s="10">
        <v>203</v>
      </c>
      <c r="K3491" s="12">
        <v>44980</v>
      </c>
      <c r="L3491" s="33">
        <v>0.57630787037037035</v>
      </c>
      <c r="M3491" s="10">
        <v>1</v>
      </c>
      <c r="N3491" s="10" t="s">
        <v>76</v>
      </c>
      <c r="O3491" s="10">
        <v>4.83</v>
      </c>
      <c r="P3491" s="10">
        <v>0.38800000000000001</v>
      </c>
      <c r="Q3491" s="10">
        <v>302</v>
      </c>
      <c r="R3491" s="10" t="s">
        <v>77</v>
      </c>
      <c r="S3491" s="34">
        <f t="shared" si="395"/>
        <v>302</v>
      </c>
      <c r="T3491" s="10" t="s">
        <v>1260</v>
      </c>
      <c r="U3491" s="34">
        <f t="shared" si="396"/>
        <v>100.66666666666666</v>
      </c>
      <c r="V3491" s="31">
        <f>IF(H3491="CHK",VLOOKUP(I3491,QCCHK,3,),IF(H3491="GUP",VLOOKUP(E3491,QCGUP,2,),IF(AND(H3491="ATP",OR(I3491="TN",I3491="TDN",I3491="TNO2-3",I3491="NO2-3")),VLOOKUP(E3491,QCREC_N,2,),IF(AND(H3491="NIC",OR(I3491="TN",I3491="TDN",I3491="TNO2-3",I3491="NO2-3")),VLOOKUP(E3491,QCNIC_N,2,),IF(AND(H3491="UREA",OR(I3491="TN",I3491="TDN",I3491="TNO2-3",I3491="NO2-3")),VLOOKUP(E3491,QCUREA_N,2,),IF(H3491="PER",VLOOKUP(I3491,QCPER,MATCH(E3491,QCACTUAL!$J$25:$AA$25,0),),IF(H3491="SPK",VLOOKUP(I3491,QCSPK,3,),IF(AND(H3491="ATP",OR(I3491="TP",I3491="TDP")),VLOOKUP(E3491,QCATP_P,2,),""))))))))</f>
        <v>300</v>
      </c>
      <c r="W3491" s="31" t="str">
        <f t="shared" si="397"/>
        <v>TRUE</v>
      </c>
      <c r="X3491" s="31" t="str">
        <f t="shared" si="394"/>
        <v>[chk]/[actual]*100</v>
      </c>
      <c r="Y3491" s="10" t="s">
        <v>1253</v>
      </c>
      <c r="AL3491" s="10" t="str">
        <f t="shared" si="392"/>
        <v>FALSE</v>
      </c>
      <c r="AM3491" s="10" t="str">
        <f t="shared" si="392"/>
        <v>FALSE</v>
      </c>
      <c r="AN3491" s="10" t="str">
        <f t="shared" si="392"/>
        <v>FALSE</v>
      </c>
      <c r="AO3491" s="10" t="str">
        <f t="shared" si="393"/>
        <v>FALSE</v>
      </c>
      <c r="AP3491" s="10" t="str">
        <f t="shared" si="393"/>
        <v>FALSE</v>
      </c>
      <c r="AQ3491" s="10" t="b">
        <f>IF(AND(I3491="TP",S3491&lt;=150),VLOOKUP(AF3491,TPCalibEq150!$AZ$2:$BB$55,3,),IF(AND(I3491="TDP",S3491&lt;=150),VLOOKUP(AF3491,TPCalibEq150!$AZ$2:$BB$55,3,)))</f>
        <v>0</v>
      </c>
      <c r="AR3491" s="10" t="b">
        <f>IF(AND(I3491="TP",S3491&lt;=300),VLOOKUP(AF3491,TPCalibEq300!$AZ$2:$BB$55,3,),IF(AND(I3491="TDP",S3491&lt;=300),VLOOKUP(AF3491,TPCalibEq300!$AZ$2:$BB$55,3,)))</f>
        <v>0</v>
      </c>
      <c r="AS3491" s="10" t="b">
        <f>IF(AND(I3491="TP",S3491&lt;=500),VLOOKUP(AF3491,TPCalibEq500!$AZ$2:$BB$56,3,),IF(AND(I3491="TDP",S3491&lt;=500),VLOOKUP(AF3491,TPCalibEq500!$AZ$2:$BB$56,3,)))</f>
        <v>0</v>
      </c>
      <c r="AT3491" s="10" t="b">
        <f>IF(AND(I3491="TN",S3491&lt;=2800),VLOOKUP(AF3491,TNCalibEq2500!$AZ$2:$BB$56,3,),IF(AND(I3491="TDN",S3491&lt;=2800),VLOOKUP(AF3491,TNCalibEq2500!$AZ$2:$BB$56,3,)))</f>
        <v>0</v>
      </c>
      <c r="AU3491" s="10" t="b">
        <f>IF(I3491="TP",VLOOKUP(AF3491,TPCalibEqFull!$AZ$2:$BB$56,3),IF(I3491="TDP",VLOOKUP(AF3491,TPCalibEqFull!$AZ$2:$BB$56,3),IF(I3491="TDN",VLOOKUP(AF3491,TNCalibEqFull!$AZ$1:$BB$56,3),IF(I3491="TN",VLOOKUP(AF3491,TNCalibEqFull!$AZ$1:$BB$56,3),FALSE))))</f>
        <v>0</v>
      </c>
      <c r="AV3491" s="10" t="str">
        <f t="shared" si="398"/>
        <v>0222 09:00:00-QAC-STD-D-1-DI-CHK</v>
      </c>
    </row>
    <row r="3492" spans="1:48" s="10" customFormat="1" x14ac:dyDescent="0.55000000000000004">
      <c r="A3492" s="32">
        <v>44979</v>
      </c>
      <c r="B3492" s="33">
        <v>0.375</v>
      </c>
      <c r="C3492" s="10" t="s">
        <v>70</v>
      </c>
      <c r="D3492" s="10" t="s">
        <v>71</v>
      </c>
      <c r="E3492" s="10" t="s">
        <v>72</v>
      </c>
      <c r="F3492" s="10">
        <v>1</v>
      </c>
      <c r="G3492" s="10" t="s">
        <v>73</v>
      </c>
      <c r="H3492" s="10" t="s">
        <v>74</v>
      </c>
      <c r="I3492" s="10" t="s">
        <v>285</v>
      </c>
      <c r="J3492" s="10">
        <v>181</v>
      </c>
      <c r="K3492" s="12">
        <v>44980</v>
      </c>
      <c r="L3492" s="33">
        <v>0.47081018518518519</v>
      </c>
      <c r="M3492" s="10">
        <v>1</v>
      </c>
      <c r="N3492" s="10" t="s">
        <v>211</v>
      </c>
      <c r="O3492" s="10">
        <v>1.5100000000000001E-2</v>
      </c>
      <c r="P3492" s="10">
        <v>9.2599999999999996E-4</v>
      </c>
      <c r="Q3492" s="10">
        <v>0</v>
      </c>
      <c r="R3492" s="10" t="s">
        <v>913</v>
      </c>
      <c r="S3492" s="34">
        <f t="shared" si="395"/>
        <v>0</v>
      </c>
      <c r="T3492" s="10" t="s">
        <v>914</v>
      </c>
      <c r="U3492" s="34" t="str">
        <f t="shared" si="396"/>
        <v/>
      </c>
      <c r="V3492" s="31" t="str">
        <f>IF(H3492="CHK",VLOOKUP(I3492,QCCHK,3,),IF(H3492="GUP",VLOOKUP(E3492,QCGUP,2,),IF(AND(H3492="ATP",OR(I3492="TN",I3492="TDN",I3492="TNO2-3",I3492="NO2-3")),VLOOKUP(E3492,QCREC_N,2,),IF(AND(H3492="NIC",OR(I3492="TN",I3492="TDN",I3492="TNO2-3",I3492="NO2-3")),VLOOKUP(E3492,QCNIC_N,2,),IF(AND(H3492="UREA",OR(I3492="TN",I3492="TDN",I3492="TNO2-3",I3492="NO2-3")),VLOOKUP(E3492,QCUREA_N,2,),IF(H3492="PER",VLOOKUP(I3492,QCPER,MATCH(E3492,QCACTUAL!$J$25:$AA$25,0),),IF(H3492="SPK",VLOOKUP(I3492,QCSPK,3,),IF(AND(H3492="ATP",OR(I3492="TP",I3492="TDP")),VLOOKUP(E3492,QCATP_P,2,),""))))))))</f>
        <v/>
      </c>
      <c r="W3492" s="31" t="str">
        <f t="shared" si="397"/>
        <v>TRUE</v>
      </c>
      <c r="X3492" s="31" t="str">
        <f t="shared" si="394"/>
        <v/>
      </c>
      <c r="Y3492" s="10" t="s">
        <v>1253</v>
      </c>
      <c r="AL3492" s="10" t="str">
        <f t="shared" si="392"/>
        <v>FALSE</v>
      </c>
      <c r="AM3492" s="10" t="str">
        <f t="shared" si="392"/>
        <v>FALSE</v>
      </c>
      <c r="AN3492" s="10" t="str">
        <f t="shared" si="392"/>
        <v>FALSE</v>
      </c>
      <c r="AO3492" s="10" t="str">
        <f t="shared" si="393"/>
        <v>FALSE</v>
      </c>
      <c r="AP3492" s="10" t="str">
        <f t="shared" si="393"/>
        <v>FALSE</v>
      </c>
      <c r="AQ3492" s="10" t="b">
        <f>IF(AND(I3492="TP",S3492&lt;=150),VLOOKUP(AF3492,TPCalibEq150!$AZ$2:$BB$55,3,),IF(AND(I3492="TDP",S3492&lt;=150),VLOOKUP(AF3492,TPCalibEq150!$AZ$2:$BB$55,3,)))</f>
        <v>0</v>
      </c>
      <c r="AR3492" s="10" t="b">
        <f>IF(AND(I3492="TP",S3492&lt;=300),VLOOKUP(AF3492,TPCalibEq300!$AZ$2:$BB$55,3,),IF(AND(I3492="TDP",S3492&lt;=300),VLOOKUP(AF3492,TPCalibEq300!$AZ$2:$BB$55,3,)))</f>
        <v>0</v>
      </c>
      <c r="AS3492" s="10" t="b">
        <f>IF(AND(I3492="TP",S3492&lt;=500),VLOOKUP(AF3492,TPCalibEq500!$AZ$2:$BB$56,3,),IF(AND(I3492="TDP",S3492&lt;=500),VLOOKUP(AF3492,TPCalibEq500!$AZ$2:$BB$56,3,)))</f>
        <v>0</v>
      </c>
      <c r="AT3492" s="10" t="b">
        <f>IF(AND(I3492="TN",S3492&lt;=2800),VLOOKUP(AF3492,TNCalibEq2500!$AZ$2:$BB$56,3,),IF(AND(I3492="TDN",S3492&lt;=2800),VLOOKUP(AF3492,TNCalibEq2500!$AZ$2:$BB$56,3,)))</f>
        <v>0</v>
      </c>
      <c r="AU3492" s="10" t="b">
        <f>IF(I3492="TP",VLOOKUP(AF3492,TPCalibEqFull!$AZ$2:$BB$56,3),IF(I3492="TDP",VLOOKUP(AF3492,TPCalibEqFull!$AZ$2:$BB$56,3),IF(I3492="TDN",VLOOKUP(AF3492,TNCalibEqFull!$AZ$1:$BB$56,3),IF(I3492="TN",VLOOKUP(AF3492,TNCalibEqFull!$AZ$1:$BB$56,3),FALSE))))</f>
        <v>0</v>
      </c>
      <c r="AV3492" s="10" t="str">
        <f t="shared" si="398"/>
        <v>0222 09:00:00-QAC-STD-H-1-DI-CAL</v>
      </c>
    </row>
    <row r="3493" spans="1:48" s="10" customFormat="1" x14ac:dyDescent="0.55000000000000004">
      <c r="A3493" s="32">
        <v>44979</v>
      </c>
      <c r="B3493" s="33">
        <v>0.375</v>
      </c>
      <c r="C3493" s="10" t="s">
        <v>70</v>
      </c>
      <c r="D3493" s="10" t="s">
        <v>71</v>
      </c>
      <c r="E3493" s="10" t="s">
        <v>908</v>
      </c>
      <c r="F3493" s="10">
        <v>1</v>
      </c>
      <c r="G3493" s="10" t="s">
        <v>73</v>
      </c>
      <c r="H3493" s="10" t="s">
        <v>74</v>
      </c>
      <c r="I3493" s="10" t="s">
        <v>285</v>
      </c>
      <c r="J3493" s="10">
        <v>182</v>
      </c>
      <c r="K3493" s="12">
        <v>44980</v>
      </c>
      <c r="L3493" s="33">
        <v>0.47165509259259258</v>
      </c>
      <c r="M3493" s="10">
        <v>1</v>
      </c>
      <c r="N3493" s="10" t="s">
        <v>211</v>
      </c>
      <c r="O3493" s="10">
        <v>3.5000000000000003E-2</v>
      </c>
      <c r="P3493" s="10">
        <v>2.9199999999999999E-3</v>
      </c>
      <c r="Q3493" s="10">
        <v>5</v>
      </c>
      <c r="R3493" s="10" t="s">
        <v>913</v>
      </c>
      <c r="S3493" s="34">
        <f t="shared" si="395"/>
        <v>5</v>
      </c>
      <c r="T3493" s="10" t="s">
        <v>1261</v>
      </c>
      <c r="U3493" s="34" t="str">
        <f t="shared" si="396"/>
        <v/>
      </c>
      <c r="V3493" s="31" t="str">
        <f>IF(H3493="CHK",VLOOKUP(I3493,QCCHK,3,),IF(H3493="GUP",VLOOKUP(E3493,QCGUP,2,),IF(AND(H3493="ATP",OR(I3493="TN",I3493="TDN",I3493="TNO2-3",I3493="NO2-3")),VLOOKUP(E3493,QCREC_N,2,),IF(AND(H3493="NIC",OR(I3493="TN",I3493="TDN",I3493="TNO2-3",I3493="NO2-3")),VLOOKUP(E3493,QCNIC_N,2,),IF(AND(H3493="UREA",OR(I3493="TN",I3493="TDN",I3493="TNO2-3",I3493="NO2-3")),VLOOKUP(E3493,QCUREA_N,2,),IF(H3493="PER",VLOOKUP(I3493,QCPER,MATCH(E3493,QCACTUAL!$J$25:$AA$25,0),),IF(H3493="SPK",VLOOKUP(I3493,QCSPK,3,),IF(AND(H3493="ATP",OR(I3493="TP",I3493="TDP")),VLOOKUP(E3493,QCATP_P,2,),""))))))))</f>
        <v/>
      </c>
      <c r="W3493" s="31" t="str">
        <f t="shared" si="397"/>
        <v>TRUE</v>
      </c>
      <c r="X3493" s="31" t="str">
        <f t="shared" si="394"/>
        <v/>
      </c>
      <c r="Y3493" s="10" t="s">
        <v>1253</v>
      </c>
      <c r="AL3493" s="10" t="str">
        <f t="shared" si="392"/>
        <v>FALSE</v>
      </c>
      <c r="AM3493" s="10" t="str">
        <f t="shared" si="392"/>
        <v>FALSE</v>
      </c>
      <c r="AN3493" s="10" t="str">
        <f t="shared" si="392"/>
        <v>FALSE</v>
      </c>
      <c r="AO3493" s="10" t="str">
        <f t="shared" si="393"/>
        <v>FALSE</v>
      </c>
      <c r="AP3493" s="10" t="str">
        <f t="shared" si="393"/>
        <v>FALSE</v>
      </c>
      <c r="AQ3493" s="10" t="b">
        <f>IF(AND(I3493="TP",S3493&lt;=150),VLOOKUP(AF3493,TPCalibEq150!$AZ$2:$BB$55,3,),IF(AND(I3493="TDP",S3493&lt;=150),VLOOKUP(AF3493,TPCalibEq150!$AZ$2:$BB$55,3,)))</f>
        <v>0</v>
      </c>
      <c r="AR3493" s="10" t="b">
        <f>IF(AND(I3493="TP",S3493&lt;=300),VLOOKUP(AF3493,TPCalibEq300!$AZ$2:$BB$55,3,),IF(AND(I3493="TDP",S3493&lt;=300),VLOOKUP(AF3493,TPCalibEq300!$AZ$2:$BB$55,3,)))</f>
        <v>0</v>
      </c>
      <c r="AS3493" s="10" t="b">
        <f>IF(AND(I3493="TP",S3493&lt;=500),VLOOKUP(AF3493,TPCalibEq500!$AZ$2:$BB$56,3,),IF(AND(I3493="TDP",S3493&lt;=500),VLOOKUP(AF3493,TPCalibEq500!$AZ$2:$BB$56,3,)))</f>
        <v>0</v>
      </c>
      <c r="AT3493" s="10" t="b">
        <f>IF(AND(I3493="TN",S3493&lt;=2800),VLOOKUP(AF3493,TNCalibEq2500!$AZ$2:$BB$56,3,),IF(AND(I3493="TDN",S3493&lt;=2800),VLOOKUP(AF3493,TNCalibEq2500!$AZ$2:$BB$56,3,)))</f>
        <v>0</v>
      </c>
      <c r="AU3493" s="10" t="b">
        <f>IF(I3493="TP",VLOOKUP(AF3493,TPCalibEqFull!$AZ$2:$BB$56,3),IF(I3493="TDP",VLOOKUP(AF3493,TPCalibEqFull!$AZ$2:$BB$56,3),IF(I3493="TDN",VLOOKUP(AF3493,TNCalibEqFull!$AZ$1:$BB$56,3),IF(I3493="TN",VLOOKUP(AF3493,TNCalibEqFull!$AZ$1:$BB$56,3),FALSE))))</f>
        <v>0</v>
      </c>
      <c r="AV3493" s="10" t="str">
        <f t="shared" si="398"/>
        <v>0222 09:00:00-QAC-STD-G-1-DI-CAL</v>
      </c>
    </row>
    <row r="3494" spans="1:48" s="10" customFormat="1" x14ac:dyDescent="0.55000000000000004">
      <c r="A3494" s="32">
        <v>44979</v>
      </c>
      <c r="B3494" s="33">
        <v>0.375</v>
      </c>
      <c r="C3494" s="10" t="s">
        <v>70</v>
      </c>
      <c r="D3494" s="10" t="s">
        <v>71</v>
      </c>
      <c r="E3494" s="10" t="s">
        <v>550</v>
      </c>
      <c r="F3494" s="10">
        <v>1</v>
      </c>
      <c r="G3494" s="10" t="s">
        <v>73</v>
      </c>
      <c r="H3494" s="10" t="s">
        <v>74</v>
      </c>
      <c r="I3494" s="10" t="s">
        <v>285</v>
      </c>
      <c r="J3494" s="10">
        <v>183</v>
      </c>
      <c r="K3494" s="12">
        <v>44980</v>
      </c>
      <c r="L3494" s="33">
        <v>0.47249999999999998</v>
      </c>
      <c r="M3494" s="10">
        <v>1</v>
      </c>
      <c r="N3494" s="10" t="s">
        <v>211</v>
      </c>
      <c r="O3494" s="10">
        <v>8.7499999999999994E-2</v>
      </c>
      <c r="P3494" s="10">
        <v>7.6699999999999997E-3</v>
      </c>
      <c r="Q3494" s="10">
        <v>15</v>
      </c>
      <c r="R3494" s="10" t="s">
        <v>913</v>
      </c>
      <c r="S3494" s="34">
        <f t="shared" si="395"/>
        <v>15</v>
      </c>
      <c r="T3494" s="10" t="s">
        <v>1262</v>
      </c>
      <c r="U3494" s="34" t="str">
        <f t="shared" si="396"/>
        <v/>
      </c>
      <c r="V3494" s="31" t="str">
        <f>IF(H3494="CHK",VLOOKUP(I3494,QCCHK,3,),IF(H3494="GUP",VLOOKUP(E3494,QCGUP,2,),IF(AND(H3494="ATP",OR(I3494="TN",I3494="TDN",I3494="TNO2-3",I3494="NO2-3")),VLOOKUP(E3494,QCREC_N,2,),IF(AND(H3494="NIC",OR(I3494="TN",I3494="TDN",I3494="TNO2-3",I3494="NO2-3")),VLOOKUP(E3494,QCNIC_N,2,),IF(AND(H3494="UREA",OR(I3494="TN",I3494="TDN",I3494="TNO2-3",I3494="NO2-3")),VLOOKUP(E3494,QCUREA_N,2,),IF(H3494="PER",VLOOKUP(I3494,QCPER,MATCH(E3494,QCACTUAL!$J$25:$AA$25,0),),IF(H3494="SPK",VLOOKUP(I3494,QCSPK,3,),IF(AND(H3494="ATP",OR(I3494="TP",I3494="TDP")),VLOOKUP(E3494,QCATP_P,2,),""))))))))</f>
        <v/>
      </c>
      <c r="W3494" s="31" t="str">
        <f t="shared" si="397"/>
        <v>TRUE</v>
      </c>
      <c r="X3494" s="31" t="str">
        <f t="shared" si="394"/>
        <v/>
      </c>
      <c r="Y3494" s="10" t="s">
        <v>1253</v>
      </c>
      <c r="AL3494" s="10" t="str">
        <f t="shared" si="392"/>
        <v>FALSE</v>
      </c>
      <c r="AM3494" s="10" t="str">
        <f t="shared" si="392"/>
        <v>FALSE</v>
      </c>
      <c r="AN3494" s="10" t="str">
        <f t="shared" si="392"/>
        <v>FALSE</v>
      </c>
      <c r="AO3494" s="10" t="str">
        <f t="shared" si="393"/>
        <v>FALSE</v>
      </c>
      <c r="AP3494" s="10" t="str">
        <f t="shared" si="393"/>
        <v>FALSE</v>
      </c>
      <c r="AQ3494" s="10" t="b">
        <f>IF(AND(I3494="TP",S3494&lt;=150),VLOOKUP(AF3494,TPCalibEq150!$AZ$2:$BB$55,3,),IF(AND(I3494="TDP",S3494&lt;=150),VLOOKUP(AF3494,TPCalibEq150!$AZ$2:$BB$55,3,)))</f>
        <v>0</v>
      </c>
      <c r="AR3494" s="10" t="b">
        <f>IF(AND(I3494="TP",S3494&lt;=300),VLOOKUP(AF3494,TPCalibEq300!$AZ$2:$BB$55,3,),IF(AND(I3494="TDP",S3494&lt;=300),VLOOKUP(AF3494,TPCalibEq300!$AZ$2:$BB$55,3,)))</f>
        <v>0</v>
      </c>
      <c r="AS3494" s="10" t="b">
        <f>IF(AND(I3494="TP",S3494&lt;=500),VLOOKUP(AF3494,TPCalibEq500!$AZ$2:$BB$56,3,),IF(AND(I3494="TDP",S3494&lt;=500),VLOOKUP(AF3494,TPCalibEq500!$AZ$2:$BB$56,3,)))</f>
        <v>0</v>
      </c>
      <c r="AT3494" s="10" t="b">
        <f>IF(AND(I3494="TN",S3494&lt;=2800),VLOOKUP(AF3494,TNCalibEq2500!$AZ$2:$BB$56,3,),IF(AND(I3494="TDN",S3494&lt;=2800),VLOOKUP(AF3494,TNCalibEq2500!$AZ$2:$BB$56,3,)))</f>
        <v>0</v>
      </c>
      <c r="AU3494" s="10" t="b">
        <f>IF(I3494="TP",VLOOKUP(AF3494,TPCalibEqFull!$AZ$2:$BB$56,3),IF(I3494="TDP",VLOOKUP(AF3494,TPCalibEqFull!$AZ$2:$BB$56,3),IF(I3494="TDN",VLOOKUP(AF3494,TNCalibEqFull!$AZ$1:$BB$56,3),IF(I3494="TN",VLOOKUP(AF3494,TNCalibEqFull!$AZ$1:$BB$56,3),FALSE))))</f>
        <v>0</v>
      </c>
      <c r="AV3494" s="10" t="str">
        <f t="shared" si="398"/>
        <v>0222 09:00:00-QAC-STD-F-1-DI-CAL</v>
      </c>
    </row>
    <row r="3495" spans="1:48" s="10" customFormat="1" x14ac:dyDescent="0.55000000000000004">
      <c r="A3495" s="32">
        <v>44979</v>
      </c>
      <c r="B3495" s="33">
        <v>0.375</v>
      </c>
      <c r="C3495" s="10" t="s">
        <v>70</v>
      </c>
      <c r="D3495" s="10" t="s">
        <v>71</v>
      </c>
      <c r="E3495" s="10" t="s">
        <v>909</v>
      </c>
      <c r="F3495" s="10">
        <v>1</v>
      </c>
      <c r="G3495" s="10" t="s">
        <v>73</v>
      </c>
      <c r="H3495" s="10" t="s">
        <v>74</v>
      </c>
      <c r="I3495" s="10" t="s">
        <v>285</v>
      </c>
      <c r="J3495" s="10">
        <v>184</v>
      </c>
      <c r="K3495" s="12">
        <v>44980</v>
      </c>
      <c r="L3495" s="33">
        <v>0.47333333333333333</v>
      </c>
      <c r="M3495" s="10">
        <v>1</v>
      </c>
      <c r="N3495" s="10" t="s">
        <v>211</v>
      </c>
      <c r="O3495" s="10">
        <v>0.114</v>
      </c>
      <c r="P3495" s="10">
        <v>1.01E-2</v>
      </c>
      <c r="Q3495" s="10">
        <v>20</v>
      </c>
      <c r="R3495" s="10" t="s">
        <v>913</v>
      </c>
      <c r="S3495" s="34">
        <f t="shared" si="395"/>
        <v>20</v>
      </c>
      <c r="T3495" s="10" t="s">
        <v>1263</v>
      </c>
      <c r="U3495" s="34" t="str">
        <f t="shared" si="396"/>
        <v/>
      </c>
      <c r="V3495" s="31" t="str">
        <f>IF(H3495="CHK",VLOOKUP(I3495,QCCHK,3,),IF(H3495="GUP",VLOOKUP(E3495,QCGUP,2,),IF(AND(H3495="ATP",OR(I3495="TN",I3495="TDN",I3495="TNO2-3",I3495="NO2-3")),VLOOKUP(E3495,QCREC_N,2,),IF(AND(H3495="NIC",OR(I3495="TN",I3495="TDN",I3495="TNO2-3",I3495="NO2-3")),VLOOKUP(E3495,QCNIC_N,2,),IF(AND(H3495="UREA",OR(I3495="TN",I3495="TDN",I3495="TNO2-3",I3495="NO2-3")),VLOOKUP(E3495,QCUREA_N,2,),IF(H3495="PER",VLOOKUP(I3495,QCPER,MATCH(E3495,QCACTUAL!$J$25:$AA$25,0),),IF(H3495="SPK",VLOOKUP(I3495,QCSPK,3,),IF(AND(H3495="ATP",OR(I3495="TP",I3495="TDP")),VLOOKUP(E3495,QCATP_P,2,),""))))))))</f>
        <v/>
      </c>
      <c r="W3495" s="31" t="str">
        <f t="shared" si="397"/>
        <v>TRUE</v>
      </c>
      <c r="X3495" s="31" t="str">
        <f t="shared" si="394"/>
        <v/>
      </c>
      <c r="Y3495" s="10" t="s">
        <v>1253</v>
      </c>
      <c r="AL3495" s="10" t="str">
        <f t="shared" si="392"/>
        <v>FALSE</v>
      </c>
      <c r="AM3495" s="10" t="str">
        <f t="shared" si="392"/>
        <v>FALSE</v>
      </c>
      <c r="AN3495" s="10" t="str">
        <f t="shared" si="392"/>
        <v>FALSE</v>
      </c>
      <c r="AO3495" s="10" t="str">
        <f t="shared" si="393"/>
        <v>FALSE</v>
      </c>
      <c r="AP3495" s="10" t="str">
        <f t="shared" si="393"/>
        <v>FALSE</v>
      </c>
      <c r="AQ3495" s="10" t="b">
        <f>IF(AND(I3495="TP",S3495&lt;=150),VLOOKUP(AF3495,TPCalibEq150!$AZ$2:$BB$55,3,),IF(AND(I3495="TDP",S3495&lt;=150),VLOOKUP(AF3495,TPCalibEq150!$AZ$2:$BB$55,3,)))</f>
        <v>0</v>
      </c>
      <c r="AR3495" s="10" t="b">
        <f>IF(AND(I3495="TP",S3495&lt;=300),VLOOKUP(AF3495,TPCalibEq300!$AZ$2:$BB$55,3,),IF(AND(I3495="TDP",S3495&lt;=300),VLOOKUP(AF3495,TPCalibEq300!$AZ$2:$BB$55,3,)))</f>
        <v>0</v>
      </c>
      <c r="AS3495" s="10" t="b">
        <f>IF(AND(I3495="TP",S3495&lt;=500),VLOOKUP(AF3495,TPCalibEq500!$AZ$2:$BB$56,3,),IF(AND(I3495="TDP",S3495&lt;=500),VLOOKUP(AF3495,TPCalibEq500!$AZ$2:$BB$56,3,)))</f>
        <v>0</v>
      </c>
      <c r="AT3495" s="10" t="b">
        <f>IF(AND(I3495="TN",S3495&lt;=2800),VLOOKUP(AF3495,TNCalibEq2500!$AZ$2:$BB$56,3,),IF(AND(I3495="TDN",S3495&lt;=2800),VLOOKUP(AF3495,TNCalibEq2500!$AZ$2:$BB$56,3,)))</f>
        <v>0</v>
      </c>
      <c r="AU3495" s="10" t="b">
        <f>IF(I3495="TP",VLOOKUP(AF3495,TPCalibEqFull!$AZ$2:$BB$56,3),IF(I3495="TDP",VLOOKUP(AF3495,TPCalibEqFull!$AZ$2:$BB$56,3),IF(I3495="TDN",VLOOKUP(AF3495,TNCalibEqFull!$AZ$1:$BB$56,3),IF(I3495="TN",VLOOKUP(AF3495,TNCalibEqFull!$AZ$1:$BB$56,3),FALSE))))</f>
        <v>0</v>
      </c>
      <c r="AV3495" s="10" t="str">
        <f t="shared" si="398"/>
        <v>0222 09:00:00-QAC-STD-E-1-DI-CAL</v>
      </c>
    </row>
    <row r="3496" spans="1:48" s="10" customFormat="1" x14ac:dyDescent="0.55000000000000004">
      <c r="A3496" s="32">
        <v>44979</v>
      </c>
      <c r="B3496" s="33">
        <v>0.375</v>
      </c>
      <c r="C3496" s="10" t="s">
        <v>70</v>
      </c>
      <c r="D3496" s="10" t="s">
        <v>71</v>
      </c>
      <c r="E3496" s="10" t="s">
        <v>901</v>
      </c>
      <c r="F3496" s="10">
        <v>1</v>
      </c>
      <c r="G3496" s="10" t="s">
        <v>73</v>
      </c>
      <c r="H3496" s="10" t="s">
        <v>74</v>
      </c>
      <c r="I3496" s="10" t="s">
        <v>285</v>
      </c>
      <c r="J3496" s="10">
        <v>185</v>
      </c>
      <c r="K3496" s="12">
        <v>44980</v>
      </c>
      <c r="L3496" s="33">
        <v>0.47415509259259259</v>
      </c>
      <c r="M3496" s="10">
        <v>1</v>
      </c>
      <c r="N3496" s="10" t="s">
        <v>211</v>
      </c>
      <c r="O3496" s="10">
        <v>0.42</v>
      </c>
      <c r="P3496" s="10">
        <v>0.04</v>
      </c>
      <c r="Q3496" s="10">
        <v>75</v>
      </c>
      <c r="R3496" s="10" t="s">
        <v>913</v>
      </c>
      <c r="S3496" s="34">
        <f t="shared" si="395"/>
        <v>75</v>
      </c>
      <c r="T3496" s="10" t="s">
        <v>1264</v>
      </c>
      <c r="U3496" s="34" t="str">
        <f t="shared" si="396"/>
        <v/>
      </c>
      <c r="V3496" s="31" t="str">
        <f>IF(H3496="CHK",VLOOKUP(I3496,QCCHK,3,),IF(H3496="GUP",VLOOKUP(E3496,QCGUP,2,),IF(AND(H3496="ATP",OR(I3496="TN",I3496="TDN",I3496="TNO2-3",I3496="NO2-3")),VLOOKUP(E3496,QCREC_N,2,),IF(AND(H3496="NIC",OR(I3496="TN",I3496="TDN",I3496="TNO2-3",I3496="NO2-3")),VLOOKUP(E3496,QCNIC_N,2,),IF(AND(H3496="UREA",OR(I3496="TN",I3496="TDN",I3496="TNO2-3",I3496="NO2-3")),VLOOKUP(E3496,QCUREA_N,2,),IF(H3496="PER",VLOOKUP(I3496,QCPER,MATCH(E3496,QCACTUAL!$J$25:$AA$25,0),),IF(H3496="SPK",VLOOKUP(I3496,QCSPK,3,),IF(AND(H3496="ATP",OR(I3496="TP",I3496="TDP")),VLOOKUP(E3496,QCATP_P,2,),""))))))))</f>
        <v/>
      </c>
      <c r="W3496" s="31" t="str">
        <f t="shared" si="397"/>
        <v>TRUE</v>
      </c>
      <c r="X3496" s="31" t="str">
        <f t="shared" si="394"/>
        <v/>
      </c>
      <c r="Y3496" s="10" t="s">
        <v>1253</v>
      </c>
      <c r="AL3496" s="10" t="str">
        <f t="shared" ref="AL3496:AN3559" si="399">IF($O3496="", "", IF(AQ3496&lt;&gt;"", SUBSTITUTE(SUBSTITUTE(AQ3496, "x", "*"&amp;$O3496&amp;"^", 1), "x", "*"&amp;$O3496, 1), ""))</f>
        <v>FALSE</v>
      </c>
      <c r="AM3496" s="10" t="str">
        <f t="shared" si="399"/>
        <v>FALSE</v>
      </c>
      <c r="AN3496" s="10" t="str">
        <f t="shared" si="399"/>
        <v>FALSE</v>
      </c>
      <c r="AO3496" s="10" t="str">
        <f t="shared" ref="AO3496:AP3559" si="400">IF($O3496="", "FALSE", IF(AT3496&lt;&gt;"FALSE", SUBSTITUTE(SUBSTITUTE(AT3496, "x", "*"&amp;$O3496&amp;"^", 1), "x", "*"&amp;$O3496, 1), ""))</f>
        <v>FALSE</v>
      </c>
      <c r="AP3496" s="10" t="str">
        <f t="shared" si="400"/>
        <v>FALSE</v>
      </c>
      <c r="AQ3496" s="10" t="b">
        <f>IF(AND(I3496="TP",S3496&lt;=150),VLOOKUP(AF3496,TPCalibEq150!$AZ$2:$BB$55,3,),IF(AND(I3496="TDP",S3496&lt;=150),VLOOKUP(AF3496,TPCalibEq150!$AZ$2:$BB$55,3,)))</f>
        <v>0</v>
      </c>
      <c r="AR3496" s="10" t="b">
        <f>IF(AND(I3496="TP",S3496&lt;=300),VLOOKUP(AF3496,TPCalibEq300!$AZ$2:$BB$55,3,),IF(AND(I3496="TDP",S3496&lt;=300),VLOOKUP(AF3496,TPCalibEq300!$AZ$2:$BB$55,3,)))</f>
        <v>0</v>
      </c>
      <c r="AS3496" s="10" t="b">
        <f>IF(AND(I3496="TP",S3496&lt;=500),VLOOKUP(AF3496,TPCalibEq500!$AZ$2:$BB$56,3,),IF(AND(I3496="TDP",S3496&lt;=500),VLOOKUP(AF3496,TPCalibEq500!$AZ$2:$BB$56,3,)))</f>
        <v>0</v>
      </c>
      <c r="AT3496" s="10" t="b">
        <f>IF(AND(I3496="TN",S3496&lt;=2800),VLOOKUP(AF3496,TNCalibEq2500!$AZ$2:$BB$56,3,),IF(AND(I3496="TDN",S3496&lt;=2800),VLOOKUP(AF3496,TNCalibEq2500!$AZ$2:$BB$56,3,)))</f>
        <v>0</v>
      </c>
      <c r="AU3496" s="10" t="b">
        <f>IF(I3496="TP",VLOOKUP(AF3496,TPCalibEqFull!$AZ$2:$BB$56,3),IF(I3496="TDP",VLOOKUP(AF3496,TPCalibEqFull!$AZ$2:$BB$56,3),IF(I3496="TDN",VLOOKUP(AF3496,TNCalibEqFull!$AZ$1:$BB$56,3),IF(I3496="TN",VLOOKUP(AF3496,TNCalibEqFull!$AZ$1:$BB$56,3),FALSE))))</f>
        <v>0</v>
      </c>
      <c r="AV3496" s="10" t="str">
        <f t="shared" si="398"/>
        <v>0222 09:00:00-QAC-STD-D-1-DI-CAL</v>
      </c>
    </row>
    <row r="3497" spans="1:48" s="10" customFormat="1" x14ac:dyDescent="0.55000000000000004">
      <c r="A3497" s="32">
        <v>44979</v>
      </c>
      <c r="B3497" s="33">
        <v>0.375</v>
      </c>
      <c r="C3497" s="10" t="s">
        <v>70</v>
      </c>
      <c r="D3497" s="10" t="s">
        <v>71</v>
      </c>
      <c r="E3497" s="10" t="s">
        <v>190</v>
      </c>
      <c r="F3497" s="10">
        <v>1</v>
      </c>
      <c r="G3497" s="10" t="s">
        <v>73</v>
      </c>
      <c r="H3497" s="10" t="s">
        <v>74</v>
      </c>
      <c r="I3497" s="10" t="s">
        <v>285</v>
      </c>
      <c r="J3497" s="10">
        <v>186</v>
      </c>
      <c r="K3497" s="12">
        <v>44980</v>
      </c>
      <c r="L3497" s="33">
        <v>0.47497685185185184</v>
      </c>
      <c r="M3497" s="10">
        <v>1</v>
      </c>
      <c r="N3497" s="10" t="s">
        <v>211</v>
      </c>
      <c r="O3497" s="10">
        <v>0.84499999999999997</v>
      </c>
      <c r="P3497" s="10">
        <v>8.2900000000000001E-2</v>
      </c>
      <c r="Q3497" s="10">
        <v>150</v>
      </c>
      <c r="R3497" s="10" t="s">
        <v>913</v>
      </c>
      <c r="S3497" s="34">
        <f t="shared" si="395"/>
        <v>150</v>
      </c>
      <c r="T3497" s="10" t="s">
        <v>1265</v>
      </c>
      <c r="U3497" s="34" t="str">
        <f t="shared" si="396"/>
        <v/>
      </c>
      <c r="V3497" s="31" t="str">
        <f>IF(H3497="CHK",VLOOKUP(I3497,QCCHK,3,),IF(H3497="GUP",VLOOKUP(E3497,QCGUP,2,),IF(AND(H3497="ATP",OR(I3497="TN",I3497="TDN",I3497="TNO2-3",I3497="NO2-3")),VLOOKUP(E3497,QCREC_N,2,),IF(AND(H3497="NIC",OR(I3497="TN",I3497="TDN",I3497="TNO2-3",I3497="NO2-3")),VLOOKUP(E3497,QCNIC_N,2,),IF(AND(H3497="UREA",OR(I3497="TN",I3497="TDN",I3497="TNO2-3",I3497="NO2-3")),VLOOKUP(E3497,QCUREA_N,2,),IF(H3497="PER",VLOOKUP(I3497,QCPER,MATCH(E3497,QCACTUAL!$J$25:$AA$25,0),),IF(H3497="SPK",VLOOKUP(I3497,QCSPK,3,),IF(AND(H3497="ATP",OR(I3497="TP",I3497="TDP")),VLOOKUP(E3497,QCATP_P,2,),""))))))))</f>
        <v/>
      </c>
      <c r="W3497" s="31" t="str">
        <f t="shared" si="397"/>
        <v>TRUE</v>
      </c>
      <c r="X3497" s="31" t="str">
        <f t="shared" si="394"/>
        <v/>
      </c>
      <c r="Y3497" s="10" t="s">
        <v>1253</v>
      </c>
      <c r="AL3497" s="10" t="str">
        <f t="shared" si="399"/>
        <v>FALSE</v>
      </c>
      <c r="AM3497" s="10" t="str">
        <f t="shared" si="399"/>
        <v>FALSE</v>
      </c>
      <c r="AN3497" s="10" t="str">
        <f t="shared" si="399"/>
        <v>FALSE</v>
      </c>
      <c r="AO3497" s="10" t="str">
        <f t="shared" si="400"/>
        <v>FALSE</v>
      </c>
      <c r="AP3497" s="10" t="str">
        <f t="shared" si="400"/>
        <v>FALSE</v>
      </c>
      <c r="AQ3497" s="10" t="b">
        <f>IF(AND(I3497="TP",S3497&lt;=150),VLOOKUP(AF3497,TPCalibEq150!$AZ$2:$BB$55,3,),IF(AND(I3497="TDP",S3497&lt;=150),VLOOKUP(AF3497,TPCalibEq150!$AZ$2:$BB$55,3,)))</f>
        <v>0</v>
      </c>
      <c r="AR3497" s="10" t="b">
        <f>IF(AND(I3497="TP",S3497&lt;=300),VLOOKUP(AF3497,TPCalibEq300!$AZ$2:$BB$55,3,),IF(AND(I3497="TDP",S3497&lt;=300),VLOOKUP(AF3497,TPCalibEq300!$AZ$2:$BB$55,3,)))</f>
        <v>0</v>
      </c>
      <c r="AS3497" s="10" t="b">
        <f>IF(AND(I3497="TP",S3497&lt;=500),VLOOKUP(AF3497,TPCalibEq500!$AZ$2:$BB$56,3,),IF(AND(I3497="TDP",S3497&lt;=500),VLOOKUP(AF3497,TPCalibEq500!$AZ$2:$BB$56,3,)))</f>
        <v>0</v>
      </c>
      <c r="AT3497" s="10" t="b">
        <f>IF(AND(I3497="TN",S3497&lt;=2800),VLOOKUP(AF3497,TNCalibEq2500!$AZ$2:$BB$56,3,),IF(AND(I3497="TDN",S3497&lt;=2800),VLOOKUP(AF3497,TNCalibEq2500!$AZ$2:$BB$56,3,)))</f>
        <v>0</v>
      </c>
      <c r="AU3497" s="10" t="b">
        <f>IF(I3497="TP",VLOOKUP(AF3497,TPCalibEqFull!$AZ$2:$BB$56,3),IF(I3497="TDP",VLOOKUP(AF3497,TPCalibEqFull!$AZ$2:$BB$56,3),IF(I3497="TDN",VLOOKUP(AF3497,TNCalibEqFull!$AZ$1:$BB$56,3),IF(I3497="TN",VLOOKUP(AF3497,TNCalibEqFull!$AZ$1:$BB$56,3),FALSE))))</f>
        <v>0</v>
      </c>
      <c r="AV3497" s="10" t="str">
        <f t="shared" si="398"/>
        <v>0222 09:00:00-QAC-STD-C-1-DI-CAL</v>
      </c>
    </row>
    <row r="3498" spans="1:48" s="10" customFormat="1" x14ac:dyDescent="0.55000000000000004">
      <c r="A3498" s="32">
        <v>44979</v>
      </c>
      <c r="B3498" s="33">
        <v>0.375</v>
      </c>
      <c r="C3498" s="10" t="s">
        <v>70</v>
      </c>
      <c r="D3498" s="10" t="s">
        <v>71</v>
      </c>
      <c r="E3498" s="10" t="s">
        <v>583</v>
      </c>
      <c r="F3498" s="10">
        <v>1</v>
      </c>
      <c r="G3498" s="10" t="s">
        <v>73</v>
      </c>
      <c r="H3498" s="10" t="s">
        <v>74</v>
      </c>
      <c r="I3498" s="10" t="s">
        <v>285</v>
      </c>
      <c r="J3498" s="10">
        <v>187</v>
      </c>
      <c r="K3498" s="12">
        <v>44980</v>
      </c>
      <c r="L3498" s="33">
        <v>0.47579861111111116</v>
      </c>
      <c r="M3498" s="10">
        <v>1</v>
      </c>
      <c r="N3498" s="10" t="s">
        <v>211</v>
      </c>
      <c r="O3498" s="10">
        <v>1.73</v>
      </c>
      <c r="P3498" s="10">
        <v>0.17299999999999999</v>
      </c>
      <c r="Q3498" s="10">
        <v>300</v>
      </c>
      <c r="R3498" s="10" t="s">
        <v>913</v>
      </c>
      <c r="S3498" s="34">
        <f t="shared" si="395"/>
        <v>300</v>
      </c>
      <c r="T3498" s="10" t="s">
        <v>1266</v>
      </c>
      <c r="U3498" s="34" t="str">
        <f t="shared" si="396"/>
        <v/>
      </c>
      <c r="V3498" s="31" t="str">
        <f>IF(H3498="CHK",VLOOKUP(I3498,QCCHK,3,),IF(H3498="GUP",VLOOKUP(E3498,QCGUP,2,),IF(AND(H3498="ATP",OR(I3498="TN",I3498="TDN",I3498="TNO2-3",I3498="NO2-3")),VLOOKUP(E3498,QCREC_N,2,),IF(AND(H3498="NIC",OR(I3498="TN",I3498="TDN",I3498="TNO2-3",I3498="NO2-3")),VLOOKUP(E3498,QCNIC_N,2,),IF(AND(H3498="UREA",OR(I3498="TN",I3498="TDN",I3498="TNO2-3",I3498="NO2-3")),VLOOKUP(E3498,QCUREA_N,2,),IF(H3498="PER",VLOOKUP(I3498,QCPER,MATCH(E3498,QCACTUAL!$J$25:$AA$25,0),),IF(H3498="SPK",VLOOKUP(I3498,QCSPK,3,),IF(AND(H3498="ATP",OR(I3498="TP",I3498="TDP")),VLOOKUP(E3498,QCATP_P,2,),""))))))))</f>
        <v/>
      </c>
      <c r="W3498" s="31" t="str">
        <f t="shared" si="397"/>
        <v>TRUE</v>
      </c>
      <c r="X3498" s="31" t="str">
        <f t="shared" si="394"/>
        <v/>
      </c>
      <c r="Y3498" s="10" t="s">
        <v>1253</v>
      </c>
      <c r="AL3498" s="10" t="str">
        <f t="shared" si="399"/>
        <v>FALSE</v>
      </c>
      <c r="AM3498" s="10" t="str">
        <f t="shared" si="399"/>
        <v>FALSE</v>
      </c>
      <c r="AN3498" s="10" t="str">
        <f t="shared" si="399"/>
        <v>FALSE</v>
      </c>
      <c r="AO3498" s="10" t="str">
        <f t="shared" si="400"/>
        <v>FALSE</v>
      </c>
      <c r="AP3498" s="10" t="str">
        <f t="shared" si="400"/>
        <v>FALSE</v>
      </c>
      <c r="AQ3498" s="10" t="b">
        <f>IF(AND(I3498="TP",S3498&lt;=150),VLOOKUP(AF3498,TPCalibEq150!$AZ$2:$BB$55,3,),IF(AND(I3498="TDP",S3498&lt;=150),VLOOKUP(AF3498,TPCalibEq150!$AZ$2:$BB$55,3,)))</f>
        <v>0</v>
      </c>
      <c r="AR3498" s="10" t="b">
        <f>IF(AND(I3498="TP",S3498&lt;=300),VLOOKUP(AF3498,TPCalibEq300!$AZ$2:$BB$55,3,),IF(AND(I3498="TDP",S3498&lt;=300),VLOOKUP(AF3498,TPCalibEq300!$AZ$2:$BB$55,3,)))</f>
        <v>0</v>
      </c>
      <c r="AS3498" s="10" t="b">
        <f>IF(AND(I3498="TP",S3498&lt;=500),VLOOKUP(AF3498,TPCalibEq500!$AZ$2:$BB$56,3,),IF(AND(I3498="TDP",S3498&lt;=500),VLOOKUP(AF3498,TPCalibEq500!$AZ$2:$BB$56,3,)))</f>
        <v>0</v>
      </c>
      <c r="AT3498" s="10" t="b">
        <f>IF(AND(I3498="TN",S3498&lt;=2800),VLOOKUP(AF3498,TNCalibEq2500!$AZ$2:$BB$56,3,),IF(AND(I3498="TDN",S3498&lt;=2800),VLOOKUP(AF3498,TNCalibEq2500!$AZ$2:$BB$56,3,)))</f>
        <v>0</v>
      </c>
      <c r="AU3498" s="10" t="b">
        <f>IF(I3498="TP",VLOOKUP(AF3498,TPCalibEqFull!$AZ$2:$BB$56,3),IF(I3498="TDP",VLOOKUP(AF3498,TPCalibEqFull!$AZ$2:$BB$56,3),IF(I3498="TDN",VLOOKUP(AF3498,TNCalibEqFull!$AZ$1:$BB$56,3),IF(I3498="TN",VLOOKUP(AF3498,TNCalibEqFull!$AZ$1:$BB$56,3),FALSE))))</f>
        <v>0</v>
      </c>
      <c r="AV3498" s="10" t="str">
        <f t="shared" si="398"/>
        <v>0222 09:00:00-QAC-STD-B-1-DI-CAL</v>
      </c>
    </row>
    <row r="3499" spans="1:48" s="10" customFormat="1" x14ac:dyDescent="0.55000000000000004">
      <c r="A3499" s="32">
        <v>44979</v>
      </c>
      <c r="B3499" s="33">
        <v>0.375</v>
      </c>
      <c r="C3499" s="10" t="s">
        <v>70</v>
      </c>
      <c r="D3499" s="10" t="s">
        <v>71</v>
      </c>
      <c r="E3499" s="10" t="s">
        <v>866</v>
      </c>
      <c r="F3499" s="10">
        <v>1</v>
      </c>
      <c r="G3499" s="10" t="s">
        <v>73</v>
      </c>
      <c r="H3499" s="10" t="s">
        <v>74</v>
      </c>
      <c r="I3499" s="10" t="s">
        <v>285</v>
      </c>
      <c r="J3499" s="10">
        <v>188</v>
      </c>
      <c r="K3499" s="12">
        <v>44980</v>
      </c>
      <c r="L3499" s="33">
        <v>0.47663194444444446</v>
      </c>
      <c r="M3499" s="10">
        <v>1</v>
      </c>
      <c r="N3499" s="10" t="s">
        <v>211</v>
      </c>
      <c r="O3499" s="10">
        <v>2.83</v>
      </c>
      <c r="P3499" s="10">
        <v>0.28599999999999998</v>
      </c>
      <c r="Q3499" s="10">
        <v>500</v>
      </c>
      <c r="R3499" s="10" t="s">
        <v>913</v>
      </c>
      <c r="S3499" s="34">
        <f t="shared" si="395"/>
        <v>500</v>
      </c>
      <c r="T3499" s="10" t="s">
        <v>1267</v>
      </c>
      <c r="U3499" s="34" t="str">
        <f t="shared" si="396"/>
        <v/>
      </c>
      <c r="V3499" s="31" t="str">
        <f>IF(H3499="CHK",VLOOKUP(I3499,QCCHK,3,),IF(H3499="GUP",VLOOKUP(E3499,QCGUP,2,),IF(AND(H3499="ATP",OR(I3499="TN",I3499="TDN",I3499="TNO2-3",I3499="NO2-3")),VLOOKUP(E3499,QCREC_N,2,),IF(AND(H3499="NIC",OR(I3499="TN",I3499="TDN",I3499="TNO2-3",I3499="NO2-3")),VLOOKUP(E3499,QCNIC_N,2,),IF(AND(H3499="UREA",OR(I3499="TN",I3499="TDN",I3499="TNO2-3",I3499="NO2-3")),VLOOKUP(E3499,QCUREA_N,2,),IF(H3499="PER",VLOOKUP(I3499,QCPER,MATCH(E3499,QCACTUAL!$J$25:$AA$25,0),),IF(H3499="SPK",VLOOKUP(I3499,QCSPK,3,),IF(AND(H3499="ATP",OR(I3499="TP",I3499="TDP")),VLOOKUP(E3499,QCATP_P,2,),""))))))))</f>
        <v/>
      </c>
      <c r="W3499" s="31" t="str">
        <f t="shared" si="397"/>
        <v>TRUE</v>
      </c>
      <c r="X3499" s="31" t="str">
        <f t="shared" si="394"/>
        <v/>
      </c>
      <c r="Y3499" s="10" t="s">
        <v>1253</v>
      </c>
      <c r="AL3499" s="10" t="str">
        <f t="shared" si="399"/>
        <v>FALSE</v>
      </c>
      <c r="AM3499" s="10" t="str">
        <f t="shared" si="399"/>
        <v>FALSE</v>
      </c>
      <c r="AN3499" s="10" t="str">
        <f t="shared" si="399"/>
        <v>FALSE</v>
      </c>
      <c r="AO3499" s="10" t="str">
        <f t="shared" si="400"/>
        <v>FALSE</v>
      </c>
      <c r="AP3499" s="10" t="str">
        <f t="shared" si="400"/>
        <v>FALSE</v>
      </c>
      <c r="AQ3499" s="10" t="b">
        <f>IF(AND(I3499="TP",S3499&lt;=150),VLOOKUP(AF3499,TPCalibEq150!$AZ$2:$BB$55,3,),IF(AND(I3499="TDP",S3499&lt;=150),VLOOKUP(AF3499,TPCalibEq150!$AZ$2:$BB$55,3,)))</f>
        <v>0</v>
      </c>
      <c r="AR3499" s="10" t="b">
        <f>IF(AND(I3499="TP",S3499&lt;=300),VLOOKUP(AF3499,TPCalibEq300!$AZ$2:$BB$55,3,),IF(AND(I3499="TDP",S3499&lt;=300),VLOOKUP(AF3499,TPCalibEq300!$AZ$2:$BB$55,3,)))</f>
        <v>0</v>
      </c>
      <c r="AS3499" s="10" t="b">
        <f>IF(AND(I3499="TP",S3499&lt;=500),VLOOKUP(AF3499,TPCalibEq500!$AZ$2:$BB$56,3,),IF(AND(I3499="TDP",S3499&lt;=500),VLOOKUP(AF3499,TPCalibEq500!$AZ$2:$BB$56,3,)))</f>
        <v>0</v>
      </c>
      <c r="AT3499" s="10" t="b">
        <f>IF(AND(I3499="TN",S3499&lt;=2800),VLOOKUP(AF3499,TNCalibEq2500!$AZ$2:$BB$56,3,),IF(AND(I3499="TDN",S3499&lt;=2800),VLOOKUP(AF3499,TNCalibEq2500!$AZ$2:$BB$56,3,)))</f>
        <v>0</v>
      </c>
      <c r="AU3499" s="10" t="b">
        <f>IF(I3499="TP",VLOOKUP(AF3499,TPCalibEqFull!$AZ$2:$BB$56,3),IF(I3499="TDP",VLOOKUP(AF3499,TPCalibEqFull!$AZ$2:$BB$56,3),IF(I3499="TDN",VLOOKUP(AF3499,TNCalibEqFull!$AZ$1:$BB$56,3),IF(I3499="TN",VLOOKUP(AF3499,TNCalibEqFull!$AZ$1:$BB$56,3),FALSE))))</f>
        <v>0</v>
      </c>
      <c r="AV3499" s="10" t="str">
        <f t="shared" si="398"/>
        <v>0222 09:00:00-QAC-STD-A-1-DI-CAL</v>
      </c>
    </row>
    <row r="3500" spans="1:48" s="10" customFormat="1" x14ac:dyDescent="0.55000000000000004">
      <c r="A3500" s="32">
        <v>44979</v>
      </c>
      <c r="B3500" s="33">
        <v>0.375</v>
      </c>
      <c r="C3500" s="10" t="s">
        <v>70</v>
      </c>
      <c r="D3500" s="10" t="s">
        <v>241</v>
      </c>
      <c r="E3500" s="10" t="s">
        <v>866</v>
      </c>
      <c r="F3500" s="10">
        <v>1</v>
      </c>
      <c r="G3500" s="10" t="s">
        <v>73</v>
      </c>
      <c r="H3500" s="10" t="s">
        <v>283</v>
      </c>
      <c r="I3500" s="10" t="s">
        <v>285</v>
      </c>
      <c r="J3500" s="10">
        <v>198</v>
      </c>
      <c r="K3500" s="12">
        <v>44980</v>
      </c>
      <c r="L3500" s="33">
        <v>0.47825231481481478</v>
      </c>
      <c r="M3500" s="10">
        <v>1</v>
      </c>
      <c r="N3500" s="10" t="s">
        <v>211</v>
      </c>
      <c r="O3500" s="10">
        <v>1.72E-2</v>
      </c>
      <c r="P3500" s="10">
        <v>1.3500000000000001E-3</v>
      </c>
      <c r="Q3500" s="10">
        <v>2.29</v>
      </c>
      <c r="R3500" s="10" t="s">
        <v>913</v>
      </c>
      <c r="S3500" s="34">
        <f t="shared" si="395"/>
        <v>2.29</v>
      </c>
      <c r="T3500" s="10" t="s">
        <v>1267</v>
      </c>
      <c r="U3500" s="34">
        <f t="shared" si="396"/>
        <v>2.29</v>
      </c>
      <c r="V3500" s="31" t="str">
        <f>IF(H3500="CHK",VLOOKUP(I3500,QCCHK,3,),IF(H3500="GUP",VLOOKUP(E3500,QCGUP,2,),IF(AND(H3500="ATP",OR(I3500="TN",I3500="TDN",I3500="TNO2-3",I3500="NO2-3")),VLOOKUP(E3500,QCREC_N,2,),IF(AND(H3500="NIC",OR(I3500="TN",I3500="TDN",I3500="TNO2-3",I3500="NO2-3")),VLOOKUP(E3500,QCNIC_N,2,),IF(AND(H3500="UREA",OR(I3500="TN",I3500="TDN",I3500="TNO2-3",I3500="NO2-3")),VLOOKUP(E3500,QCUREA_N,2,),IF(H3500="PER",VLOOKUP(I3500,QCPER,MATCH(E3500,QCACTUAL!$J$25:$AA$25,0),),IF(H3500="SPK",VLOOKUP(I3500,QCSPK,3,),IF(AND(H3500="ATP",OR(I3500="TP",I3500="TDP")),VLOOKUP(E3500,QCATP_P,2,),""))))))))</f>
        <v/>
      </c>
      <c r="W3500" s="31" t="str">
        <f t="shared" si="397"/>
        <v>TRUE</v>
      </c>
      <c r="X3500" s="31" t="str">
        <f t="shared" si="394"/>
        <v>nominal concentration</v>
      </c>
      <c r="Y3500" s="10" t="s">
        <v>1253</v>
      </c>
      <c r="AL3500" s="10" t="str">
        <f t="shared" si="399"/>
        <v>FALSE</v>
      </c>
      <c r="AM3500" s="10" t="str">
        <f t="shared" si="399"/>
        <v>FALSE</v>
      </c>
      <c r="AN3500" s="10" t="str">
        <f t="shared" si="399"/>
        <v>FALSE</v>
      </c>
      <c r="AO3500" s="10" t="str">
        <f t="shared" si="400"/>
        <v>FALSE</v>
      </c>
      <c r="AP3500" s="10" t="str">
        <f t="shared" si="400"/>
        <v>FALSE</v>
      </c>
      <c r="AQ3500" s="10" t="b">
        <f>IF(AND(I3500="TP",S3500&lt;=150),VLOOKUP(AF3500,TPCalibEq150!$AZ$2:$BB$55,3,),IF(AND(I3500="TDP",S3500&lt;=150),VLOOKUP(AF3500,TPCalibEq150!$AZ$2:$BB$55,3,)))</f>
        <v>0</v>
      </c>
      <c r="AR3500" s="10" t="b">
        <f>IF(AND(I3500="TP",S3500&lt;=300),VLOOKUP(AF3500,TPCalibEq300!$AZ$2:$BB$55,3,),IF(AND(I3500="TDP",S3500&lt;=300),VLOOKUP(AF3500,TPCalibEq300!$AZ$2:$BB$55,3,)))</f>
        <v>0</v>
      </c>
      <c r="AS3500" s="10" t="b">
        <f>IF(AND(I3500="TP",S3500&lt;=500),VLOOKUP(AF3500,TPCalibEq500!$AZ$2:$BB$56,3,),IF(AND(I3500="TDP",S3500&lt;=500),VLOOKUP(AF3500,TPCalibEq500!$AZ$2:$BB$56,3,)))</f>
        <v>0</v>
      </c>
      <c r="AT3500" s="10" t="b">
        <f>IF(AND(I3500="TN",S3500&lt;=2800),VLOOKUP(AF3500,TNCalibEq2500!$AZ$2:$BB$56,3,),IF(AND(I3500="TDN",S3500&lt;=2800),VLOOKUP(AF3500,TNCalibEq2500!$AZ$2:$BB$56,3,)))</f>
        <v>0</v>
      </c>
      <c r="AU3500" s="10" t="b">
        <f>IF(I3500="TP",VLOOKUP(AF3500,TPCalibEqFull!$AZ$2:$BB$56,3),IF(I3500="TDP",VLOOKUP(AF3500,TPCalibEqFull!$AZ$2:$BB$56,3),IF(I3500="TDN",VLOOKUP(AF3500,TNCalibEqFull!$AZ$1:$BB$56,3),IF(I3500="TN",VLOOKUP(AF3500,TNCalibEqFull!$AZ$1:$BB$56,3),FALSE))))</f>
        <v>0</v>
      </c>
      <c r="AV3500" s="10" t="str">
        <f t="shared" si="398"/>
        <v>0222 09:00:00-QAC-BLK-A-1-DI-LAB</v>
      </c>
    </row>
    <row r="3501" spans="1:48" s="10" customFormat="1" x14ac:dyDescent="0.55000000000000004">
      <c r="A3501" s="32">
        <v>44979</v>
      </c>
      <c r="B3501" s="33">
        <v>0.375</v>
      </c>
      <c r="C3501" s="10" t="s">
        <v>70</v>
      </c>
      <c r="D3501" s="10" t="s">
        <v>241</v>
      </c>
      <c r="E3501" s="10" t="s">
        <v>866</v>
      </c>
      <c r="F3501" s="10">
        <v>1</v>
      </c>
      <c r="G3501" s="10" t="s">
        <v>73</v>
      </c>
      <c r="H3501" s="10" t="s">
        <v>314</v>
      </c>
      <c r="I3501" s="10" t="s">
        <v>285</v>
      </c>
      <c r="J3501" s="10">
        <v>225</v>
      </c>
      <c r="K3501" s="12">
        <v>44980</v>
      </c>
      <c r="L3501" s="33">
        <v>0.47908564814814819</v>
      </c>
      <c r="M3501" s="10">
        <v>1</v>
      </c>
      <c r="N3501" s="10" t="s">
        <v>211</v>
      </c>
      <c r="O3501" s="10">
        <v>0.93100000000000005</v>
      </c>
      <c r="P3501" s="10">
        <v>9.2499999999999999E-2</v>
      </c>
      <c r="Q3501" s="10">
        <v>163</v>
      </c>
      <c r="R3501" s="10" t="s">
        <v>913</v>
      </c>
      <c r="S3501" s="34">
        <f t="shared" si="395"/>
        <v>163</v>
      </c>
      <c r="T3501" s="10" t="s">
        <v>1267</v>
      </c>
      <c r="U3501" s="34">
        <f t="shared" si="396"/>
        <v>102.85440000000001</v>
      </c>
      <c r="V3501" s="31">
        <f>IF(H3501="CHK",VLOOKUP(I3501,QCCHK,3,),IF(H3501="GUP",VLOOKUP(E3501,QCGUP,2,),IF(AND(H3501="ATP",OR(I3501="TN",I3501="TDN",I3501="TNO2-3",I3501="NO2-3")),VLOOKUP(E3501,QCREC_N,2,),IF(AND(H3501="NIC",OR(I3501="TN",I3501="TDN",I3501="TNO2-3",I3501="NO2-3")),VLOOKUP(E3501,QCNIC_N,2,),IF(AND(H3501="UREA",OR(I3501="TN",I3501="TDN",I3501="TNO2-3",I3501="NO2-3")),VLOOKUP(E3501,QCUREA_N,2,),IF(H3501="PER",VLOOKUP(I3501,QCPER,MATCH(E3501,QCACTUAL!$J$25:$AA$25,0),),IF(H3501="SPK",VLOOKUP(I3501,QCSPK,3,),IF(AND(H3501="ATP",OR(I3501="TP",I3501="TDP")),VLOOKUP(E3501,QCATP_P,2,),""))))))))</f>
        <v>156.25</v>
      </c>
      <c r="W3501" s="31" t="str">
        <f t="shared" si="397"/>
        <v>TRUE</v>
      </c>
      <c r="X3501" s="31" t="str">
        <f t="shared" si="394"/>
        <v>([spikedunkn]-[unkn])/[spike]*100</v>
      </c>
      <c r="Y3501" s="10" t="s">
        <v>1253</v>
      </c>
      <c r="AL3501" s="10" t="str">
        <f t="shared" si="399"/>
        <v>FALSE</v>
      </c>
      <c r="AM3501" s="10" t="str">
        <f t="shared" si="399"/>
        <v>FALSE</v>
      </c>
      <c r="AN3501" s="10" t="str">
        <f t="shared" si="399"/>
        <v>FALSE</v>
      </c>
      <c r="AO3501" s="10" t="str">
        <f t="shared" si="400"/>
        <v>FALSE</v>
      </c>
      <c r="AP3501" s="10" t="str">
        <f t="shared" si="400"/>
        <v>FALSE</v>
      </c>
      <c r="AQ3501" s="10" t="b">
        <f>IF(AND(I3501="TP",S3501&lt;=150),VLOOKUP(AF3501,TPCalibEq150!$AZ$2:$BB$55,3,),IF(AND(I3501="TDP",S3501&lt;=150),VLOOKUP(AF3501,TPCalibEq150!$AZ$2:$BB$55,3,)))</f>
        <v>0</v>
      </c>
      <c r="AR3501" s="10" t="b">
        <f>IF(AND(I3501="TP",S3501&lt;=300),VLOOKUP(AF3501,TPCalibEq300!$AZ$2:$BB$55,3,),IF(AND(I3501="TDP",S3501&lt;=300),VLOOKUP(AF3501,TPCalibEq300!$AZ$2:$BB$55,3,)))</f>
        <v>0</v>
      </c>
      <c r="AS3501" s="10" t="b">
        <f>IF(AND(I3501="TP",S3501&lt;=500),VLOOKUP(AF3501,TPCalibEq500!$AZ$2:$BB$56,3,),IF(AND(I3501="TDP",S3501&lt;=500),VLOOKUP(AF3501,TPCalibEq500!$AZ$2:$BB$56,3,)))</f>
        <v>0</v>
      </c>
      <c r="AT3501" s="10" t="b">
        <f>IF(AND(I3501="TN",S3501&lt;=2800),VLOOKUP(AF3501,TNCalibEq2500!$AZ$2:$BB$56,3,),IF(AND(I3501="TDN",S3501&lt;=2800),VLOOKUP(AF3501,TNCalibEq2500!$AZ$2:$BB$56,3,)))</f>
        <v>0</v>
      </c>
      <c r="AU3501" s="10" t="b">
        <f>IF(I3501="TP",VLOOKUP(AF3501,TPCalibEqFull!$AZ$2:$BB$56,3),IF(I3501="TDP",VLOOKUP(AF3501,TPCalibEqFull!$AZ$2:$BB$56,3),IF(I3501="TDN",VLOOKUP(AF3501,TNCalibEqFull!$AZ$1:$BB$56,3),IF(I3501="TN",VLOOKUP(AF3501,TNCalibEqFull!$AZ$1:$BB$56,3),FALSE))))</f>
        <v>0</v>
      </c>
      <c r="AV3501" s="10" t="str">
        <f t="shared" si="398"/>
        <v>0222 09:00:00-QAC-BLK-A-1-DI-SPK</v>
      </c>
    </row>
    <row r="3502" spans="1:48" s="10" customFormat="1" x14ac:dyDescent="0.55000000000000004">
      <c r="A3502" s="32">
        <v>44979</v>
      </c>
      <c r="B3502" s="33">
        <v>0.375</v>
      </c>
      <c r="C3502" s="10" t="s">
        <v>70</v>
      </c>
      <c r="D3502" s="10" t="s">
        <v>71</v>
      </c>
      <c r="E3502" s="10" t="s">
        <v>948</v>
      </c>
      <c r="F3502" s="10">
        <v>1</v>
      </c>
      <c r="G3502" s="10" t="s">
        <v>73</v>
      </c>
      <c r="H3502" s="10" t="s">
        <v>299</v>
      </c>
      <c r="I3502" s="10" t="s">
        <v>285</v>
      </c>
      <c r="J3502" s="10">
        <v>197</v>
      </c>
      <c r="K3502" s="12">
        <v>44980</v>
      </c>
      <c r="L3502" s="33">
        <v>0.47990740740740739</v>
      </c>
      <c r="M3502" s="10">
        <v>1</v>
      </c>
      <c r="N3502" s="10" t="s">
        <v>211</v>
      </c>
      <c r="O3502" s="10">
        <v>1.96</v>
      </c>
      <c r="P3502" s="10">
        <v>0.19600000000000001</v>
      </c>
      <c r="Q3502" s="10">
        <v>344</v>
      </c>
      <c r="R3502" s="10" t="s">
        <v>913</v>
      </c>
      <c r="S3502" s="34">
        <f t="shared" si="395"/>
        <v>344</v>
      </c>
      <c r="T3502" s="10" t="s">
        <v>1267</v>
      </c>
      <c r="U3502" s="34">
        <f t="shared" si="396"/>
        <v>97.175141242937855</v>
      </c>
      <c r="V3502" s="31">
        <f>IF(H3502="CHK",VLOOKUP(I3502,QCCHK,3,),IF(H3502="GUP",VLOOKUP(E3502,QCGUP,2,),IF(AND(H3502="ATP",OR(I3502="TN",I3502="TDN",I3502="TNO2-3",I3502="NO2-3")),VLOOKUP(E3502,QCREC_N,2,),IF(AND(H3502="NIC",OR(I3502="TN",I3502="TDN",I3502="TNO2-3",I3502="NO2-3")),VLOOKUP(E3502,QCNIC_N,2,),IF(AND(H3502="UREA",OR(I3502="TN",I3502="TDN",I3502="TNO2-3",I3502="NO2-3")),VLOOKUP(E3502,QCUREA_N,2,),IF(H3502="PER",VLOOKUP(I3502,QCPER,MATCH(E3502,QCACTUAL!$J$25:$AA$25,0),),IF(H3502="SPK",VLOOKUP(I3502,QCSPK,3,),IF(AND(H3502="ATP",OR(I3502="TP",I3502="TDP")),VLOOKUP(E3502,QCATP_P,2,),""))))))))</f>
        <v>354</v>
      </c>
      <c r="W3502" s="31" t="str">
        <f t="shared" si="397"/>
        <v>TRUE</v>
      </c>
      <c r="X3502" s="31" t="str">
        <f t="shared" si="394"/>
        <v>[per]/[actual]*100</v>
      </c>
      <c r="Y3502" s="10" t="s">
        <v>1253</v>
      </c>
      <c r="AL3502" s="10" t="str">
        <f t="shared" si="399"/>
        <v>FALSE</v>
      </c>
      <c r="AM3502" s="10" t="str">
        <f t="shared" si="399"/>
        <v>FALSE</v>
      </c>
      <c r="AN3502" s="10" t="str">
        <f t="shared" si="399"/>
        <v>FALSE</v>
      </c>
      <c r="AO3502" s="10" t="str">
        <f t="shared" si="400"/>
        <v>FALSE</v>
      </c>
      <c r="AP3502" s="10" t="str">
        <f t="shared" si="400"/>
        <v>FALSE</v>
      </c>
      <c r="AQ3502" s="10" t="b">
        <f>IF(AND(I3502="TP",S3502&lt;=150),VLOOKUP(AF3502,TPCalibEq150!$AZ$2:$BB$55,3,),IF(AND(I3502="TDP",S3502&lt;=150),VLOOKUP(AF3502,TPCalibEq150!$AZ$2:$BB$55,3,)))</f>
        <v>0</v>
      </c>
      <c r="AR3502" s="10" t="b">
        <f>IF(AND(I3502="TP",S3502&lt;=300),VLOOKUP(AF3502,TPCalibEq300!$AZ$2:$BB$55,3,),IF(AND(I3502="TDP",S3502&lt;=300),VLOOKUP(AF3502,TPCalibEq300!$AZ$2:$BB$55,3,)))</f>
        <v>0</v>
      </c>
      <c r="AS3502" s="10" t="b">
        <f>IF(AND(I3502="TP",S3502&lt;=500),VLOOKUP(AF3502,TPCalibEq500!$AZ$2:$BB$56,3,),IF(AND(I3502="TDP",S3502&lt;=500),VLOOKUP(AF3502,TPCalibEq500!$AZ$2:$BB$56,3,)))</f>
        <v>0</v>
      </c>
      <c r="AT3502" s="10" t="b">
        <f>IF(AND(I3502="TN",S3502&lt;=2800),VLOOKUP(AF3502,TNCalibEq2500!$AZ$2:$BB$56,3,),IF(AND(I3502="TDN",S3502&lt;=2800),VLOOKUP(AF3502,TNCalibEq2500!$AZ$2:$BB$56,3,)))</f>
        <v>0</v>
      </c>
      <c r="AU3502" s="10" t="b">
        <f>IF(I3502="TP",VLOOKUP(AF3502,TPCalibEqFull!$AZ$2:$BB$56,3),IF(I3502="TDP",VLOOKUP(AF3502,TPCalibEqFull!$AZ$2:$BB$56,3),IF(I3502="TDN",VLOOKUP(AF3502,TNCalibEqFull!$AZ$1:$BB$56,3),IF(I3502="TN",VLOOKUP(AF3502,TNCalibEqFull!$AZ$1:$BB$56,3),FALSE))))</f>
        <v>0</v>
      </c>
      <c r="AV3502" s="10" t="str">
        <f t="shared" si="398"/>
        <v>0222 09:00:00-QAC-STD-22A-1-DI-PER</v>
      </c>
    </row>
    <row r="3503" spans="1:48" s="10" customFormat="1" x14ac:dyDescent="0.55000000000000004">
      <c r="A3503" s="32">
        <v>44979</v>
      </c>
      <c r="B3503" s="33">
        <v>0.375</v>
      </c>
      <c r="C3503" s="10" t="s">
        <v>70</v>
      </c>
      <c r="D3503" s="10" t="s">
        <v>71</v>
      </c>
      <c r="E3503" s="10" t="s">
        <v>1060</v>
      </c>
      <c r="F3503" s="10">
        <v>1</v>
      </c>
      <c r="G3503" s="10" t="s">
        <v>73</v>
      </c>
      <c r="H3503" s="10" t="s">
        <v>299</v>
      </c>
      <c r="I3503" s="10" t="s">
        <v>285</v>
      </c>
      <c r="J3503" s="10">
        <v>196</v>
      </c>
      <c r="K3503" s="12">
        <v>44980</v>
      </c>
      <c r="L3503" s="33">
        <v>0.48072916666666665</v>
      </c>
      <c r="M3503" s="10">
        <v>1</v>
      </c>
      <c r="N3503" s="10" t="s">
        <v>211</v>
      </c>
      <c r="O3503" s="10">
        <v>1.22</v>
      </c>
      <c r="P3503" s="10">
        <v>0.121</v>
      </c>
      <c r="Q3503" s="10">
        <v>215</v>
      </c>
      <c r="R3503" s="10" t="s">
        <v>913</v>
      </c>
      <c r="S3503" s="34">
        <f t="shared" si="395"/>
        <v>215</v>
      </c>
      <c r="T3503" s="10" t="s">
        <v>1267</v>
      </c>
      <c r="U3503" s="34">
        <f t="shared" si="396"/>
        <v>107.5</v>
      </c>
      <c r="V3503" s="31">
        <f>IF(H3503="CHK",VLOOKUP(I3503,QCCHK,3,),IF(H3503="GUP",VLOOKUP(E3503,QCGUP,2,),IF(AND(H3503="ATP",OR(I3503="TN",I3503="TDN",I3503="TNO2-3",I3503="NO2-3")),VLOOKUP(E3503,QCREC_N,2,),IF(AND(H3503="NIC",OR(I3503="TN",I3503="TDN",I3503="TNO2-3",I3503="NO2-3")),VLOOKUP(E3503,QCNIC_N,2,),IF(AND(H3503="UREA",OR(I3503="TN",I3503="TDN",I3503="TNO2-3",I3503="NO2-3")),VLOOKUP(E3503,QCUREA_N,2,),IF(H3503="PER",VLOOKUP(I3503,QCPER,MATCH(E3503,QCACTUAL!$J$25:$AA$25,0),),IF(H3503="SPK",VLOOKUP(I3503,QCSPK,3,),IF(AND(H3503="ATP",OR(I3503="TP",I3503="TDP")),VLOOKUP(E3503,QCATP_P,2,),""))))))))</f>
        <v>200</v>
      </c>
      <c r="W3503" s="31" t="str">
        <f t="shared" si="397"/>
        <v>TRUE</v>
      </c>
      <c r="X3503" s="31" t="str">
        <f t="shared" si="394"/>
        <v>[per]/[actual]*100</v>
      </c>
      <c r="Y3503" s="10" t="s">
        <v>1253</v>
      </c>
      <c r="AL3503" s="10" t="str">
        <f t="shared" si="399"/>
        <v>FALSE</v>
      </c>
      <c r="AM3503" s="10" t="str">
        <f t="shared" si="399"/>
        <v>FALSE</v>
      </c>
      <c r="AN3503" s="10" t="str">
        <f t="shared" si="399"/>
        <v>FALSE</v>
      </c>
      <c r="AO3503" s="10" t="str">
        <f t="shared" si="400"/>
        <v>FALSE</v>
      </c>
      <c r="AP3503" s="10" t="str">
        <f t="shared" si="400"/>
        <v>FALSE</v>
      </c>
      <c r="AQ3503" s="10" t="b">
        <f>IF(AND(I3503="TP",S3503&lt;=150),VLOOKUP(AF3503,TPCalibEq150!$AZ$2:$BB$55,3,),IF(AND(I3503="TDP",S3503&lt;=150),VLOOKUP(AF3503,TPCalibEq150!$AZ$2:$BB$55,3,)))</f>
        <v>0</v>
      </c>
      <c r="AR3503" s="10" t="b">
        <f>IF(AND(I3503="TP",S3503&lt;=300),VLOOKUP(AF3503,TPCalibEq300!$AZ$2:$BB$55,3,),IF(AND(I3503="TDP",S3503&lt;=300),VLOOKUP(AF3503,TPCalibEq300!$AZ$2:$BB$55,3,)))</f>
        <v>0</v>
      </c>
      <c r="AS3503" s="10" t="b">
        <f>IF(AND(I3503="TP",S3503&lt;=500),VLOOKUP(AF3503,TPCalibEq500!$AZ$2:$BB$56,3,),IF(AND(I3503="TDP",S3503&lt;=500),VLOOKUP(AF3503,TPCalibEq500!$AZ$2:$BB$56,3,)))</f>
        <v>0</v>
      </c>
      <c r="AT3503" s="10" t="b">
        <f>IF(AND(I3503="TN",S3503&lt;=2800),VLOOKUP(AF3503,TNCalibEq2500!$AZ$2:$BB$56,3,),IF(AND(I3503="TDN",S3503&lt;=2800),VLOOKUP(AF3503,TNCalibEq2500!$AZ$2:$BB$56,3,)))</f>
        <v>0</v>
      </c>
      <c r="AU3503" s="10" t="b">
        <f>IF(I3503="TP",VLOOKUP(AF3503,TPCalibEqFull!$AZ$2:$BB$56,3),IF(I3503="TDP",VLOOKUP(AF3503,TPCalibEqFull!$AZ$2:$BB$56,3),IF(I3503="TDN",VLOOKUP(AF3503,TNCalibEqFull!$AZ$1:$BB$56,3),IF(I3503="TN",VLOOKUP(AF3503,TNCalibEqFull!$AZ$1:$BB$56,3),FALSE))))</f>
        <v>0</v>
      </c>
      <c r="AV3503" s="10" t="str">
        <f t="shared" si="398"/>
        <v>0222 09:00:00-QAC-STD-22B-1-DI-PER</v>
      </c>
    </row>
    <row r="3504" spans="1:48" s="10" customFormat="1" x14ac:dyDescent="0.55000000000000004">
      <c r="A3504" s="32">
        <v>44978</v>
      </c>
      <c r="B3504" s="33">
        <v>0.25</v>
      </c>
      <c r="C3504" s="10" t="s">
        <v>70</v>
      </c>
      <c r="D3504" s="10" t="s">
        <v>241</v>
      </c>
      <c r="E3504" s="10">
        <v>800</v>
      </c>
      <c r="F3504" s="10">
        <v>1</v>
      </c>
      <c r="G3504" s="10" t="s">
        <v>73</v>
      </c>
      <c r="H3504" s="10" t="s">
        <v>264</v>
      </c>
      <c r="I3504" s="10" t="s">
        <v>285</v>
      </c>
      <c r="J3504" s="10">
        <v>91</v>
      </c>
      <c r="K3504" s="12">
        <v>44980</v>
      </c>
      <c r="L3504" s="33">
        <v>0.48319444444444443</v>
      </c>
      <c r="M3504" s="10">
        <v>1</v>
      </c>
      <c r="N3504" s="10" t="s">
        <v>211</v>
      </c>
      <c r="O3504" s="10">
        <v>5.3400000000000003E-2</v>
      </c>
      <c r="P3504" s="10">
        <v>4.4400000000000004E-3</v>
      </c>
      <c r="Q3504" s="10">
        <v>8.67</v>
      </c>
      <c r="R3504" s="10" t="s">
        <v>913</v>
      </c>
      <c r="S3504" s="34">
        <f t="shared" si="395"/>
        <v>8.67</v>
      </c>
      <c r="T3504" s="10" t="s">
        <v>1267</v>
      </c>
      <c r="U3504" s="34">
        <f t="shared" si="396"/>
        <v>8.67</v>
      </c>
      <c r="V3504" s="31" t="str">
        <f>IF(H3504="CHK",VLOOKUP(I3504,QCCHK,3,),IF(H3504="GUP",VLOOKUP(E3504,QCGUP,2,),IF(AND(H3504="ATP",OR(I3504="TN",I3504="TDN",I3504="TNO2-3",I3504="NO2-3")),VLOOKUP(E3504,QCREC_N,2,),IF(AND(H3504="NIC",OR(I3504="TN",I3504="TDN",I3504="TNO2-3",I3504="NO2-3")),VLOOKUP(E3504,QCNIC_N,2,),IF(AND(H3504="UREA",OR(I3504="TN",I3504="TDN",I3504="TNO2-3",I3504="NO2-3")),VLOOKUP(E3504,QCUREA_N,2,),IF(H3504="PER",VLOOKUP(I3504,QCPER,MATCH(E3504,QCACTUAL!$J$25:$AA$25,0),),IF(H3504="SPK",VLOOKUP(I3504,QCSPK,3,),IF(AND(H3504="ATP",OR(I3504="TP",I3504="TDP")),VLOOKUP(E3504,QCATP_P,2,),""))))))))</f>
        <v/>
      </c>
      <c r="W3504" s="31" t="str">
        <f t="shared" si="397"/>
        <v>TRUE</v>
      </c>
      <c r="X3504" s="31" t="str">
        <f t="shared" si="394"/>
        <v>nominal concentration</v>
      </c>
      <c r="Y3504" s="10" t="s">
        <v>1253</v>
      </c>
      <c r="AL3504" s="10" t="str">
        <f t="shared" si="399"/>
        <v>FALSE</v>
      </c>
      <c r="AM3504" s="10" t="str">
        <f t="shared" si="399"/>
        <v>FALSE</v>
      </c>
      <c r="AN3504" s="10" t="str">
        <f t="shared" si="399"/>
        <v>FALSE</v>
      </c>
      <c r="AO3504" s="10" t="str">
        <f t="shared" si="400"/>
        <v>FALSE</v>
      </c>
      <c r="AP3504" s="10" t="str">
        <f t="shared" si="400"/>
        <v>FALSE</v>
      </c>
      <c r="AQ3504" s="10" t="b">
        <f>IF(AND(I3504="TP",S3504&lt;=150),VLOOKUP(AF3504,TPCalibEq150!$AZ$2:$BB$55,3,),IF(AND(I3504="TDP",S3504&lt;=150),VLOOKUP(AF3504,TPCalibEq150!$AZ$2:$BB$55,3,)))</f>
        <v>0</v>
      </c>
      <c r="AR3504" s="10" t="b">
        <f>IF(AND(I3504="TP",S3504&lt;=300),VLOOKUP(AF3504,TPCalibEq300!$AZ$2:$BB$55,3,),IF(AND(I3504="TDP",S3504&lt;=300),VLOOKUP(AF3504,TPCalibEq300!$AZ$2:$BB$55,3,)))</f>
        <v>0</v>
      </c>
      <c r="AS3504" s="10" t="b">
        <f>IF(AND(I3504="TP",S3504&lt;=500),VLOOKUP(AF3504,TPCalibEq500!$AZ$2:$BB$56,3,),IF(AND(I3504="TDP",S3504&lt;=500),VLOOKUP(AF3504,TPCalibEq500!$AZ$2:$BB$56,3,)))</f>
        <v>0</v>
      </c>
      <c r="AT3504" s="10" t="b">
        <f>IF(AND(I3504="TN",S3504&lt;=2800),VLOOKUP(AF3504,TNCalibEq2500!$AZ$2:$BB$56,3,),IF(AND(I3504="TDN",S3504&lt;=2800),VLOOKUP(AF3504,TNCalibEq2500!$AZ$2:$BB$56,3,)))</f>
        <v>0</v>
      </c>
      <c r="AU3504" s="10" t="b">
        <f>IF(I3504="TP",VLOOKUP(AF3504,TPCalibEqFull!$AZ$2:$BB$56,3),IF(I3504="TDP",VLOOKUP(AF3504,TPCalibEqFull!$AZ$2:$BB$56,3),IF(I3504="TDN",VLOOKUP(AF3504,TNCalibEqFull!$AZ$1:$BB$56,3),IF(I3504="TN",VLOOKUP(AF3504,TNCalibEqFull!$AZ$1:$BB$56,3),FALSE))))</f>
        <v>0</v>
      </c>
      <c r="AV3504" s="10" t="str">
        <f t="shared" si="398"/>
        <v>0221 06:00:00-QAC-BLK-800-1-DI-FLD</v>
      </c>
    </row>
    <row r="3505" spans="1:48" s="10" customFormat="1" x14ac:dyDescent="0.55000000000000004">
      <c r="A3505" s="32">
        <v>44978</v>
      </c>
      <c r="B3505" s="33">
        <v>0.23333333333333331</v>
      </c>
      <c r="C3505" s="10" t="s">
        <v>70</v>
      </c>
      <c r="D3505" s="10" t="s">
        <v>241</v>
      </c>
      <c r="E3505" s="10" t="s">
        <v>866</v>
      </c>
      <c r="F3505" s="10">
        <v>1</v>
      </c>
      <c r="G3505" s="10" t="s">
        <v>73</v>
      </c>
      <c r="H3505" s="10" t="s">
        <v>264</v>
      </c>
      <c r="I3505" s="10" t="s">
        <v>285</v>
      </c>
      <c r="J3505" s="10">
        <v>92</v>
      </c>
      <c r="K3505" s="12">
        <v>44980</v>
      </c>
      <c r="L3505" s="33">
        <v>0.48401620370370368</v>
      </c>
      <c r="M3505" s="10">
        <v>1</v>
      </c>
      <c r="N3505" s="10" t="s">
        <v>211</v>
      </c>
      <c r="O3505" s="10">
        <v>1.4E-2</v>
      </c>
      <c r="P3505" s="10">
        <v>5.5999999999999995E-4</v>
      </c>
      <c r="Q3505" s="10">
        <v>1.74</v>
      </c>
      <c r="R3505" s="10" t="s">
        <v>913</v>
      </c>
      <c r="S3505" s="34">
        <f t="shared" si="395"/>
        <v>1.74</v>
      </c>
      <c r="T3505" s="10" t="s">
        <v>1267</v>
      </c>
      <c r="U3505" s="34">
        <f t="shared" si="396"/>
        <v>1.74</v>
      </c>
      <c r="V3505" s="31" t="str">
        <f>IF(H3505="CHK",VLOOKUP(I3505,QCCHK,3,),IF(H3505="GUP",VLOOKUP(E3505,QCGUP,2,),IF(AND(H3505="ATP",OR(I3505="TN",I3505="TDN",I3505="TNO2-3",I3505="NO2-3")),VLOOKUP(E3505,QCREC_N,2,),IF(AND(H3505="NIC",OR(I3505="TN",I3505="TDN",I3505="TNO2-3",I3505="NO2-3")),VLOOKUP(E3505,QCNIC_N,2,),IF(AND(H3505="UREA",OR(I3505="TN",I3505="TDN",I3505="TNO2-3",I3505="NO2-3")),VLOOKUP(E3505,QCUREA_N,2,),IF(H3505="PER",VLOOKUP(I3505,QCPER,MATCH(E3505,QCACTUAL!$J$25:$AA$25,0),),IF(H3505="SPK",VLOOKUP(I3505,QCSPK,3,),IF(AND(H3505="ATP",OR(I3505="TP",I3505="TDP")),VLOOKUP(E3505,QCATP_P,2,),""))))))))</f>
        <v/>
      </c>
      <c r="W3505" s="31" t="str">
        <f t="shared" si="397"/>
        <v>TRUE</v>
      </c>
      <c r="X3505" s="31" t="str">
        <f t="shared" si="394"/>
        <v>nominal concentration</v>
      </c>
      <c r="Y3505" s="10" t="s">
        <v>1253</v>
      </c>
      <c r="AL3505" s="10" t="str">
        <f t="shared" si="399"/>
        <v>FALSE</v>
      </c>
      <c r="AM3505" s="10" t="str">
        <f t="shared" si="399"/>
        <v>FALSE</v>
      </c>
      <c r="AN3505" s="10" t="str">
        <f t="shared" si="399"/>
        <v>FALSE</v>
      </c>
      <c r="AO3505" s="10" t="str">
        <f t="shared" si="400"/>
        <v>FALSE</v>
      </c>
      <c r="AP3505" s="10" t="str">
        <f t="shared" si="400"/>
        <v>FALSE</v>
      </c>
      <c r="AQ3505" s="10" t="b">
        <f>IF(AND(I3505="TP",S3505&lt;=150),VLOOKUP(AF3505,TPCalibEq150!$AZ$2:$BB$55,3,),IF(AND(I3505="TDP",S3505&lt;=150),VLOOKUP(AF3505,TPCalibEq150!$AZ$2:$BB$55,3,)))</f>
        <v>0</v>
      </c>
      <c r="AR3505" s="10" t="b">
        <f>IF(AND(I3505="TP",S3505&lt;=300),VLOOKUP(AF3505,TPCalibEq300!$AZ$2:$BB$55,3,),IF(AND(I3505="TDP",S3505&lt;=300),VLOOKUP(AF3505,TPCalibEq300!$AZ$2:$BB$55,3,)))</f>
        <v>0</v>
      </c>
      <c r="AS3505" s="10" t="b">
        <f>IF(AND(I3505="TP",S3505&lt;=500),VLOOKUP(AF3505,TPCalibEq500!$AZ$2:$BB$56,3,),IF(AND(I3505="TDP",S3505&lt;=500),VLOOKUP(AF3505,TPCalibEq500!$AZ$2:$BB$56,3,)))</f>
        <v>0</v>
      </c>
      <c r="AT3505" s="10" t="b">
        <f>IF(AND(I3505="TN",S3505&lt;=2800),VLOOKUP(AF3505,TNCalibEq2500!$AZ$2:$BB$56,3,),IF(AND(I3505="TDN",S3505&lt;=2800),VLOOKUP(AF3505,TNCalibEq2500!$AZ$2:$BB$56,3,)))</f>
        <v>0</v>
      </c>
      <c r="AU3505" s="10" t="b">
        <f>IF(I3505="TP",VLOOKUP(AF3505,TPCalibEqFull!$AZ$2:$BB$56,3),IF(I3505="TDP",VLOOKUP(AF3505,TPCalibEqFull!$AZ$2:$BB$56,3),IF(I3505="TDN",VLOOKUP(AF3505,TNCalibEqFull!$AZ$1:$BB$56,3),IF(I3505="TN",VLOOKUP(AF3505,TNCalibEqFull!$AZ$1:$BB$56,3),FALSE))))</f>
        <v>0</v>
      </c>
      <c r="AV3505" s="10" t="str">
        <f t="shared" si="398"/>
        <v>0221 05:36:00-QAC-BLK-A-1-DI-FLD</v>
      </c>
    </row>
    <row r="3506" spans="1:48" s="10" customFormat="1" x14ac:dyDescent="0.55000000000000004">
      <c r="A3506" s="32">
        <v>44978</v>
      </c>
      <c r="B3506" s="33">
        <v>0.25</v>
      </c>
      <c r="C3506" s="10" t="s">
        <v>70</v>
      </c>
      <c r="D3506" s="10" t="s">
        <v>241</v>
      </c>
      <c r="E3506" s="10" t="s">
        <v>911</v>
      </c>
      <c r="F3506" s="10">
        <v>1</v>
      </c>
      <c r="G3506" s="10" t="s">
        <v>73</v>
      </c>
      <c r="H3506" s="10" t="s">
        <v>245</v>
      </c>
      <c r="I3506" s="10" t="s">
        <v>167</v>
      </c>
      <c r="J3506" s="10">
        <v>93</v>
      </c>
      <c r="K3506" s="12">
        <v>44980</v>
      </c>
      <c r="L3506" s="33">
        <v>0.48483796296296294</v>
      </c>
      <c r="M3506" s="10">
        <v>1</v>
      </c>
      <c r="N3506" s="10" t="s">
        <v>211</v>
      </c>
      <c r="O3506" s="10">
        <v>1.67E-2</v>
      </c>
      <c r="P3506" s="10">
        <v>8.0199999999999998E-4</v>
      </c>
      <c r="Q3506" s="10">
        <v>2.2000000000000002</v>
      </c>
      <c r="R3506" s="10" t="s">
        <v>913</v>
      </c>
      <c r="S3506" s="34">
        <f t="shared" si="395"/>
        <v>2.2000000000000002</v>
      </c>
      <c r="T3506" s="10" t="s">
        <v>1267</v>
      </c>
      <c r="U3506" s="34">
        <f t="shared" si="396"/>
        <v>2.2000000000000002</v>
      </c>
      <c r="V3506" s="31" t="str">
        <f>IF(H3506="CHK",VLOOKUP(I3506,QCCHK,3,),IF(H3506="GUP",VLOOKUP(E3506,QCGUP,2,),IF(AND(H3506="ATP",OR(I3506="TN",I3506="TDN",I3506="TNO2-3",I3506="NO2-3")),VLOOKUP(E3506,QCREC_N,2,),IF(AND(H3506="NIC",OR(I3506="TN",I3506="TDN",I3506="TNO2-3",I3506="NO2-3")),VLOOKUP(E3506,QCNIC_N,2,),IF(AND(H3506="UREA",OR(I3506="TN",I3506="TDN",I3506="TNO2-3",I3506="NO2-3")),VLOOKUP(E3506,QCUREA_N,2,),IF(H3506="PER",VLOOKUP(I3506,QCPER,MATCH(E3506,QCACTUAL!$J$25:$AA$25,0),),IF(H3506="SPK",VLOOKUP(I3506,QCSPK,3,),IF(AND(H3506="ATP",OR(I3506="TP",I3506="TDP")),VLOOKUP(E3506,QCATP_P,2,),""))))))))</f>
        <v/>
      </c>
      <c r="W3506" s="31" t="str">
        <f t="shared" si="397"/>
        <v>TRUE</v>
      </c>
      <c r="X3506" s="31" t="str">
        <f t="shared" si="394"/>
        <v>nominal concentration</v>
      </c>
      <c r="Y3506" s="10" t="s">
        <v>1253</v>
      </c>
      <c r="AL3506" s="10" t="str">
        <f t="shared" si="399"/>
        <v>FALSE</v>
      </c>
      <c r="AM3506" s="10" t="str">
        <f t="shared" si="399"/>
        <v>FALSE</v>
      </c>
      <c r="AN3506" s="10" t="str">
        <f t="shared" si="399"/>
        <v>FALSE</v>
      </c>
      <c r="AO3506" s="10" t="str">
        <f t="shared" si="400"/>
        <v>FALSE</v>
      </c>
      <c r="AP3506" s="10" t="str">
        <f t="shared" si="400"/>
        <v>FALSE</v>
      </c>
      <c r="AQ3506" s="10" t="b">
        <f>IF(AND(I3506="TP",S3506&lt;=150),VLOOKUP(AF3506,TPCalibEq150!$AZ$2:$BB$55,3,),IF(AND(I3506="TDP",S3506&lt;=150),VLOOKUP(AF3506,TPCalibEq150!$AZ$2:$BB$55,3,)))</f>
        <v>0</v>
      </c>
      <c r="AR3506" s="10" t="b">
        <f>IF(AND(I3506="TP",S3506&lt;=300),VLOOKUP(AF3506,TPCalibEq300!$AZ$2:$BB$55,3,),IF(AND(I3506="TDP",S3506&lt;=300),VLOOKUP(AF3506,TPCalibEq300!$AZ$2:$BB$55,3,)))</f>
        <v>0</v>
      </c>
      <c r="AS3506" s="10" t="b">
        <f>IF(AND(I3506="TP",S3506&lt;=500),VLOOKUP(AF3506,TPCalibEq500!$AZ$2:$BB$56,3,),IF(AND(I3506="TDP",S3506&lt;=500),VLOOKUP(AF3506,TPCalibEq500!$AZ$2:$BB$56,3,)))</f>
        <v>0</v>
      </c>
      <c r="AT3506" s="10" t="b">
        <f>IF(AND(I3506="TN",S3506&lt;=2800),VLOOKUP(AF3506,TNCalibEq2500!$AZ$2:$BB$56,3,),IF(AND(I3506="TDN",S3506&lt;=2800),VLOOKUP(AF3506,TNCalibEq2500!$AZ$2:$BB$56,3,)))</f>
        <v>0</v>
      </c>
      <c r="AU3506" s="10" t="b">
        <f>IF(I3506="TP",VLOOKUP(AF3506,TPCalibEqFull!$AZ$2:$BB$56,3),IF(I3506="TDP",VLOOKUP(AF3506,TPCalibEqFull!$AZ$2:$BB$56,3),IF(I3506="TDN",VLOOKUP(AF3506,TNCalibEqFull!$AZ$1:$BB$56,3),IF(I3506="TN",VLOOKUP(AF3506,TNCalibEqFull!$AZ$1:$BB$56,3),FALSE))))</f>
        <v>0</v>
      </c>
      <c r="AV3506" s="10" t="str">
        <f t="shared" si="398"/>
        <v>0221 06:00:00-QAC-BLK-FIL-1-DI-ESF</v>
      </c>
    </row>
    <row r="3507" spans="1:48" s="10" customFormat="1" x14ac:dyDescent="0.55000000000000004">
      <c r="A3507" s="32">
        <v>44978</v>
      </c>
      <c r="B3507" s="33">
        <v>0.23333333333333331</v>
      </c>
      <c r="C3507" s="10" t="s">
        <v>70</v>
      </c>
      <c r="D3507" s="10" t="s">
        <v>241</v>
      </c>
      <c r="E3507" s="10" t="s">
        <v>911</v>
      </c>
      <c r="F3507" s="10">
        <v>1</v>
      </c>
      <c r="G3507" s="10" t="s">
        <v>73</v>
      </c>
      <c r="H3507" s="10" t="s">
        <v>245</v>
      </c>
      <c r="I3507" s="10" t="s">
        <v>167</v>
      </c>
      <c r="J3507" s="10">
        <v>94</v>
      </c>
      <c r="K3507" s="12">
        <v>44980</v>
      </c>
      <c r="L3507" s="33">
        <v>0.48564814814814811</v>
      </c>
      <c r="M3507" s="10">
        <v>1</v>
      </c>
      <c r="N3507" s="10" t="s">
        <v>211</v>
      </c>
      <c r="O3507" s="10">
        <v>1.2999999999999999E-2</v>
      </c>
      <c r="P3507" s="10">
        <v>1.07E-3</v>
      </c>
      <c r="Q3507" s="10">
        <v>1.56</v>
      </c>
      <c r="R3507" s="10" t="s">
        <v>913</v>
      </c>
      <c r="S3507" s="34">
        <f t="shared" si="395"/>
        <v>1.56</v>
      </c>
      <c r="T3507" s="10" t="s">
        <v>1267</v>
      </c>
      <c r="U3507" s="34">
        <f t="shared" si="396"/>
        <v>1.56</v>
      </c>
      <c r="V3507" s="31" t="str">
        <f>IF(H3507="CHK",VLOOKUP(I3507,QCCHK,3,),IF(H3507="GUP",VLOOKUP(E3507,QCGUP,2,),IF(AND(H3507="ATP",OR(I3507="TN",I3507="TDN",I3507="TNO2-3",I3507="NO2-3")),VLOOKUP(E3507,QCREC_N,2,),IF(AND(H3507="NIC",OR(I3507="TN",I3507="TDN",I3507="TNO2-3",I3507="NO2-3")),VLOOKUP(E3507,QCNIC_N,2,),IF(AND(H3507="UREA",OR(I3507="TN",I3507="TDN",I3507="TNO2-3",I3507="NO2-3")),VLOOKUP(E3507,QCUREA_N,2,),IF(H3507="PER",VLOOKUP(I3507,QCPER,MATCH(E3507,QCACTUAL!$J$25:$AA$25,0),),IF(H3507="SPK",VLOOKUP(I3507,QCSPK,3,),IF(AND(H3507="ATP",OR(I3507="TP",I3507="TDP")),VLOOKUP(E3507,QCATP_P,2,),""))))))))</f>
        <v/>
      </c>
      <c r="W3507" s="31" t="str">
        <f t="shared" si="397"/>
        <v>TRUE</v>
      </c>
      <c r="X3507" s="31" t="str">
        <f t="shared" si="394"/>
        <v>nominal concentration</v>
      </c>
      <c r="Y3507" s="10" t="s">
        <v>1253</v>
      </c>
      <c r="AL3507" s="10" t="str">
        <f t="shared" si="399"/>
        <v>FALSE</v>
      </c>
      <c r="AM3507" s="10" t="str">
        <f t="shared" si="399"/>
        <v>FALSE</v>
      </c>
      <c r="AN3507" s="10" t="str">
        <f t="shared" si="399"/>
        <v>FALSE</v>
      </c>
      <c r="AO3507" s="10" t="str">
        <f t="shared" si="400"/>
        <v>FALSE</v>
      </c>
      <c r="AP3507" s="10" t="str">
        <f t="shared" si="400"/>
        <v>FALSE</v>
      </c>
      <c r="AQ3507" s="10" t="b">
        <f>IF(AND(I3507="TP",S3507&lt;=150),VLOOKUP(AF3507,TPCalibEq150!$AZ$2:$BB$55,3,),IF(AND(I3507="TDP",S3507&lt;=150),VLOOKUP(AF3507,TPCalibEq150!$AZ$2:$BB$55,3,)))</f>
        <v>0</v>
      </c>
      <c r="AR3507" s="10" t="b">
        <f>IF(AND(I3507="TP",S3507&lt;=300),VLOOKUP(AF3507,TPCalibEq300!$AZ$2:$BB$55,3,),IF(AND(I3507="TDP",S3507&lt;=300),VLOOKUP(AF3507,TPCalibEq300!$AZ$2:$BB$55,3,)))</f>
        <v>0</v>
      </c>
      <c r="AS3507" s="10" t="b">
        <f>IF(AND(I3507="TP",S3507&lt;=500),VLOOKUP(AF3507,TPCalibEq500!$AZ$2:$BB$56,3,),IF(AND(I3507="TDP",S3507&lt;=500),VLOOKUP(AF3507,TPCalibEq500!$AZ$2:$BB$56,3,)))</f>
        <v>0</v>
      </c>
      <c r="AT3507" s="10" t="b">
        <f>IF(AND(I3507="TN",S3507&lt;=2800),VLOOKUP(AF3507,TNCalibEq2500!$AZ$2:$BB$56,3,),IF(AND(I3507="TDN",S3507&lt;=2800),VLOOKUP(AF3507,TNCalibEq2500!$AZ$2:$BB$56,3,)))</f>
        <v>0</v>
      </c>
      <c r="AU3507" s="10" t="b">
        <f>IF(I3507="TP",VLOOKUP(AF3507,TPCalibEqFull!$AZ$2:$BB$56,3),IF(I3507="TDP",VLOOKUP(AF3507,TPCalibEqFull!$AZ$2:$BB$56,3),IF(I3507="TDN",VLOOKUP(AF3507,TNCalibEqFull!$AZ$1:$BB$56,3),IF(I3507="TN",VLOOKUP(AF3507,TNCalibEqFull!$AZ$1:$BB$56,3),FALSE))))</f>
        <v>0</v>
      </c>
      <c r="AV3507" s="10" t="str">
        <f t="shared" si="398"/>
        <v>0221 05:36:00-QAC-BLK-FIL-1-DI-ESF</v>
      </c>
    </row>
    <row r="3508" spans="1:48" s="10" customFormat="1" x14ac:dyDescent="0.55000000000000004">
      <c r="A3508" s="32">
        <v>44972</v>
      </c>
      <c r="B3508" s="33">
        <v>0.22430555555555556</v>
      </c>
      <c r="C3508" s="10" t="s">
        <v>279</v>
      </c>
      <c r="D3508" s="10">
        <v>0</v>
      </c>
      <c r="E3508" s="10" t="s">
        <v>190</v>
      </c>
      <c r="F3508" s="10">
        <v>1</v>
      </c>
      <c r="G3508" s="10" t="s">
        <v>231</v>
      </c>
      <c r="H3508" s="10" t="s">
        <v>322</v>
      </c>
      <c r="I3508" s="10" t="s">
        <v>285</v>
      </c>
      <c r="J3508" s="10">
        <v>1</v>
      </c>
      <c r="K3508" s="12">
        <v>44980</v>
      </c>
      <c r="L3508" s="33">
        <v>0.48648148148148151</v>
      </c>
      <c r="M3508" s="10">
        <v>1</v>
      </c>
      <c r="N3508" s="10" t="s">
        <v>211</v>
      </c>
      <c r="O3508" s="10">
        <v>0.64800000000000002</v>
      </c>
      <c r="P3508" s="10">
        <v>6.2600000000000003E-2</v>
      </c>
      <c r="Q3508" s="10">
        <v>113</v>
      </c>
      <c r="R3508" s="10" t="s">
        <v>913</v>
      </c>
      <c r="S3508" s="34">
        <f t="shared" si="395"/>
        <v>113</v>
      </c>
      <c r="T3508" s="10" t="s">
        <v>1267</v>
      </c>
      <c r="U3508" s="34" t="str">
        <f t="shared" si="396"/>
        <v/>
      </c>
      <c r="V3508" s="31" t="str">
        <f>IF(H3508="CHK",VLOOKUP(I3508,QCCHK,3,),IF(H3508="GUP",VLOOKUP(E3508,QCGUP,2,),IF(AND(H3508="ATP",OR(I3508="TN",I3508="TDN",I3508="TNO2-3",I3508="NO2-3")),VLOOKUP(E3508,QCREC_N,2,),IF(AND(H3508="NIC",OR(I3508="TN",I3508="TDN",I3508="TNO2-3",I3508="NO2-3")),VLOOKUP(E3508,QCNIC_N,2,),IF(AND(H3508="UREA",OR(I3508="TN",I3508="TDN",I3508="TNO2-3",I3508="NO2-3")),VLOOKUP(E3508,QCUREA_N,2,),IF(H3508="PER",VLOOKUP(I3508,QCPER,MATCH(E3508,QCACTUAL!$J$25:$AA$25,0),),IF(H3508="SPK",VLOOKUP(I3508,QCSPK,3,),IF(AND(H3508="ATP",OR(I3508="TP",I3508="TDP")),VLOOKUP(E3508,QCATP_P,2,),""))))))))</f>
        <v/>
      </c>
      <c r="W3508" s="31" t="str">
        <f t="shared" si="397"/>
        <v>TRUE</v>
      </c>
      <c r="X3508" s="31" t="str">
        <f t="shared" si="394"/>
        <v/>
      </c>
      <c r="Y3508" s="10" t="s">
        <v>1253</v>
      </c>
      <c r="Z3508" s="10" t="s">
        <v>910</v>
      </c>
      <c r="AL3508" s="10" t="str">
        <f t="shared" si="399"/>
        <v>FALSE</v>
      </c>
      <c r="AM3508" s="10" t="str">
        <f t="shared" si="399"/>
        <v>FALSE</v>
      </c>
      <c r="AN3508" s="10" t="str">
        <f t="shared" si="399"/>
        <v>FALSE</v>
      </c>
      <c r="AO3508" s="10" t="str">
        <f t="shared" si="400"/>
        <v>FALSE</v>
      </c>
      <c r="AP3508" s="10" t="str">
        <f t="shared" si="400"/>
        <v>FALSE</v>
      </c>
      <c r="AQ3508" s="10" t="b">
        <f>IF(AND(I3508="TP",S3508&lt;=150),VLOOKUP(AF3508,TPCalibEq150!$AZ$2:$BB$55,3,),IF(AND(I3508="TDP",S3508&lt;=150),VLOOKUP(AF3508,TPCalibEq150!$AZ$2:$BB$55,3,)))</f>
        <v>0</v>
      </c>
      <c r="AR3508" s="10" t="b">
        <f>IF(AND(I3508="TP",S3508&lt;=300),VLOOKUP(AF3508,TPCalibEq300!$AZ$2:$BB$55,3,),IF(AND(I3508="TDP",S3508&lt;=300),VLOOKUP(AF3508,TPCalibEq300!$AZ$2:$BB$55,3,)))</f>
        <v>0</v>
      </c>
      <c r="AS3508" s="10" t="b">
        <f>IF(AND(I3508="TP",S3508&lt;=500),VLOOKUP(AF3508,TPCalibEq500!$AZ$2:$BB$56,3,),IF(AND(I3508="TDP",S3508&lt;=500),VLOOKUP(AF3508,TPCalibEq500!$AZ$2:$BB$56,3,)))</f>
        <v>0</v>
      </c>
      <c r="AT3508" s="10" t="b">
        <f>IF(AND(I3508="TN",S3508&lt;=2800),VLOOKUP(AF3508,TNCalibEq2500!$AZ$2:$BB$56,3,),IF(AND(I3508="TDN",S3508&lt;=2800),VLOOKUP(AF3508,TNCalibEq2500!$AZ$2:$BB$56,3,)))</f>
        <v>0</v>
      </c>
      <c r="AU3508" s="10" t="b">
        <f>IF(I3508="TP",VLOOKUP(AF3508,TPCalibEqFull!$AZ$2:$BB$56,3),IF(I3508="TDP",VLOOKUP(AF3508,TPCalibEqFull!$AZ$2:$BB$56,3),IF(I3508="TDN",VLOOKUP(AF3508,TNCalibEqFull!$AZ$1:$BB$56,3),IF(I3508="TN",VLOOKUP(AF3508,TNCalibEqFull!$AZ$1:$BB$56,3),FALSE))))</f>
        <v>0</v>
      </c>
      <c r="AV3508" s="10" t="str">
        <f t="shared" si="398"/>
        <v>0215 05:23:00-EFK-0-C-1-SW-UKN</v>
      </c>
    </row>
    <row r="3509" spans="1:48" s="10" customFormat="1" x14ac:dyDescent="0.55000000000000004">
      <c r="A3509" s="32">
        <v>44972</v>
      </c>
      <c r="B3509" s="33">
        <v>0.22777777777777777</v>
      </c>
      <c r="C3509" s="10" t="s">
        <v>333</v>
      </c>
      <c r="D3509" s="10">
        <v>0</v>
      </c>
      <c r="E3509" s="10" t="s">
        <v>190</v>
      </c>
      <c r="F3509" s="10">
        <v>1</v>
      </c>
      <c r="G3509" s="10" t="s">
        <v>231</v>
      </c>
      <c r="H3509" s="10" t="s">
        <v>322</v>
      </c>
      <c r="I3509" s="10" t="s">
        <v>285</v>
      </c>
      <c r="J3509" s="10">
        <v>2</v>
      </c>
      <c r="K3509" s="12">
        <v>44980</v>
      </c>
      <c r="L3509" s="33">
        <v>0.48730324074074072</v>
      </c>
      <c r="M3509" s="10">
        <v>1</v>
      </c>
      <c r="N3509" s="10" t="s">
        <v>211</v>
      </c>
      <c r="O3509" s="10">
        <v>0.153</v>
      </c>
      <c r="P3509" s="10">
        <v>1.4200000000000001E-2</v>
      </c>
      <c r="Q3509" s="10">
        <v>26.2</v>
      </c>
      <c r="R3509" s="10" t="s">
        <v>913</v>
      </c>
      <c r="S3509" s="34">
        <f t="shared" si="395"/>
        <v>26.2</v>
      </c>
      <c r="T3509" s="10" t="s">
        <v>1267</v>
      </c>
      <c r="U3509" s="34" t="str">
        <f t="shared" si="396"/>
        <v/>
      </c>
      <c r="V3509" s="31" t="str">
        <f>IF(H3509="CHK",VLOOKUP(I3509,QCCHK,3,),IF(H3509="GUP",VLOOKUP(E3509,QCGUP,2,),IF(AND(H3509="ATP",OR(I3509="TN",I3509="TDN",I3509="TNO2-3",I3509="NO2-3")),VLOOKUP(E3509,QCREC_N,2,),IF(AND(H3509="NIC",OR(I3509="TN",I3509="TDN",I3509="TNO2-3",I3509="NO2-3")),VLOOKUP(E3509,QCNIC_N,2,),IF(AND(H3509="UREA",OR(I3509="TN",I3509="TDN",I3509="TNO2-3",I3509="NO2-3")),VLOOKUP(E3509,QCUREA_N,2,),IF(H3509="PER",VLOOKUP(I3509,QCPER,MATCH(E3509,QCACTUAL!$J$25:$AA$25,0),),IF(H3509="SPK",VLOOKUP(I3509,QCSPK,3,),IF(AND(H3509="ATP",OR(I3509="TP",I3509="TDP")),VLOOKUP(E3509,QCATP_P,2,),""))))))))</f>
        <v/>
      </c>
      <c r="W3509" s="31" t="str">
        <f t="shared" si="397"/>
        <v>TRUE</v>
      </c>
      <c r="X3509" s="31" t="str">
        <f t="shared" si="394"/>
        <v/>
      </c>
      <c r="Y3509" s="10" t="s">
        <v>1253</v>
      </c>
      <c r="Z3509" s="10" t="s">
        <v>910</v>
      </c>
      <c r="AL3509" s="10" t="str">
        <f t="shared" si="399"/>
        <v>FALSE</v>
      </c>
      <c r="AM3509" s="10" t="str">
        <f t="shared" si="399"/>
        <v>FALSE</v>
      </c>
      <c r="AN3509" s="10" t="str">
        <f t="shared" si="399"/>
        <v>FALSE</v>
      </c>
      <c r="AO3509" s="10" t="str">
        <f t="shared" si="400"/>
        <v>FALSE</v>
      </c>
      <c r="AP3509" s="10" t="str">
        <f t="shared" si="400"/>
        <v>FALSE</v>
      </c>
      <c r="AQ3509" s="10" t="b">
        <f>IF(AND(I3509="TP",S3509&lt;=150),VLOOKUP(AF3509,TPCalibEq150!$AZ$2:$BB$55,3,),IF(AND(I3509="TDP",S3509&lt;=150),VLOOKUP(AF3509,TPCalibEq150!$AZ$2:$BB$55,3,)))</f>
        <v>0</v>
      </c>
      <c r="AR3509" s="10" t="b">
        <f>IF(AND(I3509="TP",S3509&lt;=300),VLOOKUP(AF3509,TPCalibEq300!$AZ$2:$BB$55,3,),IF(AND(I3509="TDP",S3509&lt;=300),VLOOKUP(AF3509,TPCalibEq300!$AZ$2:$BB$55,3,)))</f>
        <v>0</v>
      </c>
      <c r="AS3509" s="10" t="b">
        <f>IF(AND(I3509="TP",S3509&lt;=500),VLOOKUP(AF3509,TPCalibEq500!$AZ$2:$BB$56,3,),IF(AND(I3509="TDP",S3509&lt;=500),VLOOKUP(AF3509,TPCalibEq500!$AZ$2:$BB$56,3,)))</f>
        <v>0</v>
      </c>
      <c r="AT3509" s="10" t="b">
        <f>IF(AND(I3509="TN",S3509&lt;=2800),VLOOKUP(AF3509,TNCalibEq2500!$AZ$2:$BB$56,3,),IF(AND(I3509="TDN",S3509&lt;=2800),VLOOKUP(AF3509,TNCalibEq2500!$AZ$2:$BB$56,3,)))</f>
        <v>0</v>
      </c>
      <c r="AU3509" s="10" t="b">
        <f>IF(I3509="TP",VLOOKUP(AF3509,TPCalibEqFull!$AZ$2:$BB$56,3),IF(I3509="TDP",VLOOKUP(AF3509,TPCalibEqFull!$AZ$2:$BB$56,3),IF(I3509="TDN",VLOOKUP(AF3509,TNCalibEqFull!$AZ$1:$BB$56,3),IF(I3509="TN",VLOOKUP(AF3509,TNCalibEqFull!$AZ$1:$BB$56,3),FALSE))))</f>
        <v>0</v>
      </c>
      <c r="AV3509" s="10" t="str">
        <f t="shared" si="398"/>
        <v>0215 05:28:00-HST-0-C-1-SW-UKN</v>
      </c>
    </row>
    <row r="3510" spans="1:48" s="10" customFormat="1" x14ac:dyDescent="0.55000000000000004">
      <c r="A3510" s="32">
        <v>44974</v>
      </c>
      <c r="B3510" s="33">
        <v>0.36388888888888887</v>
      </c>
      <c r="C3510" s="10" t="s">
        <v>279</v>
      </c>
      <c r="D3510" s="10">
        <v>0</v>
      </c>
      <c r="E3510" s="10" t="s">
        <v>190</v>
      </c>
      <c r="F3510" s="10">
        <v>1</v>
      </c>
      <c r="G3510" s="10" t="s">
        <v>231</v>
      </c>
      <c r="H3510" s="10" t="s">
        <v>322</v>
      </c>
      <c r="I3510" s="10" t="s">
        <v>285</v>
      </c>
      <c r="J3510" s="10">
        <v>3</v>
      </c>
      <c r="K3510" s="12">
        <v>44980</v>
      </c>
      <c r="L3510" s="33">
        <v>0.48812499999999998</v>
      </c>
      <c r="M3510" s="10">
        <v>1</v>
      </c>
      <c r="N3510" s="10" t="s">
        <v>211</v>
      </c>
      <c r="O3510" s="10">
        <v>0.64500000000000002</v>
      </c>
      <c r="P3510" s="10">
        <v>6.2100000000000002E-2</v>
      </c>
      <c r="Q3510" s="10">
        <v>113</v>
      </c>
      <c r="R3510" s="10" t="s">
        <v>913</v>
      </c>
      <c r="S3510" s="34">
        <f t="shared" si="395"/>
        <v>113</v>
      </c>
      <c r="T3510" s="10" t="s">
        <v>1267</v>
      </c>
      <c r="U3510" s="34" t="str">
        <f t="shared" si="396"/>
        <v/>
      </c>
      <c r="V3510" s="31" t="str">
        <f>IF(H3510="CHK",VLOOKUP(I3510,QCCHK,3,),IF(H3510="GUP",VLOOKUP(E3510,QCGUP,2,),IF(AND(H3510="ATP",OR(I3510="TN",I3510="TDN",I3510="TNO2-3",I3510="NO2-3")),VLOOKUP(E3510,QCREC_N,2,),IF(AND(H3510="NIC",OR(I3510="TN",I3510="TDN",I3510="TNO2-3",I3510="NO2-3")),VLOOKUP(E3510,QCNIC_N,2,),IF(AND(H3510="UREA",OR(I3510="TN",I3510="TDN",I3510="TNO2-3",I3510="NO2-3")),VLOOKUP(E3510,QCUREA_N,2,),IF(H3510="PER",VLOOKUP(I3510,QCPER,MATCH(E3510,QCACTUAL!$J$25:$AA$25,0),),IF(H3510="SPK",VLOOKUP(I3510,QCSPK,3,),IF(AND(H3510="ATP",OR(I3510="TP",I3510="TDP")),VLOOKUP(E3510,QCATP_P,2,),""))))))))</f>
        <v/>
      </c>
      <c r="W3510" s="31" t="str">
        <f t="shared" si="397"/>
        <v>TRUE</v>
      </c>
      <c r="X3510" s="31" t="str">
        <f t="shared" si="394"/>
        <v/>
      </c>
      <c r="Y3510" s="10" t="s">
        <v>1253</v>
      </c>
      <c r="Z3510" s="10" t="s">
        <v>910</v>
      </c>
      <c r="AL3510" s="10" t="str">
        <f t="shared" si="399"/>
        <v>FALSE</v>
      </c>
      <c r="AM3510" s="10" t="str">
        <f t="shared" si="399"/>
        <v>FALSE</v>
      </c>
      <c r="AN3510" s="10" t="str">
        <f t="shared" si="399"/>
        <v>FALSE</v>
      </c>
      <c r="AO3510" s="10" t="str">
        <f t="shared" si="400"/>
        <v>FALSE</v>
      </c>
      <c r="AP3510" s="10" t="str">
        <f t="shared" si="400"/>
        <v>FALSE</v>
      </c>
      <c r="AQ3510" s="10" t="b">
        <f>IF(AND(I3510="TP",S3510&lt;=150),VLOOKUP(AF3510,TPCalibEq150!$AZ$2:$BB$55,3,),IF(AND(I3510="TDP",S3510&lt;=150),VLOOKUP(AF3510,TPCalibEq150!$AZ$2:$BB$55,3,)))</f>
        <v>0</v>
      </c>
      <c r="AR3510" s="10" t="b">
        <f>IF(AND(I3510="TP",S3510&lt;=300),VLOOKUP(AF3510,TPCalibEq300!$AZ$2:$BB$55,3,),IF(AND(I3510="TDP",S3510&lt;=300),VLOOKUP(AF3510,TPCalibEq300!$AZ$2:$BB$55,3,)))</f>
        <v>0</v>
      </c>
      <c r="AS3510" s="10" t="b">
        <f>IF(AND(I3510="TP",S3510&lt;=500),VLOOKUP(AF3510,TPCalibEq500!$AZ$2:$BB$56,3,),IF(AND(I3510="TDP",S3510&lt;=500),VLOOKUP(AF3510,TPCalibEq500!$AZ$2:$BB$56,3,)))</f>
        <v>0</v>
      </c>
      <c r="AT3510" s="10" t="b">
        <f>IF(AND(I3510="TN",S3510&lt;=2800),VLOOKUP(AF3510,TNCalibEq2500!$AZ$2:$BB$56,3,),IF(AND(I3510="TDN",S3510&lt;=2800),VLOOKUP(AF3510,TNCalibEq2500!$AZ$2:$BB$56,3,)))</f>
        <v>0</v>
      </c>
      <c r="AU3510" s="10" t="b">
        <f>IF(I3510="TP",VLOOKUP(AF3510,TPCalibEqFull!$AZ$2:$BB$56,3),IF(I3510="TDP",VLOOKUP(AF3510,TPCalibEqFull!$AZ$2:$BB$56,3),IF(I3510="TDN",VLOOKUP(AF3510,TNCalibEqFull!$AZ$1:$BB$56,3),IF(I3510="TN",VLOOKUP(AF3510,TNCalibEqFull!$AZ$1:$BB$56,3),FALSE))))</f>
        <v>0</v>
      </c>
      <c r="AV3510" s="10" t="str">
        <f t="shared" si="398"/>
        <v>0217 08:44:00-EFK-0-C-1-SW-UKN</v>
      </c>
    </row>
    <row r="3511" spans="1:48" s="10" customFormat="1" x14ac:dyDescent="0.55000000000000004">
      <c r="A3511" s="32">
        <v>44974</v>
      </c>
      <c r="B3511" s="33">
        <v>0.35833333333333334</v>
      </c>
      <c r="C3511" s="10" t="s">
        <v>333</v>
      </c>
      <c r="D3511" s="10">
        <v>0</v>
      </c>
      <c r="E3511" s="10" t="s">
        <v>190</v>
      </c>
      <c r="F3511" s="10">
        <v>1</v>
      </c>
      <c r="G3511" s="10" t="s">
        <v>231</v>
      </c>
      <c r="H3511" s="10" t="s">
        <v>322</v>
      </c>
      <c r="I3511" s="10" t="s">
        <v>285</v>
      </c>
      <c r="J3511" s="10">
        <v>4</v>
      </c>
      <c r="K3511" s="12">
        <v>44980</v>
      </c>
      <c r="L3511" s="33">
        <v>0.48894675925925929</v>
      </c>
      <c r="M3511" s="10">
        <v>1</v>
      </c>
      <c r="N3511" s="10" t="s">
        <v>211</v>
      </c>
      <c r="O3511" s="10">
        <v>0.33600000000000002</v>
      </c>
      <c r="P3511" s="10">
        <v>3.1399999999999997E-2</v>
      </c>
      <c r="Q3511" s="10">
        <v>58.4</v>
      </c>
      <c r="R3511" s="10" t="s">
        <v>913</v>
      </c>
      <c r="S3511" s="34">
        <f t="shared" si="395"/>
        <v>58.4</v>
      </c>
      <c r="T3511" s="10" t="s">
        <v>1267</v>
      </c>
      <c r="U3511" s="34" t="str">
        <f t="shared" si="396"/>
        <v/>
      </c>
      <c r="V3511" s="31" t="str">
        <f>IF(H3511="CHK",VLOOKUP(I3511,QCCHK,3,),IF(H3511="GUP",VLOOKUP(E3511,QCGUP,2,),IF(AND(H3511="ATP",OR(I3511="TN",I3511="TDN",I3511="TNO2-3",I3511="NO2-3")),VLOOKUP(E3511,QCREC_N,2,),IF(AND(H3511="NIC",OR(I3511="TN",I3511="TDN",I3511="TNO2-3",I3511="NO2-3")),VLOOKUP(E3511,QCNIC_N,2,),IF(AND(H3511="UREA",OR(I3511="TN",I3511="TDN",I3511="TNO2-3",I3511="NO2-3")),VLOOKUP(E3511,QCUREA_N,2,),IF(H3511="PER",VLOOKUP(I3511,QCPER,MATCH(E3511,QCACTUAL!$J$25:$AA$25,0),),IF(H3511="SPK",VLOOKUP(I3511,QCSPK,3,),IF(AND(H3511="ATP",OR(I3511="TP",I3511="TDP")),VLOOKUP(E3511,QCATP_P,2,),""))))))))</f>
        <v/>
      </c>
      <c r="W3511" s="31" t="str">
        <f t="shared" si="397"/>
        <v>TRUE</v>
      </c>
      <c r="X3511" s="31" t="str">
        <f t="shared" si="394"/>
        <v/>
      </c>
      <c r="Y3511" s="10" t="s">
        <v>1253</v>
      </c>
      <c r="Z3511" s="10" t="s">
        <v>910</v>
      </c>
      <c r="AL3511" s="10" t="str">
        <f t="shared" si="399"/>
        <v>FALSE</v>
      </c>
      <c r="AM3511" s="10" t="str">
        <f t="shared" si="399"/>
        <v>FALSE</v>
      </c>
      <c r="AN3511" s="10" t="str">
        <f t="shared" si="399"/>
        <v>FALSE</v>
      </c>
      <c r="AO3511" s="10" t="str">
        <f t="shared" si="400"/>
        <v>FALSE</v>
      </c>
      <c r="AP3511" s="10" t="str">
        <f t="shared" si="400"/>
        <v>FALSE</v>
      </c>
      <c r="AQ3511" s="10" t="b">
        <f>IF(AND(I3511="TP",S3511&lt;=150),VLOOKUP(AF3511,TPCalibEq150!$AZ$2:$BB$55,3,),IF(AND(I3511="TDP",S3511&lt;=150),VLOOKUP(AF3511,TPCalibEq150!$AZ$2:$BB$55,3,)))</f>
        <v>0</v>
      </c>
      <c r="AR3511" s="10" t="b">
        <f>IF(AND(I3511="TP",S3511&lt;=300),VLOOKUP(AF3511,TPCalibEq300!$AZ$2:$BB$55,3,),IF(AND(I3511="TDP",S3511&lt;=300),VLOOKUP(AF3511,TPCalibEq300!$AZ$2:$BB$55,3,)))</f>
        <v>0</v>
      </c>
      <c r="AS3511" s="10" t="b">
        <f>IF(AND(I3511="TP",S3511&lt;=500),VLOOKUP(AF3511,TPCalibEq500!$AZ$2:$BB$56,3,),IF(AND(I3511="TDP",S3511&lt;=500),VLOOKUP(AF3511,TPCalibEq500!$AZ$2:$BB$56,3,)))</f>
        <v>0</v>
      </c>
      <c r="AT3511" s="10" t="b">
        <f>IF(AND(I3511="TN",S3511&lt;=2800),VLOOKUP(AF3511,TNCalibEq2500!$AZ$2:$BB$56,3,),IF(AND(I3511="TDN",S3511&lt;=2800),VLOOKUP(AF3511,TNCalibEq2500!$AZ$2:$BB$56,3,)))</f>
        <v>0</v>
      </c>
      <c r="AU3511" s="10" t="b">
        <f>IF(I3511="TP",VLOOKUP(AF3511,TPCalibEqFull!$AZ$2:$BB$56,3),IF(I3511="TDP",VLOOKUP(AF3511,TPCalibEqFull!$AZ$2:$BB$56,3),IF(I3511="TDN",VLOOKUP(AF3511,TNCalibEqFull!$AZ$1:$BB$56,3),IF(I3511="TN",VLOOKUP(AF3511,TNCalibEqFull!$AZ$1:$BB$56,3),FALSE))))</f>
        <v>0</v>
      </c>
      <c r="AV3511" s="10" t="str">
        <f t="shared" si="398"/>
        <v>0217 08:36:00-HST-0-C-1-SW-UKN</v>
      </c>
    </row>
    <row r="3512" spans="1:48" s="10" customFormat="1" x14ac:dyDescent="0.55000000000000004">
      <c r="A3512" s="32">
        <v>44978</v>
      </c>
      <c r="B3512" s="33">
        <v>0.31597222222222221</v>
      </c>
      <c r="C3512" s="10" t="s">
        <v>279</v>
      </c>
      <c r="D3512" s="10">
        <v>0</v>
      </c>
      <c r="E3512" s="10" t="s">
        <v>190</v>
      </c>
      <c r="F3512" s="10">
        <v>1</v>
      </c>
      <c r="G3512" s="10" t="s">
        <v>231</v>
      </c>
      <c r="H3512" s="10" t="s">
        <v>322</v>
      </c>
      <c r="I3512" s="10" t="s">
        <v>285</v>
      </c>
      <c r="J3512" s="10">
        <v>5</v>
      </c>
      <c r="K3512" s="12">
        <v>44980</v>
      </c>
      <c r="L3512" s="33">
        <v>0.48976851851851855</v>
      </c>
      <c r="M3512" s="10">
        <v>1</v>
      </c>
      <c r="N3512" s="10" t="s">
        <v>211</v>
      </c>
      <c r="O3512" s="10">
        <v>0.499</v>
      </c>
      <c r="P3512" s="10">
        <v>4.8399999999999999E-2</v>
      </c>
      <c r="Q3512" s="10">
        <v>87.2</v>
      </c>
      <c r="R3512" s="10" t="s">
        <v>913</v>
      </c>
      <c r="S3512" s="34">
        <f t="shared" si="395"/>
        <v>87.2</v>
      </c>
      <c r="T3512" s="10" t="s">
        <v>1267</v>
      </c>
      <c r="U3512" s="34" t="str">
        <f t="shared" si="396"/>
        <v/>
      </c>
      <c r="V3512" s="31" t="str">
        <f>IF(H3512="CHK",VLOOKUP(I3512,QCCHK,3,),IF(H3512="GUP",VLOOKUP(E3512,QCGUP,2,),IF(AND(H3512="ATP",OR(I3512="TN",I3512="TDN",I3512="TNO2-3",I3512="NO2-3")),VLOOKUP(E3512,QCREC_N,2,),IF(AND(H3512="NIC",OR(I3512="TN",I3512="TDN",I3512="TNO2-3",I3512="NO2-3")),VLOOKUP(E3512,QCNIC_N,2,),IF(AND(H3512="UREA",OR(I3512="TN",I3512="TDN",I3512="TNO2-3",I3512="NO2-3")),VLOOKUP(E3512,QCUREA_N,2,),IF(H3512="PER",VLOOKUP(I3512,QCPER,MATCH(E3512,QCACTUAL!$J$25:$AA$25,0),),IF(H3512="SPK",VLOOKUP(I3512,QCSPK,3,),IF(AND(H3512="ATP",OR(I3512="TP",I3512="TDP")),VLOOKUP(E3512,QCATP_P,2,),""))))))))</f>
        <v/>
      </c>
      <c r="W3512" s="31" t="str">
        <f t="shared" si="397"/>
        <v>TRUE</v>
      </c>
      <c r="X3512" s="31" t="str">
        <f t="shared" si="394"/>
        <v/>
      </c>
      <c r="Y3512" s="10" t="s">
        <v>1253</v>
      </c>
      <c r="AL3512" s="10" t="str">
        <f t="shared" si="399"/>
        <v>FALSE</v>
      </c>
      <c r="AM3512" s="10" t="str">
        <f t="shared" si="399"/>
        <v>FALSE</v>
      </c>
      <c r="AN3512" s="10" t="str">
        <f t="shared" si="399"/>
        <v>FALSE</v>
      </c>
      <c r="AO3512" s="10" t="str">
        <f t="shared" si="400"/>
        <v>FALSE</v>
      </c>
      <c r="AP3512" s="10" t="str">
        <f t="shared" si="400"/>
        <v>FALSE</v>
      </c>
      <c r="AQ3512" s="10" t="b">
        <f>IF(AND(I3512="TP",S3512&lt;=150),VLOOKUP(AF3512,TPCalibEq150!$AZ$2:$BB$55,3,),IF(AND(I3512="TDP",S3512&lt;=150),VLOOKUP(AF3512,TPCalibEq150!$AZ$2:$BB$55,3,)))</f>
        <v>0</v>
      </c>
      <c r="AR3512" s="10" t="b">
        <f>IF(AND(I3512="TP",S3512&lt;=300),VLOOKUP(AF3512,TPCalibEq300!$AZ$2:$BB$55,3,),IF(AND(I3512="TDP",S3512&lt;=300),VLOOKUP(AF3512,TPCalibEq300!$AZ$2:$BB$55,3,)))</f>
        <v>0</v>
      </c>
      <c r="AS3512" s="10" t="b">
        <f>IF(AND(I3512="TP",S3512&lt;=500),VLOOKUP(AF3512,TPCalibEq500!$AZ$2:$BB$56,3,),IF(AND(I3512="TDP",S3512&lt;=500),VLOOKUP(AF3512,TPCalibEq500!$AZ$2:$BB$56,3,)))</f>
        <v>0</v>
      </c>
      <c r="AT3512" s="10" t="b">
        <f>IF(AND(I3512="TN",S3512&lt;=2800),VLOOKUP(AF3512,TNCalibEq2500!$AZ$2:$BB$56,3,),IF(AND(I3512="TDN",S3512&lt;=2800),VLOOKUP(AF3512,TNCalibEq2500!$AZ$2:$BB$56,3,)))</f>
        <v>0</v>
      </c>
      <c r="AU3512" s="10" t="b">
        <f>IF(I3512="TP",VLOOKUP(AF3512,TPCalibEqFull!$AZ$2:$BB$56,3),IF(I3512="TDP",VLOOKUP(AF3512,TPCalibEqFull!$AZ$2:$BB$56,3),IF(I3512="TDN",VLOOKUP(AF3512,TNCalibEqFull!$AZ$1:$BB$56,3),IF(I3512="TN",VLOOKUP(AF3512,TNCalibEqFull!$AZ$1:$BB$56,3),FALSE))))</f>
        <v>0</v>
      </c>
      <c r="AV3512" s="10" t="str">
        <f t="shared" si="398"/>
        <v>0221 07:35:00-EFK-0-C-1-SW-UKN</v>
      </c>
    </row>
    <row r="3513" spans="1:48" s="10" customFormat="1" x14ac:dyDescent="0.55000000000000004">
      <c r="A3513" s="32">
        <v>44978</v>
      </c>
      <c r="B3513" s="33">
        <v>0.31944444444444448</v>
      </c>
      <c r="C3513" s="10" t="s">
        <v>333</v>
      </c>
      <c r="D3513" s="10">
        <v>0</v>
      </c>
      <c r="E3513" s="10" t="s">
        <v>190</v>
      </c>
      <c r="F3513" s="10">
        <v>1</v>
      </c>
      <c r="G3513" s="10" t="s">
        <v>231</v>
      </c>
      <c r="H3513" s="10" t="s">
        <v>322</v>
      </c>
      <c r="I3513" s="10" t="s">
        <v>285</v>
      </c>
      <c r="J3513" s="10">
        <v>6</v>
      </c>
      <c r="K3513" s="12">
        <v>44980</v>
      </c>
      <c r="L3513" s="33">
        <v>0.49057870370370371</v>
      </c>
      <c r="M3513" s="10">
        <v>1</v>
      </c>
      <c r="N3513" s="10" t="s">
        <v>211</v>
      </c>
      <c r="O3513" s="10">
        <v>0.311</v>
      </c>
      <c r="P3513" s="10">
        <v>2.98E-2</v>
      </c>
      <c r="Q3513" s="10">
        <v>54.1</v>
      </c>
      <c r="R3513" s="10" t="s">
        <v>913</v>
      </c>
      <c r="S3513" s="34">
        <f t="shared" si="395"/>
        <v>54.1</v>
      </c>
      <c r="T3513" s="10" t="s">
        <v>1267</v>
      </c>
      <c r="U3513" s="34" t="str">
        <f t="shared" si="396"/>
        <v/>
      </c>
      <c r="V3513" s="31" t="str">
        <f>IF(H3513="CHK",VLOOKUP(I3513,QCCHK,3,),IF(H3513="GUP",VLOOKUP(E3513,QCGUP,2,),IF(AND(H3513="ATP",OR(I3513="TN",I3513="TDN",I3513="TNO2-3",I3513="NO2-3")),VLOOKUP(E3513,QCREC_N,2,),IF(AND(H3513="NIC",OR(I3513="TN",I3513="TDN",I3513="TNO2-3",I3513="NO2-3")),VLOOKUP(E3513,QCNIC_N,2,),IF(AND(H3513="UREA",OR(I3513="TN",I3513="TDN",I3513="TNO2-3",I3513="NO2-3")),VLOOKUP(E3513,QCUREA_N,2,),IF(H3513="PER",VLOOKUP(I3513,QCPER,MATCH(E3513,QCACTUAL!$J$25:$AA$25,0),),IF(H3513="SPK",VLOOKUP(I3513,QCSPK,3,),IF(AND(H3513="ATP",OR(I3513="TP",I3513="TDP")),VLOOKUP(E3513,QCATP_P,2,),""))))))))</f>
        <v/>
      </c>
      <c r="W3513" s="31" t="str">
        <f t="shared" si="397"/>
        <v>TRUE</v>
      </c>
      <c r="X3513" s="31" t="str">
        <f t="shared" si="394"/>
        <v/>
      </c>
      <c r="Y3513" s="10" t="s">
        <v>1253</v>
      </c>
      <c r="AL3513" s="10" t="str">
        <f t="shared" si="399"/>
        <v>FALSE</v>
      </c>
      <c r="AM3513" s="10" t="str">
        <f t="shared" si="399"/>
        <v>FALSE</v>
      </c>
      <c r="AN3513" s="10" t="str">
        <f t="shared" si="399"/>
        <v>FALSE</v>
      </c>
      <c r="AO3513" s="10" t="str">
        <f t="shared" si="400"/>
        <v>FALSE</v>
      </c>
      <c r="AP3513" s="10" t="str">
        <f t="shared" si="400"/>
        <v>FALSE</v>
      </c>
      <c r="AQ3513" s="10" t="b">
        <f>IF(AND(I3513="TP",S3513&lt;=150),VLOOKUP(AF3513,TPCalibEq150!$AZ$2:$BB$55,3,),IF(AND(I3513="TDP",S3513&lt;=150),VLOOKUP(AF3513,TPCalibEq150!$AZ$2:$BB$55,3,)))</f>
        <v>0</v>
      </c>
      <c r="AR3513" s="10" t="b">
        <f>IF(AND(I3513="TP",S3513&lt;=300),VLOOKUP(AF3513,TPCalibEq300!$AZ$2:$BB$55,3,),IF(AND(I3513="TDP",S3513&lt;=300),VLOOKUP(AF3513,TPCalibEq300!$AZ$2:$BB$55,3,)))</f>
        <v>0</v>
      </c>
      <c r="AS3513" s="10" t="b">
        <f>IF(AND(I3513="TP",S3513&lt;=500),VLOOKUP(AF3513,TPCalibEq500!$AZ$2:$BB$56,3,),IF(AND(I3513="TDP",S3513&lt;=500),VLOOKUP(AF3513,TPCalibEq500!$AZ$2:$BB$56,3,)))</f>
        <v>0</v>
      </c>
      <c r="AT3513" s="10" t="b">
        <f>IF(AND(I3513="TN",S3513&lt;=2800),VLOOKUP(AF3513,TNCalibEq2500!$AZ$2:$BB$56,3,),IF(AND(I3513="TDN",S3513&lt;=2800),VLOOKUP(AF3513,TNCalibEq2500!$AZ$2:$BB$56,3,)))</f>
        <v>0</v>
      </c>
      <c r="AU3513" s="10" t="b">
        <f>IF(I3513="TP",VLOOKUP(AF3513,TPCalibEqFull!$AZ$2:$BB$56,3),IF(I3513="TDP",VLOOKUP(AF3513,TPCalibEqFull!$AZ$2:$BB$56,3),IF(I3513="TDN",VLOOKUP(AF3513,TNCalibEqFull!$AZ$1:$BB$56,3),IF(I3513="TN",VLOOKUP(AF3513,TNCalibEqFull!$AZ$1:$BB$56,3),FALSE))))</f>
        <v>0</v>
      </c>
      <c r="AV3513" s="10" t="str">
        <f t="shared" si="398"/>
        <v>0221 07:40:00-HST-0-C-1-SW-UKN</v>
      </c>
    </row>
    <row r="3514" spans="1:48" s="10" customFormat="1" x14ac:dyDescent="0.55000000000000004">
      <c r="A3514" s="32">
        <v>44978</v>
      </c>
      <c r="B3514" s="33">
        <v>0.31944444444444448</v>
      </c>
      <c r="C3514" s="10" t="s">
        <v>333</v>
      </c>
      <c r="D3514" s="10">
        <v>0</v>
      </c>
      <c r="E3514" s="10" t="s">
        <v>190</v>
      </c>
      <c r="F3514" s="10">
        <v>1</v>
      </c>
      <c r="G3514" s="10" t="s">
        <v>231</v>
      </c>
      <c r="H3514" s="10" t="s">
        <v>233</v>
      </c>
      <c r="I3514" s="10" t="s">
        <v>285</v>
      </c>
      <c r="J3514" s="10">
        <v>6</v>
      </c>
      <c r="K3514" s="12">
        <v>44980</v>
      </c>
      <c r="L3514" s="33">
        <v>0.49140046296296297</v>
      </c>
      <c r="M3514" s="10">
        <v>1</v>
      </c>
      <c r="N3514" s="10" t="s">
        <v>211</v>
      </c>
      <c r="O3514" s="10">
        <v>0.317</v>
      </c>
      <c r="P3514" s="10">
        <v>2.9600000000000001E-2</v>
      </c>
      <c r="Q3514" s="10">
        <v>55.1</v>
      </c>
      <c r="R3514" s="10" t="s">
        <v>913</v>
      </c>
      <c r="S3514" s="34">
        <f t="shared" si="395"/>
        <v>55.1</v>
      </c>
      <c r="T3514" s="10" t="s">
        <v>1267</v>
      </c>
      <c r="U3514" s="34">
        <f t="shared" si="396"/>
        <v>1.8315018315018317</v>
      </c>
      <c r="V3514" s="31" t="str">
        <f>IF(H3514="CHK",VLOOKUP(I3514,QCCHK,3,),IF(H3514="GUP",VLOOKUP(E3514,QCGUP,2,),IF(AND(H3514="ATP",OR(I3514="TN",I3514="TDN",I3514="TNO2-3",I3514="NO2-3")),VLOOKUP(E3514,QCREC_N,2,),IF(AND(H3514="NIC",OR(I3514="TN",I3514="TDN",I3514="TNO2-3",I3514="NO2-3")),VLOOKUP(E3514,QCNIC_N,2,),IF(AND(H3514="UREA",OR(I3514="TN",I3514="TDN",I3514="TNO2-3",I3514="NO2-3")),VLOOKUP(E3514,QCUREA_N,2,),IF(H3514="PER",VLOOKUP(I3514,QCPER,MATCH(E3514,QCACTUAL!$J$25:$AA$25,0),),IF(H3514="SPK",VLOOKUP(I3514,QCSPK,3,),IF(AND(H3514="ATP",OR(I3514="TP",I3514="TDP")),VLOOKUP(E3514,QCATP_P,2,),""))))))))</f>
        <v/>
      </c>
      <c r="W3514" s="31" t="str">
        <f t="shared" si="397"/>
        <v>TRUE</v>
      </c>
      <c r="X3514" s="31" t="str">
        <f t="shared" si="394"/>
        <v>((ABS(rep1-rep2))/((rep1+rep2)/2)*100</v>
      </c>
      <c r="Y3514" s="10" t="s">
        <v>1253</v>
      </c>
      <c r="AL3514" s="10" t="str">
        <f t="shared" si="399"/>
        <v>FALSE</v>
      </c>
      <c r="AM3514" s="10" t="str">
        <f t="shared" si="399"/>
        <v>FALSE</v>
      </c>
      <c r="AN3514" s="10" t="str">
        <f t="shared" si="399"/>
        <v>FALSE</v>
      </c>
      <c r="AO3514" s="10" t="str">
        <f t="shared" si="400"/>
        <v>FALSE</v>
      </c>
      <c r="AP3514" s="10" t="str">
        <f t="shared" si="400"/>
        <v>FALSE</v>
      </c>
      <c r="AQ3514" s="10" t="b">
        <f>IF(AND(I3514="TP",S3514&lt;=150),VLOOKUP(AF3514,TPCalibEq150!$AZ$2:$BB$55,3,),IF(AND(I3514="TDP",S3514&lt;=150),VLOOKUP(AF3514,TPCalibEq150!$AZ$2:$BB$55,3,)))</f>
        <v>0</v>
      </c>
      <c r="AR3514" s="10" t="b">
        <f>IF(AND(I3514="TP",S3514&lt;=300),VLOOKUP(AF3514,TPCalibEq300!$AZ$2:$BB$55,3,),IF(AND(I3514="TDP",S3514&lt;=300),VLOOKUP(AF3514,TPCalibEq300!$AZ$2:$BB$55,3,)))</f>
        <v>0</v>
      </c>
      <c r="AS3514" s="10" t="b">
        <f>IF(AND(I3514="TP",S3514&lt;=500),VLOOKUP(AF3514,TPCalibEq500!$AZ$2:$BB$56,3,),IF(AND(I3514="TDP",S3514&lt;=500),VLOOKUP(AF3514,TPCalibEq500!$AZ$2:$BB$56,3,)))</f>
        <v>0</v>
      </c>
      <c r="AT3514" s="10" t="b">
        <f>IF(AND(I3514="TN",S3514&lt;=2800),VLOOKUP(AF3514,TNCalibEq2500!$AZ$2:$BB$56,3,),IF(AND(I3514="TDN",S3514&lt;=2800),VLOOKUP(AF3514,TNCalibEq2500!$AZ$2:$BB$56,3,)))</f>
        <v>0</v>
      </c>
      <c r="AU3514" s="10" t="b">
        <f>IF(I3514="TP",VLOOKUP(AF3514,TPCalibEqFull!$AZ$2:$BB$56,3),IF(I3514="TDP",VLOOKUP(AF3514,TPCalibEqFull!$AZ$2:$BB$56,3),IF(I3514="TDN",VLOOKUP(AF3514,TNCalibEqFull!$AZ$1:$BB$56,3),IF(I3514="TN",VLOOKUP(AF3514,TNCalibEqFull!$AZ$1:$BB$56,3),FALSE))))</f>
        <v>0</v>
      </c>
      <c r="AV3514" s="10" t="str">
        <f t="shared" si="398"/>
        <v>0221 07:40:00-HST-0-C-1-SW-DUP</v>
      </c>
    </row>
    <row r="3515" spans="1:48" s="10" customFormat="1" x14ac:dyDescent="0.55000000000000004">
      <c r="A3515" s="32">
        <v>44978</v>
      </c>
      <c r="B3515" s="33">
        <v>0.31944444444444448</v>
      </c>
      <c r="C3515" s="10" t="s">
        <v>912</v>
      </c>
      <c r="D3515" s="10">
        <v>0</v>
      </c>
      <c r="E3515" s="10" t="s">
        <v>190</v>
      </c>
      <c r="F3515" s="10">
        <v>1</v>
      </c>
      <c r="G3515" s="10" t="s">
        <v>231</v>
      </c>
      <c r="H3515" s="10" t="s">
        <v>314</v>
      </c>
      <c r="I3515" s="10" t="s">
        <v>285</v>
      </c>
      <c r="J3515" s="10">
        <v>81</v>
      </c>
      <c r="K3515" s="12">
        <v>44980</v>
      </c>
      <c r="L3515" s="33">
        <v>0.4946875</v>
      </c>
      <c r="M3515" s="10">
        <v>1</v>
      </c>
      <c r="N3515" s="10" t="s">
        <v>211</v>
      </c>
      <c r="O3515" s="10">
        <v>1.29</v>
      </c>
      <c r="P3515" s="10">
        <v>0.127</v>
      </c>
      <c r="Q3515" s="10">
        <v>227</v>
      </c>
      <c r="R3515" s="10" t="s">
        <v>913</v>
      </c>
      <c r="S3515" s="34">
        <f t="shared" si="395"/>
        <v>227</v>
      </c>
      <c r="T3515" s="10" t="s">
        <v>1267</v>
      </c>
      <c r="U3515" s="34">
        <f t="shared" si="396"/>
        <v>110.01600000000001</v>
      </c>
      <c r="V3515" s="31">
        <f>IF(H3515="CHK",VLOOKUP(I3515,QCCHK,3,),IF(H3515="GUP",VLOOKUP(E3515,QCGUP,2,),IF(AND(H3515="ATP",OR(I3515="TN",I3515="TDN",I3515="TNO2-3",I3515="NO2-3")),VLOOKUP(E3515,QCREC_N,2,),IF(AND(H3515="NIC",OR(I3515="TN",I3515="TDN",I3515="TNO2-3",I3515="NO2-3")),VLOOKUP(E3515,QCNIC_N,2,),IF(AND(H3515="UREA",OR(I3515="TN",I3515="TDN",I3515="TNO2-3",I3515="NO2-3")),VLOOKUP(E3515,QCUREA_N,2,),IF(H3515="PER",VLOOKUP(I3515,QCPER,MATCH(E3515,QCACTUAL!$J$25:$AA$25,0),),IF(H3515="SPK",VLOOKUP(I3515,QCSPK,3,),IF(AND(H3515="ATP",OR(I3515="TP",I3515="TDP")),VLOOKUP(E3515,QCATP_P,2,),""))))))))</f>
        <v>156.25</v>
      </c>
      <c r="W3515" s="31" t="str">
        <f t="shared" si="397"/>
        <v>TRUE</v>
      </c>
      <c r="X3515" s="31" t="str">
        <f t="shared" si="394"/>
        <v>([spikedunkn]-[unkn])/[spike]*100</v>
      </c>
      <c r="Y3515" s="10" t="s">
        <v>1253</v>
      </c>
      <c r="AL3515" s="10" t="str">
        <f t="shared" si="399"/>
        <v>FALSE</v>
      </c>
      <c r="AM3515" s="10" t="str">
        <f t="shared" si="399"/>
        <v>FALSE</v>
      </c>
      <c r="AN3515" s="10" t="str">
        <f t="shared" si="399"/>
        <v>FALSE</v>
      </c>
      <c r="AO3515" s="10" t="str">
        <f t="shared" si="400"/>
        <v>FALSE</v>
      </c>
      <c r="AP3515" s="10" t="str">
        <f t="shared" si="400"/>
        <v>FALSE</v>
      </c>
      <c r="AQ3515" s="10" t="b">
        <f>IF(AND(I3515="TP",S3515&lt;=150),VLOOKUP(AF3515,TPCalibEq150!$AZ$2:$BB$55,3,),IF(AND(I3515="TDP",S3515&lt;=150),VLOOKUP(AF3515,TPCalibEq150!$AZ$2:$BB$55,3,)))</f>
        <v>0</v>
      </c>
      <c r="AR3515" s="10" t="b">
        <f>IF(AND(I3515="TP",S3515&lt;=300),VLOOKUP(AF3515,TPCalibEq300!$AZ$2:$BB$55,3,),IF(AND(I3515="TDP",S3515&lt;=300),VLOOKUP(AF3515,TPCalibEq300!$AZ$2:$BB$55,3,)))</f>
        <v>0</v>
      </c>
      <c r="AS3515" s="10" t="b">
        <f>IF(AND(I3515="TP",S3515&lt;=500),VLOOKUP(AF3515,TPCalibEq500!$AZ$2:$BB$56,3,),IF(AND(I3515="TDP",S3515&lt;=500),VLOOKUP(AF3515,TPCalibEq500!$AZ$2:$BB$56,3,)))</f>
        <v>0</v>
      </c>
      <c r="AT3515" s="10" t="b">
        <f>IF(AND(I3515="TN",S3515&lt;=2800),VLOOKUP(AF3515,TNCalibEq2500!$AZ$2:$BB$56,3,),IF(AND(I3515="TDN",S3515&lt;=2800),VLOOKUP(AF3515,TNCalibEq2500!$AZ$2:$BB$56,3,)))</f>
        <v>0</v>
      </c>
      <c r="AU3515" s="10" t="b">
        <f>IF(I3515="TP",VLOOKUP(AF3515,TPCalibEqFull!$AZ$2:$BB$56,3),IF(I3515="TDP",VLOOKUP(AF3515,TPCalibEqFull!$AZ$2:$BB$56,3),IF(I3515="TDN",VLOOKUP(AF3515,TNCalibEqFull!$AZ$1:$BB$56,3),IF(I3515="TN",VLOOKUP(AF3515,TNCalibEqFull!$AZ$1:$BB$56,3),FALSE))))</f>
        <v>0</v>
      </c>
      <c r="AV3515" s="10" t="str">
        <f t="shared" si="398"/>
        <v>0221 07:40:00-HST -0-C-1-SW-SPK</v>
      </c>
    </row>
    <row r="3516" spans="1:48" s="10" customFormat="1" x14ac:dyDescent="0.55000000000000004">
      <c r="A3516" s="32">
        <v>44979</v>
      </c>
      <c r="B3516" s="33">
        <v>0.375</v>
      </c>
      <c r="C3516" s="10" t="s">
        <v>70</v>
      </c>
      <c r="D3516" s="10" t="s">
        <v>71</v>
      </c>
      <c r="E3516" s="10" t="s">
        <v>901</v>
      </c>
      <c r="F3516" s="10">
        <v>1</v>
      </c>
      <c r="G3516" s="10" t="s">
        <v>73</v>
      </c>
      <c r="H3516" s="10" t="s">
        <v>207</v>
      </c>
      <c r="I3516" s="10" t="s">
        <v>285</v>
      </c>
      <c r="J3516" s="10">
        <v>199</v>
      </c>
      <c r="K3516" s="12">
        <v>44980</v>
      </c>
      <c r="L3516" s="33">
        <v>0.49304398148148149</v>
      </c>
      <c r="M3516" s="10">
        <v>1</v>
      </c>
      <c r="N3516" s="10" t="s">
        <v>211</v>
      </c>
      <c r="O3516" s="10">
        <v>0.41899999999999998</v>
      </c>
      <c r="P3516" s="10">
        <v>4.07E-2</v>
      </c>
      <c r="Q3516" s="10">
        <v>73.099999999999994</v>
      </c>
      <c r="R3516" s="10" t="s">
        <v>913</v>
      </c>
      <c r="S3516" s="34">
        <f t="shared" si="395"/>
        <v>73.099999999999994</v>
      </c>
      <c r="T3516" s="10" t="s">
        <v>1267</v>
      </c>
      <c r="U3516" s="34">
        <f t="shared" si="396"/>
        <v>97.466666666666654</v>
      </c>
      <c r="V3516" s="31">
        <f>IF(H3516="CHK",VLOOKUP(I3516,QCCHK,3,),IF(H3516="GUP",VLOOKUP(E3516,QCGUP,2,),IF(AND(H3516="ATP",OR(I3516="TN",I3516="TDN",I3516="TNO2-3",I3516="NO2-3")),VLOOKUP(E3516,QCREC_N,2,),IF(AND(H3516="NIC",OR(I3516="TN",I3516="TDN",I3516="TNO2-3",I3516="NO2-3")),VLOOKUP(E3516,QCNIC_N,2,),IF(AND(H3516="UREA",OR(I3516="TN",I3516="TDN",I3516="TNO2-3",I3516="NO2-3")),VLOOKUP(E3516,QCUREA_N,2,),IF(H3516="PER",VLOOKUP(I3516,QCPER,MATCH(E3516,QCACTUAL!$J$25:$AA$25,0),),IF(H3516="SPK",VLOOKUP(I3516,QCSPK,3,),IF(AND(H3516="ATP",OR(I3516="TP",I3516="TDP")),VLOOKUP(E3516,QCATP_P,2,),""))))))))</f>
        <v>75</v>
      </c>
      <c r="W3516" s="31" t="str">
        <f t="shared" si="397"/>
        <v>TRUE</v>
      </c>
      <c r="X3516" s="31" t="str">
        <f t="shared" si="394"/>
        <v>[chk]/[actual]*100</v>
      </c>
      <c r="Y3516" s="10" t="s">
        <v>1253</v>
      </c>
      <c r="AL3516" s="10" t="str">
        <f t="shared" si="399"/>
        <v>FALSE</v>
      </c>
      <c r="AM3516" s="10" t="str">
        <f t="shared" si="399"/>
        <v>FALSE</v>
      </c>
      <c r="AN3516" s="10" t="str">
        <f t="shared" si="399"/>
        <v>FALSE</v>
      </c>
      <c r="AO3516" s="10" t="str">
        <f t="shared" si="400"/>
        <v>FALSE</v>
      </c>
      <c r="AP3516" s="10" t="str">
        <f t="shared" si="400"/>
        <v>FALSE</v>
      </c>
      <c r="AQ3516" s="10" t="b">
        <f>IF(AND(I3516="TP",S3516&lt;=150),VLOOKUP(AF3516,TPCalibEq150!$AZ$2:$BB$55,3,),IF(AND(I3516="TDP",S3516&lt;=150),VLOOKUP(AF3516,TPCalibEq150!$AZ$2:$BB$55,3,)))</f>
        <v>0</v>
      </c>
      <c r="AR3516" s="10" t="b">
        <f>IF(AND(I3516="TP",S3516&lt;=300),VLOOKUP(AF3516,TPCalibEq300!$AZ$2:$BB$55,3,),IF(AND(I3516="TDP",S3516&lt;=300),VLOOKUP(AF3516,TPCalibEq300!$AZ$2:$BB$55,3,)))</f>
        <v>0</v>
      </c>
      <c r="AS3516" s="10" t="b">
        <f>IF(AND(I3516="TP",S3516&lt;=500),VLOOKUP(AF3516,TPCalibEq500!$AZ$2:$BB$56,3,),IF(AND(I3516="TDP",S3516&lt;=500),VLOOKUP(AF3516,TPCalibEq500!$AZ$2:$BB$56,3,)))</f>
        <v>0</v>
      </c>
      <c r="AT3516" s="10" t="b">
        <f>IF(AND(I3516="TN",S3516&lt;=2800),VLOOKUP(AF3516,TNCalibEq2500!$AZ$2:$BB$56,3,),IF(AND(I3516="TDN",S3516&lt;=2800),VLOOKUP(AF3516,TNCalibEq2500!$AZ$2:$BB$56,3,)))</f>
        <v>0</v>
      </c>
      <c r="AU3516" s="10" t="b">
        <f>IF(I3516="TP",VLOOKUP(AF3516,TPCalibEqFull!$AZ$2:$BB$56,3),IF(I3516="TDP",VLOOKUP(AF3516,TPCalibEqFull!$AZ$2:$BB$56,3),IF(I3516="TDN",VLOOKUP(AF3516,TNCalibEqFull!$AZ$1:$BB$56,3),IF(I3516="TN",VLOOKUP(AF3516,TNCalibEqFull!$AZ$1:$BB$56,3),FALSE))))</f>
        <v>0</v>
      </c>
      <c r="AV3516" s="10" t="str">
        <f t="shared" si="398"/>
        <v>0222 09:00:00-QAC-STD-D-1-DI-CHK</v>
      </c>
    </row>
    <row r="3517" spans="1:48" s="10" customFormat="1" x14ac:dyDescent="0.55000000000000004">
      <c r="A3517" s="32">
        <v>44978</v>
      </c>
      <c r="B3517" s="33">
        <v>0.4777777777777778</v>
      </c>
      <c r="C3517" s="10" t="s">
        <v>431</v>
      </c>
      <c r="D3517" s="10">
        <v>0</v>
      </c>
      <c r="E3517" s="10">
        <v>240</v>
      </c>
      <c r="F3517" s="10">
        <v>1</v>
      </c>
      <c r="G3517" s="10" t="s">
        <v>231</v>
      </c>
      <c r="H3517" s="10" t="s">
        <v>322</v>
      </c>
      <c r="I3517" s="10" t="s">
        <v>285</v>
      </c>
      <c r="J3517" s="10">
        <v>7</v>
      </c>
      <c r="K3517" s="12">
        <v>44980</v>
      </c>
      <c r="L3517" s="33">
        <v>0.49386574074074074</v>
      </c>
      <c r="M3517" s="10">
        <v>1</v>
      </c>
      <c r="N3517" s="10" t="s">
        <v>211</v>
      </c>
      <c r="O3517" s="10">
        <v>0.48799999999999999</v>
      </c>
      <c r="P3517" s="10">
        <v>4.7500000000000001E-2</v>
      </c>
      <c r="Q3517" s="10">
        <v>85.3</v>
      </c>
      <c r="R3517" s="10" t="s">
        <v>913</v>
      </c>
      <c r="S3517" s="34">
        <f t="shared" si="395"/>
        <v>85.3</v>
      </c>
      <c r="T3517" s="10" t="s">
        <v>1267</v>
      </c>
      <c r="U3517" s="34" t="str">
        <f t="shared" si="396"/>
        <v/>
      </c>
      <c r="V3517" s="31" t="str">
        <f>IF(H3517="CHK",VLOOKUP(I3517,QCCHK,3,),IF(H3517="GUP",VLOOKUP(E3517,QCGUP,2,),IF(AND(H3517="ATP",OR(I3517="TN",I3517="TDN",I3517="TNO2-3",I3517="NO2-3")),VLOOKUP(E3517,QCREC_N,2,),IF(AND(H3517="NIC",OR(I3517="TN",I3517="TDN",I3517="TNO2-3",I3517="NO2-3")),VLOOKUP(E3517,QCNIC_N,2,),IF(AND(H3517="UREA",OR(I3517="TN",I3517="TDN",I3517="TNO2-3",I3517="NO2-3")),VLOOKUP(E3517,QCUREA_N,2,),IF(H3517="PER",VLOOKUP(I3517,QCPER,MATCH(E3517,QCACTUAL!$J$25:$AA$25,0),),IF(H3517="SPK",VLOOKUP(I3517,QCSPK,3,),IF(AND(H3517="ATP",OR(I3517="TP",I3517="TDP")),VLOOKUP(E3517,QCATP_P,2,),""))))))))</f>
        <v/>
      </c>
      <c r="W3517" s="31" t="str">
        <f t="shared" si="397"/>
        <v>TRUE</v>
      </c>
      <c r="X3517" s="31" t="str">
        <f t="shared" si="394"/>
        <v/>
      </c>
      <c r="Y3517" s="10" t="s">
        <v>1253</v>
      </c>
      <c r="AL3517" s="10" t="str">
        <f t="shared" si="399"/>
        <v>FALSE</v>
      </c>
      <c r="AM3517" s="10" t="str">
        <f t="shared" si="399"/>
        <v>FALSE</v>
      </c>
      <c r="AN3517" s="10" t="str">
        <f t="shared" si="399"/>
        <v>FALSE</v>
      </c>
      <c r="AO3517" s="10" t="str">
        <f t="shared" si="400"/>
        <v>FALSE</v>
      </c>
      <c r="AP3517" s="10" t="str">
        <f t="shared" si="400"/>
        <v>FALSE</v>
      </c>
      <c r="AQ3517" s="10" t="b">
        <f>IF(AND(I3517="TP",S3517&lt;=150),VLOOKUP(AF3517,TPCalibEq150!$AZ$2:$BB$55,3,),IF(AND(I3517="TDP",S3517&lt;=150),VLOOKUP(AF3517,TPCalibEq150!$AZ$2:$BB$55,3,)))</f>
        <v>0</v>
      </c>
      <c r="AR3517" s="10" t="b">
        <f>IF(AND(I3517="TP",S3517&lt;=300),VLOOKUP(AF3517,TPCalibEq300!$AZ$2:$BB$55,3,),IF(AND(I3517="TDP",S3517&lt;=300),VLOOKUP(AF3517,TPCalibEq300!$AZ$2:$BB$55,3,)))</f>
        <v>0</v>
      </c>
      <c r="AS3517" s="10" t="b">
        <f>IF(AND(I3517="TP",S3517&lt;=500),VLOOKUP(AF3517,TPCalibEq500!$AZ$2:$BB$56,3,),IF(AND(I3517="TDP",S3517&lt;=500),VLOOKUP(AF3517,TPCalibEq500!$AZ$2:$BB$56,3,)))</f>
        <v>0</v>
      </c>
      <c r="AT3517" s="10" t="b">
        <f>IF(AND(I3517="TN",S3517&lt;=2800),VLOOKUP(AF3517,TNCalibEq2500!$AZ$2:$BB$56,3,),IF(AND(I3517="TDN",S3517&lt;=2800),VLOOKUP(AF3517,TNCalibEq2500!$AZ$2:$BB$56,3,)))</f>
        <v>0</v>
      </c>
      <c r="AU3517" s="10" t="b">
        <f>IF(I3517="TP",VLOOKUP(AF3517,TPCalibEqFull!$AZ$2:$BB$56,3),IF(I3517="TDP",VLOOKUP(AF3517,TPCalibEqFull!$AZ$2:$BB$56,3),IF(I3517="TDN",VLOOKUP(AF3517,TNCalibEqFull!$AZ$1:$BB$56,3),IF(I3517="TN",VLOOKUP(AF3517,TNCalibEqFull!$AZ$1:$BB$56,3),FALSE))))</f>
        <v>0</v>
      </c>
      <c r="AV3517" s="10" t="str">
        <f t="shared" si="398"/>
        <v>0221 11:28:00-EUS-0-240-1-SW-UKN</v>
      </c>
    </row>
    <row r="3518" spans="1:48" s="10" customFormat="1" x14ac:dyDescent="0.55000000000000004">
      <c r="A3518" s="32">
        <v>44978</v>
      </c>
      <c r="B3518" s="33">
        <v>0.48055555555555557</v>
      </c>
      <c r="C3518" s="10" t="s">
        <v>431</v>
      </c>
      <c r="D3518" s="10">
        <v>5</v>
      </c>
      <c r="E3518" s="10" t="s">
        <v>190</v>
      </c>
      <c r="F3518" s="10">
        <v>1</v>
      </c>
      <c r="G3518" s="10" t="s">
        <v>231</v>
      </c>
      <c r="H3518" s="10" t="s">
        <v>322</v>
      </c>
      <c r="I3518" s="10" t="s">
        <v>285</v>
      </c>
      <c r="J3518" s="10">
        <v>8</v>
      </c>
      <c r="K3518" s="12">
        <v>44980</v>
      </c>
      <c r="L3518" s="33">
        <v>0.49549768518518517</v>
      </c>
      <c r="M3518" s="10">
        <v>1</v>
      </c>
      <c r="N3518" s="10" t="s">
        <v>211</v>
      </c>
      <c r="O3518" s="10">
        <v>0.53500000000000003</v>
      </c>
      <c r="P3518" s="10">
        <v>5.1799999999999999E-2</v>
      </c>
      <c r="Q3518" s="10">
        <v>93.5</v>
      </c>
      <c r="R3518" s="10" t="s">
        <v>913</v>
      </c>
      <c r="S3518" s="34">
        <f t="shared" si="395"/>
        <v>93.5</v>
      </c>
      <c r="T3518" s="10" t="s">
        <v>1267</v>
      </c>
      <c r="U3518" s="34" t="str">
        <f t="shared" si="396"/>
        <v/>
      </c>
      <c r="V3518" s="31" t="str">
        <f>IF(H3518="CHK",VLOOKUP(I3518,QCCHK,3,),IF(H3518="GUP",VLOOKUP(E3518,QCGUP,2,),IF(AND(H3518="ATP",OR(I3518="TN",I3518="TDN",I3518="TNO2-3",I3518="NO2-3")),VLOOKUP(E3518,QCREC_N,2,),IF(AND(H3518="NIC",OR(I3518="TN",I3518="TDN",I3518="TNO2-3",I3518="NO2-3")),VLOOKUP(E3518,QCNIC_N,2,),IF(AND(H3518="UREA",OR(I3518="TN",I3518="TDN",I3518="TNO2-3",I3518="NO2-3")),VLOOKUP(E3518,QCUREA_N,2,),IF(H3518="PER",VLOOKUP(I3518,QCPER,MATCH(E3518,QCACTUAL!$J$25:$AA$25,0),),IF(H3518="SPK",VLOOKUP(I3518,QCSPK,3,),IF(AND(H3518="ATP",OR(I3518="TP",I3518="TDP")),VLOOKUP(E3518,QCATP_P,2,),""))))))))</f>
        <v/>
      </c>
      <c r="W3518" s="31" t="str">
        <f t="shared" si="397"/>
        <v>TRUE</v>
      </c>
      <c r="X3518" s="31" t="str">
        <f t="shared" si="394"/>
        <v/>
      </c>
      <c r="Y3518" s="10" t="s">
        <v>1253</v>
      </c>
      <c r="AL3518" s="10" t="str">
        <f t="shared" si="399"/>
        <v>FALSE</v>
      </c>
      <c r="AM3518" s="10" t="str">
        <f t="shared" si="399"/>
        <v>FALSE</v>
      </c>
      <c r="AN3518" s="10" t="str">
        <f t="shared" si="399"/>
        <v>FALSE</v>
      </c>
      <c r="AO3518" s="10" t="str">
        <f t="shared" si="400"/>
        <v>FALSE</v>
      </c>
      <c r="AP3518" s="10" t="str">
        <f t="shared" si="400"/>
        <v>FALSE</v>
      </c>
      <c r="AQ3518" s="10" t="b">
        <f>IF(AND(I3518="TP",S3518&lt;=150),VLOOKUP(AF3518,TPCalibEq150!$AZ$2:$BB$55,3,),IF(AND(I3518="TDP",S3518&lt;=150),VLOOKUP(AF3518,TPCalibEq150!$AZ$2:$BB$55,3,)))</f>
        <v>0</v>
      </c>
      <c r="AR3518" s="10" t="b">
        <f>IF(AND(I3518="TP",S3518&lt;=300),VLOOKUP(AF3518,TPCalibEq300!$AZ$2:$BB$55,3,),IF(AND(I3518="TDP",S3518&lt;=300),VLOOKUP(AF3518,TPCalibEq300!$AZ$2:$BB$55,3,)))</f>
        <v>0</v>
      </c>
      <c r="AS3518" s="10" t="b">
        <f>IF(AND(I3518="TP",S3518&lt;=500),VLOOKUP(AF3518,TPCalibEq500!$AZ$2:$BB$56,3,),IF(AND(I3518="TDP",S3518&lt;=500),VLOOKUP(AF3518,TPCalibEq500!$AZ$2:$BB$56,3,)))</f>
        <v>0</v>
      </c>
      <c r="AT3518" s="10" t="b">
        <f>IF(AND(I3518="TN",S3518&lt;=2800),VLOOKUP(AF3518,TNCalibEq2500!$AZ$2:$BB$56,3,),IF(AND(I3518="TDN",S3518&lt;=2800),VLOOKUP(AF3518,TNCalibEq2500!$AZ$2:$BB$56,3,)))</f>
        <v>0</v>
      </c>
      <c r="AU3518" s="10" t="b">
        <f>IF(I3518="TP",VLOOKUP(AF3518,TPCalibEqFull!$AZ$2:$BB$56,3),IF(I3518="TDP",VLOOKUP(AF3518,TPCalibEqFull!$AZ$2:$BB$56,3),IF(I3518="TDN",VLOOKUP(AF3518,TNCalibEqFull!$AZ$1:$BB$56,3),IF(I3518="TN",VLOOKUP(AF3518,TNCalibEqFull!$AZ$1:$BB$56,3),FALSE))))</f>
        <v>0</v>
      </c>
      <c r="AV3518" s="10" t="str">
        <f t="shared" si="398"/>
        <v>0221 11:32:00-EUS-5-C-1-SW-UKN</v>
      </c>
    </row>
    <row r="3519" spans="1:48" s="10" customFormat="1" x14ac:dyDescent="0.55000000000000004">
      <c r="A3519" s="32">
        <v>44978</v>
      </c>
      <c r="B3519" s="33">
        <v>0.49444444444444446</v>
      </c>
      <c r="C3519" s="10" t="s">
        <v>618</v>
      </c>
      <c r="D3519" s="10">
        <v>0</v>
      </c>
      <c r="E3519" s="10">
        <v>180</v>
      </c>
      <c r="F3519" s="10">
        <v>1</v>
      </c>
      <c r="G3519" s="10" t="s">
        <v>231</v>
      </c>
      <c r="H3519" s="10" t="s">
        <v>322</v>
      </c>
      <c r="I3519" s="10" t="s">
        <v>285</v>
      </c>
      <c r="J3519" s="10">
        <v>9</v>
      </c>
      <c r="K3519" s="12">
        <v>44980</v>
      </c>
      <c r="L3519" s="33">
        <v>0.49631944444444448</v>
      </c>
      <c r="M3519" s="10">
        <v>1</v>
      </c>
      <c r="N3519" s="10" t="s">
        <v>211</v>
      </c>
      <c r="O3519" s="10">
        <v>0.64800000000000002</v>
      </c>
      <c r="P3519" s="10">
        <v>6.4699999999999994E-2</v>
      </c>
      <c r="Q3519" s="10">
        <v>114</v>
      </c>
      <c r="R3519" s="10" t="s">
        <v>913</v>
      </c>
      <c r="S3519" s="34">
        <f t="shared" si="395"/>
        <v>114</v>
      </c>
      <c r="T3519" s="10" t="s">
        <v>1267</v>
      </c>
      <c r="U3519" s="34" t="str">
        <f t="shared" si="396"/>
        <v/>
      </c>
      <c r="V3519" s="31" t="str">
        <f>IF(H3519="CHK",VLOOKUP(I3519,QCCHK,3,),IF(H3519="GUP",VLOOKUP(E3519,QCGUP,2,),IF(AND(H3519="ATP",OR(I3519="TN",I3519="TDN",I3519="TNO2-3",I3519="NO2-3")),VLOOKUP(E3519,QCREC_N,2,),IF(AND(H3519="NIC",OR(I3519="TN",I3519="TDN",I3519="TNO2-3",I3519="NO2-3")),VLOOKUP(E3519,QCNIC_N,2,),IF(AND(H3519="UREA",OR(I3519="TN",I3519="TDN",I3519="TNO2-3",I3519="NO2-3")),VLOOKUP(E3519,QCUREA_N,2,),IF(H3519="PER",VLOOKUP(I3519,QCPER,MATCH(E3519,QCACTUAL!$J$25:$AA$25,0),),IF(H3519="SPK",VLOOKUP(I3519,QCSPK,3,),IF(AND(H3519="ATP",OR(I3519="TP",I3519="TDP")),VLOOKUP(E3519,QCATP_P,2,),""))))))))</f>
        <v/>
      </c>
      <c r="W3519" s="31" t="str">
        <f t="shared" si="397"/>
        <v>TRUE</v>
      </c>
      <c r="X3519" s="31" t="str">
        <f t="shared" ref="X3519:X3582" si="401">IF(ISNA(VLOOKUP(H3519,QCEQUATIONS,2,)),"",(VLOOKUP(H3519,QCEQUATIONS,2,)))</f>
        <v/>
      </c>
      <c r="Y3519" s="10" t="s">
        <v>1253</v>
      </c>
      <c r="AL3519" s="10" t="str">
        <f t="shared" si="399"/>
        <v>FALSE</v>
      </c>
      <c r="AM3519" s="10" t="str">
        <f t="shared" si="399"/>
        <v>FALSE</v>
      </c>
      <c r="AN3519" s="10" t="str">
        <f t="shared" si="399"/>
        <v>FALSE</v>
      </c>
      <c r="AO3519" s="10" t="str">
        <f t="shared" si="400"/>
        <v>FALSE</v>
      </c>
      <c r="AP3519" s="10" t="str">
        <f t="shared" si="400"/>
        <v>FALSE</v>
      </c>
      <c r="AQ3519" s="10" t="b">
        <f>IF(AND(I3519="TP",S3519&lt;=150),VLOOKUP(AF3519,TPCalibEq150!$AZ$2:$BB$55,3,),IF(AND(I3519="TDP",S3519&lt;=150),VLOOKUP(AF3519,TPCalibEq150!$AZ$2:$BB$55,3,)))</f>
        <v>0</v>
      </c>
      <c r="AR3519" s="10" t="b">
        <f>IF(AND(I3519="TP",S3519&lt;=300),VLOOKUP(AF3519,TPCalibEq300!$AZ$2:$BB$55,3,),IF(AND(I3519="TDP",S3519&lt;=300),VLOOKUP(AF3519,TPCalibEq300!$AZ$2:$BB$55,3,)))</f>
        <v>0</v>
      </c>
      <c r="AS3519" s="10" t="b">
        <f>IF(AND(I3519="TP",S3519&lt;=500),VLOOKUP(AF3519,TPCalibEq500!$AZ$2:$BB$56,3,),IF(AND(I3519="TDP",S3519&lt;=500),VLOOKUP(AF3519,TPCalibEq500!$AZ$2:$BB$56,3,)))</f>
        <v>0</v>
      </c>
      <c r="AT3519" s="10" t="b">
        <f>IF(AND(I3519="TN",S3519&lt;=2800),VLOOKUP(AF3519,TNCalibEq2500!$AZ$2:$BB$56,3,),IF(AND(I3519="TDN",S3519&lt;=2800),VLOOKUP(AF3519,TNCalibEq2500!$AZ$2:$BB$56,3,)))</f>
        <v>0</v>
      </c>
      <c r="AU3519" s="10" t="b">
        <f>IF(I3519="TP",VLOOKUP(AF3519,TPCalibEqFull!$AZ$2:$BB$56,3),IF(I3519="TDP",VLOOKUP(AF3519,TPCalibEqFull!$AZ$2:$BB$56,3),IF(I3519="TDN",VLOOKUP(AF3519,TNCalibEqFull!$AZ$1:$BB$56,3),IF(I3519="TN",VLOOKUP(AF3519,TNCalibEqFull!$AZ$1:$BB$56,3),FALSE))))</f>
        <v>0</v>
      </c>
      <c r="AV3519" s="10" t="str">
        <f t="shared" si="398"/>
        <v>0221 11:52:00-ECP-0-180-1-SW-UKN</v>
      </c>
    </row>
    <row r="3520" spans="1:48" s="10" customFormat="1" x14ac:dyDescent="0.55000000000000004">
      <c r="A3520" s="32">
        <v>44978</v>
      </c>
      <c r="B3520" s="33">
        <v>0.49444444444444446</v>
      </c>
      <c r="C3520" s="10" t="s">
        <v>618</v>
      </c>
      <c r="D3520" s="10">
        <v>0</v>
      </c>
      <c r="E3520" s="10">
        <v>180</v>
      </c>
      <c r="F3520" s="10">
        <v>2</v>
      </c>
      <c r="G3520" s="10" t="s">
        <v>231</v>
      </c>
      <c r="H3520" s="10" t="s">
        <v>322</v>
      </c>
      <c r="I3520" s="10" t="s">
        <v>285</v>
      </c>
      <c r="J3520" s="10">
        <v>10</v>
      </c>
      <c r="K3520" s="12">
        <v>44980</v>
      </c>
      <c r="L3520" s="33">
        <v>0.49712962962962964</v>
      </c>
      <c r="M3520" s="10">
        <v>1</v>
      </c>
      <c r="N3520" s="10" t="s">
        <v>211</v>
      </c>
      <c r="O3520" s="10">
        <v>0.65500000000000003</v>
      </c>
      <c r="P3520" s="10">
        <v>6.54E-2</v>
      </c>
      <c r="Q3520" s="10">
        <v>115</v>
      </c>
      <c r="R3520" s="10" t="s">
        <v>913</v>
      </c>
      <c r="S3520" s="34">
        <f t="shared" ref="S3520:S3583" si="402">IF(OR(AND(I3520&lt;&gt;"TP", I3520&lt;&gt;"TDP",I3520&lt;&gt;"TN", I3520&lt;&gt;"TDN"),H3520="CAL"), Q3520*M3520, IF(OR(AND(I3520="TN", Q3520&gt;2500), AND(I3520="TDN", Q3520&gt;2500)),MAX(Q3520, AK3520)*M3520, IF(OR(AND(I3520="TN", Q3520&lt;=2500), AND(I3520="TDN", Q3520&lt;=2500)),MAX(Q3520, AJ3520,AK3520)*M3520, IF(OR(AND(I3520="TP",Q3520&gt;500), AND(I3520="TDP", Q3520&gt;500)),MAX(Q3520,AK3520)*M3520,IF(OR(AND(I3520="TP",Q3520&lt;=150), AND(I3520="TDP", Q3520&lt;=150)),MAX(Q3520,AG3520:AI3520,AK3520)*M3520,IF(OR(AND(I3520="TP",Q3520&lt;=300), AND(I3520="TDP", Q3520&lt;=300)),MAX(Q3520,AH3520,AI3520,AK3520)*M3520,IF(OR(AND(I3520="TP",Q3520&lt;=500), AND(I3520="TDP", Q3520&lt;=500)),MAX(Q3520,AI3520,AK3520)*M3520,"")))))))</f>
        <v>115</v>
      </c>
      <c r="T3520" s="10" t="s">
        <v>1267</v>
      </c>
      <c r="U3520" s="34" t="str">
        <f t="shared" si="396"/>
        <v/>
      </c>
      <c r="V3520" s="31" t="str">
        <f>IF(H3520="CHK",VLOOKUP(I3520,QCCHK,3,),IF(H3520="GUP",VLOOKUP(E3520,QCGUP,2,),IF(AND(H3520="ATP",OR(I3520="TN",I3520="TDN",I3520="TNO2-3",I3520="NO2-3")),VLOOKUP(E3520,QCREC_N,2,),IF(AND(H3520="NIC",OR(I3520="TN",I3520="TDN",I3520="TNO2-3",I3520="NO2-3")),VLOOKUP(E3520,QCNIC_N,2,),IF(AND(H3520="UREA",OR(I3520="TN",I3520="TDN",I3520="TNO2-3",I3520="NO2-3")),VLOOKUP(E3520,QCUREA_N,2,),IF(H3520="PER",VLOOKUP(I3520,QCPER,MATCH(E3520,QCACTUAL!$J$25:$AA$25,0),),IF(H3520="SPK",VLOOKUP(I3520,QCSPK,3,),IF(AND(H3520="ATP",OR(I3520="TP",I3520="TDP")),VLOOKUP(E3520,QCATP_P,2,),""))))))))</f>
        <v/>
      </c>
      <c r="W3520" s="31" t="str">
        <f t="shared" si="397"/>
        <v>TRUE</v>
      </c>
      <c r="X3520" s="31" t="str">
        <f t="shared" si="401"/>
        <v/>
      </c>
      <c r="Y3520" s="10" t="s">
        <v>1253</v>
      </c>
      <c r="AL3520" s="10" t="str">
        <f t="shared" si="399"/>
        <v>FALSE</v>
      </c>
      <c r="AM3520" s="10" t="str">
        <f t="shared" si="399"/>
        <v>FALSE</v>
      </c>
      <c r="AN3520" s="10" t="str">
        <f t="shared" si="399"/>
        <v>FALSE</v>
      </c>
      <c r="AO3520" s="10" t="str">
        <f t="shared" si="400"/>
        <v>FALSE</v>
      </c>
      <c r="AP3520" s="10" t="str">
        <f t="shared" si="400"/>
        <v>FALSE</v>
      </c>
      <c r="AQ3520" s="10" t="b">
        <f>IF(AND(I3520="TP",S3520&lt;=150),VLOOKUP(AF3520,TPCalibEq150!$AZ$2:$BB$55,3,),IF(AND(I3520="TDP",S3520&lt;=150),VLOOKUP(AF3520,TPCalibEq150!$AZ$2:$BB$55,3,)))</f>
        <v>0</v>
      </c>
      <c r="AR3520" s="10" t="b">
        <f>IF(AND(I3520="TP",S3520&lt;=300),VLOOKUP(AF3520,TPCalibEq300!$AZ$2:$BB$55,3,),IF(AND(I3520="TDP",S3520&lt;=300),VLOOKUP(AF3520,TPCalibEq300!$AZ$2:$BB$55,3,)))</f>
        <v>0</v>
      </c>
      <c r="AS3520" s="10" t="b">
        <f>IF(AND(I3520="TP",S3520&lt;=500),VLOOKUP(AF3520,TPCalibEq500!$AZ$2:$BB$56,3,),IF(AND(I3520="TDP",S3520&lt;=500),VLOOKUP(AF3520,TPCalibEq500!$AZ$2:$BB$56,3,)))</f>
        <v>0</v>
      </c>
      <c r="AT3520" s="10" t="b">
        <f>IF(AND(I3520="TN",S3520&lt;=2800),VLOOKUP(AF3520,TNCalibEq2500!$AZ$2:$BB$56,3,),IF(AND(I3520="TDN",S3520&lt;=2800),VLOOKUP(AF3520,TNCalibEq2500!$AZ$2:$BB$56,3,)))</f>
        <v>0</v>
      </c>
      <c r="AU3520" s="10" t="b">
        <f>IF(I3520="TP",VLOOKUP(AF3520,TPCalibEqFull!$AZ$2:$BB$56,3),IF(I3520="TDP",VLOOKUP(AF3520,TPCalibEqFull!$AZ$2:$BB$56,3),IF(I3520="TDN",VLOOKUP(AF3520,TNCalibEqFull!$AZ$1:$BB$56,3),IF(I3520="TN",VLOOKUP(AF3520,TNCalibEqFull!$AZ$1:$BB$56,3),FALSE))))</f>
        <v>0</v>
      </c>
      <c r="AV3520" s="10" t="str">
        <f t="shared" si="398"/>
        <v>0221 11:52:00-ECP-0-180-2-SW-UKN</v>
      </c>
    </row>
    <row r="3521" spans="1:48" s="10" customFormat="1" x14ac:dyDescent="0.55000000000000004">
      <c r="A3521" s="32">
        <v>44978</v>
      </c>
      <c r="B3521" s="33">
        <v>0.49444444444444446</v>
      </c>
      <c r="C3521" s="10" t="s">
        <v>618</v>
      </c>
      <c r="D3521" s="10">
        <v>0</v>
      </c>
      <c r="E3521" s="10">
        <v>180</v>
      </c>
      <c r="F3521" s="10">
        <v>2</v>
      </c>
      <c r="G3521" s="10" t="s">
        <v>231</v>
      </c>
      <c r="H3521" s="10" t="s">
        <v>233</v>
      </c>
      <c r="I3521" s="10" t="s">
        <v>285</v>
      </c>
      <c r="J3521" s="10">
        <v>10</v>
      </c>
      <c r="K3521" s="12">
        <v>44980</v>
      </c>
      <c r="L3521" s="33">
        <v>0.49793981481481481</v>
      </c>
      <c r="M3521" s="10">
        <v>1</v>
      </c>
      <c r="N3521" s="10" t="s">
        <v>211</v>
      </c>
      <c r="O3521" s="10">
        <v>0.63300000000000001</v>
      </c>
      <c r="P3521" s="10">
        <v>6.2600000000000003E-2</v>
      </c>
      <c r="Q3521" s="10">
        <v>111</v>
      </c>
      <c r="R3521" s="10" t="s">
        <v>913</v>
      </c>
      <c r="S3521" s="34">
        <f t="shared" si="402"/>
        <v>111</v>
      </c>
      <c r="T3521" s="10" t="s">
        <v>1267</v>
      </c>
      <c r="U3521" s="34">
        <f t="shared" si="396"/>
        <v>3.5398230088495577</v>
      </c>
      <c r="V3521" s="31" t="str">
        <f>IF(H3521="CHK",VLOOKUP(I3521,QCCHK,3,),IF(H3521="GUP",VLOOKUP(E3521,QCGUP,2,),IF(AND(H3521="ATP",OR(I3521="TN",I3521="TDN",I3521="TNO2-3",I3521="NO2-3")),VLOOKUP(E3521,QCREC_N,2,),IF(AND(H3521="NIC",OR(I3521="TN",I3521="TDN",I3521="TNO2-3",I3521="NO2-3")),VLOOKUP(E3521,QCNIC_N,2,),IF(AND(H3521="UREA",OR(I3521="TN",I3521="TDN",I3521="TNO2-3",I3521="NO2-3")),VLOOKUP(E3521,QCUREA_N,2,),IF(H3521="PER",VLOOKUP(I3521,QCPER,MATCH(E3521,QCACTUAL!$J$25:$AA$25,0),),IF(H3521="SPK",VLOOKUP(I3521,QCSPK,3,),IF(AND(H3521="ATP",OR(I3521="TP",I3521="TDP")),VLOOKUP(E3521,QCATP_P,2,),""))))))))</f>
        <v/>
      </c>
      <c r="W3521" s="31" t="str">
        <f t="shared" si="397"/>
        <v>TRUE</v>
      </c>
      <c r="X3521" s="31" t="str">
        <f t="shared" si="401"/>
        <v>((ABS(rep1-rep2))/((rep1+rep2)/2)*100</v>
      </c>
      <c r="Y3521" s="10" t="s">
        <v>1253</v>
      </c>
      <c r="AL3521" s="10" t="str">
        <f t="shared" si="399"/>
        <v>FALSE</v>
      </c>
      <c r="AM3521" s="10" t="str">
        <f t="shared" si="399"/>
        <v>FALSE</v>
      </c>
      <c r="AN3521" s="10" t="str">
        <f t="shared" si="399"/>
        <v>FALSE</v>
      </c>
      <c r="AO3521" s="10" t="str">
        <f t="shared" si="400"/>
        <v>FALSE</v>
      </c>
      <c r="AP3521" s="10" t="str">
        <f t="shared" si="400"/>
        <v>FALSE</v>
      </c>
      <c r="AQ3521" s="10" t="b">
        <f>IF(AND(I3521="TP",S3521&lt;=150),VLOOKUP(AF3521,TPCalibEq150!$AZ$2:$BB$55,3,),IF(AND(I3521="TDP",S3521&lt;=150),VLOOKUP(AF3521,TPCalibEq150!$AZ$2:$BB$55,3,)))</f>
        <v>0</v>
      </c>
      <c r="AR3521" s="10" t="b">
        <f>IF(AND(I3521="TP",S3521&lt;=300),VLOOKUP(AF3521,TPCalibEq300!$AZ$2:$BB$55,3,),IF(AND(I3521="TDP",S3521&lt;=300),VLOOKUP(AF3521,TPCalibEq300!$AZ$2:$BB$55,3,)))</f>
        <v>0</v>
      </c>
      <c r="AS3521" s="10" t="b">
        <f>IF(AND(I3521="TP",S3521&lt;=500),VLOOKUP(AF3521,TPCalibEq500!$AZ$2:$BB$56,3,),IF(AND(I3521="TDP",S3521&lt;=500),VLOOKUP(AF3521,TPCalibEq500!$AZ$2:$BB$56,3,)))</f>
        <v>0</v>
      </c>
      <c r="AT3521" s="10" t="b">
        <f>IF(AND(I3521="TN",S3521&lt;=2800),VLOOKUP(AF3521,TNCalibEq2500!$AZ$2:$BB$56,3,),IF(AND(I3521="TDN",S3521&lt;=2800),VLOOKUP(AF3521,TNCalibEq2500!$AZ$2:$BB$56,3,)))</f>
        <v>0</v>
      </c>
      <c r="AU3521" s="10" t="b">
        <f>IF(I3521="TP",VLOOKUP(AF3521,TPCalibEqFull!$AZ$2:$BB$56,3),IF(I3521="TDP",VLOOKUP(AF3521,TPCalibEqFull!$AZ$2:$BB$56,3),IF(I3521="TDN",VLOOKUP(AF3521,TNCalibEqFull!$AZ$1:$BB$56,3),IF(I3521="TN",VLOOKUP(AF3521,TNCalibEqFull!$AZ$1:$BB$56,3),FALSE))))</f>
        <v>0</v>
      </c>
      <c r="AV3521" s="10" t="str">
        <f t="shared" si="398"/>
        <v>0221 11:52:00-ECP-0-180-2-SW-DUP</v>
      </c>
    </row>
    <row r="3522" spans="1:48" s="10" customFormat="1" x14ac:dyDescent="0.55000000000000004">
      <c r="A3522" s="32">
        <v>44978</v>
      </c>
      <c r="B3522" s="33">
        <v>0.49444444444444446</v>
      </c>
      <c r="C3522" s="10" t="s">
        <v>618</v>
      </c>
      <c r="D3522" s="10">
        <v>0</v>
      </c>
      <c r="E3522" s="10">
        <v>180</v>
      </c>
      <c r="F3522" s="10">
        <v>2</v>
      </c>
      <c r="G3522" s="10" t="s">
        <v>231</v>
      </c>
      <c r="H3522" s="10" t="s">
        <v>314</v>
      </c>
      <c r="I3522" s="10" t="s">
        <v>285</v>
      </c>
      <c r="J3522" s="10">
        <v>82</v>
      </c>
      <c r="K3522" s="12">
        <v>44980</v>
      </c>
      <c r="L3522" s="33">
        <v>0.49875000000000003</v>
      </c>
      <c r="M3522" s="10">
        <v>1</v>
      </c>
      <c r="N3522" s="10" t="s">
        <v>211</v>
      </c>
      <c r="O3522" s="10">
        <v>1.73</v>
      </c>
      <c r="P3522" s="10">
        <v>0.17199999999999999</v>
      </c>
      <c r="Q3522" s="10">
        <v>303</v>
      </c>
      <c r="R3522" s="10" t="s">
        <v>913</v>
      </c>
      <c r="S3522" s="34">
        <f t="shared" si="402"/>
        <v>303</v>
      </c>
      <c r="T3522" s="10" t="s">
        <v>1267</v>
      </c>
      <c r="U3522" s="34">
        <f t="shared" ref="U3522:U3585" si="403">IF(OR(H3522="CHK",H3522="ATP",H3522="GUP",H3522="PER", H3522="NIC", H3522="UREA"),(S3522/V3522*100),IF(H3522="DUP",((ABS(S3522-S3521))/((S3521+S3522)/2))*100,IF(H3522="SPK",((S3522-S3521)/V3522*100),IF(OR(H3522="LAB",H3522="FLD",H3522="ESF"),S3522,""))))</f>
        <v>122.88</v>
      </c>
      <c r="V3522" s="31">
        <f>IF(H3522="CHK",VLOOKUP(I3522,QCCHK,3,),IF(H3522="GUP",VLOOKUP(E3522,QCGUP,2,),IF(AND(H3522="ATP",OR(I3522="TN",I3522="TDN",I3522="TNO2-3",I3522="NO2-3")),VLOOKUP(E3522,QCREC_N,2,),IF(AND(H3522="NIC",OR(I3522="TN",I3522="TDN",I3522="TNO2-3",I3522="NO2-3")),VLOOKUP(E3522,QCNIC_N,2,),IF(AND(H3522="UREA",OR(I3522="TN",I3522="TDN",I3522="TNO2-3",I3522="NO2-3")),VLOOKUP(E3522,QCUREA_N,2,),IF(H3522="PER",VLOOKUP(I3522,QCPER,MATCH(E3522,QCACTUAL!$J$25:$AA$25,0),),IF(H3522="SPK",VLOOKUP(I3522,QCSPK,3,),IF(AND(H3522="ATP",OR(I3522="TP",I3522="TDP")),VLOOKUP(E3522,QCATP_P,2,),""))))))))</f>
        <v>156.25</v>
      </c>
      <c r="W3522" s="31" t="str">
        <f t="shared" ref="W3522:W3585" si="404">IF(AND(OR(H3522="PER",H3522="ATP",H3522="GUP",H3522="CHK",H3522="SPK", H3522="NIC"),OR(U3522&gt;125,U3522&lt;75)),"FALSE",IF(AND(H3522="DUP",OR(U3522&gt;25, U3522&lt;-25)),"FALSE",IF(AND(OR(H3522="LAB",H3522="FLD",H3522="ESF"),U3522&gt;15),"FALSE","TRUE")))</f>
        <v>TRUE</v>
      </c>
      <c r="X3522" s="31" t="str">
        <f t="shared" si="401"/>
        <v>([spikedunkn]-[unkn])/[spike]*100</v>
      </c>
      <c r="Y3522" s="10" t="s">
        <v>1253</v>
      </c>
      <c r="AL3522" s="10" t="str">
        <f t="shared" si="399"/>
        <v>FALSE</v>
      </c>
      <c r="AM3522" s="10" t="str">
        <f t="shared" si="399"/>
        <v>FALSE</v>
      </c>
      <c r="AN3522" s="10" t="str">
        <f t="shared" si="399"/>
        <v>FALSE</v>
      </c>
      <c r="AO3522" s="10" t="str">
        <f t="shared" si="400"/>
        <v>FALSE</v>
      </c>
      <c r="AP3522" s="10" t="str">
        <f t="shared" si="400"/>
        <v>FALSE</v>
      </c>
      <c r="AQ3522" s="10" t="b">
        <f>IF(AND(I3522="TP",S3522&lt;=150),VLOOKUP(AF3522,TPCalibEq150!$AZ$2:$BB$55,3,),IF(AND(I3522="TDP",S3522&lt;=150),VLOOKUP(AF3522,TPCalibEq150!$AZ$2:$BB$55,3,)))</f>
        <v>0</v>
      </c>
      <c r="AR3522" s="10" t="b">
        <f>IF(AND(I3522="TP",S3522&lt;=300),VLOOKUP(AF3522,TPCalibEq300!$AZ$2:$BB$55,3,),IF(AND(I3522="TDP",S3522&lt;=300),VLOOKUP(AF3522,TPCalibEq300!$AZ$2:$BB$55,3,)))</f>
        <v>0</v>
      </c>
      <c r="AS3522" s="10" t="b">
        <f>IF(AND(I3522="TP",S3522&lt;=500),VLOOKUP(AF3522,TPCalibEq500!$AZ$2:$BB$56,3,),IF(AND(I3522="TDP",S3522&lt;=500),VLOOKUP(AF3522,TPCalibEq500!$AZ$2:$BB$56,3,)))</f>
        <v>0</v>
      </c>
      <c r="AT3522" s="10" t="b">
        <f>IF(AND(I3522="TN",S3522&lt;=2800),VLOOKUP(AF3522,TNCalibEq2500!$AZ$2:$BB$56,3,),IF(AND(I3522="TDN",S3522&lt;=2800),VLOOKUP(AF3522,TNCalibEq2500!$AZ$2:$BB$56,3,)))</f>
        <v>0</v>
      </c>
      <c r="AU3522" s="10" t="b">
        <f>IF(I3522="TP",VLOOKUP(AF3522,TPCalibEqFull!$AZ$2:$BB$56,3),IF(I3522="TDP",VLOOKUP(AF3522,TPCalibEqFull!$AZ$2:$BB$56,3),IF(I3522="TDN",VLOOKUP(AF3522,TNCalibEqFull!$AZ$1:$BB$56,3),IF(I3522="TN",VLOOKUP(AF3522,TNCalibEqFull!$AZ$1:$BB$56,3),FALSE))))</f>
        <v>0</v>
      </c>
      <c r="AV3522" s="10" t="str">
        <f t="shared" ref="AV3522:AV3585" si="405">TEXT(A3522, "MMDD")&amp;" "&amp;TEXT(B3522, "HH:MM:SS")&amp;"-"&amp;C3522&amp;"-"&amp;D3522&amp;"-"&amp;E3522&amp;"-"&amp;F3522&amp;"-"&amp;G3522&amp;"-"&amp;H3522</f>
        <v>0221 11:52:00-ECP-0-180-2-SW-SPK</v>
      </c>
    </row>
    <row r="3523" spans="1:48" s="10" customFormat="1" x14ac:dyDescent="0.55000000000000004">
      <c r="A3523" s="32">
        <v>44979</v>
      </c>
      <c r="B3523" s="33">
        <v>0.375</v>
      </c>
      <c r="C3523" s="10" t="s">
        <v>70</v>
      </c>
      <c r="D3523" s="10" t="s">
        <v>71</v>
      </c>
      <c r="E3523" s="10" t="s">
        <v>901</v>
      </c>
      <c r="F3523" s="10">
        <v>1</v>
      </c>
      <c r="G3523" s="10" t="s">
        <v>73</v>
      </c>
      <c r="H3523" s="10" t="s">
        <v>207</v>
      </c>
      <c r="I3523" s="10" t="s">
        <v>285</v>
      </c>
      <c r="J3523" s="10">
        <v>199</v>
      </c>
      <c r="K3523" s="12">
        <v>44980</v>
      </c>
      <c r="L3523" s="33">
        <v>0.49958333333333332</v>
      </c>
      <c r="M3523" s="10">
        <v>1</v>
      </c>
      <c r="N3523" s="10" t="s">
        <v>211</v>
      </c>
      <c r="O3523" s="10">
        <v>0.434</v>
      </c>
      <c r="P3523" s="10">
        <v>4.1599999999999998E-2</v>
      </c>
      <c r="Q3523" s="10">
        <v>75.7</v>
      </c>
      <c r="R3523" s="10" t="s">
        <v>913</v>
      </c>
      <c r="S3523" s="34">
        <f t="shared" si="402"/>
        <v>75.7</v>
      </c>
      <c r="T3523" s="10" t="s">
        <v>1267</v>
      </c>
      <c r="U3523" s="34">
        <f t="shared" si="403"/>
        <v>100.93333333333334</v>
      </c>
      <c r="V3523" s="31">
        <f>IF(H3523="CHK",VLOOKUP(I3523,QCCHK,3,),IF(H3523="GUP",VLOOKUP(E3523,QCGUP,2,),IF(AND(H3523="ATP",OR(I3523="TN",I3523="TDN",I3523="TNO2-3",I3523="NO2-3")),VLOOKUP(E3523,QCREC_N,2,),IF(AND(H3523="NIC",OR(I3523="TN",I3523="TDN",I3523="TNO2-3",I3523="NO2-3")),VLOOKUP(E3523,QCNIC_N,2,),IF(AND(H3523="UREA",OR(I3523="TN",I3523="TDN",I3523="TNO2-3",I3523="NO2-3")),VLOOKUP(E3523,QCUREA_N,2,),IF(H3523="PER",VLOOKUP(I3523,QCPER,MATCH(E3523,QCACTUAL!$J$25:$AA$25,0),),IF(H3523="SPK",VLOOKUP(I3523,QCSPK,3,),IF(AND(H3523="ATP",OR(I3523="TP",I3523="TDP")),VLOOKUP(E3523,QCATP_P,2,),""))))))))</f>
        <v>75</v>
      </c>
      <c r="W3523" s="31" t="str">
        <f t="shared" si="404"/>
        <v>TRUE</v>
      </c>
      <c r="X3523" s="31" t="str">
        <f t="shared" si="401"/>
        <v>[chk]/[actual]*100</v>
      </c>
      <c r="Y3523" s="10" t="s">
        <v>1253</v>
      </c>
      <c r="AL3523" s="10" t="str">
        <f t="shared" si="399"/>
        <v>FALSE</v>
      </c>
      <c r="AM3523" s="10" t="str">
        <f t="shared" si="399"/>
        <v>FALSE</v>
      </c>
      <c r="AN3523" s="10" t="str">
        <f t="shared" si="399"/>
        <v>FALSE</v>
      </c>
      <c r="AO3523" s="10" t="str">
        <f t="shared" si="400"/>
        <v>FALSE</v>
      </c>
      <c r="AP3523" s="10" t="str">
        <f t="shared" si="400"/>
        <v>FALSE</v>
      </c>
      <c r="AQ3523" s="10" t="b">
        <f>IF(AND(I3523="TP",S3523&lt;=150),VLOOKUP(AF3523,TPCalibEq150!$AZ$2:$BB$55,3,),IF(AND(I3523="TDP",S3523&lt;=150),VLOOKUP(AF3523,TPCalibEq150!$AZ$2:$BB$55,3,)))</f>
        <v>0</v>
      </c>
      <c r="AR3523" s="10" t="b">
        <f>IF(AND(I3523="TP",S3523&lt;=300),VLOOKUP(AF3523,TPCalibEq300!$AZ$2:$BB$55,3,),IF(AND(I3523="TDP",S3523&lt;=300),VLOOKUP(AF3523,TPCalibEq300!$AZ$2:$BB$55,3,)))</f>
        <v>0</v>
      </c>
      <c r="AS3523" s="10" t="b">
        <f>IF(AND(I3523="TP",S3523&lt;=500),VLOOKUP(AF3523,TPCalibEq500!$AZ$2:$BB$56,3,),IF(AND(I3523="TDP",S3523&lt;=500),VLOOKUP(AF3523,TPCalibEq500!$AZ$2:$BB$56,3,)))</f>
        <v>0</v>
      </c>
      <c r="AT3523" s="10" t="b">
        <f>IF(AND(I3523="TN",S3523&lt;=2800),VLOOKUP(AF3523,TNCalibEq2500!$AZ$2:$BB$56,3,),IF(AND(I3523="TDN",S3523&lt;=2800),VLOOKUP(AF3523,TNCalibEq2500!$AZ$2:$BB$56,3,)))</f>
        <v>0</v>
      </c>
      <c r="AU3523" s="10" t="b">
        <f>IF(I3523="TP",VLOOKUP(AF3523,TPCalibEqFull!$AZ$2:$BB$56,3),IF(I3523="TDP",VLOOKUP(AF3523,TPCalibEqFull!$AZ$2:$BB$56,3),IF(I3523="TDN",VLOOKUP(AF3523,TNCalibEqFull!$AZ$1:$BB$56,3),IF(I3523="TN",VLOOKUP(AF3523,TNCalibEqFull!$AZ$1:$BB$56,3),FALSE))))</f>
        <v>0</v>
      </c>
      <c r="AV3523" s="10" t="str">
        <f t="shared" si="405"/>
        <v>0222 09:00:00-QAC-STD-D-1-DI-CHK</v>
      </c>
    </row>
    <row r="3524" spans="1:48" s="10" customFormat="1" x14ac:dyDescent="0.55000000000000004">
      <c r="A3524" s="32">
        <v>44978</v>
      </c>
      <c r="B3524" s="33">
        <v>0.49652777777777773</v>
      </c>
      <c r="C3524" s="10" t="s">
        <v>618</v>
      </c>
      <c r="D3524" s="10">
        <v>5</v>
      </c>
      <c r="E3524" s="10">
        <v>180</v>
      </c>
      <c r="F3524" s="10">
        <v>1</v>
      </c>
      <c r="G3524" s="10" t="s">
        <v>231</v>
      </c>
      <c r="H3524" s="10" t="s">
        <v>322</v>
      </c>
      <c r="I3524" s="10" t="s">
        <v>285</v>
      </c>
      <c r="J3524" s="10">
        <v>11</v>
      </c>
      <c r="K3524" s="12">
        <v>44980</v>
      </c>
      <c r="L3524" s="33">
        <v>0.50039351851851854</v>
      </c>
      <c r="M3524" s="10">
        <v>1</v>
      </c>
      <c r="N3524" s="10" t="s">
        <v>211</v>
      </c>
      <c r="O3524" s="10">
        <v>0.67</v>
      </c>
      <c r="P3524" s="10">
        <v>6.6100000000000006E-2</v>
      </c>
      <c r="Q3524" s="10">
        <v>117</v>
      </c>
      <c r="R3524" s="10" t="s">
        <v>913</v>
      </c>
      <c r="S3524" s="34">
        <f t="shared" si="402"/>
        <v>117</v>
      </c>
      <c r="T3524" s="10" t="s">
        <v>1267</v>
      </c>
      <c r="U3524" s="34" t="str">
        <f t="shared" si="403"/>
        <v/>
      </c>
      <c r="V3524" s="31" t="str">
        <f>IF(H3524="CHK",VLOOKUP(I3524,QCCHK,3,),IF(H3524="GUP",VLOOKUP(E3524,QCGUP,2,),IF(AND(H3524="ATP",OR(I3524="TN",I3524="TDN",I3524="TNO2-3",I3524="NO2-3")),VLOOKUP(E3524,QCREC_N,2,),IF(AND(H3524="NIC",OR(I3524="TN",I3524="TDN",I3524="TNO2-3",I3524="NO2-3")),VLOOKUP(E3524,QCNIC_N,2,),IF(AND(H3524="UREA",OR(I3524="TN",I3524="TDN",I3524="TNO2-3",I3524="NO2-3")),VLOOKUP(E3524,QCUREA_N,2,),IF(H3524="PER",VLOOKUP(I3524,QCPER,MATCH(E3524,QCACTUAL!$J$25:$AA$25,0),),IF(H3524="SPK",VLOOKUP(I3524,QCSPK,3,),IF(AND(H3524="ATP",OR(I3524="TP",I3524="TDP")),VLOOKUP(E3524,QCATP_P,2,),""))))))))</f>
        <v/>
      </c>
      <c r="W3524" s="31" t="str">
        <f t="shared" si="404"/>
        <v>TRUE</v>
      </c>
      <c r="X3524" s="31" t="str">
        <f t="shared" si="401"/>
        <v/>
      </c>
      <c r="Y3524" s="10" t="s">
        <v>1253</v>
      </c>
      <c r="AL3524" s="10" t="str">
        <f t="shared" si="399"/>
        <v>FALSE</v>
      </c>
      <c r="AM3524" s="10" t="str">
        <f t="shared" si="399"/>
        <v>FALSE</v>
      </c>
      <c r="AN3524" s="10" t="str">
        <f t="shared" si="399"/>
        <v>FALSE</v>
      </c>
      <c r="AO3524" s="10" t="str">
        <f t="shared" si="400"/>
        <v>FALSE</v>
      </c>
      <c r="AP3524" s="10" t="str">
        <f t="shared" si="400"/>
        <v>FALSE</v>
      </c>
      <c r="AQ3524" s="10" t="b">
        <f>IF(AND(I3524="TP",S3524&lt;=150),VLOOKUP(AF3524,TPCalibEq150!$AZ$2:$BB$55,3,),IF(AND(I3524="TDP",S3524&lt;=150),VLOOKUP(AF3524,TPCalibEq150!$AZ$2:$BB$55,3,)))</f>
        <v>0</v>
      </c>
      <c r="AR3524" s="10" t="b">
        <f>IF(AND(I3524="TP",S3524&lt;=300),VLOOKUP(AF3524,TPCalibEq300!$AZ$2:$BB$55,3,),IF(AND(I3524="TDP",S3524&lt;=300),VLOOKUP(AF3524,TPCalibEq300!$AZ$2:$BB$55,3,)))</f>
        <v>0</v>
      </c>
      <c r="AS3524" s="10" t="b">
        <f>IF(AND(I3524="TP",S3524&lt;=500),VLOOKUP(AF3524,TPCalibEq500!$AZ$2:$BB$56,3,),IF(AND(I3524="TDP",S3524&lt;=500),VLOOKUP(AF3524,TPCalibEq500!$AZ$2:$BB$56,3,)))</f>
        <v>0</v>
      </c>
      <c r="AT3524" s="10" t="b">
        <f>IF(AND(I3524="TN",S3524&lt;=2800),VLOOKUP(AF3524,TNCalibEq2500!$AZ$2:$BB$56,3,),IF(AND(I3524="TDN",S3524&lt;=2800),VLOOKUP(AF3524,TNCalibEq2500!$AZ$2:$BB$56,3,)))</f>
        <v>0</v>
      </c>
      <c r="AU3524" s="10" t="b">
        <f>IF(I3524="TP",VLOOKUP(AF3524,TPCalibEqFull!$AZ$2:$BB$56,3),IF(I3524="TDP",VLOOKUP(AF3524,TPCalibEqFull!$AZ$2:$BB$56,3),IF(I3524="TDN",VLOOKUP(AF3524,TNCalibEqFull!$AZ$1:$BB$56,3),IF(I3524="TN",VLOOKUP(AF3524,TNCalibEqFull!$AZ$1:$BB$56,3),FALSE))))</f>
        <v>0</v>
      </c>
      <c r="AV3524" s="10" t="str">
        <f t="shared" si="405"/>
        <v>0221 11:55:00-ECP-5-180-1-SW-UKN</v>
      </c>
    </row>
    <row r="3525" spans="1:48" s="10" customFormat="1" x14ac:dyDescent="0.55000000000000004">
      <c r="A3525" s="32">
        <v>44978</v>
      </c>
      <c r="B3525" s="33">
        <v>0.49861111111111112</v>
      </c>
      <c r="C3525" s="10" t="s">
        <v>618</v>
      </c>
      <c r="D3525" s="10">
        <v>10</v>
      </c>
      <c r="E3525" s="10">
        <v>200</v>
      </c>
      <c r="F3525" s="10">
        <v>1</v>
      </c>
      <c r="G3525" s="10" t="s">
        <v>231</v>
      </c>
      <c r="H3525" s="10" t="s">
        <v>322</v>
      </c>
      <c r="I3525" s="10" t="s">
        <v>285</v>
      </c>
      <c r="J3525" s="10">
        <v>12</v>
      </c>
      <c r="K3525" s="12">
        <v>44980</v>
      </c>
      <c r="L3525" s="33">
        <v>0.50120370370370371</v>
      </c>
      <c r="M3525" s="10">
        <v>1</v>
      </c>
      <c r="N3525" s="10" t="s">
        <v>211</v>
      </c>
      <c r="O3525" s="10">
        <v>0.67100000000000004</v>
      </c>
      <c r="P3525" s="10">
        <v>6.6199999999999995E-2</v>
      </c>
      <c r="Q3525" s="10">
        <v>118</v>
      </c>
      <c r="R3525" s="10" t="s">
        <v>913</v>
      </c>
      <c r="S3525" s="34">
        <f t="shared" si="402"/>
        <v>118</v>
      </c>
      <c r="T3525" s="10" t="s">
        <v>1267</v>
      </c>
      <c r="U3525" s="34" t="str">
        <f t="shared" si="403"/>
        <v/>
      </c>
      <c r="V3525" s="31" t="str">
        <f>IF(H3525="CHK",VLOOKUP(I3525,QCCHK,3,),IF(H3525="GUP",VLOOKUP(E3525,QCGUP,2,),IF(AND(H3525="ATP",OR(I3525="TN",I3525="TDN",I3525="TNO2-3",I3525="NO2-3")),VLOOKUP(E3525,QCREC_N,2,),IF(AND(H3525="NIC",OR(I3525="TN",I3525="TDN",I3525="TNO2-3",I3525="NO2-3")),VLOOKUP(E3525,QCNIC_N,2,),IF(AND(H3525="UREA",OR(I3525="TN",I3525="TDN",I3525="TNO2-3",I3525="NO2-3")),VLOOKUP(E3525,QCUREA_N,2,),IF(H3525="PER",VLOOKUP(I3525,QCPER,MATCH(E3525,QCACTUAL!$J$25:$AA$25,0),),IF(H3525="SPK",VLOOKUP(I3525,QCSPK,3,),IF(AND(H3525="ATP",OR(I3525="TP",I3525="TDP")),VLOOKUP(E3525,QCATP_P,2,),""))))))))</f>
        <v/>
      </c>
      <c r="W3525" s="31" t="str">
        <f t="shared" si="404"/>
        <v>TRUE</v>
      </c>
      <c r="X3525" s="31" t="str">
        <f t="shared" si="401"/>
        <v/>
      </c>
      <c r="Y3525" s="10" t="s">
        <v>1253</v>
      </c>
      <c r="AL3525" s="10" t="str">
        <f t="shared" si="399"/>
        <v>FALSE</v>
      </c>
      <c r="AM3525" s="10" t="str">
        <f t="shared" si="399"/>
        <v>FALSE</v>
      </c>
      <c r="AN3525" s="10" t="str">
        <f t="shared" si="399"/>
        <v>FALSE</v>
      </c>
      <c r="AO3525" s="10" t="str">
        <f t="shared" si="400"/>
        <v>FALSE</v>
      </c>
      <c r="AP3525" s="10" t="str">
        <f t="shared" si="400"/>
        <v>FALSE</v>
      </c>
      <c r="AQ3525" s="10" t="b">
        <f>IF(AND(I3525="TP",S3525&lt;=150),VLOOKUP(AF3525,TPCalibEq150!$AZ$2:$BB$55,3,),IF(AND(I3525="TDP",S3525&lt;=150),VLOOKUP(AF3525,TPCalibEq150!$AZ$2:$BB$55,3,)))</f>
        <v>0</v>
      </c>
      <c r="AR3525" s="10" t="b">
        <f>IF(AND(I3525="TP",S3525&lt;=300),VLOOKUP(AF3525,TPCalibEq300!$AZ$2:$BB$55,3,),IF(AND(I3525="TDP",S3525&lt;=300),VLOOKUP(AF3525,TPCalibEq300!$AZ$2:$BB$55,3,)))</f>
        <v>0</v>
      </c>
      <c r="AS3525" s="10" t="b">
        <f>IF(AND(I3525="TP",S3525&lt;=500),VLOOKUP(AF3525,TPCalibEq500!$AZ$2:$BB$56,3,),IF(AND(I3525="TDP",S3525&lt;=500),VLOOKUP(AF3525,TPCalibEq500!$AZ$2:$BB$56,3,)))</f>
        <v>0</v>
      </c>
      <c r="AT3525" s="10" t="b">
        <f>IF(AND(I3525="TN",S3525&lt;=2800),VLOOKUP(AF3525,TNCalibEq2500!$AZ$2:$BB$56,3,),IF(AND(I3525="TDN",S3525&lt;=2800),VLOOKUP(AF3525,TNCalibEq2500!$AZ$2:$BB$56,3,)))</f>
        <v>0</v>
      </c>
      <c r="AU3525" s="10" t="b">
        <f>IF(I3525="TP",VLOOKUP(AF3525,TPCalibEqFull!$AZ$2:$BB$56,3),IF(I3525="TDP",VLOOKUP(AF3525,TPCalibEqFull!$AZ$2:$BB$56,3),IF(I3525="TDN",VLOOKUP(AF3525,TNCalibEqFull!$AZ$1:$BB$56,3),IF(I3525="TN",VLOOKUP(AF3525,TNCalibEqFull!$AZ$1:$BB$56,3),FALSE))))</f>
        <v>0</v>
      </c>
      <c r="AV3525" s="10" t="str">
        <f t="shared" si="405"/>
        <v>0221 11:58:00-ECP-10-200-1-SW-UKN</v>
      </c>
    </row>
    <row r="3526" spans="1:48" s="10" customFormat="1" x14ac:dyDescent="0.55000000000000004">
      <c r="A3526" s="32">
        <v>44978</v>
      </c>
      <c r="B3526" s="33">
        <v>0.50208333333333333</v>
      </c>
      <c r="C3526" s="10" t="s">
        <v>618</v>
      </c>
      <c r="D3526" s="10">
        <v>20</v>
      </c>
      <c r="E3526" s="10" t="s">
        <v>190</v>
      </c>
      <c r="F3526" s="10">
        <v>1</v>
      </c>
      <c r="G3526" s="10" t="s">
        <v>231</v>
      </c>
      <c r="H3526" s="10" t="s">
        <v>322</v>
      </c>
      <c r="I3526" s="10" t="s">
        <v>285</v>
      </c>
      <c r="J3526" s="10">
        <v>13</v>
      </c>
      <c r="K3526" s="12">
        <v>44980</v>
      </c>
      <c r="L3526" s="33">
        <v>0.50201388888888887</v>
      </c>
      <c r="M3526" s="10">
        <v>1</v>
      </c>
      <c r="N3526" s="10" t="s">
        <v>211</v>
      </c>
      <c r="O3526" s="10">
        <v>0.66200000000000003</v>
      </c>
      <c r="P3526" s="10">
        <v>6.5799999999999997E-2</v>
      </c>
      <c r="Q3526" s="10">
        <v>116</v>
      </c>
      <c r="R3526" s="10" t="s">
        <v>913</v>
      </c>
      <c r="S3526" s="34">
        <f t="shared" si="402"/>
        <v>116</v>
      </c>
      <c r="T3526" s="10" t="s">
        <v>1267</v>
      </c>
      <c r="U3526" s="34" t="str">
        <f t="shared" si="403"/>
        <v/>
      </c>
      <c r="V3526" s="31" t="str">
        <f>IF(H3526="CHK",VLOOKUP(I3526,QCCHK,3,),IF(H3526="GUP",VLOOKUP(E3526,QCGUP,2,),IF(AND(H3526="ATP",OR(I3526="TN",I3526="TDN",I3526="TNO2-3",I3526="NO2-3")),VLOOKUP(E3526,QCREC_N,2,),IF(AND(H3526="NIC",OR(I3526="TN",I3526="TDN",I3526="TNO2-3",I3526="NO2-3")),VLOOKUP(E3526,QCNIC_N,2,),IF(AND(H3526="UREA",OR(I3526="TN",I3526="TDN",I3526="TNO2-3",I3526="NO2-3")),VLOOKUP(E3526,QCUREA_N,2,),IF(H3526="PER",VLOOKUP(I3526,QCPER,MATCH(E3526,QCACTUAL!$J$25:$AA$25,0),),IF(H3526="SPK",VLOOKUP(I3526,QCSPK,3,),IF(AND(H3526="ATP",OR(I3526="TP",I3526="TDP")),VLOOKUP(E3526,QCATP_P,2,),""))))))))</f>
        <v/>
      </c>
      <c r="W3526" s="31" t="str">
        <f t="shared" si="404"/>
        <v>TRUE</v>
      </c>
      <c r="X3526" s="31" t="str">
        <f t="shared" si="401"/>
        <v/>
      </c>
      <c r="Y3526" s="10" t="s">
        <v>1253</v>
      </c>
      <c r="AL3526" s="10" t="str">
        <f t="shared" si="399"/>
        <v>FALSE</v>
      </c>
      <c r="AM3526" s="10" t="str">
        <f t="shared" si="399"/>
        <v>FALSE</v>
      </c>
      <c r="AN3526" s="10" t="str">
        <f t="shared" si="399"/>
        <v>FALSE</v>
      </c>
      <c r="AO3526" s="10" t="str">
        <f t="shared" si="400"/>
        <v>FALSE</v>
      </c>
      <c r="AP3526" s="10" t="str">
        <f t="shared" si="400"/>
        <v>FALSE</v>
      </c>
      <c r="AQ3526" s="10" t="b">
        <f>IF(AND(I3526="TP",S3526&lt;=150),VLOOKUP(AF3526,TPCalibEq150!$AZ$2:$BB$55,3,),IF(AND(I3526="TDP",S3526&lt;=150),VLOOKUP(AF3526,TPCalibEq150!$AZ$2:$BB$55,3,)))</f>
        <v>0</v>
      </c>
      <c r="AR3526" s="10" t="b">
        <f>IF(AND(I3526="TP",S3526&lt;=300),VLOOKUP(AF3526,TPCalibEq300!$AZ$2:$BB$55,3,),IF(AND(I3526="TDP",S3526&lt;=300),VLOOKUP(AF3526,TPCalibEq300!$AZ$2:$BB$55,3,)))</f>
        <v>0</v>
      </c>
      <c r="AS3526" s="10" t="b">
        <f>IF(AND(I3526="TP",S3526&lt;=500),VLOOKUP(AF3526,TPCalibEq500!$AZ$2:$BB$56,3,),IF(AND(I3526="TDP",S3526&lt;=500),VLOOKUP(AF3526,TPCalibEq500!$AZ$2:$BB$56,3,)))</f>
        <v>0</v>
      </c>
      <c r="AT3526" s="10" t="b">
        <f>IF(AND(I3526="TN",S3526&lt;=2800),VLOOKUP(AF3526,TNCalibEq2500!$AZ$2:$BB$56,3,),IF(AND(I3526="TDN",S3526&lt;=2800),VLOOKUP(AF3526,TNCalibEq2500!$AZ$2:$BB$56,3,)))</f>
        <v>0</v>
      </c>
      <c r="AU3526" s="10" t="b">
        <f>IF(I3526="TP",VLOOKUP(AF3526,TPCalibEqFull!$AZ$2:$BB$56,3),IF(I3526="TDP",VLOOKUP(AF3526,TPCalibEqFull!$AZ$2:$BB$56,3),IF(I3526="TDN",VLOOKUP(AF3526,TNCalibEqFull!$AZ$1:$BB$56,3),IF(I3526="TN",VLOOKUP(AF3526,TNCalibEqFull!$AZ$1:$BB$56,3),FALSE))))</f>
        <v>0</v>
      </c>
      <c r="AV3526" s="10" t="str">
        <f t="shared" si="405"/>
        <v>0221 12:03:00-ECP-20-C-1-SW-UKN</v>
      </c>
    </row>
    <row r="3527" spans="1:48" s="10" customFormat="1" x14ac:dyDescent="0.55000000000000004">
      <c r="A3527" s="32">
        <v>44978</v>
      </c>
      <c r="B3527" s="33">
        <v>0.50416666666666665</v>
      </c>
      <c r="C3527" s="10" t="s">
        <v>618</v>
      </c>
      <c r="D3527" s="10">
        <v>29</v>
      </c>
      <c r="E3527" s="10" t="s">
        <v>190</v>
      </c>
      <c r="F3527" s="10">
        <v>1</v>
      </c>
      <c r="G3527" s="10" t="s">
        <v>231</v>
      </c>
      <c r="H3527" s="10" t="s">
        <v>322</v>
      </c>
      <c r="I3527" s="10" t="s">
        <v>285</v>
      </c>
      <c r="J3527" s="10">
        <v>14</v>
      </c>
      <c r="K3527" s="12">
        <v>44980</v>
      </c>
      <c r="L3527" s="33">
        <v>0.50282407407407403</v>
      </c>
      <c r="M3527" s="10">
        <v>1</v>
      </c>
      <c r="N3527" s="10" t="s">
        <v>211</v>
      </c>
      <c r="O3527" s="10">
        <v>0.68500000000000005</v>
      </c>
      <c r="P3527" s="10">
        <v>6.8400000000000002E-2</v>
      </c>
      <c r="Q3527" s="10">
        <v>120</v>
      </c>
      <c r="R3527" s="10" t="s">
        <v>913</v>
      </c>
      <c r="S3527" s="34">
        <f t="shared" si="402"/>
        <v>120</v>
      </c>
      <c r="T3527" s="10" t="s">
        <v>1267</v>
      </c>
      <c r="U3527" s="34" t="str">
        <f t="shared" si="403"/>
        <v/>
      </c>
      <c r="V3527" s="31" t="str">
        <f>IF(H3527="CHK",VLOOKUP(I3527,QCCHK,3,),IF(H3527="GUP",VLOOKUP(E3527,QCGUP,2,),IF(AND(H3527="ATP",OR(I3527="TN",I3527="TDN",I3527="TNO2-3",I3527="NO2-3")),VLOOKUP(E3527,QCREC_N,2,),IF(AND(H3527="NIC",OR(I3527="TN",I3527="TDN",I3527="TNO2-3",I3527="NO2-3")),VLOOKUP(E3527,QCNIC_N,2,),IF(AND(H3527="UREA",OR(I3527="TN",I3527="TDN",I3527="TNO2-3",I3527="NO2-3")),VLOOKUP(E3527,QCUREA_N,2,),IF(H3527="PER",VLOOKUP(I3527,QCPER,MATCH(E3527,QCACTUAL!$J$25:$AA$25,0),),IF(H3527="SPK",VLOOKUP(I3527,QCSPK,3,),IF(AND(H3527="ATP",OR(I3527="TP",I3527="TDP")),VLOOKUP(E3527,QCATP_P,2,),""))))))))</f>
        <v/>
      </c>
      <c r="W3527" s="31" t="str">
        <f t="shared" si="404"/>
        <v>TRUE</v>
      </c>
      <c r="X3527" s="31" t="str">
        <f t="shared" si="401"/>
        <v/>
      </c>
      <c r="Y3527" s="10" t="s">
        <v>1253</v>
      </c>
      <c r="AL3527" s="10" t="str">
        <f t="shared" si="399"/>
        <v>FALSE</v>
      </c>
      <c r="AM3527" s="10" t="str">
        <f t="shared" si="399"/>
        <v>FALSE</v>
      </c>
      <c r="AN3527" s="10" t="str">
        <f t="shared" si="399"/>
        <v>FALSE</v>
      </c>
      <c r="AO3527" s="10" t="str">
        <f t="shared" si="400"/>
        <v>FALSE</v>
      </c>
      <c r="AP3527" s="10" t="str">
        <f t="shared" si="400"/>
        <v>FALSE</v>
      </c>
      <c r="AQ3527" s="10" t="b">
        <f>IF(AND(I3527="TP",S3527&lt;=150),VLOOKUP(AF3527,TPCalibEq150!$AZ$2:$BB$55,3,),IF(AND(I3527="TDP",S3527&lt;=150),VLOOKUP(AF3527,TPCalibEq150!$AZ$2:$BB$55,3,)))</f>
        <v>0</v>
      </c>
      <c r="AR3527" s="10" t="b">
        <f>IF(AND(I3527="TP",S3527&lt;=300),VLOOKUP(AF3527,TPCalibEq300!$AZ$2:$BB$55,3,),IF(AND(I3527="TDP",S3527&lt;=300),VLOOKUP(AF3527,TPCalibEq300!$AZ$2:$BB$55,3,)))</f>
        <v>0</v>
      </c>
      <c r="AS3527" s="10" t="b">
        <f>IF(AND(I3527="TP",S3527&lt;=500),VLOOKUP(AF3527,TPCalibEq500!$AZ$2:$BB$56,3,),IF(AND(I3527="TDP",S3527&lt;=500),VLOOKUP(AF3527,TPCalibEq500!$AZ$2:$BB$56,3,)))</f>
        <v>0</v>
      </c>
      <c r="AT3527" s="10" t="b">
        <f>IF(AND(I3527="TN",S3527&lt;=2800),VLOOKUP(AF3527,TNCalibEq2500!$AZ$2:$BB$56,3,),IF(AND(I3527="TDN",S3527&lt;=2800),VLOOKUP(AF3527,TNCalibEq2500!$AZ$2:$BB$56,3,)))</f>
        <v>0</v>
      </c>
      <c r="AU3527" s="10" t="b">
        <f>IF(I3527="TP",VLOOKUP(AF3527,TPCalibEqFull!$AZ$2:$BB$56,3),IF(I3527="TDP",VLOOKUP(AF3527,TPCalibEqFull!$AZ$2:$BB$56,3),IF(I3527="TDN",VLOOKUP(AF3527,TNCalibEqFull!$AZ$1:$BB$56,3),IF(I3527="TN",VLOOKUP(AF3527,TNCalibEqFull!$AZ$1:$BB$56,3),FALSE))))</f>
        <v>0</v>
      </c>
      <c r="AV3527" s="10" t="str">
        <f t="shared" si="405"/>
        <v>0221 12:06:00-ECP-29-C-1-SW-UKN</v>
      </c>
    </row>
    <row r="3528" spans="1:48" s="10" customFormat="1" x14ac:dyDescent="0.55000000000000004">
      <c r="A3528" s="32">
        <v>44978</v>
      </c>
      <c r="B3528" s="33">
        <v>0.50972222222222219</v>
      </c>
      <c r="C3528" s="10" t="s">
        <v>661</v>
      </c>
      <c r="D3528" s="10">
        <v>0</v>
      </c>
      <c r="E3528" s="10">
        <v>170</v>
      </c>
      <c r="F3528" s="10">
        <v>1</v>
      </c>
      <c r="G3528" s="10" t="s">
        <v>231</v>
      </c>
      <c r="H3528" s="10" t="s">
        <v>322</v>
      </c>
      <c r="I3528" s="10" t="s">
        <v>285</v>
      </c>
      <c r="J3528" s="10">
        <v>15</v>
      </c>
      <c r="K3528" s="12">
        <v>44980</v>
      </c>
      <c r="L3528" s="33">
        <v>0.50362268518518516</v>
      </c>
      <c r="M3528" s="10">
        <v>1</v>
      </c>
      <c r="N3528" s="10" t="s">
        <v>211</v>
      </c>
      <c r="O3528" s="10">
        <v>0.71</v>
      </c>
      <c r="P3528" s="10">
        <v>7.0000000000000007E-2</v>
      </c>
      <c r="Q3528" s="10">
        <v>124</v>
      </c>
      <c r="R3528" s="10" t="s">
        <v>913</v>
      </c>
      <c r="S3528" s="34">
        <f t="shared" si="402"/>
        <v>124</v>
      </c>
      <c r="T3528" s="10" t="s">
        <v>1267</v>
      </c>
      <c r="U3528" s="34" t="str">
        <f t="shared" si="403"/>
        <v/>
      </c>
      <c r="V3528" s="31" t="str">
        <f>IF(H3528="CHK",VLOOKUP(I3528,QCCHK,3,),IF(H3528="GUP",VLOOKUP(E3528,QCGUP,2,),IF(AND(H3528="ATP",OR(I3528="TN",I3528="TDN",I3528="TNO2-3",I3528="NO2-3")),VLOOKUP(E3528,QCREC_N,2,),IF(AND(H3528="NIC",OR(I3528="TN",I3528="TDN",I3528="TNO2-3",I3528="NO2-3")),VLOOKUP(E3528,QCNIC_N,2,),IF(AND(H3528="UREA",OR(I3528="TN",I3528="TDN",I3528="TNO2-3",I3528="NO2-3")),VLOOKUP(E3528,QCUREA_N,2,),IF(H3528="PER",VLOOKUP(I3528,QCPER,MATCH(E3528,QCACTUAL!$J$25:$AA$25,0),),IF(H3528="SPK",VLOOKUP(I3528,QCSPK,3,),IF(AND(H3528="ATP",OR(I3528="TP",I3528="TDP")),VLOOKUP(E3528,QCATP_P,2,),""))))))))</f>
        <v/>
      </c>
      <c r="W3528" s="31" t="str">
        <f t="shared" si="404"/>
        <v>TRUE</v>
      </c>
      <c r="X3528" s="31" t="str">
        <f t="shared" si="401"/>
        <v/>
      </c>
      <c r="Y3528" s="10" t="s">
        <v>1253</v>
      </c>
      <c r="AL3528" s="10" t="str">
        <f t="shared" si="399"/>
        <v>FALSE</v>
      </c>
      <c r="AM3528" s="10" t="str">
        <f t="shared" si="399"/>
        <v>FALSE</v>
      </c>
      <c r="AN3528" s="10" t="str">
        <f t="shared" si="399"/>
        <v>FALSE</v>
      </c>
      <c r="AO3528" s="10" t="str">
        <f t="shared" si="400"/>
        <v>FALSE</v>
      </c>
      <c r="AP3528" s="10" t="str">
        <f t="shared" si="400"/>
        <v>FALSE</v>
      </c>
      <c r="AQ3528" s="10" t="b">
        <f>IF(AND(I3528="TP",S3528&lt;=150),VLOOKUP(AF3528,TPCalibEq150!$AZ$2:$BB$55,3,),IF(AND(I3528="TDP",S3528&lt;=150),VLOOKUP(AF3528,TPCalibEq150!$AZ$2:$BB$55,3,)))</f>
        <v>0</v>
      </c>
      <c r="AR3528" s="10" t="b">
        <f>IF(AND(I3528="TP",S3528&lt;=300),VLOOKUP(AF3528,TPCalibEq300!$AZ$2:$BB$55,3,),IF(AND(I3528="TDP",S3528&lt;=300),VLOOKUP(AF3528,TPCalibEq300!$AZ$2:$BB$55,3,)))</f>
        <v>0</v>
      </c>
      <c r="AS3528" s="10" t="b">
        <f>IF(AND(I3528="TP",S3528&lt;=500),VLOOKUP(AF3528,TPCalibEq500!$AZ$2:$BB$56,3,),IF(AND(I3528="TDP",S3528&lt;=500),VLOOKUP(AF3528,TPCalibEq500!$AZ$2:$BB$56,3,)))</f>
        <v>0</v>
      </c>
      <c r="AT3528" s="10" t="b">
        <f>IF(AND(I3528="TN",S3528&lt;=2800),VLOOKUP(AF3528,TNCalibEq2500!$AZ$2:$BB$56,3,),IF(AND(I3528="TDN",S3528&lt;=2800),VLOOKUP(AF3528,TNCalibEq2500!$AZ$2:$BB$56,3,)))</f>
        <v>0</v>
      </c>
      <c r="AU3528" s="10" t="b">
        <f>IF(I3528="TP",VLOOKUP(AF3528,TPCalibEqFull!$AZ$2:$BB$56,3),IF(I3528="TDP",VLOOKUP(AF3528,TPCalibEqFull!$AZ$2:$BB$56,3),IF(I3528="TDN",VLOOKUP(AF3528,TNCalibEqFull!$AZ$1:$BB$56,3),IF(I3528="TN",VLOOKUP(AF3528,TNCalibEqFull!$AZ$1:$BB$56,3),FALSE))))</f>
        <v>0</v>
      </c>
      <c r="AV3528" s="10" t="str">
        <f t="shared" si="405"/>
        <v>0221 12:14:00-ENN-0-170-1-SW-UKN</v>
      </c>
    </row>
    <row r="3529" spans="1:48" s="10" customFormat="1" x14ac:dyDescent="0.55000000000000004">
      <c r="A3529" s="32">
        <v>44978</v>
      </c>
      <c r="B3529" s="33">
        <v>0.51180555555555551</v>
      </c>
      <c r="C3529" s="10" t="s">
        <v>661</v>
      </c>
      <c r="D3529" s="10">
        <v>5</v>
      </c>
      <c r="E3529" s="10">
        <v>160</v>
      </c>
      <c r="F3529" s="10">
        <v>1</v>
      </c>
      <c r="G3529" s="10" t="s">
        <v>231</v>
      </c>
      <c r="H3529" s="10" t="s">
        <v>322</v>
      </c>
      <c r="I3529" s="10" t="s">
        <v>285</v>
      </c>
      <c r="J3529" s="10">
        <v>16</v>
      </c>
      <c r="K3529" s="12">
        <v>44980</v>
      </c>
      <c r="L3529" s="33">
        <v>0.50444444444444447</v>
      </c>
      <c r="M3529" s="10">
        <v>1</v>
      </c>
      <c r="N3529" s="10" t="s">
        <v>211</v>
      </c>
      <c r="O3529" s="10">
        <v>0.67500000000000004</v>
      </c>
      <c r="P3529" s="10">
        <v>6.6699999999999995E-2</v>
      </c>
      <c r="Q3529" s="10">
        <v>118</v>
      </c>
      <c r="R3529" s="10" t="s">
        <v>913</v>
      </c>
      <c r="S3529" s="34">
        <f t="shared" si="402"/>
        <v>118</v>
      </c>
      <c r="T3529" s="10" t="s">
        <v>1267</v>
      </c>
      <c r="U3529" s="34" t="str">
        <f t="shared" si="403"/>
        <v/>
      </c>
      <c r="V3529" s="31" t="str">
        <f>IF(H3529="CHK",VLOOKUP(I3529,QCCHK,3,),IF(H3529="GUP",VLOOKUP(E3529,QCGUP,2,),IF(AND(H3529="ATP",OR(I3529="TN",I3529="TDN",I3529="TNO2-3",I3529="NO2-3")),VLOOKUP(E3529,QCREC_N,2,),IF(AND(H3529="NIC",OR(I3529="TN",I3529="TDN",I3529="TNO2-3",I3529="NO2-3")),VLOOKUP(E3529,QCNIC_N,2,),IF(AND(H3529="UREA",OR(I3529="TN",I3529="TDN",I3529="TNO2-3",I3529="NO2-3")),VLOOKUP(E3529,QCUREA_N,2,),IF(H3529="PER",VLOOKUP(I3529,QCPER,MATCH(E3529,QCACTUAL!$J$25:$AA$25,0),),IF(H3529="SPK",VLOOKUP(I3529,QCSPK,3,),IF(AND(H3529="ATP",OR(I3529="TP",I3529="TDP")),VLOOKUP(E3529,QCATP_P,2,),""))))))))</f>
        <v/>
      </c>
      <c r="W3529" s="31" t="str">
        <f t="shared" si="404"/>
        <v>TRUE</v>
      </c>
      <c r="X3529" s="31" t="str">
        <f t="shared" si="401"/>
        <v/>
      </c>
      <c r="Y3529" s="10" t="s">
        <v>1253</v>
      </c>
      <c r="AL3529" s="10" t="str">
        <f t="shared" si="399"/>
        <v>FALSE</v>
      </c>
      <c r="AM3529" s="10" t="str">
        <f t="shared" si="399"/>
        <v>FALSE</v>
      </c>
      <c r="AN3529" s="10" t="str">
        <f t="shared" si="399"/>
        <v>FALSE</v>
      </c>
      <c r="AO3529" s="10" t="str">
        <f t="shared" si="400"/>
        <v>FALSE</v>
      </c>
      <c r="AP3529" s="10" t="str">
        <f t="shared" si="400"/>
        <v>FALSE</v>
      </c>
      <c r="AQ3529" s="10" t="b">
        <f>IF(AND(I3529="TP",S3529&lt;=150),VLOOKUP(AF3529,TPCalibEq150!$AZ$2:$BB$55,3,),IF(AND(I3529="TDP",S3529&lt;=150),VLOOKUP(AF3529,TPCalibEq150!$AZ$2:$BB$55,3,)))</f>
        <v>0</v>
      </c>
      <c r="AR3529" s="10" t="b">
        <f>IF(AND(I3529="TP",S3529&lt;=300),VLOOKUP(AF3529,TPCalibEq300!$AZ$2:$BB$55,3,),IF(AND(I3529="TDP",S3529&lt;=300),VLOOKUP(AF3529,TPCalibEq300!$AZ$2:$BB$55,3,)))</f>
        <v>0</v>
      </c>
      <c r="AS3529" s="10" t="b">
        <f>IF(AND(I3529="TP",S3529&lt;=500),VLOOKUP(AF3529,TPCalibEq500!$AZ$2:$BB$56,3,),IF(AND(I3529="TDP",S3529&lt;=500),VLOOKUP(AF3529,TPCalibEq500!$AZ$2:$BB$56,3,)))</f>
        <v>0</v>
      </c>
      <c r="AT3529" s="10" t="b">
        <f>IF(AND(I3529="TN",S3529&lt;=2800),VLOOKUP(AF3529,TNCalibEq2500!$AZ$2:$BB$56,3,),IF(AND(I3529="TDN",S3529&lt;=2800),VLOOKUP(AF3529,TNCalibEq2500!$AZ$2:$BB$56,3,)))</f>
        <v>0</v>
      </c>
      <c r="AU3529" s="10" t="b">
        <f>IF(I3529="TP",VLOOKUP(AF3529,TPCalibEqFull!$AZ$2:$BB$56,3),IF(I3529="TDP",VLOOKUP(AF3529,TPCalibEqFull!$AZ$2:$BB$56,3),IF(I3529="TDN",VLOOKUP(AF3529,TNCalibEqFull!$AZ$1:$BB$56,3),IF(I3529="TN",VLOOKUP(AF3529,TNCalibEqFull!$AZ$1:$BB$56,3),FALSE))))</f>
        <v>0</v>
      </c>
      <c r="AV3529" s="10" t="str">
        <f t="shared" si="405"/>
        <v>0221 12:17:00-ENN-5-160-1-SW-UKN</v>
      </c>
    </row>
    <row r="3530" spans="1:48" s="10" customFormat="1" x14ac:dyDescent="0.55000000000000004">
      <c r="A3530" s="32">
        <v>44978</v>
      </c>
      <c r="B3530" s="33">
        <v>0.51388888888888895</v>
      </c>
      <c r="C3530" s="10" t="s">
        <v>661</v>
      </c>
      <c r="D3530" s="10">
        <v>10</v>
      </c>
      <c r="E3530" s="10">
        <v>220</v>
      </c>
      <c r="F3530" s="10">
        <v>1</v>
      </c>
      <c r="G3530" s="10" t="s">
        <v>231</v>
      </c>
      <c r="H3530" s="10" t="s">
        <v>322</v>
      </c>
      <c r="I3530" s="10" t="s">
        <v>285</v>
      </c>
      <c r="J3530" s="10">
        <v>17</v>
      </c>
      <c r="K3530" s="12">
        <v>44980</v>
      </c>
      <c r="L3530" s="33">
        <v>0.50527777777777783</v>
      </c>
      <c r="M3530" s="10">
        <v>1</v>
      </c>
      <c r="N3530" s="10" t="s">
        <v>211</v>
      </c>
      <c r="O3530" s="10">
        <v>0.67200000000000004</v>
      </c>
      <c r="P3530" s="10">
        <v>6.5500000000000003E-2</v>
      </c>
      <c r="Q3530" s="10">
        <v>118</v>
      </c>
      <c r="R3530" s="10" t="s">
        <v>913</v>
      </c>
      <c r="S3530" s="34">
        <f t="shared" si="402"/>
        <v>118</v>
      </c>
      <c r="T3530" s="10" t="s">
        <v>1267</v>
      </c>
      <c r="U3530" s="34" t="str">
        <f t="shared" si="403"/>
        <v/>
      </c>
      <c r="V3530" s="31" t="str">
        <f>IF(H3530="CHK",VLOOKUP(I3530,QCCHK,3,),IF(H3530="GUP",VLOOKUP(E3530,QCGUP,2,),IF(AND(H3530="ATP",OR(I3530="TN",I3530="TDN",I3530="TNO2-3",I3530="NO2-3")),VLOOKUP(E3530,QCREC_N,2,),IF(AND(H3530="NIC",OR(I3530="TN",I3530="TDN",I3530="TNO2-3",I3530="NO2-3")),VLOOKUP(E3530,QCNIC_N,2,),IF(AND(H3530="UREA",OR(I3530="TN",I3530="TDN",I3530="TNO2-3",I3530="NO2-3")),VLOOKUP(E3530,QCUREA_N,2,),IF(H3530="PER",VLOOKUP(I3530,QCPER,MATCH(E3530,QCACTUAL!$J$25:$AA$25,0),),IF(H3530="SPK",VLOOKUP(I3530,QCSPK,3,),IF(AND(H3530="ATP",OR(I3530="TP",I3530="TDP")),VLOOKUP(E3530,QCATP_P,2,),""))))))))</f>
        <v/>
      </c>
      <c r="W3530" s="31" t="str">
        <f t="shared" si="404"/>
        <v>TRUE</v>
      </c>
      <c r="X3530" s="31" t="str">
        <f t="shared" si="401"/>
        <v/>
      </c>
      <c r="Y3530" s="10" t="s">
        <v>1253</v>
      </c>
      <c r="AL3530" s="10" t="str">
        <f t="shared" si="399"/>
        <v>FALSE</v>
      </c>
      <c r="AM3530" s="10" t="str">
        <f t="shared" si="399"/>
        <v>FALSE</v>
      </c>
      <c r="AN3530" s="10" t="str">
        <f t="shared" si="399"/>
        <v>FALSE</v>
      </c>
      <c r="AO3530" s="10" t="str">
        <f t="shared" si="400"/>
        <v>FALSE</v>
      </c>
      <c r="AP3530" s="10" t="str">
        <f t="shared" si="400"/>
        <v>FALSE</v>
      </c>
      <c r="AQ3530" s="10" t="b">
        <f>IF(AND(I3530="TP",S3530&lt;=150),VLOOKUP(AF3530,TPCalibEq150!$AZ$2:$BB$55,3,),IF(AND(I3530="TDP",S3530&lt;=150),VLOOKUP(AF3530,TPCalibEq150!$AZ$2:$BB$55,3,)))</f>
        <v>0</v>
      </c>
      <c r="AR3530" s="10" t="b">
        <f>IF(AND(I3530="TP",S3530&lt;=300),VLOOKUP(AF3530,TPCalibEq300!$AZ$2:$BB$55,3,),IF(AND(I3530="TDP",S3530&lt;=300),VLOOKUP(AF3530,TPCalibEq300!$AZ$2:$BB$55,3,)))</f>
        <v>0</v>
      </c>
      <c r="AS3530" s="10" t="b">
        <f>IF(AND(I3530="TP",S3530&lt;=500),VLOOKUP(AF3530,TPCalibEq500!$AZ$2:$BB$56,3,),IF(AND(I3530="TDP",S3530&lt;=500),VLOOKUP(AF3530,TPCalibEq500!$AZ$2:$BB$56,3,)))</f>
        <v>0</v>
      </c>
      <c r="AT3530" s="10" t="b">
        <f>IF(AND(I3530="TN",S3530&lt;=2800),VLOOKUP(AF3530,TNCalibEq2500!$AZ$2:$BB$56,3,),IF(AND(I3530="TDN",S3530&lt;=2800),VLOOKUP(AF3530,TNCalibEq2500!$AZ$2:$BB$56,3,)))</f>
        <v>0</v>
      </c>
      <c r="AU3530" s="10" t="b">
        <f>IF(I3530="TP",VLOOKUP(AF3530,TPCalibEqFull!$AZ$2:$BB$56,3),IF(I3530="TDP",VLOOKUP(AF3530,TPCalibEqFull!$AZ$2:$BB$56,3),IF(I3530="TDN",VLOOKUP(AF3530,TNCalibEqFull!$AZ$1:$BB$56,3),IF(I3530="TN",VLOOKUP(AF3530,TNCalibEqFull!$AZ$1:$BB$56,3),FALSE))))</f>
        <v>0</v>
      </c>
      <c r="AV3530" s="10" t="str">
        <f t="shared" si="405"/>
        <v>0221 12:20:00-ENN-10-220-1-SW-UKN</v>
      </c>
    </row>
    <row r="3531" spans="1:48" s="10" customFormat="1" x14ac:dyDescent="0.55000000000000004">
      <c r="A3531" s="32">
        <v>44978</v>
      </c>
      <c r="B3531" s="33">
        <v>0.51666666666666672</v>
      </c>
      <c r="C3531" s="10" t="s">
        <v>661</v>
      </c>
      <c r="D3531" s="10">
        <v>20</v>
      </c>
      <c r="E3531" s="10" t="s">
        <v>190</v>
      </c>
      <c r="F3531" s="10">
        <v>1</v>
      </c>
      <c r="G3531" s="10" t="s">
        <v>231</v>
      </c>
      <c r="H3531" s="10" t="s">
        <v>322</v>
      </c>
      <c r="I3531" s="10" t="s">
        <v>285</v>
      </c>
      <c r="J3531" s="10">
        <v>18</v>
      </c>
      <c r="K3531" s="12">
        <v>44980</v>
      </c>
      <c r="L3531" s="33">
        <v>0.50609953703703703</v>
      </c>
      <c r="M3531" s="10">
        <v>1</v>
      </c>
      <c r="N3531" s="10" t="s">
        <v>211</v>
      </c>
      <c r="O3531" s="10">
        <v>0.67700000000000005</v>
      </c>
      <c r="P3531" s="10">
        <v>6.6199999999999995E-2</v>
      </c>
      <c r="Q3531" s="10">
        <v>119</v>
      </c>
      <c r="R3531" s="10" t="s">
        <v>913</v>
      </c>
      <c r="S3531" s="34">
        <f t="shared" si="402"/>
        <v>119</v>
      </c>
      <c r="T3531" s="10" t="s">
        <v>1267</v>
      </c>
      <c r="U3531" s="34" t="str">
        <f t="shared" si="403"/>
        <v/>
      </c>
      <c r="V3531" s="31" t="str">
        <f>IF(H3531="CHK",VLOOKUP(I3531,QCCHK,3,),IF(H3531="GUP",VLOOKUP(E3531,QCGUP,2,),IF(AND(H3531="ATP",OR(I3531="TN",I3531="TDN",I3531="TNO2-3",I3531="NO2-3")),VLOOKUP(E3531,QCREC_N,2,),IF(AND(H3531="NIC",OR(I3531="TN",I3531="TDN",I3531="TNO2-3",I3531="NO2-3")),VLOOKUP(E3531,QCNIC_N,2,),IF(AND(H3531="UREA",OR(I3531="TN",I3531="TDN",I3531="TNO2-3",I3531="NO2-3")),VLOOKUP(E3531,QCUREA_N,2,),IF(H3531="PER",VLOOKUP(I3531,QCPER,MATCH(E3531,QCACTUAL!$J$25:$AA$25,0),),IF(H3531="SPK",VLOOKUP(I3531,QCSPK,3,),IF(AND(H3531="ATP",OR(I3531="TP",I3531="TDP")),VLOOKUP(E3531,QCATP_P,2,),""))))))))</f>
        <v/>
      </c>
      <c r="W3531" s="31" t="str">
        <f t="shared" si="404"/>
        <v>TRUE</v>
      </c>
      <c r="X3531" s="31" t="str">
        <f t="shared" si="401"/>
        <v/>
      </c>
      <c r="Y3531" s="10" t="s">
        <v>1253</v>
      </c>
      <c r="AL3531" s="10" t="str">
        <f t="shared" si="399"/>
        <v>FALSE</v>
      </c>
      <c r="AM3531" s="10" t="str">
        <f t="shared" si="399"/>
        <v>FALSE</v>
      </c>
      <c r="AN3531" s="10" t="str">
        <f t="shared" si="399"/>
        <v>FALSE</v>
      </c>
      <c r="AO3531" s="10" t="str">
        <f t="shared" si="400"/>
        <v>FALSE</v>
      </c>
      <c r="AP3531" s="10" t="str">
        <f t="shared" si="400"/>
        <v>FALSE</v>
      </c>
      <c r="AQ3531" s="10" t="b">
        <f>IF(AND(I3531="TP",S3531&lt;=150),VLOOKUP(AF3531,TPCalibEq150!$AZ$2:$BB$55,3,),IF(AND(I3531="TDP",S3531&lt;=150),VLOOKUP(AF3531,TPCalibEq150!$AZ$2:$BB$55,3,)))</f>
        <v>0</v>
      </c>
      <c r="AR3531" s="10" t="b">
        <f>IF(AND(I3531="TP",S3531&lt;=300),VLOOKUP(AF3531,TPCalibEq300!$AZ$2:$BB$55,3,),IF(AND(I3531="TDP",S3531&lt;=300),VLOOKUP(AF3531,TPCalibEq300!$AZ$2:$BB$55,3,)))</f>
        <v>0</v>
      </c>
      <c r="AS3531" s="10" t="b">
        <f>IF(AND(I3531="TP",S3531&lt;=500),VLOOKUP(AF3531,TPCalibEq500!$AZ$2:$BB$56,3,),IF(AND(I3531="TDP",S3531&lt;=500),VLOOKUP(AF3531,TPCalibEq500!$AZ$2:$BB$56,3,)))</f>
        <v>0</v>
      </c>
      <c r="AT3531" s="10" t="b">
        <f>IF(AND(I3531="TN",S3531&lt;=2800),VLOOKUP(AF3531,TNCalibEq2500!$AZ$2:$BB$56,3,),IF(AND(I3531="TDN",S3531&lt;=2800),VLOOKUP(AF3531,TNCalibEq2500!$AZ$2:$BB$56,3,)))</f>
        <v>0</v>
      </c>
      <c r="AU3531" s="10" t="b">
        <f>IF(I3531="TP",VLOOKUP(AF3531,TPCalibEqFull!$AZ$2:$BB$56,3),IF(I3531="TDP",VLOOKUP(AF3531,TPCalibEqFull!$AZ$2:$BB$56,3),IF(I3531="TDN",VLOOKUP(AF3531,TNCalibEqFull!$AZ$1:$BB$56,3),IF(I3531="TN",VLOOKUP(AF3531,TNCalibEqFull!$AZ$1:$BB$56,3),FALSE))))</f>
        <v>0</v>
      </c>
      <c r="AV3531" s="10" t="str">
        <f t="shared" si="405"/>
        <v>0221 12:24:00-ENN-20-C-1-SW-UKN</v>
      </c>
    </row>
    <row r="3532" spans="1:48" s="10" customFormat="1" x14ac:dyDescent="0.55000000000000004">
      <c r="A3532" s="32">
        <v>44978</v>
      </c>
      <c r="B3532" s="33">
        <v>0.51944444444444449</v>
      </c>
      <c r="C3532" s="10" t="s">
        <v>661</v>
      </c>
      <c r="D3532" s="10">
        <v>24</v>
      </c>
      <c r="E3532" s="10" t="s">
        <v>190</v>
      </c>
      <c r="F3532" s="10">
        <v>1</v>
      </c>
      <c r="G3532" s="10" t="s">
        <v>231</v>
      </c>
      <c r="H3532" s="10" t="s">
        <v>322</v>
      </c>
      <c r="I3532" s="10" t="s">
        <v>285</v>
      </c>
      <c r="J3532" s="10">
        <v>19</v>
      </c>
      <c r="K3532" s="12">
        <v>44980</v>
      </c>
      <c r="L3532" s="33">
        <v>0.50692129629629623</v>
      </c>
      <c r="M3532" s="10">
        <v>1</v>
      </c>
      <c r="N3532" s="10" t="s">
        <v>211</v>
      </c>
      <c r="O3532" s="10">
        <v>0.67100000000000004</v>
      </c>
      <c r="P3532" s="10">
        <v>6.5500000000000003E-2</v>
      </c>
      <c r="Q3532" s="10">
        <v>118</v>
      </c>
      <c r="R3532" s="10" t="s">
        <v>913</v>
      </c>
      <c r="S3532" s="34">
        <f t="shared" si="402"/>
        <v>118</v>
      </c>
      <c r="T3532" s="10" t="s">
        <v>1267</v>
      </c>
      <c r="U3532" s="34" t="str">
        <f t="shared" si="403"/>
        <v/>
      </c>
      <c r="V3532" s="31" t="str">
        <f>IF(H3532="CHK",VLOOKUP(I3532,QCCHK,3,),IF(H3532="GUP",VLOOKUP(E3532,QCGUP,2,),IF(AND(H3532="ATP",OR(I3532="TN",I3532="TDN",I3532="TNO2-3",I3532="NO2-3")),VLOOKUP(E3532,QCREC_N,2,),IF(AND(H3532="NIC",OR(I3532="TN",I3532="TDN",I3532="TNO2-3",I3532="NO2-3")),VLOOKUP(E3532,QCNIC_N,2,),IF(AND(H3532="UREA",OR(I3532="TN",I3532="TDN",I3532="TNO2-3",I3532="NO2-3")),VLOOKUP(E3532,QCUREA_N,2,),IF(H3532="PER",VLOOKUP(I3532,QCPER,MATCH(E3532,QCACTUAL!$J$25:$AA$25,0),),IF(H3532="SPK",VLOOKUP(I3532,QCSPK,3,),IF(AND(H3532="ATP",OR(I3532="TP",I3532="TDP")),VLOOKUP(E3532,QCATP_P,2,),""))))))))</f>
        <v/>
      </c>
      <c r="W3532" s="31" t="str">
        <f t="shared" si="404"/>
        <v>TRUE</v>
      </c>
      <c r="X3532" s="31" t="str">
        <f t="shared" si="401"/>
        <v/>
      </c>
      <c r="Y3532" s="10" t="s">
        <v>1253</v>
      </c>
      <c r="AL3532" s="10" t="str">
        <f t="shared" si="399"/>
        <v>FALSE</v>
      </c>
      <c r="AM3532" s="10" t="str">
        <f t="shared" si="399"/>
        <v>FALSE</v>
      </c>
      <c r="AN3532" s="10" t="str">
        <f t="shared" si="399"/>
        <v>FALSE</v>
      </c>
      <c r="AO3532" s="10" t="str">
        <f t="shared" si="400"/>
        <v>FALSE</v>
      </c>
      <c r="AP3532" s="10" t="str">
        <f t="shared" si="400"/>
        <v>FALSE</v>
      </c>
      <c r="AQ3532" s="10" t="b">
        <f>IF(AND(I3532="TP",S3532&lt;=150),VLOOKUP(AF3532,TPCalibEq150!$AZ$2:$BB$55,3,),IF(AND(I3532="TDP",S3532&lt;=150),VLOOKUP(AF3532,TPCalibEq150!$AZ$2:$BB$55,3,)))</f>
        <v>0</v>
      </c>
      <c r="AR3532" s="10" t="b">
        <f>IF(AND(I3532="TP",S3532&lt;=300),VLOOKUP(AF3532,TPCalibEq300!$AZ$2:$BB$55,3,),IF(AND(I3532="TDP",S3532&lt;=300),VLOOKUP(AF3532,TPCalibEq300!$AZ$2:$BB$55,3,)))</f>
        <v>0</v>
      </c>
      <c r="AS3532" s="10" t="b">
        <f>IF(AND(I3532="TP",S3532&lt;=500),VLOOKUP(AF3532,TPCalibEq500!$AZ$2:$BB$56,3,),IF(AND(I3532="TDP",S3532&lt;=500),VLOOKUP(AF3532,TPCalibEq500!$AZ$2:$BB$56,3,)))</f>
        <v>0</v>
      </c>
      <c r="AT3532" s="10" t="b">
        <f>IF(AND(I3532="TN",S3532&lt;=2800),VLOOKUP(AF3532,TNCalibEq2500!$AZ$2:$BB$56,3,),IF(AND(I3532="TDN",S3532&lt;=2800),VLOOKUP(AF3532,TNCalibEq2500!$AZ$2:$BB$56,3,)))</f>
        <v>0</v>
      </c>
      <c r="AU3532" s="10" t="b">
        <f>IF(I3532="TP",VLOOKUP(AF3532,TPCalibEqFull!$AZ$2:$BB$56,3),IF(I3532="TDP",VLOOKUP(AF3532,TPCalibEqFull!$AZ$2:$BB$56,3),IF(I3532="TDN",VLOOKUP(AF3532,TNCalibEqFull!$AZ$1:$BB$56,3),IF(I3532="TN",VLOOKUP(AF3532,TNCalibEqFull!$AZ$1:$BB$56,3),FALSE))))</f>
        <v>0</v>
      </c>
      <c r="AV3532" s="10" t="str">
        <f t="shared" si="405"/>
        <v>0221 12:28:00-ENN-24-C-1-SW-UKN</v>
      </c>
    </row>
    <row r="3533" spans="1:48" s="10" customFormat="1" x14ac:dyDescent="0.55000000000000004">
      <c r="A3533" s="32">
        <v>44978</v>
      </c>
      <c r="B3533" s="33">
        <v>0.45069444444444445</v>
      </c>
      <c r="C3533" s="10" t="s">
        <v>646</v>
      </c>
      <c r="D3533" s="10">
        <v>0</v>
      </c>
      <c r="E3533" s="10">
        <v>360</v>
      </c>
      <c r="F3533" s="10">
        <v>1</v>
      </c>
      <c r="G3533" s="10" t="s">
        <v>231</v>
      </c>
      <c r="H3533" s="10" t="s">
        <v>322</v>
      </c>
      <c r="I3533" s="10" t="s">
        <v>285</v>
      </c>
      <c r="J3533" s="10">
        <v>20</v>
      </c>
      <c r="K3533" s="12">
        <v>44980</v>
      </c>
      <c r="L3533" s="33">
        <v>0.50773148148148151</v>
      </c>
      <c r="M3533" s="10">
        <v>1</v>
      </c>
      <c r="N3533" s="10" t="s">
        <v>211</v>
      </c>
      <c r="O3533" s="10">
        <v>0.56899999999999995</v>
      </c>
      <c r="P3533" s="10">
        <v>5.4800000000000001E-2</v>
      </c>
      <c r="Q3533" s="10">
        <v>99.5</v>
      </c>
      <c r="R3533" s="10" t="s">
        <v>913</v>
      </c>
      <c r="S3533" s="34">
        <f t="shared" si="402"/>
        <v>99.5</v>
      </c>
      <c r="T3533" s="10" t="s">
        <v>1267</v>
      </c>
      <c r="U3533" s="34" t="str">
        <f t="shared" si="403"/>
        <v/>
      </c>
      <c r="V3533" s="31" t="str">
        <f>IF(H3533="CHK",VLOOKUP(I3533,QCCHK,3,),IF(H3533="GUP",VLOOKUP(E3533,QCGUP,2,),IF(AND(H3533="ATP",OR(I3533="TN",I3533="TDN",I3533="TNO2-3",I3533="NO2-3")),VLOOKUP(E3533,QCREC_N,2,),IF(AND(H3533="NIC",OR(I3533="TN",I3533="TDN",I3533="TNO2-3",I3533="NO2-3")),VLOOKUP(E3533,QCNIC_N,2,),IF(AND(H3533="UREA",OR(I3533="TN",I3533="TDN",I3533="TNO2-3",I3533="NO2-3")),VLOOKUP(E3533,QCUREA_N,2,),IF(H3533="PER",VLOOKUP(I3533,QCPER,MATCH(E3533,QCACTUAL!$J$25:$AA$25,0),),IF(H3533="SPK",VLOOKUP(I3533,QCSPK,3,),IF(AND(H3533="ATP",OR(I3533="TP",I3533="TDP")),VLOOKUP(E3533,QCATP_P,2,),""))))))))</f>
        <v/>
      </c>
      <c r="W3533" s="31" t="str">
        <f t="shared" si="404"/>
        <v>TRUE</v>
      </c>
      <c r="X3533" s="31" t="str">
        <f t="shared" si="401"/>
        <v/>
      </c>
      <c r="Y3533" s="10" t="s">
        <v>1253</v>
      </c>
      <c r="AL3533" s="10" t="str">
        <f t="shared" si="399"/>
        <v>FALSE</v>
      </c>
      <c r="AM3533" s="10" t="str">
        <f t="shared" si="399"/>
        <v>FALSE</v>
      </c>
      <c r="AN3533" s="10" t="str">
        <f t="shared" si="399"/>
        <v>FALSE</v>
      </c>
      <c r="AO3533" s="10" t="str">
        <f t="shared" si="400"/>
        <v>FALSE</v>
      </c>
      <c r="AP3533" s="10" t="str">
        <f t="shared" si="400"/>
        <v>FALSE</v>
      </c>
      <c r="AQ3533" s="10" t="b">
        <f>IF(AND(I3533="TP",S3533&lt;=150),VLOOKUP(AF3533,TPCalibEq150!$AZ$2:$BB$55,3,),IF(AND(I3533="TDP",S3533&lt;=150),VLOOKUP(AF3533,TPCalibEq150!$AZ$2:$BB$55,3,)))</f>
        <v>0</v>
      </c>
      <c r="AR3533" s="10" t="b">
        <f>IF(AND(I3533="TP",S3533&lt;=300),VLOOKUP(AF3533,TPCalibEq300!$AZ$2:$BB$55,3,),IF(AND(I3533="TDP",S3533&lt;=300),VLOOKUP(AF3533,TPCalibEq300!$AZ$2:$BB$55,3,)))</f>
        <v>0</v>
      </c>
      <c r="AS3533" s="10" t="b">
        <f>IF(AND(I3533="TP",S3533&lt;=500),VLOOKUP(AF3533,TPCalibEq500!$AZ$2:$BB$56,3,),IF(AND(I3533="TDP",S3533&lt;=500),VLOOKUP(AF3533,TPCalibEq500!$AZ$2:$BB$56,3,)))</f>
        <v>0</v>
      </c>
      <c r="AT3533" s="10" t="b">
        <f>IF(AND(I3533="TN",S3533&lt;=2800),VLOOKUP(AF3533,TNCalibEq2500!$AZ$2:$BB$56,3,),IF(AND(I3533="TDN",S3533&lt;=2800),VLOOKUP(AF3533,TNCalibEq2500!$AZ$2:$BB$56,3,)))</f>
        <v>0</v>
      </c>
      <c r="AU3533" s="10" t="b">
        <f>IF(I3533="TP",VLOOKUP(AF3533,TPCalibEqFull!$AZ$2:$BB$56,3),IF(I3533="TDP",VLOOKUP(AF3533,TPCalibEqFull!$AZ$2:$BB$56,3),IF(I3533="TDN",VLOOKUP(AF3533,TNCalibEqFull!$AZ$1:$BB$56,3),IF(I3533="TN",VLOOKUP(AF3533,TNCalibEqFull!$AZ$1:$BB$56,3),FALSE))))</f>
        <v>0</v>
      </c>
      <c r="AV3533" s="10" t="str">
        <f t="shared" si="405"/>
        <v>0221 10:49:00-EMB-0-360-1-SW-UKN</v>
      </c>
    </row>
    <row r="3534" spans="1:48" s="10" customFormat="1" x14ac:dyDescent="0.55000000000000004">
      <c r="A3534" s="32">
        <v>44978</v>
      </c>
      <c r="B3534" s="33">
        <v>0.45069444444444445</v>
      </c>
      <c r="C3534" s="10" t="s">
        <v>646</v>
      </c>
      <c r="D3534" s="10">
        <v>0</v>
      </c>
      <c r="E3534" s="10">
        <v>360</v>
      </c>
      <c r="F3534" s="10">
        <v>1</v>
      </c>
      <c r="G3534" s="10" t="s">
        <v>231</v>
      </c>
      <c r="H3534" s="10" t="s">
        <v>233</v>
      </c>
      <c r="I3534" s="10" t="s">
        <v>285</v>
      </c>
      <c r="J3534" s="10">
        <v>20</v>
      </c>
      <c r="K3534" s="12">
        <v>44980</v>
      </c>
      <c r="L3534" s="33">
        <v>0.50855324074074071</v>
      </c>
      <c r="M3534" s="10">
        <v>1</v>
      </c>
      <c r="N3534" s="10" t="s">
        <v>211</v>
      </c>
      <c r="O3534" s="10">
        <v>0.55900000000000005</v>
      </c>
      <c r="P3534" s="10">
        <v>5.4300000000000001E-2</v>
      </c>
      <c r="Q3534" s="10">
        <v>97.8</v>
      </c>
      <c r="R3534" s="10" t="s">
        <v>913</v>
      </c>
      <c r="S3534" s="34">
        <f t="shared" si="402"/>
        <v>97.8</v>
      </c>
      <c r="T3534" s="10" t="s">
        <v>1267</v>
      </c>
      <c r="U3534" s="34">
        <f t="shared" si="403"/>
        <v>1.7232640648758264</v>
      </c>
      <c r="V3534" s="31" t="str">
        <f>IF(H3534="CHK",VLOOKUP(I3534,QCCHK,3,),IF(H3534="GUP",VLOOKUP(E3534,QCGUP,2,),IF(AND(H3534="ATP",OR(I3534="TN",I3534="TDN",I3534="TNO2-3",I3534="NO2-3")),VLOOKUP(E3534,QCREC_N,2,),IF(AND(H3534="NIC",OR(I3534="TN",I3534="TDN",I3534="TNO2-3",I3534="NO2-3")),VLOOKUP(E3534,QCNIC_N,2,),IF(AND(H3534="UREA",OR(I3534="TN",I3534="TDN",I3534="TNO2-3",I3534="NO2-3")),VLOOKUP(E3534,QCUREA_N,2,),IF(H3534="PER",VLOOKUP(I3534,QCPER,MATCH(E3534,QCACTUAL!$J$25:$AA$25,0),),IF(H3534="SPK",VLOOKUP(I3534,QCSPK,3,),IF(AND(H3534="ATP",OR(I3534="TP",I3534="TDP")),VLOOKUP(E3534,QCATP_P,2,),""))))))))</f>
        <v/>
      </c>
      <c r="W3534" s="31" t="str">
        <f t="shared" si="404"/>
        <v>TRUE</v>
      </c>
      <c r="X3534" s="31" t="str">
        <f t="shared" si="401"/>
        <v>((ABS(rep1-rep2))/((rep1+rep2)/2)*100</v>
      </c>
      <c r="Y3534" s="10" t="s">
        <v>1253</v>
      </c>
      <c r="AL3534" s="10" t="str">
        <f t="shared" si="399"/>
        <v>FALSE</v>
      </c>
      <c r="AM3534" s="10" t="str">
        <f t="shared" si="399"/>
        <v>FALSE</v>
      </c>
      <c r="AN3534" s="10" t="str">
        <f t="shared" si="399"/>
        <v>FALSE</v>
      </c>
      <c r="AO3534" s="10" t="str">
        <f t="shared" si="400"/>
        <v>FALSE</v>
      </c>
      <c r="AP3534" s="10" t="str">
        <f t="shared" si="400"/>
        <v>FALSE</v>
      </c>
      <c r="AQ3534" s="10" t="b">
        <f>IF(AND(I3534="TP",S3534&lt;=150),VLOOKUP(AF3534,TPCalibEq150!$AZ$2:$BB$55,3,),IF(AND(I3534="TDP",S3534&lt;=150),VLOOKUP(AF3534,TPCalibEq150!$AZ$2:$BB$55,3,)))</f>
        <v>0</v>
      </c>
      <c r="AR3534" s="10" t="b">
        <f>IF(AND(I3534="TP",S3534&lt;=300),VLOOKUP(AF3534,TPCalibEq300!$AZ$2:$BB$55,3,),IF(AND(I3534="TDP",S3534&lt;=300),VLOOKUP(AF3534,TPCalibEq300!$AZ$2:$BB$55,3,)))</f>
        <v>0</v>
      </c>
      <c r="AS3534" s="10" t="b">
        <f>IF(AND(I3534="TP",S3534&lt;=500),VLOOKUP(AF3534,TPCalibEq500!$AZ$2:$BB$56,3,),IF(AND(I3534="TDP",S3534&lt;=500),VLOOKUP(AF3534,TPCalibEq500!$AZ$2:$BB$56,3,)))</f>
        <v>0</v>
      </c>
      <c r="AT3534" s="10" t="b">
        <f>IF(AND(I3534="TN",S3534&lt;=2800),VLOOKUP(AF3534,TNCalibEq2500!$AZ$2:$BB$56,3,),IF(AND(I3534="TDN",S3534&lt;=2800),VLOOKUP(AF3534,TNCalibEq2500!$AZ$2:$BB$56,3,)))</f>
        <v>0</v>
      </c>
      <c r="AU3534" s="10" t="b">
        <f>IF(I3534="TP",VLOOKUP(AF3534,TPCalibEqFull!$AZ$2:$BB$56,3),IF(I3534="TDP",VLOOKUP(AF3534,TPCalibEqFull!$AZ$2:$BB$56,3),IF(I3534="TDN",VLOOKUP(AF3534,TNCalibEqFull!$AZ$1:$BB$56,3),IF(I3534="TN",VLOOKUP(AF3534,TNCalibEqFull!$AZ$1:$BB$56,3),FALSE))))</f>
        <v>0</v>
      </c>
      <c r="AV3534" s="10" t="str">
        <f t="shared" si="405"/>
        <v>0221 10:49:00-EMB-0-360-1-SW-DUP</v>
      </c>
    </row>
    <row r="3535" spans="1:48" s="10" customFormat="1" x14ac:dyDescent="0.55000000000000004">
      <c r="A3535" s="32">
        <v>44978</v>
      </c>
      <c r="B3535" s="33">
        <v>0.45069444444444445</v>
      </c>
      <c r="C3535" s="10" t="s">
        <v>646</v>
      </c>
      <c r="D3535" s="10">
        <v>0</v>
      </c>
      <c r="E3535" s="10">
        <v>360</v>
      </c>
      <c r="F3535" s="10">
        <v>1</v>
      </c>
      <c r="G3535" s="10" t="s">
        <v>231</v>
      </c>
      <c r="H3535" s="10" t="s">
        <v>314</v>
      </c>
      <c r="I3535" s="10" t="s">
        <v>285</v>
      </c>
      <c r="J3535" s="10">
        <v>83</v>
      </c>
      <c r="K3535" s="12">
        <v>44980</v>
      </c>
      <c r="L3535" s="33">
        <v>0.50936342592592598</v>
      </c>
      <c r="M3535" s="10">
        <v>1</v>
      </c>
      <c r="N3535" s="10" t="s">
        <v>211</v>
      </c>
      <c r="O3535" s="10">
        <v>1.59</v>
      </c>
      <c r="P3535" s="10">
        <v>0.157</v>
      </c>
      <c r="Q3535" s="10">
        <v>280</v>
      </c>
      <c r="R3535" s="10" t="s">
        <v>913</v>
      </c>
      <c r="S3535" s="34">
        <f t="shared" si="402"/>
        <v>280</v>
      </c>
      <c r="T3535" s="10" t="s">
        <v>1267</v>
      </c>
      <c r="U3535" s="34">
        <f t="shared" si="403"/>
        <v>116.608</v>
      </c>
      <c r="V3535" s="31">
        <f>IF(H3535="CHK",VLOOKUP(I3535,QCCHK,3,),IF(H3535="GUP",VLOOKUP(E3535,QCGUP,2,),IF(AND(H3535="ATP",OR(I3535="TN",I3535="TDN",I3535="TNO2-3",I3535="NO2-3")),VLOOKUP(E3535,QCREC_N,2,),IF(AND(H3535="NIC",OR(I3535="TN",I3535="TDN",I3535="TNO2-3",I3535="NO2-3")),VLOOKUP(E3535,QCNIC_N,2,),IF(AND(H3535="UREA",OR(I3535="TN",I3535="TDN",I3535="TNO2-3",I3535="NO2-3")),VLOOKUP(E3535,QCUREA_N,2,),IF(H3535="PER",VLOOKUP(I3535,QCPER,MATCH(E3535,QCACTUAL!$J$25:$AA$25,0),),IF(H3535="SPK",VLOOKUP(I3535,QCSPK,3,),IF(AND(H3535="ATP",OR(I3535="TP",I3535="TDP")),VLOOKUP(E3535,QCATP_P,2,),""))))))))</f>
        <v>156.25</v>
      </c>
      <c r="W3535" s="31" t="str">
        <f t="shared" si="404"/>
        <v>TRUE</v>
      </c>
      <c r="X3535" s="31" t="str">
        <f t="shared" si="401"/>
        <v>([spikedunkn]-[unkn])/[spike]*100</v>
      </c>
      <c r="Y3535" s="10" t="s">
        <v>1253</v>
      </c>
      <c r="AL3535" s="10" t="str">
        <f t="shared" si="399"/>
        <v>FALSE</v>
      </c>
      <c r="AM3535" s="10" t="str">
        <f t="shared" si="399"/>
        <v>FALSE</v>
      </c>
      <c r="AN3535" s="10" t="str">
        <f t="shared" si="399"/>
        <v>FALSE</v>
      </c>
      <c r="AO3535" s="10" t="str">
        <f t="shared" si="400"/>
        <v>FALSE</v>
      </c>
      <c r="AP3535" s="10" t="str">
        <f t="shared" si="400"/>
        <v>FALSE</v>
      </c>
      <c r="AQ3535" s="10" t="b">
        <f>IF(AND(I3535="TP",S3535&lt;=150),VLOOKUP(AF3535,TPCalibEq150!$AZ$2:$BB$55,3,),IF(AND(I3535="TDP",S3535&lt;=150),VLOOKUP(AF3535,TPCalibEq150!$AZ$2:$BB$55,3,)))</f>
        <v>0</v>
      </c>
      <c r="AR3535" s="10" t="b">
        <f>IF(AND(I3535="TP",S3535&lt;=300),VLOOKUP(AF3535,TPCalibEq300!$AZ$2:$BB$55,3,),IF(AND(I3535="TDP",S3535&lt;=300),VLOOKUP(AF3535,TPCalibEq300!$AZ$2:$BB$55,3,)))</f>
        <v>0</v>
      </c>
      <c r="AS3535" s="10" t="b">
        <f>IF(AND(I3535="TP",S3535&lt;=500),VLOOKUP(AF3535,TPCalibEq500!$AZ$2:$BB$56,3,),IF(AND(I3535="TDP",S3535&lt;=500),VLOOKUP(AF3535,TPCalibEq500!$AZ$2:$BB$56,3,)))</f>
        <v>0</v>
      </c>
      <c r="AT3535" s="10" t="b">
        <f>IF(AND(I3535="TN",S3535&lt;=2800),VLOOKUP(AF3535,TNCalibEq2500!$AZ$2:$BB$56,3,),IF(AND(I3535="TDN",S3535&lt;=2800),VLOOKUP(AF3535,TNCalibEq2500!$AZ$2:$BB$56,3,)))</f>
        <v>0</v>
      </c>
      <c r="AU3535" s="10" t="b">
        <f>IF(I3535="TP",VLOOKUP(AF3535,TPCalibEqFull!$AZ$2:$BB$56,3),IF(I3535="TDP",VLOOKUP(AF3535,TPCalibEqFull!$AZ$2:$BB$56,3),IF(I3535="TDN",VLOOKUP(AF3535,TNCalibEqFull!$AZ$1:$BB$56,3),IF(I3535="TN",VLOOKUP(AF3535,TNCalibEqFull!$AZ$1:$BB$56,3),FALSE))))</f>
        <v>0</v>
      </c>
      <c r="AV3535" s="10" t="str">
        <f t="shared" si="405"/>
        <v>0221 10:49:00-EMB-0-360-1-SW-SPK</v>
      </c>
    </row>
    <row r="3536" spans="1:48" s="10" customFormat="1" x14ac:dyDescent="0.55000000000000004">
      <c r="A3536" s="32">
        <v>44979</v>
      </c>
      <c r="B3536" s="33">
        <v>0.375</v>
      </c>
      <c r="C3536" s="10" t="s">
        <v>70</v>
      </c>
      <c r="D3536" s="10" t="s">
        <v>71</v>
      </c>
      <c r="E3536" s="10" t="s">
        <v>901</v>
      </c>
      <c r="F3536" s="10">
        <v>1</v>
      </c>
      <c r="G3536" s="10" t="s">
        <v>73</v>
      </c>
      <c r="H3536" s="10" t="s">
        <v>207</v>
      </c>
      <c r="I3536" s="10" t="s">
        <v>285</v>
      </c>
      <c r="J3536" s="10">
        <v>200</v>
      </c>
      <c r="K3536" s="12">
        <v>44980</v>
      </c>
      <c r="L3536" s="33">
        <v>0.51019675925925922</v>
      </c>
      <c r="M3536" s="10">
        <v>1</v>
      </c>
      <c r="N3536" s="10" t="s">
        <v>211</v>
      </c>
      <c r="O3536" s="10">
        <v>0.44</v>
      </c>
      <c r="P3536" s="10">
        <v>4.1399999999999999E-2</v>
      </c>
      <c r="Q3536" s="10">
        <v>76.8</v>
      </c>
      <c r="R3536" s="10" t="s">
        <v>913</v>
      </c>
      <c r="S3536" s="34">
        <f t="shared" si="402"/>
        <v>76.8</v>
      </c>
      <c r="T3536" s="10" t="s">
        <v>1267</v>
      </c>
      <c r="U3536" s="34">
        <f t="shared" si="403"/>
        <v>102.4</v>
      </c>
      <c r="V3536" s="31">
        <f>IF(H3536="CHK",VLOOKUP(I3536,QCCHK,3,),IF(H3536="GUP",VLOOKUP(E3536,QCGUP,2,),IF(AND(H3536="ATP",OR(I3536="TN",I3536="TDN",I3536="TNO2-3",I3536="NO2-3")),VLOOKUP(E3536,QCREC_N,2,),IF(AND(H3536="NIC",OR(I3536="TN",I3536="TDN",I3536="TNO2-3",I3536="NO2-3")),VLOOKUP(E3536,QCNIC_N,2,),IF(AND(H3536="UREA",OR(I3536="TN",I3536="TDN",I3536="TNO2-3",I3536="NO2-3")),VLOOKUP(E3536,QCUREA_N,2,),IF(H3536="PER",VLOOKUP(I3536,QCPER,MATCH(E3536,QCACTUAL!$J$25:$AA$25,0),),IF(H3536="SPK",VLOOKUP(I3536,QCSPK,3,),IF(AND(H3536="ATP",OR(I3536="TP",I3536="TDP")),VLOOKUP(E3536,QCATP_P,2,),""))))))))</f>
        <v>75</v>
      </c>
      <c r="W3536" s="31" t="str">
        <f t="shared" si="404"/>
        <v>TRUE</v>
      </c>
      <c r="X3536" s="31" t="str">
        <f t="shared" si="401"/>
        <v>[chk]/[actual]*100</v>
      </c>
      <c r="Y3536" s="10" t="s">
        <v>1253</v>
      </c>
      <c r="AL3536" s="10" t="str">
        <f t="shared" si="399"/>
        <v>FALSE</v>
      </c>
      <c r="AM3536" s="10" t="str">
        <f t="shared" si="399"/>
        <v>FALSE</v>
      </c>
      <c r="AN3536" s="10" t="str">
        <f t="shared" si="399"/>
        <v>FALSE</v>
      </c>
      <c r="AO3536" s="10" t="str">
        <f t="shared" si="400"/>
        <v>FALSE</v>
      </c>
      <c r="AP3536" s="10" t="str">
        <f t="shared" si="400"/>
        <v>FALSE</v>
      </c>
      <c r="AQ3536" s="10" t="b">
        <f>IF(AND(I3536="TP",S3536&lt;=150),VLOOKUP(AF3536,TPCalibEq150!$AZ$2:$BB$55,3,),IF(AND(I3536="TDP",S3536&lt;=150),VLOOKUP(AF3536,TPCalibEq150!$AZ$2:$BB$55,3,)))</f>
        <v>0</v>
      </c>
      <c r="AR3536" s="10" t="b">
        <f>IF(AND(I3536="TP",S3536&lt;=300),VLOOKUP(AF3536,TPCalibEq300!$AZ$2:$BB$55,3,),IF(AND(I3536="TDP",S3536&lt;=300),VLOOKUP(AF3536,TPCalibEq300!$AZ$2:$BB$55,3,)))</f>
        <v>0</v>
      </c>
      <c r="AS3536" s="10" t="b">
        <f>IF(AND(I3536="TP",S3536&lt;=500),VLOOKUP(AF3536,TPCalibEq500!$AZ$2:$BB$56,3,),IF(AND(I3536="TDP",S3536&lt;=500),VLOOKUP(AF3536,TPCalibEq500!$AZ$2:$BB$56,3,)))</f>
        <v>0</v>
      </c>
      <c r="AT3536" s="10" t="b">
        <f>IF(AND(I3536="TN",S3536&lt;=2800),VLOOKUP(AF3536,TNCalibEq2500!$AZ$2:$BB$56,3,),IF(AND(I3536="TDN",S3536&lt;=2800),VLOOKUP(AF3536,TNCalibEq2500!$AZ$2:$BB$56,3,)))</f>
        <v>0</v>
      </c>
      <c r="AU3536" s="10" t="b">
        <f>IF(I3536="TP",VLOOKUP(AF3536,TPCalibEqFull!$AZ$2:$BB$56,3),IF(I3536="TDP",VLOOKUP(AF3536,TPCalibEqFull!$AZ$2:$BB$56,3),IF(I3536="TDN",VLOOKUP(AF3536,TNCalibEqFull!$AZ$1:$BB$56,3),IF(I3536="TN",VLOOKUP(AF3536,TNCalibEqFull!$AZ$1:$BB$56,3),FALSE))))</f>
        <v>0</v>
      </c>
      <c r="AV3536" s="10" t="str">
        <f t="shared" si="405"/>
        <v>0222 09:00:00-QAC-STD-D-1-DI-CHK</v>
      </c>
    </row>
    <row r="3537" spans="1:48" s="10" customFormat="1" x14ac:dyDescent="0.55000000000000004">
      <c r="A3537" s="32">
        <v>44978</v>
      </c>
      <c r="B3537" s="33">
        <v>0.45277777777777778</v>
      </c>
      <c r="C3537" s="10" t="s">
        <v>646</v>
      </c>
      <c r="D3537" s="10">
        <v>5</v>
      </c>
      <c r="E3537" s="10">
        <v>360</v>
      </c>
      <c r="F3537" s="10">
        <v>1</v>
      </c>
      <c r="G3537" s="10" t="s">
        <v>231</v>
      </c>
      <c r="H3537" s="10" t="s">
        <v>322</v>
      </c>
      <c r="I3537" s="10" t="s">
        <v>285</v>
      </c>
      <c r="J3537" s="10">
        <v>21</v>
      </c>
      <c r="K3537" s="12">
        <v>44980</v>
      </c>
      <c r="L3537" s="33">
        <v>0.51101851851851854</v>
      </c>
      <c r="M3537" s="10">
        <v>1</v>
      </c>
      <c r="N3537" s="10" t="s">
        <v>211</v>
      </c>
      <c r="O3537" s="10">
        <v>0.55800000000000005</v>
      </c>
      <c r="P3537" s="10">
        <v>5.3600000000000002E-2</v>
      </c>
      <c r="Q3537" s="10">
        <v>97.6</v>
      </c>
      <c r="R3537" s="10" t="s">
        <v>913</v>
      </c>
      <c r="S3537" s="34">
        <f t="shared" si="402"/>
        <v>97.6</v>
      </c>
      <c r="T3537" s="10" t="s">
        <v>1267</v>
      </c>
      <c r="U3537" s="34" t="str">
        <f t="shared" si="403"/>
        <v/>
      </c>
      <c r="V3537" s="31" t="str">
        <f>IF(H3537="CHK",VLOOKUP(I3537,QCCHK,3,),IF(H3537="GUP",VLOOKUP(E3537,QCGUP,2,),IF(AND(H3537="ATP",OR(I3537="TN",I3537="TDN",I3537="TNO2-3",I3537="NO2-3")),VLOOKUP(E3537,QCREC_N,2,),IF(AND(H3537="NIC",OR(I3537="TN",I3537="TDN",I3537="TNO2-3",I3537="NO2-3")),VLOOKUP(E3537,QCNIC_N,2,),IF(AND(H3537="UREA",OR(I3537="TN",I3537="TDN",I3537="TNO2-3",I3537="NO2-3")),VLOOKUP(E3537,QCUREA_N,2,),IF(H3537="PER",VLOOKUP(I3537,QCPER,MATCH(E3537,QCACTUAL!$J$25:$AA$25,0),),IF(H3537="SPK",VLOOKUP(I3537,QCSPK,3,),IF(AND(H3537="ATP",OR(I3537="TP",I3537="TDP")),VLOOKUP(E3537,QCATP_P,2,),""))))))))</f>
        <v/>
      </c>
      <c r="W3537" s="31" t="str">
        <f t="shared" si="404"/>
        <v>TRUE</v>
      </c>
      <c r="X3537" s="31" t="str">
        <f t="shared" si="401"/>
        <v/>
      </c>
      <c r="Y3537" s="10" t="s">
        <v>1253</v>
      </c>
      <c r="AL3537" s="10" t="str">
        <f t="shared" si="399"/>
        <v>FALSE</v>
      </c>
      <c r="AM3537" s="10" t="str">
        <f t="shared" si="399"/>
        <v>FALSE</v>
      </c>
      <c r="AN3537" s="10" t="str">
        <f t="shared" si="399"/>
        <v>FALSE</v>
      </c>
      <c r="AO3537" s="10" t="str">
        <f t="shared" si="400"/>
        <v>FALSE</v>
      </c>
      <c r="AP3537" s="10" t="str">
        <f t="shared" si="400"/>
        <v>FALSE</v>
      </c>
      <c r="AQ3537" s="10" t="b">
        <f>IF(AND(I3537="TP",S3537&lt;=150),VLOOKUP(AF3537,TPCalibEq150!$AZ$2:$BB$55,3,),IF(AND(I3537="TDP",S3537&lt;=150),VLOOKUP(AF3537,TPCalibEq150!$AZ$2:$BB$55,3,)))</f>
        <v>0</v>
      </c>
      <c r="AR3537" s="10" t="b">
        <f>IF(AND(I3537="TP",S3537&lt;=300),VLOOKUP(AF3537,TPCalibEq300!$AZ$2:$BB$55,3,),IF(AND(I3537="TDP",S3537&lt;=300),VLOOKUP(AF3537,TPCalibEq300!$AZ$2:$BB$55,3,)))</f>
        <v>0</v>
      </c>
      <c r="AS3537" s="10" t="b">
        <f>IF(AND(I3537="TP",S3537&lt;=500),VLOOKUP(AF3537,TPCalibEq500!$AZ$2:$BB$56,3,),IF(AND(I3537="TDP",S3537&lt;=500),VLOOKUP(AF3537,TPCalibEq500!$AZ$2:$BB$56,3,)))</f>
        <v>0</v>
      </c>
      <c r="AT3537" s="10" t="b">
        <f>IF(AND(I3537="TN",S3537&lt;=2800),VLOOKUP(AF3537,TNCalibEq2500!$AZ$2:$BB$56,3,),IF(AND(I3537="TDN",S3537&lt;=2800),VLOOKUP(AF3537,TNCalibEq2500!$AZ$2:$BB$56,3,)))</f>
        <v>0</v>
      </c>
      <c r="AU3537" s="10" t="b">
        <f>IF(I3537="TP",VLOOKUP(AF3537,TPCalibEqFull!$AZ$2:$BB$56,3),IF(I3537="TDP",VLOOKUP(AF3537,TPCalibEqFull!$AZ$2:$BB$56,3),IF(I3537="TDN",VLOOKUP(AF3537,TNCalibEqFull!$AZ$1:$BB$56,3),IF(I3537="TN",VLOOKUP(AF3537,TNCalibEqFull!$AZ$1:$BB$56,3),FALSE))))</f>
        <v>0</v>
      </c>
      <c r="AV3537" s="10" t="str">
        <f t="shared" si="405"/>
        <v>0221 10:52:00-EMB-5-360-1-SW-UKN</v>
      </c>
    </row>
    <row r="3538" spans="1:48" s="10" customFormat="1" x14ac:dyDescent="0.55000000000000004">
      <c r="A3538" s="32">
        <v>44978</v>
      </c>
      <c r="B3538" s="33">
        <v>0.4548611111111111</v>
      </c>
      <c r="C3538" s="10" t="s">
        <v>646</v>
      </c>
      <c r="D3538" s="10">
        <v>10</v>
      </c>
      <c r="E3538" s="10">
        <v>380</v>
      </c>
      <c r="F3538" s="10">
        <v>1</v>
      </c>
      <c r="G3538" s="10" t="s">
        <v>231</v>
      </c>
      <c r="H3538" s="10" t="s">
        <v>322</v>
      </c>
      <c r="I3538" s="10" t="s">
        <v>285</v>
      </c>
      <c r="J3538" s="10">
        <v>22</v>
      </c>
      <c r="K3538" s="12">
        <v>44980</v>
      </c>
      <c r="L3538" s="33">
        <v>0.5118287037037037</v>
      </c>
      <c r="M3538" s="10">
        <v>1</v>
      </c>
      <c r="N3538" s="10" t="s">
        <v>211</v>
      </c>
      <c r="O3538" s="10">
        <v>0.56399999999999995</v>
      </c>
      <c r="P3538" s="10">
        <v>5.3999999999999999E-2</v>
      </c>
      <c r="Q3538" s="10">
        <v>98.7</v>
      </c>
      <c r="R3538" s="10" t="s">
        <v>913</v>
      </c>
      <c r="S3538" s="34">
        <f t="shared" si="402"/>
        <v>98.7</v>
      </c>
      <c r="T3538" s="10" t="s">
        <v>1267</v>
      </c>
      <c r="U3538" s="34" t="str">
        <f t="shared" si="403"/>
        <v/>
      </c>
      <c r="V3538" s="31" t="str">
        <f>IF(H3538="CHK",VLOOKUP(I3538,QCCHK,3,),IF(H3538="GUP",VLOOKUP(E3538,QCGUP,2,),IF(AND(H3538="ATP",OR(I3538="TN",I3538="TDN",I3538="TNO2-3",I3538="NO2-3")),VLOOKUP(E3538,QCREC_N,2,),IF(AND(H3538="NIC",OR(I3538="TN",I3538="TDN",I3538="TNO2-3",I3538="NO2-3")),VLOOKUP(E3538,QCNIC_N,2,),IF(AND(H3538="UREA",OR(I3538="TN",I3538="TDN",I3538="TNO2-3",I3538="NO2-3")),VLOOKUP(E3538,QCUREA_N,2,),IF(H3538="PER",VLOOKUP(I3538,QCPER,MATCH(E3538,QCACTUAL!$J$25:$AA$25,0),),IF(H3538="SPK",VLOOKUP(I3538,QCSPK,3,),IF(AND(H3538="ATP",OR(I3538="TP",I3538="TDP")),VLOOKUP(E3538,QCATP_P,2,),""))))))))</f>
        <v/>
      </c>
      <c r="W3538" s="31" t="str">
        <f t="shared" si="404"/>
        <v>TRUE</v>
      </c>
      <c r="X3538" s="31" t="str">
        <f t="shared" si="401"/>
        <v/>
      </c>
      <c r="Y3538" s="10" t="s">
        <v>1253</v>
      </c>
      <c r="AL3538" s="10" t="str">
        <f t="shared" si="399"/>
        <v>FALSE</v>
      </c>
      <c r="AM3538" s="10" t="str">
        <f t="shared" si="399"/>
        <v>FALSE</v>
      </c>
      <c r="AN3538" s="10" t="str">
        <f t="shared" si="399"/>
        <v>FALSE</v>
      </c>
      <c r="AO3538" s="10" t="str">
        <f t="shared" si="400"/>
        <v>FALSE</v>
      </c>
      <c r="AP3538" s="10" t="str">
        <f t="shared" si="400"/>
        <v>FALSE</v>
      </c>
      <c r="AQ3538" s="10" t="b">
        <f>IF(AND(I3538="TP",S3538&lt;=150),VLOOKUP(AF3538,TPCalibEq150!$AZ$2:$BB$55,3,),IF(AND(I3538="TDP",S3538&lt;=150),VLOOKUP(AF3538,TPCalibEq150!$AZ$2:$BB$55,3,)))</f>
        <v>0</v>
      </c>
      <c r="AR3538" s="10" t="b">
        <f>IF(AND(I3538="TP",S3538&lt;=300),VLOOKUP(AF3538,TPCalibEq300!$AZ$2:$BB$55,3,),IF(AND(I3538="TDP",S3538&lt;=300),VLOOKUP(AF3538,TPCalibEq300!$AZ$2:$BB$55,3,)))</f>
        <v>0</v>
      </c>
      <c r="AS3538" s="10" t="b">
        <f>IF(AND(I3538="TP",S3538&lt;=500),VLOOKUP(AF3538,TPCalibEq500!$AZ$2:$BB$56,3,),IF(AND(I3538="TDP",S3538&lt;=500),VLOOKUP(AF3538,TPCalibEq500!$AZ$2:$BB$56,3,)))</f>
        <v>0</v>
      </c>
      <c r="AT3538" s="10" t="b">
        <f>IF(AND(I3538="TN",S3538&lt;=2800),VLOOKUP(AF3538,TNCalibEq2500!$AZ$2:$BB$56,3,),IF(AND(I3538="TDN",S3538&lt;=2800),VLOOKUP(AF3538,TNCalibEq2500!$AZ$2:$BB$56,3,)))</f>
        <v>0</v>
      </c>
      <c r="AU3538" s="10" t="b">
        <f>IF(I3538="TP",VLOOKUP(AF3538,TPCalibEqFull!$AZ$2:$BB$56,3),IF(I3538="TDP",VLOOKUP(AF3538,TPCalibEqFull!$AZ$2:$BB$56,3),IF(I3538="TDN",VLOOKUP(AF3538,TNCalibEqFull!$AZ$1:$BB$56,3),IF(I3538="TN",VLOOKUP(AF3538,TNCalibEqFull!$AZ$1:$BB$56,3),FALSE))))</f>
        <v>0</v>
      </c>
      <c r="AV3538" s="10" t="str">
        <f t="shared" si="405"/>
        <v>0221 10:55:00-EMB-10-380-1-SW-UKN</v>
      </c>
    </row>
    <row r="3539" spans="1:48" s="10" customFormat="1" x14ac:dyDescent="0.55000000000000004">
      <c r="A3539" s="32">
        <v>44978</v>
      </c>
      <c r="B3539" s="33">
        <v>0.45763888888888887</v>
      </c>
      <c r="C3539" s="10" t="s">
        <v>646</v>
      </c>
      <c r="D3539" s="10">
        <v>20</v>
      </c>
      <c r="E3539" s="10" t="s">
        <v>190</v>
      </c>
      <c r="F3539" s="10">
        <v>1</v>
      </c>
      <c r="G3539" s="10" t="s">
        <v>231</v>
      </c>
      <c r="H3539" s="10" t="s">
        <v>322</v>
      </c>
      <c r="I3539" s="10" t="s">
        <v>285</v>
      </c>
      <c r="J3539" s="10">
        <v>23</v>
      </c>
      <c r="K3539" s="12">
        <v>44980</v>
      </c>
      <c r="L3539" s="33">
        <v>0.51265046296296302</v>
      </c>
      <c r="M3539" s="10">
        <v>1</v>
      </c>
      <c r="N3539" s="10" t="s">
        <v>211</v>
      </c>
      <c r="O3539" s="10">
        <v>0.55200000000000005</v>
      </c>
      <c r="P3539" s="10">
        <v>5.3100000000000001E-2</v>
      </c>
      <c r="Q3539" s="10">
        <v>96.5</v>
      </c>
      <c r="R3539" s="10" t="s">
        <v>913</v>
      </c>
      <c r="S3539" s="34">
        <f t="shared" si="402"/>
        <v>96.5</v>
      </c>
      <c r="T3539" s="10" t="s">
        <v>1267</v>
      </c>
      <c r="U3539" s="34" t="str">
        <f t="shared" si="403"/>
        <v/>
      </c>
      <c r="V3539" s="31" t="str">
        <f>IF(H3539="CHK",VLOOKUP(I3539,QCCHK,3,),IF(H3539="GUP",VLOOKUP(E3539,QCGUP,2,),IF(AND(H3539="ATP",OR(I3539="TN",I3539="TDN",I3539="TNO2-3",I3539="NO2-3")),VLOOKUP(E3539,QCREC_N,2,),IF(AND(H3539="NIC",OR(I3539="TN",I3539="TDN",I3539="TNO2-3",I3539="NO2-3")),VLOOKUP(E3539,QCNIC_N,2,),IF(AND(H3539="UREA",OR(I3539="TN",I3539="TDN",I3539="TNO2-3",I3539="NO2-3")),VLOOKUP(E3539,QCUREA_N,2,),IF(H3539="PER",VLOOKUP(I3539,QCPER,MATCH(E3539,QCACTUAL!$J$25:$AA$25,0),),IF(H3539="SPK",VLOOKUP(I3539,QCSPK,3,),IF(AND(H3539="ATP",OR(I3539="TP",I3539="TDP")),VLOOKUP(E3539,QCATP_P,2,),""))))))))</f>
        <v/>
      </c>
      <c r="W3539" s="31" t="str">
        <f t="shared" si="404"/>
        <v>TRUE</v>
      </c>
      <c r="X3539" s="31" t="str">
        <f t="shared" si="401"/>
        <v/>
      </c>
      <c r="Y3539" s="10" t="s">
        <v>1253</v>
      </c>
      <c r="AL3539" s="10" t="str">
        <f t="shared" si="399"/>
        <v>FALSE</v>
      </c>
      <c r="AM3539" s="10" t="str">
        <f t="shared" si="399"/>
        <v>FALSE</v>
      </c>
      <c r="AN3539" s="10" t="str">
        <f t="shared" si="399"/>
        <v>FALSE</v>
      </c>
      <c r="AO3539" s="10" t="str">
        <f t="shared" si="400"/>
        <v>FALSE</v>
      </c>
      <c r="AP3539" s="10" t="str">
        <f t="shared" si="400"/>
        <v>FALSE</v>
      </c>
      <c r="AQ3539" s="10" t="b">
        <f>IF(AND(I3539="TP",S3539&lt;=150),VLOOKUP(AF3539,TPCalibEq150!$AZ$2:$BB$55,3,),IF(AND(I3539="TDP",S3539&lt;=150),VLOOKUP(AF3539,TPCalibEq150!$AZ$2:$BB$55,3,)))</f>
        <v>0</v>
      </c>
      <c r="AR3539" s="10" t="b">
        <f>IF(AND(I3539="TP",S3539&lt;=300),VLOOKUP(AF3539,TPCalibEq300!$AZ$2:$BB$55,3,),IF(AND(I3539="TDP",S3539&lt;=300),VLOOKUP(AF3539,TPCalibEq300!$AZ$2:$BB$55,3,)))</f>
        <v>0</v>
      </c>
      <c r="AS3539" s="10" t="b">
        <f>IF(AND(I3539="TP",S3539&lt;=500),VLOOKUP(AF3539,TPCalibEq500!$AZ$2:$BB$56,3,),IF(AND(I3539="TDP",S3539&lt;=500),VLOOKUP(AF3539,TPCalibEq500!$AZ$2:$BB$56,3,)))</f>
        <v>0</v>
      </c>
      <c r="AT3539" s="10" t="b">
        <f>IF(AND(I3539="TN",S3539&lt;=2800),VLOOKUP(AF3539,TNCalibEq2500!$AZ$2:$BB$56,3,),IF(AND(I3539="TDN",S3539&lt;=2800),VLOOKUP(AF3539,TNCalibEq2500!$AZ$2:$BB$56,3,)))</f>
        <v>0</v>
      </c>
      <c r="AU3539" s="10" t="b">
        <f>IF(I3539="TP",VLOOKUP(AF3539,TPCalibEqFull!$AZ$2:$BB$56,3),IF(I3539="TDP",VLOOKUP(AF3539,TPCalibEqFull!$AZ$2:$BB$56,3),IF(I3539="TDN",VLOOKUP(AF3539,TNCalibEqFull!$AZ$1:$BB$56,3),IF(I3539="TN",VLOOKUP(AF3539,TNCalibEqFull!$AZ$1:$BB$56,3),FALSE))))</f>
        <v>0</v>
      </c>
      <c r="AV3539" s="10" t="str">
        <f t="shared" si="405"/>
        <v>0221 10:59:00-EMB-20-C-1-SW-UKN</v>
      </c>
    </row>
    <row r="3540" spans="1:48" s="10" customFormat="1" x14ac:dyDescent="0.55000000000000004">
      <c r="A3540" s="32">
        <v>44978</v>
      </c>
      <c r="B3540" s="33">
        <v>0.46249999999999997</v>
      </c>
      <c r="C3540" s="10" t="s">
        <v>646</v>
      </c>
      <c r="D3540" s="10">
        <v>60</v>
      </c>
      <c r="E3540" s="10" t="s">
        <v>190</v>
      </c>
      <c r="F3540" s="10">
        <v>1</v>
      </c>
      <c r="G3540" s="10" t="s">
        <v>231</v>
      </c>
      <c r="H3540" s="10" t="s">
        <v>322</v>
      </c>
      <c r="I3540" s="10" t="s">
        <v>285</v>
      </c>
      <c r="J3540" s="10">
        <v>24</v>
      </c>
      <c r="K3540" s="12">
        <v>44980</v>
      </c>
      <c r="L3540" s="33">
        <v>0.51347222222222222</v>
      </c>
      <c r="M3540" s="10">
        <v>1</v>
      </c>
      <c r="N3540" s="10" t="s">
        <v>211</v>
      </c>
      <c r="O3540" s="10">
        <v>0.52700000000000002</v>
      </c>
      <c r="P3540" s="10">
        <v>5.0500000000000003E-2</v>
      </c>
      <c r="Q3540" s="10">
        <v>92.1</v>
      </c>
      <c r="R3540" s="10" t="s">
        <v>913</v>
      </c>
      <c r="S3540" s="34">
        <f t="shared" si="402"/>
        <v>92.1</v>
      </c>
      <c r="T3540" s="10" t="s">
        <v>1267</v>
      </c>
      <c r="U3540" s="34" t="str">
        <f t="shared" si="403"/>
        <v/>
      </c>
      <c r="V3540" s="31" t="str">
        <f>IF(H3540="CHK",VLOOKUP(I3540,QCCHK,3,),IF(H3540="GUP",VLOOKUP(E3540,QCGUP,2,),IF(AND(H3540="ATP",OR(I3540="TN",I3540="TDN",I3540="TNO2-3",I3540="NO2-3")),VLOOKUP(E3540,QCREC_N,2,),IF(AND(H3540="NIC",OR(I3540="TN",I3540="TDN",I3540="TNO2-3",I3540="NO2-3")),VLOOKUP(E3540,QCNIC_N,2,),IF(AND(H3540="UREA",OR(I3540="TN",I3540="TDN",I3540="TNO2-3",I3540="NO2-3")),VLOOKUP(E3540,QCUREA_N,2,),IF(H3540="PER",VLOOKUP(I3540,QCPER,MATCH(E3540,QCACTUAL!$J$25:$AA$25,0),),IF(H3540="SPK",VLOOKUP(I3540,QCSPK,3,),IF(AND(H3540="ATP",OR(I3540="TP",I3540="TDP")),VLOOKUP(E3540,QCATP_P,2,),""))))))))</f>
        <v/>
      </c>
      <c r="W3540" s="31" t="str">
        <f t="shared" si="404"/>
        <v>TRUE</v>
      </c>
      <c r="X3540" s="31" t="str">
        <f t="shared" si="401"/>
        <v/>
      </c>
      <c r="Y3540" s="10" t="s">
        <v>1253</v>
      </c>
      <c r="AL3540" s="10" t="str">
        <f t="shared" si="399"/>
        <v>FALSE</v>
      </c>
      <c r="AM3540" s="10" t="str">
        <f t="shared" si="399"/>
        <v>FALSE</v>
      </c>
      <c r="AN3540" s="10" t="str">
        <f t="shared" si="399"/>
        <v>FALSE</v>
      </c>
      <c r="AO3540" s="10" t="str">
        <f t="shared" si="400"/>
        <v>FALSE</v>
      </c>
      <c r="AP3540" s="10" t="str">
        <f t="shared" si="400"/>
        <v>FALSE</v>
      </c>
      <c r="AQ3540" s="10" t="b">
        <f>IF(AND(I3540="TP",S3540&lt;=150),VLOOKUP(AF3540,TPCalibEq150!$AZ$2:$BB$55,3,),IF(AND(I3540="TDP",S3540&lt;=150),VLOOKUP(AF3540,TPCalibEq150!$AZ$2:$BB$55,3,)))</f>
        <v>0</v>
      </c>
      <c r="AR3540" s="10" t="b">
        <f>IF(AND(I3540="TP",S3540&lt;=300),VLOOKUP(AF3540,TPCalibEq300!$AZ$2:$BB$55,3,),IF(AND(I3540="TDP",S3540&lt;=300),VLOOKUP(AF3540,TPCalibEq300!$AZ$2:$BB$55,3,)))</f>
        <v>0</v>
      </c>
      <c r="AS3540" s="10" t="b">
        <f>IF(AND(I3540="TP",S3540&lt;=500),VLOOKUP(AF3540,TPCalibEq500!$AZ$2:$BB$56,3,),IF(AND(I3540="TDP",S3540&lt;=500),VLOOKUP(AF3540,TPCalibEq500!$AZ$2:$BB$56,3,)))</f>
        <v>0</v>
      </c>
      <c r="AT3540" s="10" t="b">
        <f>IF(AND(I3540="TN",S3540&lt;=2800),VLOOKUP(AF3540,TNCalibEq2500!$AZ$2:$BB$56,3,),IF(AND(I3540="TDN",S3540&lt;=2800),VLOOKUP(AF3540,TNCalibEq2500!$AZ$2:$BB$56,3,)))</f>
        <v>0</v>
      </c>
      <c r="AU3540" s="10" t="b">
        <f>IF(I3540="TP",VLOOKUP(AF3540,TPCalibEqFull!$AZ$2:$BB$56,3),IF(I3540="TDP",VLOOKUP(AF3540,TPCalibEqFull!$AZ$2:$BB$56,3),IF(I3540="TDN",VLOOKUP(AF3540,TNCalibEqFull!$AZ$1:$BB$56,3),IF(I3540="TN",VLOOKUP(AF3540,TNCalibEqFull!$AZ$1:$BB$56,3),FALSE))))</f>
        <v>0</v>
      </c>
      <c r="AV3540" s="10" t="str">
        <f t="shared" si="405"/>
        <v>0221 11:06:00-EMB-60-C-1-SW-UKN</v>
      </c>
    </row>
    <row r="3541" spans="1:48" s="10" customFormat="1" x14ac:dyDescent="0.55000000000000004">
      <c r="A3541" s="32">
        <v>44978</v>
      </c>
      <c r="B3541" s="33">
        <v>0.41319444444444442</v>
      </c>
      <c r="C3541" s="10" t="s">
        <v>287</v>
      </c>
      <c r="D3541" s="10">
        <v>0</v>
      </c>
      <c r="E3541" s="10">
        <v>290</v>
      </c>
      <c r="F3541" s="10">
        <v>1</v>
      </c>
      <c r="G3541" s="10" t="s">
        <v>231</v>
      </c>
      <c r="H3541" s="10" t="s">
        <v>322</v>
      </c>
      <c r="I3541" s="10" t="s">
        <v>285</v>
      </c>
      <c r="J3541" s="10">
        <v>25</v>
      </c>
      <c r="K3541" s="12">
        <v>44980</v>
      </c>
      <c r="L3541" s="33">
        <v>0.51427083333333334</v>
      </c>
      <c r="M3541" s="10">
        <v>1</v>
      </c>
      <c r="N3541" s="10" t="s">
        <v>211</v>
      </c>
      <c r="O3541" s="10">
        <v>0.57899999999999996</v>
      </c>
      <c r="P3541" s="10">
        <v>5.6500000000000002E-2</v>
      </c>
      <c r="Q3541" s="10">
        <v>101</v>
      </c>
      <c r="R3541" s="10" t="s">
        <v>913</v>
      </c>
      <c r="S3541" s="34">
        <f t="shared" si="402"/>
        <v>101</v>
      </c>
      <c r="T3541" s="10" t="s">
        <v>1267</v>
      </c>
      <c r="U3541" s="34" t="str">
        <f t="shared" si="403"/>
        <v/>
      </c>
      <c r="V3541" s="31" t="str">
        <f>IF(H3541="CHK",VLOOKUP(I3541,QCCHK,3,),IF(H3541="GUP",VLOOKUP(E3541,QCGUP,2,),IF(AND(H3541="ATP",OR(I3541="TN",I3541="TDN",I3541="TNO2-3",I3541="NO2-3")),VLOOKUP(E3541,QCREC_N,2,),IF(AND(H3541="NIC",OR(I3541="TN",I3541="TDN",I3541="TNO2-3",I3541="NO2-3")),VLOOKUP(E3541,QCNIC_N,2,),IF(AND(H3541="UREA",OR(I3541="TN",I3541="TDN",I3541="TNO2-3",I3541="NO2-3")),VLOOKUP(E3541,QCUREA_N,2,),IF(H3541="PER",VLOOKUP(I3541,QCPER,MATCH(E3541,QCACTUAL!$J$25:$AA$25,0),),IF(H3541="SPK",VLOOKUP(I3541,QCSPK,3,),IF(AND(H3541="ATP",OR(I3541="TP",I3541="TDP")),VLOOKUP(E3541,QCATP_P,2,),""))))))))</f>
        <v/>
      </c>
      <c r="W3541" s="31" t="str">
        <f t="shared" si="404"/>
        <v>TRUE</v>
      </c>
      <c r="X3541" s="31" t="str">
        <f t="shared" si="401"/>
        <v/>
      </c>
      <c r="Y3541" s="10" t="s">
        <v>1253</v>
      </c>
      <c r="AL3541" s="10" t="str">
        <f t="shared" si="399"/>
        <v>FALSE</v>
      </c>
      <c r="AM3541" s="10" t="str">
        <f t="shared" si="399"/>
        <v>FALSE</v>
      </c>
      <c r="AN3541" s="10" t="str">
        <f t="shared" si="399"/>
        <v>FALSE</v>
      </c>
      <c r="AO3541" s="10" t="str">
        <f t="shared" si="400"/>
        <v>FALSE</v>
      </c>
      <c r="AP3541" s="10" t="str">
        <f t="shared" si="400"/>
        <v>FALSE</v>
      </c>
      <c r="AQ3541" s="10" t="b">
        <f>IF(AND(I3541="TP",S3541&lt;=150),VLOOKUP(AF3541,TPCalibEq150!$AZ$2:$BB$55,3,),IF(AND(I3541="TDP",S3541&lt;=150),VLOOKUP(AF3541,TPCalibEq150!$AZ$2:$BB$55,3,)))</f>
        <v>0</v>
      </c>
      <c r="AR3541" s="10" t="b">
        <f>IF(AND(I3541="TP",S3541&lt;=300),VLOOKUP(AF3541,TPCalibEq300!$AZ$2:$BB$55,3,),IF(AND(I3541="TDP",S3541&lt;=300),VLOOKUP(AF3541,TPCalibEq300!$AZ$2:$BB$55,3,)))</f>
        <v>0</v>
      </c>
      <c r="AS3541" s="10" t="b">
        <f>IF(AND(I3541="TP",S3541&lt;=500),VLOOKUP(AF3541,TPCalibEq500!$AZ$2:$BB$56,3,),IF(AND(I3541="TDP",S3541&lt;=500),VLOOKUP(AF3541,TPCalibEq500!$AZ$2:$BB$56,3,)))</f>
        <v>0</v>
      </c>
      <c r="AT3541" s="10" t="b">
        <f>IF(AND(I3541="TN",S3541&lt;=2800),VLOOKUP(AF3541,TNCalibEq2500!$AZ$2:$BB$56,3,),IF(AND(I3541="TDN",S3541&lt;=2800),VLOOKUP(AF3541,TNCalibEq2500!$AZ$2:$BB$56,3,)))</f>
        <v>0</v>
      </c>
      <c r="AU3541" s="10" t="b">
        <f>IF(I3541="TP",VLOOKUP(AF3541,TPCalibEqFull!$AZ$2:$BB$56,3),IF(I3541="TDP",VLOOKUP(AF3541,TPCalibEqFull!$AZ$2:$BB$56,3),IF(I3541="TDN",VLOOKUP(AF3541,TNCalibEqFull!$AZ$1:$BB$56,3),IF(I3541="TN",VLOOKUP(AF3541,TNCalibEqFull!$AZ$1:$BB$56,3),FALSE))))</f>
        <v>0</v>
      </c>
      <c r="AV3541" s="10" t="str">
        <f t="shared" si="405"/>
        <v>0221 09:55:00-EFL-0-290-1-SW-UKN</v>
      </c>
    </row>
    <row r="3542" spans="1:48" s="10" customFormat="1" x14ac:dyDescent="0.55000000000000004">
      <c r="A3542" s="32">
        <v>44978</v>
      </c>
      <c r="B3542" s="33">
        <v>0.41597222222222219</v>
      </c>
      <c r="C3542" s="10" t="s">
        <v>287</v>
      </c>
      <c r="D3542" s="10">
        <v>5</v>
      </c>
      <c r="E3542" s="10">
        <v>400</v>
      </c>
      <c r="F3542" s="10">
        <v>1</v>
      </c>
      <c r="G3542" s="10" t="s">
        <v>231</v>
      </c>
      <c r="H3542" s="10" t="s">
        <v>322</v>
      </c>
      <c r="I3542" s="10" t="s">
        <v>285</v>
      </c>
      <c r="J3542" s="10">
        <v>26</v>
      </c>
      <c r="K3542" s="12">
        <v>44980</v>
      </c>
      <c r="L3542" s="33">
        <v>0.51508101851851851</v>
      </c>
      <c r="M3542" s="10">
        <v>1</v>
      </c>
      <c r="N3542" s="10" t="s">
        <v>211</v>
      </c>
      <c r="O3542" s="10">
        <v>0.626</v>
      </c>
      <c r="P3542" s="10">
        <v>0.06</v>
      </c>
      <c r="Q3542" s="10">
        <v>109</v>
      </c>
      <c r="R3542" s="10" t="s">
        <v>913</v>
      </c>
      <c r="S3542" s="34">
        <f t="shared" si="402"/>
        <v>109</v>
      </c>
      <c r="T3542" s="10" t="s">
        <v>1267</v>
      </c>
      <c r="U3542" s="34" t="str">
        <f t="shared" si="403"/>
        <v/>
      </c>
      <c r="V3542" s="31" t="str">
        <f>IF(H3542="CHK",VLOOKUP(I3542,QCCHK,3,),IF(H3542="GUP",VLOOKUP(E3542,QCGUP,2,),IF(AND(H3542="ATP",OR(I3542="TN",I3542="TDN",I3542="TNO2-3",I3542="NO2-3")),VLOOKUP(E3542,QCREC_N,2,),IF(AND(H3542="NIC",OR(I3542="TN",I3542="TDN",I3542="TNO2-3",I3542="NO2-3")),VLOOKUP(E3542,QCNIC_N,2,),IF(AND(H3542="UREA",OR(I3542="TN",I3542="TDN",I3542="TNO2-3",I3542="NO2-3")),VLOOKUP(E3542,QCUREA_N,2,),IF(H3542="PER",VLOOKUP(I3542,QCPER,MATCH(E3542,QCACTUAL!$J$25:$AA$25,0),),IF(H3542="SPK",VLOOKUP(I3542,QCSPK,3,),IF(AND(H3542="ATP",OR(I3542="TP",I3542="TDP")),VLOOKUP(E3542,QCATP_P,2,),""))))))))</f>
        <v/>
      </c>
      <c r="W3542" s="31" t="str">
        <f t="shared" si="404"/>
        <v>TRUE</v>
      </c>
      <c r="X3542" s="31" t="str">
        <f t="shared" si="401"/>
        <v/>
      </c>
      <c r="Y3542" s="10" t="s">
        <v>1253</v>
      </c>
      <c r="AL3542" s="10" t="str">
        <f t="shared" si="399"/>
        <v>FALSE</v>
      </c>
      <c r="AM3542" s="10" t="str">
        <f t="shared" si="399"/>
        <v>FALSE</v>
      </c>
      <c r="AN3542" s="10" t="str">
        <f t="shared" si="399"/>
        <v>FALSE</v>
      </c>
      <c r="AO3542" s="10" t="str">
        <f t="shared" si="400"/>
        <v>FALSE</v>
      </c>
      <c r="AP3542" s="10" t="str">
        <f t="shared" si="400"/>
        <v>FALSE</v>
      </c>
      <c r="AQ3542" s="10" t="b">
        <f>IF(AND(I3542="TP",S3542&lt;=150),VLOOKUP(AF3542,TPCalibEq150!$AZ$2:$BB$55,3,),IF(AND(I3542="TDP",S3542&lt;=150),VLOOKUP(AF3542,TPCalibEq150!$AZ$2:$BB$55,3,)))</f>
        <v>0</v>
      </c>
      <c r="AR3542" s="10" t="b">
        <f>IF(AND(I3542="TP",S3542&lt;=300),VLOOKUP(AF3542,TPCalibEq300!$AZ$2:$BB$55,3,),IF(AND(I3542="TDP",S3542&lt;=300),VLOOKUP(AF3542,TPCalibEq300!$AZ$2:$BB$55,3,)))</f>
        <v>0</v>
      </c>
      <c r="AS3542" s="10" t="b">
        <f>IF(AND(I3542="TP",S3542&lt;=500),VLOOKUP(AF3542,TPCalibEq500!$AZ$2:$BB$56,3,),IF(AND(I3542="TDP",S3542&lt;=500),VLOOKUP(AF3542,TPCalibEq500!$AZ$2:$BB$56,3,)))</f>
        <v>0</v>
      </c>
      <c r="AT3542" s="10" t="b">
        <f>IF(AND(I3542="TN",S3542&lt;=2800),VLOOKUP(AF3542,TNCalibEq2500!$AZ$2:$BB$56,3,),IF(AND(I3542="TDN",S3542&lt;=2800),VLOOKUP(AF3542,TNCalibEq2500!$AZ$2:$BB$56,3,)))</f>
        <v>0</v>
      </c>
      <c r="AU3542" s="10" t="b">
        <f>IF(I3542="TP",VLOOKUP(AF3542,TPCalibEqFull!$AZ$2:$BB$56,3),IF(I3542="TDP",VLOOKUP(AF3542,TPCalibEqFull!$AZ$2:$BB$56,3),IF(I3542="TDN",VLOOKUP(AF3542,TNCalibEqFull!$AZ$1:$BB$56,3),IF(I3542="TN",VLOOKUP(AF3542,TNCalibEqFull!$AZ$1:$BB$56,3),FALSE))))</f>
        <v>0</v>
      </c>
      <c r="AV3542" s="10" t="str">
        <f t="shared" si="405"/>
        <v>0221 09:59:00-EFL-5-400-1-SW-UKN</v>
      </c>
    </row>
    <row r="3543" spans="1:48" s="10" customFormat="1" x14ac:dyDescent="0.55000000000000004">
      <c r="A3543" s="32">
        <v>44978</v>
      </c>
      <c r="B3543" s="33">
        <v>0.41805555555555557</v>
      </c>
      <c r="C3543" s="10" t="s">
        <v>287</v>
      </c>
      <c r="D3543" s="10">
        <v>10</v>
      </c>
      <c r="E3543" s="10">
        <v>490</v>
      </c>
      <c r="F3543" s="10">
        <v>1</v>
      </c>
      <c r="G3543" s="10" t="s">
        <v>231</v>
      </c>
      <c r="H3543" s="10" t="s">
        <v>322</v>
      </c>
      <c r="I3543" s="10" t="s">
        <v>285</v>
      </c>
      <c r="J3543" s="10">
        <v>27</v>
      </c>
      <c r="K3543" s="12">
        <v>44980</v>
      </c>
      <c r="L3543" s="33">
        <v>0.51590277777777771</v>
      </c>
      <c r="M3543" s="10">
        <v>1</v>
      </c>
      <c r="N3543" s="10" t="s">
        <v>211</v>
      </c>
      <c r="O3543" s="10">
        <v>0.58899999999999997</v>
      </c>
      <c r="P3543" s="10">
        <v>5.6599999999999998E-2</v>
      </c>
      <c r="Q3543" s="10">
        <v>103</v>
      </c>
      <c r="R3543" s="10" t="s">
        <v>913</v>
      </c>
      <c r="S3543" s="34">
        <f t="shared" si="402"/>
        <v>103</v>
      </c>
      <c r="T3543" s="10" t="s">
        <v>1267</v>
      </c>
      <c r="U3543" s="34" t="str">
        <f t="shared" si="403"/>
        <v/>
      </c>
      <c r="V3543" s="31" t="str">
        <f>IF(H3543="CHK",VLOOKUP(I3543,QCCHK,3,),IF(H3543="GUP",VLOOKUP(E3543,QCGUP,2,),IF(AND(H3543="ATP",OR(I3543="TN",I3543="TDN",I3543="TNO2-3",I3543="NO2-3")),VLOOKUP(E3543,QCREC_N,2,),IF(AND(H3543="NIC",OR(I3543="TN",I3543="TDN",I3543="TNO2-3",I3543="NO2-3")),VLOOKUP(E3543,QCNIC_N,2,),IF(AND(H3543="UREA",OR(I3543="TN",I3543="TDN",I3543="TNO2-3",I3543="NO2-3")),VLOOKUP(E3543,QCUREA_N,2,),IF(H3543="PER",VLOOKUP(I3543,QCPER,MATCH(E3543,QCACTUAL!$J$25:$AA$25,0),),IF(H3543="SPK",VLOOKUP(I3543,QCSPK,3,),IF(AND(H3543="ATP",OR(I3543="TP",I3543="TDP")),VLOOKUP(E3543,QCATP_P,2,),""))))))))</f>
        <v/>
      </c>
      <c r="W3543" s="31" t="str">
        <f t="shared" si="404"/>
        <v>TRUE</v>
      </c>
      <c r="X3543" s="31" t="str">
        <f t="shared" si="401"/>
        <v/>
      </c>
      <c r="Y3543" s="10" t="s">
        <v>1253</v>
      </c>
      <c r="AL3543" s="10" t="str">
        <f t="shared" si="399"/>
        <v>FALSE</v>
      </c>
      <c r="AM3543" s="10" t="str">
        <f t="shared" si="399"/>
        <v>FALSE</v>
      </c>
      <c r="AN3543" s="10" t="str">
        <f t="shared" si="399"/>
        <v>FALSE</v>
      </c>
      <c r="AO3543" s="10" t="str">
        <f t="shared" si="400"/>
        <v>FALSE</v>
      </c>
      <c r="AP3543" s="10" t="str">
        <f t="shared" si="400"/>
        <v>FALSE</v>
      </c>
      <c r="AQ3543" s="10" t="b">
        <f>IF(AND(I3543="TP",S3543&lt;=150),VLOOKUP(AF3543,TPCalibEq150!$AZ$2:$BB$55,3,),IF(AND(I3543="TDP",S3543&lt;=150),VLOOKUP(AF3543,TPCalibEq150!$AZ$2:$BB$55,3,)))</f>
        <v>0</v>
      </c>
      <c r="AR3543" s="10" t="b">
        <f>IF(AND(I3543="TP",S3543&lt;=300),VLOOKUP(AF3543,TPCalibEq300!$AZ$2:$BB$55,3,),IF(AND(I3543="TDP",S3543&lt;=300),VLOOKUP(AF3543,TPCalibEq300!$AZ$2:$BB$55,3,)))</f>
        <v>0</v>
      </c>
      <c r="AS3543" s="10" t="b">
        <f>IF(AND(I3543="TP",S3543&lt;=500),VLOOKUP(AF3543,TPCalibEq500!$AZ$2:$BB$56,3,),IF(AND(I3543="TDP",S3543&lt;=500),VLOOKUP(AF3543,TPCalibEq500!$AZ$2:$BB$56,3,)))</f>
        <v>0</v>
      </c>
      <c r="AT3543" s="10" t="b">
        <f>IF(AND(I3543="TN",S3543&lt;=2800),VLOOKUP(AF3543,TNCalibEq2500!$AZ$2:$BB$56,3,),IF(AND(I3543="TDN",S3543&lt;=2800),VLOOKUP(AF3543,TNCalibEq2500!$AZ$2:$BB$56,3,)))</f>
        <v>0</v>
      </c>
      <c r="AU3543" s="10" t="b">
        <f>IF(I3543="TP",VLOOKUP(AF3543,TPCalibEqFull!$AZ$2:$BB$56,3),IF(I3543="TDP",VLOOKUP(AF3543,TPCalibEqFull!$AZ$2:$BB$56,3),IF(I3543="TDN",VLOOKUP(AF3543,TNCalibEqFull!$AZ$1:$BB$56,3),IF(I3543="TN",VLOOKUP(AF3543,TNCalibEqFull!$AZ$1:$BB$56,3),FALSE))))</f>
        <v>0</v>
      </c>
      <c r="AV3543" s="10" t="str">
        <f t="shared" si="405"/>
        <v>0221 10:02:00-EFL-10-490-1-SW-UKN</v>
      </c>
    </row>
    <row r="3544" spans="1:48" s="10" customFormat="1" x14ac:dyDescent="0.55000000000000004">
      <c r="A3544" s="32">
        <v>44978</v>
      </c>
      <c r="B3544" s="33">
        <v>0.42083333333333334</v>
      </c>
      <c r="C3544" s="10" t="s">
        <v>287</v>
      </c>
      <c r="D3544" s="10">
        <v>20</v>
      </c>
      <c r="E3544" s="10">
        <v>280</v>
      </c>
      <c r="F3544" s="10">
        <v>1</v>
      </c>
      <c r="G3544" s="10" t="s">
        <v>231</v>
      </c>
      <c r="H3544" s="10" t="s">
        <v>322</v>
      </c>
      <c r="I3544" s="10" t="s">
        <v>285</v>
      </c>
      <c r="J3544" s="10">
        <v>28</v>
      </c>
      <c r="K3544" s="12">
        <v>44980</v>
      </c>
      <c r="L3544" s="33">
        <v>0.51671296296296299</v>
      </c>
      <c r="M3544" s="10">
        <v>1</v>
      </c>
      <c r="N3544" s="10" t="s">
        <v>211</v>
      </c>
      <c r="O3544" s="10">
        <v>0.60099999999999998</v>
      </c>
      <c r="P3544" s="10">
        <v>5.8299999999999998E-2</v>
      </c>
      <c r="Q3544" s="10">
        <v>105</v>
      </c>
      <c r="R3544" s="10" t="s">
        <v>913</v>
      </c>
      <c r="S3544" s="34">
        <f t="shared" si="402"/>
        <v>105</v>
      </c>
      <c r="T3544" s="10" t="s">
        <v>1267</v>
      </c>
      <c r="U3544" s="34" t="str">
        <f t="shared" si="403"/>
        <v/>
      </c>
      <c r="V3544" s="31" t="str">
        <f>IF(H3544="CHK",VLOOKUP(I3544,QCCHK,3,),IF(H3544="GUP",VLOOKUP(E3544,QCGUP,2,),IF(AND(H3544="ATP",OR(I3544="TN",I3544="TDN",I3544="TNO2-3",I3544="NO2-3")),VLOOKUP(E3544,QCREC_N,2,),IF(AND(H3544="NIC",OR(I3544="TN",I3544="TDN",I3544="TNO2-3",I3544="NO2-3")),VLOOKUP(E3544,QCNIC_N,2,),IF(AND(H3544="UREA",OR(I3544="TN",I3544="TDN",I3544="TNO2-3",I3544="NO2-3")),VLOOKUP(E3544,QCUREA_N,2,),IF(H3544="PER",VLOOKUP(I3544,QCPER,MATCH(E3544,QCACTUAL!$J$25:$AA$25,0),),IF(H3544="SPK",VLOOKUP(I3544,QCSPK,3,),IF(AND(H3544="ATP",OR(I3544="TP",I3544="TDP")),VLOOKUP(E3544,QCATP_P,2,),""))))))))</f>
        <v/>
      </c>
      <c r="W3544" s="31" t="str">
        <f t="shared" si="404"/>
        <v>TRUE</v>
      </c>
      <c r="X3544" s="31" t="str">
        <f t="shared" si="401"/>
        <v/>
      </c>
      <c r="Y3544" s="10" t="s">
        <v>1253</v>
      </c>
      <c r="AL3544" s="10" t="str">
        <f t="shared" si="399"/>
        <v>FALSE</v>
      </c>
      <c r="AM3544" s="10" t="str">
        <f t="shared" si="399"/>
        <v>FALSE</v>
      </c>
      <c r="AN3544" s="10" t="str">
        <f t="shared" si="399"/>
        <v>FALSE</v>
      </c>
      <c r="AO3544" s="10" t="str">
        <f t="shared" si="400"/>
        <v>FALSE</v>
      </c>
      <c r="AP3544" s="10" t="str">
        <f t="shared" si="400"/>
        <v>FALSE</v>
      </c>
      <c r="AQ3544" s="10" t="b">
        <f>IF(AND(I3544="TP",S3544&lt;=150),VLOOKUP(AF3544,TPCalibEq150!$AZ$2:$BB$55,3,),IF(AND(I3544="TDP",S3544&lt;=150),VLOOKUP(AF3544,TPCalibEq150!$AZ$2:$BB$55,3,)))</f>
        <v>0</v>
      </c>
      <c r="AR3544" s="10" t="b">
        <f>IF(AND(I3544="TP",S3544&lt;=300),VLOOKUP(AF3544,TPCalibEq300!$AZ$2:$BB$55,3,),IF(AND(I3544="TDP",S3544&lt;=300),VLOOKUP(AF3544,TPCalibEq300!$AZ$2:$BB$55,3,)))</f>
        <v>0</v>
      </c>
      <c r="AS3544" s="10" t="b">
        <f>IF(AND(I3544="TP",S3544&lt;=500),VLOOKUP(AF3544,TPCalibEq500!$AZ$2:$BB$56,3,),IF(AND(I3544="TDP",S3544&lt;=500),VLOOKUP(AF3544,TPCalibEq500!$AZ$2:$BB$56,3,)))</f>
        <v>0</v>
      </c>
      <c r="AT3544" s="10" t="b">
        <f>IF(AND(I3544="TN",S3544&lt;=2800),VLOOKUP(AF3544,TNCalibEq2500!$AZ$2:$BB$56,3,),IF(AND(I3544="TDN",S3544&lt;=2800),VLOOKUP(AF3544,TNCalibEq2500!$AZ$2:$BB$56,3,)))</f>
        <v>0</v>
      </c>
      <c r="AU3544" s="10" t="b">
        <f>IF(I3544="TP",VLOOKUP(AF3544,TPCalibEqFull!$AZ$2:$BB$56,3),IF(I3544="TDP",VLOOKUP(AF3544,TPCalibEqFull!$AZ$2:$BB$56,3),IF(I3544="TDN",VLOOKUP(AF3544,TNCalibEqFull!$AZ$1:$BB$56,3),IF(I3544="TN",VLOOKUP(AF3544,TNCalibEqFull!$AZ$1:$BB$56,3),FALSE))))</f>
        <v>0</v>
      </c>
      <c r="AV3544" s="10" t="str">
        <f t="shared" si="405"/>
        <v>0221 10:06:00-EFL-20-280-1-SW-UKN</v>
      </c>
    </row>
    <row r="3545" spans="1:48" s="10" customFormat="1" x14ac:dyDescent="0.55000000000000004">
      <c r="A3545" s="32">
        <v>44978</v>
      </c>
      <c r="B3545" s="33">
        <v>0.42083333333333334</v>
      </c>
      <c r="C3545" s="10" t="s">
        <v>287</v>
      </c>
      <c r="D3545" s="10">
        <v>20</v>
      </c>
      <c r="E3545" s="10">
        <v>270</v>
      </c>
      <c r="F3545" s="10">
        <v>2</v>
      </c>
      <c r="G3545" s="10" t="s">
        <v>231</v>
      </c>
      <c r="H3545" s="10" t="s">
        <v>322</v>
      </c>
      <c r="I3545" s="10" t="s">
        <v>285</v>
      </c>
      <c r="J3545" s="10">
        <v>29</v>
      </c>
      <c r="K3545" s="12">
        <v>44980</v>
      </c>
      <c r="L3545" s="33">
        <v>0.517511574074074</v>
      </c>
      <c r="M3545" s="10">
        <v>1</v>
      </c>
      <c r="N3545" s="10" t="s">
        <v>211</v>
      </c>
      <c r="O3545" s="10">
        <v>0.61499999999999999</v>
      </c>
      <c r="P3545" s="10">
        <v>6.0100000000000001E-2</v>
      </c>
      <c r="Q3545" s="10">
        <v>108</v>
      </c>
      <c r="R3545" s="10" t="s">
        <v>913</v>
      </c>
      <c r="S3545" s="34">
        <f t="shared" si="402"/>
        <v>108</v>
      </c>
      <c r="T3545" s="10" t="s">
        <v>1267</v>
      </c>
      <c r="U3545" s="34" t="str">
        <f t="shared" si="403"/>
        <v/>
      </c>
      <c r="V3545" s="31" t="str">
        <f>IF(H3545="CHK",VLOOKUP(I3545,QCCHK,3,),IF(H3545="GUP",VLOOKUP(E3545,QCGUP,2,),IF(AND(H3545="ATP",OR(I3545="TN",I3545="TDN",I3545="TNO2-3",I3545="NO2-3")),VLOOKUP(E3545,QCREC_N,2,),IF(AND(H3545="NIC",OR(I3545="TN",I3545="TDN",I3545="TNO2-3",I3545="NO2-3")),VLOOKUP(E3545,QCNIC_N,2,),IF(AND(H3545="UREA",OR(I3545="TN",I3545="TDN",I3545="TNO2-3",I3545="NO2-3")),VLOOKUP(E3545,QCUREA_N,2,),IF(H3545="PER",VLOOKUP(I3545,QCPER,MATCH(E3545,QCACTUAL!$J$25:$AA$25,0),),IF(H3545="SPK",VLOOKUP(I3545,QCSPK,3,),IF(AND(H3545="ATP",OR(I3545="TP",I3545="TDP")),VLOOKUP(E3545,QCATP_P,2,),""))))))))</f>
        <v/>
      </c>
      <c r="W3545" s="31" t="str">
        <f t="shared" si="404"/>
        <v>TRUE</v>
      </c>
      <c r="X3545" s="31" t="str">
        <f t="shared" si="401"/>
        <v/>
      </c>
      <c r="Y3545" s="10" t="s">
        <v>1253</v>
      </c>
      <c r="AL3545" s="10" t="str">
        <f t="shared" si="399"/>
        <v>FALSE</v>
      </c>
      <c r="AM3545" s="10" t="str">
        <f t="shared" si="399"/>
        <v>FALSE</v>
      </c>
      <c r="AN3545" s="10" t="str">
        <f t="shared" si="399"/>
        <v>FALSE</v>
      </c>
      <c r="AO3545" s="10" t="str">
        <f t="shared" si="400"/>
        <v>FALSE</v>
      </c>
      <c r="AP3545" s="10" t="str">
        <f t="shared" si="400"/>
        <v>FALSE</v>
      </c>
      <c r="AQ3545" s="10" t="b">
        <f>IF(AND(I3545="TP",S3545&lt;=150),VLOOKUP(AF3545,TPCalibEq150!$AZ$2:$BB$55,3,),IF(AND(I3545="TDP",S3545&lt;=150),VLOOKUP(AF3545,TPCalibEq150!$AZ$2:$BB$55,3,)))</f>
        <v>0</v>
      </c>
      <c r="AR3545" s="10" t="b">
        <f>IF(AND(I3545="TP",S3545&lt;=300),VLOOKUP(AF3545,TPCalibEq300!$AZ$2:$BB$55,3,),IF(AND(I3545="TDP",S3545&lt;=300),VLOOKUP(AF3545,TPCalibEq300!$AZ$2:$BB$55,3,)))</f>
        <v>0</v>
      </c>
      <c r="AS3545" s="10" t="b">
        <f>IF(AND(I3545="TP",S3545&lt;=500),VLOOKUP(AF3545,TPCalibEq500!$AZ$2:$BB$56,3,),IF(AND(I3545="TDP",S3545&lt;=500),VLOOKUP(AF3545,TPCalibEq500!$AZ$2:$BB$56,3,)))</f>
        <v>0</v>
      </c>
      <c r="AT3545" s="10" t="b">
        <f>IF(AND(I3545="TN",S3545&lt;=2800),VLOOKUP(AF3545,TNCalibEq2500!$AZ$2:$BB$56,3,),IF(AND(I3545="TDN",S3545&lt;=2800),VLOOKUP(AF3545,TNCalibEq2500!$AZ$2:$BB$56,3,)))</f>
        <v>0</v>
      </c>
      <c r="AU3545" s="10" t="b">
        <f>IF(I3545="TP",VLOOKUP(AF3545,TPCalibEqFull!$AZ$2:$BB$56,3),IF(I3545="TDP",VLOOKUP(AF3545,TPCalibEqFull!$AZ$2:$BB$56,3),IF(I3545="TDN",VLOOKUP(AF3545,TNCalibEqFull!$AZ$1:$BB$56,3),IF(I3545="TN",VLOOKUP(AF3545,TNCalibEqFull!$AZ$1:$BB$56,3),FALSE))))</f>
        <v>0</v>
      </c>
      <c r="AV3545" s="10" t="str">
        <f t="shared" si="405"/>
        <v>0221 10:06:00-EFL-20-270-2-SW-UKN</v>
      </c>
    </row>
    <row r="3546" spans="1:48" s="10" customFormat="1" x14ac:dyDescent="0.55000000000000004">
      <c r="A3546" s="32">
        <v>44978</v>
      </c>
      <c r="B3546" s="33">
        <v>0.42569444444444443</v>
      </c>
      <c r="C3546" s="10" t="s">
        <v>287</v>
      </c>
      <c r="D3546" s="10">
        <v>45</v>
      </c>
      <c r="E3546" s="10" t="s">
        <v>190</v>
      </c>
      <c r="F3546" s="10">
        <v>1</v>
      </c>
      <c r="G3546" s="10" t="s">
        <v>231</v>
      </c>
      <c r="H3546" s="10" t="s">
        <v>322</v>
      </c>
      <c r="I3546" s="10" t="s">
        <v>285</v>
      </c>
      <c r="J3546" s="10">
        <v>30</v>
      </c>
      <c r="K3546" s="12">
        <v>44980</v>
      </c>
      <c r="L3546" s="33">
        <v>0.51832175925925927</v>
      </c>
      <c r="M3546" s="10">
        <v>1</v>
      </c>
      <c r="N3546" s="10" t="s">
        <v>211</v>
      </c>
      <c r="O3546" s="10">
        <v>0.57599999999999996</v>
      </c>
      <c r="P3546" s="10">
        <v>5.5399999999999998E-2</v>
      </c>
      <c r="Q3546" s="10">
        <v>101</v>
      </c>
      <c r="R3546" s="10" t="s">
        <v>913</v>
      </c>
      <c r="S3546" s="34">
        <f t="shared" si="402"/>
        <v>101</v>
      </c>
      <c r="T3546" s="10" t="s">
        <v>1267</v>
      </c>
      <c r="U3546" s="34" t="str">
        <f t="shared" si="403"/>
        <v/>
      </c>
      <c r="V3546" s="31" t="str">
        <f>IF(H3546="CHK",VLOOKUP(I3546,QCCHK,3,),IF(H3546="GUP",VLOOKUP(E3546,QCGUP,2,),IF(AND(H3546="ATP",OR(I3546="TN",I3546="TDN",I3546="TNO2-3",I3546="NO2-3")),VLOOKUP(E3546,QCREC_N,2,),IF(AND(H3546="NIC",OR(I3546="TN",I3546="TDN",I3546="TNO2-3",I3546="NO2-3")),VLOOKUP(E3546,QCNIC_N,2,),IF(AND(H3546="UREA",OR(I3546="TN",I3546="TDN",I3546="TNO2-3",I3546="NO2-3")),VLOOKUP(E3546,QCUREA_N,2,),IF(H3546="PER",VLOOKUP(I3546,QCPER,MATCH(E3546,QCACTUAL!$J$25:$AA$25,0),),IF(H3546="SPK",VLOOKUP(I3546,QCSPK,3,),IF(AND(H3546="ATP",OR(I3546="TP",I3546="TDP")),VLOOKUP(E3546,QCATP_P,2,),""))))))))</f>
        <v/>
      </c>
      <c r="W3546" s="31" t="str">
        <f t="shared" si="404"/>
        <v>TRUE</v>
      </c>
      <c r="X3546" s="31" t="str">
        <f t="shared" si="401"/>
        <v/>
      </c>
      <c r="Y3546" s="10" t="s">
        <v>1253</v>
      </c>
      <c r="AL3546" s="10" t="str">
        <f t="shared" si="399"/>
        <v>FALSE</v>
      </c>
      <c r="AM3546" s="10" t="str">
        <f t="shared" si="399"/>
        <v>FALSE</v>
      </c>
      <c r="AN3546" s="10" t="str">
        <f t="shared" si="399"/>
        <v>FALSE</v>
      </c>
      <c r="AO3546" s="10" t="str">
        <f t="shared" si="400"/>
        <v>FALSE</v>
      </c>
      <c r="AP3546" s="10" t="str">
        <f t="shared" si="400"/>
        <v>FALSE</v>
      </c>
      <c r="AQ3546" s="10" t="b">
        <f>IF(AND(I3546="TP",S3546&lt;=150),VLOOKUP(AF3546,TPCalibEq150!$AZ$2:$BB$55,3,),IF(AND(I3546="TDP",S3546&lt;=150),VLOOKUP(AF3546,TPCalibEq150!$AZ$2:$BB$55,3,)))</f>
        <v>0</v>
      </c>
      <c r="AR3546" s="10" t="b">
        <f>IF(AND(I3546="TP",S3546&lt;=300),VLOOKUP(AF3546,TPCalibEq300!$AZ$2:$BB$55,3,),IF(AND(I3546="TDP",S3546&lt;=300),VLOOKUP(AF3546,TPCalibEq300!$AZ$2:$BB$55,3,)))</f>
        <v>0</v>
      </c>
      <c r="AS3546" s="10" t="b">
        <f>IF(AND(I3546="TP",S3546&lt;=500),VLOOKUP(AF3546,TPCalibEq500!$AZ$2:$BB$56,3,),IF(AND(I3546="TDP",S3546&lt;=500),VLOOKUP(AF3546,TPCalibEq500!$AZ$2:$BB$56,3,)))</f>
        <v>0</v>
      </c>
      <c r="AT3546" s="10" t="b">
        <f>IF(AND(I3546="TN",S3546&lt;=2800),VLOOKUP(AF3546,TNCalibEq2500!$AZ$2:$BB$56,3,),IF(AND(I3546="TDN",S3546&lt;=2800),VLOOKUP(AF3546,TNCalibEq2500!$AZ$2:$BB$56,3,)))</f>
        <v>0</v>
      </c>
      <c r="AU3546" s="10" t="b">
        <f>IF(I3546="TP",VLOOKUP(AF3546,TPCalibEqFull!$AZ$2:$BB$56,3),IF(I3546="TDP",VLOOKUP(AF3546,TPCalibEqFull!$AZ$2:$BB$56,3),IF(I3546="TDN",VLOOKUP(AF3546,TNCalibEqFull!$AZ$1:$BB$56,3),IF(I3546="TN",VLOOKUP(AF3546,TNCalibEqFull!$AZ$1:$BB$56,3),FALSE))))</f>
        <v>0</v>
      </c>
      <c r="AV3546" s="10" t="str">
        <f t="shared" si="405"/>
        <v>0221 10:13:00-EFL-45-C-1-SW-UKN</v>
      </c>
    </row>
    <row r="3547" spans="1:48" s="10" customFormat="1" x14ac:dyDescent="0.55000000000000004">
      <c r="A3547" s="32">
        <v>44978</v>
      </c>
      <c r="B3547" s="33">
        <v>0.42569444444444443</v>
      </c>
      <c r="C3547" s="10" t="s">
        <v>287</v>
      </c>
      <c r="D3547" s="10">
        <v>45</v>
      </c>
      <c r="E3547" s="10" t="s">
        <v>190</v>
      </c>
      <c r="F3547" s="10">
        <v>1</v>
      </c>
      <c r="G3547" s="10" t="s">
        <v>231</v>
      </c>
      <c r="H3547" s="10" t="s">
        <v>233</v>
      </c>
      <c r="I3547" s="10" t="s">
        <v>285</v>
      </c>
      <c r="J3547" s="10">
        <v>30</v>
      </c>
      <c r="K3547" s="12">
        <v>44980</v>
      </c>
      <c r="L3547" s="33">
        <v>0.5191203703703704</v>
      </c>
      <c r="M3547" s="10">
        <v>1</v>
      </c>
      <c r="N3547" s="10" t="s">
        <v>211</v>
      </c>
      <c r="O3547" s="10">
        <v>0.56699999999999995</v>
      </c>
      <c r="P3547" s="10">
        <v>5.45E-2</v>
      </c>
      <c r="Q3547" s="10">
        <v>99.2</v>
      </c>
      <c r="R3547" s="10" t="s">
        <v>913</v>
      </c>
      <c r="S3547" s="34">
        <f t="shared" si="402"/>
        <v>99.2</v>
      </c>
      <c r="T3547" s="10" t="s">
        <v>1267</v>
      </c>
      <c r="U3547" s="34">
        <f t="shared" si="403"/>
        <v>1.7982017982017955</v>
      </c>
      <c r="V3547" s="31" t="str">
        <f>IF(H3547="CHK",VLOOKUP(I3547,QCCHK,3,),IF(H3547="GUP",VLOOKUP(E3547,QCGUP,2,),IF(AND(H3547="ATP",OR(I3547="TN",I3547="TDN",I3547="TNO2-3",I3547="NO2-3")),VLOOKUP(E3547,QCREC_N,2,),IF(AND(H3547="NIC",OR(I3547="TN",I3547="TDN",I3547="TNO2-3",I3547="NO2-3")),VLOOKUP(E3547,QCNIC_N,2,),IF(AND(H3547="UREA",OR(I3547="TN",I3547="TDN",I3547="TNO2-3",I3547="NO2-3")),VLOOKUP(E3547,QCUREA_N,2,),IF(H3547="PER",VLOOKUP(I3547,QCPER,MATCH(E3547,QCACTUAL!$J$25:$AA$25,0),),IF(H3547="SPK",VLOOKUP(I3547,QCSPK,3,),IF(AND(H3547="ATP",OR(I3547="TP",I3547="TDP")),VLOOKUP(E3547,QCATP_P,2,),""))))))))</f>
        <v/>
      </c>
      <c r="W3547" s="31" t="str">
        <f t="shared" si="404"/>
        <v>TRUE</v>
      </c>
      <c r="X3547" s="31" t="str">
        <f t="shared" si="401"/>
        <v>((ABS(rep1-rep2))/((rep1+rep2)/2)*100</v>
      </c>
      <c r="Y3547" s="10" t="s">
        <v>1253</v>
      </c>
      <c r="AL3547" s="10" t="str">
        <f t="shared" si="399"/>
        <v>FALSE</v>
      </c>
      <c r="AM3547" s="10" t="str">
        <f t="shared" si="399"/>
        <v>FALSE</v>
      </c>
      <c r="AN3547" s="10" t="str">
        <f t="shared" si="399"/>
        <v>FALSE</v>
      </c>
      <c r="AO3547" s="10" t="str">
        <f t="shared" si="400"/>
        <v>FALSE</v>
      </c>
      <c r="AP3547" s="10" t="str">
        <f t="shared" si="400"/>
        <v>FALSE</v>
      </c>
      <c r="AQ3547" s="10" t="b">
        <f>IF(AND(I3547="TP",S3547&lt;=150),VLOOKUP(AF3547,TPCalibEq150!$AZ$2:$BB$55,3,),IF(AND(I3547="TDP",S3547&lt;=150),VLOOKUP(AF3547,TPCalibEq150!$AZ$2:$BB$55,3,)))</f>
        <v>0</v>
      </c>
      <c r="AR3547" s="10" t="b">
        <f>IF(AND(I3547="TP",S3547&lt;=300),VLOOKUP(AF3547,TPCalibEq300!$AZ$2:$BB$55,3,),IF(AND(I3547="TDP",S3547&lt;=300),VLOOKUP(AF3547,TPCalibEq300!$AZ$2:$BB$55,3,)))</f>
        <v>0</v>
      </c>
      <c r="AS3547" s="10" t="b">
        <f>IF(AND(I3547="TP",S3547&lt;=500),VLOOKUP(AF3547,TPCalibEq500!$AZ$2:$BB$56,3,),IF(AND(I3547="TDP",S3547&lt;=500),VLOOKUP(AF3547,TPCalibEq500!$AZ$2:$BB$56,3,)))</f>
        <v>0</v>
      </c>
      <c r="AT3547" s="10" t="b">
        <f>IF(AND(I3547="TN",S3547&lt;=2800),VLOOKUP(AF3547,TNCalibEq2500!$AZ$2:$BB$56,3,),IF(AND(I3547="TDN",S3547&lt;=2800),VLOOKUP(AF3547,TNCalibEq2500!$AZ$2:$BB$56,3,)))</f>
        <v>0</v>
      </c>
      <c r="AU3547" s="10" t="b">
        <f>IF(I3547="TP",VLOOKUP(AF3547,TPCalibEqFull!$AZ$2:$BB$56,3),IF(I3547="TDP",VLOOKUP(AF3547,TPCalibEqFull!$AZ$2:$BB$56,3),IF(I3547="TDN",VLOOKUP(AF3547,TNCalibEqFull!$AZ$1:$BB$56,3),IF(I3547="TN",VLOOKUP(AF3547,TNCalibEqFull!$AZ$1:$BB$56,3),FALSE))))</f>
        <v>0</v>
      </c>
      <c r="AV3547" s="10" t="str">
        <f t="shared" si="405"/>
        <v>0221 10:13:00-EFL-45-C-1-SW-DUP</v>
      </c>
    </row>
    <row r="3548" spans="1:48" s="10" customFormat="1" x14ac:dyDescent="0.55000000000000004">
      <c r="A3548" s="32">
        <v>44978</v>
      </c>
      <c r="B3548" s="33">
        <v>0.42569444444444443</v>
      </c>
      <c r="C3548" s="10" t="s">
        <v>287</v>
      </c>
      <c r="D3548" s="10">
        <v>45</v>
      </c>
      <c r="E3548" s="10" t="s">
        <v>190</v>
      </c>
      <c r="F3548" s="10">
        <v>1</v>
      </c>
      <c r="G3548" s="10" t="s">
        <v>231</v>
      </c>
      <c r="H3548" s="10" t="s">
        <v>314</v>
      </c>
      <c r="I3548" s="10" t="s">
        <v>285</v>
      </c>
      <c r="J3548" s="10">
        <v>84</v>
      </c>
      <c r="K3548" s="12">
        <v>44980</v>
      </c>
      <c r="L3548" s="33">
        <v>0.5199421296296296</v>
      </c>
      <c r="M3548" s="10">
        <v>1</v>
      </c>
      <c r="N3548" s="10" t="s">
        <v>211</v>
      </c>
      <c r="O3548" s="10">
        <v>1.44</v>
      </c>
      <c r="P3548" s="10">
        <v>0.14099999999999999</v>
      </c>
      <c r="Q3548" s="10">
        <v>253</v>
      </c>
      <c r="R3548" s="10" t="s">
        <v>913</v>
      </c>
      <c r="S3548" s="34">
        <f t="shared" si="402"/>
        <v>253</v>
      </c>
      <c r="T3548" s="10" t="s">
        <v>1267</v>
      </c>
      <c r="U3548" s="34">
        <f t="shared" si="403"/>
        <v>98.432000000000002</v>
      </c>
      <c r="V3548" s="31">
        <f>IF(H3548="CHK",VLOOKUP(I3548,QCCHK,3,),IF(H3548="GUP",VLOOKUP(E3548,QCGUP,2,),IF(AND(H3548="ATP",OR(I3548="TN",I3548="TDN",I3548="TNO2-3",I3548="NO2-3")),VLOOKUP(E3548,QCREC_N,2,),IF(AND(H3548="NIC",OR(I3548="TN",I3548="TDN",I3548="TNO2-3",I3548="NO2-3")),VLOOKUP(E3548,QCNIC_N,2,),IF(AND(H3548="UREA",OR(I3548="TN",I3548="TDN",I3548="TNO2-3",I3548="NO2-3")),VLOOKUP(E3548,QCUREA_N,2,),IF(H3548="PER",VLOOKUP(I3548,QCPER,MATCH(E3548,QCACTUAL!$J$25:$AA$25,0),),IF(H3548="SPK",VLOOKUP(I3548,QCSPK,3,),IF(AND(H3548="ATP",OR(I3548="TP",I3548="TDP")),VLOOKUP(E3548,QCATP_P,2,),""))))))))</f>
        <v>156.25</v>
      </c>
      <c r="W3548" s="31" t="str">
        <f t="shared" si="404"/>
        <v>TRUE</v>
      </c>
      <c r="X3548" s="31" t="str">
        <f t="shared" si="401"/>
        <v>([spikedunkn]-[unkn])/[spike]*100</v>
      </c>
      <c r="Y3548" s="10" t="s">
        <v>1253</v>
      </c>
      <c r="AL3548" s="10" t="str">
        <f t="shared" si="399"/>
        <v>FALSE</v>
      </c>
      <c r="AM3548" s="10" t="str">
        <f t="shared" si="399"/>
        <v>FALSE</v>
      </c>
      <c r="AN3548" s="10" t="str">
        <f t="shared" si="399"/>
        <v>FALSE</v>
      </c>
      <c r="AO3548" s="10" t="str">
        <f t="shared" si="400"/>
        <v>FALSE</v>
      </c>
      <c r="AP3548" s="10" t="str">
        <f t="shared" si="400"/>
        <v>FALSE</v>
      </c>
      <c r="AQ3548" s="10" t="b">
        <f>IF(AND(I3548="TP",S3548&lt;=150),VLOOKUP(AF3548,TPCalibEq150!$AZ$2:$BB$55,3,),IF(AND(I3548="TDP",S3548&lt;=150),VLOOKUP(AF3548,TPCalibEq150!$AZ$2:$BB$55,3,)))</f>
        <v>0</v>
      </c>
      <c r="AR3548" s="10" t="b">
        <f>IF(AND(I3548="TP",S3548&lt;=300),VLOOKUP(AF3548,TPCalibEq300!$AZ$2:$BB$55,3,),IF(AND(I3548="TDP",S3548&lt;=300),VLOOKUP(AF3548,TPCalibEq300!$AZ$2:$BB$55,3,)))</f>
        <v>0</v>
      </c>
      <c r="AS3548" s="10" t="b">
        <f>IF(AND(I3548="TP",S3548&lt;=500),VLOOKUP(AF3548,TPCalibEq500!$AZ$2:$BB$56,3,),IF(AND(I3548="TDP",S3548&lt;=500),VLOOKUP(AF3548,TPCalibEq500!$AZ$2:$BB$56,3,)))</f>
        <v>0</v>
      </c>
      <c r="AT3548" s="10" t="b">
        <f>IF(AND(I3548="TN",S3548&lt;=2800),VLOOKUP(AF3548,TNCalibEq2500!$AZ$2:$BB$56,3,),IF(AND(I3548="TDN",S3548&lt;=2800),VLOOKUP(AF3548,TNCalibEq2500!$AZ$2:$BB$56,3,)))</f>
        <v>0</v>
      </c>
      <c r="AU3548" s="10" t="b">
        <f>IF(I3548="TP",VLOOKUP(AF3548,TPCalibEqFull!$AZ$2:$BB$56,3),IF(I3548="TDP",VLOOKUP(AF3548,TPCalibEqFull!$AZ$2:$BB$56,3),IF(I3548="TDN",VLOOKUP(AF3548,TNCalibEqFull!$AZ$1:$BB$56,3),IF(I3548="TN",VLOOKUP(AF3548,TNCalibEqFull!$AZ$1:$BB$56,3),FALSE))))</f>
        <v>0</v>
      </c>
      <c r="AV3548" s="10" t="str">
        <f t="shared" si="405"/>
        <v>0221 10:13:00-EFL-45-C-1-SW-SPK</v>
      </c>
    </row>
    <row r="3549" spans="1:48" s="10" customFormat="1" x14ac:dyDescent="0.55000000000000004">
      <c r="A3549" s="32">
        <v>44979</v>
      </c>
      <c r="B3549" s="33">
        <v>0.375</v>
      </c>
      <c r="C3549" s="10" t="s">
        <v>70</v>
      </c>
      <c r="D3549" s="10" t="s">
        <v>71</v>
      </c>
      <c r="E3549" s="10" t="s">
        <v>901</v>
      </c>
      <c r="F3549" s="10">
        <v>1</v>
      </c>
      <c r="G3549" s="10" t="s">
        <v>73</v>
      </c>
      <c r="H3549" s="10" t="s">
        <v>207</v>
      </c>
      <c r="I3549" s="10" t="s">
        <v>285</v>
      </c>
      <c r="J3549" s="10">
        <v>200</v>
      </c>
      <c r="K3549" s="12">
        <v>44980</v>
      </c>
      <c r="L3549" s="33">
        <v>0.52076388888888892</v>
      </c>
      <c r="M3549" s="10">
        <v>1</v>
      </c>
      <c r="N3549" s="10" t="s">
        <v>211</v>
      </c>
      <c r="O3549" s="10">
        <v>0.43099999999999999</v>
      </c>
      <c r="P3549" s="10">
        <v>4.07E-2</v>
      </c>
      <c r="Q3549" s="10">
        <v>75.2</v>
      </c>
      <c r="R3549" s="10" t="s">
        <v>913</v>
      </c>
      <c r="S3549" s="34">
        <f t="shared" si="402"/>
        <v>75.2</v>
      </c>
      <c r="T3549" s="10" t="s">
        <v>1267</v>
      </c>
      <c r="U3549" s="34">
        <f t="shared" si="403"/>
        <v>100.26666666666667</v>
      </c>
      <c r="V3549" s="31">
        <f>IF(H3549="CHK",VLOOKUP(I3549,QCCHK,3,),IF(H3549="GUP",VLOOKUP(E3549,QCGUP,2,),IF(AND(H3549="ATP",OR(I3549="TN",I3549="TDN",I3549="TNO2-3",I3549="NO2-3")),VLOOKUP(E3549,QCREC_N,2,),IF(AND(H3549="NIC",OR(I3549="TN",I3549="TDN",I3549="TNO2-3",I3549="NO2-3")),VLOOKUP(E3549,QCNIC_N,2,),IF(AND(H3549="UREA",OR(I3549="TN",I3549="TDN",I3549="TNO2-3",I3549="NO2-3")),VLOOKUP(E3549,QCUREA_N,2,),IF(H3549="PER",VLOOKUP(I3549,QCPER,MATCH(E3549,QCACTUAL!$J$25:$AA$25,0),),IF(H3549="SPK",VLOOKUP(I3549,QCSPK,3,),IF(AND(H3549="ATP",OR(I3549="TP",I3549="TDP")),VLOOKUP(E3549,QCATP_P,2,),""))))))))</f>
        <v>75</v>
      </c>
      <c r="W3549" s="31" t="str">
        <f t="shared" si="404"/>
        <v>TRUE</v>
      </c>
      <c r="X3549" s="31" t="str">
        <f t="shared" si="401"/>
        <v>[chk]/[actual]*100</v>
      </c>
      <c r="Y3549" s="10" t="s">
        <v>1253</v>
      </c>
      <c r="AL3549" s="10" t="str">
        <f t="shared" si="399"/>
        <v>FALSE</v>
      </c>
      <c r="AM3549" s="10" t="str">
        <f t="shared" si="399"/>
        <v>FALSE</v>
      </c>
      <c r="AN3549" s="10" t="str">
        <f t="shared" si="399"/>
        <v>FALSE</v>
      </c>
      <c r="AO3549" s="10" t="str">
        <f t="shared" si="400"/>
        <v>FALSE</v>
      </c>
      <c r="AP3549" s="10" t="str">
        <f t="shared" si="400"/>
        <v>FALSE</v>
      </c>
      <c r="AQ3549" s="10" t="b">
        <f>IF(AND(I3549="TP",S3549&lt;=150),VLOOKUP(AF3549,TPCalibEq150!$AZ$2:$BB$55,3,),IF(AND(I3549="TDP",S3549&lt;=150),VLOOKUP(AF3549,TPCalibEq150!$AZ$2:$BB$55,3,)))</f>
        <v>0</v>
      </c>
      <c r="AR3549" s="10" t="b">
        <f>IF(AND(I3549="TP",S3549&lt;=300),VLOOKUP(AF3549,TPCalibEq300!$AZ$2:$BB$55,3,),IF(AND(I3549="TDP",S3549&lt;=300),VLOOKUP(AF3549,TPCalibEq300!$AZ$2:$BB$55,3,)))</f>
        <v>0</v>
      </c>
      <c r="AS3549" s="10" t="b">
        <f>IF(AND(I3549="TP",S3549&lt;=500),VLOOKUP(AF3549,TPCalibEq500!$AZ$2:$BB$56,3,),IF(AND(I3549="TDP",S3549&lt;=500),VLOOKUP(AF3549,TPCalibEq500!$AZ$2:$BB$56,3,)))</f>
        <v>0</v>
      </c>
      <c r="AT3549" s="10" t="b">
        <f>IF(AND(I3549="TN",S3549&lt;=2800),VLOOKUP(AF3549,TNCalibEq2500!$AZ$2:$BB$56,3,),IF(AND(I3549="TDN",S3549&lt;=2800),VLOOKUP(AF3549,TNCalibEq2500!$AZ$2:$BB$56,3,)))</f>
        <v>0</v>
      </c>
      <c r="AU3549" s="10" t="b">
        <f>IF(I3549="TP",VLOOKUP(AF3549,TPCalibEqFull!$AZ$2:$BB$56,3),IF(I3549="TDP",VLOOKUP(AF3549,TPCalibEqFull!$AZ$2:$BB$56,3),IF(I3549="TDN",VLOOKUP(AF3549,TNCalibEqFull!$AZ$1:$BB$56,3),IF(I3549="TN",VLOOKUP(AF3549,TNCalibEqFull!$AZ$1:$BB$56,3),FALSE))))</f>
        <v>0</v>
      </c>
      <c r="AV3549" s="10" t="str">
        <f t="shared" si="405"/>
        <v>0222 09:00:00-QAC-STD-D-1-DI-CHK</v>
      </c>
    </row>
    <row r="3550" spans="1:48" s="10" customFormat="1" x14ac:dyDescent="0.55000000000000004">
      <c r="A3550" s="32">
        <v>44978</v>
      </c>
      <c r="B3550" s="33">
        <v>0.38958333333333334</v>
      </c>
      <c r="C3550" s="10" t="s">
        <v>428</v>
      </c>
      <c r="D3550" s="10">
        <v>0</v>
      </c>
      <c r="E3550" s="10">
        <v>480</v>
      </c>
      <c r="F3550" s="10">
        <v>1</v>
      </c>
      <c r="G3550" s="10" t="s">
        <v>231</v>
      </c>
      <c r="H3550" s="10" t="s">
        <v>322</v>
      </c>
      <c r="I3550" s="10" t="s">
        <v>285</v>
      </c>
      <c r="J3550" s="10">
        <v>31</v>
      </c>
      <c r="K3550" s="12">
        <v>44980</v>
      </c>
      <c r="L3550" s="33">
        <v>0.52158564814814812</v>
      </c>
      <c r="M3550" s="10">
        <v>1</v>
      </c>
      <c r="N3550" s="10" t="s">
        <v>211</v>
      </c>
      <c r="O3550" s="10">
        <v>0.55000000000000004</v>
      </c>
      <c r="P3550" s="10">
        <v>5.2600000000000001E-2</v>
      </c>
      <c r="Q3550" s="10">
        <v>96.1</v>
      </c>
      <c r="R3550" s="10" t="s">
        <v>913</v>
      </c>
      <c r="S3550" s="34">
        <f t="shared" si="402"/>
        <v>96.1</v>
      </c>
      <c r="T3550" s="10" t="s">
        <v>1267</v>
      </c>
      <c r="U3550" s="34" t="str">
        <f t="shared" si="403"/>
        <v/>
      </c>
      <c r="V3550" s="31" t="str">
        <f>IF(H3550="CHK",VLOOKUP(I3550,QCCHK,3,),IF(H3550="GUP",VLOOKUP(E3550,QCGUP,2,),IF(AND(H3550="ATP",OR(I3550="TN",I3550="TDN",I3550="TNO2-3",I3550="NO2-3")),VLOOKUP(E3550,QCREC_N,2,),IF(AND(H3550="NIC",OR(I3550="TN",I3550="TDN",I3550="TNO2-3",I3550="NO2-3")),VLOOKUP(E3550,QCNIC_N,2,),IF(AND(H3550="UREA",OR(I3550="TN",I3550="TDN",I3550="TNO2-3",I3550="NO2-3")),VLOOKUP(E3550,QCUREA_N,2,),IF(H3550="PER",VLOOKUP(I3550,QCPER,MATCH(E3550,QCACTUAL!$J$25:$AA$25,0),),IF(H3550="SPK",VLOOKUP(I3550,QCSPK,3,),IF(AND(H3550="ATP",OR(I3550="TP",I3550="TDP")),VLOOKUP(E3550,QCATP_P,2,),""))))))))</f>
        <v/>
      </c>
      <c r="W3550" s="31" t="str">
        <f t="shared" si="404"/>
        <v>TRUE</v>
      </c>
      <c r="X3550" s="31" t="str">
        <f t="shared" si="401"/>
        <v/>
      </c>
      <c r="Y3550" s="10" t="s">
        <v>1253</v>
      </c>
      <c r="AL3550" s="10" t="str">
        <f t="shared" si="399"/>
        <v>FALSE</v>
      </c>
      <c r="AM3550" s="10" t="str">
        <f t="shared" si="399"/>
        <v>FALSE</v>
      </c>
      <c r="AN3550" s="10" t="str">
        <f t="shared" si="399"/>
        <v>FALSE</v>
      </c>
      <c r="AO3550" s="10" t="str">
        <f t="shared" si="400"/>
        <v>FALSE</v>
      </c>
      <c r="AP3550" s="10" t="str">
        <f t="shared" si="400"/>
        <v>FALSE</v>
      </c>
      <c r="AQ3550" s="10" t="b">
        <f>IF(AND(I3550="TP",S3550&lt;=150),VLOOKUP(AF3550,TPCalibEq150!$AZ$2:$BB$55,3,),IF(AND(I3550="TDP",S3550&lt;=150),VLOOKUP(AF3550,TPCalibEq150!$AZ$2:$BB$55,3,)))</f>
        <v>0</v>
      </c>
      <c r="AR3550" s="10" t="b">
        <f>IF(AND(I3550="TP",S3550&lt;=300),VLOOKUP(AF3550,TPCalibEq300!$AZ$2:$BB$55,3,),IF(AND(I3550="TDP",S3550&lt;=300),VLOOKUP(AF3550,TPCalibEq300!$AZ$2:$BB$55,3,)))</f>
        <v>0</v>
      </c>
      <c r="AS3550" s="10" t="b">
        <f>IF(AND(I3550="TP",S3550&lt;=500),VLOOKUP(AF3550,TPCalibEq500!$AZ$2:$BB$56,3,),IF(AND(I3550="TDP",S3550&lt;=500),VLOOKUP(AF3550,TPCalibEq500!$AZ$2:$BB$56,3,)))</f>
        <v>0</v>
      </c>
      <c r="AT3550" s="10" t="b">
        <f>IF(AND(I3550="TN",S3550&lt;=2800),VLOOKUP(AF3550,TNCalibEq2500!$AZ$2:$BB$56,3,),IF(AND(I3550="TDN",S3550&lt;=2800),VLOOKUP(AF3550,TNCalibEq2500!$AZ$2:$BB$56,3,)))</f>
        <v>0</v>
      </c>
      <c r="AU3550" s="10" t="b">
        <f>IF(I3550="TP",VLOOKUP(AF3550,TPCalibEqFull!$AZ$2:$BB$56,3),IF(I3550="TDP",VLOOKUP(AF3550,TPCalibEqFull!$AZ$2:$BB$56,3),IF(I3550="TDN",VLOOKUP(AF3550,TNCalibEqFull!$AZ$1:$BB$56,3),IF(I3550="TN",VLOOKUP(AF3550,TNCalibEqFull!$AZ$1:$BB$56,3),FALSE))))</f>
        <v>0</v>
      </c>
      <c r="AV3550" s="10" t="str">
        <f t="shared" si="405"/>
        <v>0221 09:21:00-EOF-0-480-1-SW-UKN</v>
      </c>
    </row>
    <row r="3551" spans="1:48" s="10" customFormat="1" x14ac:dyDescent="0.55000000000000004">
      <c r="A3551" s="32">
        <v>44978</v>
      </c>
      <c r="B3551" s="33">
        <v>0.39166666666666666</v>
      </c>
      <c r="C3551" s="10" t="s">
        <v>428</v>
      </c>
      <c r="D3551" s="10">
        <v>5</v>
      </c>
      <c r="E3551" s="10">
        <v>480</v>
      </c>
      <c r="F3551" s="10">
        <v>1</v>
      </c>
      <c r="G3551" s="10" t="s">
        <v>231</v>
      </c>
      <c r="H3551" s="10" t="s">
        <v>322</v>
      </c>
      <c r="I3551" s="10" t="s">
        <v>285</v>
      </c>
      <c r="J3551" s="10">
        <v>32</v>
      </c>
      <c r="K3551" s="12">
        <v>44980</v>
      </c>
      <c r="L3551" s="33">
        <v>0.52240740740740743</v>
      </c>
      <c r="M3551" s="10">
        <v>1</v>
      </c>
      <c r="N3551" s="10" t="s">
        <v>211</v>
      </c>
      <c r="O3551" s="10">
        <v>0.55000000000000004</v>
      </c>
      <c r="P3551" s="10">
        <v>5.2699999999999997E-2</v>
      </c>
      <c r="Q3551" s="10">
        <v>96.2</v>
      </c>
      <c r="R3551" s="10" t="s">
        <v>913</v>
      </c>
      <c r="S3551" s="34">
        <f t="shared" si="402"/>
        <v>96.2</v>
      </c>
      <c r="T3551" s="10" t="s">
        <v>1267</v>
      </c>
      <c r="U3551" s="34" t="str">
        <f t="shared" si="403"/>
        <v/>
      </c>
      <c r="V3551" s="31" t="str">
        <f>IF(H3551="CHK",VLOOKUP(I3551,QCCHK,3,),IF(H3551="GUP",VLOOKUP(E3551,QCGUP,2,),IF(AND(H3551="ATP",OR(I3551="TN",I3551="TDN",I3551="TNO2-3",I3551="NO2-3")),VLOOKUP(E3551,QCREC_N,2,),IF(AND(H3551="NIC",OR(I3551="TN",I3551="TDN",I3551="TNO2-3",I3551="NO2-3")),VLOOKUP(E3551,QCNIC_N,2,),IF(AND(H3551="UREA",OR(I3551="TN",I3551="TDN",I3551="TNO2-3",I3551="NO2-3")),VLOOKUP(E3551,QCUREA_N,2,),IF(H3551="PER",VLOOKUP(I3551,QCPER,MATCH(E3551,QCACTUAL!$J$25:$AA$25,0),),IF(H3551="SPK",VLOOKUP(I3551,QCSPK,3,),IF(AND(H3551="ATP",OR(I3551="TP",I3551="TDP")),VLOOKUP(E3551,QCATP_P,2,),""))))))))</f>
        <v/>
      </c>
      <c r="W3551" s="31" t="str">
        <f t="shared" si="404"/>
        <v>TRUE</v>
      </c>
      <c r="X3551" s="31" t="str">
        <f t="shared" si="401"/>
        <v/>
      </c>
      <c r="Y3551" s="10" t="s">
        <v>1253</v>
      </c>
      <c r="AL3551" s="10" t="str">
        <f t="shared" si="399"/>
        <v>FALSE</v>
      </c>
      <c r="AM3551" s="10" t="str">
        <f t="shared" si="399"/>
        <v>FALSE</v>
      </c>
      <c r="AN3551" s="10" t="str">
        <f t="shared" si="399"/>
        <v>FALSE</v>
      </c>
      <c r="AO3551" s="10" t="str">
        <f t="shared" si="400"/>
        <v>FALSE</v>
      </c>
      <c r="AP3551" s="10" t="str">
        <f t="shared" si="400"/>
        <v>FALSE</v>
      </c>
      <c r="AQ3551" s="10" t="b">
        <f>IF(AND(I3551="TP",S3551&lt;=150),VLOOKUP(AF3551,TPCalibEq150!$AZ$2:$BB$55,3,),IF(AND(I3551="TDP",S3551&lt;=150),VLOOKUP(AF3551,TPCalibEq150!$AZ$2:$BB$55,3,)))</f>
        <v>0</v>
      </c>
      <c r="AR3551" s="10" t="b">
        <f>IF(AND(I3551="TP",S3551&lt;=300),VLOOKUP(AF3551,TPCalibEq300!$AZ$2:$BB$55,3,),IF(AND(I3551="TDP",S3551&lt;=300),VLOOKUP(AF3551,TPCalibEq300!$AZ$2:$BB$55,3,)))</f>
        <v>0</v>
      </c>
      <c r="AS3551" s="10" t="b">
        <f>IF(AND(I3551="TP",S3551&lt;=500),VLOOKUP(AF3551,TPCalibEq500!$AZ$2:$BB$56,3,),IF(AND(I3551="TDP",S3551&lt;=500),VLOOKUP(AF3551,TPCalibEq500!$AZ$2:$BB$56,3,)))</f>
        <v>0</v>
      </c>
      <c r="AT3551" s="10" t="b">
        <f>IF(AND(I3551="TN",S3551&lt;=2800),VLOOKUP(AF3551,TNCalibEq2500!$AZ$2:$BB$56,3,),IF(AND(I3551="TDN",S3551&lt;=2800),VLOOKUP(AF3551,TNCalibEq2500!$AZ$2:$BB$56,3,)))</f>
        <v>0</v>
      </c>
      <c r="AU3551" s="10" t="b">
        <f>IF(I3551="TP",VLOOKUP(AF3551,TPCalibEqFull!$AZ$2:$BB$56,3),IF(I3551="TDP",VLOOKUP(AF3551,TPCalibEqFull!$AZ$2:$BB$56,3),IF(I3551="TDN",VLOOKUP(AF3551,TNCalibEqFull!$AZ$1:$BB$56,3),IF(I3551="TN",VLOOKUP(AF3551,TNCalibEqFull!$AZ$1:$BB$56,3),FALSE))))</f>
        <v>0</v>
      </c>
      <c r="AV3551" s="10" t="str">
        <f t="shared" si="405"/>
        <v>0221 09:24:00-EOF-5-480-1-SW-UKN</v>
      </c>
    </row>
    <row r="3552" spans="1:48" s="10" customFormat="1" x14ac:dyDescent="0.55000000000000004">
      <c r="A3552" s="32">
        <v>44978</v>
      </c>
      <c r="B3552" s="33">
        <v>0.39444444444444443</v>
      </c>
      <c r="C3552" s="10" t="s">
        <v>428</v>
      </c>
      <c r="D3552" s="10">
        <v>10</v>
      </c>
      <c r="E3552" s="10">
        <v>490</v>
      </c>
      <c r="F3552" s="10">
        <v>1</v>
      </c>
      <c r="G3552" s="10" t="s">
        <v>231</v>
      </c>
      <c r="H3552" s="10" t="s">
        <v>322</v>
      </c>
      <c r="I3552" s="10" t="s">
        <v>285</v>
      </c>
      <c r="J3552" s="10">
        <v>33</v>
      </c>
      <c r="K3552" s="12">
        <v>44980</v>
      </c>
      <c r="L3552" s="33">
        <v>0.52324074074074078</v>
      </c>
      <c r="M3552" s="10">
        <v>1</v>
      </c>
      <c r="N3552" s="10" t="s">
        <v>211</v>
      </c>
      <c r="O3552" s="10">
        <v>0.55000000000000004</v>
      </c>
      <c r="P3552" s="10">
        <v>5.2200000000000003E-2</v>
      </c>
      <c r="Q3552" s="10">
        <v>96.2</v>
      </c>
      <c r="R3552" s="10" t="s">
        <v>913</v>
      </c>
      <c r="S3552" s="34">
        <f t="shared" si="402"/>
        <v>96.2</v>
      </c>
      <c r="T3552" s="10" t="s">
        <v>1267</v>
      </c>
      <c r="U3552" s="34" t="str">
        <f t="shared" si="403"/>
        <v/>
      </c>
      <c r="V3552" s="31" t="str">
        <f>IF(H3552="CHK",VLOOKUP(I3552,QCCHK,3,),IF(H3552="GUP",VLOOKUP(E3552,QCGUP,2,),IF(AND(H3552="ATP",OR(I3552="TN",I3552="TDN",I3552="TNO2-3",I3552="NO2-3")),VLOOKUP(E3552,QCREC_N,2,),IF(AND(H3552="NIC",OR(I3552="TN",I3552="TDN",I3552="TNO2-3",I3552="NO2-3")),VLOOKUP(E3552,QCNIC_N,2,),IF(AND(H3552="UREA",OR(I3552="TN",I3552="TDN",I3552="TNO2-3",I3552="NO2-3")),VLOOKUP(E3552,QCUREA_N,2,),IF(H3552="PER",VLOOKUP(I3552,QCPER,MATCH(E3552,QCACTUAL!$J$25:$AA$25,0),),IF(H3552="SPK",VLOOKUP(I3552,QCSPK,3,),IF(AND(H3552="ATP",OR(I3552="TP",I3552="TDP")),VLOOKUP(E3552,QCATP_P,2,),""))))))))</f>
        <v/>
      </c>
      <c r="W3552" s="31" t="str">
        <f t="shared" si="404"/>
        <v>TRUE</v>
      </c>
      <c r="X3552" s="31" t="str">
        <f t="shared" si="401"/>
        <v/>
      </c>
      <c r="Y3552" s="10" t="s">
        <v>1253</v>
      </c>
      <c r="AL3552" s="10" t="str">
        <f t="shared" si="399"/>
        <v>FALSE</v>
      </c>
      <c r="AM3552" s="10" t="str">
        <f t="shared" si="399"/>
        <v>FALSE</v>
      </c>
      <c r="AN3552" s="10" t="str">
        <f t="shared" si="399"/>
        <v>FALSE</v>
      </c>
      <c r="AO3552" s="10" t="str">
        <f t="shared" si="400"/>
        <v>FALSE</v>
      </c>
      <c r="AP3552" s="10" t="str">
        <f t="shared" si="400"/>
        <v>FALSE</v>
      </c>
      <c r="AQ3552" s="10" t="b">
        <f>IF(AND(I3552="TP",S3552&lt;=150),VLOOKUP(AF3552,TPCalibEq150!$AZ$2:$BB$55,3,),IF(AND(I3552="TDP",S3552&lt;=150),VLOOKUP(AF3552,TPCalibEq150!$AZ$2:$BB$55,3,)))</f>
        <v>0</v>
      </c>
      <c r="AR3552" s="10" t="b">
        <f>IF(AND(I3552="TP",S3552&lt;=300),VLOOKUP(AF3552,TPCalibEq300!$AZ$2:$BB$55,3,),IF(AND(I3552="TDP",S3552&lt;=300),VLOOKUP(AF3552,TPCalibEq300!$AZ$2:$BB$55,3,)))</f>
        <v>0</v>
      </c>
      <c r="AS3552" s="10" t="b">
        <f>IF(AND(I3552="TP",S3552&lt;=500),VLOOKUP(AF3552,TPCalibEq500!$AZ$2:$BB$56,3,),IF(AND(I3552="TDP",S3552&lt;=500),VLOOKUP(AF3552,TPCalibEq500!$AZ$2:$BB$56,3,)))</f>
        <v>0</v>
      </c>
      <c r="AT3552" s="10" t="b">
        <f>IF(AND(I3552="TN",S3552&lt;=2800),VLOOKUP(AF3552,TNCalibEq2500!$AZ$2:$BB$56,3,),IF(AND(I3552="TDN",S3552&lt;=2800),VLOOKUP(AF3552,TNCalibEq2500!$AZ$2:$BB$56,3,)))</f>
        <v>0</v>
      </c>
      <c r="AU3552" s="10" t="b">
        <f>IF(I3552="TP",VLOOKUP(AF3552,TPCalibEqFull!$AZ$2:$BB$56,3),IF(I3552="TDP",VLOOKUP(AF3552,TPCalibEqFull!$AZ$2:$BB$56,3),IF(I3552="TDN",VLOOKUP(AF3552,TNCalibEqFull!$AZ$1:$BB$56,3),IF(I3552="TN",VLOOKUP(AF3552,TNCalibEqFull!$AZ$1:$BB$56,3),FALSE))))</f>
        <v>0</v>
      </c>
      <c r="AV3552" s="10" t="str">
        <f t="shared" si="405"/>
        <v>0221 09:28:00-EOF-10-490-1-SW-UKN</v>
      </c>
    </row>
    <row r="3553" spans="1:48" s="10" customFormat="1" x14ac:dyDescent="0.55000000000000004">
      <c r="A3553" s="32">
        <v>44978</v>
      </c>
      <c r="B3553" s="33">
        <v>0.39652777777777781</v>
      </c>
      <c r="C3553" s="10" t="s">
        <v>428</v>
      </c>
      <c r="D3553" s="10">
        <v>20</v>
      </c>
      <c r="E3553" s="10" t="s">
        <v>190</v>
      </c>
      <c r="F3553" s="10">
        <v>1</v>
      </c>
      <c r="G3553" s="10" t="s">
        <v>231</v>
      </c>
      <c r="H3553" s="10" t="s">
        <v>322</v>
      </c>
      <c r="I3553" s="10" t="s">
        <v>285</v>
      </c>
      <c r="J3553" s="10">
        <v>34</v>
      </c>
      <c r="K3553" s="12">
        <v>44980</v>
      </c>
      <c r="L3553" s="33">
        <v>0.52405092592592595</v>
      </c>
      <c r="M3553" s="10">
        <v>1</v>
      </c>
      <c r="N3553" s="10" t="s">
        <v>211</v>
      </c>
      <c r="O3553" s="10">
        <v>0.55400000000000005</v>
      </c>
      <c r="P3553" s="10">
        <v>5.2999999999999999E-2</v>
      </c>
      <c r="Q3553" s="10">
        <v>96.8</v>
      </c>
      <c r="R3553" s="10" t="s">
        <v>913</v>
      </c>
      <c r="S3553" s="34">
        <f t="shared" si="402"/>
        <v>96.8</v>
      </c>
      <c r="T3553" s="10" t="s">
        <v>1267</v>
      </c>
      <c r="U3553" s="34" t="str">
        <f t="shared" si="403"/>
        <v/>
      </c>
      <c r="V3553" s="31" t="str">
        <f>IF(H3553="CHK",VLOOKUP(I3553,QCCHK,3,),IF(H3553="GUP",VLOOKUP(E3553,QCGUP,2,),IF(AND(H3553="ATP",OR(I3553="TN",I3553="TDN",I3553="TNO2-3",I3553="NO2-3")),VLOOKUP(E3553,QCREC_N,2,),IF(AND(H3553="NIC",OR(I3553="TN",I3553="TDN",I3553="TNO2-3",I3553="NO2-3")),VLOOKUP(E3553,QCNIC_N,2,),IF(AND(H3553="UREA",OR(I3553="TN",I3553="TDN",I3553="TNO2-3",I3553="NO2-3")),VLOOKUP(E3553,QCUREA_N,2,),IF(H3553="PER",VLOOKUP(I3553,QCPER,MATCH(E3553,QCACTUAL!$J$25:$AA$25,0),),IF(H3553="SPK",VLOOKUP(I3553,QCSPK,3,),IF(AND(H3553="ATP",OR(I3553="TP",I3553="TDP")),VLOOKUP(E3553,QCATP_P,2,),""))))))))</f>
        <v/>
      </c>
      <c r="W3553" s="31" t="str">
        <f t="shared" si="404"/>
        <v>TRUE</v>
      </c>
      <c r="X3553" s="31" t="str">
        <f t="shared" si="401"/>
        <v/>
      </c>
      <c r="Y3553" s="10" t="s">
        <v>1253</v>
      </c>
      <c r="AL3553" s="10" t="str">
        <f t="shared" si="399"/>
        <v>FALSE</v>
      </c>
      <c r="AM3553" s="10" t="str">
        <f t="shared" si="399"/>
        <v>FALSE</v>
      </c>
      <c r="AN3553" s="10" t="str">
        <f t="shared" si="399"/>
        <v>FALSE</v>
      </c>
      <c r="AO3553" s="10" t="str">
        <f t="shared" si="400"/>
        <v>FALSE</v>
      </c>
      <c r="AP3553" s="10" t="str">
        <f t="shared" si="400"/>
        <v>FALSE</v>
      </c>
      <c r="AQ3553" s="10" t="b">
        <f>IF(AND(I3553="TP",S3553&lt;=150),VLOOKUP(AF3553,TPCalibEq150!$AZ$2:$BB$55,3,),IF(AND(I3553="TDP",S3553&lt;=150),VLOOKUP(AF3553,TPCalibEq150!$AZ$2:$BB$55,3,)))</f>
        <v>0</v>
      </c>
      <c r="AR3553" s="10" t="b">
        <f>IF(AND(I3553="TP",S3553&lt;=300),VLOOKUP(AF3553,TPCalibEq300!$AZ$2:$BB$55,3,),IF(AND(I3553="TDP",S3553&lt;=300),VLOOKUP(AF3553,TPCalibEq300!$AZ$2:$BB$55,3,)))</f>
        <v>0</v>
      </c>
      <c r="AS3553" s="10" t="b">
        <f>IF(AND(I3553="TP",S3553&lt;=500),VLOOKUP(AF3553,TPCalibEq500!$AZ$2:$BB$56,3,),IF(AND(I3553="TDP",S3553&lt;=500),VLOOKUP(AF3553,TPCalibEq500!$AZ$2:$BB$56,3,)))</f>
        <v>0</v>
      </c>
      <c r="AT3553" s="10" t="b">
        <f>IF(AND(I3553="TN",S3553&lt;=2800),VLOOKUP(AF3553,TNCalibEq2500!$AZ$2:$BB$56,3,),IF(AND(I3553="TDN",S3553&lt;=2800),VLOOKUP(AF3553,TNCalibEq2500!$AZ$2:$BB$56,3,)))</f>
        <v>0</v>
      </c>
      <c r="AU3553" s="10" t="b">
        <f>IF(I3553="TP",VLOOKUP(AF3553,TPCalibEqFull!$AZ$2:$BB$56,3),IF(I3553="TDP",VLOOKUP(AF3553,TPCalibEqFull!$AZ$2:$BB$56,3),IF(I3553="TDN",VLOOKUP(AF3553,TNCalibEqFull!$AZ$1:$BB$56,3),IF(I3553="TN",VLOOKUP(AF3553,TNCalibEqFull!$AZ$1:$BB$56,3),FALSE))))</f>
        <v>0</v>
      </c>
      <c r="AV3553" s="10" t="str">
        <f t="shared" si="405"/>
        <v>0221 09:31:00-EOF-20-C-1-SW-UKN</v>
      </c>
    </row>
    <row r="3554" spans="1:48" s="10" customFormat="1" x14ac:dyDescent="0.55000000000000004">
      <c r="A3554" s="32">
        <v>44978</v>
      </c>
      <c r="B3554" s="33">
        <v>0.40347222222222223</v>
      </c>
      <c r="C3554" s="10" t="s">
        <v>428</v>
      </c>
      <c r="D3554" s="10">
        <v>97</v>
      </c>
      <c r="E3554" s="10" t="s">
        <v>190</v>
      </c>
      <c r="F3554" s="10">
        <v>1</v>
      </c>
      <c r="G3554" s="10" t="s">
        <v>231</v>
      </c>
      <c r="H3554" s="10" t="s">
        <v>322</v>
      </c>
      <c r="I3554" s="10" t="s">
        <v>285</v>
      </c>
      <c r="J3554" s="10">
        <v>35</v>
      </c>
      <c r="K3554" s="12">
        <v>44980</v>
      </c>
      <c r="L3554" s="33">
        <v>0.52487268518518515</v>
      </c>
      <c r="M3554" s="10">
        <v>1</v>
      </c>
      <c r="N3554" s="10" t="s">
        <v>211</v>
      </c>
      <c r="O3554" s="10">
        <v>0.51900000000000002</v>
      </c>
      <c r="P3554" s="10">
        <v>4.9099999999999998E-2</v>
      </c>
      <c r="Q3554" s="10">
        <v>90.8</v>
      </c>
      <c r="R3554" s="10" t="s">
        <v>913</v>
      </c>
      <c r="S3554" s="34">
        <f t="shared" si="402"/>
        <v>90.8</v>
      </c>
      <c r="T3554" s="10" t="s">
        <v>1267</v>
      </c>
      <c r="U3554" s="34" t="str">
        <f t="shared" si="403"/>
        <v/>
      </c>
      <c r="V3554" s="31" t="str">
        <f>IF(H3554="CHK",VLOOKUP(I3554,QCCHK,3,),IF(H3554="GUP",VLOOKUP(E3554,QCGUP,2,),IF(AND(H3554="ATP",OR(I3554="TN",I3554="TDN",I3554="TNO2-3",I3554="NO2-3")),VLOOKUP(E3554,QCREC_N,2,),IF(AND(H3554="NIC",OR(I3554="TN",I3554="TDN",I3554="TNO2-3",I3554="NO2-3")),VLOOKUP(E3554,QCNIC_N,2,),IF(AND(H3554="UREA",OR(I3554="TN",I3554="TDN",I3554="TNO2-3",I3554="NO2-3")),VLOOKUP(E3554,QCUREA_N,2,),IF(H3554="PER",VLOOKUP(I3554,QCPER,MATCH(E3554,QCACTUAL!$J$25:$AA$25,0),),IF(H3554="SPK",VLOOKUP(I3554,QCSPK,3,),IF(AND(H3554="ATP",OR(I3554="TP",I3554="TDP")),VLOOKUP(E3554,QCATP_P,2,),""))))))))</f>
        <v/>
      </c>
      <c r="W3554" s="31" t="str">
        <f t="shared" si="404"/>
        <v>TRUE</v>
      </c>
      <c r="X3554" s="31" t="str">
        <f t="shared" si="401"/>
        <v/>
      </c>
      <c r="Y3554" s="10" t="s">
        <v>1253</v>
      </c>
      <c r="AL3554" s="10" t="str">
        <f t="shared" si="399"/>
        <v>FALSE</v>
      </c>
      <c r="AM3554" s="10" t="str">
        <f t="shared" si="399"/>
        <v>FALSE</v>
      </c>
      <c r="AN3554" s="10" t="str">
        <f t="shared" si="399"/>
        <v>FALSE</v>
      </c>
      <c r="AO3554" s="10" t="str">
        <f t="shared" si="400"/>
        <v>FALSE</v>
      </c>
      <c r="AP3554" s="10" t="str">
        <f t="shared" si="400"/>
        <v>FALSE</v>
      </c>
      <c r="AQ3554" s="10" t="b">
        <f>IF(AND(I3554="TP",S3554&lt;=150),VLOOKUP(AF3554,TPCalibEq150!$AZ$2:$BB$55,3,),IF(AND(I3554="TDP",S3554&lt;=150),VLOOKUP(AF3554,TPCalibEq150!$AZ$2:$BB$55,3,)))</f>
        <v>0</v>
      </c>
      <c r="AR3554" s="10" t="b">
        <f>IF(AND(I3554="TP",S3554&lt;=300),VLOOKUP(AF3554,TPCalibEq300!$AZ$2:$BB$55,3,),IF(AND(I3554="TDP",S3554&lt;=300),VLOOKUP(AF3554,TPCalibEq300!$AZ$2:$BB$55,3,)))</f>
        <v>0</v>
      </c>
      <c r="AS3554" s="10" t="b">
        <f>IF(AND(I3554="TP",S3554&lt;=500),VLOOKUP(AF3554,TPCalibEq500!$AZ$2:$BB$56,3,),IF(AND(I3554="TDP",S3554&lt;=500),VLOOKUP(AF3554,TPCalibEq500!$AZ$2:$BB$56,3,)))</f>
        <v>0</v>
      </c>
      <c r="AT3554" s="10" t="b">
        <f>IF(AND(I3554="TN",S3554&lt;=2800),VLOOKUP(AF3554,TNCalibEq2500!$AZ$2:$BB$56,3,),IF(AND(I3554="TDN",S3554&lt;=2800),VLOOKUP(AF3554,TNCalibEq2500!$AZ$2:$BB$56,3,)))</f>
        <v>0</v>
      </c>
      <c r="AU3554" s="10" t="b">
        <f>IF(I3554="TP",VLOOKUP(AF3554,TPCalibEqFull!$AZ$2:$BB$56,3),IF(I3554="TDP",VLOOKUP(AF3554,TPCalibEqFull!$AZ$2:$BB$56,3),IF(I3554="TDN",VLOOKUP(AF3554,TNCalibEqFull!$AZ$1:$BB$56,3),IF(I3554="TN",VLOOKUP(AF3554,TNCalibEqFull!$AZ$1:$BB$56,3),FALSE))))</f>
        <v>0</v>
      </c>
      <c r="AV3554" s="10" t="str">
        <f t="shared" si="405"/>
        <v>0221 09:41:00-EOF-97-C-1-SW-UKN</v>
      </c>
    </row>
    <row r="3555" spans="1:48" s="10" customFormat="1" x14ac:dyDescent="0.55000000000000004">
      <c r="A3555" s="32">
        <v>44978</v>
      </c>
      <c r="B3555" s="33">
        <v>0.43124999999999997</v>
      </c>
      <c r="C3555" s="10" t="s">
        <v>611</v>
      </c>
      <c r="D3555" s="10">
        <v>0</v>
      </c>
      <c r="E3555" s="10">
        <v>260</v>
      </c>
      <c r="F3555" s="10">
        <v>1</v>
      </c>
      <c r="G3555" s="10" t="s">
        <v>231</v>
      </c>
      <c r="H3555" s="10" t="s">
        <v>322</v>
      </c>
      <c r="I3555" s="10" t="s">
        <v>285</v>
      </c>
      <c r="J3555" s="10">
        <v>36</v>
      </c>
      <c r="K3555" s="12">
        <v>44980</v>
      </c>
      <c r="L3555" s="33">
        <v>0.52569444444444446</v>
      </c>
      <c r="M3555" s="10">
        <v>1</v>
      </c>
      <c r="N3555" s="10" t="s">
        <v>211</v>
      </c>
      <c r="O3555" s="10">
        <v>0.58799999999999997</v>
      </c>
      <c r="P3555" s="10">
        <v>5.6599999999999998E-2</v>
      </c>
      <c r="Q3555" s="10">
        <v>103</v>
      </c>
      <c r="R3555" s="10" t="s">
        <v>913</v>
      </c>
      <c r="S3555" s="34">
        <f t="shared" si="402"/>
        <v>103</v>
      </c>
      <c r="T3555" s="10" t="s">
        <v>1267</v>
      </c>
      <c r="U3555" s="34" t="str">
        <f t="shared" si="403"/>
        <v/>
      </c>
      <c r="V3555" s="31" t="str">
        <f>IF(H3555="CHK",VLOOKUP(I3555,QCCHK,3,),IF(H3555="GUP",VLOOKUP(E3555,QCGUP,2,),IF(AND(H3555="ATP",OR(I3555="TN",I3555="TDN",I3555="TNO2-3",I3555="NO2-3")),VLOOKUP(E3555,QCREC_N,2,),IF(AND(H3555="NIC",OR(I3555="TN",I3555="TDN",I3555="TNO2-3",I3555="NO2-3")),VLOOKUP(E3555,QCNIC_N,2,),IF(AND(H3555="UREA",OR(I3555="TN",I3555="TDN",I3555="TNO2-3",I3555="NO2-3")),VLOOKUP(E3555,QCUREA_N,2,),IF(H3555="PER",VLOOKUP(I3555,QCPER,MATCH(E3555,QCACTUAL!$J$25:$AA$25,0),),IF(H3555="SPK",VLOOKUP(I3555,QCSPK,3,),IF(AND(H3555="ATP",OR(I3555="TP",I3555="TDP")),VLOOKUP(E3555,QCATP_P,2,),""))))))))</f>
        <v/>
      </c>
      <c r="W3555" s="31" t="str">
        <f t="shared" si="404"/>
        <v>TRUE</v>
      </c>
      <c r="X3555" s="31" t="str">
        <f t="shared" si="401"/>
        <v/>
      </c>
      <c r="Y3555" s="10" t="s">
        <v>1253</v>
      </c>
      <c r="AL3555" s="10" t="str">
        <f t="shared" si="399"/>
        <v>FALSE</v>
      </c>
      <c r="AM3555" s="10" t="str">
        <f t="shared" si="399"/>
        <v>FALSE</v>
      </c>
      <c r="AN3555" s="10" t="str">
        <f t="shared" si="399"/>
        <v>FALSE</v>
      </c>
      <c r="AO3555" s="10" t="str">
        <f t="shared" si="400"/>
        <v>FALSE</v>
      </c>
      <c r="AP3555" s="10" t="str">
        <f t="shared" si="400"/>
        <v>FALSE</v>
      </c>
      <c r="AQ3555" s="10" t="b">
        <f>IF(AND(I3555="TP",S3555&lt;=150),VLOOKUP(AF3555,TPCalibEq150!$AZ$2:$BB$55,3,),IF(AND(I3555="TDP",S3555&lt;=150),VLOOKUP(AF3555,TPCalibEq150!$AZ$2:$BB$55,3,)))</f>
        <v>0</v>
      </c>
      <c r="AR3555" s="10" t="b">
        <f>IF(AND(I3555="TP",S3555&lt;=300),VLOOKUP(AF3555,TPCalibEq300!$AZ$2:$BB$55,3,),IF(AND(I3555="TDP",S3555&lt;=300),VLOOKUP(AF3555,TPCalibEq300!$AZ$2:$BB$55,3,)))</f>
        <v>0</v>
      </c>
      <c r="AS3555" s="10" t="b">
        <f>IF(AND(I3555="TP",S3555&lt;=500),VLOOKUP(AF3555,TPCalibEq500!$AZ$2:$BB$56,3,),IF(AND(I3555="TDP",S3555&lt;=500),VLOOKUP(AF3555,TPCalibEq500!$AZ$2:$BB$56,3,)))</f>
        <v>0</v>
      </c>
      <c r="AT3555" s="10" t="b">
        <f>IF(AND(I3555="TN",S3555&lt;=2800),VLOOKUP(AF3555,TNCalibEq2500!$AZ$2:$BB$56,3,),IF(AND(I3555="TDN",S3555&lt;=2800),VLOOKUP(AF3555,TNCalibEq2500!$AZ$2:$BB$56,3,)))</f>
        <v>0</v>
      </c>
      <c r="AU3555" s="10" t="b">
        <f>IF(I3555="TP",VLOOKUP(AF3555,TPCalibEqFull!$AZ$2:$BB$56,3),IF(I3555="TDP",VLOOKUP(AF3555,TPCalibEqFull!$AZ$2:$BB$56,3),IF(I3555="TDN",VLOOKUP(AF3555,TNCalibEqFull!$AZ$1:$BB$56,3),IF(I3555="TN",VLOOKUP(AF3555,TNCalibEqFull!$AZ$1:$BB$56,3),FALSE))))</f>
        <v>0</v>
      </c>
      <c r="AV3555" s="10" t="str">
        <f t="shared" si="405"/>
        <v>0221 10:21:00-BUO-0-260-1-SW-UKN</v>
      </c>
    </row>
    <row r="3556" spans="1:48" s="10" customFormat="1" x14ac:dyDescent="0.55000000000000004">
      <c r="A3556" s="32">
        <v>44978</v>
      </c>
      <c r="B3556" s="33">
        <v>0.43472222222222223</v>
      </c>
      <c r="C3556" s="10" t="s">
        <v>611</v>
      </c>
      <c r="D3556" s="10">
        <v>5</v>
      </c>
      <c r="E3556" s="10">
        <v>260</v>
      </c>
      <c r="F3556" s="10">
        <v>1</v>
      </c>
      <c r="G3556" s="10" t="s">
        <v>231</v>
      </c>
      <c r="H3556" s="10" t="s">
        <v>322</v>
      </c>
      <c r="I3556" s="10" t="s">
        <v>285</v>
      </c>
      <c r="J3556" s="10">
        <v>37</v>
      </c>
      <c r="K3556" s="12">
        <v>44980</v>
      </c>
      <c r="L3556" s="33">
        <v>0.52650462962962963</v>
      </c>
      <c r="M3556" s="10">
        <v>1</v>
      </c>
      <c r="N3556" s="10" t="s">
        <v>211</v>
      </c>
      <c r="O3556" s="10">
        <v>0.58699999999999997</v>
      </c>
      <c r="P3556" s="10">
        <v>5.62E-2</v>
      </c>
      <c r="Q3556" s="10">
        <v>103</v>
      </c>
      <c r="R3556" s="10" t="s">
        <v>913</v>
      </c>
      <c r="S3556" s="34">
        <f t="shared" si="402"/>
        <v>103</v>
      </c>
      <c r="T3556" s="10" t="s">
        <v>1267</v>
      </c>
      <c r="U3556" s="34" t="str">
        <f t="shared" si="403"/>
        <v/>
      </c>
      <c r="V3556" s="31" t="str">
        <f>IF(H3556="CHK",VLOOKUP(I3556,QCCHK,3,),IF(H3556="GUP",VLOOKUP(E3556,QCGUP,2,),IF(AND(H3556="ATP",OR(I3556="TN",I3556="TDN",I3556="TNO2-3",I3556="NO2-3")),VLOOKUP(E3556,QCREC_N,2,),IF(AND(H3556="NIC",OR(I3556="TN",I3556="TDN",I3556="TNO2-3",I3556="NO2-3")),VLOOKUP(E3556,QCNIC_N,2,),IF(AND(H3556="UREA",OR(I3556="TN",I3556="TDN",I3556="TNO2-3",I3556="NO2-3")),VLOOKUP(E3556,QCUREA_N,2,),IF(H3556="PER",VLOOKUP(I3556,QCPER,MATCH(E3556,QCACTUAL!$J$25:$AA$25,0),),IF(H3556="SPK",VLOOKUP(I3556,QCSPK,3,),IF(AND(H3556="ATP",OR(I3556="TP",I3556="TDP")),VLOOKUP(E3556,QCATP_P,2,),""))))))))</f>
        <v/>
      </c>
      <c r="W3556" s="31" t="str">
        <f t="shared" si="404"/>
        <v>TRUE</v>
      </c>
      <c r="X3556" s="31" t="str">
        <f t="shared" si="401"/>
        <v/>
      </c>
      <c r="Y3556" s="10" t="s">
        <v>1253</v>
      </c>
      <c r="AL3556" s="10" t="str">
        <f t="shared" si="399"/>
        <v>FALSE</v>
      </c>
      <c r="AM3556" s="10" t="str">
        <f t="shared" si="399"/>
        <v>FALSE</v>
      </c>
      <c r="AN3556" s="10" t="str">
        <f t="shared" si="399"/>
        <v>FALSE</v>
      </c>
      <c r="AO3556" s="10" t="str">
        <f t="shared" si="400"/>
        <v>FALSE</v>
      </c>
      <c r="AP3556" s="10" t="str">
        <f t="shared" si="400"/>
        <v>FALSE</v>
      </c>
      <c r="AQ3556" s="10" t="b">
        <f>IF(AND(I3556="TP",S3556&lt;=150),VLOOKUP(AF3556,TPCalibEq150!$AZ$2:$BB$55,3,),IF(AND(I3556="TDP",S3556&lt;=150),VLOOKUP(AF3556,TPCalibEq150!$AZ$2:$BB$55,3,)))</f>
        <v>0</v>
      </c>
      <c r="AR3556" s="10" t="b">
        <f>IF(AND(I3556="TP",S3556&lt;=300),VLOOKUP(AF3556,TPCalibEq300!$AZ$2:$BB$55,3,),IF(AND(I3556="TDP",S3556&lt;=300),VLOOKUP(AF3556,TPCalibEq300!$AZ$2:$BB$55,3,)))</f>
        <v>0</v>
      </c>
      <c r="AS3556" s="10" t="b">
        <f>IF(AND(I3556="TP",S3556&lt;=500),VLOOKUP(AF3556,TPCalibEq500!$AZ$2:$BB$56,3,),IF(AND(I3556="TDP",S3556&lt;=500),VLOOKUP(AF3556,TPCalibEq500!$AZ$2:$BB$56,3,)))</f>
        <v>0</v>
      </c>
      <c r="AT3556" s="10" t="b">
        <f>IF(AND(I3556="TN",S3556&lt;=2800),VLOOKUP(AF3556,TNCalibEq2500!$AZ$2:$BB$56,3,),IF(AND(I3556="TDN",S3556&lt;=2800),VLOOKUP(AF3556,TNCalibEq2500!$AZ$2:$BB$56,3,)))</f>
        <v>0</v>
      </c>
      <c r="AU3556" s="10" t="b">
        <f>IF(I3556="TP",VLOOKUP(AF3556,TPCalibEqFull!$AZ$2:$BB$56,3),IF(I3556="TDP",VLOOKUP(AF3556,TPCalibEqFull!$AZ$2:$BB$56,3),IF(I3556="TDN",VLOOKUP(AF3556,TNCalibEqFull!$AZ$1:$BB$56,3),IF(I3556="TN",VLOOKUP(AF3556,TNCalibEqFull!$AZ$1:$BB$56,3),FALSE))))</f>
        <v>0</v>
      </c>
      <c r="AV3556" s="10" t="str">
        <f t="shared" si="405"/>
        <v>0221 10:26:00-BUO-5-260-1-SW-UKN</v>
      </c>
    </row>
    <row r="3557" spans="1:48" s="10" customFormat="1" x14ac:dyDescent="0.55000000000000004">
      <c r="A3557" s="32">
        <v>44978</v>
      </c>
      <c r="B3557" s="33">
        <v>0.4368055555555555</v>
      </c>
      <c r="C3557" s="10" t="s">
        <v>611</v>
      </c>
      <c r="D3557" s="10">
        <v>10</v>
      </c>
      <c r="E3557" s="10">
        <v>230</v>
      </c>
      <c r="F3557" s="10">
        <v>1</v>
      </c>
      <c r="G3557" s="10" t="s">
        <v>231</v>
      </c>
      <c r="H3557" s="10" t="s">
        <v>322</v>
      </c>
      <c r="I3557" s="10" t="s">
        <v>285</v>
      </c>
      <c r="J3557" s="10">
        <v>38</v>
      </c>
      <c r="K3557" s="12">
        <v>44980</v>
      </c>
      <c r="L3557" s="33">
        <v>0.52732638888888894</v>
      </c>
      <c r="M3557" s="10">
        <v>1</v>
      </c>
      <c r="N3557" s="10" t="s">
        <v>211</v>
      </c>
      <c r="O3557" s="10">
        <v>0.64200000000000002</v>
      </c>
      <c r="P3557" s="10">
        <v>6.1600000000000002E-2</v>
      </c>
      <c r="Q3557" s="10">
        <v>112</v>
      </c>
      <c r="R3557" s="10" t="s">
        <v>913</v>
      </c>
      <c r="S3557" s="34">
        <f t="shared" si="402"/>
        <v>112</v>
      </c>
      <c r="T3557" s="10" t="s">
        <v>1267</v>
      </c>
      <c r="U3557" s="34" t="str">
        <f t="shared" si="403"/>
        <v/>
      </c>
      <c r="V3557" s="31" t="str">
        <f>IF(H3557="CHK",VLOOKUP(I3557,QCCHK,3,),IF(H3557="GUP",VLOOKUP(E3557,QCGUP,2,),IF(AND(H3557="ATP",OR(I3557="TN",I3557="TDN",I3557="TNO2-3",I3557="NO2-3")),VLOOKUP(E3557,QCREC_N,2,),IF(AND(H3557="NIC",OR(I3557="TN",I3557="TDN",I3557="TNO2-3",I3557="NO2-3")),VLOOKUP(E3557,QCNIC_N,2,),IF(AND(H3557="UREA",OR(I3557="TN",I3557="TDN",I3557="TNO2-3",I3557="NO2-3")),VLOOKUP(E3557,QCUREA_N,2,),IF(H3557="PER",VLOOKUP(I3557,QCPER,MATCH(E3557,QCACTUAL!$J$25:$AA$25,0),),IF(H3557="SPK",VLOOKUP(I3557,QCSPK,3,),IF(AND(H3557="ATP",OR(I3557="TP",I3557="TDP")),VLOOKUP(E3557,QCATP_P,2,),""))))))))</f>
        <v/>
      </c>
      <c r="W3557" s="31" t="str">
        <f t="shared" si="404"/>
        <v>TRUE</v>
      </c>
      <c r="X3557" s="31" t="str">
        <f t="shared" si="401"/>
        <v/>
      </c>
      <c r="Y3557" s="10" t="s">
        <v>1253</v>
      </c>
      <c r="AL3557" s="10" t="str">
        <f t="shared" si="399"/>
        <v>FALSE</v>
      </c>
      <c r="AM3557" s="10" t="str">
        <f t="shared" si="399"/>
        <v>FALSE</v>
      </c>
      <c r="AN3557" s="10" t="str">
        <f t="shared" si="399"/>
        <v>FALSE</v>
      </c>
      <c r="AO3557" s="10" t="str">
        <f t="shared" si="400"/>
        <v>FALSE</v>
      </c>
      <c r="AP3557" s="10" t="str">
        <f t="shared" si="400"/>
        <v>FALSE</v>
      </c>
      <c r="AQ3557" s="10" t="b">
        <f>IF(AND(I3557="TP",S3557&lt;=150),VLOOKUP(AF3557,TPCalibEq150!$AZ$2:$BB$55,3,),IF(AND(I3557="TDP",S3557&lt;=150),VLOOKUP(AF3557,TPCalibEq150!$AZ$2:$BB$55,3,)))</f>
        <v>0</v>
      </c>
      <c r="AR3557" s="10" t="b">
        <f>IF(AND(I3557="TP",S3557&lt;=300),VLOOKUP(AF3557,TPCalibEq300!$AZ$2:$BB$55,3,),IF(AND(I3557="TDP",S3557&lt;=300),VLOOKUP(AF3557,TPCalibEq300!$AZ$2:$BB$55,3,)))</f>
        <v>0</v>
      </c>
      <c r="AS3557" s="10" t="b">
        <f>IF(AND(I3557="TP",S3557&lt;=500),VLOOKUP(AF3557,TPCalibEq500!$AZ$2:$BB$56,3,),IF(AND(I3557="TDP",S3557&lt;=500),VLOOKUP(AF3557,TPCalibEq500!$AZ$2:$BB$56,3,)))</f>
        <v>0</v>
      </c>
      <c r="AT3557" s="10" t="b">
        <f>IF(AND(I3557="TN",S3557&lt;=2800),VLOOKUP(AF3557,TNCalibEq2500!$AZ$2:$BB$56,3,),IF(AND(I3557="TDN",S3557&lt;=2800),VLOOKUP(AF3557,TNCalibEq2500!$AZ$2:$BB$56,3,)))</f>
        <v>0</v>
      </c>
      <c r="AU3557" s="10" t="b">
        <f>IF(I3557="TP",VLOOKUP(AF3557,TPCalibEqFull!$AZ$2:$BB$56,3),IF(I3557="TDP",VLOOKUP(AF3557,TPCalibEqFull!$AZ$2:$BB$56,3),IF(I3557="TDN",VLOOKUP(AF3557,TNCalibEqFull!$AZ$1:$BB$56,3),IF(I3557="TN",VLOOKUP(AF3557,TNCalibEqFull!$AZ$1:$BB$56,3),FALSE))))</f>
        <v>0</v>
      </c>
      <c r="AV3557" s="10" t="str">
        <f t="shared" si="405"/>
        <v>0221 10:29:00-BUO-10-230-1-SW-UKN</v>
      </c>
    </row>
    <row r="3558" spans="1:48" s="10" customFormat="1" x14ac:dyDescent="0.55000000000000004">
      <c r="A3558" s="32">
        <v>44978</v>
      </c>
      <c r="B3558" s="33">
        <v>0.43958333333333338</v>
      </c>
      <c r="C3558" s="10" t="s">
        <v>611</v>
      </c>
      <c r="D3558" s="10">
        <v>20</v>
      </c>
      <c r="E3558" s="10" t="s">
        <v>190</v>
      </c>
      <c r="F3558" s="10">
        <v>1</v>
      </c>
      <c r="G3558" s="10" t="s">
        <v>231</v>
      </c>
      <c r="H3558" s="10" t="s">
        <v>322</v>
      </c>
      <c r="I3558" s="10" t="s">
        <v>285</v>
      </c>
      <c r="J3558" s="10">
        <v>39</v>
      </c>
      <c r="K3558" s="12">
        <v>44980</v>
      </c>
      <c r="L3558" s="33">
        <v>0.52813657407407411</v>
      </c>
      <c r="M3558" s="10">
        <v>1</v>
      </c>
      <c r="N3558" s="10" t="s">
        <v>211</v>
      </c>
      <c r="O3558" s="10">
        <v>0.60599999999999998</v>
      </c>
      <c r="P3558" s="10">
        <v>5.8400000000000001E-2</v>
      </c>
      <c r="Q3558" s="10">
        <v>106</v>
      </c>
      <c r="R3558" s="10" t="s">
        <v>913</v>
      </c>
      <c r="S3558" s="34">
        <f t="shared" si="402"/>
        <v>106</v>
      </c>
      <c r="T3558" s="10" t="s">
        <v>1267</v>
      </c>
      <c r="U3558" s="34" t="str">
        <f t="shared" si="403"/>
        <v/>
      </c>
      <c r="V3558" s="31" t="str">
        <f>IF(H3558="CHK",VLOOKUP(I3558,QCCHK,3,),IF(H3558="GUP",VLOOKUP(E3558,QCGUP,2,),IF(AND(H3558="ATP",OR(I3558="TN",I3558="TDN",I3558="TNO2-3",I3558="NO2-3")),VLOOKUP(E3558,QCREC_N,2,),IF(AND(H3558="NIC",OR(I3558="TN",I3558="TDN",I3558="TNO2-3",I3558="NO2-3")),VLOOKUP(E3558,QCNIC_N,2,),IF(AND(H3558="UREA",OR(I3558="TN",I3558="TDN",I3558="TNO2-3",I3558="NO2-3")),VLOOKUP(E3558,QCUREA_N,2,),IF(H3558="PER",VLOOKUP(I3558,QCPER,MATCH(E3558,QCACTUAL!$J$25:$AA$25,0),),IF(H3558="SPK",VLOOKUP(I3558,QCSPK,3,),IF(AND(H3558="ATP",OR(I3558="TP",I3558="TDP")),VLOOKUP(E3558,QCATP_P,2,),""))))))))</f>
        <v/>
      </c>
      <c r="W3558" s="31" t="str">
        <f t="shared" si="404"/>
        <v>TRUE</v>
      </c>
      <c r="X3558" s="31" t="str">
        <f t="shared" si="401"/>
        <v/>
      </c>
      <c r="Y3558" s="10" t="s">
        <v>1253</v>
      </c>
      <c r="AL3558" s="10" t="str">
        <f t="shared" si="399"/>
        <v>FALSE</v>
      </c>
      <c r="AM3558" s="10" t="str">
        <f t="shared" si="399"/>
        <v>FALSE</v>
      </c>
      <c r="AN3558" s="10" t="str">
        <f t="shared" si="399"/>
        <v>FALSE</v>
      </c>
      <c r="AO3558" s="10" t="str">
        <f t="shared" si="400"/>
        <v>FALSE</v>
      </c>
      <c r="AP3558" s="10" t="str">
        <f t="shared" si="400"/>
        <v>FALSE</v>
      </c>
      <c r="AQ3558" s="10" t="b">
        <f>IF(AND(I3558="TP",S3558&lt;=150),VLOOKUP(AF3558,TPCalibEq150!$AZ$2:$BB$55,3,),IF(AND(I3558="TDP",S3558&lt;=150),VLOOKUP(AF3558,TPCalibEq150!$AZ$2:$BB$55,3,)))</f>
        <v>0</v>
      </c>
      <c r="AR3558" s="10" t="b">
        <f>IF(AND(I3558="TP",S3558&lt;=300),VLOOKUP(AF3558,TPCalibEq300!$AZ$2:$BB$55,3,),IF(AND(I3558="TDP",S3558&lt;=300),VLOOKUP(AF3558,TPCalibEq300!$AZ$2:$BB$55,3,)))</f>
        <v>0</v>
      </c>
      <c r="AS3558" s="10" t="b">
        <f>IF(AND(I3558="TP",S3558&lt;=500),VLOOKUP(AF3558,TPCalibEq500!$AZ$2:$BB$56,3,),IF(AND(I3558="TDP",S3558&lt;=500),VLOOKUP(AF3558,TPCalibEq500!$AZ$2:$BB$56,3,)))</f>
        <v>0</v>
      </c>
      <c r="AT3558" s="10" t="b">
        <f>IF(AND(I3558="TN",S3558&lt;=2800),VLOOKUP(AF3558,TNCalibEq2500!$AZ$2:$BB$56,3,),IF(AND(I3558="TDN",S3558&lt;=2800),VLOOKUP(AF3558,TNCalibEq2500!$AZ$2:$BB$56,3,)))</f>
        <v>0</v>
      </c>
      <c r="AU3558" s="10" t="b">
        <f>IF(I3558="TP",VLOOKUP(AF3558,TPCalibEqFull!$AZ$2:$BB$56,3),IF(I3558="TDP",VLOOKUP(AF3558,TPCalibEqFull!$AZ$2:$BB$56,3),IF(I3558="TDN",VLOOKUP(AF3558,TNCalibEqFull!$AZ$1:$BB$56,3),IF(I3558="TN",VLOOKUP(AF3558,TNCalibEqFull!$AZ$1:$BB$56,3),FALSE))))</f>
        <v>0</v>
      </c>
      <c r="AV3558" s="10" t="str">
        <f t="shared" si="405"/>
        <v>0221 10:33:00-BUO-20-C-1-SW-UKN</v>
      </c>
    </row>
    <row r="3559" spans="1:48" s="10" customFormat="1" x14ac:dyDescent="0.55000000000000004">
      <c r="A3559" s="32">
        <v>44978</v>
      </c>
      <c r="B3559" s="33">
        <v>0.44375000000000003</v>
      </c>
      <c r="C3559" s="10" t="s">
        <v>611</v>
      </c>
      <c r="D3559" s="10">
        <v>48</v>
      </c>
      <c r="E3559" s="10" t="s">
        <v>190</v>
      </c>
      <c r="F3559" s="10">
        <v>1</v>
      </c>
      <c r="G3559" s="10" t="s">
        <v>231</v>
      </c>
      <c r="H3559" s="10" t="s">
        <v>322</v>
      </c>
      <c r="I3559" s="10" t="s">
        <v>285</v>
      </c>
      <c r="J3559" s="10">
        <v>40</v>
      </c>
      <c r="K3559" s="12">
        <v>44980</v>
      </c>
      <c r="L3559" s="33">
        <v>0.52894675925925927</v>
      </c>
      <c r="M3559" s="10">
        <v>1</v>
      </c>
      <c r="N3559" s="10" t="s">
        <v>211</v>
      </c>
      <c r="O3559" s="10">
        <v>0.53900000000000003</v>
      </c>
      <c r="P3559" s="10">
        <v>5.1799999999999999E-2</v>
      </c>
      <c r="Q3559" s="10">
        <v>94.2</v>
      </c>
      <c r="R3559" s="10" t="s">
        <v>913</v>
      </c>
      <c r="S3559" s="34">
        <f t="shared" si="402"/>
        <v>94.2</v>
      </c>
      <c r="T3559" s="10" t="s">
        <v>1267</v>
      </c>
      <c r="U3559" s="34" t="str">
        <f t="shared" si="403"/>
        <v/>
      </c>
      <c r="V3559" s="31" t="str">
        <f>IF(H3559="CHK",VLOOKUP(I3559,QCCHK,3,),IF(H3559="GUP",VLOOKUP(E3559,QCGUP,2,),IF(AND(H3559="ATP",OR(I3559="TN",I3559="TDN",I3559="TNO2-3",I3559="NO2-3")),VLOOKUP(E3559,QCREC_N,2,),IF(AND(H3559="NIC",OR(I3559="TN",I3559="TDN",I3559="TNO2-3",I3559="NO2-3")),VLOOKUP(E3559,QCNIC_N,2,),IF(AND(H3559="UREA",OR(I3559="TN",I3559="TDN",I3559="TNO2-3",I3559="NO2-3")),VLOOKUP(E3559,QCUREA_N,2,),IF(H3559="PER",VLOOKUP(I3559,QCPER,MATCH(E3559,QCACTUAL!$J$25:$AA$25,0),),IF(H3559="SPK",VLOOKUP(I3559,QCSPK,3,),IF(AND(H3559="ATP",OR(I3559="TP",I3559="TDP")),VLOOKUP(E3559,QCATP_P,2,),""))))))))</f>
        <v/>
      </c>
      <c r="W3559" s="31" t="str">
        <f t="shared" si="404"/>
        <v>TRUE</v>
      </c>
      <c r="X3559" s="31" t="str">
        <f t="shared" si="401"/>
        <v/>
      </c>
      <c r="Y3559" s="10" t="s">
        <v>1253</v>
      </c>
      <c r="AL3559" s="10" t="str">
        <f t="shared" si="399"/>
        <v>FALSE</v>
      </c>
      <c r="AM3559" s="10" t="str">
        <f t="shared" si="399"/>
        <v>FALSE</v>
      </c>
      <c r="AN3559" s="10" t="str">
        <f t="shared" si="399"/>
        <v>FALSE</v>
      </c>
      <c r="AO3559" s="10" t="str">
        <f t="shared" si="400"/>
        <v>FALSE</v>
      </c>
      <c r="AP3559" s="10" t="str">
        <f t="shared" si="400"/>
        <v>FALSE</v>
      </c>
      <c r="AQ3559" s="10" t="b">
        <f>IF(AND(I3559="TP",S3559&lt;=150),VLOOKUP(AF3559,TPCalibEq150!$AZ$2:$BB$55,3,),IF(AND(I3559="TDP",S3559&lt;=150),VLOOKUP(AF3559,TPCalibEq150!$AZ$2:$BB$55,3,)))</f>
        <v>0</v>
      </c>
      <c r="AR3559" s="10" t="b">
        <f>IF(AND(I3559="TP",S3559&lt;=300),VLOOKUP(AF3559,TPCalibEq300!$AZ$2:$BB$55,3,),IF(AND(I3559="TDP",S3559&lt;=300),VLOOKUP(AF3559,TPCalibEq300!$AZ$2:$BB$55,3,)))</f>
        <v>0</v>
      </c>
      <c r="AS3559" s="10" t="b">
        <f>IF(AND(I3559="TP",S3559&lt;=500),VLOOKUP(AF3559,TPCalibEq500!$AZ$2:$BB$56,3,),IF(AND(I3559="TDP",S3559&lt;=500),VLOOKUP(AF3559,TPCalibEq500!$AZ$2:$BB$56,3,)))</f>
        <v>0</v>
      </c>
      <c r="AT3559" s="10" t="b">
        <f>IF(AND(I3559="TN",S3559&lt;=2800),VLOOKUP(AF3559,TNCalibEq2500!$AZ$2:$BB$56,3,),IF(AND(I3559="TDN",S3559&lt;=2800),VLOOKUP(AF3559,TNCalibEq2500!$AZ$2:$BB$56,3,)))</f>
        <v>0</v>
      </c>
      <c r="AU3559" s="10" t="b">
        <f>IF(I3559="TP",VLOOKUP(AF3559,TPCalibEqFull!$AZ$2:$BB$56,3),IF(I3559="TDP",VLOOKUP(AF3559,TPCalibEqFull!$AZ$2:$BB$56,3),IF(I3559="TDN",VLOOKUP(AF3559,TNCalibEqFull!$AZ$1:$BB$56,3),IF(I3559="TN",VLOOKUP(AF3559,TNCalibEqFull!$AZ$1:$BB$56,3),FALSE))))</f>
        <v>0</v>
      </c>
      <c r="AV3559" s="10" t="str">
        <f t="shared" si="405"/>
        <v>0221 10:39:00-BUO-48-C-1-SW-UKN</v>
      </c>
    </row>
    <row r="3560" spans="1:48" s="10" customFormat="1" x14ac:dyDescent="0.55000000000000004">
      <c r="A3560" s="32">
        <v>44978</v>
      </c>
      <c r="B3560" s="33">
        <v>0.44375000000000003</v>
      </c>
      <c r="C3560" s="10" t="s">
        <v>611</v>
      </c>
      <c r="D3560" s="10">
        <v>48</v>
      </c>
      <c r="E3560" s="10" t="s">
        <v>190</v>
      </c>
      <c r="F3560" s="10">
        <v>1</v>
      </c>
      <c r="G3560" s="10" t="s">
        <v>231</v>
      </c>
      <c r="H3560" s="10" t="s">
        <v>233</v>
      </c>
      <c r="I3560" s="10" t="s">
        <v>285</v>
      </c>
      <c r="J3560" s="10">
        <v>40</v>
      </c>
      <c r="K3560" s="12">
        <v>44980</v>
      </c>
      <c r="L3560" s="33">
        <v>0.52975694444444443</v>
      </c>
      <c r="M3560" s="10">
        <v>1</v>
      </c>
      <c r="N3560" s="10" t="s">
        <v>211</v>
      </c>
      <c r="O3560" s="10">
        <v>0.54</v>
      </c>
      <c r="P3560" s="10">
        <v>5.0299999999999997E-2</v>
      </c>
      <c r="Q3560" s="10">
        <v>94.5</v>
      </c>
      <c r="R3560" s="10" t="s">
        <v>913</v>
      </c>
      <c r="S3560" s="34">
        <f t="shared" si="402"/>
        <v>94.5</v>
      </c>
      <c r="T3560" s="10" t="s">
        <v>1267</v>
      </c>
      <c r="U3560" s="34">
        <f t="shared" si="403"/>
        <v>0.3179650238473738</v>
      </c>
      <c r="V3560" s="31" t="str">
        <f>IF(H3560="CHK",VLOOKUP(I3560,QCCHK,3,),IF(H3560="GUP",VLOOKUP(E3560,QCGUP,2,),IF(AND(H3560="ATP",OR(I3560="TN",I3560="TDN",I3560="TNO2-3",I3560="NO2-3")),VLOOKUP(E3560,QCREC_N,2,),IF(AND(H3560="NIC",OR(I3560="TN",I3560="TDN",I3560="TNO2-3",I3560="NO2-3")),VLOOKUP(E3560,QCNIC_N,2,),IF(AND(H3560="UREA",OR(I3560="TN",I3560="TDN",I3560="TNO2-3",I3560="NO2-3")),VLOOKUP(E3560,QCUREA_N,2,),IF(H3560="PER",VLOOKUP(I3560,QCPER,MATCH(E3560,QCACTUAL!$J$25:$AA$25,0),),IF(H3560="SPK",VLOOKUP(I3560,QCSPK,3,),IF(AND(H3560="ATP",OR(I3560="TP",I3560="TDP")),VLOOKUP(E3560,QCATP_P,2,),""))))))))</f>
        <v/>
      </c>
      <c r="W3560" s="31" t="str">
        <f t="shared" si="404"/>
        <v>TRUE</v>
      </c>
      <c r="X3560" s="31" t="str">
        <f t="shared" si="401"/>
        <v>((ABS(rep1-rep2))/((rep1+rep2)/2)*100</v>
      </c>
      <c r="Y3560" s="10" t="s">
        <v>1253</v>
      </c>
      <c r="AL3560" s="10" t="str">
        <f t="shared" ref="AL3560:AN3623" si="406">IF($O3560="", "", IF(AQ3560&lt;&gt;"", SUBSTITUTE(SUBSTITUTE(AQ3560, "x", "*"&amp;$O3560&amp;"^", 1), "x", "*"&amp;$O3560, 1), ""))</f>
        <v>FALSE</v>
      </c>
      <c r="AM3560" s="10" t="str">
        <f t="shared" si="406"/>
        <v>FALSE</v>
      </c>
      <c r="AN3560" s="10" t="str">
        <f t="shared" si="406"/>
        <v>FALSE</v>
      </c>
      <c r="AO3560" s="10" t="str">
        <f t="shared" ref="AO3560:AP3623" si="407">IF($O3560="", "FALSE", IF(AT3560&lt;&gt;"FALSE", SUBSTITUTE(SUBSTITUTE(AT3560, "x", "*"&amp;$O3560&amp;"^", 1), "x", "*"&amp;$O3560, 1), ""))</f>
        <v>FALSE</v>
      </c>
      <c r="AP3560" s="10" t="str">
        <f t="shared" si="407"/>
        <v>FALSE</v>
      </c>
      <c r="AQ3560" s="10" t="b">
        <f>IF(AND(I3560="TP",S3560&lt;=150),VLOOKUP(AF3560,TPCalibEq150!$AZ$2:$BB$55,3,),IF(AND(I3560="TDP",S3560&lt;=150),VLOOKUP(AF3560,TPCalibEq150!$AZ$2:$BB$55,3,)))</f>
        <v>0</v>
      </c>
      <c r="AR3560" s="10" t="b">
        <f>IF(AND(I3560="TP",S3560&lt;=300),VLOOKUP(AF3560,TPCalibEq300!$AZ$2:$BB$55,3,),IF(AND(I3560="TDP",S3560&lt;=300),VLOOKUP(AF3560,TPCalibEq300!$AZ$2:$BB$55,3,)))</f>
        <v>0</v>
      </c>
      <c r="AS3560" s="10" t="b">
        <f>IF(AND(I3560="TP",S3560&lt;=500),VLOOKUP(AF3560,TPCalibEq500!$AZ$2:$BB$56,3,),IF(AND(I3560="TDP",S3560&lt;=500),VLOOKUP(AF3560,TPCalibEq500!$AZ$2:$BB$56,3,)))</f>
        <v>0</v>
      </c>
      <c r="AT3560" s="10" t="b">
        <f>IF(AND(I3560="TN",S3560&lt;=2800),VLOOKUP(AF3560,TNCalibEq2500!$AZ$2:$BB$56,3,),IF(AND(I3560="TDN",S3560&lt;=2800),VLOOKUP(AF3560,TNCalibEq2500!$AZ$2:$BB$56,3,)))</f>
        <v>0</v>
      </c>
      <c r="AU3560" s="10" t="b">
        <f>IF(I3560="TP",VLOOKUP(AF3560,TPCalibEqFull!$AZ$2:$BB$56,3),IF(I3560="TDP",VLOOKUP(AF3560,TPCalibEqFull!$AZ$2:$BB$56,3),IF(I3560="TDN",VLOOKUP(AF3560,TNCalibEqFull!$AZ$1:$BB$56,3),IF(I3560="TN",VLOOKUP(AF3560,TNCalibEqFull!$AZ$1:$BB$56,3),FALSE))))</f>
        <v>0</v>
      </c>
      <c r="AV3560" s="10" t="str">
        <f t="shared" si="405"/>
        <v>0221 10:39:00-BUO-48-C-1-SW-DUP</v>
      </c>
    </row>
    <row r="3561" spans="1:48" s="10" customFormat="1" x14ac:dyDescent="0.55000000000000004">
      <c r="A3561" s="32">
        <v>44978</v>
      </c>
      <c r="B3561" s="33">
        <v>0.44375000000000003</v>
      </c>
      <c r="C3561" s="10" t="s">
        <v>611</v>
      </c>
      <c r="D3561" s="10">
        <v>48</v>
      </c>
      <c r="E3561" s="10" t="s">
        <v>190</v>
      </c>
      <c r="F3561" s="10">
        <v>1</v>
      </c>
      <c r="G3561" s="10" t="s">
        <v>231</v>
      </c>
      <c r="H3561" s="10" t="s">
        <v>314</v>
      </c>
      <c r="I3561" s="10" t="s">
        <v>285</v>
      </c>
      <c r="J3561" s="10">
        <v>85</v>
      </c>
      <c r="K3561" s="12">
        <v>44980</v>
      </c>
      <c r="L3561" s="33">
        <v>0.53057870370370364</v>
      </c>
      <c r="M3561" s="10">
        <v>1</v>
      </c>
      <c r="N3561" s="10" t="s">
        <v>211</v>
      </c>
      <c r="O3561" s="10">
        <v>1.49</v>
      </c>
      <c r="P3561" s="10">
        <v>0.14399999999999999</v>
      </c>
      <c r="Q3561" s="10">
        <v>261</v>
      </c>
      <c r="R3561" s="10" t="s">
        <v>913</v>
      </c>
      <c r="S3561" s="34">
        <f t="shared" si="402"/>
        <v>261</v>
      </c>
      <c r="T3561" s="10" t="s">
        <v>1267</v>
      </c>
      <c r="U3561" s="34">
        <f t="shared" si="403"/>
        <v>106.56000000000002</v>
      </c>
      <c r="V3561" s="31">
        <f>IF(H3561="CHK",VLOOKUP(I3561,QCCHK,3,),IF(H3561="GUP",VLOOKUP(E3561,QCGUP,2,),IF(AND(H3561="ATP",OR(I3561="TN",I3561="TDN",I3561="TNO2-3",I3561="NO2-3")),VLOOKUP(E3561,QCREC_N,2,),IF(AND(H3561="NIC",OR(I3561="TN",I3561="TDN",I3561="TNO2-3",I3561="NO2-3")),VLOOKUP(E3561,QCNIC_N,2,),IF(AND(H3561="UREA",OR(I3561="TN",I3561="TDN",I3561="TNO2-3",I3561="NO2-3")),VLOOKUP(E3561,QCUREA_N,2,),IF(H3561="PER",VLOOKUP(I3561,QCPER,MATCH(E3561,QCACTUAL!$J$25:$AA$25,0),),IF(H3561="SPK",VLOOKUP(I3561,QCSPK,3,),IF(AND(H3561="ATP",OR(I3561="TP",I3561="TDP")),VLOOKUP(E3561,QCATP_P,2,),""))))))))</f>
        <v>156.25</v>
      </c>
      <c r="W3561" s="31" t="str">
        <f t="shared" si="404"/>
        <v>TRUE</v>
      </c>
      <c r="X3561" s="31" t="str">
        <f t="shared" si="401"/>
        <v>([spikedunkn]-[unkn])/[spike]*100</v>
      </c>
      <c r="Y3561" s="10" t="s">
        <v>1253</v>
      </c>
      <c r="AL3561" s="10" t="str">
        <f t="shared" si="406"/>
        <v>FALSE</v>
      </c>
      <c r="AM3561" s="10" t="str">
        <f t="shared" si="406"/>
        <v>FALSE</v>
      </c>
      <c r="AN3561" s="10" t="str">
        <f t="shared" si="406"/>
        <v>FALSE</v>
      </c>
      <c r="AO3561" s="10" t="str">
        <f t="shared" si="407"/>
        <v>FALSE</v>
      </c>
      <c r="AP3561" s="10" t="str">
        <f t="shared" si="407"/>
        <v>FALSE</v>
      </c>
      <c r="AQ3561" s="10" t="b">
        <f>IF(AND(I3561="TP",S3561&lt;=150),VLOOKUP(AF3561,TPCalibEq150!$AZ$2:$BB$55,3,),IF(AND(I3561="TDP",S3561&lt;=150),VLOOKUP(AF3561,TPCalibEq150!$AZ$2:$BB$55,3,)))</f>
        <v>0</v>
      </c>
      <c r="AR3561" s="10" t="b">
        <f>IF(AND(I3561="TP",S3561&lt;=300),VLOOKUP(AF3561,TPCalibEq300!$AZ$2:$BB$55,3,),IF(AND(I3561="TDP",S3561&lt;=300),VLOOKUP(AF3561,TPCalibEq300!$AZ$2:$BB$55,3,)))</f>
        <v>0</v>
      </c>
      <c r="AS3561" s="10" t="b">
        <f>IF(AND(I3561="TP",S3561&lt;=500),VLOOKUP(AF3561,TPCalibEq500!$AZ$2:$BB$56,3,),IF(AND(I3561="TDP",S3561&lt;=500),VLOOKUP(AF3561,TPCalibEq500!$AZ$2:$BB$56,3,)))</f>
        <v>0</v>
      </c>
      <c r="AT3561" s="10" t="b">
        <f>IF(AND(I3561="TN",S3561&lt;=2800),VLOOKUP(AF3561,TNCalibEq2500!$AZ$2:$BB$56,3,),IF(AND(I3561="TDN",S3561&lt;=2800),VLOOKUP(AF3561,TNCalibEq2500!$AZ$2:$BB$56,3,)))</f>
        <v>0</v>
      </c>
      <c r="AU3561" s="10" t="b">
        <f>IF(I3561="TP",VLOOKUP(AF3561,TPCalibEqFull!$AZ$2:$BB$56,3),IF(I3561="TDP",VLOOKUP(AF3561,TPCalibEqFull!$AZ$2:$BB$56,3),IF(I3561="TDN",VLOOKUP(AF3561,TNCalibEqFull!$AZ$1:$BB$56,3),IF(I3561="TN",VLOOKUP(AF3561,TNCalibEqFull!$AZ$1:$BB$56,3),FALSE))))</f>
        <v>0</v>
      </c>
      <c r="AV3561" s="10" t="str">
        <f t="shared" si="405"/>
        <v>0221 10:39:00-BUO-48-C-1-SW-SPK</v>
      </c>
    </row>
    <row r="3562" spans="1:48" s="10" customFormat="1" x14ac:dyDescent="0.55000000000000004">
      <c r="A3562" s="32">
        <v>44979</v>
      </c>
      <c r="B3562" s="33">
        <v>0.375</v>
      </c>
      <c r="C3562" s="10" t="s">
        <v>70</v>
      </c>
      <c r="D3562" s="10" t="s">
        <v>71</v>
      </c>
      <c r="E3562" s="10" t="s">
        <v>901</v>
      </c>
      <c r="F3562" s="10">
        <v>1</v>
      </c>
      <c r="G3562" s="10" t="s">
        <v>73</v>
      </c>
      <c r="H3562" s="10" t="s">
        <v>207</v>
      </c>
      <c r="I3562" s="10" t="s">
        <v>285</v>
      </c>
      <c r="J3562" s="10">
        <v>201</v>
      </c>
      <c r="K3562" s="12">
        <v>44980</v>
      </c>
      <c r="L3562" s="33">
        <v>0.53140046296296295</v>
      </c>
      <c r="M3562" s="10">
        <v>1</v>
      </c>
      <c r="N3562" s="10" t="s">
        <v>211</v>
      </c>
      <c r="O3562" s="10">
        <v>0.434</v>
      </c>
      <c r="P3562" s="10">
        <v>4.1200000000000001E-2</v>
      </c>
      <c r="Q3562" s="10">
        <v>75.8</v>
      </c>
      <c r="R3562" s="10" t="s">
        <v>913</v>
      </c>
      <c r="S3562" s="34">
        <f t="shared" si="402"/>
        <v>75.8</v>
      </c>
      <c r="T3562" s="10" t="s">
        <v>1267</v>
      </c>
      <c r="U3562" s="34">
        <f t="shared" si="403"/>
        <v>101.06666666666666</v>
      </c>
      <c r="V3562" s="31">
        <f>IF(H3562="CHK",VLOOKUP(I3562,QCCHK,3,),IF(H3562="GUP",VLOOKUP(E3562,QCGUP,2,),IF(AND(H3562="ATP",OR(I3562="TN",I3562="TDN",I3562="TNO2-3",I3562="NO2-3")),VLOOKUP(E3562,QCREC_N,2,),IF(AND(H3562="NIC",OR(I3562="TN",I3562="TDN",I3562="TNO2-3",I3562="NO2-3")),VLOOKUP(E3562,QCNIC_N,2,),IF(AND(H3562="UREA",OR(I3562="TN",I3562="TDN",I3562="TNO2-3",I3562="NO2-3")),VLOOKUP(E3562,QCUREA_N,2,),IF(H3562="PER",VLOOKUP(I3562,QCPER,MATCH(E3562,QCACTUAL!$J$25:$AA$25,0),),IF(H3562="SPK",VLOOKUP(I3562,QCSPK,3,),IF(AND(H3562="ATP",OR(I3562="TP",I3562="TDP")),VLOOKUP(E3562,QCATP_P,2,),""))))))))</f>
        <v>75</v>
      </c>
      <c r="W3562" s="31" t="str">
        <f t="shared" si="404"/>
        <v>TRUE</v>
      </c>
      <c r="X3562" s="31" t="str">
        <f t="shared" si="401"/>
        <v>[chk]/[actual]*100</v>
      </c>
      <c r="Y3562" s="10" t="s">
        <v>1253</v>
      </c>
      <c r="AL3562" s="10" t="str">
        <f t="shared" si="406"/>
        <v>FALSE</v>
      </c>
      <c r="AM3562" s="10" t="str">
        <f t="shared" si="406"/>
        <v>FALSE</v>
      </c>
      <c r="AN3562" s="10" t="str">
        <f t="shared" si="406"/>
        <v>FALSE</v>
      </c>
      <c r="AO3562" s="10" t="str">
        <f t="shared" si="407"/>
        <v>FALSE</v>
      </c>
      <c r="AP3562" s="10" t="str">
        <f t="shared" si="407"/>
        <v>FALSE</v>
      </c>
      <c r="AQ3562" s="10" t="b">
        <f>IF(AND(I3562="TP",S3562&lt;=150),VLOOKUP(AF3562,TPCalibEq150!$AZ$2:$BB$55,3,),IF(AND(I3562="TDP",S3562&lt;=150),VLOOKUP(AF3562,TPCalibEq150!$AZ$2:$BB$55,3,)))</f>
        <v>0</v>
      </c>
      <c r="AR3562" s="10" t="b">
        <f>IF(AND(I3562="TP",S3562&lt;=300),VLOOKUP(AF3562,TPCalibEq300!$AZ$2:$BB$55,3,),IF(AND(I3562="TDP",S3562&lt;=300),VLOOKUP(AF3562,TPCalibEq300!$AZ$2:$BB$55,3,)))</f>
        <v>0</v>
      </c>
      <c r="AS3562" s="10" t="b">
        <f>IF(AND(I3562="TP",S3562&lt;=500),VLOOKUP(AF3562,TPCalibEq500!$AZ$2:$BB$56,3,),IF(AND(I3562="TDP",S3562&lt;=500),VLOOKUP(AF3562,TPCalibEq500!$AZ$2:$BB$56,3,)))</f>
        <v>0</v>
      </c>
      <c r="AT3562" s="10" t="b">
        <f>IF(AND(I3562="TN",S3562&lt;=2800),VLOOKUP(AF3562,TNCalibEq2500!$AZ$2:$BB$56,3,),IF(AND(I3562="TDN",S3562&lt;=2800),VLOOKUP(AF3562,TNCalibEq2500!$AZ$2:$BB$56,3,)))</f>
        <v>0</v>
      </c>
      <c r="AU3562" s="10" t="b">
        <f>IF(I3562="TP",VLOOKUP(AF3562,TPCalibEqFull!$AZ$2:$BB$56,3),IF(I3562="TDP",VLOOKUP(AF3562,TPCalibEqFull!$AZ$2:$BB$56,3),IF(I3562="TDN",VLOOKUP(AF3562,TNCalibEqFull!$AZ$1:$BB$56,3),IF(I3562="TN",VLOOKUP(AF3562,TNCalibEqFull!$AZ$1:$BB$56,3),FALSE))))</f>
        <v>0</v>
      </c>
      <c r="AV3562" s="10" t="str">
        <f t="shared" si="405"/>
        <v>0222 09:00:00-QAC-STD-D-1-DI-CHK</v>
      </c>
    </row>
    <row r="3563" spans="1:48" s="10" customFormat="1" x14ac:dyDescent="0.55000000000000004">
      <c r="A3563" s="32">
        <v>44972</v>
      </c>
      <c r="B3563" s="33">
        <v>0.22430555555555556</v>
      </c>
      <c r="C3563" s="10" t="s">
        <v>279</v>
      </c>
      <c r="D3563" s="10">
        <v>0</v>
      </c>
      <c r="E3563" s="10" t="s">
        <v>911</v>
      </c>
      <c r="F3563" s="10">
        <v>1</v>
      </c>
      <c r="G3563" s="10" t="s">
        <v>231</v>
      </c>
      <c r="H3563" s="10" t="s">
        <v>322</v>
      </c>
      <c r="I3563" s="10" t="s">
        <v>167</v>
      </c>
      <c r="J3563" s="10">
        <v>41</v>
      </c>
      <c r="K3563" s="12">
        <v>44980</v>
      </c>
      <c r="L3563" s="33">
        <v>0.53221064814814811</v>
      </c>
      <c r="M3563" s="10">
        <v>1</v>
      </c>
      <c r="N3563" s="10" t="s">
        <v>211</v>
      </c>
      <c r="O3563" s="10">
        <v>0.66400000000000003</v>
      </c>
      <c r="P3563" s="10">
        <v>6.2899999999999998E-2</v>
      </c>
      <c r="Q3563" s="10">
        <v>116</v>
      </c>
      <c r="R3563" s="10" t="s">
        <v>913</v>
      </c>
      <c r="S3563" s="34">
        <f t="shared" si="402"/>
        <v>116</v>
      </c>
      <c r="T3563" s="10" t="s">
        <v>1267</v>
      </c>
      <c r="U3563" s="34" t="str">
        <f t="shared" si="403"/>
        <v/>
      </c>
      <c r="V3563" s="31" t="str">
        <f>IF(H3563="CHK",VLOOKUP(I3563,QCCHK,3,),IF(H3563="GUP",VLOOKUP(E3563,QCGUP,2,),IF(AND(H3563="ATP",OR(I3563="TN",I3563="TDN",I3563="TNO2-3",I3563="NO2-3")),VLOOKUP(E3563,QCREC_N,2,),IF(AND(H3563="NIC",OR(I3563="TN",I3563="TDN",I3563="TNO2-3",I3563="NO2-3")),VLOOKUP(E3563,QCNIC_N,2,),IF(AND(H3563="UREA",OR(I3563="TN",I3563="TDN",I3563="TNO2-3",I3563="NO2-3")),VLOOKUP(E3563,QCUREA_N,2,),IF(H3563="PER",VLOOKUP(I3563,QCPER,MATCH(E3563,QCACTUAL!$J$25:$AA$25,0),),IF(H3563="SPK",VLOOKUP(I3563,QCSPK,3,),IF(AND(H3563="ATP",OR(I3563="TP",I3563="TDP")),VLOOKUP(E3563,QCATP_P,2,),""))))))))</f>
        <v/>
      </c>
      <c r="W3563" s="31" t="str">
        <f t="shared" si="404"/>
        <v>TRUE</v>
      </c>
      <c r="X3563" s="31" t="str">
        <f t="shared" si="401"/>
        <v/>
      </c>
      <c r="Y3563" s="10" t="s">
        <v>1253</v>
      </c>
      <c r="Z3563" s="10" t="s">
        <v>910</v>
      </c>
      <c r="AL3563" s="10" t="str">
        <f t="shared" si="406"/>
        <v>FALSE</v>
      </c>
      <c r="AM3563" s="10" t="str">
        <f t="shared" si="406"/>
        <v>FALSE</v>
      </c>
      <c r="AN3563" s="10" t="str">
        <f t="shared" si="406"/>
        <v>FALSE</v>
      </c>
      <c r="AO3563" s="10" t="str">
        <f t="shared" si="407"/>
        <v>FALSE</v>
      </c>
      <c r="AP3563" s="10" t="str">
        <f t="shared" si="407"/>
        <v>FALSE</v>
      </c>
      <c r="AQ3563" s="10" t="b">
        <f>IF(AND(I3563="TP",S3563&lt;=150),VLOOKUP(AF3563,TPCalibEq150!$AZ$2:$BB$55,3,),IF(AND(I3563="TDP",S3563&lt;=150),VLOOKUP(AF3563,TPCalibEq150!$AZ$2:$BB$55,3,)))</f>
        <v>0</v>
      </c>
      <c r="AR3563" s="10" t="b">
        <f>IF(AND(I3563="TP",S3563&lt;=300),VLOOKUP(AF3563,TPCalibEq300!$AZ$2:$BB$55,3,),IF(AND(I3563="TDP",S3563&lt;=300),VLOOKUP(AF3563,TPCalibEq300!$AZ$2:$BB$55,3,)))</f>
        <v>0</v>
      </c>
      <c r="AS3563" s="10" t="b">
        <f>IF(AND(I3563="TP",S3563&lt;=500),VLOOKUP(AF3563,TPCalibEq500!$AZ$2:$BB$56,3,),IF(AND(I3563="TDP",S3563&lt;=500),VLOOKUP(AF3563,TPCalibEq500!$AZ$2:$BB$56,3,)))</f>
        <v>0</v>
      </c>
      <c r="AT3563" s="10" t="b">
        <f>IF(AND(I3563="TN",S3563&lt;=2800),VLOOKUP(AF3563,TNCalibEq2500!$AZ$2:$BB$56,3,),IF(AND(I3563="TDN",S3563&lt;=2800),VLOOKUP(AF3563,TNCalibEq2500!$AZ$2:$BB$56,3,)))</f>
        <v>0</v>
      </c>
      <c r="AU3563" s="10" t="b">
        <f>IF(I3563="TP",VLOOKUP(AF3563,TPCalibEqFull!$AZ$2:$BB$56,3),IF(I3563="TDP",VLOOKUP(AF3563,TPCalibEqFull!$AZ$2:$BB$56,3),IF(I3563="TDN",VLOOKUP(AF3563,TNCalibEqFull!$AZ$1:$BB$56,3),IF(I3563="TN",VLOOKUP(AF3563,TNCalibEqFull!$AZ$1:$BB$56,3),FALSE))))</f>
        <v>0</v>
      </c>
      <c r="AV3563" s="10" t="str">
        <f t="shared" si="405"/>
        <v>0215 05:23:00-EFK-0-FIL-1-SW-UKN</v>
      </c>
    </row>
    <row r="3564" spans="1:48" s="10" customFormat="1" x14ac:dyDescent="0.55000000000000004">
      <c r="A3564" s="32">
        <v>44972</v>
      </c>
      <c r="B3564" s="33">
        <v>0.22777777777777777</v>
      </c>
      <c r="C3564" s="10" t="s">
        <v>333</v>
      </c>
      <c r="D3564" s="10">
        <v>0</v>
      </c>
      <c r="E3564" s="10" t="s">
        <v>911</v>
      </c>
      <c r="F3564" s="10">
        <v>1</v>
      </c>
      <c r="G3564" s="10" t="s">
        <v>231</v>
      </c>
      <c r="H3564" s="10" t="s">
        <v>322</v>
      </c>
      <c r="I3564" s="10" t="s">
        <v>167</v>
      </c>
      <c r="J3564" s="10">
        <v>42</v>
      </c>
      <c r="K3564" s="12">
        <v>44980</v>
      </c>
      <c r="L3564" s="33">
        <v>0.53302083333333339</v>
      </c>
      <c r="M3564" s="10">
        <v>1</v>
      </c>
      <c r="N3564" s="10" t="s">
        <v>211</v>
      </c>
      <c r="O3564" s="10">
        <v>0.16</v>
      </c>
      <c r="P3564" s="10">
        <v>1.4E-2</v>
      </c>
      <c r="Q3564" s="10">
        <v>27.4</v>
      </c>
      <c r="R3564" s="10" t="s">
        <v>913</v>
      </c>
      <c r="S3564" s="34">
        <f t="shared" si="402"/>
        <v>27.4</v>
      </c>
      <c r="T3564" s="10" t="s">
        <v>1267</v>
      </c>
      <c r="U3564" s="34" t="str">
        <f t="shared" si="403"/>
        <v/>
      </c>
      <c r="V3564" s="31" t="str">
        <f>IF(H3564="CHK",VLOOKUP(I3564,QCCHK,3,),IF(H3564="GUP",VLOOKUP(E3564,QCGUP,2,),IF(AND(H3564="ATP",OR(I3564="TN",I3564="TDN",I3564="TNO2-3",I3564="NO2-3")),VLOOKUP(E3564,QCREC_N,2,),IF(AND(H3564="NIC",OR(I3564="TN",I3564="TDN",I3564="TNO2-3",I3564="NO2-3")),VLOOKUP(E3564,QCNIC_N,2,),IF(AND(H3564="UREA",OR(I3564="TN",I3564="TDN",I3564="TNO2-3",I3564="NO2-3")),VLOOKUP(E3564,QCUREA_N,2,),IF(H3564="PER",VLOOKUP(I3564,QCPER,MATCH(E3564,QCACTUAL!$J$25:$AA$25,0),),IF(H3564="SPK",VLOOKUP(I3564,QCSPK,3,),IF(AND(H3564="ATP",OR(I3564="TP",I3564="TDP")),VLOOKUP(E3564,QCATP_P,2,),""))))))))</f>
        <v/>
      </c>
      <c r="W3564" s="31" t="str">
        <f t="shared" si="404"/>
        <v>TRUE</v>
      </c>
      <c r="X3564" s="31" t="str">
        <f t="shared" si="401"/>
        <v/>
      </c>
      <c r="Y3564" s="10" t="s">
        <v>1253</v>
      </c>
      <c r="Z3564" s="10" t="s">
        <v>910</v>
      </c>
      <c r="AL3564" s="10" t="str">
        <f t="shared" si="406"/>
        <v>FALSE</v>
      </c>
      <c r="AM3564" s="10" t="str">
        <f t="shared" si="406"/>
        <v>FALSE</v>
      </c>
      <c r="AN3564" s="10" t="str">
        <f t="shared" si="406"/>
        <v>FALSE</v>
      </c>
      <c r="AO3564" s="10" t="str">
        <f t="shared" si="407"/>
        <v>FALSE</v>
      </c>
      <c r="AP3564" s="10" t="str">
        <f t="shared" si="407"/>
        <v>FALSE</v>
      </c>
      <c r="AQ3564" s="10" t="b">
        <f>IF(AND(I3564="TP",S3564&lt;=150),VLOOKUP(AF3564,TPCalibEq150!$AZ$2:$BB$55,3,),IF(AND(I3564="TDP",S3564&lt;=150),VLOOKUP(AF3564,TPCalibEq150!$AZ$2:$BB$55,3,)))</f>
        <v>0</v>
      </c>
      <c r="AR3564" s="10" t="b">
        <f>IF(AND(I3564="TP",S3564&lt;=300),VLOOKUP(AF3564,TPCalibEq300!$AZ$2:$BB$55,3,),IF(AND(I3564="TDP",S3564&lt;=300),VLOOKUP(AF3564,TPCalibEq300!$AZ$2:$BB$55,3,)))</f>
        <v>0</v>
      </c>
      <c r="AS3564" s="10" t="b">
        <f>IF(AND(I3564="TP",S3564&lt;=500),VLOOKUP(AF3564,TPCalibEq500!$AZ$2:$BB$56,3,),IF(AND(I3564="TDP",S3564&lt;=500),VLOOKUP(AF3564,TPCalibEq500!$AZ$2:$BB$56,3,)))</f>
        <v>0</v>
      </c>
      <c r="AT3564" s="10" t="b">
        <f>IF(AND(I3564="TN",S3564&lt;=2800),VLOOKUP(AF3564,TNCalibEq2500!$AZ$2:$BB$56,3,),IF(AND(I3564="TDN",S3564&lt;=2800),VLOOKUP(AF3564,TNCalibEq2500!$AZ$2:$BB$56,3,)))</f>
        <v>0</v>
      </c>
      <c r="AU3564" s="10" t="b">
        <f>IF(I3564="TP",VLOOKUP(AF3564,TPCalibEqFull!$AZ$2:$BB$56,3),IF(I3564="TDP",VLOOKUP(AF3564,TPCalibEqFull!$AZ$2:$BB$56,3),IF(I3564="TDN",VLOOKUP(AF3564,TNCalibEqFull!$AZ$1:$BB$56,3),IF(I3564="TN",VLOOKUP(AF3564,TNCalibEqFull!$AZ$1:$BB$56,3),FALSE))))</f>
        <v>0</v>
      </c>
      <c r="AV3564" s="10" t="str">
        <f t="shared" si="405"/>
        <v>0215 05:28:00-HST-0-FIL-1-SW-UKN</v>
      </c>
    </row>
    <row r="3565" spans="1:48" s="10" customFormat="1" x14ac:dyDescent="0.55000000000000004">
      <c r="A3565" s="32">
        <v>44974</v>
      </c>
      <c r="B3565" s="33">
        <v>0.36388888888888887</v>
      </c>
      <c r="C3565" s="10" t="s">
        <v>279</v>
      </c>
      <c r="D3565" s="10">
        <v>0</v>
      </c>
      <c r="E3565" s="10" t="s">
        <v>911</v>
      </c>
      <c r="F3565" s="10">
        <v>1</v>
      </c>
      <c r="G3565" s="10" t="s">
        <v>231</v>
      </c>
      <c r="H3565" s="10" t="s">
        <v>322</v>
      </c>
      <c r="I3565" s="10" t="s">
        <v>167</v>
      </c>
      <c r="J3565" s="10">
        <v>43</v>
      </c>
      <c r="K3565" s="12">
        <v>44980</v>
      </c>
      <c r="L3565" s="33">
        <v>0.53383101851851855</v>
      </c>
      <c r="M3565" s="10">
        <v>1</v>
      </c>
      <c r="N3565" s="10" t="s">
        <v>211</v>
      </c>
      <c r="O3565" s="10">
        <v>0.60099999999999998</v>
      </c>
      <c r="P3565" s="10">
        <v>5.6500000000000002E-2</v>
      </c>
      <c r="Q3565" s="10">
        <v>105</v>
      </c>
      <c r="R3565" s="10" t="s">
        <v>913</v>
      </c>
      <c r="S3565" s="34">
        <f t="shared" si="402"/>
        <v>105</v>
      </c>
      <c r="T3565" s="10" t="s">
        <v>1267</v>
      </c>
      <c r="U3565" s="34" t="str">
        <f t="shared" si="403"/>
        <v/>
      </c>
      <c r="V3565" s="31" t="str">
        <f>IF(H3565="CHK",VLOOKUP(I3565,QCCHK,3,),IF(H3565="GUP",VLOOKUP(E3565,QCGUP,2,),IF(AND(H3565="ATP",OR(I3565="TN",I3565="TDN",I3565="TNO2-3",I3565="NO2-3")),VLOOKUP(E3565,QCREC_N,2,),IF(AND(H3565="NIC",OR(I3565="TN",I3565="TDN",I3565="TNO2-3",I3565="NO2-3")),VLOOKUP(E3565,QCNIC_N,2,),IF(AND(H3565="UREA",OR(I3565="TN",I3565="TDN",I3565="TNO2-3",I3565="NO2-3")),VLOOKUP(E3565,QCUREA_N,2,),IF(H3565="PER",VLOOKUP(I3565,QCPER,MATCH(E3565,QCACTUAL!$J$25:$AA$25,0),),IF(H3565="SPK",VLOOKUP(I3565,QCSPK,3,),IF(AND(H3565="ATP",OR(I3565="TP",I3565="TDP")),VLOOKUP(E3565,QCATP_P,2,),""))))))))</f>
        <v/>
      </c>
      <c r="W3565" s="31" t="str">
        <f t="shared" si="404"/>
        <v>TRUE</v>
      </c>
      <c r="X3565" s="31" t="str">
        <f t="shared" si="401"/>
        <v/>
      </c>
      <c r="Y3565" s="10" t="s">
        <v>1253</v>
      </c>
      <c r="Z3565" s="10" t="s">
        <v>910</v>
      </c>
      <c r="AL3565" s="10" t="str">
        <f t="shared" si="406"/>
        <v>FALSE</v>
      </c>
      <c r="AM3565" s="10" t="str">
        <f t="shared" si="406"/>
        <v>FALSE</v>
      </c>
      <c r="AN3565" s="10" t="str">
        <f t="shared" si="406"/>
        <v>FALSE</v>
      </c>
      <c r="AO3565" s="10" t="str">
        <f t="shared" si="407"/>
        <v>FALSE</v>
      </c>
      <c r="AP3565" s="10" t="str">
        <f t="shared" si="407"/>
        <v>FALSE</v>
      </c>
      <c r="AQ3565" s="10" t="b">
        <f>IF(AND(I3565="TP",S3565&lt;=150),VLOOKUP(AF3565,TPCalibEq150!$AZ$2:$BB$55,3,),IF(AND(I3565="TDP",S3565&lt;=150),VLOOKUP(AF3565,TPCalibEq150!$AZ$2:$BB$55,3,)))</f>
        <v>0</v>
      </c>
      <c r="AR3565" s="10" t="b">
        <f>IF(AND(I3565="TP",S3565&lt;=300),VLOOKUP(AF3565,TPCalibEq300!$AZ$2:$BB$55,3,),IF(AND(I3565="TDP",S3565&lt;=300),VLOOKUP(AF3565,TPCalibEq300!$AZ$2:$BB$55,3,)))</f>
        <v>0</v>
      </c>
      <c r="AS3565" s="10" t="b">
        <f>IF(AND(I3565="TP",S3565&lt;=500),VLOOKUP(AF3565,TPCalibEq500!$AZ$2:$BB$56,3,),IF(AND(I3565="TDP",S3565&lt;=500),VLOOKUP(AF3565,TPCalibEq500!$AZ$2:$BB$56,3,)))</f>
        <v>0</v>
      </c>
      <c r="AT3565" s="10" t="b">
        <f>IF(AND(I3565="TN",S3565&lt;=2800),VLOOKUP(AF3565,TNCalibEq2500!$AZ$2:$BB$56,3,),IF(AND(I3565="TDN",S3565&lt;=2800),VLOOKUP(AF3565,TNCalibEq2500!$AZ$2:$BB$56,3,)))</f>
        <v>0</v>
      </c>
      <c r="AU3565" s="10" t="b">
        <f>IF(I3565="TP",VLOOKUP(AF3565,TPCalibEqFull!$AZ$2:$BB$56,3),IF(I3565="TDP",VLOOKUP(AF3565,TPCalibEqFull!$AZ$2:$BB$56,3),IF(I3565="TDN",VLOOKUP(AF3565,TNCalibEqFull!$AZ$1:$BB$56,3),IF(I3565="TN",VLOOKUP(AF3565,TNCalibEqFull!$AZ$1:$BB$56,3),FALSE))))</f>
        <v>0</v>
      </c>
      <c r="AV3565" s="10" t="str">
        <f t="shared" si="405"/>
        <v>0217 08:44:00-EFK-0-FIL-1-SW-UKN</v>
      </c>
    </row>
    <row r="3566" spans="1:48" s="10" customFormat="1" x14ac:dyDescent="0.55000000000000004">
      <c r="A3566" s="32">
        <v>44974</v>
      </c>
      <c r="B3566" s="33">
        <v>0.35833333333333334</v>
      </c>
      <c r="C3566" s="10" t="s">
        <v>333</v>
      </c>
      <c r="D3566" s="10">
        <v>0</v>
      </c>
      <c r="E3566" s="10" t="s">
        <v>911</v>
      </c>
      <c r="F3566" s="10">
        <v>1</v>
      </c>
      <c r="G3566" s="10" t="s">
        <v>231</v>
      </c>
      <c r="H3566" s="10" t="s">
        <v>322</v>
      </c>
      <c r="I3566" s="10" t="s">
        <v>167</v>
      </c>
      <c r="J3566" s="10">
        <v>44</v>
      </c>
      <c r="K3566" s="12">
        <v>44980</v>
      </c>
      <c r="L3566" s="33">
        <v>0.53464120370370372</v>
      </c>
      <c r="M3566" s="10">
        <v>1</v>
      </c>
      <c r="N3566" s="10" t="s">
        <v>211</v>
      </c>
      <c r="O3566" s="10">
        <v>0.31</v>
      </c>
      <c r="P3566" s="10">
        <v>2.8000000000000001E-2</v>
      </c>
      <c r="Q3566" s="10">
        <v>53.9</v>
      </c>
      <c r="R3566" s="10" t="s">
        <v>913</v>
      </c>
      <c r="S3566" s="34">
        <f t="shared" si="402"/>
        <v>53.9</v>
      </c>
      <c r="T3566" s="10" t="s">
        <v>1267</v>
      </c>
      <c r="U3566" s="34" t="str">
        <f t="shared" si="403"/>
        <v/>
      </c>
      <c r="V3566" s="31" t="str">
        <f>IF(H3566="CHK",VLOOKUP(I3566,QCCHK,3,),IF(H3566="GUP",VLOOKUP(E3566,QCGUP,2,),IF(AND(H3566="ATP",OR(I3566="TN",I3566="TDN",I3566="TNO2-3",I3566="NO2-3")),VLOOKUP(E3566,QCREC_N,2,),IF(AND(H3566="NIC",OR(I3566="TN",I3566="TDN",I3566="TNO2-3",I3566="NO2-3")),VLOOKUP(E3566,QCNIC_N,2,),IF(AND(H3566="UREA",OR(I3566="TN",I3566="TDN",I3566="TNO2-3",I3566="NO2-3")),VLOOKUP(E3566,QCUREA_N,2,),IF(H3566="PER",VLOOKUP(I3566,QCPER,MATCH(E3566,QCACTUAL!$J$25:$AA$25,0),),IF(H3566="SPK",VLOOKUP(I3566,QCSPK,3,),IF(AND(H3566="ATP",OR(I3566="TP",I3566="TDP")),VLOOKUP(E3566,QCATP_P,2,),""))))))))</f>
        <v/>
      </c>
      <c r="W3566" s="31" t="str">
        <f t="shared" si="404"/>
        <v>TRUE</v>
      </c>
      <c r="X3566" s="31" t="str">
        <f t="shared" si="401"/>
        <v/>
      </c>
      <c r="Y3566" s="10" t="s">
        <v>1253</v>
      </c>
      <c r="Z3566" s="10" t="s">
        <v>910</v>
      </c>
      <c r="AL3566" s="10" t="str">
        <f t="shared" si="406"/>
        <v>FALSE</v>
      </c>
      <c r="AM3566" s="10" t="str">
        <f t="shared" si="406"/>
        <v>FALSE</v>
      </c>
      <c r="AN3566" s="10" t="str">
        <f t="shared" si="406"/>
        <v>FALSE</v>
      </c>
      <c r="AO3566" s="10" t="str">
        <f t="shared" si="407"/>
        <v>FALSE</v>
      </c>
      <c r="AP3566" s="10" t="str">
        <f t="shared" si="407"/>
        <v>FALSE</v>
      </c>
      <c r="AQ3566" s="10" t="b">
        <f>IF(AND(I3566="TP",S3566&lt;=150),VLOOKUP(AF3566,TPCalibEq150!$AZ$2:$BB$55,3,),IF(AND(I3566="TDP",S3566&lt;=150),VLOOKUP(AF3566,TPCalibEq150!$AZ$2:$BB$55,3,)))</f>
        <v>0</v>
      </c>
      <c r="AR3566" s="10" t="b">
        <f>IF(AND(I3566="TP",S3566&lt;=300),VLOOKUP(AF3566,TPCalibEq300!$AZ$2:$BB$55,3,),IF(AND(I3566="TDP",S3566&lt;=300),VLOOKUP(AF3566,TPCalibEq300!$AZ$2:$BB$55,3,)))</f>
        <v>0</v>
      </c>
      <c r="AS3566" s="10" t="b">
        <f>IF(AND(I3566="TP",S3566&lt;=500),VLOOKUP(AF3566,TPCalibEq500!$AZ$2:$BB$56,3,),IF(AND(I3566="TDP",S3566&lt;=500),VLOOKUP(AF3566,TPCalibEq500!$AZ$2:$BB$56,3,)))</f>
        <v>0</v>
      </c>
      <c r="AT3566" s="10" t="b">
        <f>IF(AND(I3566="TN",S3566&lt;=2800),VLOOKUP(AF3566,TNCalibEq2500!$AZ$2:$BB$56,3,),IF(AND(I3566="TDN",S3566&lt;=2800),VLOOKUP(AF3566,TNCalibEq2500!$AZ$2:$BB$56,3,)))</f>
        <v>0</v>
      </c>
      <c r="AU3566" s="10" t="b">
        <f>IF(I3566="TP",VLOOKUP(AF3566,TPCalibEqFull!$AZ$2:$BB$56,3),IF(I3566="TDP",VLOOKUP(AF3566,TPCalibEqFull!$AZ$2:$BB$56,3),IF(I3566="TDN",VLOOKUP(AF3566,TNCalibEqFull!$AZ$1:$BB$56,3),IF(I3566="TN",VLOOKUP(AF3566,TNCalibEqFull!$AZ$1:$BB$56,3),FALSE))))</f>
        <v>0</v>
      </c>
      <c r="AV3566" s="10" t="str">
        <f t="shared" si="405"/>
        <v>0217 08:36:00-HST-0-FIL-1-SW-UKN</v>
      </c>
    </row>
    <row r="3567" spans="1:48" s="10" customFormat="1" x14ac:dyDescent="0.55000000000000004">
      <c r="A3567" s="32">
        <v>44978</v>
      </c>
      <c r="B3567" s="33">
        <v>0.31597222222222221</v>
      </c>
      <c r="C3567" s="10" t="s">
        <v>279</v>
      </c>
      <c r="D3567" s="10">
        <v>0</v>
      </c>
      <c r="E3567" s="10" t="s">
        <v>911</v>
      </c>
      <c r="F3567" s="10">
        <v>1</v>
      </c>
      <c r="G3567" s="10" t="s">
        <v>231</v>
      </c>
      <c r="H3567" s="10" t="s">
        <v>322</v>
      </c>
      <c r="I3567" s="10" t="s">
        <v>167</v>
      </c>
      <c r="J3567" s="10">
        <v>45</v>
      </c>
      <c r="K3567" s="12">
        <v>44980</v>
      </c>
      <c r="L3567" s="33">
        <v>0.53543981481481484</v>
      </c>
      <c r="M3567" s="10">
        <v>1</v>
      </c>
      <c r="N3567" s="10" t="s">
        <v>211</v>
      </c>
      <c r="O3567" s="10">
        <v>0.502</v>
      </c>
      <c r="P3567" s="10">
        <v>4.6600000000000003E-2</v>
      </c>
      <c r="Q3567" s="10">
        <v>87.7</v>
      </c>
      <c r="R3567" s="10" t="s">
        <v>913</v>
      </c>
      <c r="S3567" s="34">
        <f t="shared" si="402"/>
        <v>87.7</v>
      </c>
      <c r="T3567" s="10" t="s">
        <v>1267</v>
      </c>
      <c r="U3567" s="34" t="str">
        <f t="shared" si="403"/>
        <v/>
      </c>
      <c r="V3567" s="31" t="str">
        <f>IF(H3567="CHK",VLOOKUP(I3567,QCCHK,3,),IF(H3567="GUP",VLOOKUP(E3567,QCGUP,2,),IF(AND(H3567="ATP",OR(I3567="TN",I3567="TDN",I3567="TNO2-3",I3567="NO2-3")),VLOOKUP(E3567,QCREC_N,2,),IF(AND(H3567="NIC",OR(I3567="TN",I3567="TDN",I3567="TNO2-3",I3567="NO2-3")),VLOOKUP(E3567,QCNIC_N,2,),IF(AND(H3567="UREA",OR(I3567="TN",I3567="TDN",I3567="TNO2-3",I3567="NO2-3")),VLOOKUP(E3567,QCUREA_N,2,),IF(H3567="PER",VLOOKUP(I3567,QCPER,MATCH(E3567,QCACTUAL!$J$25:$AA$25,0),),IF(H3567="SPK",VLOOKUP(I3567,QCSPK,3,),IF(AND(H3567="ATP",OR(I3567="TP",I3567="TDP")),VLOOKUP(E3567,QCATP_P,2,),""))))))))</f>
        <v/>
      </c>
      <c r="W3567" s="31" t="str">
        <f t="shared" si="404"/>
        <v>TRUE</v>
      </c>
      <c r="X3567" s="31" t="str">
        <f t="shared" si="401"/>
        <v/>
      </c>
      <c r="Y3567" s="10" t="s">
        <v>1253</v>
      </c>
      <c r="AL3567" s="10" t="str">
        <f t="shared" si="406"/>
        <v>FALSE</v>
      </c>
      <c r="AM3567" s="10" t="str">
        <f t="shared" si="406"/>
        <v>FALSE</v>
      </c>
      <c r="AN3567" s="10" t="str">
        <f t="shared" si="406"/>
        <v>FALSE</v>
      </c>
      <c r="AO3567" s="10" t="str">
        <f t="shared" si="407"/>
        <v>FALSE</v>
      </c>
      <c r="AP3567" s="10" t="str">
        <f t="shared" si="407"/>
        <v>FALSE</v>
      </c>
      <c r="AQ3567" s="10" t="b">
        <f>IF(AND(I3567="TP",S3567&lt;=150),VLOOKUP(AF3567,TPCalibEq150!$AZ$2:$BB$55,3,),IF(AND(I3567="TDP",S3567&lt;=150),VLOOKUP(AF3567,TPCalibEq150!$AZ$2:$BB$55,3,)))</f>
        <v>0</v>
      </c>
      <c r="AR3567" s="10" t="b">
        <f>IF(AND(I3567="TP",S3567&lt;=300),VLOOKUP(AF3567,TPCalibEq300!$AZ$2:$BB$55,3,),IF(AND(I3567="TDP",S3567&lt;=300),VLOOKUP(AF3567,TPCalibEq300!$AZ$2:$BB$55,3,)))</f>
        <v>0</v>
      </c>
      <c r="AS3567" s="10" t="b">
        <f>IF(AND(I3567="TP",S3567&lt;=500),VLOOKUP(AF3567,TPCalibEq500!$AZ$2:$BB$56,3,),IF(AND(I3567="TDP",S3567&lt;=500),VLOOKUP(AF3567,TPCalibEq500!$AZ$2:$BB$56,3,)))</f>
        <v>0</v>
      </c>
      <c r="AT3567" s="10" t="b">
        <f>IF(AND(I3567="TN",S3567&lt;=2800),VLOOKUP(AF3567,TNCalibEq2500!$AZ$2:$BB$56,3,),IF(AND(I3567="TDN",S3567&lt;=2800),VLOOKUP(AF3567,TNCalibEq2500!$AZ$2:$BB$56,3,)))</f>
        <v>0</v>
      </c>
      <c r="AU3567" s="10" t="b">
        <f>IF(I3567="TP",VLOOKUP(AF3567,TPCalibEqFull!$AZ$2:$BB$56,3),IF(I3567="TDP",VLOOKUP(AF3567,TPCalibEqFull!$AZ$2:$BB$56,3),IF(I3567="TDN",VLOOKUP(AF3567,TNCalibEqFull!$AZ$1:$BB$56,3),IF(I3567="TN",VLOOKUP(AF3567,TNCalibEqFull!$AZ$1:$BB$56,3),FALSE))))</f>
        <v>0</v>
      </c>
      <c r="AV3567" s="10" t="str">
        <f t="shared" si="405"/>
        <v>0221 07:35:00-EFK-0-FIL-1-SW-UKN</v>
      </c>
    </row>
    <row r="3568" spans="1:48" s="10" customFormat="1" x14ac:dyDescent="0.55000000000000004">
      <c r="A3568" s="32">
        <v>44978</v>
      </c>
      <c r="B3568" s="33">
        <v>0.31944444444444448</v>
      </c>
      <c r="C3568" s="10" t="s">
        <v>333</v>
      </c>
      <c r="D3568" s="10">
        <v>0</v>
      </c>
      <c r="E3568" s="10" t="s">
        <v>911</v>
      </c>
      <c r="F3568" s="10">
        <v>1</v>
      </c>
      <c r="G3568" s="10" t="s">
        <v>231</v>
      </c>
      <c r="H3568" s="10" t="s">
        <v>322</v>
      </c>
      <c r="I3568" s="10" t="s">
        <v>167</v>
      </c>
      <c r="J3568" s="10">
        <v>46</v>
      </c>
      <c r="K3568" s="12">
        <v>44980</v>
      </c>
      <c r="L3568" s="33">
        <v>0.53627314814814808</v>
      </c>
      <c r="M3568" s="10">
        <v>1</v>
      </c>
      <c r="N3568" s="10" t="s">
        <v>211</v>
      </c>
      <c r="O3568" s="10">
        <v>0.315</v>
      </c>
      <c r="P3568" s="10">
        <v>2.8500000000000001E-2</v>
      </c>
      <c r="Q3568" s="10">
        <v>54.8</v>
      </c>
      <c r="R3568" s="10" t="s">
        <v>913</v>
      </c>
      <c r="S3568" s="34">
        <f t="shared" si="402"/>
        <v>54.8</v>
      </c>
      <c r="T3568" s="10" t="s">
        <v>1267</v>
      </c>
      <c r="U3568" s="34" t="str">
        <f t="shared" si="403"/>
        <v/>
      </c>
      <c r="V3568" s="31" t="str">
        <f>IF(H3568="CHK",VLOOKUP(I3568,QCCHK,3,),IF(H3568="GUP",VLOOKUP(E3568,QCGUP,2,),IF(AND(H3568="ATP",OR(I3568="TN",I3568="TDN",I3568="TNO2-3",I3568="NO2-3")),VLOOKUP(E3568,QCREC_N,2,),IF(AND(H3568="NIC",OR(I3568="TN",I3568="TDN",I3568="TNO2-3",I3568="NO2-3")),VLOOKUP(E3568,QCNIC_N,2,),IF(AND(H3568="UREA",OR(I3568="TN",I3568="TDN",I3568="TNO2-3",I3568="NO2-3")),VLOOKUP(E3568,QCUREA_N,2,),IF(H3568="PER",VLOOKUP(I3568,QCPER,MATCH(E3568,QCACTUAL!$J$25:$AA$25,0),),IF(H3568="SPK",VLOOKUP(I3568,QCSPK,3,),IF(AND(H3568="ATP",OR(I3568="TP",I3568="TDP")),VLOOKUP(E3568,QCATP_P,2,),""))))))))</f>
        <v/>
      </c>
      <c r="W3568" s="31" t="str">
        <f t="shared" si="404"/>
        <v>TRUE</v>
      </c>
      <c r="X3568" s="31" t="str">
        <f t="shared" si="401"/>
        <v/>
      </c>
      <c r="Y3568" s="10" t="s">
        <v>1253</v>
      </c>
      <c r="AL3568" s="10" t="str">
        <f t="shared" si="406"/>
        <v>FALSE</v>
      </c>
      <c r="AM3568" s="10" t="str">
        <f t="shared" si="406"/>
        <v>FALSE</v>
      </c>
      <c r="AN3568" s="10" t="str">
        <f t="shared" si="406"/>
        <v>FALSE</v>
      </c>
      <c r="AO3568" s="10" t="str">
        <f t="shared" si="407"/>
        <v>FALSE</v>
      </c>
      <c r="AP3568" s="10" t="str">
        <f t="shared" si="407"/>
        <v>FALSE</v>
      </c>
      <c r="AQ3568" s="10" t="b">
        <f>IF(AND(I3568="TP",S3568&lt;=150),VLOOKUP(AF3568,TPCalibEq150!$AZ$2:$BB$55,3,),IF(AND(I3568="TDP",S3568&lt;=150),VLOOKUP(AF3568,TPCalibEq150!$AZ$2:$BB$55,3,)))</f>
        <v>0</v>
      </c>
      <c r="AR3568" s="10" t="b">
        <f>IF(AND(I3568="TP",S3568&lt;=300),VLOOKUP(AF3568,TPCalibEq300!$AZ$2:$BB$55,3,),IF(AND(I3568="TDP",S3568&lt;=300),VLOOKUP(AF3568,TPCalibEq300!$AZ$2:$BB$55,3,)))</f>
        <v>0</v>
      </c>
      <c r="AS3568" s="10" t="b">
        <f>IF(AND(I3568="TP",S3568&lt;=500),VLOOKUP(AF3568,TPCalibEq500!$AZ$2:$BB$56,3,),IF(AND(I3568="TDP",S3568&lt;=500),VLOOKUP(AF3568,TPCalibEq500!$AZ$2:$BB$56,3,)))</f>
        <v>0</v>
      </c>
      <c r="AT3568" s="10" t="b">
        <f>IF(AND(I3568="TN",S3568&lt;=2800),VLOOKUP(AF3568,TNCalibEq2500!$AZ$2:$BB$56,3,),IF(AND(I3568="TDN",S3568&lt;=2800),VLOOKUP(AF3568,TNCalibEq2500!$AZ$2:$BB$56,3,)))</f>
        <v>0</v>
      </c>
      <c r="AU3568" s="10" t="b">
        <f>IF(I3568="TP",VLOOKUP(AF3568,TPCalibEqFull!$AZ$2:$BB$56,3),IF(I3568="TDP",VLOOKUP(AF3568,TPCalibEqFull!$AZ$2:$BB$56,3),IF(I3568="TDN",VLOOKUP(AF3568,TNCalibEqFull!$AZ$1:$BB$56,3),IF(I3568="TN",VLOOKUP(AF3568,TNCalibEqFull!$AZ$1:$BB$56,3),FALSE))))</f>
        <v>0</v>
      </c>
      <c r="AV3568" s="10" t="str">
        <f t="shared" si="405"/>
        <v>0221 07:40:00-HST-0-FIL-1-SW-UKN</v>
      </c>
    </row>
    <row r="3569" spans="1:48" s="10" customFormat="1" x14ac:dyDescent="0.55000000000000004">
      <c r="A3569" s="32">
        <v>44978</v>
      </c>
      <c r="B3569" s="33">
        <v>0.31944444444444448</v>
      </c>
      <c r="C3569" s="10" t="s">
        <v>333</v>
      </c>
      <c r="D3569" s="10">
        <v>0</v>
      </c>
      <c r="E3569" s="10" t="s">
        <v>911</v>
      </c>
      <c r="F3569" s="10">
        <v>1</v>
      </c>
      <c r="G3569" s="10" t="s">
        <v>231</v>
      </c>
      <c r="H3569" s="10" t="s">
        <v>233</v>
      </c>
      <c r="I3569" s="10" t="s">
        <v>167</v>
      </c>
      <c r="J3569" s="10">
        <v>46</v>
      </c>
      <c r="K3569" s="12">
        <v>44980</v>
      </c>
      <c r="L3569" s="33">
        <v>0.5370949074074074</v>
      </c>
      <c r="M3569" s="10">
        <v>1</v>
      </c>
      <c r="N3569" s="10" t="s">
        <v>211</v>
      </c>
      <c r="O3569" s="10">
        <v>0.30499999999999999</v>
      </c>
      <c r="P3569" s="10">
        <v>2.8000000000000001E-2</v>
      </c>
      <c r="Q3569" s="10">
        <v>53</v>
      </c>
      <c r="R3569" s="10" t="s">
        <v>913</v>
      </c>
      <c r="S3569" s="34">
        <f t="shared" si="402"/>
        <v>53</v>
      </c>
      <c r="T3569" s="10" t="s">
        <v>1267</v>
      </c>
      <c r="U3569" s="34">
        <f t="shared" si="403"/>
        <v>3.3395176252319061</v>
      </c>
      <c r="V3569" s="31" t="str">
        <f>IF(H3569="CHK",VLOOKUP(I3569,QCCHK,3,),IF(H3569="GUP",VLOOKUP(E3569,QCGUP,2,),IF(AND(H3569="ATP",OR(I3569="TN",I3569="TDN",I3569="TNO2-3",I3569="NO2-3")),VLOOKUP(E3569,QCREC_N,2,),IF(AND(H3569="NIC",OR(I3569="TN",I3569="TDN",I3569="TNO2-3",I3569="NO2-3")),VLOOKUP(E3569,QCNIC_N,2,),IF(AND(H3569="UREA",OR(I3569="TN",I3569="TDN",I3569="TNO2-3",I3569="NO2-3")),VLOOKUP(E3569,QCUREA_N,2,),IF(H3569="PER",VLOOKUP(I3569,QCPER,MATCH(E3569,QCACTUAL!$J$25:$AA$25,0),),IF(H3569="SPK",VLOOKUP(I3569,QCSPK,3,),IF(AND(H3569="ATP",OR(I3569="TP",I3569="TDP")),VLOOKUP(E3569,QCATP_P,2,),""))))))))</f>
        <v/>
      </c>
      <c r="W3569" s="31" t="str">
        <f t="shared" si="404"/>
        <v>TRUE</v>
      </c>
      <c r="X3569" s="31" t="str">
        <f t="shared" si="401"/>
        <v>((ABS(rep1-rep2))/((rep1+rep2)/2)*100</v>
      </c>
      <c r="Y3569" s="10" t="s">
        <v>1253</v>
      </c>
      <c r="AL3569" s="10" t="str">
        <f t="shared" si="406"/>
        <v>FALSE</v>
      </c>
      <c r="AM3569" s="10" t="str">
        <f t="shared" si="406"/>
        <v>FALSE</v>
      </c>
      <c r="AN3569" s="10" t="str">
        <f t="shared" si="406"/>
        <v>FALSE</v>
      </c>
      <c r="AO3569" s="10" t="str">
        <f t="shared" si="407"/>
        <v>FALSE</v>
      </c>
      <c r="AP3569" s="10" t="str">
        <f t="shared" si="407"/>
        <v>FALSE</v>
      </c>
      <c r="AQ3569" s="10" t="b">
        <f>IF(AND(I3569="TP",S3569&lt;=150),VLOOKUP(AF3569,TPCalibEq150!$AZ$2:$BB$55,3,),IF(AND(I3569="TDP",S3569&lt;=150),VLOOKUP(AF3569,TPCalibEq150!$AZ$2:$BB$55,3,)))</f>
        <v>0</v>
      </c>
      <c r="AR3569" s="10" t="b">
        <f>IF(AND(I3569="TP",S3569&lt;=300),VLOOKUP(AF3569,TPCalibEq300!$AZ$2:$BB$55,3,),IF(AND(I3569="TDP",S3569&lt;=300),VLOOKUP(AF3569,TPCalibEq300!$AZ$2:$BB$55,3,)))</f>
        <v>0</v>
      </c>
      <c r="AS3569" s="10" t="b">
        <f>IF(AND(I3569="TP",S3569&lt;=500),VLOOKUP(AF3569,TPCalibEq500!$AZ$2:$BB$56,3,),IF(AND(I3569="TDP",S3569&lt;=500),VLOOKUP(AF3569,TPCalibEq500!$AZ$2:$BB$56,3,)))</f>
        <v>0</v>
      </c>
      <c r="AT3569" s="10" t="b">
        <f>IF(AND(I3569="TN",S3569&lt;=2800),VLOOKUP(AF3569,TNCalibEq2500!$AZ$2:$BB$56,3,),IF(AND(I3569="TDN",S3569&lt;=2800),VLOOKUP(AF3569,TNCalibEq2500!$AZ$2:$BB$56,3,)))</f>
        <v>0</v>
      </c>
      <c r="AU3569" s="10" t="b">
        <f>IF(I3569="TP",VLOOKUP(AF3569,TPCalibEqFull!$AZ$2:$BB$56,3),IF(I3569="TDP",VLOOKUP(AF3569,TPCalibEqFull!$AZ$2:$BB$56,3),IF(I3569="TDN",VLOOKUP(AF3569,TNCalibEqFull!$AZ$1:$BB$56,3),IF(I3569="TN",VLOOKUP(AF3569,TNCalibEqFull!$AZ$1:$BB$56,3),FALSE))))</f>
        <v>0</v>
      </c>
      <c r="AV3569" s="10" t="str">
        <f t="shared" si="405"/>
        <v>0221 07:40:00-HST-0-FIL-1-SW-DUP</v>
      </c>
    </row>
    <row r="3570" spans="1:48" s="10" customFormat="1" x14ac:dyDescent="0.55000000000000004">
      <c r="A3570" s="32">
        <v>44978</v>
      </c>
      <c r="B3570" s="33">
        <v>0.31944444444444448</v>
      </c>
      <c r="C3570" s="10" t="s">
        <v>912</v>
      </c>
      <c r="D3570" s="10">
        <v>0</v>
      </c>
      <c r="E3570" s="10" t="s">
        <v>911</v>
      </c>
      <c r="F3570" s="10">
        <v>1</v>
      </c>
      <c r="G3570" s="10" t="s">
        <v>231</v>
      </c>
      <c r="H3570" s="10" t="s">
        <v>314</v>
      </c>
      <c r="I3570" s="10" t="s">
        <v>167</v>
      </c>
      <c r="J3570" s="10">
        <v>86</v>
      </c>
      <c r="K3570" s="12">
        <v>44980</v>
      </c>
      <c r="L3570" s="33">
        <v>0.53790509259259256</v>
      </c>
      <c r="M3570" s="10">
        <v>1</v>
      </c>
      <c r="N3570" s="10" t="s">
        <v>211</v>
      </c>
      <c r="O3570" s="10">
        <v>1.25</v>
      </c>
      <c r="P3570" s="10">
        <v>0.11899999999999999</v>
      </c>
      <c r="Q3570" s="10">
        <v>219</v>
      </c>
      <c r="R3570" s="10" t="s">
        <v>913</v>
      </c>
      <c r="S3570" s="34">
        <f t="shared" si="402"/>
        <v>219</v>
      </c>
      <c r="T3570" s="10" t="s">
        <v>1267</v>
      </c>
      <c r="U3570" s="34">
        <f t="shared" si="403"/>
        <v>106.24</v>
      </c>
      <c r="V3570" s="31">
        <f>IF(H3570="CHK",VLOOKUP(I3570,QCCHK,3,),IF(H3570="GUP",VLOOKUP(E3570,QCGUP,2,),IF(AND(H3570="ATP",OR(I3570="TN",I3570="TDN",I3570="TNO2-3",I3570="NO2-3")),VLOOKUP(E3570,QCREC_N,2,),IF(AND(H3570="NIC",OR(I3570="TN",I3570="TDN",I3570="TNO2-3",I3570="NO2-3")),VLOOKUP(E3570,QCNIC_N,2,),IF(AND(H3570="UREA",OR(I3570="TN",I3570="TDN",I3570="TNO2-3",I3570="NO2-3")),VLOOKUP(E3570,QCUREA_N,2,),IF(H3570="PER",VLOOKUP(I3570,QCPER,MATCH(E3570,QCACTUAL!$J$25:$AA$25,0),),IF(H3570="SPK",VLOOKUP(I3570,QCSPK,3,),IF(AND(H3570="ATP",OR(I3570="TP",I3570="TDP")),VLOOKUP(E3570,QCATP_P,2,),""))))))))</f>
        <v>156.25</v>
      </c>
      <c r="W3570" s="31" t="str">
        <f t="shared" si="404"/>
        <v>TRUE</v>
      </c>
      <c r="X3570" s="31" t="str">
        <f t="shared" si="401"/>
        <v>([spikedunkn]-[unkn])/[spike]*100</v>
      </c>
      <c r="Y3570" s="10" t="s">
        <v>1253</v>
      </c>
      <c r="AL3570" s="10" t="str">
        <f t="shared" si="406"/>
        <v>FALSE</v>
      </c>
      <c r="AM3570" s="10" t="str">
        <f t="shared" si="406"/>
        <v>FALSE</v>
      </c>
      <c r="AN3570" s="10" t="str">
        <f t="shared" si="406"/>
        <v>FALSE</v>
      </c>
      <c r="AO3570" s="10" t="str">
        <f t="shared" si="407"/>
        <v>FALSE</v>
      </c>
      <c r="AP3570" s="10" t="str">
        <f t="shared" si="407"/>
        <v>FALSE</v>
      </c>
      <c r="AQ3570" s="10" t="b">
        <f>IF(AND(I3570="TP",S3570&lt;=150),VLOOKUP(AF3570,TPCalibEq150!$AZ$2:$BB$55,3,),IF(AND(I3570="TDP",S3570&lt;=150),VLOOKUP(AF3570,TPCalibEq150!$AZ$2:$BB$55,3,)))</f>
        <v>0</v>
      </c>
      <c r="AR3570" s="10" t="b">
        <f>IF(AND(I3570="TP",S3570&lt;=300),VLOOKUP(AF3570,TPCalibEq300!$AZ$2:$BB$55,3,),IF(AND(I3570="TDP",S3570&lt;=300),VLOOKUP(AF3570,TPCalibEq300!$AZ$2:$BB$55,3,)))</f>
        <v>0</v>
      </c>
      <c r="AS3570" s="10" t="b">
        <f>IF(AND(I3570="TP",S3570&lt;=500),VLOOKUP(AF3570,TPCalibEq500!$AZ$2:$BB$56,3,),IF(AND(I3570="TDP",S3570&lt;=500),VLOOKUP(AF3570,TPCalibEq500!$AZ$2:$BB$56,3,)))</f>
        <v>0</v>
      </c>
      <c r="AT3570" s="10" t="b">
        <f>IF(AND(I3570="TN",S3570&lt;=2800),VLOOKUP(AF3570,TNCalibEq2500!$AZ$2:$BB$56,3,),IF(AND(I3570="TDN",S3570&lt;=2800),VLOOKUP(AF3570,TNCalibEq2500!$AZ$2:$BB$56,3,)))</f>
        <v>0</v>
      </c>
      <c r="AU3570" s="10" t="b">
        <f>IF(I3570="TP",VLOOKUP(AF3570,TPCalibEqFull!$AZ$2:$BB$56,3),IF(I3570="TDP",VLOOKUP(AF3570,TPCalibEqFull!$AZ$2:$BB$56,3),IF(I3570="TDN",VLOOKUP(AF3570,TNCalibEqFull!$AZ$1:$BB$56,3),IF(I3570="TN",VLOOKUP(AF3570,TNCalibEqFull!$AZ$1:$BB$56,3),FALSE))))</f>
        <v>0</v>
      </c>
      <c r="AV3570" s="10" t="str">
        <f t="shared" si="405"/>
        <v>0221 07:40:00-HST -0-FIL-1-SW-SPK</v>
      </c>
    </row>
    <row r="3571" spans="1:48" s="10" customFormat="1" x14ac:dyDescent="0.55000000000000004">
      <c r="A3571" s="32">
        <v>44979</v>
      </c>
      <c r="B3571" s="33">
        <v>0.375</v>
      </c>
      <c r="C3571" s="10" t="s">
        <v>70</v>
      </c>
      <c r="D3571" s="10" t="s">
        <v>71</v>
      </c>
      <c r="E3571" s="10" t="s">
        <v>901</v>
      </c>
      <c r="F3571" s="10">
        <v>1</v>
      </c>
      <c r="G3571" s="10" t="s">
        <v>73</v>
      </c>
      <c r="H3571" s="10" t="s">
        <v>207</v>
      </c>
      <c r="I3571" s="10" t="s">
        <v>285</v>
      </c>
      <c r="J3571" s="10">
        <v>201</v>
      </c>
      <c r="K3571" s="12">
        <v>44980</v>
      </c>
      <c r="L3571" s="33">
        <v>0.53872685185185187</v>
      </c>
      <c r="M3571" s="10">
        <v>1</v>
      </c>
      <c r="N3571" s="10" t="s">
        <v>211</v>
      </c>
      <c r="O3571" s="10">
        <v>0.442</v>
      </c>
      <c r="P3571" s="10">
        <v>4.0899999999999999E-2</v>
      </c>
      <c r="Q3571" s="10">
        <v>77.099999999999994</v>
      </c>
      <c r="R3571" s="10" t="s">
        <v>913</v>
      </c>
      <c r="S3571" s="34">
        <f t="shared" si="402"/>
        <v>77.099999999999994</v>
      </c>
      <c r="T3571" s="10" t="s">
        <v>1267</v>
      </c>
      <c r="U3571" s="34">
        <f t="shared" si="403"/>
        <v>102.8</v>
      </c>
      <c r="V3571" s="31">
        <f>IF(H3571="CHK",VLOOKUP(I3571,QCCHK,3,),IF(H3571="GUP",VLOOKUP(E3571,QCGUP,2,),IF(AND(H3571="ATP",OR(I3571="TN",I3571="TDN",I3571="TNO2-3",I3571="NO2-3")),VLOOKUP(E3571,QCREC_N,2,),IF(AND(H3571="NIC",OR(I3571="TN",I3571="TDN",I3571="TNO2-3",I3571="NO2-3")),VLOOKUP(E3571,QCNIC_N,2,),IF(AND(H3571="UREA",OR(I3571="TN",I3571="TDN",I3571="TNO2-3",I3571="NO2-3")),VLOOKUP(E3571,QCUREA_N,2,),IF(H3571="PER",VLOOKUP(I3571,QCPER,MATCH(E3571,QCACTUAL!$J$25:$AA$25,0),),IF(H3571="SPK",VLOOKUP(I3571,QCSPK,3,),IF(AND(H3571="ATP",OR(I3571="TP",I3571="TDP")),VLOOKUP(E3571,QCATP_P,2,),""))))))))</f>
        <v>75</v>
      </c>
      <c r="W3571" s="31" t="str">
        <f t="shared" si="404"/>
        <v>TRUE</v>
      </c>
      <c r="X3571" s="31" t="str">
        <f t="shared" si="401"/>
        <v>[chk]/[actual]*100</v>
      </c>
      <c r="Y3571" s="10" t="s">
        <v>1253</v>
      </c>
      <c r="AL3571" s="10" t="str">
        <f t="shared" si="406"/>
        <v>FALSE</v>
      </c>
      <c r="AM3571" s="10" t="str">
        <f t="shared" si="406"/>
        <v>FALSE</v>
      </c>
      <c r="AN3571" s="10" t="str">
        <f t="shared" si="406"/>
        <v>FALSE</v>
      </c>
      <c r="AO3571" s="10" t="str">
        <f t="shared" si="407"/>
        <v>FALSE</v>
      </c>
      <c r="AP3571" s="10" t="str">
        <f t="shared" si="407"/>
        <v>FALSE</v>
      </c>
      <c r="AQ3571" s="10" t="b">
        <f>IF(AND(I3571="TP",S3571&lt;=150),VLOOKUP(AF3571,TPCalibEq150!$AZ$2:$BB$55,3,),IF(AND(I3571="TDP",S3571&lt;=150),VLOOKUP(AF3571,TPCalibEq150!$AZ$2:$BB$55,3,)))</f>
        <v>0</v>
      </c>
      <c r="AR3571" s="10" t="b">
        <f>IF(AND(I3571="TP",S3571&lt;=300),VLOOKUP(AF3571,TPCalibEq300!$AZ$2:$BB$55,3,),IF(AND(I3571="TDP",S3571&lt;=300),VLOOKUP(AF3571,TPCalibEq300!$AZ$2:$BB$55,3,)))</f>
        <v>0</v>
      </c>
      <c r="AS3571" s="10" t="b">
        <f>IF(AND(I3571="TP",S3571&lt;=500),VLOOKUP(AF3571,TPCalibEq500!$AZ$2:$BB$56,3,),IF(AND(I3571="TDP",S3571&lt;=500),VLOOKUP(AF3571,TPCalibEq500!$AZ$2:$BB$56,3,)))</f>
        <v>0</v>
      </c>
      <c r="AT3571" s="10" t="b">
        <f>IF(AND(I3571="TN",S3571&lt;=2800),VLOOKUP(AF3571,TNCalibEq2500!$AZ$2:$BB$56,3,),IF(AND(I3571="TDN",S3571&lt;=2800),VLOOKUP(AF3571,TNCalibEq2500!$AZ$2:$BB$56,3,)))</f>
        <v>0</v>
      </c>
      <c r="AU3571" s="10" t="b">
        <f>IF(I3571="TP",VLOOKUP(AF3571,TPCalibEqFull!$AZ$2:$BB$56,3),IF(I3571="TDP",VLOOKUP(AF3571,TPCalibEqFull!$AZ$2:$BB$56,3),IF(I3571="TDN",VLOOKUP(AF3571,TNCalibEqFull!$AZ$1:$BB$56,3),IF(I3571="TN",VLOOKUP(AF3571,TNCalibEqFull!$AZ$1:$BB$56,3),FALSE))))</f>
        <v>0</v>
      </c>
      <c r="AV3571" s="10" t="str">
        <f t="shared" si="405"/>
        <v>0222 09:00:00-QAC-STD-D-1-DI-CHK</v>
      </c>
    </row>
    <row r="3572" spans="1:48" s="10" customFormat="1" x14ac:dyDescent="0.55000000000000004">
      <c r="A3572" s="32">
        <v>44978</v>
      </c>
      <c r="B3572" s="33">
        <v>0.4777777777777778</v>
      </c>
      <c r="C3572" s="10" t="s">
        <v>431</v>
      </c>
      <c r="D3572" s="10">
        <v>0</v>
      </c>
      <c r="E3572" s="10" t="s">
        <v>911</v>
      </c>
      <c r="F3572" s="10">
        <v>1</v>
      </c>
      <c r="G3572" s="10" t="s">
        <v>231</v>
      </c>
      <c r="H3572" s="10" t="s">
        <v>322</v>
      </c>
      <c r="I3572" s="10" t="s">
        <v>167</v>
      </c>
      <c r="J3572" s="10">
        <v>47</v>
      </c>
      <c r="K3572" s="12">
        <v>44980</v>
      </c>
      <c r="L3572" s="33">
        <v>0.53956018518518511</v>
      </c>
      <c r="M3572" s="10">
        <v>1</v>
      </c>
      <c r="N3572" s="10" t="s">
        <v>211</v>
      </c>
      <c r="O3572" s="10">
        <v>0.42799999999999999</v>
      </c>
      <c r="P3572" s="10">
        <v>3.9699999999999999E-2</v>
      </c>
      <c r="Q3572" s="10">
        <v>74.7</v>
      </c>
      <c r="R3572" s="10" t="s">
        <v>913</v>
      </c>
      <c r="S3572" s="34">
        <f t="shared" si="402"/>
        <v>74.7</v>
      </c>
      <c r="T3572" s="10" t="s">
        <v>1267</v>
      </c>
      <c r="U3572" s="34" t="str">
        <f t="shared" si="403"/>
        <v/>
      </c>
      <c r="V3572" s="31" t="str">
        <f>IF(H3572="CHK",VLOOKUP(I3572,QCCHK,3,),IF(H3572="GUP",VLOOKUP(E3572,QCGUP,2,),IF(AND(H3572="ATP",OR(I3572="TN",I3572="TDN",I3572="TNO2-3",I3572="NO2-3")),VLOOKUP(E3572,QCREC_N,2,),IF(AND(H3572="NIC",OR(I3572="TN",I3572="TDN",I3572="TNO2-3",I3572="NO2-3")),VLOOKUP(E3572,QCNIC_N,2,),IF(AND(H3572="UREA",OR(I3572="TN",I3572="TDN",I3572="TNO2-3",I3572="NO2-3")),VLOOKUP(E3572,QCUREA_N,2,),IF(H3572="PER",VLOOKUP(I3572,QCPER,MATCH(E3572,QCACTUAL!$J$25:$AA$25,0),),IF(H3572="SPK",VLOOKUP(I3572,QCSPK,3,),IF(AND(H3572="ATP",OR(I3572="TP",I3572="TDP")),VLOOKUP(E3572,QCATP_P,2,),""))))))))</f>
        <v/>
      </c>
      <c r="W3572" s="31" t="str">
        <f t="shared" si="404"/>
        <v>TRUE</v>
      </c>
      <c r="X3572" s="31" t="str">
        <f t="shared" si="401"/>
        <v/>
      </c>
      <c r="Y3572" s="10" t="s">
        <v>1253</v>
      </c>
      <c r="AL3572" s="10" t="str">
        <f t="shared" si="406"/>
        <v>FALSE</v>
      </c>
      <c r="AM3572" s="10" t="str">
        <f t="shared" si="406"/>
        <v>FALSE</v>
      </c>
      <c r="AN3572" s="10" t="str">
        <f t="shared" si="406"/>
        <v>FALSE</v>
      </c>
      <c r="AO3572" s="10" t="str">
        <f t="shared" si="407"/>
        <v>FALSE</v>
      </c>
      <c r="AP3572" s="10" t="str">
        <f t="shared" si="407"/>
        <v>FALSE</v>
      </c>
      <c r="AQ3572" s="10" t="b">
        <f>IF(AND(I3572="TP",S3572&lt;=150),VLOOKUP(AF3572,TPCalibEq150!$AZ$2:$BB$55,3,),IF(AND(I3572="TDP",S3572&lt;=150),VLOOKUP(AF3572,TPCalibEq150!$AZ$2:$BB$55,3,)))</f>
        <v>0</v>
      </c>
      <c r="AR3572" s="10" t="b">
        <f>IF(AND(I3572="TP",S3572&lt;=300),VLOOKUP(AF3572,TPCalibEq300!$AZ$2:$BB$55,3,),IF(AND(I3572="TDP",S3572&lt;=300),VLOOKUP(AF3572,TPCalibEq300!$AZ$2:$BB$55,3,)))</f>
        <v>0</v>
      </c>
      <c r="AS3572" s="10" t="b">
        <f>IF(AND(I3572="TP",S3572&lt;=500),VLOOKUP(AF3572,TPCalibEq500!$AZ$2:$BB$56,3,),IF(AND(I3572="TDP",S3572&lt;=500),VLOOKUP(AF3572,TPCalibEq500!$AZ$2:$BB$56,3,)))</f>
        <v>0</v>
      </c>
      <c r="AT3572" s="10" t="b">
        <f>IF(AND(I3572="TN",S3572&lt;=2800),VLOOKUP(AF3572,TNCalibEq2500!$AZ$2:$BB$56,3,),IF(AND(I3572="TDN",S3572&lt;=2800),VLOOKUP(AF3572,TNCalibEq2500!$AZ$2:$BB$56,3,)))</f>
        <v>0</v>
      </c>
      <c r="AU3572" s="10" t="b">
        <f>IF(I3572="TP",VLOOKUP(AF3572,TPCalibEqFull!$AZ$2:$BB$56,3),IF(I3572="TDP",VLOOKUP(AF3572,TPCalibEqFull!$AZ$2:$BB$56,3),IF(I3572="TDN",VLOOKUP(AF3572,TNCalibEqFull!$AZ$1:$BB$56,3),IF(I3572="TN",VLOOKUP(AF3572,TNCalibEqFull!$AZ$1:$BB$56,3),FALSE))))</f>
        <v>0</v>
      </c>
      <c r="AV3572" s="10" t="str">
        <f t="shared" si="405"/>
        <v>0221 11:28:00-EUS-0-FIL-1-SW-UKN</v>
      </c>
    </row>
    <row r="3573" spans="1:48" s="10" customFormat="1" x14ac:dyDescent="0.55000000000000004">
      <c r="A3573" s="32">
        <v>44978</v>
      </c>
      <c r="B3573" s="33">
        <v>0.48055555555555557</v>
      </c>
      <c r="C3573" s="10" t="s">
        <v>431</v>
      </c>
      <c r="D3573" s="10">
        <v>5</v>
      </c>
      <c r="E3573" s="10" t="s">
        <v>911</v>
      </c>
      <c r="F3573" s="10">
        <v>1</v>
      </c>
      <c r="G3573" s="10" t="s">
        <v>231</v>
      </c>
      <c r="H3573" s="10" t="s">
        <v>322</v>
      </c>
      <c r="I3573" s="10" t="s">
        <v>167</v>
      </c>
      <c r="J3573" s="10">
        <v>48</v>
      </c>
      <c r="K3573" s="12">
        <v>44980</v>
      </c>
      <c r="L3573" s="33">
        <v>0.54037037037037039</v>
      </c>
      <c r="M3573" s="10">
        <v>1</v>
      </c>
      <c r="N3573" s="10" t="s">
        <v>211</v>
      </c>
      <c r="O3573" s="10">
        <v>0.45900000000000002</v>
      </c>
      <c r="P3573" s="10">
        <v>4.2500000000000003E-2</v>
      </c>
      <c r="Q3573" s="10">
        <v>80.2</v>
      </c>
      <c r="R3573" s="10" t="s">
        <v>913</v>
      </c>
      <c r="S3573" s="34">
        <f t="shared" si="402"/>
        <v>80.2</v>
      </c>
      <c r="T3573" s="10" t="s">
        <v>1267</v>
      </c>
      <c r="U3573" s="34" t="str">
        <f t="shared" si="403"/>
        <v/>
      </c>
      <c r="V3573" s="31" t="str">
        <f>IF(H3573="CHK",VLOOKUP(I3573,QCCHK,3,),IF(H3573="GUP",VLOOKUP(E3573,QCGUP,2,),IF(AND(H3573="ATP",OR(I3573="TN",I3573="TDN",I3573="TNO2-3",I3573="NO2-3")),VLOOKUP(E3573,QCREC_N,2,),IF(AND(H3573="NIC",OR(I3573="TN",I3573="TDN",I3573="TNO2-3",I3573="NO2-3")),VLOOKUP(E3573,QCNIC_N,2,),IF(AND(H3573="UREA",OR(I3573="TN",I3573="TDN",I3573="TNO2-3",I3573="NO2-3")),VLOOKUP(E3573,QCUREA_N,2,),IF(H3573="PER",VLOOKUP(I3573,QCPER,MATCH(E3573,QCACTUAL!$J$25:$AA$25,0),),IF(H3573="SPK",VLOOKUP(I3573,QCSPK,3,),IF(AND(H3573="ATP",OR(I3573="TP",I3573="TDP")),VLOOKUP(E3573,QCATP_P,2,),""))))))))</f>
        <v/>
      </c>
      <c r="W3573" s="31" t="str">
        <f t="shared" si="404"/>
        <v>TRUE</v>
      </c>
      <c r="X3573" s="31" t="str">
        <f t="shared" si="401"/>
        <v/>
      </c>
      <c r="Y3573" s="10" t="s">
        <v>1253</v>
      </c>
      <c r="AL3573" s="10" t="str">
        <f t="shared" si="406"/>
        <v>FALSE</v>
      </c>
      <c r="AM3573" s="10" t="str">
        <f t="shared" si="406"/>
        <v>FALSE</v>
      </c>
      <c r="AN3573" s="10" t="str">
        <f t="shared" si="406"/>
        <v>FALSE</v>
      </c>
      <c r="AO3573" s="10" t="str">
        <f t="shared" si="407"/>
        <v>FALSE</v>
      </c>
      <c r="AP3573" s="10" t="str">
        <f t="shared" si="407"/>
        <v>FALSE</v>
      </c>
      <c r="AQ3573" s="10" t="b">
        <f>IF(AND(I3573="TP",S3573&lt;=150),VLOOKUP(AF3573,TPCalibEq150!$AZ$2:$BB$55,3,),IF(AND(I3573="TDP",S3573&lt;=150),VLOOKUP(AF3573,TPCalibEq150!$AZ$2:$BB$55,3,)))</f>
        <v>0</v>
      </c>
      <c r="AR3573" s="10" t="b">
        <f>IF(AND(I3573="TP",S3573&lt;=300),VLOOKUP(AF3573,TPCalibEq300!$AZ$2:$BB$55,3,),IF(AND(I3573="TDP",S3573&lt;=300),VLOOKUP(AF3573,TPCalibEq300!$AZ$2:$BB$55,3,)))</f>
        <v>0</v>
      </c>
      <c r="AS3573" s="10" t="b">
        <f>IF(AND(I3573="TP",S3573&lt;=500),VLOOKUP(AF3573,TPCalibEq500!$AZ$2:$BB$56,3,),IF(AND(I3573="TDP",S3573&lt;=500),VLOOKUP(AF3573,TPCalibEq500!$AZ$2:$BB$56,3,)))</f>
        <v>0</v>
      </c>
      <c r="AT3573" s="10" t="b">
        <f>IF(AND(I3573="TN",S3573&lt;=2800),VLOOKUP(AF3573,TNCalibEq2500!$AZ$2:$BB$56,3,),IF(AND(I3573="TDN",S3573&lt;=2800),VLOOKUP(AF3573,TNCalibEq2500!$AZ$2:$BB$56,3,)))</f>
        <v>0</v>
      </c>
      <c r="AU3573" s="10" t="b">
        <f>IF(I3573="TP",VLOOKUP(AF3573,TPCalibEqFull!$AZ$2:$BB$56,3),IF(I3573="TDP",VLOOKUP(AF3573,TPCalibEqFull!$AZ$2:$BB$56,3),IF(I3573="TDN",VLOOKUP(AF3573,TNCalibEqFull!$AZ$1:$BB$56,3),IF(I3573="TN",VLOOKUP(AF3573,TNCalibEqFull!$AZ$1:$BB$56,3),FALSE))))</f>
        <v>0</v>
      </c>
      <c r="AV3573" s="10" t="str">
        <f t="shared" si="405"/>
        <v>0221 11:32:00-EUS-5-FIL-1-SW-UKN</v>
      </c>
    </row>
    <row r="3574" spans="1:48" s="10" customFormat="1" x14ac:dyDescent="0.55000000000000004">
      <c r="A3574" s="32">
        <v>44978</v>
      </c>
      <c r="B3574" s="33">
        <v>0.49444444444444446</v>
      </c>
      <c r="C3574" s="10" t="s">
        <v>618</v>
      </c>
      <c r="D3574" s="10">
        <v>0</v>
      </c>
      <c r="E3574" s="10" t="s">
        <v>911</v>
      </c>
      <c r="F3574" s="10">
        <v>1</v>
      </c>
      <c r="G3574" s="10" t="s">
        <v>231</v>
      </c>
      <c r="H3574" s="10" t="s">
        <v>322</v>
      </c>
      <c r="I3574" s="10" t="s">
        <v>167</v>
      </c>
      <c r="J3574" s="10">
        <v>49</v>
      </c>
      <c r="K3574" s="12">
        <v>44980</v>
      </c>
      <c r="L3574" s="33">
        <v>0.5411921296296297</v>
      </c>
      <c r="M3574" s="10">
        <v>1</v>
      </c>
      <c r="N3574" s="10" t="s">
        <v>211</v>
      </c>
      <c r="O3574" s="10">
        <v>0.55200000000000005</v>
      </c>
      <c r="P3574" s="10">
        <v>5.1200000000000002E-2</v>
      </c>
      <c r="Q3574" s="10">
        <v>96.6</v>
      </c>
      <c r="R3574" s="10" t="s">
        <v>913</v>
      </c>
      <c r="S3574" s="34">
        <f t="shared" si="402"/>
        <v>96.6</v>
      </c>
      <c r="T3574" s="10" t="s">
        <v>1267</v>
      </c>
      <c r="U3574" s="34" t="str">
        <f t="shared" si="403"/>
        <v/>
      </c>
      <c r="V3574" s="31" t="str">
        <f>IF(H3574="CHK",VLOOKUP(I3574,QCCHK,3,),IF(H3574="GUP",VLOOKUP(E3574,QCGUP,2,),IF(AND(H3574="ATP",OR(I3574="TN",I3574="TDN",I3574="TNO2-3",I3574="NO2-3")),VLOOKUP(E3574,QCREC_N,2,),IF(AND(H3574="NIC",OR(I3574="TN",I3574="TDN",I3574="TNO2-3",I3574="NO2-3")),VLOOKUP(E3574,QCNIC_N,2,),IF(AND(H3574="UREA",OR(I3574="TN",I3574="TDN",I3574="TNO2-3",I3574="NO2-3")),VLOOKUP(E3574,QCUREA_N,2,),IF(H3574="PER",VLOOKUP(I3574,QCPER,MATCH(E3574,QCACTUAL!$J$25:$AA$25,0),),IF(H3574="SPK",VLOOKUP(I3574,QCSPK,3,),IF(AND(H3574="ATP",OR(I3574="TP",I3574="TDP")),VLOOKUP(E3574,QCATP_P,2,),""))))))))</f>
        <v/>
      </c>
      <c r="W3574" s="31" t="str">
        <f t="shared" si="404"/>
        <v>TRUE</v>
      </c>
      <c r="X3574" s="31" t="str">
        <f t="shared" si="401"/>
        <v/>
      </c>
      <c r="Y3574" s="10" t="s">
        <v>1253</v>
      </c>
      <c r="AL3574" s="10" t="str">
        <f t="shared" si="406"/>
        <v>FALSE</v>
      </c>
      <c r="AM3574" s="10" t="str">
        <f t="shared" si="406"/>
        <v>FALSE</v>
      </c>
      <c r="AN3574" s="10" t="str">
        <f t="shared" si="406"/>
        <v>FALSE</v>
      </c>
      <c r="AO3574" s="10" t="str">
        <f t="shared" si="407"/>
        <v>FALSE</v>
      </c>
      <c r="AP3574" s="10" t="str">
        <f t="shared" si="407"/>
        <v>FALSE</v>
      </c>
      <c r="AQ3574" s="10" t="b">
        <f>IF(AND(I3574="TP",S3574&lt;=150),VLOOKUP(AF3574,TPCalibEq150!$AZ$2:$BB$55,3,),IF(AND(I3574="TDP",S3574&lt;=150),VLOOKUP(AF3574,TPCalibEq150!$AZ$2:$BB$55,3,)))</f>
        <v>0</v>
      </c>
      <c r="AR3574" s="10" t="b">
        <f>IF(AND(I3574="TP",S3574&lt;=300),VLOOKUP(AF3574,TPCalibEq300!$AZ$2:$BB$55,3,),IF(AND(I3574="TDP",S3574&lt;=300),VLOOKUP(AF3574,TPCalibEq300!$AZ$2:$BB$55,3,)))</f>
        <v>0</v>
      </c>
      <c r="AS3574" s="10" t="b">
        <f>IF(AND(I3574="TP",S3574&lt;=500),VLOOKUP(AF3574,TPCalibEq500!$AZ$2:$BB$56,3,),IF(AND(I3574="TDP",S3574&lt;=500),VLOOKUP(AF3574,TPCalibEq500!$AZ$2:$BB$56,3,)))</f>
        <v>0</v>
      </c>
      <c r="AT3574" s="10" t="b">
        <f>IF(AND(I3574="TN",S3574&lt;=2800),VLOOKUP(AF3574,TNCalibEq2500!$AZ$2:$BB$56,3,),IF(AND(I3574="TDN",S3574&lt;=2800),VLOOKUP(AF3574,TNCalibEq2500!$AZ$2:$BB$56,3,)))</f>
        <v>0</v>
      </c>
      <c r="AU3574" s="10" t="b">
        <f>IF(I3574="TP",VLOOKUP(AF3574,TPCalibEqFull!$AZ$2:$BB$56,3),IF(I3574="TDP",VLOOKUP(AF3574,TPCalibEqFull!$AZ$2:$BB$56,3),IF(I3574="TDN",VLOOKUP(AF3574,TNCalibEqFull!$AZ$1:$BB$56,3),IF(I3574="TN",VLOOKUP(AF3574,TNCalibEqFull!$AZ$1:$BB$56,3),FALSE))))</f>
        <v>0</v>
      </c>
      <c r="AV3574" s="10" t="str">
        <f t="shared" si="405"/>
        <v>0221 11:52:00-ECP-0-FIL-1-SW-UKN</v>
      </c>
    </row>
    <row r="3575" spans="1:48" s="10" customFormat="1" x14ac:dyDescent="0.55000000000000004">
      <c r="A3575" s="32">
        <v>44978</v>
      </c>
      <c r="B3575" s="33">
        <v>0.49444444444444446</v>
      </c>
      <c r="C3575" s="10" t="s">
        <v>618</v>
      </c>
      <c r="D3575" s="10">
        <v>0</v>
      </c>
      <c r="E3575" s="10" t="s">
        <v>911</v>
      </c>
      <c r="F3575" s="10">
        <v>2</v>
      </c>
      <c r="G3575" s="10" t="s">
        <v>231</v>
      </c>
      <c r="H3575" s="10" t="s">
        <v>322</v>
      </c>
      <c r="I3575" s="10" t="s">
        <v>167</v>
      </c>
      <c r="J3575" s="10">
        <v>50</v>
      </c>
      <c r="K3575" s="12">
        <v>44980</v>
      </c>
      <c r="L3575" s="33">
        <v>0.54201388888888891</v>
      </c>
      <c r="M3575" s="10">
        <v>1</v>
      </c>
      <c r="N3575" s="10" t="s">
        <v>211</v>
      </c>
      <c r="O3575" s="10">
        <v>0.53500000000000003</v>
      </c>
      <c r="P3575" s="10">
        <v>5.0200000000000002E-2</v>
      </c>
      <c r="Q3575" s="10">
        <v>93.6</v>
      </c>
      <c r="R3575" s="10" t="s">
        <v>913</v>
      </c>
      <c r="S3575" s="34">
        <f t="shared" si="402"/>
        <v>93.6</v>
      </c>
      <c r="T3575" s="10" t="s">
        <v>1267</v>
      </c>
      <c r="U3575" s="34" t="str">
        <f t="shared" si="403"/>
        <v/>
      </c>
      <c r="V3575" s="31" t="str">
        <f>IF(H3575="CHK",VLOOKUP(I3575,QCCHK,3,),IF(H3575="GUP",VLOOKUP(E3575,QCGUP,2,),IF(AND(H3575="ATP",OR(I3575="TN",I3575="TDN",I3575="TNO2-3",I3575="NO2-3")),VLOOKUP(E3575,QCREC_N,2,),IF(AND(H3575="NIC",OR(I3575="TN",I3575="TDN",I3575="TNO2-3",I3575="NO2-3")),VLOOKUP(E3575,QCNIC_N,2,),IF(AND(H3575="UREA",OR(I3575="TN",I3575="TDN",I3575="TNO2-3",I3575="NO2-3")),VLOOKUP(E3575,QCUREA_N,2,),IF(H3575="PER",VLOOKUP(I3575,QCPER,MATCH(E3575,QCACTUAL!$J$25:$AA$25,0),),IF(H3575="SPK",VLOOKUP(I3575,QCSPK,3,),IF(AND(H3575="ATP",OR(I3575="TP",I3575="TDP")),VLOOKUP(E3575,QCATP_P,2,),""))))))))</f>
        <v/>
      </c>
      <c r="W3575" s="31" t="str">
        <f t="shared" si="404"/>
        <v>TRUE</v>
      </c>
      <c r="X3575" s="31" t="str">
        <f t="shared" si="401"/>
        <v/>
      </c>
      <c r="Y3575" s="10" t="s">
        <v>1253</v>
      </c>
      <c r="AL3575" s="10" t="str">
        <f t="shared" si="406"/>
        <v>FALSE</v>
      </c>
      <c r="AM3575" s="10" t="str">
        <f t="shared" si="406"/>
        <v>FALSE</v>
      </c>
      <c r="AN3575" s="10" t="str">
        <f t="shared" si="406"/>
        <v>FALSE</v>
      </c>
      <c r="AO3575" s="10" t="str">
        <f t="shared" si="407"/>
        <v>FALSE</v>
      </c>
      <c r="AP3575" s="10" t="str">
        <f t="shared" si="407"/>
        <v>FALSE</v>
      </c>
      <c r="AQ3575" s="10" t="b">
        <f>IF(AND(I3575="TP",S3575&lt;=150),VLOOKUP(AF3575,TPCalibEq150!$AZ$2:$BB$55,3,),IF(AND(I3575="TDP",S3575&lt;=150),VLOOKUP(AF3575,TPCalibEq150!$AZ$2:$BB$55,3,)))</f>
        <v>0</v>
      </c>
      <c r="AR3575" s="10" t="b">
        <f>IF(AND(I3575="TP",S3575&lt;=300),VLOOKUP(AF3575,TPCalibEq300!$AZ$2:$BB$55,3,),IF(AND(I3575="TDP",S3575&lt;=300),VLOOKUP(AF3575,TPCalibEq300!$AZ$2:$BB$55,3,)))</f>
        <v>0</v>
      </c>
      <c r="AS3575" s="10" t="b">
        <f>IF(AND(I3575="TP",S3575&lt;=500),VLOOKUP(AF3575,TPCalibEq500!$AZ$2:$BB$56,3,),IF(AND(I3575="TDP",S3575&lt;=500),VLOOKUP(AF3575,TPCalibEq500!$AZ$2:$BB$56,3,)))</f>
        <v>0</v>
      </c>
      <c r="AT3575" s="10" t="b">
        <f>IF(AND(I3575="TN",S3575&lt;=2800),VLOOKUP(AF3575,TNCalibEq2500!$AZ$2:$BB$56,3,),IF(AND(I3575="TDN",S3575&lt;=2800),VLOOKUP(AF3575,TNCalibEq2500!$AZ$2:$BB$56,3,)))</f>
        <v>0</v>
      </c>
      <c r="AU3575" s="10" t="b">
        <f>IF(I3575="TP",VLOOKUP(AF3575,TPCalibEqFull!$AZ$2:$BB$56,3),IF(I3575="TDP",VLOOKUP(AF3575,TPCalibEqFull!$AZ$2:$BB$56,3),IF(I3575="TDN",VLOOKUP(AF3575,TNCalibEqFull!$AZ$1:$BB$56,3),IF(I3575="TN",VLOOKUP(AF3575,TNCalibEqFull!$AZ$1:$BB$56,3),FALSE))))</f>
        <v>0</v>
      </c>
      <c r="AV3575" s="10" t="str">
        <f t="shared" si="405"/>
        <v>0221 11:52:00-ECP-0-FIL-2-SW-UKN</v>
      </c>
    </row>
    <row r="3576" spans="1:48" s="10" customFormat="1" x14ac:dyDescent="0.55000000000000004">
      <c r="A3576" s="32">
        <v>44978</v>
      </c>
      <c r="B3576" s="33">
        <v>0.49444444444444446</v>
      </c>
      <c r="C3576" s="10" t="s">
        <v>618</v>
      </c>
      <c r="D3576" s="10">
        <v>0</v>
      </c>
      <c r="E3576" s="10" t="s">
        <v>911</v>
      </c>
      <c r="F3576" s="10">
        <v>2</v>
      </c>
      <c r="G3576" s="10" t="s">
        <v>231</v>
      </c>
      <c r="H3576" s="10" t="s">
        <v>233</v>
      </c>
      <c r="I3576" s="10" t="s">
        <v>167</v>
      </c>
      <c r="J3576" s="10">
        <v>50</v>
      </c>
      <c r="K3576" s="12">
        <v>44980</v>
      </c>
      <c r="L3576" s="33">
        <v>0.54283564814814811</v>
      </c>
      <c r="M3576" s="10">
        <v>1</v>
      </c>
      <c r="N3576" s="10" t="s">
        <v>211</v>
      </c>
      <c r="O3576" s="10">
        <v>0.53300000000000003</v>
      </c>
      <c r="P3576" s="10">
        <v>4.9799999999999997E-2</v>
      </c>
      <c r="Q3576" s="10">
        <v>93.2</v>
      </c>
      <c r="R3576" s="10" t="s">
        <v>913</v>
      </c>
      <c r="S3576" s="34">
        <f t="shared" si="402"/>
        <v>93.2</v>
      </c>
      <c r="T3576" s="10" t="s">
        <v>1267</v>
      </c>
      <c r="U3576" s="34">
        <f t="shared" si="403"/>
        <v>0.42826552462525852</v>
      </c>
      <c r="V3576" s="31" t="str">
        <f>IF(H3576="CHK",VLOOKUP(I3576,QCCHK,3,),IF(H3576="GUP",VLOOKUP(E3576,QCGUP,2,),IF(AND(H3576="ATP",OR(I3576="TN",I3576="TDN",I3576="TNO2-3",I3576="NO2-3")),VLOOKUP(E3576,QCREC_N,2,),IF(AND(H3576="NIC",OR(I3576="TN",I3576="TDN",I3576="TNO2-3",I3576="NO2-3")),VLOOKUP(E3576,QCNIC_N,2,),IF(AND(H3576="UREA",OR(I3576="TN",I3576="TDN",I3576="TNO2-3",I3576="NO2-3")),VLOOKUP(E3576,QCUREA_N,2,),IF(H3576="PER",VLOOKUP(I3576,QCPER,MATCH(E3576,QCACTUAL!$J$25:$AA$25,0),),IF(H3576="SPK",VLOOKUP(I3576,QCSPK,3,),IF(AND(H3576="ATP",OR(I3576="TP",I3576="TDP")),VLOOKUP(E3576,QCATP_P,2,),""))))))))</f>
        <v/>
      </c>
      <c r="W3576" s="31" t="str">
        <f t="shared" si="404"/>
        <v>TRUE</v>
      </c>
      <c r="X3576" s="31" t="str">
        <f t="shared" si="401"/>
        <v>((ABS(rep1-rep2))/((rep1+rep2)/2)*100</v>
      </c>
      <c r="Y3576" s="10" t="s">
        <v>1253</v>
      </c>
      <c r="AL3576" s="10" t="str">
        <f t="shared" si="406"/>
        <v>FALSE</v>
      </c>
      <c r="AM3576" s="10" t="str">
        <f t="shared" si="406"/>
        <v>FALSE</v>
      </c>
      <c r="AN3576" s="10" t="str">
        <f t="shared" si="406"/>
        <v>FALSE</v>
      </c>
      <c r="AO3576" s="10" t="str">
        <f t="shared" si="407"/>
        <v>FALSE</v>
      </c>
      <c r="AP3576" s="10" t="str">
        <f t="shared" si="407"/>
        <v>FALSE</v>
      </c>
      <c r="AQ3576" s="10" t="b">
        <f>IF(AND(I3576="TP",S3576&lt;=150),VLOOKUP(AF3576,TPCalibEq150!$AZ$2:$BB$55,3,),IF(AND(I3576="TDP",S3576&lt;=150),VLOOKUP(AF3576,TPCalibEq150!$AZ$2:$BB$55,3,)))</f>
        <v>0</v>
      </c>
      <c r="AR3576" s="10" t="b">
        <f>IF(AND(I3576="TP",S3576&lt;=300),VLOOKUP(AF3576,TPCalibEq300!$AZ$2:$BB$55,3,),IF(AND(I3576="TDP",S3576&lt;=300),VLOOKUP(AF3576,TPCalibEq300!$AZ$2:$BB$55,3,)))</f>
        <v>0</v>
      </c>
      <c r="AS3576" s="10" t="b">
        <f>IF(AND(I3576="TP",S3576&lt;=500),VLOOKUP(AF3576,TPCalibEq500!$AZ$2:$BB$56,3,),IF(AND(I3576="TDP",S3576&lt;=500),VLOOKUP(AF3576,TPCalibEq500!$AZ$2:$BB$56,3,)))</f>
        <v>0</v>
      </c>
      <c r="AT3576" s="10" t="b">
        <f>IF(AND(I3576="TN",S3576&lt;=2800),VLOOKUP(AF3576,TNCalibEq2500!$AZ$2:$BB$56,3,),IF(AND(I3576="TDN",S3576&lt;=2800),VLOOKUP(AF3576,TNCalibEq2500!$AZ$2:$BB$56,3,)))</f>
        <v>0</v>
      </c>
      <c r="AU3576" s="10" t="b">
        <f>IF(I3576="TP",VLOOKUP(AF3576,TPCalibEqFull!$AZ$2:$BB$56,3),IF(I3576="TDP",VLOOKUP(AF3576,TPCalibEqFull!$AZ$2:$BB$56,3),IF(I3576="TDN",VLOOKUP(AF3576,TNCalibEqFull!$AZ$1:$BB$56,3),IF(I3576="TN",VLOOKUP(AF3576,TNCalibEqFull!$AZ$1:$BB$56,3),FALSE))))</f>
        <v>0</v>
      </c>
      <c r="AV3576" s="10" t="str">
        <f t="shared" si="405"/>
        <v>0221 11:52:00-ECP-0-FIL-2-SW-DUP</v>
      </c>
    </row>
    <row r="3577" spans="1:48" s="10" customFormat="1" x14ac:dyDescent="0.55000000000000004">
      <c r="A3577" s="32">
        <v>44978</v>
      </c>
      <c r="B3577" s="33">
        <v>0.49444444444444446</v>
      </c>
      <c r="C3577" s="10" t="s">
        <v>618</v>
      </c>
      <c r="D3577" s="10">
        <v>0</v>
      </c>
      <c r="E3577" s="10" t="s">
        <v>911</v>
      </c>
      <c r="F3577" s="10">
        <v>2</v>
      </c>
      <c r="G3577" s="10" t="s">
        <v>231</v>
      </c>
      <c r="H3577" s="10" t="s">
        <v>314</v>
      </c>
      <c r="I3577" s="10" t="s">
        <v>167</v>
      </c>
      <c r="J3577" s="10">
        <v>87</v>
      </c>
      <c r="K3577" s="12">
        <v>44980</v>
      </c>
      <c r="L3577" s="33">
        <v>0.54364583333333327</v>
      </c>
      <c r="M3577" s="10">
        <v>1</v>
      </c>
      <c r="N3577" s="10" t="s">
        <v>211</v>
      </c>
      <c r="O3577" s="10">
        <v>1.43</v>
      </c>
      <c r="P3577" s="10">
        <v>0.13700000000000001</v>
      </c>
      <c r="Q3577" s="10">
        <v>251</v>
      </c>
      <c r="R3577" s="10" t="s">
        <v>913</v>
      </c>
      <c r="S3577" s="34">
        <f t="shared" si="402"/>
        <v>251</v>
      </c>
      <c r="T3577" s="10" t="s">
        <v>1267</v>
      </c>
      <c r="U3577" s="34">
        <f t="shared" si="403"/>
        <v>100.99200000000002</v>
      </c>
      <c r="V3577" s="31">
        <f>IF(H3577="CHK",VLOOKUP(I3577,QCCHK,3,),IF(H3577="GUP",VLOOKUP(E3577,QCGUP,2,),IF(AND(H3577="ATP",OR(I3577="TN",I3577="TDN",I3577="TNO2-3",I3577="NO2-3")),VLOOKUP(E3577,QCREC_N,2,),IF(AND(H3577="NIC",OR(I3577="TN",I3577="TDN",I3577="TNO2-3",I3577="NO2-3")),VLOOKUP(E3577,QCNIC_N,2,),IF(AND(H3577="UREA",OR(I3577="TN",I3577="TDN",I3577="TNO2-3",I3577="NO2-3")),VLOOKUP(E3577,QCUREA_N,2,),IF(H3577="PER",VLOOKUP(I3577,QCPER,MATCH(E3577,QCACTUAL!$J$25:$AA$25,0),),IF(H3577="SPK",VLOOKUP(I3577,QCSPK,3,),IF(AND(H3577="ATP",OR(I3577="TP",I3577="TDP")),VLOOKUP(E3577,QCATP_P,2,),""))))))))</f>
        <v>156.25</v>
      </c>
      <c r="W3577" s="31" t="str">
        <f t="shared" si="404"/>
        <v>TRUE</v>
      </c>
      <c r="X3577" s="31" t="str">
        <f t="shared" si="401"/>
        <v>([spikedunkn]-[unkn])/[spike]*100</v>
      </c>
      <c r="Y3577" s="10" t="s">
        <v>1253</v>
      </c>
      <c r="AL3577" s="10" t="str">
        <f t="shared" si="406"/>
        <v>FALSE</v>
      </c>
      <c r="AM3577" s="10" t="str">
        <f t="shared" si="406"/>
        <v>FALSE</v>
      </c>
      <c r="AN3577" s="10" t="str">
        <f t="shared" si="406"/>
        <v>FALSE</v>
      </c>
      <c r="AO3577" s="10" t="str">
        <f t="shared" si="407"/>
        <v>FALSE</v>
      </c>
      <c r="AP3577" s="10" t="str">
        <f t="shared" si="407"/>
        <v>FALSE</v>
      </c>
      <c r="AQ3577" s="10" t="b">
        <f>IF(AND(I3577="TP",S3577&lt;=150),VLOOKUP(AF3577,TPCalibEq150!$AZ$2:$BB$55,3,),IF(AND(I3577="TDP",S3577&lt;=150),VLOOKUP(AF3577,TPCalibEq150!$AZ$2:$BB$55,3,)))</f>
        <v>0</v>
      </c>
      <c r="AR3577" s="10" t="b">
        <f>IF(AND(I3577="TP",S3577&lt;=300),VLOOKUP(AF3577,TPCalibEq300!$AZ$2:$BB$55,3,),IF(AND(I3577="TDP",S3577&lt;=300),VLOOKUP(AF3577,TPCalibEq300!$AZ$2:$BB$55,3,)))</f>
        <v>0</v>
      </c>
      <c r="AS3577" s="10" t="b">
        <f>IF(AND(I3577="TP",S3577&lt;=500),VLOOKUP(AF3577,TPCalibEq500!$AZ$2:$BB$56,3,),IF(AND(I3577="TDP",S3577&lt;=500),VLOOKUP(AF3577,TPCalibEq500!$AZ$2:$BB$56,3,)))</f>
        <v>0</v>
      </c>
      <c r="AT3577" s="10" t="b">
        <f>IF(AND(I3577="TN",S3577&lt;=2800),VLOOKUP(AF3577,TNCalibEq2500!$AZ$2:$BB$56,3,),IF(AND(I3577="TDN",S3577&lt;=2800),VLOOKUP(AF3577,TNCalibEq2500!$AZ$2:$BB$56,3,)))</f>
        <v>0</v>
      </c>
      <c r="AU3577" s="10" t="b">
        <f>IF(I3577="TP",VLOOKUP(AF3577,TPCalibEqFull!$AZ$2:$BB$56,3),IF(I3577="TDP",VLOOKUP(AF3577,TPCalibEqFull!$AZ$2:$BB$56,3),IF(I3577="TDN",VLOOKUP(AF3577,TNCalibEqFull!$AZ$1:$BB$56,3),IF(I3577="TN",VLOOKUP(AF3577,TNCalibEqFull!$AZ$1:$BB$56,3),FALSE))))</f>
        <v>0</v>
      </c>
      <c r="AV3577" s="10" t="str">
        <f t="shared" si="405"/>
        <v>0221 11:52:00-ECP-0-FIL-2-SW-SPK</v>
      </c>
    </row>
    <row r="3578" spans="1:48" s="10" customFormat="1" x14ac:dyDescent="0.55000000000000004">
      <c r="A3578" s="32">
        <v>44979</v>
      </c>
      <c r="B3578" s="33">
        <v>0.375</v>
      </c>
      <c r="C3578" s="10" t="s">
        <v>70</v>
      </c>
      <c r="D3578" s="10" t="s">
        <v>71</v>
      </c>
      <c r="E3578" s="10" t="s">
        <v>901</v>
      </c>
      <c r="F3578" s="10">
        <v>1</v>
      </c>
      <c r="G3578" s="10" t="s">
        <v>73</v>
      </c>
      <c r="H3578" s="10" t="s">
        <v>207</v>
      </c>
      <c r="I3578" s="10" t="s">
        <v>285</v>
      </c>
      <c r="J3578" s="10">
        <v>202</v>
      </c>
      <c r="K3578" s="12">
        <v>44980</v>
      </c>
      <c r="L3578" s="33">
        <v>0.54446759259259259</v>
      </c>
      <c r="M3578" s="10">
        <v>1</v>
      </c>
      <c r="N3578" s="10" t="s">
        <v>211</v>
      </c>
      <c r="O3578" s="10">
        <v>0.432</v>
      </c>
      <c r="P3578" s="10">
        <v>0.04</v>
      </c>
      <c r="Q3578" s="10">
        <v>75.400000000000006</v>
      </c>
      <c r="R3578" s="10" t="s">
        <v>913</v>
      </c>
      <c r="S3578" s="34">
        <f t="shared" si="402"/>
        <v>75.400000000000006</v>
      </c>
      <c r="T3578" s="10" t="s">
        <v>1267</v>
      </c>
      <c r="U3578" s="34">
        <f t="shared" si="403"/>
        <v>100.53333333333335</v>
      </c>
      <c r="V3578" s="31">
        <f>IF(H3578="CHK",VLOOKUP(I3578,QCCHK,3,),IF(H3578="GUP",VLOOKUP(E3578,QCGUP,2,),IF(AND(H3578="ATP",OR(I3578="TN",I3578="TDN",I3578="TNO2-3",I3578="NO2-3")),VLOOKUP(E3578,QCREC_N,2,),IF(AND(H3578="NIC",OR(I3578="TN",I3578="TDN",I3578="TNO2-3",I3578="NO2-3")),VLOOKUP(E3578,QCNIC_N,2,),IF(AND(H3578="UREA",OR(I3578="TN",I3578="TDN",I3578="TNO2-3",I3578="NO2-3")),VLOOKUP(E3578,QCUREA_N,2,),IF(H3578="PER",VLOOKUP(I3578,QCPER,MATCH(E3578,QCACTUAL!$J$25:$AA$25,0),),IF(H3578="SPK",VLOOKUP(I3578,QCSPK,3,),IF(AND(H3578="ATP",OR(I3578="TP",I3578="TDP")),VLOOKUP(E3578,QCATP_P,2,),""))))))))</f>
        <v>75</v>
      </c>
      <c r="W3578" s="31" t="str">
        <f t="shared" si="404"/>
        <v>TRUE</v>
      </c>
      <c r="X3578" s="31" t="str">
        <f t="shared" si="401"/>
        <v>[chk]/[actual]*100</v>
      </c>
      <c r="Y3578" s="10" t="s">
        <v>1253</v>
      </c>
      <c r="AL3578" s="10" t="str">
        <f t="shared" si="406"/>
        <v>FALSE</v>
      </c>
      <c r="AM3578" s="10" t="str">
        <f t="shared" si="406"/>
        <v>FALSE</v>
      </c>
      <c r="AN3578" s="10" t="str">
        <f t="shared" si="406"/>
        <v>FALSE</v>
      </c>
      <c r="AO3578" s="10" t="str">
        <f t="shared" si="407"/>
        <v>FALSE</v>
      </c>
      <c r="AP3578" s="10" t="str">
        <f t="shared" si="407"/>
        <v>FALSE</v>
      </c>
      <c r="AQ3578" s="10" t="b">
        <f>IF(AND(I3578="TP",S3578&lt;=150),VLOOKUP(AF3578,TPCalibEq150!$AZ$2:$BB$55,3,),IF(AND(I3578="TDP",S3578&lt;=150),VLOOKUP(AF3578,TPCalibEq150!$AZ$2:$BB$55,3,)))</f>
        <v>0</v>
      </c>
      <c r="AR3578" s="10" t="b">
        <f>IF(AND(I3578="TP",S3578&lt;=300),VLOOKUP(AF3578,TPCalibEq300!$AZ$2:$BB$55,3,),IF(AND(I3578="TDP",S3578&lt;=300),VLOOKUP(AF3578,TPCalibEq300!$AZ$2:$BB$55,3,)))</f>
        <v>0</v>
      </c>
      <c r="AS3578" s="10" t="b">
        <f>IF(AND(I3578="TP",S3578&lt;=500),VLOOKUP(AF3578,TPCalibEq500!$AZ$2:$BB$56,3,),IF(AND(I3578="TDP",S3578&lt;=500),VLOOKUP(AF3578,TPCalibEq500!$AZ$2:$BB$56,3,)))</f>
        <v>0</v>
      </c>
      <c r="AT3578" s="10" t="b">
        <f>IF(AND(I3578="TN",S3578&lt;=2800),VLOOKUP(AF3578,TNCalibEq2500!$AZ$2:$BB$56,3,),IF(AND(I3578="TDN",S3578&lt;=2800),VLOOKUP(AF3578,TNCalibEq2500!$AZ$2:$BB$56,3,)))</f>
        <v>0</v>
      </c>
      <c r="AU3578" s="10" t="b">
        <f>IF(I3578="TP",VLOOKUP(AF3578,TPCalibEqFull!$AZ$2:$BB$56,3),IF(I3578="TDP",VLOOKUP(AF3578,TPCalibEqFull!$AZ$2:$BB$56,3),IF(I3578="TDN",VLOOKUP(AF3578,TNCalibEqFull!$AZ$1:$BB$56,3),IF(I3578="TN",VLOOKUP(AF3578,TNCalibEqFull!$AZ$1:$BB$56,3),FALSE))))</f>
        <v>0</v>
      </c>
      <c r="AV3578" s="10" t="str">
        <f t="shared" si="405"/>
        <v>0222 09:00:00-QAC-STD-D-1-DI-CHK</v>
      </c>
    </row>
    <row r="3579" spans="1:48" s="10" customFormat="1" x14ac:dyDescent="0.55000000000000004">
      <c r="A3579" s="32">
        <v>44978</v>
      </c>
      <c r="B3579" s="33">
        <v>0.49652777777777773</v>
      </c>
      <c r="C3579" s="10" t="s">
        <v>618</v>
      </c>
      <c r="D3579" s="10">
        <v>5</v>
      </c>
      <c r="E3579" s="10" t="s">
        <v>911</v>
      </c>
      <c r="F3579" s="10">
        <v>1</v>
      </c>
      <c r="G3579" s="10" t="s">
        <v>231</v>
      </c>
      <c r="H3579" s="10" t="s">
        <v>322</v>
      </c>
      <c r="I3579" s="10" t="s">
        <v>167</v>
      </c>
      <c r="J3579" s="10">
        <v>51</v>
      </c>
      <c r="K3579" s="12">
        <v>44980</v>
      </c>
      <c r="L3579" s="33">
        <v>0.5452893518518519</v>
      </c>
      <c r="M3579" s="10">
        <v>1</v>
      </c>
      <c r="N3579" s="10" t="s">
        <v>211</v>
      </c>
      <c r="O3579" s="10">
        <v>0.54300000000000004</v>
      </c>
      <c r="P3579" s="10">
        <v>5.0799999999999998E-2</v>
      </c>
      <c r="Q3579" s="10">
        <v>95</v>
      </c>
      <c r="R3579" s="10" t="s">
        <v>913</v>
      </c>
      <c r="S3579" s="34">
        <f t="shared" si="402"/>
        <v>95</v>
      </c>
      <c r="T3579" s="10" t="s">
        <v>1267</v>
      </c>
      <c r="U3579" s="34" t="str">
        <f t="shared" si="403"/>
        <v/>
      </c>
      <c r="V3579" s="31" t="str">
        <f>IF(H3579="CHK",VLOOKUP(I3579,QCCHK,3,),IF(H3579="GUP",VLOOKUP(E3579,QCGUP,2,),IF(AND(H3579="ATP",OR(I3579="TN",I3579="TDN",I3579="TNO2-3",I3579="NO2-3")),VLOOKUP(E3579,QCREC_N,2,),IF(AND(H3579="NIC",OR(I3579="TN",I3579="TDN",I3579="TNO2-3",I3579="NO2-3")),VLOOKUP(E3579,QCNIC_N,2,),IF(AND(H3579="UREA",OR(I3579="TN",I3579="TDN",I3579="TNO2-3",I3579="NO2-3")),VLOOKUP(E3579,QCUREA_N,2,),IF(H3579="PER",VLOOKUP(I3579,QCPER,MATCH(E3579,QCACTUAL!$J$25:$AA$25,0),),IF(H3579="SPK",VLOOKUP(I3579,QCSPK,3,),IF(AND(H3579="ATP",OR(I3579="TP",I3579="TDP")),VLOOKUP(E3579,QCATP_P,2,),""))))))))</f>
        <v/>
      </c>
      <c r="W3579" s="31" t="str">
        <f t="shared" si="404"/>
        <v>TRUE</v>
      </c>
      <c r="X3579" s="31" t="str">
        <f t="shared" si="401"/>
        <v/>
      </c>
      <c r="Y3579" s="10" t="s">
        <v>1253</v>
      </c>
      <c r="AL3579" s="10" t="str">
        <f t="shared" si="406"/>
        <v>FALSE</v>
      </c>
      <c r="AM3579" s="10" t="str">
        <f t="shared" si="406"/>
        <v>FALSE</v>
      </c>
      <c r="AN3579" s="10" t="str">
        <f t="shared" si="406"/>
        <v>FALSE</v>
      </c>
      <c r="AO3579" s="10" t="str">
        <f t="shared" si="407"/>
        <v>FALSE</v>
      </c>
      <c r="AP3579" s="10" t="str">
        <f t="shared" si="407"/>
        <v>FALSE</v>
      </c>
      <c r="AQ3579" s="10" t="b">
        <f>IF(AND(I3579="TP",S3579&lt;=150),VLOOKUP(AF3579,TPCalibEq150!$AZ$2:$BB$55,3,),IF(AND(I3579="TDP",S3579&lt;=150),VLOOKUP(AF3579,TPCalibEq150!$AZ$2:$BB$55,3,)))</f>
        <v>0</v>
      </c>
      <c r="AR3579" s="10" t="b">
        <f>IF(AND(I3579="TP",S3579&lt;=300),VLOOKUP(AF3579,TPCalibEq300!$AZ$2:$BB$55,3,),IF(AND(I3579="TDP",S3579&lt;=300),VLOOKUP(AF3579,TPCalibEq300!$AZ$2:$BB$55,3,)))</f>
        <v>0</v>
      </c>
      <c r="AS3579" s="10" t="b">
        <f>IF(AND(I3579="TP",S3579&lt;=500),VLOOKUP(AF3579,TPCalibEq500!$AZ$2:$BB$56,3,),IF(AND(I3579="TDP",S3579&lt;=500),VLOOKUP(AF3579,TPCalibEq500!$AZ$2:$BB$56,3,)))</f>
        <v>0</v>
      </c>
      <c r="AT3579" s="10" t="b">
        <f>IF(AND(I3579="TN",S3579&lt;=2800),VLOOKUP(AF3579,TNCalibEq2500!$AZ$2:$BB$56,3,),IF(AND(I3579="TDN",S3579&lt;=2800),VLOOKUP(AF3579,TNCalibEq2500!$AZ$2:$BB$56,3,)))</f>
        <v>0</v>
      </c>
      <c r="AU3579" s="10" t="b">
        <f>IF(I3579="TP",VLOOKUP(AF3579,TPCalibEqFull!$AZ$2:$BB$56,3),IF(I3579="TDP",VLOOKUP(AF3579,TPCalibEqFull!$AZ$2:$BB$56,3),IF(I3579="TDN",VLOOKUP(AF3579,TNCalibEqFull!$AZ$1:$BB$56,3),IF(I3579="TN",VLOOKUP(AF3579,TNCalibEqFull!$AZ$1:$BB$56,3),FALSE))))</f>
        <v>0</v>
      </c>
      <c r="AV3579" s="10" t="str">
        <f t="shared" si="405"/>
        <v>0221 11:55:00-ECP-5-FIL-1-SW-UKN</v>
      </c>
    </row>
    <row r="3580" spans="1:48" s="10" customFormat="1" x14ac:dyDescent="0.55000000000000004">
      <c r="A3580" s="32">
        <v>44978</v>
      </c>
      <c r="B3580" s="33">
        <v>0.49861111111111112</v>
      </c>
      <c r="C3580" s="10" t="s">
        <v>618</v>
      </c>
      <c r="D3580" s="10">
        <v>10</v>
      </c>
      <c r="E3580" s="10" t="s">
        <v>911</v>
      </c>
      <c r="F3580" s="10">
        <v>1</v>
      </c>
      <c r="G3580" s="10" t="s">
        <v>231</v>
      </c>
      <c r="H3580" s="10" t="s">
        <v>322</v>
      </c>
      <c r="I3580" s="10" t="s">
        <v>167</v>
      </c>
      <c r="J3580" s="10">
        <v>52</v>
      </c>
      <c r="K3580" s="12">
        <v>44980</v>
      </c>
      <c r="L3580" s="33">
        <v>0.5461111111111111</v>
      </c>
      <c r="M3580" s="10">
        <v>1</v>
      </c>
      <c r="N3580" s="10" t="s">
        <v>211</v>
      </c>
      <c r="O3580" s="10">
        <v>0.54900000000000004</v>
      </c>
      <c r="P3580" s="10">
        <v>5.0900000000000001E-2</v>
      </c>
      <c r="Q3580" s="10">
        <v>96</v>
      </c>
      <c r="R3580" s="10" t="s">
        <v>913</v>
      </c>
      <c r="S3580" s="34">
        <f t="shared" si="402"/>
        <v>96</v>
      </c>
      <c r="T3580" s="10" t="s">
        <v>1267</v>
      </c>
      <c r="U3580" s="34" t="str">
        <f t="shared" si="403"/>
        <v/>
      </c>
      <c r="V3580" s="31" t="str">
        <f>IF(H3580="CHK",VLOOKUP(I3580,QCCHK,3,),IF(H3580="GUP",VLOOKUP(E3580,QCGUP,2,),IF(AND(H3580="ATP",OR(I3580="TN",I3580="TDN",I3580="TNO2-3",I3580="NO2-3")),VLOOKUP(E3580,QCREC_N,2,),IF(AND(H3580="NIC",OR(I3580="TN",I3580="TDN",I3580="TNO2-3",I3580="NO2-3")),VLOOKUP(E3580,QCNIC_N,2,),IF(AND(H3580="UREA",OR(I3580="TN",I3580="TDN",I3580="TNO2-3",I3580="NO2-3")),VLOOKUP(E3580,QCUREA_N,2,),IF(H3580="PER",VLOOKUP(I3580,QCPER,MATCH(E3580,QCACTUAL!$J$25:$AA$25,0),),IF(H3580="SPK",VLOOKUP(I3580,QCSPK,3,),IF(AND(H3580="ATP",OR(I3580="TP",I3580="TDP")),VLOOKUP(E3580,QCATP_P,2,),""))))))))</f>
        <v/>
      </c>
      <c r="W3580" s="31" t="str">
        <f t="shared" si="404"/>
        <v>TRUE</v>
      </c>
      <c r="X3580" s="31" t="str">
        <f t="shared" si="401"/>
        <v/>
      </c>
      <c r="Y3580" s="10" t="s">
        <v>1253</v>
      </c>
      <c r="AL3580" s="10" t="str">
        <f t="shared" si="406"/>
        <v>FALSE</v>
      </c>
      <c r="AM3580" s="10" t="str">
        <f t="shared" si="406"/>
        <v>FALSE</v>
      </c>
      <c r="AN3580" s="10" t="str">
        <f t="shared" si="406"/>
        <v>FALSE</v>
      </c>
      <c r="AO3580" s="10" t="str">
        <f t="shared" si="407"/>
        <v>FALSE</v>
      </c>
      <c r="AP3580" s="10" t="str">
        <f t="shared" si="407"/>
        <v>FALSE</v>
      </c>
      <c r="AQ3580" s="10" t="b">
        <f>IF(AND(I3580="TP",S3580&lt;=150),VLOOKUP(AF3580,TPCalibEq150!$AZ$2:$BB$55,3,),IF(AND(I3580="TDP",S3580&lt;=150),VLOOKUP(AF3580,TPCalibEq150!$AZ$2:$BB$55,3,)))</f>
        <v>0</v>
      </c>
      <c r="AR3580" s="10" t="b">
        <f>IF(AND(I3580="TP",S3580&lt;=300),VLOOKUP(AF3580,TPCalibEq300!$AZ$2:$BB$55,3,),IF(AND(I3580="TDP",S3580&lt;=300),VLOOKUP(AF3580,TPCalibEq300!$AZ$2:$BB$55,3,)))</f>
        <v>0</v>
      </c>
      <c r="AS3580" s="10" t="b">
        <f>IF(AND(I3580="TP",S3580&lt;=500),VLOOKUP(AF3580,TPCalibEq500!$AZ$2:$BB$56,3,),IF(AND(I3580="TDP",S3580&lt;=500),VLOOKUP(AF3580,TPCalibEq500!$AZ$2:$BB$56,3,)))</f>
        <v>0</v>
      </c>
      <c r="AT3580" s="10" t="b">
        <f>IF(AND(I3580="TN",S3580&lt;=2800),VLOOKUP(AF3580,TNCalibEq2500!$AZ$2:$BB$56,3,),IF(AND(I3580="TDN",S3580&lt;=2800),VLOOKUP(AF3580,TNCalibEq2500!$AZ$2:$BB$56,3,)))</f>
        <v>0</v>
      </c>
      <c r="AU3580" s="10" t="b">
        <f>IF(I3580="TP",VLOOKUP(AF3580,TPCalibEqFull!$AZ$2:$BB$56,3),IF(I3580="TDP",VLOOKUP(AF3580,TPCalibEqFull!$AZ$2:$BB$56,3),IF(I3580="TDN",VLOOKUP(AF3580,TNCalibEqFull!$AZ$1:$BB$56,3),IF(I3580="TN",VLOOKUP(AF3580,TNCalibEqFull!$AZ$1:$BB$56,3),FALSE))))</f>
        <v>0</v>
      </c>
      <c r="AV3580" s="10" t="str">
        <f t="shared" si="405"/>
        <v>0221 11:58:00-ECP-10-FIL-1-SW-UKN</v>
      </c>
    </row>
    <row r="3581" spans="1:48" s="10" customFormat="1" x14ac:dyDescent="0.55000000000000004">
      <c r="A3581" s="32">
        <v>44978</v>
      </c>
      <c r="B3581" s="33">
        <v>0.50208333333333333</v>
      </c>
      <c r="C3581" s="10" t="s">
        <v>618</v>
      </c>
      <c r="D3581" s="10">
        <v>20</v>
      </c>
      <c r="E3581" s="10" t="s">
        <v>911</v>
      </c>
      <c r="F3581" s="10">
        <v>1</v>
      </c>
      <c r="G3581" s="10" t="s">
        <v>231</v>
      </c>
      <c r="H3581" s="10" t="s">
        <v>322</v>
      </c>
      <c r="I3581" s="10" t="s">
        <v>167</v>
      </c>
      <c r="J3581" s="10">
        <v>53</v>
      </c>
      <c r="K3581" s="12">
        <v>44980</v>
      </c>
      <c r="L3581" s="33">
        <v>0.54692129629629627</v>
      </c>
      <c r="M3581" s="10">
        <v>1</v>
      </c>
      <c r="N3581" s="10" t="s">
        <v>211</v>
      </c>
      <c r="O3581" s="10">
        <v>0.53</v>
      </c>
      <c r="P3581" s="10">
        <v>4.9099999999999998E-2</v>
      </c>
      <c r="Q3581" s="10">
        <v>92.7</v>
      </c>
      <c r="R3581" s="10" t="s">
        <v>913</v>
      </c>
      <c r="S3581" s="34">
        <f t="shared" si="402"/>
        <v>92.7</v>
      </c>
      <c r="T3581" s="10" t="s">
        <v>1267</v>
      </c>
      <c r="U3581" s="34" t="str">
        <f t="shared" si="403"/>
        <v/>
      </c>
      <c r="V3581" s="31" t="str">
        <f>IF(H3581="CHK",VLOOKUP(I3581,QCCHK,3,),IF(H3581="GUP",VLOOKUP(E3581,QCGUP,2,),IF(AND(H3581="ATP",OR(I3581="TN",I3581="TDN",I3581="TNO2-3",I3581="NO2-3")),VLOOKUP(E3581,QCREC_N,2,),IF(AND(H3581="NIC",OR(I3581="TN",I3581="TDN",I3581="TNO2-3",I3581="NO2-3")),VLOOKUP(E3581,QCNIC_N,2,),IF(AND(H3581="UREA",OR(I3581="TN",I3581="TDN",I3581="TNO2-3",I3581="NO2-3")),VLOOKUP(E3581,QCUREA_N,2,),IF(H3581="PER",VLOOKUP(I3581,QCPER,MATCH(E3581,QCACTUAL!$J$25:$AA$25,0),),IF(H3581="SPK",VLOOKUP(I3581,QCSPK,3,),IF(AND(H3581="ATP",OR(I3581="TP",I3581="TDP")),VLOOKUP(E3581,QCATP_P,2,),""))))))))</f>
        <v/>
      </c>
      <c r="W3581" s="31" t="str">
        <f t="shared" si="404"/>
        <v>TRUE</v>
      </c>
      <c r="X3581" s="31" t="str">
        <f t="shared" si="401"/>
        <v/>
      </c>
      <c r="Y3581" s="10" t="s">
        <v>1253</v>
      </c>
      <c r="AL3581" s="10" t="str">
        <f t="shared" si="406"/>
        <v>FALSE</v>
      </c>
      <c r="AM3581" s="10" t="str">
        <f t="shared" si="406"/>
        <v>FALSE</v>
      </c>
      <c r="AN3581" s="10" t="str">
        <f t="shared" si="406"/>
        <v>FALSE</v>
      </c>
      <c r="AO3581" s="10" t="str">
        <f t="shared" si="407"/>
        <v>FALSE</v>
      </c>
      <c r="AP3581" s="10" t="str">
        <f t="shared" si="407"/>
        <v>FALSE</v>
      </c>
      <c r="AQ3581" s="10" t="b">
        <f>IF(AND(I3581="TP",S3581&lt;=150),VLOOKUP(AF3581,TPCalibEq150!$AZ$2:$BB$55,3,),IF(AND(I3581="TDP",S3581&lt;=150),VLOOKUP(AF3581,TPCalibEq150!$AZ$2:$BB$55,3,)))</f>
        <v>0</v>
      </c>
      <c r="AR3581" s="10" t="b">
        <f>IF(AND(I3581="TP",S3581&lt;=300),VLOOKUP(AF3581,TPCalibEq300!$AZ$2:$BB$55,3,),IF(AND(I3581="TDP",S3581&lt;=300),VLOOKUP(AF3581,TPCalibEq300!$AZ$2:$BB$55,3,)))</f>
        <v>0</v>
      </c>
      <c r="AS3581" s="10" t="b">
        <f>IF(AND(I3581="TP",S3581&lt;=500),VLOOKUP(AF3581,TPCalibEq500!$AZ$2:$BB$56,3,),IF(AND(I3581="TDP",S3581&lt;=500),VLOOKUP(AF3581,TPCalibEq500!$AZ$2:$BB$56,3,)))</f>
        <v>0</v>
      </c>
      <c r="AT3581" s="10" t="b">
        <f>IF(AND(I3581="TN",S3581&lt;=2800),VLOOKUP(AF3581,TNCalibEq2500!$AZ$2:$BB$56,3,),IF(AND(I3581="TDN",S3581&lt;=2800),VLOOKUP(AF3581,TNCalibEq2500!$AZ$2:$BB$56,3,)))</f>
        <v>0</v>
      </c>
      <c r="AU3581" s="10" t="b">
        <f>IF(I3581="TP",VLOOKUP(AF3581,TPCalibEqFull!$AZ$2:$BB$56,3),IF(I3581="TDP",VLOOKUP(AF3581,TPCalibEqFull!$AZ$2:$BB$56,3),IF(I3581="TDN",VLOOKUP(AF3581,TNCalibEqFull!$AZ$1:$BB$56,3),IF(I3581="TN",VLOOKUP(AF3581,TNCalibEqFull!$AZ$1:$BB$56,3),FALSE))))</f>
        <v>0</v>
      </c>
      <c r="AV3581" s="10" t="str">
        <f t="shared" si="405"/>
        <v>0221 12:03:00-ECP-20-FIL-1-SW-UKN</v>
      </c>
    </row>
    <row r="3582" spans="1:48" s="10" customFormat="1" x14ac:dyDescent="0.55000000000000004">
      <c r="A3582" s="32">
        <v>44978</v>
      </c>
      <c r="B3582" s="33">
        <v>0.50416666666666665</v>
      </c>
      <c r="C3582" s="10" t="s">
        <v>618</v>
      </c>
      <c r="D3582" s="10">
        <v>29</v>
      </c>
      <c r="E3582" s="10" t="s">
        <v>911</v>
      </c>
      <c r="F3582" s="10">
        <v>1</v>
      </c>
      <c r="G3582" s="10" t="s">
        <v>231</v>
      </c>
      <c r="H3582" s="10" t="s">
        <v>322</v>
      </c>
      <c r="I3582" s="10" t="s">
        <v>167</v>
      </c>
      <c r="J3582" s="10">
        <v>54</v>
      </c>
      <c r="K3582" s="12">
        <v>44980</v>
      </c>
      <c r="L3582" s="33">
        <v>0.54773148148148143</v>
      </c>
      <c r="M3582" s="10">
        <v>1</v>
      </c>
      <c r="N3582" s="10" t="s">
        <v>211</v>
      </c>
      <c r="O3582" s="10">
        <v>0.54200000000000004</v>
      </c>
      <c r="P3582" s="10">
        <v>4.9599999999999998E-2</v>
      </c>
      <c r="Q3582" s="10">
        <v>94.8</v>
      </c>
      <c r="R3582" s="10" t="s">
        <v>913</v>
      </c>
      <c r="S3582" s="34">
        <f t="shared" si="402"/>
        <v>94.8</v>
      </c>
      <c r="T3582" s="10" t="s">
        <v>1267</v>
      </c>
      <c r="U3582" s="34" t="str">
        <f t="shared" si="403"/>
        <v/>
      </c>
      <c r="V3582" s="31" t="str">
        <f>IF(H3582="CHK",VLOOKUP(I3582,QCCHK,3,),IF(H3582="GUP",VLOOKUP(E3582,QCGUP,2,),IF(AND(H3582="ATP",OR(I3582="TN",I3582="TDN",I3582="TNO2-3",I3582="NO2-3")),VLOOKUP(E3582,QCREC_N,2,),IF(AND(H3582="NIC",OR(I3582="TN",I3582="TDN",I3582="TNO2-3",I3582="NO2-3")),VLOOKUP(E3582,QCNIC_N,2,),IF(AND(H3582="UREA",OR(I3582="TN",I3582="TDN",I3582="TNO2-3",I3582="NO2-3")),VLOOKUP(E3582,QCUREA_N,2,),IF(H3582="PER",VLOOKUP(I3582,QCPER,MATCH(E3582,QCACTUAL!$J$25:$AA$25,0),),IF(H3582="SPK",VLOOKUP(I3582,QCSPK,3,),IF(AND(H3582="ATP",OR(I3582="TP",I3582="TDP")),VLOOKUP(E3582,QCATP_P,2,),""))))))))</f>
        <v/>
      </c>
      <c r="W3582" s="31" t="str">
        <f t="shared" si="404"/>
        <v>TRUE</v>
      </c>
      <c r="X3582" s="31" t="str">
        <f t="shared" si="401"/>
        <v/>
      </c>
      <c r="Y3582" s="10" t="s">
        <v>1253</v>
      </c>
      <c r="AL3582" s="10" t="str">
        <f t="shared" si="406"/>
        <v>FALSE</v>
      </c>
      <c r="AM3582" s="10" t="str">
        <f t="shared" si="406"/>
        <v>FALSE</v>
      </c>
      <c r="AN3582" s="10" t="str">
        <f t="shared" si="406"/>
        <v>FALSE</v>
      </c>
      <c r="AO3582" s="10" t="str">
        <f t="shared" si="407"/>
        <v>FALSE</v>
      </c>
      <c r="AP3582" s="10" t="str">
        <f t="shared" si="407"/>
        <v>FALSE</v>
      </c>
      <c r="AQ3582" s="10" t="b">
        <f>IF(AND(I3582="TP",S3582&lt;=150),VLOOKUP(AF3582,TPCalibEq150!$AZ$2:$BB$55,3,),IF(AND(I3582="TDP",S3582&lt;=150),VLOOKUP(AF3582,TPCalibEq150!$AZ$2:$BB$55,3,)))</f>
        <v>0</v>
      </c>
      <c r="AR3582" s="10" t="b">
        <f>IF(AND(I3582="TP",S3582&lt;=300),VLOOKUP(AF3582,TPCalibEq300!$AZ$2:$BB$55,3,),IF(AND(I3582="TDP",S3582&lt;=300),VLOOKUP(AF3582,TPCalibEq300!$AZ$2:$BB$55,3,)))</f>
        <v>0</v>
      </c>
      <c r="AS3582" s="10" t="b">
        <f>IF(AND(I3582="TP",S3582&lt;=500),VLOOKUP(AF3582,TPCalibEq500!$AZ$2:$BB$56,3,),IF(AND(I3582="TDP",S3582&lt;=500),VLOOKUP(AF3582,TPCalibEq500!$AZ$2:$BB$56,3,)))</f>
        <v>0</v>
      </c>
      <c r="AT3582" s="10" t="b">
        <f>IF(AND(I3582="TN",S3582&lt;=2800),VLOOKUP(AF3582,TNCalibEq2500!$AZ$2:$BB$56,3,),IF(AND(I3582="TDN",S3582&lt;=2800),VLOOKUP(AF3582,TNCalibEq2500!$AZ$2:$BB$56,3,)))</f>
        <v>0</v>
      </c>
      <c r="AU3582" s="10" t="b">
        <f>IF(I3582="TP",VLOOKUP(AF3582,TPCalibEqFull!$AZ$2:$BB$56,3),IF(I3582="TDP",VLOOKUP(AF3582,TPCalibEqFull!$AZ$2:$BB$56,3),IF(I3582="TDN",VLOOKUP(AF3582,TNCalibEqFull!$AZ$1:$BB$56,3),IF(I3582="TN",VLOOKUP(AF3582,TNCalibEqFull!$AZ$1:$BB$56,3),FALSE))))</f>
        <v>0</v>
      </c>
      <c r="AV3582" s="10" t="str">
        <f t="shared" si="405"/>
        <v>0221 12:06:00-ECP-29-FIL-1-SW-UKN</v>
      </c>
    </row>
    <row r="3583" spans="1:48" s="10" customFormat="1" x14ac:dyDescent="0.55000000000000004">
      <c r="A3583" s="32">
        <v>44978</v>
      </c>
      <c r="B3583" s="33">
        <v>0.50972222222222219</v>
      </c>
      <c r="C3583" s="10" t="s">
        <v>661</v>
      </c>
      <c r="D3583" s="10">
        <v>0</v>
      </c>
      <c r="E3583" s="10" t="s">
        <v>911</v>
      </c>
      <c r="F3583" s="10">
        <v>1</v>
      </c>
      <c r="G3583" s="10" t="s">
        <v>231</v>
      </c>
      <c r="H3583" s="10" t="s">
        <v>322</v>
      </c>
      <c r="I3583" s="10" t="s">
        <v>167</v>
      </c>
      <c r="J3583" s="10">
        <v>55</v>
      </c>
      <c r="K3583" s="12">
        <v>44980</v>
      </c>
      <c r="L3583" s="33">
        <v>0.54854166666666659</v>
      </c>
      <c r="M3583" s="10">
        <v>1</v>
      </c>
      <c r="N3583" s="10" t="s">
        <v>211</v>
      </c>
      <c r="O3583" s="10">
        <v>0.55500000000000005</v>
      </c>
      <c r="P3583" s="10">
        <v>5.0999999999999997E-2</v>
      </c>
      <c r="Q3583" s="10">
        <v>97</v>
      </c>
      <c r="R3583" s="10" t="s">
        <v>913</v>
      </c>
      <c r="S3583" s="34">
        <f t="shared" si="402"/>
        <v>97</v>
      </c>
      <c r="T3583" s="10" t="s">
        <v>1267</v>
      </c>
      <c r="U3583" s="34" t="str">
        <f t="shared" si="403"/>
        <v/>
      </c>
      <c r="V3583" s="31" t="str">
        <f>IF(H3583="CHK",VLOOKUP(I3583,QCCHK,3,),IF(H3583="GUP",VLOOKUP(E3583,QCGUP,2,),IF(AND(H3583="ATP",OR(I3583="TN",I3583="TDN",I3583="TNO2-3",I3583="NO2-3")),VLOOKUP(E3583,QCREC_N,2,),IF(AND(H3583="NIC",OR(I3583="TN",I3583="TDN",I3583="TNO2-3",I3583="NO2-3")),VLOOKUP(E3583,QCNIC_N,2,),IF(AND(H3583="UREA",OR(I3583="TN",I3583="TDN",I3583="TNO2-3",I3583="NO2-3")),VLOOKUP(E3583,QCUREA_N,2,),IF(H3583="PER",VLOOKUP(I3583,QCPER,MATCH(E3583,QCACTUAL!$J$25:$AA$25,0),),IF(H3583="SPK",VLOOKUP(I3583,QCSPK,3,),IF(AND(H3583="ATP",OR(I3583="TP",I3583="TDP")),VLOOKUP(E3583,QCATP_P,2,),""))))))))</f>
        <v/>
      </c>
      <c r="W3583" s="31" t="str">
        <f t="shared" si="404"/>
        <v>TRUE</v>
      </c>
      <c r="X3583" s="31" t="str">
        <f t="shared" ref="X3583:X3646" si="408">IF(ISNA(VLOOKUP(H3583,QCEQUATIONS,2,)),"",(VLOOKUP(H3583,QCEQUATIONS,2,)))</f>
        <v/>
      </c>
      <c r="Y3583" s="10" t="s">
        <v>1253</v>
      </c>
      <c r="AL3583" s="10" t="str">
        <f t="shared" si="406"/>
        <v>FALSE</v>
      </c>
      <c r="AM3583" s="10" t="str">
        <f t="shared" si="406"/>
        <v>FALSE</v>
      </c>
      <c r="AN3583" s="10" t="str">
        <f t="shared" si="406"/>
        <v>FALSE</v>
      </c>
      <c r="AO3583" s="10" t="str">
        <f t="shared" si="407"/>
        <v>FALSE</v>
      </c>
      <c r="AP3583" s="10" t="str">
        <f t="shared" si="407"/>
        <v>FALSE</v>
      </c>
      <c r="AQ3583" s="10" t="b">
        <f>IF(AND(I3583="TP",S3583&lt;=150),VLOOKUP(AF3583,TPCalibEq150!$AZ$2:$BB$55,3,),IF(AND(I3583="TDP",S3583&lt;=150),VLOOKUP(AF3583,TPCalibEq150!$AZ$2:$BB$55,3,)))</f>
        <v>0</v>
      </c>
      <c r="AR3583" s="10" t="b">
        <f>IF(AND(I3583="TP",S3583&lt;=300),VLOOKUP(AF3583,TPCalibEq300!$AZ$2:$BB$55,3,),IF(AND(I3583="TDP",S3583&lt;=300),VLOOKUP(AF3583,TPCalibEq300!$AZ$2:$BB$55,3,)))</f>
        <v>0</v>
      </c>
      <c r="AS3583" s="10" t="b">
        <f>IF(AND(I3583="TP",S3583&lt;=500),VLOOKUP(AF3583,TPCalibEq500!$AZ$2:$BB$56,3,),IF(AND(I3583="TDP",S3583&lt;=500),VLOOKUP(AF3583,TPCalibEq500!$AZ$2:$BB$56,3,)))</f>
        <v>0</v>
      </c>
      <c r="AT3583" s="10" t="b">
        <f>IF(AND(I3583="TN",S3583&lt;=2800),VLOOKUP(AF3583,TNCalibEq2500!$AZ$2:$BB$56,3,),IF(AND(I3583="TDN",S3583&lt;=2800),VLOOKUP(AF3583,TNCalibEq2500!$AZ$2:$BB$56,3,)))</f>
        <v>0</v>
      </c>
      <c r="AU3583" s="10" t="b">
        <f>IF(I3583="TP",VLOOKUP(AF3583,TPCalibEqFull!$AZ$2:$BB$56,3),IF(I3583="TDP",VLOOKUP(AF3583,TPCalibEqFull!$AZ$2:$BB$56,3),IF(I3583="TDN",VLOOKUP(AF3583,TNCalibEqFull!$AZ$1:$BB$56,3),IF(I3583="TN",VLOOKUP(AF3583,TNCalibEqFull!$AZ$1:$BB$56,3),FALSE))))</f>
        <v>0</v>
      </c>
      <c r="AV3583" s="10" t="str">
        <f t="shared" si="405"/>
        <v>0221 12:14:00-ENN-0-FIL-1-SW-UKN</v>
      </c>
    </row>
    <row r="3584" spans="1:48" s="10" customFormat="1" x14ac:dyDescent="0.55000000000000004">
      <c r="A3584" s="32">
        <v>44978</v>
      </c>
      <c r="B3584" s="33">
        <v>0.51180555555555551</v>
      </c>
      <c r="C3584" s="10" t="s">
        <v>661</v>
      </c>
      <c r="D3584" s="10">
        <v>5</v>
      </c>
      <c r="E3584" s="10" t="s">
        <v>911</v>
      </c>
      <c r="F3584" s="10">
        <v>1</v>
      </c>
      <c r="G3584" s="10" t="s">
        <v>231</v>
      </c>
      <c r="H3584" s="10" t="s">
        <v>322</v>
      </c>
      <c r="I3584" s="10" t="s">
        <v>167</v>
      </c>
      <c r="J3584" s="10">
        <v>56</v>
      </c>
      <c r="K3584" s="12">
        <v>44980</v>
      </c>
      <c r="L3584" s="33">
        <v>0.54936342592592591</v>
      </c>
      <c r="M3584" s="10">
        <v>1</v>
      </c>
      <c r="N3584" s="10" t="s">
        <v>211</v>
      </c>
      <c r="O3584" s="10">
        <v>0.55400000000000005</v>
      </c>
      <c r="P3584" s="10">
        <v>5.1200000000000002E-2</v>
      </c>
      <c r="Q3584" s="10">
        <v>96.9</v>
      </c>
      <c r="R3584" s="10" t="s">
        <v>913</v>
      </c>
      <c r="S3584" s="34">
        <f t="shared" ref="S3584:S3647" si="409">IF(OR(AND(I3584&lt;&gt;"TP", I3584&lt;&gt;"TDP",I3584&lt;&gt;"TN", I3584&lt;&gt;"TDN"),H3584="CAL"), Q3584*M3584, IF(OR(AND(I3584="TN", Q3584&gt;2500), AND(I3584="TDN", Q3584&gt;2500)),MAX(Q3584, AK3584)*M3584, IF(OR(AND(I3584="TN", Q3584&lt;=2500), AND(I3584="TDN", Q3584&lt;=2500)),MAX(Q3584, AJ3584,AK3584)*M3584, IF(OR(AND(I3584="TP",Q3584&gt;500), AND(I3584="TDP", Q3584&gt;500)),MAX(Q3584,AK3584)*M3584,IF(OR(AND(I3584="TP",Q3584&lt;=150), AND(I3584="TDP", Q3584&lt;=150)),MAX(Q3584,AG3584:AI3584,AK3584)*M3584,IF(OR(AND(I3584="TP",Q3584&lt;=300), AND(I3584="TDP", Q3584&lt;=300)),MAX(Q3584,AH3584,AI3584,AK3584)*M3584,IF(OR(AND(I3584="TP",Q3584&lt;=500), AND(I3584="TDP", Q3584&lt;=500)),MAX(Q3584,AI3584,AK3584)*M3584,"")))))))</f>
        <v>96.9</v>
      </c>
      <c r="T3584" s="10" t="s">
        <v>1267</v>
      </c>
      <c r="U3584" s="34" t="str">
        <f t="shared" si="403"/>
        <v/>
      </c>
      <c r="V3584" s="31" t="str">
        <f>IF(H3584="CHK",VLOOKUP(I3584,QCCHK,3,),IF(H3584="GUP",VLOOKUP(E3584,QCGUP,2,),IF(AND(H3584="ATP",OR(I3584="TN",I3584="TDN",I3584="TNO2-3",I3584="NO2-3")),VLOOKUP(E3584,QCREC_N,2,),IF(AND(H3584="NIC",OR(I3584="TN",I3584="TDN",I3584="TNO2-3",I3584="NO2-3")),VLOOKUP(E3584,QCNIC_N,2,),IF(AND(H3584="UREA",OR(I3584="TN",I3584="TDN",I3584="TNO2-3",I3584="NO2-3")),VLOOKUP(E3584,QCUREA_N,2,),IF(H3584="PER",VLOOKUP(I3584,QCPER,MATCH(E3584,QCACTUAL!$J$25:$AA$25,0),),IF(H3584="SPK",VLOOKUP(I3584,QCSPK,3,),IF(AND(H3584="ATP",OR(I3584="TP",I3584="TDP")),VLOOKUP(E3584,QCATP_P,2,),""))))))))</f>
        <v/>
      </c>
      <c r="W3584" s="31" t="str">
        <f t="shared" si="404"/>
        <v>TRUE</v>
      </c>
      <c r="X3584" s="31" t="str">
        <f t="shared" si="408"/>
        <v/>
      </c>
      <c r="Y3584" s="10" t="s">
        <v>1253</v>
      </c>
      <c r="AL3584" s="10" t="str">
        <f t="shared" si="406"/>
        <v>FALSE</v>
      </c>
      <c r="AM3584" s="10" t="str">
        <f t="shared" si="406"/>
        <v>FALSE</v>
      </c>
      <c r="AN3584" s="10" t="str">
        <f t="shared" si="406"/>
        <v>FALSE</v>
      </c>
      <c r="AO3584" s="10" t="str">
        <f t="shared" si="407"/>
        <v>FALSE</v>
      </c>
      <c r="AP3584" s="10" t="str">
        <f t="shared" si="407"/>
        <v>FALSE</v>
      </c>
      <c r="AQ3584" s="10" t="b">
        <f>IF(AND(I3584="TP",S3584&lt;=150),VLOOKUP(AF3584,TPCalibEq150!$AZ$2:$BB$55,3,),IF(AND(I3584="TDP",S3584&lt;=150),VLOOKUP(AF3584,TPCalibEq150!$AZ$2:$BB$55,3,)))</f>
        <v>0</v>
      </c>
      <c r="AR3584" s="10" t="b">
        <f>IF(AND(I3584="TP",S3584&lt;=300),VLOOKUP(AF3584,TPCalibEq300!$AZ$2:$BB$55,3,),IF(AND(I3584="TDP",S3584&lt;=300),VLOOKUP(AF3584,TPCalibEq300!$AZ$2:$BB$55,3,)))</f>
        <v>0</v>
      </c>
      <c r="AS3584" s="10" t="b">
        <f>IF(AND(I3584="TP",S3584&lt;=500),VLOOKUP(AF3584,TPCalibEq500!$AZ$2:$BB$56,3,),IF(AND(I3584="TDP",S3584&lt;=500),VLOOKUP(AF3584,TPCalibEq500!$AZ$2:$BB$56,3,)))</f>
        <v>0</v>
      </c>
      <c r="AT3584" s="10" t="b">
        <f>IF(AND(I3584="TN",S3584&lt;=2800),VLOOKUP(AF3584,TNCalibEq2500!$AZ$2:$BB$56,3,),IF(AND(I3584="TDN",S3584&lt;=2800),VLOOKUP(AF3584,TNCalibEq2500!$AZ$2:$BB$56,3,)))</f>
        <v>0</v>
      </c>
      <c r="AU3584" s="10" t="b">
        <f>IF(I3584="TP",VLOOKUP(AF3584,TPCalibEqFull!$AZ$2:$BB$56,3),IF(I3584="TDP",VLOOKUP(AF3584,TPCalibEqFull!$AZ$2:$BB$56,3),IF(I3584="TDN",VLOOKUP(AF3584,TNCalibEqFull!$AZ$1:$BB$56,3),IF(I3584="TN",VLOOKUP(AF3584,TNCalibEqFull!$AZ$1:$BB$56,3),FALSE))))</f>
        <v>0</v>
      </c>
      <c r="AV3584" s="10" t="str">
        <f t="shared" si="405"/>
        <v>0221 12:17:00-ENN-5-FIL-1-SW-UKN</v>
      </c>
    </row>
    <row r="3585" spans="1:48" s="10" customFormat="1" x14ac:dyDescent="0.55000000000000004">
      <c r="A3585" s="32">
        <v>44978</v>
      </c>
      <c r="B3585" s="33">
        <v>0.51388888888888895</v>
      </c>
      <c r="C3585" s="10" t="s">
        <v>661</v>
      </c>
      <c r="D3585" s="10">
        <v>10</v>
      </c>
      <c r="E3585" s="10" t="s">
        <v>911</v>
      </c>
      <c r="F3585" s="10">
        <v>1</v>
      </c>
      <c r="G3585" s="10" t="s">
        <v>231</v>
      </c>
      <c r="H3585" s="10" t="s">
        <v>322</v>
      </c>
      <c r="I3585" s="10" t="s">
        <v>167</v>
      </c>
      <c r="J3585" s="10">
        <v>57</v>
      </c>
      <c r="K3585" s="12">
        <v>44980</v>
      </c>
      <c r="L3585" s="33">
        <v>0.55017361111111118</v>
      </c>
      <c r="M3585" s="10">
        <v>1</v>
      </c>
      <c r="N3585" s="10" t="s">
        <v>211</v>
      </c>
      <c r="O3585" s="10">
        <v>0.56799999999999995</v>
      </c>
      <c r="P3585" s="10">
        <v>5.2499999999999998E-2</v>
      </c>
      <c r="Q3585" s="10">
        <v>99.4</v>
      </c>
      <c r="R3585" s="10" t="s">
        <v>913</v>
      </c>
      <c r="S3585" s="34">
        <f t="shared" si="409"/>
        <v>99.4</v>
      </c>
      <c r="T3585" s="10" t="s">
        <v>1267</v>
      </c>
      <c r="U3585" s="34" t="str">
        <f t="shared" si="403"/>
        <v/>
      </c>
      <c r="V3585" s="31" t="str">
        <f>IF(H3585="CHK",VLOOKUP(I3585,QCCHK,3,),IF(H3585="GUP",VLOOKUP(E3585,QCGUP,2,),IF(AND(H3585="ATP",OR(I3585="TN",I3585="TDN",I3585="TNO2-3",I3585="NO2-3")),VLOOKUP(E3585,QCREC_N,2,),IF(AND(H3585="NIC",OR(I3585="TN",I3585="TDN",I3585="TNO2-3",I3585="NO2-3")),VLOOKUP(E3585,QCNIC_N,2,),IF(AND(H3585="UREA",OR(I3585="TN",I3585="TDN",I3585="TNO2-3",I3585="NO2-3")),VLOOKUP(E3585,QCUREA_N,2,),IF(H3585="PER",VLOOKUP(I3585,QCPER,MATCH(E3585,QCACTUAL!$J$25:$AA$25,0),),IF(H3585="SPK",VLOOKUP(I3585,QCSPK,3,),IF(AND(H3585="ATP",OR(I3585="TP",I3585="TDP")),VLOOKUP(E3585,QCATP_P,2,),""))))))))</f>
        <v/>
      </c>
      <c r="W3585" s="31" t="str">
        <f t="shared" si="404"/>
        <v>TRUE</v>
      </c>
      <c r="X3585" s="31" t="str">
        <f t="shared" si="408"/>
        <v/>
      </c>
      <c r="Y3585" s="10" t="s">
        <v>1253</v>
      </c>
      <c r="AL3585" s="10" t="str">
        <f t="shared" si="406"/>
        <v>FALSE</v>
      </c>
      <c r="AM3585" s="10" t="str">
        <f t="shared" si="406"/>
        <v>FALSE</v>
      </c>
      <c r="AN3585" s="10" t="str">
        <f t="shared" si="406"/>
        <v>FALSE</v>
      </c>
      <c r="AO3585" s="10" t="str">
        <f t="shared" si="407"/>
        <v>FALSE</v>
      </c>
      <c r="AP3585" s="10" t="str">
        <f t="shared" si="407"/>
        <v>FALSE</v>
      </c>
      <c r="AQ3585" s="10" t="b">
        <f>IF(AND(I3585="TP",S3585&lt;=150),VLOOKUP(AF3585,TPCalibEq150!$AZ$2:$BB$55,3,),IF(AND(I3585="TDP",S3585&lt;=150),VLOOKUP(AF3585,TPCalibEq150!$AZ$2:$BB$55,3,)))</f>
        <v>0</v>
      </c>
      <c r="AR3585" s="10" t="b">
        <f>IF(AND(I3585="TP",S3585&lt;=300),VLOOKUP(AF3585,TPCalibEq300!$AZ$2:$BB$55,3,),IF(AND(I3585="TDP",S3585&lt;=300),VLOOKUP(AF3585,TPCalibEq300!$AZ$2:$BB$55,3,)))</f>
        <v>0</v>
      </c>
      <c r="AS3585" s="10" t="b">
        <f>IF(AND(I3585="TP",S3585&lt;=500),VLOOKUP(AF3585,TPCalibEq500!$AZ$2:$BB$56,3,),IF(AND(I3585="TDP",S3585&lt;=500),VLOOKUP(AF3585,TPCalibEq500!$AZ$2:$BB$56,3,)))</f>
        <v>0</v>
      </c>
      <c r="AT3585" s="10" t="b">
        <f>IF(AND(I3585="TN",S3585&lt;=2800),VLOOKUP(AF3585,TNCalibEq2500!$AZ$2:$BB$56,3,),IF(AND(I3585="TDN",S3585&lt;=2800),VLOOKUP(AF3585,TNCalibEq2500!$AZ$2:$BB$56,3,)))</f>
        <v>0</v>
      </c>
      <c r="AU3585" s="10" t="b">
        <f>IF(I3585="TP",VLOOKUP(AF3585,TPCalibEqFull!$AZ$2:$BB$56,3),IF(I3585="TDP",VLOOKUP(AF3585,TPCalibEqFull!$AZ$2:$BB$56,3),IF(I3585="TDN",VLOOKUP(AF3585,TNCalibEqFull!$AZ$1:$BB$56,3),IF(I3585="TN",VLOOKUP(AF3585,TNCalibEqFull!$AZ$1:$BB$56,3),FALSE))))</f>
        <v>0</v>
      </c>
      <c r="AV3585" s="10" t="str">
        <f t="shared" si="405"/>
        <v>0221 12:20:00-ENN-10-FIL-1-SW-UKN</v>
      </c>
    </row>
    <row r="3586" spans="1:48" s="10" customFormat="1" x14ac:dyDescent="0.55000000000000004">
      <c r="A3586" s="32">
        <v>44978</v>
      </c>
      <c r="B3586" s="33">
        <v>0.51666666666666672</v>
      </c>
      <c r="C3586" s="10" t="s">
        <v>661</v>
      </c>
      <c r="D3586" s="10">
        <v>20</v>
      </c>
      <c r="E3586" s="10" t="s">
        <v>911</v>
      </c>
      <c r="F3586" s="10">
        <v>1</v>
      </c>
      <c r="G3586" s="10" t="s">
        <v>231</v>
      </c>
      <c r="H3586" s="10" t="s">
        <v>322</v>
      </c>
      <c r="I3586" s="10" t="s">
        <v>167</v>
      </c>
      <c r="J3586" s="10">
        <v>58</v>
      </c>
      <c r="K3586" s="12">
        <v>44980</v>
      </c>
      <c r="L3586" s="33">
        <v>0.55098379629629635</v>
      </c>
      <c r="M3586" s="10">
        <v>1</v>
      </c>
      <c r="N3586" s="10" t="s">
        <v>211</v>
      </c>
      <c r="O3586" s="10">
        <v>0.57899999999999996</v>
      </c>
      <c r="P3586" s="10">
        <v>5.3800000000000001E-2</v>
      </c>
      <c r="Q3586" s="10">
        <v>101</v>
      </c>
      <c r="R3586" s="10" t="s">
        <v>913</v>
      </c>
      <c r="S3586" s="34">
        <f t="shared" si="409"/>
        <v>101</v>
      </c>
      <c r="T3586" s="10" t="s">
        <v>1267</v>
      </c>
      <c r="U3586" s="34" t="str">
        <f t="shared" ref="U3586:U3649" si="410">IF(OR(H3586="CHK",H3586="ATP",H3586="GUP",H3586="PER", H3586="NIC", H3586="UREA"),(S3586/V3586*100),IF(H3586="DUP",((ABS(S3586-S3585))/((S3585+S3586)/2))*100,IF(H3586="SPK",((S3586-S3585)/V3586*100),IF(OR(H3586="LAB",H3586="FLD",H3586="ESF"),S3586,""))))</f>
        <v/>
      </c>
      <c r="V3586" s="31" t="str">
        <f>IF(H3586="CHK",VLOOKUP(I3586,QCCHK,3,),IF(H3586="GUP",VLOOKUP(E3586,QCGUP,2,),IF(AND(H3586="ATP",OR(I3586="TN",I3586="TDN",I3586="TNO2-3",I3586="NO2-3")),VLOOKUP(E3586,QCREC_N,2,),IF(AND(H3586="NIC",OR(I3586="TN",I3586="TDN",I3586="TNO2-3",I3586="NO2-3")),VLOOKUP(E3586,QCNIC_N,2,),IF(AND(H3586="UREA",OR(I3586="TN",I3586="TDN",I3586="TNO2-3",I3586="NO2-3")),VLOOKUP(E3586,QCUREA_N,2,),IF(H3586="PER",VLOOKUP(I3586,QCPER,MATCH(E3586,QCACTUAL!$J$25:$AA$25,0),),IF(H3586="SPK",VLOOKUP(I3586,QCSPK,3,),IF(AND(H3586="ATP",OR(I3586="TP",I3586="TDP")),VLOOKUP(E3586,QCATP_P,2,),""))))))))</f>
        <v/>
      </c>
      <c r="W3586" s="31" t="str">
        <f t="shared" ref="W3586:W3649" si="411">IF(AND(OR(H3586="PER",H3586="ATP",H3586="GUP",H3586="CHK",H3586="SPK", H3586="NIC"),OR(U3586&gt;125,U3586&lt;75)),"FALSE",IF(AND(H3586="DUP",OR(U3586&gt;25, U3586&lt;-25)),"FALSE",IF(AND(OR(H3586="LAB",H3586="FLD",H3586="ESF"),U3586&gt;15),"FALSE","TRUE")))</f>
        <v>TRUE</v>
      </c>
      <c r="X3586" s="31" t="str">
        <f t="shared" si="408"/>
        <v/>
      </c>
      <c r="Y3586" s="10" t="s">
        <v>1253</v>
      </c>
      <c r="AL3586" s="10" t="str">
        <f t="shared" si="406"/>
        <v>FALSE</v>
      </c>
      <c r="AM3586" s="10" t="str">
        <f t="shared" si="406"/>
        <v>FALSE</v>
      </c>
      <c r="AN3586" s="10" t="str">
        <f t="shared" si="406"/>
        <v>FALSE</v>
      </c>
      <c r="AO3586" s="10" t="str">
        <f t="shared" si="407"/>
        <v>FALSE</v>
      </c>
      <c r="AP3586" s="10" t="str">
        <f t="shared" si="407"/>
        <v>FALSE</v>
      </c>
      <c r="AQ3586" s="10" t="b">
        <f>IF(AND(I3586="TP",S3586&lt;=150),VLOOKUP(AF3586,TPCalibEq150!$AZ$2:$BB$55,3,),IF(AND(I3586="TDP",S3586&lt;=150),VLOOKUP(AF3586,TPCalibEq150!$AZ$2:$BB$55,3,)))</f>
        <v>0</v>
      </c>
      <c r="AR3586" s="10" t="b">
        <f>IF(AND(I3586="TP",S3586&lt;=300),VLOOKUP(AF3586,TPCalibEq300!$AZ$2:$BB$55,3,),IF(AND(I3586="TDP",S3586&lt;=300),VLOOKUP(AF3586,TPCalibEq300!$AZ$2:$BB$55,3,)))</f>
        <v>0</v>
      </c>
      <c r="AS3586" s="10" t="b">
        <f>IF(AND(I3586="TP",S3586&lt;=500),VLOOKUP(AF3586,TPCalibEq500!$AZ$2:$BB$56,3,),IF(AND(I3586="TDP",S3586&lt;=500),VLOOKUP(AF3586,TPCalibEq500!$AZ$2:$BB$56,3,)))</f>
        <v>0</v>
      </c>
      <c r="AT3586" s="10" t="b">
        <f>IF(AND(I3586="TN",S3586&lt;=2800),VLOOKUP(AF3586,TNCalibEq2500!$AZ$2:$BB$56,3,),IF(AND(I3586="TDN",S3586&lt;=2800),VLOOKUP(AF3586,TNCalibEq2500!$AZ$2:$BB$56,3,)))</f>
        <v>0</v>
      </c>
      <c r="AU3586" s="10" t="b">
        <f>IF(I3586="TP",VLOOKUP(AF3586,TPCalibEqFull!$AZ$2:$BB$56,3),IF(I3586="TDP",VLOOKUP(AF3586,TPCalibEqFull!$AZ$2:$BB$56,3),IF(I3586="TDN",VLOOKUP(AF3586,TNCalibEqFull!$AZ$1:$BB$56,3),IF(I3586="TN",VLOOKUP(AF3586,TNCalibEqFull!$AZ$1:$BB$56,3),FALSE))))</f>
        <v>0</v>
      </c>
      <c r="AV3586" s="10" t="str">
        <f t="shared" ref="AV3586:AV3649" si="412">TEXT(A3586, "MMDD")&amp;" "&amp;TEXT(B3586, "HH:MM:SS")&amp;"-"&amp;C3586&amp;"-"&amp;D3586&amp;"-"&amp;E3586&amp;"-"&amp;F3586&amp;"-"&amp;G3586&amp;"-"&amp;H3586</f>
        <v>0221 12:24:00-ENN-20-FIL-1-SW-UKN</v>
      </c>
    </row>
    <row r="3587" spans="1:48" s="10" customFormat="1" x14ac:dyDescent="0.55000000000000004">
      <c r="A3587" s="32">
        <v>44978</v>
      </c>
      <c r="B3587" s="33">
        <v>0.51944444444444449</v>
      </c>
      <c r="C3587" s="10" t="s">
        <v>661</v>
      </c>
      <c r="D3587" s="10">
        <v>24</v>
      </c>
      <c r="E3587" s="10" t="s">
        <v>911</v>
      </c>
      <c r="F3587" s="10">
        <v>1</v>
      </c>
      <c r="G3587" s="10" t="s">
        <v>231</v>
      </c>
      <c r="H3587" s="10" t="s">
        <v>322</v>
      </c>
      <c r="I3587" s="10" t="s">
        <v>167</v>
      </c>
      <c r="J3587" s="10">
        <v>59</v>
      </c>
      <c r="K3587" s="12">
        <v>44980</v>
      </c>
      <c r="L3587" s="33">
        <v>0.55179398148148151</v>
      </c>
      <c r="M3587" s="10">
        <v>1</v>
      </c>
      <c r="N3587" s="10" t="s">
        <v>211</v>
      </c>
      <c r="O3587" s="10">
        <v>0.56399999999999995</v>
      </c>
      <c r="P3587" s="10">
        <v>5.2400000000000002E-2</v>
      </c>
      <c r="Q3587" s="10">
        <v>98.6</v>
      </c>
      <c r="R3587" s="10" t="s">
        <v>913</v>
      </c>
      <c r="S3587" s="34">
        <f t="shared" si="409"/>
        <v>98.6</v>
      </c>
      <c r="T3587" s="10" t="s">
        <v>1267</v>
      </c>
      <c r="U3587" s="34" t="str">
        <f t="shared" si="410"/>
        <v/>
      </c>
      <c r="V3587" s="31" t="str">
        <f>IF(H3587="CHK",VLOOKUP(I3587,QCCHK,3,),IF(H3587="GUP",VLOOKUP(E3587,QCGUP,2,),IF(AND(H3587="ATP",OR(I3587="TN",I3587="TDN",I3587="TNO2-3",I3587="NO2-3")),VLOOKUP(E3587,QCREC_N,2,),IF(AND(H3587="NIC",OR(I3587="TN",I3587="TDN",I3587="TNO2-3",I3587="NO2-3")),VLOOKUP(E3587,QCNIC_N,2,),IF(AND(H3587="UREA",OR(I3587="TN",I3587="TDN",I3587="TNO2-3",I3587="NO2-3")),VLOOKUP(E3587,QCUREA_N,2,),IF(H3587="PER",VLOOKUP(I3587,QCPER,MATCH(E3587,QCACTUAL!$J$25:$AA$25,0),),IF(H3587="SPK",VLOOKUP(I3587,QCSPK,3,),IF(AND(H3587="ATP",OR(I3587="TP",I3587="TDP")),VLOOKUP(E3587,QCATP_P,2,),""))))))))</f>
        <v/>
      </c>
      <c r="W3587" s="31" t="str">
        <f t="shared" si="411"/>
        <v>TRUE</v>
      </c>
      <c r="X3587" s="31" t="str">
        <f t="shared" si="408"/>
        <v/>
      </c>
      <c r="Y3587" s="10" t="s">
        <v>1253</v>
      </c>
      <c r="AL3587" s="10" t="str">
        <f t="shared" si="406"/>
        <v>FALSE</v>
      </c>
      <c r="AM3587" s="10" t="str">
        <f t="shared" si="406"/>
        <v>FALSE</v>
      </c>
      <c r="AN3587" s="10" t="str">
        <f t="shared" si="406"/>
        <v>FALSE</v>
      </c>
      <c r="AO3587" s="10" t="str">
        <f t="shared" si="407"/>
        <v>FALSE</v>
      </c>
      <c r="AP3587" s="10" t="str">
        <f t="shared" si="407"/>
        <v>FALSE</v>
      </c>
      <c r="AQ3587" s="10" t="b">
        <f>IF(AND(I3587="TP",S3587&lt;=150),VLOOKUP(AF3587,TPCalibEq150!$AZ$2:$BB$55,3,),IF(AND(I3587="TDP",S3587&lt;=150),VLOOKUP(AF3587,TPCalibEq150!$AZ$2:$BB$55,3,)))</f>
        <v>0</v>
      </c>
      <c r="AR3587" s="10" t="b">
        <f>IF(AND(I3587="TP",S3587&lt;=300),VLOOKUP(AF3587,TPCalibEq300!$AZ$2:$BB$55,3,),IF(AND(I3587="TDP",S3587&lt;=300),VLOOKUP(AF3587,TPCalibEq300!$AZ$2:$BB$55,3,)))</f>
        <v>0</v>
      </c>
      <c r="AS3587" s="10" t="b">
        <f>IF(AND(I3587="TP",S3587&lt;=500),VLOOKUP(AF3587,TPCalibEq500!$AZ$2:$BB$56,3,),IF(AND(I3587="TDP",S3587&lt;=500),VLOOKUP(AF3587,TPCalibEq500!$AZ$2:$BB$56,3,)))</f>
        <v>0</v>
      </c>
      <c r="AT3587" s="10" t="b">
        <f>IF(AND(I3587="TN",S3587&lt;=2800),VLOOKUP(AF3587,TNCalibEq2500!$AZ$2:$BB$56,3,),IF(AND(I3587="TDN",S3587&lt;=2800),VLOOKUP(AF3587,TNCalibEq2500!$AZ$2:$BB$56,3,)))</f>
        <v>0</v>
      </c>
      <c r="AU3587" s="10" t="b">
        <f>IF(I3587="TP",VLOOKUP(AF3587,TPCalibEqFull!$AZ$2:$BB$56,3),IF(I3587="TDP",VLOOKUP(AF3587,TPCalibEqFull!$AZ$2:$BB$56,3),IF(I3587="TDN",VLOOKUP(AF3587,TNCalibEqFull!$AZ$1:$BB$56,3),IF(I3587="TN",VLOOKUP(AF3587,TNCalibEqFull!$AZ$1:$BB$56,3),FALSE))))</f>
        <v>0</v>
      </c>
      <c r="AV3587" s="10" t="str">
        <f t="shared" si="412"/>
        <v>0221 12:28:00-ENN-24-FIL-1-SW-UKN</v>
      </c>
    </row>
    <row r="3588" spans="1:48" s="10" customFormat="1" x14ac:dyDescent="0.55000000000000004">
      <c r="A3588" s="32">
        <v>44978</v>
      </c>
      <c r="B3588" s="33">
        <v>0.45069444444444445</v>
      </c>
      <c r="C3588" s="10" t="s">
        <v>646</v>
      </c>
      <c r="D3588" s="10">
        <v>0</v>
      </c>
      <c r="E3588" s="10" t="s">
        <v>911</v>
      </c>
      <c r="F3588" s="10">
        <v>1</v>
      </c>
      <c r="G3588" s="10" t="s">
        <v>231</v>
      </c>
      <c r="H3588" s="10" t="s">
        <v>322</v>
      </c>
      <c r="I3588" s="10" t="s">
        <v>167</v>
      </c>
      <c r="J3588" s="10">
        <v>60</v>
      </c>
      <c r="K3588" s="12">
        <v>44980</v>
      </c>
      <c r="L3588" s="33">
        <v>0.55260416666666667</v>
      </c>
      <c r="M3588" s="10">
        <v>1</v>
      </c>
      <c r="N3588" s="10" t="s">
        <v>211</v>
      </c>
      <c r="O3588" s="10">
        <v>0.502</v>
      </c>
      <c r="P3588" s="10">
        <v>4.6199999999999998E-2</v>
      </c>
      <c r="Q3588" s="10">
        <v>87.7</v>
      </c>
      <c r="R3588" s="10" t="s">
        <v>913</v>
      </c>
      <c r="S3588" s="34">
        <f t="shared" si="409"/>
        <v>87.7</v>
      </c>
      <c r="T3588" s="10" t="s">
        <v>1267</v>
      </c>
      <c r="U3588" s="34" t="str">
        <f t="shared" si="410"/>
        <v/>
      </c>
      <c r="V3588" s="31" t="str">
        <f>IF(H3588="CHK",VLOOKUP(I3588,QCCHK,3,),IF(H3588="GUP",VLOOKUP(E3588,QCGUP,2,),IF(AND(H3588="ATP",OR(I3588="TN",I3588="TDN",I3588="TNO2-3",I3588="NO2-3")),VLOOKUP(E3588,QCREC_N,2,),IF(AND(H3588="NIC",OR(I3588="TN",I3588="TDN",I3588="TNO2-3",I3588="NO2-3")),VLOOKUP(E3588,QCNIC_N,2,),IF(AND(H3588="UREA",OR(I3588="TN",I3588="TDN",I3588="TNO2-3",I3588="NO2-3")),VLOOKUP(E3588,QCUREA_N,2,),IF(H3588="PER",VLOOKUP(I3588,QCPER,MATCH(E3588,QCACTUAL!$J$25:$AA$25,0),),IF(H3588="SPK",VLOOKUP(I3588,QCSPK,3,),IF(AND(H3588="ATP",OR(I3588="TP",I3588="TDP")),VLOOKUP(E3588,QCATP_P,2,),""))))))))</f>
        <v/>
      </c>
      <c r="W3588" s="31" t="str">
        <f t="shared" si="411"/>
        <v>TRUE</v>
      </c>
      <c r="X3588" s="31" t="str">
        <f t="shared" si="408"/>
        <v/>
      </c>
      <c r="Y3588" s="10" t="s">
        <v>1253</v>
      </c>
      <c r="AL3588" s="10" t="str">
        <f t="shared" si="406"/>
        <v>FALSE</v>
      </c>
      <c r="AM3588" s="10" t="str">
        <f t="shared" si="406"/>
        <v>FALSE</v>
      </c>
      <c r="AN3588" s="10" t="str">
        <f t="shared" si="406"/>
        <v>FALSE</v>
      </c>
      <c r="AO3588" s="10" t="str">
        <f t="shared" si="407"/>
        <v>FALSE</v>
      </c>
      <c r="AP3588" s="10" t="str">
        <f t="shared" si="407"/>
        <v>FALSE</v>
      </c>
      <c r="AQ3588" s="10" t="b">
        <f>IF(AND(I3588="TP",S3588&lt;=150),VLOOKUP(AF3588,TPCalibEq150!$AZ$2:$BB$55,3,),IF(AND(I3588="TDP",S3588&lt;=150),VLOOKUP(AF3588,TPCalibEq150!$AZ$2:$BB$55,3,)))</f>
        <v>0</v>
      </c>
      <c r="AR3588" s="10" t="b">
        <f>IF(AND(I3588="TP",S3588&lt;=300),VLOOKUP(AF3588,TPCalibEq300!$AZ$2:$BB$55,3,),IF(AND(I3588="TDP",S3588&lt;=300),VLOOKUP(AF3588,TPCalibEq300!$AZ$2:$BB$55,3,)))</f>
        <v>0</v>
      </c>
      <c r="AS3588" s="10" t="b">
        <f>IF(AND(I3588="TP",S3588&lt;=500),VLOOKUP(AF3588,TPCalibEq500!$AZ$2:$BB$56,3,),IF(AND(I3588="TDP",S3588&lt;=500),VLOOKUP(AF3588,TPCalibEq500!$AZ$2:$BB$56,3,)))</f>
        <v>0</v>
      </c>
      <c r="AT3588" s="10" t="b">
        <f>IF(AND(I3588="TN",S3588&lt;=2800),VLOOKUP(AF3588,TNCalibEq2500!$AZ$2:$BB$56,3,),IF(AND(I3588="TDN",S3588&lt;=2800),VLOOKUP(AF3588,TNCalibEq2500!$AZ$2:$BB$56,3,)))</f>
        <v>0</v>
      </c>
      <c r="AU3588" s="10" t="b">
        <f>IF(I3588="TP",VLOOKUP(AF3588,TPCalibEqFull!$AZ$2:$BB$56,3),IF(I3588="TDP",VLOOKUP(AF3588,TPCalibEqFull!$AZ$2:$BB$56,3),IF(I3588="TDN",VLOOKUP(AF3588,TNCalibEqFull!$AZ$1:$BB$56,3),IF(I3588="TN",VLOOKUP(AF3588,TNCalibEqFull!$AZ$1:$BB$56,3),FALSE))))</f>
        <v>0</v>
      </c>
      <c r="AV3588" s="10" t="str">
        <f t="shared" si="412"/>
        <v>0221 10:49:00-EMB-0-FIL-1-SW-UKN</v>
      </c>
    </row>
    <row r="3589" spans="1:48" s="10" customFormat="1" x14ac:dyDescent="0.55000000000000004">
      <c r="A3589" s="32">
        <v>44978</v>
      </c>
      <c r="B3589" s="33">
        <v>0.45069444444444445</v>
      </c>
      <c r="C3589" s="10" t="s">
        <v>646</v>
      </c>
      <c r="D3589" s="10">
        <v>0</v>
      </c>
      <c r="E3589" s="10" t="s">
        <v>911</v>
      </c>
      <c r="F3589" s="10">
        <v>1</v>
      </c>
      <c r="G3589" s="10" t="s">
        <v>231</v>
      </c>
      <c r="H3589" s="10" t="s">
        <v>233</v>
      </c>
      <c r="I3589" s="10" t="s">
        <v>167</v>
      </c>
      <c r="J3589" s="10">
        <v>60</v>
      </c>
      <c r="K3589" s="12">
        <v>44980</v>
      </c>
      <c r="L3589" s="33">
        <v>0.5534027777777778</v>
      </c>
      <c r="M3589" s="10">
        <v>1</v>
      </c>
      <c r="N3589" s="10" t="s">
        <v>211</v>
      </c>
      <c r="O3589" s="10">
        <v>0.496</v>
      </c>
      <c r="P3589" s="10">
        <v>4.5900000000000003E-2</v>
      </c>
      <c r="Q3589" s="10">
        <v>86.7</v>
      </c>
      <c r="R3589" s="10" t="s">
        <v>913</v>
      </c>
      <c r="S3589" s="34">
        <f t="shared" si="409"/>
        <v>86.7</v>
      </c>
      <c r="T3589" s="10" t="s">
        <v>1267</v>
      </c>
      <c r="U3589" s="34">
        <f t="shared" si="410"/>
        <v>1.1467889908256879</v>
      </c>
      <c r="V3589" s="31" t="str">
        <f>IF(H3589="CHK",VLOOKUP(I3589,QCCHK,3,),IF(H3589="GUP",VLOOKUP(E3589,QCGUP,2,),IF(AND(H3589="ATP",OR(I3589="TN",I3589="TDN",I3589="TNO2-3",I3589="NO2-3")),VLOOKUP(E3589,QCREC_N,2,),IF(AND(H3589="NIC",OR(I3589="TN",I3589="TDN",I3589="TNO2-3",I3589="NO2-3")),VLOOKUP(E3589,QCNIC_N,2,),IF(AND(H3589="UREA",OR(I3589="TN",I3589="TDN",I3589="TNO2-3",I3589="NO2-3")),VLOOKUP(E3589,QCUREA_N,2,),IF(H3589="PER",VLOOKUP(I3589,QCPER,MATCH(E3589,QCACTUAL!$J$25:$AA$25,0),),IF(H3589="SPK",VLOOKUP(I3589,QCSPK,3,),IF(AND(H3589="ATP",OR(I3589="TP",I3589="TDP")),VLOOKUP(E3589,QCATP_P,2,),""))))))))</f>
        <v/>
      </c>
      <c r="W3589" s="31" t="str">
        <f t="shared" si="411"/>
        <v>TRUE</v>
      </c>
      <c r="X3589" s="31" t="str">
        <f t="shared" si="408"/>
        <v>((ABS(rep1-rep2))/((rep1+rep2)/2)*100</v>
      </c>
      <c r="Y3589" s="10" t="s">
        <v>1253</v>
      </c>
      <c r="AL3589" s="10" t="str">
        <f t="shared" si="406"/>
        <v>FALSE</v>
      </c>
      <c r="AM3589" s="10" t="str">
        <f t="shared" si="406"/>
        <v>FALSE</v>
      </c>
      <c r="AN3589" s="10" t="str">
        <f t="shared" si="406"/>
        <v>FALSE</v>
      </c>
      <c r="AO3589" s="10" t="str">
        <f t="shared" si="407"/>
        <v>FALSE</v>
      </c>
      <c r="AP3589" s="10" t="str">
        <f t="shared" si="407"/>
        <v>FALSE</v>
      </c>
      <c r="AQ3589" s="10" t="b">
        <f>IF(AND(I3589="TP",S3589&lt;=150),VLOOKUP(AF3589,TPCalibEq150!$AZ$2:$BB$55,3,),IF(AND(I3589="TDP",S3589&lt;=150),VLOOKUP(AF3589,TPCalibEq150!$AZ$2:$BB$55,3,)))</f>
        <v>0</v>
      </c>
      <c r="AR3589" s="10" t="b">
        <f>IF(AND(I3589="TP",S3589&lt;=300),VLOOKUP(AF3589,TPCalibEq300!$AZ$2:$BB$55,3,),IF(AND(I3589="TDP",S3589&lt;=300),VLOOKUP(AF3589,TPCalibEq300!$AZ$2:$BB$55,3,)))</f>
        <v>0</v>
      </c>
      <c r="AS3589" s="10" t="b">
        <f>IF(AND(I3589="TP",S3589&lt;=500),VLOOKUP(AF3589,TPCalibEq500!$AZ$2:$BB$56,3,),IF(AND(I3589="TDP",S3589&lt;=500),VLOOKUP(AF3589,TPCalibEq500!$AZ$2:$BB$56,3,)))</f>
        <v>0</v>
      </c>
      <c r="AT3589" s="10" t="b">
        <f>IF(AND(I3589="TN",S3589&lt;=2800),VLOOKUP(AF3589,TNCalibEq2500!$AZ$2:$BB$56,3,),IF(AND(I3589="TDN",S3589&lt;=2800),VLOOKUP(AF3589,TNCalibEq2500!$AZ$2:$BB$56,3,)))</f>
        <v>0</v>
      </c>
      <c r="AU3589" s="10" t="b">
        <f>IF(I3589="TP",VLOOKUP(AF3589,TPCalibEqFull!$AZ$2:$BB$56,3),IF(I3589="TDP",VLOOKUP(AF3589,TPCalibEqFull!$AZ$2:$BB$56,3),IF(I3589="TDN",VLOOKUP(AF3589,TNCalibEqFull!$AZ$1:$BB$56,3),IF(I3589="TN",VLOOKUP(AF3589,TNCalibEqFull!$AZ$1:$BB$56,3),FALSE))))</f>
        <v>0</v>
      </c>
      <c r="AV3589" s="10" t="str">
        <f t="shared" si="412"/>
        <v>0221 10:49:00-EMB-0-FIL-1-SW-DUP</v>
      </c>
    </row>
    <row r="3590" spans="1:48" s="10" customFormat="1" x14ac:dyDescent="0.55000000000000004">
      <c r="A3590" s="32">
        <v>44978</v>
      </c>
      <c r="B3590" s="33">
        <v>0.45069444444444445</v>
      </c>
      <c r="C3590" s="10" t="s">
        <v>646</v>
      </c>
      <c r="D3590" s="10">
        <v>0</v>
      </c>
      <c r="E3590" s="10" t="s">
        <v>911</v>
      </c>
      <c r="F3590" s="10">
        <v>1</v>
      </c>
      <c r="G3590" s="10" t="s">
        <v>231</v>
      </c>
      <c r="H3590" s="10" t="s">
        <v>314</v>
      </c>
      <c r="I3590" s="10" t="s">
        <v>167</v>
      </c>
      <c r="J3590" s="10">
        <v>88</v>
      </c>
      <c r="K3590" s="12">
        <v>44980</v>
      </c>
      <c r="L3590" s="33">
        <v>0.55421296296296296</v>
      </c>
      <c r="M3590" s="10">
        <v>1</v>
      </c>
      <c r="N3590" s="10" t="s">
        <v>211</v>
      </c>
      <c r="O3590" s="10">
        <v>1.46</v>
      </c>
      <c r="P3590" s="10">
        <v>0.13900000000000001</v>
      </c>
      <c r="Q3590" s="10">
        <v>257</v>
      </c>
      <c r="R3590" s="10" t="s">
        <v>913</v>
      </c>
      <c r="S3590" s="34">
        <f t="shared" si="409"/>
        <v>257</v>
      </c>
      <c r="T3590" s="10" t="s">
        <v>1267</v>
      </c>
      <c r="U3590" s="34">
        <f t="shared" si="410"/>
        <v>108.992</v>
      </c>
      <c r="V3590" s="31">
        <f>IF(H3590="CHK",VLOOKUP(I3590,QCCHK,3,),IF(H3590="GUP",VLOOKUP(E3590,QCGUP,2,),IF(AND(H3590="ATP",OR(I3590="TN",I3590="TDN",I3590="TNO2-3",I3590="NO2-3")),VLOOKUP(E3590,QCREC_N,2,),IF(AND(H3590="NIC",OR(I3590="TN",I3590="TDN",I3590="TNO2-3",I3590="NO2-3")),VLOOKUP(E3590,QCNIC_N,2,),IF(AND(H3590="UREA",OR(I3590="TN",I3590="TDN",I3590="TNO2-3",I3590="NO2-3")),VLOOKUP(E3590,QCUREA_N,2,),IF(H3590="PER",VLOOKUP(I3590,QCPER,MATCH(E3590,QCACTUAL!$J$25:$AA$25,0),),IF(H3590="SPK",VLOOKUP(I3590,QCSPK,3,),IF(AND(H3590="ATP",OR(I3590="TP",I3590="TDP")),VLOOKUP(E3590,QCATP_P,2,),""))))))))</f>
        <v>156.25</v>
      </c>
      <c r="W3590" s="31" t="str">
        <f t="shared" si="411"/>
        <v>TRUE</v>
      </c>
      <c r="X3590" s="31" t="str">
        <f t="shared" si="408"/>
        <v>([spikedunkn]-[unkn])/[spike]*100</v>
      </c>
      <c r="Y3590" s="10" t="s">
        <v>1253</v>
      </c>
      <c r="AL3590" s="10" t="str">
        <f t="shared" si="406"/>
        <v>FALSE</v>
      </c>
      <c r="AM3590" s="10" t="str">
        <f t="shared" si="406"/>
        <v>FALSE</v>
      </c>
      <c r="AN3590" s="10" t="str">
        <f t="shared" si="406"/>
        <v>FALSE</v>
      </c>
      <c r="AO3590" s="10" t="str">
        <f t="shared" si="407"/>
        <v>FALSE</v>
      </c>
      <c r="AP3590" s="10" t="str">
        <f t="shared" si="407"/>
        <v>FALSE</v>
      </c>
      <c r="AQ3590" s="10" t="b">
        <f>IF(AND(I3590="TP",S3590&lt;=150),VLOOKUP(AF3590,TPCalibEq150!$AZ$2:$BB$55,3,),IF(AND(I3590="TDP",S3590&lt;=150),VLOOKUP(AF3590,TPCalibEq150!$AZ$2:$BB$55,3,)))</f>
        <v>0</v>
      </c>
      <c r="AR3590" s="10" t="b">
        <f>IF(AND(I3590="TP",S3590&lt;=300),VLOOKUP(AF3590,TPCalibEq300!$AZ$2:$BB$55,3,),IF(AND(I3590="TDP",S3590&lt;=300),VLOOKUP(AF3590,TPCalibEq300!$AZ$2:$BB$55,3,)))</f>
        <v>0</v>
      </c>
      <c r="AS3590" s="10" t="b">
        <f>IF(AND(I3590="TP",S3590&lt;=500),VLOOKUP(AF3590,TPCalibEq500!$AZ$2:$BB$56,3,),IF(AND(I3590="TDP",S3590&lt;=500),VLOOKUP(AF3590,TPCalibEq500!$AZ$2:$BB$56,3,)))</f>
        <v>0</v>
      </c>
      <c r="AT3590" s="10" t="b">
        <f>IF(AND(I3590="TN",S3590&lt;=2800),VLOOKUP(AF3590,TNCalibEq2500!$AZ$2:$BB$56,3,),IF(AND(I3590="TDN",S3590&lt;=2800),VLOOKUP(AF3590,TNCalibEq2500!$AZ$2:$BB$56,3,)))</f>
        <v>0</v>
      </c>
      <c r="AU3590" s="10" t="b">
        <f>IF(I3590="TP",VLOOKUP(AF3590,TPCalibEqFull!$AZ$2:$BB$56,3),IF(I3590="TDP",VLOOKUP(AF3590,TPCalibEqFull!$AZ$2:$BB$56,3),IF(I3590="TDN",VLOOKUP(AF3590,TNCalibEqFull!$AZ$1:$BB$56,3),IF(I3590="TN",VLOOKUP(AF3590,TNCalibEqFull!$AZ$1:$BB$56,3),FALSE))))</f>
        <v>0</v>
      </c>
      <c r="AV3590" s="10" t="str">
        <f t="shared" si="412"/>
        <v>0221 10:49:00-EMB-0-FIL-1-SW-SPK</v>
      </c>
    </row>
    <row r="3591" spans="1:48" s="10" customFormat="1" x14ac:dyDescent="0.55000000000000004">
      <c r="A3591" s="32">
        <v>44979</v>
      </c>
      <c r="B3591" s="33">
        <v>0.375</v>
      </c>
      <c r="C3591" s="10" t="s">
        <v>70</v>
      </c>
      <c r="D3591" s="10" t="s">
        <v>71</v>
      </c>
      <c r="E3591" s="10" t="s">
        <v>901</v>
      </c>
      <c r="F3591" s="10">
        <v>1</v>
      </c>
      <c r="G3591" s="10" t="s">
        <v>73</v>
      </c>
      <c r="H3591" s="10" t="s">
        <v>207</v>
      </c>
      <c r="I3591" s="10" t="s">
        <v>285</v>
      </c>
      <c r="J3591" s="10">
        <v>202</v>
      </c>
      <c r="K3591" s="12">
        <v>44980</v>
      </c>
      <c r="L3591" s="33">
        <v>0.55504629629629632</v>
      </c>
      <c r="M3591" s="10">
        <v>1</v>
      </c>
      <c r="N3591" s="10" t="s">
        <v>211</v>
      </c>
      <c r="O3591" s="10">
        <v>0.433</v>
      </c>
      <c r="P3591" s="10">
        <v>3.9699999999999999E-2</v>
      </c>
      <c r="Q3591" s="10">
        <v>75.7</v>
      </c>
      <c r="R3591" s="10" t="s">
        <v>913</v>
      </c>
      <c r="S3591" s="34">
        <f t="shared" si="409"/>
        <v>75.7</v>
      </c>
      <c r="T3591" s="10" t="s">
        <v>1267</v>
      </c>
      <c r="U3591" s="34">
        <f t="shared" si="410"/>
        <v>100.93333333333334</v>
      </c>
      <c r="V3591" s="31">
        <f>IF(H3591="CHK",VLOOKUP(I3591,QCCHK,3,),IF(H3591="GUP",VLOOKUP(E3591,QCGUP,2,),IF(AND(H3591="ATP",OR(I3591="TN",I3591="TDN",I3591="TNO2-3",I3591="NO2-3")),VLOOKUP(E3591,QCREC_N,2,),IF(AND(H3591="NIC",OR(I3591="TN",I3591="TDN",I3591="TNO2-3",I3591="NO2-3")),VLOOKUP(E3591,QCNIC_N,2,),IF(AND(H3591="UREA",OR(I3591="TN",I3591="TDN",I3591="TNO2-3",I3591="NO2-3")),VLOOKUP(E3591,QCUREA_N,2,),IF(H3591="PER",VLOOKUP(I3591,QCPER,MATCH(E3591,QCACTUAL!$J$25:$AA$25,0),),IF(H3591="SPK",VLOOKUP(I3591,QCSPK,3,),IF(AND(H3591="ATP",OR(I3591="TP",I3591="TDP")),VLOOKUP(E3591,QCATP_P,2,),""))))))))</f>
        <v>75</v>
      </c>
      <c r="W3591" s="31" t="str">
        <f t="shared" si="411"/>
        <v>TRUE</v>
      </c>
      <c r="X3591" s="31" t="str">
        <f t="shared" si="408"/>
        <v>[chk]/[actual]*100</v>
      </c>
      <c r="Y3591" s="10" t="s">
        <v>1253</v>
      </c>
      <c r="AL3591" s="10" t="str">
        <f t="shared" si="406"/>
        <v>FALSE</v>
      </c>
      <c r="AM3591" s="10" t="str">
        <f t="shared" si="406"/>
        <v>FALSE</v>
      </c>
      <c r="AN3591" s="10" t="str">
        <f t="shared" si="406"/>
        <v>FALSE</v>
      </c>
      <c r="AO3591" s="10" t="str">
        <f t="shared" si="407"/>
        <v>FALSE</v>
      </c>
      <c r="AP3591" s="10" t="str">
        <f t="shared" si="407"/>
        <v>FALSE</v>
      </c>
      <c r="AQ3591" s="10" t="b">
        <f>IF(AND(I3591="TP",S3591&lt;=150),VLOOKUP(AF3591,TPCalibEq150!$AZ$2:$BB$55,3,),IF(AND(I3591="TDP",S3591&lt;=150),VLOOKUP(AF3591,TPCalibEq150!$AZ$2:$BB$55,3,)))</f>
        <v>0</v>
      </c>
      <c r="AR3591" s="10" t="b">
        <f>IF(AND(I3591="TP",S3591&lt;=300),VLOOKUP(AF3591,TPCalibEq300!$AZ$2:$BB$55,3,),IF(AND(I3591="TDP",S3591&lt;=300),VLOOKUP(AF3591,TPCalibEq300!$AZ$2:$BB$55,3,)))</f>
        <v>0</v>
      </c>
      <c r="AS3591" s="10" t="b">
        <f>IF(AND(I3591="TP",S3591&lt;=500),VLOOKUP(AF3591,TPCalibEq500!$AZ$2:$BB$56,3,),IF(AND(I3591="TDP",S3591&lt;=500),VLOOKUP(AF3591,TPCalibEq500!$AZ$2:$BB$56,3,)))</f>
        <v>0</v>
      </c>
      <c r="AT3591" s="10" t="b">
        <f>IF(AND(I3591="TN",S3591&lt;=2800),VLOOKUP(AF3591,TNCalibEq2500!$AZ$2:$BB$56,3,),IF(AND(I3591="TDN",S3591&lt;=2800),VLOOKUP(AF3591,TNCalibEq2500!$AZ$2:$BB$56,3,)))</f>
        <v>0</v>
      </c>
      <c r="AU3591" s="10" t="b">
        <f>IF(I3591="TP",VLOOKUP(AF3591,TPCalibEqFull!$AZ$2:$BB$56,3),IF(I3591="TDP",VLOOKUP(AF3591,TPCalibEqFull!$AZ$2:$BB$56,3),IF(I3591="TDN",VLOOKUP(AF3591,TNCalibEqFull!$AZ$1:$BB$56,3),IF(I3591="TN",VLOOKUP(AF3591,TNCalibEqFull!$AZ$1:$BB$56,3),FALSE))))</f>
        <v>0</v>
      </c>
      <c r="AV3591" s="10" t="str">
        <f t="shared" si="412"/>
        <v>0222 09:00:00-QAC-STD-D-1-DI-CHK</v>
      </c>
    </row>
    <row r="3592" spans="1:48" s="10" customFormat="1" x14ac:dyDescent="0.55000000000000004">
      <c r="A3592" s="32">
        <v>44978</v>
      </c>
      <c r="B3592" s="33">
        <v>0.45277777777777778</v>
      </c>
      <c r="C3592" s="10" t="s">
        <v>646</v>
      </c>
      <c r="D3592" s="10">
        <v>5</v>
      </c>
      <c r="E3592" s="10" t="s">
        <v>911</v>
      </c>
      <c r="F3592" s="10">
        <v>1</v>
      </c>
      <c r="G3592" s="10" t="s">
        <v>231</v>
      </c>
      <c r="H3592" s="10" t="s">
        <v>322</v>
      </c>
      <c r="I3592" s="10" t="s">
        <v>167</v>
      </c>
      <c r="J3592" s="10">
        <v>61</v>
      </c>
      <c r="K3592" s="12">
        <v>44980</v>
      </c>
      <c r="L3592" s="33">
        <v>0.55586805555555552</v>
      </c>
      <c r="M3592" s="10">
        <v>1</v>
      </c>
      <c r="N3592" s="10" t="s">
        <v>211</v>
      </c>
      <c r="O3592" s="10">
        <v>0.48299999999999998</v>
      </c>
      <c r="P3592" s="10">
        <v>4.48E-2</v>
      </c>
      <c r="Q3592" s="10">
        <v>84.3</v>
      </c>
      <c r="R3592" s="10" t="s">
        <v>913</v>
      </c>
      <c r="S3592" s="34">
        <f t="shared" si="409"/>
        <v>84.3</v>
      </c>
      <c r="T3592" s="10" t="s">
        <v>1267</v>
      </c>
      <c r="U3592" s="34" t="str">
        <f t="shared" si="410"/>
        <v/>
      </c>
      <c r="V3592" s="31" t="str">
        <f>IF(H3592="CHK",VLOOKUP(I3592,QCCHK,3,),IF(H3592="GUP",VLOOKUP(E3592,QCGUP,2,),IF(AND(H3592="ATP",OR(I3592="TN",I3592="TDN",I3592="TNO2-3",I3592="NO2-3")),VLOOKUP(E3592,QCREC_N,2,),IF(AND(H3592="NIC",OR(I3592="TN",I3592="TDN",I3592="TNO2-3",I3592="NO2-3")),VLOOKUP(E3592,QCNIC_N,2,),IF(AND(H3592="UREA",OR(I3592="TN",I3592="TDN",I3592="TNO2-3",I3592="NO2-3")),VLOOKUP(E3592,QCUREA_N,2,),IF(H3592="PER",VLOOKUP(I3592,QCPER,MATCH(E3592,QCACTUAL!$J$25:$AA$25,0),),IF(H3592="SPK",VLOOKUP(I3592,QCSPK,3,),IF(AND(H3592="ATP",OR(I3592="TP",I3592="TDP")),VLOOKUP(E3592,QCATP_P,2,),""))))))))</f>
        <v/>
      </c>
      <c r="W3592" s="31" t="str">
        <f t="shared" si="411"/>
        <v>TRUE</v>
      </c>
      <c r="X3592" s="31" t="str">
        <f t="shared" si="408"/>
        <v/>
      </c>
      <c r="Y3592" s="10" t="s">
        <v>1253</v>
      </c>
      <c r="AL3592" s="10" t="str">
        <f t="shared" si="406"/>
        <v>FALSE</v>
      </c>
      <c r="AM3592" s="10" t="str">
        <f t="shared" si="406"/>
        <v>FALSE</v>
      </c>
      <c r="AN3592" s="10" t="str">
        <f t="shared" si="406"/>
        <v>FALSE</v>
      </c>
      <c r="AO3592" s="10" t="str">
        <f t="shared" si="407"/>
        <v>FALSE</v>
      </c>
      <c r="AP3592" s="10" t="str">
        <f t="shared" si="407"/>
        <v>FALSE</v>
      </c>
      <c r="AQ3592" s="10" t="b">
        <f>IF(AND(I3592="TP",S3592&lt;=150),VLOOKUP(AF3592,TPCalibEq150!$AZ$2:$BB$55,3,),IF(AND(I3592="TDP",S3592&lt;=150),VLOOKUP(AF3592,TPCalibEq150!$AZ$2:$BB$55,3,)))</f>
        <v>0</v>
      </c>
      <c r="AR3592" s="10" t="b">
        <f>IF(AND(I3592="TP",S3592&lt;=300),VLOOKUP(AF3592,TPCalibEq300!$AZ$2:$BB$55,3,),IF(AND(I3592="TDP",S3592&lt;=300),VLOOKUP(AF3592,TPCalibEq300!$AZ$2:$BB$55,3,)))</f>
        <v>0</v>
      </c>
      <c r="AS3592" s="10" t="b">
        <f>IF(AND(I3592="TP",S3592&lt;=500),VLOOKUP(AF3592,TPCalibEq500!$AZ$2:$BB$56,3,),IF(AND(I3592="TDP",S3592&lt;=500),VLOOKUP(AF3592,TPCalibEq500!$AZ$2:$BB$56,3,)))</f>
        <v>0</v>
      </c>
      <c r="AT3592" s="10" t="b">
        <f>IF(AND(I3592="TN",S3592&lt;=2800),VLOOKUP(AF3592,TNCalibEq2500!$AZ$2:$BB$56,3,),IF(AND(I3592="TDN",S3592&lt;=2800),VLOOKUP(AF3592,TNCalibEq2500!$AZ$2:$BB$56,3,)))</f>
        <v>0</v>
      </c>
      <c r="AU3592" s="10" t="b">
        <f>IF(I3592="TP",VLOOKUP(AF3592,TPCalibEqFull!$AZ$2:$BB$56,3),IF(I3592="TDP",VLOOKUP(AF3592,TPCalibEqFull!$AZ$2:$BB$56,3),IF(I3592="TDN",VLOOKUP(AF3592,TNCalibEqFull!$AZ$1:$BB$56,3),IF(I3592="TN",VLOOKUP(AF3592,TNCalibEqFull!$AZ$1:$BB$56,3),FALSE))))</f>
        <v>0</v>
      </c>
      <c r="AV3592" s="10" t="str">
        <f t="shared" si="412"/>
        <v>0221 10:52:00-EMB-5-FIL-1-SW-UKN</v>
      </c>
    </row>
    <row r="3593" spans="1:48" s="10" customFormat="1" x14ac:dyDescent="0.55000000000000004">
      <c r="A3593" s="32">
        <v>44978</v>
      </c>
      <c r="B3593" s="33">
        <v>0.4548611111111111</v>
      </c>
      <c r="C3593" s="10" t="s">
        <v>646</v>
      </c>
      <c r="D3593" s="10">
        <v>10</v>
      </c>
      <c r="E3593" s="10" t="s">
        <v>911</v>
      </c>
      <c r="F3593" s="10">
        <v>1</v>
      </c>
      <c r="G3593" s="10" t="s">
        <v>231</v>
      </c>
      <c r="H3593" s="10" t="s">
        <v>322</v>
      </c>
      <c r="I3593" s="10" t="s">
        <v>167</v>
      </c>
      <c r="J3593" s="10">
        <v>62</v>
      </c>
      <c r="K3593" s="12">
        <v>44980</v>
      </c>
      <c r="L3593" s="33">
        <v>0.55668981481481483</v>
      </c>
      <c r="M3593" s="10">
        <v>1</v>
      </c>
      <c r="N3593" s="10" t="s">
        <v>211</v>
      </c>
      <c r="O3593" s="10">
        <v>0.51</v>
      </c>
      <c r="P3593" s="10">
        <v>4.7300000000000002E-2</v>
      </c>
      <c r="Q3593" s="10">
        <v>89.2</v>
      </c>
      <c r="R3593" s="10" t="s">
        <v>913</v>
      </c>
      <c r="S3593" s="34">
        <f t="shared" si="409"/>
        <v>89.2</v>
      </c>
      <c r="T3593" s="10" t="s">
        <v>1267</v>
      </c>
      <c r="U3593" s="34" t="str">
        <f t="shared" si="410"/>
        <v/>
      </c>
      <c r="V3593" s="31" t="str">
        <f>IF(H3593="CHK",VLOOKUP(I3593,QCCHK,3,),IF(H3593="GUP",VLOOKUP(E3593,QCGUP,2,),IF(AND(H3593="ATP",OR(I3593="TN",I3593="TDN",I3593="TNO2-3",I3593="NO2-3")),VLOOKUP(E3593,QCREC_N,2,),IF(AND(H3593="NIC",OR(I3593="TN",I3593="TDN",I3593="TNO2-3",I3593="NO2-3")),VLOOKUP(E3593,QCNIC_N,2,),IF(AND(H3593="UREA",OR(I3593="TN",I3593="TDN",I3593="TNO2-3",I3593="NO2-3")),VLOOKUP(E3593,QCUREA_N,2,),IF(H3593="PER",VLOOKUP(I3593,QCPER,MATCH(E3593,QCACTUAL!$J$25:$AA$25,0),),IF(H3593="SPK",VLOOKUP(I3593,QCSPK,3,),IF(AND(H3593="ATP",OR(I3593="TP",I3593="TDP")),VLOOKUP(E3593,QCATP_P,2,),""))))))))</f>
        <v/>
      </c>
      <c r="W3593" s="31" t="str">
        <f t="shared" si="411"/>
        <v>TRUE</v>
      </c>
      <c r="X3593" s="31" t="str">
        <f t="shared" si="408"/>
        <v/>
      </c>
      <c r="Y3593" s="10" t="s">
        <v>1253</v>
      </c>
      <c r="AL3593" s="10" t="str">
        <f t="shared" si="406"/>
        <v>FALSE</v>
      </c>
      <c r="AM3593" s="10" t="str">
        <f t="shared" si="406"/>
        <v>FALSE</v>
      </c>
      <c r="AN3593" s="10" t="str">
        <f t="shared" si="406"/>
        <v>FALSE</v>
      </c>
      <c r="AO3593" s="10" t="str">
        <f t="shared" si="407"/>
        <v>FALSE</v>
      </c>
      <c r="AP3593" s="10" t="str">
        <f t="shared" si="407"/>
        <v>FALSE</v>
      </c>
      <c r="AQ3593" s="10" t="b">
        <f>IF(AND(I3593="TP",S3593&lt;=150),VLOOKUP(AF3593,TPCalibEq150!$AZ$2:$BB$55,3,),IF(AND(I3593="TDP",S3593&lt;=150),VLOOKUP(AF3593,TPCalibEq150!$AZ$2:$BB$55,3,)))</f>
        <v>0</v>
      </c>
      <c r="AR3593" s="10" t="b">
        <f>IF(AND(I3593="TP",S3593&lt;=300),VLOOKUP(AF3593,TPCalibEq300!$AZ$2:$BB$55,3,),IF(AND(I3593="TDP",S3593&lt;=300),VLOOKUP(AF3593,TPCalibEq300!$AZ$2:$BB$55,3,)))</f>
        <v>0</v>
      </c>
      <c r="AS3593" s="10" t="b">
        <f>IF(AND(I3593="TP",S3593&lt;=500),VLOOKUP(AF3593,TPCalibEq500!$AZ$2:$BB$56,3,),IF(AND(I3593="TDP",S3593&lt;=500),VLOOKUP(AF3593,TPCalibEq500!$AZ$2:$BB$56,3,)))</f>
        <v>0</v>
      </c>
      <c r="AT3593" s="10" t="b">
        <f>IF(AND(I3593="TN",S3593&lt;=2800),VLOOKUP(AF3593,TNCalibEq2500!$AZ$2:$BB$56,3,),IF(AND(I3593="TDN",S3593&lt;=2800),VLOOKUP(AF3593,TNCalibEq2500!$AZ$2:$BB$56,3,)))</f>
        <v>0</v>
      </c>
      <c r="AU3593" s="10" t="b">
        <f>IF(I3593="TP",VLOOKUP(AF3593,TPCalibEqFull!$AZ$2:$BB$56,3),IF(I3593="TDP",VLOOKUP(AF3593,TPCalibEqFull!$AZ$2:$BB$56,3),IF(I3593="TDN",VLOOKUP(AF3593,TNCalibEqFull!$AZ$1:$BB$56,3),IF(I3593="TN",VLOOKUP(AF3593,TNCalibEqFull!$AZ$1:$BB$56,3),FALSE))))</f>
        <v>0</v>
      </c>
      <c r="AV3593" s="10" t="str">
        <f t="shared" si="412"/>
        <v>0221 10:55:00-EMB-10-FIL-1-SW-UKN</v>
      </c>
    </row>
    <row r="3594" spans="1:48" s="10" customFormat="1" x14ac:dyDescent="0.55000000000000004">
      <c r="A3594" s="32">
        <v>44978</v>
      </c>
      <c r="B3594" s="33">
        <v>0.45763888888888887</v>
      </c>
      <c r="C3594" s="10" t="s">
        <v>646</v>
      </c>
      <c r="D3594" s="10">
        <v>20</v>
      </c>
      <c r="E3594" s="10" t="s">
        <v>911</v>
      </c>
      <c r="F3594" s="10">
        <v>1</v>
      </c>
      <c r="G3594" s="10" t="s">
        <v>231</v>
      </c>
      <c r="H3594" s="10" t="s">
        <v>322</v>
      </c>
      <c r="I3594" s="10" t="s">
        <v>167</v>
      </c>
      <c r="J3594" s="10">
        <v>63</v>
      </c>
      <c r="K3594" s="12">
        <v>44980</v>
      </c>
      <c r="L3594" s="33">
        <v>0.55751157407407403</v>
      </c>
      <c r="M3594" s="10">
        <v>1</v>
      </c>
      <c r="N3594" s="10" t="s">
        <v>211</v>
      </c>
      <c r="O3594" s="10">
        <v>0.51700000000000002</v>
      </c>
      <c r="P3594" s="10">
        <v>4.7600000000000003E-2</v>
      </c>
      <c r="Q3594" s="10">
        <v>90.3</v>
      </c>
      <c r="R3594" s="10" t="s">
        <v>913</v>
      </c>
      <c r="S3594" s="34">
        <f t="shared" si="409"/>
        <v>90.3</v>
      </c>
      <c r="T3594" s="10" t="s">
        <v>1267</v>
      </c>
      <c r="U3594" s="34" t="str">
        <f t="shared" si="410"/>
        <v/>
      </c>
      <c r="V3594" s="31" t="str">
        <f>IF(H3594="CHK",VLOOKUP(I3594,QCCHK,3,),IF(H3594="GUP",VLOOKUP(E3594,QCGUP,2,),IF(AND(H3594="ATP",OR(I3594="TN",I3594="TDN",I3594="TNO2-3",I3594="NO2-3")),VLOOKUP(E3594,QCREC_N,2,),IF(AND(H3594="NIC",OR(I3594="TN",I3594="TDN",I3594="TNO2-3",I3594="NO2-3")),VLOOKUP(E3594,QCNIC_N,2,),IF(AND(H3594="UREA",OR(I3594="TN",I3594="TDN",I3594="TNO2-3",I3594="NO2-3")),VLOOKUP(E3594,QCUREA_N,2,),IF(H3594="PER",VLOOKUP(I3594,QCPER,MATCH(E3594,QCACTUAL!$J$25:$AA$25,0),),IF(H3594="SPK",VLOOKUP(I3594,QCSPK,3,),IF(AND(H3594="ATP",OR(I3594="TP",I3594="TDP")),VLOOKUP(E3594,QCATP_P,2,),""))))))))</f>
        <v/>
      </c>
      <c r="W3594" s="31" t="str">
        <f t="shared" si="411"/>
        <v>TRUE</v>
      </c>
      <c r="X3594" s="31" t="str">
        <f t="shared" si="408"/>
        <v/>
      </c>
      <c r="Y3594" s="10" t="s">
        <v>1253</v>
      </c>
      <c r="AL3594" s="10" t="str">
        <f t="shared" si="406"/>
        <v>FALSE</v>
      </c>
      <c r="AM3594" s="10" t="str">
        <f t="shared" si="406"/>
        <v>FALSE</v>
      </c>
      <c r="AN3594" s="10" t="str">
        <f t="shared" si="406"/>
        <v>FALSE</v>
      </c>
      <c r="AO3594" s="10" t="str">
        <f t="shared" si="407"/>
        <v>FALSE</v>
      </c>
      <c r="AP3594" s="10" t="str">
        <f t="shared" si="407"/>
        <v>FALSE</v>
      </c>
      <c r="AQ3594" s="10" t="b">
        <f>IF(AND(I3594="TP",S3594&lt;=150),VLOOKUP(AF3594,TPCalibEq150!$AZ$2:$BB$55,3,),IF(AND(I3594="TDP",S3594&lt;=150),VLOOKUP(AF3594,TPCalibEq150!$AZ$2:$BB$55,3,)))</f>
        <v>0</v>
      </c>
      <c r="AR3594" s="10" t="b">
        <f>IF(AND(I3594="TP",S3594&lt;=300),VLOOKUP(AF3594,TPCalibEq300!$AZ$2:$BB$55,3,),IF(AND(I3594="TDP",S3594&lt;=300),VLOOKUP(AF3594,TPCalibEq300!$AZ$2:$BB$55,3,)))</f>
        <v>0</v>
      </c>
      <c r="AS3594" s="10" t="b">
        <f>IF(AND(I3594="TP",S3594&lt;=500),VLOOKUP(AF3594,TPCalibEq500!$AZ$2:$BB$56,3,),IF(AND(I3594="TDP",S3594&lt;=500),VLOOKUP(AF3594,TPCalibEq500!$AZ$2:$BB$56,3,)))</f>
        <v>0</v>
      </c>
      <c r="AT3594" s="10" t="b">
        <f>IF(AND(I3594="TN",S3594&lt;=2800),VLOOKUP(AF3594,TNCalibEq2500!$AZ$2:$BB$56,3,),IF(AND(I3594="TDN",S3594&lt;=2800),VLOOKUP(AF3594,TNCalibEq2500!$AZ$2:$BB$56,3,)))</f>
        <v>0</v>
      </c>
      <c r="AU3594" s="10" t="b">
        <f>IF(I3594="TP",VLOOKUP(AF3594,TPCalibEqFull!$AZ$2:$BB$56,3),IF(I3594="TDP",VLOOKUP(AF3594,TPCalibEqFull!$AZ$2:$BB$56,3),IF(I3594="TDN",VLOOKUP(AF3594,TNCalibEqFull!$AZ$1:$BB$56,3),IF(I3594="TN",VLOOKUP(AF3594,TNCalibEqFull!$AZ$1:$BB$56,3),FALSE))))</f>
        <v>0</v>
      </c>
      <c r="AV3594" s="10" t="str">
        <f t="shared" si="412"/>
        <v>0221 10:59:00-EMB-20-FIL-1-SW-UKN</v>
      </c>
    </row>
    <row r="3595" spans="1:48" s="10" customFormat="1" x14ac:dyDescent="0.55000000000000004">
      <c r="A3595" s="32">
        <v>44978</v>
      </c>
      <c r="B3595" s="33">
        <v>0.46249999999999997</v>
      </c>
      <c r="C3595" s="10" t="s">
        <v>646</v>
      </c>
      <c r="D3595" s="10">
        <v>60</v>
      </c>
      <c r="E3595" s="10" t="s">
        <v>911</v>
      </c>
      <c r="F3595" s="10">
        <v>1</v>
      </c>
      <c r="G3595" s="10" t="s">
        <v>231</v>
      </c>
      <c r="H3595" s="10" t="s">
        <v>322</v>
      </c>
      <c r="I3595" s="10" t="s">
        <v>167</v>
      </c>
      <c r="J3595" s="10">
        <v>64</v>
      </c>
      <c r="K3595" s="12">
        <v>44980</v>
      </c>
      <c r="L3595" s="33">
        <v>0.55833333333333335</v>
      </c>
      <c r="M3595" s="10">
        <v>1</v>
      </c>
      <c r="N3595" s="10" t="s">
        <v>211</v>
      </c>
      <c r="O3595" s="10">
        <v>0.48899999999999999</v>
      </c>
      <c r="P3595" s="10">
        <v>4.4400000000000002E-2</v>
      </c>
      <c r="Q3595" s="10">
        <v>85.4</v>
      </c>
      <c r="R3595" s="10" t="s">
        <v>913</v>
      </c>
      <c r="S3595" s="34">
        <f t="shared" si="409"/>
        <v>85.4</v>
      </c>
      <c r="T3595" s="10" t="s">
        <v>1267</v>
      </c>
      <c r="U3595" s="34" t="str">
        <f t="shared" si="410"/>
        <v/>
      </c>
      <c r="V3595" s="31" t="str">
        <f>IF(H3595="CHK",VLOOKUP(I3595,QCCHK,3,),IF(H3595="GUP",VLOOKUP(E3595,QCGUP,2,),IF(AND(H3595="ATP",OR(I3595="TN",I3595="TDN",I3595="TNO2-3",I3595="NO2-3")),VLOOKUP(E3595,QCREC_N,2,),IF(AND(H3595="NIC",OR(I3595="TN",I3595="TDN",I3595="TNO2-3",I3595="NO2-3")),VLOOKUP(E3595,QCNIC_N,2,),IF(AND(H3595="UREA",OR(I3595="TN",I3595="TDN",I3595="TNO2-3",I3595="NO2-3")),VLOOKUP(E3595,QCUREA_N,2,),IF(H3595="PER",VLOOKUP(I3595,QCPER,MATCH(E3595,QCACTUAL!$J$25:$AA$25,0),),IF(H3595="SPK",VLOOKUP(I3595,QCSPK,3,),IF(AND(H3595="ATP",OR(I3595="TP",I3595="TDP")),VLOOKUP(E3595,QCATP_P,2,),""))))))))</f>
        <v/>
      </c>
      <c r="W3595" s="31" t="str">
        <f t="shared" si="411"/>
        <v>TRUE</v>
      </c>
      <c r="X3595" s="31" t="str">
        <f t="shared" si="408"/>
        <v/>
      </c>
      <c r="Y3595" s="10" t="s">
        <v>1253</v>
      </c>
      <c r="AL3595" s="10" t="str">
        <f t="shared" si="406"/>
        <v>FALSE</v>
      </c>
      <c r="AM3595" s="10" t="str">
        <f t="shared" si="406"/>
        <v>FALSE</v>
      </c>
      <c r="AN3595" s="10" t="str">
        <f t="shared" si="406"/>
        <v>FALSE</v>
      </c>
      <c r="AO3595" s="10" t="str">
        <f t="shared" si="407"/>
        <v>FALSE</v>
      </c>
      <c r="AP3595" s="10" t="str">
        <f t="shared" si="407"/>
        <v>FALSE</v>
      </c>
      <c r="AQ3595" s="10" t="b">
        <f>IF(AND(I3595="TP",S3595&lt;=150),VLOOKUP(AF3595,TPCalibEq150!$AZ$2:$BB$55,3,),IF(AND(I3595="TDP",S3595&lt;=150),VLOOKUP(AF3595,TPCalibEq150!$AZ$2:$BB$55,3,)))</f>
        <v>0</v>
      </c>
      <c r="AR3595" s="10" t="b">
        <f>IF(AND(I3595="TP",S3595&lt;=300),VLOOKUP(AF3595,TPCalibEq300!$AZ$2:$BB$55,3,),IF(AND(I3595="TDP",S3595&lt;=300),VLOOKUP(AF3595,TPCalibEq300!$AZ$2:$BB$55,3,)))</f>
        <v>0</v>
      </c>
      <c r="AS3595" s="10" t="b">
        <f>IF(AND(I3595="TP",S3595&lt;=500),VLOOKUP(AF3595,TPCalibEq500!$AZ$2:$BB$56,3,),IF(AND(I3595="TDP",S3595&lt;=500),VLOOKUP(AF3595,TPCalibEq500!$AZ$2:$BB$56,3,)))</f>
        <v>0</v>
      </c>
      <c r="AT3595" s="10" t="b">
        <f>IF(AND(I3595="TN",S3595&lt;=2800),VLOOKUP(AF3595,TNCalibEq2500!$AZ$2:$BB$56,3,),IF(AND(I3595="TDN",S3595&lt;=2800),VLOOKUP(AF3595,TNCalibEq2500!$AZ$2:$BB$56,3,)))</f>
        <v>0</v>
      </c>
      <c r="AU3595" s="10" t="b">
        <f>IF(I3595="TP",VLOOKUP(AF3595,TPCalibEqFull!$AZ$2:$BB$56,3),IF(I3595="TDP",VLOOKUP(AF3595,TPCalibEqFull!$AZ$2:$BB$56,3),IF(I3595="TDN",VLOOKUP(AF3595,TNCalibEqFull!$AZ$1:$BB$56,3),IF(I3595="TN",VLOOKUP(AF3595,TNCalibEqFull!$AZ$1:$BB$56,3),FALSE))))</f>
        <v>0</v>
      </c>
      <c r="AV3595" s="10" t="str">
        <f t="shared" si="412"/>
        <v>0221 11:06:00-EMB-60-FIL-1-SW-UKN</v>
      </c>
    </row>
    <row r="3596" spans="1:48" s="10" customFormat="1" x14ac:dyDescent="0.55000000000000004">
      <c r="A3596" s="32">
        <v>44978</v>
      </c>
      <c r="B3596" s="33">
        <v>0.41319444444444442</v>
      </c>
      <c r="C3596" s="10" t="s">
        <v>287</v>
      </c>
      <c r="D3596" s="10">
        <v>0</v>
      </c>
      <c r="E3596" s="10" t="s">
        <v>911</v>
      </c>
      <c r="F3596" s="10">
        <v>1</v>
      </c>
      <c r="G3596" s="10" t="s">
        <v>231</v>
      </c>
      <c r="H3596" s="10" t="s">
        <v>322</v>
      </c>
      <c r="I3596" s="10" t="s">
        <v>167</v>
      </c>
      <c r="J3596" s="10">
        <v>65</v>
      </c>
      <c r="K3596" s="12">
        <v>44980</v>
      </c>
      <c r="L3596" s="33">
        <v>0.55915509259259266</v>
      </c>
      <c r="M3596" s="10">
        <v>1</v>
      </c>
      <c r="N3596" s="10" t="s">
        <v>211</v>
      </c>
      <c r="O3596" s="10">
        <v>0.51700000000000002</v>
      </c>
      <c r="P3596" s="10">
        <v>4.8899999999999999E-2</v>
      </c>
      <c r="Q3596" s="10">
        <v>90.4</v>
      </c>
      <c r="R3596" s="10" t="s">
        <v>913</v>
      </c>
      <c r="S3596" s="34">
        <f t="shared" si="409"/>
        <v>90.4</v>
      </c>
      <c r="T3596" s="10" t="s">
        <v>1267</v>
      </c>
      <c r="U3596" s="34" t="str">
        <f t="shared" si="410"/>
        <v/>
      </c>
      <c r="V3596" s="31" t="str">
        <f>IF(H3596="CHK",VLOOKUP(I3596,QCCHK,3,),IF(H3596="GUP",VLOOKUP(E3596,QCGUP,2,),IF(AND(H3596="ATP",OR(I3596="TN",I3596="TDN",I3596="TNO2-3",I3596="NO2-3")),VLOOKUP(E3596,QCREC_N,2,),IF(AND(H3596="NIC",OR(I3596="TN",I3596="TDN",I3596="TNO2-3",I3596="NO2-3")),VLOOKUP(E3596,QCNIC_N,2,),IF(AND(H3596="UREA",OR(I3596="TN",I3596="TDN",I3596="TNO2-3",I3596="NO2-3")),VLOOKUP(E3596,QCUREA_N,2,),IF(H3596="PER",VLOOKUP(I3596,QCPER,MATCH(E3596,QCACTUAL!$J$25:$AA$25,0),),IF(H3596="SPK",VLOOKUP(I3596,QCSPK,3,),IF(AND(H3596="ATP",OR(I3596="TP",I3596="TDP")),VLOOKUP(E3596,QCATP_P,2,),""))))))))</f>
        <v/>
      </c>
      <c r="W3596" s="31" t="str">
        <f t="shared" si="411"/>
        <v>TRUE</v>
      </c>
      <c r="X3596" s="31" t="str">
        <f t="shared" si="408"/>
        <v/>
      </c>
      <c r="Y3596" s="10" t="s">
        <v>1253</v>
      </c>
      <c r="AL3596" s="10" t="str">
        <f t="shared" si="406"/>
        <v>FALSE</v>
      </c>
      <c r="AM3596" s="10" t="str">
        <f t="shared" si="406"/>
        <v>FALSE</v>
      </c>
      <c r="AN3596" s="10" t="str">
        <f t="shared" si="406"/>
        <v>FALSE</v>
      </c>
      <c r="AO3596" s="10" t="str">
        <f t="shared" si="407"/>
        <v>FALSE</v>
      </c>
      <c r="AP3596" s="10" t="str">
        <f t="shared" si="407"/>
        <v>FALSE</v>
      </c>
      <c r="AQ3596" s="10" t="b">
        <f>IF(AND(I3596="TP",S3596&lt;=150),VLOOKUP(AF3596,TPCalibEq150!$AZ$2:$BB$55,3,),IF(AND(I3596="TDP",S3596&lt;=150),VLOOKUP(AF3596,TPCalibEq150!$AZ$2:$BB$55,3,)))</f>
        <v>0</v>
      </c>
      <c r="AR3596" s="10" t="b">
        <f>IF(AND(I3596="TP",S3596&lt;=300),VLOOKUP(AF3596,TPCalibEq300!$AZ$2:$BB$55,3,),IF(AND(I3596="TDP",S3596&lt;=300),VLOOKUP(AF3596,TPCalibEq300!$AZ$2:$BB$55,3,)))</f>
        <v>0</v>
      </c>
      <c r="AS3596" s="10" t="b">
        <f>IF(AND(I3596="TP",S3596&lt;=500),VLOOKUP(AF3596,TPCalibEq500!$AZ$2:$BB$56,3,),IF(AND(I3596="TDP",S3596&lt;=500),VLOOKUP(AF3596,TPCalibEq500!$AZ$2:$BB$56,3,)))</f>
        <v>0</v>
      </c>
      <c r="AT3596" s="10" t="b">
        <f>IF(AND(I3596="TN",S3596&lt;=2800),VLOOKUP(AF3596,TNCalibEq2500!$AZ$2:$BB$56,3,),IF(AND(I3596="TDN",S3596&lt;=2800),VLOOKUP(AF3596,TNCalibEq2500!$AZ$2:$BB$56,3,)))</f>
        <v>0</v>
      </c>
      <c r="AU3596" s="10" t="b">
        <f>IF(I3596="TP",VLOOKUP(AF3596,TPCalibEqFull!$AZ$2:$BB$56,3),IF(I3596="TDP",VLOOKUP(AF3596,TPCalibEqFull!$AZ$2:$BB$56,3),IF(I3596="TDN",VLOOKUP(AF3596,TNCalibEqFull!$AZ$1:$BB$56,3),IF(I3596="TN",VLOOKUP(AF3596,TNCalibEqFull!$AZ$1:$BB$56,3),FALSE))))</f>
        <v>0</v>
      </c>
      <c r="AV3596" s="10" t="str">
        <f t="shared" si="412"/>
        <v>0221 09:55:00-EFL-0-FIL-1-SW-UKN</v>
      </c>
    </row>
    <row r="3597" spans="1:48" s="10" customFormat="1" x14ac:dyDescent="0.55000000000000004">
      <c r="A3597" s="32">
        <v>44978</v>
      </c>
      <c r="B3597" s="33">
        <v>0.41597222222222219</v>
      </c>
      <c r="C3597" s="10" t="s">
        <v>287</v>
      </c>
      <c r="D3597" s="10">
        <v>5</v>
      </c>
      <c r="E3597" s="10" t="s">
        <v>911</v>
      </c>
      <c r="F3597" s="10">
        <v>1</v>
      </c>
      <c r="G3597" s="10" t="s">
        <v>231</v>
      </c>
      <c r="H3597" s="10" t="s">
        <v>322</v>
      </c>
      <c r="I3597" s="10" t="s">
        <v>167</v>
      </c>
      <c r="J3597" s="10">
        <v>66</v>
      </c>
      <c r="K3597" s="12">
        <v>44980</v>
      </c>
      <c r="L3597" s="33">
        <v>0.55997685185185186</v>
      </c>
      <c r="M3597" s="10">
        <v>1</v>
      </c>
      <c r="N3597" s="10" t="s">
        <v>211</v>
      </c>
      <c r="O3597" s="10">
        <v>0.51500000000000001</v>
      </c>
      <c r="P3597" s="10">
        <v>4.7600000000000003E-2</v>
      </c>
      <c r="Q3597" s="10">
        <v>90.1</v>
      </c>
      <c r="R3597" s="10" t="s">
        <v>913</v>
      </c>
      <c r="S3597" s="34">
        <f t="shared" si="409"/>
        <v>90.1</v>
      </c>
      <c r="T3597" s="10" t="s">
        <v>1267</v>
      </c>
      <c r="U3597" s="34" t="str">
        <f t="shared" si="410"/>
        <v/>
      </c>
      <c r="V3597" s="31" t="str">
        <f>IF(H3597="CHK",VLOOKUP(I3597,QCCHK,3,),IF(H3597="GUP",VLOOKUP(E3597,QCGUP,2,),IF(AND(H3597="ATP",OR(I3597="TN",I3597="TDN",I3597="TNO2-3",I3597="NO2-3")),VLOOKUP(E3597,QCREC_N,2,),IF(AND(H3597="NIC",OR(I3597="TN",I3597="TDN",I3597="TNO2-3",I3597="NO2-3")),VLOOKUP(E3597,QCNIC_N,2,),IF(AND(H3597="UREA",OR(I3597="TN",I3597="TDN",I3597="TNO2-3",I3597="NO2-3")),VLOOKUP(E3597,QCUREA_N,2,),IF(H3597="PER",VLOOKUP(I3597,QCPER,MATCH(E3597,QCACTUAL!$J$25:$AA$25,0),),IF(H3597="SPK",VLOOKUP(I3597,QCSPK,3,),IF(AND(H3597="ATP",OR(I3597="TP",I3597="TDP")),VLOOKUP(E3597,QCATP_P,2,),""))))))))</f>
        <v/>
      </c>
      <c r="W3597" s="31" t="str">
        <f t="shared" si="411"/>
        <v>TRUE</v>
      </c>
      <c r="X3597" s="31" t="str">
        <f t="shared" si="408"/>
        <v/>
      </c>
      <c r="Y3597" s="10" t="s">
        <v>1253</v>
      </c>
      <c r="AL3597" s="10" t="str">
        <f t="shared" si="406"/>
        <v>FALSE</v>
      </c>
      <c r="AM3597" s="10" t="str">
        <f t="shared" si="406"/>
        <v>FALSE</v>
      </c>
      <c r="AN3597" s="10" t="str">
        <f t="shared" si="406"/>
        <v>FALSE</v>
      </c>
      <c r="AO3597" s="10" t="str">
        <f t="shared" si="407"/>
        <v>FALSE</v>
      </c>
      <c r="AP3597" s="10" t="str">
        <f t="shared" si="407"/>
        <v>FALSE</v>
      </c>
      <c r="AQ3597" s="10" t="b">
        <f>IF(AND(I3597="TP",S3597&lt;=150),VLOOKUP(AF3597,TPCalibEq150!$AZ$2:$BB$55,3,),IF(AND(I3597="TDP",S3597&lt;=150),VLOOKUP(AF3597,TPCalibEq150!$AZ$2:$BB$55,3,)))</f>
        <v>0</v>
      </c>
      <c r="AR3597" s="10" t="b">
        <f>IF(AND(I3597="TP",S3597&lt;=300),VLOOKUP(AF3597,TPCalibEq300!$AZ$2:$BB$55,3,),IF(AND(I3597="TDP",S3597&lt;=300),VLOOKUP(AF3597,TPCalibEq300!$AZ$2:$BB$55,3,)))</f>
        <v>0</v>
      </c>
      <c r="AS3597" s="10" t="b">
        <f>IF(AND(I3597="TP",S3597&lt;=500),VLOOKUP(AF3597,TPCalibEq500!$AZ$2:$BB$56,3,),IF(AND(I3597="TDP",S3597&lt;=500),VLOOKUP(AF3597,TPCalibEq500!$AZ$2:$BB$56,3,)))</f>
        <v>0</v>
      </c>
      <c r="AT3597" s="10" t="b">
        <f>IF(AND(I3597="TN",S3597&lt;=2800),VLOOKUP(AF3597,TNCalibEq2500!$AZ$2:$BB$56,3,),IF(AND(I3597="TDN",S3597&lt;=2800),VLOOKUP(AF3597,TNCalibEq2500!$AZ$2:$BB$56,3,)))</f>
        <v>0</v>
      </c>
      <c r="AU3597" s="10" t="b">
        <f>IF(I3597="TP",VLOOKUP(AF3597,TPCalibEqFull!$AZ$2:$BB$56,3),IF(I3597="TDP",VLOOKUP(AF3597,TPCalibEqFull!$AZ$2:$BB$56,3),IF(I3597="TDN",VLOOKUP(AF3597,TNCalibEqFull!$AZ$1:$BB$56,3),IF(I3597="TN",VLOOKUP(AF3597,TNCalibEqFull!$AZ$1:$BB$56,3),FALSE))))</f>
        <v>0</v>
      </c>
      <c r="AV3597" s="10" t="str">
        <f t="shared" si="412"/>
        <v>0221 09:59:00-EFL-5-FIL-1-SW-UKN</v>
      </c>
    </row>
    <row r="3598" spans="1:48" s="10" customFormat="1" x14ac:dyDescent="0.55000000000000004">
      <c r="A3598" s="32">
        <v>44978</v>
      </c>
      <c r="B3598" s="33">
        <v>0.41805555555555557</v>
      </c>
      <c r="C3598" s="10" t="s">
        <v>287</v>
      </c>
      <c r="D3598" s="10">
        <v>10</v>
      </c>
      <c r="E3598" s="10" t="s">
        <v>911</v>
      </c>
      <c r="F3598" s="10">
        <v>1</v>
      </c>
      <c r="G3598" s="10" t="s">
        <v>231</v>
      </c>
      <c r="H3598" s="10" t="s">
        <v>322</v>
      </c>
      <c r="I3598" s="10" t="s">
        <v>167</v>
      </c>
      <c r="J3598" s="10">
        <v>67</v>
      </c>
      <c r="K3598" s="12">
        <v>44980</v>
      </c>
      <c r="L3598" s="33">
        <v>0.56078703703703703</v>
      </c>
      <c r="M3598" s="10">
        <v>1</v>
      </c>
      <c r="N3598" s="10" t="s">
        <v>211</v>
      </c>
      <c r="O3598" s="10">
        <v>0.51200000000000001</v>
      </c>
      <c r="P3598" s="10">
        <v>4.7199999999999999E-2</v>
      </c>
      <c r="Q3598" s="10">
        <v>89.5</v>
      </c>
      <c r="R3598" s="10" t="s">
        <v>913</v>
      </c>
      <c r="S3598" s="34">
        <f t="shared" si="409"/>
        <v>89.5</v>
      </c>
      <c r="T3598" s="10" t="s">
        <v>1267</v>
      </c>
      <c r="U3598" s="34" t="str">
        <f t="shared" si="410"/>
        <v/>
      </c>
      <c r="V3598" s="31" t="str">
        <f>IF(H3598="CHK",VLOOKUP(I3598,QCCHK,3,),IF(H3598="GUP",VLOOKUP(E3598,QCGUP,2,),IF(AND(H3598="ATP",OR(I3598="TN",I3598="TDN",I3598="TNO2-3",I3598="NO2-3")),VLOOKUP(E3598,QCREC_N,2,),IF(AND(H3598="NIC",OR(I3598="TN",I3598="TDN",I3598="TNO2-3",I3598="NO2-3")),VLOOKUP(E3598,QCNIC_N,2,),IF(AND(H3598="UREA",OR(I3598="TN",I3598="TDN",I3598="TNO2-3",I3598="NO2-3")),VLOOKUP(E3598,QCUREA_N,2,),IF(H3598="PER",VLOOKUP(I3598,QCPER,MATCH(E3598,QCACTUAL!$J$25:$AA$25,0),),IF(H3598="SPK",VLOOKUP(I3598,QCSPK,3,),IF(AND(H3598="ATP",OR(I3598="TP",I3598="TDP")),VLOOKUP(E3598,QCATP_P,2,),""))))))))</f>
        <v/>
      </c>
      <c r="W3598" s="31" t="str">
        <f t="shared" si="411"/>
        <v>TRUE</v>
      </c>
      <c r="X3598" s="31" t="str">
        <f t="shared" si="408"/>
        <v/>
      </c>
      <c r="Y3598" s="10" t="s">
        <v>1253</v>
      </c>
      <c r="AL3598" s="10" t="str">
        <f t="shared" si="406"/>
        <v>FALSE</v>
      </c>
      <c r="AM3598" s="10" t="str">
        <f t="shared" si="406"/>
        <v>FALSE</v>
      </c>
      <c r="AN3598" s="10" t="str">
        <f t="shared" si="406"/>
        <v>FALSE</v>
      </c>
      <c r="AO3598" s="10" t="str">
        <f t="shared" si="407"/>
        <v>FALSE</v>
      </c>
      <c r="AP3598" s="10" t="str">
        <f t="shared" si="407"/>
        <v>FALSE</v>
      </c>
      <c r="AQ3598" s="10" t="b">
        <f>IF(AND(I3598="TP",S3598&lt;=150),VLOOKUP(AF3598,TPCalibEq150!$AZ$2:$BB$55,3,),IF(AND(I3598="TDP",S3598&lt;=150),VLOOKUP(AF3598,TPCalibEq150!$AZ$2:$BB$55,3,)))</f>
        <v>0</v>
      </c>
      <c r="AR3598" s="10" t="b">
        <f>IF(AND(I3598="TP",S3598&lt;=300),VLOOKUP(AF3598,TPCalibEq300!$AZ$2:$BB$55,3,),IF(AND(I3598="TDP",S3598&lt;=300),VLOOKUP(AF3598,TPCalibEq300!$AZ$2:$BB$55,3,)))</f>
        <v>0</v>
      </c>
      <c r="AS3598" s="10" t="b">
        <f>IF(AND(I3598="TP",S3598&lt;=500),VLOOKUP(AF3598,TPCalibEq500!$AZ$2:$BB$56,3,),IF(AND(I3598="TDP",S3598&lt;=500),VLOOKUP(AF3598,TPCalibEq500!$AZ$2:$BB$56,3,)))</f>
        <v>0</v>
      </c>
      <c r="AT3598" s="10" t="b">
        <f>IF(AND(I3598="TN",S3598&lt;=2800),VLOOKUP(AF3598,TNCalibEq2500!$AZ$2:$BB$56,3,),IF(AND(I3598="TDN",S3598&lt;=2800),VLOOKUP(AF3598,TNCalibEq2500!$AZ$2:$BB$56,3,)))</f>
        <v>0</v>
      </c>
      <c r="AU3598" s="10" t="b">
        <f>IF(I3598="TP",VLOOKUP(AF3598,TPCalibEqFull!$AZ$2:$BB$56,3),IF(I3598="TDP",VLOOKUP(AF3598,TPCalibEqFull!$AZ$2:$BB$56,3),IF(I3598="TDN",VLOOKUP(AF3598,TNCalibEqFull!$AZ$1:$BB$56,3),IF(I3598="TN",VLOOKUP(AF3598,TNCalibEqFull!$AZ$1:$BB$56,3),FALSE))))</f>
        <v>0</v>
      </c>
      <c r="AV3598" s="10" t="str">
        <f t="shared" si="412"/>
        <v>0221 10:02:00-EFL-10-FIL-1-SW-UKN</v>
      </c>
    </row>
    <row r="3599" spans="1:48" s="10" customFormat="1" x14ac:dyDescent="0.55000000000000004">
      <c r="A3599" s="32">
        <v>44978</v>
      </c>
      <c r="B3599" s="33">
        <v>0.42083333333333334</v>
      </c>
      <c r="C3599" s="10" t="s">
        <v>287</v>
      </c>
      <c r="D3599" s="10">
        <v>20</v>
      </c>
      <c r="E3599" s="10" t="s">
        <v>911</v>
      </c>
      <c r="F3599" s="10">
        <v>1</v>
      </c>
      <c r="G3599" s="10" t="s">
        <v>231</v>
      </c>
      <c r="H3599" s="10" t="s">
        <v>322</v>
      </c>
      <c r="I3599" s="10" t="s">
        <v>167</v>
      </c>
      <c r="J3599" s="10">
        <v>68</v>
      </c>
      <c r="K3599" s="12">
        <v>44980</v>
      </c>
      <c r="L3599" s="33">
        <v>0.56160879629629623</v>
      </c>
      <c r="M3599" s="10">
        <v>1</v>
      </c>
      <c r="N3599" s="10" t="s">
        <v>211</v>
      </c>
      <c r="O3599" s="10">
        <v>0.501</v>
      </c>
      <c r="P3599" s="10">
        <v>4.6300000000000001E-2</v>
      </c>
      <c r="Q3599" s="10">
        <v>87.6</v>
      </c>
      <c r="R3599" s="10" t="s">
        <v>913</v>
      </c>
      <c r="S3599" s="34">
        <f t="shared" si="409"/>
        <v>87.6</v>
      </c>
      <c r="T3599" s="10" t="s">
        <v>1267</v>
      </c>
      <c r="U3599" s="34" t="str">
        <f t="shared" si="410"/>
        <v/>
      </c>
      <c r="V3599" s="31" t="str">
        <f>IF(H3599="CHK",VLOOKUP(I3599,QCCHK,3,),IF(H3599="GUP",VLOOKUP(E3599,QCGUP,2,),IF(AND(H3599="ATP",OR(I3599="TN",I3599="TDN",I3599="TNO2-3",I3599="NO2-3")),VLOOKUP(E3599,QCREC_N,2,),IF(AND(H3599="NIC",OR(I3599="TN",I3599="TDN",I3599="TNO2-3",I3599="NO2-3")),VLOOKUP(E3599,QCNIC_N,2,),IF(AND(H3599="UREA",OR(I3599="TN",I3599="TDN",I3599="TNO2-3",I3599="NO2-3")),VLOOKUP(E3599,QCUREA_N,2,),IF(H3599="PER",VLOOKUP(I3599,QCPER,MATCH(E3599,QCACTUAL!$J$25:$AA$25,0),),IF(H3599="SPK",VLOOKUP(I3599,QCSPK,3,),IF(AND(H3599="ATP",OR(I3599="TP",I3599="TDP")),VLOOKUP(E3599,QCATP_P,2,),""))))))))</f>
        <v/>
      </c>
      <c r="W3599" s="31" t="str">
        <f t="shared" si="411"/>
        <v>TRUE</v>
      </c>
      <c r="X3599" s="31" t="str">
        <f t="shared" si="408"/>
        <v/>
      </c>
      <c r="Y3599" s="10" t="s">
        <v>1253</v>
      </c>
      <c r="AL3599" s="10" t="str">
        <f t="shared" si="406"/>
        <v>FALSE</v>
      </c>
      <c r="AM3599" s="10" t="str">
        <f t="shared" si="406"/>
        <v>FALSE</v>
      </c>
      <c r="AN3599" s="10" t="str">
        <f t="shared" si="406"/>
        <v>FALSE</v>
      </c>
      <c r="AO3599" s="10" t="str">
        <f t="shared" si="407"/>
        <v>FALSE</v>
      </c>
      <c r="AP3599" s="10" t="str">
        <f t="shared" si="407"/>
        <v>FALSE</v>
      </c>
      <c r="AQ3599" s="10" t="b">
        <f>IF(AND(I3599="TP",S3599&lt;=150),VLOOKUP(AF3599,TPCalibEq150!$AZ$2:$BB$55,3,),IF(AND(I3599="TDP",S3599&lt;=150),VLOOKUP(AF3599,TPCalibEq150!$AZ$2:$BB$55,3,)))</f>
        <v>0</v>
      </c>
      <c r="AR3599" s="10" t="b">
        <f>IF(AND(I3599="TP",S3599&lt;=300),VLOOKUP(AF3599,TPCalibEq300!$AZ$2:$BB$55,3,),IF(AND(I3599="TDP",S3599&lt;=300),VLOOKUP(AF3599,TPCalibEq300!$AZ$2:$BB$55,3,)))</f>
        <v>0</v>
      </c>
      <c r="AS3599" s="10" t="b">
        <f>IF(AND(I3599="TP",S3599&lt;=500),VLOOKUP(AF3599,TPCalibEq500!$AZ$2:$BB$56,3,),IF(AND(I3599="TDP",S3599&lt;=500),VLOOKUP(AF3599,TPCalibEq500!$AZ$2:$BB$56,3,)))</f>
        <v>0</v>
      </c>
      <c r="AT3599" s="10" t="b">
        <f>IF(AND(I3599="TN",S3599&lt;=2800),VLOOKUP(AF3599,TNCalibEq2500!$AZ$2:$BB$56,3,),IF(AND(I3599="TDN",S3599&lt;=2800),VLOOKUP(AF3599,TNCalibEq2500!$AZ$2:$BB$56,3,)))</f>
        <v>0</v>
      </c>
      <c r="AU3599" s="10" t="b">
        <f>IF(I3599="TP",VLOOKUP(AF3599,TPCalibEqFull!$AZ$2:$BB$56,3),IF(I3599="TDP",VLOOKUP(AF3599,TPCalibEqFull!$AZ$2:$BB$56,3),IF(I3599="TDN",VLOOKUP(AF3599,TNCalibEqFull!$AZ$1:$BB$56,3),IF(I3599="TN",VLOOKUP(AF3599,TNCalibEqFull!$AZ$1:$BB$56,3),FALSE))))</f>
        <v>0</v>
      </c>
      <c r="AV3599" s="10" t="str">
        <f t="shared" si="412"/>
        <v>0221 10:06:00-EFL-20-FIL-1-SW-UKN</v>
      </c>
    </row>
    <row r="3600" spans="1:48" s="10" customFormat="1" x14ac:dyDescent="0.55000000000000004">
      <c r="A3600" s="32">
        <v>44978</v>
      </c>
      <c r="B3600" s="33">
        <v>0.42083333333333334</v>
      </c>
      <c r="C3600" s="10" t="s">
        <v>287</v>
      </c>
      <c r="D3600" s="10">
        <v>20</v>
      </c>
      <c r="E3600" s="10" t="s">
        <v>911</v>
      </c>
      <c r="F3600" s="10">
        <v>2</v>
      </c>
      <c r="G3600" s="10" t="s">
        <v>231</v>
      </c>
      <c r="H3600" s="10" t="s">
        <v>322</v>
      </c>
      <c r="I3600" s="10" t="s">
        <v>167</v>
      </c>
      <c r="J3600" s="10">
        <v>69</v>
      </c>
      <c r="K3600" s="12">
        <v>44980</v>
      </c>
      <c r="L3600" s="33">
        <v>0.56241898148148151</v>
      </c>
      <c r="M3600" s="10">
        <v>1</v>
      </c>
      <c r="N3600" s="10" t="s">
        <v>211</v>
      </c>
      <c r="O3600" s="10">
        <v>0.52600000000000002</v>
      </c>
      <c r="P3600" s="10">
        <v>4.8500000000000001E-2</v>
      </c>
      <c r="Q3600" s="10">
        <v>91.9</v>
      </c>
      <c r="R3600" s="10" t="s">
        <v>913</v>
      </c>
      <c r="S3600" s="34">
        <f t="shared" si="409"/>
        <v>91.9</v>
      </c>
      <c r="T3600" s="10" t="s">
        <v>1267</v>
      </c>
      <c r="U3600" s="34" t="str">
        <f t="shared" si="410"/>
        <v/>
      </c>
      <c r="V3600" s="31" t="str">
        <f>IF(H3600="CHK",VLOOKUP(I3600,QCCHK,3,),IF(H3600="GUP",VLOOKUP(E3600,QCGUP,2,),IF(AND(H3600="ATP",OR(I3600="TN",I3600="TDN",I3600="TNO2-3",I3600="NO2-3")),VLOOKUP(E3600,QCREC_N,2,),IF(AND(H3600="NIC",OR(I3600="TN",I3600="TDN",I3600="TNO2-3",I3600="NO2-3")),VLOOKUP(E3600,QCNIC_N,2,),IF(AND(H3600="UREA",OR(I3600="TN",I3600="TDN",I3600="TNO2-3",I3600="NO2-3")),VLOOKUP(E3600,QCUREA_N,2,),IF(H3600="PER",VLOOKUP(I3600,QCPER,MATCH(E3600,QCACTUAL!$J$25:$AA$25,0),),IF(H3600="SPK",VLOOKUP(I3600,QCSPK,3,),IF(AND(H3600="ATP",OR(I3600="TP",I3600="TDP")),VLOOKUP(E3600,QCATP_P,2,),""))))))))</f>
        <v/>
      </c>
      <c r="W3600" s="31" t="str">
        <f t="shared" si="411"/>
        <v>TRUE</v>
      </c>
      <c r="X3600" s="31" t="str">
        <f t="shared" si="408"/>
        <v/>
      </c>
      <c r="Y3600" s="10" t="s">
        <v>1253</v>
      </c>
      <c r="AL3600" s="10" t="str">
        <f t="shared" si="406"/>
        <v>FALSE</v>
      </c>
      <c r="AM3600" s="10" t="str">
        <f t="shared" si="406"/>
        <v>FALSE</v>
      </c>
      <c r="AN3600" s="10" t="str">
        <f t="shared" si="406"/>
        <v>FALSE</v>
      </c>
      <c r="AO3600" s="10" t="str">
        <f t="shared" si="407"/>
        <v>FALSE</v>
      </c>
      <c r="AP3600" s="10" t="str">
        <f t="shared" si="407"/>
        <v>FALSE</v>
      </c>
      <c r="AQ3600" s="10" t="b">
        <f>IF(AND(I3600="TP",S3600&lt;=150),VLOOKUP(AF3600,TPCalibEq150!$AZ$2:$BB$55,3,),IF(AND(I3600="TDP",S3600&lt;=150),VLOOKUP(AF3600,TPCalibEq150!$AZ$2:$BB$55,3,)))</f>
        <v>0</v>
      </c>
      <c r="AR3600" s="10" t="b">
        <f>IF(AND(I3600="TP",S3600&lt;=300),VLOOKUP(AF3600,TPCalibEq300!$AZ$2:$BB$55,3,),IF(AND(I3600="TDP",S3600&lt;=300),VLOOKUP(AF3600,TPCalibEq300!$AZ$2:$BB$55,3,)))</f>
        <v>0</v>
      </c>
      <c r="AS3600" s="10" t="b">
        <f>IF(AND(I3600="TP",S3600&lt;=500),VLOOKUP(AF3600,TPCalibEq500!$AZ$2:$BB$56,3,),IF(AND(I3600="TDP",S3600&lt;=500),VLOOKUP(AF3600,TPCalibEq500!$AZ$2:$BB$56,3,)))</f>
        <v>0</v>
      </c>
      <c r="AT3600" s="10" t="b">
        <f>IF(AND(I3600="TN",S3600&lt;=2800),VLOOKUP(AF3600,TNCalibEq2500!$AZ$2:$BB$56,3,),IF(AND(I3600="TDN",S3600&lt;=2800),VLOOKUP(AF3600,TNCalibEq2500!$AZ$2:$BB$56,3,)))</f>
        <v>0</v>
      </c>
      <c r="AU3600" s="10" t="b">
        <f>IF(I3600="TP",VLOOKUP(AF3600,TPCalibEqFull!$AZ$2:$BB$56,3),IF(I3600="TDP",VLOOKUP(AF3600,TPCalibEqFull!$AZ$2:$BB$56,3),IF(I3600="TDN",VLOOKUP(AF3600,TNCalibEqFull!$AZ$1:$BB$56,3),IF(I3600="TN",VLOOKUP(AF3600,TNCalibEqFull!$AZ$1:$BB$56,3),FALSE))))</f>
        <v>0</v>
      </c>
      <c r="AV3600" s="10" t="str">
        <f t="shared" si="412"/>
        <v>0221 10:06:00-EFL-20-FIL-2-SW-UKN</v>
      </c>
    </row>
    <row r="3601" spans="1:48" s="10" customFormat="1" x14ac:dyDescent="0.55000000000000004">
      <c r="A3601" s="32">
        <v>44978</v>
      </c>
      <c r="B3601" s="33">
        <v>0.42569444444444443</v>
      </c>
      <c r="C3601" s="10" t="s">
        <v>287</v>
      </c>
      <c r="D3601" s="10">
        <v>45</v>
      </c>
      <c r="E3601" s="10" t="s">
        <v>911</v>
      </c>
      <c r="F3601" s="10">
        <v>1</v>
      </c>
      <c r="G3601" s="10" t="s">
        <v>231</v>
      </c>
      <c r="H3601" s="10" t="s">
        <v>322</v>
      </c>
      <c r="I3601" s="10" t="s">
        <v>167</v>
      </c>
      <c r="J3601" s="10">
        <v>70</v>
      </c>
      <c r="K3601" s="12">
        <v>44980</v>
      </c>
      <c r="L3601" s="33">
        <v>0.56322916666666667</v>
      </c>
      <c r="M3601" s="10">
        <v>1</v>
      </c>
      <c r="N3601" s="10" t="s">
        <v>211</v>
      </c>
      <c r="O3601" s="10">
        <v>0.49299999999999999</v>
      </c>
      <c r="P3601" s="10">
        <v>4.53E-2</v>
      </c>
      <c r="Q3601" s="10">
        <v>86.1</v>
      </c>
      <c r="R3601" s="10" t="s">
        <v>913</v>
      </c>
      <c r="S3601" s="34">
        <f t="shared" si="409"/>
        <v>86.1</v>
      </c>
      <c r="T3601" s="10" t="s">
        <v>1267</v>
      </c>
      <c r="U3601" s="34" t="str">
        <f t="shared" si="410"/>
        <v/>
      </c>
      <c r="V3601" s="31" t="str">
        <f>IF(H3601="CHK",VLOOKUP(I3601,QCCHK,3,),IF(H3601="GUP",VLOOKUP(E3601,QCGUP,2,),IF(AND(H3601="ATP",OR(I3601="TN",I3601="TDN",I3601="TNO2-3",I3601="NO2-3")),VLOOKUP(E3601,QCREC_N,2,),IF(AND(H3601="NIC",OR(I3601="TN",I3601="TDN",I3601="TNO2-3",I3601="NO2-3")),VLOOKUP(E3601,QCNIC_N,2,),IF(AND(H3601="UREA",OR(I3601="TN",I3601="TDN",I3601="TNO2-3",I3601="NO2-3")),VLOOKUP(E3601,QCUREA_N,2,),IF(H3601="PER",VLOOKUP(I3601,QCPER,MATCH(E3601,QCACTUAL!$J$25:$AA$25,0),),IF(H3601="SPK",VLOOKUP(I3601,QCSPK,3,),IF(AND(H3601="ATP",OR(I3601="TP",I3601="TDP")),VLOOKUP(E3601,QCATP_P,2,),""))))))))</f>
        <v/>
      </c>
      <c r="W3601" s="31" t="str">
        <f t="shared" si="411"/>
        <v>TRUE</v>
      </c>
      <c r="X3601" s="31" t="str">
        <f t="shared" si="408"/>
        <v/>
      </c>
      <c r="Y3601" s="10" t="s">
        <v>1253</v>
      </c>
      <c r="AL3601" s="10" t="str">
        <f t="shared" si="406"/>
        <v>FALSE</v>
      </c>
      <c r="AM3601" s="10" t="str">
        <f t="shared" si="406"/>
        <v>FALSE</v>
      </c>
      <c r="AN3601" s="10" t="str">
        <f t="shared" si="406"/>
        <v>FALSE</v>
      </c>
      <c r="AO3601" s="10" t="str">
        <f t="shared" si="407"/>
        <v>FALSE</v>
      </c>
      <c r="AP3601" s="10" t="str">
        <f t="shared" si="407"/>
        <v>FALSE</v>
      </c>
      <c r="AQ3601" s="10" t="b">
        <f>IF(AND(I3601="TP",S3601&lt;=150),VLOOKUP(AF3601,TPCalibEq150!$AZ$2:$BB$55,3,),IF(AND(I3601="TDP",S3601&lt;=150),VLOOKUP(AF3601,TPCalibEq150!$AZ$2:$BB$55,3,)))</f>
        <v>0</v>
      </c>
      <c r="AR3601" s="10" t="b">
        <f>IF(AND(I3601="TP",S3601&lt;=300),VLOOKUP(AF3601,TPCalibEq300!$AZ$2:$BB$55,3,),IF(AND(I3601="TDP",S3601&lt;=300),VLOOKUP(AF3601,TPCalibEq300!$AZ$2:$BB$55,3,)))</f>
        <v>0</v>
      </c>
      <c r="AS3601" s="10" t="b">
        <f>IF(AND(I3601="TP",S3601&lt;=500),VLOOKUP(AF3601,TPCalibEq500!$AZ$2:$BB$56,3,),IF(AND(I3601="TDP",S3601&lt;=500),VLOOKUP(AF3601,TPCalibEq500!$AZ$2:$BB$56,3,)))</f>
        <v>0</v>
      </c>
      <c r="AT3601" s="10" t="b">
        <f>IF(AND(I3601="TN",S3601&lt;=2800),VLOOKUP(AF3601,TNCalibEq2500!$AZ$2:$BB$56,3,),IF(AND(I3601="TDN",S3601&lt;=2800),VLOOKUP(AF3601,TNCalibEq2500!$AZ$2:$BB$56,3,)))</f>
        <v>0</v>
      </c>
      <c r="AU3601" s="10" t="b">
        <f>IF(I3601="TP",VLOOKUP(AF3601,TPCalibEqFull!$AZ$2:$BB$56,3),IF(I3601="TDP",VLOOKUP(AF3601,TPCalibEqFull!$AZ$2:$BB$56,3),IF(I3601="TDN",VLOOKUP(AF3601,TNCalibEqFull!$AZ$1:$BB$56,3),IF(I3601="TN",VLOOKUP(AF3601,TNCalibEqFull!$AZ$1:$BB$56,3),FALSE))))</f>
        <v>0</v>
      </c>
      <c r="AV3601" s="10" t="str">
        <f t="shared" si="412"/>
        <v>0221 10:13:00-EFL-45-FIL-1-SW-UKN</v>
      </c>
    </row>
    <row r="3602" spans="1:48" s="10" customFormat="1" x14ac:dyDescent="0.55000000000000004">
      <c r="A3602" s="32">
        <v>44978</v>
      </c>
      <c r="B3602" s="33">
        <v>0.42569444444444443</v>
      </c>
      <c r="C3602" s="10" t="s">
        <v>287</v>
      </c>
      <c r="D3602" s="10">
        <v>45</v>
      </c>
      <c r="E3602" s="10" t="s">
        <v>911</v>
      </c>
      <c r="F3602" s="10">
        <v>1</v>
      </c>
      <c r="G3602" s="10" t="s">
        <v>231</v>
      </c>
      <c r="H3602" s="10" t="s">
        <v>233</v>
      </c>
      <c r="I3602" s="10" t="s">
        <v>167</v>
      </c>
      <c r="J3602" s="10">
        <v>70</v>
      </c>
      <c r="K3602" s="12">
        <v>44980</v>
      </c>
      <c r="L3602" s="33">
        <v>0.56403935185185183</v>
      </c>
      <c r="M3602" s="10">
        <v>1</v>
      </c>
      <c r="N3602" s="10" t="s">
        <v>211</v>
      </c>
      <c r="O3602" s="10">
        <v>0.49</v>
      </c>
      <c r="P3602" s="10">
        <v>4.4900000000000002E-2</v>
      </c>
      <c r="Q3602" s="10">
        <v>85.7</v>
      </c>
      <c r="R3602" s="10" t="s">
        <v>913</v>
      </c>
      <c r="S3602" s="34">
        <f t="shared" si="409"/>
        <v>85.7</v>
      </c>
      <c r="T3602" s="10" t="s">
        <v>1267</v>
      </c>
      <c r="U3602" s="34">
        <f t="shared" si="410"/>
        <v>0.46565774155994344</v>
      </c>
      <c r="V3602" s="31" t="str">
        <f>IF(H3602="CHK",VLOOKUP(I3602,QCCHK,3,),IF(H3602="GUP",VLOOKUP(E3602,QCGUP,2,),IF(AND(H3602="ATP",OR(I3602="TN",I3602="TDN",I3602="TNO2-3",I3602="NO2-3")),VLOOKUP(E3602,QCREC_N,2,),IF(AND(H3602="NIC",OR(I3602="TN",I3602="TDN",I3602="TNO2-3",I3602="NO2-3")),VLOOKUP(E3602,QCNIC_N,2,),IF(AND(H3602="UREA",OR(I3602="TN",I3602="TDN",I3602="TNO2-3",I3602="NO2-3")),VLOOKUP(E3602,QCUREA_N,2,),IF(H3602="PER",VLOOKUP(I3602,QCPER,MATCH(E3602,QCACTUAL!$J$25:$AA$25,0),),IF(H3602="SPK",VLOOKUP(I3602,QCSPK,3,),IF(AND(H3602="ATP",OR(I3602="TP",I3602="TDP")),VLOOKUP(E3602,QCATP_P,2,),""))))))))</f>
        <v/>
      </c>
      <c r="W3602" s="31" t="str">
        <f t="shared" si="411"/>
        <v>TRUE</v>
      </c>
      <c r="X3602" s="31" t="str">
        <f t="shared" si="408"/>
        <v>((ABS(rep1-rep2))/((rep1+rep2)/2)*100</v>
      </c>
      <c r="Y3602" s="10" t="s">
        <v>1253</v>
      </c>
      <c r="AL3602" s="10" t="str">
        <f t="shared" si="406"/>
        <v>FALSE</v>
      </c>
      <c r="AM3602" s="10" t="str">
        <f t="shared" si="406"/>
        <v>FALSE</v>
      </c>
      <c r="AN3602" s="10" t="str">
        <f t="shared" si="406"/>
        <v>FALSE</v>
      </c>
      <c r="AO3602" s="10" t="str">
        <f t="shared" si="407"/>
        <v>FALSE</v>
      </c>
      <c r="AP3602" s="10" t="str">
        <f t="shared" si="407"/>
        <v>FALSE</v>
      </c>
      <c r="AQ3602" s="10" t="b">
        <f>IF(AND(I3602="TP",S3602&lt;=150),VLOOKUP(AF3602,TPCalibEq150!$AZ$2:$BB$55,3,),IF(AND(I3602="TDP",S3602&lt;=150),VLOOKUP(AF3602,TPCalibEq150!$AZ$2:$BB$55,3,)))</f>
        <v>0</v>
      </c>
      <c r="AR3602" s="10" t="b">
        <f>IF(AND(I3602="TP",S3602&lt;=300),VLOOKUP(AF3602,TPCalibEq300!$AZ$2:$BB$55,3,),IF(AND(I3602="TDP",S3602&lt;=300),VLOOKUP(AF3602,TPCalibEq300!$AZ$2:$BB$55,3,)))</f>
        <v>0</v>
      </c>
      <c r="AS3602" s="10" t="b">
        <f>IF(AND(I3602="TP",S3602&lt;=500),VLOOKUP(AF3602,TPCalibEq500!$AZ$2:$BB$56,3,),IF(AND(I3602="TDP",S3602&lt;=500),VLOOKUP(AF3602,TPCalibEq500!$AZ$2:$BB$56,3,)))</f>
        <v>0</v>
      </c>
      <c r="AT3602" s="10" t="b">
        <f>IF(AND(I3602="TN",S3602&lt;=2800),VLOOKUP(AF3602,TNCalibEq2500!$AZ$2:$BB$56,3,),IF(AND(I3602="TDN",S3602&lt;=2800),VLOOKUP(AF3602,TNCalibEq2500!$AZ$2:$BB$56,3,)))</f>
        <v>0</v>
      </c>
      <c r="AU3602" s="10" t="b">
        <f>IF(I3602="TP",VLOOKUP(AF3602,TPCalibEqFull!$AZ$2:$BB$56,3),IF(I3602="TDP",VLOOKUP(AF3602,TPCalibEqFull!$AZ$2:$BB$56,3),IF(I3602="TDN",VLOOKUP(AF3602,TNCalibEqFull!$AZ$1:$BB$56,3),IF(I3602="TN",VLOOKUP(AF3602,TNCalibEqFull!$AZ$1:$BB$56,3),FALSE))))</f>
        <v>0</v>
      </c>
      <c r="AV3602" s="10" t="str">
        <f t="shared" si="412"/>
        <v>0221 10:13:00-EFL-45-FIL-1-SW-DUP</v>
      </c>
    </row>
    <row r="3603" spans="1:48" s="10" customFormat="1" x14ac:dyDescent="0.55000000000000004">
      <c r="A3603" s="32">
        <v>44978</v>
      </c>
      <c r="B3603" s="33">
        <v>0.42569444444444443</v>
      </c>
      <c r="C3603" s="10" t="s">
        <v>287</v>
      </c>
      <c r="D3603" s="10">
        <v>45</v>
      </c>
      <c r="E3603" s="10" t="s">
        <v>911</v>
      </c>
      <c r="F3603" s="10">
        <v>1</v>
      </c>
      <c r="G3603" s="10" t="s">
        <v>231</v>
      </c>
      <c r="H3603" s="10" t="s">
        <v>314</v>
      </c>
      <c r="I3603" s="10" t="s">
        <v>167</v>
      </c>
      <c r="J3603" s="10">
        <v>89</v>
      </c>
      <c r="K3603" s="12">
        <v>44980</v>
      </c>
      <c r="L3603" s="33">
        <v>0.56484953703703711</v>
      </c>
      <c r="M3603" s="10">
        <v>1</v>
      </c>
      <c r="N3603" s="10" t="s">
        <v>211</v>
      </c>
      <c r="O3603" s="10">
        <v>1.51</v>
      </c>
      <c r="P3603" s="10">
        <v>0.14399999999999999</v>
      </c>
      <c r="Q3603" s="10">
        <v>266</v>
      </c>
      <c r="R3603" s="10" t="s">
        <v>913</v>
      </c>
      <c r="S3603" s="34">
        <f t="shared" si="409"/>
        <v>266</v>
      </c>
      <c r="T3603" s="10" t="s">
        <v>1267</v>
      </c>
      <c r="U3603" s="34">
        <f t="shared" si="410"/>
        <v>115.39200000000001</v>
      </c>
      <c r="V3603" s="31">
        <f>IF(H3603="CHK",VLOOKUP(I3603,QCCHK,3,),IF(H3603="GUP",VLOOKUP(E3603,QCGUP,2,),IF(AND(H3603="ATP",OR(I3603="TN",I3603="TDN",I3603="TNO2-3",I3603="NO2-3")),VLOOKUP(E3603,QCREC_N,2,),IF(AND(H3603="NIC",OR(I3603="TN",I3603="TDN",I3603="TNO2-3",I3603="NO2-3")),VLOOKUP(E3603,QCNIC_N,2,),IF(AND(H3603="UREA",OR(I3603="TN",I3603="TDN",I3603="TNO2-3",I3603="NO2-3")),VLOOKUP(E3603,QCUREA_N,2,),IF(H3603="PER",VLOOKUP(I3603,QCPER,MATCH(E3603,QCACTUAL!$J$25:$AA$25,0),),IF(H3603="SPK",VLOOKUP(I3603,QCSPK,3,),IF(AND(H3603="ATP",OR(I3603="TP",I3603="TDP")),VLOOKUP(E3603,QCATP_P,2,),""))))))))</f>
        <v>156.25</v>
      </c>
      <c r="W3603" s="31" t="str">
        <f t="shared" si="411"/>
        <v>TRUE</v>
      </c>
      <c r="X3603" s="31" t="str">
        <f t="shared" si="408"/>
        <v>([spikedunkn]-[unkn])/[spike]*100</v>
      </c>
      <c r="Y3603" s="10" t="s">
        <v>1253</v>
      </c>
      <c r="AL3603" s="10" t="str">
        <f t="shared" si="406"/>
        <v>FALSE</v>
      </c>
      <c r="AM3603" s="10" t="str">
        <f t="shared" si="406"/>
        <v>FALSE</v>
      </c>
      <c r="AN3603" s="10" t="str">
        <f t="shared" si="406"/>
        <v>FALSE</v>
      </c>
      <c r="AO3603" s="10" t="str">
        <f t="shared" si="407"/>
        <v>FALSE</v>
      </c>
      <c r="AP3603" s="10" t="str">
        <f t="shared" si="407"/>
        <v>FALSE</v>
      </c>
      <c r="AQ3603" s="10" t="b">
        <f>IF(AND(I3603="TP",S3603&lt;=150),VLOOKUP(AF3603,TPCalibEq150!$AZ$2:$BB$55,3,),IF(AND(I3603="TDP",S3603&lt;=150),VLOOKUP(AF3603,TPCalibEq150!$AZ$2:$BB$55,3,)))</f>
        <v>0</v>
      </c>
      <c r="AR3603" s="10" t="b">
        <f>IF(AND(I3603="TP",S3603&lt;=300),VLOOKUP(AF3603,TPCalibEq300!$AZ$2:$BB$55,3,),IF(AND(I3603="TDP",S3603&lt;=300),VLOOKUP(AF3603,TPCalibEq300!$AZ$2:$BB$55,3,)))</f>
        <v>0</v>
      </c>
      <c r="AS3603" s="10" t="b">
        <f>IF(AND(I3603="TP",S3603&lt;=500),VLOOKUP(AF3603,TPCalibEq500!$AZ$2:$BB$56,3,),IF(AND(I3603="TDP",S3603&lt;=500),VLOOKUP(AF3603,TPCalibEq500!$AZ$2:$BB$56,3,)))</f>
        <v>0</v>
      </c>
      <c r="AT3603" s="10" t="b">
        <f>IF(AND(I3603="TN",S3603&lt;=2800),VLOOKUP(AF3603,TNCalibEq2500!$AZ$2:$BB$56,3,),IF(AND(I3603="TDN",S3603&lt;=2800),VLOOKUP(AF3603,TNCalibEq2500!$AZ$2:$BB$56,3,)))</f>
        <v>0</v>
      </c>
      <c r="AU3603" s="10" t="b">
        <f>IF(I3603="TP",VLOOKUP(AF3603,TPCalibEqFull!$AZ$2:$BB$56,3),IF(I3603="TDP",VLOOKUP(AF3603,TPCalibEqFull!$AZ$2:$BB$56,3),IF(I3603="TDN",VLOOKUP(AF3603,TNCalibEqFull!$AZ$1:$BB$56,3),IF(I3603="TN",VLOOKUP(AF3603,TNCalibEqFull!$AZ$1:$BB$56,3),FALSE))))</f>
        <v>0</v>
      </c>
      <c r="AV3603" s="10" t="str">
        <f t="shared" si="412"/>
        <v>0221 10:13:00-EFL-45-FIL-1-SW-SPK</v>
      </c>
    </row>
    <row r="3604" spans="1:48" s="10" customFormat="1" x14ac:dyDescent="0.55000000000000004">
      <c r="A3604" s="32">
        <v>44979</v>
      </c>
      <c r="B3604" s="33">
        <v>0.375</v>
      </c>
      <c r="C3604" s="10" t="s">
        <v>70</v>
      </c>
      <c r="D3604" s="10" t="s">
        <v>71</v>
      </c>
      <c r="E3604" s="10" t="s">
        <v>901</v>
      </c>
      <c r="F3604" s="10">
        <v>1</v>
      </c>
      <c r="G3604" s="10" t="s">
        <v>73</v>
      </c>
      <c r="H3604" s="10" t="s">
        <v>207</v>
      </c>
      <c r="I3604" s="10" t="s">
        <v>285</v>
      </c>
      <c r="J3604" s="10">
        <v>203</v>
      </c>
      <c r="K3604" s="12">
        <v>44980</v>
      </c>
      <c r="L3604" s="33">
        <v>0.56568287037037035</v>
      </c>
      <c r="M3604" s="10">
        <v>1</v>
      </c>
      <c r="N3604" s="10" t="s">
        <v>211</v>
      </c>
      <c r="O3604" s="10">
        <v>0.42799999999999999</v>
      </c>
      <c r="P3604" s="10">
        <v>3.95E-2</v>
      </c>
      <c r="Q3604" s="10">
        <v>74.599999999999994</v>
      </c>
      <c r="R3604" s="10" t="s">
        <v>913</v>
      </c>
      <c r="S3604" s="34">
        <f t="shared" si="409"/>
        <v>74.599999999999994</v>
      </c>
      <c r="T3604" s="10" t="s">
        <v>1267</v>
      </c>
      <c r="U3604" s="34">
        <f t="shared" si="410"/>
        <v>99.466666666666654</v>
      </c>
      <c r="V3604" s="31">
        <f>IF(H3604="CHK",VLOOKUP(I3604,QCCHK,3,),IF(H3604="GUP",VLOOKUP(E3604,QCGUP,2,),IF(AND(H3604="ATP",OR(I3604="TN",I3604="TDN",I3604="TNO2-3",I3604="NO2-3")),VLOOKUP(E3604,QCREC_N,2,),IF(AND(H3604="NIC",OR(I3604="TN",I3604="TDN",I3604="TNO2-3",I3604="NO2-3")),VLOOKUP(E3604,QCNIC_N,2,),IF(AND(H3604="UREA",OR(I3604="TN",I3604="TDN",I3604="TNO2-3",I3604="NO2-3")),VLOOKUP(E3604,QCUREA_N,2,),IF(H3604="PER",VLOOKUP(I3604,QCPER,MATCH(E3604,QCACTUAL!$J$25:$AA$25,0),),IF(H3604="SPK",VLOOKUP(I3604,QCSPK,3,),IF(AND(H3604="ATP",OR(I3604="TP",I3604="TDP")),VLOOKUP(E3604,QCATP_P,2,),""))))))))</f>
        <v>75</v>
      </c>
      <c r="W3604" s="31" t="str">
        <f t="shared" si="411"/>
        <v>TRUE</v>
      </c>
      <c r="X3604" s="31" t="str">
        <f t="shared" si="408"/>
        <v>[chk]/[actual]*100</v>
      </c>
      <c r="Y3604" s="10" t="s">
        <v>1253</v>
      </c>
      <c r="AL3604" s="10" t="str">
        <f t="shared" si="406"/>
        <v>FALSE</v>
      </c>
      <c r="AM3604" s="10" t="str">
        <f t="shared" si="406"/>
        <v>FALSE</v>
      </c>
      <c r="AN3604" s="10" t="str">
        <f t="shared" si="406"/>
        <v>FALSE</v>
      </c>
      <c r="AO3604" s="10" t="str">
        <f t="shared" si="407"/>
        <v>FALSE</v>
      </c>
      <c r="AP3604" s="10" t="str">
        <f t="shared" si="407"/>
        <v>FALSE</v>
      </c>
      <c r="AQ3604" s="10" t="b">
        <f>IF(AND(I3604="TP",S3604&lt;=150),VLOOKUP(AF3604,TPCalibEq150!$AZ$2:$BB$55,3,),IF(AND(I3604="TDP",S3604&lt;=150),VLOOKUP(AF3604,TPCalibEq150!$AZ$2:$BB$55,3,)))</f>
        <v>0</v>
      </c>
      <c r="AR3604" s="10" t="b">
        <f>IF(AND(I3604="TP",S3604&lt;=300),VLOOKUP(AF3604,TPCalibEq300!$AZ$2:$BB$55,3,),IF(AND(I3604="TDP",S3604&lt;=300),VLOOKUP(AF3604,TPCalibEq300!$AZ$2:$BB$55,3,)))</f>
        <v>0</v>
      </c>
      <c r="AS3604" s="10" t="b">
        <f>IF(AND(I3604="TP",S3604&lt;=500),VLOOKUP(AF3604,TPCalibEq500!$AZ$2:$BB$56,3,),IF(AND(I3604="TDP",S3604&lt;=500),VLOOKUP(AF3604,TPCalibEq500!$AZ$2:$BB$56,3,)))</f>
        <v>0</v>
      </c>
      <c r="AT3604" s="10" t="b">
        <f>IF(AND(I3604="TN",S3604&lt;=2800),VLOOKUP(AF3604,TNCalibEq2500!$AZ$2:$BB$56,3,),IF(AND(I3604="TDN",S3604&lt;=2800),VLOOKUP(AF3604,TNCalibEq2500!$AZ$2:$BB$56,3,)))</f>
        <v>0</v>
      </c>
      <c r="AU3604" s="10" t="b">
        <f>IF(I3604="TP",VLOOKUP(AF3604,TPCalibEqFull!$AZ$2:$BB$56,3),IF(I3604="TDP",VLOOKUP(AF3604,TPCalibEqFull!$AZ$2:$BB$56,3),IF(I3604="TDN",VLOOKUP(AF3604,TNCalibEqFull!$AZ$1:$BB$56,3),IF(I3604="TN",VLOOKUP(AF3604,TNCalibEqFull!$AZ$1:$BB$56,3),FALSE))))</f>
        <v>0</v>
      </c>
      <c r="AV3604" s="10" t="str">
        <f t="shared" si="412"/>
        <v>0222 09:00:00-QAC-STD-D-1-DI-CHK</v>
      </c>
    </row>
    <row r="3605" spans="1:48" s="10" customFormat="1" x14ac:dyDescent="0.55000000000000004">
      <c r="A3605" s="32">
        <v>44978</v>
      </c>
      <c r="B3605" s="33">
        <v>0.38958333333333334</v>
      </c>
      <c r="C3605" s="10" t="s">
        <v>428</v>
      </c>
      <c r="D3605" s="10">
        <v>0</v>
      </c>
      <c r="E3605" s="10" t="s">
        <v>911</v>
      </c>
      <c r="F3605" s="10">
        <v>1</v>
      </c>
      <c r="G3605" s="10" t="s">
        <v>231</v>
      </c>
      <c r="H3605" s="10" t="s">
        <v>322</v>
      </c>
      <c r="I3605" s="10" t="s">
        <v>167</v>
      </c>
      <c r="J3605" s="10">
        <v>71</v>
      </c>
      <c r="K3605" s="12">
        <v>44980</v>
      </c>
      <c r="L3605" s="33">
        <v>0.56649305555555551</v>
      </c>
      <c r="M3605" s="10">
        <v>1</v>
      </c>
      <c r="N3605" s="10" t="s">
        <v>211</v>
      </c>
      <c r="O3605" s="10">
        <v>0.51100000000000001</v>
      </c>
      <c r="P3605" s="10">
        <v>4.6800000000000001E-2</v>
      </c>
      <c r="Q3605" s="10">
        <v>89.3</v>
      </c>
      <c r="R3605" s="10" t="s">
        <v>913</v>
      </c>
      <c r="S3605" s="34">
        <f t="shared" si="409"/>
        <v>89.3</v>
      </c>
      <c r="T3605" s="10" t="s">
        <v>1267</v>
      </c>
      <c r="U3605" s="34" t="str">
        <f t="shared" si="410"/>
        <v/>
      </c>
      <c r="V3605" s="31" t="str">
        <f>IF(H3605="CHK",VLOOKUP(I3605,QCCHK,3,),IF(H3605="GUP",VLOOKUP(E3605,QCGUP,2,),IF(AND(H3605="ATP",OR(I3605="TN",I3605="TDN",I3605="TNO2-3",I3605="NO2-3")),VLOOKUP(E3605,QCREC_N,2,),IF(AND(H3605="NIC",OR(I3605="TN",I3605="TDN",I3605="TNO2-3",I3605="NO2-3")),VLOOKUP(E3605,QCNIC_N,2,),IF(AND(H3605="UREA",OR(I3605="TN",I3605="TDN",I3605="TNO2-3",I3605="NO2-3")),VLOOKUP(E3605,QCUREA_N,2,),IF(H3605="PER",VLOOKUP(I3605,QCPER,MATCH(E3605,QCACTUAL!$J$25:$AA$25,0),),IF(H3605="SPK",VLOOKUP(I3605,QCSPK,3,),IF(AND(H3605="ATP",OR(I3605="TP",I3605="TDP")),VLOOKUP(E3605,QCATP_P,2,),""))))))))</f>
        <v/>
      </c>
      <c r="W3605" s="31" t="str">
        <f t="shared" si="411"/>
        <v>TRUE</v>
      </c>
      <c r="X3605" s="31" t="str">
        <f t="shared" si="408"/>
        <v/>
      </c>
      <c r="Y3605" s="10" t="s">
        <v>1253</v>
      </c>
      <c r="AL3605" s="10" t="str">
        <f t="shared" si="406"/>
        <v>FALSE</v>
      </c>
      <c r="AM3605" s="10" t="str">
        <f t="shared" si="406"/>
        <v>FALSE</v>
      </c>
      <c r="AN3605" s="10" t="str">
        <f t="shared" si="406"/>
        <v>FALSE</v>
      </c>
      <c r="AO3605" s="10" t="str">
        <f t="shared" si="407"/>
        <v>FALSE</v>
      </c>
      <c r="AP3605" s="10" t="str">
        <f t="shared" si="407"/>
        <v>FALSE</v>
      </c>
      <c r="AQ3605" s="10" t="b">
        <f>IF(AND(I3605="TP",S3605&lt;=150),VLOOKUP(AF3605,TPCalibEq150!$AZ$2:$BB$55,3,),IF(AND(I3605="TDP",S3605&lt;=150),VLOOKUP(AF3605,TPCalibEq150!$AZ$2:$BB$55,3,)))</f>
        <v>0</v>
      </c>
      <c r="AR3605" s="10" t="b">
        <f>IF(AND(I3605="TP",S3605&lt;=300),VLOOKUP(AF3605,TPCalibEq300!$AZ$2:$BB$55,3,),IF(AND(I3605="TDP",S3605&lt;=300),VLOOKUP(AF3605,TPCalibEq300!$AZ$2:$BB$55,3,)))</f>
        <v>0</v>
      </c>
      <c r="AS3605" s="10" t="b">
        <f>IF(AND(I3605="TP",S3605&lt;=500),VLOOKUP(AF3605,TPCalibEq500!$AZ$2:$BB$56,3,),IF(AND(I3605="TDP",S3605&lt;=500),VLOOKUP(AF3605,TPCalibEq500!$AZ$2:$BB$56,3,)))</f>
        <v>0</v>
      </c>
      <c r="AT3605" s="10" t="b">
        <f>IF(AND(I3605="TN",S3605&lt;=2800),VLOOKUP(AF3605,TNCalibEq2500!$AZ$2:$BB$56,3,),IF(AND(I3605="TDN",S3605&lt;=2800),VLOOKUP(AF3605,TNCalibEq2500!$AZ$2:$BB$56,3,)))</f>
        <v>0</v>
      </c>
      <c r="AU3605" s="10" t="b">
        <f>IF(I3605="TP",VLOOKUP(AF3605,TPCalibEqFull!$AZ$2:$BB$56,3),IF(I3605="TDP",VLOOKUP(AF3605,TPCalibEqFull!$AZ$2:$BB$56,3),IF(I3605="TDN",VLOOKUP(AF3605,TNCalibEqFull!$AZ$1:$BB$56,3),IF(I3605="TN",VLOOKUP(AF3605,TNCalibEqFull!$AZ$1:$BB$56,3),FALSE))))</f>
        <v>0</v>
      </c>
      <c r="AV3605" s="10" t="str">
        <f t="shared" si="412"/>
        <v>0221 09:21:00-EOF-0-FIL-1-SW-UKN</v>
      </c>
    </row>
    <row r="3606" spans="1:48" s="10" customFormat="1" x14ac:dyDescent="0.55000000000000004">
      <c r="A3606" s="32">
        <v>44978</v>
      </c>
      <c r="B3606" s="33">
        <v>0.39166666666666666</v>
      </c>
      <c r="C3606" s="10" t="s">
        <v>428</v>
      </c>
      <c r="D3606" s="10">
        <v>5</v>
      </c>
      <c r="E3606" s="10" t="s">
        <v>911</v>
      </c>
      <c r="F3606" s="10">
        <v>1</v>
      </c>
      <c r="G3606" s="10" t="s">
        <v>231</v>
      </c>
      <c r="H3606" s="10" t="s">
        <v>322</v>
      </c>
      <c r="I3606" s="10" t="s">
        <v>167</v>
      </c>
      <c r="J3606" s="10">
        <v>72</v>
      </c>
      <c r="K3606" s="12">
        <v>44980</v>
      </c>
      <c r="L3606" s="33">
        <v>0.56730324074074068</v>
      </c>
      <c r="M3606" s="10">
        <v>1</v>
      </c>
      <c r="N3606" s="10" t="s">
        <v>211</v>
      </c>
      <c r="O3606" s="10">
        <v>0.48799999999999999</v>
      </c>
      <c r="P3606" s="10">
        <v>4.4299999999999999E-2</v>
      </c>
      <c r="Q3606" s="10">
        <v>85.2</v>
      </c>
      <c r="R3606" s="10" t="s">
        <v>913</v>
      </c>
      <c r="S3606" s="34">
        <f t="shared" si="409"/>
        <v>85.2</v>
      </c>
      <c r="T3606" s="10" t="s">
        <v>1267</v>
      </c>
      <c r="U3606" s="34" t="str">
        <f t="shared" si="410"/>
        <v/>
      </c>
      <c r="V3606" s="31" t="str">
        <f>IF(H3606="CHK",VLOOKUP(I3606,QCCHK,3,),IF(H3606="GUP",VLOOKUP(E3606,QCGUP,2,),IF(AND(H3606="ATP",OR(I3606="TN",I3606="TDN",I3606="TNO2-3",I3606="NO2-3")),VLOOKUP(E3606,QCREC_N,2,),IF(AND(H3606="NIC",OR(I3606="TN",I3606="TDN",I3606="TNO2-3",I3606="NO2-3")),VLOOKUP(E3606,QCNIC_N,2,),IF(AND(H3606="UREA",OR(I3606="TN",I3606="TDN",I3606="TNO2-3",I3606="NO2-3")),VLOOKUP(E3606,QCUREA_N,2,),IF(H3606="PER",VLOOKUP(I3606,QCPER,MATCH(E3606,QCACTUAL!$J$25:$AA$25,0),),IF(H3606="SPK",VLOOKUP(I3606,QCSPK,3,),IF(AND(H3606="ATP",OR(I3606="TP",I3606="TDP")),VLOOKUP(E3606,QCATP_P,2,),""))))))))</f>
        <v/>
      </c>
      <c r="W3606" s="31" t="str">
        <f t="shared" si="411"/>
        <v>TRUE</v>
      </c>
      <c r="X3606" s="31" t="str">
        <f t="shared" si="408"/>
        <v/>
      </c>
      <c r="Y3606" s="10" t="s">
        <v>1253</v>
      </c>
      <c r="AL3606" s="10" t="str">
        <f t="shared" si="406"/>
        <v>FALSE</v>
      </c>
      <c r="AM3606" s="10" t="str">
        <f t="shared" si="406"/>
        <v>FALSE</v>
      </c>
      <c r="AN3606" s="10" t="str">
        <f t="shared" si="406"/>
        <v>FALSE</v>
      </c>
      <c r="AO3606" s="10" t="str">
        <f t="shared" si="407"/>
        <v>FALSE</v>
      </c>
      <c r="AP3606" s="10" t="str">
        <f t="shared" si="407"/>
        <v>FALSE</v>
      </c>
      <c r="AQ3606" s="10" t="b">
        <f>IF(AND(I3606="TP",S3606&lt;=150),VLOOKUP(AF3606,TPCalibEq150!$AZ$2:$BB$55,3,),IF(AND(I3606="TDP",S3606&lt;=150),VLOOKUP(AF3606,TPCalibEq150!$AZ$2:$BB$55,3,)))</f>
        <v>0</v>
      </c>
      <c r="AR3606" s="10" t="b">
        <f>IF(AND(I3606="TP",S3606&lt;=300),VLOOKUP(AF3606,TPCalibEq300!$AZ$2:$BB$55,3,),IF(AND(I3606="TDP",S3606&lt;=300),VLOOKUP(AF3606,TPCalibEq300!$AZ$2:$BB$55,3,)))</f>
        <v>0</v>
      </c>
      <c r="AS3606" s="10" t="b">
        <f>IF(AND(I3606="TP",S3606&lt;=500),VLOOKUP(AF3606,TPCalibEq500!$AZ$2:$BB$56,3,),IF(AND(I3606="TDP",S3606&lt;=500),VLOOKUP(AF3606,TPCalibEq500!$AZ$2:$BB$56,3,)))</f>
        <v>0</v>
      </c>
      <c r="AT3606" s="10" t="b">
        <f>IF(AND(I3606="TN",S3606&lt;=2800),VLOOKUP(AF3606,TNCalibEq2500!$AZ$2:$BB$56,3,),IF(AND(I3606="TDN",S3606&lt;=2800),VLOOKUP(AF3606,TNCalibEq2500!$AZ$2:$BB$56,3,)))</f>
        <v>0</v>
      </c>
      <c r="AU3606" s="10" t="b">
        <f>IF(I3606="TP",VLOOKUP(AF3606,TPCalibEqFull!$AZ$2:$BB$56,3),IF(I3606="TDP",VLOOKUP(AF3606,TPCalibEqFull!$AZ$2:$BB$56,3),IF(I3606="TDN",VLOOKUP(AF3606,TNCalibEqFull!$AZ$1:$BB$56,3),IF(I3606="TN",VLOOKUP(AF3606,TNCalibEqFull!$AZ$1:$BB$56,3),FALSE))))</f>
        <v>0</v>
      </c>
      <c r="AV3606" s="10" t="str">
        <f t="shared" si="412"/>
        <v>0221 09:24:00-EOF-5-FIL-1-SW-UKN</v>
      </c>
    </row>
    <row r="3607" spans="1:48" s="10" customFormat="1" x14ac:dyDescent="0.55000000000000004">
      <c r="A3607" s="32">
        <v>44978</v>
      </c>
      <c r="B3607" s="33">
        <v>0.39444444444444443</v>
      </c>
      <c r="C3607" s="10" t="s">
        <v>428</v>
      </c>
      <c r="D3607" s="10">
        <v>10</v>
      </c>
      <c r="E3607" s="10" t="s">
        <v>911</v>
      </c>
      <c r="F3607" s="10">
        <v>1</v>
      </c>
      <c r="G3607" s="10" t="s">
        <v>231</v>
      </c>
      <c r="H3607" s="10" t="s">
        <v>322</v>
      </c>
      <c r="I3607" s="10" t="s">
        <v>167</v>
      </c>
      <c r="J3607" s="10">
        <v>73</v>
      </c>
      <c r="K3607" s="12">
        <v>44980</v>
      </c>
      <c r="L3607" s="33">
        <v>0.56811342592592595</v>
      </c>
      <c r="M3607" s="10">
        <v>1</v>
      </c>
      <c r="N3607" s="10" t="s">
        <v>211</v>
      </c>
      <c r="O3607" s="10">
        <v>0.501</v>
      </c>
      <c r="P3607" s="10">
        <v>4.5900000000000003E-2</v>
      </c>
      <c r="Q3607" s="10">
        <v>87.5</v>
      </c>
      <c r="R3607" s="10" t="s">
        <v>913</v>
      </c>
      <c r="S3607" s="34">
        <f t="shared" si="409"/>
        <v>87.5</v>
      </c>
      <c r="T3607" s="10" t="s">
        <v>1267</v>
      </c>
      <c r="U3607" s="34" t="str">
        <f t="shared" si="410"/>
        <v/>
      </c>
      <c r="V3607" s="31" t="str">
        <f>IF(H3607="CHK",VLOOKUP(I3607,QCCHK,3,),IF(H3607="GUP",VLOOKUP(E3607,QCGUP,2,),IF(AND(H3607="ATP",OR(I3607="TN",I3607="TDN",I3607="TNO2-3",I3607="NO2-3")),VLOOKUP(E3607,QCREC_N,2,),IF(AND(H3607="NIC",OR(I3607="TN",I3607="TDN",I3607="TNO2-3",I3607="NO2-3")),VLOOKUP(E3607,QCNIC_N,2,),IF(AND(H3607="UREA",OR(I3607="TN",I3607="TDN",I3607="TNO2-3",I3607="NO2-3")),VLOOKUP(E3607,QCUREA_N,2,),IF(H3607="PER",VLOOKUP(I3607,QCPER,MATCH(E3607,QCACTUAL!$J$25:$AA$25,0),),IF(H3607="SPK",VLOOKUP(I3607,QCSPK,3,),IF(AND(H3607="ATP",OR(I3607="TP",I3607="TDP")),VLOOKUP(E3607,QCATP_P,2,),""))))))))</f>
        <v/>
      </c>
      <c r="W3607" s="31" t="str">
        <f t="shared" si="411"/>
        <v>TRUE</v>
      </c>
      <c r="X3607" s="31" t="str">
        <f t="shared" si="408"/>
        <v/>
      </c>
      <c r="Y3607" s="10" t="s">
        <v>1253</v>
      </c>
      <c r="AL3607" s="10" t="str">
        <f t="shared" si="406"/>
        <v>FALSE</v>
      </c>
      <c r="AM3607" s="10" t="str">
        <f t="shared" si="406"/>
        <v>FALSE</v>
      </c>
      <c r="AN3607" s="10" t="str">
        <f t="shared" si="406"/>
        <v>FALSE</v>
      </c>
      <c r="AO3607" s="10" t="str">
        <f t="shared" si="407"/>
        <v>FALSE</v>
      </c>
      <c r="AP3607" s="10" t="str">
        <f t="shared" si="407"/>
        <v>FALSE</v>
      </c>
      <c r="AQ3607" s="10" t="b">
        <f>IF(AND(I3607="TP",S3607&lt;=150),VLOOKUP(AF3607,TPCalibEq150!$AZ$2:$BB$55,3,),IF(AND(I3607="TDP",S3607&lt;=150),VLOOKUP(AF3607,TPCalibEq150!$AZ$2:$BB$55,3,)))</f>
        <v>0</v>
      </c>
      <c r="AR3607" s="10" t="b">
        <f>IF(AND(I3607="TP",S3607&lt;=300),VLOOKUP(AF3607,TPCalibEq300!$AZ$2:$BB$55,3,),IF(AND(I3607="TDP",S3607&lt;=300),VLOOKUP(AF3607,TPCalibEq300!$AZ$2:$BB$55,3,)))</f>
        <v>0</v>
      </c>
      <c r="AS3607" s="10" t="b">
        <f>IF(AND(I3607="TP",S3607&lt;=500),VLOOKUP(AF3607,TPCalibEq500!$AZ$2:$BB$56,3,),IF(AND(I3607="TDP",S3607&lt;=500),VLOOKUP(AF3607,TPCalibEq500!$AZ$2:$BB$56,3,)))</f>
        <v>0</v>
      </c>
      <c r="AT3607" s="10" t="b">
        <f>IF(AND(I3607="TN",S3607&lt;=2800),VLOOKUP(AF3607,TNCalibEq2500!$AZ$2:$BB$56,3,),IF(AND(I3607="TDN",S3607&lt;=2800),VLOOKUP(AF3607,TNCalibEq2500!$AZ$2:$BB$56,3,)))</f>
        <v>0</v>
      </c>
      <c r="AU3607" s="10" t="b">
        <f>IF(I3607="TP",VLOOKUP(AF3607,TPCalibEqFull!$AZ$2:$BB$56,3),IF(I3607="TDP",VLOOKUP(AF3607,TPCalibEqFull!$AZ$2:$BB$56,3),IF(I3607="TDN",VLOOKUP(AF3607,TNCalibEqFull!$AZ$1:$BB$56,3),IF(I3607="TN",VLOOKUP(AF3607,TNCalibEqFull!$AZ$1:$BB$56,3),FALSE))))</f>
        <v>0</v>
      </c>
      <c r="AV3607" s="10" t="str">
        <f t="shared" si="412"/>
        <v>0221 09:28:00-EOF-10-FIL-1-SW-UKN</v>
      </c>
    </row>
    <row r="3608" spans="1:48" s="10" customFormat="1" x14ac:dyDescent="0.55000000000000004">
      <c r="A3608" s="32">
        <v>44978</v>
      </c>
      <c r="B3608" s="33">
        <v>0.39652777777777781</v>
      </c>
      <c r="C3608" s="10" t="s">
        <v>428</v>
      </c>
      <c r="D3608" s="10">
        <v>20</v>
      </c>
      <c r="E3608" s="10" t="s">
        <v>911</v>
      </c>
      <c r="F3608" s="10">
        <v>1</v>
      </c>
      <c r="G3608" s="10" t="s">
        <v>231</v>
      </c>
      <c r="H3608" s="10" t="s">
        <v>322</v>
      </c>
      <c r="I3608" s="10" t="s">
        <v>167</v>
      </c>
      <c r="J3608" s="10">
        <v>74</v>
      </c>
      <c r="K3608" s="12">
        <v>44980</v>
      </c>
      <c r="L3608" s="33">
        <v>0.56892361111111112</v>
      </c>
      <c r="M3608" s="10">
        <v>1</v>
      </c>
      <c r="N3608" s="10" t="s">
        <v>211</v>
      </c>
      <c r="O3608" s="10">
        <v>0.48699999999999999</v>
      </c>
      <c r="P3608" s="10">
        <v>4.4400000000000002E-2</v>
      </c>
      <c r="Q3608" s="10">
        <v>85</v>
      </c>
      <c r="R3608" s="10" t="s">
        <v>913</v>
      </c>
      <c r="S3608" s="34">
        <f t="shared" si="409"/>
        <v>85</v>
      </c>
      <c r="T3608" s="10" t="s">
        <v>1267</v>
      </c>
      <c r="U3608" s="34" t="str">
        <f t="shared" si="410"/>
        <v/>
      </c>
      <c r="V3608" s="31" t="str">
        <f>IF(H3608="CHK",VLOOKUP(I3608,QCCHK,3,),IF(H3608="GUP",VLOOKUP(E3608,QCGUP,2,),IF(AND(H3608="ATP",OR(I3608="TN",I3608="TDN",I3608="TNO2-3",I3608="NO2-3")),VLOOKUP(E3608,QCREC_N,2,),IF(AND(H3608="NIC",OR(I3608="TN",I3608="TDN",I3608="TNO2-3",I3608="NO2-3")),VLOOKUP(E3608,QCNIC_N,2,),IF(AND(H3608="UREA",OR(I3608="TN",I3608="TDN",I3608="TNO2-3",I3608="NO2-3")),VLOOKUP(E3608,QCUREA_N,2,),IF(H3608="PER",VLOOKUP(I3608,QCPER,MATCH(E3608,QCACTUAL!$J$25:$AA$25,0),),IF(H3608="SPK",VLOOKUP(I3608,QCSPK,3,),IF(AND(H3608="ATP",OR(I3608="TP",I3608="TDP")),VLOOKUP(E3608,QCATP_P,2,),""))))))))</f>
        <v/>
      </c>
      <c r="W3608" s="31" t="str">
        <f t="shared" si="411"/>
        <v>TRUE</v>
      </c>
      <c r="X3608" s="31" t="str">
        <f t="shared" si="408"/>
        <v/>
      </c>
      <c r="Y3608" s="10" t="s">
        <v>1253</v>
      </c>
      <c r="AL3608" s="10" t="str">
        <f t="shared" si="406"/>
        <v>FALSE</v>
      </c>
      <c r="AM3608" s="10" t="str">
        <f t="shared" si="406"/>
        <v>FALSE</v>
      </c>
      <c r="AN3608" s="10" t="str">
        <f t="shared" si="406"/>
        <v>FALSE</v>
      </c>
      <c r="AO3608" s="10" t="str">
        <f t="shared" si="407"/>
        <v>FALSE</v>
      </c>
      <c r="AP3608" s="10" t="str">
        <f t="shared" si="407"/>
        <v>FALSE</v>
      </c>
      <c r="AQ3608" s="10" t="b">
        <f>IF(AND(I3608="TP",S3608&lt;=150),VLOOKUP(AF3608,TPCalibEq150!$AZ$2:$BB$55,3,),IF(AND(I3608="TDP",S3608&lt;=150),VLOOKUP(AF3608,TPCalibEq150!$AZ$2:$BB$55,3,)))</f>
        <v>0</v>
      </c>
      <c r="AR3608" s="10" t="b">
        <f>IF(AND(I3608="TP",S3608&lt;=300),VLOOKUP(AF3608,TPCalibEq300!$AZ$2:$BB$55,3,),IF(AND(I3608="TDP",S3608&lt;=300),VLOOKUP(AF3608,TPCalibEq300!$AZ$2:$BB$55,3,)))</f>
        <v>0</v>
      </c>
      <c r="AS3608" s="10" t="b">
        <f>IF(AND(I3608="TP",S3608&lt;=500),VLOOKUP(AF3608,TPCalibEq500!$AZ$2:$BB$56,3,),IF(AND(I3608="TDP",S3608&lt;=500),VLOOKUP(AF3608,TPCalibEq500!$AZ$2:$BB$56,3,)))</f>
        <v>0</v>
      </c>
      <c r="AT3608" s="10" t="b">
        <f>IF(AND(I3608="TN",S3608&lt;=2800),VLOOKUP(AF3608,TNCalibEq2500!$AZ$2:$BB$56,3,),IF(AND(I3608="TDN",S3608&lt;=2800),VLOOKUP(AF3608,TNCalibEq2500!$AZ$2:$BB$56,3,)))</f>
        <v>0</v>
      </c>
      <c r="AU3608" s="10" t="b">
        <f>IF(I3608="TP",VLOOKUP(AF3608,TPCalibEqFull!$AZ$2:$BB$56,3),IF(I3608="TDP",VLOOKUP(AF3608,TPCalibEqFull!$AZ$2:$BB$56,3),IF(I3608="TDN",VLOOKUP(AF3608,TNCalibEqFull!$AZ$1:$BB$56,3),IF(I3608="TN",VLOOKUP(AF3608,TNCalibEqFull!$AZ$1:$BB$56,3),FALSE))))</f>
        <v>0</v>
      </c>
      <c r="AV3608" s="10" t="str">
        <f t="shared" si="412"/>
        <v>0221 09:31:00-EOF-20-FIL-1-SW-UKN</v>
      </c>
    </row>
    <row r="3609" spans="1:48" s="10" customFormat="1" x14ac:dyDescent="0.55000000000000004">
      <c r="A3609" s="32">
        <v>44978</v>
      </c>
      <c r="B3609" s="33">
        <v>0.40347222222222223</v>
      </c>
      <c r="C3609" s="10" t="s">
        <v>428</v>
      </c>
      <c r="D3609" s="10">
        <v>97</v>
      </c>
      <c r="E3609" s="10" t="s">
        <v>911</v>
      </c>
      <c r="F3609" s="10">
        <v>1</v>
      </c>
      <c r="G3609" s="10" t="s">
        <v>231</v>
      </c>
      <c r="H3609" s="10" t="s">
        <v>322</v>
      </c>
      <c r="I3609" s="10" t="s">
        <v>167</v>
      </c>
      <c r="J3609" s="10">
        <v>75</v>
      </c>
      <c r="K3609" s="12">
        <v>44980</v>
      </c>
      <c r="L3609" s="33">
        <v>0.56973379629629628</v>
      </c>
      <c r="M3609" s="10">
        <v>1</v>
      </c>
      <c r="N3609" s="10" t="s">
        <v>211</v>
      </c>
      <c r="O3609" s="10">
        <v>0.48399999999999999</v>
      </c>
      <c r="P3609" s="10">
        <v>4.4200000000000003E-2</v>
      </c>
      <c r="Q3609" s="10">
        <v>84.5</v>
      </c>
      <c r="R3609" s="10" t="s">
        <v>913</v>
      </c>
      <c r="S3609" s="34">
        <f t="shared" si="409"/>
        <v>84.5</v>
      </c>
      <c r="T3609" s="10" t="s">
        <v>1267</v>
      </c>
      <c r="U3609" s="34" t="str">
        <f t="shared" si="410"/>
        <v/>
      </c>
      <c r="V3609" s="31" t="str">
        <f>IF(H3609="CHK",VLOOKUP(I3609,QCCHK,3,),IF(H3609="GUP",VLOOKUP(E3609,QCGUP,2,),IF(AND(H3609="ATP",OR(I3609="TN",I3609="TDN",I3609="TNO2-3",I3609="NO2-3")),VLOOKUP(E3609,QCREC_N,2,),IF(AND(H3609="NIC",OR(I3609="TN",I3609="TDN",I3609="TNO2-3",I3609="NO2-3")),VLOOKUP(E3609,QCNIC_N,2,),IF(AND(H3609="UREA",OR(I3609="TN",I3609="TDN",I3609="TNO2-3",I3609="NO2-3")),VLOOKUP(E3609,QCUREA_N,2,),IF(H3609="PER",VLOOKUP(I3609,QCPER,MATCH(E3609,QCACTUAL!$J$25:$AA$25,0),),IF(H3609="SPK",VLOOKUP(I3609,QCSPK,3,),IF(AND(H3609="ATP",OR(I3609="TP",I3609="TDP")),VLOOKUP(E3609,QCATP_P,2,),""))))))))</f>
        <v/>
      </c>
      <c r="W3609" s="31" t="str">
        <f t="shared" si="411"/>
        <v>TRUE</v>
      </c>
      <c r="X3609" s="31" t="str">
        <f t="shared" si="408"/>
        <v/>
      </c>
      <c r="Y3609" s="10" t="s">
        <v>1253</v>
      </c>
      <c r="AL3609" s="10" t="str">
        <f t="shared" si="406"/>
        <v>FALSE</v>
      </c>
      <c r="AM3609" s="10" t="str">
        <f t="shared" si="406"/>
        <v>FALSE</v>
      </c>
      <c r="AN3609" s="10" t="str">
        <f t="shared" si="406"/>
        <v>FALSE</v>
      </c>
      <c r="AO3609" s="10" t="str">
        <f t="shared" si="407"/>
        <v>FALSE</v>
      </c>
      <c r="AP3609" s="10" t="str">
        <f t="shared" si="407"/>
        <v>FALSE</v>
      </c>
      <c r="AQ3609" s="10" t="b">
        <f>IF(AND(I3609="TP",S3609&lt;=150),VLOOKUP(AF3609,TPCalibEq150!$AZ$2:$BB$55,3,),IF(AND(I3609="TDP",S3609&lt;=150),VLOOKUP(AF3609,TPCalibEq150!$AZ$2:$BB$55,3,)))</f>
        <v>0</v>
      </c>
      <c r="AR3609" s="10" t="b">
        <f>IF(AND(I3609="TP",S3609&lt;=300),VLOOKUP(AF3609,TPCalibEq300!$AZ$2:$BB$55,3,),IF(AND(I3609="TDP",S3609&lt;=300),VLOOKUP(AF3609,TPCalibEq300!$AZ$2:$BB$55,3,)))</f>
        <v>0</v>
      </c>
      <c r="AS3609" s="10" t="b">
        <f>IF(AND(I3609="TP",S3609&lt;=500),VLOOKUP(AF3609,TPCalibEq500!$AZ$2:$BB$56,3,),IF(AND(I3609="TDP",S3609&lt;=500),VLOOKUP(AF3609,TPCalibEq500!$AZ$2:$BB$56,3,)))</f>
        <v>0</v>
      </c>
      <c r="AT3609" s="10" t="b">
        <f>IF(AND(I3609="TN",S3609&lt;=2800),VLOOKUP(AF3609,TNCalibEq2500!$AZ$2:$BB$56,3,),IF(AND(I3609="TDN",S3609&lt;=2800),VLOOKUP(AF3609,TNCalibEq2500!$AZ$2:$BB$56,3,)))</f>
        <v>0</v>
      </c>
      <c r="AU3609" s="10" t="b">
        <f>IF(I3609="TP",VLOOKUP(AF3609,TPCalibEqFull!$AZ$2:$BB$56,3),IF(I3609="TDP",VLOOKUP(AF3609,TPCalibEqFull!$AZ$2:$BB$56,3),IF(I3609="TDN",VLOOKUP(AF3609,TNCalibEqFull!$AZ$1:$BB$56,3),IF(I3609="TN",VLOOKUP(AF3609,TNCalibEqFull!$AZ$1:$BB$56,3),FALSE))))</f>
        <v>0</v>
      </c>
      <c r="AV3609" s="10" t="str">
        <f t="shared" si="412"/>
        <v>0221 09:41:00-EOF-97-FIL-1-SW-UKN</v>
      </c>
    </row>
    <row r="3610" spans="1:48" s="10" customFormat="1" x14ac:dyDescent="0.55000000000000004">
      <c r="A3610" s="32">
        <v>44978</v>
      </c>
      <c r="B3610" s="33">
        <v>0.43124999999999997</v>
      </c>
      <c r="C3610" s="10" t="s">
        <v>611</v>
      </c>
      <c r="D3610" s="10">
        <v>0</v>
      </c>
      <c r="E3610" s="10" t="s">
        <v>911</v>
      </c>
      <c r="F3610" s="10">
        <v>1</v>
      </c>
      <c r="G3610" s="10" t="s">
        <v>231</v>
      </c>
      <c r="H3610" s="10" t="s">
        <v>322</v>
      </c>
      <c r="I3610" s="10" t="s">
        <v>167</v>
      </c>
      <c r="J3610" s="10">
        <v>76</v>
      </c>
      <c r="K3610" s="12">
        <v>44980</v>
      </c>
      <c r="L3610" s="33">
        <v>0.57055555555555559</v>
      </c>
      <c r="M3610" s="10">
        <v>1</v>
      </c>
      <c r="N3610" s="10" t="s">
        <v>211</v>
      </c>
      <c r="O3610" s="10">
        <v>0.53</v>
      </c>
      <c r="P3610" s="10">
        <v>4.8300000000000003E-2</v>
      </c>
      <c r="Q3610" s="10">
        <v>92.7</v>
      </c>
      <c r="R3610" s="10" t="s">
        <v>913</v>
      </c>
      <c r="S3610" s="34">
        <f t="shared" si="409"/>
        <v>92.7</v>
      </c>
      <c r="T3610" s="10" t="s">
        <v>1267</v>
      </c>
      <c r="U3610" s="34" t="str">
        <f t="shared" si="410"/>
        <v/>
      </c>
      <c r="V3610" s="31" t="str">
        <f>IF(H3610="CHK",VLOOKUP(I3610,QCCHK,3,),IF(H3610="GUP",VLOOKUP(E3610,QCGUP,2,),IF(AND(H3610="ATP",OR(I3610="TN",I3610="TDN",I3610="TNO2-3",I3610="NO2-3")),VLOOKUP(E3610,QCREC_N,2,),IF(AND(H3610="NIC",OR(I3610="TN",I3610="TDN",I3610="TNO2-3",I3610="NO2-3")),VLOOKUP(E3610,QCNIC_N,2,),IF(AND(H3610="UREA",OR(I3610="TN",I3610="TDN",I3610="TNO2-3",I3610="NO2-3")),VLOOKUP(E3610,QCUREA_N,2,),IF(H3610="PER",VLOOKUP(I3610,QCPER,MATCH(E3610,QCACTUAL!$J$25:$AA$25,0),),IF(H3610="SPK",VLOOKUP(I3610,QCSPK,3,),IF(AND(H3610="ATP",OR(I3610="TP",I3610="TDP")),VLOOKUP(E3610,QCATP_P,2,),""))))))))</f>
        <v/>
      </c>
      <c r="W3610" s="31" t="str">
        <f t="shared" si="411"/>
        <v>TRUE</v>
      </c>
      <c r="X3610" s="31" t="str">
        <f t="shared" si="408"/>
        <v/>
      </c>
      <c r="Y3610" s="10" t="s">
        <v>1253</v>
      </c>
      <c r="AL3610" s="10" t="str">
        <f t="shared" si="406"/>
        <v>FALSE</v>
      </c>
      <c r="AM3610" s="10" t="str">
        <f t="shared" si="406"/>
        <v>FALSE</v>
      </c>
      <c r="AN3610" s="10" t="str">
        <f t="shared" si="406"/>
        <v>FALSE</v>
      </c>
      <c r="AO3610" s="10" t="str">
        <f t="shared" si="407"/>
        <v>FALSE</v>
      </c>
      <c r="AP3610" s="10" t="str">
        <f t="shared" si="407"/>
        <v>FALSE</v>
      </c>
      <c r="AQ3610" s="10" t="b">
        <f>IF(AND(I3610="TP",S3610&lt;=150),VLOOKUP(AF3610,TPCalibEq150!$AZ$2:$BB$55,3,),IF(AND(I3610="TDP",S3610&lt;=150),VLOOKUP(AF3610,TPCalibEq150!$AZ$2:$BB$55,3,)))</f>
        <v>0</v>
      </c>
      <c r="AR3610" s="10" t="b">
        <f>IF(AND(I3610="TP",S3610&lt;=300),VLOOKUP(AF3610,TPCalibEq300!$AZ$2:$BB$55,3,),IF(AND(I3610="TDP",S3610&lt;=300),VLOOKUP(AF3610,TPCalibEq300!$AZ$2:$BB$55,3,)))</f>
        <v>0</v>
      </c>
      <c r="AS3610" s="10" t="b">
        <f>IF(AND(I3610="TP",S3610&lt;=500),VLOOKUP(AF3610,TPCalibEq500!$AZ$2:$BB$56,3,),IF(AND(I3610="TDP",S3610&lt;=500),VLOOKUP(AF3610,TPCalibEq500!$AZ$2:$BB$56,3,)))</f>
        <v>0</v>
      </c>
      <c r="AT3610" s="10" t="b">
        <f>IF(AND(I3610="TN",S3610&lt;=2800),VLOOKUP(AF3610,TNCalibEq2500!$AZ$2:$BB$56,3,),IF(AND(I3610="TDN",S3610&lt;=2800),VLOOKUP(AF3610,TNCalibEq2500!$AZ$2:$BB$56,3,)))</f>
        <v>0</v>
      </c>
      <c r="AU3610" s="10" t="b">
        <f>IF(I3610="TP",VLOOKUP(AF3610,TPCalibEqFull!$AZ$2:$BB$56,3),IF(I3610="TDP",VLOOKUP(AF3610,TPCalibEqFull!$AZ$2:$BB$56,3),IF(I3610="TDN",VLOOKUP(AF3610,TNCalibEqFull!$AZ$1:$BB$56,3),IF(I3610="TN",VLOOKUP(AF3610,TNCalibEqFull!$AZ$1:$BB$56,3),FALSE))))</f>
        <v>0</v>
      </c>
      <c r="AV3610" s="10" t="str">
        <f t="shared" si="412"/>
        <v>0221 10:21:00-BUO-0-FIL-1-SW-UKN</v>
      </c>
    </row>
    <row r="3611" spans="1:48" s="10" customFormat="1" x14ac:dyDescent="0.55000000000000004">
      <c r="A3611" s="32">
        <v>44978</v>
      </c>
      <c r="B3611" s="33">
        <v>0.43472222222222223</v>
      </c>
      <c r="C3611" s="10" t="s">
        <v>611</v>
      </c>
      <c r="D3611" s="10">
        <v>5</v>
      </c>
      <c r="E3611" s="10" t="s">
        <v>911</v>
      </c>
      <c r="F3611" s="10">
        <v>1</v>
      </c>
      <c r="G3611" s="10" t="s">
        <v>231</v>
      </c>
      <c r="H3611" s="10" t="s">
        <v>322</v>
      </c>
      <c r="I3611" s="10" t="s">
        <v>167</v>
      </c>
      <c r="J3611" s="10">
        <v>77</v>
      </c>
      <c r="K3611" s="12">
        <v>44980</v>
      </c>
      <c r="L3611" s="33">
        <v>0.57138888888888884</v>
      </c>
      <c r="M3611" s="10">
        <v>1</v>
      </c>
      <c r="N3611" s="10" t="s">
        <v>211</v>
      </c>
      <c r="O3611" s="10">
        <v>0.54400000000000004</v>
      </c>
      <c r="P3611" s="10">
        <v>4.9599999999999998E-2</v>
      </c>
      <c r="Q3611" s="10">
        <v>95.1</v>
      </c>
      <c r="R3611" s="10" t="s">
        <v>913</v>
      </c>
      <c r="S3611" s="34">
        <f t="shared" si="409"/>
        <v>95.1</v>
      </c>
      <c r="T3611" s="10" t="s">
        <v>1267</v>
      </c>
      <c r="U3611" s="34" t="str">
        <f t="shared" si="410"/>
        <v/>
      </c>
      <c r="V3611" s="31" t="str">
        <f>IF(H3611="CHK",VLOOKUP(I3611,QCCHK,3,),IF(H3611="GUP",VLOOKUP(E3611,QCGUP,2,),IF(AND(H3611="ATP",OR(I3611="TN",I3611="TDN",I3611="TNO2-3",I3611="NO2-3")),VLOOKUP(E3611,QCREC_N,2,),IF(AND(H3611="NIC",OR(I3611="TN",I3611="TDN",I3611="TNO2-3",I3611="NO2-3")),VLOOKUP(E3611,QCNIC_N,2,),IF(AND(H3611="UREA",OR(I3611="TN",I3611="TDN",I3611="TNO2-3",I3611="NO2-3")),VLOOKUP(E3611,QCUREA_N,2,),IF(H3611="PER",VLOOKUP(I3611,QCPER,MATCH(E3611,QCACTUAL!$J$25:$AA$25,0),),IF(H3611="SPK",VLOOKUP(I3611,QCSPK,3,),IF(AND(H3611="ATP",OR(I3611="TP",I3611="TDP")),VLOOKUP(E3611,QCATP_P,2,),""))))))))</f>
        <v/>
      </c>
      <c r="W3611" s="31" t="str">
        <f t="shared" si="411"/>
        <v>TRUE</v>
      </c>
      <c r="X3611" s="31" t="str">
        <f t="shared" si="408"/>
        <v/>
      </c>
      <c r="Y3611" s="10" t="s">
        <v>1253</v>
      </c>
      <c r="AL3611" s="10" t="str">
        <f t="shared" si="406"/>
        <v>FALSE</v>
      </c>
      <c r="AM3611" s="10" t="str">
        <f t="shared" si="406"/>
        <v>FALSE</v>
      </c>
      <c r="AN3611" s="10" t="str">
        <f t="shared" si="406"/>
        <v>FALSE</v>
      </c>
      <c r="AO3611" s="10" t="str">
        <f t="shared" si="407"/>
        <v>FALSE</v>
      </c>
      <c r="AP3611" s="10" t="str">
        <f t="shared" si="407"/>
        <v>FALSE</v>
      </c>
      <c r="AQ3611" s="10" t="b">
        <f>IF(AND(I3611="TP",S3611&lt;=150),VLOOKUP(AF3611,TPCalibEq150!$AZ$2:$BB$55,3,),IF(AND(I3611="TDP",S3611&lt;=150),VLOOKUP(AF3611,TPCalibEq150!$AZ$2:$BB$55,3,)))</f>
        <v>0</v>
      </c>
      <c r="AR3611" s="10" t="b">
        <f>IF(AND(I3611="TP",S3611&lt;=300),VLOOKUP(AF3611,TPCalibEq300!$AZ$2:$BB$55,3,),IF(AND(I3611="TDP",S3611&lt;=300),VLOOKUP(AF3611,TPCalibEq300!$AZ$2:$BB$55,3,)))</f>
        <v>0</v>
      </c>
      <c r="AS3611" s="10" t="b">
        <f>IF(AND(I3611="TP",S3611&lt;=500),VLOOKUP(AF3611,TPCalibEq500!$AZ$2:$BB$56,3,),IF(AND(I3611="TDP",S3611&lt;=500),VLOOKUP(AF3611,TPCalibEq500!$AZ$2:$BB$56,3,)))</f>
        <v>0</v>
      </c>
      <c r="AT3611" s="10" t="b">
        <f>IF(AND(I3611="TN",S3611&lt;=2800),VLOOKUP(AF3611,TNCalibEq2500!$AZ$2:$BB$56,3,),IF(AND(I3611="TDN",S3611&lt;=2800),VLOOKUP(AF3611,TNCalibEq2500!$AZ$2:$BB$56,3,)))</f>
        <v>0</v>
      </c>
      <c r="AU3611" s="10" t="b">
        <f>IF(I3611="TP",VLOOKUP(AF3611,TPCalibEqFull!$AZ$2:$BB$56,3),IF(I3611="TDP",VLOOKUP(AF3611,TPCalibEqFull!$AZ$2:$BB$56,3),IF(I3611="TDN",VLOOKUP(AF3611,TNCalibEqFull!$AZ$1:$BB$56,3),IF(I3611="TN",VLOOKUP(AF3611,TNCalibEqFull!$AZ$1:$BB$56,3),FALSE))))</f>
        <v>0</v>
      </c>
      <c r="AV3611" s="10" t="str">
        <f t="shared" si="412"/>
        <v>0221 10:26:00-BUO-5-FIL-1-SW-UKN</v>
      </c>
    </row>
    <row r="3612" spans="1:48" s="10" customFormat="1" x14ac:dyDescent="0.55000000000000004">
      <c r="A3612" s="32">
        <v>44978</v>
      </c>
      <c r="B3612" s="33">
        <v>0.4368055555555555</v>
      </c>
      <c r="C3612" s="10" t="s">
        <v>611</v>
      </c>
      <c r="D3612" s="10">
        <v>10</v>
      </c>
      <c r="E3612" s="10" t="s">
        <v>911</v>
      </c>
      <c r="F3612" s="10">
        <v>1</v>
      </c>
      <c r="G3612" s="10" t="s">
        <v>231</v>
      </c>
      <c r="H3612" s="10" t="s">
        <v>322</v>
      </c>
      <c r="I3612" s="10" t="s">
        <v>167</v>
      </c>
      <c r="J3612" s="10">
        <v>78</v>
      </c>
      <c r="K3612" s="12">
        <v>44980</v>
      </c>
      <c r="L3612" s="33">
        <v>0.57221064814814815</v>
      </c>
      <c r="M3612" s="10">
        <v>1</v>
      </c>
      <c r="N3612" s="10" t="s">
        <v>211</v>
      </c>
      <c r="O3612" s="10">
        <v>0.51400000000000001</v>
      </c>
      <c r="P3612" s="10">
        <v>4.6600000000000003E-2</v>
      </c>
      <c r="Q3612" s="10">
        <v>89.8</v>
      </c>
      <c r="R3612" s="10" t="s">
        <v>913</v>
      </c>
      <c r="S3612" s="34">
        <f t="shared" si="409"/>
        <v>89.8</v>
      </c>
      <c r="T3612" s="10" t="s">
        <v>1267</v>
      </c>
      <c r="U3612" s="34" t="str">
        <f t="shared" si="410"/>
        <v/>
      </c>
      <c r="V3612" s="31" t="str">
        <f>IF(H3612="CHK",VLOOKUP(I3612,QCCHK,3,),IF(H3612="GUP",VLOOKUP(E3612,QCGUP,2,),IF(AND(H3612="ATP",OR(I3612="TN",I3612="TDN",I3612="TNO2-3",I3612="NO2-3")),VLOOKUP(E3612,QCREC_N,2,),IF(AND(H3612="NIC",OR(I3612="TN",I3612="TDN",I3612="TNO2-3",I3612="NO2-3")),VLOOKUP(E3612,QCNIC_N,2,),IF(AND(H3612="UREA",OR(I3612="TN",I3612="TDN",I3612="TNO2-3",I3612="NO2-3")),VLOOKUP(E3612,QCUREA_N,2,),IF(H3612="PER",VLOOKUP(I3612,QCPER,MATCH(E3612,QCACTUAL!$J$25:$AA$25,0),),IF(H3612="SPK",VLOOKUP(I3612,QCSPK,3,),IF(AND(H3612="ATP",OR(I3612="TP",I3612="TDP")),VLOOKUP(E3612,QCATP_P,2,),""))))))))</f>
        <v/>
      </c>
      <c r="W3612" s="31" t="str">
        <f t="shared" si="411"/>
        <v>TRUE</v>
      </c>
      <c r="X3612" s="31" t="str">
        <f t="shared" si="408"/>
        <v/>
      </c>
      <c r="Y3612" s="10" t="s">
        <v>1253</v>
      </c>
      <c r="AL3612" s="10" t="str">
        <f t="shared" si="406"/>
        <v>FALSE</v>
      </c>
      <c r="AM3612" s="10" t="str">
        <f t="shared" si="406"/>
        <v>FALSE</v>
      </c>
      <c r="AN3612" s="10" t="str">
        <f t="shared" si="406"/>
        <v>FALSE</v>
      </c>
      <c r="AO3612" s="10" t="str">
        <f t="shared" si="407"/>
        <v>FALSE</v>
      </c>
      <c r="AP3612" s="10" t="str">
        <f t="shared" si="407"/>
        <v>FALSE</v>
      </c>
      <c r="AQ3612" s="10" t="b">
        <f>IF(AND(I3612="TP",S3612&lt;=150),VLOOKUP(AF3612,TPCalibEq150!$AZ$2:$BB$55,3,),IF(AND(I3612="TDP",S3612&lt;=150),VLOOKUP(AF3612,TPCalibEq150!$AZ$2:$BB$55,3,)))</f>
        <v>0</v>
      </c>
      <c r="AR3612" s="10" t="b">
        <f>IF(AND(I3612="TP",S3612&lt;=300),VLOOKUP(AF3612,TPCalibEq300!$AZ$2:$BB$55,3,),IF(AND(I3612="TDP",S3612&lt;=300),VLOOKUP(AF3612,TPCalibEq300!$AZ$2:$BB$55,3,)))</f>
        <v>0</v>
      </c>
      <c r="AS3612" s="10" t="b">
        <f>IF(AND(I3612="TP",S3612&lt;=500),VLOOKUP(AF3612,TPCalibEq500!$AZ$2:$BB$56,3,),IF(AND(I3612="TDP",S3612&lt;=500),VLOOKUP(AF3612,TPCalibEq500!$AZ$2:$BB$56,3,)))</f>
        <v>0</v>
      </c>
      <c r="AT3612" s="10" t="b">
        <f>IF(AND(I3612="TN",S3612&lt;=2800),VLOOKUP(AF3612,TNCalibEq2500!$AZ$2:$BB$56,3,),IF(AND(I3612="TDN",S3612&lt;=2800),VLOOKUP(AF3612,TNCalibEq2500!$AZ$2:$BB$56,3,)))</f>
        <v>0</v>
      </c>
      <c r="AU3612" s="10" t="b">
        <f>IF(I3612="TP",VLOOKUP(AF3612,TPCalibEqFull!$AZ$2:$BB$56,3),IF(I3612="TDP",VLOOKUP(AF3612,TPCalibEqFull!$AZ$2:$BB$56,3),IF(I3612="TDN",VLOOKUP(AF3612,TNCalibEqFull!$AZ$1:$BB$56,3),IF(I3612="TN",VLOOKUP(AF3612,TNCalibEqFull!$AZ$1:$BB$56,3),FALSE))))</f>
        <v>0</v>
      </c>
      <c r="AV3612" s="10" t="str">
        <f t="shared" si="412"/>
        <v>0221 10:29:00-BUO-10-FIL-1-SW-UKN</v>
      </c>
    </row>
    <row r="3613" spans="1:48" s="10" customFormat="1" x14ac:dyDescent="0.55000000000000004">
      <c r="A3613" s="32">
        <v>44978</v>
      </c>
      <c r="B3613" s="33">
        <v>0.43958333333333338</v>
      </c>
      <c r="C3613" s="10" t="s">
        <v>611</v>
      </c>
      <c r="D3613" s="10">
        <v>20</v>
      </c>
      <c r="E3613" s="10" t="s">
        <v>911</v>
      </c>
      <c r="F3613" s="10">
        <v>1</v>
      </c>
      <c r="G3613" s="10" t="s">
        <v>231</v>
      </c>
      <c r="H3613" s="10" t="s">
        <v>322</v>
      </c>
      <c r="I3613" s="10" t="s">
        <v>167</v>
      </c>
      <c r="J3613" s="10">
        <v>79</v>
      </c>
      <c r="K3613" s="12">
        <v>44980</v>
      </c>
      <c r="L3613" s="33">
        <v>0.57303240740740746</v>
      </c>
      <c r="M3613" s="10">
        <v>1</v>
      </c>
      <c r="N3613" s="10" t="s">
        <v>211</v>
      </c>
      <c r="O3613" s="10">
        <v>0.53400000000000003</v>
      </c>
      <c r="P3613" s="10">
        <v>4.8599999999999997E-2</v>
      </c>
      <c r="Q3613" s="10">
        <v>93.4</v>
      </c>
      <c r="R3613" s="10" t="s">
        <v>913</v>
      </c>
      <c r="S3613" s="34">
        <f t="shared" si="409"/>
        <v>93.4</v>
      </c>
      <c r="T3613" s="10" t="s">
        <v>1267</v>
      </c>
      <c r="U3613" s="34" t="str">
        <f t="shared" si="410"/>
        <v/>
      </c>
      <c r="V3613" s="31" t="str">
        <f>IF(H3613="CHK",VLOOKUP(I3613,QCCHK,3,),IF(H3613="GUP",VLOOKUP(E3613,QCGUP,2,),IF(AND(H3613="ATP",OR(I3613="TN",I3613="TDN",I3613="TNO2-3",I3613="NO2-3")),VLOOKUP(E3613,QCREC_N,2,),IF(AND(H3613="NIC",OR(I3613="TN",I3613="TDN",I3613="TNO2-3",I3613="NO2-3")),VLOOKUP(E3613,QCNIC_N,2,),IF(AND(H3613="UREA",OR(I3613="TN",I3613="TDN",I3613="TNO2-3",I3613="NO2-3")),VLOOKUP(E3613,QCUREA_N,2,),IF(H3613="PER",VLOOKUP(I3613,QCPER,MATCH(E3613,QCACTUAL!$J$25:$AA$25,0),),IF(H3613="SPK",VLOOKUP(I3613,QCSPK,3,),IF(AND(H3613="ATP",OR(I3613="TP",I3613="TDP")),VLOOKUP(E3613,QCATP_P,2,),""))))))))</f>
        <v/>
      </c>
      <c r="W3613" s="31" t="str">
        <f t="shared" si="411"/>
        <v>TRUE</v>
      </c>
      <c r="X3613" s="31" t="str">
        <f t="shared" si="408"/>
        <v/>
      </c>
      <c r="Y3613" s="10" t="s">
        <v>1253</v>
      </c>
      <c r="AL3613" s="10" t="str">
        <f t="shared" si="406"/>
        <v>FALSE</v>
      </c>
      <c r="AM3613" s="10" t="str">
        <f t="shared" si="406"/>
        <v>FALSE</v>
      </c>
      <c r="AN3613" s="10" t="str">
        <f t="shared" si="406"/>
        <v>FALSE</v>
      </c>
      <c r="AO3613" s="10" t="str">
        <f t="shared" si="407"/>
        <v>FALSE</v>
      </c>
      <c r="AP3613" s="10" t="str">
        <f t="shared" si="407"/>
        <v>FALSE</v>
      </c>
      <c r="AQ3613" s="10" t="b">
        <f>IF(AND(I3613="TP",S3613&lt;=150),VLOOKUP(AF3613,TPCalibEq150!$AZ$2:$BB$55,3,),IF(AND(I3613="TDP",S3613&lt;=150),VLOOKUP(AF3613,TPCalibEq150!$AZ$2:$BB$55,3,)))</f>
        <v>0</v>
      </c>
      <c r="AR3613" s="10" t="b">
        <f>IF(AND(I3613="TP",S3613&lt;=300),VLOOKUP(AF3613,TPCalibEq300!$AZ$2:$BB$55,3,),IF(AND(I3613="TDP",S3613&lt;=300),VLOOKUP(AF3613,TPCalibEq300!$AZ$2:$BB$55,3,)))</f>
        <v>0</v>
      </c>
      <c r="AS3613" s="10" t="b">
        <f>IF(AND(I3613="TP",S3613&lt;=500),VLOOKUP(AF3613,TPCalibEq500!$AZ$2:$BB$56,3,),IF(AND(I3613="TDP",S3613&lt;=500),VLOOKUP(AF3613,TPCalibEq500!$AZ$2:$BB$56,3,)))</f>
        <v>0</v>
      </c>
      <c r="AT3613" s="10" t="b">
        <f>IF(AND(I3613="TN",S3613&lt;=2800),VLOOKUP(AF3613,TNCalibEq2500!$AZ$2:$BB$56,3,),IF(AND(I3613="TDN",S3613&lt;=2800),VLOOKUP(AF3613,TNCalibEq2500!$AZ$2:$BB$56,3,)))</f>
        <v>0</v>
      </c>
      <c r="AU3613" s="10" t="b">
        <f>IF(I3613="TP",VLOOKUP(AF3613,TPCalibEqFull!$AZ$2:$BB$56,3),IF(I3613="TDP",VLOOKUP(AF3613,TPCalibEqFull!$AZ$2:$BB$56,3),IF(I3613="TDN",VLOOKUP(AF3613,TNCalibEqFull!$AZ$1:$BB$56,3),IF(I3613="TN",VLOOKUP(AF3613,TNCalibEqFull!$AZ$1:$BB$56,3),FALSE))))</f>
        <v>0</v>
      </c>
      <c r="AV3613" s="10" t="str">
        <f t="shared" si="412"/>
        <v>0221 10:33:00-BUO-20-FIL-1-SW-UKN</v>
      </c>
    </row>
    <row r="3614" spans="1:48" s="10" customFormat="1" x14ac:dyDescent="0.55000000000000004">
      <c r="A3614" s="32">
        <v>44978</v>
      </c>
      <c r="B3614" s="33">
        <v>0.44375000000000003</v>
      </c>
      <c r="C3614" s="10" t="s">
        <v>611</v>
      </c>
      <c r="D3614" s="10">
        <v>48</v>
      </c>
      <c r="E3614" s="10" t="s">
        <v>911</v>
      </c>
      <c r="F3614" s="10">
        <v>1</v>
      </c>
      <c r="G3614" s="10" t="s">
        <v>231</v>
      </c>
      <c r="H3614" s="10" t="s">
        <v>322</v>
      </c>
      <c r="I3614" s="10" t="s">
        <v>167</v>
      </c>
      <c r="J3614" s="10">
        <v>80</v>
      </c>
      <c r="K3614" s="12">
        <v>44980</v>
      </c>
      <c r="L3614" s="33">
        <v>0.57384259259259263</v>
      </c>
      <c r="M3614" s="10">
        <v>1</v>
      </c>
      <c r="N3614" s="10" t="s">
        <v>211</v>
      </c>
      <c r="O3614" s="10">
        <v>0.49299999999999999</v>
      </c>
      <c r="P3614" s="10">
        <v>4.4999999999999998E-2</v>
      </c>
      <c r="Q3614" s="10">
        <v>86.2</v>
      </c>
      <c r="R3614" s="10" t="s">
        <v>913</v>
      </c>
      <c r="S3614" s="34">
        <f t="shared" si="409"/>
        <v>86.2</v>
      </c>
      <c r="T3614" s="10" t="s">
        <v>1267</v>
      </c>
      <c r="U3614" s="34" t="str">
        <f t="shared" si="410"/>
        <v/>
      </c>
      <c r="V3614" s="31" t="str">
        <f>IF(H3614="CHK",VLOOKUP(I3614,QCCHK,3,),IF(H3614="GUP",VLOOKUP(E3614,QCGUP,2,),IF(AND(H3614="ATP",OR(I3614="TN",I3614="TDN",I3614="TNO2-3",I3614="NO2-3")),VLOOKUP(E3614,QCREC_N,2,),IF(AND(H3614="NIC",OR(I3614="TN",I3614="TDN",I3614="TNO2-3",I3614="NO2-3")),VLOOKUP(E3614,QCNIC_N,2,),IF(AND(H3614="UREA",OR(I3614="TN",I3614="TDN",I3614="TNO2-3",I3614="NO2-3")),VLOOKUP(E3614,QCUREA_N,2,),IF(H3614="PER",VLOOKUP(I3614,QCPER,MATCH(E3614,QCACTUAL!$J$25:$AA$25,0),),IF(H3614="SPK",VLOOKUP(I3614,QCSPK,3,),IF(AND(H3614="ATP",OR(I3614="TP",I3614="TDP")),VLOOKUP(E3614,QCATP_P,2,),""))))))))</f>
        <v/>
      </c>
      <c r="W3614" s="31" t="str">
        <f t="shared" si="411"/>
        <v>TRUE</v>
      </c>
      <c r="X3614" s="31" t="str">
        <f t="shared" si="408"/>
        <v/>
      </c>
      <c r="Y3614" s="10" t="s">
        <v>1253</v>
      </c>
      <c r="AL3614" s="10" t="str">
        <f t="shared" si="406"/>
        <v>FALSE</v>
      </c>
      <c r="AM3614" s="10" t="str">
        <f t="shared" si="406"/>
        <v>FALSE</v>
      </c>
      <c r="AN3614" s="10" t="str">
        <f t="shared" si="406"/>
        <v>FALSE</v>
      </c>
      <c r="AO3614" s="10" t="str">
        <f t="shared" si="407"/>
        <v>FALSE</v>
      </c>
      <c r="AP3614" s="10" t="str">
        <f t="shared" si="407"/>
        <v>FALSE</v>
      </c>
      <c r="AQ3614" s="10" t="b">
        <f>IF(AND(I3614="TP",S3614&lt;=150),VLOOKUP(AF3614,TPCalibEq150!$AZ$2:$BB$55,3,),IF(AND(I3614="TDP",S3614&lt;=150),VLOOKUP(AF3614,TPCalibEq150!$AZ$2:$BB$55,3,)))</f>
        <v>0</v>
      </c>
      <c r="AR3614" s="10" t="b">
        <f>IF(AND(I3614="TP",S3614&lt;=300),VLOOKUP(AF3614,TPCalibEq300!$AZ$2:$BB$55,3,),IF(AND(I3614="TDP",S3614&lt;=300),VLOOKUP(AF3614,TPCalibEq300!$AZ$2:$BB$55,3,)))</f>
        <v>0</v>
      </c>
      <c r="AS3614" s="10" t="b">
        <f>IF(AND(I3614="TP",S3614&lt;=500),VLOOKUP(AF3614,TPCalibEq500!$AZ$2:$BB$56,3,),IF(AND(I3614="TDP",S3614&lt;=500),VLOOKUP(AF3614,TPCalibEq500!$AZ$2:$BB$56,3,)))</f>
        <v>0</v>
      </c>
      <c r="AT3614" s="10" t="b">
        <f>IF(AND(I3614="TN",S3614&lt;=2800),VLOOKUP(AF3614,TNCalibEq2500!$AZ$2:$BB$56,3,),IF(AND(I3614="TDN",S3614&lt;=2800),VLOOKUP(AF3614,TNCalibEq2500!$AZ$2:$BB$56,3,)))</f>
        <v>0</v>
      </c>
      <c r="AU3614" s="10" t="b">
        <f>IF(I3614="TP",VLOOKUP(AF3614,TPCalibEqFull!$AZ$2:$BB$56,3),IF(I3614="TDP",VLOOKUP(AF3614,TPCalibEqFull!$AZ$2:$BB$56,3),IF(I3614="TDN",VLOOKUP(AF3614,TNCalibEqFull!$AZ$1:$BB$56,3),IF(I3614="TN",VLOOKUP(AF3614,TNCalibEqFull!$AZ$1:$BB$56,3),FALSE))))</f>
        <v>0</v>
      </c>
      <c r="AV3614" s="10" t="str">
        <f t="shared" si="412"/>
        <v>0221 10:39:00-BUO-48-FIL-1-SW-UKN</v>
      </c>
    </row>
    <row r="3615" spans="1:48" s="10" customFormat="1" x14ac:dyDescent="0.55000000000000004">
      <c r="A3615" s="32">
        <v>44978</v>
      </c>
      <c r="B3615" s="33">
        <v>0.44375000000000003</v>
      </c>
      <c r="C3615" s="10" t="s">
        <v>611</v>
      </c>
      <c r="D3615" s="10">
        <v>48</v>
      </c>
      <c r="E3615" s="10" t="s">
        <v>911</v>
      </c>
      <c r="F3615" s="10">
        <v>1</v>
      </c>
      <c r="G3615" s="10" t="s">
        <v>231</v>
      </c>
      <c r="H3615" s="10" t="s">
        <v>233</v>
      </c>
      <c r="I3615" s="10" t="s">
        <v>167</v>
      </c>
      <c r="J3615" s="10">
        <v>80</v>
      </c>
      <c r="K3615" s="12">
        <v>44980</v>
      </c>
      <c r="L3615" s="33">
        <v>0.57466435185185183</v>
      </c>
      <c r="M3615" s="10">
        <v>1</v>
      </c>
      <c r="N3615" s="10" t="s">
        <v>211</v>
      </c>
      <c r="O3615" s="10">
        <v>0.48499999999999999</v>
      </c>
      <c r="P3615" s="10">
        <v>4.4499999999999998E-2</v>
      </c>
      <c r="Q3615" s="10">
        <v>84.8</v>
      </c>
      <c r="R3615" s="10" t="s">
        <v>913</v>
      </c>
      <c r="S3615" s="34">
        <f t="shared" si="409"/>
        <v>84.8</v>
      </c>
      <c r="T3615" s="10" t="s">
        <v>1267</v>
      </c>
      <c r="U3615" s="34">
        <f t="shared" si="410"/>
        <v>1.6374269005848021</v>
      </c>
      <c r="V3615" s="31" t="str">
        <f>IF(H3615="CHK",VLOOKUP(I3615,QCCHK,3,),IF(H3615="GUP",VLOOKUP(E3615,QCGUP,2,),IF(AND(H3615="ATP",OR(I3615="TN",I3615="TDN",I3615="TNO2-3",I3615="NO2-3")),VLOOKUP(E3615,QCREC_N,2,),IF(AND(H3615="NIC",OR(I3615="TN",I3615="TDN",I3615="TNO2-3",I3615="NO2-3")),VLOOKUP(E3615,QCNIC_N,2,),IF(AND(H3615="UREA",OR(I3615="TN",I3615="TDN",I3615="TNO2-3",I3615="NO2-3")),VLOOKUP(E3615,QCUREA_N,2,),IF(H3615="PER",VLOOKUP(I3615,QCPER,MATCH(E3615,QCACTUAL!$J$25:$AA$25,0),),IF(H3615="SPK",VLOOKUP(I3615,QCSPK,3,),IF(AND(H3615="ATP",OR(I3615="TP",I3615="TDP")),VLOOKUP(E3615,QCATP_P,2,),""))))))))</f>
        <v/>
      </c>
      <c r="W3615" s="31" t="str">
        <f t="shared" si="411"/>
        <v>TRUE</v>
      </c>
      <c r="X3615" s="31" t="str">
        <f t="shared" si="408"/>
        <v>((ABS(rep1-rep2))/((rep1+rep2)/2)*100</v>
      </c>
      <c r="Y3615" s="10" t="s">
        <v>1253</v>
      </c>
      <c r="AL3615" s="10" t="str">
        <f t="shared" si="406"/>
        <v>FALSE</v>
      </c>
      <c r="AM3615" s="10" t="str">
        <f t="shared" si="406"/>
        <v>FALSE</v>
      </c>
      <c r="AN3615" s="10" t="str">
        <f t="shared" si="406"/>
        <v>FALSE</v>
      </c>
      <c r="AO3615" s="10" t="str">
        <f t="shared" si="407"/>
        <v>FALSE</v>
      </c>
      <c r="AP3615" s="10" t="str">
        <f t="shared" si="407"/>
        <v>FALSE</v>
      </c>
      <c r="AQ3615" s="10" t="b">
        <f>IF(AND(I3615="TP",S3615&lt;=150),VLOOKUP(AF3615,TPCalibEq150!$AZ$2:$BB$55,3,),IF(AND(I3615="TDP",S3615&lt;=150),VLOOKUP(AF3615,TPCalibEq150!$AZ$2:$BB$55,3,)))</f>
        <v>0</v>
      </c>
      <c r="AR3615" s="10" t="b">
        <f>IF(AND(I3615="TP",S3615&lt;=300),VLOOKUP(AF3615,TPCalibEq300!$AZ$2:$BB$55,3,),IF(AND(I3615="TDP",S3615&lt;=300),VLOOKUP(AF3615,TPCalibEq300!$AZ$2:$BB$55,3,)))</f>
        <v>0</v>
      </c>
      <c r="AS3615" s="10" t="b">
        <f>IF(AND(I3615="TP",S3615&lt;=500),VLOOKUP(AF3615,TPCalibEq500!$AZ$2:$BB$56,3,),IF(AND(I3615="TDP",S3615&lt;=500),VLOOKUP(AF3615,TPCalibEq500!$AZ$2:$BB$56,3,)))</f>
        <v>0</v>
      </c>
      <c r="AT3615" s="10" t="b">
        <f>IF(AND(I3615="TN",S3615&lt;=2800),VLOOKUP(AF3615,TNCalibEq2500!$AZ$2:$BB$56,3,),IF(AND(I3615="TDN",S3615&lt;=2800),VLOOKUP(AF3615,TNCalibEq2500!$AZ$2:$BB$56,3,)))</f>
        <v>0</v>
      </c>
      <c r="AU3615" s="10" t="b">
        <f>IF(I3615="TP",VLOOKUP(AF3615,TPCalibEqFull!$AZ$2:$BB$56,3),IF(I3615="TDP",VLOOKUP(AF3615,TPCalibEqFull!$AZ$2:$BB$56,3),IF(I3615="TDN",VLOOKUP(AF3615,TNCalibEqFull!$AZ$1:$BB$56,3),IF(I3615="TN",VLOOKUP(AF3615,TNCalibEqFull!$AZ$1:$BB$56,3),FALSE))))</f>
        <v>0</v>
      </c>
      <c r="AV3615" s="10" t="str">
        <f t="shared" si="412"/>
        <v>0221 10:39:00-BUO-48-FIL-1-SW-DUP</v>
      </c>
    </row>
    <row r="3616" spans="1:48" s="10" customFormat="1" x14ac:dyDescent="0.55000000000000004">
      <c r="A3616" s="32">
        <v>44978</v>
      </c>
      <c r="B3616" s="33">
        <v>0.44375000000000003</v>
      </c>
      <c r="C3616" s="10" t="s">
        <v>611</v>
      </c>
      <c r="D3616" s="10">
        <v>48</v>
      </c>
      <c r="E3616" s="10" t="s">
        <v>911</v>
      </c>
      <c r="F3616" s="10">
        <v>1</v>
      </c>
      <c r="G3616" s="10" t="s">
        <v>231</v>
      </c>
      <c r="H3616" s="10" t="s">
        <v>314</v>
      </c>
      <c r="I3616" s="10" t="s">
        <v>167</v>
      </c>
      <c r="J3616" s="10">
        <v>90</v>
      </c>
      <c r="K3616" s="12">
        <v>44980</v>
      </c>
      <c r="L3616" s="33">
        <v>0.57547453703703699</v>
      </c>
      <c r="M3616" s="10">
        <v>1</v>
      </c>
      <c r="N3616" s="10" t="s">
        <v>211</v>
      </c>
      <c r="O3616" s="10">
        <v>1.45</v>
      </c>
      <c r="P3616" s="10">
        <v>0.13700000000000001</v>
      </c>
      <c r="Q3616" s="10">
        <v>255</v>
      </c>
      <c r="R3616" s="10" t="s">
        <v>913</v>
      </c>
      <c r="S3616" s="34">
        <f t="shared" si="409"/>
        <v>255</v>
      </c>
      <c r="T3616" s="10" t="s">
        <v>1267</v>
      </c>
      <c r="U3616" s="34">
        <f t="shared" si="410"/>
        <v>108.928</v>
      </c>
      <c r="V3616" s="31">
        <f>IF(H3616="CHK",VLOOKUP(I3616,QCCHK,3,),IF(H3616="GUP",VLOOKUP(E3616,QCGUP,2,),IF(AND(H3616="ATP",OR(I3616="TN",I3616="TDN",I3616="TNO2-3",I3616="NO2-3")),VLOOKUP(E3616,QCREC_N,2,),IF(AND(H3616="NIC",OR(I3616="TN",I3616="TDN",I3616="TNO2-3",I3616="NO2-3")),VLOOKUP(E3616,QCNIC_N,2,),IF(AND(H3616="UREA",OR(I3616="TN",I3616="TDN",I3616="TNO2-3",I3616="NO2-3")),VLOOKUP(E3616,QCUREA_N,2,),IF(H3616="PER",VLOOKUP(I3616,QCPER,MATCH(E3616,QCACTUAL!$J$25:$AA$25,0),),IF(H3616="SPK",VLOOKUP(I3616,QCSPK,3,),IF(AND(H3616="ATP",OR(I3616="TP",I3616="TDP")),VLOOKUP(E3616,QCATP_P,2,),""))))))))</f>
        <v>156.25</v>
      </c>
      <c r="W3616" s="31" t="str">
        <f t="shared" si="411"/>
        <v>TRUE</v>
      </c>
      <c r="X3616" s="31" t="str">
        <f t="shared" si="408"/>
        <v>([spikedunkn]-[unkn])/[spike]*100</v>
      </c>
      <c r="Y3616" s="10" t="s">
        <v>1253</v>
      </c>
      <c r="AL3616" s="10" t="str">
        <f t="shared" si="406"/>
        <v>FALSE</v>
      </c>
      <c r="AM3616" s="10" t="str">
        <f t="shared" si="406"/>
        <v>FALSE</v>
      </c>
      <c r="AN3616" s="10" t="str">
        <f t="shared" si="406"/>
        <v>FALSE</v>
      </c>
      <c r="AO3616" s="10" t="str">
        <f t="shared" si="407"/>
        <v>FALSE</v>
      </c>
      <c r="AP3616" s="10" t="str">
        <f t="shared" si="407"/>
        <v>FALSE</v>
      </c>
      <c r="AQ3616" s="10" t="b">
        <f>IF(AND(I3616="TP",S3616&lt;=150),VLOOKUP(AF3616,TPCalibEq150!$AZ$2:$BB$55,3,),IF(AND(I3616="TDP",S3616&lt;=150),VLOOKUP(AF3616,TPCalibEq150!$AZ$2:$BB$55,3,)))</f>
        <v>0</v>
      </c>
      <c r="AR3616" s="10" t="b">
        <f>IF(AND(I3616="TP",S3616&lt;=300),VLOOKUP(AF3616,TPCalibEq300!$AZ$2:$BB$55,3,),IF(AND(I3616="TDP",S3616&lt;=300),VLOOKUP(AF3616,TPCalibEq300!$AZ$2:$BB$55,3,)))</f>
        <v>0</v>
      </c>
      <c r="AS3616" s="10" t="b">
        <f>IF(AND(I3616="TP",S3616&lt;=500),VLOOKUP(AF3616,TPCalibEq500!$AZ$2:$BB$56,3,),IF(AND(I3616="TDP",S3616&lt;=500),VLOOKUP(AF3616,TPCalibEq500!$AZ$2:$BB$56,3,)))</f>
        <v>0</v>
      </c>
      <c r="AT3616" s="10" t="b">
        <f>IF(AND(I3616="TN",S3616&lt;=2800),VLOOKUP(AF3616,TNCalibEq2500!$AZ$2:$BB$56,3,),IF(AND(I3616="TDN",S3616&lt;=2800),VLOOKUP(AF3616,TNCalibEq2500!$AZ$2:$BB$56,3,)))</f>
        <v>0</v>
      </c>
      <c r="AU3616" s="10" t="b">
        <f>IF(I3616="TP",VLOOKUP(AF3616,TPCalibEqFull!$AZ$2:$BB$56,3),IF(I3616="TDP",VLOOKUP(AF3616,TPCalibEqFull!$AZ$2:$BB$56,3),IF(I3616="TDN",VLOOKUP(AF3616,TNCalibEqFull!$AZ$1:$BB$56,3),IF(I3616="TN",VLOOKUP(AF3616,TNCalibEqFull!$AZ$1:$BB$56,3),FALSE))))</f>
        <v>0</v>
      </c>
      <c r="AV3616" s="10" t="str">
        <f t="shared" si="412"/>
        <v>0221 10:39:00-BUO-48-FIL-1-SW-SPK</v>
      </c>
    </row>
    <row r="3617" spans="1:48" s="10" customFormat="1" x14ac:dyDescent="0.55000000000000004">
      <c r="A3617" s="32">
        <v>44979</v>
      </c>
      <c r="B3617" s="33">
        <v>0.375</v>
      </c>
      <c r="C3617" s="10" t="s">
        <v>70</v>
      </c>
      <c r="D3617" s="10" t="s">
        <v>71</v>
      </c>
      <c r="E3617" s="10" t="s">
        <v>901</v>
      </c>
      <c r="F3617" s="10">
        <v>1</v>
      </c>
      <c r="G3617" s="10" t="s">
        <v>73</v>
      </c>
      <c r="H3617" s="10" t="s">
        <v>207</v>
      </c>
      <c r="I3617" s="10" t="s">
        <v>285</v>
      </c>
      <c r="J3617" s="10">
        <v>203</v>
      </c>
      <c r="K3617" s="12">
        <v>44980</v>
      </c>
      <c r="L3617" s="33">
        <v>0.57630787037037035</v>
      </c>
      <c r="M3617" s="10">
        <v>1</v>
      </c>
      <c r="N3617" s="10" t="s">
        <v>211</v>
      </c>
      <c r="O3617" s="10">
        <v>0.433</v>
      </c>
      <c r="P3617" s="10">
        <v>3.9199999999999999E-2</v>
      </c>
      <c r="Q3617" s="10">
        <v>75.599999999999994</v>
      </c>
      <c r="R3617" s="10" t="s">
        <v>913</v>
      </c>
      <c r="S3617" s="34">
        <f t="shared" si="409"/>
        <v>75.599999999999994</v>
      </c>
      <c r="T3617" s="10" t="s">
        <v>1267</v>
      </c>
      <c r="U3617" s="34">
        <f t="shared" si="410"/>
        <v>100.8</v>
      </c>
      <c r="V3617" s="31">
        <f>IF(H3617="CHK",VLOOKUP(I3617,QCCHK,3,),IF(H3617="GUP",VLOOKUP(E3617,QCGUP,2,),IF(AND(H3617="ATP",OR(I3617="TN",I3617="TDN",I3617="TNO2-3",I3617="NO2-3")),VLOOKUP(E3617,QCREC_N,2,),IF(AND(H3617="NIC",OR(I3617="TN",I3617="TDN",I3617="TNO2-3",I3617="NO2-3")),VLOOKUP(E3617,QCNIC_N,2,),IF(AND(H3617="UREA",OR(I3617="TN",I3617="TDN",I3617="TNO2-3",I3617="NO2-3")),VLOOKUP(E3617,QCUREA_N,2,),IF(H3617="PER",VLOOKUP(I3617,QCPER,MATCH(E3617,QCACTUAL!$J$25:$AA$25,0),),IF(H3617="SPK",VLOOKUP(I3617,QCSPK,3,),IF(AND(H3617="ATP",OR(I3617="TP",I3617="TDP")),VLOOKUP(E3617,QCATP_P,2,),""))))))))</f>
        <v>75</v>
      </c>
      <c r="W3617" s="31" t="str">
        <f t="shared" si="411"/>
        <v>TRUE</v>
      </c>
      <c r="X3617" s="31" t="str">
        <f t="shared" si="408"/>
        <v>[chk]/[actual]*100</v>
      </c>
      <c r="Y3617" s="10" t="s">
        <v>1253</v>
      </c>
      <c r="AL3617" s="10" t="str">
        <f t="shared" si="406"/>
        <v>FALSE</v>
      </c>
      <c r="AM3617" s="10" t="str">
        <f t="shared" si="406"/>
        <v>FALSE</v>
      </c>
      <c r="AN3617" s="10" t="str">
        <f t="shared" si="406"/>
        <v>FALSE</v>
      </c>
      <c r="AO3617" s="10" t="str">
        <f t="shared" si="407"/>
        <v>FALSE</v>
      </c>
      <c r="AP3617" s="10" t="str">
        <f t="shared" si="407"/>
        <v>FALSE</v>
      </c>
      <c r="AQ3617" s="10" t="b">
        <f>IF(AND(I3617="TP",S3617&lt;=150),VLOOKUP(AF3617,TPCalibEq150!$AZ$2:$BB$55,3,),IF(AND(I3617="TDP",S3617&lt;=150),VLOOKUP(AF3617,TPCalibEq150!$AZ$2:$BB$55,3,)))</f>
        <v>0</v>
      </c>
      <c r="AR3617" s="10" t="b">
        <f>IF(AND(I3617="TP",S3617&lt;=300),VLOOKUP(AF3617,TPCalibEq300!$AZ$2:$BB$55,3,),IF(AND(I3617="TDP",S3617&lt;=300),VLOOKUP(AF3617,TPCalibEq300!$AZ$2:$BB$55,3,)))</f>
        <v>0</v>
      </c>
      <c r="AS3617" s="10" t="b">
        <f>IF(AND(I3617="TP",S3617&lt;=500),VLOOKUP(AF3617,TPCalibEq500!$AZ$2:$BB$56,3,),IF(AND(I3617="TDP",S3617&lt;=500),VLOOKUP(AF3617,TPCalibEq500!$AZ$2:$BB$56,3,)))</f>
        <v>0</v>
      </c>
      <c r="AT3617" s="10" t="b">
        <f>IF(AND(I3617="TN",S3617&lt;=2800),VLOOKUP(AF3617,TNCalibEq2500!$AZ$2:$BB$56,3,),IF(AND(I3617="TDN",S3617&lt;=2800),VLOOKUP(AF3617,TNCalibEq2500!$AZ$2:$BB$56,3,)))</f>
        <v>0</v>
      </c>
      <c r="AU3617" s="10" t="b">
        <f>IF(I3617="TP",VLOOKUP(AF3617,TPCalibEqFull!$AZ$2:$BB$56,3),IF(I3617="TDP",VLOOKUP(AF3617,TPCalibEqFull!$AZ$2:$BB$56,3),IF(I3617="TDN",VLOOKUP(AF3617,TNCalibEqFull!$AZ$1:$BB$56,3),IF(I3617="TN",VLOOKUP(AF3617,TNCalibEqFull!$AZ$1:$BB$56,3),FALSE))))</f>
        <v>0</v>
      </c>
      <c r="AV3617" s="10" t="str">
        <f t="shared" si="412"/>
        <v>0222 09:00:00-QAC-STD-D-1-DI-CHK</v>
      </c>
    </row>
    <row r="3618" spans="1:48" s="10" customFormat="1" x14ac:dyDescent="0.55000000000000004">
      <c r="A3618" s="32">
        <v>44979</v>
      </c>
      <c r="B3618" s="33">
        <v>0.375</v>
      </c>
      <c r="C3618" s="10" t="s">
        <v>70</v>
      </c>
      <c r="D3618" s="10" t="s">
        <v>71</v>
      </c>
      <c r="E3618" s="10" t="s">
        <v>72</v>
      </c>
      <c r="F3618" s="10">
        <v>1</v>
      </c>
      <c r="G3618" s="10" t="s">
        <v>73</v>
      </c>
      <c r="H3618" s="10" t="s">
        <v>74</v>
      </c>
      <c r="I3618" s="10" t="s">
        <v>256</v>
      </c>
      <c r="J3618" s="10">
        <v>181</v>
      </c>
      <c r="K3618" s="12">
        <v>44980</v>
      </c>
      <c r="L3618" s="33">
        <v>0.47081018518518519</v>
      </c>
      <c r="M3618" s="10">
        <v>1</v>
      </c>
      <c r="N3618" s="10" t="s">
        <v>169</v>
      </c>
      <c r="O3618" s="10">
        <v>1.5900000000000001E-2</v>
      </c>
      <c r="P3618" s="10">
        <v>1.1900000000000001E-3</v>
      </c>
      <c r="Q3618" s="10">
        <v>0</v>
      </c>
      <c r="R3618" s="10" t="s">
        <v>77</v>
      </c>
      <c r="S3618" s="34">
        <f t="shared" si="409"/>
        <v>0</v>
      </c>
      <c r="T3618" s="10" t="s">
        <v>914</v>
      </c>
      <c r="U3618" s="34" t="str">
        <f t="shared" si="410"/>
        <v/>
      </c>
      <c r="V3618" s="31" t="str">
        <f>IF(H3618="CHK",VLOOKUP(I3618,QCCHK,3,),IF(H3618="GUP",VLOOKUP(E3618,QCGUP,2,),IF(AND(H3618="ATP",OR(I3618="TN",I3618="TDN",I3618="TNO2-3",I3618="NO2-3")),VLOOKUP(E3618,QCREC_N,2,),IF(AND(H3618="NIC",OR(I3618="TN",I3618="TDN",I3618="TNO2-3",I3618="NO2-3")),VLOOKUP(E3618,QCNIC_N,2,),IF(AND(H3618="UREA",OR(I3618="TN",I3618="TDN",I3618="TNO2-3",I3618="NO2-3")),VLOOKUP(E3618,QCUREA_N,2,),IF(H3618="PER",VLOOKUP(I3618,QCPER,MATCH(E3618,QCACTUAL!$J$25:$AA$25,0),),IF(H3618="SPK",VLOOKUP(I3618,QCSPK,3,),IF(AND(H3618="ATP",OR(I3618="TP",I3618="TDP")),VLOOKUP(E3618,QCATP_P,2,),""))))))))</f>
        <v/>
      </c>
      <c r="W3618" s="31" t="str">
        <f t="shared" si="411"/>
        <v>TRUE</v>
      </c>
      <c r="X3618" s="31" t="str">
        <f t="shared" si="408"/>
        <v/>
      </c>
      <c r="Y3618" s="10" t="s">
        <v>1253</v>
      </c>
      <c r="AL3618" s="10" t="str">
        <f t="shared" si="406"/>
        <v>FALSE</v>
      </c>
      <c r="AM3618" s="10" t="str">
        <f t="shared" si="406"/>
        <v>FALSE</v>
      </c>
      <c r="AN3618" s="10" t="str">
        <f t="shared" si="406"/>
        <v>FALSE</v>
      </c>
      <c r="AO3618" s="10" t="str">
        <f t="shared" si="407"/>
        <v>FALSE</v>
      </c>
      <c r="AP3618" s="10" t="str">
        <f t="shared" si="407"/>
        <v>FALSE</v>
      </c>
      <c r="AQ3618" s="10" t="b">
        <f>IF(AND(I3618="TP",S3618&lt;=150),VLOOKUP(AF3618,TPCalibEq150!$AZ$2:$BB$55,3,),IF(AND(I3618="TDP",S3618&lt;=150),VLOOKUP(AF3618,TPCalibEq150!$AZ$2:$BB$55,3,)))</f>
        <v>0</v>
      </c>
      <c r="AR3618" s="10" t="b">
        <f>IF(AND(I3618="TP",S3618&lt;=300),VLOOKUP(AF3618,TPCalibEq300!$AZ$2:$BB$55,3,),IF(AND(I3618="TDP",S3618&lt;=300),VLOOKUP(AF3618,TPCalibEq300!$AZ$2:$BB$55,3,)))</f>
        <v>0</v>
      </c>
      <c r="AS3618" s="10" t="b">
        <f>IF(AND(I3618="TP",S3618&lt;=500),VLOOKUP(AF3618,TPCalibEq500!$AZ$2:$BB$56,3,),IF(AND(I3618="TDP",S3618&lt;=500),VLOOKUP(AF3618,TPCalibEq500!$AZ$2:$BB$56,3,)))</f>
        <v>0</v>
      </c>
      <c r="AT3618" s="10" t="b">
        <f>IF(AND(I3618="TN",S3618&lt;=2800),VLOOKUP(AF3618,TNCalibEq2500!$AZ$2:$BB$56,3,),IF(AND(I3618="TDN",S3618&lt;=2800),VLOOKUP(AF3618,TNCalibEq2500!$AZ$2:$BB$56,3,)))</f>
        <v>0</v>
      </c>
      <c r="AU3618" s="10" t="b">
        <f>IF(I3618="TP",VLOOKUP(AF3618,TPCalibEqFull!$AZ$2:$BB$56,3),IF(I3618="TDP",VLOOKUP(AF3618,TPCalibEqFull!$AZ$2:$BB$56,3),IF(I3618="TDN",VLOOKUP(AF3618,TNCalibEqFull!$AZ$1:$BB$56,3),IF(I3618="TN",VLOOKUP(AF3618,TNCalibEqFull!$AZ$1:$BB$56,3),FALSE))))</f>
        <v>0</v>
      </c>
      <c r="AV3618" s="10" t="str">
        <f t="shared" si="412"/>
        <v>0222 09:00:00-QAC-STD-H-1-DI-CAL</v>
      </c>
    </row>
    <row r="3619" spans="1:48" s="10" customFormat="1" x14ac:dyDescent="0.55000000000000004">
      <c r="A3619" s="32">
        <v>44979</v>
      </c>
      <c r="B3619" s="33">
        <v>0.375</v>
      </c>
      <c r="C3619" s="10" t="s">
        <v>70</v>
      </c>
      <c r="D3619" s="10" t="s">
        <v>71</v>
      </c>
      <c r="E3619" s="10" t="s">
        <v>908</v>
      </c>
      <c r="F3619" s="10">
        <v>1</v>
      </c>
      <c r="G3619" s="10" t="s">
        <v>73</v>
      </c>
      <c r="H3619" s="10" t="s">
        <v>74</v>
      </c>
      <c r="I3619" s="10" t="s">
        <v>256</v>
      </c>
      <c r="J3619" s="10">
        <v>182</v>
      </c>
      <c r="K3619" s="12">
        <v>44980</v>
      </c>
      <c r="L3619" s="33">
        <v>0.47165509259259258</v>
      </c>
      <c r="M3619" s="10">
        <v>1</v>
      </c>
      <c r="N3619" s="10" t="s">
        <v>169</v>
      </c>
      <c r="O3619" s="10">
        <v>0.16800000000000001</v>
      </c>
      <c r="P3619" s="10">
        <v>7.8799999999999999E-3</v>
      </c>
      <c r="Q3619" s="10">
        <v>20</v>
      </c>
      <c r="R3619" s="10" t="s">
        <v>77</v>
      </c>
      <c r="S3619" s="34">
        <f t="shared" si="409"/>
        <v>20</v>
      </c>
      <c r="T3619" s="10" t="s">
        <v>1268</v>
      </c>
      <c r="U3619" s="34" t="str">
        <f t="shared" si="410"/>
        <v/>
      </c>
      <c r="V3619" s="31" t="str">
        <f>IF(H3619="CHK",VLOOKUP(I3619,QCCHK,3,),IF(H3619="GUP",VLOOKUP(E3619,QCGUP,2,),IF(AND(H3619="ATP",OR(I3619="TN",I3619="TDN",I3619="TNO2-3",I3619="NO2-3")),VLOOKUP(E3619,QCREC_N,2,),IF(AND(H3619="NIC",OR(I3619="TN",I3619="TDN",I3619="TNO2-3",I3619="NO2-3")),VLOOKUP(E3619,QCNIC_N,2,),IF(AND(H3619="UREA",OR(I3619="TN",I3619="TDN",I3619="TNO2-3",I3619="NO2-3")),VLOOKUP(E3619,QCUREA_N,2,),IF(H3619="PER",VLOOKUP(I3619,QCPER,MATCH(E3619,QCACTUAL!$J$25:$AA$25,0),),IF(H3619="SPK",VLOOKUP(I3619,QCSPK,3,),IF(AND(H3619="ATP",OR(I3619="TP",I3619="TDP")),VLOOKUP(E3619,QCATP_P,2,),""))))))))</f>
        <v/>
      </c>
      <c r="W3619" s="31" t="str">
        <f t="shared" si="411"/>
        <v>TRUE</v>
      </c>
      <c r="X3619" s="31" t="str">
        <f t="shared" si="408"/>
        <v/>
      </c>
      <c r="Y3619" s="10" t="s">
        <v>1253</v>
      </c>
      <c r="AL3619" s="10" t="str">
        <f t="shared" si="406"/>
        <v>FALSE</v>
      </c>
      <c r="AM3619" s="10" t="str">
        <f t="shared" si="406"/>
        <v>FALSE</v>
      </c>
      <c r="AN3619" s="10" t="str">
        <f t="shared" si="406"/>
        <v>FALSE</v>
      </c>
      <c r="AO3619" s="10" t="str">
        <f t="shared" si="407"/>
        <v>FALSE</v>
      </c>
      <c r="AP3619" s="10" t="str">
        <f t="shared" si="407"/>
        <v>FALSE</v>
      </c>
      <c r="AQ3619" s="10" t="b">
        <f>IF(AND(I3619="TP",S3619&lt;=150),VLOOKUP(AF3619,TPCalibEq150!$AZ$2:$BB$55,3,),IF(AND(I3619="TDP",S3619&lt;=150),VLOOKUP(AF3619,TPCalibEq150!$AZ$2:$BB$55,3,)))</f>
        <v>0</v>
      </c>
      <c r="AR3619" s="10" t="b">
        <f>IF(AND(I3619="TP",S3619&lt;=300),VLOOKUP(AF3619,TPCalibEq300!$AZ$2:$BB$55,3,),IF(AND(I3619="TDP",S3619&lt;=300),VLOOKUP(AF3619,TPCalibEq300!$AZ$2:$BB$55,3,)))</f>
        <v>0</v>
      </c>
      <c r="AS3619" s="10" t="b">
        <f>IF(AND(I3619="TP",S3619&lt;=500),VLOOKUP(AF3619,TPCalibEq500!$AZ$2:$BB$56,3,),IF(AND(I3619="TDP",S3619&lt;=500),VLOOKUP(AF3619,TPCalibEq500!$AZ$2:$BB$56,3,)))</f>
        <v>0</v>
      </c>
      <c r="AT3619" s="10" t="b">
        <f>IF(AND(I3619="TN",S3619&lt;=2800),VLOOKUP(AF3619,TNCalibEq2500!$AZ$2:$BB$56,3,),IF(AND(I3619="TDN",S3619&lt;=2800),VLOOKUP(AF3619,TNCalibEq2500!$AZ$2:$BB$56,3,)))</f>
        <v>0</v>
      </c>
      <c r="AU3619" s="10" t="b">
        <f>IF(I3619="TP",VLOOKUP(AF3619,TPCalibEqFull!$AZ$2:$BB$56,3),IF(I3619="TDP",VLOOKUP(AF3619,TPCalibEqFull!$AZ$2:$BB$56,3),IF(I3619="TDN",VLOOKUP(AF3619,TNCalibEqFull!$AZ$1:$BB$56,3),IF(I3619="TN",VLOOKUP(AF3619,TNCalibEqFull!$AZ$1:$BB$56,3),FALSE))))</f>
        <v>0</v>
      </c>
      <c r="AV3619" s="10" t="str">
        <f t="shared" si="412"/>
        <v>0222 09:00:00-QAC-STD-G-1-DI-CAL</v>
      </c>
    </row>
    <row r="3620" spans="1:48" s="10" customFormat="1" x14ac:dyDescent="0.55000000000000004">
      <c r="A3620" s="32">
        <v>44979</v>
      </c>
      <c r="B3620" s="33">
        <v>0.375</v>
      </c>
      <c r="C3620" s="10" t="s">
        <v>70</v>
      </c>
      <c r="D3620" s="10" t="s">
        <v>71</v>
      </c>
      <c r="E3620" s="10" t="s">
        <v>550</v>
      </c>
      <c r="F3620" s="10">
        <v>1</v>
      </c>
      <c r="G3620" s="10" t="s">
        <v>73</v>
      </c>
      <c r="H3620" s="10" t="s">
        <v>74</v>
      </c>
      <c r="I3620" s="10" t="s">
        <v>256</v>
      </c>
      <c r="J3620" s="10">
        <v>183</v>
      </c>
      <c r="K3620" s="12">
        <v>44980</v>
      </c>
      <c r="L3620" s="33">
        <v>0.47249999999999998</v>
      </c>
      <c r="M3620" s="10">
        <v>1</v>
      </c>
      <c r="N3620" s="10" t="s">
        <v>169</v>
      </c>
      <c r="O3620" s="10">
        <v>0.45500000000000002</v>
      </c>
      <c r="P3620" s="10">
        <v>2.12E-2</v>
      </c>
      <c r="Q3620" s="10">
        <v>60</v>
      </c>
      <c r="R3620" s="10" t="s">
        <v>77</v>
      </c>
      <c r="S3620" s="34">
        <f t="shared" si="409"/>
        <v>60</v>
      </c>
      <c r="T3620" s="10" t="s">
        <v>1269</v>
      </c>
      <c r="U3620" s="34" t="str">
        <f t="shared" si="410"/>
        <v/>
      </c>
      <c r="V3620" s="31" t="str">
        <f>IF(H3620="CHK",VLOOKUP(I3620,QCCHK,3,),IF(H3620="GUP",VLOOKUP(E3620,QCGUP,2,),IF(AND(H3620="ATP",OR(I3620="TN",I3620="TDN",I3620="TNO2-3",I3620="NO2-3")),VLOOKUP(E3620,QCREC_N,2,),IF(AND(H3620="NIC",OR(I3620="TN",I3620="TDN",I3620="TNO2-3",I3620="NO2-3")),VLOOKUP(E3620,QCNIC_N,2,),IF(AND(H3620="UREA",OR(I3620="TN",I3620="TDN",I3620="TNO2-3",I3620="NO2-3")),VLOOKUP(E3620,QCUREA_N,2,),IF(H3620="PER",VLOOKUP(I3620,QCPER,MATCH(E3620,QCACTUAL!$J$25:$AA$25,0),),IF(H3620="SPK",VLOOKUP(I3620,QCSPK,3,),IF(AND(H3620="ATP",OR(I3620="TP",I3620="TDP")),VLOOKUP(E3620,QCATP_P,2,),""))))))))</f>
        <v/>
      </c>
      <c r="W3620" s="31" t="str">
        <f t="shared" si="411"/>
        <v>TRUE</v>
      </c>
      <c r="X3620" s="31" t="str">
        <f t="shared" si="408"/>
        <v/>
      </c>
      <c r="Y3620" s="10" t="s">
        <v>1253</v>
      </c>
      <c r="AL3620" s="10" t="str">
        <f t="shared" si="406"/>
        <v>FALSE</v>
      </c>
      <c r="AM3620" s="10" t="str">
        <f t="shared" si="406"/>
        <v>FALSE</v>
      </c>
      <c r="AN3620" s="10" t="str">
        <f t="shared" si="406"/>
        <v>FALSE</v>
      </c>
      <c r="AO3620" s="10" t="str">
        <f t="shared" si="407"/>
        <v>FALSE</v>
      </c>
      <c r="AP3620" s="10" t="str">
        <f t="shared" si="407"/>
        <v>FALSE</v>
      </c>
      <c r="AQ3620" s="10" t="b">
        <f>IF(AND(I3620="TP",S3620&lt;=150),VLOOKUP(AF3620,TPCalibEq150!$AZ$2:$BB$55,3,),IF(AND(I3620="TDP",S3620&lt;=150),VLOOKUP(AF3620,TPCalibEq150!$AZ$2:$BB$55,3,)))</f>
        <v>0</v>
      </c>
      <c r="AR3620" s="10" t="b">
        <f>IF(AND(I3620="TP",S3620&lt;=300),VLOOKUP(AF3620,TPCalibEq300!$AZ$2:$BB$55,3,),IF(AND(I3620="TDP",S3620&lt;=300),VLOOKUP(AF3620,TPCalibEq300!$AZ$2:$BB$55,3,)))</f>
        <v>0</v>
      </c>
      <c r="AS3620" s="10" t="b">
        <f>IF(AND(I3620="TP",S3620&lt;=500),VLOOKUP(AF3620,TPCalibEq500!$AZ$2:$BB$56,3,),IF(AND(I3620="TDP",S3620&lt;=500),VLOOKUP(AF3620,TPCalibEq500!$AZ$2:$BB$56,3,)))</f>
        <v>0</v>
      </c>
      <c r="AT3620" s="10" t="b">
        <f>IF(AND(I3620="TN",S3620&lt;=2800),VLOOKUP(AF3620,TNCalibEq2500!$AZ$2:$BB$56,3,),IF(AND(I3620="TDN",S3620&lt;=2800),VLOOKUP(AF3620,TNCalibEq2500!$AZ$2:$BB$56,3,)))</f>
        <v>0</v>
      </c>
      <c r="AU3620" s="10" t="b">
        <f>IF(I3620="TP",VLOOKUP(AF3620,TPCalibEqFull!$AZ$2:$BB$56,3),IF(I3620="TDP",VLOOKUP(AF3620,TPCalibEqFull!$AZ$2:$BB$56,3),IF(I3620="TDN",VLOOKUP(AF3620,TNCalibEqFull!$AZ$1:$BB$56,3),IF(I3620="TN",VLOOKUP(AF3620,TNCalibEqFull!$AZ$1:$BB$56,3),FALSE))))</f>
        <v>0</v>
      </c>
      <c r="AV3620" s="10" t="str">
        <f t="shared" si="412"/>
        <v>0222 09:00:00-QAC-STD-F-1-DI-CAL</v>
      </c>
    </row>
    <row r="3621" spans="1:48" s="10" customFormat="1" x14ac:dyDescent="0.55000000000000004">
      <c r="A3621" s="32">
        <v>44979</v>
      </c>
      <c r="B3621" s="33">
        <v>0.375</v>
      </c>
      <c r="C3621" s="10" t="s">
        <v>70</v>
      </c>
      <c r="D3621" s="10" t="s">
        <v>71</v>
      </c>
      <c r="E3621" s="10" t="s">
        <v>909</v>
      </c>
      <c r="F3621" s="10">
        <v>1</v>
      </c>
      <c r="G3621" s="10" t="s">
        <v>73</v>
      </c>
      <c r="H3621" s="10" t="s">
        <v>74</v>
      </c>
      <c r="I3621" s="10" t="s">
        <v>256</v>
      </c>
      <c r="J3621" s="10">
        <v>184</v>
      </c>
      <c r="K3621" s="12">
        <v>44980</v>
      </c>
      <c r="L3621" s="33">
        <v>0.47333333333333333</v>
      </c>
      <c r="M3621" s="10">
        <v>1</v>
      </c>
      <c r="N3621" s="10" t="s">
        <v>169</v>
      </c>
      <c r="O3621" s="10">
        <v>0.60799999999999998</v>
      </c>
      <c r="P3621" s="10">
        <v>2.8299999999999999E-2</v>
      </c>
      <c r="Q3621" s="10">
        <v>80</v>
      </c>
      <c r="R3621" s="10" t="s">
        <v>77</v>
      </c>
      <c r="S3621" s="34">
        <f t="shared" si="409"/>
        <v>80</v>
      </c>
      <c r="T3621" s="10" t="s">
        <v>1270</v>
      </c>
      <c r="U3621" s="34" t="str">
        <f t="shared" si="410"/>
        <v/>
      </c>
      <c r="V3621" s="31" t="str">
        <f>IF(H3621="CHK",VLOOKUP(I3621,QCCHK,3,),IF(H3621="GUP",VLOOKUP(E3621,QCGUP,2,),IF(AND(H3621="ATP",OR(I3621="TN",I3621="TDN",I3621="TNO2-3",I3621="NO2-3")),VLOOKUP(E3621,QCREC_N,2,),IF(AND(H3621="NIC",OR(I3621="TN",I3621="TDN",I3621="TNO2-3",I3621="NO2-3")),VLOOKUP(E3621,QCNIC_N,2,),IF(AND(H3621="UREA",OR(I3621="TN",I3621="TDN",I3621="TNO2-3",I3621="NO2-3")),VLOOKUP(E3621,QCUREA_N,2,),IF(H3621="PER",VLOOKUP(I3621,QCPER,MATCH(E3621,QCACTUAL!$J$25:$AA$25,0),),IF(H3621="SPK",VLOOKUP(I3621,QCSPK,3,),IF(AND(H3621="ATP",OR(I3621="TP",I3621="TDP")),VLOOKUP(E3621,QCATP_P,2,),""))))))))</f>
        <v/>
      </c>
      <c r="W3621" s="31" t="str">
        <f t="shared" si="411"/>
        <v>TRUE</v>
      </c>
      <c r="X3621" s="31" t="str">
        <f t="shared" si="408"/>
        <v/>
      </c>
      <c r="Y3621" s="10" t="s">
        <v>1253</v>
      </c>
      <c r="AL3621" s="10" t="str">
        <f t="shared" si="406"/>
        <v>FALSE</v>
      </c>
      <c r="AM3621" s="10" t="str">
        <f t="shared" si="406"/>
        <v>FALSE</v>
      </c>
      <c r="AN3621" s="10" t="str">
        <f t="shared" si="406"/>
        <v>FALSE</v>
      </c>
      <c r="AO3621" s="10" t="str">
        <f t="shared" si="407"/>
        <v>FALSE</v>
      </c>
      <c r="AP3621" s="10" t="str">
        <f t="shared" si="407"/>
        <v>FALSE</v>
      </c>
      <c r="AQ3621" s="10" t="b">
        <f>IF(AND(I3621="TP",S3621&lt;=150),VLOOKUP(AF3621,TPCalibEq150!$AZ$2:$BB$55,3,),IF(AND(I3621="TDP",S3621&lt;=150),VLOOKUP(AF3621,TPCalibEq150!$AZ$2:$BB$55,3,)))</f>
        <v>0</v>
      </c>
      <c r="AR3621" s="10" t="b">
        <f>IF(AND(I3621="TP",S3621&lt;=300),VLOOKUP(AF3621,TPCalibEq300!$AZ$2:$BB$55,3,),IF(AND(I3621="TDP",S3621&lt;=300),VLOOKUP(AF3621,TPCalibEq300!$AZ$2:$BB$55,3,)))</f>
        <v>0</v>
      </c>
      <c r="AS3621" s="10" t="b">
        <f>IF(AND(I3621="TP",S3621&lt;=500),VLOOKUP(AF3621,TPCalibEq500!$AZ$2:$BB$56,3,),IF(AND(I3621="TDP",S3621&lt;=500),VLOOKUP(AF3621,TPCalibEq500!$AZ$2:$BB$56,3,)))</f>
        <v>0</v>
      </c>
      <c r="AT3621" s="10" t="b">
        <f>IF(AND(I3621="TN",S3621&lt;=2800),VLOOKUP(AF3621,TNCalibEq2500!$AZ$2:$BB$56,3,),IF(AND(I3621="TDN",S3621&lt;=2800),VLOOKUP(AF3621,TNCalibEq2500!$AZ$2:$BB$56,3,)))</f>
        <v>0</v>
      </c>
      <c r="AU3621" s="10" t="b">
        <f>IF(I3621="TP",VLOOKUP(AF3621,TPCalibEqFull!$AZ$2:$BB$56,3),IF(I3621="TDP",VLOOKUP(AF3621,TPCalibEqFull!$AZ$2:$BB$56,3),IF(I3621="TDN",VLOOKUP(AF3621,TNCalibEqFull!$AZ$1:$BB$56,3),IF(I3621="TN",VLOOKUP(AF3621,TNCalibEqFull!$AZ$1:$BB$56,3),FALSE))))</f>
        <v>0</v>
      </c>
      <c r="AV3621" s="10" t="str">
        <f t="shared" si="412"/>
        <v>0222 09:00:00-QAC-STD-E-1-DI-CAL</v>
      </c>
    </row>
    <row r="3622" spans="1:48" s="10" customFormat="1" x14ac:dyDescent="0.55000000000000004">
      <c r="A3622" s="32">
        <v>44979</v>
      </c>
      <c r="B3622" s="33">
        <v>0.375</v>
      </c>
      <c r="C3622" s="10" t="s">
        <v>70</v>
      </c>
      <c r="D3622" s="10" t="s">
        <v>71</v>
      </c>
      <c r="E3622" s="10" t="s">
        <v>901</v>
      </c>
      <c r="F3622" s="10">
        <v>1</v>
      </c>
      <c r="G3622" s="10" t="s">
        <v>73</v>
      </c>
      <c r="H3622" s="10" t="s">
        <v>74</v>
      </c>
      <c r="I3622" s="10" t="s">
        <v>256</v>
      </c>
      <c r="J3622" s="10">
        <v>185</v>
      </c>
      <c r="K3622" s="12">
        <v>44980</v>
      </c>
      <c r="L3622" s="33">
        <v>0.47415509259259259</v>
      </c>
      <c r="M3622" s="10">
        <v>1</v>
      </c>
      <c r="N3622" s="10" t="s">
        <v>169</v>
      </c>
      <c r="O3622" s="10">
        <v>2.2999999999999998</v>
      </c>
      <c r="P3622" s="10">
        <v>0.108</v>
      </c>
      <c r="Q3622" s="10">
        <v>300</v>
      </c>
      <c r="R3622" s="10" t="s">
        <v>77</v>
      </c>
      <c r="S3622" s="34">
        <f t="shared" si="409"/>
        <v>300</v>
      </c>
      <c r="T3622" s="10" t="s">
        <v>1271</v>
      </c>
      <c r="U3622" s="34" t="str">
        <f t="shared" si="410"/>
        <v/>
      </c>
      <c r="V3622" s="31" t="str">
        <f>IF(H3622="CHK",VLOOKUP(I3622,QCCHK,3,),IF(H3622="GUP",VLOOKUP(E3622,QCGUP,2,),IF(AND(H3622="ATP",OR(I3622="TN",I3622="TDN",I3622="TNO2-3",I3622="NO2-3")),VLOOKUP(E3622,QCREC_N,2,),IF(AND(H3622="NIC",OR(I3622="TN",I3622="TDN",I3622="TNO2-3",I3622="NO2-3")),VLOOKUP(E3622,QCNIC_N,2,),IF(AND(H3622="UREA",OR(I3622="TN",I3622="TDN",I3622="TNO2-3",I3622="NO2-3")),VLOOKUP(E3622,QCUREA_N,2,),IF(H3622="PER",VLOOKUP(I3622,QCPER,MATCH(E3622,QCACTUAL!$J$25:$AA$25,0),),IF(H3622="SPK",VLOOKUP(I3622,QCSPK,3,),IF(AND(H3622="ATP",OR(I3622="TP",I3622="TDP")),VLOOKUP(E3622,QCATP_P,2,),""))))))))</f>
        <v/>
      </c>
      <c r="W3622" s="31" t="str">
        <f t="shared" si="411"/>
        <v>TRUE</v>
      </c>
      <c r="X3622" s="31" t="str">
        <f t="shared" si="408"/>
        <v/>
      </c>
      <c r="Y3622" s="10" t="s">
        <v>1253</v>
      </c>
      <c r="AL3622" s="10" t="str">
        <f t="shared" si="406"/>
        <v>FALSE</v>
      </c>
      <c r="AM3622" s="10" t="str">
        <f t="shared" si="406"/>
        <v>FALSE</v>
      </c>
      <c r="AN3622" s="10" t="str">
        <f t="shared" si="406"/>
        <v>FALSE</v>
      </c>
      <c r="AO3622" s="10" t="str">
        <f t="shared" si="407"/>
        <v>FALSE</v>
      </c>
      <c r="AP3622" s="10" t="str">
        <f t="shared" si="407"/>
        <v>FALSE</v>
      </c>
      <c r="AQ3622" s="10" t="b">
        <f>IF(AND(I3622="TP",S3622&lt;=150),VLOOKUP(AF3622,TPCalibEq150!$AZ$2:$BB$55,3,),IF(AND(I3622="TDP",S3622&lt;=150),VLOOKUP(AF3622,TPCalibEq150!$AZ$2:$BB$55,3,)))</f>
        <v>0</v>
      </c>
      <c r="AR3622" s="10" t="b">
        <f>IF(AND(I3622="TP",S3622&lt;=300),VLOOKUP(AF3622,TPCalibEq300!$AZ$2:$BB$55,3,),IF(AND(I3622="TDP",S3622&lt;=300),VLOOKUP(AF3622,TPCalibEq300!$AZ$2:$BB$55,3,)))</f>
        <v>0</v>
      </c>
      <c r="AS3622" s="10" t="b">
        <f>IF(AND(I3622="TP",S3622&lt;=500),VLOOKUP(AF3622,TPCalibEq500!$AZ$2:$BB$56,3,),IF(AND(I3622="TDP",S3622&lt;=500),VLOOKUP(AF3622,TPCalibEq500!$AZ$2:$BB$56,3,)))</f>
        <v>0</v>
      </c>
      <c r="AT3622" s="10" t="b">
        <f>IF(AND(I3622="TN",S3622&lt;=2800),VLOOKUP(AF3622,TNCalibEq2500!$AZ$2:$BB$56,3,),IF(AND(I3622="TDN",S3622&lt;=2800),VLOOKUP(AF3622,TNCalibEq2500!$AZ$2:$BB$56,3,)))</f>
        <v>0</v>
      </c>
      <c r="AU3622" s="10" t="b">
        <f>IF(I3622="TP",VLOOKUP(AF3622,TPCalibEqFull!$AZ$2:$BB$56,3),IF(I3622="TDP",VLOOKUP(AF3622,TPCalibEqFull!$AZ$2:$BB$56,3),IF(I3622="TDN",VLOOKUP(AF3622,TNCalibEqFull!$AZ$1:$BB$56,3),IF(I3622="TN",VLOOKUP(AF3622,TNCalibEqFull!$AZ$1:$BB$56,3),FALSE))))</f>
        <v>0</v>
      </c>
      <c r="AV3622" s="10" t="str">
        <f t="shared" si="412"/>
        <v>0222 09:00:00-QAC-STD-D-1-DI-CAL</v>
      </c>
    </row>
    <row r="3623" spans="1:48" s="10" customFormat="1" x14ac:dyDescent="0.55000000000000004">
      <c r="A3623" s="32">
        <v>44979</v>
      </c>
      <c r="B3623" s="33">
        <v>0.375</v>
      </c>
      <c r="C3623" s="10" t="s">
        <v>70</v>
      </c>
      <c r="D3623" s="10" t="s">
        <v>71</v>
      </c>
      <c r="E3623" s="10" t="s">
        <v>190</v>
      </c>
      <c r="F3623" s="10">
        <v>1</v>
      </c>
      <c r="G3623" s="10" t="s">
        <v>73</v>
      </c>
      <c r="H3623" s="10" t="s">
        <v>74</v>
      </c>
      <c r="I3623" s="10" t="s">
        <v>256</v>
      </c>
      <c r="J3623" s="10">
        <v>186</v>
      </c>
      <c r="K3623" s="12">
        <v>44980</v>
      </c>
      <c r="L3623" s="33">
        <v>0.47497685185185184</v>
      </c>
      <c r="M3623" s="10">
        <v>1</v>
      </c>
      <c r="N3623" s="10" t="s">
        <v>169</v>
      </c>
      <c r="O3623" s="10">
        <v>4.58</v>
      </c>
      <c r="P3623" s="10">
        <v>0.215</v>
      </c>
      <c r="Q3623" s="10">
        <v>600</v>
      </c>
      <c r="R3623" s="10" t="s">
        <v>77</v>
      </c>
      <c r="S3623" s="34">
        <f t="shared" si="409"/>
        <v>600</v>
      </c>
      <c r="T3623" s="10" t="s">
        <v>1272</v>
      </c>
      <c r="U3623" s="34" t="str">
        <f t="shared" si="410"/>
        <v/>
      </c>
      <c r="V3623" s="31" t="str">
        <f>IF(H3623="CHK",VLOOKUP(I3623,QCCHK,3,),IF(H3623="GUP",VLOOKUP(E3623,QCGUP,2,),IF(AND(H3623="ATP",OR(I3623="TN",I3623="TDN",I3623="TNO2-3",I3623="NO2-3")),VLOOKUP(E3623,QCREC_N,2,),IF(AND(H3623="NIC",OR(I3623="TN",I3623="TDN",I3623="TNO2-3",I3623="NO2-3")),VLOOKUP(E3623,QCNIC_N,2,),IF(AND(H3623="UREA",OR(I3623="TN",I3623="TDN",I3623="TNO2-3",I3623="NO2-3")),VLOOKUP(E3623,QCUREA_N,2,),IF(H3623="PER",VLOOKUP(I3623,QCPER,MATCH(E3623,QCACTUAL!$J$25:$AA$25,0),),IF(H3623="SPK",VLOOKUP(I3623,QCSPK,3,),IF(AND(H3623="ATP",OR(I3623="TP",I3623="TDP")),VLOOKUP(E3623,QCATP_P,2,),""))))))))</f>
        <v/>
      </c>
      <c r="W3623" s="31" t="str">
        <f t="shared" si="411"/>
        <v>TRUE</v>
      </c>
      <c r="X3623" s="31" t="str">
        <f t="shared" si="408"/>
        <v/>
      </c>
      <c r="Y3623" s="10" t="s">
        <v>1253</v>
      </c>
      <c r="AL3623" s="10" t="str">
        <f t="shared" si="406"/>
        <v>FALSE</v>
      </c>
      <c r="AM3623" s="10" t="str">
        <f t="shared" si="406"/>
        <v>FALSE</v>
      </c>
      <c r="AN3623" s="10" t="str">
        <f t="shared" si="406"/>
        <v>FALSE</v>
      </c>
      <c r="AO3623" s="10" t="str">
        <f t="shared" si="407"/>
        <v>FALSE</v>
      </c>
      <c r="AP3623" s="10" t="str">
        <f t="shared" si="407"/>
        <v>FALSE</v>
      </c>
      <c r="AQ3623" s="10" t="b">
        <f>IF(AND(I3623="TP",S3623&lt;=150),VLOOKUP(AF3623,TPCalibEq150!$AZ$2:$BB$55,3,),IF(AND(I3623="TDP",S3623&lt;=150),VLOOKUP(AF3623,TPCalibEq150!$AZ$2:$BB$55,3,)))</f>
        <v>0</v>
      </c>
      <c r="AR3623" s="10" t="b">
        <f>IF(AND(I3623="TP",S3623&lt;=300),VLOOKUP(AF3623,TPCalibEq300!$AZ$2:$BB$55,3,),IF(AND(I3623="TDP",S3623&lt;=300),VLOOKUP(AF3623,TPCalibEq300!$AZ$2:$BB$55,3,)))</f>
        <v>0</v>
      </c>
      <c r="AS3623" s="10" t="b">
        <f>IF(AND(I3623="TP",S3623&lt;=500),VLOOKUP(AF3623,TPCalibEq500!$AZ$2:$BB$56,3,),IF(AND(I3623="TDP",S3623&lt;=500),VLOOKUP(AF3623,TPCalibEq500!$AZ$2:$BB$56,3,)))</f>
        <v>0</v>
      </c>
      <c r="AT3623" s="10" t="b">
        <f>IF(AND(I3623="TN",S3623&lt;=2800),VLOOKUP(AF3623,TNCalibEq2500!$AZ$2:$BB$56,3,),IF(AND(I3623="TDN",S3623&lt;=2800),VLOOKUP(AF3623,TNCalibEq2500!$AZ$2:$BB$56,3,)))</f>
        <v>0</v>
      </c>
      <c r="AU3623" s="10" t="b">
        <f>IF(I3623="TP",VLOOKUP(AF3623,TPCalibEqFull!$AZ$2:$BB$56,3),IF(I3623="TDP",VLOOKUP(AF3623,TPCalibEqFull!$AZ$2:$BB$56,3),IF(I3623="TDN",VLOOKUP(AF3623,TNCalibEqFull!$AZ$1:$BB$56,3),IF(I3623="TN",VLOOKUP(AF3623,TNCalibEqFull!$AZ$1:$BB$56,3),FALSE))))</f>
        <v>0</v>
      </c>
      <c r="AV3623" s="10" t="str">
        <f t="shared" si="412"/>
        <v>0222 09:00:00-QAC-STD-C-1-DI-CAL</v>
      </c>
    </row>
    <row r="3624" spans="1:48" s="10" customFormat="1" x14ac:dyDescent="0.55000000000000004">
      <c r="A3624" s="32">
        <v>44979</v>
      </c>
      <c r="B3624" s="33">
        <v>0.375</v>
      </c>
      <c r="C3624" s="10" t="s">
        <v>70</v>
      </c>
      <c r="D3624" s="10" t="s">
        <v>71</v>
      </c>
      <c r="E3624" s="10" t="s">
        <v>583</v>
      </c>
      <c r="F3624" s="10">
        <v>1</v>
      </c>
      <c r="G3624" s="10" t="s">
        <v>73</v>
      </c>
      <c r="H3624" s="10" t="s">
        <v>74</v>
      </c>
      <c r="I3624" s="10" t="s">
        <v>256</v>
      </c>
      <c r="J3624" s="10">
        <v>187</v>
      </c>
      <c r="K3624" s="12">
        <v>44980</v>
      </c>
      <c r="L3624" s="33">
        <v>0.47579861111111116</v>
      </c>
      <c r="M3624" s="10">
        <v>1</v>
      </c>
      <c r="N3624" s="10" t="s">
        <v>169</v>
      </c>
      <c r="O3624" s="10">
        <v>9.27</v>
      </c>
      <c r="P3624" s="10">
        <v>0.438</v>
      </c>
      <c r="Q3624" s="10">
        <v>1200</v>
      </c>
      <c r="R3624" s="10" t="s">
        <v>77</v>
      </c>
      <c r="S3624" s="34">
        <f t="shared" si="409"/>
        <v>1200</v>
      </c>
      <c r="T3624" s="10" t="s">
        <v>1273</v>
      </c>
      <c r="U3624" s="34" t="str">
        <f t="shared" si="410"/>
        <v/>
      </c>
      <c r="V3624" s="31" t="str">
        <f>IF(H3624="CHK",VLOOKUP(I3624,QCCHK,3,),IF(H3624="GUP",VLOOKUP(E3624,QCGUP,2,),IF(AND(H3624="ATP",OR(I3624="TN",I3624="TDN",I3624="TNO2-3",I3624="NO2-3")),VLOOKUP(E3624,QCREC_N,2,),IF(AND(H3624="NIC",OR(I3624="TN",I3624="TDN",I3624="TNO2-3",I3624="NO2-3")),VLOOKUP(E3624,QCNIC_N,2,),IF(AND(H3624="UREA",OR(I3624="TN",I3624="TDN",I3624="TNO2-3",I3624="NO2-3")),VLOOKUP(E3624,QCUREA_N,2,),IF(H3624="PER",VLOOKUP(I3624,QCPER,MATCH(E3624,QCACTUAL!$J$25:$AA$25,0),),IF(H3624="SPK",VLOOKUP(I3624,QCSPK,3,),IF(AND(H3624="ATP",OR(I3624="TP",I3624="TDP")),VLOOKUP(E3624,QCATP_P,2,),""))))))))</f>
        <v/>
      </c>
      <c r="W3624" s="31" t="str">
        <f t="shared" si="411"/>
        <v>TRUE</v>
      </c>
      <c r="X3624" s="31" t="str">
        <f t="shared" si="408"/>
        <v/>
      </c>
      <c r="Y3624" s="10" t="s">
        <v>1253</v>
      </c>
      <c r="AL3624" s="10" t="str">
        <f t="shared" ref="AL3624:AN3687" si="413">IF($O3624="", "", IF(AQ3624&lt;&gt;"", SUBSTITUTE(SUBSTITUTE(AQ3624, "x", "*"&amp;$O3624&amp;"^", 1), "x", "*"&amp;$O3624, 1), ""))</f>
        <v>FALSE</v>
      </c>
      <c r="AM3624" s="10" t="str">
        <f t="shared" si="413"/>
        <v>FALSE</v>
      </c>
      <c r="AN3624" s="10" t="str">
        <f t="shared" si="413"/>
        <v>FALSE</v>
      </c>
      <c r="AO3624" s="10" t="str">
        <f t="shared" ref="AO3624:AP3687" si="414">IF($O3624="", "FALSE", IF(AT3624&lt;&gt;"FALSE", SUBSTITUTE(SUBSTITUTE(AT3624, "x", "*"&amp;$O3624&amp;"^", 1), "x", "*"&amp;$O3624, 1), ""))</f>
        <v>FALSE</v>
      </c>
      <c r="AP3624" s="10" t="str">
        <f t="shared" si="414"/>
        <v>FALSE</v>
      </c>
      <c r="AQ3624" s="10" t="b">
        <f>IF(AND(I3624="TP",S3624&lt;=150),VLOOKUP(AF3624,TPCalibEq150!$AZ$2:$BB$55,3,),IF(AND(I3624="TDP",S3624&lt;=150),VLOOKUP(AF3624,TPCalibEq150!$AZ$2:$BB$55,3,)))</f>
        <v>0</v>
      </c>
      <c r="AR3624" s="10" t="b">
        <f>IF(AND(I3624="TP",S3624&lt;=300),VLOOKUP(AF3624,TPCalibEq300!$AZ$2:$BB$55,3,),IF(AND(I3624="TDP",S3624&lt;=300),VLOOKUP(AF3624,TPCalibEq300!$AZ$2:$BB$55,3,)))</f>
        <v>0</v>
      </c>
      <c r="AS3624" s="10" t="b">
        <f>IF(AND(I3624="TP",S3624&lt;=500),VLOOKUP(AF3624,TPCalibEq500!$AZ$2:$BB$56,3,),IF(AND(I3624="TDP",S3624&lt;=500),VLOOKUP(AF3624,TPCalibEq500!$AZ$2:$BB$56,3,)))</f>
        <v>0</v>
      </c>
      <c r="AT3624" s="10" t="b">
        <f>IF(AND(I3624="TN",S3624&lt;=2800),VLOOKUP(AF3624,TNCalibEq2500!$AZ$2:$BB$56,3,),IF(AND(I3624="TDN",S3624&lt;=2800),VLOOKUP(AF3624,TNCalibEq2500!$AZ$2:$BB$56,3,)))</f>
        <v>0</v>
      </c>
      <c r="AU3624" s="10" t="b">
        <f>IF(I3624="TP",VLOOKUP(AF3624,TPCalibEqFull!$AZ$2:$BB$56,3),IF(I3624="TDP",VLOOKUP(AF3624,TPCalibEqFull!$AZ$2:$BB$56,3),IF(I3624="TDN",VLOOKUP(AF3624,TNCalibEqFull!$AZ$1:$BB$56,3),IF(I3624="TN",VLOOKUP(AF3624,TNCalibEqFull!$AZ$1:$BB$56,3),FALSE))))</f>
        <v>0</v>
      </c>
      <c r="AV3624" s="10" t="str">
        <f t="shared" si="412"/>
        <v>0222 09:00:00-QAC-STD-B-1-DI-CAL</v>
      </c>
    </row>
    <row r="3625" spans="1:48" s="10" customFormat="1" x14ac:dyDescent="0.55000000000000004">
      <c r="A3625" s="32">
        <v>44979</v>
      </c>
      <c r="B3625" s="33">
        <v>0.375</v>
      </c>
      <c r="C3625" s="10" t="s">
        <v>70</v>
      </c>
      <c r="D3625" s="10" t="s">
        <v>71</v>
      </c>
      <c r="E3625" s="10" t="s">
        <v>866</v>
      </c>
      <c r="F3625" s="10">
        <v>1</v>
      </c>
      <c r="G3625" s="10" t="s">
        <v>73</v>
      </c>
      <c r="H3625" s="10" t="s">
        <v>74</v>
      </c>
      <c r="I3625" s="10" t="s">
        <v>256</v>
      </c>
      <c r="J3625" s="10">
        <v>188</v>
      </c>
      <c r="K3625" s="12">
        <v>44980</v>
      </c>
      <c r="L3625" s="33">
        <v>0.47663194444444446</v>
      </c>
      <c r="M3625" s="10">
        <v>1</v>
      </c>
      <c r="N3625" s="10" t="s">
        <v>169</v>
      </c>
      <c r="O3625" s="10">
        <v>15.3</v>
      </c>
      <c r="P3625" s="10">
        <v>0.72399999999999998</v>
      </c>
      <c r="Q3625" s="10">
        <v>2000</v>
      </c>
      <c r="R3625" s="10" t="s">
        <v>77</v>
      </c>
      <c r="S3625" s="34">
        <f t="shared" si="409"/>
        <v>2000</v>
      </c>
      <c r="T3625" s="10" t="s">
        <v>1274</v>
      </c>
      <c r="U3625" s="34" t="str">
        <f t="shared" si="410"/>
        <v/>
      </c>
      <c r="V3625" s="31" t="str">
        <f>IF(H3625="CHK",VLOOKUP(I3625,QCCHK,3,),IF(H3625="GUP",VLOOKUP(E3625,QCGUP,2,),IF(AND(H3625="ATP",OR(I3625="TN",I3625="TDN",I3625="TNO2-3",I3625="NO2-3")),VLOOKUP(E3625,QCREC_N,2,),IF(AND(H3625="NIC",OR(I3625="TN",I3625="TDN",I3625="TNO2-3",I3625="NO2-3")),VLOOKUP(E3625,QCNIC_N,2,),IF(AND(H3625="UREA",OR(I3625="TN",I3625="TDN",I3625="TNO2-3",I3625="NO2-3")),VLOOKUP(E3625,QCUREA_N,2,),IF(H3625="PER",VLOOKUP(I3625,QCPER,MATCH(E3625,QCACTUAL!$J$25:$AA$25,0),),IF(H3625="SPK",VLOOKUP(I3625,QCSPK,3,),IF(AND(H3625="ATP",OR(I3625="TP",I3625="TDP")),VLOOKUP(E3625,QCATP_P,2,),""))))))))</f>
        <v/>
      </c>
      <c r="W3625" s="31" t="str">
        <f t="shared" si="411"/>
        <v>TRUE</v>
      </c>
      <c r="X3625" s="31" t="str">
        <f t="shared" si="408"/>
        <v/>
      </c>
      <c r="Y3625" s="10" t="s">
        <v>1253</v>
      </c>
      <c r="AL3625" s="10" t="str">
        <f t="shared" si="413"/>
        <v>FALSE</v>
      </c>
      <c r="AM3625" s="10" t="str">
        <f t="shared" si="413"/>
        <v>FALSE</v>
      </c>
      <c r="AN3625" s="10" t="str">
        <f t="shared" si="413"/>
        <v>FALSE</v>
      </c>
      <c r="AO3625" s="10" t="str">
        <f t="shared" si="414"/>
        <v>FALSE</v>
      </c>
      <c r="AP3625" s="10" t="str">
        <f t="shared" si="414"/>
        <v>FALSE</v>
      </c>
      <c r="AQ3625" s="10" t="b">
        <f>IF(AND(I3625="TP",S3625&lt;=150),VLOOKUP(AF3625,TPCalibEq150!$AZ$2:$BB$55,3,),IF(AND(I3625="TDP",S3625&lt;=150),VLOOKUP(AF3625,TPCalibEq150!$AZ$2:$BB$55,3,)))</f>
        <v>0</v>
      </c>
      <c r="AR3625" s="10" t="b">
        <f>IF(AND(I3625="TP",S3625&lt;=300),VLOOKUP(AF3625,TPCalibEq300!$AZ$2:$BB$55,3,),IF(AND(I3625="TDP",S3625&lt;=300),VLOOKUP(AF3625,TPCalibEq300!$AZ$2:$BB$55,3,)))</f>
        <v>0</v>
      </c>
      <c r="AS3625" s="10" t="b">
        <f>IF(AND(I3625="TP",S3625&lt;=500),VLOOKUP(AF3625,TPCalibEq500!$AZ$2:$BB$56,3,),IF(AND(I3625="TDP",S3625&lt;=500),VLOOKUP(AF3625,TPCalibEq500!$AZ$2:$BB$56,3,)))</f>
        <v>0</v>
      </c>
      <c r="AT3625" s="10" t="b">
        <f>IF(AND(I3625="TN",S3625&lt;=2800),VLOOKUP(AF3625,TNCalibEq2500!$AZ$2:$BB$56,3,),IF(AND(I3625="TDN",S3625&lt;=2800),VLOOKUP(AF3625,TNCalibEq2500!$AZ$2:$BB$56,3,)))</f>
        <v>0</v>
      </c>
      <c r="AU3625" s="10" t="b">
        <f>IF(I3625="TP",VLOOKUP(AF3625,TPCalibEqFull!$AZ$2:$BB$56,3),IF(I3625="TDP",VLOOKUP(AF3625,TPCalibEqFull!$AZ$2:$BB$56,3),IF(I3625="TDN",VLOOKUP(AF3625,TNCalibEqFull!$AZ$1:$BB$56,3),IF(I3625="TN",VLOOKUP(AF3625,TNCalibEqFull!$AZ$1:$BB$56,3),FALSE))))</f>
        <v>0</v>
      </c>
      <c r="AV3625" s="10" t="str">
        <f t="shared" si="412"/>
        <v>0222 09:00:00-QAC-STD-A-1-DI-CAL</v>
      </c>
    </row>
    <row r="3626" spans="1:48" s="10" customFormat="1" x14ac:dyDescent="0.55000000000000004">
      <c r="A3626" s="32">
        <v>44979</v>
      </c>
      <c r="B3626" s="33">
        <v>0.375</v>
      </c>
      <c r="C3626" s="10" t="s">
        <v>70</v>
      </c>
      <c r="D3626" s="10" t="s">
        <v>241</v>
      </c>
      <c r="E3626" s="10" t="s">
        <v>866</v>
      </c>
      <c r="F3626" s="10">
        <v>1</v>
      </c>
      <c r="G3626" s="10" t="s">
        <v>73</v>
      </c>
      <c r="H3626" s="10" t="s">
        <v>283</v>
      </c>
      <c r="I3626" s="10" t="s">
        <v>256</v>
      </c>
      <c r="J3626" s="10">
        <v>198</v>
      </c>
      <c r="K3626" s="12">
        <v>44980</v>
      </c>
      <c r="L3626" s="33">
        <v>0.47825231481481478</v>
      </c>
      <c r="M3626" s="10">
        <v>1</v>
      </c>
      <c r="N3626" s="10" t="s">
        <v>169</v>
      </c>
      <c r="O3626" s="10">
        <v>1.7500000000000002E-2</v>
      </c>
      <c r="P3626" s="10">
        <v>1.2800000000000001E-3</v>
      </c>
      <c r="Q3626" s="10">
        <v>1.55</v>
      </c>
      <c r="R3626" s="10" t="s">
        <v>77</v>
      </c>
      <c r="S3626" s="34">
        <f t="shared" si="409"/>
        <v>1.55</v>
      </c>
      <c r="T3626" s="10" t="s">
        <v>1274</v>
      </c>
      <c r="U3626" s="34">
        <f t="shared" si="410"/>
        <v>1.55</v>
      </c>
      <c r="V3626" s="31" t="str">
        <f>IF(H3626="CHK",VLOOKUP(I3626,QCCHK,3,),IF(H3626="GUP",VLOOKUP(E3626,QCGUP,2,),IF(AND(H3626="ATP",OR(I3626="TN",I3626="TDN",I3626="TNO2-3",I3626="NO2-3")),VLOOKUP(E3626,QCREC_N,2,),IF(AND(H3626="NIC",OR(I3626="TN",I3626="TDN",I3626="TNO2-3",I3626="NO2-3")),VLOOKUP(E3626,QCNIC_N,2,),IF(AND(H3626="UREA",OR(I3626="TN",I3626="TDN",I3626="TNO2-3",I3626="NO2-3")),VLOOKUP(E3626,QCUREA_N,2,),IF(H3626="PER",VLOOKUP(I3626,QCPER,MATCH(E3626,QCACTUAL!$J$25:$AA$25,0),),IF(H3626="SPK",VLOOKUP(I3626,QCSPK,3,),IF(AND(H3626="ATP",OR(I3626="TP",I3626="TDP")),VLOOKUP(E3626,QCATP_P,2,),""))))))))</f>
        <v/>
      </c>
      <c r="W3626" s="31" t="str">
        <f t="shared" si="411"/>
        <v>TRUE</v>
      </c>
      <c r="X3626" s="31" t="str">
        <f t="shared" si="408"/>
        <v>nominal concentration</v>
      </c>
      <c r="Y3626" s="10" t="s">
        <v>1253</v>
      </c>
      <c r="AL3626" s="10" t="str">
        <f t="shared" si="413"/>
        <v>FALSE</v>
      </c>
      <c r="AM3626" s="10" t="str">
        <f t="shared" si="413"/>
        <v>FALSE</v>
      </c>
      <c r="AN3626" s="10" t="str">
        <f t="shared" si="413"/>
        <v>FALSE</v>
      </c>
      <c r="AO3626" s="10" t="str">
        <f t="shared" si="414"/>
        <v>FALSE</v>
      </c>
      <c r="AP3626" s="10" t="str">
        <f t="shared" si="414"/>
        <v>FALSE</v>
      </c>
      <c r="AQ3626" s="10" t="b">
        <f>IF(AND(I3626="TP",S3626&lt;=150),VLOOKUP(AF3626,TPCalibEq150!$AZ$2:$BB$55,3,),IF(AND(I3626="TDP",S3626&lt;=150),VLOOKUP(AF3626,TPCalibEq150!$AZ$2:$BB$55,3,)))</f>
        <v>0</v>
      </c>
      <c r="AR3626" s="10" t="b">
        <f>IF(AND(I3626="TP",S3626&lt;=300),VLOOKUP(AF3626,TPCalibEq300!$AZ$2:$BB$55,3,),IF(AND(I3626="TDP",S3626&lt;=300),VLOOKUP(AF3626,TPCalibEq300!$AZ$2:$BB$55,3,)))</f>
        <v>0</v>
      </c>
      <c r="AS3626" s="10" t="b">
        <f>IF(AND(I3626="TP",S3626&lt;=500),VLOOKUP(AF3626,TPCalibEq500!$AZ$2:$BB$56,3,),IF(AND(I3626="TDP",S3626&lt;=500),VLOOKUP(AF3626,TPCalibEq500!$AZ$2:$BB$56,3,)))</f>
        <v>0</v>
      </c>
      <c r="AT3626" s="10" t="b">
        <f>IF(AND(I3626="TN",S3626&lt;=2800),VLOOKUP(AF3626,TNCalibEq2500!$AZ$2:$BB$56,3,),IF(AND(I3626="TDN",S3626&lt;=2800),VLOOKUP(AF3626,TNCalibEq2500!$AZ$2:$BB$56,3,)))</f>
        <v>0</v>
      </c>
      <c r="AU3626" s="10" t="b">
        <f>IF(I3626="TP",VLOOKUP(AF3626,TPCalibEqFull!$AZ$2:$BB$56,3),IF(I3626="TDP",VLOOKUP(AF3626,TPCalibEqFull!$AZ$2:$BB$56,3),IF(I3626="TDN",VLOOKUP(AF3626,TNCalibEqFull!$AZ$1:$BB$56,3),IF(I3626="TN",VLOOKUP(AF3626,TNCalibEqFull!$AZ$1:$BB$56,3),FALSE))))</f>
        <v>0</v>
      </c>
      <c r="AV3626" s="10" t="str">
        <f t="shared" si="412"/>
        <v>0222 09:00:00-QAC-BLK-A-1-DI-LAB</v>
      </c>
    </row>
    <row r="3627" spans="1:48" s="10" customFormat="1" x14ac:dyDescent="0.55000000000000004">
      <c r="A3627" s="32">
        <v>44979</v>
      </c>
      <c r="B3627" s="33">
        <v>0.375</v>
      </c>
      <c r="C3627" s="10" t="s">
        <v>70</v>
      </c>
      <c r="D3627" s="10" t="s">
        <v>241</v>
      </c>
      <c r="E3627" s="10" t="s">
        <v>866</v>
      </c>
      <c r="F3627" s="10">
        <v>1</v>
      </c>
      <c r="G3627" s="10" t="s">
        <v>73</v>
      </c>
      <c r="H3627" s="10" t="s">
        <v>314</v>
      </c>
      <c r="I3627" s="10" t="s">
        <v>256</v>
      </c>
      <c r="J3627" s="10">
        <v>225</v>
      </c>
      <c r="K3627" s="12">
        <v>44980</v>
      </c>
      <c r="L3627" s="33">
        <v>0.47908564814814819</v>
      </c>
      <c r="M3627" s="10">
        <v>1</v>
      </c>
      <c r="N3627" s="10" t="s">
        <v>169</v>
      </c>
      <c r="O3627" s="10">
        <v>4.9800000000000004</v>
      </c>
      <c r="P3627" s="10">
        <v>0.23499999999999999</v>
      </c>
      <c r="Q3627" s="10">
        <v>649</v>
      </c>
      <c r="R3627" s="10" t="s">
        <v>77</v>
      </c>
      <c r="S3627" s="34">
        <f t="shared" si="409"/>
        <v>649</v>
      </c>
      <c r="T3627" s="10" t="s">
        <v>1274</v>
      </c>
      <c r="U3627" s="34">
        <f t="shared" si="410"/>
        <v>103.59200000000001</v>
      </c>
      <c r="V3627" s="31">
        <f>IF(H3627="CHK",VLOOKUP(I3627,QCCHK,3,),IF(H3627="GUP",VLOOKUP(E3627,QCGUP,2,),IF(AND(H3627="ATP",OR(I3627="TN",I3627="TDN",I3627="TNO2-3",I3627="NO2-3")),VLOOKUP(E3627,QCREC_N,2,),IF(AND(H3627="NIC",OR(I3627="TN",I3627="TDN",I3627="TNO2-3",I3627="NO2-3")),VLOOKUP(E3627,QCNIC_N,2,),IF(AND(H3627="UREA",OR(I3627="TN",I3627="TDN",I3627="TNO2-3",I3627="NO2-3")),VLOOKUP(E3627,QCUREA_N,2,),IF(H3627="PER",VLOOKUP(I3627,QCPER,MATCH(E3627,QCACTUAL!$J$25:$AA$25,0),),IF(H3627="SPK",VLOOKUP(I3627,QCSPK,3,),IF(AND(H3627="ATP",OR(I3627="TP",I3627="TDP")),VLOOKUP(E3627,QCATP_P,2,),""))))))))</f>
        <v>625</v>
      </c>
      <c r="W3627" s="31" t="str">
        <f t="shared" si="411"/>
        <v>TRUE</v>
      </c>
      <c r="X3627" s="31" t="str">
        <f t="shared" si="408"/>
        <v>([spikedunkn]-[unkn])/[spike]*100</v>
      </c>
      <c r="Y3627" s="10" t="s">
        <v>1253</v>
      </c>
      <c r="AL3627" s="10" t="str">
        <f t="shared" si="413"/>
        <v>FALSE</v>
      </c>
      <c r="AM3627" s="10" t="str">
        <f t="shared" si="413"/>
        <v>FALSE</v>
      </c>
      <c r="AN3627" s="10" t="str">
        <f t="shared" si="413"/>
        <v>FALSE</v>
      </c>
      <c r="AO3627" s="10" t="str">
        <f t="shared" si="414"/>
        <v>FALSE</v>
      </c>
      <c r="AP3627" s="10" t="str">
        <f t="shared" si="414"/>
        <v>FALSE</v>
      </c>
      <c r="AQ3627" s="10" t="b">
        <f>IF(AND(I3627="TP",S3627&lt;=150),VLOOKUP(AF3627,TPCalibEq150!$AZ$2:$BB$55,3,),IF(AND(I3627="TDP",S3627&lt;=150),VLOOKUP(AF3627,TPCalibEq150!$AZ$2:$BB$55,3,)))</f>
        <v>0</v>
      </c>
      <c r="AR3627" s="10" t="b">
        <f>IF(AND(I3627="TP",S3627&lt;=300),VLOOKUP(AF3627,TPCalibEq300!$AZ$2:$BB$55,3,),IF(AND(I3627="TDP",S3627&lt;=300),VLOOKUP(AF3627,TPCalibEq300!$AZ$2:$BB$55,3,)))</f>
        <v>0</v>
      </c>
      <c r="AS3627" s="10" t="b">
        <f>IF(AND(I3627="TP",S3627&lt;=500),VLOOKUP(AF3627,TPCalibEq500!$AZ$2:$BB$56,3,),IF(AND(I3627="TDP",S3627&lt;=500),VLOOKUP(AF3627,TPCalibEq500!$AZ$2:$BB$56,3,)))</f>
        <v>0</v>
      </c>
      <c r="AT3627" s="10" t="b">
        <f>IF(AND(I3627="TN",S3627&lt;=2800),VLOOKUP(AF3627,TNCalibEq2500!$AZ$2:$BB$56,3,),IF(AND(I3627="TDN",S3627&lt;=2800),VLOOKUP(AF3627,TNCalibEq2500!$AZ$2:$BB$56,3,)))</f>
        <v>0</v>
      </c>
      <c r="AU3627" s="10" t="b">
        <f>IF(I3627="TP",VLOOKUP(AF3627,TPCalibEqFull!$AZ$2:$BB$56,3),IF(I3627="TDP",VLOOKUP(AF3627,TPCalibEqFull!$AZ$2:$BB$56,3),IF(I3627="TDN",VLOOKUP(AF3627,TNCalibEqFull!$AZ$1:$BB$56,3),IF(I3627="TN",VLOOKUP(AF3627,TNCalibEqFull!$AZ$1:$BB$56,3),FALSE))))</f>
        <v>0</v>
      </c>
      <c r="AV3627" s="10" t="str">
        <f t="shared" si="412"/>
        <v>0222 09:00:00-QAC-BLK-A-1-DI-SPK</v>
      </c>
    </row>
    <row r="3628" spans="1:48" s="10" customFormat="1" x14ac:dyDescent="0.55000000000000004">
      <c r="A3628" s="32">
        <v>44979</v>
      </c>
      <c r="B3628" s="33">
        <v>0.375</v>
      </c>
      <c r="C3628" s="10" t="s">
        <v>70</v>
      </c>
      <c r="D3628" s="10" t="s">
        <v>71</v>
      </c>
      <c r="E3628" s="10" t="s">
        <v>316</v>
      </c>
      <c r="F3628" s="10">
        <v>1</v>
      </c>
      <c r="G3628" s="10" t="s">
        <v>73</v>
      </c>
      <c r="H3628" s="10" t="s">
        <v>74</v>
      </c>
      <c r="I3628" s="10" t="s">
        <v>256</v>
      </c>
      <c r="J3628" s="10">
        <v>189</v>
      </c>
      <c r="K3628" s="12">
        <v>44980</v>
      </c>
      <c r="L3628" s="33">
        <v>0.48155092592592591</v>
      </c>
      <c r="M3628" s="10">
        <v>1</v>
      </c>
      <c r="N3628" s="10" t="s">
        <v>169</v>
      </c>
      <c r="O3628" s="10">
        <v>10.5</v>
      </c>
      <c r="P3628" s="10">
        <v>0.49</v>
      </c>
      <c r="Q3628" s="10">
        <v>1370</v>
      </c>
      <c r="R3628" s="10" t="s">
        <v>77</v>
      </c>
      <c r="S3628" s="34">
        <f t="shared" si="409"/>
        <v>1370</v>
      </c>
      <c r="T3628" s="10" t="s">
        <v>1274</v>
      </c>
      <c r="U3628" s="34" t="str">
        <f t="shared" si="410"/>
        <v/>
      </c>
      <c r="V3628" s="31" t="str">
        <f>IF(H3628="CHK",VLOOKUP(I3628,QCCHK,3,),IF(H3628="GUP",VLOOKUP(E3628,QCGUP,2,),IF(AND(H3628="ATP",OR(I3628="TN",I3628="TDN",I3628="TNO2-3",I3628="NO2-3")),VLOOKUP(E3628,QCREC_N,2,),IF(AND(H3628="NIC",OR(I3628="TN",I3628="TDN",I3628="TNO2-3",I3628="NO2-3")),VLOOKUP(E3628,QCNIC_N,2,),IF(AND(H3628="UREA",OR(I3628="TN",I3628="TDN",I3628="TNO2-3",I3628="NO2-3")),VLOOKUP(E3628,QCUREA_N,2,),IF(H3628="PER",VLOOKUP(I3628,QCPER,MATCH(E3628,QCACTUAL!$J$25:$AA$25,0),),IF(H3628="SPK",VLOOKUP(I3628,QCSPK,3,),IF(AND(H3628="ATP",OR(I3628="TP",I3628="TDP")),VLOOKUP(E3628,QCATP_P,2,),""))))))))</f>
        <v/>
      </c>
      <c r="W3628" s="31" t="str">
        <f t="shared" si="411"/>
        <v>TRUE</v>
      </c>
      <c r="X3628" s="31" t="str">
        <f t="shared" si="408"/>
        <v/>
      </c>
      <c r="Y3628" s="10" t="s">
        <v>1253</v>
      </c>
      <c r="AL3628" s="10" t="str">
        <f t="shared" si="413"/>
        <v>FALSE</v>
      </c>
      <c r="AM3628" s="10" t="str">
        <f t="shared" si="413"/>
        <v>FALSE</v>
      </c>
      <c r="AN3628" s="10" t="str">
        <f t="shared" si="413"/>
        <v>FALSE</v>
      </c>
      <c r="AO3628" s="10" t="str">
        <f t="shared" si="414"/>
        <v>FALSE</v>
      </c>
      <c r="AP3628" s="10" t="str">
        <f t="shared" si="414"/>
        <v>FALSE</v>
      </c>
      <c r="AQ3628" s="10" t="b">
        <f>IF(AND(I3628="TP",S3628&lt;=150),VLOOKUP(AF3628,TPCalibEq150!$AZ$2:$BB$55,3,),IF(AND(I3628="TDP",S3628&lt;=150),VLOOKUP(AF3628,TPCalibEq150!$AZ$2:$BB$55,3,)))</f>
        <v>0</v>
      </c>
      <c r="AR3628" s="10" t="b">
        <f>IF(AND(I3628="TP",S3628&lt;=300),VLOOKUP(AF3628,TPCalibEq300!$AZ$2:$BB$55,3,),IF(AND(I3628="TDP",S3628&lt;=300),VLOOKUP(AF3628,TPCalibEq300!$AZ$2:$BB$55,3,)))</f>
        <v>0</v>
      </c>
      <c r="AS3628" s="10" t="b">
        <f>IF(AND(I3628="TP",S3628&lt;=500),VLOOKUP(AF3628,TPCalibEq500!$AZ$2:$BB$56,3,),IF(AND(I3628="TDP",S3628&lt;=500),VLOOKUP(AF3628,TPCalibEq500!$AZ$2:$BB$56,3,)))</f>
        <v>0</v>
      </c>
      <c r="AT3628" s="10" t="b">
        <f>IF(AND(I3628="TN",S3628&lt;=2800),VLOOKUP(AF3628,TNCalibEq2500!$AZ$2:$BB$56,3,),IF(AND(I3628="TDN",S3628&lt;=2800),VLOOKUP(AF3628,TNCalibEq2500!$AZ$2:$BB$56,3,)))</f>
        <v>0</v>
      </c>
      <c r="AU3628" s="10" t="b">
        <f>IF(I3628="TP",VLOOKUP(AF3628,TPCalibEqFull!$AZ$2:$BB$56,3),IF(I3628="TDP",VLOOKUP(AF3628,TPCalibEqFull!$AZ$2:$BB$56,3),IF(I3628="TDN",VLOOKUP(AF3628,TNCalibEqFull!$AZ$1:$BB$56,3),IF(I3628="TN",VLOOKUP(AF3628,TNCalibEqFull!$AZ$1:$BB$56,3),FALSE))))</f>
        <v>0</v>
      </c>
      <c r="AV3628" s="10" t="str">
        <f t="shared" si="412"/>
        <v>0222 09:00:00-QAC-STD-NO2-1-DI-CAL</v>
      </c>
    </row>
    <row r="3629" spans="1:48" s="10" customFormat="1" x14ac:dyDescent="0.55000000000000004">
      <c r="A3629" s="32">
        <v>44978</v>
      </c>
      <c r="B3629" s="33">
        <v>0.25</v>
      </c>
      <c r="C3629" s="10" t="s">
        <v>70</v>
      </c>
      <c r="D3629" s="10" t="s">
        <v>241</v>
      </c>
      <c r="E3629" s="10">
        <v>800</v>
      </c>
      <c r="F3629" s="10">
        <v>1</v>
      </c>
      <c r="G3629" s="10" t="s">
        <v>73</v>
      </c>
      <c r="H3629" s="10" t="s">
        <v>264</v>
      </c>
      <c r="I3629" s="10" t="s">
        <v>256</v>
      </c>
      <c r="J3629" s="10">
        <v>91</v>
      </c>
      <c r="K3629" s="12">
        <v>44980</v>
      </c>
      <c r="L3629" s="33">
        <v>0.48319444444444443</v>
      </c>
      <c r="M3629" s="10">
        <v>1</v>
      </c>
      <c r="N3629" s="10" t="s">
        <v>169</v>
      </c>
      <c r="O3629" s="10">
        <v>0.36299999999999999</v>
      </c>
      <c r="P3629" s="10">
        <v>1.7000000000000001E-2</v>
      </c>
      <c r="Q3629" s="10">
        <v>46.6</v>
      </c>
      <c r="R3629" s="10" t="s">
        <v>77</v>
      </c>
      <c r="S3629" s="34">
        <f t="shared" si="409"/>
        <v>46.6</v>
      </c>
      <c r="T3629" s="10" t="s">
        <v>1274</v>
      </c>
      <c r="U3629" s="34">
        <f t="shared" si="410"/>
        <v>46.6</v>
      </c>
      <c r="V3629" s="31" t="str">
        <f>IF(H3629="CHK",VLOOKUP(I3629,QCCHK,3,),IF(H3629="GUP",VLOOKUP(E3629,QCGUP,2,),IF(AND(H3629="ATP",OR(I3629="TN",I3629="TDN",I3629="TNO2-3",I3629="NO2-3")),VLOOKUP(E3629,QCREC_N,2,),IF(AND(H3629="NIC",OR(I3629="TN",I3629="TDN",I3629="TNO2-3",I3629="NO2-3")),VLOOKUP(E3629,QCNIC_N,2,),IF(AND(H3629="UREA",OR(I3629="TN",I3629="TDN",I3629="TNO2-3",I3629="NO2-3")),VLOOKUP(E3629,QCUREA_N,2,),IF(H3629="PER",VLOOKUP(I3629,QCPER,MATCH(E3629,QCACTUAL!$J$25:$AA$25,0),),IF(H3629="SPK",VLOOKUP(I3629,QCSPK,3,),IF(AND(H3629="ATP",OR(I3629="TP",I3629="TDP")),VLOOKUP(E3629,QCATP_P,2,),""))))))))</f>
        <v/>
      </c>
      <c r="W3629" s="31" t="str">
        <f t="shared" si="411"/>
        <v>FALSE</v>
      </c>
      <c r="X3629" s="31" t="str">
        <f t="shared" si="408"/>
        <v>nominal concentration</v>
      </c>
      <c r="Y3629" s="10" t="s">
        <v>1253</v>
      </c>
      <c r="AL3629" s="10" t="str">
        <f t="shared" si="413"/>
        <v>FALSE</v>
      </c>
      <c r="AM3629" s="10" t="str">
        <f t="shared" si="413"/>
        <v>FALSE</v>
      </c>
      <c r="AN3629" s="10" t="str">
        <f t="shared" si="413"/>
        <v>FALSE</v>
      </c>
      <c r="AO3629" s="10" t="str">
        <f t="shared" si="414"/>
        <v>FALSE</v>
      </c>
      <c r="AP3629" s="10" t="str">
        <f t="shared" si="414"/>
        <v>FALSE</v>
      </c>
      <c r="AQ3629" s="10" t="b">
        <f>IF(AND(I3629="TP",S3629&lt;=150),VLOOKUP(AF3629,TPCalibEq150!$AZ$2:$BB$55,3,),IF(AND(I3629="TDP",S3629&lt;=150),VLOOKUP(AF3629,TPCalibEq150!$AZ$2:$BB$55,3,)))</f>
        <v>0</v>
      </c>
      <c r="AR3629" s="10" t="b">
        <f>IF(AND(I3629="TP",S3629&lt;=300),VLOOKUP(AF3629,TPCalibEq300!$AZ$2:$BB$55,3,),IF(AND(I3629="TDP",S3629&lt;=300),VLOOKUP(AF3629,TPCalibEq300!$AZ$2:$BB$55,3,)))</f>
        <v>0</v>
      </c>
      <c r="AS3629" s="10" t="b">
        <f>IF(AND(I3629="TP",S3629&lt;=500),VLOOKUP(AF3629,TPCalibEq500!$AZ$2:$BB$56,3,),IF(AND(I3629="TDP",S3629&lt;=500),VLOOKUP(AF3629,TPCalibEq500!$AZ$2:$BB$56,3,)))</f>
        <v>0</v>
      </c>
      <c r="AT3629" s="10" t="b">
        <f>IF(AND(I3629="TN",S3629&lt;=2800),VLOOKUP(AF3629,TNCalibEq2500!$AZ$2:$BB$56,3,),IF(AND(I3629="TDN",S3629&lt;=2800),VLOOKUP(AF3629,TNCalibEq2500!$AZ$2:$BB$56,3,)))</f>
        <v>0</v>
      </c>
      <c r="AU3629" s="10" t="b">
        <f>IF(I3629="TP",VLOOKUP(AF3629,TPCalibEqFull!$AZ$2:$BB$56,3),IF(I3629="TDP",VLOOKUP(AF3629,TPCalibEqFull!$AZ$2:$BB$56,3),IF(I3629="TDN",VLOOKUP(AF3629,TNCalibEqFull!$AZ$1:$BB$56,3),IF(I3629="TN",VLOOKUP(AF3629,TNCalibEqFull!$AZ$1:$BB$56,3),FALSE))))</f>
        <v>0</v>
      </c>
      <c r="AV3629" s="10" t="str">
        <f t="shared" si="412"/>
        <v>0221 06:00:00-QAC-BLK-800-1-DI-FLD</v>
      </c>
    </row>
    <row r="3630" spans="1:48" s="10" customFormat="1" x14ac:dyDescent="0.55000000000000004">
      <c r="A3630" s="32">
        <v>44978</v>
      </c>
      <c r="B3630" s="33">
        <v>0.23333333333333331</v>
      </c>
      <c r="C3630" s="10" t="s">
        <v>70</v>
      </c>
      <c r="D3630" s="10" t="s">
        <v>241</v>
      </c>
      <c r="E3630" s="10" t="s">
        <v>866</v>
      </c>
      <c r="F3630" s="10">
        <v>1</v>
      </c>
      <c r="G3630" s="10" t="s">
        <v>73</v>
      </c>
      <c r="H3630" s="10" t="s">
        <v>264</v>
      </c>
      <c r="I3630" s="10" t="s">
        <v>256</v>
      </c>
      <c r="J3630" s="10">
        <v>92</v>
      </c>
      <c r="K3630" s="12">
        <v>44980</v>
      </c>
      <c r="L3630" s="33">
        <v>0.48401620370370368</v>
      </c>
      <c r="M3630" s="10">
        <v>1</v>
      </c>
      <c r="N3630" s="10" t="s">
        <v>169</v>
      </c>
      <c r="O3630" s="10">
        <v>2.24E-2</v>
      </c>
      <c r="P3630" s="10">
        <v>1.07E-3</v>
      </c>
      <c r="Q3630" s="10">
        <v>2.19</v>
      </c>
      <c r="R3630" s="10" t="s">
        <v>77</v>
      </c>
      <c r="S3630" s="34">
        <f t="shared" si="409"/>
        <v>2.19</v>
      </c>
      <c r="T3630" s="10" t="s">
        <v>1274</v>
      </c>
      <c r="U3630" s="34">
        <f t="shared" si="410"/>
        <v>2.19</v>
      </c>
      <c r="V3630" s="31" t="str">
        <f>IF(H3630="CHK",VLOOKUP(I3630,QCCHK,3,),IF(H3630="GUP",VLOOKUP(E3630,QCGUP,2,),IF(AND(H3630="ATP",OR(I3630="TN",I3630="TDN",I3630="TNO2-3",I3630="NO2-3")),VLOOKUP(E3630,QCREC_N,2,),IF(AND(H3630="NIC",OR(I3630="TN",I3630="TDN",I3630="TNO2-3",I3630="NO2-3")),VLOOKUP(E3630,QCNIC_N,2,),IF(AND(H3630="UREA",OR(I3630="TN",I3630="TDN",I3630="TNO2-3",I3630="NO2-3")),VLOOKUP(E3630,QCUREA_N,2,),IF(H3630="PER",VLOOKUP(I3630,QCPER,MATCH(E3630,QCACTUAL!$J$25:$AA$25,0),),IF(H3630="SPK",VLOOKUP(I3630,QCSPK,3,),IF(AND(H3630="ATP",OR(I3630="TP",I3630="TDP")),VLOOKUP(E3630,QCATP_P,2,),""))))))))</f>
        <v/>
      </c>
      <c r="W3630" s="31" t="str">
        <f t="shared" si="411"/>
        <v>TRUE</v>
      </c>
      <c r="X3630" s="31" t="str">
        <f t="shared" si="408"/>
        <v>nominal concentration</v>
      </c>
      <c r="Y3630" s="10" t="s">
        <v>1253</v>
      </c>
      <c r="AL3630" s="10" t="str">
        <f t="shared" si="413"/>
        <v>FALSE</v>
      </c>
      <c r="AM3630" s="10" t="str">
        <f t="shared" si="413"/>
        <v>FALSE</v>
      </c>
      <c r="AN3630" s="10" t="str">
        <f t="shared" si="413"/>
        <v>FALSE</v>
      </c>
      <c r="AO3630" s="10" t="str">
        <f t="shared" si="414"/>
        <v>FALSE</v>
      </c>
      <c r="AP3630" s="10" t="str">
        <f t="shared" si="414"/>
        <v>FALSE</v>
      </c>
      <c r="AQ3630" s="10" t="b">
        <f>IF(AND(I3630="TP",S3630&lt;=150),VLOOKUP(AF3630,TPCalibEq150!$AZ$2:$BB$55,3,),IF(AND(I3630="TDP",S3630&lt;=150),VLOOKUP(AF3630,TPCalibEq150!$AZ$2:$BB$55,3,)))</f>
        <v>0</v>
      </c>
      <c r="AR3630" s="10" t="b">
        <f>IF(AND(I3630="TP",S3630&lt;=300),VLOOKUP(AF3630,TPCalibEq300!$AZ$2:$BB$55,3,),IF(AND(I3630="TDP",S3630&lt;=300),VLOOKUP(AF3630,TPCalibEq300!$AZ$2:$BB$55,3,)))</f>
        <v>0</v>
      </c>
      <c r="AS3630" s="10" t="b">
        <f>IF(AND(I3630="TP",S3630&lt;=500),VLOOKUP(AF3630,TPCalibEq500!$AZ$2:$BB$56,3,),IF(AND(I3630="TDP",S3630&lt;=500),VLOOKUP(AF3630,TPCalibEq500!$AZ$2:$BB$56,3,)))</f>
        <v>0</v>
      </c>
      <c r="AT3630" s="10" t="b">
        <f>IF(AND(I3630="TN",S3630&lt;=2800),VLOOKUP(AF3630,TNCalibEq2500!$AZ$2:$BB$56,3,),IF(AND(I3630="TDN",S3630&lt;=2800),VLOOKUP(AF3630,TNCalibEq2500!$AZ$2:$BB$56,3,)))</f>
        <v>0</v>
      </c>
      <c r="AU3630" s="10" t="b">
        <f>IF(I3630="TP",VLOOKUP(AF3630,TPCalibEqFull!$AZ$2:$BB$56,3),IF(I3630="TDP",VLOOKUP(AF3630,TPCalibEqFull!$AZ$2:$BB$56,3),IF(I3630="TDN",VLOOKUP(AF3630,TNCalibEqFull!$AZ$1:$BB$56,3),IF(I3630="TN",VLOOKUP(AF3630,TNCalibEqFull!$AZ$1:$BB$56,3),FALSE))))</f>
        <v>0</v>
      </c>
      <c r="AV3630" s="10" t="str">
        <f t="shared" si="412"/>
        <v>0221 05:36:00-QAC-BLK-A-1-DI-FLD</v>
      </c>
    </row>
    <row r="3631" spans="1:48" s="10" customFormat="1" x14ac:dyDescent="0.55000000000000004">
      <c r="A3631" s="32">
        <v>44978</v>
      </c>
      <c r="B3631" s="33">
        <v>0.25</v>
      </c>
      <c r="C3631" s="10" t="s">
        <v>70</v>
      </c>
      <c r="D3631" s="10" t="s">
        <v>241</v>
      </c>
      <c r="E3631" s="10" t="s">
        <v>911</v>
      </c>
      <c r="F3631" s="10">
        <v>1</v>
      </c>
      <c r="G3631" s="10" t="s">
        <v>73</v>
      </c>
      <c r="H3631" s="10" t="s">
        <v>245</v>
      </c>
      <c r="I3631" s="10" t="s">
        <v>209</v>
      </c>
      <c r="J3631" s="10">
        <v>93</v>
      </c>
      <c r="K3631" s="12">
        <v>44980</v>
      </c>
      <c r="L3631" s="33">
        <v>0.48483796296296294</v>
      </c>
      <c r="M3631" s="10">
        <v>1</v>
      </c>
      <c r="N3631" s="10" t="s">
        <v>169</v>
      </c>
      <c r="O3631" s="10">
        <v>1.2800000000000001E-2</v>
      </c>
      <c r="P3631" s="10">
        <v>1.0300000000000001E-3</v>
      </c>
      <c r="Q3631" s="10">
        <v>0.94199999999999995</v>
      </c>
      <c r="R3631" s="10" t="s">
        <v>77</v>
      </c>
      <c r="S3631" s="34">
        <f t="shared" si="409"/>
        <v>0.94199999999999995</v>
      </c>
      <c r="T3631" s="10" t="s">
        <v>1274</v>
      </c>
      <c r="U3631" s="34">
        <f t="shared" si="410"/>
        <v>0.94199999999999995</v>
      </c>
      <c r="V3631" s="31" t="str">
        <f>IF(H3631="CHK",VLOOKUP(I3631,QCCHK,3,),IF(H3631="GUP",VLOOKUP(E3631,QCGUP,2,),IF(AND(H3631="ATP",OR(I3631="TN",I3631="TDN",I3631="TNO2-3",I3631="NO2-3")),VLOOKUP(E3631,QCREC_N,2,),IF(AND(H3631="NIC",OR(I3631="TN",I3631="TDN",I3631="TNO2-3",I3631="NO2-3")),VLOOKUP(E3631,QCNIC_N,2,),IF(AND(H3631="UREA",OR(I3631="TN",I3631="TDN",I3631="TNO2-3",I3631="NO2-3")),VLOOKUP(E3631,QCUREA_N,2,),IF(H3631="PER",VLOOKUP(I3631,QCPER,MATCH(E3631,QCACTUAL!$J$25:$AA$25,0),),IF(H3631="SPK",VLOOKUP(I3631,QCSPK,3,),IF(AND(H3631="ATP",OR(I3631="TP",I3631="TDP")),VLOOKUP(E3631,QCATP_P,2,),""))))))))</f>
        <v/>
      </c>
      <c r="W3631" s="31" t="str">
        <f t="shared" si="411"/>
        <v>TRUE</v>
      </c>
      <c r="X3631" s="31" t="str">
        <f t="shared" si="408"/>
        <v>nominal concentration</v>
      </c>
      <c r="Y3631" s="10" t="s">
        <v>1253</v>
      </c>
      <c r="AL3631" s="10" t="str">
        <f t="shared" si="413"/>
        <v>FALSE</v>
      </c>
      <c r="AM3631" s="10" t="str">
        <f t="shared" si="413"/>
        <v>FALSE</v>
      </c>
      <c r="AN3631" s="10" t="str">
        <f t="shared" si="413"/>
        <v>FALSE</v>
      </c>
      <c r="AO3631" s="10" t="str">
        <f t="shared" si="414"/>
        <v>FALSE</v>
      </c>
      <c r="AP3631" s="10" t="str">
        <f t="shared" si="414"/>
        <v>FALSE</v>
      </c>
      <c r="AQ3631" s="10" t="b">
        <f>IF(AND(I3631="TP",S3631&lt;=150),VLOOKUP(AF3631,TPCalibEq150!$AZ$2:$BB$55,3,),IF(AND(I3631="TDP",S3631&lt;=150),VLOOKUP(AF3631,TPCalibEq150!$AZ$2:$BB$55,3,)))</f>
        <v>0</v>
      </c>
      <c r="AR3631" s="10" t="b">
        <f>IF(AND(I3631="TP",S3631&lt;=300),VLOOKUP(AF3631,TPCalibEq300!$AZ$2:$BB$55,3,),IF(AND(I3631="TDP",S3631&lt;=300),VLOOKUP(AF3631,TPCalibEq300!$AZ$2:$BB$55,3,)))</f>
        <v>0</v>
      </c>
      <c r="AS3631" s="10" t="b">
        <f>IF(AND(I3631="TP",S3631&lt;=500),VLOOKUP(AF3631,TPCalibEq500!$AZ$2:$BB$56,3,),IF(AND(I3631="TDP",S3631&lt;=500),VLOOKUP(AF3631,TPCalibEq500!$AZ$2:$BB$56,3,)))</f>
        <v>0</v>
      </c>
      <c r="AT3631" s="10" t="b">
        <f>IF(AND(I3631="TN",S3631&lt;=2800),VLOOKUP(AF3631,TNCalibEq2500!$AZ$2:$BB$56,3,),IF(AND(I3631="TDN",S3631&lt;=2800),VLOOKUP(AF3631,TNCalibEq2500!$AZ$2:$BB$56,3,)))</f>
        <v>0</v>
      </c>
      <c r="AU3631" s="10" t="b">
        <f>IF(I3631="TP",VLOOKUP(AF3631,TPCalibEqFull!$AZ$2:$BB$56,3),IF(I3631="TDP",VLOOKUP(AF3631,TPCalibEqFull!$AZ$2:$BB$56,3),IF(I3631="TDN",VLOOKUP(AF3631,TNCalibEqFull!$AZ$1:$BB$56,3),IF(I3631="TN",VLOOKUP(AF3631,TNCalibEqFull!$AZ$1:$BB$56,3),FALSE))))</f>
        <v>0</v>
      </c>
      <c r="AV3631" s="10" t="str">
        <f t="shared" si="412"/>
        <v>0221 06:00:00-QAC-BLK-FIL-1-DI-ESF</v>
      </c>
    </row>
    <row r="3632" spans="1:48" s="10" customFormat="1" x14ac:dyDescent="0.55000000000000004">
      <c r="A3632" s="32">
        <v>44978</v>
      </c>
      <c r="B3632" s="33">
        <v>0.23333333333333331</v>
      </c>
      <c r="C3632" s="10" t="s">
        <v>70</v>
      </c>
      <c r="D3632" s="10" t="s">
        <v>241</v>
      </c>
      <c r="E3632" s="10" t="s">
        <v>911</v>
      </c>
      <c r="F3632" s="10">
        <v>1</v>
      </c>
      <c r="G3632" s="10" t="s">
        <v>73</v>
      </c>
      <c r="H3632" s="10" t="s">
        <v>245</v>
      </c>
      <c r="I3632" s="10" t="s">
        <v>209</v>
      </c>
      <c r="J3632" s="10">
        <v>94</v>
      </c>
      <c r="K3632" s="12">
        <v>44980</v>
      </c>
      <c r="L3632" s="33">
        <v>0.48564814814814811</v>
      </c>
      <c r="M3632" s="10">
        <v>1</v>
      </c>
      <c r="N3632" s="10" t="s">
        <v>169</v>
      </c>
      <c r="O3632" s="10">
        <v>2.6100000000000002E-2</v>
      </c>
      <c r="P3632" s="10">
        <v>1.3699999999999999E-3</v>
      </c>
      <c r="Q3632" s="10">
        <v>2.68</v>
      </c>
      <c r="R3632" s="10" t="s">
        <v>77</v>
      </c>
      <c r="S3632" s="34">
        <f t="shared" si="409"/>
        <v>2.68</v>
      </c>
      <c r="T3632" s="10" t="s">
        <v>1274</v>
      </c>
      <c r="U3632" s="34">
        <f t="shared" si="410"/>
        <v>2.68</v>
      </c>
      <c r="V3632" s="31" t="str">
        <f>IF(H3632="CHK",VLOOKUP(I3632,QCCHK,3,),IF(H3632="GUP",VLOOKUP(E3632,QCGUP,2,),IF(AND(H3632="ATP",OR(I3632="TN",I3632="TDN",I3632="TNO2-3",I3632="NO2-3")),VLOOKUP(E3632,QCREC_N,2,),IF(AND(H3632="NIC",OR(I3632="TN",I3632="TDN",I3632="TNO2-3",I3632="NO2-3")),VLOOKUP(E3632,QCNIC_N,2,),IF(AND(H3632="UREA",OR(I3632="TN",I3632="TDN",I3632="TNO2-3",I3632="NO2-3")),VLOOKUP(E3632,QCUREA_N,2,),IF(H3632="PER",VLOOKUP(I3632,QCPER,MATCH(E3632,QCACTUAL!$J$25:$AA$25,0),),IF(H3632="SPK",VLOOKUP(I3632,QCSPK,3,),IF(AND(H3632="ATP",OR(I3632="TP",I3632="TDP")),VLOOKUP(E3632,QCATP_P,2,),""))))))))</f>
        <v/>
      </c>
      <c r="W3632" s="31" t="str">
        <f t="shared" si="411"/>
        <v>TRUE</v>
      </c>
      <c r="X3632" s="31" t="str">
        <f t="shared" si="408"/>
        <v>nominal concentration</v>
      </c>
      <c r="Y3632" s="10" t="s">
        <v>1253</v>
      </c>
      <c r="AL3632" s="10" t="str">
        <f t="shared" si="413"/>
        <v>FALSE</v>
      </c>
      <c r="AM3632" s="10" t="str">
        <f t="shared" si="413"/>
        <v>FALSE</v>
      </c>
      <c r="AN3632" s="10" t="str">
        <f t="shared" si="413"/>
        <v>FALSE</v>
      </c>
      <c r="AO3632" s="10" t="str">
        <f t="shared" si="414"/>
        <v>FALSE</v>
      </c>
      <c r="AP3632" s="10" t="str">
        <f t="shared" si="414"/>
        <v>FALSE</v>
      </c>
      <c r="AQ3632" s="10" t="b">
        <f>IF(AND(I3632="TP",S3632&lt;=150),VLOOKUP(AF3632,TPCalibEq150!$AZ$2:$BB$55,3,),IF(AND(I3632="TDP",S3632&lt;=150),VLOOKUP(AF3632,TPCalibEq150!$AZ$2:$BB$55,3,)))</f>
        <v>0</v>
      </c>
      <c r="AR3632" s="10" t="b">
        <f>IF(AND(I3632="TP",S3632&lt;=300),VLOOKUP(AF3632,TPCalibEq300!$AZ$2:$BB$55,3,),IF(AND(I3632="TDP",S3632&lt;=300),VLOOKUP(AF3632,TPCalibEq300!$AZ$2:$BB$55,3,)))</f>
        <v>0</v>
      </c>
      <c r="AS3632" s="10" t="b">
        <f>IF(AND(I3632="TP",S3632&lt;=500),VLOOKUP(AF3632,TPCalibEq500!$AZ$2:$BB$56,3,),IF(AND(I3632="TDP",S3632&lt;=500),VLOOKUP(AF3632,TPCalibEq500!$AZ$2:$BB$56,3,)))</f>
        <v>0</v>
      </c>
      <c r="AT3632" s="10" t="b">
        <f>IF(AND(I3632="TN",S3632&lt;=2800),VLOOKUP(AF3632,TNCalibEq2500!$AZ$2:$BB$56,3,),IF(AND(I3632="TDN",S3632&lt;=2800),VLOOKUP(AF3632,TNCalibEq2500!$AZ$2:$BB$56,3,)))</f>
        <v>0</v>
      </c>
      <c r="AU3632" s="10" t="b">
        <f>IF(I3632="TP",VLOOKUP(AF3632,TPCalibEqFull!$AZ$2:$BB$56,3),IF(I3632="TDP",VLOOKUP(AF3632,TPCalibEqFull!$AZ$2:$BB$56,3),IF(I3632="TDN",VLOOKUP(AF3632,TNCalibEqFull!$AZ$1:$BB$56,3),IF(I3632="TN",VLOOKUP(AF3632,TNCalibEqFull!$AZ$1:$BB$56,3),FALSE))))</f>
        <v>0</v>
      </c>
      <c r="AV3632" s="10" t="str">
        <f t="shared" si="412"/>
        <v>0221 05:36:00-QAC-BLK-FIL-1-DI-ESF</v>
      </c>
    </row>
    <row r="3633" spans="1:48" s="10" customFormat="1" x14ac:dyDescent="0.55000000000000004">
      <c r="A3633" s="32">
        <v>44972</v>
      </c>
      <c r="B3633" s="33">
        <v>0.22430555555555556</v>
      </c>
      <c r="C3633" s="10" t="s">
        <v>279</v>
      </c>
      <c r="D3633" s="10">
        <v>0</v>
      </c>
      <c r="E3633" s="10" t="s">
        <v>190</v>
      </c>
      <c r="F3633" s="10">
        <v>1</v>
      </c>
      <c r="G3633" s="10" t="s">
        <v>231</v>
      </c>
      <c r="H3633" s="10" t="s">
        <v>322</v>
      </c>
      <c r="I3633" s="10" t="s">
        <v>256</v>
      </c>
      <c r="J3633" s="10">
        <v>1</v>
      </c>
      <c r="K3633" s="12">
        <v>44980</v>
      </c>
      <c r="L3633" s="33">
        <v>0.48648148148148151</v>
      </c>
      <c r="M3633" s="10">
        <v>1</v>
      </c>
      <c r="N3633" s="10" t="s">
        <v>169</v>
      </c>
      <c r="O3633" s="10">
        <v>7.34</v>
      </c>
      <c r="P3633" s="10">
        <v>0.33700000000000002</v>
      </c>
      <c r="Q3633" s="10">
        <v>957</v>
      </c>
      <c r="R3633" s="10" t="s">
        <v>77</v>
      </c>
      <c r="S3633" s="34">
        <f t="shared" si="409"/>
        <v>957</v>
      </c>
      <c r="T3633" s="10" t="s">
        <v>1274</v>
      </c>
      <c r="U3633" s="34" t="str">
        <f t="shared" si="410"/>
        <v/>
      </c>
      <c r="V3633" s="31" t="str">
        <f>IF(H3633="CHK",VLOOKUP(I3633,QCCHK,3,),IF(H3633="GUP",VLOOKUP(E3633,QCGUP,2,),IF(AND(H3633="ATP",OR(I3633="TN",I3633="TDN",I3633="TNO2-3",I3633="NO2-3")),VLOOKUP(E3633,QCREC_N,2,),IF(AND(H3633="NIC",OR(I3633="TN",I3633="TDN",I3633="TNO2-3",I3633="NO2-3")),VLOOKUP(E3633,QCNIC_N,2,),IF(AND(H3633="UREA",OR(I3633="TN",I3633="TDN",I3633="TNO2-3",I3633="NO2-3")),VLOOKUP(E3633,QCUREA_N,2,),IF(H3633="PER",VLOOKUP(I3633,QCPER,MATCH(E3633,QCACTUAL!$J$25:$AA$25,0),),IF(H3633="SPK",VLOOKUP(I3633,QCSPK,3,),IF(AND(H3633="ATP",OR(I3633="TP",I3633="TDP")),VLOOKUP(E3633,QCATP_P,2,),""))))))))</f>
        <v/>
      </c>
      <c r="W3633" s="31" t="str">
        <f t="shared" si="411"/>
        <v>TRUE</v>
      </c>
      <c r="X3633" s="31" t="str">
        <f t="shared" si="408"/>
        <v/>
      </c>
      <c r="Y3633" s="10" t="s">
        <v>1253</v>
      </c>
      <c r="Z3633" s="10" t="s">
        <v>910</v>
      </c>
      <c r="AL3633" s="10" t="str">
        <f t="shared" si="413"/>
        <v>FALSE</v>
      </c>
      <c r="AM3633" s="10" t="str">
        <f t="shared" si="413"/>
        <v>FALSE</v>
      </c>
      <c r="AN3633" s="10" t="str">
        <f t="shared" si="413"/>
        <v>FALSE</v>
      </c>
      <c r="AO3633" s="10" t="str">
        <f t="shared" si="414"/>
        <v>FALSE</v>
      </c>
      <c r="AP3633" s="10" t="str">
        <f t="shared" si="414"/>
        <v>FALSE</v>
      </c>
      <c r="AQ3633" s="10" t="b">
        <f>IF(AND(I3633="TP",S3633&lt;=150),VLOOKUP(AF3633,TPCalibEq150!$AZ$2:$BB$55,3,),IF(AND(I3633="TDP",S3633&lt;=150),VLOOKUP(AF3633,TPCalibEq150!$AZ$2:$BB$55,3,)))</f>
        <v>0</v>
      </c>
      <c r="AR3633" s="10" t="b">
        <f>IF(AND(I3633="TP",S3633&lt;=300),VLOOKUP(AF3633,TPCalibEq300!$AZ$2:$BB$55,3,),IF(AND(I3633="TDP",S3633&lt;=300),VLOOKUP(AF3633,TPCalibEq300!$AZ$2:$BB$55,3,)))</f>
        <v>0</v>
      </c>
      <c r="AS3633" s="10" t="b">
        <f>IF(AND(I3633="TP",S3633&lt;=500),VLOOKUP(AF3633,TPCalibEq500!$AZ$2:$BB$56,3,),IF(AND(I3633="TDP",S3633&lt;=500),VLOOKUP(AF3633,TPCalibEq500!$AZ$2:$BB$56,3,)))</f>
        <v>0</v>
      </c>
      <c r="AT3633" s="10" t="b">
        <f>IF(AND(I3633="TN",S3633&lt;=2800),VLOOKUP(AF3633,TNCalibEq2500!$AZ$2:$BB$56,3,),IF(AND(I3633="TDN",S3633&lt;=2800),VLOOKUP(AF3633,TNCalibEq2500!$AZ$2:$BB$56,3,)))</f>
        <v>0</v>
      </c>
      <c r="AU3633" s="10" t="b">
        <f>IF(I3633="TP",VLOOKUP(AF3633,TPCalibEqFull!$AZ$2:$BB$56,3),IF(I3633="TDP",VLOOKUP(AF3633,TPCalibEqFull!$AZ$2:$BB$56,3),IF(I3633="TDN",VLOOKUP(AF3633,TNCalibEqFull!$AZ$1:$BB$56,3),IF(I3633="TN",VLOOKUP(AF3633,TNCalibEqFull!$AZ$1:$BB$56,3),FALSE))))</f>
        <v>0</v>
      </c>
      <c r="AV3633" s="10" t="str">
        <f t="shared" si="412"/>
        <v>0215 05:23:00-EFK-0-C-1-SW-UKN</v>
      </c>
    </row>
    <row r="3634" spans="1:48" s="10" customFormat="1" x14ac:dyDescent="0.55000000000000004">
      <c r="A3634" s="32">
        <v>44972</v>
      </c>
      <c r="B3634" s="33">
        <v>0.22777777777777777</v>
      </c>
      <c r="C3634" s="10" t="s">
        <v>333</v>
      </c>
      <c r="D3634" s="10">
        <v>0</v>
      </c>
      <c r="E3634" s="10" t="s">
        <v>190</v>
      </c>
      <c r="F3634" s="10">
        <v>1</v>
      </c>
      <c r="G3634" s="10" t="s">
        <v>231</v>
      </c>
      <c r="H3634" s="10" t="s">
        <v>322</v>
      </c>
      <c r="I3634" s="10" t="s">
        <v>256</v>
      </c>
      <c r="J3634" s="10">
        <v>2</v>
      </c>
      <c r="K3634" s="12">
        <v>44980</v>
      </c>
      <c r="L3634" s="33">
        <v>0.48730324074074072</v>
      </c>
      <c r="M3634" s="10">
        <v>1</v>
      </c>
      <c r="N3634" s="10" t="s">
        <v>169</v>
      </c>
      <c r="O3634" s="10">
        <v>4.71</v>
      </c>
      <c r="P3634" s="10">
        <v>0.216</v>
      </c>
      <c r="Q3634" s="10">
        <v>614</v>
      </c>
      <c r="R3634" s="10" t="s">
        <v>77</v>
      </c>
      <c r="S3634" s="34">
        <f t="shared" si="409"/>
        <v>614</v>
      </c>
      <c r="T3634" s="10" t="s">
        <v>1274</v>
      </c>
      <c r="U3634" s="34" t="str">
        <f t="shared" si="410"/>
        <v/>
      </c>
      <c r="V3634" s="31" t="str">
        <f>IF(H3634="CHK",VLOOKUP(I3634,QCCHK,3,),IF(H3634="GUP",VLOOKUP(E3634,QCGUP,2,),IF(AND(H3634="ATP",OR(I3634="TN",I3634="TDN",I3634="TNO2-3",I3634="NO2-3")),VLOOKUP(E3634,QCREC_N,2,),IF(AND(H3634="NIC",OR(I3634="TN",I3634="TDN",I3634="TNO2-3",I3634="NO2-3")),VLOOKUP(E3634,QCNIC_N,2,),IF(AND(H3634="UREA",OR(I3634="TN",I3634="TDN",I3634="TNO2-3",I3634="NO2-3")),VLOOKUP(E3634,QCUREA_N,2,),IF(H3634="PER",VLOOKUP(I3634,QCPER,MATCH(E3634,QCACTUAL!$J$25:$AA$25,0),),IF(H3634="SPK",VLOOKUP(I3634,QCSPK,3,),IF(AND(H3634="ATP",OR(I3634="TP",I3634="TDP")),VLOOKUP(E3634,QCATP_P,2,),""))))))))</f>
        <v/>
      </c>
      <c r="W3634" s="31" t="str">
        <f t="shared" si="411"/>
        <v>TRUE</v>
      </c>
      <c r="X3634" s="31" t="str">
        <f t="shared" si="408"/>
        <v/>
      </c>
      <c r="Y3634" s="10" t="s">
        <v>1253</v>
      </c>
      <c r="Z3634" s="10" t="s">
        <v>910</v>
      </c>
      <c r="AL3634" s="10" t="str">
        <f t="shared" si="413"/>
        <v>FALSE</v>
      </c>
      <c r="AM3634" s="10" t="str">
        <f t="shared" si="413"/>
        <v>FALSE</v>
      </c>
      <c r="AN3634" s="10" t="str">
        <f t="shared" si="413"/>
        <v>FALSE</v>
      </c>
      <c r="AO3634" s="10" t="str">
        <f t="shared" si="414"/>
        <v>FALSE</v>
      </c>
      <c r="AP3634" s="10" t="str">
        <f t="shared" si="414"/>
        <v>FALSE</v>
      </c>
      <c r="AQ3634" s="10" t="b">
        <f>IF(AND(I3634="TP",S3634&lt;=150),VLOOKUP(AF3634,TPCalibEq150!$AZ$2:$BB$55,3,),IF(AND(I3634="TDP",S3634&lt;=150),VLOOKUP(AF3634,TPCalibEq150!$AZ$2:$BB$55,3,)))</f>
        <v>0</v>
      </c>
      <c r="AR3634" s="10" t="b">
        <f>IF(AND(I3634="TP",S3634&lt;=300),VLOOKUP(AF3634,TPCalibEq300!$AZ$2:$BB$55,3,),IF(AND(I3634="TDP",S3634&lt;=300),VLOOKUP(AF3634,TPCalibEq300!$AZ$2:$BB$55,3,)))</f>
        <v>0</v>
      </c>
      <c r="AS3634" s="10" t="b">
        <f>IF(AND(I3634="TP",S3634&lt;=500),VLOOKUP(AF3634,TPCalibEq500!$AZ$2:$BB$56,3,),IF(AND(I3634="TDP",S3634&lt;=500),VLOOKUP(AF3634,TPCalibEq500!$AZ$2:$BB$56,3,)))</f>
        <v>0</v>
      </c>
      <c r="AT3634" s="10" t="b">
        <f>IF(AND(I3634="TN",S3634&lt;=2800),VLOOKUP(AF3634,TNCalibEq2500!$AZ$2:$BB$56,3,),IF(AND(I3634="TDN",S3634&lt;=2800),VLOOKUP(AF3634,TNCalibEq2500!$AZ$2:$BB$56,3,)))</f>
        <v>0</v>
      </c>
      <c r="AU3634" s="10" t="b">
        <f>IF(I3634="TP",VLOOKUP(AF3634,TPCalibEqFull!$AZ$2:$BB$56,3),IF(I3634="TDP",VLOOKUP(AF3634,TPCalibEqFull!$AZ$2:$BB$56,3),IF(I3634="TDN",VLOOKUP(AF3634,TNCalibEqFull!$AZ$1:$BB$56,3),IF(I3634="TN",VLOOKUP(AF3634,TNCalibEqFull!$AZ$1:$BB$56,3),FALSE))))</f>
        <v>0</v>
      </c>
      <c r="AV3634" s="10" t="str">
        <f t="shared" si="412"/>
        <v>0215 05:28:00-HST-0-C-1-SW-UKN</v>
      </c>
    </row>
    <row r="3635" spans="1:48" s="10" customFormat="1" x14ac:dyDescent="0.55000000000000004">
      <c r="A3635" s="32">
        <v>44974</v>
      </c>
      <c r="B3635" s="33">
        <v>0.36388888888888887</v>
      </c>
      <c r="C3635" s="10" t="s">
        <v>279</v>
      </c>
      <c r="D3635" s="10">
        <v>0</v>
      </c>
      <c r="E3635" s="10" t="s">
        <v>190</v>
      </c>
      <c r="F3635" s="10">
        <v>1</v>
      </c>
      <c r="G3635" s="10" t="s">
        <v>231</v>
      </c>
      <c r="H3635" s="10" t="s">
        <v>322</v>
      </c>
      <c r="I3635" s="10" t="s">
        <v>256</v>
      </c>
      <c r="J3635" s="10">
        <v>3</v>
      </c>
      <c r="K3635" s="12">
        <v>44980</v>
      </c>
      <c r="L3635" s="33">
        <v>0.48812499999999998</v>
      </c>
      <c r="M3635" s="10">
        <v>1</v>
      </c>
      <c r="N3635" s="10" t="s">
        <v>169</v>
      </c>
      <c r="O3635" s="10">
        <v>3.59</v>
      </c>
      <c r="P3635" s="10">
        <v>0.16600000000000001</v>
      </c>
      <c r="Q3635" s="10">
        <v>467</v>
      </c>
      <c r="R3635" s="10" t="s">
        <v>77</v>
      </c>
      <c r="S3635" s="34">
        <f t="shared" si="409"/>
        <v>467</v>
      </c>
      <c r="T3635" s="10" t="s">
        <v>1274</v>
      </c>
      <c r="U3635" s="34" t="str">
        <f t="shared" si="410"/>
        <v/>
      </c>
      <c r="V3635" s="31" t="str">
        <f>IF(H3635="CHK",VLOOKUP(I3635,QCCHK,3,),IF(H3635="GUP",VLOOKUP(E3635,QCGUP,2,),IF(AND(H3635="ATP",OR(I3635="TN",I3635="TDN",I3635="TNO2-3",I3635="NO2-3")),VLOOKUP(E3635,QCREC_N,2,),IF(AND(H3635="NIC",OR(I3635="TN",I3635="TDN",I3635="TNO2-3",I3635="NO2-3")),VLOOKUP(E3635,QCNIC_N,2,),IF(AND(H3635="UREA",OR(I3635="TN",I3635="TDN",I3635="TNO2-3",I3635="NO2-3")),VLOOKUP(E3635,QCUREA_N,2,),IF(H3635="PER",VLOOKUP(I3635,QCPER,MATCH(E3635,QCACTUAL!$J$25:$AA$25,0),),IF(H3635="SPK",VLOOKUP(I3635,QCSPK,3,),IF(AND(H3635="ATP",OR(I3635="TP",I3635="TDP")),VLOOKUP(E3635,QCATP_P,2,),""))))))))</f>
        <v/>
      </c>
      <c r="W3635" s="31" t="str">
        <f t="shared" si="411"/>
        <v>TRUE</v>
      </c>
      <c r="X3635" s="31" t="str">
        <f t="shared" si="408"/>
        <v/>
      </c>
      <c r="Y3635" s="10" t="s">
        <v>1253</v>
      </c>
      <c r="Z3635" s="10" t="s">
        <v>910</v>
      </c>
      <c r="AL3635" s="10" t="str">
        <f t="shared" si="413"/>
        <v>FALSE</v>
      </c>
      <c r="AM3635" s="10" t="str">
        <f t="shared" si="413"/>
        <v>FALSE</v>
      </c>
      <c r="AN3635" s="10" t="str">
        <f t="shared" si="413"/>
        <v>FALSE</v>
      </c>
      <c r="AO3635" s="10" t="str">
        <f t="shared" si="414"/>
        <v>FALSE</v>
      </c>
      <c r="AP3635" s="10" t="str">
        <f t="shared" si="414"/>
        <v>FALSE</v>
      </c>
      <c r="AQ3635" s="10" t="b">
        <f>IF(AND(I3635="TP",S3635&lt;=150),VLOOKUP(AF3635,TPCalibEq150!$AZ$2:$BB$55,3,),IF(AND(I3635="TDP",S3635&lt;=150),VLOOKUP(AF3635,TPCalibEq150!$AZ$2:$BB$55,3,)))</f>
        <v>0</v>
      </c>
      <c r="AR3635" s="10" t="b">
        <f>IF(AND(I3635="TP",S3635&lt;=300),VLOOKUP(AF3635,TPCalibEq300!$AZ$2:$BB$55,3,),IF(AND(I3635="TDP",S3635&lt;=300),VLOOKUP(AF3635,TPCalibEq300!$AZ$2:$BB$55,3,)))</f>
        <v>0</v>
      </c>
      <c r="AS3635" s="10" t="b">
        <f>IF(AND(I3635="TP",S3635&lt;=500),VLOOKUP(AF3635,TPCalibEq500!$AZ$2:$BB$56,3,),IF(AND(I3635="TDP",S3635&lt;=500),VLOOKUP(AF3635,TPCalibEq500!$AZ$2:$BB$56,3,)))</f>
        <v>0</v>
      </c>
      <c r="AT3635" s="10" t="b">
        <f>IF(AND(I3635="TN",S3635&lt;=2800),VLOOKUP(AF3635,TNCalibEq2500!$AZ$2:$BB$56,3,),IF(AND(I3635="TDN",S3635&lt;=2800),VLOOKUP(AF3635,TNCalibEq2500!$AZ$2:$BB$56,3,)))</f>
        <v>0</v>
      </c>
      <c r="AU3635" s="10" t="b">
        <f>IF(I3635="TP",VLOOKUP(AF3635,TPCalibEqFull!$AZ$2:$BB$56,3),IF(I3635="TDP",VLOOKUP(AF3635,TPCalibEqFull!$AZ$2:$BB$56,3),IF(I3635="TDN",VLOOKUP(AF3635,TNCalibEqFull!$AZ$1:$BB$56,3),IF(I3635="TN",VLOOKUP(AF3635,TNCalibEqFull!$AZ$1:$BB$56,3),FALSE))))</f>
        <v>0</v>
      </c>
      <c r="AV3635" s="10" t="str">
        <f t="shared" si="412"/>
        <v>0217 08:44:00-EFK-0-C-1-SW-UKN</v>
      </c>
    </row>
    <row r="3636" spans="1:48" s="10" customFormat="1" x14ac:dyDescent="0.55000000000000004">
      <c r="A3636" s="32">
        <v>44974</v>
      </c>
      <c r="B3636" s="33">
        <v>0.35833333333333334</v>
      </c>
      <c r="C3636" s="10" t="s">
        <v>333</v>
      </c>
      <c r="D3636" s="10">
        <v>0</v>
      </c>
      <c r="E3636" s="10" t="s">
        <v>190</v>
      </c>
      <c r="F3636" s="10">
        <v>1</v>
      </c>
      <c r="G3636" s="10" t="s">
        <v>231</v>
      </c>
      <c r="H3636" s="10" t="s">
        <v>322</v>
      </c>
      <c r="I3636" s="10" t="s">
        <v>256</v>
      </c>
      <c r="J3636" s="10">
        <v>4</v>
      </c>
      <c r="K3636" s="12">
        <v>44980</v>
      </c>
      <c r="L3636" s="33">
        <v>0.48894675925925929</v>
      </c>
      <c r="M3636" s="10">
        <v>1</v>
      </c>
      <c r="N3636" s="10" t="s">
        <v>169</v>
      </c>
      <c r="O3636" s="10">
        <v>6.39</v>
      </c>
      <c r="P3636" s="10">
        <v>0.29299999999999998</v>
      </c>
      <c r="Q3636" s="10">
        <v>832</v>
      </c>
      <c r="R3636" s="10" t="s">
        <v>77</v>
      </c>
      <c r="S3636" s="34">
        <f t="shared" si="409"/>
        <v>832</v>
      </c>
      <c r="T3636" s="10" t="s">
        <v>1274</v>
      </c>
      <c r="U3636" s="34" t="str">
        <f t="shared" si="410"/>
        <v/>
      </c>
      <c r="V3636" s="31" t="str">
        <f>IF(H3636="CHK",VLOOKUP(I3636,QCCHK,3,),IF(H3636="GUP",VLOOKUP(E3636,QCGUP,2,),IF(AND(H3636="ATP",OR(I3636="TN",I3636="TDN",I3636="TNO2-3",I3636="NO2-3")),VLOOKUP(E3636,QCREC_N,2,),IF(AND(H3636="NIC",OR(I3636="TN",I3636="TDN",I3636="TNO2-3",I3636="NO2-3")),VLOOKUP(E3636,QCNIC_N,2,),IF(AND(H3636="UREA",OR(I3636="TN",I3636="TDN",I3636="TNO2-3",I3636="NO2-3")),VLOOKUP(E3636,QCUREA_N,2,),IF(H3636="PER",VLOOKUP(I3636,QCPER,MATCH(E3636,QCACTUAL!$J$25:$AA$25,0),),IF(H3636="SPK",VLOOKUP(I3636,QCSPK,3,),IF(AND(H3636="ATP",OR(I3636="TP",I3636="TDP")),VLOOKUP(E3636,QCATP_P,2,),""))))))))</f>
        <v/>
      </c>
      <c r="W3636" s="31" t="str">
        <f t="shared" si="411"/>
        <v>TRUE</v>
      </c>
      <c r="X3636" s="31" t="str">
        <f t="shared" si="408"/>
        <v/>
      </c>
      <c r="Y3636" s="10" t="s">
        <v>1253</v>
      </c>
      <c r="Z3636" s="10" t="s">
        <v>910</v>
      </c>
      <c r="AL3636" s="10" t="str">
        <f t="shared" si="413"/>
        <v>FALSE</v>
      </c>
      <c r="AM3636" s="10" t="str">
        <f t="shared" si="413"/>
        <v>FALSE</v>
      </c>
      <c r="AN3636" s="10" t="str">
        <f t="shared" si="413"/>
        <v>FALSE</v>
      </c>
      <c r="AO3636" s="10" t="str">
        <f t="shared" si="414"/>
        <v>FALSE</v>
      </c>
      <c r="AP3636" s="10" t="str">
        <f t="shared" si="414"/>
        <v>FALSE</v>
      </c>
      <c r="AQ3636" s="10" t="b">
        <f>IF(AND(I3636="TP",S3636&lt;=150),VLOOKUP(AF3636,TPCalibEq150!$AZ$2:$BB$55,3,),IF(AND(I3636="TDP",S3636&lt;=150),VLOOKUP(AF3636,TPCalibEq150!$AZ$2:$BB$55,3,)))</f>
        <v>0</v>
      </c>
      <c r="AR3636" s="10" t="b">
        <f>IF(AND(I3636="TP",S3636&lt;=300),VLOOKUP(AF3636,TPCalibEq300!$AZ$2:$BB$55,3,),IF(AND(I3636="TDP",S3636&lt;=300),VLOOKUP(AF3636,TPCalibEq300!$AZ$2:$BB$55,3,)))</f>
        <v>0</v>
      </c>
      <c r="AS3636" s="10" t="b">
        <f>IF(AND(I3636="TP",S3636&lt;=500),VLOOKUP(AF3636,TPCalibEq500!$AZ$2:$BB$56,3,),IF(AND(I3636="TDP",S3636&lt;=500),VLOOKUP(AF3636,TPCalibEq500!$AZ$2:$BB$56,3,)))</f>
        <v>0</v>
      </c>
      <c r="AT3636" s="10" t="b">
        <f>IF(AND(I3636="TN",S3636&lt;=2800),VLOOKUP(AF3636,TNCalibEq2500!$AZ$2:$BB$56,3,),IF(AND(I3636="TDN",S3636&lt;=2800),VLOOKUP(AF3636,TNCalibEq2500!$AZ$2:$BB$56,3,)))</f>
        <v>0</v>
      </c>
      <c r="AU3636" s="10" t="b">
        <f>IF(I3636="TP",VLOOKUP(AF3636,TPCalibEqFull!$AZ$2:$BB$56,3),IF(I3636="TDP",VLOOKUP(AF3636,TPCalibEqFull!$AZ$2:$BB$56,3),IF(I3636="TDN",VLOOKUP(AF3636,TNCalibEqFull!$AZ$1:$BB$56,3),IF(I3636="TN",VLOOKUP(AF3636,TNCalibEqFull!$AZ$1:$BB$56,3),FALSE))))</f>
        <v>0</v>
      </c>
      <c r="AV3636" s="10" t="str">
        <f t="shared" si="412"/>
        <v>0217 08:36:00-HST-0-C-1-SW-UKN</v>
      </c>
    </row>
    <row r="3637" spans="1:48" s="10" customFormat="1" x14ac:dyDescent="0.55000000000000004">
      <c r="A3637" s="32">
        <v>44978</v>
      </c>
      <c r="B3637" s="33">
        <v>0.31597222222222221</v>
      </c>
      <c r="C3637" s="10" t="s">
        <v>279</v>
      </c>
      <c r="D3637" s="10">
        <v>0</v>
      </c>
      <c r="E3637" s="10" t="s">
        <v>190</v>
      </c>
      <c r="F3637" s="10">
        <v>1</v>
      </c>
      <c r="G3637" s="10" t="s">
        <v>231</v>
      </c>
      <c r="H3637" s="10" t="s">
        <v>322</v>
      </c>
      <c r="I3637" s="10" t="s">
        <v>256</v>
      </c>
      <c r="J3637" s="10">
        <v>5</v>
      </c>
      <c r="K3637" s="12">
        <v>44980</v>
      </c>
      <c r="L3637" s="33">
        <v>0.48976851851851855</v>
      </c>
      <c r="M3637" s="10">
        <v>1</v>
      </c>
      <c r="N3637" s="10" t="s">
        <v>169</v>
      </c>
      <c r="O3637" s="10">
        <v>5.82</v>
      </c>
      <c r="P3637" s="10">
        <v>0.26700000000000002</v>
      </c>
      <c r="Q3637" s="10">
        <v>759</v>
      </c>
      <c r="R3637" s="10" t="s">
        <v>77</v>
      </c>
      <c r="S3637" s="34">
        <f t="shared" si="409"/>
        <v>759</v>
      </c>
      <c r="T3637" s="10" t="s">
        <v>1274</v>
      </c>
      <c r="U3637" s="34" t="str">
        <f t="shared" si="410"/>
        <v/>
      </c>
      <c r="V3637" s="31" t="str">
        <f>IF(H3637="CHK",VLOOKUP(I3637,QCCHK,3,),IF(H3637="GUP",VLOOKUP(E3637,QCGUP,2,),IF(AND(H3637="ATP",OR(I3637="TN",I3637="TDN",I3637="TNO2-3",I3637="NO2-3")),VLOOKUP(E3637,QCREC_N,2,),IF(AND(H3637="NIC",OR(I3637="TN",I3637="TDN",I3637="TNO2-3",I3637="NO2-3")),VLOOKUP(E3637,QCNIC_N,2,),IF(AND(H3637="UREA",OR(I3637="TN",I3637="TDN",I3637="TNO2-3",I3637="NO2-3")),VLOOKUP(E3637,QCUREA_N,2,),IF(H3637="PER",VLOOKUP(I3637,QCPER,MATCH(E3637,QCACTUAL!$J$25:$AA$25,0),),IF(H3637="SPK",VLOOKUP(I3637,QCSPK,3,),IF(AND(H3637="ATP",OR(I3637="TP",I3637="TDP")),VLOOKUP(E3637,QCATP_P,2,),""))))))))</f>
        <v/>
      </c>
      <c r="W3637" s="31" t="str">
        <f t="shared" si="411"/>
        <v>TRUE</v>
      </c>
      <c r="X3637" s="31" t="str">
        <f t="shared" si="408"/>
        <v/>
      </c>
      <c r="Y3637" s="10" t="s">
        <v>1253</v>
      </c>
      <c r="AL3637" s="10" t="str">
        <f t="shared" si="413"/>
        <v>FALSE</v>
      </c>
      <c r="AM3637" s="10" t="str">
        <f t="shared" si="413"/>
        <v>FALSE</v>
      </c>
      <c r="AN3637" s="10" t="str">
        <f t="shared" si="413"/>
        <v>FALSE</v>
      </c>
      <c r="AO3637" s="10" t="str">
        <f t="shared" si="414"/>
        <v>FALSE</v>
      </c>
      <c r="AP3637" s="10" t="str">
        <f t="shared" si="414"/>
        <v>FALSE</v>
      </c>
      <c r="AQ3637" s="10" t="b">
        <f>IF(AND(I3637="TP",S3637&lt;=150),VLOOKUP(AF3637,TPCalibEq150!$AZ$2:$BB$55,3,),IF(AND(I3637="TDP",S3637&lt;=150),VLOOKUP(AF3637,TPCalibEq150!$AZ$2:$BB$55,3,)))</f>
        <v>0</v>
      </c>
      <c r="AR3637" s="10" t="b">
        <f>IF(AND(I3637="TP",S3637&lt;=300),VLOOKUP(AF3637,TPCalibEq300!$AZ$2:$BB$55,3,),IF(AND(I3637="TDP",S3637&lt;=300),VLOOKUP(AF3637,TPCalibEq300!$AZ$2:$BB$55,3,)))</f>
        <v>0</v>
      </c>
      <c r="AS3637" s="10" t="b">
        <f>IF(AND(I3637="TP",S3637&lt;=500),VLOOKUP(AF3637,TPCalibEq500!$AZ$2:$BB$56,3,),IF(AND(I3637="TDP",S3637&lt;=500),VLOOKUP(AF3637,TPCalibEq500!$AZ$2:$BB$56,3,)))</f>
        <v>0</v>
      </c>
      <c r="AT3637" s="10" t="b">
        <f>IF(AND(I3637="TN",S3637&lt;=2800),VLOOKUP(AF3637,TNCalibEq2500!$AZ$2:$BB$56,3,),IF(AND(I3637="TDN",S3637&lt;=2800),VLOOKUP(AF3637,TNCalibEq2500!$AZ$2:$BB$56,3,)))</f>
        <v>0</v>
      </c>
      <c r="AU3637" s="10" t="b">
        <f>IF(I3637="TP",VLOOKUP(AF3637,TPCalibEqFull!$AZ$2:$BB$56,3),IF(I3637="TDP",VLOOKUP(AF3637,TPCalibEqFull!$AZ$2:$BB$56,3),IF(I3637="TDN",VLOOKUP(AF3637,TNCalibEqFull!$AZ$1:$BB$56,3),IF(I3637="TN",VLOOKUP(AF3637,TNCalibEqFull!$AZ$1:$BB$56,3),FALSE))))</f>
        <v>0</v>
      </c>
      <c r="AV3637" s="10" t="str">
        <f t="shared" si="412"/>
        <v>0221 07:35:00-EFK-0-C-1-SW-UKN</v>
      </c>
    </row>
    <row r="3638" spans="1:48" s="10" customFormat="1" x14ac:dyDescent="0.55000000000000004">
      <c r="A3638" s="32">
        <v>44978</v>
      </c>
      <c r="B3638" s="33">
        <v>0.31944444444444448</v>
      </c>
      <c r="C3638" s="10" t="s">
        <v>333</v>
      </c>
      <c r="D3638" s="10">
        <v>0</v>
      </c>
      <c r="E3638" s="10" t="s">
        <v>190</v>
      </c>
      <c r="F3638" s="10">
        <v>1</v>
      </c>
      <c r="G3638" s="10" t="s">
        <v>231</v>
      </c>
      <c r="H3638" s="10" t="s">
        <v>322</v>
      </c>
      <c r="I3638" s="10" t="s">
        <v>256</v>
      </c>
      <c r="J3638" s="10">
        <v>6</v>
      </c>
      <c r="K3638" s="12">
        <v>44980</v>
      </c>
      <c r="L3638" s="33">
        <v>0.49057870370370371</v>
      </c>
      <c r="M3638" s="10">
        <v>1</v>
      </c>
      <c r="N3638" s="10" t="s">
        <v>169</v>
      </c>
      <c r="O3638" s="10">
        <v>5.46</v>
      </c>
      <c r="P3638" s="10">
        <v>0.251</v>
      </c>
      <c r="Q3638" s="10">
        <v>712</v>
      </c>
      <c r="R3638" s="10" t="s">
        <v>77</v>
      </c>
      <c r="S3638" s="34">
        <f t="shared" si="409"/>
        <v>712</v>
      </c>
      <c r="T3638" s="10" t="s">
        <v>1274</v>
      </c>
      <c r="U3638" s="34" t="str">
        <f t="shared" si="410"/>
        <v/>
      </c>
      <c r="V3638" s="31" t="str">
        <f>IF(H3638="CHK",VLOOKUP(I3638,QCCHK,3,),IF(H3638="GUP",VLOOKUP(E3638,QCGUP,2,),IF(AND(H3638="ATP",OR(I3638="TN",I3638="TDN",I3638="TNO2-3",I3638="NO2-3")),VLOOKUP(E3638,QCREC_N,2,),IF(AND(H3638="NIC",OR(I3638="TN",I3638="TDN",I3638="TNO2-3",I3638="NO2-3")),VLOOKUP(E3638,QCNIC_N,2,),IF(AND(H3638="UREA",OR(I3638="TN",I3638="TDN",I3638="TNO2-3",I3638="NO2-3")),VLOOKUP(E3638,QCUREA_N,2,),IF(H3638="PER",VLOOKUP(I3638,QCPER,MATCH(E3638,QCACTUAL!$J$25:$AA$25,0),),IF(H3638="SPK",VLOOKUP(I3638,QCSPK,3,),IF(AND(H3638="ATP",OR(I3638="TP",I3638="TDP")),VLOOKUP(E3638,QCATP_P,2,),""))))))))</f>
        <v/>
      </c>
      <c r="W3638" s="31" t="str">
        <f t="shared" si="411"/>
        <v>TRUE</v>
      </c>
      <c r="X3638" s="31" t="str">
        <f t="shared" si="408"/>
        <v/>
      </c>
      <c r="Y3638" s="10" t="s">
        <v>1253</v>
      </c>
      <c r="AL3638" s="10" t="str">
        <f t="shared" si="413"/>
        <v>FALSE</v>
      </c>
      <c r="AM3638" s="10" t="str">
        <f t="shared" si="413"/>
        <v>FALSE</v>
      </c>
      <c r="AN3638" s="10" t="str">
        <f t="shared" si="413"/>
        <v>FALSE</v>
      </c>
      <c r="AO3638" s="10" t="str">
        <f t="shared" si="414"/>
        <v>FALSE</v>
      </c>
      <c r="AP3638" s="10" t="str">
        <f t="shared" si="414"/>
        <v>FALSE</v>
      </c>
      <c r="AQ3638" s="10" t="b">
        <f>IF(AND(I3638="TP",S3638&lt;=150),VLOOKUP(AF3638,TPCalibEq150!$AZ$2:$BB$55,3,),IF(AND(I3638="TDP",S3638&lt;=150),VLOOKUP(AF3638,TPCalibEq150!$AZ$2:$BB$55,3,)))</f>
        <v>0</v>
      </c>
      <c r="AR3638" s="10" t="b">
        <f>IF(AND(I3638="TP",S3638&lt;=300),VLOOKUP(AF3638,TPCalibEq300!$AZ$2:$BB$55,3,),IF(AND(I3638="TDP",S3638&lt;=300),VLOOKUP(AF3638,TPCalibEq300!$AZ$2:$BB$55,3,)))</f>
        <v>0</v>
      </c>
      <c r="AS3638" s="10" t="b">
        <f>IF(AND(I3638="TP",S3638&lt;=500),VLOOKUP(AF3638,TPCalibEq500!$AZ$2:$BB$56,3,),IF(AND(I3638="TDP",S3638&lt;=500),VLOOKUP(AF3638,TPCalibEq500!$AZ$2:$BB$56,3,)))</f>
        <v>0</v>
      </c>
      <c r="AT3638" s="10" t="b">
        <f>IF(AND(I3638="TN",S3638&lt;=2800),VLOOKUP(AF3638,TNCalibEq2500!$AZ$2:$BB$56,3,),IF(AND(I3638="TDN",S3638&lt;=2800),VLOOKUP(AF3638,TNCalibEq2500!$AZ$2:$BB$56,3,)))</f>
        <v>0</v>
      </c>
      <c r="AU3638" s="10" t="b">
        <f>IF(I3638="TP",VLOOKUP(AF3638,TPCalibEqFull!$AZ$2:$BB$56,3),IF(I3638="TDP",VLOOKUP(AF3638,TPCalibEqFull!$AZ$2:$BB$56,3),IF(I3638="TDN",VLOOKUP(AF3638,TNCalibEqFull!$AZ$1:$BB$56,3),IF(I3638="TN",VLOOKUP(AF3638,TNCalibEqFull!$AZ$1:$BB$56,3),FALSE))))</f>
        <v>0</v>
      </c>
      <c r="AV3638" s="10" t="str">
        <f t="shared" si="412"/>
        <v>0221 07:40:00-HST-0-C-1-SW-UKN</v>
      </c>
    </row>
    <row r="3639" spans="1:48" s="10" customFormat="1" x14ac:dyDescent="0.55000000000000004">
      <c r="A3639" s="32">
        <v>44978</v>
      </c>
      <c r="B3639" s="33">
        <v>0.31944444444444448</v>
      </c>
      <c r="C3639" s="10" t="s">
        <v>333</v>
      </c>
      <c r="D3639" s="10">
        <v>0</v>
      </c>
      <c r="E3639" s="10" t="s">
        <v>190</v>
      </c>
      <c r="F3639" s="10">
        <v>1</v>
      </c>
      <c r="G3639" s="10" t="s">
        <v>231</v>
      </c>
      <c r="H3639" s="10" t="s">
        <v>233</v>
      </c>
      <c r="I3639" s="10" t="s">
        <v>256</v>
      </c>
      <c r="J3639" s="10">
        <v>6</v>
      </c>
      <c r="K3639" s="12">
        <v>44980</v>
      </c>
      <c r="L3639" s="33">
        <v>0.49140046296296297</v>
      </c>
      <c r="M3639" s="10">
        <v>1</v>
      </c>
      <c r="N3639" s="10" t="s">
        <v>169</v>
      </c>
      <c r="O3639" s="10">
        <v>5.49</v>
      </c>
      <c r="P3639" s="10">
        <v>0.249</v>
      </c>
      <c r="Q3639" s="10">
        <v>715</v>
      </c>
      <c r="R3639" s="10" t="s">
        <v>77</v>
      </c>
      <c r="S3639" s="34">
        <f t="shared" si="409"/>
        <v>715</v>
      </c>
      <c r="T3639" s="10" t="s">
        <v>1274</v>
      </c>
      <c r="U3639" s="34">
        <f t="shared" si="410"/>
        <v>0.42046250875963564</v>
      </c>
      <c r="V3639" s="31" t="str">
        <f>IF(H3639="CHK",VLOOKUP(I3639,QCCHK,3,),IF(H3639="GUP",VLOOKUP(E3639,QCGUP,2,),IF(AND(H3639="ATP",OR(I3639="TN",I3639="TDN",I3639="TNO2-3",I3639="NO2-3")),VLOOKUP(E3639,QCREC_N,2,),IF(AND(H3639="NIC",OR(I3639="TN",I3639="TDN",I3639="TNO2-3",I3639="NO2-3")),VLOOKUP(E3639,QCNIC_N,2,),IF(AND(H3639="UREA",OR(I3639="TN",I3639="TDN",I3639="TNO2-3",I3639="NO2-3")),VLOOKUP(E3639,QCUREA_N,2,),IF(H3639="PER",VLOOKUP(I3639,QCPER,MATCH(E3639,QCACTUAL!$J$25:$AA$25,0),),IF(H3639="SPK",VLOOKUP(I3639,QCSPK,3,),IF(AND(H3639="ATP",OR(I3639="TP",I3639="TDP")),VLOOKUP(E3639,QCATP_P,2,),""))))))))</f>
        <v/>
      </c>
      <c r="W3639" s="31" t="str">
        <f t="shared" si="411"/>
        <v>TRUE</v>
      </c>
      <c r="X3639" s="31" t="str">
        <f t="shared" si="408"/>
        <v>((ABS(rep1-rep2))/((rep1+rep2)/2)*100</v>
      </c>
      <c r="Y3639" s="10" t="s">
        <v>1253</v>
      </c>
      <c r="AL3639" s="10" t="str">
        <f t="shared" si="413"/>
        <v>FALSE</v>
      </c>
      <c r="AM3639" s="10" t="str">
        <f t="shared" si="413"/>
        <v>FALSE</v>
      </c>
      <c r="AN3639" s="10" t="str">
        <f t="shared" si="413"/>
        <v>FALSE</v>
      </c>
      <c r="AO3639" s="10" t="str">
        <f t="shared" si="414"/>
        <v>FALSE</v>
      </c>
      <c r="AP3639" s="10" t="str">
        <f t="shared" si="414"/>
        <v>FALSE</v>
      </c>
      <c r="AQ3639" s="10" t="b">
        <f>IF(AND(I3639="TP",S3639&lt;=150),VLOOKUP(AF3639,TPCalibEq150!$AZ$2:$BB$55,3,),IF(AND(I3639="TDP",S3639&lt;=150),VLOOKUP(AF3639,TPCalibEq150!$AZ$2:$BB$55,3,)))</f>
        <v>0</v>
      </c>
      <c r="AR3639" s="10" t="b">
        <f>IF(AND(I3639="TP",S3639&lt;=300),VLOOKUP(AF3639,TPCalibEq300!$AZ$2:$BB$55,3,),IF(AND(I3639="TDP",S3639&lt;=300),VLOOKUP(AF3639,TPCalibEq300!$AZ$2:$BB$55,3,)))</f>
        <v>0</v>
      </c>
      <c r="AS3639" s="10" t="b">
        <f>IF(AND(I3639="TP",S3639&lt;=500),VLOOKUP(AF3639,TPCalibEq500!$AZ$2:$BB$56,3,),IF(AND(I3639="TDP",S3639&lt;=500),VLOOKUP(AF3639,TPCalibEq500!$AZ$2:$BB$56,3,)))</f>
        <v>0</v>
      </c>
      <c r="AT3639" s="10" t="b">
        <f>IF(AND(I3639="TN",S3639&lt;=2800),VLOOKUP(AF3639,TNCalibEq2500!$AZ$2:$BB$56,3,),IF(AND(I3639="TDN",S3639&lt;=2800),VLOOKUP(AF3639,TNCalibEq2500!$AZ$2:$BB$56,3,)))</f>
        <v>0</v>
      </c>
      <c r="AU3639" s="10" t="b">
        <f>IF(I3639="TP",VLOOKUP(AF3639,TPCalibEqFull!$AZ$2:$BB$56,3),IF(I3639="TDP",VLOOKUP(AF3639,TPCalibEqFull!$AZ$2:$BB$56,3),IF(I3639="TDN",VLOOKUP(AF3639,TNCalibEqFull!$AZ$1:$BB$56,3),IF(I3639="TN",VLOOKUP(AF3639,TNCalibEqFull!$AZ$1:$BB$56,3),FALSE))))</f>
        <v>0</v>
      </c>
      <c r="AV3639" s="10" t="str">
        <f t="shared" si="412"/>
        <v>0221 07:40:00-HST-0-C-1-SW-DUP</v>
      </c>
    </row>
    <row r="3640" spans="1:48" s="10" customFormat="1" x14ac:dyDescent="0.55000000000000004">
      <c r="A3640" s="32">
        <v>44978</v>
      </c>
      <c r="B3640" s="33">
        <v>0.31944444444444448</v>
      </c>
      <c r="C3640" s="10" t="s">
        <v>912</v>
      </c>
      <c r="D3640" s="10">
        <v>0</v>
      </c>
      <c r="E3640" s="10" t="s">
        <v>190</v>
      </c>
      <c r="F3640" s="10">
        <v>1</v>
      </c>
      <c r="G3640" s="10" t="s">
        <v>231</v>
      </c>
      <c r="H3640" s="10" t="s">
        <v>314</v>
      </c>
      <c r="I3640" s="10" t="s">
        <v>256</v>
      </c>
      <c r="J3640" s="10">
        <v>81</v>
      </c>
      <c r="K3640" s="12">
        <v>44980</v>
      </c>
      <c r="L3640" s="33">
        <v>0.4946875</v>
      </c>
      <c r="M3640" s="10">
        <v>1</v>
      </c>
      <c r="N3640" s="10" t="s">
        <v>169</v>
      </c>
      <c r="O3640" s="10">
        <v>10.9</v>
      </c>
      <c r="P3640" s="10">
        <v>0.51600000000000001</v>
      </c>
      <c r="Q3640" s="10">
        <v>1420</v>
      </c>
      <c r="R3640" s="10" t="s">
        <v>77</v>
      </c>
      <c r="S3640" s="34">
        <f t="shared" si="409"/>
        <v>1420</v>
      </c>
      <c r="T3640" s="10" t="s">
        <v>1274</v>
      </c>
      <c r="U3640" s="34">
        <f t="shared" si="410"/>
        <v>112.79999999999998</v>
      </c>
      <c r="V3640" s="31">
        <f>IF(H3640="CHK",VLOOKUP(I3640,QCCHK,3,),IF(H3640="GUP",VLOOKUP(E3640,QCGUP,2,),IF(AND(H3640="ATP",OR(I3640="TN",I3640="TDN",I3640="TNO2-3",I3640="NO2-3")),VLOOKUP(E3640,QCREC_N,2,),IF(AND(H3640="NIC",OR(I3640="TN",I3640="TDN",I3640="TNO2-3",I3640="NO2-3")),VLOOKUP(E3640,QCNIC_N,2,),IF(AND(H3640="UREA",OR(I3640="TN",I3640="TDN",I3640="TNO2-3",I3640="NO2-3")),VLOOKUP(E3640,QCUREA_N,2,),IF(H3640="PER",VLOOKUP(I3640,QCPER,MATCH(E3640,QCACTUAL!$J$25:$AA$25,0),),IF(H3640="SPK",VLOOKUP(I3640,QCSPK,3,),IF(AND(H3640="ATP",OR(I3640="TP",I3640="TDP")),VLOOKUP(E3640,QCATP_P,2,),""))))))))</f>
        <v>625</v>
      </c>
      <c r="W3640" s="31" t="str">
        <f t="shared" si="411"/>
        <v>TRUE</v>
      </c>
      <c r="X3640" s="31" t="str">
        <f t="shared" si="408"/>
        <v>([spikedunkn]-[unkn])/[spike]*100</v>
      </c>
      <c r="Y3640" s="10" t="s">
        <v>1253</v>
      </c>
      <c r="AL3640" s="10" t="str">
        <f t="shared" si="413"/>
        <v>FALSE</v>
      </c>
      <c r="AM3640" s="10" t="str">
        <f t="shared" si="413"/>
        <v>FALSE</v>
      </c>
      <c r="AN3640" s="10" t="str">
        <f t="shared" si="413"/>
        <v>FALSE</v>
      </c>
      <c r="AO3640" s="10" t="str">
        <f t="shared" si="414"/>
        <v>FALSE</v>
      </c>
      <c r="AP3640" s="10" t="str">
        <f t="shared" si="414"/>
        <v>FALSE</v>
      </c>
      <c r="AQ3640" s="10" t="b">
        <f>IF(AND(I3640="TP",S3640&lt;=150),VLOOKUP(AF3640,TPCalibEq150!$AZ$2:$BB$55,3,),IF(AND(I3640="TDP",S3640&lt;=150),VLOOKUP(AF3640,TPCalibEq150!$AZ$2:$BB$55,3,)))</f>
        <v>0</v>
      </c>
      <c r="AR3640" s="10" t="b">
        <f>IF(AND(I3640="TP",S3640&lt;=300),VLOOKUP(AF3640,TPCalibEq300!$AZ$2:$BB$55,3,),IF(AND(I3640="TDP",S3640&lt;=300),VLOOKUP(AF3640,TPCalibEq300!$AZ$2:$BB$55,3,)))</f>
        <v>0</v>
      </c>
      <c r="AS3640" s="10" t="b">
        <f>IF(AND(I3640="TP",S3640&lt;=500),VLOOKUP(AF3640,TPCalibEq500!$AZ$2:$BB$56,3,),IF(AND(I3640="TDP",S3640&lt;=500),VLOOKUP(AF3640,TPCalibEq500!$AZ$2:$BB$56,3,)))</f>
        <v>0</v>
      </c>
      <c r="AT3640" s="10" t="b">
        <f>IF(AND(I3640="TN",S3640&lt;=2800),VLOOKUP(AF3640,TNCalibEq2500!$AZ$2:$BB$56,3,),IF(AND(I3640="TDN",S3640&lt;=2800),VLOOKUP(AF3640,TNCalibEq2500!$AZ$2:$BB$56,3,)))</f>
        <v>0</v>
      </c>
      <c r="AU3640" s="10" t="b">
        <f>IF(I3640="TP",VLOOKUP(AF3640,TPCalibEqFull!$AZ$2:$BB$56,3),IF(I3640="TDP",VLOOKUP(AF3640,TPCalibEqFull!$AZ$2:$BB$56,3),IF(I3640="TDN",VLOOKUP(AF3640,TNCalibEqFull!$AZ$1:$BB$56,3),IF(I3640="TN",VLOOKUP(AF3640,TNCalibEqFull!$AZ$1:$BB$56,3),FALSE))))</f>
        <v>0</v>
      </c>
      <c r="AV3640" s="10" t="str">
        <f t="shared" si="412"/>
        <v>0221 07:40:00-HST -0-C-1-SW-SPK</v>
      </c>
    </row>
    <row r="3641" spans="1:48" s="10" customFormat="1" x14ac:dyDescent="0.55000000000000004">
      <c r="A3641" s="32">
        <v>44979</v>
      </c>
      <c r="B3641" s="33">
        <v>0.375</v>
      </c>
      <c r="C3641" s="10" t="s">
        <v>70</v>
      </c>
      <c r="D3641" s="10" t="s">
        <v>71</v>
      </c>
      <c r="E3641" s="10" t="s">
        <v>901</v>
      </c>
      <c r="F3641" s="10">
        <v>1</v>
      </c>
      <c r="G3641" s="10" t="s">
        <v>73</v>
      </c>
      <c r="H3641" s="10" t="s">
        <v>207</v>
      </c>
      <c r="I3641" s="10" t="s">
        <v>256</v>
      </c>
      <c r="J3641" s="10">
        <v>199</v>
      </c>
      <c r="K3641" s="12">
        <v>44980</v>
      </c>
      <c r="L3641" s="33">
        <v>0.49304398148148149</v>
      </c>
      <c r="M3641" s="10">
        <v>1</v>
      </c>
      <c r="N3641" s="10" t="s">
        <v>169</v>
      </c>
      <c r="O3641" s="10">
        <v>2.2999999999999998</v>
      </c>
      <c r="P3641" s="10">
        <v>0.113</v>
      </c>
      <c r="Q3641" s="10">
        <v>300</v>
      </c>
      <c r="R3641" s="10" t="s">
        <v>77</v>
      </c>
      <c r="S3641" s="34">
        <f t="shared" si="409"/>
        <v>300</v>
      </c>
      <c r="T3641" s="10" t="s">
        <v>1274</v>
      </c>
      <c r="U3641" s="34">
        <f t="shared" si="410"/>
        <v>100</v>
      </c>
      <c r="V3641" s="31">
        <f>IF(H3641="CHK",VLOOKUP(I3641,QCCHK,3,),IF(H3641="GUP",VLOOKUP(E3641,QCGUP,2,),IF(AND(H3641="ATP",OR(I3641="TN",I3641="TDN",I3641="TNO2-3",I3641="NO2-3")),VLOOKUP(E3641,QCREC_N,2,),IF(AND(H3641="NIC",OR(I3641="TN",I3641="TDN",I3641="TNO2-3",I3641="NO2-3")),VLOOKUP(E3641,QCNIC_N,2,),IF(AND(H3641="UREA",OR(I3641="TN",I3641="TDN",I3641="TNO2-3",I3641="NO2-3")),VLOOKUP(E3641,QCUREA_N,2,),IF(H3641="PER",VLOOKUP(I3641,QCPER,MATCH(E3641,QCACTUAL!$J$25:$AA$25,0),),IF(H3641="SPK",VLOOKUP(I3641,QCSPK,3,),IF(AND(H3641="ATP",OR(I3641="TP",I3641="TDP")),VLOOKUP(E3641,QCATP_P,2,),""))))))))</f>
        <v>300</v>
      </c>
      <c r="W3641" s="31" t="str">
        <f t="shared" si="411"/>
        <v>TRUE</v>
      </c>
      <c r="X3641" s="31" t="str">
        <f t="shared" si="408"/>
        <v>[chk]/[actual]*100</v>
      </c>
      <c r="Y3641" s="10" t="s">
        <v>1253</v>
      </c>
      <c r="AL3641" s="10" t="str">
        <f t="shared" si="413"/>
        <v>FALSE</v>
      </c>
      <c r="AM3641" s="10" t="str">
        <f t="shared" si="413"/>
        <v>FALSE</v>
      </c>
      <c r="AN3641" s="10" t="str">
        <f t="shared" si="413"/>
        <v>FALSE</v>
      </c>
      <c r="AO3641" s="10" t="str">
        <f t="shared" si="414"/>
        <v>FALSE</v>
      </c>
      <c r="AP3641" s="10" t="str">
        <f t="shared" si="414"/>
        <v>FALSE</v>
      </c>
      <c r="AQ3641" s="10" t="b">
        <f>IF(AND(I3641="TP",S3641&lt;=150),VLOOKUP(AF3641,TPCalibEq150!$AZ$2:$BB$55,3,),IF(AND(I3641="TDP",S3641&lt;=150),VLOOKUP(AF3641,TPCalibEq150!$AZ$2:$BB$55,3,)))</f>
        <v>0</v>
      </c>
      <c r="AR3641" s="10" t="b">
        <f>IF(AND(I3641="TP",S3641&lt;=300),VLOOKUP(AF3641,TPCalibEq300!$AZ$2:$BB$55,3,),IF(AND(I3641="TDP",S3641&lt;=300),VLOOKUP(AF3641,TPCalibEq300!$AZ$2:$BB$55,3,)))</f>
        <v>0</v>
      </c>
      <c r="AS3641" s="10" t="b">
        <f>IF(AND(I3641="TP",S3641&lt;=500),VLOOKUP(AF3641,TPCalibEq500!$AZ$2:$BB$56,3,),IF(AND(I3641="TDP",S3641&lt;=500),VLOOKUP(AF3641,TPCalibEq500!$AZ$2:$BB$56,3,)))</f>
        <v>0</v>
      </c>
      <c r="AT3641" s="10" t="b">
        <f>IF(AND(I3641="TN",S3641&lt;=2800),VLOOKUP(AF3641,TNCalibEq2500!$AZ$2:$BB$56,3,),IF(AND(I3641="TDN",S3641&lt;=2800),VLOOKUP(AF3641,TNCalibEq2500!$AZ$2:$BB$56,3,)))</f>
        <v>0</v>
      </c>
      <c r="AU3641" s="10" t="b">
        <f>IF(I3641="TP",VLOOKUP(AF3641,TPCalibEqFull!$AZ$2:$BB$56,3),IF(I3641="TDP",VLOOKUP(AF3641,TPCalibEqFull!$AZ$2:$BB$56,3),IF(I3641="TDN",VLOOKUP(AF3641,TNCalibEqFull!$AZ$1:$BB$56,3),IF(I3641="TN",VLOOKUP(AF3641,TNCalibEqFull!$AZ$1:$BB$56,3),FALSE))))</f>
        <v>0</v>
      </c>
      <c r="AV3641" s="10" t="str">
        <f t="shared" si="412"/>
        <v>0222 09:00:00-QAC-STD-D-1-DI-CHK</v>
      </c>
    </row>
    <row r="3642" spans="1:48" s="10" customFormat="1" x14ac:dyDescent="0.55000000000000004">
      <c r="A3642" s="32">
        <v>44978</v>
      </c>
      <c r="B3642" s="33">
        <v>0.4777777777777778</v>
      </c>
      <c r="C3642" s="10" t="s">
        <v>431</v>
      </c>
      <c r="D3642" s="10">
        <v>0</v>
      </c>
      <c r="E3642" s="10">
        <v>240</v>
      </c>
      <c r="F3642" s="10">
        <v>1</v>
      </c>
      <c r="G3642" s="10" t="s">
        <v>231</v>
      </c>
      <c r="H3642" s="10" t="s">
        <v>322</v>
      </c>
      <c r="I3642" s="10" t="s">
        <v>256</v>
      </c>
      <c r="J3642" s="10">
        <v>7</v>
      </c>
      <c r="K3642" s="12">
        <v>44980</v>
      </c>
      <c r="L3642" s="33">
        <v>0.49386574074074074</v>
      </c>
      <c r="M3642" s="10">
        <v>1</v>
      </c>
      <c r="N3642" s="10" t="s">
        <v>169</v>
      </c>
      <c r="O3642" s="10">
        <v>7.86</v>
      </c>
      <c r="P3642" s="10">
        <v>0.38</v>
      </c>
      <c r="Q3642" s="10">
        <v>1030</v>
      </c>
      <c r="R3642" s="10" t="s">
        <v>77</v>
      </c>
      <c r="S3642" s="34">
        <f t="shared" si="409"/>
        <v>1030</v>
      </c>
      <c r="T3642" s="10" t="s">
        <v>1274</v>
      </c>
      <c r="U3642" s="34" t="str">
        <f t="shared" si="410"/>
        <v/>
      </c>
      <c r="V3642" s="31" t="str">
        <f>IF(H3642="CHK",VLOOKUP(I3642,QCCHK,3,),IF(H3642="GUP",VLOOKUP(E3642,QCGUP,2,),IF(AND(H3642="ATP",OR(I3642="TN",I3642="TDN",I3642="TNO2-3",I3642="NO2-3")),VLOOKUP(E3642,QCREC_N,2,),IF(AND(H3642="NIC",OR(I3642="TN",I3642="TDN",I3642="TNO2-3",I3642="NO2-3")),VLOOKUP(E3642,QCNIC_N,2,),IF(AND(H3642="UREA",OR(I3642="TN",I3642="TDN",I3642="TNO2-3",I3642="NO2-3")),VLOOKUP(E3642,QCUREA_N,2,),IF(H3642="PER",VLOOKUP(I3642,QCPER,MATCH(E3642,QCACTUAL!$J$25:$AA$25,0),),IF(H3642="SPK",VLOOKUP(I3642,QCSPK,3,),IF(AND(H3642="ATP",OR(I3642="TP",I3642="TDP")),VLOOKUP(E3642,QCATP_P,2,),""))))))))</f>
        <v/>
      </c>
      <c r="W3642" s="31" t="str">
        <f t="shared" si="411"/>
        <v>TRUE</v>
      </c>
      <c r="X3642" s="31" t="str">
        <f t="shared" si="408"/>
        <v/>
      </c>
      <c r="Y3642" s="10" t="s">
        <v>1253</v>
      </c>
      <c r="AL3642" s="10" t="str">
        <f t="shared" si="413"/>
        <v>FALSE</v>
      </c>
      <c r="AM3642" s="10" t="str">
        <f t="shared" si="413"/>
        <v>FALSE</v>
      </c>
      <c r="AN3642" s="10" t="str">
        <f t="shared" si="413"/>
        <v>FALSE</v>
      </c>
      <c r="AO3642" s="10" t="str">
        <f t="shared" si="414"/>
        <v>FALSE</v>
      </c>
      <c r="AP3642" s="10" t="str">
        <f t="shared" si="414"/>
        <v>FALSE</v>
      </c>
      <c r="AQ3642" s="10" t="b">
        <f>IF(AND(I3642="TP",S3642&lt;=150),VLOOKUP(AF3642,TPCalibEq150!$AZ$2:$BB$55,3,),IF(AND(I3642="TDP",S3642&lt;=150),VLOOKUP(AF3642,TPCalibEq150!$AZ$2:$BB$55,3,)))</f>
        <v>0</v>
      </c>
      <c r="AR3642" s="10" t="b">
        <f>IF(AND(I3642="TP",S3642&lt;=300),VLOOKUP(AF3642,TPCalibEq300!$AZ$2:$BB$55,3,),IF(AND(I3642="TDP",S3642&lt;=300),VLOOKUP(AF3642,TPCalibEq300!$AZ$2:$BB$55,3,)))</f>
        <v>0</v>
      </c>
      <c r="AS3642" s="10" t="b">
        <f>IF(AND(I3642="TP",S3642&lt;=500),VLOOKUP(AF3642,TPCalibEq500!$AZ$2:$BB$56,3,),IF(AND(I3642="TDP",S3642&lt;=500),VLOOKUP(AF3642,TPCalibEq500!$AZ$2:$BB$56,3,)))</f>
        <v>0</v>
      </c>
      <c r="AT3642" s="10" t="b">
        <f>IF(AND(I3642="TN",S3642&lt;=2800),VLOOKUP(AF3642,TNCalibEq2500!$AZ$2:$BB$56,3,),IF(AND(I3642="TDN",S3642&lt;=2800),VLOOKUP(AF3642,TNCalibEq2500!$AZ$2:$BB$56,3,)))</f>
        <v>0</v>
      </c>
      <c r="AU3642" s="10" t="b">
        <f>IF(I3642="TP",VLOOKUP(AF3642,TPCalibEqFull!$AZ$2:$BB$56,3),IF(I3642="TDP",VLOOKUP(AF3642,TPCalibEqFull!$AZ$2:$BB$56,3),IF(I3642="TDN",VLOOKUP(AF3642,TNCalibEqFull!$AZ$1:$BB$56,3),IF(I3642="TN",VLOOKUP(AF3642,TNCalibEqFull!$AZ$1:$BB$56,3),FALSE))))</f>
        <v>0</v>
      </c>
      <c r="AV3642" s="10" t="str">
        <f t="shared" si="412"/>
        <v>0221 11:28:00-EUS-0-240-1-SW-UKN</v>
      </c>
    </row>
    <row r="3643" spans="1:48" s="10" customFormat="1" x14ac:dyDescent="0.55000000000000004">
      <c r="A3643" s="32">
        <v>44978</v>
      </c>
      <c r="B3643" s="33">
        <v>0.48055555555555557</v>
      </c>
      <c r="C3643" s="10" t="s">
        <v>431</v>
      </c>
      <c r="D3643" s="10">
        <v>5</v>
      </c>
      <c r="E3643" s="10" t="s">
        <v>190</v>
      </c>
      <c r="F3643" s="10">
        <v>1</v>
      </c>
      <c r="G3643" s="10" t="s">
        <v>231</v>
      </c>
      <c r="H3643" s="10" t="s">
        <v>322</v>
      </c>
      <c r="I3643" s="10" t="s">
        <v>256</v>
      </c>
      <c r="J3643" s="10">
        <v>8</v>
      </c>
      <c r="K3643" s="12">
        <v>44980</v>
      </c>
      <c r="L3643" s="33">
        <v>0.49549768518518517</v>
      </c>
      <c r="M3643" s="10">
        <v>1</v>
      </c>
      <c r="N3643" s="10" t="s">
        <v>169</v>
      </c>
      <c r="O3643" s="10">
        <v>7.77</v>
      </c>
      <c r="P3643" s="10">
        <v>0.36199999999999999</v>
      </c>
      <c r="Q3643" s="10">
        <v>1010</v>
      </c>
      <c r="R3643" s="10" t="s">
        <v>77</v>
      </c>
      <c r="S3643" s="34">
        <f t="shared" si="409"/>
        <v>1010</v>
      </c>
      <c r="T3643" s="10" t="s">
        <v>1274</v>
      </c>
      <c r="U3643" s="34" t="str">
        <f t="shared" si="410"/>
        <v/>
      </c>
      <c r="V3643" s="31" t="str">
        <f>IF(H3643="CHK",VLOOKUP(I3643,QCCHK,3,),IF(H3643="GUP",VLOOKUP(E3643,QCGUP,2,),IF(AND(H3643="ATP",OR(I3643="TN",I3643="TDN",I3643="TNO2-3",I3643="NO2-3")),VLOOKUP(E3643,QCREC_N,2,),IF(AND(H3643="NIC",OR(I3643="TN",I3643="TDN",I3643="TNO2-3",I3643="NO2-3")),VLOOKUP(E3643,QCNIC_N,2,),IF(AND(H3643="UREA",OR(I3643="TN",I3643="TDN",I3643="TNO2-3",I3643="NO2-3")),VLOOKUP(E3643,QCUREA_N,2,),IF(H3643="PER",VLOOKUP(I3643,QCPER,MATCH(E3643,QCACTUAL!$J$25:$AA$25,0),),IF(H3643="SPK",VLOOKUP(I3643,QCSPK,3,),IF(AND(H3643="ATP",OR(I3643="TP",I3643="TDP")),VLOOKUP(E3643,QCATP_P,2,),""))))))))</f>
        <v/>
      </c>
      <c r="W3643" s="31" t="str">
        <f t="shared" si="411"/>
        <v>TRUE</v>
      </c>
      <c r="X3643" s="31" t="str">
        <f t="shared" si="408"/>
        <v/>
      </c>
      <c r="Y3643" s="10" t="s">
        <v>1253</v>
      </c>
      <c r="AL3643" s="10" t="str">
        <f t="shared" si="413"/>
        <v>FALSE</v>
      </c>
      <c r="AM3643" s="10" t="str">
        <f t="shared" si="413"/>
        <v>FALSE</v>
      </c>
      <c r="AN3643" s="10" t="str">
        <f t="shared" si="413"/>
        <v>FALSE</v>
      </c>
      <c r="AO3643" s="10" t="str">
        <f t="shared" si="414"/>
        <v>FALSE</v>
      </c>
      <c r="AP3643" s="10" t="str">
        <f t="shared" si="414"/>
        <v>FALSE</v>
      </c>
      <c r="AQ3643" s="10" t="b">
        <f>IF(AND(I3643="TP",S3643&lt;=150),VLOOKUP(AF3643,TPCalibEq150!$AZ$2:$BB$55,3,),IF(AND(I3643="TDP",S3643&lt;=150),VLOOKUP(AF3643,TPCalibEq150!$AZ$2:$BB$55,3,)))</f>
        <v>0</v>
      </c>
      <c r="AR3643" s="10" t="b">
        <f>IF(AND(I3643="TP",S3643&lt;=300),VLOOKUP(AF3643,TPCalibEq300!$AZ$2:$BB$55,3,),IF(AND(I3643="TDP",S3643&lt;=300),VLOOKUP(AF3643,TPCalibEq300!$AZ$2:$BB$55,3,)))</f>
        <v>0</v>
      </c>
      <c r="AS3643" s="10" t="b">
        <f>IF(AND(I3643="TP",S3643&lt;=500),VLOOKUP(AF3643,TPCalibEq500!$AZ$2:$BB$56,3,),IF(AND(I3643="TDP",S3643&lt;=500),VLOOKUP(AF3643,TPCalibEq500!$AZ$2:$BB$56,3,)))</f>
        <v>0</v>
      </c>
      <c r="AT3643" s="10" t="b">
        <f>IF(AND(I3643="TN",S3643&lt;=2800),VLOOKUP(AF3643,TNCalibEq2500!$AZ$2:$BB$56,3,),IF(AND(I3643="TDN",S3643&lt;=2800),VLOOKUP(AF3643,TNCalibEq2500!$AZ$2:$BB$56,3,)))</f>
        <v>0</v>
      </c>
      <c r="AU3643" s="10" t="b">
        <f>IF(I3643="TP",VLOOKUP(AF3643,TPCalibEqFull!$AZ$2:$BB$56,3),IF(I3643="TDP",VLOOKUP(AF3643,TPCalibEqFull!$AZ$2:$BB$56,3),IF(I3643="TDN",VLOOKUP(AF3643,TNCalibEqFull!$AZ$1:$BB$56,3),IF(I3643="TN",VLOOKUP(AF3643,TNCalibEqFull!$AZ$1:$BB$56,3),FALSE))))</f>
        <v>0</v>
      </c>
      <c r="AV3643" s="10" t="str">
        <f t="shared" si="412"/>
        <v>0221 11:32:00-EUS-5-C-1-SW-UKN</v>
      </c>
    </row>
    <row r="3644" spans="1:48" s="10" customFormat="1" x14ac:dyDescent="0.55000000000000004">
      <c r="A3644" s="32">
        <v>44978</v>
      </c>
      <c r="B3644" s="33">
        <v>0.49444444444444446</v>
      </c>
      <c r="C3644" s="10" t="s">
        <v>618</v>
      </c>
      <c r="D3644" s="10">
        <v>0</v>
      </c>
      <c r="E3644" s="10">
        <v>180</v>
      </c>
      <c r="F3644" s="10">
        <v>1</v>
      </c>
      <c r="G3644" s="10" t="s">
        <v>231</v>
      </c>
      <c r="H3644" s="10" t="s">
        <v>322</v>
      </c>
      <c r="I3644" s="10" t="s">
        <v>256</v>
      </c>
      <c r="J3644" s="10">
        <v>9</v>
      </c>
      <c r="K3644" s="12">
        <v>44980</v>
      </c>
      <c r="L3644" s="33">
        <v>0.49631944444444448</v>
      </c>
      <c r="M3644" s="10">
        <v>1</v>
      </c>
      <c r="N3644" s="10" t="s">
        <v>169</v>
      </c>
      <c r="O3644" s="10">
        <v>3.7</v>
      </c>
      <c r="P3644" s="10">
        <v>0.17199999999999999</v>
      </c>
      <c r="Q3644" s="10">
        <v>482</v>
      </c>
      <c r="R3644" s="10" t="s">
        <v>77</v>
      </c>
      <c r="S3644" s="34">
        <f t="shared" si="409"/>
        <v>482</v>
      </c>
      <c r="T3644" s="10" t="s">
        <v>1274</v>
      </c>
      <c r="U3644" s="34" t="str">
        <f t="shared" si="410"/>
        <v/>
      </c>
      <c r="V3644" s="31" t="str">
        <f>IF(H3644="CHK",VLOOKUP(I3644,QCCHK,3,),IF(H3644="GUP",VLOOKUP(E3644,QCGUP,2,),IF(AND(H3644="ATP",OR(I3644="TN",I3644="TDN",I3644="TNO2-3",I3644="NO2-3")),VLOOKUP(E3644,QCREC_N,2,),IF(AND(H3644="NIC",OR(I3644="TN",I3644="TDN",I3644="TNO2-3",I3644="NO2-3")),VLOOKUP(E3644,QCNIC_N,2,),IF(AND(H3644="UREA",OR(I3644="TN",I3644="TDN",I3644="TNO2-3",I3644="NO2-3")),VLOOKUP(E3644,QCUREA_N,2,),IF(H3644="PER",VLOOKUP(I3644,QCPER,MATCH(E3644,QCACTUAL!$J$25:$AA$25,0),),IF(H3644="SPK",VLOOKUP(I3644,QCSPK,3,),IF(AND(H3644="ATP",OR(I3644="TP",I3644="TDP")),VLOOKUP(E3644,QCATP_P,2,),""))))))))</f>
        <v/>
      </c>
      <c r="W3644" s="31" t="str">
        <f t="shared" si="411"/>
        <v>TRUE</v>
      </c>
      <c r="X3644" s="31" t="str">
        <f t="shared" si="408"/>
        <v/>
      </c>
      <c r="Y3644" s="10" t="s">
        <v>1253</v>
      </c>
      <c r="AL3644" s="10" t="str">
        <f t="shared" si="413"/>
        <v>FALSE</v>
      </c>
      <c r="AM3644" s="10" t="str">
        <f t="shared" si="413"/>
        <v>FALSE</v>
      </c>
      <c r="AN3644" s="10" t="str">
        <f t="shared" si="413"/>
        <v>FALSE</v>
      </c>
      <c r="AO3644" s="10" t="str">
        <f t="shared" si="414"/>
        <v>FALSE</v>
      </c>
      <c r="AP3644" s="10" t="str">
        <f t="shared" si="414"/>
        <v>FALSE</v>
      </c>
      <c r="AQ3644" s="10" t="b">
        <f>IF(AND(I3644="TP",S3644&lt;=150),VLOOKUP(AF3644,TPCalibEq150!$AZ$2:$BB$55,3,),IF(AND(I3644="TDP",S3644&lt;=150),VLOOKUP(AF3644,TPCalibEq150!$AZ$2:$BB$55,3,)))</f>
        <v>0</v>
      </c>
      <c r="AR3644" s="10" t="b">
        <f>IF(AND(I3644="TP",S3644&lt;=300),VLOOKUP(AF3644,TPCalibEq300!$AZ$2:$BB$55,3,),IF(AND(I3644="TDP",S3644&lt;=300),VLOOKUP(AF3644,TPCalibEq300!$AZ$2:$BB$55,3,)))</f>
        <v>0</v>
      </c>
      <c r="AS3644" s="10" t="b">
        <f>IF(AND(I3644="TP",S3644&lt;=500),VLOOKUP(AF3644,TPCalibEq500!$AZ$2:$BB$56,3,),IF(AND(I3644="TDP",S3644&lt;=500),VLOOKUP(AF3644,TPCalibEq500!$AZ$2:$BB$56,3,)))</f>
        <v>0</v>
      </c>
      <c r="AT3644" s="10" t="b">
        <f>IF(AND(I3644="TN",S3644&lt;=2800),VLOOKUP(AF3644,TNCalibEq2500!$AZ$2:$BB$56,3,),IF(AND(I3644="TDN",S3644&lt;=2800),VLOOKUP(AF3644,TNCalibEq2500!$AZ$2:$BB$56,3,)))</f>
        <v>0</v>
      </c>
      <c r="AU3644" s="10" t="b">
        <f>IF(I3644="TP",VLOOKUP(AF3644,TPCalibEqFull!$AZ$2:$BB$56,3),IF(I3644="TDP",VLOOKUP(AF3644,TPCalibEqFull!$AZ$2:$BB$56,3),IF(I3644="TDN",VLOOKUP(AF3644,TNCalibEqFull!$AZ$1:$BB$56,3),IF(I3644="TN",VLOOKUP(AF3644,TNCalibEqFull!$AZ$1:$BB$56,3),FALSE))))</f>
        <v>0</v>
      </c>
      <c r="AV3644" s="10" t="str">
        <f t="shared" si="412"/>
        <v>0221 11:52:00-ECP-0-180-1-SW-UKN</v>
      </c>
    </row>
    <row r="3645" spans="1:48" s="10" customFormat="1" x14ac:dyDescent="0.55000000000000004">
      <c r="A3645" s="32">
        <v>44978</v>
      </c>
      <c r="B3645" s="33">
        <v>0.49444444444444446</v>
      </c>
      <c r="C3645" s="10" t="s">
        <v>618</v>
      </c>
      <c r="D3645" s="10">
        <v>0</v>
      </c>
      <c r="E3645" s="10">
        <v>180</v>
      </c>
      <c r="F3645" s="10">
        <v>2</v>
      </c>
      <c r="G3645" s="10" t="s">
        <v>231</v>
      </c>
      <c r="H3645" s="10" t="s">
        <v>322</v>
      </c>
      <c r="I3645" s="10" t="s">
        <v>256</v>
      </c>
      <c r="J3645" s="10">
        <v>10</v>
      </c>
      <c r="K3645" s="12">
        <v>44980</v>
      </c>
      <c r="L3645" s="33">
        <v>0.49712962962962964</v>
      </c>
      <c r="M3645" s="10">
        <v>1</v>
      </c>
      <c r="N3645" s="10" t="s">
        <v>169</v>
      </c>
      <c r="O3645" s="10">
        <v>3.69</v>
      </c>
      <c r="P3645" s="10">
        <v>0.17100000000000001</v>
      </c>
      <c r="Q3645" s="10">
        <v>480</v>
      </c>
      <c r="R3645" s="10" t="s">
        <v>77</v>
      </c>
      <c r="S3645" s="34">
        <f t="shared" si="409"/>
        <v>480</v>
      </c>
      <c r="T3645" s="10" t="s">
        <v>1274</v>
      </c>
      <c r="U3645" s="34" t="str">
        <f t="shared" si="410"/>
        <v/>
      </c>
      <c r="V3645" s="31" t="str">
        <f>IF(H3645="CHK",VLOOKUP(I3645,QCCHK,3,),IF(H3645="GUP",VLOOKUP(E3645,QCGUP,2,),IF(AND(H3645="ATP",OR(I3645="TN",I3645="TDN",I3645="TNO2-3",I3645="NO2-3")),VLOOKUP(E3645,QCREC_N,2,),IF(AND(H3645="NIC",OR(I3645="TN",I3645="TDN",I3645="TNO2-3",I3645="NO2-3")),VLOOKUP(E3645,QCNIC_N,2,),IF(AND(H3645="UREA",OR(I3645="TN",I3645="TDN",I3645="TNO2-3",I3645="NO2-3")),VLOOKUP(E3645,QCUREA_N,2,),IF(H3645="PER",VLOOKUP(I3645,QCPER,MATCH(E3645,QCACTUAL!$J$25:$AA$25,0),),IF(H3645="SPK",VLOOKUP(I3645,QCSPK,3,),IF(AND(H3645="ATP",OR(I3645="TP",I3645="TDP")),VLOOKUP(E3645,QCATP_P,2,),""))))))))</f>
        <v/>
      </c>
      <c r="W3645" s="31" t="str">
        <f t="shared" si="411"/>
        <v>TRUE</v>
      </c>
      <c r="X3645" s="31" t="str">
        <f t="shared" si="408"/>
        <v/>
      </c>
      <c r="Y3645" s="10" t="s">
        <v>1253</v>
      </c>
      <c r="AL3645" s="10" t="str">
        <f t="shared" si="413"/>
        <v>FALSE</v>
      </c>
      <c r="AM3645" s="10" t="str">
        <f t="shared" si="413"/>
        <v>FALSE</v>
      </c>
      <c r="AN3645" s="10" t="str">
        <f t="shared" si="413"/>
        <v>FALSE</v>
      </c>
      <c r="AO3645" s="10" t="str">
        <f t="shared" si="414"/>
        <v>FALSE</v>
      </c>
      <c r="AP3645" s="10" t="str">
        <f t="shared" si="414"/>
        <v>FALSE</v>
      </c>
      <c r="AQ3645" s="10" t="b">
        <f>IF(AND(I3645="TP",S3645&lt;=150),VLOOKUP(AF3645,TPCalibEq150!$AZ$2:$BB$55,3,),IF(AND(I3645="TDP",S3645&lt;=150),VLOOKUP(AF3645,TPCalibEq150!$AZ$2:$BB$55,3,)))</f>
        <v>0</v>
      </c>
      <c r="AR3645" s="10" t="b">
        <f>IF(AND(I3645="TP",S3645&lt;=300),VLOOKUP(AF3645,TPCalibEq300!$AZ$2:$BB$55,3,),IF(AND(I3645="TDP",S3645&lt;=300),VLOOKUP(AF3645,TPCalibEq300!$AZ$2:$BB$55,3,)))</f>
        <v>0</v>
      </c>
      <c r="AS3645" s="10" t="b">
        <f>IF(AND(I3645="TP",S3645&lt;=500),VLOOKUP(AF3645,TPCalibEq500!$AZ$2:$BB$56,3,),IF(AND(I3645="TDP",S3645&lt;=500),VLOOKUP(AF3645,TPCalibEq500!$AZ$2:$BB$56,3,)))</f>
        <v>0</v>
      </c>
      <c r="AT3645" s="10" t="b">
        <f>IF(AND(I3645="TN",S3645&lt;=2800),VLOOKUP(AF3645,TNCalibEq2500!$AZ$2:$BB$56,3,),IF(AND(I3645="TDN",S3645&lt;=2800),VLOOKUP(AF3645,TNCalibEq2500!$AZ$2:$BB$56,3,)))</f>
        <v>0</v>
      </c>
      <c r="AU3645" s="10" t="b">
        <f>IF(I3645="TP",VLOOKUP(AF3645,TPCalibEqFull!$AZ$2:$BB$56,3),IF(I3645="TDP",VLOOKUP(AF3645,TPCalibEqFull!$AZ$2:$BB$56,3),IF(I3645="TDN",VLOOKUP(AF3645,TNCalibEqFull!$AZ$1:$BB$56,3),IF(I3645="TN",VLOOKUP(AF3645,TNCalibEqFull!$AZ$1:$BB$56,3),FALSE))))</f>
        <v>0</v>
      </c>
      <c r="AV3645" s="10" t="str">
        <f t="shared" si="412"/>
        <v>0221 11:52:00-ECP-0-180-2-SW-UKN</v>
      </c>
    </row>
    <row r="3646" spans="1:48" s="10" customFormat="1" x14ac:dyDescent="0.55000000000000004">
      <c r="A3646" s="32">
        <v>44978</v>
      </c>
      <c r="B3646" s="33">
        <v>0.49444444444444446</v>
      </c>
      <c r="C3646" s="10" t="s">
        <v>618</v>
      </c>
      <c r="D3646" s="10">
        <v>0</v>
      </c>
      <c r="E3646" s="10">
        <v>180</v>
      </c>
      <c r="F3646" s="10">
        <v>2</v>
      </c>
      <c r="G3646" s="10" t="s">
        <v>231</v>
      </c>
      <c r="H3646" s="10" t="s">
        <v>233</v>
      </c>
      <c r="I3646" s="10" t="s">
        <v>256</v>
      </c>
      <c r="J3646" s="10">
        <v>10</v>
      </c>
      <c r="K3646" s="12">
        <v>44980</v>
      </c>
      <c r="L3646" s="33">
        <v>0.49793981481481481</v>
      </c>
      <c r="M3646" s="10">
        <v>1</v>
      </c>
      <c r="N3646" s="10" t="s">
        <v>169</v>
      </c>
      <c r="O3646" s="10">
        <v>3.67</v>
      </c>
      <c r="P3646" s="10">
        <v>0.17</v>
      </c>
      <c r="Q3646" s="10">
        <v>479</v>
      </c>
      <c r="R3646" s="10" t="s">
        <v>77</v>
      </c>
      <c r="S3646" s="34">
        <f t="shared" si="409"/>
        <v>479</v>
      </c>
      <c r="T3646" s="10" t="s">
        <v>1274</v>
      </c>
      <c r="U3646" s="34">
        <f t="shared" si="410"/>
        <v>0.20855057351407716</v>
      </c>
      <c r="V3646" s="31" t="str">
        <f>IF(H3646="CHK",VLOOKUP(I3646,QCCHK,3,),IF(H3646="GUP",VLOOKUP(E3646,QCGUP,2,),IF(AND(H3646="ATP",OR(I3646="TN",I3646="TDN",I3646="TNO2-3",I3646="NO2-3")),VLOOKUP(E3646,QCREC_N,2,),IF(AND(H3646="NIC",OR(I3646="TN",I3646="TDN",I3646="TNO2-3",I3646="NO2-3")),VLOOKUP(E3646,QCNIC_N,2,),IF(AND(H3646="UREA",OR(I3646="TN",I3646="TDN",I3646="TNO2-3",I3646="NO2-3")),VLOOKUP(E3646,QCUREA_N,2,),IF(H3646="PER",VLOOKUP(I3646,QCPER,MATCH(E3646,QCACTUAL!$J$25:$AA$25,0),),IF(H3646="SPK",VLOOKUP(I3646,QCSPK,3,),IF(AND(H3646="ATP",OR(I3646="TP",I3646="TDP")),VLOOKUP(E3646,QCATP_P,2,),""))))))))</f>
        <v/>
      </c>
      <c r="W3646" s="31" t="str">
        <f t="shared" si="411"/>
        <v>TRUE</v>
      </c>
      <c r="X3646" s="31" t="str">
        <f t="shared" si="408"/>
        <v>((ABS(rep1-rep2))/((rep1+rep2)/2)*100</v>
      </c>
      <c r="Y3646" s="10" t="s">
        <v>1253</v>
      </c>
      <c r="AL3646" s="10" t="str">
        <f t="shared" si="413"/>
        <v>FALSE</v>
      </c>
      <c r="AM3646" s="10" t="str">
        <f t="shared" si="413"/>
        <v>FALSE</v>
      </c>
      <c r="AN3646" s="10" t="str">
        <f t="shared" si="413"/>
        <v>FALSE</v>
      </c>
      <c r="AO3646" s="10" t="str">
        <f t="shared" si="414"/>
        <v>FALSE</v>
      </c>
      <c r="AP3646" s="10" t="str">
        <f t="shared" si="414"/>
        <v>FALSE</v>
      </c>
      <c r="AQ3646" s="10" t="b">
        <f>IF(AND(I3646="TP",S3646&lt;=150),VLOOKUP(AF3646,TPCalibEq150!$AZ$2:$BB$55,3,),IF(AND(I3646="TDP",S3646&lt;=150),VLOOKUP(AF3646,TPCalibEq150!$AZ$2:$BB$55,3,)))</f>
        <v>0</v>
      </c>
      <c r="AR3646" s="10" t="b">
        <f>IF(AND(I3646="TP",S3646&lt;=300),VLOOKUP(AF3646,TPCalibEq300!$AZ$2:$BB$55,3,),IF(AND(I3646="TDP",S3646&lt;=300),VLOOKUP(AF3646,TPCalibEq300!$AZ$2:$BB$55,3,)))</f>
        <v>0</v>
      </c>
      <c r="AS3646" s="10" t="b">
        <f>IF(AND(I3646="TP",S3646&lt;=500),VLOOKUP(AF3646,TPCalibEq500!$AZ$2:$BB$56,3,),IF(AND(I3646="TDP",S3646&lt;=500),VLOOKUP(AF3646,TPCalibEq500!$AZ$2:$BB$56,3,)))</f>
        <v>0</v>
      </c>
      <c r="AT3646" s="10" t="b">
        <f>IF(AND(I3646="TN",S3646&lt;=2800),VLOOKUP(AF3646,TNCalibEq2500!$AZ$2:$BB$56,3,),IF(AND(I3646="TDN",S3646&lt;=2800),VLOOKUP(AF3646,TNCalibEq2500!$AZ$2:$BB$56,3,)))</f>
        <v>0</v>
      </c>
      <c r="AU3646" s="10" t="b">
        <f>IF(I3646="TP",VLOOKUP(AF3646,TPCalibEqFull!$AZ$2:$BB$56,3),IF(I3646="TDP",VLOOKUP(AF3646,TPCalibEqFull!$AZ$2:$BB$56,3),IF(I3646="TDN",VLOOKUP(AF3646,TNCalibEqFull!$AZ$1:$BB$56,3),IF(I3646="TN",VLOOKUP(AF3646,TNCalibEqFull!$AZ$1:$BB$56,3),FALSE))))</f>
        <v>0</v>
      </c>
      <c r="AV3646" s="10" t="str">
        <f t="shared" si="412"/>
        <v>0221 11:52:00-ECP-0-180-2-SW-DUP</v>
      </c>
    </row>
    <row r="3647" spans="1:48" s="10" customFormat="1" x14ac:dyDescent="0.55000000000000004">
      <c r="A3647" s="32">
        <v>44978</v>
      </c>
      <c r="B3647" s="33">
        <v>0.49444444444444446</v>
      </c>
      <c r="C3647" s="10" t="s">
        <v>618</v>
      </c>
      <c r="D3647" s="10">
        <v>0</v>
      </c>
      <c r="E3647" s="10">
        <v>180</v>
      </c>
      <c r="F3647" s="10">
        <v>2</v>
      </c>
      <c r="G3647" s="10" t="s">
        <v>231</v>
      </c>
      <c r="H3647" s="10" t="s">
        <v>314</v>
      </c>
      <c r="I3647" s="10" t="s">
        <v>256</v>
      </c>
      <c r="J3647" s="10">
        <v>82</v>
      </c>
      <c r="K3647" s="12">
        <v>44980</v>
      </c>
      <c r="L3647" s="33">
        <v>0.49875000000000003</v>
      </c>
      <c r="M3647" s="10">
        <v>1</v>
      </c>
      <c r="N3647" s="10" t="s">
        <v>169</v>
      </c>
      <c r="O3647" s="10">
        <v>9.11</v>
      </c>
      <c r="P3647" s="10">
        <v>0.42199999999999999</v>
      </c>
      <c r="Q3647" s="10">
        <v>1190</v>
      </c>
      <c r="R3647" s="10" t="s">
        <v>77</v>
      </c>
      <c r="S3647" s="34">
        <f t="shared" si="409"/>
        <v>1190</v>
      </c>
      <c r="T3647" s="10" t="s">
        <v>1274</v>
      </c>
      <c r="U3647" s="34">
        <f t="shared" si="410"/>
        <v>113.75999999999999</v>
      </c>
      <c r="V3647" s="31">
        <f>IF(H3647="CHK",VLOOKUP(I3647,QCCHK,3,),IF(H3647="GUP",VLOOKUP(E3647,QCGUP,2,),IF(AND(H3647="ATP",OR(I3647="TN",I3647="TDN",I3647="TNO2-3",I3647="NO2-3")),VLOOKUP(E3647,QCREC_N,2,),IF(AND(H3647="NIC",OR(I3647="TN",I3647="TDN",I3647="TNO2-3",I3647="NO2-3")),VLOOKUP(E3647,QCNIC_N,2,),IF(AND(H3647="UREA",OR(I3647="TN",I3647="TDN",I3647="TNO2-3",I3647="NO2-3")),VLOOKUP(E3647,QCUREA_N,2,),IF(H3647="PER",VLOOKUP(I3647,QCPER,MATCH(E3647,QCACTUAL!$J$25:$AA$25,0),),IF(H3647="SPK",VLOOKUP(I3647,QCSPK,3,),IF(AND(H3647="ATP",OR(I3647="TP",I3647="TDP")),VLOOKUP(E3647,QCATP_P,2,),""))))))))</f>
        <v>625</v>
      </c>
      <c r="W3647" s="31" t="str">
        <f t="shared" si="411"/>
        <v>TRUE</v>
      </c>
      <c r="X3647" s="31" t="str">
        <f t="shared" ref="X3647:X3710" si="415">IF(ISNA(VLOOKUP(H3647,QCEQUATIONS,2,)),"",(VLOOKUP(H3647,QCEQUATIONS,2,)))</f>
        <v>([spikedunkn]-[unkn])/[spike]*100</v>
      </c>
      <c r="Y3647" s="10" t="s">
        <v>1253</v>
      </c>
      <c r="AL3647" s="10" t="str">
        <f t="shared" si="413"/>
        <v>FALSE</v>
      </c>
      <c r="AM3647" s="10" t="str">
        <f t="shared" si="413"/>
        <v>FALSE</v>
      </c>
      <c r="AN3647" s="10" t="str">
        <f t="shared" si="413"/>
        <v>FALSE</v>
      </c>
      <c r="AO3647" s="10" t="str">
        <f t="shared" si="414"/>
        <v>FALSE</v>
      </c>
      <c r="AP3647" s="10" t="str">
        <f t="shared" si="414"/>
        <v>FALSE</v>
      </c>
      <c r="AQ3647" s="10" t="b">
        <f>IF(AND(I3647="TP",S3647&lt;=150),VLOOKUP(AF3647,TPCalibEq150!$AZ$2:$BB$55,3,),IF(AND(I3647="TDP",S3647&lt;=150),VLOOKUP(AF3647,TPCalibEq150!$AZ$2:$BB$55,3,)))</f>
        <v>0</v>
      </c>
      <c r="AR3647" s="10" t="b">
        <f>IF(AND(I3647="TP",S3647&lt;=300),VLOOKUP(AF3647,TPCalibEq300!$AZ$2:$BB$55,3,),IF(AND(I3647="TDP",S3647&lt;=300),VLOOKUP(AF3647,TPCalibEq300!$AZ$2:$BB$55,3,)))</f>
        <v>0</v>
      </c>
      <c r="AS3647" s="10" t="b">
        <f>IF(AND(I3647="TP",S3647&lt;=500),VLOOKUP(AF3647,TPCalibEq500!$AZ$2:$BB$56,3,),IF(AND(I3647="TDP",S3647&lt;=500),VLOOKUP(AF3647,TPCalibEq500!$AZ$2:$BB$56,3,)))</f>
        <v>0</v>
      </c>
      <c r="AT3647" s="10" t="b">
        <f>IF(AND(I3647="TN",S3647&lt;=2800),VLOOKUP(AF3647,TNCalibEq2500!$AZ$2:$BB$56,3,),IF(AND(I3647="TDN",S3647&lt;=2800),VLOOKUP(AF3647,TNCalibEq2500!$AZ$2:$BB$56,3,)))</f>
        <v>0</v>
      </c>
      <c r="AU3647" s="10" t="b">
        <f>IF(I3647="TP",VLOOKUP(AF3647,TPCalibEqFull!$AZ$2:$BB$56,3),IF(I3647="TDP",VLOOKUP(AF3647,TPCalibEqFull!$AZ$2:$BB$56,3),IF(I3647="TDN",VLOOKUP(AF3647,TNCalibEqFull!$AZ$1:$BB$56,3),IF(I3647="TN",VLOOKUP(AF3647,TNCalibEqFull!$AZ$1:$BB$56,3),FALSE))))</f>
        <v>0</v>
      </c>
      <c r="AV3647" s="10" t="str">
        <f t="shared" si="412"/>
        <v>0221 11:52:00-ECP-0-180-2-SW-SPK</v>
      </c>
    </row>
    <row r="3648" spans="1:48" s="10" customFormat="1" x14ac:dyDescent="0.55000000000000004">
      <c r="A3648" s="32">
        <v>44979</v>
      </c>
      <c r="B3648" s="33">
        <v>0.375</v>
      </c>
      <c r="C3648" s="10" t="s">
        <v>70</v>
      </c>
      <c r="D3648" s="10" t="s">
        <v>71</v>
      </c>
      <c r="E3648" s="10" t="s">
        <v>901</v>
      </c>
      <c r="F3648" s="10">
        <v>1</v>
      </c>
      <c r="G3648" s="10" t="s">
        <v>73</v>
      </c>
      <c r="H3648" s="10" t="s">
        <v>207</v>
      </c>
      <c r="I3648" s="10" t="s">
        <v>256</v>
      </c>
      <c r="J3648" s="10">
        <v>199</v>
      </c>
      <c r="K3648" s="12">
        <v>44980</v>
      </c>
      <c r="L3648" s="33">
        <v>0.49958333333333332</v>
      </c>
      <c r="M3648" s="10">
        <v>1</v>
      </c>
      <c r="N3648" s="10" t="s">
        <v>169</v>
      </c>
      <c r="O3648" s="10">
        <v>2.2400000000000002</v>
      </c>
      <c r="P3648" s="10">
        <v>0.106</v>
      </c>
      <c r="Q3648" s="10">
        <v>292</v>
      </c>
      <c r="R3648" s="10" t="s">
        <v>77</v>
      </c>
      <c r="S3648" s="34">
        <f t="shared" ref="S3648:S3711" si="416">IF(OR(AND(I3648&lt;&gt;"TP", I3648&lt;&gt;"TDP",I3648&lt;&gt;"TN", I3648&lt;&gt;"TDN"),H3648="CAL"), Q3648*M3648, IF(OR(AND(I3648="TN", Q3648&gt;2500), AND(I3648="TDN", Q3648&gt;2500)),MAX(Q3648, AK3648)*M3648, IF(OR(AND(I3648="TN", Q3648&lt;=2500), AND(I3648="TDN", Q3648&lt;=2500)),MAX(Q3648, AJ3648,AK3648)*M3648, IF(OR(AND(I3648="TP",Q3648&gt;500), AND(I3648="TDP", Q3648&gt;500)),MAX(Q3648,AK3648)*M3648,IF(OR(AND(I3648="TP",Q3648&lt;=150), AND(I3648="TDP", Q3648&lt;=150)),MAX(Q3648,AG3648:AI3648,AK3648)*M3648,IF(OR(AND(I3648="TP",Q3648&lt;=300), AND(I3648="TDP", Q3648&lt;=300)),MAX(Q3648,AH3648,AI3648,AK3648)*M3648,IF(OR(AND(I3648="TP",Q3648&lt;=500), AND(I3648="TDP", Q3648&lt;=500)),MAX(Q3648,AI3648,AK3648)*M3648,"")))))))</f>
        <v>292</v>
      </c>
      <c r="T3648" s="10" t="s">
        <v>1274</v>
      </c>
      <c r="U3648" s="34">
        <f t="shared" si="410"/>
        <v>97.333333333333343</v>
      </c>
      <c r="V3648" s="31">
        <f>IF(H3648="CHK",VLOOKUP(I3648,QCCHK,3,),IF(H3648="GUP",VLOOKUP(E3648,QCGUP,2,),IF(AND(H3648="ATP",OR(I3648="TN",I3648="TDN",I3648="TNO2-3",I3648="NO2-3")),VLOOKUP(E3648,QCREC_N,2,),IF(AND(H3648="NIC",OR(I3648="TN",I3648="TDN",I3648="TNO2-3",I3648="NO2-3")),VLOOKUP(E3648,QCNIC_N,2,),IF(AND(H3648="UREA",OR(I3648="TN",I3648="TDN",I3648="TNO2-3",I3648="NO2-3")),VLOOKUP(E3648,QCUREA_N,2,),IF(H3648="PER",VLOOKUP(I3648,QCPER,MATCH(E3648,QCACTUAL!$J$25:$AA$25,0),),IF(H3648="SPK",VLOOKUP(I3648,QCSPK,3,),IF(AND(H3648="ATP",OR(I3648="TP",I3648="TDP")),VLOOKUP(E3648,QCATP_P,2,),""))))))))</f>
        <v>300</v>
      </c>
      <c r="W3648" s="31" t="str">
        <f t="shared" si="411"/>
        <v>TRUE</v>
      </c>
      <c r="X3648" s="31" t="str">
        <f t="shared" si="415"/>
        <v>[chk]/[actual]*100</v>
      </c>
      <c r="Y3648" s="10" t="s">
        <v>1253</v>
      </c>
      <c r="AL3648" s="10" t="str">
        <f t="shared" si="413"/>
        <v>FALSE</v>
      </c>
      <c r="AM3648" s="10" t="str">
        <f t="shared" si="413"/>
        <v>FALSE</v>
      </c>
      <c r="AN3648" s="10" t="str">
        <f t="shared" si="413"/>
        <v>FALSE</v>
      </c>
      <c r="AO3648" s="10" t="str">
        <f t="shared" si="414"/>
        <v>FALSE</v>
      </c>
      <c r="AP3648" s="10" t="str">
        <f t="shared" si="414"/>
        <v>FALSE</v>
      </c>
      <c r="AQ3648" s="10" t="b">
        <f>IF(AND(I3648="TP",S3648&lt;=150),VLOOKUP(AF3648,TPCalibEq150!$AZ$2:$BB$55,3,),IF(AND(I3648="TDP",S3648&lt;=150),VLOOKUP(AF3648,TPCalibEq150!$AZ$2:$BB$55,3,)))</f>
        <v>0</v>
      </c>
      <c r="AR3648" s="10" t="b">
        <f>IF(AND(I3648="TP",S3648&lt;=300),VLOOKUP(AF3648,TPCalibEq300!$AZ$2:$BB$55,3,),IF(AND(I3648="TDP",S3648&lt;=300),VLOOKUP(AF3648,TPCalibEq300!$AZ$2:$BB$55,3,)))</f>
        <v>0</v>
      </c>
      <c r="AS3648" s="10" t="b">
        <f>IF(AND(I3648="TP",S3648&lt;=500),VLOOKUP(AF3648,TPCalibEq500!$AZ$2:$BB$56,3,),IF(AND(I3648="TDP",S3648&lt;=500),VLOOKUP(AF3648,TPCalibEq500!$AZ$2:$BB$56,3,)))</f>
        <v>0</v>
      </c>
      <c r="AT3648" s="10" t="b">
        <f>IF(AND(I3648="TN",S3648&lt;=2800),VLOOKUP(AF3648,TNCalibEq2500!$AZ$2:$BB$56,3,),IF(AND(I3648="TDN",S3648&lt;=2800),VLOOKUP(AF3648,TNCalibEq2500!$AZ$2:$BB$56,3,)))</f>
        <v>0</v>
      </c>
      <c r="AU3648" s="10" t="b">
        <f>IF(I3648="TP",VLOOKUP(AF3648,TPCalibEqFull!$AZ$2:$BB$56,3),IF(I3648="TDP",VLOOKUP(AF3648,TPCalibEqFull!$AZ$2:$BB$56,3),IF(I3648="TDN",VLOOKUP(AF3648,TNCalibEqFull!$AZ$1:$BB$56,3),IF(I3648="TN",VLOOKUP(AF3648,TNCalibEqFull!$AZ$1:$BB$56,3),FALSE))))</f>
        <v>0</v>
      </c>
      <c r="AV3648" s="10" t="str">
        <f t="shared" si="412"/>
        <v>0222 09:00:00-QAC-STD-D-1-DI-CHK</v>
      </c>
    </row>
    <row r="3649" spans="1:48" s="10" customFormat="1" x14ac:dyDescent="0.55000000000000004">
      <c r="A3649" s="32">
        <v>44978</v>
      </c>
      <c r="B3649" s="33">
        <v>0.49652777777777773</v>
      </c>
      <c r="C3649" s="10" t="s">
        <v>618</v>
      </c>
      <c r="D3649" s="10">
        <v>5</v>
      </c>
      <c r="E3649" s="10">
        <v>180</v>
      </c>
      <c r="F3649" s="10">
        <v>1</v>
      </c>
      <c r="G3649" s="10" t="s">
        <v>231</v>
      </c>
      <c r="H3649" s="10" t="s">
        <v>322</v>
      </c>
      <c r="I3649" s="10" t="s">
        <v>256</v>
      </c>
      <c r="J3649" s="10">
        <v>11</v>
      </c>
      <c r="K3649" s="12">
        <v>44980</v>
      </c>
      <c r="L3649" s="33">
        <v>0.50039351851851854</v>
      </c>
      <c r="M3649" s="10">
        <v>1</v>
      </c>
      <c r="N3649" s="10" t="s">
        <v>169</v>
      </c>
      <c r="O3649" s="10">
        <v>3.52</v>
      </c>
      <c r="P3649" s="10">
        <v>0.16200000000000001</v>
      </c>
      <c r="Q3649" s="10">
        <v>459</v>
      </c>
      <c r="R3649" s="10" t="s">
        <v>77</v>
      </c>
      <c r="S3649" s="34">
        <f t="shared" si="416"/>
        <v>459</v>
      </c>
      <c r="T3649" s="10" t="s">
        <v>1274</v>
      </c>
      <c r="U3649" s="34" t="str">
        <f t="shared" si="410"/>
        <v/>
      </c>
      <c r="V3649" s="31" t="str">
        <f>IF(H3649="CHK",VLOOKUP(I3649,QCCHK,3,),IF(H3649="GUP",VLOOKUP(E3649,QCGUP,2,),IF(AND(H3649="ATP",OR(I3649="TN",I3649="TDN",I3649="TNO2-3",I3649="NO2-3")),VLOOKUP(E3649,QCREC_N,2,),IF(AND(H3649="NIC",OR(I3649="TN",I3649="TDN",I3649="TNO2-3",I3649="NO2-3")),VLOOKUP(E3649,QCNIC_N,2,),IF(AND(H3649="UREA",OR(I3649="TN",I3649="TDN",I3649="TNO2-3",I3649="NO2-3")),VLOOKUP(E3649,QCUREA_N,2,),IF(H3649="PER",VLOOKUP(I3649,QCPER,MATCH(E3649,QCACTUAL!$J$25:$AA$25,0),),IF(H3649="SPK",VLOOKUP(I3649,QCSPK,3,),IF(AND(H3649="ATP",OR(I3649="TP",I3649="TDP")),VLOOKUP(E3649,QCATP_P,2,),""))))))))</f>
        <v/>
      </c>
      <c r="W3649" s="31" t="str">
        <f t="shared" si="411"/>
        <v>TRUE</v>
      </c>
      <c r="X3649" s="31" t="str">
        <f t="shared" si="415"/>
        <v/>
      </c>
      <c r="Y3649" s="10" t="s">
        <v>1253</v>
      </c>
      <c r="AL3649" s="10" t="str">
        <f t="shared" si="413"/>
        <v>FALSE</v>
      </c>
      <c r="AM3649" s="10" t="str">
        <f t="shared" si="413"/>
        <v>FALSE</v>
      </c>
      <c r="AN3649" s="10" t="str">
        <f t="shared" si="413"/>
        <v>FALSE</v>
      </c>
      <c r="AO3649" s="10" t="str">
        <f t="shared" si="414"/>
        <v>FALSE</v>
      </c>
      <c r="AP3649" s="10" t="str">
        <f t="shared" si="414"/>
        <v>FALSE</v>
      </c>
      <c r="AQ3649" s="10" t="b">
        <f>IF(AND(I3649="TP",S3649&lt;=150),VLOOKUP(AF3649,TPCalibEq150!$AZ$2:$BB$55,3,),IF(AND(I3649="TDP",S3649&lt;=150),VLOOKUP(AF3649,TPCalibEq150!$AZ$2:$BB$55,3,)))</f>
        <v>0</v>
      </c>
      <c r="AR3649" s="10" t="b">
        <f>IF(AND(I3649="TP",S3649&lt;=300),VLOOKUP(AF3649,TPCalibEq300!$AZ$2:$BB$55,3,),IF(AND(I3649="TDP",S3649&lt;=300),VLOOKUP(AF3649,TPCalibEq300!$AZ$2:$BB$55,3,)))</f>
        <v>0</v>
      </c>
      <c r="AS3649" s="10" t="b">
        <f>IF(AND(I3649="TP",S3649&lt;=500),VLOOKUP(AF3649,TPCalibEq500!$AZ$2:$BB$56,3,),IF(AND(I3649="TDP",S3649&lt;=500),VLOOKUP(AF3649,TPCalibEq500!$AZ$2:$BB$56,3,)))</f>
        <v>0</v>
      </c>
      <c r="AT3649" s="10" t="b">
        <f>IF(AND(I3649="TN",S3649&lt;=2800),VLOOKUP(AF3649,TNCalibEq2500!$AZ$2:$BB$56,3,),IF(AND(I3649="TDN",S3649&lt;=2800),VLOOKUP(AF3649,TNCalibEq2500!$AZ$2:$BB$56,3,)))</f>
        <v>0</v>
      </c>
      <c r="AU3649" s="10" t="b">
        <f>IF(I3649="TP",VLOOKUP(AF3649,TPCalibEqFull!$AZ$2:$BB$56,3),IF(I3649="TDP",VLOOKUP(AF3649,TPCalibEqFull!$AZ$2:$BB$56,3),IF(I3649="TDN",VLOOKUP(AF3649,TNCalibEqFull!$AZ$1:$BB$56,3),IF(I3649="TN",VLOOKUP(AF3649,TNCalibEqFull!$AZ$1:$BB$56,3),FALSE))))</f>
        <v>0</v>
      </c>
      <c r="AV3649" s="10" t="str">
        <f t="shared" si="412"/>
        <v>0221 11:55:00-ECP-5-180-1-SW-UKN</v>
      </c>
    </row>
    <row r="3650" spans="1:48" s="10" customFormat="1" x14ac:dyDescent="0.55000000000000004">
      <c r="A3650" s="32">
        <v>44978</v>
      </c>
      <c r="B3650" s="33">
        <v>0.49861111111111112</v>
      </c>
      <c r="C3650" s="10" t="s">
        <v>618</v>
      </c>
      <c r="D3650" s="10">
        <v>10</v>
      </c>
      <c r="E3650" s="10">
        <v>200</v>
      </c>
      <c r="F3650" s="10">
        <v>1</v>
      </c>
      <c r="G3650" s="10" t="s">
        <v>231</v>
      </c>
      <c r="H3650" s="10" t="s">
        <v>322</v>
      </c>
      <c r="I3650" s="10" t="s">
        <v>256</v>
      </c>
      <c r="J3650" s="10">
        <v>12</v>
      </c>
      <c r="K3650" s="12">
        <v>44980</v>
      </c>
      <c r="L3650" s="33">
        <v>0.50120370370370371</v>
      </c>
      <c r="M3650" s="10">
        <v>1</v>
      </c>
      <c r="N3650" s="10" t="s">
        <v>169</v>
      </c>
      <c r="O3650" s="10">
        <v>3.62</v>
      </c>
      <c r="P3650" s="10">
        <v>0.16800000000000001</v>
      </c>
      <c r="Q3650" s="10">
        <v>471</v>
      </c>
      <c r="R3650" s="10" t="s">
        <v>77</v>
      </c>
      <c r="S3650" s="34">
        <f t="shared" si="416"/>
        <v>471</v>
      </c>
      <c r="T3650" s="10" t="s">
        <v>1274</v>
      </c>
      <c r="U3650" s="34" t="str">
        <f t="shared" ref="U3650:U3713" si="417">IF(OR(H3650="CHK",H3650="ATP",H3650="GUP",H3650="PER", H3650="NIC", H3650="UREA"),(S3650/V3650*100),IF(H3650="DUP",((ABS(S3650-S3649))/((S3649+S3650)/2))*100,IF(H3650="SPK",((S3650-S3649)/V3650*100),IF(OR(H3650="LAB",H3650="FLD",H3650="ESF"),S3650,""))))</f>
        <v/>
      </c>
      <c r="V3650" s="31" t="str">
        <f>IF(H3650="CHK",VLOOKUP(I3650,QCCHK,3,),IF(H3650="GUP",VLOOKUP(E3650,QCGUP,2,),IF(AND(H3650="ATP",OR(I3650="TN",I3650="TDN",I3650="TNO2-3",I3650="NO2-3")),VLOOKUP(E3650,QCREC_N,2,),IF(AND(H3650="NIC",OR(I3650="TN",I3650="TDN",I3650="TNO2-3",I3650="NO2-3")),VLOOKUP(E3650,QCNIC_N,2,),IF(AND(H3650="UREA",OR(I3650="TN",I3650="TDN",I3650="TNO2-3",I3650="NO2-3")),VLOOKUP(E3650,QCUREA_N,2,),IF(H3650="PER",VLOOKUP(I3650,QCPER,MATCH(E3650,QCACTUAL!$J$25:$AA$25,0),),IF(H3650="SPK",VLOOKUP(I3650,QCSPK,3,),IF(AND(H3650="ATP",OR(I3650="TP",I3650="TDP")),VLOOKUP(E3650,QCATP_P,2,),""))))))))</f>
        <v/>
      </c>
      <c r="W3650" s="31" t="str">
        <f t="shared" ref="W3650:W3713" si="418">IF(AND(OR(H3650="PER",H3650="ATP",H3650="GUP",H3650="CHK",H3650="SPK", H3650="NIC"),OR(U3650&gt;125,U3650&lt;75)),"FALSE",IF(AND(H3650="DUP",OR(U3650&gt;25, U3650&lt;-25)),"FALSE",IF(AND(OR(H3650="LAB",H3650="FLD",H3650="ESF"),U3650&gt;15),"FALSE","TRUE")))</f>
        <v>TRUE</v>
      </c>
      <c r="X3650" s="31" t="str">
        <f t="shared" si="415"/>
        <v/>
      </c>
      <c r="Y3650" s="10" t="s">
        <v>1253</v>
      </c>
      <c r="AL3650" s="10" t="str">
        <f t="shared" si="413"/>
        <v>FALSE</v>
      </c>
      <c r="AM3650" s="10" t="str">
        <f t="shared" si="413"/>
        <v>FALSE</v>
      </c>
      <c r="AN3650" s="10" t="str">
        <f t="shared" si="413"/>
        <v>FALSE</v>
      </c>
      <c r="AO3650" s="10" t="str">
        <f t="shared" si="414"/>
        <v>FALSE</v>
      </c>
      <c r="AP3650" s="10" t="str">
        <f t="shared" si="414"/>
        <v>FALSE</v>
      </c>
      <c r="AQ3650" s="10" t="b">
        <f>IF(AND(I3650="TP",S3650&lt;=150),VLOOKUP(AF3650,TPCalibEq150!$AZ$2:$BB$55,3,),IF(AND(I3650="TDP",S3650&lt;=150),VLOOKUP(AF3650,TPCalibEq150!$AZ$2:$BB$55,3,)))</f>
        <v>0</v>
      </c>
      <c r="AR3650" s="10" t="b">
        <f>IF(AND(I3650="TP",S3650&lt;=300),VLOOKUP(AF3650,TPCalibEq300!$AZ$2:$BB$55,3,),IF(AND(I3650="TDP",S3650&lt;=300),VLOOKUP(AF3650,TPCalibEq300!$AZ$2:$BB$55,3,)))</f>
        <v>0</v>
      </c>
      <c r="AS3650" s="10" t="b">
        <f>IF(AND(I3650="TP",S3650&lt;=500),VLOOKUP(AF3650,TPCalibEq500!$AZ$2:$BB$56,3,),IF(AND(I3650="TDP",S3650&lt;=500),VLOOKUP(AF3650,TPCalibEq500!$AZ$2:$BB$56,3,)))</f>
        <v>0</v>
      </c>
      <c r="AT3650" s="10" t="b">
        <f>IF(AND(I3650="TN",S3650&lt;=2800),VLOOKUP(AF3650,TNCalibEq2500!$AZ$2:$BB$56,3,),IF(AND(I3650="TDN",S3650&lt;=2800),VLOOKUP(AF3650,TNCalibEq2500!$AZ$2:$BB$56,3,)))</f>
        <v>0</v>
      </c>
      <c r="AU3650" s="10" t="b">
        <f>IF(I3650="TP",VLOOKUP(AF3650,TPCalibEqFull!$AZ$2:$BB$56,3),IF(I3650="TDP",VLOOKUP(AF3650,TPCalibEqFull!$AZ$2:$BB$56,3),IF(I3650="TDN",VLOOKUP(AF3650,TNCalibEqFull!$AZ$1:$BB$56,3),IF(I3650="TN",VLOOKUP(AF3650,TNCalibEqFull!$AZ$1:$BB$56,3),FALSE))))</f>
        <v>0</v>
      </c>
      <c r="AV3650" s="10" t="str">
        <f t="shared" ref="AV3650:AV3713" si="419">TEXT(A3650, "MMDD")&amp;" "&amp;TEXT(B3650, "HH:MM:SS")&amp;"-"&amp;C3650&amp;"-"&amp;D3650&amp;"-"&amp;E3650&amp;"-"&amp;F3650&amp;"-"&amp;G3650&amp;"-"&amp;H3650</f>
        <v>0221 11:58:00-ECP-10-200-1-SW-UKN</v>
      </c>
    </row>
    <row r="3651" spans="1:48" s="10" customFormat="1" x14ac:dyDescent="0.55000000000000004">
      <c r="A3651" s="32">
        <v>44978</v>
      </c>
      <c r="B3651" s="33">
        <v>0.50208333333333333</v>
      </c>
      <c r="C3651" s="10" t="s">
        <v>618</v>
      </c>
      <c r="D3651" s="10">
        <v>20</v>
      </c>
      <c r="E3651" s="10" t="s">
        <v>190</v>
      </c>
      <c r="F3651" s="10">
        <v>1</v>
      </c>
      <c r="G3651" s="10" t="s">
        <v>231</v>
      </c>
      <c r="H3651" s="10" t="s">
        <v>322</v>
      </c>
      <c r="I3651" s="10" t="s">
        <v>256</v>
      </c>
      <c r="J3651" s="10">
        <v>13</v>
      </c>
      <c r="K3651" s="12">
        <v>44980</v>
      </c>
      <c r="L3651" s="33">
        <v>0.50201388888888887</v>
      </c>
      <c r="M3651" s="10">
        <v>1</v>
      </c>
      <c r="N3651" s="10" t="s">
        <v>169</v>
      </c>
      <c r="O3651" s="10">
        <v>3.62</v>
      </c>
      <c r="P3651" s="10">
        <v>0.16800000000000001</v>
      </c>
      <c r="Q3651" s="10">
        <v>472</v>
      </c>
      <c r="R3651" s="10" t="s">
        <v>77</v>
      </c>
      <c r="S3651" s="34">
        <f t="shared" si="416"/>
        <v>472</v>
      </c>
      <c r="T3651" s="10" t="s">
        <v>1274</v>
      </c>
      <c r="U3651" s="34" t="str">
        <f t="shared" si="417"/>
        <v/>
      </c>
      <c r="V3651" s="31" t="str">
        <f>IF(H3651="CHK",VLOOKUP(I3651,QCCHK,3,),IF(H3651="GUP",VLOOKUP(E3651,QCGUP,2,),IF(AND(H3651="ATP",OR(I3651="TN",I3651="TDN",I3651="TNO2-3",I3651="NO2-3")),VLOOKUP(E3651,QCREC_N,2,),IF(AND(H3651="NIC",OR(I3651="TN",I3651="TDN",I3651="TNO2-3",I3651="NO2-3")),VLOOKUP(E3651,QCNIC_N,2,),IF(AND(H3651="UREA",OR(I3651="TN",I3651="TDN",I3651="TNO2-3",I3651="NO2-3")),VLOOKUP(E3651,QCUREA_N,2,),IF(H3651="PER",VLOOKUP(I3651,QCPER,MATCH(E3651,QCACTUAL!$J$25:$AA$25,0),),IF(H3651="SPK",VLOOKUP(I3651,QCSPK,3,),IF(AND(H3651="ATP",OR(I3651="TP",I3651="TDP")),VLOOKUP(E3651,QCATP_P,2,),""))))))))</f>
        <v/>
      </c>
      <c r="W3651" s="31" t="str">
        <f t="shared" si="418"/>
        <v>TRUE</v>
      </c>
      <c r="X3651" s="31" t="str">
        <f t="shared" si="415"/>
        <v/>
      </c>
      <c r="Y3651" s="10" t="s">
        <v>1253</v>
      </c>
      <c r="AL3651" s="10" t="str">
        <f t="shared" si="413"/>
        <v>FALSE</v>
      </c>
      <c r="AM3651" s="10" t="str">
        <f t="shared" si="413"/>
        <v>FALSE</v>
      </c>
      <c r="AN3651" s="10" t="str">
        <f t="shared" si="413"/>
        <v>FALSE</v>
      </c>
      <c r="AO3651" s="10" t="str">
        <f t="shared" si="414"/>
        <v>FALSE</v>
      </c>
      <c r="AP3651" s="10" t="str">
        <f t="shared" si="414"/>
        <v>FALSE</v>
      </c>
      <c r="AQ3651" s="10" t="b">
        <f>IF(AND(I3651="TP",S3651&lt;=150),VLOOKUP(AF3651,TPCalibEq150!$AZ$2:$BB$55,3,),IF(AND(I3651="TDP",S3651&lt;=150),VLOOKUP(AF3651,TPCalibEq150!$AZ$2:$BB$55,3,)))</f>
        <v>0</v>
      </c>
      <c r="AR3651" s="10" t="b">
        <f>IF(AND(I3651="TP",S3651&lt;=300),VLOOKUP(AF3651,TPCalibEq300!$AZ$2:$BB$55,3,),IF(AND(I3651="TDP",S3651&lt;=300),VLOOKUP(AF3651,TPCalibEq300!$AZ$2:$BB$55,3,)))</f>
        <v>0</v>
      </c>
      <c r="AS3651" s="10" t="b">
        <f>IF(AND(I3651="TP",S3651&lt;=500),VLOOKUP(AF3651,TPCalibEq500!$AZ$2:$BB$56,3,),IF(AND(I3651="TDP",S3651&lt;=500),VLOOKUP(AF3651,TPCalibEq500!$AZ$2:$BB$56,3,)))</f>
        <v>0</v>
      </c>
      <c r="AT3651" s="10" t="b">
        <f>IF(AND(I3651="TN",S3651&lt;=2800),VLOOKUP(AF3651,TNCalibEq2500!$AZ$2:$BB$56,3,),IF(AND(I3651="TDN",S3651&lt;=2800),VLOOKUP(AF3651,TNCalibEq2500!$AZ$2:$BB$56,3,)))</f>
        <v>0</v>
      </c>
      <c r="AU3651" s="10" t="b">
        <f>IF(I3651="TP",VLOOKUP(AF3651,TPCalibEqFull!$AZ$2:$BB$56,3),IF(I3651="TDP",VLOOKUP(AF3651,TPCalibEqFull!$AZ$2:$BB$56,3),IF(I3651="TDN",VLOOKUP(AF3651,TNCalibEqFull!$AZ$1:$BB$56,3),IF(I3651="TN",VLOOKUP(AF3651,TNCalibEqFull!$AZ$1:$BB$56,3),FALSE))))</f>
        <v>0</v>
      </c>
      <c r="AV3651" s="10" t="str">
        <f t="shared" si="419"/>
        <v>0221 12:03:00-ECP-20-C-1-SW-UKN</v>
      </c>
    </row>
    <row r="3652" spans="1:48" s="10" customFormat="1" x14ac:dyDescent="0.55000000000000004">
      <c r="A3652" s="32">
        <v>44978</v>
      </c>
      <c r="B3652" s="33">
        <v>0.50416666666666665</v>
      </c>
      <c r="C3652" s="10" t="s">
        <v>618</v>
      </c>
      <c r="D3652" s="10">
        <v>29</v>
      </c>
      <c r="E3652" s="10" t="s">
        <v>190</v>
      </c>
      <c r="F3652" s="10">
        <v>1</v>
      </c>
      <c r="G3652" s="10" t="s">
        <v>231</v>
      </c>
      <c r="H3652" s="10" t="s">
        <v>322</v>
      </c>
      <c r="I3652" s="10" t="s">
        <v>256</v>
      </c>
      <c r="J3652" s="10">
        <v>14</v>
      </c>
      <c r="K3652" s="12">
        <v>44980</v>
      </c>
      <c r="L3652" s="33">
        <v>0.50282407407407403</v>
      </c>
      <c r="M3652" s="10">
        <v>1</v>
      </c>
      <c r="N3652" s="10" t="s">
        <v>169</v>
      </c>
      <c r="O3652" s="10">
        <v>4.4400000000000004</v>
      </c>
      <c r="P3652" s="10">
        <v>0.20499999999999999</v>
      </c>
      <c r="Q3652" s="10">
        <v>578</v>
      </c>
      <c r="R3652" s="10" t="s">
        <v>77</v>
      </c>
      <c r="S3652" s="34">
        <f t="shared" si="416"/>
        <v>578</v>
      </c>
      <c r="T3652" s="10" t="s">
        <v>1274</v>
      </c>
      <c r="U3652" s="34" t="str">
        <f t="shared" si="417"/>
        <v/>
      </c>
      <c r="V3652" s="31" t="str">
        <f>IF(H3652="CHK",VLOOKUP(I3652,QCCHK,3,),IF(H3652="GUP",VLOOKUP(E3652,QCGUP,2,),IF(AND(H3652="ATP",OR(I3652="TN",I3652="TDN",I3652="TNO2-3",I3652="NO2-3")),VLOOKUP(E3652,QCREC_N,2,),IF(AND(H3652="NIC",OR(I3652="TN",I3652="TDN",I3652="TNO2-3",I3652="NO2-3")),VLOOKUP(E3652,QCNIC_N,2,),IF(AND(H3652="UREA",OR(I3652="TN",I3652="TDN",I3652="TNO2-3",I3652="NO2-3")),VLOOKUP(E3652,QCUREA_N,2,),IF(H3652="PER",VLOOKUP(I3652,QCPER,MATCH(E3652,QCACTUAL!$J$25:$AA$25,0),),IF(H3652="SPK",VLOOKUP(I3652,QCSPK,3,),IF(AND(H3652="ATP",OR(I3652="TP",I3652="TDP")),VLOOKUP(E3652,QCATP_P,2,),""))))))))</f>
        <v/>
      </c>
      <c r="W3652" s="31" t="str">
        <f t="shared" si="418"/>
        <v>TRUE</v>
      </c>
      <c r="X3652" s="31" t="str">
        <f t="shared" si="415"/>
        <v/>
      </c>
      <c r="Y3652" s="10" t="s">
        <v>1253</v>
      </c>
      <c r="AL3652" s="10" t="str">
        <f t="shared" si="413"/>
        <v>FALSE</v>
      </c>
      <c r="AM3652" s="10" t="str">
        <f t="shared" si="413"/>
        <v>FALSE</v>
      </c>
      <c r="AN3652" s="10" t="str">
        <f t="shared" si="413"/>
        <v>FALSE</v>
      </c>
      <c r="AO3652" s="10" t="str">
        <f t="shared" si="414"/>
        <v>FALSE</v>
      </c>
      <c r="AP3652" s="10" t="str">
        <f t="shared" si="414"/>
        <v>FALSE</v>
      </c>
      <c r="AQ3652" s="10" t="b">
        <f>IF(AND(I3652="TP",S3652&lt;=150),VLOOKUP(AF3652,TPCalibEq150!$AZ$2:$BB$55,3,),IF(AND(I3652="TDP",S3652&lt;=150),VLOOKUP(AF3652,TPCalibEq150!$AZ$2:$BB$55,3,)))</f>
        <v>0</v>
      </c>
      <c r="AR3652" s="10" t="b">
        <f>IF(AND(I3652="TP",S3652&lt;=300),VLOOKUP(AF3652,TPCalibEq300!$AZ$2:$BB$55,3,),IF(AND(I3652="TDP",S3652&lt;=300),VLOOKUP(AF3652,TPCalibEq300!$AZ$2:$BB$55,3,)))</f>
        <v>0</v>
      </c>
      <c r="AS3652" s="10" t="b">
        <f>IF(AND(I3652="TP",S3652&lt;=500),VLOOKUP(AF3652,TPCalibEq500!$AZ$2:$BB$56,3,),IF(AND(I3652="TDP",S3652&lt;=500),VLOOKUP(AF3652,TPCalibEq500!$AZ$2:$BB$56,3,)))</f>
        <v>0</v>
      </c>
      <c r="AT3652" s="10" t="b">
        <f>IF(AND(I3652="TN",S3652&lt;=2800),VLOOKUP(AF3652,TNCalibEq2500!$AZ$2:$BB$56,3,),IF(AND(I3652="TDN",S3652&lt;=2800),VLOOKUP(AF3652,TNCalibEq2500!$AZ$2:$BB$56,3,)))</f>
        <v>0</v>
      </c>
      <c r="AU3652" s="10" t="b">
        <f>IF(I3652="TP",VLOOKUP(AF3652,TPCalibEqFull!$AZ$2:$BB$56,3),IF(I3652="TDP",VLOOKUP(AF3652,TPCalibEqFull!$AZ$2:$BB$56,3),IF(I3652="TDN",VLOOKUP(AF3652,TNCalibEqFull!$AZ$1:$BB$56,3),IF(I3652="TN",VLOOKUP(AF3652,TNCalibEqFull!$AZ$1:$BB$56,3),FALSE))))</f>
        <v>0</v>
      </c>
      <c r="AV3652" s="10" t="str">
        <f t="shared" si="419"/>
        <v>0221 12:06:00-ECP-29-C-1-SW-UKN</v>
      </c>
    </row>
    <row r="3653" spans="1:48" s="10" customFormat="1" x14ac:dyDescent="0.55000000000000004">
      <c r="A3653" s="32">
        <v>44978</v>
      </c>
      <c r="B3653" s="33">
        <v>0.50972222222222219</v>
      </c>
      <c r="C3653" s="10" t="s">
        <v>661</v>
      </c>
      <c r="D3653" s="10">
        <v>0</v>
      </c>
      <c r="E3653" s="10">
        <v>170</v>
      </c>
      <c r="F3653" s="10">
        <v>1</v>
      </c>
      <c r="G3653" s="10" t="s">
        <v>231</v>
      </c>
      <c r="H3653" s="10" t="s">
        <v>322</v>
      </c>
      <c r="I3653" s="10" t="s">
        <v>256</v>
      </c>
      <c r="J3653" s="10">
        <v>15</v>
      </c>
      <c r="K3653" s="12">
        <v>44980</v>
      </c>
      <c r="L3653" s="33">
        <v>0.50362268518518516</v>
      </c>
      <c r="M3653" s="10">
        <v>1</v>
      </c>
      <c r="N3653" s="10" t="s">
        <v>169</v>
      </c>
      <c r="O3653" s="10">
        <v>3.76</v>
      </c>
      <c r="P3653" s="10">
        <v>0.17399999999999999</v>
      </c>
      <c r="Q3653" s="10">
        <v>490</v>
      </c>
      <c r="R3653" s="10" t="s">
        <v>77</v>
      </c>
      <c r="S3653" s="34">
        <f t="shared" si="416"/>
        <v>490</v>
      </c>
      <c r="T3653" s="10" t="s">
        <v>1274</v>
      </c>
      <c r="U3653" s="34" t="str">
        <f t="shared" si="417"/>
        <v/>
      </c>
      <c r="V3653" s="31" t="str">
        <f>IF(H3653="CHK",VLOOKUP(I3653,QCCHK,3,),IF(H3653="GUP",VLOOKUP(E3653,QCGUP,2,),IF(AND(H3653="ATP",OR(I3653="TN",I3653="TDN",I3653="TNO2-3",I3653="NO2-3")),VLOOKUP(E3653,QCREC_N,2,),IF(AND(H3653="NIC",OR(I3653="TN",I3653="TDN",I3653="TNO2-3",I3653="NO2-3")),VLOOKUP(E3653,QCNIC_N,2,),IF(AND(H3653="UREA",OR(I3653="TN",I3653="TDN",I3653="TNO2-3",I3653="NO2-3")),VLOOKUP(E3653,QCUREA_N,2,),IF(H3653="PER",VLOOKUP(I3653,QCPER,MATCH(E3653,QCACTUAL!$J$25:$AA$25,0),),IF(H3653="SPK",VLOOKUP(I3653,QCSPK,3,),IF(AND(H3653="ATP",OR(I3653="TP",I3653="TDP")),VLOOKUP(E3653,QCATP_P,2,),""))))))))</f>
        <v/>
      </c>
      <c r="W3653" s="31" t="str">
        <f t="shared" si="418"/>
        <v>TRUE</v>
      </c>
      <c r="X3653" s="31" t="str">
        <f t="shared" si="415"/>
        <v/>
      </c>
      <c r="Y3653" s="10" t="s">
        <v>1253</v>
      </c>
      <c r="AL3653" s="10" t="str">
        <f t="shared" si="413"/>
        <v>FALSE</v>
      </c>
      <c r="AM3653" s="10" t="str">
        <f t="shared" si="413"/>
        <v>FALSE</v>
      </c>
      <c r="AN3653" s="10" t="str">
        <f t="shared" si="413"/>
        <v>FALSE</v>
      </c>
      <c r="AO3653" s="10" t="str">
        <f t="shared" si="414"/>
        <v>FALSE</v>
      </c>
      <c r="AP3653" s="10" t="str">
        <f t="shared" si="414"/>
        <v>FALSE</v>
      </c>
      <c r="AQ3653" s="10" t="b">
        <f>IF(AND(I3653="TP",S3653&lt;=150),VLOOKUP(AF3653,TPCalibEq150!$AZ$2:$BB$55,3,),IF(AND(I3653="TDP",S3653&lt;=150),VLOOKUP(AF3653,TPCalibEq150!$AZ$2:$BB$55,3,)))</f>
        <v>0</v>
      </c>
      <c r="AR3653" s="10" t="b">
        <f>IF(AND(I3653="TP",S3653&lt;=300),VLOOKUP(AF3653,TPCalibEq300!$AZ$2:$BB$55,3,),IF(AND(I3653="TDP",S3653&lt;=300),VLOOKUP(AF3653,TPCalibEq300!$AZ$2:$BB$55,3,)))</f>
        <v>0</v>
      </c>
      <c r="AS3653" s="10" t="b">
        <f>IF(AND(I3653="TP",S3653&lt;=500),VLOOKUP(AF3653,TPCalibEq500!$AZ$2:$BB$56,3,),IF(AND(I3653="TDP",S3653&lt;=500),VLOOKUP(AF3653,TPCalibEq500!$AZ$2:$BB$56,3,)))</f>
        <v>0</v>
      </c>
      <c r="AT3653" s="10" t="b">
        <f>IF(AND(I3653="TN",S3653&lt;=2800),VLOOKUP(AF3653,TNCalibEq2500!$AZ$2:$BB$56,3,),IF(AND(I3653="TDN",S3653&lt;=2800),VLOOKUP(AF3653,TNCalibEq2500!$AZ$2:$BB$56,3,)))</f>
        <v>0</v>
      </c>
      <c r="AU3653" s="10" t="b">
        <f>IF(I3653="TP",VLOOKUP(AF3653,TPCalibEqFull!$AZ$2:$BB$56,3),IF(I3653="TDP",VLOOKUP(AF3653,TPCalibEqFull!$AZ$2:$BB$56,3),IF(I3653="TDN",VLOOKUP(AF3653,TNCalibEqFull!$AZ$1:$BB$56,3),IF(I3653="TN",VLOOKUP(AF3653,TNCalibEqFull!$AZ$1:$BB$56,3),FALSE))))</f>
        <v>0</v>
      </c>
      <c r="AV3653" s="10" t="str">
        <f t="shared" si="419"/>
        <v>0221 12:14:00-ENN-0-170-1-SW-UKN</v>
      </c>
    </row>
    <row r="3654" spans="1:48" s="10" customFormat="1" x14ac:dyDescent="0.55000000000000004">
      <c r="A3654" s="32">
        <v>44978</v>
      </c>
      <c r="B3654" s="33">
        <v>0.51180555555555551</v>
      </c>
      <c r="C3654" s="10" t="s">
        <v>661</v>
      </c>
      <c r="D3654" s="10">
        <v>5</v>
      </c>
      <c r="E3654" s="10">
        <v>160</v>
      </c>
      <c r="F3654" s="10">
        <v>1</v>
      </c>
      <c r="G3654" s="10" t="s">
        <v>231</v>
      </c>
      <c r="H3654" s="10" t="s">
        <v>322</v>
      </c>
      <c r="I3654" s="10" t="s">
        <v>256</v>
      </c>
      <c r="J3654" s="10">
        <v>16</v>
      </c>
      <c r="K3654" s="12">
        <v>44980</v>
      </c>
      <c r="L3654" s="33">
        <v>0.50444444444444447</v>
      </c>
      <c r="M3654" s="10">
        <v>1</v>
      </c>
      <c r="N3654" s="10" t="s">
        <v>169</v>
      </c>
      <c r="O3654" s="10">
        <v>3.75</v>
      </c>
      <c r="P3654" s="10">
        <v>0.17499999999999999</v>
      </c>
      <c r="Q3654" s="10">
        <v>488</v>
      </c>
      <c r="R3654" s="10" t="s">
        <v>77</v>
      </c>
      <c r="S3654" s="34">
        <f t="shared" si="416"/>
        <v>488</v>
      </c>
      <c r="T3654" s="10" t="s">
        <v>1274</v>
      </c>
      <c r="U3654" s="34" t="str">
        <f t="shared" si="417"/>
        <v/>
      </c>
      <c r="V3654" s="31" t="str">
        <f>IF(H3654="CHK",VLOOKUP(I3654,QCCHK,3,),IF(H3654="GUP",VLOOKUP(E3654,QCGUP,2,),IF(AND(H3654="ATP",OR(I3654="TN",I3654="TDN",I3654="TNO2-3",I3654="NO2-3")),VLOOKUP(E3654,QCREC_N,2,),IF(AND(H3654="NIC",OR(I3654="TN",I3654="TDN",I3654="TNO2-3",I3654="NO2-3")),VLOOKUP(E3654,QCNIC_N,2,),IF(AND(H3654="UREA",OR(I3654="TN",I3654="TDN",I3654="TNO2-3",I3654="NO2-3")),VLOOKUP(E3654,QCUREA_N,2,),IF(H3654="PER",VLOOKUP(I3654,QCPER,MATCH(E3654,QCACTUAL!$J$25:$AA$25,0),),IF(H3654="SPK",VLOOKUP(I3654,QCSPK,3,),IF(AND(H3654="ATP",OR(I3654="TP",I3654="TDP")),VLOOKUP(E3654,QCATP_P,2,),""))))))))</f>
        <v/>
      </c>
      <c r="W3654" s="31" t="str">
        <f t="shared" si="418"/>
        <v>TRUE</v>
      </c>
      <c r="X3654" s="31" t="str">
        <f t="shared" si="415"/>
        <v/>
      </c>
      <c r="Y3654" s="10" t="s">
        <v>1253</v>
      </c>
      <c r="AL3654" s="10" t="str">
        <f t="shared" si="413"/>
        <v>FALSE</v>
      </c>
      <c r="AM3654" s="10" t="str">
        <f t="shared" si="413"/>
        <v>FALSE</v>
      </c>
      <c r="AN3654" s="10" t="str">
        <f t="shared" si="413"/>
        <v>FALSE</v>
      </c>
      <c r="AO3654" s="10" t="str">
        <f t="shared" si="414"/>
        <v>FALSE</v>
      </c>
      <c r="AP3654" s="10" t="str">
        <f t="shared" si="414"/>
        <v>FALSE</v>
      </c>
      <c r="AQ3654" s="10" t="b">
        <f>IF(AND(I3654="TP",S3654&lt;=150),VLOOKUP(AF3654,TPCalibEq150!$AZ$2:$BB$55,3,),IF(AND(I3654="TDP",S3654&lt;=150),VLOOKUP(AF3654,TPCalibEq150!$AZ$2:$BB$55,3,)))</f>
        <v>0</v>
      </c>
      <c r="AR3654" s="10" t="b">
        <f>IF(AND(I3654="TP",S3654&lt;=300),VLOOKUP(AF3654,TPCalibEq300!$AZ$2:$BB$55,3,),IF(AND(I3654="TDP",S3654&lt;=300),VLOOKUP(AF3654,TPCalibEq300!$AZ$2:$BB$55,3,)))</f>
        <v>0</v>
      </c>
      <c r="AS3654" s="10" t="b">
        <f>IF(AND(I3654="TP",S3654&lt;=500),VLOOKUP(AF3654,TPCalibEq500!$AZ$2:$BB$56,3,),IF(AND(I3654="TDP",S3654&lt;=500),VLOOKUP(AF3654,TPCalibEq500!$AZ$2:$BB$56,3,)))</f>
        <v>0</v>
      </c>
      <c r="AT3654" s="10" t="b">
        <f>IF(AND(I3654="TN",S3654&lt;=2800),VLOOKUP(AF3654,TNCalibEq2500!$AZ$2:$BB$56,3,),IF(AND(I3654="TDN",S3654&lt;=2800),VLOOKUP(AF3654,TNCalibEq2500!$AZ$2:$BB$56,3,)))</f>
        <v>0</v>
      </c>
      <c r="AU3654" s="10" t="b">
        <f>IF(I3654="TP",VLOOKUP(AF3654,TPCalibEqFull!$AZ$2:$BB$56,3),IF(I3654="TDP",VLOOKUP(AF3654,TPCalibEqFull!$AZ$2:$BB$56,3),IF(I3654="TDN",VLOOKUP(AF3654,TNCalibEqFull!$AZ$1:$BB$56,3),IF(I3654="TN",VLOOKUP(AF3654,TNCalibEqFull!$AZ$1:$BB$56,3),FALSE))))</f>
        <v>0</v>
      </c>
      <c r="AV3654" s="10" t="str">
        <f t="shared" si="419"/>
        <v>0221 12:17:00-ENN-5-160-1-SW-UKN</v>
      </c>
    </row>
    <row r="3655" spans="1:48" s="10" customFormat="1" x14ac:dyDescent="0.55000000000000004">
      <c r="A3655" s="32">
        <v>44978</v>
      </c>
      <c r="B3655" s="33">
        <v>0.51388888888888895</v>
      </c>
      <c r="C3655" s="10" t="s">
        <v>661</v>
      </c>
      <c r="D3655" s="10">
        <v>10</v>
      </c>
      <c r="E3655" s="10">
        <v>220</v>
      </c>
      <c r="F3655" s="10">
        <v>1</v>
      </c>
      <c r="G3655" s="10" t="s">
        <v>231</v>
      </c>
      <c r="H3655" s="10" t="s">
        <v>322</v>
      </c>
      <c r="I3655" s="10" t="s">
        <v>256</v>
      </c>
      <c r="J3655" s="10">
        <v>17</v>
      </c>
      <c r="K3655" s="12">
        <v>44980</v>
      </c>
      <c r="L3655" s="33">
        <v>0.50527777777777783</v>
      </c>
      <c r="M3655" s="10">
        <v>1</v>
      </c>
      <c r="N3655" s="10" t="s">
        <v>169</v>
      </c>
      <c r="O3655" s="10">
        <v>3.76</v>
      </c>
      <c r="P3655" s="10">
        <v>0.17299999999999999</v>
      </c>
      <c r="Q3655" s="10">
        <v>489</v>
      </c>
      <c r="R3655" s="10" t="s">
        <v>77</v>
      </c>
      <c r="S3655" s="34">
        <f t="shared" si="416"/>
        <v>489</v>
      </c>
      <c r="T3655" s="10" t="s">
        <v>1274</v>
      </c>
      <c r="U3655" s="34" t="str">
        <f t="shared" si="417"/>
        <v/>
      </c>
      <c r="V3655" s="31" t="str">
        <f>IF(H3655="CHK",VLOOKUP(I3655,QCCHK,3,),IF(H3655="GUP",VLOOKUP(E3655,QCGUP,2,),IF(AND(H3655="ATP",OR(I3655="TN",I3655="TDN",I3655="TNO2-3",I3655="NO2-3")),VLOOKUP(E3655,QCREC_N,2,),IF(AND(H3655="NIC",OR(I3655="TN",I3655="TDN",I3655="TNO2-3",I3655="NO2-3")),VLOOKUP(E3655,QCNIC_N,2,),IF(AND(H3655="UREA",OR(I3655="TN",I3655="TDN",I3655="TNO2-3",I3655="NO2-3")),VLOOKUP(E3655,QCUREA_N,2,),IF(H3655="PER",VLOOKUP(I3655,QCPER,MATCH(E3655,QCACTUAL!$J$25:$AA$25,0),),IF(H3655="SPK",VLOOKUP(I3655,QCSPK,3,),IF(AND(H3655="ATP",OR(I3655="TP",I3655="TDP")),VLOOKUP(E3655,QCATP_P,2,),""))))))))</f>
        <v/>
      </c>
      <c r="W3655" s="31" t="str">
        <f t="shared" si="418"/>
        <v>TRUE</v>
      </c>
      <c r="X3655" s="31" t="str">
        <f t="shared" si="415"/>
        <v/>
      </c>
      <c r="Y3655" s="10" t="s">
        <v>1253</v>
      </c>
      <c r="AL3655" s="10" t="str">
        <f t="shared" si="413"/>
        <v>FALSE</v>
      </c>
      <c r="AM3655" s="10" t="str">
        <f t="shared" si="413"/>
        <v>FALSE</v>
      </c>
      <c r="AN3655" s="10" t="str">
        <f t="shared" si="413"/>
        <v>FALSE</v>
      </c>
      <c r="AO3655" s="10" t="str">
        <f t="shared" si="414"/>
        <v>FALSE</v>
      </c>
      <c r="AP3655" s="10" t="str">
        <f t="shared" si="414"/>
        <v>FALSE</v>
      </c>
      <c r="AQ3655" s="10" t="b">
        <f>IF(AND(I3655="TP",S3655&lt;=150),VLOOKUP(AF3655,TPCalibEq150!$AZ$2:$BB$55,3,),IF(AND(I3655="TDP",S3655&lt;=150),VLOOKUP(AF3655,TPCalibEq150!$AZ$2:$BB$55,3,)))</f>
        <v>0</v>
      </c>
      <c r="AR3655" s="10" t="b">
        <f>IF(AND(I3655="TP",S3655&lt;=300),VLOOKUP(AF3655,TPCalibEq300!$AZ$2:$BB$55,3,),IF(AND(I3655="TDP",S3655&lt;=300),VLOOKUP(AF3655,TPCalibEq300!$AZ$2:$BB$55,3,)))</f>
        <v>0</v>
      </c>
      <c r="AS3655" s="10" t="b">
        <f>IF(AND(I3655="TP",S3655&lt;=500),VLOOKUP(AF3655,TPCalibEq500!$AZ$2:$BB$56,3,),IF(AND(I3655="TDP",S3655&lt;=500),VLOOKUP(AF3655,TPCalibEq500!$AZ$2:$BB$56,3,)))</f>
        <v>0</v>
      </c>
      <c r="AT3655" s="10" t="b">
        <f>IF(AND(I3655="TN",S3655&lt;=2800),VLOOKUP(AF3655,TNCalibEq2500!$AZ$2:$BB$56,3,),IF(AND(I3655="TDN",S3655&lt;=2800),VLOOKUP(AF3655,TNCalibEq2500!$AZ$2:$BB$56,3,)))</f>
        <v>0</v>
      </c>
      <c r="AU3655" s="10" t="b">
        <f>IF(I3655="TP",VLOOKUP(AF3655,TPCalibEqFull!$AZ$2:$BB$56,3),IF(I3655="TDP",VLOOKUP(AF3655,TPCalibEqFull!$AZ$2:$BB$56,3),IF(I3655="TDN",VLOOKUP(AF3655,TNCalibEqFull!$AZ$1:$BB$56,3),IF(I3655="TN",VLOOKUP(AF3655,TNCalibEqFull!$AZ$1:$BB$56,3),FALSE))))</f>
        <v>0</v>
      </c>
      <c r="AV3655" s="10" t="str">
        <f t="shared" si="419"/>
        <v>0221 12:20:00-ENN-10-220-1-SW-UKN</v>
      </c>
    </row>
    <row r="3656" spans="1:48" s="10" customFormat="1" x14ac:dyDescent="0.55000000000000004">
      <c r="A3656" s="32">
        <v>44978</v>
      </c>
      <c r="B3656" s="33">
        <v>0.51666666666666672</v>
      </c>
      <c r="C3656" s="10" t="s">
        <v>661</v>
      </c>
      <c r="D3656" s="10">
        <v>20</v>
      </c>
      <c r="E3656" s="10" t="s">
        <v>190</v>
      </c>
      <c r="F3656" s="10">
        <v>1</v>
      </c>
      <c r="G3656" s="10" t="s">
        <v>231</v>
      </c>
      <c r="H3656" s="10" t="s">
        <v>322</v>
      </c>
      <c r="I3656" s="10" t="s">
        <v>256</v>
      </c>
      <c r="J3656" s="10">
        <v>18</v>
      </c>
      <c r="K3656" s="12">
        <v>44980</v>
      </c>
      <c r="L3656" s="33">
        <v>0.50609953703703703</v>
      </c>
      <c r="M3656" s="10">
        <v>1</v>
      </c>
      <c r="N3656" s="10" t="s">
        <v>169</v>
      </c>
      <c r="O3656" s="10">
        <v>3.79</v>
      </c>
      <c r="P3656" s="10">
        <v>0.17399999999999999</v>
      </c>
      <c r="Q3656" s="10">
        <v>494</v>
      </c>
      <c r="R3656" s="10" t="s">
        <v>77</v>
      </c>
      <c r="S3656" s="34">
        <f t="shared" si="416"/>
        <v>494</v>
      </c>
      <c r="T3656" s="10" t="s">
        <v>1274</v>
      </c>
      <c r="U3656" s="34" t="str">
        <f t="shared" si="417"/>
        <v/>
      </c>
      <c r="V3656" s="31" t="str">
        <f>IF(H3656="CHK",VLOOKUP(I3656,QCCHK,3,),IF(H3656="GUP",VLOOKUP(E3656,QCGUP,2,),IF(AND(H3656="ATP",OR(I3656="TN",I3656="TDN",I3656="TNO2-3",I3656="NO2-3")),VLOOKUP(E3656,QCREC_N,2,),IF(AND(H3656="NIC",OR(I3656="TN",I3656="TDN",I3656="TNO2-3",I3656="NO2-3")),VLOOKUP(E3656,QCNIC_N,2,),IF(AND(H3656="UREA",OR(I3656="TN",I3656="TDN",I3656="TNO2-3",I3656="NO2-3")),VLOOKUP(E3656,QCUREA_N,2,),IF(H3656="PER",VLOOKUP(I3656,QCPER,MATCH(E3656,QCACTUAL!$J$25:$AA$25,0),),IF(H3656="SPK",VLOOKUP(I3656,QCSPK,3,),IF(AND(H3656="ATP",OR(I3656="TP",I3656="TDP")),VLOOKUP(E3656,QCATP_P,2,),""))))))))</f>
        <v/>
      </c>
      <c r="W3656" s="31" t="str">
        <f t="shared" si="418"/>
        <v>TRUE</v>
      </c>
      <c r="X3656" s="31" t="str">
        <f t="shared" si="415"/>
        <v/>
      </c>
      <c r="Y3656" s="10" t="s">
        <v>1253</v>
      </c>
      <c r="AL3656" s="10" t="str">
        <f t="shared" si="413"/>
        <v>FALSE</v>
      </c>
      <c r="AM3656" s="10" t="str">
        <f t="shared" si="413"/>
        <v>FALSE</v>
      </c>
      <c r="AN3656" s="10" t="str">
        <f t="shared" si="413"/>
        <v>FALSE</v>
      </c>
      <c r="AO3656" s="10" t="str">
        <f t="shared" si="414"/>
        <v>FALSE</v>
      </c>
      <c r="AP3656" s="10" t="str">
        <f t="shared" si="414"/>
        <v>FALSE</v>
      </c>
      <c r="AQ3656" s="10" t="b">
        <f>IF(AND(I3656="TP",S3656&lt;=150),VLOOKUP(AF3656,TPCalibEq150!$AZ$2:$BB$55,3,),IF(AND(I3656="TDP",S3656&lt;=150),VLOOKUP(AF3656,TPCalibEq150!$AZ$2:$BB$55,3,)))</f>
        <v>0</v>
      </c>
      <c r="AR3656" s="10" t="b">
        <f>IF(AND(I3656="TP",S3656&lt;=300),VLOOKUP(AF3656,TPCalibEq300!$AZ$2:$BB$55,3,),IF(AND(I3656="TDP",S3656&lt;=300),VLOOKUP(AF3656,TPCalibEq300!$AZ$2:$BB$55,3,)))</f>
        <v>0</v>
      </c>
      <c r="AS3656" s="10" t="b">
        <f>IF(AND(I3656="TP",S3656&lt;=500),VLOOKUP(AF3656,TPCalibEq500!$AZ$2:$BB$56,3,),IF(AND(I3656="TDP",S3656&lt;=500),VLOOKUP(AF3656,TPCalibEq500!$AZ$2:$BB$56,3,)))</f>
        <v>0</v>
      </c>
      <c r="AT3656" s="10" t="b">
        <f>IF(AND(I3656="TN",S3656&lt;=2800),VLOOKUP(AF3656,TNCalibEq2500!$AZ$2:$BB$56,3,),IF(AND(I3656="TDN",S3656&lt;=2800),VLOOKUP(AF3656,TNCalibEq2500!$AZ$2:$BB$56,3,)))</f>
        <v>0</v>
      </c>
      <c r="AU3656" s="10" t="b">
        <f>IF(I3656="TP",VLOOKUP(AF3656,TPCalibEqFull!$AZ$2:$BB$56,3),IF(I3656="TDP",VLOOKUP(AF3656,TPCalibEqFull!$AZ$2:$BB$56,3),IF(I3656="TDN",VLOOKUP(AF3656,TNCalibEqFull!$AZ$1:$BB$56,3),IF(I3656="TN",VLOOKUP(AF3656,TNCalibEqFull!$AZ$1:$BB$56,3),FALSE))))</f>
        <v>0</v>
      </c>
      <c r="AV3656" s="10" t="str">
        <f t="shared" si="419"/>
        <v>0221 12:24:00-ENN-20-C-1-SW-UKN</v>
      </c>
    </row>
    <row r="3657" spans="1:48" s="10" customFormat="1" x14ac:dyDescent="0.55000000000000004">
      <c r="A3657" s="32">
        <v>44978</v>
      </c>
      <c r="B3657" s="33">
        <v>0.51944444444444449</v>
      </c>
      <c r="C3657" s="10" t="s">
        <v>661</v>
      </c>
      <c r="D3657" s="10">
        <v>24</v>
      </c>
      <c r="E3657" s="10" t="s">
        <v>190</v>
      </c>
      <c r="F3657" s="10">
        <v>1</v>
      </c>
      <c r="G3657" s="10" t="s">
        <v>231</v>
      </c>
      <c r="H3657" s="10" t="s">
        <v>322</v>
      </c>
      <c r="I3657" s="10" t="s">
        <v>256</v>
      </c>
      <c r="J3657" s="10">
        <v>19</v>
      </c>
      <c r="K3657" s="12">
        <v>44980</v>
      </c>
      <c r="L3657" s="33">
        <v>0.50692129629629623</v>
      </c>
      <c r="M3657" s="10">
        <v>1</v>
      </c>
      <c r="N3657" s="10" t="s">
        <v>169</v>
      </c>
      <c r="O3657" s="10">
        <v>3.93</v>
      </c>
      <c r="P3657" s="10">
        <v>0.18</v>
      </c>
      <c r="Q3657" s="10">
        <v>512</v>
      </c>
      <c r="R3657" s="10" t="s">
        <v>77</v>
      </c>
      <c r="S3657" s="34">
        <f t="shared" si="416"/>
        <v>512</v>
      </c>
      <c r="T3657" s="10" t="s">
        <v>1274</v>
      </c>
      <c r="U3657" s="34" t="str">
        <f t="shared" si="417"/>
        <v/>
      </c>
      <c r="V3657" s="31" t="str">
        <f>IF(H3657="CHK",VLOOKUP(I3657,QCCHK,3,),IF(H3657="GUP",VLOOKUP(E3657,QCGUP,2,),IF(AND(H3657="ATP",OR(I3657="TN",I3657="TDN",I3657="TNO2-3",I3657="NO2-3")),VLOOKUP(E3657,QCREC_N,2,),IF(AND(H3657="NIC",OR(I3657="TN",I3657="TDN",I3657="TNO2-3",I3657="NO2-3")),VLOOKUP(E3657,QCNIC_N,2,),IF(AND(H3657="UREA",OR(I3657="TN",I3657="TDN",I3657="TNO2-3",I3657="NO2-3")),VLOOKUP(E3657,QCUREA_N,2,),IF(H3657="PER",VLOOKUP(I3657,QCPER,MATCH(E3657,QCACTUAL!$J$25:$AA$25,0),),IF(H3657="SPK",VLOOKUP(I3657,QCSPK,3,),IF(AND(H3657="ATP",OR(I3657="TP",I3657="TDP")),VLOOKUP(E3657,QCATP_P,2,),""))))))))</f>
        <v/>
      </c>
      <c r="W3657" s="31" t="str">
        <f t="shared" si="418"/>
        <v>TRUE</v>
      </c>
      <c r="X3657" s="31" t="str">
        <f t="shared" si="415"/>
        <v/>
      </c>
      <c r="Y3657" s="10" t="s">
        <v>1253</v>
      </c>
      <c r="AL3657" s="10" t="str">
        <f t="shared" si="413"/>
        <v>FALSE</v>
      </c>
      <c r="AM3657" s="10" t="str">
        <f t="shared" si="413"/>
        <v>FALSE</v>
      </c>
      <c r="AN3657" s="10" t="str">
        <f t="shared" si="413"/>
        <v>FALSE</v>
      </c>
      <c r="AO3657" s="10" t="str">
        <f t="shared" si="414"/>
        <v>FALSE</v>
      </c>
      <c r="AP3657" s="10" t="str">
        <f t="shared" si="414"/>
        <v>FALSE</v>
      </c>
      <c r="AQ3657" s="10" t="b">
        <f>IF(AND(I3657="TP",S3657&lt;=150),VLOOKUP(AF3657,TPCalibEq150!$AZ$2:$BB$55,3,),IF(AND(I3657="TDP",S3657&lt;=150),VLOOKUP(AF3657,TPCalibEq150!$AZ$2:$BB$55,3,)))</f>
        <v>0</v>
      </c>
      <c r="AR3657" s="10" t="b">
        <f>IF(AND(I3657="TP",S3657&lt;=300),VLOOKUP(AF3657,TPCalibEq300!$AZ$2:$BB$55,3,),IF(AND(I3657="TDP",S3657&lt;=300),VLOOKUP(AF3657,TPCalibEq300!$AZ$2:$BB$55,3,)))</f>
        <v>0</v>
      </c>
      <c r="AS3657" s="10" t="b">
        <f>IF(AND(I3657="TP",S3657&lt;=500),VLOOKUP(AF3657,TPCalibEq500!$AZ$2:$BB$56,3,),IF(AND(I3657="TDP",S3657&lt;=500),VLOOKUP(AF3657,TPCalibEq500!$AZ$2:$BB$56,3,)))</f>
        <v>0</v>
      </c>
      <c r="AT3657" s="10" t="b">
        <f>IF(AND(I3657="TN",S3657&lt;=2800),VLOOKUP(AF3657,TNCalibEq2500!$AZ$2:$BB$56,3,),IF(AND(I3657="TDN",S3657&lt;=2800),VLOOKUP(AF3657,TNCalibEq2500!$AZ$2:$BB$56,3,)))</f>
        <v>0</v>
      </c>
      <c r="AU3657" s="10" t="b">
        <f>IF(I3657="TP",VLOOKUP(AF3657,TPCalibEqFull!$AZ$2:$BB$56,3),IF(I3657="TDP",VLOOKUP(AF3657,TPCalibEqFull!$AZ$2:$BB$56,3),IF(I3657="TDN",VLOOKUP(AF3657,TNCalibEqFull!$AZ$1:$BB$56,3),IF(I3657="TN",VLOOKUP(AF3657,TNCalibEqFull!$AZ$1:$BB$56,3),FALSE))))</f>
        <v>0</v>
      </c>
      <c r="AV3657" s="10" t="str">
        <f t="shared" si="419"/>
        <v>0221 12:28:00-ENN-24-C-1-SW-UKN</v>
      </c>
    </row>
    <row r="3658" spans="1:48" s="10" customFormat="1" x14ac:dyDescent="0.55000000000000004">
      <c r="A3658" s="32">
        <v>44978</v>
      </c>
      <c r="B3658" s="33">
        <v>0.45069444444444445</v>
      </c>
      <c r="C3658" s="10" t="s">
        <v>646</v>
      </c>
      <c r="D3658" s="10">
        <v>0</v>
      </c>
      <c r="E3658" s="10">
        <v>360</v>
      </c>
      <c r="F3658" s="10">
        <v>1</v>
      </c>
      <c r="G3658" s="10" t="s">
        <v>231</v>
      </c>
      <c r="H3658" s="10" t="s">
        <v>322</v>
      </c>
      <c r="I3658" s="10" t="s">
        <v>256</v>
      </c>
      <c r="J3658" s="10">
        <v>20</v>
      </c>
      <c r="K3658" s="12">
        <v>44980</v>
      </c>
      <c r="L3658" s="33">
        <v>0.50773148148148151</v>
      </c>
      <c r="M3658" s="10">
        <v>1</v>
      </c>
      <c r="N3658" s="10" t="s">
        <v>169</v>
      </c>
      <c r="O3658" s="10">
        <v>5.24</v>
      </c>
      <c r="P3658" s="10">
        <v>0.24199999999999999</v>
      </c>
      <c r="Q3658" s="10">
        <v>683</v>
      </c>
      <c r="R3658" s="10" t="s">
        <v>77</v>
      </c>
      <c r="S3658" s="34">
        <f t="shared" si="416"/>
        <v>683</v>
      </c>
      <c r="T3658" s="10" t="s">
        <v>1274</v>
      </c>
      <c r="U3658" s="34" t="str">
        <f t="shared" si="417"/>
        <v/>
      </c>
      <c r="V3658" s="31" t="str">
        <f>IF(H3658="CHK",VLOOKUP(I3658,QCCHK,3,),IF(H3658="GUP",VLOOKUP(E3658,QCGUP,2,),IF(AND(H3658="ATP",OR(I3658="TN",I3658="TDN",I3658="TNO2-3",I3658="NO2-3")),VLOOKUP(E3658,QCREC_N,2,),IF(AND(H3658="NIC",OR(I3658="TN",I3658="TDN",I3658="TNO2-3",I3658="NO2-3")),VLOOKUP(E3658,QCNIC_N,2,),IF(AND(H3658="UREA",OR(I3658="TN",I3658="TDN",I3658="TNO2-3",I3658="NO2-3")),VLOOKUP(E3658,QCUREA_N,2,),IF(H3658="PER",VLOOKUP(I3658,QCPER,MATCH(E3658,QCACTUAL!$J$25:$AA$25,0),),IF(H3658="SPK",VLOOKUP(I3658,QCSPK,3,),IF(AND(H3658="ATP",OR(I3658="TP",I3658="TDP")),VLOOKUP(E3658,QCATP_P,2,),""))))))))</f>
        <v/>
      </c>
      <c r="W3658" s="31" t="str">
        <f t="shared" si="418"/>
        <v>TRUE</v>
      </c>
      <c r="X3658" s="31" t="str">
        <f t="shared" si="415"/>
        <v/>
      </c>
      <c r="Y3658" s="10" t="s">
        <v>1253</v>
      </c>
      <c r="AL3658" s="10" t="str">
        <f t="shared" si="413"/>
        <v>FALSE</v>
      </c>
      <c r="AM3658" s="10" t="str">
        <f t="shared" si="413"/>
        <v>FALSE</v>
      </c>
      <c r="AN3658" s="10" t="str">
        <f t="shared" si="413"/>
        <v>FALSE</v>
      </c>
      <c r="AO3658" s="10" t="str">
        <f t="shared" si="414"/>
        <v>FALSE</v>
      </c>
      <c r="AP3658" s="10" t="str">
        <f t="shared" si="414"/>
        <v>FALSE</v>
      </c>
      <c r="AQ3658" s="10" t="b">
        <f>IF(AND(I3658="TP",S3658&lt;=150),VLOOKUP(AF3658,TPCalibEq150!$AZ$2:$BB$55,3,),IF(AND(I3658="TDP",S3658&lt;=150),VLOOKUP(AF3658,TPCalibEq150!$AZ$2:$BB$55,3,)))</f>
        <v>0</v>
      </c>
      <c r="AR3658" s="10" t="b">
        <f>IF(AND(I3658="TP",S3658&lt;=300),VLOOKUP(AF3658,TPCalibEq300!$AZ$2:$BB$55,3,),IF(AND(I3658="TDP",S3658&lt;=300),VLOOKUP(AF3658,TPCalibEq300!$AZ$2:$BB$55,3,)))</f>
        <v>0</v>
      </c>
      <c r="AS3658" s="10" t="b">
        <f>IF(AND(I3658="TP",S3658&lt;=500),VLOOKUP(AF3658,TPCalibEq500!$AZ$2:$BB$56,3,),IF(AND(I3658="TDP",S3658&lt;=500),VLOOKUP(AF3658,TPCalibEq500!$AZ$2:$BB$56,3,)))</f>
        <v>0</v>
      </c>
      <c r="AT3658" s="10" t="b">
        <f>IF(AND(I3658="TN",S3658&lt;=2800),VLOOKUP(AF3658,TNCalibEq2500!$AZ$2:$BB$56,3,),IF(AND(I3658="TDN",S3658&lt;=2800),VLOOKUP(AF3658,TNCalibEq2500!$AZ$2:$BB$56,3,)))</f>
        <v>0</v>
      </c>
      <c r="AU3658" s="10" t="b">
        <f>IF(I3658="TP",VLOOKUP(AF3658,TPCalibEqFull!$AZ$2:$BB$56,3),IF(I3658="TDP",VLOOKUP(AF3658,TPCalibEqFull!$AZ$2:$BB$56,3),IF(I3658="TDN",VLOOKUP(AF3658,TNCalibEqFull!$AZ$1:$BB$56,3),IF(I3658="TN",VLOOKUP(AF3658,TNCalibEqFull!$AZ$1:$BB$56,3),FALSE))))</f>
        <v>0</v>
      </c>
      <c r="AV3658" s="10" t="str">
        <f t="shared" si="419"/>
        <v>0221 10:49:00-EMB-0-360-1-SW-UKN</v>
      </c>
    </row>
    <row r="3659" spans="1:48" s="10" customFormat="1" x14ac:dyDescent="0.55000000000000004">
      <c r="A3659" s="32">
        <v>44978</v>
      </c>
      <c r="B3659" s="33">
        <v>0.45069444444444445</v>
      </c>
      <c r="C3659" s="10" t="s">
        <v>646</v>
      </c>
      <c r="D3659" s="10">
        <v>0</v>
      </c>
      <c r="E3659" s="10">
        <v>360</v>
      </c>
      <c r="F3659" s="10">
        <v>1</v>
      </c>
      <c r="G3659" s="10" t="s">
        <v>231</v>
      </c>
      <c r="H3659" s="10" t="s">
        <v>233</v>
      </c>
      <c r="I3659" s="10" t="s">
        <v>256</v>
      </c>
      <c r="J3659" s="10">
        <v>20</v>
      </c>
      <c r="K3659" s="12">
        <v>44980</v>
      </c>
      <c r="L3659" s="33">
        <v>0.50855324074074071</v>
      </c>
      <c r="M3659" s="10">
        <v>1</v>
      </c>
      <c r="N3659" s="10" t="s">
        <v>169</v>
      </c>
      <c r="O3659" s="10">
        <v>5.21</v>
      </c>
      <c r="P3659" s="10">
        <v>0.24</v>
      </c>
      <c r="Q3659" s="10">
        <v>679</v>
      </c>
      <c r="R3659" s="10" t="s">
        <v>77</v>
      </c>
      <c r="S3659" s="34">
        <f t="shared" si="416"/>
        <v>679</v>
      </c>
      <c r="T3659" s="10" t="s">
        <v>1274</v>
      </c>
      <c r="U3659" s="34">
        <f t="shared" si="417"/>
        <v>0.58737151248164465</v>
      </c>
      <c r="V3659" s="31" t="str">
        <f>IF(H3659="CHK",VLOOKUP(I3659,QCCHK,3,),IF(H3659="GUP",VLOOKUP(E3659,QCGUP,2,),IF(AND(H3659="ATP",OR(I3659="TN",I3659="TDN",I3659="TNO2-3",I3659="NO2-3")),VLOOKUP(E3659,QCREC_N,2,),IF(AND(H3659="NIC",OR(I3659="TN",I3659="TDN",I3659="TNO2-3",I3659="NO2-3")),VLOOKUP(E3659,QCNIC_N,2,),IF(AND(H3659="UREA",OR(I3659="TN",I3659="TDN",I3659="TNO2-3",I3659="NO2-3")),VLOOKUP(E3659,QCUREA_N,2,),IF(H3659="PER",VLOOKUP(I3659,QCPER,MATCH(E3659,QCACTUAL!$J$25:$AA$25,0),),IF(H3659="SPK",VLOOKUP(I3659,QCSPK,3,),IF(AND(H3659="ATP",OR(I3659="TP",I3659="TDP")),VLOOKUP(E3659,QCATP_P,2,),""))))))))</f>
        <v/>
      </c>
      <c r="W3659" s="31" t="str">
        <f t="shared" si="418"/>
        <v>TRUE</v>
      </c>
      <c r="X3659" s="31" t="str">
        <f t="shared" si="415"/>
        <v>((ABS(rep1-rep2))/((rep1+rep2)/2)*100</v>
      </c>
      <c r="Y3659" s="10" t="s">
        <v>1253</v>
      </c>
      <c r="AL3659" s="10" t="str">
        <f t="shared" si="413"/>
        <v>FALSE</v>
      </c>
      <c r="AM3659" s="10" t="str">
        <f t="shared" si="413"/>
        <v>FALSE</v>
      </c>
      <c r="AN3659" s="10" t="str">
        <f t="shared" si="413"/>
        <v>FALSE</v>
      </c>
      <c r="AO3659" s="10" t="str">
        <f t="shared" si="414"/>
        <v>FALSE</v>
      </c>
      <c r="AP3659" s="10" t="str">
        <f t="shared" si="414"/>
        <v>FALSE</v>
      </c>
      <c r="AQ3659" s="10" t="b">
        <f>IF(AND(I3659="TP",S3659&lt;=150),VLOOKUP(AF3659,TPCalibEq150!$AZ$2:$BB$55,3,),IF(AND(I3659="TDP",S3659&lt;=150),VLOOKUP(AF3659,TPCalibEq150!$AZ$2:$BB$55,3,)))</f>
        <v>0</v>
      </c>
      <c r="AR3659" s="10" t="b">
        <f>IF(AND(I3659="TP",S3659&lt;=300),VLOOKUP(AF3659,TPCalibEq300!$AZ$2:$BB$55,3,),IF(AND(I3659="TDP",S3659&lt;=300),VLOOKUP(AF3659,TPCalibEq300!$AZ$2:$BB$55,3,)))</f>
        <v>0</v>
      </c>
      <c r="AS3659" s="10" t="b">
        <f>IF(AND(I3659="TP",S3659&lt;=500),VLOOKUP(AF3659,TPCalibEq500!$AZ$2:$BB$56,3,),IF(AND(I3659="TDP",S3659&lt;=500),VLOOKUP(AF3659,TPCalibEq500!$AZ$2:$BB$56,3,)))</f>
        <v>0</v>
      </c>
      <c r="AT3659" s="10" t="b">
        <f>IF(AND(I3659="TN",S3659&lt;=2800),VLOOKUP(AF3659,TNCalibEq2500!$AZ$2:$BB$56,3,),IF(AND(I3659="TDN",S3659&lt;=2800),VLOOKUP(AF3659,TNCalibEq2500!$AZ$2:$BB$56,3,)))</f>
        <v>0</v>
      </c>
      <c r="AU3659" s="10" t="b">
        <f>IF(I3659="TP",VLOOKUP(AF3659,TPCalibEqFull!$AZ$2:$BB$56,3),IF(I3659="TDP",VLOOKUP(AF3659,TPCalibEqFull!$AZ$2:$BB$56,3),IF(I3659="TDN",VLOOKUP(AF3659,TNCalibEqFull!$AZ$1:$BB$56,3),IF(I3659="TN",VLOOKUP(AF3659,TNCalibEqFull!$AZ$1:$BB$56,3),FALSE))))</f>
        <v>0</v>
      </c>
      <c r="AV3659" s="10" t="str">
        <f t="shared" si="419"/>
        <v>0221 10:49:00-EMB-0-360-1-SW-DUP</v>
      </c>
    </row>
    <row r="3660" spans="1:48" s="10" customFormat="1" x14ac:dyDescent="0.55000000000000004">
      <c r="A3660" s="32">
        <v>44978</v>
      </c>
      <c r="B3660" s="33">
        <v>0.45069444444444445</v>
      </c>
      <c r="C3660" s="10" t="s">
        <v>646</v>
      </c>
      <c r="D3660" s="10">
        <v>0</v>
      </c>
      <c r="E3660" s="10">
        <v>360</v>
      </c>
      <c r="F3660" s="10">
        <v>1</v>
      </c>
      <c r="G3660" s="10" t="s">
        <v>231</v>
      </c>
      <c r="H3660" s="10" t="s">
        <v>314</v>
      </c>
      <c r="I3660" s="10" t="s">
        <v>256</v>
      </c>
      <c r="J3660" s="10">
        <v>83</v>
      </c>
      <c r="K3660" s="12">
        <v>44980</v>
      </c>
      <c r="L3660" s="33">
        <v>0.50936342592592598</v>
      </c>
      <c r="M3660" s="10">
        <v>1</v>
      </c>
      <c r="N3660" s="10" t="s">
        <v>169</v>
      </c>
      <c r="O3660" s="10">
        <v>10.5</v>
      </c>
      <c r="P3660" s="10">
        <v>0.48299999999999998</v>
      </c>
      <c r="Q3660" s="10">
        <v>1370</v>
      </c>
      <c r="R3660" s="10" t="s">
        <v>77</v>
      </c>
      <c r="S3660" s="34">
        <f t="shared" si="416"/>
        <v>1370</v>
      </c>
      <c r="T3660" s="10" t="s">
        <v>1274</v>
      </c>
      <c r="U3660" s="34">
        <f t="shared" si="417"/>
        <v>110.55999999999999</v>
      </c>
      <c r="V3660" s="31">
        <f>IF(H3660="CHK",VLOOKUP(I3660,QCCHK,3,),IF(H3660="GUP",VLOOKUP(E3660,QCGUP,2,),IF(AND(H3660="ATP",OR(I3660="TN",I3660="TDN",I3660="TNO2-3",I3660="NO2-3")),VLOOKUP(E3660,QCREC_N,2,),IF(AND(H3660="NIC",OR(I3660="TN",I3660="TDN",I3660="TNO2-3",I3660="NO2-3")),VLOOKUP(E3660,QCNIC_N,2,),IF(AND(H3660="UREA",OR(I3660="TN",I3660="TDN",I3660="TNO2-3",I3660="NO2-3")),VLOOKUP(E3660,QCUREA_N,2,),IF(H3660="PER",VLOOKUP(I3660,QCPER,MATCH(E3660,QCACTUAL!$J$25:$AA$25,0),),IF(H3660="SPK",VLOOKUP(I3660,QCSPK,3,),IF(AND(H3660="ATP",OR(I3660="TP",I3660="TDP")),VLOOKUP(E3660,QCATP_P,2,),""))))))))</f>
        <v>625</v>
      </c>
      <c r="W3660" s="31" t="str">
        <f t="shared" si="418"/>
        <v>TRUE</v>
      </c>
      <c r="X3660" s="31" t="str">
        <f t="shared" si="415"/>
        <v>([spikedunkn]-[unkn])/[spike]*100</v>
      </c>
      <c r="Y3660" s="10" t="s">
        <v>1253</v>
      </c>
      <c r="AL3660" s="10" t="str">
        <f t="shared" si="413"/>
        <v>FALSE</v>
      </c>
      <c r="AM3660" s="10" t="str">
        <f t="shared" si="413"/>
        <v>FALSE</v>
      </c>
      <c r="AN3660" s="10" t="str">
        <f t="shared" si="413"/>
        <v>FALSE</v>
      </c>
      <c r="AO3660" s="10" t="str">
        <f t="shared" si="414"/>
        <v>FALSE</v>
      </c>
      <c r="AP3660" s="10" t="str">
        <f t="shared" si="414"/>
        <v>FALSE</v>
      </c>
      <c r="AQ3660" s="10" t="b">
        <f>IF(AND(I3660="TP",S3660&lt;=150),VLOOKUP(AF3660,TPCalibEq150!$AZ$2:$BB$55,3,),IF(AND(I3660="TDP",S3660&lt;=150),VLOOKUP(AF3660,TPCalibEq150!$AZ$2:$BB$55,3,)))</f>
        <v>0</v>
      </c>
      <c r="AR3660" s="10" t="b">
        <f>IF(AND(I3660="TP",S3660&lt;=300),VLOOKUP(AF3660,TPCalibEq300!$AZ$2:$BB$55,3,),IF(AND(I3660="TDP",S3660&lt;=300),VLOOKUP(AF3660,TPCalibEq300!$AZ$2:$BB$55,3,)))</f>
        <v>0</v>
      </c>
      <c r="AS3660" s="10" t="b">
        <f>IF(AND(I3660="TP",S3660&lt;=500),VLOOKUP(AF3660,TPCalibEq500!$AZ$2:$BB$56,3,),IF(AND(I3660="TDP",S3660&lt;=500),VLOOKUP(AF3660,TPCalibEq500!$AZ$2:$BB$56,3,)))</f>
        <v>0</v>
      </c>
      <c r="AT3660" s="10" t="b">
        <f>IF(AND(I3660="TN",S3660&lt;=2800),VLOOKUP(AF3660,TNCalibEq2500!$AZ$2:$BB$56,3,),IF(AND(I3660="TDN",S3660&lt;=2800),VLOOKUP(AF3660,TNCalibEq2500!$AZ$2:$BB$56,3,)))</f>
        <v>0</v>
      </c>
      <c r="AU3660" s="10" t="b">
        <f>IF(I3660="TP",VLOOKUP(AF3660,TPCalibEqFull!$AZ$2:$BB$56,3),IF(I3660="TDP",VLOOKUP(AF3660,TPCalibEqFull!$AZ$2:$BB$56,3),IF(I3660="TDN",VLOOKUP(AF3660,TNCalibEqFull!$AZ$1:$BB$56,3),IF(I3660="TN",VLOOKUP(AF3660,TNCalibEqFull!$AZ$1:$BB$56,3),FALSE))))</f>
        <v>0</v>
      </c>
      <c r="AV3660" s="10" t="str">
        <f t="shared" si="419"/>
        <v>0221 10:49:00-EMB-0-360-1-SW-SPK</v>
      </c>
    </row>
    <row r="3661" spans="1:48" s="10" customFormat="1" x14ac:dyDescent="0.55000000000000004">
      <c r="A3661" s="32">
        <v>44979</v>
      </c>
      <c r="B3661" s="33">
        <v>0.375</v>
      </c>
      <c r="C3661" s="10" t="s">
        <v>70</v>
      </c>
      <c r="D3661" s="10" t="s">
        <v>71</v>
      </c>
      <c r="E3661" s="10" t="s">
        <v>901</v>
      </c>
      <c r="F3661" s="10">
        <v>1</v>
      </c>
      <c r="G3661" s="10" t="s">
        <v>73</v>
      </c>
      <c r="H3661" s="10" t="s">
        <v>207</v>
      </c>
      <c r="I3661" s="10" t="s">
        <v>256</v>
      </c>
      <c r="J3661" s="10">
        <v>200</v>
      </c>
      <c r="K3661" s="12">
        <v>44980</v>
      </c>
      <c r="L3661" s="33">
        <v>0.51019675925925922</v>
      </c>
      <c r="M3661" s="10">
        <v>1</v>
      </c>
      <c r="N3661" s="10" t="s">
        <v>169</v>
      </c>
      <c r="O3661" s="10">
        <v>2.21</v>
      </c>
      <c r="P3661" s="10">
        <v>0.105</v>
      </c>
      <c r="Q3661" s="10">
        <v>288</v>
      </c>
      <c r="R3661" s="10" t="s">
        <v>77</v>
      </c>
      <c r="S3661" s="34">
        <f t="shared" si="416"/>
        <v>288</v>
      </c>
      <c r="T3661" s="10" t="s">
        <v>1274</v>
      </c>
      <c r="U3661" s="34">
        <f t="shared" si="417"/>
        <v>96</v>
      </c>
      <c r="V3661" s="31">
        <f>IF(H3661="CHK",VLOOKUP(I3661,QCCHK,3,),IF(H3661="GUP",VLOOKUP(E3661,QCGUP,2,),IF(AND(H3661="ATP",OR(I3661="TN",I3661="TDN",I3661="TNO2-3",I3661="NO2-3")),VLOOKUP(E3661,QCREC_N,2,),IF(AND(H3661="NIC",OR(I3661="TN",I3661="TDN",I3661="TNO2-3",I3661="NO2-3")),VLOOKUP(E3661,QCNIC_N,2,),IF(AND(H3661="UREA",OR(I3661="TN",I3661="TDN",I3661="TNO2-3",I3661="NO2-3")),VLOOKUP(E3661,QCUREA_N,2,),IF(H3661="PER",VLOOKUP(I3661,QCPER,MATCH(E3661,QCACTUAL!$J$25:$AA$25,0),),IF(H3661="SPK",VLOOKUP(I3661,QCSPK,3,),IF(AND(H3661="ATP",OR(I3661="TP",I3661="TDP")),VLOOKUP(E3661,QCATP_P,2,),""))))))))</f>
        <v>300</v>
      </c>
      <c r="W3661" s="31" t="str">
        <f t="shared" si="418"/>
        <v>TRUE</v>
      </c>
      <c r="X3661" s="31" t="str">
        <f t="shared" si="415"/>
        <v>[chk]/[actual]*100</v>
      </c>
      <c r="Y3661" s="10" t="s">
        <v>1253</v>
      </c>
      <c r="AL3661" s="10" t="str">
        <f t="shared" si="413"/>
        <v>FALSE</v>
      </c>
      <c r="AM3661" s="10" t="str">
        <f t="shared" si="413"/>
        <v>FALSE</v>
      </c>
      <c r="AN3661" s="10" t="str">
        <f t="shared" si="413"/>
        <v>FALSE</v>
      </c>
      <c r="AO3661" s="10" t="str">
        <f t="shared" si="414"/>
        <v>FALSE</v>
      </c>
      <c r="AP3661" s="10" t="str">
        <f t="shared" si="414"/>
        <v>FALSE</v>
      </c>
      <c r="AQ3661" s="10" t="b">
        <f>IF(AND(I3661="TP",S3661&lt;=150),VLOOKUP(AF3661,TPCalibEq150!$AZ$2:$BB$55,3,),IF(AND(I3661="TDP",S3661&lt;=150),VLOOKUP(AF3661,TPCalibEq150!$AZ$2:$BB$55,3,)))</f>
        <v>0</v>
      </c>
      <c r="AR3661" s="10" t="b">
        <f>IF(AND(I3661="TP",S3661&lt;=300),VLOOKUP(AF3661,TPCalibEq300!$AZ$2:$BB$55,3,),IF(AND(I3661="TDP",S3661&lt;=300),VLOOKUP(AF3661,TPCalibEq300!$AZ$2:$BB$55,3,)))</f>
        <v>0</v>
      </c>
      <c r="AS3661" s="10" t="b">
        <f>IF(AND(I3661="TP",S3661&lt;=500),VLOOKUP(AF3661,TPCalibEq500!$AZ$2:$BB$56,3,),IF(AND(I3661="TDP",S3661&lt;=500),VLOOKUP(AF3661,TPCalibEq500!$AZ$2:$BB$56,3,)))</f>
        <v>0</v>
      </c>
      <c r="AT3661" s="10" t="b">
        <f>IF(AND(I3661="TN",S3661&lt;=2800),VLOOKUP(AF3661,TNCalibEq2500!$AZ$2:$BB$56,3,),IF(AND(I3661="TDN",S3661&lt;=2800),VLOOKUP(AF3661,TNCalibEq2500!$AZ$2:$BB$56,3,)))</f>
        <v>0</v>
      </c>
      <c r="AU3661" s="10" t="b">
        <f>IF(I3661="TP",VLOOKUP(AF3661,TPCalibEqFull!$AZ$2:$BB$56,3),IF(I3661="TDP",VLOOKUP(AF3661,TPCalibEqFull!$AZ$2:$BB$56,3),IF(I3661="TDN",VLOOKUP(AF3661,TNCalibEqFull!$AZ$1:$BB$56,3),IF(I3661="TN",VLOOKUP(AF3661,TNCalibEqFull!$AZ$1:$BB$56,3),FALSE))))</f>
        <v>0</v>
      </c>
      <c r="AV3661" s="10" t="str">
        <f t="shared" si="419"/>
        <v>0222 09:00:00-QAC-STD-D-1-DI-CHK</v>
      </c>
    </row>
    <row r="3662" spans="1:48" s="10" customFormat="1" x14ac:dyDescent="0.55000000000000004">
      <c r="A3662" s="32">
        <v>44978</v>
      </c>
      <c r="B3662" s="33">
        <v>0.45277777777777778</v>
      </c>
      <c r="C3662" s="10" t="s">
        <v>646</v>
      </c>
      <c r="D3662" s="10">
        <v>5</v>
      </c>
      <c r="E3662" s="10">
        <v>360</v>
      </c>
      <c r="F3662" s="10">
        <v>1</v>
      </c>
      <c r="G3662" s="10" t="s">
        <v>231</v>
      </c>
      <c r="H3662" s="10" t="s">
        <v>322</v>
      </c>
      <c r="I3662" s="10" t="s">
        <v>256</v>
      </c>
      <c r="J3662" s="10">
        <v>21</v>
      </c>
      <c r="K3662" s="12">
        <v>44980</v>
      </c>
      <c r="L3662" s="33">
        <v>0.51101851851851854</v>
      </c>
      <c r="M3662" s="10">
        <v>1</v>
      </c>
      <c r="N3662" s="10" t="s">
        <v>169</v>
      </c>
      <c r="O3662" s="10">
        <v>5.18</v>
      </c>
      <c r="P3662" s="10">
        <v>0.23799999999999999</v>
      </c>
      <c r="Q3662" s="10">
        <v>675</v>
      </c>
      <c r="R3662" s="10" t="s">
        <v>77</v>
      </c>
      <c r="S3662" s="34">
        <f t="shared" si="416"/>
        <v>675</v>
      </c>
      <c r="T3662" s="10" t="s">
        <v>1274</v>
      </c>
      <c r="U3662" s="34" t="str">
        <f t="shared" si="417"/>
        <v/>
      </c>
      <c r="V3662" s="31" t="str">
        <f>IF(H3662="CHK",VLOOKUP(I3662,QCCHK,3,),IF(H3662="GUP",VLOOKUP(E3662,QCGUP,2,),IF(AND(H3662="ATP",OR(I3662="TN",I3662="TDN",I3662="TNO2-3",I3662="NO2-3")),VLOOKUP(E3662,QCREC_N,2,),IF(AND(H3662="NIC",OR(I3662="TN",I3662="TDN",I3662="TNO2-3",I3662="NO2-3")),VLOOKUP(E3662,QCNIC_N,2,),IF(AND(H3662="UREA",OR(I3662="TN",I3662="TDN",I3662="TNO2-3",I3662="NO2-3")),VLOOKUP(E3662,QCUREA_N,2,),IF(H3662="PER",VLOOKUP(I3662,QCPER,MATCH(E3662,QCACTUAL!$J$25:$AA$25,0),),IF(H3662="SPK",VLOOKUP(I3662,QCSPK,3,),IF(AND(H3662="ATP",OR(I3662="TP",I3662="TDP")),VLOOKUP(E3662,QCATP_P,2,),""))))))))</f>
        <v/>
      </c>
      <c r="W3662" s="31" t="str">
        <f t="shared" si="418"/>
        <v>TRUE</v>
      </c>
      <c r="X3662" s="31" t="str">
        <f t="shared" si="415"/>
        <v/>
      </c>
      <c r="Y3662" s="10" t="s">
        <v>1253</v>
      </c>
      <c r="AL3662" s="10" t="str">
        <f t="shared" si="413"/>
        <v>FALSE</v>
      </c>
      <c r="AM3662" s="10" t="str">
        <f t="shared" si="413"/>
        <v>FALSE</v>
      </c>
      <c r="AN3662" s="10" t="str">
        <f t="shared" si="413"/>
        <v>FALSE</v>
      </c>
      <c r="AO3662" s="10" t="str">
        <f t="shared" si="414"/>
        <v>FALSE</v>
      </c>
      <c r="AP3662" s="10" t="str">
        <f t="shared" si="414"/>
        <v>FALSE</v>
      </c>
      <c r="AQ3662" s="10" t="b">
        <f>IF(AND(I3662="TP",S3662&lt;=150),VLOOKUP(AF3662,TPCalibEq150!$AZ$2:$BB$55,3,),IF(AND(I3662="TDP",S3662&lt;=150),VLOOKUP(AF3662,TPCalibEq150!$AZ$2:$BB$55,3,)))</f>
        <v>0</v>
      </c>
      <c r="AR3662" s="10" t="b">
        <f>IF(AND(I3662="TP",S3662&lt;=300),VLOOKUP(AF3662,TPCalibEq300!$AZ$2:$BB$55,3,),IF(AND(I3662="TDP",S3662&lt;=300),VLOOKUP(AF3662,TPCalibEq300!$AZ$2:$BB$55,3,)))</f>
        <v>0</v>
      </c>
      <c r="AS3662" s="10" t="b">
        <f>IF(AND(I3662="TP",S3662&lt;=500),VLOOKUP(AF3662,TPCalibEq500!$AZ$2:$BB$56,3,),IF(AND(I3662="TDP",S3662&lt;=500),VLOOKUP(AF3662,TPCalibEq500!$AZ$2:$BB$56,3,)))</f>
        <v>0</v>
      </c>
      <c r="AT3662" s="10" t="b">
        <f>IF(AND(I3662="TN",S3662&lt;=2800),VLOOKUP(AF3662,TNCalibEq2500!$AZ$2:$BB$56,3,),IF(AND(I3662="TDN",S3662&lt;=2800),VLOOKUP(AF3662,TNCalibEq2500!$AZ$2:$BB$56,3,)))</f>
        <v>0</v>
      </c>
      <c r="AU3662" s="10" t="b">
        <f>IF(I3662="TP",VLOOKUP(AF3662,TPCalibEqFull!$AZ$2:$BB$56,3),IF(I3662="TDP",VLOOKUP(AF3662,TPCalibEqFull!$AZ$2:$BB$56,3),IF(I3662="TDN",VLOOKUP(AF3662,TNCalibEqFull!$AZ$1:$BB$56,3),IF(I3662="TN",VLOOKUP(AF3662,TNCalibEqFull!$AZ$1:$BB$56,3),FALSE))))</f>
        <v>0</v>
      </c>
      <c r="AV3662" s="10" t="str">
        <f t="shared" si="419"/>
        <v>0221 10:52:00-EMB-5-360-1-SW-UKN</v>
      </c>
    </row>
    <row r="3663" spans="1:48" s="10" customFormat="1" x14ac:dyDescent="0.55000000000000004">
      <c r="A3663" s="32">
        <v>44978</v>
      </c>
      <c r="B3663" s="33">
        <v>0.4548611111111111</v>
      </c>
      <c r="C3663" s="10" t="s">
        <v>646</v>
      </c>
      <c r="D3663" s="10">
        <v>10</v>
      </c>
      <c r="E3663" s="10">
        <v>380</v>
      </c>
      <c r="F3663" s="10">
        <v>1</v>
      </c>
      <c r="G3663" s="10" t="s">
        <v>231</v>
      </c>
      <c r="H3663" s="10" t="s">
        <v>322</v>
      </c>
      <c r="I3663" s="10" t="s">
        <v>256</v>
      </c>
      <c r="J3663" s="10">
        <v>22</v>
      </c>
      <c r="K3663" s="12">
        <v>44980</v>
      </c>
      <c r="L3663" s="33">
        <v>0.5118287037037037</v>
      </c>
      <c r="M3663" s="10">
        <v>1</v>
      </c>
      <c r="N3663" s="10" t="s">
        <v>169</v>
      </c>
      <c r="O3663" s="10">
        <v>5.27</v>
      </c>
      <c r="P3663" s="10">
        <v>0.24199999999999999</v>
      </c>
      <c r="Q3663" s="10">
        <v>686</v>
      </c>
      <c r="R3663" s="10" t="s">
        <v>77</v>
      </c>
      <c r="S3663" s="34">
        <f t="shared" si="416"/>
        <v>686</v>
      </c>
      <c r="T3663" s="10" t="s">
        <v>1274</v>
      </c>
      <c r="U3663" s="34" t="str">
        <f t="shared" si="417"/>
        <v/>
      </c>
      <c r="V3663" s="31" t="str">
        <f>IF(H3663="CHK",VLOOKUP(I3663,QCCHK,3,),IF(H3663="GUP",VLOOKUP(E3663,QCGUP,2,),IF(AND(H3663="ATP",OR(I3663="TN",I3663="TDN",I3663="TNO2-3",I3663="NO2-3")),VLOOKUP(E3663,QCREC_N,2,),IF(AND(H3663="NIC",OR(I3663="TN",I3663="TDN",I3663="TNO2-3",I3663="NO2-3")),VLOOKUP(E3663,QCNIC_N,2,),IF(AND(H3663="UREA",OR(I3663="TN",I3663="TDN",I3663="TNO2-3",I3663="NO2-3")),VLOOKUP(E3663,QCUREA_N,2,),IF(H3663="PER",VLOOKUP(I3663,QCPER,MATCH(E3663,QCACTUAL!$J$25:$AA$25,0),),IF(H3663="SPK",VLOOKUP(I3663,QCSPK,3,),IF(AND(H3663="ATP",OR(I3663="TP",I3663="TDP")),VLOOKUP(E3663,QCATP_P,2,),""))))))))</f>
        <v/>
      </c>
      <c r="W3663" s="31" t="str">
        <f t="shared" si="418"/>
        <v>TRUE</v>
      </c>
      <c r="X3663" s="31" t="str">
        <f t="shared" si="415"/>
        <v/>
      </c>
      <c r="Y3663" s="10" t="s">
        <v>1253</v>
      </c>
      <c r="AL3663" s="10" t="str">
        <f t="shared" si="413"/>
        <v>FALSE</v>
      </c>
      <c r="AM3663" s="10" t="str">
        <f t="shared" si="413"/>
        <v>FALSE</v>
      </c>
      <c r="AN3663" s="10" t="str">
        <f t="shared" si="413"/>
        <v>FALSE</v>
      </c>
      <c r="AO3663" s="10" t="str">
        <f t="shared" si="414"/>
        <v>FALSE</v>
      </c>
      <c r="AP3663" s="10" t="str">
        <f t="shared" si="414"/>
        <v>FALSE</v>
      </c>
      <c r="AQ3663" s="10" t="b">
        <f>IF(AND(I3663="TP",S3663&lt;=150),VLOOKUP(AF3663,TPCalibEq150!$AZ$2:$BB$55,3,),IF(AND(I3663="TDP",S3663&lt;=150),VLOOKUP(AF3663,TPCalibEq150!$AZ$2:$BB$55,3,)))</f>
        <v>0</v>
      </c>
      <c r="AR3663" s="10" t="b">
        <f>IF(AND(I3663="TP",S3663&lt;=300),VLOOKUP(AF3663,TPCalibEq300!$AZ$2:$BB$55,3,),IF(AND(I3663="TDP",S3663&lt;=300),VLOOKUP(AF3663,TPCalibEq300!$AZ$2:$BB$55,3,)))</f>
        <v>0</v>
      </c>
      <c r="AS3663" s="10" t="b">
        <f>IF(AND(I3663="TP",S3663&lt;=500),VLOOKUP(AF3663,TPCalibEq500!$AZ$2:$BB$56,3,),IF(AND(I3663="TDP",S3663&lt;=500),VLOOKUP(AF3663,TPCalibEq500!$AZ$2:$BB$56,3,)))</f>
        <v>0</v>
      </c>
      <c r="AT3663" s="10" t="b">
        <f>IF(AND(I3663="TN",S3663&lt;=2800),VLOOKUP(AF3663,TNCalibEq2500!$AZ$2:$BB$56,3,),IF(AND(I3663="TDN",S3663&lt;=2800),VLOOKUP(AF3663,TNCalibEq2500!$AZ$2:$BB$56,3,)))</f>
        <v>0</v>
      </c>
      <c r="AU3663" s="10" t="b">
        <f>IF(I3663="TP",VLOOKUP(AF3663,TPCalibEqFull!$AZ$2:$BB$56,3),IF(I3663="TDP",VLOOKUP(AF3663,TPCalibEqFull!$AZ$2:$BB$56,3),IF(I3663="TDN",VLOOKUP(AF3663,TNCalibEqFull!$AZ$1:$BB$56,3),IF(I3663="TN",VLOOKUP(AF3663,TNCalibEqFull!$AZ$1:$BB$56,3),FALSE))))</f>
        <v>0</v>
      </c>
      <c r="AV3663" s="10" t="str">
        <f t="shared" si="419"/>
        <v>0221 10:55:00-EMB-10-380-1-SW-UKN</v>
      </c>
    </row>
    <row r="3664" spans="1:48" s="10" customFormat="1" x14ac:dyDescent="0.55000000000000004">
      <c r="A3664" s="32">
        <v>44978</v>
      </c>
      <c r="B3664" s="33">
        <v>0.45763888888888887</v>
      </c>
      <c r="C3664" s="10" t="s">
        <v>646</v>
      </c>
      <c r="D3664" s="10">
        <v>20</v>
      </c>
      <c r="E3664" s="10" t="s">
        <v>190</v>
      </c>
      <c r="F3664" s="10">
        <v>1</v>
      </c>
      <c r="G3664" s="10" t="s">
        <v>231</v>
      </c>
      <c r="H3664" s="10" t="s">
        <v>322</v>
      </c>
      <c r="I3664" s="10" t="s">
        <v>256</v>
      </c>
      <c r="J3664" s="10">
        <v>23</v>
      </c>
      <c r="K3664" s="12">
        <v>44980</v>
      </c>
      <c r="L3664" s="33">
        <v>0.51265046296296302</v>
      </c>
      <c r="M3664" s="10">
        <v>1</v>
      </c>
      <c r="N3664" s="10" t="s">
        <v>169</v>
      </c>
      <c r="O3664" s="10">
        <v>5.31</v>
      </c>
      <c r="P3664" s="10">
        <v>0.24399999999999999</v>
      </c>
      <c r="Q3664" s="10">
        <v>692</v>
      </c>
      <c r="R3664" s="10" t="s">
        <v>77</v>
      </c>
      <c r="S3664" s="34">
        <f t="shared" si="416"/>
        <v>692</v>
      </c>
      <c r="T3664" s="10" t="s">
        <v>1274</v>
      </c>
      <c r="U3664" s="34" t="str">
        <f t="shared" si="417"/>
        <v/>
      </c>
      <c r="V3664" s="31" t="str">
        <f>IF(H3664="CHK",VLOOKUP(I3664,QCCHK,3,),IF(H3664="GUP",VLOOKUP(E3664,QCGUP,2,),IF(AND(H3664="ATP",OR(I3664="TN",I3664="TDN",I3664="TNO2-3",I3664="NO2-3")),VLOOKUP(E3664,QCREC_N,2,),IF(AND(H3664="NIC",OR(I3664="TN",I3664="TDN",I3664="TNO2-3",I3664="NO2-3")),VLOOKUP(E3664,QCNIC_N,2,),IF(AND(H3664="UREA",OR(I3664="TN",I3664="TDN",I3664="TNO2-3",I3664="NO2-3")),VLOOKUP(E3664,QCUREA_N,2,),IF(H3664="PER",VLOOKUP(I3664,QCPER,MATCH(E3664,QCACTUAL!$J$25:$AA$25,0),),IF(H3664="SPK",VLOOKUP(I3664,QCSPK,3,),IF(AND(H3664="ATP",OR(I3664="TP",I3664="TDP")),VLOOKUP(E3664,QCATP_P,2,),""))))))))</f>
        <v/>
      </c>
      <c r="W3664" s="31" t="str">
        <f t="shared" si="418"/>
        <v>TRUE</v>
      </c>
      <c r="X3664" s="31" t="str">
        <f t="shared" si="415"/>
        <v/>
      </c>
      <c r="Y3664" s="10" t="s">
        <v>1253</v>
      </c>
      <c r="AL3664" s="10" t="str">
        <f t="shared" si="413"/>
        <v>FALSE</v>
      </c>
      <c r="AM3664" s="10" t="str">
        <f t="shared" si="413"/>
        <v>FALSE</v>
      </c>
      <c r="AN3664" s="10" t="str">
        <f t="shared" si="413"/>
        <v>FALSE</v>
      </c>
      <c r="AO3664" s="10" t="str">
        <f t="shared" si="414"/>
        <v>FALSE</v>
      </c>
      <c r="AP3664" s="10" t="str">
        <f t="shared" si="414"/>
        <v>FALSE</v>
      </c>
      <c r="AQ3664" s="10" t="b">
        <f>IF(AND(I3664="TP",S3664&lt;=150),VLOOKUP(AF3664,TPCalibEq150!$AZ$2:$BB$55,3,),IF(AND(I3664="TDP",S3664&lt;=150),VLOOKUP(AF3664,TPCalibEq150!$AZ$2:$BB$55,3,)))</f>
        <v>0</v>
      </c>
      <c r="AR3664" s="10" t="b">
        <f>IF(AND(I3664="TP",S3664&lt;=300),VLOOKUP(AF3664,TPCalibEq300!$AZ$2:$BB$55,3,),IF(AND(I3664="TDP",S3664&lt;=300),VLOOKUP(AF3664,TPCalibEq300!$AZ$2:$BB$55,3,)))</f>
        <v>0</v>
      </c>
      <c r="AS3664" s="10" t="b">
        <f>IF(AND(I3664="TP",S3664&lt;=500),VLOOKUP(AF3664,TPCalibEq500!$AZ$2:$BB$56,3,),IF(AND(I3664="TDP",S3664&lt;=500),VLOOKUP(AF3664,TPCalibEq500!$AZ$2:$BB$56,3,)))</f>
        <v>0</v>
      </c>
      <c r="AT3664" s="10" t="b">
        <f>IF(AND(I3664="TN",S3664&lt;=2800),VLOOKUP(AF3664,TNCalibEq2500!$AZ$2:$BB$56,3,),IF(AND(I3664="TDN",S3664&lt;=2800),VLOOKUP(AF3664,TNCalibEq2500!$AZ$2:$BB$56,3,)))</f>
        <v>0</v>
      </c>
      <c r="AU3664" s="10" t="b">
        <f>IF(I3664="TP",VLOOKUP(AF3664,TPCalibEqFull!$AZ$2:$BB$56,3),IF(I3664="TDP",VLOOKUP(AF3664,TPCalibEqFull!$AZ$2:$BB$56,3),IF(I3664="TDN",VLOOKUP(AF3664,TNCalibEqFull!$AZ$1:$BB$56,3),IF(I3664="TN",VLOOKUP(AF3664,TNCalibEqFull!$AZ$1:$BB$56,3),FALSE))))</f>
        <v>0</v>
      </c>
      <c r="AV3664" s="10" t="str">
        <f t="shared" si="419"/>
        <v>0221 10:59:00-EMB-20-C-1-SW-UKN</v>
      </c>
    </row>
    <row r="3665" spans="1:48" s="10" customFormat="1" x14ac:dyDescent="0.55000000000000004">
      <c r="A3665" s="32">
        <v>44978</v>
      </c>
      <c r="B3665" s="33">
        <v>0.46249999999999997</v>
      </c>
      <c r="C3665" s="10" t="s">
        <v>646</v>
      </c>
      <c r="D3665" s="10">
        <v>60</v>
      </c>
      <c r="E3665" s="10" t="s">
        <v>190</v>
      </c>
      <c r="F3665" s="10">
        <v>1</v>
      </c>
      <c r="G3665" s="10" t="s">
        <v>231</v>
      </c>
      <c r="H3665" s="10" t="s">
        <v>322</v>
      </c>
      <c r="I3665" s="10" t="s">
        <v>256</v>
      </c>
      <c r="J3665" s="10">
        <v>24</v>
      </c>
      <c r="K3665" s="12">
        <v>44980</v>
      </c>
      <c r="L3665" s="33">
        <v>0.51347222222222222</v>
      </c>
      <c r="M3665" s="10">
        <v>1</v>
      </c>
      <c r="N3665" s="10" t="s">
        <v>169</v>
      </c>
      <c r="O3665" s="10">
        <v>5.55</v>
      </c>
      <c r="P3665" s="10">
        <v>0.25600000000000001</v>
      </c>
      <c r="Q3665" s="10">
        <v>723</v>
      </c>
      <c r="R3665" s="10" t="s">
        <v>77</v>
      </c>
      <c r="S3665" s="34">
        <f t="shared" si="416"/>
        <v>723</v>
      </c>
      <c r="T3665" s="10" t="s">
        <v>1274</v>
      </c>
      <c r="U3665" s="34" t="str">
        <f t="shared" si="417"/>
        <v/>
      </c>
      <c r="V3665" s="31" t="str">
        <f>IF(H3665="CHK",VLOOKUP(I3665,QCCHK,3,),IF(H3665="GUP",VLOOKUP(E3665,QCGUP,2,),IF(AND(H3665="ATP",OR(I3665="TN",I3665="TDN",I3665="TNO2-3",I3665="NO2-3")),VLOOKUP(E3665,QCREC_N,2,),IF(AND(H3665="NIC",OR(I3665="TN",I3665="TDN",I3665="TNO2-3",I3665="NO2-3")),VLOOKUP(E3665,QCNIC_N,2,),IF(AND(H3665="UREA",OR(I3665="TN",I3665="TDN",I3665="TNO2-3",I3665="NO2-3")),VLOOKUP(E3665,QCUREA_N,2,),IF(H3665="PER",VLOOKUP(I3665,QCPER,MATCH(E3665,QCACTUAL!$J$25:$AA$25,0),),IF(H3665="SPK",VLOOKUP(I3665,QCSPK,3,),IF(AND(H3665="ATP",OR(I3665="TP",I3665="TDP")),VLOOKUP(E3665,QCATP_P,2,),""))))))))</f>
        <v/>
      </c>
      <c r="W3665" s="31" t="str">
        <f t="shared" si="418"/>
        <v>TRUE</v>
      </c>
      <c r="X3665" s="31" t="str">
        <f t="shared" si="415"/>
        <v/>
      </c>
      <c r="Y3665" s="10" t="s">
        <v>1253</v>
      </c>
      <c r="AL3665" s="10" t="str">
        <f t="shared" si="413"/>
        <v>FALSE</v>
      </c>
      <c r="AM3665" s="10" t="str">
        <f t="shared" si="413"/>
        <v>FALSE</v>
      </c>
      <c r="AN3665" s="10" t="str">
        <f t="shared" si="413"/>
        <v>FALSE</v>
      </c>
      <c r="AO3665" s="10" t="str">
        <f t="shared" si="414"/>
        <v>FALSE</v>
      </c>
      <c r="AP3665" s="10" t="str">
        <f t="shared" si="414"/>
        <v>FALSE</v>
      </c>
      <c r="AQ3665" s="10" t="b">
        <f>IF(AND(I3665="TP",S3665&lt;=150),VLOOKUP(AF3665,TPCalibEq150!$AZ$2:$BB$55,3,),IF(AND(I3665="TDP",S3665&lt;=150),VLOOKUP(AF3665,TPCalibEq150!$AZ$2:$BB$55,3,)))</f>
        <v>0</v>
      </c>
      <c r="AR3665" s="10" t="b">
        <f>IF(AND(I3665="TP",S3665&lt;=300),VLOOKUP(AF3665,TPCalibEq300!$AZ$2:$BB$55,3,),IF(AND(I3665="TDP",S3665&lt;=300),VLOOKUP(AF3665,TPCalibEq300!$AZ$2:$BB$55,3,)))</f>
        <v>0</v>
      </c>
      <c r="AS3665" s="10" t="b">
        <f>IF(AND(I3665="TP",S3665&lt;=500),VLOOKUP(AF3665,TPCalibEq500!$AZ$2:$BB$56,3,),IF(AND(I3665="TDP",S3665&lt;=500),VLOOKUP(AF3665,TPCalibEq500!$AZ$2:$BB$56,3,)))</f>
        <v>0</v>
      </c>
      <c r="AT3665" s="10" t="b">
        <f>IF(AND(I3665="TN",S3665&lt;=2800),VLOOKUP(AF3665,TNCalibEq2500!$AZ$2:$BB$56,3,),IF(AND(I3665="TDN",S3665&lt;=2800),VLOOKUP(AF3665,TNCalibEq2500!$AZ$2:$BB$56,3,)))</f>
        <v>0</v>
      </c>
      <c r="AU3665" s="10" t="b">
        <f>IF(I3665="TP",VLOOKUP(AF3665,TPCalibEqFull!$AZ$2:$BB$56,3),IF(I3665="TDP",VLOOKUP(AF3665,TPCalibEqFull!$AZ$2:$BB$56,3),IF(I3665="TDN",VLOOKUP(AF3665,TNCalibEqFull!$AZ$1:$BB$56,3),IF(I3665="TN",VLOOKUP(AF3665,TNCalibEqFull!$AZ$1:$BB$56,3),FALSE))))</f>
        <v>0</v>
      </c>
      <c r="AV3665" s="10" t="str">
        <f t="shared" si="419"/>
        <v>0221 11:06:00-EMB-60-C-1-SW-UKN</v>
      </c>
    </row>
    <row r="3666" spans="1:48" s="10" customFormat="1" x14ac:dyDescent="0.55000000000000004">
      <c r="A3666" s="32">
        <v>44978</v>
      </c>
      <c r="B3666" s="33">
        <v>0.41319444444444442</v>
      </c>
      <c r="C3666" s="10" t="s">
        <v>287</v>
      </c>
      <c r="D3666" s="10">
        <v>0</v>
      </c>
      <c r="E3666" s="10">
        <v>290</v>
      </c>
      <c r="F3666" s="10">
        <v>1</v>
      </c>
      <c r="G3666" s="10" t="s">
        <v>231</v>
      </c>
      <c r="H3666" s="10" t="s">
        <v>322</v>
      </c>
      <c r="I3666" s="10" t="s">
        <v>256</v>
      </c>
      <c r="J3666" s="10">
        <v>25</v>
      </c>
      <c r="K3666" s="12">
        <v>44980</v>
      </c>
      <c r="L3666" s="33">
        <v>0.51427083333333334</v>
      </c>
      <c r="M3666" s="10">
        <v>1</v>
      </c>
      <c r="N3666" s="10" t="s">
        <v>169</v>
      </c>
      <c r="O3666" s="10">
        <v>5</v>
      </c>
      <c r="P3666" s="10">
        <v>0.23</v>
      </c>
      <c r="Q3666" s="10">
        <v>652</v>
      </c>
      <c r="R3666" s="10" t="s">
        <v>77</v>
      </c>
      <c r="S3666" s="34">
        <f t="shared" si="416"/>
        <v>652</v>
      </c>
      <c r="T3666" s="10" t="s">
        <v>1274</v>
      </c>
      <c r="U3666" s="34" t="str">
        <f t="shared" si="417"/>
        <v/>
      </c>
      <c r="V3666" s="31" t="str">
        <f>IF(H3666="CHK",VLOOKUP(I3666,QCCHK,3,),IF(H3666="GUP",VLOOKUP(E3666,QCGUP,2,),IF(AND(H3666="ATP",OR(I3666="TN",I3666="TDN",I3666="TNO2-3",I3666="NO2-3")),VLOOKUP(E3666,QCREC_N,2,),IF(AND(H3666="NIC",OR(I3666="TN",I3666="TDN",I3666="TNO2-3",I3666="NO2-3")),VLOOKUP(E3666,QCNIC_N,2,),IF(AND(H3666="UREA",OR(I3666="TN",I3666="TDN",I3666="TNO2-3",I3666="NO2-3")),VLOOKUP(E3666,QCUREA_N,2,),IF(H3666="PER",VLOOKUP(I3666,QCPER,MATCH(E3666,QCACTUAL!$J$25:$AA$25,0),),IF(H3666="SPK",VLOOKUP(I3666,QCSPK,3,),IF(AND(H3666="ATP",OR(I3666="TP",I3666="TDP")),VLOOKUP(E3666,QCATP_P,2,),""))))))))</f>
        <v/>
      </c>
      <c r="W3666" s="31" t="str">
        <f t="shared" si="418"/>
        <v>TRUE</v>
      </c>
      <c r="X3666" s="31" t="str">
        <f t="shared" si="415"/>
        <v/>
      </c>
      <c r="Y3666" s="10" t="s">
        <v>1253</v>
      </c>
      <c r="AL3666" s="10" t="str">
        <f t="shared" si="413"/>
        <v>FALSE</v>
      </c>
      <c r="AM3666" s="10" t="str">
        <f t="shared" si="413"/>
        <v>FALSE</v>
      </c>
      <c r="AN3666" s="10" t="str">
        <f t="shared" si="413"/>
        <v>FALSE</v>
      </c>
      <c r="AO3666" s="10" t="str">
        <f t="shared" si="414"/>
        <v>FALSE</v>
      </c>
      <c r="AP3666" s="10" t="str">
        <f t="shared" si="414"/>
        <v>FALSE</v>
      </c>
      <c r="AQ3666" s="10" t="b">
        <f>IF(AND(I3666="TP",S3666&lt;=150),VLOOKUP(AF3666,TPCalibEq150!$AZ$2:$BB$55,3,),IF(AND(I3666="TDP",S3666&lt;=150),VLOOKUP(AF3666,TPCalibEq150!$AZ$2:$BB$55,3,)))</f>
        <v>0</v>
      </c>
      <c r="AR3666" s="10" t="b">
        <f>IF(AND(I3666="TP",S3666&lt;=300),VLOOKUP(AF3666,TPCalibEq300!$AZ$2:$BB$55,3,),IF(AND(I3666="TDP",S3666&lt;=300),VLOOKUP(AF3666,TPCalibEq300!$AZ$2:$BB$55,3,)))</f>
        <v>0</v>
      </c>
      <c r="AS3666" s="10" t="b">
        <f>IF(AND(I3666="TP",S3666&lt;=500),VLOOKUP(AF3666,TPCalibEq500!$AZ$2:$BB$56,3,),IF(AND(I3666="TDP",S3666&lt;=500),VLOOKUP(AF3666,TPCalibEq500!$AZ$2:$BB$56,3,)))</f>
        <v>0</v>
      </c>
      <c r="AT3666" s="10" t="b">
        <f>IF(AND(I3666="TN",S3666&lt;=2800),VLOOKUP(AF3666,TNCalibEq2500!$AZ$2:$BB$56,3,),IF(AND(I3666="TDN",S3666&lt;=2800),VLOOKUP(AF3666,TNCalibEq2500!$AZ$2:$BB$56,3,)))</f>
        <v>0</v>
      </c>
      <c r="AU3666" s="10" t="b">
        <f>IF(I3666="TP",VLOOKUP(AF3666,TPCalibEqFull!$AZ$2:$BB$56,3),IF(I3666="TDP",VLOOKUP(AF3666,TPCalibEqFull!$AZ$2:$BB$56,3),IF(I3666="TDN",VLOOKUP(AF3666,TNCalibEqFull!$AZ$1:$BB$56,3),IF(I3666="TN",VLOOKUP(AF3666,TNCalibEqFull!$AZ$1:$BB$56,3),FALSE))))</f>
        <v>0</v>
      </c>
      <c r="AV3666" s="10" t="str">
        <f t="shared" si="419"/>
        <v>0221 09:55:00-EFL-0-290-1-SW-UKN</v>
      </c>
    </row>
    <row r="3667" spans="1:48" s="10" customFormat="1" x14ac:dyDescent="0.55000000000000004">
      <c r="A3667" s="32">
        <v>44978</v>
      </c>
      <c r="B3667" s="33">
        <v>0.41597222222222219</v>
      </c>
      <c r="C3667" s="10" t="s">
        <v>287</v>
      </c>
      <c r="D3667" s="10">
        <v>5</v>
      </c>
      <c r="E3667" s="10">
        <v>400</v>
      </c>
      <c r="F3667" s="10">
        <v>1</v>
      </c>
      <c r="G3667" s="10" t="s">
        <v>231</v>
      </c>
      <c r="H3667" s="10" t="s">
        <v>322</v>
      </c>
      <c r="I3667" s="10" t="s">
        <v>256</v>
      </c>
      <c r="J3667" s="10">
        <v>26</v>
      </c>
      <c r="K3667" s="12">
        <v>44980</v>
      </c>
      <c r="L3667" s="33">
        <v>0.51508101851851851</v>
      </c>
      <c r="M3667" s="10">
        <v>1</v>
      </c>
      <c r="N3667" s="10" t="s">
        <v>169</v>
      </c>
      <c r="O3667" s="10">
        <v>5</v>
      </c>
      <c r="P3667" s="10">
        <v>0.23</v>
      </c>
      <c r="Q3667" s="10">
        <v>652</v>
      </c>
      <c r="R3667" s="10" t="s">
        <v>77</v>
      </c>
      <c r="S3667" s="34">
        <f t="shared" si="416"/>
        <v>652</v>
      </c>
      <c r="T3667" s="10" t="s">
        <v>1274</v>
      </c>
      <c r="U3667" s="34" t="str">
        <f t="shared" si="417"/>
        <v/>
      </c>
      <c r="V3667" s="31" t="str">
        <f>IF(H3667="CHK",VLOOKUP(I3667,QCCHK,3,),IF(H3667="GUP",VLOOKUP(E3667,QCGUP,2,),IF(AND(H3667="ATP",OR(I3667="TN",I3667="TDN",I3667="TNO2-3",I3667="NO2-3")),VLOOKUP(E3667,QCREC_N,2,),IF(AND(H3667="NIC",OR(I3667="TN",I3667="TDN",I3667="TNO2-3",I3667="NO2-3")),VLOOKUP(E3667,QCNIC_N,2,),IF(AND(H3667="UREA",OR(I3667="TN",I3667="TDN",I3667="TNO2-3",I3667="NO2-3")),VLOOKUP(E3667,QCUREA_N,2,),IF(H3667="PER",VLOOKUP(I3667,QCPER,MATCH(E3667,QCACTUAL!$J$25:$AA$25,0),),IF(H3667="SPK",VLOOKUP(I3667,QCSPK,3,),IF(AND(H3667="ATP",OR(I3667="TP",I3667="TDP")),VLOOKUP(E3667,QCATP_P,2,),""))))))))</f>
        <v/>
      </c>
      <c r="W3667" s="31" t="str">
        <f t="shared" si="418"/>
        <v>TRUE</v>
      </c>
      <c r="X3667" s="31" t="str">
        <f t="shared" si="415"/>
        <v/>
      </c>
      <c r="Y3667" s="10" t="s">
        <v>1253</v>
      </c>
      <c r="AL3667" s="10" t="str">
        <f t="shared" si="413"/>
        <v>FALSE</v>
      </c>
      <c r="AM3667" s="10" t="str">
        <f t="shared" si="413"/>
        <v>FALSE</v>
      </c>
      <c r="AN3667" s="10" t="str">
        <f t="shared" si="413"/>
        <v>FALSE</v>
      </c>
      <c r="AO3667" s="10" t="str">
        <f t="shared" si="414"/>
        <v>FALSE</v>
      </c>
      <c r="AP3667" s="10" t="str">
        <f t="shared" si="414"/>
        <v>FALSE</v>
      </c>
      <c r="AQ3667" s="10" t="b">
        <f>IF(AND(I3667="TP",S3667&lt;=150),VLOOKUP(AF3667,TPCalibEq150!$AZ$2:$BB$55,3,),IF(AND(I3667="TDP",S3667&lt;=150),VLOOKUP(AF3667,TPCalibEq150!$AZ$2:$BB$55,3,)))</f>
        <v>0</v>
      </c>
      <c r="AR3667" s="10" t="b">
        <f>IF(AND(I3667="TP",S3667&lt;=300),VLOOKUP(AF3667,TPCalibEq300!$AZ$2:$BB$55,3,),IF(AND(I3667="TDP",S3667&lt;=300),VLOOKUP(AF3667,TPCalibEq300!$AZ$2:$BB$55,3,)))</f>
        <v>0</v>
      </c>
      <c r="AS3667" s="10" t="b">
        <f>IF(AND(I3667="TP",S3667&lt;=500),VLOOKUP(AF3667,TPCalibEq500!$AZ$2:$BB$56,3,),IF(AND(I3667="TDP",S3667&lt;=500),VLOOKUP(AF3667,TPCalibEq500!$AZ$2:$BB$56,3,)))</f>
        <v>0</v>
      </c>
      <c r="AT3667" s="10" t="b">
        <f>IF(AND(I3667="TN",S3667&lt;=2800),VLOOKUP(AF3667,TNCalibEq2500!$AZ$2:$BB$56,3,),IF(AND(I3667="TDN",S3667&lt;=2800),VLOOKUP(AF3667,TNCalibEq2500!$AZ$2:$BB$56,3,)))</f>
        <v>0</v>
      </c>
      <c r="AU3667" s="10" t="b">
        <f>IF(I3667="TP",VLOOKUP(AF3667,TPCalibEqFull!$AZ$2:$BB$56,3),IF(I3667="TDP",VLOOKUP(AF3667,TPCalibEqFull!$AZ$2:$BB$56,3),IF(I3667="TDN",VLOOKUP(AF3667,TNCalibEqFull!$AZ$1:$BB$56,3),IF(I3667="TN",VLOOKUP(AF3667,TNCalibEqFull!$AZ$1:$BB$56,3),FALSE))))</f>
        <v>0</v>
      </c>
      <c r="AV3667" s="10" t="str">
        <f t="shared" si="419"/>
        <v>0221 09:59:00-EFL-5-400-1-SW-UKN</v>
      </c>
    </row>
    <row r="3668" spans="1:48" s="10" customFormat="1" x14ac:dyDescent="0.55000000000000004">
      <c r="A3668" s="32">
        <v>44978</v>
      </c>
      <c r="B3668" s="33">
        <v>0.41805555555555557</v>
      </c>
      <c r="C3668" s="10" t="s">
        <v>287</v>
      </c>
      <c r="D3668" s="10">
        <v>10</v>
      </c>
      <c r="E3668" s="10">
        <v>490</v>
      </c>
      <c r="F3668" s="10">
        <v>1</v>
      </c>
      <c r="G3668" s="10" t="s">
        <v>231</v>
      </c>
      <c r="H3668" s="10" t="s">
        <v>322</v>
      </c>
      <c r="I3668" s="10" t="s">
        <v>256</v>
      </c>
      <c r="J3668" s="10">
        <v>27</v>
      </c>
      <c r="K3668" s="12">
        <v>44980</v>
      </c>
      <c r="L3668" s="33">
        <v>0.51590277777777771</v>
      </c>
      <c r="M3668" s="10">
        <v>1</v>
      </c>
      <c r="N3668" s="10" t="s">
        <v>169</v>
      </c>
      <c r="O3668" s="10">
        <v>4.99</v>
      </c>
      <c r="P3668" s="10">
        <v>0.23</v>
      </c>
      <c r="Q3668" s="10">
        <v>651</v>
      </c>
      <c r="R3668" s="10" t="s">
        <v>77</v>
      </c>
      <c r="S3668" s="34">
        <f t="shared" si="416"/>
        <v>651</v>
      </c>
      <c r="T3668" s="10" t="s">
        <v>1274</v>
      </c>
      <c r="U3668" s="34" t="str">
        <f t="shared" si="417"/>
        <v/>
      </c>
      <c r="V3668" s="31" t="str">
        <f>IF(H3668="CHK",VLOOKUP(I3668,QCCHK,3,),IF(H3668="GUP",VLOOKUP(E3668,QCGUP,2,),IF(AND(H3668="ATP",OR(I3668="TN",I3668="TDN",I3668="TNO2-3",I3668="NO2-3")),VLOOKUP(E3668,QCREC_N,2,),IF(AND(H3668="NIC",OR(I3668="TN",I3668="TDN",I3668="TNO2-3",I3668="NO2-3")),VLOOKUP(E3668,QCNIC_N,2,),IF(AND(H3668="UREA",OR(I3668="TN",I3668="TDN",I3668="TNO2-3",I3668="NO2-3")),VLOOKUP(E3668,QCUREA_N,2,),IF(H3668="PER",VLOOKUP(I3668,QCPER,MATCH(E3668,QCACTUAL!$J$25:$AA$25,0),),IF(H3668="SPK",VLOOKUP(I3668,QCSPK,3,),IF(AND(H3668="ATP",OR(I3668="TP",I3668="TDP")),VLOOKUP(E3668,QCATP_P,2,),""))))))))</f>
        <v/>
      </c>
      <c r="W3668" s="31" t="str">
        <f t="shared" si="418"/>
        <v>TRUE</v>
      </c>
      <c r="X3668" s="31" t="str">
        <f t="shared" si="415"/>
        <v/>
      </c>
      <c r="Y3668" s="10" t="s">
        <v>1253</v>
      </c>
      <c r="AL3668" s="10" t="str">
        <f t="shared" si="413"/>
        <v>FALSE</v>
      </c>
      <c r="AM3668" s="10" t="str">
        <f t="shared" si="413"/>
        <v>FALSE</v>
      </c>
      <c r="AN3668" s="10" t="str">
        <f t="shared" si="413"/>
        <v>FALSE</v>
      </c>
      <c r="AO3668" s="10" t="str">
        <f t="shared" si="414"/>
        <v>FALSE</v>
      </c>
      <c r="AP3668" s="10" t="str">
        <f t="shared" si="414"/>
        <v>FALSE</v>
      </c>
      <c r="AQ3668" s="10" t="b">
        <f>IF(AND(I3668="TP",S3668&lt;=150),VLOOKUP(AF3668,TPCalibEq150!$AZ$2:$BB$55,3,),IF(AND(I3668="TDP",S3668&lt;=150),VLOOKUP(AF3668,TPCalibEq150!$AZ$2:$BB$55,3,)))</f>
        <v>0</v>
      </c>
      <c r="AR3668" s="10" t="b">
        <f>IF(AND(I3668="TP",S3668&lt;=300),VLOOKUP(AF3668,TPCalibEq300!$AZ$2:$BB$55,3,),IF(AND(I3668="TDP",S3668&lt;=300),VLOOKUP(AF3668,TPCalibEq300!$AZ$2:$BB$55,3,)))</f>
        <v>0</v>
      </c>
      <c r="AS3668" s="10" t="b">
        <f>IF(AND(I3668="TP",S3668&lt;=500),VLOOKUP(AF3668,TPCalibEq500!$AZ$2:$BB$56,3,),IF(AND(I3668="TDP",S3668&lt;=500),VLOOKUP(AF3668,TPCalibEq500!$AZ$2:$BB$56,3,)))</f>
        <v>0</v>
      </c>
      <c r="AT3668" s="10" t="b">
        <f>IF(AND(I3668="TN",S3668&lt;=2800),VLOOKUP(AF3668,TNCalibEq2500!$AZ$2:$BB$56,3,),IF(AND(I3668="TDN",S3668&lt;=2800),VLOOKUP(AF3668,TNCalibEq2500!$AZ$2:$BB$56,3,)))</f>
        <v>0</v>
      </c>
      <c r="AU3668" s="10" t="b">
        <f>IF(I3668="TP",VLOOKUP(AF3668,TPCalibEqFull!$AZ$2:$BB$56,3),IF(I3668="TDP",VLOOKUP(AF3668,TPCalibEqFull!$AZ$2:$BB$56,3),IF(I3668="TDN",VLOOKUP(AF3668,TNCalibEqFull!$AZ$1:$BB$56,3),IF(I3668="TN",VLOOKUP(AF3668,TNCalibEqFull!$AZ$1:$BB$56,3),FALSE))))</f>
        <v>0</v>
      </c>
      <c r="AV3668" s="10" t="str">
        <f t="shared" si="419"/>
        <v>0221 10:02:00-EFL-10-490-1-SW-UKN</v>
      </c>
    </row>
    <row r="3669" spans="1:48" s="10" customFormat="1" x14ac:dyDescent="0.55000000000000004">
      <c r="A3669" s="32">
        <v>44978</v>
      </c>
      <c r="B3669" s="33">
        <v>0.42083333333333334</v>
      </c>
      <c r="C3669" s="10" t="s">
        <v>287</v>
      </c>
      <c r="D3669" s="10">
        <v>20</v>
      </c>
      <c r="E3669" s="10">
        <v>280</v>
      </c>
      <c r="F3669" s="10">
        <v>1</v>
      </c>
      <c r="G3669" s="10" t="s">
        <v>231</v>
      </c>
      <c r="H3669" s="10" t="s">
        <v>322</v>
      </c>
      <c r="I3669" s="10" t="s">
        <v>256</v>
      </c>
      <c r="J3669" s="10">
        <v>28</v>
      </c>
      <c r="K3669" s="12">
        <v>44980</v>
      </c>
      <c r="L3669" s="33">
        <v>0.51671296296296299</v>
      </c>
      <c r="M3669" s="10">
        <v>1</v>
      </c>
      <c r="N3669" s="10" t="s">
        <v>169</v>
      </c>
      <c r="O3669" s="10">
        <v>5.0199999999999996</v>
      </c>
      <c r="P3669" s="10">
        <v>0.23</v>
      </c>
      <c r="Q3669" s="10">
        <v>654</v>
      </c>
      <c r="R3669" s="10" t="s">
        <v>77</v>
      </c>
      <c r="S3669" s="34">
        <f t="shared" si="416"/>
        <v>654</v>
      </c>
      <c r="T3669" s="10" t="s">
        <v>1274</v>
      </c>
      <c r="U3669" s="34" t="str">
        <f t="shared" si="417"/>
        <v/>
      </c>
      <c r="V3669" s="31" t="str">
        <f>IF(H3669="CHK",VLOOKUP(I3669,QCCHK,3,),IF(H3669="GUP",VLOOKUP(E3669,QCGUP,2,),IF(AND(H3669="ATP",OR(I3669="TN",I3669="TDN",I3669="TNO2-3",I3669="NO2-3")),VLOOKUP(E3669,QCREC_N,2,),IF(AND(H3669="NIC",OR(I3669="TN",I3669="TDN",I3669="TNO2-3",I3669="NO2-3")),VLOOKUP(E3669,QCNIC_N,2,),IF(AND(H3669="UREA",OR(I3669="TN",I3669="TDN",I3669="TNO2-3",I3669="NO2-3")),VLOOKUP(E3669,QCUREA_N,2,),IF(H3669="PER",VLOOKUP(I3669,QCPER,MATCH(E3669,QCACTUAL!$J$25:$AA$25,0),),IF(H3669="SPK",VLOOKUP(I3669,QCSPK,3,),IF(AND(H3669="ATP",OR(I3669="TP",I3669="TDP")),VLOOKUP(E3669,QCATP_P,2,),""))))))))</f>
        <v/>
      </c>
      <c r="W3669" s="31" t="str">
        <f t="shared" si="418"/>
        <v>TRUE</v>
      </c>
      <c r="X3669" s="31" t="str">
        <f t="shared" si="415"/>
        <v/>
      </c>
      <c r="Y3669" s="10" t="s">
        <v>1253</v>
      </c>
      <c r="AL3669" s="10" t="str">
        <f t="shared" si="413"/>
        <v>FALSE</v>
      </c>
      <c r="AM3669" s="10" t="str">
        <f t="shared" si="413"/>
        <v>FALSE</v>
      </c>
      <c r="AN3669" s="10" t="str">
        <f t="shared" si="413"/>
        <v>FALSE</v>
      </c>
      <c r="AO3669" s="10" t="str">
        <f t="shared" si="414"/>
        <v>FALSE</v>
      </c>
      <c r="AP3669" s="10" t="str">
        <f t="shared" si="414"/>
        <v>FALSE</v>
      </c>
      <c r="AQ3669" s="10" t="b">
        <f>IF(AND(I3669="TP",S3669&lt;=150),VLOOKUP(AF3669,TPCalibEq150!$AZ$2:$BB$55,3,),IF(AND(I3669="TDP",S3669&lt;=150),VLOOKUP(AF3669,TPCalibEq150!$AZ$2:$BB$55,3,)))</f>
        <v>0</v>
      </c>
      <c r="AR3669" s="10" t="b">
        <f>IF(AND(I3669="TP",S3669&lt;=300),VLOOKUP(AF3669,TPCalibEq300!$AZ$2:$BB$55,3,),IF(AND(I3669="TDP",S3669&lt;=300),VLOOKUP(AF3669,TPCalibEq300!$AZ$2:$BB$55,3,)))</f>
        <v>0</v>
      </c>
      <c r="AS3669" s="10" t="b">
        <f>IF(AND(I3669="TP",S3669&lt;=500),VLOOKUP(AF3669,TPCalibEq500!$AZ$2:$BB$56,3,),IF(AND(I3669="TDP",S3669&lt;=500),VLOOKUP(AF3669,TPCalibEq500!$AZ$2:$BB$56,3,)))</f>
        <v>0</v>
      </c>
      <c r="AT3669" s="10" t="b">
        <f>IF(AND(I3669="TN",S3669&lt;=2800),VLOOKUP(AF3669,TNCalibEq2500!$AZ$2:$BB$56,3,),IF(AND(I3669="TDN",S3669&lt;=2800),VLOOKUP(AF3669,TNCalibEq2500!$AZ$2:$BB$56,3,)))</f>
        <v>0</v>
      </c>
      <c r="AU3669" s="10" t="b">
        <f>IF(I3669="TP",VLOOKUP(AF3669,TPCalibEqFull!$AZ$2:$BB$56,3),IF(I3669="TDP",VLOOKUP(AF3669,TPCalibEqFull!$AZ$2:$BB$56,3),IF(I3669="TDN",VLOOKUP(AF3669,TNCalibEqFull!$AZ$1:$BB$56,3),IF(I3669="TN",VLOOKUP(AF3669,TNCalibEqFull!$AZ$1:$BB$56,3),FALSE))))</f>
        <v>0</v>
      </c>
      <c r="AV3669" s="10" t="str">
        <f t="shared" si="419"/>
        <v>0221 10:06:00-EFL-20-280-1-SW-UKN</v>
      </c>
    </row>
    <row r="3670" spans="1:48" s="10" customFormat="1" x14ac:dyDescent="0.55000000000000004">
      <c r="A3670" s="32">
        <v>44978</v>
      </c>
      <c r="B3670" s="33">
        <v>0.42083333333333334</v>
      </c>
      <c r="C3670" s="10" t="s">
        <v>287</v>
      </c>
      <c r="D3670" s="10">
        <v>20</v>
      </c>
      <c r="E3670" s="10">
        <v>270</v>
      </c>
      <c r="F3670" s="10">
        <v>2</v>
      </c>
      <c r="G3670" s="10" t="s">
        <v>231</v>
      </c>
      <c r="H3670" s="10" t="s">
        <v>322</v>
      </c>
      <c r="I3670" s="10" t="s">
        <v>256</v>
      </c>
      <c r="J3670" s="10">
        <v>29</v>
      </c>
      <c r="K3670" s="12">
        <v>44980</v>
      </c>
      <c r="L3670" s="33">
        <v>0.517511574074074</v>
      </c>
      <c r="M3670" s="10">
        <v>1</v>
      </c>
      <c r="N3670" s="10" t="s">
        <v>169</v>
      </c>
      <c r="O3670" s="10">
        <v>4.9000000000000004</v>
      </c>
      <c r="P3670" s="10">
        <v>0.22600000000000001</v>
      </c>
      <c r="Q3670" s="10">
        <v>639</v>
      </c>
      <c r="R3670" s="10" t="s">
        <v>77</v>
      </c>
      <c r="S3670" s="34">
        <f t="shared" si="416"/>
        <v>639</v>
      </c>
      <c r="T3670" s="10" t="s">
        <v>1274</v>
      </c>
      <c r="U3670" s="34" t="str">
        <f t="shared" si="417"/>
        <v/>
      </c>
      <c r="V3670" s="31" t="str">
        <f>IF(H3670="CHK",VLOOKUP(I3670,QCCHK,3,),IF(H3670="GUP",VLOOKUP(E3670,QCGUP,2,),IF(AND(H3670="ATP",OR(I3670="TN",I3670="TDN",I3670="TNO2-3",I3670="NO2-3")),VLOOKUP(E3670,QCREC_N,2,),IF(AND(H3670="NIC",OR(I3670="TN",I3670="TDN",I3670="TNO2-3",I3670="NO2-3")),VLOOKUP(E3670,QCNIC_N,2,),IF(AND(H3670="UREA",OR(I3670="TN",I3670="TDN",I3670="TNO2-3",I3670="NO2-3")),VLOOKUP(E3670,QCUREA_N,2,),IF(H3670="PER",VLOOKUP(I3670,QCPER,MATCH(E3670,QCACTUAL!$J$25:$AA$25,0),),IF(H3670="SPK",VLOOKUP(I3670,QCSPK,3,),IF(AND(H3670="ATP",OR(I3670="TP",I3670="TDP")),VLOOKUP(E3670,QCATP_P,2,),""))))))))</f>
        <v/>
      </c>
      <c r="W3670" s="31" t="str">
        <f t="shared" si="418"/>
        <v>TRUE</v>
      </c>
      <c r="X3670" s="31" t="str">
        <f t="shared" si="415"/>
        <v/>
      </c>
      <c r="Y3670" s="10" t="s">
        <v>1253</v>
      </c>
      <c r="AL3670" s="10" t="str">
        <f t="shared" si="413"/>
        <v>FALSE</v>
      </c>
      <c r="AM3670" s="10" t="str">
        <f t="shared" si="413"/>
        <v>FALSE</v>
      </c>
      <c r="AN3670" s="10" t="str">
        <f t="shared" si="413"/>
        <v>FALSE</v>
      </c>
      <c r="AO3670" s="10" t="str">
        <f t="shared" si="414"/>
        <v>FALSE</v>
      </c>
      <c r="AP3670" s="10" t="str">
        <f t="shared" si="414"/>
        <v>FALSE</v>
      </c>
      <c r="AQ3670" s="10" t="b">
        <f>IF(AND(I3670="TP",S3670&lt;=150),VLOOKUP(AF3670,TPCalibEq150!$AZ$2:$BB$55,3,),IF(AND(I3670="TDP",S3670&lt;=150),VLOOKUP(AF3670,TPCalibEq150!$AZ$2:$BB$55,3,)))</f>
        <v>0</v>
      </c>
      <c r="AR3670" s="10" t="b">
        <f>IF(AND(I3670="TP",S3670&lt;=300),VLOOKUP(AF3670,TPCalibEq300!$AZ$2:$BB$55,3,),IF(AND(I3670="TDP",S3670&lt;=300),VLOOKUP(AF3670,TPCalibEq300!$AZ$2:$BB$55,3,)))</f>
        <v>0</v>
      </c>
      <c r="AS3670" s="10" t="b">
        <f>IF(AND(I3670="TP",S3670&lt;=500),VLOOKUP(AF3670,TPCalibEq500!$AZ$2:$BB$56,3,),IF(AND(I3670="TDP",S3670&lt;=500),VLOOKUP(AF3670,TPCalibEq500!$AZ$2:$BB$56,3,)))</f>
        <v>0</v>
      </c>
      <c r="AT3670" s="10" t="b">
        <f>IF(AND(I3670="TN",S3670&lt;=2800),VLOOKUP(AF3670,TNCalibEq2500!$AZ$2:$BB$56,3,),IF(AND(I3670="TDN",S3670&lt;=2800),VLOOKUP(AF3670,TNCalibEq2500!$AZ$2:$BB$56,3,)))</f>
        <v>0</v>
      </c>
      <c r="AU3670" s="10" t="b">
        <f>IF(I3670="TP",VLOOKUP(AF3670,TPCalibEqFull!$AZ$2:$BB$56,3),IF(I3670="TDP",VLOOKUP(AF3670,TPCalibEqFull!$AZ$2:$BB$56,3),IF(I3670="TDN",VLOOKUP(AF3670,TNCalibEqFull!$AZ$1:$BB$56,3),IF(I3670="TN",VLOOKUP(AF3670,TNCalibEqFull!$AZ$1:$BB$56,3),FALSE))))</f>
        <v>0</v>
      </c>
      <c r="AV3670" s="10" t="str">
        <f t="shared" si="419"/>
        <v>0221 10:06:00-EFL-20-270-2-SW-UKN</v>
      </c>
    </row>
    <row r="3671" spans="1:48" s="10" customFormat="1" x14ac:dyDescent="0.55000000000000004">
      <c r="A3671" s="32">
        <v>44978</v>
      </c>
      <c r="B3671" s="33">
        <v>0.42569444444444443</v>
      </c>
      <c r="C3671" s="10" t="s">
        <v>287</v>
      </c>
      <c r="D3671" s="10">
        <v>45</v>
      </c>
      <c r="E3671" s="10" t="s">
        <v>190</v>
      </c>
      <c r="F3671" s="10">
        <v>1</v>
      </c>
      <c r="G3671" s="10" t="s">
        <v>231</v>
      </c>
      <c r="H3671" s="10" t="s">
        <v>322</v>
      </c>
      <c r="I3671" s="10" t="s">
        <v>256</v>
      </c>
      <c r="J3671" s="10">
        <v>30</v>
      </c>
      <c r="K3671" s="12">
        <v>44980</v>
      </c>
      <c r="L3671" s="33">
        <v>0.51832175925925927</v>
      </c>
      <c r="M3671" s="10">
        <v>1</v>
      </c>
      <c r="N3671" s="10" t="s">
        <v>169</v>
      </c>
      <c r="O3671" s="10">
        <v>5.17</v>
      </c>
      <c r="P3671" s="10">
        <v>0.23799999999999999</v>
      </c>
      <c r="Q3671" s="10">
        <v>673</v>
      </c>
      <c r="R3671" s="10" t="s">
        <v>77</v>
      </c>
      <c r="S3671" s="34">
        <f t="shared" si="416"/>
        <v>673</v>
      </c>
      <c r="T3671" s="10" t="s">
        <v>1274</v>
      </c>
      <c r="U3671" s="34" t="str">
        <f t="shared" si="417"/>
        <v/>
      </c>
      <c r="V3671" s="31" t="str">
        <f>IF(H3671="CHK",VLOOKUP(I3671,QCCHK,3,),IF(H3671="GUP",VLOOKUP(E3671,QCGUP,2,),IF(AND(H3671="ATP",OR(I3671="TN",I3671="TDN",I3671="TNO2-3",I3671="NO2-3")),VLOOKUP(E3671,QCREC_N,2,),IF(AND(H3671="NIC",OR(I3671="TN",I3671="TDN",I3671="TNO2-3",I3671="NO2-3")),VLOOKUP(E3671,QCNIC_N,2,),IF(AND(H3671="UREA",OR(I3671="TN",I3671="TDN",I3671="TNO2-3",I3671="NO2-3")),VLOOKUP(E3671,QCUREA_N,2,),IF(H3671="PER",VLOOKUP(I3671,QCPER,MATCH(E3671,QCACTUAL!$J$25:$AA$25,0),),IF(H3671="SPK",VLOOKUP(I3671,QCSPK,3,),IF(AND(H3671="ATP",OR(I3671="TP",I3671="TDP")),VLOOKUP(E3671,QCATP_P,2,),""))))))))</f>
        <v/>
      </c>
      <c r="W3671" s="31" t="str">
        <f t="shared" si="418"/>
        <v>TRUE</v>
      </c>
      <c r="X3671" s="31" t="str">
        <f t="shared" si="415"/>
        <v/>
      </c>
      <c r="Y3671" s="10" t="s">
        <v>1253</v>
      </c>
      <c r="AL3671" s="10" t="str">
        <f t="shared" si="413"/>
        <v>FALSE</v>
      </c>
      <c r="AM3671" s="10" t="str">
        <f t="shared" si="413"/>
        <v>FALSE</v>
      </c>
      <c r="AN3671" s="10" t="str">
        <f t="shared" si="413"/>
        <v>FALSE</v>
      </c>
      <c r="AO3671" s="10" t="str">
        <f t="shared" si="414"/>
        <v>FALSE</v>
      </c>
      <c r="AP3671" s="10" t="str">
        <f t="shared" si="414"/>
        <v>FALSE</v>
      </c>
      <c r="AQ3671" s="10" t="b">
        <f>IF(AND(I3671="TP",S3671&lt;=150),VLOOKUP(AF3671,TPCalibEq150!$AZ$2:$BB$55,3,),IF(AND(I3671="TDP",S3671&lt;=150),VLOOKUP(AF3671,TPCalibEq150!$AZ$2:$BB$55,3,)))</f>
        <v>0</v>
      </c>
      <c r="AR3671" s="10" t="b">
        <f>IF(AND(I3671="TP",S3671&lt;=300),VLOOKUP(AF3671,TPCalibEq300!$AZ$2:$BB$55,3,),IF(AND(I3671="TDP",S3671&lt;=300),VLOOKUP(AF3671,TPCalibEq300!$AZ$2:$BB$55,3,)))</f>
        <v>0</v>
      </c>
      <c r="AS3671" s="10" t="b">
        <f>IF(AND(I3671="TP",S3671&lt;=500),VLOOKUP(AF3671,TPCalibEq500!$AZ$2:$BB$56,3,),IF(AND(I3671="TDP",S3671&lt;=500),VLOOKUP(AF3671,TPCalibEq500!$AZ$2:$BB$56,3,)))</f>
        <v>0</v>
      </c>
      <c r="AT3671" s="10" t="b">
        <f>IF(AND(I3671="TN",S3671&lt;=2800),VLOOKUP(AF3671,TNCalibEq2500!$AZ$2:$BB$56,3,),IF(AND(I3671="TDN",S3671&lt;=2800),VLOOKUP(AF3671,TNCalibEq2500!$AZ$2:$BB$56,3,)))</f>
        <v>0</v>
      </c>
      <c r="AU3671" s="10" t="b">
        <f>IF(I3671="TP",VLOOKUP(AF3671,TPCalibEqFull!$AZ$2:$BB$56,3),IF(I3671="TDP",VLOOKUP(AF3671,TPCalibEqFull!$AZ$2:$BB$56,3),IF(I3671="TDN",VLOOKUP(AF3671,TNCalibEqFull!$AZ$1:$BB$56,3),IF(I3671="TN",VLOOKUP(AF3671,TNCalibEqFull!$AZ$1:$BB$56,3),FALSE))))</f>
        <v>0</v>
      </c>
      <c r="AV3671" s="10" t="str">
        <f t="shared" si="419"/>
        <v>0221 10:13:00-EFL-45-C-1-SW-UKN</v>
      </c>
    </row>
    <row r="3672" spans="1:48" s="10" customFormat="1" x14ac:dyDescent="0.55000000000000004">
      <c r="A3672" s="32">
        <v>44978</v>
      </c>
      <c r="B3672" s="33">
        <v>0.42569444444444443</v>
      </c>
      <c r="C3672" s="10" t="s">
        <v>287</v>
      </c>
      <c r="D3672" s="10">
        <v>45</v>
      </c>
      <c r="E3672" s="10" t="s">
        <v>190</v>
      </c>
      <c r="F3672" s="10">
        <v>1</v>
      </c>
      <c r="G3672" s="10" t="s">
        <v>231</v>
      </c>
      <c r="H3672" s="10" t="s">
        <v>233</v>
      </c>
      <c r="I3672" s="10" t="s">
        <v>256</v>
      </c>
      <c r="J3672" s="10">
        <v>30</v>
      </c>
      <c r="K3672" s="12">
        <v>44980</v>
      </c>
      <c r="L3672" s="33">
        <v>0.5191203703703704</v>
      </c>
      <c r="M3672" s="10">
        <v>1</v>
      </c>
      <c r="N3672" s="10" t="s">
        <v>169</v>
      </c>
      <c r="O3672" s="10">
        <v>5.17</v>
      </c>
      <c r="P3672" s="10">
        <v>0.23699999999999999</v>
      </c>
      <c r="Q3672" s="10">
        <v>674</v>
      </c>
      <c r="R3672" s="10" t="s">
        <v>77</v>
      </c>
      <c r="S3672" s="34">
        <f t="shared" si="416"/>
        <v>674</v>
      </c>
      <c r="T3672" s="10" t="s">
        <v>1274</v>
      </c>
      <c r="U3672" s="34">
        <f t="shared" si="417"/>
        <v>0.14847809948032664</v>
      </c>
      <c r="V3672" s="31" t="str">
        <f>IF(H3672="CHK",VLOOKUP(I3672,QCCHK,3,),IF(H3672="GUP",VLOOKUP(E3672,QCGUP,2,),IF(AND(H3672="ATP",OR(I3672="TN",I3672="TDN",I3672="TNO2-3",I3672="NO2-3")),VLOOKUP(E3672,QCREC_N,2,),IF(AND(H3672="NIC",OR(I3672="TN",I3672="TDN",I3672="TNO2-3",I3672="NO2-3")),VLOOKUP(E3672,QCNIC_N,2,),IF(AND(H3672="UREA",OR(I3672="TN",I3672="TDN",I3672="TNO2-3",I3672="NO2-3")),VLOOKUP(E3672,QCUREA_N,2,),IF(H3672="PER",VLOOKUP(I3672,QCPER,MATCH(E3672,QCACTUAL!$J$25:$AA$25,0),),IF(H3672="SPK",VLOOKUP(I3672,QCSPK,3,),IF(AND(H3672="ATP",OR(I3672="TP",I3672="TDP")),VLOOKUP(E3672,QCATP_P,2,),""))))))))</f>
        <v/>
      </c>
      <c r="W3672" s="31" t="str">
        <f t="shared" si="418"/>
        <v>TRUE</v>
      </c>
      <c r="X3672" s="31" t="str">
        <f t="shared" si="415"/>
        <v>((ABS(rep1-rep2))/((rep1+rep2)/2)*100</v>
      </c>
      <c r="Y3672" s="10" t="s">
        <v>1253</v>
      </c>
      <c r="AL3672" s="10" t="str">
        <f t="shared" si="413"/>
        <v>FALSE</v>
      </c>
      <c r="AM3672" s="10" t="str">
        <f t="shared" si="413"/>
        <v>FALSE</v>
      </c>
      <c r="AN3672" s="10" t="str">
        <f t="shared" si="413"/>
        <v>FALSE</v>
      </c>
      <c r="AO3672" s="10" t="str">
        <f t="shared" si="414"/>
        <v>FALSE</v>
      </c>
      <c r="AP3672" s="10" t="str">
        <f t="shared" si="414"/>
        <v>FALSE</v>
      </c>
      <c r="AQ3672" s="10" t="b">
        <f>IF(AND(I3672="TP",S3672&lt;=150),VLOOKUP(AF3672,TPCalibEq150!$AZ$2:$BB$55,3,),IF(AND(I3672="TDP",S3672&lt;=150),VLOOKUP(AF3672,TPCalibEq150!$AZ$2:$BB$55,3,)))</f>
        <v>0</v>
      </c>
      <c r="AR3672" s="10" t="b">
        <f>IF(AND(I3672="TP",S3672&lt;=300),VLOOKUP(AF3672,TPCalibEq300!$AZ$2:$BB$55,3,),IF(AND(I3672="TDP",S3672&lt;=300),VLOOKUP(AF3672,TPCalibEq300!$AZ$2:$BB$55,3,)))</f>
        <v>0</v>
      </c>
      <c r="AS3672" s="10" t="b">
        <f>IF(AND(I3672="TP",S3672&lt;=500),VLOOKUP(AF3672,TPCalibEq500!$AZ$2:$BB$56,3,),IF(AND(I3672="TDP",S3672&lt;=500),VLOOKUP(AF3672,TPCalibEq500!$AZ$2:$BB$56,3,)))</f>
        <v>0</v>
      </c>
      <c r="AT3672" s="10" t="b">
        <f>IF(AND(I3672="TN",S3672&lt;=2800),VLOOKUP(AF3672,TNCalibEq2500!$AZ$2:$BB$56,3,),IF(AND(I3672="TDN",S3672&lt;=2800),VLOOKUP(AF3672,TNCalibEq2500!$AZ$2:$BB$56,3,)))</f>
        <v>0</v>
      </c>
      <c r="AU3672" s="10" t="b">
        <f>IF(I3672="TP",VLOOKUP(AF3672,TPCalibEqFull!$AZ$2:$BB$56,3),IF(I3672="TDP",VLOOKUP(AF3672,TPCalibEqFull!$AZ$2:$BB$56,3),IF(I3672="TDN",VLOOKUP(AF3672,TNCalibEqFull!$AZ$1:$BB$56,3),IF(I3672="TN",VLOOKUP(AF3672,TNCalibEqFull!$AZ$1:$BB$56,3),FALSE))))</f>
        <v>0</v>
      </c>
      <c r="AV3672" s="10" t="str">
        <f t="shared" si="419"/>
        <v>0221 10:13:00-EFL-45-C-1-SW-DUP</v>
      </c>
    </row>
    <row r="3673" spans="1:48" s="10" customFormat="1" x14ac:dyDescent="0.55000000000000004">
      <c r="A3673" s="32">
        <v>44978</v>
      </c>
      <c r="B3673" s="33">
        <v>0.42569444444444443</v>
      </c>
      <c r="C3673" s="10" t="s">
        <v>287</v>
      </c>
      <c r="D3673" s="10">
        <v>45</v>
      </c>
      <c r="E3673" s="10" t="s">
        <v>190</v>
      </c>
      <c r="F3673" s="10">
        <v>1</v>
      </c>
      <c r="G3673" s="10" t="s">
        <v>231</v>
      </c>
      <c r="H3673" s="10" t="s">
        <v>314</v>
      </c>
      <c r="I3673" s="10" t="s">
        <v>256</v>
      </c>
      <c r="J3673" s="10">
        <v>84</v>
      </c>
      <c r="K3673" s="12">
        <v>44980</v>
      </c>
      <c r="L3673" s="33">
        <v>0.5199421296296296</v>
      </c>
      <c r="M3673" s="10">
        <v>1</v>
      </c>
      <c r="N3673" s="10" t="s">
        <v>169</v>
      </c>
      <c r="O3673" s="10">
        <v>9.73</v>
      </c>
      <c r="P3673" s="10">
        <v>0.44800000000000001</v>
      </c>
      <c r="Q3673" s="10">
        <v>1270</v>
      </c>
      <c r="R3673" s="10" t="s">
        <v>77</v>
      </c>
      <c r="S3673" s="34">
        <f t="shared" si="416"/>
        <v>1270</v>
      </c>
      <c r="T3673" s="10" t="s">
        <v>1274</v>
      </c>
      <c r="U3673" s="34">
        <f t="shared" si="417"/>
        <v>95.36</v>
      </c>
      <c r="V3673" s="31">
        <f>IF(H3673="CHK",VLOOKUP(I3673,QCCHK,3,),IF(H3673="GUP",VLOOKUP(E3673,QCGUP,2,),IF(AND(H3673="ATP",OR(I3673="TN",I3673="TDN",I3673="TNO2-3",I3673="NO2-3")),VLOOKUP(E3673,QCREC_N,2,),IF(AND(H3673="NIC",OR(I3673="TN",I3673="TDN",I3673="TNO2-3",I3673="NO2-3")),VLOOKUP(E3673,QCNIC_N,2,),IF(AND(H3673="UREA",OR(I3673="TN",I3673="TDN",I3673="TNO2-3",I3673="NO2-3")),VLOOKUP(E3673,QCUREA_N,2,),IF(H3673="PER",VLOOKUP(I3673,QCPER,MATCH(E3673,QCACTUAL!$J$25:$AA$25,0),),IF(H3673="SPK",VLOOKUP(I3673,QCSPK,3,),IF(AND(H3673="ATP",OR(I3673="TP",I3673="TDP")),VLOOKUP(E3673,QCATP_P,2,),""))))))))</f>
        <v>625</v>
      </c>
      <c r="W3673" s="31" t="str">
        <f t="shared" si="418"/>
        <v>TRUE</v>
      </c>
      <c r="X3673" s="31" t="str">
        <f t="shared" si="415"/>
        <v>([spikedunkn]-[unkn])/[spike]*100</v>
      </c>
      <c r="Y3673" s="10" t="s">
        <v>1253</v>
      </c>
      <c r="AL3673" s="10" t="str">
        <f t="shared" si="413"/>
        <v>FALSE</v>
      </c>
      <c r="AM3673" s="10" t="str">
        <f t="shared" si="413"/>
        <v>FALSE</v>
      </c>
      <c r="AN3673" s="10" t="str">
        <f t="shared" si="413"/>
        <v>FALSE</v>
      </c>
      <c r="AO3673" s="10" t="str">
        <f t="shared" si="414"/>
        <v>FALSE</v>
      </c>
      <c r="AP3673" s="10" t="str">
        <f t="shared" si="414"/>
        <v>FALSE</v>
      </c>
      <c r="AQ3673" s="10" t="b">
        <f>IF(AND(I3673="TP",S3673&lt;=150),VLOOKUP(AF3673,TPCalibEq150!$AZ$2:$BB$55,3,),IF(AND(I3673="TDP",S3673&lt;=150),VLOOKUP(AF3673,TPCalibEq150!$AZ$2:$BB$55,3,)))</f>
        <v>0</v>
      </c>
      <c r="AR3673" s="10" t="b">
        <f>IF(AND(I3673="TP",S3673&lt;=300),VLOOKUP(AF3673,TPCalibEq300!$AZ$2:$BB$55,3,),IF(AND(I3673="TDP",S3673&lt;=300),VLOOKUP(AF3673,TPCalibEq300!$AZ$2:$BB$55,3,)))</f>
        <v>0</v>
      </c>
      <c r="AS3673" s="10" t="b">
        <f>IF(AND(I3673="TP",S3673&lt;=500),VLOOKUP(AF3673,TPCalibEq500!$AZ$2:$BB$56,3,),IF(AND(I3673="TDP",S3673&lt;=500),VLOOKUP(AF3673,TPCalibEq500!$AZ$2:$BB$56,3,)))</f>
        <v>0</v>
      </c>
      <c r="AT3673" s="10" t="b">
        <f>IF(AND(I3673="TN",S3673&lt;=2800),VLOOKUP(AF3673,TNCalibEq2500!$AZ$2:$BB$56,3,),IF(AND(I3673="TDN",S3673&lt;=2800),VLOOKUP(AF3673,TNCalibEq2500!$AZ$2:$BB$56,3,)))</f>
        <v>0</v>
      </c>
      <c r="AU3673" s="10" t="b">
        <f>IF(I3673="TP",VLOOKUP(AF3673,TPCalibEqFull!$AZ$2:$BB$56,3),IF(I3673="TDP",VLOOKUP(AF3673,TPCalibEqFull!$AZ$2:$BB$56,3),IF(I3673="TDN",VLOOKUP(AF3673,TNCalibEqFull!$AZ$1:$BB$56,3),IF(I3673="TN",VLOOKUP(AF3673,TNCalibEqFull!$AZ$1:$BB$56,3),FALSE))))</f>
        <v>0</v>
      </c>
      <c r="AV3673" s="10" t="str">
        <f t="shared" si="419"/>
        <v>0221 10:13:00-EFL-45-C-1-SW-SPK</v>
      </c>
    </row>
    <row r="3674" spans="1:48" s="10" customFormat="1" x14ac:dyDescent="0.55000000000000004">
      <c r="A3674" s="32">
        <v>44979</v>
      </c>
      <c r="B3674" s="33">
        <v>0.375</v>
      </c>
      <c r="C3674" s="10" t="s">
        <v>70</v>
      </c>
      <c r="D3674" s="10" t="s">
        <v>71</v>
      </c>
      <c r="E3674" s="10" t="s">
        <v>901</v>
      </c>
      <c r="F3674" s="10">
        <v>1</v>
      </c>
      <c r="G3674" s="10" t="s">
        <v>73</v>
      </c>
      <c r="H3674" s="10" t="s">
        <v>207</v>
      </c>
      <c r="I3674" s="10" t="s">
        <v>256</v>
      </c>
      <c r="J3674" s="10">
        <v>200</v>
      </c>
      <c r="K3674" s="12">
        <v>44980</v>
      </c>
      <c r="L3674" s="33">
        <v>0.52076388888888892</v>
      </c>
      <c r="M3674" s="10">
        <v>1</v>
      </c>
      <c r="N3674" s="10" t="s">
        <v>169</v>
      </c>
      <c r="O3674" s="10">
        <v>2.23</v>
      </c>
      <c r="P3674" s="10">
        <v>0.105</v>
      </c>
      <c r="Q3674" s="10">
        <v>291</v>
      </c>
      <c r="R3674" s="10" t="s">
        <v>77</v>
      </c>
      <c r="S3674" s="34">
        <f t="shared" si="416"/>
        <v>291</v>
      </c>
      <c r="T3674" s="10" t="s">
        <v>1274</v>
      </c>
      <c r="U3674" s="34">
        <f t="shared" si="417"/>
        <v>97</v>
      </c>
      <c r="V3674" s="31">
        <f>IF(H3674="CHK",VLOOKUP(I3674,QCCHK,3,),IF(H3674="GUP",VLOOKUP(E3674,QCGUP,2,),IF(AND(H3674="ATP",OR(I3674="TN",I3674="TDN",I3674="TNO2-3",I3674="NO2-3")),VLOOKUP(E3674,QCREC_N,2,),IF(AND(H3674="NIC",OR(I3674="TN",I3674="TDN",I3674="TNO2-3",I3674="NO2-3")),VLOOKUP(E3674,QCNIC_N,2,),IF(AND(H3674="UREA",OR(I3674="TN",I3674="TDN",I3674="TNO2-3",I3674="NO2-3")),VLOOKUP(E3674,QCUREA_N,2,),IF(H3674="PER",VLOOKUP(I3674,QCPER,MATCH(E3674,QCACTUAL!$J$25:$AA$25,0),),IF(H3674="SPK",VLOOKUP(I3674,QCSPK,3,),IF(AND(H3674="ATP",OR(I3674="TP",I3674="TDP")),VLOOKUP(E3674,QCATP_P,2,),""))))))))</f>
        <v>300</v>
      </c>
      <c r="W3674" s="31" t="str">
        <f t="shared" si="418"/>
        <v>TRUE</v>
      </c>
      <c r="X3674" s="31" t="str">
        <f t="shared" si="415"/>
        <v>[chk]/[actual]*100</v>
      </c>
      <c r="Y3674" s="10" t="s">
        <v>1253</v>
      </c>
      <c r="AL3674" s="10" t="str">
        <f t="shared" si="413"/>
        <v>FALSE</v>
      </c>
      <c r="AM3674" s="10" t="str">
        <f t="shared" si="413"/>
        <v>FALSE</v>
      </c>
      <c r="AN3674" s="10" t="str">
        <f t="shared" si="413"/>
        <v>FALSE</v>
      </c>
      <c r="AO3674" s="10" t="str">
        <f t="shared" si="414"/>
        <v>FALSE</v>
      </c>
      <c r="AP3674" s="10" t="str">
        <f t="shared" si="414"/>
        <v>FALSE</v>
      </c>
      <c r="AQ3674" s="10" t="b">
        <f>IF(AND(I3674="TP",S3674&lt;=150),VLOOKUP(AF3674,TPCalibEq150!$AZ$2:$BB$55,3,),IF(AND(I3674="TDP",S3674&lt;=150),VLOOKUP(AF3674,TPCalibEq150!$AZ$2:$BB$55,3,)))</f>
        <v>0</v>
      </c>
      <c r="AR3674" s="10" t="b">
        <f>IF(AND(I3674="TP",S3674&lt;=300),VLOOKUP(AF3674,TPCalibEq300!$AZ$2:$BB$55,3,),IF(AND(I3674="TDP",S3674&lt;=300),VLOOKUP(AF3674,TPCalibEq300!$AZ$2:$BB$55,3,)))</f>
        <v>0</v>
      </c>
      <c r="AS3674" s="10" t="b">
        <f>IF(AND(I3674="TP",S3674&lt;=500),VLOOKUP(AF3674,TPCalibEq500!$AZ$2:$BB$56,3,),IF(AND(I3674="TDP",S3674&lt;=500),VLOOKUP(AF3674,TPCalibEq500!$AZ$2:$BB$56,3,)))</f>
        <v>0</v>
      </c>
      <c r="AT3674" s="10" t="b">
        <f>IF(AND(I3674="TN",S3674&lt;=2800),VLOOKUP(AF3674,TNCalibEq2500!$AZ$2:$BB$56,3,),IF(AND(I3674="TDN",S3674&lt;=2800),VLOOKUP(AF3674,TNCalibEq2500!$AZ$2:$BB$56,3,)))</f>
        <v>0</v>
      </c>
      <c r="AU3674" s="10" t="b">
        <f>IF(I3674="TP",VLOOKUP(AF3674,TPCalibEqFull!$AZ$2:$BB$56,3),IF(I3674="TDP",VLOOKUP(AF3674,TPCalibEqFull!$AZ$2:$BB$56,3),IF(I3674="TDN",VLOOKUP(AF3674,TNCalibEqFull!$AZ$1:$BB$56,3),IF(I3674="TN",VLOOKUP(AF3674,TNCalibEqFull!$AZ$1:$BB$56,3),FALSE))))</f>
        <v>0</v>
      </c>
      <c r="AV3674" s="10" t="str">
        <f t="shared" si="419"/>
        <v>0222 09:00:00-QAC-STD-D-1-DI-CHK</v>
      </c>
    </row>
    <row r="3675" spans="1:48" s="10" customFormat="1" x14ac:dyDescent="0.55000000000000004">
      <c r="A3675" s="32">
        <v>44978</v>
      </c>
      <c r="B3675" s="33">
        <v>0.38958333333333334</v>
      </c>
      <c r="C3675" s="10" t="s">
        <v>428</v>
      </c>
      <c r="D3675" s="10">
        <v>0</v>
      </c>
      <c r="E3675" s="10">
        <v>480</v>
      </c>
      <c r="F3675" s="10">
        <v>1</v>
      </c>
      <c r="G3675" s="10" t="s">
        <v>231</v>
      </c>
      <c r="H3675" s="10" t="s">
        <v>322</v>
      </c>
      <c r="I3675" s="10" t="s">
        <v>256</v>
      </c>
      <c r="J3675" s="10">
        <v>31</v>
      </c>
      <c r="K3675" s="12">
        <v>44980</v>
      </c>
      <c r="L3675" s="33">
        <v>0.52158564814814812</v>
      </c>
      <c r="M3675" s="10">
        <v>1</v>
      </c>
      <c r="N3675" s="10" t="s">
        <v>169</v>
      </c>
      <c r="O3675" s="10">
        <v>5.43</v>
      </c>
      <c r="P3675" s="10">
        <v>0.249</v>
      </c>
      <c r="Q3675" s="10">
        <v>708</v>
      </c>
      <c r="R3675" s="10" t="s">
        <v>77</v>
      </c>
      <c r="S3675" s="34">
        <f t="shared" si="416"/>
        <v>708</v>
      </c>
      <c r="T3675" s="10" t="s">
        <v>1274</v>
      </c>
      <c r="U3675" s="34" t="str">
        <f t="shared" si="417"/>
        <v/>
      </c>
      <c r="V3675" s="31" t="str">
        <f>IF(H3675="CHK",VLOOKUP(I3675,QCCHK,3,),IF(H3675="GUP",VLOOKUP(E3675,QCGUP,2,),IF(AND(H3675="ATP",OR(I3675="TN",I3675="TDN",I3675="TNO2-3",I3675="NO2-3")),VLOOKUP(E3675,QCREC_N,2,),IF(AND(H3675="NIC",OR(I3675="TN",I3675="TDN",I3675="TNO2-3",I3675="NO2-3")),VLOOKUP(E3675,QCNIC_N,2,),IF(AND(H3675="UREA",OR(I3675="TN",I3675="TDN",I3675="TNO2-3",I3675="NO2-3")),VLOOKUP(E3675,QCUREA_N,2,),IF(H3675="PER",VLOOKUP(I3675,QCPER,MATCH(E3675,QCACTUAL!$J$25:$AA$25,0),),IF(H3675="SPK",VLOOKUP(I3675,QCSPK,3,),IF(AND(H3675="ATP",OR(I3675="TP",I3675="TDP")),VLOOKUP(E3675,QCATP_P,2,),""))))))))</f>
        <v/>
      </c>
      <c r="W3675" s="31" t="str">
        <f t="shared" si="418"/>
        <v>TRUE</v>
      </c>
      <c r="X3675" s="31" t="str">
        <f t="shared" si="415"/>
        <v/>
      </c>
      <c r="Y3675" s="10" t="s">
        <v>1253</v>
      </c>
      <c r="AL3675" s="10" t="str">
        <f t="shared" si="413"/>
        <v>FALSE</v>
      </c>
      <c r="AM3675" s="10" t="str">
        <f t="shared" si="413"/>
        <v>FALSE</v>
      </c>
      <c r="AN3675" s="10" t="str">
        <f t="shared" si="413"/>
        <v>FALSE</v>
      </c>
      <c r="AO3675" s="10" t="str">
        <f t="shared" si="414"/>
        <v>FALSE</v>
      </c>
      <c r="AP3675" s="10" t="str">
        <f t="shared" si="414"/>
        <v>FALSE</v>
      </c>
      <c r="AQ3675" s="10" t="b">
        <f>IF(AND(I3675="TP",S3675&lt;=150),VLOOKUP(AF3675,TPCalibEq150!$AZ$2:$BB$55,3,),IF(AND(I3675="TDP",S3675&lt;=150),VLOOKUP(AF3675,TPCalibEq150!$AZ$2:$BB$55,3,)))</f>
        <v>0</v>
      </c>
      <c r="AR3675" s="10" t="b">
        <f>IF(AND(I3675="TP",S3675&lt;=300),VLOOKUP(AF3675,TPCalibEq300!$AZ$2:$BB$55,3,),IF(AND(I3675="TDP",S3675&lt;=300),VLOOKUP(AF3675,TPCalibEq300!$AZ$2:$BB$55,3,)))</f>
        <v>0</v>
      </c>
      <c r="AS3675" s="10" t="b">
        <f>IF(AND(I3675="TP",S3675&lt;=500),VLOOKUP(AF3675,TPCalibEq500!$AZ$2:$BB$56,3,),IF(AND(I3675="TDP",S3675&lt;=500),VLOOKUP(AF3675,TPCalibEq500!$AZ$2:$BB$56,3,)))</f>
        <v>0</v>
      </c>
      <c r="AT3675" s="10" t="b">
        <f>IF(AND(I3675="TN",S3675&lt;=2800),VLOOKUP(AF3675,TNCalibEq2500!$AZ$2:$BB$56,3,),IF(AND(I3675="TDN",S3675&lt;=2800),VLOOKUP(AF3675,TNCalibEq2500!$AZ$2:$BB$56,3,)))</f>
        <v>0</v>
      </c>
      <c r="AU3675" s="10" t="b">
        <f>IF(I3675="TP",VLOOKUP(AF3675,TPCalibEqFull!$AZ$2:$BB$56,3),IF(I3675="TDP",VLOOKUP(AF3675,TPCalibEqFull!$AZ$2:$BB$56,3),IF(I3675="TDN",VLOOKUP(AF3675,TNCalibEqFull!$AZ$1:$BB$56,3),IF(I3675="TN",VLOOKUP(AF3675,TNCalibEqFull!$AZ$1:$BB$56,3),FALSE))))</f>
        <v>0</v>
      </c>
      <c r="AV3675" s="10" t="str">
        <f t="shared" si="419"/>
        <v>0221 09:21:00-EOF-0-480-1-SW-UKN</v>
      </c>
    </row>
    <row r="3676" spans="1:48" s="10" customFormat="1" x14ac:dyDescent="0.55000000000000004">
      <c r="A3676" s="32">
        <v>44978</v>
      </c>
      <c r="B3676" s="33">
        <v>0.39166666666666666</v>
      </c>
      <c r="C3676" s="10" t="s">
        <v>428</v>
      </c>
      <c r="D3676" s="10">
        <v>5</v>
      </c>
      <c r="E3676" s="10">
        <v>480</v>
      </c>
      <c r="F3676" s="10">
        <v>1</v>
      </c>
      <c r="G3676" s="10" t="s">
        <v>231</v>
      </c>
      <c r="H3676" s="10" t="s">
        <v>322</v>
      </c>
      <c r="I3676" s="10" t="s">
        <v>256</v>
      </c>
      <c r="J3676" s="10">
        <v>32</v>
      </c>
      <c r="K3676" s="12">
        <v>44980</v>
      </c>
      <c r="L3676" s="33">
        <v>0.52240740740740743</v>
      </c>
      <c r="M3676" s="10">
        <v>1</v>
      </c>
      <c r="N3676" s="10" t="s">
        <v>169</v>
      </c>
      <c r="O3676" s="10">
        <v>5.4</v>
      </c>
      <c r="P3676" s="10">
        <v>0.247</v>
      </c>
      <c r="Q3676" s="10">
        <v>704</v>
      </c>
      <c r="R3676" s="10" t="s">
        <v>77</v>
      </c>
      <c r="S3676" s="34">
        <f t="shared" si="416"/>
        <v>704</v>
      </c>
      <c r="T3676" s="10" t="s">
        <v>1274</v>
      </c>
      <c r="U3676" s="34" t="str">
        <f t="shared" si="417"/>
        <v/>
      </c>
      <c r="V3676" s="31" t="str">
        <f>IF(H3676="CHK",VLOOKUP(I3676,QCCHK,3,),IF(H3676="GUP",VLOOKUP(E3676,QCGUP,2,),IF(AND(H3676="ATP",OR(I3676="TN",I3676="TDN",I3676="TNO2-3",I3676="NO2-3")),VLOOKUP(E3676,QCREC_N,2,),IF(AND(H3676="NIC",OR(I3676="TN",I3676="TDN",I3676="TNO2-3",I3676="NO2-3")),VLOOKUP(E3676,QCNIC_N,2,),IF(AND(H3676="UREA",OR(I3676="TN",I3676="TDN",I3676="TNO2-3",I3676="NO2-3")),VLOOKUP(E3676,QCUREA_N,2,),IF(H3676="PER",VLOOKUP(I3676,QCPER,MATCH(E3676,QCACTUAL!$J$25:$AA$25,0),),IF(H3676="SPK",VLOOKUP(I3676,QCSPK,3,),IF(AND(H3676="ATP",OR(I3676="TP",I3676="TDP")),VLOOKUP(E3676,QCATP_P,2,),""))))))))</f>
        <v/>
      </c>
      <c r="W3676" s="31" t="str">
        <f t="shared" si="418"/>
        <v>TRUE</v>
      </c>
      <c r="X3676" s="31" t="str">
        <f t="shared" si="415"/>
        <v/>
      </c>
      <c r="Y3676" s="10" t="s">
        <v>1253</v>
      </c>
      <c r="AL3676" s="10" t="str">
        <f t="shared" si="413"/>
        <v>FALSE</v>
      </c>
      <c r="AM3676" s="10" t="str">
        <f t="shared" si="413"/>
        <v>FALSE</v>
      </c>
      <c r="AN3676" s="10" t="str">
        <f t="shared" si="413"/>
        <v>FALSE</v>
      </c>
      <c r="AO3676" s="10" t="str">
        <f t="shared" si="414"/>
        <v>FALSE</v>
      </c>
      <c r="AP3676" s="10" t="str">
        <f t="shared" si="414"/>
        <v>FALSE</v>
      </c>
      <c r="AQ3676" s="10" t="b">
        <f>IF(AND(I3676="TP",S3676&lt;=150),VLOOKUP(AF3676,TPCalibEq150!$AZ$2:$BB$55,3,),IF(AND(I3676="TDP",S3676&lt;=150),VLOOKUP(AF3676,TPCalibEq150!$AZ$2:$BB$55,3,)))</f>
        <v>0</v>
      </c>
      <c r="AR3676" s="10" t="b">
        <f>IF(AND(I3676="TP",S3676&lt;=300),VLOOKUP(AF3676,TPCalibEq300!$AZ$2:$BB$55,3,),IF(AND(I3676="TDP",S3676&lt;=300),VLOOKUP(AF3676,TPCalibEq300!$AZ$2:$BB$55,3,)))</f>
        <v>0</v>
      </c>
      <c r="AS3676" s="10" t="b">
        <f>IF(AND(I3676="TP",S3676&lt;=500),VLOOKUP(AF3676,TPCalibEq500!$AZ$2:$BB$56,3,),IF(AND(I3676="TDP",S3676&lt;=500),VLOOKUP(AF3676,TPCalibEq500!$AZ$2:$BB$56,3,)))</f>
        <v>0</v>
      </c>
      <c r="AT3676" s="10" t="b">
        <f>IF(AND(I3676="TN",S3676&lt;=2800),VLOOKUP(AF3676,TNCalibEq2500!$AZ$2:$BB$56,3,),IF(AND(I3676="TDN",S3676&lt;=2800),VLOOKUP(AF3676,TNCalibEq2500!$AZ$2:$BB$56,3,)))</f>
        <v>0</v>
      </c>
      <c r="AU3676" s="10" t="b">
        <f>IF(I3676="TP",VLOOKUP(AF3676,TPCalibEqFull!$AZ$2:$BB$56,3),IF(I3676="TDP",VLOOKUP(AF3676,TPCalibEqFull!$AZ$2:$BB$56,3),IF(I3676="TDN",VLOOKUP(AF3676,TNCalibEqFull!$AZ$1:$BB$56,3),IF(I3676="TN",VLOOKUP(AF3676,TNCalibEqFull!$AZ$1:$BB$56,3),FALSE))))</f>
        <v>0</v>
      </c>
      <c r="AV3676" s="10" t="str">
        <f t="shared" si="419"/>
        <v>0221 09:24:00-EOF-5-480-1-SW-UKN</v>
      </c>
    </row>
    <row r="3677" spans="1:48" s="10" customFormat="1" x14ac:dyDescent="0.55000000000000004">
      <c r="A3677" s="32">
        <v>44978</v>
      </c>
      <c r="B3677" s="33">
        <v>0.39444444444444443</v>
      </c>
      <c r="C3677" s="10" t="s">
        <v>428</v>
      </c>
      <c r="D3677" s="10">
        <v>10</v>
      </c>
      <c r="E3677" s="10">
        <v>490</v>
      </c>
      <c r="F3677" s="10">
        <v>1</v>
      </c>
      <c r="G3677" s="10" t="s">
        <v>231</v>
      </c>
      <c r="H3677" s="10" t="s">
        <v>322</v>
      </c>
      <c r="I3677" s="10" t="s">
        <v>256</v>
      </c>
      <c r="J3677" s="10">
        <v>33</v>
      </c>
      <c r="K3677" s="12">
        <v>44980</v>
      </c>
      <c r="L3677" s="33">
        <v>0.52324074074074078</v>
      </c>
      <c r="M3677" s="10">
        <v>1</v>
      </c>
      <c r="N3677" s="10" t="s">
        <v>169</v>
      </c>
      <c r="O3677" s="10">
        <v>5.46</v>
      </c>
      <c r="P3677" s="10">
        <v>0.25</v>
      </c>
      <c r="Q3677" s="10">
        <v>711</v>
      </c>
      <c r="R3677" s="10" t="s">
        <v>77</v>
      </c>
      <c r="S3677" s="34">
        <f t="shared" si="416"/>
        <v>711</v>
      </c>
      <c r="T3677" s="10" t="s">
        <v>1274</v>
      </c>
      <c r="U3677" s="34" t="str">
        <f t="shared" si="417"/>
        <v/>
      </c>
      <c r="V3677" s="31" t="str">
        <f>IF(H3677="CHK",VLOOKUP(I3677,QCCHK,3,),IF(H3677="GUP",VLOOKUP(E3677,QCGUP,2,),IF(AND(H3677="ATP",OR(I3677="TN",I3677="TDN",I3677="TNO2-3",I3677="NO2-3")),VLOOKUP(E3677,QCREC_N,2,),IF(AND(H3677="NIC",OR(I3677="TN",I3677="TDN",I3677="TNO2-3",I3677="NO2-3")),VLOOKUP(E3677,QCNIC_N,2,),IF(AND(H3677="UREA",OR(I3677="TN",I3677="TDN",I3677="TNO2-3",I3677="NO2-3")),VLOOKUP(E3677,QCUREA_N,2,),IF(H3677="PER",VLOOKUP(I3677,QCPER,MATCH(E3677,QCACTUAL!$J$25:$AA$25,0),),IF(H3677="SPK",VLOOKUP(I3677,QCSPK,3,),IF(AND(H3677="ATP",OR(I3677="TP",I3677="TDP")),VLOOKUP(E3677,QCATP_P,2,),""))))))))</f>
        <v/>
      </c>
      <c r="W3677" s="31" t="str">
        <f t="shared" si="418"/>
        <v>TRUE</v>
      </c>
      <c r="X3677" s="31" t="str">
        <f t="shared" si="415"/>
        <v/>
      </c>
      <c r="Y3677" s="10" t="s">
        <v>1253</v>
      </c>
      <c r="AL3677" s="10" t="str">
        <f t="shared" si="413"/>
        <v>FALSE</v>
      </c>
      <c r="AM3677" s="10" t="str">
        <f t="shared" si="413"/>
        <v>FALSE</v>
      </c>
      <c r="AN3677" s="10" t="str">
        <f t="shared" si="413"/>
        <v>FALSE</v>
      </c>
      <c r="AO3677" s="10" t="str">
        <f t="shared" si="414"/>
        <v>FALSE</v>
      </c>
      <c r="AP3677" s="10" t="str">
        <f t="shared" si="414"/>
        <v>FALSE</v>
      </c>
      <c r="AQ3677" s="10" t="b">
        <f>IF(AND(I3677="TP",S3677&lt;=150),VLOOKUP(AF3677,TPCalibEq150!$AZ$2:$BB$55,3,),IF(AND(I3677="TDP",S3677&lt;=150),VLOOKUP(AF3677,TPCalibEq150!$AZ$2:$BB$55,3,)))</f>
        <v>0</v>
      </c>
      <c r="AR3677" s="10" t="b">
        <f>IF(AND(I3677="TP",S3677&lt;=300),VLOOKUP(AF3677,TPCalibEq300!$AZ$2:$BB$55,3,),IF(AND(I3677="TDP",S3677&lt;=300),VLOOKUP(AF3677,TPCalibEq300!$AZ$2:$BB$55,3,)))</f>
        <v>0</v>
      </c>
      <c r="AS3677" s="10" t="b">
        <f>IF(AND(I3677="TP",S3677&lt;=500),VLOOKUP(AF3677,TPCalibEq500!$AZ$2:$BB$56,3,),IF(AND(I3677="TDP",S3677&lt;=500),VLOOKUP(AF3677,TPCalibEq500!$AZ$2:$BB$56,3,)))</f>
        <v>0</v>
      </c>
      <c r="AT3677" s="10" t="b">
        <f>IF(AND(I3677="TN",S3677&lt;=2800),VLOOKUP(AF3677,TNCalibEq2500!$AZ$2:$BB$56,3,),IF(AND(I3677="TDN",S3677&lt;=2800),VLOOKUP(AF3677,TNCalibEq2500!$AZ$2:$BB$56,3,)))</f>
        <v>0</v>
      </c>
      <c r="AU3677" s="10" t="b">
        <f>IF(I3677="TP",VLOOKUP(AF3677,TPCalibEqFull!$AZ$2:$BB$56,3),IF(I3677="TDP",VLOOKUP(AF3677,TPCalibEqFull!$AZ$2:$BB$56,3),IF(I3677="TDN",VLOOKUP(AF3677,TNCalibEqFull!$AZ$1:$BB$56,3),IF(I3677="TN",VLOOKUP(AF3677,TNCalibEqFull!$AZ$1:$BB$56,3),FALSE))))</f>
        <v>0</v>
      </c>
      <c r="AV3677" s="10" t="str">
        <f t="shared" si="419"/>
        <v>0221 09:28:00-EOF-10-490-1-SW-UKN</v>
      </c>
    </row>
    <row r="3678" spans="1:48" s="10" customFormat="1" x14ac:dyDescent="0.55000000000000004">
      <c r="A3678" s="32">
        <v>44978</v>
      </c>
      <c r="B3678" s="33">
        <v>0.39652777777777781</v>
      </c>
      <c r="C3678" s="10" t="s">
        <v>428</v>
      </c>
      <c r="D3678" s="10">
        <v>20</v>
      </c>
      <c r="E3678" s="10" t="s">
        <v>190</v>
      </c>
      <c r="F3678" s="10">
        <v>1</v>
      </c>
      <c r="G3678" s="10" t="s">
        <v>231</v>
      </c>
      <c r="H3678" s="10" t="s">
        <v>322</v>
      </c>
      <c r="I3678" s="10" t="s">
        <v>256</v>
      </c>
      <c r="J3678" s="10">
        <v>34</v>
      </c>
      <c r="K3678" s="12">
        <v>44980</v>
      </c>
      <c r="L3678" s="33">
        <v>0.52405092592592595</v>
      </c>
      <c r="M3678" s="10">
        <v>1</v>
      </c>
      <c r="N3678" s="10" t="s">
        <v>169</v>
      </c>
      <c r="O3678" s="10">
        <v>5.43</v>
      </c>
      <c r="P3678" s="10">
        <v>0.25</v>
      </c>
      <c r="Q3678" s="10">
        <v>707</v>
      </c>
      <c r="R3678" s="10" t="s">
        <v>77</v>
      </c>
      <c r="S3678" s="34">
        <f t="shared" si="416"/>
        <v>707</v>
      </c>
      <c r="T3678" s="10" t="s">
        <v>1274</v>
      </c>
      <c r="U3678" s="34" t="str">
        <f t="shared" si="417"/>
        <v/>
      </c>
      <c r="V3678" s="31" t="str">
        <f>IF(H3678="CHK",VLOOKUP(I3678,QCCHK,3,),IF(H3678="GUP",VLOOKUP(E3678,QCGUP,2,),IF(AND(H3678="ATP",OR(I3678="TN",I3678="TDN",I3678="TNO2-3",I3678="NO2-3")),VLOOKUP(E3678,QCREC_N,2,),IF(AND(H3678="NIC",OR(I3678="TN",I3678="TDN",I3678="TNO2-3",I3678="NO2-3")),VLOOKUP(E3678,QCNIC_N,2,),IF(AND(H3678="UREA",OR(I3678="TN",I3678="TDN",I3678="TNO2-3",I3678="NO2-3")),VLOOKUP(E3678,QCUREA_N,2,),IF(H3678="PER",VLOOKUP(I3678,QCPER,MATCH(E3678,QCACTUAL!$J$25:$AA$25,0),),IF(H3678="SPK",VLOOKUP(I3678,QCSPK,3,),IF(AND(H3678="ATP",OR(I3678="TP",I3678="TDP")),VLOOKUP(E3678,QCATP_P,2,),""))))))))</f>
        <v/>
      </c>
      <c r="W3678" s="31" t="str">
        <f t="shared" si="418"/>
        <v>TRUE</v>
      </c>
      <c r="X3678" s="31" t="str">
        <f t="shared" si="415"/>
        <v/>
      </c>
      <c r="Y3678" s="10" t="s">
        <v>1253</v>
      </c>
      <c r="AL3678" s="10" t="str">
        <f t="shared" si="413"/>
        <v>FALSE</v>
      </c>
      <c r="AM3678" s="10" t="str">
        <f t="shared" si="413"/>
        <v>FALSE</v>
      </c>
      <c r="AN3678" s="10" t="str">
        <f t="shared" si="413"/>
        <v>FALSE</v>
      </c>
      <c r="AO3678" s="10" t="str">
        <f t="shared" si="414"/>
        <v>FALSE</v>
      </c>
      <c r="AP3678" s="10" t="str">
        <f t="shared" si="414"/>
        <v>FALSE</v>
      </c>
      <c r="AQ3678" s="10" t="b">
        <f>IF(AND(I3678="TP",S3678&lt;=150),VLOOKUP(AF3678,TPCalibEq150!$AZ$2:$BB$55,3,),IF(AND(I3678="TDP",S3678&lt;=150),VLOOKUP(AF3678,TPCalibEq150!$AZ$2:$BB$55,3,)))</f>
        <v>0</v>
      </c>
      <c r="AR3678" s="10" t="b">
        <f>IF(AND(I3678="TP",S3678&lt;=300),VLOOKUP(AF3678,TPCalibEq300!$AZ$2:$BB$55,3,),IF(AND(I3678="TDP",S3678&lt;=300),VLOOKUP(AF3678,TPCalibEq300!$AZ$2:$BB$55,3,)))</f>
        <v>0</v>
      </c>
      <c r="AS3678" s="10" t="b">
        <f>IF(AND(I3678="TP",S3678&lt;=500),VLOOKUP(AF3678,TPCalibEq500!$AZ$2:$BB$56,3,),IF(AND(I3678="TDP",S3678&lt;=500),VLOOKUP(AF3678,TPCalibEq500!$AZ$2:$BB$56,3,)))</f>
        <v>0</v>
      </c>
      <c r="AT3678" s="10" t="b">
        <f>IF(AND(I3678="TN",S3678&lt;=2800),VLOOKUP(AF3678,TNCalibEq2500!$AZ$2:$BB$56,3,),IF(AND(I3678="TDN",S3678&lt;=2800),VLOOKUP(AF3678,TNCalibEq2500!$AZ$2:$BB$56,3,)))</f>
        <v>0</v>
      </c>
      <c r="AU3678" s="10" t="b">
        <f>IF(I3678="TP",VLOOKUP(AF3678,TPCalibEqFull!$AZ$2:$BB$56,3),IF(I3678="TDP",VLOOKUP(AF3678,TPCalibEqFull!$AZ$2:$BB$56,3),IF(I3678="TDN",VLOOKUP(AF3678,TNCalibEqFull!$AZ$1:$BB$56,3),IF(I3678="TN",VLOOKUP(AF3678,TNCalibEqFull!$AZ$1:$BB$56,3),FALSE))))</f>
        <v>0</v>
      </c>
      <c r="AV3678" s="10" t="str">
        <f t="shared" si="419"/>
        <v>0221 09:31:00-EOF-20-C-1-SW-UKN</v>
      </c>
    </row>
    <row r="3679" spans="1:48" s="10" customFormat="1" x14ac:dyDescent="0.55000000000000004">
      <c r="A3679" s="32">
        <v>44978</v>
      </c>
      <c r="B3679" s="33">
        <v>0.40347222222222223</v>
      </c>
      <c r="C3679" s="10" t="s">
        <v>428</v>
      </c>
      <c r="D3679" s="10">
        <v>97</v>
      </c>
      <c r="E3679" s="10" t="s">
        <v>190</v>
      </c>
      <c r="F3679" s="10">
        <v>1</v>
      </c>
      <c r="G3679" s="10" t="s">
        <v>231</v>
      </c>
      <c r="H3679" s="10" t="s">
        <v>322</v>
      </c>
      <c r="I3679" s="10" t="s">
        <v>256</v>
      </c>
      <c r="J3679" s="10">
        <v>35</v>
      </c>
      <c r="K3679" s="12">
        <v>44980</v>
      </c>
      <c r="L3679" s="33">
        <v>0.52487268518518515</v>
      </c>
      <c r="M3679" s="10">
        <v>1</v>
      </c>
      <c r="N3679" s="10" t="s">
        <v>169</v>
      </c>
      <c r="O3679" s="10">
        <v>5.42</v>
      </c>
      <c r="P3679" s="10">
        <v>0.249</v>
      </c>
      <c r="Q3679" s="10">
        <v>707</v>
      </c>
      <c r="R3679" s="10" t="s">
        <v>77</v>
      </c>
      <c r="S3679" s="34">
        <f t="shared" si="416"/>
        <v>707</v>
      </c>
      <c r="T3679" s="10" t="s">
        <v>1274</v>
      </c>
      <c r="U3679" s="34" t="str">
        <f t="shared" si="417"/>
        <v/>
      </c>
      <c r="V3679" s="31" t="str">
        <f>IF(H3679="CHK",VLOOKUP(I3679,QCCHK,3,),IF(H3679="GUP",VLOOKUP(E3679,QCGUP,2,),IF(AND(H3679="ATP",OR(I3679="TN",I3679="TDN",I3679="TNO2-3",I3679="NO2-3")),VLOOKUP(E3679,QCREC_N,2,),IF(AND(H3679="NIC",OR(I3679="TN",I3679="TDN",I3679="TNO2-3",I3679="NO2-3")),VLOOKUP(E3679,QCNIC_N,2,),IF(AND(H3679="UREA",OR(I3679="TN",I3679="TDN",I3679="TNO2-3",I3679="NO2-3")),VLOOKUP(E3679,QCUREA_N,2,),IF(H3679="PER",VLOOKUP(I3679,QCPER,MATCH(E3679,QCACTUAL!$J$25:$AA$25,0),),IF(H3679="SPK",VLOOKUP(I3679,QCSPK,3,),IF(AND(H3679="ATP",OR(I3679="TP",I3679="TDP")),VLOOKUP(E3679,QCATP_P,2,),""))))))))</f>
        <v/>
      </c>
      <c r="W3679" s="31" t="str">
        <f t="shared" si="418"/>
        <v>TRUE</v>
      </c>
      <c r="X3679" s="31" t="str">
        <f t="shared" si="415"/>
        <v/>
      </c>
      <c r="Y3679" s="10" t="s">
        <v>1253</v>
      </c>
      <c r="AL3679" s="10" t="str">
        <f t="shared" si="413"/>
        <v>FALSE</v>
      </c>
      <c r="AM3679" s="10" t="str">
        <f t="shared" si="413"/>
        <v>FALSE</v>
      </c>
      <c r="AN3679" s="10" t="str">
        <f t="shared" si="413"/>
        <v>FALSE</v>
      </c>
      <c r="AO3679" s="10" t="str">
        <f t="shared" si="414"/>
        <v>FALSE</v>
      </c>
      <c r="AP3679" s="10" t="str">
        <f t="shared" si="414"/>
        <v>FALSE</v>
      </c>
      <c r="AQ3679" s="10" t="b">
        <f>IF(AND(I3679="TP",S3679&lt;=150),VLOOKUP(AF3679,TPCalibEq150!$AZ$2:$BB$55,3,),IF(AND(I3679="TDP",S3679&lt;=150),VLOOKUP(AF3679,TPCalibEq150!$AZ$2:$BB$55,3,)))</f>
        <v>0</v>
      </c>
      <c r="AR3679" s="10" t="b">
        <f>IF(AND(I3679="TP",S3679&lt;=300),VLOOKUP(AF3679,TPCalibEq300!$AZ$2:$BB$55,3,),IF(AND(I3679="TDP",S3679&lt;=300),VLOOKUP(AF3679,TPCalibEq300!$AZ$2:$BB$55,3,)))</f>
        <v>0</v>
      </c>
      <c r="AS3679" s="10" t="b">
        <f>IF(AND(I3679="TP",S3679&lt;=500),VLOOKUP(AF3679,TPCalibEq500!$AZ$2:$BB$56,3,),IF(AND(I3679="TDP",S3679&lt;=500),VLOOKUP(AF3679,TPCalibEq500!$AZ$2:$BB$56,3,)))</f>
        <v>0</v>
      </c>
      <c r="AT3679" s="10" t="b">
        <f>IF(AND(I3679="TN",S3679&lt;=2800),VLOOKUP(AF3679,TNCalibEq2500!$AZ$2:$BB$56,3,),IF(AND(I3679="TDN",S3679&lt;=2800),VLOOKUP(AF3679,TNCalibEq2500!$AZ$2:$BB$56,3,)))</f>
        <v>0</v>
      </c>
      <c r="AU3679" s="10" t="b">
        <f>IF(I3679="TP",VLOOKUP(AF3679,TPCalibEqFull!$AZ$2:$BB$56,3),IF(I3679="TDP",VLOOKUP(AF3679,TPCalibEqFull!$AZ$2:$BB$56,3),IF(I3679="TDN",VLOOKUP(AF3679,TNCalibEqFull!$AZ$1:$BB$56,3),IF(I3679="TN",VLOOKUP(AF3679,TNCalibEqFull!$AZ$1:$BB$56,3),FALSE))))</f>
        <v>0</v>
      </c>
      <c r="AV3679" s="10" t="str">
        <f t="shared" si="419"/>
        <v>0221 09:41:00-EOF-97-C-1-SW-UKN</v>
      </c>
    </row>
    <row r="3680" spans="1:48" s="10" customFormat="1" x14ac:dyDescent="0.55000000000000004">
      <c r="A3680" s="32">
        <v>44978</v>
      </c>
      <c r="B3680" s="33">
        <v>0.43124999999999997</v>
      </c>
      <c r="C3680" s="10" t="s">
        <v>611</v>
      </c>
      <c r="D3680" s="10">
        <v>0</v>
      </c>
      <c r="E3680" s="10">
        <v>260</v>
      </c>
      <c r="F3680" s="10">
        <v>1</v>
      </c>
      <c r="G3680" s="10" t="s">
        <v>231</v>
      </c>
      <c r="H3680" s="10" t="s">
        <v>322</v>
      </c>
      <c r="I3680" s="10" t="s">
        <v>256</v>
      </c>
      <c r="J3680" s="10">
        <v>36</v>
      </c>
      <c r="K3680" s="12">
        <v>44980</v>
      </c>
      <c r="L3680" s="33">
        <v>0.52569444444444446</v>
      </c>
      <c r="M3680" s="10">
        <v>1</v>
      </c>
      <c r="N3680" s="10" t="s">
        <v>169</v>
      </c>
      <c r="O3680" s="10">
        <v>5.07</v>
      </c>
      <c r="P3680" s="10">
        <v>0.23300000000000001</v>
      </c>
      <c r="Q3680" s="10">
        <v>661</v>
      </c>
      <c r="R3680" s="10" t="s">
        <v>77</v>
      </c>
      <c r="S3680" s="34">
        <f t="shared" si="416"/>
        <v>661</v>
      </c>
      <c r="T3680" s="10" t="s">
        <v>1274</v>
      </c>
      <c r="U3680" s="34" t="str">
        <f t="shared" si="417"/>
        <v/>
      </c>
      <c r="V3680" s="31" t="str">
        <f>IF(H3680="CHK",VLOOKUP(I3680,QCCHK,3,),IF(H3680="GUP",VLOOKUP(E3680,QCGUP,2,),IF(AND(H3680="ATP",OR(I3680="TN",I3680="TDN",I3680="TNO2-3",I3680="NO2-3")),VLOOKUP(E3680,QCREC_N,2,),IF(AND(H3680="NIC",OR(I3680="TN",I3680="TDN",I3680="TNO2-3",I3680="NO2-3")),VLOOKUP(E3680,QCNIC_N,2,),IF(AND(H3680="UREA",OR(I3680="TN",I3680="TDN",I3680="TNO2-3",I3680="NO2-3")),VLOOKUP(E3680,QCUREA_N,2,),IF(H3680="PER",VLOOKUP(I3680,QCPER,MATCH(E3680,QCACTUAL!$J$25:$AA$25,0),),IF(H3680="SPK",VLOOKUP(I3680,QCSPK,3,),IF(AND(H3680="ATP",OR(I3680="TP",I3680="TDP")),VLOOKUP(E3680,QCATP_P,2,),""))))))))</f>
        <v/>
      </c>
      <c r="W3680" s="31" t="str">
        <f t="shared" si="418"/>
        <v>TRUE</v>
      </c>
      <c r="X3680" s="31" t="str">
        <f t="shared" si="415"/>
        <v/>
      </c>
      <c r="Y3680" s="10" t="s">
        <v>1253</v>
      </c>
      <c r="AL3680" s="10" t="str">
        <f t="shared" si="413"/>
        <v>FALSE</v>
      </c>
      <c r="AM3680" s="10" t="str">
        <f t="shared" si="413"/>
        <v>FALSE</v>
      </c>
      <c r="AN3680" s="10" t="str">
        <f t="shared" si="413"/>
        <v>FALSE</v>
      </c>
      <c r="AO3680" s="10" t="str">
        <f t="shared" si="414"/>
        <v>FALSE</v>
      </c>
      <c r="AP3680" s="10" t="str">
        <f t="shared" si="414"/>
        <v>FALSE</v>
      </c>
      <c r="AQ3680" s="10" t="b">
        <f>IF(AND(I3680="TP",S3680&lt;=150),VLOOKUP(AF3680,TPCalibEq150!$AZ$2:$BB$55,3,),IF(AND(I3680="TDP",S3680&lt;=150),VLOOKUP(AF3680,TPCalibEq150!$AZ$2:$BB$55,3,)))</f>
        <v>0</v>
      </c>
      <c r="AR3680" s="10" t="b">
        <f>IF(AND(I3680="TP",S3680&lt;=300),VLOOKUP(AF3680,TPCalibEq300!$AZ$2:$BB$55,3,),IF(AND(I3680="TDP",S3680&lt;=300),VLOOKUP(AF3680,TPCalibEq300!$AZ$2:$BB$55,3,)))</f>
        <v>0</v>
      </c>
      <c r="AS3680" s="10" t="b">
        <f>IF(AND(I3680="TP",S3680&lt;=500),VLOOKUP(AF3680,TPCalibEq500!$AZ$2:$BB$56,3,),IF(AND(I3680="TDP",S3680&lt;=500),VLOOKUP(AF3680,TPCalibEq500!$AZ$2:$BB$56,3,)))</f>
        <v>0</v>
      </c>
      <c r="AT3680" s="10" t="b">
        <f>IF(AND(I3680="TN",S3680&lt;=2800),VLOOKUP(AF3680,TNCalibEq2500!$AZ$2:$BB$56,3,),IF(AND(I3680="TDN",S3680&lt;=2800),VLOOKUP(AF3680,TNCalibEq2500!$AZ$2:$BB$56,3,)))</f>
        <v>0</v>
      </c>
      <c r="AU3680" s="10" t="b">
        <f>IF(I3680="TP",VLOOKUP(AF3680,TPCalibEqFull!$AZ$2:$BB$56,3),IF(I3680="TDP",VLOOKUP(AF3680,TPCalibEqFull!$AZ$2:$BB$56,3),IF(I3680="TDN",VLOOKUP(AF3680,TNCalibEqFull!$AZ$1:$BB$56,3),IF(I3680="TN",VLOOKUP(AF3680,TNCalibEqFull!$AZ$1:$BB$56,3),FALSE))))</f>
        <v>0</v>
      </c>
      <c r="AV3680" s="10" t="str">
        <f t="shared" si="419"/>
        <v>0221 10:21:00-BUO-0-260-1-SW-UKN</v>
      </c>
    </row>
    <row r="3681" spans="1:48" s="10" customFormat="1" x14ac:dyDescent="0.55000000000000004">
      <c r="A3681" s="32">
        <v>44978</v>
      </c>
      <c r="B3681" s="33">
        <v>0.43472222222222223</v>
      </c>
      <c r="C3681" s="10" t="s">
        <v>611</v>
      </c>
      <c r="D3681" s="10">
        <v>5</v>
      </c>
      <c r="E3681" s="10">
        <v>260</v>
      </c>
      <c r="F3681" s="10">
        <v>1</v>
      </c>
      <c r="G3681" s="10" t="s">
        <v>231</v>
      </c>
      <c r="H3681" s="10" t="s">
        <v>322</v>
      </c>
      <c r="I3681" s="10" t="s">
        <v>256</v>
      </c>
      <c r="J3681" s="10">
        <v>37</v>
      </c>
      <c r="K3681" s="12">
        <v>44980</v>
      </c>
      <c r="L3681" s="33">
        <v>0.52650462962962963</v>
      </c>
      <c r="M3681" s="10">
        <v>1</v>
      </c>
      <c r="N3681" s="10" t="s">
        <v>169</v>
      </c>
      <c r="O3681" s="10">
        <v>4.87</v>
      </c>
      <c r="P3681" s="10">
        <v>0.22500000000000001</v>
      </c>
      <c r="Q3681" s="10">
        <v>635</v>
      </c>
      <c r="R3681" s="10" t="s">
        <v>77</v>
      </c>
      <c r="S3681" s="34">
        <f t="shared" si="416"/>
        <v>635</v>
      </c>
      <c r="T3681" s="10" t="s">
        <v>1274</v>
      </c>
      <c r="U3681" s="34" t="str">
        <f t="shared" si="417"/>
        <v/>
      </c>
      <c r="V3681" s="31" t="str">
        <f>IF(H3681="CHK",VLOOKUP(I3681,QCCHK,3,),IF(H3681="GUP",VLOOKUP(E3681,QCGUP,2,),IF(AND(H3681="ATP",OR(I3681="TN",I3681="TDN",I3681="TNO2-3",I3681="NO2-3")),VLOOKUP(E3681,QCREC_N,2,),IF(AND(H3681="NIC",OR(I3681="TN",I3681="TDN",I3681="TNO2-3",I3681="NO2-3")),VLOOKUP(E3681,QCNIC_N,2,),IF(AND(H3681="UREA",OR(I3681="TN",I3681="TDN",I3681="TNO2-3",I3681="NO2-3")),VLOOKUP(E3681,QCUREA_N,2,),IF(H3681="PER",VLOOKUP(I3681,QCPER,MATCH(E3681,QCACTUAL!$J$25:$AA$25,0),),IF(H3681="SPK",VLOOKUP(I3681,QCSPK,3,),IF(AND(H3681="ATP",OR(I3681="TP",I3681="TDP")),VLOOKUP(E3681,QCATP_P,2,),""))))))))</f>
        <v/>
      </c>
      <c r="W3681" s="31" t="str">
        <f t="shared" si="418"/>
        <v>TRUE</v>
      </c>
      <c r="X3681" s="31" t="str">
        <f t="shared" si="415"/>
        <v/>
      </c>
      <c r="Y3681" s="10" t="s">
        <v>1253</v>
      </c>
      <c r="AL3681" s="10" t="str">
        <f t="shared" si="413"/>
        <v>FALSE</v>
      </c>
      <c r="AM3681" s="10" t="str">
        <f t="shared" si="413"/>
        <v>FALSE</v>
      </c>
      <c r="AN3681" s="10" t="str">
        <f t="shared" si="413"/>
        <v>FALSE</v>
      </c>
      <c r="AO3681" s="10" t="str">
        <f t="shared" si="414"/>
        <v>FALSE</v>
      </c>
      <c r="AP3681" s="10" t="str">
        <f t="shared" si="414"/>
        <v>FALSE</v>
      </c>
      <c r="AQ3681" s="10" t="b">
        <f>IF(AND(I3681="TP",S3681&lt;=150),VLOOKUP(AF3681,TPCalibEq150!$AZ$2:$BB$55,3,),IF(AND(I3681="TDP",S3681&lt;=150),VLOOKUP(AF3681,TPCalibEq150!$AZ$2:$BB$55,3,)))</f>
        <v>0</v>
      </c>
      <c r="AR3681" s="10" t="b">
        <f>IF(AND(I3681="TP",S3681&lt;=300),VLOOKUP(AF3681,TPCalibEq300!$AZ$2:$BB$55,3,),IF(AND(I3681="TDP",S3681&lt;=300),VLOOKUP(AF3681,TPCalibEq300!$AZ$2:$BB$55,3,)))</f>
        <v>0</v>
      </c>
      <c r="AS3681" s="10" t="b">
        <f>IF(AND(I3681="TP",S3681&lt;=500),VLOOKUP(AF3681,TPCalibEq500!$AZ$2:$BB$56,3,),IF(AND(I3681="TDP",S3681&lt;=500),VLOOKUP(AF3681,TPCalibEq500!$AZ$2:$BB$56,3,)))</f>
        <v>0</v>
      </c>
      <c r="AT3681" s="10" t="b">
        <f>IF(AND(I3681="TN",S3681&lt;=2800),VLOOKUP(AF3681,TNCalibEq2500!$AZ$2:$BB$56,3,),IF(AND(I3681="TDN",S3681&lt;=2800),VLOOKUP(AF3681,TNCalibEq2500!$AZ$2:$BB$56,3,)))</f>
        <v>0</v>
      </c>
      <c r="AU3681" s="10" t="b">
        <f>IF(I3681="TP",VLOOKUP(AF3681,TPCalibEqFull!$AZ$2:$BB$56,3),IF(I3681="TDP",VLOOKUP(AF3681,TPCalibEqFull!$AZ$2:$BB$56,3),IF(I3681="TDN",VLOOKUP(AF3681,TNCalibEqFull!$AZ$1:$BB$56,3),IF(I3681="TN",VLOOKUP(AF3681,TNCalibEqFull!$AZ$1:$BB$56,3),FALSE))))</f>
        <v>0</v>
      </c>
      <c r="AV3681" s="10" t="str">
        <f t="shared" si="419"/>
        <v>0221 10:26:00-BUO-5-260-1-SW-UKN</v>
      </c>
    </row>
    <row r="3682" spans="1:48" s="10" customFormat="1" x14ac:dyDescent="0.55000000000000004">
      <c r="A3682" s="32">
        <v>44978</v>
      </c>
      <c r="B3682" s="33">
        <v>0.4368055555555555</v>
      </c>
      <c r="C3682" s="10" t="s">
        <v>611</v>
      </c>
      <c r="D3682" s="10">
        <v>10</v>
      </c>
      <c r="E3682" s="10">
        <v>230</v>
      </c>
      <c r="F3682" s="10">
        <v>1</v>
      </c>
      <c r="G3682" s="10" t="s">
        <v>231</v>
      </c>
      <c r="H3682" s="10" t="s">
        <v>322</v>
      </c>
      <c r="I3682" s="10" t="s">
        <v>256</v>
      </c>
      <c r="J3682" s="10">
        <v>38</v>
      </c>
      <c r="K3682" s="12">
        <v>44980</v>
      </c>
      <c r="L3682" s="33">
        <v>0.52732638888888894</v>
      </c>
      <c r="M3682" s="10">
        <v>1</v>
      </c>
      <c r="N3682" s="10" t="s">
        <v>169</v>
      </c>
      <c r="O3682" s="10">
        <v>4.8899999999999997</v>
      </c>
      <c r="P3682" s="10">
        <v>0.22600000000000001</v>
      </c>
      <c r="Q3682" s="10">
        <v>638</v>
      </c>
      <c r="R3682" s="10" t="s">
        <v>77</v>
      </c>
      <c r="S3682" s="34">
        <f t="shared" si="416"/>
        <v>638</v>
      </c>
      <c r="T3682" s="10" t="s">
        <v>1274</v>
      </c>
      <c r="U3682" s="34" t="str">
        <f t="shared" si="417"/>
        <v/>
      </c>
      <c r="V3682" s="31" t="str">
        <f>IF(H3682="CHK",VLOOKUP(I3682,QCCHK,3,),IF(H3682="GUP",VLOOKUP(E3682,QCGUP,2,),IF(AND(H3682="ATP",OR(I3682="TN",I3682="TDN",I3682="TNO2-3",I3682="NO2-3")),VLOOKUP(E3682,QCREC_N,2,),IF(AND(H3682="NIC",OR(I3682="TN",I3682="TDN",I3682="TNO2-3",I3682="NO2-3")),VLOOKUP(E3682,QCNIC_N,2,),IF(AND(H3682="UREA",OR(I3682="TN",I3682="TDN",I3682="TNO2-3",I3682="NO2-3")),VLOOKUP(E3682,QCUREA_N,2,),IF(H3682="PER",VLOOKUP(I3682,QCPER,MATCH(E3682,QCACTUAL!$J$25:$AA$25,0),),IF(H3682="SPK",VLOOKUP(I3682,QCSPK,3,),IF(AND(H3682="ATP",OR(I3682="TP",I3682="TDP")),VLOOKUP(E3682,QCATP_P,2,),""))))))))</f>
        <v/>
      </c>
      <c r="W3682" s="31" t="str">
        <f t="shared" si="418"/>
        <v>TRUE</v>
      </c>
      <c r="X3682" s="31" t="str">
        <f t="shared" si="415"/>
        <v/>
      </c>
      <c r="Y3682" s="10" t="s">
        <v>1253</v>
      </c>
      <c r="AL3682" s="10" t="str">
        <f t="shared" si="413"/>
        <v>FALSE</v>
      </c>
      <c r="AM3682" s="10" t="str">
        <f t="shared" si="413"/>
        <v>FALSE</v>
      </c>
      <c r="AN3682" s="10" t="str">
        <f t="shared" si="413"/>
        <v>FALSE</v>
      </c>
      <c r="AO3682" s="10" t="str">
        <f t="shared" si="414"/>
        <v>FALSE</v>
      </c>
      <c r="AP3682" s="10" t="str">
        <f t="shared" si="414"/>
        <v>FALSE</v>
      </c>
      <c r="AQ3682" s="10" t="b">
        <f>IF(AND(I3682="TP",S3682&lt;=150),VLOOKUP(AF3682,TPCalibEq150!$AZ$2:$BB$55,3,),IF(AND(I3682="TDP",S3682&lt;=150),VLOOKUP(AF3682,TPCalibEq150!$AZ$2:$BB$55,3,)))</f>
        <v>0</v>
      </c>
      <c r="AR3682" s="10" t="b">
        <f>IF(AND(I3682="TP",S3682&lt;=300),VLOOKUP(AF3682,TPCalibEq300!$AZ$2:$BB$55,3,),IF(AND(I3682="TDP",S3682&lt;=300),VLOOKUP(AF3682,TPCalibEq300!$AZ$2:$BB$55,3,)))</f>
        <v>0</v>
      </c>
      <c r="AS3682" s="10" t="b">
        <f>IF(AND(I3682="TP",S3682&lt;=500),VLOOKUP(AF3682,TPCalibEq500!$AZ$2:$BB$56,3,),IF(AND(I3682="TDP",S3682&lt;=500),VLOOKUP(AF3682,TPCalibEq500!$AZ$2:$BB$56,3,)))</f>
        <v>0</v>
      </c>
      <c r="AT3682" s="10" t="b">
        <f>IF(AND(I3682="TN",S3682&lt;=2800),VLOOKUP(AF3682,TNCalibEq2500!$AZ$2:$BB$56,3,),IF(AND(I3682="TDN",S3682&lt;=2800),VLOOKUP(AF3682,TNCalibEq2500!$AZ$2:$BB$56,3,)))</f>
        <v>0</v>
      </c>
      <c r="AU3682" s="10" t="b">
        <f>IF(I3682="TP",VLOOKUP(AF3682,TPCalibEqFull!$AZ$2:$BB$56,3),IF(I3682="TDP",VLOOKUP(AF3682,TPCalibEqFull!$AZ$2:$BB$56,3),IF(I3682="TDN",VLOOKUP(AF3682,TNCalibEqFull!$AZ$1:$BB$56,3),IF(I3682="TN",VLOOKUP(AF3682,TNCalibEqFull!$AZ$1:$BB$56,3),FALSE))))</f>
        <v>0</v>
      </c>
      <c r="AV3682" s="10" t="str">
        <f t="shared" si="419"/>
        <v>0221 10:29:00-BUO-10-230-1-SW-UKN</v>
      </c>
    </row>
    <row r="3683" spans="1:48" s="10" customFormat="1" x14ac:dyDescent="0.55000000000000004">
      <c r="A3683" s="32">
        <v>44978</v>
      </c>
      <c r="B3683" s="33">
        <v>0.43958333333333338</v>
      </c>
      <c r="C3683" s="10" t="s">
        <v>611</v>
      </c>
      <c r="D3683" s="10">
        <v>20</v>
      </c>
      <c r="E3683" s="10" t="s">
        <v>190</v>
      </c>
      <c r="F3683" s="10">
        <v>1</v>
      </c>
      <c r="G3683" s="10" t="s">
        <v>231</v>
      </c>
      <c r="H3683" s="10" t="s">
        <v>322</v>
      </c>
      <c r="I3683" s="10" t="s">
        <v>256</v>
      </c>
      <c r="J3683" s="10">
        <v>39</v>
      </c>
      <c r="K3683" s="12">
        <v>44980</v>
      </c>
      <c r="L3683" s="33">
        <v>0.52813657407407411</v>
      </c>
      <c r="M3683" s="10">
        <v>1</v>
      </c>
      <c r="N3683" s="10" t="s">
        <v>169</v>
      </c>
      <c r="O3683" s="10">
        <v>4.88</v>
      </c>
      <c r="P3683" s="10">
        <v>0.224</v>
      </c>
      <c r="Q3683" s="10">
        <v>637</v>
      </c>
      <c r="R3683" s="10" t="s">
        <v>77</v>
      </c>
      <c r="S3683" s="34">
        <f t="shared" si="416"/>
        <v>637</v>
      </c>
      <c r="T3683" s="10" t="s">
        <v>1274</v>
      </c>
      <c r="U3683" s="34" t="str">
        <f t="shared" si="417"/>
        <v/>
      </c>
      <c r="V3683" s="31" t="str">
        <f>IF(H3683="CHK",VLOOKUP(I3683,QCCHK,3,),IF(H3683="GUP",VLOOKUP(E3683,QCGUP,2,),IF(AND(H3683="ATP",OR(I3683="TN",I3683="TDN",I3683="TNO2-3",I3683="NO2-3")),VLOOKUP(E3683,QCREC_N,2,),IF(AND(H3683="NIC",OR(I3683="TN",I3683="TDN",I3683="TNO2-3",I3683="NO2-3")),VLOOKUP(E3683,QCNIC_N,2,),IF(AND(H3683="UREA",OR(I3683="TN",I3683="TDN",I3683="TNO2-3",I3683="NO2-3")),VLOOKUP(E3683,QCUREA_N,2,),IF(H3683="PER",VLOOKUP(I3683,QCPER,MATCH(E3683,QCACTUAL!$J$25:$AA$25,0),),IF(H3683="SPK",VLOOKUP(I3683,QCSPK,3,),IF(AND(H3683="ATP",OR(I3683="TP",I3683="TDP")),VLOOKUP(E3683,QCATP_P,2,),""))))))))</f>
        <v/>
      </c>
      <c r="W3683" s="31" t="str">
        <f t="shared" si="418"/>
        <v>TRUE</v>
      </c>
      <c r="X3683" s="31" t="str">
        <f t="shared" si="415"/>
        <v/>
      </c>
      <c r="Y3683" s="10" t="s">
        <v>1253</v>
      </c>
      <c r="AL3683" s="10" t="str">
        <f t="shared" si="413"/>
        <v>FALSE</v>
      </c>
      <c r="AM3683" s="10" t="str">
        <f t="shared" si="413"/>
        <v>FALSE</v>
      </c>
      <c r="AN3683" s="10" t="str">
        <f t="shared" si="413"/>
        <v>FALSE</v>
      </c>
      <c r="AO3683" s="10" t="str">
        <f t="shared" si="414"/>
        <v>FALSE</v>
      </c>
      <c r="AP3683" s="10" t="str">
        <f t="shared" si="414"/>
        <v>FALSE</v>
      </c>
      <c r="AQ3683" s="10" t="b">
        <f>IF(AND(I3683="TP",S3683&lt;=150),VLOOKUP(AF3683,TPCalibEq150!$AZ$2:$BB$55,3,),IF(AND(I3683="TDP",S3683&lt;=150),VLOOKUP(AF3683,TPCalibEq150!$AZ$2:$BB$55,3,)))</f>
        <v>0</v>
      </c>
      <c r="AR3683" s="10" t="b">
        <f>IF(AND(I3683="TP",S3683&lt;=300),VLOOKUP(AF3683,TPCalibEq300!$AZ$2:$BB$55,3,),IF(AND(I3683="TDP",S3683&lt;=300),VLOOKUP(AF3683,TPCalibEq300!$AZ$2:$BB$55,3,)))</f>
        <v>0</v>
      </c>
      <c r="AS3683" s="10" t="b">
        <f>IF(AND(I3683="TP",S3683&lt;=500),VLOOKUP(AF3683,TPCalibEq500!$AZ$2:$BB$56,3,),IF(AND(I3683="TDP",S3683&lt;=500),VLOOKUP(AF3683,TPCalibEq500!$AZ$2:$BB$56,3,)))</f>
        <v>0</v>
      </c>
      <c r="AT3683" s="10" t="b">
        <f>IF(AND(I3683="TN",S3683&lt;=2800),VLOOKUP(AF3683,TNCalibEq2500!$AZ$2:$BB$56,3,),IF(AND(I3683="TDN",S3683&lt;=2800),VLOOKUP(AF3683,TNCalibEq2500!$AZ$2:$BB$56,3,)))</f>
        <v>0</v>
      </c>
      <c r="AU3683" s="10" t="b">
        <f>IF(I3683="TP",VLOOKUP(AF3683,TPCalibEqFull!$AZ$2:$BB$56,3),IF(I3683="TDP",VLOOKUP(AF3683,TPCalibEqFull!$AZ$2:$BB$56,3),IF(I3683="TDN",VLOOKUP(AF3683,TNCalibEqFull!$AZ$1:$BB$56,3),IF(I3683="TN",VLOOKUP(AF3683,TNCalibEqFull!$AZ$1:$BB$56,3),FALSE))))</f>
        <v>0</v>
      </c>
      <c r="AV3683" s="10" t="str">
        <f t="shared" si="419"/>
        <v>0221 10:33:00-BUO-20-C-1-SW-UKN</v>
      </c>
    </row>
    <row r="3684" spans="1:48" s="10" customFormat="1" x14ac:dyDescent="0.55000000000000004">
      <c r="A3684" s="32">
        <v>44978</v>
      </c>
      <c r="B3684" s="33">
        <v>0.44375000000000003</v>
      </c>
      <c r="C3684" s="10" t="s">
        <v>611</v>
      </c>
      <c r="D3684" s="10">
        <v>48</v>
      </c>
      <c r="E3684" s="10" t="s">
        <v>190</v>
      </c>
      <c r="F3684" s="10">
        <v>1</v>
      </c>
      <c r="G3684" s="10" t="s">
        <v>231</v>
      </c>
      <c r="H3684" s="10" t="s">
        <v>322</v>
      </c>
      <c r="I3684" s="10" t="s">
        <v>256</v>
      </c>
      <c r="J3684" s="10">
        <v>40</v>
      </c>
      <c r="K3684" s="12">
        <v>44980</v>
      </c>
      <c r="L3684" s="33">
        <v>0.52894675925925927</v>
      </c>
      <c r="M3684" s="10">
        <v>1</v>
      </c>
      <c r="N3684" s="10" t="s">
        <v>169</v>
      </c>
      <c r="O3684" s="10">
        <v>5.46</v>
      </c>
      <c r="P3684" s="10">
        <v>0.25</v>
      </c>
      <c r="Q3684" s="10">
        <v>711</v>
      </c>
      <c r="R3684" s="10" t="s">
        <v>77</v>
      </c>
      <c r="S3684" s="34">
        <f t="shared" si="416"/>
        <v>711</v>
      </c>
      <c r="T3684" s="10" t="s">
        <v>1274</v>
      </c>
      <c r="U3684" s="34" t="str">
        <f t="shared" si="417"/>
        <v/>
      </c>
      <c r="V3684" s="31" t="str">
        <f>IF(H3684="CHK",VLOOKUP(I3684,QCCHK,3,),IF(H3684="GUP",VLOOKUP(E3684,QCGUP,2,),IF(AND(H3684="ATP",OR(I3684="TN",I3684="TDN",I3684="TNO2-3",I3684="NO2-3")),VLOOKUP(E3684,QCREC_N,2,),IF(AND(H3684="NIC",OR(I3684="TN",I3684="TDN",I3684="TNO2-3",I3684="NO2-3")),VLOOKUP(E3684,QCNIC_N,2,),IF(AND(H3684="UREA",OR(I3684="TN",I3684="TDN",I3684="TNO2-3",I3684="NO2-3")),VLOOKUP(E3684,QCUREA_N,2,),IF(H3684="PER",VLOOKUP(I3684,QCPER,MATCH(E3684,QCACTUAL!$J$25:$AA$25,0),),IF(H3684="SPK",VLOOKUP(I3684,QCSPK,3,),IF(AND(H3684="ATP",OR(I3684="TP",I3684="TDP")),VLOOKUP(E3684,QCATP_P,2,),""))))))))</f>
        <v/>
      </c>
      <c r="W3684" s="31" t="str">
        <f t="shared" si="418"/>
        <v>TRUE</v>
      </c>
      <c r="X3684" s="31" t="str">
        <f t="shared" si="415"/>
        <v/>
      </c>
      <c r="Y3684" s="10" t="s">
        <v>1253</v>
      </c>
      <c r="AL3684" s="10" t="str">
        <f t="shared" si="413"/>
        <v>FALSE</v>
      </c>
      <c r="AM3684" s="10" t="str">
        <f t="shared" si="413"/>
        <v>FALSE</v>
      </c>
      <c r="AN3684" s="10" t="str">
        <f t="shared" si="413"/>
        <v>FALSE</v>
      </c>
      <c r="AO3684" s="10" t="str">
        <f t="shared" si="414"/>
        <v>FALSE</v>
      </c>
      <c r="AP3684" s="10" t="str">
        <f t="shared" si="414"/>
        <v>FALSE</v>
      </c>
      <c r="AQ3684" s="10" t="b">
        <f>IF(AND(I3684="TP",S3684&lt;=150),VLOOKUP(AF3684,TPCalibEq150!$AZ$2:$BB$55,3,),IF(AND(I3684="TDP",S3684&lt;=150),VLOOKUP(AF3684,TPCalibEq150!$AZ$2:$BB$55,3,)))</f>
        <v>0</v>
      </c>
      <c r="AR3684" s="10" t="b">
        <f>IF(AND(I3684="TP",S3684&lt;=300),VLOOKUP(AF3684,TPCalibEq300!$AZ$2:$BB$55,3,),IF(AND(I3684="TDP",S3684&lt;=300),VLOOKUP(AF3684,TPCalibEq300!$AZ$2:$BB$55,3,)))</f>
        <v>0</v>
      </c>
      <c r="AS3684" s="10" t="b">
        <f>IF(AND(I3684="TP",S3684&lt;=500),VLOOKUP(AF3684,TPCalibEq500!$AZ$2:$BB$56,3,),IF(AND(I3684="TDP",S3684&lt;=500),VLOOKUP(AF3684,TPCalibEq500!$AZ$2:$BB$56,3,)))</f>
        <v>0</v>
      </c>
      <c r="AT3684" s="10" t="b">
        <f>IF(AND(I3684="TN",S3684&lt;=2800),VLOOKUP(AF3684,TNCalibEq2500!$AZ$2:$BB$56,3,),IF(AND(I3684="TDN",S3684&lt;=2800),VLOOKUP(AF3684,TNCalibEq2500!$AZ$2:$BB$56,3,)))</f>
        <v>0</v>
      </c>
      <c r="AU3684" s="10" t="b">
        <f>IF(I3684="TP",VLOOKUP(AF3684,TPCalibEqFull!$AZ$2:$BB$56,3),IF(I3684="TDP",VLOOKUP(AF3684,TPCalibEqFull!$AZ$2:$BB$56,3),IF(I3684="TDN",VLOOKUP(AF3684,TNCalibEqFull!$AZ$1:$BB$56,3),IF(I3684="TN",VLOOKUP(AF3684,TNCalibEqFull!$AZ$1:$BB$56,3),FALSE))))</f>
        <v>0</v>
      </c>
      <c r="AV3684" s="10" t="str">
        <f t="shared" si="419"/>
        <v>0221 10:39:00-BUO-48-C-1-SW-UKN</v>
      </c>
    </row>
    <row r="3685" spans="1:48" s="10" customFormat="1" x14ac:dyDescent="0.55000000000000004">
      <c r="A3685" s="32">
        <v>44978</v>
      </c>
      <c r="B3685" s="33">
        <v>0.44375000000000003</v>
      </c>
      <c r="C3685" s="10" t="s">
        <v>611</v>
      </c>
      <c r="D3685" s="10">
        <v>48</v>
      </c>
      <c r="E3685" s="10" t="s">
        <v>190</v>
      </c>
      <c r="F3685" s="10">
        <v>1</v>
      </c>
      <c r="G3685" s="10" t="s">
        <v>231</v>
      </c>
      <c r="H3685" s="10" t="s">
        <v>233</v>
      </c>
      <c r="I3685" s="10" t="s">
        <v>256</v>
      </c>
      <c r="J3685" s="10">
        <v>40</v>
      </c>
      <c r="K3685" s="12">
        <v>44980</v>
      </c>
      <c r="L3685" s="33">
        <v>0.52975694444444443</v>
      </c>
      <c r="M3685" s="10">
        <v>1</v>
      </c>
      <c r="N3685" s="10" t="s">
        <v>169</v>
      </c>
      <c r="O3685" s="10">
        <v>5.39</v>
      </c>
      <c r="P3685" s="10">
        <v>0.249</v>
      </c>
      <c r="Q3685" s="10">
        <v>703</v>
      </c>
      <c r="R3685" s="10" t="s">
        <v>77</v>
      </c>
      <c r="S3685" s="34">
        <f t="shared" si="416"/>
        <v>703</v>
      </c>
      <c r="T3685" s="10" t="s">
        <v>1274</v>
      </c>
      <c r="U3685" s="34">
        <f t="shared" si="417"/>
        <v>1.1315417256011315</v>
      </c>
      <c r="V3685" s="31" t="str">
        <f>IF(H3685="CHK",VLOOKUP(I3685,QCCHK,3,),IF(H3685="GUP",VLOOKUP(E3685,QCGUP,2,),IF(AND(H3685="ATP",OR(I3685="TN",I3685="TDN",I3685="TNO2-3",I3685="NO2-3")),VLOOKUP(E3685,QCREC_N,2,),IF(AND(H3685="NIC",OR(I3685="TN",I3685="TDN",I3685="TNO2-3",I3685="NO2-3")),VLOOKUP(E3685,QCNIC_N,2,),IF(AND(H3685="UREA",OR(I3685="TN",I3685="TDN",I3685="TNO2-3",I3685="NO2-3")),VLOOKUP(E3685,QCUREA_N,2,),IF(H3685="PER",VLOOKUP(I3685,QCPER,MATCH(E3685,QCACTUAL!$J$25:$AA$25,0),),IF(H3685="SPK",VLOOKUP(I3685,QCSPK,3,),IF(AND(H3685="ATP",OR(I3685="TP",I3685="TDP")),VLOOKUP(E3685,QCATP_P,2,),""))))))))</f>
        <v/>
      </c>
      <c r="W3685" s="31" t="str">
        <f t="shared" si="418"/>
        <v>TRUE</v>
      </c>
      <c r="X3685" s="31" t="str">
        <f t="shared" si="415"/>
        <v>((ABS(rep1-rep2))/((rep1+rep2)/2)*100</v>
      </c>
      <c r="Y3685" s="10" t="s">
        <v>1253</v>
      </c>
      <c r="AL3685" s="10" t="str">
        <f t="shared" si="413"/>
        <v>FALSE</v>
      </c>
      <c r="AM3685" s="10" t="str">
        <f t="shared" si="413"/>
        <v>FALSE</v>
      </c>
      <c r="AN3685" s="10" t="str">
        <f t="shared" si="413"/>
        <v>FALSE</v>
      </c>
      <c r="AO3685" s="10" t="str">
        <f t="shared" si="414"/>
        <v>FALSE</v>
      </c>
      <c r="AP3685" s="10" t="str">
        <f t="shared" si="414"/>
        <v>FALSE</v>
      </c>
      <c r="AQ3685" s="10" t="b">
        <f>IF(AND(I3685="TP",S3685&lt;=150),VLOOKUP(AF3685,TPCalibEq150!$AZ$2:$BB$55,3,),IF(AND(I3685="TDP",S3685&lt;=150),VLOOKUP(AF3685,TPCalibEq150!$AZ$2:$BB$55,3,)))</f>
        <v>0</v>
      </c>
      <c r="AR3685" s="10" t="b">
        <f>IF(AND(I3685="TP",S3685&lt;=300),VLOOKUP(AF3685,TPCalibEq300!$AZ$2:$BB$55,3,),IF(AND(I3685="TDP",S3685&lt;=300),VLOOKUP(AF3685,TPCalibEq300!$AZ$2:$BB$55,3,)))</f>
        <v>0</v>
      </c>
      <c r="AS3685" s="10" t="b">
        <f>IF(AND(I3685="TP",S3685&lt;=500),VLOOKUP(AF3685,TPCalibEq500!$AZ$2:$BB$56,3,),IF(AND(I3685="TDP",S3685&lt;=500),VLOOKUP(AF3685,TPCalibEq500!$AZ$2:$BB$56,3,)))</f>
        <v>0</v>
      </c>
      <c r="AT3685" s="10" t="b">
        <f>IF(AND(I3685="TN",S3685&lt;=2800),VLOOKUP(AF3685,TNCalibEq2500!$AZ$2:$BB$56,3,),IF(AND(I3685="TDN",S3685&lt;=2800),VLOOKUP(AF3685,TNCalibEq2500!$AZ$2:$BB$56,3,)))</f>
        <v>0</v>
      </c>
      <c r="AU3685" s="10" t="b">
        <f>IF(I3685="TP",VLOOKUP(AF3685,TPCalibEqFull!$AZ$2:$BB$56,3),IF(I3685="TDP",VLOOKUP(AF3685,TPCalibEqFull!$AZ$2:$BB$56,3),IF(I3685="TDN",VLOOKUP(AF3685,TNCalibEqFull!$AZ$1:$BB$56,3),IF(I3685="TN",VLOOKUP(AF3685,TNCalibEqFull!$AZ$1:$BB$56,3),FALSE))))</f>
        <v>0</v>
      </c>
      <c r="AV3685" s="10" t="str">
        <f t="shared" si="419"/>
        <v>0221 10:39:00-BUO-48-C-1-SW-DUP</v>
      </c>
    </row>
    <row r="3686" spans="1:48" s="10" customFormat="1" x14ac:dyDescent="0.55000000000000004">
      <c r="A3686" s="32">
        <v>44978</v>
      </c>
      <c r="B3686" s="33">
        <v>0.44375000000000003</v>
      </c>
      <c r="C3686" s="10" t="s">
        <v>611</v>
      </c>
      <c r="D3686" s="10">
        <v>48</v>
      </c>
      <c r="E3686" s="10" t="s">
        <v>190</v>
      </c>
      <c r="F3686" s="10">
        <v>1</v>
      </c>
      <c r="G3686" s="10" t="s">
        <v>231</v>
      </c>
      <c r="H3686" s="10" t="s">
        <v>314</v>
      </c>
      <c r="I3686" s="10" t="s">
        <v>256</v>
      </c>
      <c r="J3686" s="10">
        <v>85</v>
      </c>
      <c r="K3686" s="12">
        <v>44980</v>
      </c>
      <c r="L3686" s="33">
        <v>0.53057870370370364</v>
      </c>
      <c r="M3686" s="10">
        <v>1</v>
      </c>
      <c r="N3686" s="10" t="s">
        <v>169</v>
      </c>
      <c r="O3686" s="10">
        <v>10.4</v>
      </c>
      <c r="P3686" s="10">
        <v>0.48099999999999998</v>
      </c>
      <c r="Q3686" s="10">
        <v>1360</v>
      </c>
      <c r="R3686" s="10" t="s">
        <v>77</v>
      </c>
      <c r="S3686" s="34">
        <f t="shared" si="416"/>
        <v>1360</v>
      </c>
      <c r="T3686" s="10" t="s">
        <v>1274</v>
      </c>
      <c r="U3686" s="34">
        <f t="shared" si="417"/>
        <v>105.11999999999999</v>
      </c>
      <c r="V3686" s="31">
        <f>IF(H3686="CHK",VLOOKUP(I3686,QCCHK,3,),IF(H3686="GUP",VLOOKUP(E3686,QCGUP,2,),IF(AND(H3686="ATP",OR(I3686="TN",I3686="TDN",I3686="TNO2-3",I3686="NO2-3")),VLOOKUP(E3686,QCREC_N,2,),IF(AND(H3686="NIC",OR(I3686="TN",I3686="TDN",I3686="TNO2-3",I3686="NO2-3")),VLOOKUP(E3686,QCNIC_N,2,),IF(AND(H3686="UREA",OR(I3686="TN",I3686="TDN",I3686="TNO2-3",I3686="NO2-3")),VLOOKUP(E3686,QCUREA_N,2,),IF(H3686="PER",VLOOKUP(I3686,QCPER,MATCH(E3686,QCACTUAL!$J$25:$AA$25,0),),IF(H3686="SPK",VLOOKUP(I3686,QCSPK,3,),IF(AND(H3686="ATP",OR(I3686="TP",I3686="TDP")),VLOOKUP(E3686,QCATP_P,2,),""))))))))</f>
        <v>625</v>
      </c>
      <c r="W3686" s="31" t="str">
        <f t="shared" si="418"/>
        <v>TRUE</v>
      </c>
      <c r="X3686" s="31" t="str">
        <f t="shared" si="415"/>
        <v>([spikedunkn]-[unkn])/[spike]*100</v>
      </c>
      <c r="Y3686" s="10" t="s">
        <v>1253</v>
      </c>
      <c r="AL3686" s="10" t="str">
        <f t="shared" si="413"/>
        <v>FALSE</v>
      </c>
      <c r="AM3686" s="10" t="str">
        <f t="shared" si="413"/>
        <v>FALSE</v>
      </c>
      <c r="AN3686" s="10" t="str">
        <f t="shared" si="413"/>
        <v>FALSE</v>
      </c>
      <c r="AO3686" s="10" t="str">
        <f t="shared" si="414"/>
        <v>FALSE</v>
      </c>
      <c r="AP3686" s="10" t="str">
        <f t="shared" si="414"/>
        <v>FALSE</v>
      </c>
      <c r="AQ3686" s="10" t="b">
        <f>IF(AND(I3686="TP",S3686&lt;=150),VLOOKUP(AF3686,TPCalibEq150!$AZ$2:$BB$55,3,),IF(AND(I3686="TDP",S3686&lt;=150),VLOOKUP(AF3686,TPCalibEq150!$AZ$2:$BB$55,3,)))</f>
        <v>0</v>
      </c>
      <c r="AR3686" s="10" t="b">
        <f>IF(AND(I3686="TP",S3686&lt;=300),VLOOKUP(AF3686,TPCalibEq300!$AZ$2:$BB$55,3,),IF(AND(I3686="TDP",S3686&lt;=300),VLOOKUP(AF3686,TPCalibEq300!$AZ$2:$BB$55,3,)))</f>
        <v>0</v>
      </c>
      <c r="AS3686" s="10" t="b">
        <f>IF(AND(I3686="TP",S3686&lt;=500),VLOOKUP(AF3686,TPCalibEq500!$AZ$2:$BB$56,3,),IF(AND(I3686="TDP",S3686&lt;=500),VLOOKUP(AF3686,TPCalibEq500!$AZ$2:$BB$56,3,)))</f>
        <v>0</v>
      </c>
      <c r="AT3686" s="10" t="b">
        <f>IF(AND(I3686="TN",S3686&lt;=2800),VLOOKUP(AF3686,TNCalibEq2500!$AZ$2:$BB$56,3,),IF(AND(I3686="TDN",S3686&lt;=2800),VLOOKUP(AF3686,TNCalibEq2500!$AZ$2:$BB$56,3,)))</f>
        <v>0</v>
      </c>
      <c r="AU3686" s="10" t="b">
        <f>IF(I3686="TP",VLOOKUP(AF3686,TPCalibEqFull!$AZ$2:$BB$56,3),IF(I3686="TDP",VLOOKUP(AF3686,TPCalibEqFull!$AZ$2:$BB$56,3),IF(I3686="TDN",VLOOKUP(AF3686,TNCalibEqFull!$AZ$1:$BB$56,3),IF(I3686="TN",VLOOKUP(AF3686,TNCalibEqFull!$AZ$1:$BB$56,3),FALSE))))</f>
        <v>0</v>
      </c>
      <c r="AV3686" s="10" t="str">
        <f t="shared" si="419"/>
        <v>0221 10:39:00-BUO-48-C-1-SW-SPK</v>
      </c>
    </row>
    <row r="3687" spans="1:48" s="10" customFormat="1" x14ac:dyDescent="0.55000000000000004">
      <c r="A3687" s="32">
        <v>44979</v>
      </c>
      <c r="B3687" s="33">
        <v>0.375</v>
      </c>
      <c r="C3687" s="10" t="s">
        <v>70</v>
      </c>
      <c r="D3687" s="10" t="s">
        <v>71</v>
      </c>
      <c r="E3687" s="10" t="s">
        <v>901</v>
      </c>
      <c r="F3687" s="10">
        <v>1</v>
      </c>
      <c r="G3687" s="10" t="s">
        <v>73</v>
      </c>
      <c r="H3687" s="10" t="s">
        <v>207</v>
      </c>
      <c r="I3687" s="10" t="s">
        <v>256</v>
      </c>
      <c r="J3687" s="10">
        <v>201</v>
      </c>
      <c r="K3687" s="12">
        <v>44980</v>
      </c>
      <c r="L3687" s="33">
        <v>0.53140046296296295</v>
      </c>
      <c r="M3687" s="10">
        <v>1</v>
      </c>
      <c r="N3687" s="10" t="s">
        <v>169</v>
      </c>
      <c r="O3687" s="10">
        <v>2.23</v>
      </c>
      <c r="P3687" s="10">
        <v>0.105</v>
      </c>
      <c r="Q3687" s="10">
        <v>291</v>
      </c>
      <c r="R3687" s="10" t="s">
        <v>77</v>
      </c>
      <c r="S3687" s="34">
        <f t="shared" si="416"/>
        <v>291</v>
      </c>
      <c r="T3687" s="10" t="s">
        <v>1274</v>
      </c>
      <c r="U3687" s="34">
        <f t="shared" si="417"/>
        <v>97</v>
      </c>
      <c r="V3687" s="31">
        <f>IF(H3687="CHK",VLOOKUP(I3687,QCCHK,3,),IF(H3687="GUP",VLOOKUP(E3687,QCGUP,2,),IF(AND(H3687="ATP",OR(I3687="TN",I3687="TDN",I3687="TNO2-3",I3687="NO2-3")),VLOOKUP(E3687,QCREC_N,2,),IF(AND(H3687="NIC",OR(I3687="TN",I3687="TDN",I3687="TNO2-3",I3687="NO2-3")),VLOOKUP(E3687,QCNIC_N,2,),IF(AND(H3687="UREA",OR(I3687="TN",I3687="TDN",I3687="TNO2-3",I3687="NO2-3")),VLOOKUP(E3687,QCUREA_N,2,),IF(H3687="PER",VLOOKUP(I3687,QCPER,MATCH(E3687,QCACTUAL!$J$25:$AA$25,0),),IF(H3687="SPK",VLOOKUP(I3687,QCSPK,3,),IF(AND(H3687="ATP",OR(I3687="TP",I3687="TDP")),VLOOKUP(E3687,QCATP_P,2,),""))))))))</f>
        <v>300</v>
      </c>
      <c r="W3687" s="31" t="str">
        <f t="shared" si="418"/>
        <v>TRUE</v>
      </c>
      <c r="X3687" s="31" t="str">
        <f t="shared" si="415"/>
        <v>[chk]/[actual]*100</v>
      </c>
      <c r="Y3687" s="10" t="s">
        <v>1253</v>
      </c>
      <c r="AL3687" s="10" t="str">
        <f t="shared" si="413"/>
        <v>FALSE</v>
      </c>
      <c r="AM3687" s="10" t="str">
        <f t="shared" si="413"/>
        <v>FALSE</v>
      </c>
      <c r="AN3687" s="10" t="str">
        <f t="shared" si="413"/>
        <v>FALSE</v>
      </c>
      <c r="AO3687" s="10" t="str">
        <f t="shared" si="414"/>
        <v>FALSE</v>
      </c>
      <c r="AP3687" s="10" t="str">
        <f t="shared" si="414"/>
        <v>FALSE</v>
      </c>
      <c r="AQ3687" s="10" t="b">
        <f>IF(AND(I3687="TP",S3687&lt;=150),VLOOKUP(AF3687,TPCalibEq150!$AZ$2:$BB$55,3,),IF(AND(I3687="TDP",S3687&lt;=150),VLOOKUP(AF3687,TPCalibEq150!$AZ$2:$BB$55,3,)))</f>
        <v>0</v>
      </c>
      <c r="AR3687" s="10" t="b">
        <f>IF(AND(I3687="TP",S3687&lt;=300),VLOOKUP(AF3687,TPCalibEq300!$AZ$2:$BB$55,3,),IF(AND(I3687="TDP",S3687&lt;=300),VLOOKUP(AF3687,TPCalibEq300!$AZ$2:$BB$55,3,)))</f>
        <v>0</v>
      </c>
      <c r="AS3687" s="10" t="b">
        <f>IF(AND(I3687="TP",S3687&lt;=500),VLOOKUP(AF3687,TPCalibEq500!$AZ$2:$BB$56,3,),IF(AND(I3687="TDP",S3687&lt;=500),VLOOKUP(AF3687,TPCalibEq500!$AZ$2:$BB$56,3,)))</f>
        <v>0</v>
      </c>
      <c r="AT3687" s="10" t="b">
        <f>IF(AND(I3687="TN",S3687&lt;=2800),VLOOKUP(AF3687,TNCalibEq2500!$AZ$2:$BB$56,3,),IF(AND(I3687="TDN",S3687&lt;=2800),VLOOKUP(AF3687,TNCalibEq2500!$AZ$2:$BB$56,3,)))</f>
        <v>0</v>
      </c>
      <c r="AU3687" s="10" t="b">
        <f>IF(I3687="TP",VLOOKUP(AF3687,TPCalibEqFull!$AZ$2:$BB$56,3),IF(I3687="TDP",VLOOKUP(AF3687,TPCalibEqFull!$AZ$2:$BB$56,3),IF(I3687="TDN",VLOOKUP(AF3687,TNCalibEqFull!$AZ$1:$BB$56,3),IF(I3687="TN",VLOOKUP(AF3687,TNCalibEqFull!$AZ$1:$BB$56,3),FALSE))))</f>
        <v>0</v>
      </c>
      <c r="AV3687" s="10" t="str">
        <f t="shared" si="419"/>
        <v>0222 09:00:00-QAC-STD-D-1-DI-CHK</v>
      </c>
    </row>
    <row r="3688" spans="1:48" s="10" customFormat="1" x14ac:dyDescent="0.55000000000000004">
      <c r="A3688" s="32">
        <v>44972</v>
      </c>
      <c r="B3688" s="33">
        <v>0.22430555555555556</v>
      </c>
      <c r="C3688" s="10" t="s">
        <v>279</v>
      </c>
      <c r="D3688" s="10">
        <v>0</v>
      </c>
      <c r="E3688" s="10" t="s">
        <v>911</v>
      </c>
      <c r="F3688" s="10">
        <v>1</v>
      </c>
      <c r="G3688" s="10" t="s">
        <v>231</v>
      </c>
      <c r="H3688" s="10" t="s">
        <v>322</v>
      </c>
      <c r="I3688" s="10" t="s">
        <v>209</v>
      </c>
      <c r="J3688" s="10">
        <v>41</v>
      </c>
      <c r="K3688" s="12">
        <v>44980</v>
      </c>
      <c r="L3688" s="33">
        <v>0.53221064814814811</v>
      </c>
      <c r="M3688" s="10">
        <v>1</v>
      </c>
      <c r="N3688" s="10" t="s">
        <v>169</v>
      </c>
      <c r="O3688" s="10">
        <v>7.23</v>
      </c>
      <c r="P3688" s="10">
        <v>0.33200000000000002</v>
      </c>
      <c r="Q3688" s="10">
        <v>943</v>
      </c>
      <c r="R3688" s="10" t="s">
        <v>77</v>
      </c>
      <c r="S3688" s="34">
        <f t="shared" si="416"/>
        <v>943</v>
      </c>
      <c r="T3688" s="10" t="s">
        <v>1274</v>
      </c>
      <c r="U3688" s="34" t="str">
        <f t="shared" si="417"/>
        <v/>
      </c>
      <c r="V3688" s="31" t="str">
        <f>IF(H3688="CHK",VLOOKUP(I3688,QCCHK,3,),IF(H3688="GUP",VLOOKUP(E3688,QCGUP,2,),IF(AND(H3688="ATP",OR(I3688="TN",I3688="TDN",I3688="TNO2-3",I3688="NO2-3")),VLOOKUP(E3688,QCREC_N,2,),IF(AND(H3688="NIC",OR(I3688="TN",I3688="TDN",I3688="TNO2-3",I3688="NO2-3")),VLOOKUP(E3688,QCNIC_N,2,),IF(AND(H3688="UREA",OR(I3688="TN",I3688="TDN",I3688="TNO2-3",I3688="NO2-3")),VLOOKUP(E3688,QCUREA_N,2,),IF(H3688="PER",VLOOKUP(I3688,QCPER,MATCH(E3688,QCACTUAL!$J$25:$AA$25,0),),IF(H3688="SPK",VLOOKUP(I3688,QCSPK,3,),IF(AND(H3688="ATP",OR(I3688="TP",I3688="TDP")),VLOOKUP(E3688,QCATP_P,2,),""))))))))</f>
        <v/>
      </c>
      <c r="W3688" s="31" t="str">
        <f t="shared" si="418"/>
        <v>TRUE</v>
      </c>
      <c r="X3688" s="31" t="str">
        <f t="shared" si="415"/>
        <v/>
      </c>
      <c r="Y3688" s="10" t="s">
        <v>1253</v>
      </c>
      <c r="Z3688" s="10" t="s">
        <v>910</v>
      </c>
      <c r="AL3688" s="10" t="str">
        <f t="shared" ref="AL3688:AN3743" si="420">IF($O3688="", "", IF(AQ3688&lt;&gt;"", SUBSTITUTE(SUBSTITUTE(AQ3688, "x", "*"&amp;$O3688&amp;"^", 1), "x", "*"&amp;$O3688, 1), ""))</f>
        <v>FALSE</v>
      </c>
      <c r="AM3688" s="10" t="str">
        <f t="shared" si="420"/>
        <v>FALSE</v>
      </c>
      <c r="AN3688" s="10" t="str">
        <f t="shared" si="420"/>
        <v>FALSE</v>
      </c>
      <c r="AO3688" s="10" t="str">
        <f t="shared" ref="AO3688:AP3743" si="421">IF($O3688="", "FALSE", IF(AT3688&lt;&gt;"FALSE", SUBSTITUTE(SUBSTITUTE(AT3688, "x", "*"&amp;$O3688&amp;"^", 1), "x", "*"&amp;$O3688, 1), ""))</f>
        <v>FALSE</v>
      </c>
      <c r="AP3688" s="10" t="str">
        <f t="shared" si="421"/>
        <v>FALSE</v>
      </c>
      <c r="AQ3688" s="10" t="b">
        <f>IF(AND(I3688="TP",S3688&lt;=150),VLOOKUP(AF3688,TPCalibEq150!$AZ$2:$BB$55,3,),IF(AND(I3688="TDP",S3688&lt;=150),VLOOKUP(AF3688,TPCalibEq150!$AZ$2:$BB$55,3,)))</f>
        <v>0</v>
      </c>
      <c r="AR3688" s="10" t="b">
        <f>IF(AND(I3688="TP",S3688&lt;=300),VLOOKUP(AF3688,TPCalibEq300!$AZ$2:$BB$55,3,),IF(AND(I3688="TDP",S3688&lt;=300),VLOOKUP(AF3688,TPCalibEq300!$AZ$2:$BB$55,3,)))</f>
        <v>0</v>
      </c>
      <c r="AS3688" s="10" t="b">
        <f>IF(AND(I3688="TP",S3688&lt;=500),VLOOKUP(AF3688,TPCalibEq500!$AZ$2:$BB$56,3,),IF(AND(I3688="TDP",S3688&lt;=500),VLOOKUP(AF3688,TPCalibEq500!$AZ$2:$BB$56,3,)))</f>
        <v>0</v>
      </c>
      <c r="AT3688" s="10" t="b">
        <f>IF(AND(I3688="TN",S3688&lt;=2800),VLOOKUP(AF3688,TNCalibEq2500!$AZ$2:$BB$56,3,),IF(AND(I3688="TDN",S3688&lt;=2800),VLOOKUP(AF3688,TNCalibEq2500!$AZ$2:$BB$56,3,)))</f>
        <v>0</v>
      </c>
      <c r="AU3688" s="10" t="b">
        <f>IF(I3688="TP",VLOOKUP(AF3688,TPCalibEqFull!$AZ$2:$BB$56,3),IF(I3688="TDP",VLOOKUP(AF3688,TPCalibEqFull!$AZ$2:$BB$56,3),IF(I3688="TDN",VLOOKUP(AF3688,TNCalibEqFull!$AZ$1:$BB$56,3),IF(I3688="TN",VLOOKUP(AF3688,TNCalibEqFull!$AZ$1:$BB$56,3),FALSE))))</f>
        <v>0</v>
      </c>
      <c r="AV3688" s="10" t="str">
        <f t="shared" si="419"/>
        <v>0215 05:23:00-EFK-0-FIL-1-SW-UKN</v>
      </c>
    </row>
    <row r="3689" spans="1:48" s="10" customFormat="1" x14ac:dyDescent="0.55000000000000004">
      <c r="A3689" s="32">
        <v>44972</v>
      </c>
      <c r="B3689" s="33">
        <v>0.22777777777777777</v>
      </c>
      <c r="C3689" s="10" t="s">
        <v>333</v>
      </c>
      <c r="D3689" s="10">
        <v>0</v>
      </c>
      <c r="E3689" s="10" t="s">
        <v>911</v>
      </c>
      <c r="F3689" s="10">
        <v>1</v>
      </c>
      <c r="G3689" s="10" t="s">
        <v>231</v>
      </c>
      <c r="H3689" s="10" t="s">
        <v>322</v>
      </c>
      <c r="I3689" s="10" t="s">
        <v>209</v>
      </c>
      <c r="J3689" s="10">
        <v>42</v>
      </c>
      <c r="K3689" s="12">
        <v>44980</v>
      </c>
      <c r="L3689" s="33">
        <v>0.53302083333333339</v>
      </c>
      <c r="M3689" s="10">
        <v>1</v>
      </c>
      <c r="N3689" s="10" t="s">
        <v>169</v>
      </c>
      <c r="O3689" s="10">
        <v>4.71</v>
      </c>
      <c r="P3689" s="10">
        <v>0.214</v>
      </c>
      <c r="Q3689" s="10">
        <v>613</v>
      </c>
      <c r="R3689" s="10" t="s">
        <v>77</v>
      </c>
      <c r="S3689" s="34">
        <f t="shared" si="416"/>
        <v>613</v>
      </c>
      <c r="T3689" s="10" t="s">
        <v>1274</v>
      </c>
      <c r="U3689" s="34" t="str">
        <f t="shared" si="417"/>
        <v/>
      </c>
      <c r="V3689" s="31" t="str">
        <f>IF(H3689="CHK",VLOOKUP(I3689,QCCHK,3,),IF(H3689="GUP",VLOOKUP(E3689,QCGUP,2,),IF(AND(H3689="ATP",OR(I3689="TN",I3689="TDN",I3689="TNO2-3",I3689="NO2-3")),VLOOKUP(E3689,QCREC_N,2,),IF(AND(H3689="NIC",OR(I3689="TN",I3689="TDN",I3689="TNO2-3",I3689="NO2-3")),VLOOKUP(E3689,QCNIC_N,2,),IF(AND(H3689="UREA",OR(I3689="TN",I3689="TDN",I3689="TNO2-3",I3689="NO2-3")),VLOOKUP(E3689,QCUREA_N,2,),IF(H3689="PER",VLOOKUP(I3689,QCPER,MATCH(E3689,QCACTUAL!$J$25:$AA$25,0),),IF(H3689="SPK",VLOOKUP(I3689,QCSPK,3,),IF(AND(H3689="ATP",OR(I3689="TP",I3689="TDP")),VLOOKUP(E3689,QCATP_P,2,),""))))))))</f>
        <v/>
      </c>
      <c r="W3689" s="31" t="str">
        <f t="shared" si="418"/>
        <v>TRUE</v>
      </c>
      <c r="X3689" s="31" t="str">
        <f t="shared" si="415"/>
        <v/>
      </c>
      <c r="Y3689" s="10" t="s">
        <v>1253</v>
      </c>
      <c r="Z3689" s="10" t="s">
        <v>910</v>
      </c>
      <c r="AL3689" s="10" t="str">
        <f t="shared" si="420"/>
        <v>FALSE</v>
      </c>
      <c r="AM3689" s="10" t="str">
        <f t="shared" si="420"/>
        <v>FALSE</v>
      </c>
      <c r="AN3689" s="10" t="str">
        <f t="shared" si="420"/>
        <v>FALSE</v>
      </c>
      <c r="AO3689" s="10" t="str">
        <f t="shared" si="421"/>
        <v>FALSE</v>
      </c>
      <c r="AP3689" s="10" t="str">
        <f t="shared" si="421"/>
        <v>FALSE</v>
      </c>
      <c r="AQ3689" s="10" t="b">
        <f>IF(AND(I3689="TP",S3689&lt;=150),VLOOKUP(AF3689,TPCalibEq150!$AZ$2:$BB$55,3,),IF(AND(I3689="TDP",S3689&lt;=150),VLOOKUP(AF3689,TPCalibEq150!$AZ$2:$BB$55,3,)))</f>
        <v>0</v>
      </c>
      <c r="AR3689" s="10" t="b">
        <f>IF(AND(I3689="TP",S3689&lt;=300),VLOOKUP(AF3689,TPCalibEq300!$AZ$2:$BB$55,3,),IF(AND(I3689="TDP",S3689&lt;=300),VLOOKUP(AF3689,TPCalibEq300!$AZ$2:$BB$55,3,)))</f>
        <v>0</v>
      </c>
      <c r="AS3689" s="10" t="b">
        <f>IF(AND(I3689="TP",S3689&lt;=500),VLOOKUP(AF3689,TPCalibEq500!$AZ$2:$BB$56,3,),IF(AND(I3689="TDP",S3689&lt;=500),VLOOKUP(AF3689,TPCalibEq500!$AZ$2:$BB$56,3,)))</f>
        <v>0</v>
      </c>
      <c r="AT3689" s="10" t="b">
        <f>IF(AND(I3689="TN",S3689&lt;=2800),VLOOKUP(AF3689,TNCalibEq2500!$AZ$2:$BB$56,3,),IF(AND(I3689="TDN",S3689&lt;=2800),VLOOKUP(AF3689,TNCalibEq2500!$AZ$2:$BB$56,3,)))</f>
        <v>0</v>
      </c>
      <c r="AU3689" s="10" t="b">
        <f>IF(I3689="TP",VLOOKUP(AF3689,TPCalibEqFull!$AZ$2:$BB$56,3),IF(I3689="TDP",VLOOKUP(AF3689,TPCalibEqFull!$AZ$2:$BB$56,3),IF(I3689="TDN",VLOOKUP(AF3689,TNCalibEqFull!$AZ$1:$BB$56,3),IF(I3689="TN",VLOOKUP(AF3689,TNCalibEqFull!$AZ$1:$BB$56,3),FALSE))))</f>
        <v>0</v>
      </c>
      <c r="AV3689" s="10" t="str">
        <f t="shared" si="419"/>
        <v>0215 05:28:00-HST-0-FIL-1-SW-UKN</v>
      </c>
    </row>
    <row r="3690" spans="1:48" s="10" customFormat="1" x14ac:dyDescent="0.55000000000000004">
      <c r="A3690" s="32">
        <v>44974</v>
      </c>
      <c r="B3690" s="33">
        <v>0.36388888888888887</v>
      </c>
      <c r="C3690" s="10" t="s">
        <v>279</v>
      </c>
      <c r="D3690" s="10">
        <v>0</v>
      </c>
      <c r="E3690" s="10" t="s">
        <v>911</v>
      </c>
      <c r="F3690" s="10">
        <v>1</v>
      </c>
      <c r="G3690" s="10" t="s">
        <v>231</v>
      </c>
      <c r="H3690" s="10" t="s">
        <v>322</v>
      </c>
      <c r="I3690" s="10" t="s">
        <v>209</v>
      </c>
      <c r="J3690" s="10">
        <v>43</v>
      </c>
      <c r="K3690" s="12">
        <v>44980</v>
      </c>
      <c r="L3690" s="33">
        <v>0.53383101851851855</v>
      </c>
      <c r="M3690" s="10">
        <v>1</v>
      </c>
      <c r="N3690" s="10" t="s">
        <v>169</v>
      </c>
      <c r="O3690" s="10">
        <v>3.58</v>
      </c>
      <c r="P3690" s="10">
        <v>0.16400000000000001</v>
      </c>
      <c r="Q3690" s="10">
        <v>466</v>
      </c>
      <c r="R3690" s="10" t="s">
        <v>77</v>
      </c>
      <c r="S3690" s="34">
        <f t="shared" si="416"/>
        <v>466</v>
      </c>
      <c r="T3690" s="10" t="s">
        <v>1274</v>
      </c>
      <c r="U3690" s="34" t="str">
        <f t="shared" si="417"/>
        <v/>
      </c>
      <c r="V3690" s="31" t="str">
        <f>IF(H3690="CHK",VLOOKUP(I3690,QCCHK,3,),IF(H3690="GUP",VLOOKUP(E3690,QCGUP,2,),IF(AND(H3690="ATP",OR(I3690="TN",I3690="TDN",I3690="TNO2-3",I3690="NO2-3")),VLOOKUP(E3690,QCREC_N,2,),IF(AND(H3690="NIC",OR(I3690="TN",I3690="TDN",I3690="TNO2-3",I3690="NO2-3")),VLOOKUP(E3690,QCNIC_N,2,),IF(AND(H3690="UREA",OR(I3690="TN",I3690="TDN",I3690="TNO2-3",I3690="NO2-3")),VLOOKUP(E3690,QCUREA_N,2,),IF(H3690="PER",VLOOKUP(I3690,QCPER,MATCH(E3690,QCACTUAL!$J$25:$AA$25,0),),IF(H3690="SPK",VLOOKUP(I3690,QCSPK,3,),IF(AND(H3690="ATP",OR(I3690="TP",I3690="TDP")),VLOOKUP(E3690,QCATP_P,2,),""))))))))</f>
        <v/>
      </c>
      <c r="W3690" s="31" t="str">
        <f t="shared" si="418"/>
        <v>TRUE</v>
      </c>
      <c r="X3690" s="31" t="str">
        <f t="shared" si="415"/>
        <v/>
      </c>
      <c r="Y3690" s="10" t="s">
        <v>1253</v>
      </c>
      <c r="Z3690" s="10" t="s">
        <v>910</v>
      </c>
      <c r="AL3690" s="10" t="str">
        <f t="shared" si="420"/>
        <v>FALSE</v>
      </c>
      <c r="AM3690" s="10" t="str">
        <f t="shared" si="420"/>
        <v>FALSE</v>
      </c>
      <c r="AN3690" s="10" t="str">
        <f t="shared" si="420"/>
        <v>FALSE</v>
      </c>
      <c r="AO3690" s="10" t="str">
        <f t="shared" si="421"/>
        <v>FALSE</v>
      </c>
      <c r="AP3690" s="10" t="str">
        <f t="shared" si="421"/>
        <v>FALSE</v>
      </c>
      <c r="AQ3690" s="10" t="b">
        <f>IF(AND(I3690="TP",S3690&lt;=150),VLOOKUP(AF3690,TPCalibEq150!$AZ$2:$BB$55,3,),IF(AND(I3690="TDP",S3690&lt;=150),VLOOKUP(AF3690,TPCalibEq150!$AZ$2:$BB$55,3,)))</f>
        <v>0</v>
      </c>
      <c r="AR3690" s="10" t="b">
        <f>IF(AND(I3690="TP",S3690&lt;=300),VLOOKUP(AF3690,TPCalibEq300!$AZ$2:$BB$55,3,),IF(AND(I3690="TDP",S3690&lt;=300),VLOOKUP(AF3690,TPCalibEq300!$AZ$2:$BB$55,3,)))</f>
        <v>0</v>
      </c>
      <c r="AS3690" s="10" t="b">
        <f>IF(AND(I3690="TP",S3690&lt;=500),VLOOKUP(AF3690,TPCalibEq500!$AZ$2:$BB$56,3,),IF(AND(I3690="TDP",S3690&lt;=500),VLOOKUP(AF3690,TPCalibEq500!$AZ$2:$BB$56,3,)))</f>
        <v>0</v>
      </c>
      <c r="AT3690" s="10" t="b">
        <f>IF(AND(I3690="TN",S3690&lt;=2800),VLOOKUP(AF3690,TNCalibEq2500!$AZ$2:$BB$56,3,),IF(AND(I3690="TDN",S3690&lt;=2800),VLOOKUP(AF3690,TNCalibEq2500!$AZ$2:$BB$56,3,)))</f>
        <v>0</v>
      </c>
      <c r="AU3690" s="10" t="b">
        <f>IF(I3690="TP",VLOOKUP(AF3690,TPCalibEqFull!$AZ$2:$BB$56,3),IF(I3690="TDP",VLOOKUP(AF3690,TPCalibEqFull!$AZ$2:$BB$56,3),IF(I3690="TDN",VLOOKUP(AF3690,TNCalibEqFull!$AZ$1:$BB$56,3),IF(I3690="TN",VLOOKUP(AF3690,TNCalibEqFull!$AZ$1:$BB$56,3),FALSE))))</f>
        <v>0</v>
      </c>
      <c r="AV3690" s="10" t="str">
        <f t="shared" si="419"/>
        <v>0217 08:44:00-EFK-0-FIL-1-SW-UKN</v>
      </c>
    </row>
    <row r="3691" spans="1:48" s="10" customFormat="1" x14ac:dyDescent="0.55000000000000004">
      <c r="A3691" s="32">
        <v>44974</v>
      </c>
      <c r="B3691" s="33">
        <v>0.35833333333333334</v>
      </c>
      <c r="C3691" s="10" t="s">
        <v>333</v>
      </c>
      <c r="D3691" s="10">
        <v>0</v>
      </c>
      <c r="E3691" s="10" t="s">
        <v>911</v>
      </c>
      <c r="F3691" s="10">
        <v>1</v>
      </c>
      <c r="G3691" s="10" t="s">
        <v>231</v>
      </c>
      <c r="H3691" s="10" t="s">
        <v>322</v>
      </c>
      <c r="I3691" s="10" t="s">
        <v>209</v>
      </c>
      <c r="J3691" s="10">
        <v>44</v>
      </c>
      <c r="K3691" s="12">
        <v>44980</v>
      </c>
      <c r="L3691" s="33">
        <v>0.53464120370370372</v>
      </c>
      <c r="M3691" s="10">
        <v>1</v>
      </c>
      <c r="N3691" s="10" t="s">
        <v>169</v>
      </c>
      <c r="O3691" s="10">
        <v>6.47</v>
      </c>
      <c r="P3691" s="10">
        <v>0.29699999999999999</v>
      </c>
      <c r="Q3691" s="10">
        <v>844</v>
      </c>
      <c r="R3691" s="10" t="s">
        <v>77</v>
      </c>
      <c r="S3691" s="34">
        <f t="shared" si="416"/>
        <v>844</v>
      </c>
      <c r="T3691" s="10" t="s">
        <v>1274</v>
      </c>
      <c r="U3691" s="34" t="str">
        <f t="shared" si="417"/>
        <v/>
      </c>
      <c r="V3691" s="31" t="str">
        <f>IF(H3691="CHK",VLOOKUP(I3691,QCCHK,3,),IF(H3691="GUP",VLOOKUP(E3691,QCGUP,2,),IF(AND(H3691="ATP",OR(I3691="TN",I3691="TDN",I3691="TNO2-3",I3691="NO2-3")),VLOOKUP(E3691,QCREC_N,2,),IF(AND(H3691="NIC",OR(I3691="TN",I3691="TDN",I3691="TNO2-3",I3691="NO2-3")),VLOOKUP(E3691,QCNIC_N,2,),IF(AND(H3691="UREA",OR(I3691="TN",I3691="TDN",I3691="TNO2-3",I3691="NO2-3")),VLOOKUP(E3691,QCUREA_N,2,),IF(H3691="PER",VLOOKUP(I3691,QCPER,MATCH(E3691,QCACTUAL!$J$25:$AA$25,0),),IF(H3691="SPK",VLOOKUP(I3691,QCSPK,3,),IF(AND(H3691="ATP",OR(I3691="TP",I3691="TDP")),VLOOKUP(E3691,QCATP_P,2,),""))))))))</f>
        <v/>
      </c>
      <c r="W3691" s="31" t="str">
        <f t="shared" si="418"/>
        <v>TRUE</v>
      </c>
      <c r="X3691" s="31" t="str">
        <f t="shared" si="415"/>
        <v/>
      </c>
      <c r="Y3691" s="10" t="s">
        <v>1253</v>
      </c>
      <c r="Z3691" s="10" t="s">
        <v>910</v>
      </c>
      <c r="AL3691" s="10" t="str">
        <f t="shared" si="420"/>
        <v>FALSE</v>
      </c>
      <c r="AM3691" s="10" t="str">
        <f t="shared" si="420"/>
        <v>FALSE</v>
      </c>
      <c r="AN3691" s="10" t="str">
        <f t="shared" si="420"/>
        <v>FALSE</v>
      </c>
      <c r="AO3691" s="10" t="str">
        <f t="shared" si="421"/>
        <v>FALSE</v>
      </c>
      <c r="AP3691" s="10" t="str">
        <f t="shared" si="421"/>
        <v>FALSE</v>
      </c>
      <c r="AQ3691" s="10" t="b">
        <f>IF(AND(I3691="TP",S3691&lt;=150),VLOOKUP(AF3691,TPCalibEq150!$AZ$2:$BB$55,3,),IF(AND(I3691="TDP",S3691&lt;=150),VLOOKUP(AF3691,TPCalibEq150!$AZ$2:$BB$55,3,)))</f>
        <v>0</v>
      </c>
      <c r="AR3691" s="10" t="b">
        <f>IF(AND(I3691="TP",S3691&lt;=300),VLOOKUP(AF3691,TPCalibEq300!$AZ$2:$BB$55,3,),IF(AND(I3691="TDP",S3691&lt;=300),VLOOKUP(AF3691,TPCalibEq300!$AZ$2:$BB$55,3,)))</f>
        <v>0</v>
      </c>
      <c r="AS3691" s="10" t="b">
        <f>IF(AND(I3691="TP",S3691&lt;=500),VLOOKUP(AF3691,TPCalibEq500!$AZ$2:$BB$56,3,),IF(AND(I3691="TDP",S3691&lt;=500),VLOOKUP(AF3691,TPCalibEq500!$AZ$2:$BB$56,3,)))</f>
        <v>0</v>
      </c>
      <c r="AT3691" s="10" t="b">
        <f>IF(AND(I3691="TN",S3691&lt;=2800),VLOOKUP(AF3691,TNCalibEq2500!$AZ$2:$BB$56,3,),IF(AND(I3691="TDN",S3691&lt;=2800),VLOOKUP(AF3691,TNCalibEq2500!$AZ$2:$BB$56,3,)))</f>
        <v>0</v>
      </c>
      <c r="AU3691" s="10" t="b">
        <f>IF(I3691="TP",VLOOKUP(AF3691,TPCalibEqFull!$AZ$2:$BB$56,3),IF(I3691="TDP",VLOOKUP(AF3691,TPCalibEqFull!$AZ$2:$BB$56,3),IF(I3691="TDN",VLOOKUP(AF3691,TNCalibEqFull!$AZ$1:$BB$56,3),IF(I3691="TN",VLOOKUP(AF3691,TNCalibEqFull!$AZ$1:$BB$56,3),FALSE))))</f>
        <v>0</v>
      </c>
      <c r="AV3691" s="10" t="str">
        <f t="shared" si="419"/>
        <v>0217 08:36:00-HST-0-FIL-1-SW-UKN</v>
      </c>
    </row>
    <row r="3692" spans="1:48" s="10" customFormat="1" x14ac:dyDescent="0.55000000000000004">
      <c r="A3692" s="32">
        <v>44978</v>
      </c>
      <c r="B3692" s="33">
        <v>0.31597222222222221</v>
      </c>
      <c r="C3692" s="10" t="s">
        <v>279</v>
      </c>
      <c r="D3692" s="10">
        <v>0</v>
      </c>
      <c r="E3692" s="10" t="s">
        <v>911</v>
      </c>
      <c r="F3692" s="10">
        <v>1</v>
      </c>
      <c r="G3692" s="10" t="s">
        <v>231</v>
      </c>
      <c r="H3692" s="10" t="s">
        <v>322</v>
      </c>
      <c r="I3692" s="10" t="s">
        <v>209</v>
      </c>
      <c r="J3692" s="10">
        <v>45</v>
      </c>
      <c r="K3692" s="12">
        <v>44980</v>
      </c>
      <c r="L3692" s="33">
        <v>0.53543981481481484</v>
      </c>
      <c r="M3692" s="10">
        <v>1</v>
      </c>
      <c r="N3692" s="10" t="s">
        <v>169</v>
      </c>
      <c r="O3692" s="10">
        <v>5.69</v>
      </c>
      <c r="P3692" s="10">
        <v>0.26100000000000001</v>
      </c>
      <c r="Q3692" s="10">
        <v>742</v>
      </c>
      <c r="R3692" s="10" t="s">
        <v>77</v>
      </c>
      <c r="S3692" s="34">
        <f t="shared" si="416"/>
        <v>742</v>
      </c>
      <c r="T3692" s="10" t="s">
        <v>1274</v>
      </c>
      <c r="U3692" s="34" t="str">
        <f t="shared" si="417"/>
        <v/>
      </c>
      <c r="V3692" s="31" t="str">
        <f>IF(H3692="CHK",VLOOKUP(I3692,QCCHK,3,),IF(H3692="GUP",VLOOKUP(E3692,QCGUP,2,),IF(AND(H3692="ATP",OR(I3692="TN",I3692="TDN",I3692="TNO2-3",I3692="NO2-3")),VLOOKUP(E3692,QCREC_N,2,),IF(AND(H3692="NIC",OR(I3692="TN",I3692="TDN",I3692="TNO2-3",I3692="NO2-3")),VLOOKUP(E3692,QCNIC_N,2,),IF(AND(H3692="UREA",OR(I3692="TN",I3692="TDN",I3692="TNO2-3",I3692="NO2-3")),VLOOKUP(E3692,QCUREA_N,2,),IF(H3692="PER",VLOOKUP(I3692,QCPER,MATCH(E3692,QCACTUAL!$J$25:$AA$25,0),),IF(H3692="SPK",VLOOKUP(I3692,QCSPK,3,),IF(AND(H3692="ATP",OR(I3692="TP",I3692="TDP")),VLOOKUP(E3692,QCATP_P,2,),""))))))))</f>
        <v/>
      </c>
      <c r="W3692" s="31" t="str">
        <f t="shared" si="418"/>
        <v>TRUE</v>
      </c>
      <c r="X3692" s="31" t="str">
        <f t="shared" si="415"/>
        <v/>
      </c>
      <c r="Y3692" s="10" t="s">
        <v>1253</v>
      </c>
      <c r="AL3692" s="10" t="str">
        <f t="shared" si="420"/>
        <v>FALSE</v>
      </c>
      <c r="AM3692" s="10" t="str">
        <f t="shared" si="420"/>
        <v>FALSE</v>
      </c>
      <c r="AN3692" s="10" t="str">
        <f t="shared" si="420"/>
        <v>FALSE</v>
      </c>
      <c r="AO3692" s="10" t="str">
        <f t="shared" si="421"/>
        <v>FALSE</v>
      </c>
      <c r="AP3692" s="10" t="str">
        <f t="shared" si="421"/>
        <v>FALSE</v>
      </c>
      <c r="AQ3692" s="10" t="b">
        <f>IF(AND(I3692="TP",S3692&lt;=150),VLOOKUP(AF3692,TPCalibEq150!$AZ$2:$BB$55,3,),IF(AND(I3692="TDP",S3692&lt;=150),VLOOKUP(AF3692,TPCalibEq150!$AZ$2:$BB$55,3,)))</f>
        <v>0</v>
      </c>
      <c r="AR3692" s="10" t="b">
        <f>IF(AND(I3692="TP",S3692&lt;=300),VLOOKUP(AF3692,TPCalibEq300!$AZ$2:$BB$55,3,),IF(AND(I3692="TDP",S3692&lt;=300),VLOOKUP(AF3692,TPCalibEq300!$AZ$2:$BB$55,3,)))</f>
        <v>0</v>
      </c>
      <c r="AS3692" s="10" t="b">
        <f>IF(AND(I3692="TP",S3692&lt;=500),VLOOKUP(AF3692,TPCalibEq500!$AZ$2:$BB$56,3,),IF(AND(I3692="TDP",S3692&lt;=500),VLOOKUP(AF3692,TPCalibEq500!$AZ$2:$BB$56,3,)))</f>
        <v>0</v>
      </c>
      <c r="AT3692" s="10" t="b">
        <f>IF(AND(I3692="TN",S3692&lt;=2800),VLOOKUP(AF3692,TNCalibEq2500!$AZ$2:$BB$56,3,),IF(AND(I3692="TDN",S3692&lt;=2800),VLOOKUP(AF3692,TNCalibEq2500!$AZ$2:$BB$56,3,)))</f>
        <v>0</v>
      </c>
      <c r="AU3692" s="10" t="b">
        <f>IF(I3692="TP",VLOOKUP(AF3692,TPCalibEqFull!$AZ$2:$BB$56,3),IF(I3692="TDP",VLOOKUP(AF3692,TPCalibEqFull!$AZ$2:$BB$56,3),IF(I3692="TDN",VLOOKUP(AF3692,TNCalibEqFull!$AZ$1:$BB$56,3),IF(I3692="TN",VLOOKUP(AF3692,TNCalibEqFull!$AZ$1:$BB$56,3),FALSE))))</f>
        <v>0</v>
      </c>
      <c r="AV3692" s="10" t="str">
        <f t="shared" si="419"/>
        <v>0221 07:35:00-EFK-0-FIL-1-SW-UKN</v>
      </c>
    </row>
    <row r="3693" spans="1:48" s="10" customFormat="1" x14ac:dyDescent="0.55000000000000004">
      <c r="A3693" s="32">
        <v>44978</v>
      </c>
      <c r="B3693" s="33">
        <v>0.31944444444444448</v>
      </c>
      <c r="C3693" s="10" t="s">
        <v>333</v>
      </c>
      <c r="D3693" s="10">
        <v>0</v>
      </c>
      <c r="E3693" s="10" t="s">
        <v>911</v>
      </c>
      <c r="F3693" s="10">
        <v>1</v>
      </c>
      <c r="G3693" s="10" t="s">
        <v>231</v>
      </c>
      <c r="H3693" s="10" t="s">
        <v>322</v>
      </c>
      <c r="I3693" s="10" t="s">
        <v>209</v>
      </c>
      <c r="J3693" s="10">
        <v>46</v>
      </c>
      <c r="K3693" s="12">
        <v>44980</v>
      </c>
      <c r="L3693" s="33">
        <v>0.53627314814814808</v>
      </c>
      <c r="M3693" s="10">
        <v>1</v>
      </c>
      <c r="N3693" s="10" t="s">
        <v>169</v>
      </c>
      <c r="O3693" s="10">
        <v>5.3</v>
      </c>
      <c r="P3693" s="10">
        <v>0.24299999999999999</v>
      </c>
      <c r="Q3693" s="10">
        <v>691</v>
      </c>
      <c r="R3693" s="10" t="s">
        <v>77</v>
      </c>
      <c r="S3693" s="34">
        <f t="shared" si="416"/>
        <v>691</v>
      </c>
      <c r="T3693" s="10" t="s">
        <v>1274</v>
      </c>
      <c r="U3693" s="34" t="str">
        <f t="shared" si="417"/>
        <v/>
      </c>
      <c r="V3693" s="31" t="str">
        <f>IF(H3693="CHK",VLOOKUP(I3693,QCCHK,3,),IF(H3693="GUP",VLOOKUP(E3693,QCGUP,2,),IF(AND(H3693="ATP",OR(I3693="TN",I3693="TDN",I3693="TNO2-3",I3693="NO2-3")),VLOOKUP(E3693,QCREC_N,2,),IF(AND(H3693="NIC",OR(I3693="TN",I3693="TDN",I3693="TNO2-3",I3693="NO2-3")),VLOOKUP(E3693,QCNIC_N,2,),IF(AND(H3693="UREA",OR(I3693="TN",I3693="TDN",I3693="TNO2-3",I3693="NO2-3")),VLOOKUP(E3693,QCUREA_N,2,),IF(H3693="PER",VLOOKUP(I3693,QCPER,MATCH(E3693,QCACTUAL!$J$25:$AA$25,0),),IF(H3693="SPK",VLOOKUP(I3693,QCSPK,3,),IF(AND(H3693="ATP",OR(I3693="TP",I3693="TDP")),VLOOKUP(E3693,QCATP_P,2,),""))))))))</f>
        <v/>
      </c>
      <c r="W3693" s="31" t="str">
        <f t="shared" si="418"/>
        <v>TRUE</v>
      </c>
      <c r="X3693" s="31" t="str">
        <f t="shared" si="415"/>
        <v/>
      </c>
      <c r="Y3693" s="10" t="s">
        <v>1253</v>
      </c>
      <c r="AL3693" s="10" t="str">
        <f t="shared" si="420"/>
        <v>FALSE</v>
      </c>
      <c r="AM3693" s="10" t="str">
        <f t="shared" si="420"/>
        <v>FALSE</v>
      </c>
      <c r="AN3693" s="10" t="str">
        <f t="shared" si="420"/>
        <v>FALSE</v>
      </c>
      <c r="AO3693" s="10" t="str">
        <f t="shared" si="421"/>
        <v>FALSE</v>
      </c>
      <c r="AP3693" s="10" t="str">
        <f t="shared" si="421"/>
        <v>FALSE</v>
      </c>
      <c r="AQ3693" s="10" t="b">
        <f>IF(AND(I3693="TP",S3693&lt;=150),VLOOKUP(AF3693,TPCalibEq150!$AZ$2:$BB$55,3,),IF(AND(I3693="TDP",S3693&lt;=150),VLOOKUP(AF3693,TPCalibEq150!$AZ$2:$BB$55,3,)))</f>
        <v>0</v>
      </c>
      <c r="AR3693" s="10" t="b">
        <f>IF(AND(I3693="TP",S3693&lt;=300),VLOOKUP(AF3693,TPCalibEq300!$AZ$2:$BB$55,3,),IF(AND(I3693="TDP",S3693&lt;=300),VLOOKUP(AF3693,TPCalibEq300!$AZ$2:$BB$55,3,)))</f>
        <v>0</v>
      </c>
      <c r="AS3693" s="10" t="b">
        <f>IF(AND(I3693="TP",S3693&lt;=500),VLOOKUP(AF3693,TPCalibEq500!$AZ$2:$BB$56,3,),IF(AND(I3693="TDP",S3693&lt;=500),VLOOKUP(AF3693,TPCalibEq500!$AZ$2:$BB$56,3,)))</f>
        <v>0</v>
      </c>
      <c r="AT3693" s="10" t="b">
        <f>IF(AND(I3693="TN",S3693&lt;=2800),VLOOKUP(AF3693,TNCalibEq2500!$AZ$2:$BB$56,3,),IF(AND(I3693="TDN",S3693&lt;=2800),VLOOKUP(AF3693,TNCalibEq2500!$AZ$2:$BB$56,3,)))</f>
        <v>0</v>
      </c>
      <c r="AU3693" s="10" t="b">
        <f>IF(I3693="TP",VLOOKUP(AF3693,TPCalibEqFull!$AZ$2:$BB$56,3),IF(I3693="TDP",VLOOKUP(AF3693,TPCalibEqFull!$AZ$2:$BB$56,3),IF(I3693="TDN",VLOOKUP(AF3693,TNCalibEqFull!$AZ$1:$BB$56,3),IF(I3693="TN",VLOOKUP(AF3693,TNCalibEqFull!$AZ$1:$BB$56,3),FALSE))))</f>
        <v>0</v>
      </c>
      <c r="AV3693" s="10" t="str">
        <f t="shared" si="419"/>
        <v>0221 07:40:00-HST-0-FIL-1-SW-UKN</v>
      </c>
    </row>
    <row r="3694" spans="1:48" s="10" customFormat="1" x14ac:dyDescent="0.55000000000000004">
      <c r="A3694" s="32">
        <v>44978</v>
      </c>
      <c r="B3694" s="33">
        <v>0.31944444444444448</v>
      </c>
      <c r="C3694" s="10" t="s">
        <v>333</v>
      </c>
      <c r="D3694" s="10">
        <v>0</v>
      </c>
      <c r="E3694" s="10" t="s">
        <v>911</v>
      </c>
      <c r="F3694" s="10">
        <v>1</v>
      </c>
      <c r="G3694" s="10" t="s">
        <v>231</v>
      </c>
      <c r="H3694" s="10" t="s">
        <v>233</v>
      </c>
      <c r="I3694" s="10" t="s">
        <v>209</v>
      </c>
      <c r="J3694" s="10">
        <v>46</v>
      </c>
      <c r="K3694" s="12">
        <v>44980</v>
      </c>
      <c r="L3694" s="33">
        <v>0.5370949074074074</v>
      </c>
      <c r="M3694" s="10">
        <v>1</v>
      </c>
      <c r="N3694" s="10" t="s">
        <v>169</v>
      </c>
      <c r="O3694" s="10">
        <v>5.29</v>
      </c>
      <c r="P3694" s="10">
        <v>0.24299999999999999</v>
      </c>
      <c r="Q3694" s="10">
        <v>690</v>
      </c>
      <c r="R3694" s="10" t="s">
        <v>77</v>
      </c>
      <c r="S3694" s="34">
        <f t="shared" si="416"/>
        <v>690</v>
      </c>
      <c r="T3694" s="10" t="s">
        <v>1274</v>
      </c>
      <c r="U3694" s="34">
        <f t="shared" si="417"/>
        <v>0.14482259232440259</v>
      </c>
      <c r="V3694" s="31" t="str">
        <f>IF(H3694="CHK",VLOOKUP(I3694,QCCHK,3,),IF(H3694="GUP",VLOOKUP(E3694,QCGUP,2,),IF(AND(H3694="ATP",OR(I3694="TN",I3694="TDN",I3694="TNO2-3",I3694="NO2-3")),VLOOKUP(E3694,QCREC_N,2,),IF(AND(H3694="NIC",OR(I3694="TN",I3694="TDN",I3694="TNO2-3",I3694="NO2-3")),VLOOKUP(E3694,QCNIC_N,2,),IF(AND(H3694="UREA",OR(I3694="TN",I3694="TDN",I3694="TNO2-3",I3694="NO2-3")),VLOOKUP(E3694,QCUREA_N,2,),IF(H3694="PER",VLOOKUP(I3694,QCPER,MATCH(E3694,QCACTUAL!$J$25:$AA$25,0),),IF(H3694="SPK",VLOOKUP(I3694,QCSPK,3,),IF(AND(H3694="ATP",OR(I3694="TP",I3694="TDP")),VLOOKUP(E3694,QCATP_P,2,),""))))))))</f>
        <v/>
      </c>
      <c r="W3694" s="31" t="str">
        <f t="shared" si="418"/>
        <v>TRUE</v>
      </c>
      <c r="X3694" s="31" t="str">
        <f t="shared" si="415"/>
        <v>((ABS(rep1-rep2))/((rep1+rep2)/2)*100</v>
      </c>
      <c r="Y3694" s="10" t="s">
        <v>1253</v>
      </c>
      <c r="AL3694" s="10" t="str">
        <f t="shared" si="420"/>
        <v>FALSE</v>
      </c>
      <c r="AM3694" s="10" t="str">
        <f t="shared" si="420"/>
        <v>FALSE</v>
      </c>
      <c r="AN3694" s="10" t="str">
        <f t="shared" si="420"/>
        <v>FALSE</v>
      </c>
      <c r="AO3694" s="10" t="str">
        <f t="shared" si="421"/>
        <v>FALSE</v>
      </c>
      <c r="AP3694" s="10" t="str">
        <f t="shared" si="421"/>
        <v>FALSE</v>
      </c>
      <c r="AQ3694" s="10" t="b">
        <f>IF(AND(I3694="TP",S3694&lt;=150),VLOOKUP(AF3694,TPCalibEq150!$AZ$2:$BB$55,3,),IF(AND(I3694="TDP",S3694&lt;=150),VLOOKUP(AF3694,TPCalibEq150!$AZ$2:$BB$55,3,)))</f>
        <v>0</v>
      </c>
      <c r="AR3694" s="10" t="b">
        <f>IF(AND(I3694="TP",S3694&lt;=300),VLOOKUP(AF3694,TPCalibEq300!$AZ$2:$BB$55,3,),IF(AND(I3694="TDP",S3694&lt;=300),VLOOKUP(AF3694,TPCalibEq300!$AZ$2:$BB$55,3,)))</f>
        <v>0</v>
      </c>
      <c r="AS3694" s="10" t="b">
        <f>IF(AND(I3694="TP",S3694&lt;=500),VLOOKUP(AF3694,TPCalibEq500!$AZ$2:$BB$56,3,),IF(AND(I3694="TDP",S3694&lt;=500),VLOOKUP(AF3694,TPCalibEq500!$AZ$2:$BB$56,3,)))</f>
        <v>0</v>
      </c>
      <c r="AT3694" s="10" t="b">
        <f>IF(AND(I3694="TN",S3694&lt;=2800),VLOOKUP(AF3694,TNCalibEq2500!$AZ$2:$BB$56,3,),IF(AND(I3694="TDN",S3694&lt;=2800),VLOOKUP(AF3694,TNCalibEq2500!$AZ$2:$BB$56,3,)))</f>
        <v>0</v>
      </c>
      <c r="AU3694" s="10" t="b">
        <f>IF(I3694="TP",VLOOKUP(AF3694,TPCalibEqFull!$AZ$2:$BB$56,3),IF(I3694="TDP",VLOOKUP(AF3694,TPCalibEqFull!$AZ$2:$BB$56,3),IF(I3694="TDN",VLOOKUP(AF3694,TNCalibEqFull!$AZ$1:$BB$56,3),IF(I3694="TN",VLOOKUP(AF3694,TNCalibEqFull!$AZ$1:$BB$56,3),FALSE))))</f>
        <v>0</v>
      </c>
      <c r="AV3694" s="10" t="str">
        <f t="shared" si="419"/>
        <v>0221 07:40:00-HST-0-FIL-1-SW-DUP</v>
      </c>
    </row>
    <row r="3695" spans="1:48" s="10" customFormat="1" x14ac:dyDescent="0.55000000000000004">
      <c r="A3695" s="32">
        <v>44978</v>
      </c>
      <c r="B3695" s="33">
        <v>0.31944444444444448</v>
      </c>
      <c r="C3695" s="10" t="s">
        <v>912</v>
      </c>
      <c r="D3695" s="10">
        <v>0</v>
      </c>
      <c r="E3695" s="10" t="s">
        <v>911</v>
      </c>
      <c r="F3695" s="10">
        <v>1</v>
      </c>
      <c r="G3695" s="10" t="s">
        <v>231</v>
      </c>
      <c r="H3695" s="10" t="s">
        <v>314</v>
      </c>
      <c r="I3695" s="10" t="s">
        <v>209</v>
      </c>
      <c r="J3695" s="10">
        <v>86</v>
      </c>
      <c r="K3695" s="12">
        <v>44980</v>
      </c>
      <c r="L3695" s="33">
        <v>0.53790509259259256</v>
      </c>
      <c r="M3695" s="10">
        <v>1</v>
      </c>
      <c r="N3695" s="10" t="s">
        <v>169</v>
      </c>
      <c r="O3695" s="10">
        <v>10.4</v>
      </c>
      <c r="P3695" s="10">
        <v>0.47299999999999998</v>
      </c>
      <c r="Q3695" s="10">
        <v>1350</v>
      </c>
      <c r="R3695" s="10" t="s">
        <v>77</v>
      </c>
      <c r="S3695" s="34">
        <f t="shared" si="416"/>
        <v>1350</v>
      </c>
      <c r="T3695" s="10" t="s">
        <v>1274</v>
      </c>
      <c r="U3695" s="34">
        <f t="shared" si="417"/>
        <v>105.60000000000001</v>
      </c>
      <c r="V3695" s="31">
        <f>IF(H3695="CHK",VLOOKUP(I3695,QCCHK,3,),IF(H3695="GUP",VLOOKUP(E3695,QCGUP,2,),IF(AND(H3695="ATP",OR(I3695="TN",I3695="TDN",I3695="TNO2-3",I3695="NO2-3")),VLOOKUP(E3695,QCREC_N,2,),IF(AND(H3695="NIC",OR(I3695="TN",I3695="TDN",I3695="TNO2-3",I3695="NO2-3")),VLOOKUP(E3695,QCNIC_N,2,),IF(AND(H3695="UREA",OR(I3695="TN",I3695="TDN",I3695="TNO2-3",I3695="NO2-3")),VLOOKUP(E3695,QCUREA_N,2,),IF(H3695="PER",VLOOKUP(I3695,QCPER,MATCH(E3695,QCACTUAL!$J$25:$AA$25,0),),IF(H3695="SPK",VLOOKUP(I3695,QCSPK,3,),IF(AND(H3695="ATP",OR(I3695="TP",I3695="TDP")),VLOOKUP(E3695,QCATP_P,2,),""))))))))</f>
        <v>625</v>
      </c>
      <c r="W3695" s="31" t="str">
        <f t="shared" si="418"/>
        <v>TRUE</v>
      </c>
      <c r="X3695" s="31" t="str">
        <f t="shared" si="415"/>
        <v>([spikedunkn]-[unkn])/[spike]*100</v>
      </c>
      <c r="Y3695" s="10" t="s">
        <v>1253</v>
      </c>
      <c r="AL3695" s="10" t="str">
        <f t="shared" si="420"/>
        <v>FALSE</v>
      </c>
      <c r="AM3695" s="10" t="str">
        <f t="shared" si="420"/>
        <v>FALSE</v>
      </c>
      <c r="AN3695" s="10" t="str">
        <f t="shared" si="420"/>
        <v>FALSE</v>
      </c>
      <c r="AO3695" s="10" t="str">
        <f t="shared" si="421"/>
        <v>FALSE</v>
      </c>
      <c r="AP3695" s="10" t="str">
        <f t="shared" si="421"/>
        <v>FALSE</v>
      </c>
      <c r="AQ3695" s="10" t="b">
        <f>IF(AND(I3695="TP",S3695&lt;=150),VLOOKUP(AF3695,TPCalibEq150!$AZ$2:$BB$55,3,),IF(AND(I3695="TDP",S3695&lt;=150),VLOOKUP(AF3695,TPCalibEq150!$AZ$2:$BB$55,3,)))</f>
        <v>0</v>
      </c>
      <c r="AR3695" s="10" t="b">
        <f>IF(AND(I3695="TP",S3695&lt;=300),VLOOKUP(AF3695,TPCalibEq300!$AZ$2:$BB$55,3,),IF(AND(I3695="TDP",S3695&lt;=300),VLOOKUP(AF3695,TPCalibEq300!$AZ$2:$BB$55,3,)))</f>
        <v>0</v>
      </c>
      <c r="AS3695" s="10" t="b">
        <f>IF(AND(I3695="TP",S3695&lt;=500),VLOOKUP(AF3695,TPCalibEq500!$AZ$2:$BB$56,3,),IF(AND(I3695="TDP",S3695&lt;=500),VLOOKUP(AF3695,TPCalibEq500!$AZ$2:$BB$56,3,)))</f>
        <v>0</v>
      </c>
      <c r="AT3695" s="10" t="b">
        <f>IF(AND(I3695="TN",S3695&lt;=2800),VLOOKUP(AF3695,TNCalibEq2500!$AZ$2:$BB$56,3,),IF(AND(I3695="TDN",S3695&lt;=2800),VLOOKUP(AF3695,TNCalibEq2500!$AZ$2:$BB$56,3,)))</f>
        <v>0</v>
      </c>
      <c r="AU3695" s="10" t="b">
        <f>IF(I3695="TP",VLOOKUP(AF3695,TPCalibEqFull!$AZ$2:$BB$56,3),IF(I3695="TDP",VLOOKUP(AF3695,TPCalibEqFull!$AZ$2:$BB$56,3),IF(I3695="TDN",VLOOKUP(AF3695,TNCalibEqFull!$AZ$1:$BB$56,3),IF(I3695="TN",VLOOKUP(AF3695,TNCalibEqFull!$AZ$1:$BB$56,3),FALSE))))</f>
        <v>0</v>
      </c>
      <c r="AV3695" s="10" t="str">
        <f t="shared" si="419"/>
        <v>0221 07:40:00-HST -0-FIL-1-SW-SPK</v>
      </c>
    </row>
    <row r="3696" spans="1:48" s="10" customFormat="1" x14ac:dyDescent="0.55000000000000004">
      <c r="A3696" s="32">
        <v>44979</v>
      </c>
      <c r="B3696" s="33">
        <v>0.375</v>
      </c>
      <c r="C3696" s="10" t="s">
        <v>70</v>
      </c>
      <c r="D3696" s="10" t="s">
        <v>71</v>
      </c>
      <c r="E3696" s="10" t="s">
        <v>901</v>
      </c>
      <c r="F3696" s="10">
        <v>1</v>
      </c>
      <c r="G3696" s="10" t="s">
        <v>73</v>
      </c>
      <c r="H3696" s="10" t="s">
        <v>207</v>
      </c>
      <c r="I3696" s="10" t="s">
        <v>256</v>
      </c>
      <c r="J3696" s="10">
        <v>201</v>
      </c>
      <c r="K3696" s="12">
        <v>44980</v>
      </c>
      <c r="L3696" s="33">
        <v>0.53872685185185187</v>
      </c>
      <c r="M3696" s="10">
        <v>1</v>
      </c>
      <c r="N3696" s="10" t="s">
        <v>169</v>
      </c>
      <c r="O3696" s="10">
        <v>2.25</v>
      </c>
      <c r="P3696" s="10">
        <v>0.105</v>
      </c>
      <c r="Q3696" s="10">
        <v>293</v>
      </c>
      <c r="R3696" s="10" t="s">
        <v>77</v>
      </c>
      <c r="S3696" s="34">
        <f t="shared" si="416"/>
        <v>293</v>
      </c>
      <c r="T3696" s="10" t="s">
        <v>1274</v>
      </c>
      <c r="U3696" s="34">
        <f t="shared" si="417"/>
        <v>97.666666666666671</v>
      </c>
      <c r="V3696" s="31">
        <f>IF(H3696="CHK",VLOOKUP(I3696,QCCHK,3,),IF(H3696="GUP",VLOOKUP(E3696,QCGUP,2,),IF(AND(H3696="ATP",OR(I3696="TN",I3696="TDN",I3696="TNO2-3",I3696="NO2-3")),VLOOKUP(E3696,QCREC_N,2,),IF(AND(H3696="NIC",OR(I3696="TN",I3696="TDN",I3696="TNO2-3",I3696="NO2-3")),VLOOKUP(E3696,QCNIC_N,2,),IF(AND(H3696="UREA",OR(I3696="TN",I3696="TDN",I3696="TNO2-3",I3696="NO2-3")),VLOOKUP(E3696,QCUREA_N,2,),IF(H3696="PER",VLOOKUP(I3696,QCPER,MATCH(E3696,QCACTUAL!$J$25:$AA$25,0),),IF(H3696="SPK",VLOOKUP(I3696,QCSPK,3,),IF(AND(H3696="ATP",OR(I3696="TP",I3696="TDP")),VLOOKUP(E3696,QCATP_P,2,),""))))))))</f>
        <v>300</v>
      </c>
      <c r="W3696" s="31" t="str">
        <f t="shared" si="418"/>
        <v>TRUE</v>
      </c>
      <c r="X3696" s="31" t="str">
        <f t="shared" si="415"/>
        <v>[chk]/[actual]*100</v>
      </c>
      <c r="Y3696" s="10" t="s">
        <v>1253</v>
      </c>
      <c r="AL3696" s="10" t="str">
        <f t="shared" si="420"/>
        <v>FALSE</v>
      </c>
      <c r="AM3696" s="10" t="str">
        <f t="shared" si="420"/>
        <v>FALSE</v>
      </c>
      <c r="AN3696" s="10" t="str">
        <f t="shared" si="420"/>
        <v>FALSE</v>
      </c>
      <c r="AO3696" s="10" t="str">
        <f t="shared" si="421"/>
        <v>FALSE</v>
      </c>
      <c r="AP3696" s="10" t="str">
        <f t="shared" si="421"/>
        <v>FALSE</v>
      </c>
      <c r="AQ3696" s="10" t="b">
        <f>IF(AND(I3696="TP",S3696&lt;=150),VLOOKUP(AF3696,TPCalibEq150!$AZ$2:$BB$55,3,),IF(AND(I3696="TDP",S3696&lt;=150),VLOOKUP(AF3696,TPCalibEq150!$AZ$2:$BB$55,3,)))</f>
        <v>0</v>
      </c>
      <c r="AR3696" s="10" t="b">
        <f>IF(AND(I3696="TP",S3696&lt;=300),VLOOKUP(AF3696,TPCalibEq300!$AZ$2:$BB$55,3,),IF(AND(I3696="TDP",S3696&lt;=300),VLOOKUP(AF3696,TPCalibEq300!$AZ$2:$BB$55,3,)))</f>
        <v>0</v>
      </c>
      <c r="AS3696" s="10" t="b">
        <f>IF(AND(I3696="TP",S3696&lt;=500),VLOOKUP(AF3696,TPCalibEq500!$AZ$2:$BB$56,3,),IF(AND(I3696="TDP",S3696&lt;=500),VLOOKUP(AF3696,TPCalibEq500!$AZ$2:$BB$56,3,)))</f>
        <v>0</v>
      </c>
      <c r="AT3696" s="10" t="b">
        <f>IF(AND(I3696="TN",S3696&lt;=2800),VLOOKUP(AF3696,TNCalibEq2500!$AZ$2:$BB$56,3,),IF(AND(I3696="TDN",S3696&lt;=2800),VLOOKUP(AF3696,TNCalibEq2500!$AZ$2:$BB$56,3,)))</f>
        <v>0</v>
      </c>
      <c r="AU3696" s="10" t="b">
        <f>IF(I3696="TP",VLOOKUP(AF3696,TPCalibEqFull!$AZ$2:$BB$56,3),IF(I3696="TDP",VLOOKUP(AF3696,TPCalibEqFull!$AZ$2:$BB$56,3),IF(I3696="TDN",VLOOKUP(AF3696,TNCalibEqFull!$AZ$1:$BB$56,3),IF(I3696="TN",VLOOKUP(AF3696,TNCalibEqFull!$AZ$1:$BB$56,3),FALSE))))</f>
        <v>0</v>
      </c>
      <c r="AV3696" s="10" t="str">
        <f t="shared" si="419"/>
        <v>0222 09:00:00-QAC-STD-D-1-DI-CHK</v>
      </c>
    </row>
    <row r="3697" spans="1:48" s="10" customFormat="1" x14ac:dyDescent="0.55000000000000004">
      <c r="A3697" s="32">
        <v>44978</v>
      </c>
      <c r="B3697" s="33">
        <v>0.4777777777777778</v>
      </c>
      <c r="C3697" s="10" t="s">
        <v>431</v>
      </c>
      <c r="D3697" s="10">
        <v>0</v>
      </c>
      <c r="E3697" s="10" t="s">
        <v>911</v>
      </c>
      <c r="F3697" s="10">
        <v>1</v>
      </c>
      <c r="G3697" s="10" t="s">
        <v>231</v>
      </c>
      <c r="H3697" s="10" t="s">
        <v>322</v>
      </c>
      <c r="I3697" s="10" t="s">
        <v>209</v>
      </c>
      <c r="J3697" s="10">
        <v>47</v>
      </c>
      <c r="K3697" s="12">
        <v>44980</v>
      </c>
      <c r="L3697" s="33">
        <v>0.53956018518518511</v>
      </c>
      <c r="M3697" s="10">
        <v>1</v>
      </c>
      <c r="N3697" s="10" t="s">
        <v>169</v>
      </c>
      <c r="O3697" s="10">
        <v>7.16</v>
      </c>
      <c r="P3697" s="10">
        <v>0.32700000000000001</v>
      </c>
      <c r="Q3697" s="10">
        <v>933</v>
      </c>
      <c r="R3697" s="10" t="s">
        <v>77</v>
      </c>
      <c r="S3697" s="34">
        <f t="shared" si="416"/>
        <v>933</v>
      </c>
      <c r="T3697" s="10" t="s">
        <v>1274</v>
      </c>
      <c r="U3697" s="34" t="str">
        <f t="shared" si="417"/>
        <v/>
      </c>
      <c r="V3697" s="31" t="str">
        <f>IF(H3697="CHK",VLOOKUP(I3697,QCCHK,3,),IF(H3697="GUP",VLOOKUP(E3697,QCGUP,2,),IF(AND(H3697="ATP",OR(I3697="TN",I3697="TDN",I3697="TNO2-3",I3697="NO2-3")),VLOOKUP(E3697,QCREC_N,2,),IF(AND(H3697="NIC",OR(I3697="TN",I3697="TDN",I3697="TNO2-3",I3697="NO2-3")),VLOOKUP(E3697,QCNIC_N,2,),IF(AND(H3697="UREA",OR(I3697="TN",I3697="TDN",I3697="TNO2-3",I3697="NO2-3")),VLOOKUP(E3697,QCUREA_N,2,),IF(H3697="PER",VLOOKUP(I3697,QCPER,MATCH(E3697,QCACTUAL!$J$25:$AA$25,0),),IF(H3697="SPK",VLOOKUP(I3697,QCSPK,3,),IF(AND(H3697="ATP",OR(I3697="TP",I3697="TDP")),VLOOKUP(E3697,QCATP_P,2,),""))))))))</f>
        <v/>
      </c>
      <c r="W3697" s="31" t="str">
        <f t="shared" si="418"/>
        <v>TRUE</v>
      </c>
      <c r="X3697" s="31" t="str">
        <f t="shared" si="415"/>
        <v/>
      </c>
      <c r="Y3697" s="10" t="s">
        <v>1253</v>
      </c>
      <c r="AL3697" s="10" t="str">
        <f t="shared" si="420"/>
        <v>FALSE</v>
      </c>
      <c r="AM3697" s="10" t="str">
        <f t="shared" si="420"/>
        <v>FALSE</v>
      </c>
      <c r="AN3697" s="10" t="str">
        <f t="shared" si="420"/>
        <v>FALSE</v>
      </c>
      <c r="AO3697" s="10" t="str">
        <f t="shared" si="421"/>
        <v>FALSE</v>
      </c>
      <c r="AP3697" s="10" t="str">
        <f t="shared" si="421"/>
        <v>FALSE</v>
      </c>
      <c r="AQ3697" s="10" t="b">
        <f>IF(AND(I3697="TP",S3697&lt;=150),VLOOKUP(AF3697,TPCalibEq150!$AZ$2:$BB$55,3,),IF(AND(I3697="TDP",S3697&lt;=150),VLOOKUP(AF3697,TPCalibEq150!$AZ$2:$BB$55,3,)))</f>
        <v>0</v>
      </c>
      <c r="AR3697" s="10" t="b">
        <f>IF(AND(I3697="TP",S3697&lt;=300),VLOOKUP(AF3697,TPCalibEq300!$AZ$2:$BB$55,3,),IF(AND(I3697="TDP",S3697&lt;=300),VLOOKUP(AF3697,TPCalibEq300!$AZ$2:$BB$55,3,)))</f>
        <v>0</v>
      </c>
      <c r="AS3697" s="10" t="b">
        <f>IF(AND(I3697="TP",S3697&lt;=500),VLOOKUP(AF3697,TPCalibEq500!$AZ$2:$BB$56,3,),IF(AND(I3697="TDP",S3697&lt;=500),VLOOKUP(AF3697,TPCalibEq500!$AZ$2:$BB$56,3,)))</f>
        <v>0</v>
      </c>
      <c r="AT3697" s="10" t="b">
        <f>IF(AND(I3697="TN",S3697&lt;=2800),VLOOKUP(AF3697,TNCalibEq2500!$AZ$2:$BB$56,3,),IF(AND(I3697="TDN",S3697&lt;=2800),VLOOKUP(AF3697,TNCalibEq2500!$AZ$2:$BB$56,3,)))</f>
        <v>0</v>
      </c>
      <c r="AU3697" s="10" t="b">
        <f>IF(I3697="TP",VLOOKUP(AF3697,TPCalibEqFull!$AZ$2:$BB$56,3),IF(I3697="TDP",VLOOKUP(AF3697,TPCalibEqFull!$AZ$2:$BB$56,3),IF(I3697="TDN",VLOOKUP(AF3697,TNCalibEqFull!$AZ$1:$BB$56,3),IF(I3697="TN",VLOOKUP(AF3697,TNCalibEqFull!$AZ$1:$BB$56,3),FALSE))))</f>
        <v>0</v>
      </c>
      <c r="AV3697" s="10" t="str">
        <f t="shared" si="419"/>
        <v>0221 11:28:00-EUS-0-FIL-1-SW-UKN</v>
      </c>
    </row>
    <row r="3698" spans="1:48" s="10" customFormat="1" x14ac:dyDescent="0.55000000000000004">
      <c r="A3698" s="32">
        <v>44978</v>
      </c>
      <c r="B3698" s="33">
        <v>0.48055555555555557</v>
      </c>
      <c r="C3698" s="10" t="s">
        <v>431</v>
      </c>
      <c r="D3698" s="10">
        <v>5</v>
      </c>
      <c r="E3698" s="10" t="s">
        <v>911</v>
      </c>
      <c r="F3698" s="10">
        <v>1</v>
      </c>
      <c r="G3698" s="10" t="s">
        <v>231</v>
      </c>
      <c r="H3698" s="10" t="s">
        <v>322</v>
      </c>
      <c r="I3698" s="10" t="s">
        <v>209</v>
      </c>
      <c r="J3698" s="10">
        <v>48</v>
      </c>
      <c r="K3698" s="12">
        <v>44980</v>
      </c>
      <c r="L3698" s="33">
        <v>0.54037037037037039</v>
      </c>
      <c r="M3698" s="10">
        <v>1</v>
      </c>
      <c r="N3698" s="10" t="s">
        <v>169</v>
      </c>
      <c r="O3698" s="10">
        <v>7.35</v>
      </c>
      <c r="P3698" s="10">
        <v>0.33700000000000002</v>
      </c>
      <c r="Q3698" s="10">
        <v>958</v>
      </c>
      <c r="R3698" s="10" t="s">
        <v>77</v>
      </c>
      <c r="S3698" s="34">
        <f t="shared" si="416"/>
        <v>958</v>
      </c>
      <c r="T3698" s="10" t="s">
        <v>1274</v>
      </c>
      <c r="U3698" s="34" t="str">
        <f t="shared" si="417"/>
        <v/>
      </c>
      <c r="V3698" s="31" t="str">
        <f>IF(H3698="CHK",VLOOKUP(I3698,QCCHK,3,),IF(H3698="GUP",VLOOKUP(E3698,QCGUP,2,),IF(AND(H3698="ATP",OR(I3698="TN",I3698="TDN",I3698="TNO2-3",I3698="NO2-3")),VLOOKUP(E3698,QCREC_N,2,),IF(AND(H3698="NIC",OR(I3698="TN",I3698="TDN",I3698="TNO2-3",I3698="NO2-3")),VLOOKUP(E3698,QCNIC_N,2,),IF(AND(H3698="UREA",OR(I3698="TN",I3698="TDN",I3698="TNO2-3",I3698="NO2-3")),VLOOKUP(E3698,QCUREA_N,2,),IF(H3698="PER",VLOOKUP(I3698,QCPER,MATCH(E3698,QCACTUAL!$J$25:$AA$25,0),),IF(H3698="SPK",VLOOKUP(I3698,QCSPK,3,),IF(AND(H3698="ATP",OR(I3698="TP",I3698="TDP")),VLOOKUP(E3698,QCATP_P,2,),""))))))))</f>
        <v/>
      </c>
      <c r="W3698" s="31" t="str">
        <f t="shared" si="418"/>
        <v>TRUE</v>
      </c>
      <c r="X3698" s="31" t="str">
        <f t="shared" si="415"/>
        <v/>
      </c>
      <c r="Y3698" s="10" t="s">
        <v>1253</v>
      </c>
      <c r="AL3698" s="10" t="str">
        <f t="shared" si="420"/>
        <v>FALSE</v>
      </c>
      <c r="AM3698" s="10" t="str">
        <f t="shared" si="420"/>
        <v>FALSE</v>
      </c>
      <c r="AN3698" s="10" t="str">
        <f t="shared" si="420"/>
        <v>FALSE</v>
      </c>
      <c r="AO3698" s="10" t="str">
        <f t="shared" si="421"/>
        <v>FALSE</v>
      </c>
      <c r="AP3698" s="10" t="str">
        <f t="shared" si="421"/>
        <v>FALSE</v>
      </c>
      <c r="AQ3698" s="10" t="b">
        <f>IF(AND(I3698="TP",S3698&lt;=150),VLOOKUP(AF3698,TPCalibEq150!$AZ$2:$BB$55,3,),IF(AND(I3698="TDP",S3698&lt;=150),VLOOKUP(AF3698,TPCalibEq150!$AZ$2:$BB$55,3,)))</f>
        <v>0</v>
      </c>
      <c r="AR3698" s="10" t="b">
        <f>IF(AND(I3698="TP",S3698&lt;=300),VLOOKUP(AF3698,TPCalibEq300!$AZ$2:$BB$55,3,),IF(AND(I3698="TDP",S3698&lt;=300),VLOOKUP(AF3698,TPCalibEq300!$AZ$2:$BB$55,3,)))</f>
        <v>0</v>
      </c>
      <c r="AS3698" s="10" t="b">
        <f>IF(AND(I3698="TP",S3698&lt;=500),VLOOKUP(AF3698,TPCalibEq500!$AZ$2:$BB$56,3,),IF(AND(I3698="TDP",S3698&lt;=500),VLOOKUP(AF3698,TPCalibEq500!$AZ$2:$BB$56,3,)))</f>
        <v>0</v>
      </c>
      <c r="AT3698" s="10" t="b">
        <f>IF(AND(I3698="TN",S3698&lt;=2800),VLOOKUP(AF3698,TNCalibEq2500!$AZ$2:$BB$56,3,),IF(AND(I3698="TDN",S3698&lt;=2800),VLOOKUP(AF3698,TNCalibEq2500!$AZ$2:$BB$56,3,)))</f>
        <v>0</v>
      </c>
      <c r="AU3698" s="10" t="b">
        <f>IF(I3698="TP",VLOOKUP(AF3698,TPCalibEqFull!$AZ$2:$BB$56,3),IF(I3698="TDP",VLOOKUP(AF3698,TPCalibEqFull!$AZ$2:$BB$56,3),IF(I3698="TDN",VLOOKUP(AF3698,TNCalibEqFull!$AZ$1:$BB$56,3),IF(I3698="TN",VLOOKUP(AF3698,TNCalibEqFull!$AZ$1:$BB$56,3),FALSE))))</f>
        <v>0</v>
      </c>
      <c r="AV3698" s="10" t="str">
        <f t="shared" si="419"/>
        <v>0221 11:32:00-EUS-5-FIL-1-SW-UKN</v>
      </c>
    </row>
    <row r="3699" spans="1:48" s="10" customFormat="1" x14ac:dyDescent="0.55000000000000004">
      <c r="A3699" s="32">
        <v>44978</v>
      </c>
      <c r="B3699" s="33">
        <v>0.49444444444444446</v>
      </c>
      <c r="C3699" s="10" t="s">
        <v>618</v>
      </c>
      <c r="D3699" s="10">
        <v>0</v>
      </c>
      <c r="E3699" s="10" t="s">
        <v>911</v>
      </c>
      <c r="F3699" s="10">
        <v>1</v>
      </c>
      <c r="G3699" s="10" t="s">
        <v>231</v>
      </c>
      <c r="H3699" s="10" t="s">
        <v>322</v>
      </c>
      <c r="I3699" s="10" t="s">
        <v>209</v>
      </c>
      <c r="J3699" s="10">
        <v>49</v>
      </c>
      <c r="K3699" s="12">
        <v>44980</v>
      </c>
      <c r="L3699" s="33">
        <v>0.5411921296296297</v>
      </c>
      <c r="M3699" s="10">
        <v>1</v>
      </c>
      <c r="N3699" s="10" t="s">
        <v>169</v>
      </c>
      <c r="O3699" s="10">
        <v>3.49</v>
      </c>
      <c r="P3699" s="10">
        <v>0.161</v>
      </c>
      <c r="Q3699" s="10">
        <v>455</v>
      </c>
      <c r="R3699" s="10" t="s">
        <v>77</v>
      </c>
      <c r="S3699" s="34">
        <f t="shared" si="416"/>
        <v>455</v>
      </c>
      <c r="T3699" s="10" t="s">
        <v>1274</v>
      </c>
      <c r="U3699" s="34" t="str">
        <f t="shared" si="417"/>
        <v/>
      </c>
      <c r="V3699" s="31" t="str">
        <f>IF(H3699="CHK",VLOOKUP(I3699,QCCHK,3,),IF(H3699="GUP",VLOOKUP(E3699,QCGUP,2,),IF(AND(H3699="ATP",OR(I3699="TN",I3699="TDN",I3699="TNO2-3",I3699="NO2-3")),VLOOKUP(E3699,QCREC_N,2,),IF(AND(H3699="NIC",OR(I3699="TN",I3699="TDN",I3699="TNO2-3",I3699="NO2-3")),VLOOKUP(E3699,QCNIC_N,2,),IF(AND(H3699="UREA",OR(I3699="TN",I3699="TDN",I3699="TNO2-3",I3699="NO2-3")),VLOOKUP(E3699,QCUREA_N,2,),IF(H3699="PER",VLOOKUP(I3699,QCPER,MATCH(E3699,QCACTUAL!$J$25:$AA$25,0),),IF(H3699="SPK",VLOOKUP(I3699,QCSPK,3,),IF(AND(H3699="ATP",OR(I3699="TP",I3699="TDP")),VLOOKUP(E3699,QCATP_P,2,),""))))))))</f>
        <v/>
      </c>
      <c r="W3699" s="31" t="str">
        <f t="shared" si="418"/>
        <v>TRUE</v>
      </c>
      <c r="X3699" s="31" t="str">
        <f t="shared" si="415"/>
        <v/>
      </c>
      <c r="Y3699" s="10" t="s">
        <v>1253</v>
      </c>
      <c r="AL3699" s="10" t="str">
        <f t="shared" si="420"/>
        <v>FALSE</v>
      </c>
      <c r="AM3699" s="10" t="str">
        <f t="shared" si="420"/>
        <v>FALSE</v>
      </c>
      <c r="AN3699" s="10" t="str">
        <f t="shared" si="420"/>
        <v>FALSE</v>
      </c>
      <c r="AO3699" s="10" t="str">
        <f t="shared" si="421"/>
        <v>FALSE</v>
      </c>
      <c r="AP3699" s="10" t="str">
        <f t="shared" si="421"/>
        <v>FALSE</v>
      </c>
      <c r="AQ3699" s="10" t="b">
        <f>IF(AND(I3699="TP",S3699&lt;=150),VLOOKUP(AF3699,TPCalibEq150!$AZ$2:$BB$55,3,),IF(AND(I3699="TDP",S3699&lt;=150),VLOOKUP(AF3699,TPCalibEq150!$AZ$2:$BB$55,3,)))</f>
        <v>0</v>
      </c>
      <c r="AR3699" s="10" t="b">
        <f>IF(AND(I3699="TP",S3699&lt;=300),VLOOKUP(AF3699,TPCalibEq300!$AZ$2:$BB$55,3,),IF(AND(I3699="TDP",S3699&lt;=300),VLOOKUP(AF3699,TPCalibEq300!$AZ$2:$BB$55,3,)))</f>
        <v>0</v>
      </c>
      <c r="AS3699" s="10" t="b">
        <f>IF(AND(I3699="TP",S3699&lt;=500),VLOOKUP(AF3699,TPCalibEq500!$AZ$2:$BB$56,3,),IF(AND(I3699="TDP",S3699&lt;=500),VLOOKUP(AF3699,TPCalibEq500!$AZ$2:$BB$56,3,)))</f>
        <v>0</v>
      </c>
      <c r="AT3699" s="10" t="b">
        <f>IF(AND(I3699="TN",S3699&lt;=2800),VLOOKUP(AF3699,TNCalibEq2500!$AZ$2:$BB$56,3,),IF(AND(I3699="TDN",S3699&lt;=2800),VLOOKUP(AF3699,TNCalibEq2500!$AZ$2:$BB$56,3,)))</f>
        <v>0</v>
      </c>
      <c r="AU3699" s="10" t="b">
        <f>IF(I3699="TP",VLOOKUP(AF3699,TPCalibEqFull!$AZ$2:$BB$56,3),IF(I3699="TDP",VLOOKUP(AF3699,TPCalibEqFull!$AZ$2:$BB$56,3),IF(I3699="TDN",VLOOKUP(AF3699,TNCalibEqFull!$AZ$1:$BB$56,3),IF(I3699="TN",VLOOKUP(AF3699,TNCalibEqFull!$AZ$1:$BB$56,3),FALSE))))</f>
        <v>0</v>
      </c>
      <c r="AV3699" s="10" t="str">
        <f t="shared" si="419"/>
        <v>0221 11:52:00-ECP-0-FIL-1-SW-UKN</v>
      </c>
    </row>
    <row r="3700" spans="1:48" s="10" customFormat="1" x14ac:dyDescent="0.55000000000000004">
      <c r="A3700" s="32">
        <v>44978</v>
      </c>
      <c r="B3700" s="33">
        <v>0.49444444444444446</v>
      </c>
      <c r="C3700" s="10" t="s">
        <v>618</v>
      </c>
      <c r="D3700" s="10">
        <v>0</v>
      </c>
      <c r="E3700" s="10" t="s">
        <v>911</v>
      </c>
      <c r="F3700" s="10">
        <v>2</v>
      </c>
      <c r="G3700" s="10" t="s">
        <v>231</v>
      </c>
      <c r="H3700" s="10" t="s">
        <v>322</v>
      </c>
      <c r="I3700" s="10" t="s">
        <v>209</v>
      </c>
      <c r="J3700" s="10">
        <v>50</v>
      </c>
      <c r="K3700" s="12">
        <v>44980</v>
      </c>
      <c r="L3700" s="33">
        <v>0.54201388888888891</v>
      </c>
      <c r="M3700" s="10">
        <v>1</v>
      </c>
      <c r="N3700" s="10" t="s">
        <v>169</v>
      </c>
      <c r="O3700" s="10">
        <v>3.52</v>
      </c>
      <c r="P3700" s="10">
        <v>0.161</v>
      </c>
      <c r="Q3700" s="10">
        <v>459</v>
      </c>
      <c r="R3700" s="10" t="s">
        <v>77</v>
      </c>
      <c r="S3700" s="34">
        <f t="shared" si="416"/>
        <v>459</v>
      </c>
      <c r="T3700" s="10" t="s">
        <v>1274</v>
      </c>
      <c r="U3700" s="34" t="str">
        <f t="shared" si="417"/>
        <v/>
      </c>
      <c r="V3700" s="31" t="str">
        <f>IF(H3700="CHK",VLOOKUP(I3700,QCCHK,3,),IF(H3700="GUP",VLOOKUP(E3700,QCGUP,2,),IF(AND(H3700="ATP",OR(I3700="TN",I3700="TDN",I3700="TNO2-3",I3700="NO2-3")),VLOOKUP(E3700,QCREC_N,2,),IF(AND(H3700="NIC",OR(I3700="TN",I3700="TDN",I3700="TNO2-3",I3700="NO2-3")),VLOOKUP(E3700,QCNIC_N,2,),IF(AND(H3700="UREA",OR(I3700="TN",I3700="TDN",I3700="TNO2-3",I3700="NO2-3")),VLOOKUP(E3700,QCUREA_N,2,),IF(H3700="PER",VLOOKUP(I3700,QCPER,MATCH(E3700,QCACTUAL!$J$25:$AA$25,0),),IF(H3700="SPK",VLOOKUP(I3700,QCSPK,3,),IF(AND(H3700="ATP",OR(I3700="TP",I3700="TDP")),VLOOKUP(E3700,QCATP_P,2,),""))))))))</f>
        <v/>
      </c>
      <c r="W3700" s="31" t="str">
        <f t="shared" si="418"/>
        <v>TRUE</v>
      </c>
      <c r="X3700" s="31" t="str">
        <f t="shared" si="415"/>
        <v/>
      </c>
      <c r="Y3700" s="10" t="s">
        <v>1253</v>
      </c>
      <c r="AL3700" s="10" t="str">
        <f t="shared" si="420"/>
        <v>FALSE</v>
      </c>
      <c r="AM3700" s="10" t="str">
        <f t="shared" si="420"/>
        <v>FALSE</v>
      </c>
      <c r="AN3700" s="10" t="str">
        <f t="shared" si="420"/>
        <v>FALSE</v>
      </c>
      <c r="AO3700" s="10" t="str">
        <f t="shared" si="421"/>
        <v>FALSE</v>
      </c>
      <c r="AP3700" s="10" t="str">
        <f t="shared" si="421"/>
        <v>FALSE</v>
      </c>
      <c r="AQ3700" s="10" t="b">
        <f>IF(AND(I3700="TP",S3700&lt;=150),VLOOKUP(AF3700,TPCalibEq150!$AZ$2:$BB$55,3,),IF(AND(I3700="TDP",S3700&lt;=150),VLOOKUP(AF3700,TPCalibEq150!$AZ$2:$BB$55,3,)))</f>
        <v>0</v>
      </c>
      <c r="AR3700" s="10" t="b">
        <f>IF(AND(I3700="TP",S3700&lt;=300),VLOOKUP(AF3700,TPCalibEq300!$AZ$2:$BB$55,3,),IF(AND(I3700="TDP",S3700&lt;=300),VLOOKUP(AF3700,TPCalibEq300!$AZ$2:$BB$55,3,)))</f>
        <v>0</v>
      </c>
      <c r="AS3700" s="10" t="b">
        <f>IF(AND(I3700="TP",S3700&lt;=500),VLOOKUP(AF3700,TPCalibEq500!$AZ$2:$BB$56,3,),IF(AND(I3700="TDP",S3700&lt;=500),VLOOKUP(AF3700,TPCalibEq500!$AZ$2:$BB$56,3,)))</f>
        <v>0</v>
      </c>
      <c r="AT3700" s="10" t="b">
        <f>IF(AND(I3700="TN",S3700&lt;=2800),VLOOKUP(AF3700,TNCalibEq2500!$AZ$2:$BB$56,3,),IF(AND(I3700="TDN",S3700&lt;=2800),VLOOKUP(AF3700,TNCalibEq2500!$AZ$2:$BB$56,3,)))</f>
        <v>0</v>
      </c>
      <c r="AU3700" s="10" t="b">
        <f>IF(I3700="TP",VLOOKUP(AF3700,TPCalibEqFull!$AZ$2:$BB$56,3),IF(I3700="TDP",VLOOKUP(AF3700,TPCalibEqFull!$AZ$2:$BB$56,3),IF(I3700="TDN",VLOOKUP(AF3700,TNCalibEqFull!$AZ$1:$BB$56,3),IF(I3700="TN",VLOOKUP(AF3700,TNCalibEqFull!$AZ$1:$BB$56,3),FALSE))))</f>
        <v>0</v>
      </c>
      <c r="AV3700" s="10" t="str">
        <f t="shared" si="419"/>
        <v>0221 11:52:00-ECP-0-FIL-2-SW-UKN</v>
      </c>
    </row>
    <row r="3701" spans="1:48" s="10" customFormat="1" x14ac:dyDescent="0.55000000000000004">
      <c r="A3701" s="32">
        <v>44978</v>
      </c>
      <c r="B3701" s="33">
        <v>0.49444444444444446</v>
      </c>
      <c r="C3701" s="10" t="s">
        <v>618</v>
      </c>
      <c r="D3701" s="10">
        <v>0</v>
      </c>
      <c r="E3701" s="10" t="s">
        <v>911</v>
      </c>
      <c r="F3701" s="10">
        <v>2</v>
      </c>
      <c r="G3701" s="10" t="s">
        <v>231</v>
      </c>
      <c r="H3701" s="10" t="s">
        <v>233</v>
      </c>
      <c r="I3701" s="10" t="s">
        <v>209</v>
      </c>
      <c r="J3701" s="10">
        <v>50</v>
      </c>
      <c r="K3701" s="12">
        <v>44980</v>
      </c>
      <c r="L3701" s="33">
        <v>0.54283564814814811</v>
      </c>
      <c r="M3701" s="10">
        <v>1</v>
      </c>
      <c r="N3701" s="10" t="s">
        <v>169</v>
      </c>
      <c r="O3701" s="10">
        <v>3.49</v>
      </c>
      <c r="P3701" s="10">
        <v>0.16</v>
      </c>
      <c r="Q3701" s="10">
        <v>455</v>
      </c>
      <c r="R3701" s="10" t="s">
        <v>77</v>
      </c>
      <c r="S3701" s="34">
        <f t="shared" si="416"/>
        <v>455</v>
      </c>
      <c r="T3701" s="10" t="s">
        <v>1274</v>
      </c>
      <c r="U3701" s="34">
        <f t="shared" si="417"/>
        <v>0.87527352297592997</v>
      </c>
      <c r="V3701" s="31" t="str">
        <f>IF(H3701="CHK",VLOOKUP(I3701,QCCHK,3,),IF(H3701="GUP",VLOOKUP(E3701,QCGUP,2,),IF(AND(H3701="ATP",OR(I3701="TN",I3701="TDN",I3701="TNO2-3",I3701="NO2-3")),VLOOKUP(E3701,QCREC_N,2,),IF(AND(H3701="NIC",OR(I3701="TN",I3701="TDN",I3701="TNO2-3",I3701="NO2-3")),VLOOKUP(E3701,QCNIC_N,2,),IF(AND(H3701="UREA",OR(I3701="TN",I3701="TDN",I3701="TNO2-3",I3701="NO2-3")),VLOOKUP(E3701,QCUREA_N,2,),IF(H3701="PER",VLOOKUP(I3701,QCPER,MATCH(E3701,QCACTUAL!$J$25:$AA$25,0),),IF(H3701="SPK",VLOOKUP(I3701,QCSPK,3,),IF(AND(H3701="ATP",OR(I3701="TP",I3701="TDP")),VLOOKUP(E3701,QCATP_P,2,),""))))))))</f>
        <v/>
      </c>
      <c r="W3701" s="31" t="str">
        <f t="shared" si="418"/>
        <v>TRUE</v>
      </c>
      <c r="X3701" s="31" t="str">
        <f t="shared" si="415"/>
        <v>((ABS(rep1-rep2))/((rep1+rep2)/2)*100</v>
      </c>
      <c r="Y3701" s="10" t="s">
        <v>1253</v>
      </c>
      <c r="AL3701" s="10" t="str">
        <f t="shared" si="420"/>
        <v>FALSE</v>
      </c>
      <c r="AM3701" s="10" t="str">
        <f t="shared" si="420"/>
        <v>FALSE</v>
      </c>
      <c r="AN3701" s="10" t="str">
        <f t="shared" si="420"/>
        <v>FALSE</v>
      </c>
      <c r="AO3701" s="10" t="str">
        <f t="shared" si="421"/>
        <v>FALSE</v>
      </c>
      <c r="AP3701" s="10" t="str">
        <f t="shared" si="421"/>
        <v>FALSE</v>
      </c>
      <c r="AQ3701" s="10" t="b">
        <f>IF(AND(I3701="TP",S3701&lt;=150),VLOOKUP(AF3701,TPCalibEq150!$AZ$2:$BB$55,3,),IF(AND(I3701="TDP",S3701&lt;=150),VLOOKUP(AF3701,TPCalibEq150!$AZ$2:$BB$55,3,)))</f>
        <v>0</v>
      </c>
      <c r="AR3701" s="10" t="b">
        <f>IF(AND(I3701="TP",S3701&lt;=300),VLOOKUP(AF3701,TPCalibEq300!$AZ$2:$BB$55,3,),IF(AND(I3701="TDP",S3701&lt;=300),VLOOKUP(AF3701,TPCalibEq300!$AZ$2:$BB$55,3,)))</f>
        <v>0</v>
      </c>
      <c r="AS3701" s="10" t="b">
        <f>IF(AND(I3701="TP",S3701&lt;=500),VLOOKUP(AF3701,TPCalibEq500!$AZ$2:$BB$56,3,),IF(AND(I3701="TDP",S3701&lt;=500),VLOOKUP(AF3701,TPCalibEq500!$AZ$2:$BB$56,3,)))</f>
        <v>0</v>
      </c>
      <c r="AT3701" s="10" t="b">
        <f>IF(AND(I3701="TN",S3701&lt;=2800),VLOOKUP(AF3701,TNCalibEq2500!$AZ$2:$BB$56,3,),IF(AND(I3701="TDN",S3701&lt;=2800),VLOOKUP(AF3701,TNCalibEq2500!$AZ$2:$BB$56,3,)))</f>
        <v>0</v>
      </c>
      <c r="AU3701" s="10" t="b">
        <f>IF(I3701="TP",VLOOKUP(AF3701,TPCalibEqFull!$AZ$2:$BB$56,3),IF(I3701="TDP",VLOOKUP(AF3701,TPCalibEqFull!$AZ$2:$BB$56,3),IF(I3701="TDN",VLOOKUP(AF3701,TNCalibEqFull!$AZ$1:$BB$56,3),IF(I3701="TN",VLOOKUP(AF3701,TNCalibEqFull!$AZ$1:$BB$56,3),FALSE))))</f>
        <v>0</v>
      </c>
      <c r="AV3701" s="10" t="str">
        <f t="shared" si="419"/>
        <v>0221 11:52:00-ECP-0-FIL-2-SW-DUP</v>
      </c>
    </row>
    <row r="3702" spans="1:48" s="10" customFormat="1" x14ac:dyDescent="0.55000000000000004">
      <c r="A3702" s="32">
        <v>44978</v>
      </c>
      <c r="B3702" s="33">
        <v>0.49444444444444446</v>
      </c>
      <c r="C3702" s="10" t="s">
        <v>618</v>
      </c>
      <c r="D3702" s="10">
        <v>0</v>
      </c>
      <c r="E3702" s="10" t="s">
        <v>911</v>
      </c>
      <c r="F3702" s="10">
        <v>2</v>
      </c>
      <c r="G3702" s="10" t="s">
        <v>231</v>
      </c>
      <c r="H3702" s="10" t="s">
        <v>314</v>
      </c>
      <c r="I3702" s="10" t="s">
        <v>209</v>
      </c>
      <c r="J3702" s="10">
        <v>87</v>
      </c>
      <c r="K3702" s="12">
        <v>44980</v>
      </c>
      <c r="L3702" s="33">
        <v>0.54364583333333327</v>
      </c>
      <c r="M3702" s="10">
        <v>1</v>
      </c>
      <c r="N3702" s="10" t="s">
        <v>169</v>
      </c>
      <c r="O3702" s="10">
        <v>8.23</v>
      </c>
      <c r="P3702" s="10">
        <v>0.378</v>
      </c>
      <c r="Q3702" s="10">
        <v>1070</v>
      </c>
      <c r="R3702" s="10" t="s">
        <v>77</v>
      </c>
      <c r="S3702" s="34">
        <f t="shared" si="416"/>
        <v>1070</v>
      </c>
      <c r="T3702" s="10" t="s">
        <v>1274</v>
      </c>
      <c r="U3702" s="34">
        <f t="shared" si="417"/>
        <v>98.4</v>
      </c>
      <c r="V3702" s="31">
        <f>IF(H3702="CHK",VLOOKUP(I3702,QCCHK,3,),IF(H3702="GUP",VLOOKUP(E3702,QCGUP,2,),IF(AND(H3702="ATP",OR(I3702="TN",I3702="TDN",I3702="TNO2-3",I3702="NO2-3")),VLOOKUP(E3702,QCREC_N,2,),IF(AND(H3702="NIC",OR(I3702="TN",I3702="TDN",I3702="TNO2-3",I3702="NO2-3")),VLOOKUP(E3702,QCNIC_N,2,),IF(AND(H3702="UREA",OR(I3702="TN",I3702="TDN",I3702="TNO2-3",I3702="NO2-3")),VLOOKUP(E3702,QCUREA_N,2,),IF(H3702="PER",VLOOKUP(I3702,QCPER,MATCH(E3702,QCACTUAL!$J$25:$AA$25,0),),IF(H3702="SPK",VLOOKUP(I3702,QCSPK,3,),IF(AND(H3702="ATP",OR(I3702="TP",I3702="TDP")),VLOOKUP(E3702,QCATP_P,2,),""))))))))</f>
        <v>625</v>
      </c>
      <c r="W3702" s="31" t="str">
        <f t="shared" si="418"/>
        <v>TRUE</v>
      </c>
      <c r="X3702" s="31" t="str">
        <f t="shared" si="415"/>
        <v>([spikedunkn]-[unkn])/[spike]*100</v>
      </c>
      <c r="Y3702" s="10" t="s">
        <v>1253</v>
      </c>
      <c r="AL3702" s="10" t="str">
        <f t="shared" si="420"/>
        <v>FALSE</v>
      </c>
      <c r="AM3702" s="10" t="str">
        <f t="shared" si="420"/>
        <v>FALSE</v>
      </c>
      <c r="AN3702" s="10" t="str">
        <f t="shared" si="420"/>
        <v>FALSE</v>
      </c>
      <c r="AO3702" s="10" t="str">
        <f t="shared" si="421"/>
        <v>FALSE</v>
      </c>
      <c r="AP3702" s="10" t="str">
        <f t="shared" si="421"/>
        <v>FALSE</v>
      </c>
      <c r="AQ3702" s="10" t="b">
        <f>IF(AND(I3702="TP",S3702&lt;=150),VLOOKUP(AF3702,TPCalibEq150!$AZ$2:$BB$55,3,),IF(AND(I3702="TDP",S3702&lt;=150),VLOOKUP(AF3702,TPCalibEq150!$AZ$2:$BB$55,3,)))</f>
        <v>0</v>
      </c>
      <c r="AR3702" s="10" t="b">
        <f>IF(AND(I3702="TP",S3702&lt;=300),VLOOKUP(AF3702,TPCalibEq300!$AZ$2:$BB$55,3,),IF(AND(I3702="TDP",S3702&lt;=300),VLOOKUP(AF3702,TPCalibEq300!$AZ$2:$BB$55,3,)))</f>
        <v>0</v>
      </c>
      <c r="AS3702" s="10" t="b">
        <f>IF(AND(I3702="TP",S3702&lt;=500),VLOOKUP(AF3702,TPCalibEq500!$AZ$2:$BB$56,3,),IF(AND(I3702="TDP",S3702&lt;=500),VLOOKUP(AF3702,TPCalibEq500!$AZ$2:$BB$56,3,)))</f>
        <v>0</v>
      </c>
      <c r="AT3702" s="10" t="b">
        <f>IF(AND(I3702="TN",S3702&lt;=2800),VLOOKUP(AF3702,TNCalibEq2500!$AZ$2:$BB$56,3,),IF(AND(I3702="TDN",S3702&lt;=2800),VLOOKUP(AF3702,TNCalibEq2500!$AZ$2:$BB$56,3,)))</f>
        <v>0</v>
      </c>
      <c r="AU3702" s="10" t="b">
        <f>IF(I3702="TP",VLOOKUP(AF3702,TPCalibEqFull!$AZ$2:$BB$56,3),IF(I3702="TDP",VLOOKUP(AF3702,TPCalibEqFull!$AZ$2:$BB$56,3),IF(I3702="TDN",VLOOKUP(AF3702,TNCalibEqFull!$AZ$1:$BB$56,3),IF(I3702="TN",VLOOKUP(AF3702,TNCalibEqFull!$AZ$1:$BB$56,3),FALSE))))</f>
        <v>0</v>
      </c>
      <c r="AV3702" s="10" t="str">
        <f t="shared" si="419"/>
        <v>0221 11:52:00-ECP-0-FIL-2-SW-SPK</v>
      </c>
    </row>
    <row r="3703" spans="1:48" s="10" customFormat="1" x14ac:dyDescent="0.55000000000000004">
      <c r="A3703" s="32">
        <v>44979</v>
      </c>
      <c r="B3703" s="33">
        <v>0.375</v>
      </c>
      <c r="C3703" s="10" t="s">
        <v>70</v>
      </c>
      <c r="D3703" s="10" t="s">
        <v>71</v>
      </c>
      <c r="E3703" s="10" t="s">
        <v>901</v>
      </c>
      <c r="F3703" s="10">
        <v>1</v>
      </c>
      <c r="G3703" s="10" t="s">
        <v>73</v>
      </c>
      <c r="H3703" s="10" t="s">
        <v>207</v>
      </c>
      <c r="I3703" s="10" t="s">
        <v>256</v>
      </c>
      <c r="J3703" s="10">
        <v>202</v>
      </c>
      <c r="K3703" s="12">
        <v>44980</v>
      </c>
      <c r="L3703" s="33">
        <v>0.54446759259259259</v>
      </c>
      <c r="M3703" s="10">
        <v>1</v>
      </c>
      <c r="N3703" s="10" t="s">
        <v>169</v>
      </c>
      <c r="O3703" s="10">
        <v>2.2400000000000002</v>
      </c>
      <c r="P3703" s="10">
        <v>0.105</v>
      </c>
      <c r="Q3703" s="10">
        <v>292</v>
      </c>
      <c r="R3703" s="10" t="s">
        <v>77</v>
      </c>
      <c r="S3703" s="34">
        <f t="shared" si="416"/>
        <v>292</v>
      </c>
      <c r="T3703" s="10" t="s">
        <v>1274</v>
      </c>
      <c r="U3703" s="34">
        <f t="shared" si="417"/>
        <v>97.333333333333343</v>
      </c>
      <c r="V3703" s="31">
        <f>IF(H3703="CHK",VLOOKUP(I3703,QCCHK,3,),IF(H3703="GUP",VLOOKUP(E3703,QCGUP,2,),IF(AND(H3703="ATP",OR(I3703="TN",I3703="TDN",I3703="TNO2-3",I3703="NO2-3")),VLOOKUP(E3703,QCREC_N,2,),IF(AND(H3703="NIC",OR(I3703="TN",I3703="TDN",I3703="TNO2-3",I3703="NO2-3")),VLOOKUP(E3703,QCNIC_N,2,),IF(AND(H3703="UREA",OR(I3703="TN",I3703="TDN",I3703="TNO2-3",I3703="NO2-3")),VLOOKUP(E3703,QCUREA_N,2,),IF(H3703="PER",VLOOKUP(I3703,QCPER,MATCH(E3703,QCACTUAL!$J$25:$AA$25,0),),IF(H3703="SPK",VLOOKUP(I3703,QCSPK,3,),IF(AND(H3703="ATP",OR(I3703="TP",I3703="TDP")),VLOOKUP(E3703,QCATP_P,2,),""))))))))</f>
        <v>300</v>
      </c>
      <c r="W3703" s="31" t="str">
        <f t="shared" si="418"/>
        <v>TRUE</v>
      </c>
      <c r="X3703" s="31" t="str">
        <f t="shared" si="415"/>
        <v>[chk]/[actual]*100</v>
      </c>
      <c r="Y3703" s="10" t="s">
        <v>1253</v>
      </c>
      <c r="AL3703" s="10" t="str">
        <f t="shared" si="420"/>
        <v>FALSE</v>
      </c>
      <c r="AM3703" s="10" t="str">
        <f t="shared" si="420"/>
        <v>FALSE</v>
      </c>
      <c r="AN3703" s="10" t="str">
        <f t="shared" si="420"/>
        <v>FALSE</v>
      </c>
      <c r="AO3703" s="10" t="str">
        <f t="shared" si="421"/>
        <v>FALSE</v>
      </c>
      <c r="AP3703" s="10" t="str">
        <f t="shared" si="421"/>
        <v>FALSE</v>
      </c>
      <c r="AQ3703" s="10" t="b">
        <f>IF(AND(I3703="TP",S3703&lt;=150),VLOOKUP(AF3703,TPCalibEq150!$AZ$2:$BB$55,3,),IF(AND(I3703="TDP",S3703&lt;=150),VLOOKUP(AF3703,TPCalibEq150!$AZ$2:$BB$55,3,)))</f>
        <v>0</v>
      </c>
      <c r="AR3703" s="10" t="b">
        <f>IF(AND(I3703="TP",S3703&lt;=300),VLOOKUP(AF3703,TPCalibEq300!$AZ$2:$BB$55,3,),IF(AND(I3703="TDP",S3703&lt;=300),VLOOKUP(AF3703,TPCalibEq300!$AZ$2:$BB$55,3,)))</f>
        <v>0</v>
      </c>
      <c r="AS3703" s="10" t="b">
        <f>IF(AND(I3703="TP",S3703&lt;=500),VLOOKUP(AF3703,TPCalibEq500!$AZ$2:$BB$56,3,),IF(AND(I3703="TDP",S3703&lt;=500),VLOOKUP(AF3703,TPCalibEq500!$AZ$2:$BB$56,3,)))</f>
        <v>0</v>
      </c>
      <c r="AT3703" s="10" t="b">
        <f>IF(AND(I3703="TN",S3703&lt;=2800),VLOOKUP(AF3703,TNCalibEq2500!$AZ$2:$BB$56,3,),IF(AND(I3703="TDN",S3703&lt;=2800),VLOOKUP(AF3703,TNCalibEq2500!$AZ$2:$BB$56,3,)))</f>
        <v>0</v>
      </c>
      <c r="AU3703" s="10" t="b">
        <f>IF(I3703="TP",VLOOKUP(AF3703,TPCalibEqFull!$AZ$2:$BB$56,3),IF(I3703="TDP",VLOOKUP(AF3703,TPCalibEqFull!$AZ$2:$BB$56,3),IF(I3703="TDN",VLOOKUP(AF3703,TNCalibEqFull!$AZ$1:$BB$56,3),IF(I3703="TN",VLOOKUP(AF3703,TNCalibEqFull!$AZ$1:$BB$56,3),FALSE))))</f>
        <v>0</v>
      </c>
      <c r="AV3703" s="10" t="str">
        <f t="shared" si="419"/>
        <v>0222 09:00:00-QAC-STD-D-1-DI-CHK</v>
      </c>
    </row>
    <row r="3704" spans="1:48" s="10" customFormat="1" x14ac:dyDescent="0.55000000000000004">
      <c r="A3704" s="32">
        <v>44978</v>
      </c>
      <c r="B3704" s="33">
        <v>0.49652777777777773</v>
      </c>
      <c r="C3704" s="10" t="s">
        <v>618</v>
      </c>
      <c r="D3704" s="10">
        <v>5</v>
      </c>
      <c r="E3704" s="10" t="s">
        <v>911</v>
      </c>
      <c r="F3704" s="10">
        <v>1</v>
      </c>
      <c r="G3704" s="10" t="s">
        <v>231</v>
      </c>
      <c r="H3704" s="10" t="s">
        <v>322</v>
      </c>
      <c r="I3704" s="10" t="s">
        <v>209</v>
      </c>
      <c r="J3704" s="10">
        <v>51</v>
      </c>
      <c r="K3704" s="12">
        <v>44980</v>
      </c>
      <c r="L3704" s="33">
        <v>0.5452893518518519</v>
      </c>
      <c r="M3704" s="10">
        <v>1</v>
      </c>
      <c r="N3704" s="10" t="s">
        <v>169</v>
      </c>
      <c r="O3704" s="10">
        <v>3.49</v>
      </c>
      <c r="P3704" s="10">
        <v>0.16</v>
      </c>
      <c r="Q3704" s="10">
        <v>455</v>
      </c>
      <c r="R3704" s="10" t="s">
        <v>77</v>
      </c>
      <c r="S3704" s="34">
        <f t="shared" si="416"/>
        <v>455</v>
      </c>
      <c r="T3704" s="10" t="s">
        <v>1274</v>
      </c>
      <c r="U3704" s="34" t="str">
        <f t="shared" si="417"/>
        <v/>
      </c>
      <c r="V3704" s="31" t="str">
        <f>IF(H3704="CHK",VLOOKUP(I3704,QCCHK,3,),IF(H3704="GUP",VLOOKUP(E3704,QCGUP,2,),IF(AND(H3704="ATP",OR(I3704="TN",I3704="TDN",I3704="TNO2-3",I3704="NO2-3")),VLOOKUP(E3704,QCREC_N,2,),IF(AND(H3704="NIC",OR(I3704="TN",I3704="TDN",I3704="TNO2-3",I3704="NO2-3")),VLOOKUP(E3704,QCNIC_N,2,),IF(AND(H3704="UREA",OR(I3704="TN",I3704="TDN",I3704="TNO2-3",I3704="NO2-3")),VLOOKUP(E3704,QCUREA_N,2,),IF(H3704="PER",VLOOKUP(I3704,QCPER,MATCH(E3704,QCACTUAL!$J$25:$AA$25,0),),IF(H3704="SPK",VLOOKUP(I3704,QCSPK,3,),IF(AND(H3704="ATP",OR(I3704="TP",I3704="TDP")),VLOOKUP(E3704,QCATP_P,2,),""))))))))</f>
        <v/>
      </c>
      <c r="W3704" s="31" t="str">
        <f t="shared" si="418"/>
        <v>TRUE</v>
      </c>
      <c r="X3704" s="31" t="str">
        <f t="shared" si="415"/>
        <v/>
      </c>
      <c r="Y3704" s="10" t="s">
        <v>1253</v>
      </c>
      <c r="AL3704" s="10" t="str">
        <f t="shared" si="420"/>
        <v>FALSE</v>
      </c>
      <c r="AM3704" s="10" t="str">
        <f t="shared" si="420"/>
        <v>FALSE</v>
      </c>
      <c r="AN3704" s="10" t="str">
        <f t="shared" si="420"/>
        <v>FALSE</v>
      </c>
      <c r="AO3704" s="10" t="str">
        <f t="shared" si="421"/>
        <v>FALSE</v>
      </c>
      <c r="AP3704" s="10" t="str">
        <f t="shared" si="421"/>
        <v>FALSE</v>
      </c>
      <c r="AQ3704" s="10" t="b">
        <f>IF(AND(I3704="TP",S3704&lt;=150),VLOOKUP(AF3704,TPCalibEq150!$AZ$2:$BB$55,3,),IF(AND(I3704="TDP",S3704&lt;=150),VLOOKUP(AF3704,TPCalibEq150!$AZ$2:$BB$55,3,)))</f>
        <v>0</v>
      </c>
      <c r="AR3704" s="10" t="b">
        <f>IF(AND(I3704="TP",S3704&lt;=300),VLOOKUP(AF3704,TPCalibEq300!$AZ$2:$BB$55,3,),IF(AND(I3704="TDP",S3704&lt;=300),VLOOKUP(AF3704,TPCalibEq300!$AZ$2:$BB$55,3,)))</f>
        <v>0</v>
      </c>
      <c r="AS3704" s="10" t="b">
        <f>IF(AND(I3704="TP",S3704&lt;=500),VLOOKUP(AF3704,TPCalibEq500!$AZ$2:$BB$56,3,),IF(AND(I3704="TDP",S3704&lt;=500),VLOOKUP(AF3704,TPCalibEq500!$AZ$2:$BB$56,3,)))</f>
        <v>0</v>
      </c>
      <c r="AT3704" s="10" t="b">
        <f>IF(AND(I3704="TN",S3704&lt;=2800),VLOOKUP(AF3704,TNCalibEq2500!$AZ$2:$BB$56,3,),IF(AND(I3704="TDN",S3704&lt;=2800),VLOOKUP(AF3704,TNCalibEq2500!$AZ$2:$BB$56,3,)))</f>
        <v>0</v>
      </c>
      <c r="AU3704" s="10" t="b">
        <f>IF(I3704="TP",VLOOKUP(AF3704,TPCalibEqFull!$AZ$2:$BB$56,3),IF(I3704="TDP",VLOOKUP(AF3704,TPCalibEqFull!$AZ$2:$BB$56,3),IF(I3704="TDN",VLOOKUP(AF3704,TNCalibEqFull!$AZ$1:$BB$56,3),IF(I3704="TN",VLOOKUP(AF3704,TNCalibEqFull!$AZ$1:$BB$56,3),FALSE))))</f>
        <v>0</v>
      </c>
      <c r="AV3704" s="10" t="str">
        <f t="shared" si="419"/>
        <v>0221 11:55:00-ECP-5-FIL-1-SW-UKN</v>
      </c>
    </row>
    <row r="3705" spans="1:48" s="10" customFormat="1" x14ac:dyDescent="0.55000000000000004">
      <c r="A3705" s="32">
        <v>44978</v>
      </c>
      <c r="B3705" s="33">
        <v>0.49861111111111112</v>
      </c>
      <c r="C3705" s="10" t="s">
        <v>618</v>
      </c>
      <c r="D3705" s="10">
        <v>10</v>
      </c>
      <c r="E3705" s="10" t="s">
        <v>911</v>
      </c>
      <c r="F3705" s="10">
        <v>1</v>
      </c>
      <c r="G3705" s="10" t="s">
        <v>231</v>
      </c>
      <c r="H3705" s="10" t="s">
        <v>322</v>
      </c>
      <c r="I3705" s="10" t="s">
        <v>209</v>
      </c>
      <c r="J3705" s="10">
        <v>52</v>
      </c>
      <c r="K3705" s="12">
        <v>44980</v>
      </c>
      <c r="L3705" s="33">
        <v>0.5461111111111111</v>
      </c>
      <c r="M3705" s="10">
        <v>1</v>
      </c>
      <c r="N3705" s="10" t="s">
        <v>169</v>
      </c>
      <c r="O3705" s="10">
        <v>3.48</v>
      </c>
      <c r="P3705" s="10">
        <v>0.16</v>
      </c>
      <c r="Q3705" s="10">
        <v>453</v>
      </c>
      <c r="R3705" s="10" t="s">
        <v>77</v>
      </c>
      <c r="S3705" s="34">
        <f t="shared" si="416"/>
        <v>453</v>
      </c>
      <c r="T3705" s="10" t="s">
        <v>1274</v>
      </c>
      <c r="U3705" s="34" t="str">
        <f t="shared" si="417"/>
        <v/>
      </c>
      <c r="V3705" s="31" t="str">
        <f>IF(H3705="CHK",VLOOKUP(I3705,QCCHK,3,),IF(H3705="GUP",VLOOKUP(E3705,QCGUP,2,),IF(AND(H3705="ATP",OR(I3705="TN",I3705="TDN",I3705="TNO2-3",I3705="NO2-3")),VLOOKUP(E3705,QCREC_N,2,),IF(AND(H3705="NIC",OR(I3705="TN",I3705="TDN",I3705="TNO2-3",I3705="NO2-3")),VLOOKUP(E3705,QCNIC_N,2,),IF(AND(H3705="UREA",OR(I3705="TN",I3705="TDN",I3705="TNO2-3",I3705="NO2-3")),VLOOKUP(E3705,QCUREA_N,2,),IF(H3705="PER",VLOOKUP(I3705,QCPER,MATCH(E3705,QCACTUAL!$J$25:$AA$25,0),),IF(H3705="SPK",VLOOKUP(I3705,QCSPK,3,),IF(AND(H3705="ATP",OR(I3705="TP",I3705="TDP")),VLOOKUP(E3705,QCATP_P,2,),""))))))))</f>
        <v/>
      </c>
      <c r="W3705" s="31" t="str">
        <f t="shared" si="418"/>
        <v>TRUE</v>
      </c>
      <c r="X3705" s="31" t="str">
        <f t="shared" si="415"/>
        <v/>
      </c>
      <c r="Y3705" s="10" t="s">
        <v>1253</v>
      </c>
      <c r="AL3705" s="10" t="str">
        <f t="shared" si="420"/>
        <v>FALSE</v>
      </c>
      <c r="AM3705" s="10" t="str">
        <f t="shared" si="420"/>
        <v>FALSE</v>
      </c>
      <c r="AN3705" s="10" t="str">
        <f t="shared" si="420"/>
        <v>FALSE</v>
      </c>
      <c r="AO3705" s="10" t="str">
        <f t="shared" si="421"/>
        <v>FALSE</v>
      </c>
      <c r="AP3705" s="10" t="str">
        <f t="shared" si="421"/>
        <v>FALSE</v>
      </c>
      <c r="AQ3705" s="10" t="b">
        <f>IF(AND(I3705="TP",S3705&lt;=150),VLOOKUP(AF3705,TPCalibEq150!$AZ$2:$BB$55,3,),IF(AND(I3705="TDP",S3705&lt;=150),VLOOKUP(AF3705,TPCalibEq150!$AZ$2:$BB$55,3,)))</f>
        <v>0</v>
      </c>
      <c r="AR3705" s="10" t="b">
        <f>IF(AND(I3705="TP",S3705&lt;=300),VLOOKUP(AF3705,TPCalibEq300!$AZ$2:$BB$55,3,),IF(AND(I3705="TDP",S3705&lt;=300),VLOOKUP(AF3705,TPCalibEq300!$AZ$2:$BB$55,3,)))</f>
        <v>0</v>
      </c>
      <c r="AS3705" s="10" t="b">
        <f>IF(AND(I3705="TP",S3705&lt;=500),VLOOKUP(AF3705,TPCalibEq500!$AZ$2:$BB$56,3,),IF(AND(I3705="TDP",S3705&lt;=500),VLOOKUP(AF3705,TPCalibEq500!$AZ$2:$BB$56,3,)))</f>
        <v>0</v>
      </c>
      <c r="AT3705" s="10" t="b">
        <f>IF(AND(I3705="TN",S3705&lt;=2800),VLOOKUP(AF3705,TNCalibEq2500!$AZ$2:$BB$56,3,),IF(AND(I3705="TDN",S3705&lt;=2800),VLOOKUP(AF3705,TNCalibEq2500!$AZ$2:$BB$56,3,)))</f>
        <v>0</v>
      </c>
      <c r="AU3705" s="10" t="b">
        <f>IF(I3705="TP",VLOOKUP(AF3705,TPCalibEqFull!$AZ$2:$BB$56,3),IF(I3705="TDP",VLOOKUP(AF3705,TPCalibEqFull!$AZ$2:$BB$56,3),IF(I3705="TDN",VLOOKUP(AF3705,TNCalibEqFull!$AZ$1:$BB$56,3),IF(I3705="TN",VLOOKUP(AF3705,TNCalibEqFull!$AZ$1:$BB$56,3),FALSE))))</f>
        <v>0</v>
      </c>
      <c r="AV3705" s="10" t="str">
        <f t="shared" si="419"/>
        <v>0221 11:58:00-ECP-10-FIL-1-SW-UKN</v>
      </c>
    </row>
    <row r="3706" spans="1:48" s="10" customFormat="1" x14ac:dyDescent="0.55000000000000004">
      <c r="A3706" s="32">
        <v>44978</v>
      </c>
      <c r="B3706" s="33">
        <v>0.50208333333333333</v>
      </c>
      <c r="C3706" s="10" t="s">
        <v>618</v>
      </c>
      <c r="D3706" s="10">
        <v>20</v>
      </c>
      <c r="E3706" s="10" t="s">
        <v>911</v>
      </c>
      <c r="F3706" s="10">
        <v>1</v>
      </c>
      <c r="G3706" s="10" t="s">
        <v>231</v>
      </c>
      <c r="H3706" s="10" t="s">
        <v>322</v>
      </c>
      <c r="I3706" s="10" t="s">
        <v>209</v>
      </c>
      <c r="J3706" s="10">
        <v>53</v>
      </c>
      <c r="K3706" s="12">
        <v>44980</v>
      </c>
      <c r="L3706" s="33">
        <v>0.54692129629629627</v>
      </c>
      <c r="M3706" s="10">
        <v>1</v>
      </c>
      <c r="N3706" s="10" t="s">
        <v>169</v>
      </c>
      <c r="O3706" s="10">
        <v>3.51</v>
      </c>
      <c r="P3706" s="10">
        <v>0.161</v>
      </c>
      <c r="Q3706" s="10">
        <v>458</v>
      </c>
      <c r="R3706" s="10" t="s">
        <v>77</v>
      </c>
      <c r="S3706" s="34">
        <f t="shared" si="416"/>
        <v>458</v>
      </c>
      <c r="T3706" s="10" t="s">
        <v>1274</v>
      </c>
      <c r="U3706" s="34" t="str">
        <f t="shared" si="417"/>
        <v/>
      </c>
      <c r="V3706" s="31" t="str">
        <f>IF(H3706="CHK",VLOOKUP(I3706,QCCHK,3,),IF(H3706="GUP",VLOOKUP(E3706,QCGUP,2,),IF(AND(H3706="ATP",OR(I3706="TN",I3706="TDN",I3706="TNO2-3",I3706="NO2-3")),VLOOKUP(E3706,QCREC_N,2,),IF(AND(H3706="NIC",OR(I3706="TN",I3706="TDN",I3706="TNO2-3",I3706="NO2-3")),VLOOKUP(E3706,QCNIC_N,2,),IF(AND(H3706="UREA",OR(I3706="TN",I3706="TDN",I3706="TNO2-3",I3706="NO2-3")),VLOOKUP(E3706,QCUREA_N,2,),IF(H3706="PER",VLOOKUP(I3706,QCPER,MATCH(E3706,QCACTUAL!$J$25:$AA$25,0),),IF(H3706="SPK",VLOOKUP(I3706,QCSPK,3,),IF(AND(H3706="ATP",OR(I3706="TP",I3706="TDP")),VLOOKUP(E3706,QCATP_P,2,),""))))))))</f>
        <v/>
      </c>
      <c r="W3706" s="31" t="str">
        <f t="shared" si="418"/>
        <v>TRUE</v>
      </c>
      <c r="X3706" s="31" t="str">
        <f t="shared" si="415"/>
        <v/>
      </c>
      <c r="Y3706" s="10" t="s">
        <v>1253</v>
      </c>
      <c r="AL3706" s="10" t="str">
        <f t="shared" si="420"/>
        <v>FALSE</v>
      </c>
      <c r="AM3706" s="10" t="str">
        <f t="shared" si="420"/>
        <v>FALSE</v>
      </c>
      <c r="AN3706" s="10" t="str">
        <f t="shared" si="420"/>
        <v>FALSE</v>
      </c>
      <c r="AO3706" s="10" t="str">
        <f t="shared" si="421"/>
        <v>FALSE</v>
      </c>
      <c r="AP3706" s="10" t="str">
        <f t="shared" si="421"/>
        <v>FALSE</v>
      </c>
      <c r="AQ3706" s="10" t="b">
        <f>IF(AND(I3706="TP",S3706&lt;=150),VLOOKUP(AF3706,TPCalibEq150!$AZ$2:$BB$55,3,),IF(AND(I3706="TDP",S3706&lt;=150),VLOOKUP(AF3706,TPCalibEq150!$AZ$2:$BB$55,3,)))</f>
        <v>0</v>
      </c>
      <c r="AR3706" s="10" t="b">
        <f>IF(AND(I3706="TP",S3706&lt;=300),VLOOKUP(AF3706,TPCalibEq300!$AZ$2:$BB$55,3,),IF(AND(I3706="TDP",S3706&lt;=300),VLOOKUP(AF3706,TPCalibEq300!$AZ$2:$BB$55,3,)))</f>
        <v>0</v>
      </c>
      <c r="AS3706" s="10" t="b">
        <f>IF(AND(I3706="TP",S3706&lt;=500),VLOOKUP(AF3706,TPCalibEq500!$AZ$2:$BB$56,3,),IF(AND(I3706="TDP",S3706&lt;=500),VLOOKUP(AF3706,TPCalibEq500!$AZ$2:$BB$56,3,)))</f>
        <v>0</v>
      </c>
      <c r="AT3706" s="10" t="b">
        <f>IF(AND(I3706="TN",S3706&lt;=2800),VLOOKUP(AF3706,TNCalibEq2500!$AZ$2:$BB$56,3,),IF(AND(I3706="TDN",S3706&lt;=2800),VLOOKUP(AF3706,TNCalibEq2500!$AZ$2:$BB$56,3,)))</f>
        <v>0</v>
      </c>
      <c r="AU3706" s="10" t="b">
        <f>IF(I3706="TP",VLOOKUP(AF3706,TPCalibEqFull!$AZ$2:$BB$56,3),IF(I3706="TDP",VLOOKUP(AF3706,TPCalibEqFull!$AZ$2:$BB$56,3),IF(I3706="TDN",VLOOKUP(AF3706,TNCalibEqFull!$AZ$1:$BB$56,3),IF(I3706="TN",VLOOKUP(AF3706,TNCalibEqFull!$AZ$1:$BB$56,3),FALSE))))</f>
        <v>0</v>
      </c>
      <c r="AV3706" s="10" t="str">
        <f t="shared" si="419"/>
        <v>0221 12:03:00-ECP-20-FIL-1-SW-UKN</v>
      </c>
    </row>
    <row r="3707" spans="1:48" s="10" customFormat="1" x14ac:dyDescent="0.55000000000000004">
      <c r="A3707" s="32">
        <v>44978</v>
      </c>
      <c r="B3707" s="33">
        <v>0.50416666666666665</v>
      </c>
      <c r="C3707" s="10" t="s">
        <v>618</v>
      </c>
      <c r="D3707" s="10">
        <v>29</v>
      </c>
      <c r="E3707" s="10" t="s">
        <v>911</v>
      </c>
      <c r="F3707" s="10">
        <v>1</v>
      </c>
      <c r="G3707" s="10" t="s">
        <v>231</v>
      </c>
      <c r="H3707" s="10" t="s">
        <v>322</v>
      </c>
      <c r="I3707" s="10" t="s">
        <v>209</v>
      </c>
      <c r="J3707" s="10">
        <v>54</v>
      </c>
      <c r="K3707" s="12">
        <v>44980</v>
      </c>
      <c r="L3707" s="33">
        <v>0.54773148148148143</v>
      </c>
      <c r="M3707" s="10">
        <v>1</v>
      </c>
      <c r="N3707" s="10" t="s">
        <v>169</v>
      </c>
      <c r="O3707" s="10">
        <v>4.24</v>
      </c>
      <c r="P3707" s="10">
        <v>0.19500000000000001</v>
      </c>
      <c r="Q3707" s="10">
        <v>552</v>
      </c>
      <c r="R3707" s="10" t="s">
        <v>77</v>
      </c>
      <c r="S3707" s="34">
        <f t="shared" si="416"/>
        <v>552</v>
      </c>
      <c r="T3707" s="10" t="s">
        <v>1274</v>
      </c>
      <c r="U3707" s="34" t="str">
        <f t="shared" si="417"/>
        <v/>
      </c>
      <c r="V3707" s="31" t="str">
        <f>IF(H3707="CHK",VLOOKUP(I3707,QCCHK,3,),IF(H3707="GUP",VLOOKUP(E3707,QCGUP,2,),IF(AND(H3707="ATP",OR(I3707="TN",I3707="TDN",I3707="TNO2-3",I3707="NO2-3")),VLOOKUP(E3707,QCREC_N,2,),IF(AND(H3707="NIC",OR(I3707="TN",I3707="TDN",I3707="TNO2-3",I3707="NO2-3")),VLOOKUP(E3707,QCNIC_N,2,),IF(AND(H3707="UREA",OR(I3707="TN",I3707="TDN",I3707="TNO2-3",I3707="NO2-3")),VLOOKUP(E3707,QCUREA_N,2,),IF(H3707="PER",VLOOKUP(I3707,QCPER,MATCH(E3707,QCACTUAL!$J$25:$AA$25,0),),IF(H3707="SPK",VLOOKUP(I3707,QCSPK,3,),IF(AND(H3707="ATP",OR(I3707="TP",I3707="TDP")),VLOOKUP(E3707,QCATP_P,2,),""))))))))</f>
        <v/>
      </c>
      <c r="W3707" s="31" t="str">
        <f t="shared" si="418"/>
        <v>TRUE</v>
      </c>
      <c r="X3707" s="31" t="str">
        <f t="shared" si="415"/>
        <v/>
      </c>
      <c r="Y3707" s="10" t="s">
        <v>1253</v>
      </c>
      <c r="AL3707" s="10" t="str">
        <f t="shared" si="420"/>
        <v>FALSE</v>
      </c>
      <c r="AM3707" s="10" t="str">
        <f t="shared" si="420"/>
        <v>FALSE</v>
      </c>
      <c r="AN3707" s="10" t="str">
        <f t="shared" si="420"/>
        <v>FALSE</v>
      </c>
      <c r="AO3707" s="10" t="str">
        <f t="shared" si="421"/>
        <v>FALSE</v>
      </c>
      <c r="AP3707" s="10" t="str">
        <f t="shared" si="421"/>
        <v>FALSE</v>
      </c>
      <c r="AQ3707" s="10" t="b">
        <f>IF(AND(I3707="TP",S3707&lt;=150),VLOOKUP(AF3707,TPCalibEq150!$AZ$2:$BB$55,3,),IF(AND(I3707="TDP",S3707&lt;=150),VLOOKUP(AF3707,TPCalibEq150!$AZ$2:$BB$55,3,)))</f>
        <v>0</v>
      </c>
      <c r="AR3707" s="10" t="b">
        <f>IF(AND(I3707="TP",S3707&lt;=300),VLOOKUP(AF3707,TPCalibEq300!$AZ$2:$BB$55,3,),IF(AND(I3707="TDP",S3707&lt;=300),VLOOKUP(AF3707,TPCalibEq300!$AZ$2:$BB$55,3,)))</f>
        <v>0</v>
      </c>
      <c r="AS3707" s="10" t="b">
        <f>IF(AND(I3707="TP",S3707&lt;=500),VLOOKUP(AF3707,TPCalibEq500!$AZ$2:$BB$56,3,),IF(AND(I3707="TDP",S3707&lt;=500),VLOOKUP(AF3707,TPCalibEq500!$AZ$2:$BB$56,3,)))</f>
        <v>0</v>
      </c>
      <c r="AT3707" s="10" t="b">
        <f>IF(AND(I3707="TN",S3707&lt;=2800),VLOOKUP(AF3707,TNCalibEq2500!$AZ$2:$BB$56,3,),IF(AND(I3707="TDN",S3707&lt;=2800),VLOOKUP(AF3707,TNCalibEq2500!$AZ$2:$BB$56,3,)))</f>
        <v>0</v>
      </c>
      <c r="AU3707" s="10" t="b">
        <f>IF(I3707="TP",VLOOKUP(AF3707,TPCalibEqFull!$AZ$2:$BB$56,3),IF(I3707="TDP",VLOOKUP(AF3707,TPCalibEqFull!$AZ$2:$BB$56,3),IF(I3707="TDN",VLOOKUP(AF3707,TNCalibEqFull!$AZ$1:$BB$56,3),IF(I3707="TN",VLOOKUP(AF3707,TNCalibEqFull!$AZ$1:$BB$56,3),FALSE))))</f>
        <v>0</v>
      </c>
      <c r="AV3707" s="10" t="str">
        <f t="shared" si="419"/>
        <v>0221 12:06:00-ECP-29-FIL-1-SW-UKN</v>
      </c>
    </row>
    <row r="3708" spans="1:48" s="10" customFormat="1" x14ac:dyDescent="0.55000000000000004">
      <c r="A3708" s="32">
        <v>44978</v>
      </c>
      <c r="B3708" s="33">
        <v>0.50972222222222219</v>
      </c>
      <c r="C3708" s="10" t="s">
        <v>661</v>
      </c>
      <c r="D3708" s="10">
        <v>0</v>
      </c>
      <c r="E3708" s="10" t="s">
        <v>911</v>
      </c>
      <c r="F3708" s="10">
        <v>1</v>
      </c>
      <c r="G3708" s="10" t="s">
        <v>231</v>
      </c>
      <c r="H3708" s="10" t="s">
        <v>322</v>
      </c>
      <c r="I3708" s="10" t="s">
        <v>209</v>
      </c>
      <c r="J3708" s="10">
        <v>55</v>
      </c>
      <c r="K3708" s="12">
        <v>44980</v>
      </c>
      <c r="L3708" s="33">
        <v>0.54854166666666659</v>
      </c>
      <c r="M3708" s="10">
        <v>1</v>
      </c>
      <c r="N3708" s="10" t="s">
        <v>169</v>
      </c>
      <c r="O3708" s="10">
        <v>3.62</v>
      </c>
      <c r="P3708" s="10">
        <v>0.16600000000000001</v>
      </c>
      <c r="Q3708" s="10">
        <v>472</v>
      </c>
      <c r="R3708" s="10" t="s">
        <v>77</v>
      </c>
      <c r="S3708" s="34">
        <f t="shared" si="416"/>
        <v>472</v>
      </c>
      <c r="T3708" s="10" t="s">
        <v>1274</v>
      </c>
      <c r="U3708" s="34" t="str">
        <f t="shared" si="417"/>
        <v/>
      </c>
      <c r="V3708" s="31" t="str">
        <f>IF(H3708="CHK",VLOOKUP(I3708,QCCHK,3,),IF(H3708="GUP",VLOOKUP(E3708,QCGUP,2,),IF(AND(H3708="ATP",OR(I3708="TN",I3708="TDN",I3708="TNO2-3",I3708="NO2-3")),VLOOKUP(E3708,QCREC_N,2,),IF(AND(H3708="NIC",OR(I3708="TN",I3708="TDN",I3708="TNO2-3",I3708="NO2-3")),VLOOKUP(E3708,QCNIC_N,2,),IF(AND(H3708="UREA",OR(I3708="TN",I3708="TDN",I3708="TNO2-3",I3708="NO2-3")),VLOOKUP(E3708,QCUREA_N,2,),IF(H3708="PER",VLOOKUP(I3708,QCPER,MATCH(E3708,QCACTUAL!$J$25:$AA$25,0),),IF(H3708="SPK",VLOOKUP(I3708,QCSPK,3,),IF(AND(H3708="ATP",OR(I3708="TP",I3708="TDP")),VLOOKUP(E3708,QCATP_P,2,),""))))))))</f>
        <v/>
      </c>
      <c r="W3708" s="31" t="str">
        <f t="shared" si="418"/>
        <v>TRUE</v>
      </c>
      <c r="X3708" s="31" t="str">
        <f t="shared" si="415"/>
        <v/>
      </c>
      <c r="Y3708" s="10" t="s">
        <v>1253</v>
      </c>
      <c r="AL3708" s="10" t="str">
        <f t="shared" si="420"/>
        <v>FALSE</v>
      </c>
      <c r="AM3708" s="10" t="str">
        <f t="shared" si="420"/>
        <v>FALSE</v>
      </c>
      <c r="AN3708" s="10" t="str">
        <f t="shared" si="420"/>
        <v>FALSE</v>
      </c>
      <c r="AO3708" s="10" t="str">
        <f t="shared" si="421"/>
        <v>FALSE</v>
      </c>
      <c r="AP3708" s="10" t="str">
        <f t="shared" si="421"/>
        <v>FALSE</v>
      </c>
      <c r="AQ3708" s="10" t="b">
        <f>IF(AND(I3708="TP",S3708&lt;=150),VLOOKUP(AF3708,TPCalibEq150!$AZ$2:$BB$55,3,),IF(AND(I3708="TDP",S3708&lt;=150),VLOOKUP(AF3708,TPCalibEq150!$AZ$2:$BB$55,3,)))</f>
        <v>0</v>
      </c>
      <c r="AR3708" s="10" t="b">
        <f>IF(AND(I3708="TP",S3708&lt;=300),VLOOKUP(AF3708,TPCalibEq300!$AZ$2:$BB$55,3,),IF(AND(I3708="TDP",S3708&lt;=300),VLOOKUP(AF3708,TPCalibEq300!$AZ$2:$BB$55,3,)))</f>
        <v>0</v>
      </c>
      <c r="AS3708" s="10" t="b">
        <f>IF(AND(I3708="TP",S3708&lt;=500),VLOOKUP(AF3708,TPCalibEq500!$AZ$2:$BB$56,3,),IF(AND(I3708="TDP",S3708&lt;=500),VLOOKUP(AF3708,TPCalibEq500!$AZ$2:$BB$56,3,)))</f>
        <v>0</v>
      </c>
      <c r="AT3708" s="10" t="b">
        <f>IF(AND(I3708="TN",S3708&lt;=2800),VLOOKUP(AF3708,TNCalibEq2500!$AZ$2:$BB$56,3,),IF(AND(I3708="TDN",S3708&lt;=2800),VLOOKUP(AF3708,TNCalibEq2500!$AZ$2:$BB$56,3,)))</f>
        <v>0</v>
      </c>
      <c r="AU3708" s="10" t="b">
        <f>IF(I3708="TP",VLOOKUP(AF3708,TPCalibEqFull!$AZ$2:$BB$56,3),IF(I3708="TDP",VLOOKUP(AF3708,TPCalibEqFull!$AZ$2:$BB$56,3),IF(I3708="TDN",VLOOKUP(AF3708,TNCalibEqFull!$AZ$1:$BB$56,3),IF(I3708="TN",VLOOKUP(AF3708,TNCalibEqFull!$AZ$1:$BB$56,3),FALSE))))</f>
        <v>0</v>
      </c>
      <c r="AV3708" s="10" t="str">
        <f t="shared" si="419"/>
        <v>0221 12:14:00-ENN-0-FIL-1-SW-UKN</v>
      </c>
    </row>
    <row r="3709" spans="1:48" s="10" customFormat="1" x14ac:dyDescent="0.55000000000000004">
      <c r="A3709" s="32">
        <v>44978</v>
      </c>
      <c r="B3709" s="33">
        <v>0.51180555555555551</v>
      </c>
      <c r="C3709" s="10" t="s">
        <v>661</v>
      </c>
      <c r="D3709" s="10">
        <v>5</v>
      </c>
      <c r="E3709" s="10" t="s">
        <v>911</v>
      </c>
      <c r="F3709" s="10">
        <v>1</v>
      </c>
      <c r="G3709" s="10" t="s">
        <v>231</v>
      </c>
      <c r="H3709" s="10" t="s">
        <v>322</v>
      </c>
      <c r="I3709" s="10" t="s">
        <v>209</v>
      </c>
      <c r="J3709" s="10">
        <v>56</v>
      </c>
      <c r="K3709" s="12">
        <v>44980</v>
      </c>
      <c r="L3709" s="33">
        <v>0.54936342592592591</v>
      </c>
      <c r="M3709" s="10">
        <v>1</v>
      </c>
      <c r="N3709" s="10" t="s">
        <v>169</v>
      </c>
      <c r="O3709" s="10">
        <v>3.6</v>
      </c>
      <c r="P3709" s="10">
        <v>0.16600000000000001</v>
      </c>
      <c r="Q3709" s="10">
        <v>469</v>
      </c>
      <c r="R3709" s="10" t="s">
        <v>77</v>
      </c>
      <c r="S3709" s="34">
        <f t="shared" si="416"/>
        <v>469</v>
      </c>
      <c r="T3709" s="10" t="s">
        <v>1274</v>
      </c>
      <c r="U3709" s="34" t="str">
        <f t="shared" si="417"/>
        <v/>
      </c>
      <c r="V3709" s="31" t="str">
        <f>IF(H3709="CHK",VLOOKUP(I3709,QCCHK,3,),IF(H3709="GUP",VLOOKUP(E3709,QCGUP,2,),IF(AND(H3709="ATP",OR(I3709="TN",I3709="TDN",I3709="TNO2-3",I3709="NO2-3")),VLOOKUP(E3709,QCREC_N,2,),IF(AND(H3709="NIC",OR(I3709="TN",I3709="TDN",I3709="TNO2-3",I3709="NO2-3")),VLOOKUP(E3709,QCNIC_N,2,),IF(AND(H3709="UREA",OR(I3709="TN",I3709="TDN",I3709="TNO2-3",I3709="NO2-3")),VLOOKUP(E3709,QCUREA_N,2,),IF(H3709="PER",VLOOKUP(I3709,QCPER,MATCH(E3709,QCACTUAL!$J$25:$AA$25,0),),IF(H3709="SPK",VLOOKUP(I3709,QCSPK,3,),IF(AND(H3709="ATP",OR(I3709="TP",I3709="TDP")),VLOOKUP(E3709,QCATP_P,2,),""))))))))</f>
        <v/>
      </c>
      <c r="W3709" s="31" t="str">
        <f t="shared" si="418"/>
        <v>TRUE</v>
      </c>
      <c r="X3709" s="31" t="str">
        <f t="shared" si="415"/>
        <v/>
      </c>
      <c r="Y3709" s="10" t="s">
        <v>1253</v>
      </c>
      <c r="AL3709" s="10" t="str">
        <f t="shared" si="420"/>
        <v>FALSE</v>
      </c>
      <c r="AM3709" s="10" t="str">
        <f t="shared" si="420"/>
        <v>FALSE</v>
      </c>
      <c r="AN3709" s="10" t="str">
        <f t="shared" si="420"/>
        <v>FALSE</v>
      </c>
      <c r="AO3709" s="10" t="str">
        <f t="shared" si="421"/>
        <v>FALSE</v>
      </c>
      <c r="AP3709" s="10" t="str">
        <f t="shared" si="421"/>
        <v>FALSE</v>
      </c>
      <c r="AQ3709" s="10" t="b">
        <f>IF(AND(I3709="TP",S3709&lt;=150),VLOOKUP(AF3709,TPCalibEq150!$AZ$2:$BB$55,3,),IF(AND(I3709="TDP",S3709&lt;=150),VLOOKUP(AF3709,TPCalibEq150!$AZ$2:$BB$55,3,)))</f>
        <v>0</v>
      </c>
      <c r="AR3709" s="10" t="b">
        <f>IF(AND(I3709="TP",S3709&lt;=300),VLOOKUP(AF3709,TPCalibEq300!$AZ$2:$BB$55,3,),IF(AND(I3709="TDP",S3709&lt;=300),VLOOKUP(AF3709,TPCalibEq300!$AZ$2:$BB$55,3,)))</f>
        <v>0</v>
      </c>
      <c r="AS3709" s="10" t="b">
        <f>IF(AND(I3709="TP",S3709&lt;=500),VLOOKUP(AF3709,TPCalibEq500!$AZ$2:$BB$56,3,),IF(AND(I3709="TDP",S3709&lt;=500),VLOOKUP(AF3709,TPCalibEq500!$AZ$2:$BB$56,3,)))</f>
        <v>0</v>
      </c>
      <c r="AT3709" s="10" t="b">
        <f>IF(AND(I3709="TN",S3709&lt;=2800),VLOOKUP(AF3709,TNCalibEq2500!$AZ$2:$BB$56,3,),IF(AND(I3709="TDN",S3709&lt;=2800),VLOOKUP(AF3709,TNCalibEq2500!$AZ$2:$BB$56,3,)))</f>
        <v>0</v>
      </c>
      <c r="AU3709" s="10" t="b">
        <f>IF(I3709="TP",VLOOKUP(AF3709,TPCalibEqFull!$AZ$2:$BB$56,3),IF(I3709="TDP",VLOOKUP(AF3709,TPCalibEqFull!$AZ$2:$BB$56,3),IF(I3709="TDN",VLOOKUP(AF3709,TNCalibEqFull!$AZ$1:$BB$56,3),IF(I3709="TN",VLOOKUP(AF3709,TNCalibEqFull!$AZ$1:$BB$56,3),FALSE))))</f>
        <v>0</v>
      </c>
      <c r="AV3709" s="10" t="str">
        <f t="shared" si="419"/>
        <v>0221 12:17:00-ENN-5-FIL-1-SW-UKN</v>
      </c>
    </row>
    <row r="3710" spans="1:48" s="10" customFormat="1" x14ac:dyDescent="0.55000000000000004">
      <c r="A3710" s="32">
        <v>44978</v>
      </c>
      <c r="B3710" s="33">
        <v>0.51388888888888895</v>
      </c>
      <c r="C3710" s="10" t="s">
        <v>661</v>
      </c>
      <c r="D3710" s="10">
        <v>10</v>
      </c>
      <c r="E3710" s="10" t="s">
        <v>911</v>
      </c>
      <c r="F3710" s="10">
        <v>1</v>
      </c>
      <c r="G3710" s="10" t="s">
        <v>231</v>
      </c>
      <c r="H3710" s="10" t="s">
        <v>322</v>
      </c>
      <c r="I3710" s="10" t="s">
        <v>209</v>
      </c>
      <c r="J3710" s="10">
        <v>57</v>
      </c>
      <c r="K3710" s="12">
        <v>44980</v>
      </c>
      <c r="L3710" s="33">
        <v>0.55017361111111118</v>
      </c>
      <c r="M3710" s="10">
        <v>1</v>
      </c>
      <c r="N3710" s="10" t="s">
        <v>169</v>
      </c>
      <c r="O3710" s="10">
        <v>3.62</v>
      </c>
      <c r="P3710" s="10">
        <v>0.16600000000000001</v>
      </c>
      <c r="Q3710" s="10">
        <v>472</v>
      </c>
      <c r="R3710" s="10" t="s">
        <v>77</v>
      </c>
      <c r="S3710" s="34">
        <f t="shared" si="416"/>
        <v>472</v>
      </c>
      <c r="T3710" s="10" t="s">
        <v>1274</v>
      </c>
      <c r="U3710" s="34" t="str">
        <f t="shared" si="417"/>
        <v/>
      </c>
      <c r="V3710" s="31" t="str">
        <f>IF(H3710="CHK",VLOOKUP(I3710,QCCHK,3,),IF(H3710="GUP",VLOOKUP(E3710,QCGUP,2,),IF(AND(H3710="ATP",OR(I3710="TN",I3710="TDN",I3710="TNO2-3",I3710="NO2-3")),VLOOKUP(E3710,QCREC_N,2,),IF(AND(H3710="NIC",OR(I3710="TN",I3710="TDN",I3710="TNO2-3",I3710="NO2-3")),VLOOKUP(E3710,QCNIC_N,2,),IF(AND(H3710="UREA",OR(I3710="TN",I3710="TDN",I3710="TNO2-3",I3710="NO2-3")),VLOOKUP(E3710,QCUREA_N,2,),IF(H3710="PER",VLOOKUP(I3710,QCPER,MATCH(E3710,QCACTUAL!$J$25:$AA$25,0),),IF(H3710="SPK",VLOOKUP(I3710,QCSPK,3,),IF(AND(H3710="ATP",OR(I3710="TP",I3710="TDP")),VLOOKUP(E3710,QCATP_P,2,),""))))))))</f>
        <v/>
      </c>
      <c r="W3710" s="31" t="str">
        <f t="shared" si="418"/>
        <v>TRUE</v>
      </c>
      <c r="X3710" s="31" t="str">
        <f t="shared" si="415"/>
        <v/>
      </c>
      <c r="Y3710" s="10" t="s">
        <v>1253</v>
      </c>
      <c r="AL3710" s="10" t="str">
        <f t="shared" si="420"/>
        <v>FALSE</v>
      </c>
      <c r="AM3710" s="10" t="str">
        <f t="shared" si="420"/>
        <v>FALSE</v>
      </c>
      <c r="AN3710" s="10" t="str">
        <f t="shared" si="420"/>
        <v>FALSE</v>
      </c>
      <c r="AO3710" s="10" t="str">
        <f t="shared" si="421"/>
        <v>FALSE</v>
      </c>
      <c r="AP3710" s="10" t="str">
        <f t="shared" si="421"/>
        <v>FALSE</v>
      </c>
      <c r="AQ3710" s="10" t="b">
        <f>IF(AND(I3710="TP",S3710&lt;=150),VLOOKUP(AF3710,TPCalibEq150!$AZ$2:$BB$55,3,),IF(AND(I3710="TDP",S3710&lt;=150),VLOOKUP(AF3710,TPCalibEq150!$AZ$2:$BB$55,3,)))</f>
        <v>0</v>
      </c>
      <c r="AR3710" s="10" t="b">
        <f>IF(AND(I3710="TP",S3710&lt;=300),VLOOKUP(AF3710,TPCalibEq300!$AZ$2:$BB$55,3,),IF(AND(I3710="TDP",S3710&lt;=300),VLOOKUP(AF3710,TPCalibEq300!$AZ$2:$BB$55,3,)))</f>
        <v>0</v>
      </c>
      <c r="AS3710" s="10" t="b">
        <f>IF(AND(I3710="TP",S3710&lt;=500),VLOOKUP(AF3710,TPCalibEq500!$AZ$2:$BB$56,3,),IF(AND(I3710="TDP",S3710&lt;=500),VLOOKUP(AF3710,TPCalibEq500!$AZ$2:$BB$56,3,)))</f>
        <v>0</v>
      </c>
      <c r="AT3710" s="10" t="b">
        <f>IF(AND(I3710="TN",S3710&lt;=2800),VLOOKUP(AF3710,TNCalibEq2500!$AZ$2:$BB$56,3,),IF(AND(I3710="TDN",S3710&lt;=2800),VLOOKUP(AF3710,TNCalibEq2500!$AZ$2:$BB$56,3,)))</f>
        <v>0</v>
      </c>
      <c r="AU3710" s="10" t="b">
        <f>IF(I3710="TP",VLOOKUP(AF3710,TPCalibEqFull!$AZ$2:$BB$56,3),IF(I3710="TDP",VLOOKUP(AF3710,TPCalibEqFull!$AZ$2:$BB$56,3),IF(I3710="TDN",VLOOKUP(AF3710,TNCalibEqFull!$AZ$1:$BB$56,3),IF(I3710="TN",VLOOKUP(AF3710,TNCalibEqFull!$AZ$1:$BB$56,3),FALSE))))</f>
        <v>0</v>
      </c>
      <c r="AV3710" s="10" t="str">
        <f t="shared" si="419"/>
        <v>0221 12:20:00-ENN-10-FIL-1-SW-UKN</v>
      </c>
    </row>
    <row r="3711" spans="1:48" s="10" customFormat="1" x14ac:dyDescent="0.55000000000000004">
      <c r="A3711" s="32">
        <v>44978</v>
      </c>
      <c r="B3711" s="33">
        <v>0.51666666666666672</v>
      </c>
      <c r="C3711" s="10" t="s">
        <v>661</v>
      </c>
      <c r="D3711" s="10">
        <v>20</v>
      </c>
      <c r="E3711" s="10" t="s">
        <v>911</v>
      </c>
      <c r="F3711" s="10">
        <v>1</v>
      </c>
      <c r="G3711" s="10" t="s">
        <v>231</v>
      </c>
      <c r="H3711" s="10" t="s">
        <v>322</v>
      </c>
      <c r="I3711" s="10" t="s">
        <v>209</v>
      </c>
      <c r="J3711" s="10">
        <v>58</v>
      </c>
      <c r="K3711" s="12">
        <v>44980</v>
      </c>
      <c r="L3711" s="33">
        <v>0.55098379629629635</v>
      </c>
      <c r="M3711" s="10">
        <v>1</v>
      </c>
      <c r="N3711" s="10" t="s">
        <v>169</v>
      </c>
      <c r="O3711" s="10">
        <v>3.65</v>
      </c>
      <c r="P3711" s="10">
        <v>0.16800000000000001</v>
      </c>
      <c r="Q3711" s="10">
        <v>476</v>
      </c>
      <c r="R3711" s="10" t="s">
        <v>77</v>
      </c>
      <c r="S3711" s="34">
        <f t="shared" si="416"/>
        <v>476</v>
      </c>
      <c r="T3711" s="10" t="s">
        <v>1274</v>
      </c>
      <c r="U3711" s="34" t="str">
        <f t="shared" si="417"/>
        <v/>
      </c>
      <c r="V3711" s="31" t="str">
        <f>IF(H3711="CHK",VLOOKUP(I3711,QCCHK,3,),IF(H3711="GUP",VLOOKUP(E3711,QCGUP,2,),IF(AND(H3711="ATP",OR(I3711="TN",I3711="TDN",I3711="TNO2-3",I3711="NO2-3")),VLOOKUP(E3711,QCREC_N,2,),IF(AND(H3711="NIC",OR(I3711="TN",I3711="TDN",I3711="TNO2-3",I3711="NO2-3")),VLOOKUP(E3711,QCNIC_N,2,),IF(AND(H3711="UREA",OR(I3711="TN",I3711="TDN",I3711="TNO2-3",I3711="NO2-3")),VLOOKUP(E3711,QCUREA_N,2,),IF(H3711="PER",VLOOKUP(I3711,QCPER,MATCH(E3711,QCACTUAL!$J$25:$AA$25,0),),IF(H3711="SPK",VLOOKUP(I3711,QCSPK,3,),IF(AND(H3711="ATP",OR(I3711="TP",I3711="TDP")),VLOOKUP(E3711,QCATP_P,2,),""))))))))</f>
        <v/>
      </c>
      <c r="W3711" s="31" t="str">
        <f t="shared" si="418"/>
        <v>TRUE</v>
      </c>
      <c r="X3711" s="31" t="str">
        <f t="shared" ref="X3711:X3774" si="422">IF(ISNA(VLOOKUP(H3711,QCEQUATIONS,2,)),"",(VLOOKUP(H3711,QCEQUATIONS,2,)))</f>
        <v/>
      </c>
      <c r="Y3711" s="10" t="s">
        <v>1253</v>
      </c>
      <c r="AL3711" s="10" t="str">
        <f t="shared" si="420"/>
        <v>FALSE</v>
      </c>
      <c r="AM3711" s="10" t="str">
        <f t="shared" si="420"/>
        <v>FALSE</v>
      </c>
      <c r="AN3711" s="10" t="str">
        <f t="shared" si="420"/>
        <v>FALSE</v>
      </c>
      <c r="AO3711" s="10" t="str">
        <f t="shared" si="421"/>
        <v>FALSE</v>
      </c>
      <c r="AP3711" s="10" t="str">
        <f t="shared" si="421"/>
        <v>FALSE</v>
      </c>
      <c r="AQ3711" s="10" t="b">
        <f>IF(AND(I3711="TP",S3711&lt;=150),VLOOKUP(AF3711,TPCalibEq150!$AZ$2:$BB$55,3,),IF(AND(I3711="TDP",S3711&lt;=150),VLOOKUP(AF3711,TPCalibEq150!$AZ$2:$BB$55,3,)))</f>
        <v>0</v>
      </c>
      <c r="AR3711" s="10" t="b">
        <f>IF(AND(I3711="TP",S3711&lt;=300),VLOOKUP(AF3711,TPCalibEq300!$AZ$2:$BB$55,3,),IF(AND(I3711="TDP",S3711&lt;=300),VLOOKUP(AF3711,TPCalibEq300!$AZ$2:$BB$55,3,)))</f>
        <v>0</v>
      </c>
      <c r="AS3711" s="10" t="b">
        <f>IF(AND(I3711="TP",S3711&lt;=500),VLOOKUP(AF3711,TPCalibEq500!$AZ$2:$BB$56,3,),IF(AND(I3711="TDP",S3711&lt;=500),VLOOKUP(AF3711,TPCalibEq500!$AZ$2:$BB$56,3,)))</f>
        <v>0</v>
      </c>
      <c r="AT3711" s="10" t="b">
        <f>IF(AND(I3711="TN",S3711&lt;=2800),VLOOKUP(AF3711,TNCalibEq2500!$AZ$2:$BB$56,3,),IF(AND(I3711="TDN",S3711&lt;=2800),VLOOKUP(AF3711,TNCalibEq2500!$AZ$2:$BB$56,3,)))</f>
        <v>0</v>
      </c>
      <c r="AU3711" s="10" t="b">
        <f>IF(I3711="TP",VLOOKUP(AF3711,TPCalibEqFull!$AZ$2:$BB$56,3),IF(I3711="TDP",VLOOKUP(AF3711,TPCalibEqFull!$AZ$2:$BB$56,3),IF(I3711="TDN",VLOOKUP(AF3711,TNCalibEqFull!$AZ$1:$BB$56,3),IF(I3711="TN",VLOOKUP(AF3711,TNCalibEqFull!$AZ$1:$BB$56,3),FALSE))))</f>
        <v>0</v>
      </c>
      <c r="AV3711" s="10" t="str">
        <f t="shared" si="419"/>
        <v>0221 12:24:00-ENN-20-FIL-1-SW-UKN</v>
      </c>
    </row>
    <row r="3712" spans="1:48" s="10" customFormat="1" x14ac:dyDescent="0.55000000000000004">
      <c r="A3712" s="32">
        <v>44978</v>
      </c>
      <c r="B3712" s="33">
        <v>0.51944444444444449</v>
      </c>
      <c r="C3712" s="10" t="s">
        <v>661</v>
      </c>
      <c r="D3712" s="10">
        <v>24</v>
      </c>
      <c r="E3712" s="10" t="s">
        <v>911</v>
      </c>
      <c r="F3712" s="10">
        <v>1</v>
      </c>
      <c r="G3712" s="10" t="s">
        <v>231</v>
      </c>
      <c r="H3712" s="10" t="s">
        <v>322</v>
      </c>
      <c r="I3712" s="10" t="s">
        <v>209</v>
      </c>
      <c r="J3712" s="10">
        <v>59</v>
      </c>
      <c r="K3712" s="12">
        <v>44980</v>
      </c>
      <c r="L3712" s="33">
        <v>0.55179398148148151</v>
      </c>
      <c r="M3712" s="10">
        <v>1</v>
      </c>
      <c r="N3712" s="10" t="s">
        <v>169</v>
      </c>
      <c r="O3712" s="10">
        <v>3.73</v>
      </c>
      <c r="P3712" s="10">
        <v>0.17100000000000001</v>
      </c>
      <c r="Q3712" s="10">
        <v>486</v>
      </c>
      <c r="R3712" s="10" t="s">
        <v>77</v>
      </c>
      <c r="S3712" s="34">
        <f t="shared" ref="S3712:S3775" si="423">IF(OR(AND(I3712&lt;&gt;"TP", I3712&lt;&gt;"TDP",I3712&lt;&gt;"TN", I3712&lt;&gt;"TDN"),H3712="CAL"), Q3712*M3712, IF(OR(AND(I3712="TN", Q3712&gt;2500), AND(I3712="TDN", Q3712&gt;2500)),MAX(Q3712, AK3712)*M3712, IF(OR(AND(I3712="TN", Q3712&lt;=2500), AND(I3712="TDN", Q3712&lt;=2500)),MAX(Q3712, AJ3712,AK3712)*M3712, IF(OR(AND(I3712="TP",Q3712&gt;500), AND(I3712="TDP", Q3712&gt;500)),MAX(Q3712,AK3712)*M3712,IF(OR(AND(I3712="TP",Q3712&lt;=150), AND(I3712="TDP", Q3712&lt;=150)),MAX(Q3712,AG3712:AI3712,AK3712)*M3712,IF(OR(AND(I3712="TP",Q3712&lt;=300), AND(I3712="TDP", Q3712&lt;=300)),MAX(Q3712,AH3712,AI3712,AK3712)*M3712,IF(OR(AND(I3712="TP",Q3712&lt;=500), AND(I3712="TDP", Q3712&lt;=500)),MAX(Q3712,AI3712,AK3712)*M3712,"")))))))</f>
        <v>486</v>
      </c>
      <c r="T3712" s="10" t="s">
        <v>1274</v>
      </c>
      <c r="U3712" s="34" t="str">
        <f t="shared" si="417"/>
        <v/>
      </c>
      <c r="V3712" s="31" t="str">
        <f>IF(H3712="CHK",VLOOKUP(I3712,QCCHK,3,),IF(H3712="GUP",VLOOKUP(E3712,QCGUP,2,),IF(AND(H3712="ATP",OR(I3712="TN",I3712="TDN",I3712="TNO2-3",I3712="NO2-3")),VLOOKUP(E3712,QCREC_N,2,),IF(AND(H3712="NIC",OR(I3712="TN",I3712="TDN",I3712="TNO2-3",I3712="NO2-3")),VLOOKUP(E3712,QCNIC_N,2,),IF(AND(H3712="UREA",OR(I3712="TN",I3712="TDN",I3712="TNO2-3",I3712="NO2-3")),VLOOKUP(E3712,QCUREA_N,2,),IF(H3712="PER",VLOOKUP(I3712,QCPER,MATCH(E3712,QCACTUAL!$J$25:$AA$25,0),),IF(H3712="SPK",VLOOKUP(I3712,QCSPK,3,),IF(AND(H3712="ATP",OR(I3712="TP",I3712="TDP")),VLOOKUP(E3712,QCATP_P,2,),""))))))))</f>
        <v/>
      </c>
      <c r="W3712" s="31" t="str">
        <f t="shared" si="418"/>
        <v>TRUE</v>
      </c>
      <c r="X3712" s="31" t="str">
        <f t="shared" si="422"/>
        <v/>
      </c>
      <c r="Y3712" s="10" t="s">
        <v>1253</v>
      </c>
      <c r="AL3712" s="10" t="str">
        <f t="shared" si="420"/>
        <v>FALSE</v>
      </c>
      <c r="AM3712" s="10" t="str">
        <f t="shared" si="420"/>
        <v>FALSE</v>
      </c>
      <c r="AN3712" s="10" t="str">
        <f t="shared" si="420"/>
        <v>FALSE</v>
      </c>
      <c r="AO3712" s="10" t="str">
        <f t="shared" si="421"/>
        <v>FALSE</v>
      </c>
      <c r="AP3712" s="10" t="str">
        <f t="shared" si="421"/>
        <v>FALSE</v>
      </c>
      <c r="AQ3712" s="10" t="b">
        <f>IF(AND(I3712="TP",S3712&lt;=150),VLOOKUP(AF3712,TPCalibEq150!$AZ$2:$BB$55,3,),IF(AND(I3712="TDP",S3712&lt;=150),VLOOKUP(AF3712,TPCalibEq150!$AZ$2:$BB$55,3,)))</f>
        <v>0</v>
      </c>
      <c r="AR3712" s="10" t="b">
        <f>IF(AND(I3712="TP",S3712&lt;=300),VLOOKUP(AF3712,TPCalibEq300!$AZ$2:$BB$55,3,),IF(AND(I3712="TDP",S3712&lt;=300),VLOOKUP(AF3712,TPCalibEq300!$AZ$2:$BB$55,3,)))</f>
        <v>0</v>
      </c>
      <c r="AS3712" s="10" t="b">
        <f>IF(AND(I3712="TP",S3712&lt;=500),VLOOKUP(AF3712,TPCalibEq500!$AZ$2:$BB$56,3,),IF(AND(I3712="TDP",S3712&lt;=500),VLOOKUP(AF3712,TPCalibEq500!$AZ$2:$BB$56,3,)))</f>
        <v>0</v>
      </c>
      <c r="AT3712" s="10" t="b">
        <f>IF(AND(I3712="TN",S3712&lt;=2800),VLOOKUP(AF3712,TNCalibEq2500!$AZ$2:$BB$56,3,),IF(AND(I3712="TDN",S3712&lt;=2800),VLOOKUP(AF3712,TNCalibEq2500!$AZ$2:$BB$56,3,)))</f>
        <v>0</v>
      </c>
      <c r="AU3712" s="10" t="b">
        <f>IF(I3712="TP",VLOOKUP(AF3712,TPCalibEqFull!$AZ$2:$BB$56,3),IF(I3712="TDP",VLOOKUP(AF3712,TPCalibEqFull!$AZ$2:$BB$56,3),IF(I3712="TDN",VLOOKUP(AF3712,TNCalibEqFull!$AZ$1:$BB$56,3),IF(I3712="TN",VLOOKUP(AF3712,TNCalibEqFull!$AZ$1:$BB$56,3),FALSE))))</f>
        <v>0</v>
      </c>
      <c r="AV3712" s="10" t="str">
        <f t="shared" si="419"/>
        <v>0221 12:28:00-ENN-24-FIL-1-SW-UKN</v>
      </c>
    </row>
    <row r="3713" spans="1:48" s="10" customFormat="1" x14ac:dyDescent="0.55000000000000004">
      <c r="A3713" s="32">
        <v>44978</v>
      </c>
      <c r="B3713" s="33">
        <v>0.45069444444444445</v>
      </c>
      <c r="C3713" s="10" t="s">
        <v>646</v>
      </c>
      <c r="D3713" s="10">
        <v>0</v>
      </c>
      <c r="E3713" s="10" t="s">
        <v>911</v>
      </c>
      <c r="F3713" s="10">
        <v>1</v>
      </c>
      <c r="G3713" s="10" t="s">
        <v>231</v>
      </c>
      <c r="H3713" s="10" t="s">
        <v>322</v>
      </c>
      <c r="I3713" s="10" t="s">
        <v>209</v>
      </c>
      <c r="J3713" s="10">
        <v>60</v>
      </c>
      <c r="K3713" s="12">
        <v>44980</v>
      </c>
      <c r="L3713" s="33">
        <v>0.55260416666666667</v>
      </c>
      <c r="M3713" s="10">
        <v>1</v>
      </c>
      <c r="N3713" s="10" t="s">
        <v>169</v>
      </c>
      <c r="O3713" s="10">
        <v>5.07</v>
      </c>
      <c r="P3713" s="10">
        <v>0.23200000000000001</v>
      </c>
      <c r="Q3713" s="10">
        <v>661</v>
      </c>
      <c r="R3713" s="10" t="s">
        <v>77</v>
      </c>
      <c r="S3713" s="34">
        <f t="shared" si="423"/>
        <v>661</v>
      </c>
      <c r="T3713" s="10" t="s">
        <v>1274</v>
      </c>
      <c r="U3713" s="34" t="str">
        <f t="shared" si="417"/>
        <v/>
      </c>
      <c r="V3713" s="31" t="str">
        <f>IF(H3713="CHK",VLOOKUP(I3713,QCCHK,3,),IF(H3713="GUP",VLOOKUP(E3713,QCGUP,2,),IF(AND(H3713="ATP",OR(I3713="TN",I3713="TDN",I3713="TNO2-3",I3713="NO2-3")),VLOOKUP(E3713,QCREC_N,2,),IF(AND(H3713="NIC",OR(I3713="TN",I3713="TDN",I3713="TNO2-3",I3713="NO2-3")),VLOOKUP(E3713,QCNIC_N,2,),IF(AND(H3713="UREA",OR(I3713="TN",I3713="TDN",I3713="TNO2-3",I3713="NO2-3")),VLOOKUP(E3713,QCUREA_N,2,),IF(H3713="PER",VLOOKUP(I3713,QCPER,MATCH(E3713,QCACTUAL!$J$25:$AA$25,0),),IF(H3713="SPK",VLOOKUP(I3713,QCSPK,3,),IF(AND(H3713="ATP",OR(I3713="TP",I3713="TDP")),VLOOKUP(E3713,QCATP_P,2,),""))))))))</f>
        <v/>
      </c>
      <c r="W3713" s="31" t="str">
        <f t="shared" si="418"/>
        <v>TRUE</v>
      </c>
      <c r="X3713" s="31" t="str">
        <f t="shared" si="422"/>
        <v/>
      </c>
      <c r="Y3713" s="10" t="s">
        <v>1253</v>
      </c>
      <c r="AL3713" s="10" t="str">
        <f t="shared" si="420"/>
        <v>FALSE</v>
      </c>
      <c r="AM3713" s="10" t="str">
        <f t="shared" si="420"/>
        <v>FALSE</v>
      </c>
      <c r="AN3713" s="10" t="str">
        <f t="shared" si="420"/>
        <v>FALSE</v>
      </c>
      <c r="AO3713" s="10" t="str">
        <f t="shared" si="421"/>
        <v>FALSE</v>
      </c>
      <c r="AP3713" s="10" t="str">
        <f t="shared" si="421"/>
        <v>FALSE</v>
      </c>
      <c r="AQ3713" s="10" t="b">
        <f>IF(AND(I3713="TP",S3713&lt;=150),VLOOKUP(AF3713,TPCalibEq150!$AZ$2:$BB$55,3,),IF(AND(I3713="TDP",S3713&lt;=150),VLOOKUP(AF3713,TPCalibEq150!$AZ$2:$BB$55,3,)))</f>
        <v>0</v>
      </c>
      <c r="AR3713" s="10" t="b">
        <f>IF(AND(I3713="TP",S3713&lt;=300),VLOOKUP(AF3713,TPCalibEq300!$AZ$2:$BB$55,3,),IF(AND(I3713="TDP",S3713&lt;=300),VLOOKUP(AF3713,TPCalibEq300!$AZ$2:$BB$55,3,)))</f>
        <v>0</v>
      </c>
      <c r="AS3713" s="10" t="b">
        <f>IF(AND(I3713="TP",S3713&lt;=500),VLOOKUP(AF3713,TPCalibEq500!$AZ$2:$BB$56,3,),IF(AND(I3713="TDP",S3713&lt;=500),VLOOKUP(AF3713,TPCalibEq500!$AZ$2:$BB$56,3,)))</f>
        <v>0</v>
      </c>
      <c r="AT3713" s="10" t="b">
        <f>IF(AND(I3713="TN",S3713&lt;=2800),VLOOKUP(AF3713,TNCalibEq2500!$AZ$2:$BB$56,3,),IF(AND(I3713="TDN",S3713&lt;=2800),VLOOKUP(AF3713,TNCalibEq2500!$AZ$2:$BB$56,3,)))</f>
        <v>0</v>
      </c>
      <c r="AU3713" s="10" t="b">
        <f>IF(I3713="TP",VLOOKUP(AF3713,TPCalibEqFull!$AZ$2:$BB$56,3),IF(I3713="TDP",VLOOKUP(AF3713,TPCalibEqFull!$AZ$2:$BB$56,3),IF(I3713="TDN",VLOOKUP(AF3713,TNCalibEqFull!$AZ$1:$BB$56,3),IF(I3713="TN",VLOOKUP(AF3713,TNCalibEqFull!$AZ$1:$BB$56,3),FALSE))))</f>
        <v>0</v>
      </c>
      <c r="AV3713" s="10" t="str">
        <f t="shared" si="419"/>
        <v>0221 10:49:00-EMB-0-FIL-1-SW-UKN</v>
      </c>
    </row>
    <row r="3714" spans="1:48" s="10" customFormat="1" x14ac:dyDescent="0.55000000000000004">
      <c r="A3714" s="32">
        <v>44978</v>
      </c>
      <c r="B3714" s="33">
        <v>0.45069444444444445</v>
      </c>
      <c r="C3714" s="10" t="s">
        <v>646</v>
      </c>
      <c r="D3714" s="10">
        <v>0</v>
      </c>
      <c r="E3714" s="10" t="s">
        <v>911</v>
      </c>
      <c r="F3714" s="10">
        <v>1</v>
      </c>
      <c r="G3714" s="10" t="s">
        <v>231</v>
      </c>
      <c r="H3714" s="10" t="s">
        <v>233</v>
      </c>
      <c r="I3714" s="10" t="s">
        <v>209</v>
      </c>
      <c r="J3714" s="10">
        <v>60</v>
      </c>
      <c r="K3714" s="12">
        <v>44980</v>
      </c>
      <c r="L3714" s="33">
        <v>0.5534027777777778</v>
      </c>
      <c r="M3714" s="10">
        <v>1</v>
      </c>
      <c r="N3714" s="10" t="s">
        <v>169</v>
      </c>
      <c r="O3714" s="10">
        <v>5</v>
      </c>
      <c r="P3714" s="10">
        <v>0.23</v>
      </c>
      <c r="Q3714" s="10">
        <v>652</v>
      </c>
      <c r="R3714" s="10" t="s">
        <v>77</v>
      </c>
      <c r="S3714" s="34">
        <f t="shared" si="423"/>
        <v>652</v>
      </c>
      <c r="T3714" s="10" t="s">
        <v>1274</v>
      </c>
      <c r="U3714" s="34">
        <f t="shared" ref="U3714:U3777" si="424">IF(OR(H3714="CHK",H3714="ATP",H3714="GUP",H3714="PER", H3714="NIC", H3714="UREA"),(S3714/V3714*100),IF(H3714="DUP",((ABS(S3714-S3713))/((S3713+S3714)/2))*100,IF(H3714="SPK",((S3714-S3713)/V3714*100),IF(OR(H3714="LAB",H3714="FLD",H3714="ESF"),S3714,""))))</f>
        <v>1.3709063214013708</v>
      </c>
      <c r="V3714" s="31" t="str">
        <f>IF(H3714="CHK",VLOOKUP(I3714,QCCHK,3,),IF(H3714="GUP",VLOOKUP(E3714,QCGUP,2,),IF(AND(H3714="ATP",OR(I3714="TN",I3714="TDN",I3714="TNO2-3",I3714="NO2-3")),VLOOKUP(E3714,QCREC_N,2,),IF(AND(H3714="NIC",OR(I3714="TN",I3714="TDN",I3714="TNO2-3",I3714="NO2-3")),VLOOKUP(E3714,QCNIC_N,2,),IF(AND(H3714="UREA",OR(I3714="TN",I3714="TDN",I3714="TNO2-3",I3714="NO2-3")),VLOOKUP(E3714,QCUREA_N,2,),IF(H3714="PER",VLOOKUP(I3714,QCPER,MATCH(E3714,QCACTUAL!$J$25:$AA$25,0),),IF(H3714="SPK",VLOOKUP(I3714,QCSPK,3,),IF(AND(H3714="ATP",OR(I3714="TP",I3714="TDP")),VLOOKUP(E3714,QCATP_P,2,),""))))))))</f>
        <v/>
      </c>
      <c r="W3714" s="31" t="str">
        <f t="shared" ref="W3714:W3777" si="425">IF(AND(OR(H3714="PER",H3714="ATP",H3714="GUP",H3714="CHK",H3714="SPK", H3714="NIC"),OR(U3714&gt;125,U3714&lt;75)),"FALSE",IF(AND(H3714="DUP",OR(U3714&gt;25, U3714&lt;-25)),"FALSE",IF(AND(OR(H3714="LAB",H3714="FLD",H3714="ESF"),U3714&gt;15),"FALSE","TRUE")))</f>
        <v>TRUE</v>
      </c>
      <c r="X3714" s="31" t="str">
        <f t="shared" si="422"/>
        <v>((ABS(rep1-rep2))/((rep1+rep2)/2)*100</v>
      </c>
      <c r="Y3714" s="10" t="s">
        <v>1253</v>
      </c>
      <c r="AL3714" s="10" t="str">
        <f t="shared" si="420"/>
        <v>FALSE</v>
      </c>
      <c r="AM3714" s="10" t="str">
        <f t="shared" si="420"/>
        <v>FALSE</v>
      </c>
      <c r="AN3714" s="10" t="str">
        <f t="shared" si="420"/>
        <v>FALSE</v>
      </c>
      <c r="AO3714" s="10" t="str">
        <f t="shared" si="421"/>
        <v>FALSE</v>
      </c>
      <c r="AP3714" s="10" t="str">
        <f t="shared" si="421"/>
        <v>FALSE</v>
      </c>
      <c r="AQ3714" s="10" t="b">
        <f>IF(AND(I3714="TP",S3714&lt;=150),VLOOKUP(AF3714,TPCalibEq150!$AZ$2:$BB$55,3,),IF(AND(I3714="TDP",S3714&lt;=150),VLOOKUP(AF3714,TPCalibEq150!$AZ$2:$BB$55,3,)))</f>
        <v>0</v>
      </c>
      <c r="AR3714" s="10" t="b">
        <f>IF(AND(I3714="TP",S3714&lt;=300),VLOOKUP(AF3714,TPCalibEq300!$AZ$2:$BB$55,3,),IF(AND(I3714="TDP",S3714&lt;=300),VLOOKUP(AF3714,TPCalibEq300!$AZ$2:$BB$55,3,)))</f>
        <v>0</v>
      </c>
      <c r="AS3714" s="10" t="b">
        <f>IF(AND(I3714="TP",S3714&lt;=500),VLOOKUP(AF3714,TPCalibEq500!$AZ$2:$BB$56,3,),IF(AND(I3714="TDP",S3714&lt;=500),VLOOKUP(AF3714,TPCalibEq500!$AZ$2:$BB$56,3,)))</f>
        <v>0</v>
      </c>
      <c r="AT3714" s="10" t="b">
        <f>IF(AND(I3714="TN",S3714&lt;=2800),VLOOKUP(AF3714,TNCalibEq2500!$AZ$2:$BB$56,3,),IF(AND(I3714="TDN",S3714&lt;=2800),VLOOKUP(AF3714,TNCalibEq2500!$AZ$2:$BB$56,3,)))</f>
        <v>0</v>
      </c>
      <c r="AU3714" s="10" t="b">
        <f>IF(I3714="TP",VLOOKUP(AF3714,TPCalibEqFull!$AZ$2:$BB$56,3),IF(I3714="TDP",VLOOKUP(AF3714,TPCalibEqFull!$AZ$2:$BB$56,3),IF(I3714="TDN",VLOOKUP(AF3714,TNCalibEqFull!$AZ$1:$BB$56,3),IF(I3714="TN",VLOOKUP(AF3714,TNCalibEqFull!$AZ$1:$BB$56,3),FALSE))))</f>
        <v>0</v>
      </c>
      <c r="AV3714" s="10" t="str">
        <f t="shared" ref="AV3714:AV3777" si="426">TEXT(A3714, "MMDD")&amp;" "&amp;TEXT(B3714, "HH:MM:SS")&amp;"-"&amp;C3714&amp;"-"&amp;D3714&amp;"-"&amp;E3714&amp;"-"&amp;F3714&amp;"-"&amp;G3714&amp;"-"&amp;H3714</f>
        <v>0221 10:49:00-EMB-0-FIL-1-SW-DUP</v>
      </c>
    </row>
    <row r="3715" spans="1:48" s="10" customFormat="1" x14ac:dyDescent="0.55000000000000004">
      <c r="A3715" s="32">
        <v>44978</v>
      </c>
      <c r="B3715" s="33">
        <v>0.45069444444444445</v>
      </c>
      <c r="C3715" s="10" t="s">
        <v>646</v>
      </c>
      <c r="D3715" s="10">
        <v>0</v>
      </c>
      <c r="E3715" s="10" t="s">
        <v>911</v>
      </c>
      <c r="F3715" s="10">
        <v>1</v>
      </c>
      <c r="G3715" s="10" t="s">
        <v>231</v>
      </c>
      <c r="H3715" s="10" t="s">
        <v>314</v>
      </c>
      <c r="I3715" s="10" t="s">
        <v>209</v>
      </c>
      <c r="J3715" s="10">
        <v>88</v>
      </c>
      <c r="K3715" s="12">
        <v>44980</v>
      </c>
      <c r="L3715" s="33">
        <v>0.55421296296296296</v>
      </c>
      <c r="M3715" s="10">
        <v>1</v>
      </c>
      <c r="N3715" s="10" t="s">
        <v>169</v>
      </c>
      <c r="O3715" s="10">
        <v>10</v>
      </c>
      <c r="P3715" s="10">
        <v>0.45900000000000002</v>
      </c>
      <c r="Q3715" s="10">
        <v>1310</v>
      </c>
      <c r="R3715" s="10" t="s">
        <v>77</v>
      </c>
      <c r="S3715" s="34">
        <f t="shared" si="423"/>
        <v>1310</v>
      </c>
      <c r="T3715" s="10" t="s">
        <v>1274</v>
      </c>
      <c r="U3715" s="34">
        <f t="shared" si="424"/>
        <v>105.28</v>
      </c>
      <c r="V3715" s="31">
        <f>IF(H3715="CHK",VLOOKUP(I3715,QCCHK,3,),IF(H3715="GUP",VLOOKUP(E3715,QCGUP,2,),IF(AND(H3715="ATP",OR(I3715="TN",I3715="TDN",I3715="TNO2-3",I3715="NO2-3")),VLOOKUP(E3715,QCREC_N,2,),IF(AND(H3715="NIC",OR(I3715="TN",I3715="TDN",I3715="TNO2-3",I3715="NO2-3")),VLOOKUP(E3715,QCNIC_N,2,),IF(AND(H3715="UREA",OR(I3715="TN",I3715="TDN",I3715="TNO2-3",I3715="NO2-3")),VLOOKUP(E3715,QCUREA_N,2,),IF(H3715="PER",VLOOKUP(I3715,QCPER,MATCH(E3715,QCACTUAL!$J$25:$AA$25,0),),IF(H3715="SPK",VLOOKUP(I3715,QCSPK,3,),IF(AND(H3715="ATP",OR(I3715="TP",I3715="TDP")),VLOOKUP(E3715,QCATP_P,2,),""))))))))</f>
        <v>625</v>
      </c>
      <c r="W3715" s="31" t="str">
        <f t="shared" si="425"/>
        <v>TRUE</v>
      </c>
      <c r="X3715" s="31" t="str">
        <f t="shared" si="422"/>
        <v>([spikedunkn]-[unkn])/[spike]*100</v>
      </c>
      <c r="Y3715" s="10" t="s">
        <v>1253</v>
      </c>
      <c r="AL3715" s="10" t="str">
        <f t="shared" si="420"/>
        <v>FALSE</v>
      </c>
      <c r="AM3715" s="10" t="str">
        <f t="shared" si="420"/>
        <v>FALSE</v>
      </c>
      <c r="AN3715" s="10" t="str">
        <f t="shared" si="420"/>
        <v>FALSE</v>
      </c>
      <c r="AO3715" s="10" t="str">
        <f t="shared" si="421"/>
        <v>FALSE</v>
      </c>
      <c r="AP3715" s="10" t="str">
        <f t="shared" si="421"/>
        <v>FALSE</v>
      </c>
      <c r="AQ3715" s="10" t="b">
        <f>IF(AND(I3715="TP",S3715&lt;=150),VLOOKUP(AF3715,TPCalibEq150!$AZ$2:$BB$55,3,),IF(AND(I3715="TDP",S3715&lt;=150),VLOOKUP(AF3715,TPCalibEq150!$AZ$2:$BB$55,3,)))</f>
        <v>0</v>
      </c>
      <c r="AR3715" s="10" t="b">
        <f>IF(AND(I3715="TP",S3715&lt;=300),VLOOKUP(AF3715,TPCalibEq300!$AZ$2:$BB$55,3,),IF(AND(I3715="TDP",S3715&lt;=300),VLOOKUP(AF3715,TPCalibEq300!$AZ$2:$BB$55,3,)))</f>
        <v>0</v>
      </c>
      <c r="AS3715" s="10" t="b">
        <f>IF(AND(I3715="TP",S3715&lt;=500),VLOOKUP(AF3715,TPCalibEq500!$AZ$2:$BB$56,3,),IF(AND(I3715="TDP",S3715&lt;=500),VLOOKUP(AF3715,TPCalibEq500!$AZ$2:$BB$56,3,)))</f>
        <v>0</v>
      </c>
      <c r="AT3715" s="10" t="b">
        <f>IF(AND(I3715="TN",S3715&lt;=2800),VLOOKUP(AF3715,TNCalibEq2500!$AZ$2:$BB$56,3,),IF(AND(I3715="TDN",S3715&lt;=2800),VLOOKUP(AF3715,TNCalibEq2500!$AZ$2:$BB$56,3,)))</f>
        <v>0</v>
      </c>
      <c r="AU3715" s="10" t="b">
        <f>IF(I3715="TP",VLOOKUP(AF3715,TPCalibEqFull!$AZ$2:$BB$56,3),IF(I3715="TDP",VLOOKUP(AF3715,TPCalibEqFull!$AZ$2:$BB$56,3),IF(I3715="TDN",VLOOKUP(AF3715,TNCalibEqFull!$AZ$1:$BB$56,3),IF(I3715="TN",VLOOKUP(AF3715,TNCalibEqFull!$AZ$1:$BB$56,3),FALSE))))</f>
        <v>0</v>
      </c>
      <c r="AV3715" s="10" t="str">
        <f t="shared" si="426"/>
        <v>0221 10:49:00-EMB-0-FIL-1-SW-SPK</v>
      </c>
    </row>
    <row r="3716" spans="1:48" s="10" customFormat="1" x14ac:dyDescent="0.55000000000000004">
      <c r="A3716" s="32">
        <v>44979</v>
      </c>
      <c r="B3716" s="33">
        <v>0.375</v>
      </c>
      <c r="C3716" s="10" t="s">
        <v>70</v>
      </c>
      <c r="D3716" s="10" t="s">
        <v>71</v>
      </c>
      <c r="E3716" s="10" t="s">
        <v>901</v>
      </c>
      <c r="F3716" s="10">
        <v>1</v>
      </c>
      <c r="G3716" s="10" t="s">
        <v>73</v>
      </c>
      <c r="H3716" s="10" t="s">
        <v>207</v>
      </c>
      <c r="I3716" s="10" t="s">
        <v>256</v>
      </c>
      <c r="J3716" s="10">
        <v>202</v>
      </c>
      <c r="K3716" s="12">
        <v>44980</v>
      </c>
      <c r="L3716" s="33">
        <v>0.55504629629629632</v>
      </c>
      <c r="M3716" s="10">
        <v>1</v>
      </c>
      <c r="N3716" s="10" t="s">
        <v>169</v>
      </c>
      <c r="O3716" s="10">
        <v>2.23</v>
      </c>
      <c r="P3716" s="10">
        <v>0.104</v>
      </c>
      <c r="Q3716" s="10">
        <v>290</v>
      </c>
      <c r="R3716" s="10" t="s">
        <v>77</v>
      </c>
      <c r="S3716" s="34">
        <f t="shared" si="423"/>
        <v>290</v>
      </c>
      <c r="T3716" s="10" t="s">
        <v>1274</v>
      </c>
      <c r="U3716" s="34">
        <f t="shared" si="424"/>
        <v>96.666666666666671</v>
      </c>
      <c r="V3716" s="31">
        <f>IF(H3716="CHK",VLOOKUP(I3716,QCCHK,3,),IF(H3716="GUP",VLOOKUP(E3716,QCGUP,2,),IF(AND(H3716="ATP",OR(I3716="TN",I3716="TDN",I3716="TNO2-3",I3716="NO2-3")),VLOOKUP(E3716,QCREC_N,2,),IF(AND(H3716="NIC",OR(I3716="TN",I3716="TDN",I3716="TNO2-3",I3716="NO2-3")),VLOOKUP(E3716,QCNIC_N,2,),IF(AND(H3716="UREA",OR(I3716="TN",I3716="TDN",I3716="TNO2-3",I3716="NO2-3")),VLOOKUP(E3716,QCUREA_N,2,),IF(H3716="PER",VLOOKUP(I3716,QCPER,MATCH(E3716,QCACTUAL!$J$25:$AA$25,0),),IF(H3716="SPK",VLOOKUP(I3716,QCSPK,3,),IF(AND(H3716="ATP",OR(I3716="TP",I3716="TDP")),VLOOKUP(E3716,QCATP_P,2,),""))))))))</f>
        <v>300</v>
      </c>
      <c r="W3716" s="31" t="str">
        <f t="shared" si="425"/>
        <v>TRUE</v>
      </c>
      <c r="X3716" s="31" t="str">
        <f t="shared" si="422"/>
        <v>[chk]/[actual]*100</v>
      </c>
      <c r="Y3716" s="10" t="s">
        <v>1253</v>
      </c>
      <c r="AL3716" s="10" t="str">
        <f t="shared" si="420"/>
        <v>FALSE</v>
      </c>
      <c r="AM3716" s="10" t="str">
        <f t="shared" si="420"/>
        <v>FALSE</v>
      </c>
      <c r="AN3716" s="10" t="str">
        <f t="shared" si="420"/>
        <v>FALSE</v>
      </c>
      <c r="AO3716" s="10" t="str">
        <f t="shared" si="421"/>
        <v>FALSE</v>
      </c>
      <c r="AP3716" s="10" t="str">
        <f t="shared" si="421"/>
        <v>FALSE</v>
      </c>
      <c r="AQ3716" s="10" t="b">
        <f>IF(AND(I3716="TP",S3716&lt;=150),VLOOKUP(AF3716,TPCalibEq150!$AZ$2:$BB$55,3,),IF(AND(I3716="TDP",S3716&lt;=150),VLOOKUP(AF3716,TPCalibEq150!$AZ$2:$BB$55,3,)))</f>
        <v>0</v>
      </c>
      <c r="AR3716" s="10" t="b">
        <f>IF(AND(I3716="TP",S3716&lt;=300),VLOOKUP(AF3716,TPCalibEq300!$AZ$2:$BB$55,3,),IF(AND(I3716="TDP",S3716&lt;=300),VLOOKUP(AF3716,TPCalibEq300!$AZ$2:$BB$55,3,)))</f>
        <v>0</v>
      </c>
      <c r="AS3716" s="10" t="b">
        <f>IF(AND(I3716="TP",S3716&lt;=500),VLOOKUP(AF3716,TPCalibEq500!$AZ$2:$BB$56,3,),IF(AND(I3716="TDP",S3716&lt;=500),VLOOKUP(AF3716,TPCalibEq500!$AZ$2:$BB$56,3,)))</f>
        <v>0</v>
      </c>
      <c r="AT3716" s="10" t="b">
        <f>IF(AND(I3716="TN",S3716&lt;=2800),VLOOKUP(AF3716,TNCalibEq2500!$AZ$2:$BB$56,3,),IF(AND(I3716="TDN",S3716&lt;=2800),VLOOKUP(AF3716,TNCalibEq2500!$AZ$2:$BB$56,3,)))</f>
        <v>0</v>
      </c>
      <c r="AU3716" s="10" t="b">
        <f>IF(I3716="TP",VLOOKUP(AF3716,TPCalibEqFull!$AZ$2:$BB$56,3),IF(I3716="TDP",VLOOKUP(AF3716,TPCalibEqFull!$AZ$2:$BB$56,3),IF(I3716="TDN",VLOOKUP(AF3716,TNCalibEqFull!$AZ$1:$BB$56,3),IF(I3716="TN",VLOOKUP(AF3716,TNCalibEqFull!$AZ$1:$BB$56,3),FALSE))))</f>
        <v>0</v>
      </c>
      <c r="AV3716" s="10" t="str">
        <f t="shared" si="426"/>
        <v>0222 09:00:00-QAC-STD-D-1-DI-CHK</v>
      </c>
    </row>
    <row r="3717" spans="1:48" s="10" customFormat="1" x14ac:dyDescent="0.55000000000000004">
      <c r="A3717" s="32">
        <v>44978</v>
      </c>
      <c r="B3717" s="33">
        <v>0.45277777777777778</v>
      </c>
      <c r="C3717" s="10" t="s">
        <v>646</v>
      </c>
      <c r="D3717" s="10">
        <v>5</v>
      </c>
      <c r="E3717" s="10" t="s">
        <v>911</v>
      </c>
      <c r="F3717" s="10">
        <v>1</v>
      </c>
      <c r="G3717" s="10" t="s">
        <v>231</v>
      </c>
      <c r="H3717" s="10" t="s">
        <v>322</v>
      </c>
      <c r="I3717" s="10" t="s">
        <v>209</v>
      </c>
      <c r="J3717" s="10">
        <v>61</v>
      </c>
      <c r="K3717" s="12">
        <v>44980</v>
      </c>
      <c r="L3717" s="33">
        <v>0.55586805555555552</v>
      </c>
      <c r="M3717" s="10">
        <v>1</v>
      </c>
      <c r="N3717" s="10" t="s">
        <v>169</v>
      </c>
      <c r="O3717" s="10">
        <v>4.99</v>
      </c>
      <c r="P3717" s="10">
        <v>0.22900000000000001</v>
      </c>
      <c r="Q3717" s="10">
        <v>651</v>
      </c>
      <c r="R3717" s="10" t="s">
        <v>77</v>
      </c>
      <c r="S3717" s="34">
        <f t="shared" si="423"/>
        <v>651</v>
      </c>
      <c r="T3717" s="10" t="s">
        <v>1274</v>
      </c>
      <c r="U3717" s="34" t="str">
        <f t="shared" si="424"/>
        <v/>
      </c>
      <c r="V3717" s="31" t="str">
        <f>IF(H3717="CHK",VLOOKUP(I3717,QCCHK,3,),IF(H3717="GUP",VLOOKUP(E3717,QCGUP,2,),IF(AND(H3717="ATP",OR(I3717="TN",I3717="TDN",I3717="TNO2-3",I3717="NO2-3")),VLOOKUP(E3717,QCREC_N,2,),IF(AND(H3717="NIC",OR(I3717="TN",I3717="TDN",I3717="TNO2-3",I3717="NO2-3")),VLOOKUP(E3717,QCNIC_N,2,),IF(AND(H3717="UREA",OR(I3717="TN",I3717="TDN",I3717="TNO2-3",I3717="NO2-3")),VLOOKUP(E3717,QCUREA_N,2,),IF(H3717="PER",VLOOKUP(I3717,QCPER,MATCH(E3717,QCACTUAL!$J$25:$AA$25,0),),IF(H3717="SPK",VLOOKUP(I3717,QCSPK,3,),IF(AND(H3717="ATP",OR(I3717="TP",I3717="TDP")),VLOOKUP(E3717,QCATP_P,2,),""))))))))</f>
        <v/>
      </c>
      <c r="W3717" s="31" t="str">
        <f t="shared" si="425"/>
        <v>TRUE</v>
      </c>
      <c r="X3717" s="31" t="str">
        <f t="shared" si="422"/>
        <v/>
      </c>
      <c r="Y3717" s="10" t="s">
        <v>1253</v>
      </c>
      <c r="AL3717" s="10" t="str">
        <f t="shared" si="420"/>
        <v>FALSE</v>
      </c>
      <c r="AM3717" s="10" t="str">
        <f t="shared" si="420"/>
        <v>FALSE</v>
      </c>
      <c r="AN3717" s="10" t="str">
        <f t="shared" si="420"/>
        <v>FALSE</v>
      </c>
      <c r="AO3717" s="10" t="str">
        <f t="shared" si="421"/>
        <v>FALSE</v>
      </c>
      <c r="AP3717" s="10" t="str">
        <f t="shared" si="421"/>
        <v>FALSE</v>
      </c>
      <c r="AQ3717" s="10" t="b">
        <f>IF(AND(I3717="TP",S3717&lt;=150),VLOOKUP(AF3717,TPCalibEq150!$AZ$2:$BB$55,3,),IF(AND(I3717="TDP",S3717&lt;=150),VLOOKUP(AF3717,TPCalibEq150!$AZ$2:$BB$55,3,)))</f>
        <v>0</v>
      </c>
      <c r="AR3717" s="10" t="b">
        <f>IF(AND(I3717="TP",S3717&lt;=300),VLOOKUP(AF3717,TPCalibEq300!$AZ$2:$BB$55,3,),IF(AND(I3717="TDP",S3717&lt;=300),VLOOKUP(AF3717,TPCalibEq300!$AZ$2:$BB$55,3,)))</f>
        <v>0</v>
      </c>
      <c r="AS3717" s="10" t="b">
        <f>IF(AND(I3717="TP",S3717&lt;=500),VLOOKUP(AF3717,TPCalibEq500!$AZ$2:$BB$56,3,),IF(AND(I3717="TDP",S3717&lt;=500),VLOOKUP(AF3717,TPCalibEq500!$AZ$2:$BB$56,3,)))</f>
        <v>0</v>
      </c>
      <c r="AT3717" s="10" t="b">
        <f>IF(AND(I3717="TN",S3717&lt;=2800),VLOOKUP(AF3717,TNCalibEq2500!$AZ$2:$BB$56,3,),IF(AND(I3717="TDN",S3717&lt;=2800),VLOOKUP(AF3717,TNCalibEq2500!$AZ$2:$BB$56,3,)))</f>
        <v>0</v>
      </c>
      <c r="AU3717" s="10" t="b">
        <f>IF(I3717="TP",VLOOKUP(AF3717,TPCalibEqFull!$AZ$2:$BB$56,3),IF(I3717="TDP",VLOOKUP(AF3717,TPCalibEqFull!$AZ$2:$BB$56,3),IF(I3717="TDN",VLOOKUP(AF3717,TNCalibEqFull!$AZ$1:$BB$56,3),IF(I3717="TN",VLOOKUP(AF3717,TNCalibEqFull!$AZ$1:$BB$56,3),FALSE))))</f>
        <v>0</v>
      </c>
      <c r="AV3717" s="10" t="str">
        <f t="shared" si="426"/>
        <v>0221 10:52:00-EMB-5-FIL-1-SW-UKN</v>
      </c>
    </row>
    <row r="3718" spans="1:48" s="10" customFormat="1" x14ac:dyDescent="0.55000000000000004">
      <c r="A3718" s="32">
        <v>44978</v>
      </c>
      <c r="B3718" s="33">
        <v>0.4548611111111111</v>
      </c>
      <c r="C3718" s="10" t="s">
        <v>646</v>
      </c>
      <c r="D3718" s="10">
        <v>10</v>
      </c>
      <c r="E3718" s="10" t="s">
        <v>911</v>
      </c>
      <c r="F3718" s="10">
        <v>1</v>
      </c>
      <c r="G3718" s="10" t="s">
        <v>231</v>
      </c>
      <c r="H3718" s="10" t="s">
        <v>322</v>
      </c>
      <c r="I3718" s="10" t="s">
        <v>209</v>
      </c>
      <c r="J3718" s="10">
        <v>62</v>
      </c>
      <c r="K3718" s="12">
        <v>44980</v>
      </c>
      <c r="L3718" s="33">
        <v>0.55668981481481483</v>
      </c>
      <c r="M3718" s="10">
        <v>1</v>
      </c>
      <c r="N3718" s="10" t="s">
        <v>169</v>
      </c>
      <c r="O3718" s="10">
        <v>5.13</v>
      </c>
      <c r="P3718" s="10">
        <v>0.23599999999999999</v>
      </c>
      <c r="Q3718" s="10">
        <v>668</v>
      </c>
      <c r="R3718" s="10" t="s">
        <v>77</v>
      </c>
      <c r="S3718" s="34">
        <f t="shared" si="423"/>
        <v>668</v>
      </c>
      <c r="T3718" s="10" t="s">
        <v>1274</v>
      </c>
      <c r="U3718" s="34" t="str">
        <f t="shared" si="424"/>
        <v/>
      </c>
      <c r="V3718" s="31" t="str">
        <f>IF(H3718="CHK",VLOOKUP(I3718,QCCHK,3,),IF(H3718="GUP",VLOOKUP(E3718,QCGUP,2,),IF(AND(H3718="ATP",OR(I3718="TN",I3718="TDN",I3718="TNO2-3",I3718="NO2-3")),VLOOKUP(E3718,QCREC_N,2,),IF(AND(H3718="NIC",OR(I3718="TN",I3718="TDN",I3718="TNO2-3",I3718="NO2-3")),VLOOKUP(E3718,QCNIC_N,2,),IF(AND(H3718="UREA",OR(I3718="TN",I3718="TDN",I3718="TNO2-3",I3718="NO2-3")),VLOOKUP(E3718,QCUREA_N,2,),IF(H3718="PER",VLOOKUP(I3718,QCPER,MATCH(E3718,QCACTUAL!$J$25:$AA$25,0),),IF(H3718="SPK",VLOOKUP(I3718,QCSPK,3,),IF(AND(H3718="ATP",OR(I3718="TP",I3718="TDP")),VLOOKUP(E3718,QCATP_P,2,),""))))))))</f>
        <v/>
      </c>
      <c r="W3718" s="31" t="str">
        <f t="shared" si="425"/>
        <v>TRUE</v>
      </c>
      <c r="X3718" s="31" t="str">
        <f t="shared" si="422"/>
        <v/>
      </c>
      <c r="Y3718" s="10" t="s">
        <v>1253</v>
      </c>
      <c r="AL3718" s="10" t="str">
        <f t="shared" si="420"/>
        <v>FALSE</v>
      </c>
      <c r="AM3718" s="10" t="str">
        <f t="shared" si="420"/>
        <v>FALSE</v>
      </c>
      <c r="AN3718" s="10" t="str">
        <f t="shared" si="420"/>
        <v>FALSE</v>
      </c>
      <c r="AO3718" s="10" t="str">
        <f t="shared" si="421"/>
        <v>FALSE</v>
      </c>
      <c r="AP3718" s="10" t="str">
        <f t="shared" si="421"/>
        <v>FALSE</v>
      </c>
      <c r="AQ3718" s="10" t="b">
        <f>IF(AND(I3718="TP",S3718&lt;=150),VLOOKUP(AF3718,TPCalibEq150!$AZ$2:$BB$55,3,),IF(AND(I3718="TDP",S3718&lt;=150),VLOOKUP(AF3718,TPCalibEq150!$AZ$2:$BB$55,3,)))</f>
        <v>0</v>
      </c>
      <c r="AR3718" s="10" t="b">
        <f>IF(AND(I3718="TP",S3718&lt;=300),VLOOKUP(AF3718,TPCalibEq300!$AZ$2:$BB$55,3,),IF(AND(I3718="TDP",S3718&lt;=300),VLOOKUP(AF3718,TPCalibEq300!$AZ$2:$BB$55,3,)))</f>
        <v>0</v>
      </c>
      <c r="AS3718" s="10" t="b">
        <f>IF(AND(I3718="TP",S3718&lt;=500),VLOOKUP(AF3718,TPCalibEq500!$AZ$2:$BB$56,3,),IF(AND(I3718="TDP",S3718&lt;=500),VLOOKUP(AF3718,TPCalibEq500!$AZ$2:$BB$56,3,)))</f>
        <v>0</v>
      </c>
      <c r="AT3718" s="10" t="b">
        <f>IF(AND(I3718="TN",S3718&lt;=2800),VLOOKUP(AF3718,TNCalibEq2500!$AZ$2:$BB$56,3,),IF(AND(I3718="TDN",S3718&lt;=2800),VLOOKUP(AF3718,TNCalibEq2500!$AZ$2:$BB$56,3,)))</f>
        <v>0</v>
      </c>
      <c r="AU3718" s="10" t="b">
        <f>IF(I3718="TP",VLOOKUP(AF3718,TPCalibEqFull!$AZ$2:$BB$56,3),IF(I3718="TDP",VLOOKUP(AF3718,TPCalibEqFull!$AZ$2:$BB$56,3),IF(I3718="TDN",VLOOKUP(AF3718,TNCalibEqFull!$AZ$1:$BB$56,3),IF(I3718="TN",VLOOKUP(AF3718,TNCalibEqFull!$AZ$1:$BB$56,3),FALSE))))</f>
        <v>0</v>
      </c>
      <c r="AV3718" s="10" t="str">
        <f t="shared" si="426"/>
        <v>0221 10:55:00-EMB-10-FIL-1-SW-UKN</v>
      </c>
    </row>
    <row r="3719" spans="1:48" s="10" customFormat="1" x14ac:dyDescent="0.55000000000000004">
      <c r="A3719" s="32">
        <v>44978</v>
      </c>
      <c r="B3719" s="33">
        <v>0.45763888888888887</v>
      </c>
      <c r="C3719" s="10" t="s">
        <v>646</v>
      </c>
      <c r="D3719" s="10">
        <v>20</v>
      </c>
      <c r="E3719" s="10" t="s">
        <v>911</v>
      </c>
      <c r="F3719" s="10">
        <v>1</v>
      </c>
      <c r="G3719" s="10" t="s">
        <v>231</v>
      </c>
      <c r="H3719" s="10" t="s">
        <v>322</v>
      </c>
      <c r="I3719" s="10" t="s">
        <v>209</v>
      </c>
      <c r="J3719" s="10">
        <v>63</v>
      </c>
      <c r="K3719" s="12">
        <v>44980</v>
      </c>
      <c r="L3719" s="33">
        <v>0.55751157407407403</v>
      </c>
      <c r="M3719" s="10">
        <v>1</v>
      </c>
      <c r="N3719" s="10" t="s">
        <v>169</v>
      </c>
      <c r="O3719" s="10">
        <v>5.17</v>
      </c>
      <c r="P3719" s="10">
        <v>0.23699999999999999</v>
      </c>
      <c r="Q3719" s="10">
        <v>674</v>
      </c>
      <c r="R3719" s="10" t="s">
        <v>77</v>
      </c>
      <c r="S3719" s="34">
        <f t="shared" si="423"/>
        <v>674</v>
      </c>
      <c r="T3719" s="10" t="s">
        <v>1274</v>
      </c>
      <c r="U3719" s="34" t="str">
        <f t="shared" si="424"/>
        <v/>
      </c>
      <c r="V3719" s="31" t="str">
        <f>IF(H3719="CHK",VLOOKUP(I3719,QCCHK,3,),IF(H3719="GUP",VLOOKUP(E3719,QCGUP,2,),IF(AND(H3719="ATP",OR(I3719="TN",I3719="TDN",I3719="TNO2-3",I3719="NO2-3")),VLOOKUP(E3719,QCREC_N,2,),IF(AND(H3719="NIC",OR(I3719="TN",I3719="TDN",I3719="TNO2-3",I3719="NO2-3")),VLOOKUP(E3719,QCNIC_N,2,),IF(AND(H3719="UREA",OR(I3719="TN",I3719="TDN",I3719="TNO2-3",I3719="NO2-3")),VLOOKUP(E3719,QCUREA_N,2,),IF(H3719="PER",VLOOKUP(I3719,QCPER,MATCH(E3719,QCACTUAL!$J$25:$AA$25,0),),IF(H3719="SPK",VLOOKUP(I3719,QCSPK,3,),IF(AND(H3719="ATP",OR(I3719="TP",I3719="TDP")),VLOOKUP(E3719,QCATP_P,2,),""))))))))</f>
        <v/>
      </c>
      <c r="W3719" s="31" t="str">
        <f t="shared" si="425"/>
        <v>TRUE</v>
      </c>
      <c r="X3719" s="31" t="str">
        <f t="shared" si="422"/>
        <v/>
      </c>
      <c r="Y3719" s="10" t="s">
        <v>1253</v>
      </c>
      <c r="AL3719" s="10" t="str">
        <f t="shared" si="420"/>
        <v>FALSE</v>
      </c>
      <c r="AM3719" s="10" t="str">
        <f t="shared" si="420"/>
        <v>FALSE</v>
      </c>
      <c r="AN3719" s="10" t="str">
        <f t="shared" si="420"/>
        <v>FALSE</v>
      </c>
      <c r="AO3719" s="10" t="str">
        <f t="shared" si="421"/>
        <v>FALSE</v>
      </c>
      <c r="AP3719" s="10" t="str">
        <f t="shared" si="421"/>
        <v>FALSE</v>
      </c>
      <c r="AQ3719" s="10" t="b">
        <f>IF(AND(I3719="TP",S3719&lt;=150),VLOOKUP(AF3719,TPCalibEq150!$AZ$2:$BB$55,3,),IF(AND(I3719="TDP",S3719&lt;=150),VLOOKUP(AF3719,TPCalibEq150!$AZ$2:$BB$55,3,)))</f>
        <v>0</v>
      </c>
      <c r="AR3719" s="10" t="b">
        <f>IF(AND(I3719="TP",S3719&lt;=300),VLOOKUP(AF3719,TPCalibEq300!$AZ$2:$BB$55,3,),IF(AND(I3719="TDP",S3719&lt;=300),VLOOKUP(AF3719,TPCalibEq300!$AZ$2:$BB$55,3,)))</f>
        <v>0</v>
      </c>
      <c r="AS3719" s="10" t="b">
        <f>IF(AND(I3719="TP",S3719&lt;=500),VLOOKUP(AF3719,TPCalibEq500!$AZ$2:$BB$56,3,),IF(AND(I3719="TDP",S3719&lt;=500),VLOOKUP(AF3719,TPCalibEq500!$AZ$2:$BB$56,3,)))</f>
        <v>0</v>
      </c>
      <c r="AT3719" s="10" t="b">
        <f>IF(AND(I3719="TN",S3719&lt;=2800),VLOOKUP(AF3719,TNCalibEq2500!$AZ$2:$BB$56,3,),IF(AND(I3719="TDN",S3719&lt;=2800),VLOOKUP(AF3719,TNCalibEq2500!$AZ$2:$BB$56,3,)))</f>
        <v>0</v>
      </c>
      <c r="AU3719" s="10" t="b">
        <f>IF(I3719="TP",VLOOKUP(AF3719,TPCalibEqFull!$AZ$2:$BB$56,3),IF(I3719="TDP",VLOOKUP(AF3719,TPCalibEqFull!$AZ$2:$BB$56,3),IF(I3719="TDN",VLOOKUP(AF3719,TNCalibEqFull!$AZ$1:$BB$56,3),IF(I3719="TN",VLOOKUP(AF3719,TNCalibEqFull!$AZ$1:$BB$56,3),FALSE))))</f>
        <v>0</v>
      </c>
      <c r="AV3719" s="10" t="str">
        <f t="shared" si="426"/>
        <v>0221 10:59:00-EMB-20-FIL-1-SW-UKN</v>
      </c>
    </row>
    <row r="3720" spans="1:48" s="10" customFormat="1" x14ac:dyDescent="0.55000000000000004">
      <c r="A3720" s="32">
        <v>44978</v>
      </c>
      <c r="B3720" s="33">
        <v>0.46249999999999997</v>
      </c>
      <c r="C3720" s="10" t="s">
        <v>646</v>
      </c>
      <c r="D3720" s="10">
        <v>60</v>
      </c>
      <c r="E3720" s="10" t="s">
        <v>911</v>
      </c>
      <c r="F3720" s="10">
        <v>1</v>
      </c>
      <c r="G3720" s="10" t="s">
        <v>231</v>
      </c>
      <c r="H3720" s="10" t="s">
        <v>322</v>
      </c>
      <c r="I3720" s="10" t="s">
        <v>209</v>
      </c>
      <c r="J3720" s="10">
        <v>64</v>
      </c>
      <c r="K3720" s="12">
        <v>44980</v>
      </c>
      <c r="L3720" s="33">
        <v>0.55833333333333335</v>
      </c>
      <c r="M3720" s="10">
        <v>1</v>
      </c>
      <c r="N3720" s="10" t="s">
        <v>169</v>
      </c>
      <c r="O3720" s="10">
        <v>5.3</v>
      </c>
      <c r="P3720" s="10">
        <v>0.24199999999999999</v>
      </c>
      <c r="Q3720" s="10">
        <v>690</v>
      </c>
      <c r="R3720" s="10" t="s">
        <v>77</v>
      </c>
      <c r="S3720" s="34">
        <f t="shared" si="423"/>
        <v>690</v>
      </c>
      <c r="T3720" s="10" t="s">
        <v>1274</v>
      </c>
      <c r="U3720" s="34" t="str">
        <f t="shared" si="424"/>
        <v/>
      </c>
      <c r="V3720" s="31" t="str">
        <f>IF(H3720="CHK",VLOOKUP(I3720,QCCHK,3,),IF(H3720="GUP",VLOOKUP(E3720,QCGUP,2,),IF(AND(H3720="ATP",OR(I3720="TN",I3720="TDN",I3720="TNO2-3",I3720="NO2-3")),VLOOKUP(E3720,QCREC_N,2,),IF(AND(H3720="NIC",OR(I3720="TN",I3720="TDN",I3720="TNO2-3",I3720="NO2-3")),VLOOKUP(E3720,QCNIC_N,2,),IF(AND(H3720="UREA",OR(I3720="TN",I3720="TDN",I3720="TNO2-3",I3720="NO2-3")),VLOOKUP(E3720,QCUREA_N,2,),IF(H3720="PER",VLOOKUP(I3720,QCPER,MATCH(E3720,QCACTUAL!$J$25:$AA$25,0),),IF(H3720="SPK",VLOOKUP(I3720,QCSPK,3,),IF(AND(H3720="ATP",OR(I3720="TP",I3720="TDP")),VLOOKUP(E3720,QCATP_P,2,),""))))))))</f>
        <v/>
      </c>
      <c r="W3720" s="31" t="str">
        <f t="shared" si="425"/>
        <v>TRUE</v>
      </c>
      <c r="X3720" s="31" t="str">
        <f t="shared" si="422"/>
        <v/>
      </c>
      <c r="Y3720" s="10" t="s">
        <v>1253</v>
      </c>
      <c r="AL3720" s="10" t="str">
        <f t="shared" si="420"/>
        <v>FALSE</v>
      </c>
      <c r="AM3720" s="10" t="str">
        <f t="shared" si="420"/>
        <v>FALSE</v>
      </c>
      <c r="AN3720" s="10" t="str">
        <f t="shared" si="420"/>
        <v>FALSE</v>
      </c>
      <c r="AO3720" s="10" t="str">
        <f t="shared" si="421"/>
        <v>FALSE</v>
      </c>
      <c r="AP3720" s="10" t="str">
        <f t="shared" si="421"/>
        <v>FALSE</v>
      </c>
      <c r="AQ3720" s="10" t="b">
        <f>IF(AND(I3720="TP",S3720&lt;=150),VLOOKUP(AF3720,TPCalibEq150!$AZ$2:$BB$55,3,),IF(AND(I3720="TDP",S3720&lt;=150),VLOOKUP(AF3720,TPCalibEq150!$AZ$2:$BB$55,3,)))</f>
        <v>0</v>
      </c>
      <c r="AR3720" s="10" t="b">
        <f>IF(AND(I3720="TP",S3720&lt;=300),VLOOKUP(AF3720,TPCalibEq300!$AZ$2:$BB$55,3,),IF(AND(I3720="TDP",S3720&lt;=300),VLOOKUP(AF3720,TPCalibEq300!$AZ$2:$BB$55,3,)))</f>
        <v>0</v>
      </c>
      <c r="AS3720" s="10" t="b">
        <f>IF(AND(I3720="TP",S3720&lt;=500),VLOOKUP(AF3720,TPCalibEq500!$AZ$2:$BB$56,3,),IF(AND(I3720="TDP",S3720&lt;=500),VLOOKUP(AF3720,TPCalibEq500!$AZ$2:$BB$56,3,)))</f>
        <v>0</v>
      </c>
      <c r="AT3720" s="10" t="b">
        <f>IF(AND(I3720="TN",S3720&lt;=2800),VLOOKUP(AF3720,TNCalibEq2500!$AZ$2:$BB$56,3,),IF(AND(I3720="TDN",S3720&lt;=2800),VLOOKUP(AF3720,TNCalibEq2500!$AZ$2:$BB$56,3,)))</f>
        <v>0</v>
      </c>
      <c r="AU3720" s="10" t="b">
        <f>IF(I3720="TP",VLOOKUP(AF3720,TPCalibEqFull!$AZ$2:$BB$56,3),IF(I3720="TDP",VLOOKUP(AF3720,TPCalibEqFull!$AZ$2:$BB$56,3),IF(I3720="TDN",VLOOKUP(AF3720,TNCalibEqFull!$AZ$1:$BB$56,3),IF(I3720="TN",VLOOKUP(AF3720,TNCalibEqFull!$AZ$1:$BB$56,3),FALSE))))</f>
        <v>0</v>
      </c>
      <c r="AV3720" s="10" t="str">
        <f t="shared" si="426"/>
        <v>0221 11:06:00-EMB-60-FIL-1-SW-UKN</v>
      </c>
    </row>
    <row r="3721" spans="1:48" s="10" customFormat="1" x14ac:dyDescent="0.55000000000000004">
      <c r="A3721" s="32">
        <v>44978</v>
      </c>
      <c r="B3721" s="33">
        <v>0.41319444444444442</v>
      </c>
      <c r="C3721" s="10" t="s">
        <v>287</v>
      </c>
      <c r="D3721" s="10">
        <v>0</v>
      </c>
      <c r="E3721" s="10" t="s">
        <v>911</v>
      </c>
      <c r="F3721" s="10">
        <v>1</v>
      </c>
      <c r="G3721" s="10" t="s">
        <v>231</v>
      </c>
      <c r="H3721" s="10" t="s">
        <v>322</v>
      </c>
      <c r="I3721" s="10" t="s">
        <v>209</v>
      </c>
      <c r="J3721" s="10">
        <v>65</v>
      </c>
      <c r="K3721" s="12">
        <v>44980</v>
      </c>
      <c r="L3721" s="33">
        <v>0.55915509259259266</v>
      </c>
      <c r="M3721" s="10">
        <v>1</v>
      </c>
      <c r="N3721" s="10" t="s">
        <v>169</v>
      </c>
      <c r="O3721" s="10">
        <v>4.8099999999999996</v>
      </c>
      <c r="P3721" s="10">
        <v>0.22</v>
      </c>
      <c r="Q3721" s="10">
        <v>627</v>
      </c>
      <c r="R3721" s="10" t="s">
        <v>77</v>
      </c>
      <c r="S3721" s="34">
        <f t="shared" si="423"/>
        <v>627</v>
      </c>
      <c r="T3721" s="10" t="s">
        <v>1274</v>
      </c>
      <c r="U3721" s="34" t="str">
        <f t="shared" si="424"/>
        <v/>
      </c>
      <c r="V3721" s="31" t="str">
        <f>IF(H3721="CHK",VLOOKUP(I3721,QCCHK,3,),IF(H3721="GUP",VLOOKUP(E3721,QCGUP,2,),IF(AND(H3721="ATP",OR(I3721="TN",I3721="TDN",I3721="TNO2-3",I3721="NO2-3")),VLOOKUP(E3721,QCREC_N,2,),IF(AND(H3721="NIC",OR(I3721="TN",I3721="TDN",I3721="TNO2-3",I3721="NO2-3")),VLOOKUP(E3721,QCNIC_N,2,),IF(AND(H3721="UREA",OR(I3721="TN",I3721="TDN",I3721="TNO2-3",I3721="NO2-3")),VLOOKUP(E3721,QCUREA_N,2,),IF(H3721="PER",VLOOKUP(I3721,QCPER,MATCH(E3721,QCACTUAL!$J$25:$AA$25,0),),IF(H3721="SPK",VLOOKUP(I3721,QCSPK,3,),IF(AND(H3721="ATP",OR(I3721="TP",I3721="TDP")),VLOOKUP(E3721,QCATP_P,2,),""))))))))</f>
        <v/>
      </c>
      <c r="W3721" s="31" t="str">
        <f t="shared" si="425"/>
        <v>TRUE</v>
      </c>
      <c r="X3721" s="31" t="str">
        <f t="shared" si="422"/>
        <v/>
      </c>
      <c r="Y3721" s="10" t="s">
        <v>1253</v>
      </c>
      <c r="AL3721" s="10" t="str">
        <f t="shared" si="420"/>
        <v>FALSE</v>
      </c>
      <c r="AM3721" s="10" t="str">
        <f t="shared" si="420"/>
        <v>FALSE</v>
      </c>
      <c r="AN3721" s="10" t="str">
        <f t="shared" si="420"/>
        <v>FALSE</v>
      </c>
      <c r="AO3721" s="10" t="str">
        <f t="shared" si="421"/>
        <v>FALSE</v>
      </c>
      <c r="AP3721" s="10" t="str">
        <f t="shared" si="421"/>
        <v>FALSE</v>
      </c>
      <c r="AQ3721" s="10" t="b">
        <f>IF(AND(I3721="TP",S3721&lt;=150),VLOOKUP(AF3721,TPCalibEq150!$AZ$2:$BB$55,3,),IF(AND(I3721="TDP",S3721&lt;=150),VLOOKUP(AF3721,TPCalibEq150!$AZ$2:$BB$55,3,)))</f>
        <v>0</v>
      </c>
      <c r="AR3721" s="10" t="b">
        <f>IF(AND(I3721="TP",S3721&lt;=300),VLOOKUP(AF3721,TPCalibEq300!$AZ$2:$BB$55,3,),IF(AND(I3721="TDP",S3721&lt;=300),VLOOKUP(AF3721,TPCalibEq300!$AZ$2:$BB$55,3,)))</f>
        <v>0</v>
      </c>
      <c r="AS3721" s="10" t="b">
        <f>IF(AND(I3721="TP",S3721&lt;=500),VLOOKUP(AF3721,TPCalibEq500!$AZ$2:$BB$56,3,),IF(AND(I3721="TDP",S3721&lt;=500),VLOOKUP(AF3721,TPCalibEq500!$AZ$2:$BB$56,3,)))</f>
        <v>0</v>
      </c>
      <c r="AT3721" s="10" t="b">
        <f>IF(AND(I3721="TN",S3721&lt;=2800),VLOOKUP(AF3721,TNCalibEq2500!$AZ$2:$BB$56,3,),IF(AND(I3721="TDN",S3721&lt;=2800),VLOOKUP(AF3721,TNCalibEq2500!$AZ$2:$BB$56,3,)))</f>
        <v>0</v>
      </c>
      <c r="AU3721" s="10" t="b">
        <f>IF(I3721="TP",VLOOKUP(AF3721,TPCalibEqFull!$AZ$2:$BB$56,3),IF(I3721="TDP",VLOOKUP(AF3721,TPCalibEqFull!$AZ$2:$BB$56,3),IF(I3721="TDN",VLOOKUP(AF3721,TNCalibEqFull!$AZ$1:$BB$56,3),IF(I3721="TN",VLOOKUP(AF3721,TNCalibEqFull!$AZ$1:$BB$56,3),FALSE))))</f>
        <v>0</v>
      </c>
      <c r="AV3721" s="10" t="str">
        <f t="shared" si="426"/>
        <v>0221 09:55:00-EFL-0-FIL-1-SW-UKN</v>
      </c>
    </row>
    <row r="3722" spans="1:48" s="10" customFormat="1" x14ac:dyDescent="0.55000000000000004">
      <c r="A3722" s="32">
        <v>44978</v>
      </c>
      <c r="B3722" s="33">
        <v>0.41597222222222219</v>
      </c>
      <c r="C3722" s="10" t="s">
        <v>287</v>
      </c>
      <c r="D3722" s="10">
        <v>5</v>
      </c>
      <c r="E3722" s="10" t="s">
        <v>911</v>
      </c>
      <c r="F3722" s="10">
        <v>1</v>
      </c>
      <c r="G3722" s="10" t="s">
        <v>231</v>
      </c>
      <c r="H3722" s="10" t="s">
        <v>322</v>
      </c>
      <c r="I3722" s="10" t="s">
        <v>209</v>
      </c>
      <c r="J3722" s="10">
        <v>66</v>
      </c>
      <c r="K3722" s="12">
        <v>44980</v>
      </c>
      <c r="L3722" s="33">
        <v>0.55997685185185186</v>
      </c>
      <c r="M3722" s="10">
        <v>1</v>
      </c>
      <c r="N3722" s="10" t="s">
        <v>169</v>
      </c>
      <c r="O3722" s="10">
        <v>4.79</v>
      </c>
      <c r="P3722" s="10">
        <v>0.22</v>
      </c>
      <c r="Q3722" s="10">
        <v>624</v>
      </c>
      <c r="R3722" s="10" t="s">
        <v>77</v>
      </c>
      <c r="S3722" s="34">
        <f t="shared" si="423"/>
        <v>624</v>
      </c>
      <c r="T3722" s="10" t="s">
        <v>1274</v>
      </c>
      <c r="U3722" s="34" t="str">
        <f t="shared" si="424"/>
        <v/>
      </c>
      <c r="V3722" s="31" t="str">
        <f>IF(H3722="CHK",VLOOKUP(I3722,QCCHK,3,),IF(H3722="GUP",VLOOKUP(E3722,QCGUP,2,),IF(AND(H3722="ATP",OR(I3722="TN",I3722="TDN",I3722="TNO2-3",I3722="NO2-3")),VLOOKUP(E3722,QCREC_N,2,),IF(AND(H3722="NIC",OR(I3722="TN",I3722="TDN",I3722="TNO2-3",I3722="NO2-3")),VLOOKUP(E3722,QCNIC_N,2,),IF(AND(H3722="UREA",OR(I3722="TN",I3722="TDN",I3722="TNO2-3",I3722="NO2-3")),VLOOKUP(E3722,QCUREA_N,2,),IF(H3722="PER",VLOOKUP(I3722,QCPER,MATCH(E3722,QCACTUAL!$J$25:$AA$25,0),),IF(H3722="SPK",VLOOKUP(I3722,QCSPK,3,),IF(AND(H3722="ATP",OR(I3722="TP",I3722="TDP")),VLOOKUP(E3722,QCATP_P,2,),""))))))))</f>
        <v/>
      </c>
      <c r="W3722" s="31" t="str">
        <f t="shared" si="425"/>
        <v>TRUE</v>
      </c>
      <c r="X3722" s="31" t="str">
        <f t="shared" si="422"/>
        <v/>
      </c>
      <c r="Y3722" s="10" t="s">
        <v>1253</v>
      </c>
      <c r="AL3722" s="10" t="str">
        <f t="shared" si="420"/>
        <v>FALSE</v>
      </c>
      <c r="AM3722" s="10" t="str">
        <f t="shared" si="420"/>
        <v>FALSE</v>
      </c>
      <c r="AN3722" s="10" t="str">
        <f t="shared" si="420"/>
        <v>FALSE</v>
      </c>
      <c r="AO3722" s="10" t="str">
        <f t="shared" si="421"/>
        <v>FALSE</v>
      </c>
      <c r="AP3722" s="10" t="str">
        <f t="shared" si="421"/>
        <v>FALSE</v>
      </c>
      <c r="AQ3722" s="10" t="b">
        <f>IF(AND(I3722="TP",S3722&lt;=150),VLOOKUP(AF3722,TPCalibEq150!$AZ$2:$BB$55,3,),IF(AND(I3722="TDP",S3722&lt;=150),VLOOKUP(AF3722,TPCalibEq150!$AZ$2:$BB$55,3,)))</f>
        <v>0</v>
      </c>
      <c r="AR3722" s="10" t="b">
        <f>IF(AND(I3722="TP",S3722&lt;=300),VLOOKUP(AF3722,TPCalibEq300!$AZ$2:$BB$55,3,),IF(AND(I3722="TDP",S3722&lt;=300),VLOOKUP(AF3722,TPCalibEq300!$AZ$2:$BB$55,3,)))</f>
        <v>0</v>
      </c>
      <c r="AS3722" s="10" t="b">
        <f>IF(AND(I3722="TP",S3722&lt;=500),VLOOKUP(AF3722,TPCalibEq500!$AZ$2:$BB$56,3,),IF(AND(I3722="TDP",S3722&lt;=500),VLOOKUP(AF3722,TPCalibEq500!$AZ$2:$BB$56,3,)))</f>
        <v>0</v>
      </c>
      <c r="AT3722" s="10" t="b">
        <f>IF(AND(I3722="TN",S3722&lt;=2800),VLOOKUP(AF3722,TNCalibEq2500!$AZ$2:$BB$56,3,),IF(AND(I3722="TDN",S3722&lt;=2800),VLOOKUP(AF3722,TNCalibEq2500!$AZ$2:$BB$56,3,)))</f>
        <v>0</v>
      </c>
      <c r="AU3722" s="10" t="b">
        <f>IF(I3722="TP",VLOOKUP(AF3722,TPCalibEqFull!$AZ$2:$BB$56,3),IF(I3722="TDP",VLOOKUP(AF3722,TPCalibEqFull!$AZ$2:$BB$56,3),IF(I3722="TDN",VLOOKUP(AF3722,TNCalibEqFull!$AZ$1:$BB$56,3),IF(I3722="TN",VLOOKUP(AF3722,TNCalibEqFull!$AZ$1:$BB$56,3),FALSE))))</f>
        <v>0</v>
      </c>
      <c r="AV3722" s="10" t="str">
        <f t="shared" si="426"/>
        <v>0221 09:59:00-EFL-5-FIL-1-SW-UKN</v>
      </c>
    </row>
    <row r="3723" spans="1:48" s="10" customFormat="1" x14ac:dyDescent="0.55000000000000004">
      <c r="A3723" s="32">
        <v>44978</v>
      </c>
      <c r="B3723" s="33">
        <v>0.41805555555555557</v>
      </c>
      <c r="C3723" s="10" t="s">
        <v>287</v>
      </c>
      <c r="D3723" s="10">
        <v>10</v>
      </c>
      <c r="E3723" s="10" t="s">
        <v>911</v>
      </c>
      <c r="F3723" s="10">
        <v>1</v>
      </c>
      <c r="G3723" s="10" t="s">
        <v>231</v>
      </c>
      <c r="H3723" s="10" t="s">
        <v>322</v>
      </c>
      <c r="I3723" s="10" t="s">
        <v>209</v>
      </c>
      <c r="J3723" s="10">
        <v>67</v>
      </c>
      <c r="K3723" s="12">
        <v>44980</v>
      </c>
      <c r="L3723" s="33">
        <v>0.56078703703703703</v>
      </c>
      <c r="M3723" s="10">
        <v>1</v>
      </c>
      <c r="N3723" s="10" t="s">
        <v>169</v>
      </c>
      <c r="O3723" s="10">
        <v>4.83</v>
      </c>
      <c r="P3723" s="10">
        <v>0.221</v>
      </c>
      <c r="Q3723" s="10">
        <v>630</v>
      </c>
      <c r="R3723" s="10" t="s">
        <v>77</v>
      </c>
      <c r="S3723" s="34">
        <f t="shared" si="423"/>
        <v>630</v>
      </c>
      <c r="T3723" s="10" t="s">
        <v>1274</v>
      </c>
      <c r="U3723" s="34" t="str">
        <f t="shared" si="424"/>
        <v/>
      </c>
      <c r="V3723" s="31" t="str">
        <f>IF(H3723="CHK",VLOOKUP(I3723,QCCHK,3,),IF(H3723="GUP",VLOOKUP(E3723,QCGUP,2,),IF(AND(H3723="ATP",OR(I3723="TN",I3723="TDN",I3723="TNO2-3",I3723="NO2-3")),VLOOKUP(E3723,QCREC_N,2,),IF(AND(H3723="NIC",OR(I3723="TN",I3723="TDN",I3723="TNO2-3",I3723="NO2-3")),VLOOKUP(E3723,QCNIC_N,2,),IF(AND(H3723="UREA",OR(I3723="TN",I3723="TDN",I3723="TNO2-3",I3723="NO2-3")),VLOOKUP(E3723,QCUREA_N,2,),IF(H3723="PER",VLOOKUP(I3723,QCPER,MATCH(E3723,QCACTUAL!$J$25:$AA$25,0),),IF(H3723="SPK",VLOOKUP(I3723,QCSPK,3,),IF(AND(H3723="ATP",OR(I3723="TP",I3723="TDP")),VLOOKUP(E3723,QCATP_P,2,),""))))))))</f>
        <v/>
      </c>
      <c r="W3723" s="31" t="str">
        <f t="shared" si="425"/>
        <v>TRUE</v>
      </c>
      <c r="X3723" s="31" t="str">
        <f t="shared" si="422"/>
        <v/>
      </c>
      <c r="Y3723" s="10" t="s">
        <v>1253</v>
      </c>
      <c r="AL3723" s="10" t="str">
        <f t="shared" si="420"/>
        <v>FALSE</v>
      </c>
      <c r="AM3723" s="10" t="str">
        <f t="shared" si="420"/>
        <v>FALSE</v>
      </c>
      <c r="AN3723" s="10" t="str">
        <f t="shared" si="420"/>
        <v>FALSE</v>
      </c>
      <c r="AO3723" s="10" t="str">
        <f t="shared" si="421"/>
        <v>FALSE</v>
      </c>
      <c r="AP3723" s="10" t="str">
        <f t="shared" si="421"/>
        <v>FALSE</v>
      </c>
      <c r="AQ3723" s="10" t="b">
        <f>IF(AND(I3723="TP",S3723&lt;=150),VLOOKUP(AF3723,TPCalibEq150!$AZ$2:$BB$55,3,),IF(AND(I3723="TDP",S3723&lt;=150),VLOOKUP(AF3723,TPCalibEq150!$AZ$2:$BB$55,3,)))</f>
        <v>0</v>
      </c>
      <c r="AR3723" s="10" t="b">
        <f>IF(AND(I3723="TP",S3723&lt;=300),VLOOKUP(AF3723,TPCalibEq300!$AZ$2:$BB$55,3,),IF(AND(I3723="TDP",S3723&lt;=300),VLOOKUP(AF3723,TPCalibEq300!$AZ$2:$BB$55,3,)))</f>
        <v>0</v>
      </c>
      <c r="AS3723" s="10" t="b">
        <f>IF(AND(I3723="TP",S3723&lt;=500),VLOOKUP(AF3723,TPCalibEq500!$AZ$2:$BB$56,3,),IF(AND(I3723="TDP",S3723&lt;=500),VLOOKUP(AF3723,TPCalibEq500!$AZ$2:$BB$56,3,)))</f>
        <v>0</v>
      </c>
      <c r="AT3723" s="10" t="b">
        <f>IF(AND(I3723="TN",S3723&lt;=2800),VLOOKUP(AF3723,TNCalibEq2500!$AZ$2:$BB$56,3,),IF(AND(I3723="TDN",S3723&lt;=2800),VLOOKUP(AF3723,TNCalibEq2500!$AZ$2:$BB$56,3,)))</f>
        <v>0</v>
      </c>
      <c r="AU3723" s="10" t="b">
        <f>IF(I3723="TP",VLOOKUP(AF3723,TPCalibEqFull!$AZ$2:$BB$56,3),IF(I3723="TDP",VLOOKUP(AF3723,TPCalibEqFull!$AZ$2:$BB$56,3),IF(I3723="TDN",VLOOKUP(AF3723,TNCalibEqFull!$AZ$1:$BB$56,3),IF(I3723="TN",VLOOKUP(AF3723,TNCalibEqFull!$AZ$1:$BB$56,3),FALSE))))</f>
        <v>0</v>
      </c>
      <c r="AV3723" s="10" t="str">
        <f t="shared" si="426"/>
        <v>0221 10:02:00-EFL-10-FIL-1-SW-UKN</v>
      </c>
    </row>
    <row r="3724" spans="1:48" s="10" customFormat="1" x14ac:dyDescent="0.55000000000000004">
      <c r="A3724" s="32">
        <v>44978</v>
      </c>
      <c r="B3724" s="33">
        <v>0.42083333333333334</v>
      </c>
      <c r="C3724" s="10" t="s">
        <v>287</v>
      </c>
      <c r="D3724" s="10">
        <v>20</v>
      </c>
      <c r="E3724" s="10" t="s">
        <v>911</v>
      </c>
      <c r="F3724" s="10">
        <v>1</v>
      </c>
      <c r="G3724" s="10" t="s">
        <v>231</v>
      </c>
      <c r="H3724" s="10" t="s">
        <v>322</v>
      </c>
      <c r="I3724" s="10" t="s">
        <v>209</v>
      </c>
      <c r="J3724" s="10">
        <v>68</v>
      </c>
      <c r="K3724" s="12">
        <v>44980</v>
      </c>
      <c r="L3724" s="33">
        <v>0.56160879629629623</v>
      </c>
      <c r="M3724" s="10">
        <v>1</v>
      </c>
      <c r="N3724" s="10" t="s">
        <v>169</v>
      </c>
      <c r="O3724" s="10">
        <v>4.7699999999999996</v>
      </c>
      <c r="P3724" s="10">
        <v>0.219</v>
      </c>
      <c r="Q3724" s="10">
        <v>622</v>
      </c>
      <c r="R3724" s="10" t="s">
        <v>77</v>
      </c>
      <c r="S3724" s="34">
        <f t="shared" si="423"/>
        <v>622</v>
      </c>
      <c r="T3724" s="10" t="s">
        <v>1274</v>
      </c>
      <c r="U3724" s="34" t="str">
        <f t="shared" si="424"/>
        <v/>
      </c>
      <c r="V3724" s="31" t="str">
        <f>IF(H3724="CHK",VLOOKUP(I3724,QCCHK,3,),IF(H3724="GUP",VLOOKUP(E3724,QCGUP,2,),IF(AND(H3724="ATP",OR(I3724="TN",I3724="TDN",I3724="TNO2-3",I3724="NO2-3")),VLOOKUP(E3724,QCREC_N,2,),IF(AND(H3724="NIC",OR(I3724="TN",I3724="TDN",I3724="TNO2-3",I3724="NO2-3")),VLOOKUP(E3724,QCNIC_N,2,),IF(AND(H3724="UREA",OR(I3724="TN",I3724="TDN",I3724="TNO2-3",I3724="NO2-3")),VLOOKUP(E3724,QCUREA_N,2,),IF(H3724="PER",VLOOKUP(I3724,QCPER,MATCH(E3724,QCACTUAL!$J$25:$AA$25,0),),IF(H3724="SPK",VLOOKUP(I3724,QCSPK,3,),IF(AND(H3724="ATP",OR(I3724="TP",I3724="TDP")),VLOOKUP(E3724,QCATP_P,2,),""))))))))</f>
        <v/>
      </c>
      <c r="W3724" s="31" t="str">
        <f t="shared" si="425"/>
        <v>TRUE</v>
      </c>
      <c r="X3724" s="31" t="str">
        <f t="shared" si="422"/>
        <v/>
      </c>
      <c r="Y3724" s="10" t="s">
        <v>1253</v>
      </c>
      <c r="AL3724" s="10" t="str">
        <f t="shared" si="420"/>
        <v>FALSE</v>
      </c>
      <c r="AM3724" s="10" t="str">
        <f t="shared" si="420"/>
        <v>FALSE</v>
      </c>
      <c r="AN3724" s="10" t="str">
        <f t="shared" si="420"/>
        <v>FALSE</v>
      </c>
      <c r="AO3724" s="10" t="str">
        <f t="shared" si="421"/>
        <v>FALSE</v>
      </c>
      <c r="AP3724" s="10" t="str">
        <f t="shared" si="421"/>
        <v>FALSE</v>
      </c>
      <c r="AQ3724" s="10" t="b">
        <f>IF(AND(I3724="TP",S3724&lt;=150),VLOOKUP(AF3724,TPCalibEq150!$AZ$2:$BB$55,3,),IF(AND(I3724="TDP",S3724&lt;=150),VLOOKUP(AF3724,TPCalibEq150!$AZ$2:$BB$55,3,)))</f>
        <v>0</v>
      </c>
      <c r="AR3724" s="10" t="b">
        <f>IF(AND(I3724="TP",S3724&lt;=300),VLOOKUP(AF3724,TPCalibEq300!$AZ$2:$BB$55,3,),IF(AND(I3724="TDP",S3724&lt;=300),VLOOKUP(AF3724,TPCalibEq300!$AZ$2:$BB$55,3,)))</f>
        <v>0</v>
      </c>
      <c r="AS3724" s="10" t="b">
        <f>IF(AND(I3724="TP",S3724&lt;=500),VLOOKUP(AF3724,TPCalibEq500!$AZ$2:$BB$56,3,),IF(AND(I3724="TDP",S3724&lt;=500),VLOOKUP(AF3724,TPCalibEq500!$AZ$2:$BB$56,3,)))</f>
        <v>0</v>
      </c>
      <c r="AT3724" s="10" t="b">
        <f>IF(AND(I3724="TN",S3724&lt;=2800),VLOOKUP(AF3724,TNCalibEq2500!$AZ$2:$BB$56,3,),IF(AND(I3724="TDN",S3724&lt;=2800),VLOOKUP(AF3724,TNCalibEq2500!$AZ$2:$BB$56,3,)))</f>
        <v>0</v>
      </c>
      <c r="AU3724" s="10" t="b">
        <f>IF(I3724="TP",VLOOKUP(AF3724,TPCalibEqFull!$AZ$2:$BB$56,3),IF(I3724="TDP",VLOOKUP(AF3724,TPCalibEqFull!$AZ$2:$BB$56,3),IF(I3724="TDN",VLOOKUP(AF3724,TNCalibEqFull!$AZ$1:$BB$56,3),IF(I3724="TN",VLOOKUP(AF3724,TNCalibEqFull!$AZ$1:$BB$56,3),FALSE))))</f>
        <v>0</v>
      </c>
      <c r="AV3724" s="10" t="str">
        <f t="shared" si="426"/>
        <v>0221 10:06:00-EFL-20-FIL-1-SW-UKN</v>
      </c>
    </row>
    <row r="3725" spans="1:48" s="10" customFormat="1" x14ac:dyDescent="0.55000000000000004">
      <c r="A3725" s="32">
        <v>44978</v>
      </c>
      <c r="B3725" s="33">
        <v>0.42083333333333334</v>
      </c>
      <c r="C3725" s="10" t="s">
        <v>287</v>
      </c>
      <c r="D3725" s="10">
        <v>20</v>
      </c>
      <c r="E3725" s="10" t="s">
        <v>911</v>
      </c>
      <c r="F3725" s="10">
        <v>2</v>
      </c>
      <c r="G3725" s="10" t="s">
        <v>231</v>
      </c>
      <c r="H3725" s="10" t="s">
        <v>322</v>
      </c>
      <c r="I3725" s="10" t="s">
        <v>209</v>
      </c>
      <c r="J3725" s="10">
        <v>69</v>
      </c>
      <c r="K3725" s="12">
        <v>44980</v>
      </c>
      <c r="L3725" s="33">
        <v>0.56241898148148151</v>
      </c>
      <c r="M3725" s="10">
        <v>1</v>
      </c>
      <c r="N3725" s="10" t="s">
        <v>169</v>
      </c>
      <c r="O3725" s="10">
        <v>4.76</v>
      </c>
      <c r="P3725" s="10">
        <v>0.219</v>
      </c>
      <c r="Q3725" s="10">
        <v>621</v>
      </c>
      <c r="R3725" s="10" t="s">
        <v>77</v>
      </c>
      <c r="S3725" s="34">
        <f t="shared" si="423"/>
        <v>621</v>
      </c>
      <c r="T3725" s="10" t="s">
        <v>1274</v>
      </c>
      <c r="U3725" s="34" t="str">
        <f t="shared" si="424"/>
        <v/>
      </c>
      <c r="V3725" s="31" t="str">
        <f>IF(H3725="CHK",VLOOKUP(I3725,QCCHK,3,),IF(H3725="GUP",VLOOKUP(E3725,QCGUP,2,),IF(AND(H3725="ATP",OR(I3725="TN",I3725="TDN",I3725="TNO2-3",I3725="NO2-3")),VLOOKUP(E3725,QCREC_N,2,),IF(AND(H3725="NIC",OR(I3725="TN",I3725="TDN",I3725="TNO2-3",I3725="NO2-3")),VLOOKUP(E3725,QCNIC_N,2,),IF(AND(H3725="UREA",OR(I3725="TN",I3725="TDN",I3725="TNO2-3",I3725="NO2-3")),VLOOKUP(E3725,QCUREA_N,2,),IF(H3725="PER",VLOOKUP(I3725,QCPER,MATCH(E3725,QCACTUAL!$J$25:$AA$25,0),),IF(H3725="SPK",VLOOKUP(I3725,QCSPK,3,),IF(AND(H3725="ATP",OR(I3725="TP",I3725="TDP")),VLOOKUP(E3725,QCATP_P,2,),""))))))))</f>
        <v/>
      </c>
      <c r="W3725" s="31" t="str">
        <f t="shared" si="425"/>
        <v>TRUE</v>
      </c>
      <c r="X3725" s="31" t="str">
        <f t="shared" si="422"/>
        <v/>
      </c>
      <c r="Y3725" s="10" t="s">
        <v>1253</v>
      </c>
      <c r="AL3725" s="10" t="str">
        <f t="shared" si="420"/>
        <v>FALSE</v>
      </c>
      <c r="AM3725" s="10" t="str">
        <f t="shared" si="420"/>
        <v>FALSE</v>
      </c>
      <c r="AN3725" s="10" t="str">
        <f t="shared" si="420"/>
        <v>FALSE</v>
      </c>
      <c r="AO3725" s="10" t="str">
        <f t="shared" si="421"/>
        <v>FALSE</v>
      </c>
      <c r="AP3725" s="10" t="str">
        <f t="shared" si="421"/>
        <v>FALSE</v>
      </c>
      <c r="AQ3725" s="10" t="b">
        <f>IF(AND(I3725="TP",S3725&lt;=150),VLOOKUP(AF3725,TPCalibEq150!$AZ$2:$BB$55,3,),IF(AND(I3725="TDP",S3725&lt;=150),VLOOKUP(AF3725,TPCalibEq150!$AZ$2:$BB$55,3,)))</f>
        <v>0</v>
      </c>
      <c r="AR3725" s="10" t="b">
        <f>IF(AND(I3725="TP",S3725&lt;=300),VLOOKUP(AF3725,TPCalibEq300!$AZ$2:$BB$55,3,),IF(AND(I3725="TDP",S3725&lt;=300),VLOOKUP(AF3725,TPCalibEq300!$AZ$2:$BB$55,3,)))</f>
        <v>0</v>
      </c>
      <c r="AS3725" s="10" t="b">
        <f>IF(AND(I3725="TP",S3725&lt;=500),VLOOKUP(AF3725,TPCalibEq500!$AZ$2:$BB$56,3,),IF(AND(I3725="TDP",S3725&lt;=500),VLOOKUP(AF3725,TPCalibEq500!$AZ$2:$BB$56,3,)))</f>
        <v>0</v>
      </c>
      <c r="AT3725" s="10" t="b">
        <f>IF(AND(I3725="TN",S3725&lt;=2800),VLOOKUP(AF3725,TNCalibEq2500!$AZ$2:$BB$56,3,),IF(AND(I3725="TDN",S3725&lt;=2800),VLOOKUP(AF3725,TNCalibEq2500!$AZ$2:$BB$56,3,)))</f>
        <v>0</v>
      </c>
      <c r="AU3725" s="10" t="b">
        <f>IF(I3725="TP",VLOOKUP(AF3725,TPCalibEqFull!$AZ$2:$BB$56,3),IF(I3725="TDP",VLOOKUP(AF3725,TPCalibEqFull!$AZ$2:$BB$56,3),IF(I3725="TDN",VLOOKUP(AF3725,TNCalibEqFull!$AZ$1:$BB$56,3),IF(I3725="TN",VLOOKUP(AF3725,TNCalibEqFull!$AZ$1:$BB$56,3),FALSE))))</f>
        <v>0</v>
      </c>
      <c r="AV3725" s="10" t="str">
        <f t="shared" si="426"/>
        <v>0221 10:06:00-EFL-20-FIL-2-SW-UKN</v>
      </c>
    </row>
    <row r="3726" spans="1:48" s="10" customFormat="1" x14ac:dyDescent="0.55000000000000004">
      <c r="A3726" s="32">
        <v>44978</v>
      </c>
      <c r="B3726" s="33">
        <v>0.42569444444444443</v>
      </c>
      <c r="C3726" s="10" t="s">
        <v>287</v>
      </c>
      <c r="D3726" s="10">
        <v>45</v>
      </c>
      <c r="E3726" s="10" t="s">
        <v>911</v>
      </c>
      <c r="F3726" s="10">
        <v>1</v>
      </c>
      <c r="G3726" s="10" t="s">
        <v>231</v>
      </c>
      <c r="H3726" s="10" t="s">
        <v>322</v>
      </c>
      <c r="I3726" s="10" t="s">
        <v>209</v>
      </c>
      <c r="J3726" s="10">
        <v>70</v>
      </c>
      <c r="K3726" s="12">
        <v>44980</v>
      </c>
      <c r="L3726" s="33">
        <v>0.56322916666666667</v>
      </c>
      <c r="M3726" s="10">
        <v>1</v>
      </c>
      <c r="N3726" s="10" t="s">
        <v>169</v>
      </c>
      <c r="O3726" s="10">
        <v>5.05</v>
      </c>
      <c r="P3726" s="10">
        <v>0.23200000000000001</v>
      </c>
      <c r="Q3726" s="10">
        <v>658</v>
      </c>
      <c r="R3726" s="10" t="s">
        <v>77</v>
      </c>
      <c r="S3726" s="34">
        <f t="shared" si="423"/>
        <v>658</v>
      </c>
      <c r="T3726" s="10" t="s">
        <v>1274</v>
      </c>
      <c r="U3726" s="34" t="str">
        <f t="shared" si="424"/>
        <v/>
      </c>
      <c r="V3726" s="31" t="str">
        <f>IF(H3726="CHK",VLOOKUP(I3726,QCCHK,3,),IF(H3726="GUP",VLOOKUP(E3726,QCGUP,2,),IF(AND(H3726="ATP",OR(I3726="TN",I3726="TDN",I3726="TNO2-3",I3726="NO2-3")),VLOOKUP(E3726,QCREC_N,2,),IF(AND(H3726="NIC",OR(I3726="TN",I3726="TDN",I3726="TNO2-3",I3726="NO2-3")),VLOOKUP(E3726,QCNIC_N,2,),IF(AND(H3726="UREA",OR(I3726="TN",I3726="TDN",I3726="TNO2-3",I3726="NO2-3")),VLOOKUP(E3726,QCUREA_N,2,),IF(H3726="PER",VLOOKUP(I3726,QCPER,MATCH(E3726,QCACTUAL!$J$25:$AA$25,0),),IF(H3726="SPK",VLOOKUP(I3726,QCSPK,3,),IF(AND(H3726="ATP",OR(I3726="TP",I3726="TDP")),VLOOKUP(E3726,QCATP_P,2,),""))))))))</f>
        <v/>
      </c>
      <c r="W3726" s="31" t="str">
        <f t="shared" si="425"/>
        <v>TRUE</v>
      </c>
      <c r="X3726" s="31" t="str">
        <f t="shared" si="422"/>
        <v/>
      </c>
      <c r="Y3726" s="10" t="s">
        <v>1253</v>
      </c>
      <c r="AL3726" s="10" t="str">
        <f t="shared" si="420"/>
        <v>FALSE</v>
      </c>
      <c r="AM3726" s="10" t="str">
        <f t="shared" si="420"/>
        <v>FALSE</v>
      </c>
      <c r="AN3726" s="10" t="str">
        <f t="shared" si="420"/>
        <v>FALSE</v>
      </c>
      <c r="AO3726" s="10" t="str">
        <f t="shared" si="421"/>
        <v>FALSE</v>
      </c>
      <c r="AP3726" s="10" t="str">
        <f t="shared" si="421"/>
        <v>FALSE</v>
      </c>
      <c r="AQ3726" s="10" t="b">
        <f>IF(AND(I3726="TP",S3726&lt;=150),VLOOKUP(AF3726,TPCalibEq150!$AZ$2:$BB$55,3,),IF(AND(I3726="TDP",S3726&lt;=150),VLOOKUP(AF3726,TPCalibEq150!$AZ$2:$BB$55,3,)))</f>
        <v>0</v>
      </c>
      <c r="AR3726" s="10" t="b">
        <f>IF(AND(I3726="TP",S3726&lt;=300),VLOOKUP(AF3726,TPCalibEq300!$AZ$2:$BB$55,3,),IF(AND(I3726="TDP",S3726&lt;=300),VLOOKUP(AF3726,TPCalibEq300!$AZ$2:$BB$55,3,)))</f>
        <v>0</v>
      </c>
      <c r="AS3726" s="10" t="b">
        <f>IF(AND(I3726="TP",S3726&lt;=500),VLOOKUP(AF3726,TPCalibEq500!$AZ$2:$BB$56,3,),IF(AND(I3726="TDP",S3726&lt;=500),VLOOKUP(AF3726,TPCalibEq500!$AZ$2:$BB$56,3,)))</f>
        <v>0</v>
      </c>
      <c r="AT3726" s="10" t="b">
        <f>IF(AND(I3726="TN",S3726&lt;=2800),VLOOKUP(AF3726,TNCalibEq2500!$AZ$2:$BB$56,3,),IF(AND(I3726="TDN",S3726&lt;=2800),VLOOKUP(AF3726,TNCalibEq2500!$AZ$2:$BB$56,3,)))</f>
        <v>0</v>
      </c>
      <c r="AU3726" s="10" t="b">
        <f>IF(I3726="TP",VLOOKUP(AF3726,TPCalibEqFull!$AZ$2:$BB$56,3),IF(I3726="TDP",VLOOKUP(AF3726,TPCalibEqFull!$AZ$2:$BB$56,3),IF(I3726="TDN",VLOOKUP(AF3726,TNCalibEqFull!$AZ$1:$BB$56,3),IF(I3726="TN",VLOOKUP(AF3726,TNCalibEqFull!$AZ$1:$BB$56,3),FALSE))))</f>
        <v>0</v>
      </c>
      <c r="AV3726" s="10" t="str">
        <f t="shared" si="426"/>
        <v>0221 10:13:00-EFL-45-FIL-1-SW-UKN</v>
      </c>
    </row>
    <row r="3727" spans="1:48" s="10" customFormat="1" x14ac:dyDescent="0.55000000000000004">
      <c r="A3727" s="32">
        <v>44978</v>
      </c>
      <c r="B3727" s="33">
        <v>0.42569444444444443</v>
      </c>
      <c r="C3727" s="10" t="s">
        <v>287</v>
      </c>
      <c r="D3727" s="10">
        <v>45</v>
      </c>
      <c r="E3727" s="10" t="s">
        <v>911</v>
      </c>
      <c r="F3727" s="10">
        <v>1</v>
      </c>
      <c r="G3727" s="10" t="s">
        <v>231</v>
      </c>
      <c r="H3727" s="10" t="s">
        <v>233</v>
      </c>
      <c r="I3727" s="10" t="s">
        <v>209</v>
      </c>
      <c r="J3727" s="10">
        <v>70</v>
      </c>
      <c r="K3727" s="12">
        <v>44980</v>
      </c>
      <c r="L3727" s="33">
        <v>0.56403935185185183</v>
      </c>
      <c r="M3727" s="10">
        <v>1</v>
      </c>
      <c r="N3727" s="10" t="s">
        <v>169</v>
      </c>
      <c r="O3727" s="10">
        <v>5.07</v>
      </c>
      <c r="P3727" s="10">
        <v>0.23200000000000001</v>
      </c>
      <c r="Q3727" s="10">
        <v>661</v>
      </c>
      <c r="R3727" s="10" t="s">
        <v>77</v>
      </c>
      <c r="S3727" s="34">
        <f t="shared" si="423"/>
        <v>661</v>
      </c>
      <c r="T3727" s="10" t="s">
        <v>1274</v>
      </c>
      <c r="U3727" s="34">
        <f t="shared" si="424"/>
        <v>0.45489006823351025</v>
      </c>
      <c r="V3727" s="31" t="str">
        <f>IF(H3727="CHK",VLOOKUP(I3727,QCCHK,3,),IF(H3727="GUP",VLOOKUP(E3727,QCGUP,2,),IF(AND(H3727="ATP",OR(I3727="TN",I3727="TDN",I3727="TNO2-3",I3727="NO2-3")),VLOOKUP(E3727,QCREC_N,2,),IF(AND(H3727="NIC",OR(I3727="TN",I3727="TDN",I3727="TNO2-3",I3727="NO2-3")),VLOOKUP(E3727,QCNIC_N,2,),IF(AND(H3727="UREA",OR(I3727="TN",I3727="TDN",I3727="TNO2-3",I3727="NO2-3")),VLOOKUP(E3727,QCUREA_N,2,),IF(H3727="PER",VLOOKUP(I3727,QCPER,MATCH(E3727,QCACTUAL!$J$25:$AA$25,0),),IF(H3727="SPK",VLOOKUP(I3727,QCSPK,3,),IF(AND(H3727="ATP",OR(I3727="TP",I3727="TDP")),VLOOKUP(E3727,QCATP_P,2,),""))))))))</f>
        <v/>
      </c>
      <c r="W3727" s="31" t="str">
        <f t="shared" si="425"/>
        <v>TRUE</v>
      </c>
      <c r="X3727" s="31" t="str">
        <f t="shared" si="422"/>
        <v>((ABS(rep1-rep2))/((rep1+rep2)/2)*100</v>
      </c>
      <c r="Y3727" s="10" t="s">
        <v>1253</v>
      </c>
      <c r="AL3727" s="10" t="str">
        <f t="shared" si="420"/>
        <v>FALSE</v>
      </c>
      <c r="AM3727" s="10" t="str">
        <f t="shared" si="420"/>
        <v>FALSE</v>
      </c>
      <c r="AN3727" s="10" t="str">
        <f t="shared" si="420"/>
        <v>FALSE</v>
      </c>
      <c r="AO3727" s="10" t="str">
        <f t="shared" si="421"/>
        <v>FALSE</v>
      </c>
      <c r="AP3727" s="10" t="str">
        <f t="shared" si="421"/>
        <v>FALSE</v>
      </c>
      <c r="AQ3727" s="10" t="b">
        <f>IF(AND(I3727="TP",S3727&lt;=150),VLOOKUP(AF3727,TPCalibEq150!$AZ$2:$BB$55,3,),IF(AND(I3727="TDP",S3727&lt;=150),VLOOKUP(AF3727,TPCalibEq150!$AZ$2:$BB$55,3,)))</f>
        <v>0</v>
      </c>
      <c r="AR3727" s="10" t="b">
        <f>IF(AND(I3727="TP",S3727&lt;=300),VLOOKUP(AF3727,TPCalibEq300!$AZ$2:$BB$55,3,),IF(AND(I3727="TDP",S3727&lt;=300),VLOOKUP(AF3727,TPCalibEq300!$AZ$2:$BB$55,3,)))</f>
        <v>0</v>
      </c>
      <c r="AS3727" s="10" t="b">
        <f>IF(AND(I3727="TP",S3727&lt;=500),VLOOKUP(AF3727,TPCalibEq500!$AZ$2:$BB$56,3,),IF(AND(I3727="TDP",S3727&lt;=500),VLOOKUP(AF3727,TPCalibEq500!$AZ$2:$BB$56,3,)))</f>
        <v>0</v>
      </c>
      <c r="AT3727" s="10" t="b">
        <f>IF(AND(I3727="TN",S3727&lt;=2800),VLOOKUP(AF3727,TNCalibEq2500!$AZ$2:$BB$56,3,),IF(AND(I3727="TDN",S3727&lt;=2800),VLOOKUP(AF3727,TNCalibEq2500!$AZ$2:$BB$56,3,)))</f>
        <v>0</v>
      </c>
      <c r="AU3727" s="10" t="b">
        <f>IF(I3727="TP",VLOOKUP(AF3727,TPCalibEqFull!$AZ$2:$BB$56,3),IF(I3727="TDP",VLOOKUP(AF3727,TPCalibEqFull!$AZ$2:$BB$56,3),IF(I3727="TDN",VLOOKUP(AF3727,TNCalibEqFull!$AZ$1:$BB$56,3),IF(I3727="TN",VLOOKUP(AF3727,TNCalibEqFull!$AZ$1:$BB$56,3),FALSE))))</f>
        <v>0</v>
      </c>
      <c r="AV3727" s="10" t="str">
        <f t="shared" si="426"/>
        <v>0221 10:13:00-EFL-45-FIL-1-SW-DUP</v>
      </c>
    </row>
    <row r="3728" spans="1:48" s="10" customFormat="1" x14ac:dyDescent="0.55000000000000004">
      <c r="A3728" s="32">
        <v>44978</v>
      </c>
      <c r="B3728" s="33">
        <v>0.42569444444444443</v>
      </c>
      <c r="C3728" s="10" t="s">
        <v>287</v>
      </c>
      <c r="D3728" s="10">
        <v>45</v>
      </c>
      <c r="E3728" s="10" t="s">
        <v>911</v>
      </c>
      <c r="F3728" s="10">
        <v>1</v>
      </c>
      <c r="G3728" s="10" t="s">
        <v>231</v>
      </c>
      <c r="H3728" s="10" t="s">
        <v>314</v>
      </c>
      <c r="I3728" s="10" t="s">
        <v>209</v>
      </c>
      <c r="J3728" s="10">
        <v>89</v>
      </c>
      <c r="K3728" s="12">
        <v>44980</v>
      </c>
      <c r="L3728" s="33">
        <v>0.56484953703703711</v>
      </c>
      <c r="M3728" s="10">
        <v>1</v>
      </c>
      <c r="N3728" s="10" t="s">
        <v>169</v>
      </c>
      <c r="O3728" s="10">
        <v>10.4</v>
      </c>
      <c r="P3728" s="10">
        <v>0.47699999999999998</v>
      </c>
      <c r="Q3728" s="10">
        <v>1360</v>
      </c>
      <c r="R3728" s="10" t="s">
        <v>77</v>
      </c>
      <c r="S3728" s="34">
        <f t="shared" si="423"/>
        <v>1360</v>
      </c>
      <c r="T3728" s="10" t="s">
        <v>1274</v>
      </c>
      <c r="U3728" s="34">
        <f t="shared" si="424"/>
        <v>111.84</v>
      </c>
      <c r="V3728" s="31">
        <f>IF(H3728="CHK",VLOOKUP(I3728,QCCHK,3,),IF(H3728="GUP",VLOOKUP(E3728,QCGUP,2,),IF(AND(H3728="ATP",OR(I3728="TN",I3728="TDN",I3728="TNO2-3",I3728="NO2-3")),VLOOKUP(E3728,QCREC_N,2,),IF(AND(H3728="NIC",OR(I3728="TN",I3728="TDN",I3728="TNO2-3",I3728="NO2-3")),VLOOKUP(E3728,QCNIC_N,2,),IF(AND(H3728="UREA",OR(I3728="TN",I3728="TDN",I3728="TNO2-3",I3728="NO2-3")),VLOOKUP(E3728,QCUREA_N,2,),IF(H3728="PER",VLOOKUP(I3728,QCPER,MATCH(E3728,QCACTUAL!$J$25:$AA$25,0),),IF(H3728="SPK",VLOOKUP(I3728,QCSPK,3,),IF(AND(H3728="ATP",OR(I3728="TP",I3728="TDP")),VLOOKUP(E3728,QCATP_P,2,),""))))))))</f>
        <v>625</v>
      </c>
      <c r="W3728" s="31" t="str">
        <f t="shared" si="425"/>
        <v>TRUE</v>
      </c>
      <c r="X3728" s="31" t="str">
        <f t="shared" si="422"/>
        <v>([spikedunkn]-[unkn])/[spike]*100</v>
      </c>
      <c r="Y3728" s="10" t="s">
        <v>1253</v>
      </c>
      <c r="AL3728" s="10" t="str">
        <f t="shared" si="420"/>
        <v>FALSE</v>
      </c>
      <c r="AM3728" s="10" t="str">
        <f t="shared" si="420"/>
        <v>FALSE</v>
      </c>
      <c r="AN3728" s="10" t="str">
        <f t="shared" si="420"/>
        <v>FALSE</v>
      </c>
      <c r="AO3728" s="10" t="str">
        <f t="shared" si="421"/>
        <v>FALSE</v>
      </c>
      <c r="AP3728" s="10" t="str">
        <f t="shared" si="421"/>
        <v>FALSE</v>
      </c>
      <c r="AQ3728" s="10" t="b">
        <f>IF(AND(I3728="TP",S3728&lt;=150),VLOOKUP(AF3728,TPCalibEq150!$AZ$2:$BB$55,3,),IF(AND(I3728="TDP",S3728&lt;=150),VLOOKUP(AF3728,TPCalibEq150!$AZ$2:$BB$55,3,)))</f>
        <v>0</v>
      </c>
      <c r="AR3728" s="10" t="b">
        <f>IF(AND(I3728="TP",S3728&lt;=300),VLOOKUP(AF3728,TPCalibEq300!$AZ$2:$BB$55,3,),IF(AND(I3728="TDP",S3728&lt;=300),VLOOKUP(AF3728,TPCalibEq300!$AZ$2:$BB$55,3,)))</f>
        <v>0</v>
      </c>
      <c r="AS3728" s="10" t="b">
        <f>IF(AND(I3728="TP",S3728&lt;=500),VLOOKUP(AF3728,TPCalibEq500!$AZ$2:$BB$56,3,),IF(AND(I3728="TDP",S3728&lt;=500),VLOOKUP(AF3728,TPCalibEq500!$AZ$2:$BB$56,3,)))</f>
        <v>0</v>
      </c>
      <c r="AT3728" s="10" t="b">
        <f>IF(AND(I3728="TN",S3728&lt;=2800),VLOOKUP(AF3728,TNCalibEq2500!$AZ$2:$BB$56,3,),IF(AND(I3728="TDN",S3728&lt;=2800),VLOOKUP(AF3728,TNCalibEq2500!$AZ$2:$BB$56,3,)))</f>
        <v>0</v>
      </c>
      <c r="AU3728" s="10" t="b">
        <f>IF(I3728="TP",VLOOKUP(AF3728,TPCalibEqFull!$AZ$2:$BB$56,3),IF(I3728="TDP",VLOOKUP(AF3728,TPCalibEqFull!$AZ$2:$BB$56,3),IF(I3728="TDN",VLOOKUP(AF3728,TNCalibEqFull!$AZ$1:$BB$56,3),IF(I3728="TN",VLOOKUP(AF3728,TNCalibEqFull!$AZ$1:$BB$56,3),FALSE))))</f>
        <v>0</v>
      </c>
      <c r="AV3728" s="10" t="str">
        <f t="shared" si="426"/>
        <v>0221 10:13:00-EFL-45-FIL-1-SW-SPK</v>
      </c>
    </row>
    <row r="3729" spans="1:48" s="10" customFormat="1" x14ac:dyDescent="0.55000000000000004">
      <c r="A3729" s="32">
        <v>44979</v>
      </c>
      <c r="B3729" s="33">
        <v>0.375</v>
      </c>
      <c r="C3729" s="10" t="s">
        <v>70</v>
      </c>
      <c r="D3729" s="10" t="s">
        <v>71</v>
      </c>
      <c r="E3729" s="10" t="s">
        <v>901</v>
      </c>
      <c r="F3729" s="10">
        <v>1</v>
      </c>
      <c r="G3729" s="10" t="s">
        <v>73</v>
      </c>
      <c r="H3729" s="10" t="s">
        <v>207</v>
      </c>
      <c r="I3729" s="10" t="s">
        <v>256</v>
      </c>
      <c r="J3729" s="10">
        <v>203</v>
      </c>
      <c r="K3729" s="12">
        <v>44980</v>
      </c>
      <c r="L3729" s="33">
        <v>0.56568287037037035</v>
      </c>
      <c r="M3729" s="10">
        <v>1</v>
      </c>
      <c r="N3729" s="10" t="s">
        <v>169</v>
      </c>
      <c r="O3729" s="10">
        <v>2.2400000000000002</v>
      </c>
      <c r="P3729" s="10">
        <v>0.105</v>
      </c>
      <c r="Q3729" s="10">
        <v>291</v>
      </c>
      <c r="R3729" s="10" t="s">
        <v>77</v>
      </c>
      <c r="S3729" s="34">
        <f t="shared" si="423"/>
        <v>291</v>
      </c>
      <c r="T3729" s="10" t="s">
        <v>1274</v>
      </c>
      <c r="U3729" s="34">
        <f t="shared" si="424"/>
        <v>97</v>
      </c>
      <c r="V3729" s="31">
        <f>IF(H3729="CHK",VLOOKUP(I3729,QCCHK,3,),IF(H3729="GUP",VLOOKUP(E3729,QCGUP,2,),IF(AND(H3729="ATP",OR(I3729="TN",I3729="TDN",I3729="TNO2-3",I3729="NO2-3")),VLOOKUP(E3729,QCREC_N,2,),IF(AND(H3729="NIC",OR(I3729="TN",I3729="TDN",I3729="TNO2-3",I3729="NO2-3")),VLOOKUP(E3729,QCNIC_N,2,),IF(AND(H3729="UREA",OR(I3729="TN",I3729="TDN",I3729="TNO2-3",I3729="NO2-3")),VLOOKUP(E3729,QCUREA_N,2,),IF(H3729="PER",VLOOKUP(I3729,QCPER,MATCH(E3729,QCACTUAL!$J$25:$AA$25,0),),IF(H3729="SPK",VLOOKUP(I3729,QCSPK,3,),IF(AND(H3729="ATP",OR(I3729="TP",I3729="TDP")),VLOOKUP(E3729,QCATP_P,2,),""))))))))</f>
        <v>300</v>
      </c>
      <c r="W3729" s="31" t="str">
        <f t="shared" si="425"/>
        <v>TRUE</v>
      </c>
      <c r="X3729" s="31" t="str">
        <f t="shared" si="422"/>
        <v>[chk]/[actual]*100</v>
      </c>
      <c r="Y3729" s="10" t="s">
        <v>1253</v>
      </c>
      <c r="AL3729" s="10" t="str">
        <f t="shared" si="420"/>
        <v>FALSE</v>
      </c>
      <c r="AM3729" s="10" t="str">
        <f t="shared" si="420"/>
        <v>FALSE</v>
      </c>
      <c r="AN3729" s="10" t="str">
        <f t="shared" si="420"/>
        <v>FALSE</v>
      </c>
      <c r="AO3729" s="10" t="str">
        <f t="shared" si="421"/>
        <v>FALSE</v>
      </c>
      <c r="AP3729" s="10" t="str">
        <f t="shared" si="421"/>
        <v>FALSE</v>
      </c>
      <c r="AQ3729" s="10" t="b">
        <f>IF(AND(I3729="TP",S3729&lt;=150),VLOOKUP(AF3729,TPCalibEq150!$AZ$2:$BB$55,3,),IF(AND(I3729="TDP",S3729&lt;=150),VLOOKUP(AF3729,TPCalibEq150!$AZ$2:$BB$55,3,)))</f>
        <v>0</v>
      </c>
      <c r="AR3729" s="10" t="b">
        <f>IF(AND(I3729="TP",S3729&lt;=300),VLOOKUP(AF3729,TPCalibEq300!$AZ$2:$BB$55,3,),IF(AND(I3729="TDP",S3729&lt;=300),VLOOKUP(AF3729,TPCalibEq300!$AZ$2:$BB$55,3,)))</f>
        <v>0</v>
      </c>
      <c r="AS3729" s="10" t="b">
        <f>IF(AND(I3729="TP",S3729&lt;=500),VLOOKUP(AF3729,TPCalibEq500!$AZ$2:$BB$56,3,),IF(AND(I3729="TDP",S3729&lt;=500),VLOOKUP(AF3729,TPCalibEq500!$AZ$2:$BB$56,3,)))</f>
        <v>0</v>
      </c>
      <c r="AT3729" s="10" t="b">
        <f>IF(AND(I3729="TN",S3729&lt;=2800),VLOOKUP(AF3729,TNCalibEq2500!$AZ$2:$BB$56,3,),IF(AND(I3729="TDN",S3729&lt;=2800),VLOOKUP(AF3729,TNCalibEq2500!$AZ$2:$BB$56,3,)))</f>
        <v>0</v>
      </c>
      <c r="AU3729" s="10" t="b">
        <f>IF(I3729="TP",VLOOKUP(AF3729,TPCalibEqFull!$AZ$2:$BB$56,3),IF(I3729="TDP",VLOOKUP(AF3729,TPCalibEqFull!$AZ$2:$BB$56,3),IF(I3729="TDN",VLOOKUP(AF3729,TNCalibEqFull!$AZ$1:$BB$56,3),IF(I3729="TN",VLOOKUP(AF3729,TNCalibEqFull!$AZ$1:$BB$56,3),FALSE))))</f>
        <v>0</v>
      </c>
      <c r="AV3729" s="10" t="str">
        <f t="shared" si="426"/>
        <v>0222 09:00:00-QAC-STD-D-1-DI-CHK</v>
      </c>
    </row>
    <row r="3730" spans="1:48" s="10" customFormat="1" x14ac:dyDescent="0.55000000000000004">
      <c r="A3730" s="32">
        <v>44978</v>
      </c>
      <c r="B3730" s="33">
        <v>0.38958333333333334</v>
      </c>
      <c r="C3730" s="10" t="s">
        <v>428</v>
      </c>
      <c r="D3730" s="10">
        <v>0</v>
      </c>
      <c r="E3730" s="10" t="s">
        <v>911</v>
      </c>
      <c r="F3730" s="10">
        <v>1</v>
      </c>
      <c r="G3730" s="10" t="s">
        <v>231</v>
      </c>
      <c r="H3730" s="10" t="s">
        <v>322</v>
      </c>
      <c r="I3730" s="10" t="s">
        <v>209</v>
      </c>
      <c r="J3730" s="10">
        <v>71</v>
      </c>
      <c r="K3730" s="12">
        <v>44980</v>
      </c>
      <c r="L3730" s="33">
        <v>0.56649305555555551</v>
      </c>
      <c r="M3730" s="10">
        <v>1</v>
      </c>
      <c r="N3730" s="10" t="s">
        <v>169</v>
      </c>
      <c r="O3730" s="10">
        <v>5.27</v>
      </c>
      <c r="P3730" s="10">
        <v>0.24099999999999999</v>
      </c>
      <c r="Q3730" s="10">
        <v>687</v>
      </c>
      <c r="R3730" s="10" t="s">
        <v>77</v>
      </c>
      <c r="S3730" s="34">
        <f t="shared" si="423"/>
        <v>687</v>
      </c>
      <c r="T3730" s="10" t="s">
        <v>1274</v>
      </c>
      <c r="U3730" s="34" t="str">
        <f t="shared" si="424"/>
        <v/>
      </c>
      <c r="V3730" s="31" t="str">
        <f>IF(H3730="CHK",VLOOKUP(I3730,QCCHK,3,),IF(H3730="GUP",VLOOKUP(E3730,QCGUP,2,),IF(AND(H3730="ATP",OR(I3730="TN",I3730="TDN",I3730="TNO2-3",I3730="NO2-3")),VLOOKUP(E3730,QCREC_N,2,),IF(AND(H3730="NIC",OR(I3730="TN",I3730="TDN",I3730="TNO2-3",I3730="NO2-3")),VLOOKUP(E3730,QCNIC_N,2,),IF(AND(H3730="UREA",OR(I3730="TN",I3730="TDN",I3730="TNO2-3",I3730="NO2-3")),VLOOKUP(E3730,QCUREA_N,2,),IF(H3730="PER",VLOOKUP(I3730,QCPER,MATCH(E3730,QCACTUAL!$J$25:$AA$25,0),),IF(H3730="SPK",VLOOKUP(I3730,QCSPK,3,),IF(AND(H3730="ATP",OR(I3730="TP",I3730="TDP")),VLOOKUP(E3730,QCATP_P,2,),""))))))))</f>
        <v/>
      </c>
      <c r="W3730" s="31" t="str">
        <f t="shared" si="425"/>
        <v>TRUE</v>
      </c>
      <c r="X3730" s="31" t="str">
        <f t="shared" si="422"/>
        <v/>
      </c>
      <c r="Y3730" s="10" t="s">
        <v>1253</v>
      </c>
      <c r="AL3730" s="10" t="str">
        <f t="shared" si="420"/>
        <v>FALSE</v>
      </c>
      <c r="AM3730" s="10" t="str">
        <f t="shared" si="420"/>
        <v>FALSE</v>
      </c>
      <c r="AN3730" s="10" t="str">
        <f t="shared" si="420"/>
        <v>FALSE</v>
      </c>
      <c r="AO3730" s="10" t="str">
        <f t="shared" si="421"/>
        <v>FALSE</v>
      </c>
      <c r="AP3730" s="10" t="str">
        <f t="shared" si="421"/>
        <v>FALSE</v>
      </c>
      <c r="AQ3730" s="10" t="b">
        <f>IF(AND(I3730="TP",S3730&lt;=150),VLOOKUP(AF3730,TPCalibEq150!$AZ$2:$BB$55,3,),IF(AND(I3730="TDP",S3730&lt;=150),VLOOKUP(AF3730,TPCalibEq150!$AZ$2:$BB$55,3,)))</f>
        <v>0</v>
      </c>
      <c r="AR3730" s="10" t="b">
        <f>IF(AND(I3730="TP",S3730&lt;=300),VLOOKUP(AF3730,TPCalibEq300!$AZ$2:$BB$55,3,),IF(AND(I3730="TDP",S3730&lt;=300),VLOOKUP(AF3730,TPCalibEq300!$AZ$2:$BB$55,3,)))</f>
        <v>0</v>
      </c>
      <c r="AS3730" s="10" t="b">
        <f>IF(AND(I3730="TP",S3730&lt;=500),VLOOKUP(AF3730,TPCalibEq500!$AZ$2:$BB$56,3,),IF(AND(I3730="TDP",S3730&lt;=500),VLOOKUP(AF3730,TPCalibEq500!$AZ$2:$BB$56,3,)))</f>
        <v>0</v>
      </c>
      <c r="AT3730" s="10" t="b">
        <f>IF(AND(I3730="TN",S3730&lt;=2800),VLOOKUP(AF3730,TNCalibEq2500!$AZ$2:$BB$56,3,),IF(AND(I3730="TDN",S3730&lt;=2800),VLOOKUP(AF3730,TNCalibEq2500!$AZ$2:$BB$56,3,)))</f>
        <v>0</v>
      </c>
      <c r="AU3730" s="10" t="b">
        <f>IF(I3730="TP",VLOOKUP(AF3730,TPCalibEqFull!$AZ$2:$BB$56,3),IF(I3730="TDP",VLOOKUP(AF3730,TPCalibEqFull!$AZ$2:$BB$56,3),IF(I3730="TDN",VLOOKUP(AF3730,TNCalibEqFull!$AZ$1:$BB$56,3),IF(I3730="TN",VLOOKUP(AF3730,TNCalibEqFull!$AZ$1:$BB$56,3),FALSE))))</f>
        <v>0</v>
      </c>
      <c r="AV3730" s="10" t="str">
        <f t="shared" si="426"/>
        <v>0221 09:21:00-EOF-0-FIL-1-SW-UKN</v>
      </c>
    </row>
    <row r="3731" spans="1:48" s="10" customFormat="1" x14ac:dyDescent="0.55000000000000004">
      <c r="A3731" s="32">
        <v>44978</v>
      </c>
      <c r="B3731" s="33">
        <v>0.39166666666666666</v>
      </c>
      <c r="C3731" s="10" t="s">
        <v>428</v>
      </c>
      <c r="D3731" s="10">
        <v>5</v>
      </c>
      <c r="E3731" s="10" t="s">
        <v>911</v>
      </c>
      <c r="F3731" s="10">
        <v>1</v>
      </c>
      <c r="G3731" s="10" t="s">
        <v>231</v>
      </c>
      <c r="H3731" s="10" t="s">
        <v>322</v>
      </c>
      <c r="I3731" s="10" t="s">
        <v>209</v>
      </c>
      <c r="J3731" s="10">
        <v>72</v>
      </c>
      <c r="K3731" s="12">
        <v>44980</v>
      </c>
      <c r="L3731" s="33">
        <v>0.56730324074074068</v>
      </c>
      <c r="M3731" s="10">
        <v>1</v>
      </c>
      <c r="N3731" s="10" t="s">
        <v>169</v>
      </c>
      <c r="O3731" s="10">
        <v>5.05</v>
      </c>
      <c r="P3731" s="10">
        <v>0.23200000000000001</v>
      </c>
      <c r="Q3731" s="10">
        <v>658</v>
      </c>
      <c r="R3731" s="10" t="s">
        <v>77</v>
      </c>
      <c r="S3731" s="34">
        <f t="shared" si="423"/>
        <v>658</v>
      </c>
      <c r="T3731" s="10" t="s">
        <v>1274</v>
      </c>
      <c r="U3731" s="34" t="str">
        <f t="shared" si="424"/>
        <v/>
      </c>
      <c r="V3731" s="31" t="str">
        <f>IF(H3731="CHK",VLOOKUP(I3731,QCCHK,3,),IF(H3731="GUP",VLOOKUP(E3731,QCGUP,2,),IF(AND(H3731="ATP",OR(I3731="TN",I3731="TDN",I3731="TNO2-3",I3731="NO2-3")),VLOOKUP(E3731,QCREC_N,2,),IF(AND(H3731="NIC",OR(I3731="TN",I3731="TDN",I3731="TNO2-3",I3731="NO2-3")),VLOOKUP(E3731,QCNIC_N,2,),IF(AND(H3731="UREA",OR(I3731="TN",I3731="TDN",I3731="TNO2-3",I3731="NO2-3")),VLOOKUP(E3731,QCUREA_N,2,),IF(H3731="PER",VLOOKUP(I3731,QCPER,MATCH(E3731,QCACTUAL!$J$25:$AA$25,0),),IF(H3731="SPK",VLOOKUP(I3731,QCSPK,3,),IF(AND(H3731="ATP",OR(I3731="TP",I3731="TDP")),VLOOKUP(E3731,QCATP_P,2,),""))))))))</f>
        <v/>
      </c>
      <c r="W3731" s="31" t="str">
        <f t="shared" si="425"/>
        <v>TRUE</v>
      </c>
      <c r="X3731" s="31" t="str">
        <f t="shared" si="422"/>
        <v/>
      </c>
      <c r="Y3731" s="10" t="s">
        <v>1253</v>
      </c>
      <c r="AL3731" s="10" t="str">
        <f t="shared" si="420"/>
        <v>FALSE</v>
      </c>
      <c r="AM3731" s="10" t="str">
        <f t="shared" si="420"/>
        <v>FALSE</v>
      </c>
      <c r="AN3731" s="10" t="str">
        <f t="shared" si="420"/>
        <v>FALSE</v>
      </c>
      <c r="AO3731" s="10" t="str">
        <f t="shared" si="421"/>
        <v>FALSE</v>
      </c>
      <c r="AP3731" s="10" t="str">
        <f t="shared" si="421"/>
        <v>FALSE</v>
      </c>
      <c r="AQ3731" s="10" t="b">
        <f>IF(AND(I3731="TP",S3731&lt;=150),VLOOKUP(AF3731,TPCalibEq150!$AZ$2:$BB$55,3,),IF(AND(I3731="TDP",S3731&lt;=150),VLOOKUP(AF3731,TPCalibEq150!$AZ$2:$BB$55,3,)))</f>
        <v>0</v>
      </c>
      <c r="AR3731" s="10" t="b">
        <f>IF(AND(I3731="TP",S3731&lt;=300),VLOOKUP(AF3731,TPCalibEq300!$AZ$2:$BB$55,3,),IF(AND(I3731="TDP",S3731&lt;=300),VLOOKUP(AF3731,TPCalibEq300!$AZ$2:$BB$55,3,)))</f>
        <v>0</v>
      </c>
      <c r="AS3731" s="10" t="b">
        <f>IF(AND(I3731="TP",S3731&lt;=500),VLOOKUP(AF3731,TPCalibEq500!$AZ$2:$BB$56,3,),IF(AND(I3731="TDP",S3731&lt;=500),VLOOKUP(AF3731,TPCalibEq500!$AZ$2:$BB$56,3,)))</f>
        <v>0</v>
      </c>
      <c r="AT3731" s="10" t="b">
        <f>IF(AND(I3731="TN",S3731&lt;=2800),VLOOKUP(AF3731,TNCalibEq2500!$AZ$2:$BB$56,3,),IF(AND(I3731="TDN",S3731&lt;=2800),VLOOKUP(AF3731,TNCalibEq2500!$AZ$2:$BB$56,3,)))</f>
        <v>0</v>
      </c>
      <c r="AU3731" s="10" t="b">
        <f>IF(I3731="TP",VLOOKUP(AF3731,TPCalibEqFull!$AZ$2:$BB$56,3),IF(I3731="TDP",VLOOKUP(AF3731,TPCalibEqFull!$AZ$2:$BB$56,3),IF(I3731="TDN",VLOOKUP(AF3731,TNCalibEqFull!$AZ$1:$BB$56,3),IF(I3731="TN",VLOOKUP(AF3731,TNCalibEqFull!$AZ$1:$BB$56,3),FALSE))))</f>
        <v>0</v>
      </c>
      <c r="AV3731" s="10" t="str">
        <f t="shared" si="426"/>
        <v>0221 09:24:00-EOF-5-FIL-1-SW-UKN</v>
      </c>
    </row>
    <row r="3732" spans="1:48" s="10" customFormat="1" x14ac:dyDescent="0.55000000000000004">
      <c r="A3732" s="32">
        <v>44978</v>
      </c>
      <c r="B3732" s="33">
        <v>0.39444444444444443</v>
      </c>
      <c r="C3732" s="10" t="s">
        <v>428</v>
      </c>
      <c r="D3732" s="10">
        <v>10</v>
      </c>
      <c r="E3732" s="10" t="s">
        <v>911</v>
      </c>
      <c r="F3732" s="10">
        <v>1</v>
      </c>
      <c r="G3732" s="10" t="s">
        <v>231</v>
      </c>
      <c r="H3732" s="10" t="s">
        <v>322</v>
      </c>
      <c r="I3732" s="10" t="s">
        <v>209</v>
      </c>
      <c r="J3732" s="10">
        <v>73</v>
      </c>
      <c r="K3732" s="12">
        <v>44980</v>
      </c>
      <c r="L3732" s="33">
        <v>0.56811342592592595</v>
      </c>
      <c r="M3732" s="10">
        <v>1</v>
      </c>
      <c r="N3732" s="10" t="s">
        <v>169</v>
      </c>
      <c r="O3732" s="10">
        <v>5.23</v>
      </c>
      <c r="P3732" s="10">
        <v>0.24</v>
      </c>
      <c r="Q3732" s="10">
        <v>682</v>
      </c>
      <c r="R3732" s="10" t="s">
        <v>77</v>
      </c>
      <c r="S3732" s="34">
        <f t="shared" si="423"/>
        <v>682</v>
      </c>
      <c r="T3732" s="10" t="s">
        <v>1274</v>
      </c>
      <c r="U3732" s="34" t="str">
        <f t="shared" si="424"/>
        <v/>
      </c>
      <c r="V3732" s="31" t="str">
        <f>IF(H3732="CHK",VLOOKUP(I3732,QCCHK,3,),IF(H3732="GUP",VLOOKUP(E3732,QCGUP,2,),IF(AND(H3732="ATP",OR(I3732="TN",I3732="TDN",I3732="TNO2-3",I3732="NO2-3")),VLOOKUP(E3732,QCREC_N,2,),IF(AND(H3732="NIC",OR(I3732="TN",I3732="TDN",I3732="TNO2-3",I3732="NO2-3")),VLOOKUP(E3732,QCNIC_N,2,),IF(AND(H3732="UREA",OR(I3732="TN",I3732="TDN",I3732="TNO2-3",I3732="NO2-3")),VLOOKUP(E3732,QCUREA_N,2,),IF(H3732="PER",VLOOKUP(I3732,QCPER,MATCH(E3732,QCACTUAL!$J$25:$AA$25,0),),IF(H3732="SPK",VLOOKUP(I3732,QCSPK,3,),IF(AND(H3732="ATP",OR(I3732="TP",I3732="TDP")),VLOOKUP(E3732,QCATP_P,2,),""))))))))</f>
        <v/>
      </c>
      <c r="W3732" s="31" t="str">
        <f t="shared" si="425"/>
        <v>TRUE</v>
      </c>
      <c r="X3732" s="31" t="str">
        <f t="shared" si="422"/>
        <v/>
      </c>
      <c r="Y3732" s="10" t="s">
        <v>1253</v>
      </c>
      <c r="AL3732" s="10" t="str">
        <f t="shared" si="420"/>
        <v>FALSE</v>
      </c>
      <c r="AM3732" s="10" t="str">
        <f t="shared" si="420"/>
        <v>FALSE</v>
      </c>
      <c r="AN3732" s="10" t="str">
        <f t="shared" si="420"/>
        <v>FALSE</v>
      </c>
      <c r="AO3732" s="10" t="str">
        <f t="shared" si="421"/>
        <v>FALSE</v>
      </c>
      <c r="AP3732" s="10" t="str">
        <f t="shared" si="421"/>
        <v>FALSE</v>
      </c>
      <c r="AQ3732" s="10" t="b">
        <f>IF(AND(I3732="TP",S3732&lt;=150),VLOOKUP(AF3732,TPCalibEq150!$AZ$2:$BB$55,3,),IF(AND(I3732="TDP",S3732&lt;=150),VLOOKUP(AF3732,TPCalibEq150!$AZ$2:$BB$55,3,)))</f>
        <v>0</v>
      </c>
      <c r="AR3732" s="10" t="b">
        <f>IF(AND(I3732="TP",S3732&lt;=300),VLOOKUP(AF3732,TPCalibEq300!$AZ$2:$BB$55,3,),IF(AND(I3732="TDP",S3732&lt;=300),VLOOKUP(AF3732,TPCalibEq300!$AZ$2:$BB$55,3,)))</f>
        <v>0</v>
      </c>
      <c r="AS3732" s="10" t="b">
        <f>IF(AND(I3732="TP",S3732&lt;=500),VLOOKUP(AF3732,TPCalibEq500!$AZ$2:$BB$56,3,),IF(AND(I3732="TDP",S3732&lt;=500),VLOOKUP(AF3732,TPCalibEq500!$AZ$2:$BB$56,3,)))</f>
        <v>0</v>
      </c>
      <c r="AT3732" s="10" t="b">
        <f>IF(AND(I3732="TN",S3732&lt;=2800),VLOOKUP(AF3732,TNCalibEq2500!$AZ$2:$BB$56,3,),IF(AND(I3732="TDN",S3732&lt;=2800),VLOOKUP(AF3732,TNCalibEq2500!$AZ$2:$BB$56,3,)))</f>
        <v>0</v>
      </c>
      <c r="AU3732" s="10" t="b">
        <f>IF(I3732="TP",VLOOKUP(AF3732,TPCalibEqFull!$AZ$2:$BB$56,3),IF(I3732="TDP",VLOOKUP(AF3732,TPCalibEqFull!$AZ$2:$BB$56,3),IF(I3732="TDN",VLOOKUP(AF3732,TNCalibEqFull!$AZ$1:$BB$56,3),IF(I3732="TN",VLOOKUP(AF3732,TNCalibEqFull!$AZ$1:$BB$56,3),FALSE))))</f>
        <v>0</v>
      </c>
      <c r="AV3732" s="10" t="str">
        <f t="shared" si="426"/>
        <v>0221 09:28:00-EOF-10-FIL-1-SW-UKN</v>
      </c>
    </row>
    <row r="3733" spans="1:48" s="10" customFormat="1" x14ac:dyDescent="0.55000000000000004">
      <c r="A3733" s="32">
        <v>44978</v>
      </c>
      <c r="B3733" s="33">
        <v>0.39652777777777781</v>
      </c>
      <c r="C3733" s="10" t="s">
        <v>428</v>
      </c>
      <c r="D3733" s="10">
        <v>20</v>
      </c>
      <c r="E3733" s="10" t="s">
        <v>911</v>
      </c>
      <c r="F3733" s="10">
        <v>1</v>
      </c>
      <c r="G3733" s="10" t="s">
        <v>231</v>
      </c>
      <c r="H3733" s="10" t="s">
        <v>322</v>
      </c>
      <c r="I3733" s="10" t="s">
        <v>209</v>
      </c>
      <c r="J3733" s="10">
        <v>74</v>
      </c>
      <c r="K3733" s="12">
        <v>44980</v>
      </c>
      <c r="L3733" s="33">
        <v>0.56892361111111112</v>
      </c>
      <c r="M3733" s="10">
        <v>1</v>
      </c>
      <c r="N3733" s="10" t="s">
        <v>169</v>
      </c>
      <c r="O3733" s="10">
        <v>5.18</v>
      </c>
      <c r="P3733" s="10">
        <v>0.23699999999999999</v>
      </c>
      <c r="Q3733" s="10">
        <v>675</v>
      </c>
      <c r="R3733" s="10" t="s">
        <v>77</v>
      </c>
      <c r="S3733" s="34">
        <f t="shared" si="423"/>
        <v>675</v>
      </c>
      <c r="T3733" s="10" t="s">
        <v>1274</v>
      </c>
      <c r="U3733" s="34" t="str">
        <f t="shared" si="424"/>
        <v/>
      </c>
      <c r="V3733" s="31" t="str">
        <f>IF(H3733="CHK",VLOOKUP(I3733,QCCHK,3,),IF(H3733="GUP",VLOOKUP(E3733,QCGUP,2,),IF(AND(H3733="ATP",OR(I3733="TN",I3733="TDN",I3733="TNO2-3",I3733="NO2-3")),VLOOKUP(E3733,QCREC_N,2,),IF(AND(H3733="NIC",OR(I3733="TN",I3733="TDN",I3733="TNO2-3",I3733="NO2-3")),VLOOKUP(E3733,QCNIC_N,2,),IF(AND(H3733="UREA",OR(I3733="TN",I3733="TDN",I3733="TNO2-3",I3733="NO2-3")),VLOOKUP(E3733,QCUREA_N,2,),IF(H3733="PER",VLOOKUP(I3733,QCPER,MATCH(E3733,QCACTUAL!$J$25:$AA$25,0),),IF(H3733="SPK",VLOOKUP(I3733,QCSPK,3,),IF(AND(H3733="ATP",OR(I3733="TP",I3733="TDP")),VLOOKUP(E3733,QCATP_P,2,),""))))))))</f>
        <v/>
      </c>
      <c r="W3733" s="31" t="str">
        <f t="shared" si="425"/>
        <v>TRUE</v>
      </c>
      <c r="X3733" s="31" t="str">
        <f t="shared" si="422"/>
        <v/>
      </c>
      <c r="Y3733" s="10" t="s">
        <v>1253</v>
      </c>
      <c r="AL3733" s="10" t="str">
        <f t="shared" si="420"/>
        <v>FALSE</v>
      </c>
      <c r="AM3733" s="10" t="str">
        <f t="shared" si="420"/>
        <v>FALSE</v>
      </c>
      <c r="AN3733" s="10" t="str">
        <f t="shared" si="420"/>
        <v>FALSE</v>
      </c>
      <c r="AO3733" s="10" t="str">
        <f t="shared" si="421"/>
        <v>FALSE</v>
      </c>
      <c r="AP3733" s="10" t="str">
        <f t="shared" si="421"/>
        <v>FALSE</v>
      </c>
      <c r="AQ3733" s="10" t="b">
        <f>IF(AND(I3733="TP",S3733&lt;=150),VLOOKUP(AF3733,TPCalibEq150!$AZ$2:$BB$55,3,),IF(AND(I3733="TDP",S3733&lt;=150),VLOOKUP(AF3733,TPCalibEq150!$AZ$2:$BB$55,3,)))</f>
        <v>0</v>
      </c>
      <c r="AR3733" s="10" t="b">
        <f>IF(AND(I3733="TP",S3733&lt;=300),VLOOKUP(AF3733,TPCalibEq300!$AZ$2:$BB$55,3,),IF(AND(I3733="TDP",S3733&lt;=300),VLOOKUP(AF3733,TPCalibEq300!$AZ$2:$BB$55,3,)))</f>
        <v>0</v>
      </c>
      <c r="AS3733" s="10" t="b">
        <f>IF(AND(I3733="TP",S3733&lt;=500),VLOOKUP(AF3733,TPCalibEq500!$AZ$2:$BB$56,3,),IF(AND(I3733="TDP",S3733&lt;=500),VLOOKUP(AF3733,TPCalibEq500!$AZ$2:$BB$56,3,)))</f>
        <v>0</v>
      </c>
      <c r="AT3733" s="10" t="b">
        <f>IF(AND(I3733="TN",S3733&lt;=2800),VLOOKUP(AF3733,TNCalibEq2500!$AZ$2:$BB$56,3,),IF(AND(I3733="TDN",S3733&lt;=2800),VLOOKUP(AF3733,TNCalibEq2500!$AZ$2:$BB$56,3,)))</f>
        <v>0</v>
      </c>
      <c r="AU3733" s="10" t="b">
        <f>IF(I3733="TP",VLOOKUP(AF3733,TPCalibEqFull!$AZ$2:$BB$56,3),IF(I3733="TDP",VLOOKUP(AF3733,TPCalibEqFull!$AZ$2:$BB$56,3),IF(I3733="TDN",VLOOKUP(AF3733,TNCalibEqFull!$AZ$1:$BB$56,3),IF(I3733="TN",VLOOKUP(AF3733,TNCalibEqFull!$AZ$1:$BB$56,3),FALSE))))</f>
        <v>0</v>
      </c>
      <c r="AV3733" s="10" t="str">
        <f t="shared" si="426"/>
        <v>0221 09:31:00-EOF-20-FIL-1-SW-UKN</v>
      </c>
    </row>
    <row r="3734" spans="1:48" s="10" customFormat="1" x14ac:dyDescent="0.55000000000000004">
      <c r="A3734" s="32">
        <v>44978</v>
      </c>
      <c r="B3734" s="33">
        <v>0.40347222222222223</v>
      </c>
      <c r="C3734" s="10" t="s">
        <v>428</v>
      </c>
      <c r="D3734" s="10">
        <v>97</v>
      </c>
      <c r="E3734" s="10" t="s">
        <v>911</v>
      </c>
      <c r="F3734" s="10">
        <v>1</v>
      </c>
      <c r="G3734" s="10" t="s">
        <v>231</v>
      </c>
      <c r="H3734" s="10" t="s">
        <v>322</v>
      </c>
      <c r="I3734" s="10" t="s">
        <v>209</v>
      </c>
      <c r="J3734" s="10">
        <v>75</v>
      </c>
      <c r="K3734" s="12">
        <v>44980</v>
      </c>
      <c r="L3734" s="33">
        <v>0.56973379629629628</v>
      </c>
      <c r="M3734" s="10">
        <v>1</v>
      </c>
      <c r="N3734" s="10" t="s">
        <v>169</v>
      </c>
      <c r="O3734" s="10">
        <v>5.2</v>
      </c>
      <c r="P3734" s="10">
        <v>0.23899999999999999</v>
      </c>
      <c r="Q3734" s="10">
        <v>678</v>
      </c>
      <c r="R3734" s="10" t="s">
        <v>77</v>
      </c>
      <c r="S3734" s="34">
        <f t="shared" si="423"/>
        <v>678</v>
      </c>
      <c r="T3734" s="10" t="s">
        <v>1274</v>
      </c>
      <c r="U3734" s="34" t="str">
        <f t="shared" si="424"/>
        <v/>
      </c>
      <c r="V3734" s="31" t="str">
        <f>IF(H3734="CHK",VLOOKUP(I3734,QCCHK,3,),IF(H3734="GUP",VLOOKUP(E3734,QCGUP,2,),IF(AND(H3734="ATP",OR(I3734="TN",I3734="TDN",I3734="TNO2-3",I3734="NO2-3")),VLOOKUP(E3734,QCREC_N,2,),IF(AND(H3734="NIC",OR(I3734="TN",I3734="TDN",I3734="TNO2-3",I3734="NO2-3")),VLOOKUP(E3734,QCNIC_N,2,),IF(AND(H3734="UREA",OR(I3734="TN",I3734="TDN",I3734="TNO2-3",I3734="NO2-3")),VLOOKUP(E3734,QCUREA_N,2,),IF(H3734="PER",VLOOKUP(I3734,QCPER,MATCH(E3734,QCACTUAL!$J$25:$AA$25,0),),IF(H3734="SPK",VLOOKUP(I3734,QCSPK,3,),IF(AND(H3734="ATP",OR(I3734="TP",I3734="TDP")),VLOOKUP(E3734,QCATP_P,2,),""))))))))</f>
        <v/>
      </c>
      <c r="W3734" s="31" t="str">
        <f t="shared" si="425"/>
        <v>TRUE</v>
      </c>
      <c r="X3734" s="31" t="str">
        <f t="shared" si="422"/>
        <v/>
      </c>
      <c r="Y3734" s="10" t="s">
        <v>1253</v>
      </c>
      <c r="AL3734" s="10" t="str">
        <f t="shared" si="420"/>
        <v>FALSE</v>
      </c>
      <c r="AM3734" s="10" t="str">
        <f t="shared" si="420"/>
        <v>FALSE</v>
      </c>
      <c r="AN3734" s="10" t="str">
        <f t="shared" si="420"/>
        <v>FALSE</v>
      </c>
      <c r="AO3734" s="10" t="str">
        <f t="shared" si="421"/>
        <v>FALSE</v>
      </c>
      <c r="AP3734" s="10" t="str">
        <f t="shared" si="421"/>
        <v>FALSE</v>
      </c>
      <c r="AQ3734" s="10" t="b">
        <f>IF(AND(I3734="TP",S3734&lt;=150),VLOOKUP(AF3734,TPCalibEq150!$AZ$2:$BB$55,3,),IF(AND(I3734="TDP",S3734&lt;=150),VLOOKUP(AF3734,TPCalibEq150!$AZ$2:$BB$55,3,)))</f>
        <v>0</v>
      </c>
      <c r="AR3734" s="10" t="b">
        <f>IF(AND(I3734="TP",S3734&lt;=300),VLOOKUP(AF3734,TPCalibEq300!$AZ$2:$BB$55,3,),IF(AND(I3734="TDP",S3734&lt;=300),VLOOKUP(AF3734,TPCalibEq300!$AZ$2:$BB$55,3,)))</f>
        <v>0</v>
      </c>
      <c r="AS3734" s="10" t="b">
        <f>IF(AND(I3734="TP",S3734&lt;=500),VLOOKUP(AF3734,TPCalibEq500!$AZ$2:$BB$56,3,),IF(AND(I3734="TDP",S3734&lt;=500),VLOOKUP(AF3734,TPCalibEq500!$AZ$2:$BB$56,3,)))</f>
        <v>0</v>
      </c>
      <c r="AT3734" s="10" t="b">
        <f>IF(AND(I3734="TN",S3734&lt;=2800),VLOOKUP(AF3734,TNCalibEq2500!$AZ$2:$BB$56,3,),IF(AND(I3734="TDN",S3734&lt;=2800),VLOOKUP(AF3734,TNCalibEq2500!$AZ$2:$BB$56,3,)))</f>
        <v>0</v>
      </c>
      <c r="AU3734" s="10" t="b">
        <f>IF(I3734="TP",VLOOKUP(AF3734,TPCalibEqFull!$AZ$2:$BB$56,3),IF(I3734="TDP",VLOOKUP(AF3734,TPCalibEqFull!$AZ$2:$BB$56,3),IF(I3734="TDN",VLOOKUP(AF3734,TNCalibEqFull!$AZ$1:$BB$56,3),IF(I3734="TN",VLOOKUP(AF3734,TNCalibEqFull!$AZ$1:$BB$56,3),FALSE))))</f>
        <v>0</v>
      </c>
      <c r="AV3734" s="10" t="str">
        <f t="shared" si="426"/>
        <v>0221 09:41:00-EOF-97-FIL-1-SW-UKN</v>
      </c>
    </row>
    <row r="3735" spans="1:48" s="10" customFormat="1" x14ac:dyDescent="0.55000000000000004">
      <c r="A3735" s="32">
        <v>44978</v>
      </c>
      <c r="B3735" s="33">
        <v>0.43124999999999997</v>
      </c>
      <c r="C3735" s="10" t="s">
        <v>611</v>
      </c>
      <c r="D3735" s="10">
        <v>0</v>
      </c>
      <c r="E3735" s="10" t="s">
        <v>911</v>
      </c>
      <c r="F3735" s="10">
        <v>1</v>
      </c>
      <c r="G3735" s="10" t="s">
        <v>231</v>
      </c>
      <c r="H3735" s="10" t="s">
        <v>322</v>
      </c>
      <c r="I3735" s="10" t="s">
        <v>209</v>
      </c>
      <c r="J3735" s="10">
        <v>76</v>
      </c>
      <c r="K3735" s="12">
        <v>44980</v>
      </c>
      <c r="L3735" s="33">
        <v>0.57055555555555559</v>
      </c>
      <c r="M3735" s="10">
        <v>1</v>
      </c>
      <c r="N3735" s="10" t="s">
        <v>169</v>
      </c>
      <c r="O3735" s="10">
        <v>5.03</v>
      </c>
      <c r="P3735" s="10">
        <v>0.23100000000000001</v>
      </c>
      <c r="Q3735" s="10">
        <v>655</v>
      </c>
      <c r="R3735" s="10" t="s">
        <v>77</v>
      </c>
      <c r="S3735" s="34">
        <f t="shared" si="423"/>
        <v>655</v>
      </c>
      <c r="T3735" s="10" t="s">
        <v>1274</v>
      </c>
      <c r="U3735" s="34" t="str">
        <f t="shared" si="424"/>
        <v/>
      </c>
      <c r="V3735" s="31" t="str">
        <f>IF(H3735="CHK",VLOOKUP(I3735,QCCHK,3,),IF(H3735="GUP",VLOOKUP(E3735,QCGUP,2,),IF(AND(H3735="ATP",OR(I3735="TN",I3735="TDN",I3735="TNO2-3",I3735="NO2-3")),VLOOKUP(E3735,QCREC_N,2,),IF(AND(H3735="NIC",OR(I3735="TN",I3735="TDN",I3735="TNO2-3",I3735="NO2-3")),VLOOKUP(E3735,QCNIC_N,2,),IF(AND(H3735="UREA",OR(I3735="TN",I3735="TDN",I3735="TNO2-3",I3735="NO2-3")),VLOOKUP(E3735,QCUREA_N,2,),IF(H3735="PER",VLOOKUP(I3735,QCPER,MATCH(E3735,QCACTUAL!$J$25:$AA$25,0),),IF(H3735="SPK",VLOOKUP(I3735,QCSPK,3,),IF(AND(H3735="ATP",OR(I3735="TP",I3735="TDP")),VLOOKUP(E3735,QCATP_P,2,),""))))))))</f>
        <v/>
      </c>
      <c r="W3735" s="31" t="str">
        <f t="shared" si="425"/>
        <v>TRUE</v>
      </c>
      <c r="X3735" s="31" t="str">
        <f t="shared" si="422"/>
        <v/>
      </c>
      <c r="Y3735" s="10" t="s">
        <v>1253</v>
      </c>
      <c r="AL3735" s="10" t="str">
        <f t="shared" si="420"/>
        <v>FALSE</v>
      </c>
      <c r="AM3735" s="10" t="str">
        <f t="shared" si="420"/>
        <v>FALSE</v>
      </c>
      <c r="AN3735" s="10" t="str">
        <f t="shared" si="420"/>
        <v>FALSE</v>
      </c>
      <c r="AO3735" s="10" t="str">
        <f t="shared" si="421"/>
        <v>FALSE</v>
      </c>
      <c r="AP3735" s="10" t="str">
        <f t="shared" si="421"/>
        <v>FALSE</v>
      </c>
      <c r="AQ3735" s="10" t="b">
        <f>IF(AND(I3735="TP",S3735&lt;=150),VLOOKUP(AF3735,TPCalibEq150!$AZ$2:$BB$55,3,),IF(AND(I3735="TDP",S3735&lt;=150),VLOOKUP(AF3735,TPCalibEq150!$AZ$2:$BB$55,3,)))</f>
        <v>0</v>
      </c>
      <c r="AR3735" s="10" t="b">
        <f>IF(AND(I3735="TP",S3735&lt;=300),VLOOKUP(AF3735,TPCalibEq300!$AZ$2:$BB$55,3,),IF(AND(I3735="TDP",S3735&lt;=300),VLOOKUP(AF3735,TPCalibEq300!$AZ$2:$BB$55,3,)))</f>
        <v>0</v>
      </c>
      <c r="AS3735" s="10" t="b">
        <f>IF(AND(I3735="TP",S3735&lt;=500),VLOOKUP(AF3735,TPCalibEq500!$AZ$2:$BB$56,3,),IF(AND(I3735="TDP",S3735&lt;=500),VLOOKUP(AF3735,TPCalibEq500!$AZ$2:$BB$56,3,)))</f>
        <v>0</v>
      </c>
      <c r="AT3735" s="10" t="b">
        <f>IF(AND(I3735="TN",S3735&lt;=2800),VLOOKUP(AF3735,TNCalibEq2500!$AZ$2:$BB$56,3,),IF(AND(I3735="TDN",S3735&lt;=2800),VLOOKUP(AF3735,TNCalibEq2500!$AZ$2:$BB$56,3,)))</f>
        <v>0</v>
      </c>
      <c r="AU3735" s="10" t="b">
        <f>IF(I3735="TP",VLOOKUP(AF3735,TPCalibEqFull!$AZ$2:$BB$56,3),IF(I3735="TDP",VLOOKUP(AF3735,TPCalibEqFull!$AZ$2:$BB$56,3),IF(I3735="TDN",VLOOKUP(AF3735,TNCalibEqFull!$AZ$1:$BB$56,3),IF(I3735="TN",VLOOKUP(AF3735,TNCalibEqFull!$AZ$1:$BB$56,3),FALSE))))</f>
        <v>0</v>
      </c>
      <c r="AV3735" s="10" t="str">
        <f t="shared" si="426"/>
        <v>0221 10:21:00-BUO-0-FIL-1-SW-UKN</v>
      </c>
    </row>
    <row r="3736" spans="1:48" s="10" customFormat="1" x14ac:dyDescent="0.55000000000000004">
      <c r="A3736" s="32">
        <v>44978</v>
      </c>
      <c r="B3736" s="33">
        <v>0.43472222222222223</v>
      </c>
      <c r="C3736" s="10" t="s">
        <v>611</v>
      </c>
      <c r="D3736" s="10">
        <v>5</v>
      </c>
      <c r="E3736" s="10" t="s">
        <v>911</v>
      </c>
      <c r="F3736" s="10">
        <v>1</v>
      </c>
      <c r="G3736" s="10" t="s">
        <v>231</v>
      </c>
      <c r="H3736" s="10" t="s">
        <v>322</v>
      </c>
      <c r="I3736" s="10" t="s">
        <v>209</v>
      </c>
      <c r="J3736" s="10">
        <v>77</v>
      </c>
      <c r="K3736" s="12">
        <v>44980</v>
      </c>
      <c r="L3736" s="33">
        <v>0.57138888888888884</v>
      </c>
      <c r="M3736" s="10">
        <v>1</v>
      </c>
      <c r="N3736" s="10" t="s">
        <v>169</v>
      </c>
      <c r="O3736" s="10">
        <v>4.84</v>
      </c>
      <c r="P3736" s="10">
        <v>0.223</v>
      </c>
      <c r="Q3736" s="10">
        <v>631</v>
      </c>
      <c r="R3736" s="10" t="s">
        <v>77</v>
      </c>
      <c r="S3736" s="34">
        <f t="shared" si="423"/>
        <v>631</v>
      </c>
      <c r="T3736" s="10" t="s">
        <v>1274</v>
      </c>
      <c r="U3736" s="34" t="str">
        <f t="shared" si="424"/>
        <v/>
      </c>
      <c r="V3736" s="31" t="str">
        <f>IF(H3736="CHK",VLOOKUP(I3736,QCCHK,3,),IF(H3736="GUP",VLOOKUP(E3736,QCGUP,2,),IF(AND(H3736="ATP",OR(I3736="TN",I3736="TDN",I3736="TNO2-3",I3736="NO2-3")),VLOOKUP(E3736,QCREC_N,2,),IF(AND(H3736="NIC",OR(I3736="TN",I3736="TDN",I3736="TNO2-3",I3736="NO2-3")),VLOOKUP(E3736,QCNIC_N,2,),IF(AND(H3736="UREA",OR(I3736="TN",I3736="TDN",I3736="TNO2-3",I3736="NO2-3")),VLOOKUP(E3736,QCUREA_N,2,),IF(H3736="PER",VLOOKUP(I3736,QCPER,MATCH(E3736,QCACTUAL!$J$25:$AA$25,0),),IF(H3736="SPK",VLOOKUP(I3736,QCSPK,3,),IF(AND(H3736="ATP",OR(I3736="TP",I3736="TDP")),VLOOKUP(E3736,QCATP_P,2,),""))))))))</f>
        <v/>
      </c>
      <c r="W3736" s="31" t="str">
        <f t="shared" si="425"/>
        <v>TRUE</v>
      </c>
      <c r="X3736" s="31" t="str">
        <f t="shared" si="422"/>
        <v/>
      </c>
      <c r="Y3736" s="10" t="s">
        <v>1253</v>
      </c>
      <c r="AL3736" s="10" t="str">
        <f t="shared" si="420"/>
        <v>FALSE</v>
      </c>
      <c r="AM3736" s="10" t="str">
        <f t="shared" si="420"/>
        <v>FALSE</v>
      </c>
      <c r="AN3736" s="10" t="str">
        <f t="shared" si="420"/>
        <v>FALSE</v>
      </c>
      <c r="AO3736" s="10" t="str">
        <f t="shared" si="421"/>
        <v>FALSE</v>
      </c>
      <c r="AP3736" s="10" t="str">
        <f t="shared" si="421"/>
        <v>FALSE</v>
      </c>
      <c r="AQ3736" s="10" t="b">
        <f>IF(AND(I3736="TP",S3736&lt;=150),VLOOKUP(AF3736,TPCalibEq150!$AZ$2:$BB$55,3,),IF(AND(I3736="TDP",S3736&lt;=150),VLOOKUP(AF3736,TPCalibEq150!$AZ$2:$BB$55,3,)))</f>
        <v>0</v>
      </c>
      <c r="AR3736" s="10" t="b">
        <f>IF(AND(I3736="TP",S3736&lt;=300),VLOOKUP(AF3736,TPCalibEq300!$AZ$2:$BB$55,3,),IF(AND(I3736="TDP",S3736&lt;=300),VLOOKUP(AF3736,TPCalibEq300!$AZ$2:$BB$55,3,)))</f>
        <v>0</v>
      </c>
      <c r="AS3736" s="10" t="b">
        <f>IF(AND(I3736="TP",S3736&lt;=500),VLOOKUP(AF3736,TPCalibEq500!$AZ$2:$BB$56,3,),IF(AND(I3736="TDP",S3736&lt;=500),VLOOKUP(AF3736,TPCalibEq500!$AZ$2:$BB$56,3,)))</f>
        <v>0</v>
      </c>
      <c r="AT3736" s="10" t="b">
        <f>IF(AND(I3736="TN",S3736&lt;=2800),VLOOKUP(AF3736,TNCalibEq2500!$AZ$2:$BB$56,3,),IF(AND(I3736="TDN",S3736&lt;=2800),VLOOKUP(AF3736,TNCalibEq2500!$AZ$2:$BB$56,3,)))</f>
        <v>0</v>
      </c>
      <c r="AU3736" s="10" t="b">
        <f>IF(I3736="TP",VLOOKUP(AF3736,TPCalibEqFull!$AZ$2:$BB$56,3),IF(I3736="TDP",VLOOKUP(AF3736,TPCalibEqFull!$AZ$2:$BB$56,3),IF(I3736="TDN",VLOOKUP(AF3736,TNCalibEqFull!$AZ$1:$BB$56,3),IF(I3736="TN",VLOOKUP(AF3736,TNCalibEqFull!$AZ$1:$BB$56,3),FALSE))))</f>
        <v>0</v>
      </c>
      <c r="AV3736" s="10" t="str">
        <f t="shared" si="426"/>
        <v>0221 10:26:00-BUO-5-FIL-1-SW-UKN</v>
      </c>
    </row>
    <row r="3737" spans="1:48" s="10" customFormat="1" x14ac:dyDescent="0.55000000000000004">
      <c r="A3737" s="32">
        <v>44978</v>
      </c>
      <c r="B3737" s="33">
        <v>0.4368055555555555</v>
      </c>
      <c r="C3737" s="10" t="s">
        <v>611</v>
      </c>
      <c r="D3737" s="10">
        <v>10</v>
      </c>
      <c r="E3737" s="10" t="s">
        <v>911</v>
      </c>
      <c r="F3737" s="10">
        <v>1</v>
      </c>
      <c r="G3737" s="10" t="s">
        <v>231</v>
      </c>
      <c r="H3737" s="10" t="s">
        <v>322</v>
      </c>
      <c r="I3737" s="10" t="s">
        <v>209</v>
      </c>
      <c r="J3737" s="10">
        <v>78</v>
      </c>
      <c r="K3737" s="12">
        <v>44980</v>
      </c>
      <c r="L3737" s="33">
        <v>0.57221064814814815</v>
      </c>
      <c r="M3737" s="10">
        <v>1</v>
      </c>
      <c r="N3737" s="10" t="s">
        <v>169</v>
      </c>
      <c r="O3737" s="10">
        <v>4.6900000000000004</v>
      </c>
      <c r="P3737" s="10">
        <v>0.215</v>
      </c>
      <c r="Q3737" s="10">
        <v>612</v>
      </c>
      <c r="R3737" s="10" t="s">
        <v>77</v>
      </c>
      <c r="S3737" s="34">
        <f t="shared" si="423"/>
        <v>612</v>
      </c>
      <c r="T3737" s="10" t="s">
        <v>1274</v>
      </c>
      <c r="U3737" s="34" t="str">
        <f t="shared" si="424"/>
        <v/>
      </c>
      <c r="V3737" s="31" t="str">
        <f>IF(H3737="CHK",VLOOKUP(I3737,QCCHK,3,),IF(H3737="GUP",VLOOKUP(E3737,QCGUP,2,),IF(AND(H3737="ATP",OR(I3737="TN",I3737="TDN",I3737="TNO2-3",I3737="NO2-3")),VLOOKUP(E3737,QCREC_N,2,),IF(AND(H3737="NIC",OR(I3737="TN",I3737="TDN",I3737="TNO2-3",I3737="NO2-3")),VLOOKUP(E3737,QCNIC_N,2,),IF(AND(H3737="UREA",OR(I3737="TN",I3737="TDN",I3737="TNO2-3",I3737="NO2-3")),VLOOKUP(E3737,QCUREA_N,2,),IF(H3737="PER",VLOOKUP(I3737,QCPER,MATCH(E3737,QCACTUAL!$J$25:$AA$25,0),),IF(H3737="SPK",VLOOKUP(I3737,QCSPK,3,),IF(AND(H3737="ATP",OR(I3737="TP",I3737="TDP")),VLOOKUP(E3737,QCATP_P,2,),""))))))))</f>
        <v/>
      </c>
      <c r="W3737" s="31" t="str">
        <f t="shared" si="425"/>
        <v>TRUE</v>
      </c>
      <c r="X3737" s="31" t="str">
        <f t="shared" si="422"/>
        <v/>
      </c>
      <c r="Y3737" s="10" t="s">
        <v>1253</v>
      </c>
      <c r="AL3737" s="10" t="str">
        <f t="shared" si="420"/>
        <v>FALSE</v>
      </c>
      <c r="AM3737" s="10" t="str">
        <f t="shared" si="420"/>
        <v>FALSE</v>
      </c>
      <c r="AN3737" s="10" t="str">
        <f t="shared" si="420"/>
        <v>FALSE</v>
      </c>
      <c r="AO3737" s="10" t="str">
        <f t="shared" si="421"/>
        <v>FALSE</v>
      </c>
      <c r="AP3737" s="10" t="str">
        <f t="shared" si="421"/>
        <v>FALSE</v>
      </c>
      <c r="AQ3737" s="10" t="b">
        <f>IF(AND(I3737="TP",S3737&lt;=150),VLOOKUP(AF3737,TPCalibEq150!$AZ$2:$BB$55,3,),IF(AND(I3737="TDP",S3737&lt;=150),VLOOKUP(AF3737,TPCalibEq150!$AZ$2:$BB$55,3,)))</f>
        <v>0</v>
      </c>
      <c r="AR3737" s="10" t="b">
        <f>IF(AND(I3737="TP",S3737&lt;=300),VLOOKUP(AF3737,TPCalibEq300!$AZ$2:$BB$55,3,),IF(AND(I3737="TDP",S3737&lt;=300),VLOOKUP(AF3737,TPCalibEq300!$AZ$2:$BB$55,3,)))</f>
        <v>0</v>
      </c>
      <c r="AS3737" s="10" t="b">
        <f>IF(AND(I3737="TP",S3737&lt;=500),VLOOKUP(AF3737,TPCalibEq500!$AZ$2:$BB$56,3,),IF(AND(I3737="TDP",S3737&lt;=500),VLOOKUP(AF3737,TPCalibEq500!$AZ$2:$BB$56,3,)))</f>
        <v>0</v>
      </c>
      <c r="AT3737" s="10" t="b">
        <f>IF(AND(I3737="TN",S3737&lt;=2800),VLOOKUP(AF3737,TNCalibEq2500!$AZ$2:$BB$56,3,),IF(AND(I3737="TDN",S3737&lt;=2800),VLOOKUP(AF3737,TNCalibEq2500!$AZ$2:$BB$56,3,)))</f>
        <v>0</v>
      </c>
      <c r="AU3737" s="10" t="b">
        <f>IF(I3737="TP",VLOOKUP(AF3737,TPCalibEqFull!$AZ$2:$BB$56,3),IF(I3737="TDP",VLOOKUP(AF3737,TPCalibEqFull!$AZ$2:$BB$56,3),IF(I3737="TDN",VLOOKUP(AF3737,TNCalibEqFull!$AZ$1:$BB$56,3),IF(I3737="TN",VLOOKUP(AF3737,TNCalibEqFull!$AZ$1:$BB$56,3),FALSE))))</f>
        <v>0</v>
      </c>
      <c r="AV3737" s="10" t="str">
        <f t="shared" si="426"/>
        <v>0221 10:29:00-BUO-10-FIL-1-SW-UKN</v>
      </c>
    </row>
    <row r="3738" spans="1:48" s="10" customFormat="1" x14ac:dyDescent="0.55000000000000004">
      <c r="A3738" s="32">
        <v>44978</v>
      </c>
      <c r="B3738" s="33">
        <v>0.43958333333333338</v>
      </c>
      <c r="C3738" s="10" t="s">
        <v>611</v>
      </c>
      <c r="D3738" s="10">
        <v>20</v>
      </c>
      <c r="E3738" s="10" t="s">
        <v>911</v>
      </c>
      <c r="F3738" s="10">
        <v>1</v>
      </c>
      <c r="G3738" s="10" t="s">
        <v>231</v>
      </c>
      <c r="H3738" s="10" t="s">
        <v>322</v>
      </c>
      <c r="I3738" s="10" t="s">
        <v>209</v>
      </c>
      <c r="J3738" s="10">
        <v>79</v>
      </c>
      <c r="K3738" s="12">
        <v>44980</v>
      </c>
      <c r="L3738" s="33">
        <v>0.57303240740740746</v>
      </c>
      <c r="M3738" s="10">
        <v>1</v>
      </c>
      <c r="N3738" s="10" t="s">
        <v>169</v>
      </c>
      <c r="O3738" s="10">
        <v>4.7699999999999996</v>
      </c>
      <c r="P3738" s="10">
        <v>0.218</v>
      </c>
      <c r="Q3738" s="10">
        <v>621</v>
      </c>
      <c r="R3738" s="10" t="s">
        <v>77</v>
      </c>
      <c r="S3738" s="34">
        <f t="shared" si="423"/>
        <v>621</v>
      </c>
      <c r="T3738" s="10" t="s">
        <v>1274</v>
      </c>
      <c r="U3738" s="34" t="str">
        <f t="shared" si="424"/>
        <v/>
      </c>
      <c r="V3738" s="31" t="str">
        <f>IF(H3738="CHK",VLOOKUP(I3738,QCCHK,3,),IF(H3738="GUP",VLOOKUP(E3738,QCGUP,2,),IF(AND(H3738="ATP",OR(I3738="TN",I3738="TDN",I3738="TNO2-3",I3738="NO2-3")),VLOOKUP(E3738,QCREC_N,2,),IF(AND(H3738="NIC",OR(I3738="TN",I3738="TDN",I3738="TNO2-3",I3738="NO2-3")),VLOOKUP(E3738,QCNIC_N,2,),IF(AND(H3738="UREA",OR(I3738="TN",I3738="TDN",I3738="TNO2-3",I3738="NO2-3")),VLOOKUP(E3738,QCUREA_N,2,),IF(H3738="PER",VLOOKUP(I3738,QCPER,MATCH(E3738,QCACTUAL!$J$25:$AA$25,0),),IF(H3738="SPK",VLOOKUP(I3738,QCSPK,3,),IF(AND(H3738="ATP",OR(I3738="TP",I3738="TDP")),VLOOKUP(E3738,QCATP_P,2,),""))))))))</f>
        <v/>
      </c>
      <c r="W3738" s="31" t="str">
        <f t="shared" si="425"/>
        <v>TRUE</v>
      </c>
      <c r="X3738" s="31" t="str">
        <f t="shared" si="422"/>
        <v/>
      </c>
      <c r="Y3738" s="10" t="s">
        <v>1253</v>
      </c>
      <c r="AL3738" s="10" t="str">
        <f t="shared" si="420"/>
        <v>FALSE</v>
      </c>
      <c r="AM3738" s="10" t="str">
        <f t="shared" si="420"/>
        <v>FALSE</v>
      </c>
      <c r="AN3738" s="10" t="str">
        <f t="shared" si="420"/>
        <v>FALSE</v>
      </c>
      <c r="AO3738" s="10" t="str">
        <f t="shared" si="421"/>
        <v>FALSE</v>
      </c>
      <c r="AP3738" s="10" t="str">
        <f t="shared" si="421"/>
        <v>FALSE</v>
      </c>
      <c r="AQ3738" s="10" t="b">
        <f>IF(AND(I3738="TP",S3738&lt;=150),VLOOKUP(AF3738,TPCalibEq150!$AZ$2:$BB$55,3,),IF(AND(I3738="TDP",S3738&lt;=150),VLOOKUP(AF3738,TPCalibEq150!$AZ$2:$BB$55,3,)))</f>
        <v>0</v>
      </c>
      <c r="AR3738" s="10" t="b">
        <f>IF(AND(I3738="TP",S3738&lt;=300),VLOOKUP(AF3738,TPCalibEq300!$AZ$2:$BB$55,3,),IF(AND(I3738="TDP",S3738&lt;=300),VLOOKUP(AF3738,TPCalibEq300!$AZ$2:$BB$55,3,)))</f>
        <v>0</v>
      </c>
      <c r="AS3738" s="10" t="b">
        <f>IF(AND(I3738="TP",S3738&lt;=500),VLOOKUP(AF3738,TPCalibEq500!$AZ$2:$BB$56,3,),IF(AND(I3738="TDP",S3738&lt;=500),VLOOKUP(AF3738,TPCalibEq500!$AZ$2:$BB$56,3,)))</f>
        <v>0</v>
      </c>
      <c r="AT3738" s="10" t="b">
        <f>IF(AND(I3738="TN",S3738&lt;=2800),VLOOKUP(AF3738,TNCalibEq2500!$AZ$2:$BB$56,3,),IF(AND(I3738="TDN",S3738&lt;=2800),VLOOKUP(AF3738,TNCalibEq2500!$AZ$2:$BB$56,3,)))</f>
        <v>0</v>
      </c>
      <c r="AU3738" s="10" t="b">
        <f>IF(I3738="TP",VLOOKUP(AF3738,TPCalibEqFull!$AZ$2:$BB$56,3),IF(I3738="TDP",VLOOKUP(AF3738,TPCalibEqFull!$AZ$2:$BB$56,3),IF(I3738="TDN",VLOOKUP(AF3738,TNCalibEqFull!$AZ$1:$BB$56,3),IF(I3738="TN",VLOOKUP(AF3738,TNCalibEqFull!$AZ$1:$BB$56,3),FALSE))))</f>
        <v>0</v>
      </c>
      <c r="AV3738" s="10" t="str">
        <f t="shared" si="426"/>
        <v>0221 10:33:00-BUO-20-FIL-1-SW-UKN</v>
      </c>
    </row>
    <row r="3739" spans="1:48" s="10" customFormat="1" x14ac:dyDescent="0.55000000000000004">
      <c r="A3739" s="32">
        <v>44978</v>
      </c>
      <c r="B3739" s="33">
        <v>0.44375000000000003</v>
      </c>
      <c r="C3739" s="10" t="s">
        <v>611</v>
      </c>
      <c r="D3739" s="10">
        <v>48</v>
      </c>
      <c r="E3739" s="10" t="s">
        <v>911</v>
      </c>
      <c r="F3739" s="10">
        <v>1</v>
      </c>
      <c r="G3739" s="10" t="s">
        <v>231</v>
      </c>
      <c r="H3739" s="10" t="s">
        <v>322</v>
      </c>
      <c r="I3739" s="10" t="s">
        <v>209</v>
      </c>
      <c r="J3739" s="10">
        <v>80</v>
      </c>
      <c r="K3739" s="12">
        <v>44980</v>
      </c>
      <c r="L3739" s="33">
        <v>0.57384259259259263</v>
      </c>
      <c r="M3739" s="10">
        <v>1</v>
      </c>
      <c r="N3739" s="10" t="s">
        <v>169</v>
      </c>
      <c r="O3739" s="10">
        <v>5.31</v>
      </c>
      <c r="P3739" s="10">
        <v>0.24399999999999999</v>
      </c>
      <c r="Q3739" s="10">
        <v>692</v>
      </c>
      <c r="R3739" s="10" t="s">
        <v>77</v>
      </c>
      <c r="S3739" s="34">
        <f t="shared" si="423"/>
        <v>692</v>
      </c>
      <c r="T3739" s="10" t="s">
        <v>1274</v>
      </c>
      <c r="U3739" s="34" t="str">
        <f t="shared" si="424"/>
        <v/>
      </c>
      <c r="V3739" s="31" t="str">
        <f>IF(H3739="CHK",VLOOKUP(I3739,QCCHK,3,),IF(H3739="GUP",VLOOKUP(E3739,QCGUP,2,),IF(AND(H3739="ATP",OR(I3739="TN",I3739="TDN",I3739="TNO2-3",I3739="NO2-3")),VLOOKUP(E3739,QCREC_N,2,),IF(AND(H3739="NIC",OR(I3739="TN",I3739="TDN",I3739="TNO2-3",I3739="NO2-3")),VLOOKUP(E3739,QCNIC_N,2,),IF(AND(H3739="UREA",OR(I3739="TN",I3739="TDN",I3739="TNO2-3",I3739="NO2-3")),VLOOKUP(E3739,QCUREA_N,2,),IF(H3739="PER",VLOOKUP(I3739,QCPER,MATCH(E3739,QCACTUAL!$J$25:$AA$25,0),),IF(H3739="SPK",VLOOKUP(I3739,QCSPK,3,),IF(AND(H3739="ATP",OR(I3739="TP",I3739="TDP")),VLOOKUP(E3739,QCATP_P,2,),""))))))))</f>
        <v/>
      </c>
      <c r="W3739" s="31" t="str">
        <f t="shared" si="425"/>
        <v>TRUE</v>
      </c>
      <c r="X3739" s="31" t="str">
        <f t="shared" si="422"/>
        <v/>
      </c>
      <c r="Y3739" s="10" t="s">
        <v>1253</v>
      </c>
      <c r="AL3739" s="10" t="str">
        <f t="shared" si="420"/>
        <v>FALSE</v>
      </c>
      <c r="AM3739" s="10" t="str">
        <f t="shared" si="420"/>
        <v>FALSE</v>
      </c>
      <c r="AN3739" s="10" t="str">
        <f t="shared" si="420"/>
        <v>FALSE</v>
      </c>
      <c r="AO3739" s="10" t="str">
        <f t="shared" si="421"/>
        <v>FALSE</v>
      </c>
      <c r="AP3739" s="10" t="str">
        <f t="shared" si="421"/>
        <v>FALSE</v>
      </c>
      <c r="AQ3739" s="10" t="b">
        <f>IF(AND(I3739="TP",S3739&lt;=150),VLOOKUP(AF3739,TPCalibEq150!$AZ$2:$BB$55,3,),IF(AND(I3739="TDP",S3739&lt;=150),VLOOKUP(AF3739,TPCalibEq150!$AZ$2:$BB$55,3,)))</f>
        <v>0</v>
      </c>
      <c r="AR3739" s="10" t="b">
        <f>IF(AND(I3739="TP",S3739&lt;=300),VLOOKUP(AF3739,TPCalibEq300!$AZ$2:$BB$55,3,),IF(AND(I3739="TDP",S3739&lt;=300),VLOOKUP(AF3739,TPCalibEq300!$AZ$2:$BB$55,3,)))</f>
        <v>0</v>
      </c>
      <c r="AS3739" s="10" t="b">
        <f>IF(AND(I3739="TP",S3739&lt;=500),VLOOKUP(AF3739,TPCalibEq500!$AZ$2:$BB$56,3,),IF(AND(I3739="TDP",S3739&lt;=500),VLOOKUP(AF3739,TPCalibEq500!$AZ$2:$BB$56,3,)))</f>
        <v>0</v>
      </c>
      <c r="AT3739" s="10" t="b">
        <f>IF(AND(I3739="TN",S3739&lt;=2800),VLOOKUP(AF3739,TNCalibEq2500!$AZ$2:$BB$56,3,),IF(AND(I3739="TDN",S3739&lt;=2800),VLOOKUP(AF3739,TNCalibEq2500!$AZ$2:$BB$56,3,)))</f>
        <v>0</v>
      </c>
      <c r="AU3739" s="10" t="b">
        <f>IF(I3739="TP",VLOOKUP(AF3739,TPCalibEqFull!$AZ$2:$BB$56,3),IF(I3739="TDP",VLOOKUP(AF3739,TPCalibEqFull!$AZ$2:$BB$56,3),IF(I3739="TDN",VLOOKUP(AF3739,TNCalibEqFull!$AZ$1:$BB$56,3),IF(I3739="TN",VLOOKUP(AF3739,TNCalibEqFull!$AZ$1:$BB$56,3),FALSE))))</f>
        <v>0</v>
      </c>
      <c r="AV3739" s="10" t="str">
        <f t="shared" si="426"/>
        <v>0221 10:39:00-BUO-48-FIL-1-SW-UKN</v>
      </c>
    </row>
    <row r="3740" spans="1:48" s="10" customFormat="1" x14ac:dyDescent="0.55000000000000004">
      <c r="A3740" s="32">
        <v>44978</v>
      </c>
      <c r="B3740" s="33">
        <v>0.44375000000000003</v>
      </c>
      <c r="C3740" s="10" t="s">
        <v>611</v>
      </c>
      <c r="D3740" s="10">
        <v>48</v>
      </c>
      <c r="E3740" s="10" t="s">
        <v>911</v>
      </c>
      <c r="F3740" s="10">
        <v>1</v>
      </c>
      <c r="G3740" s="10" t="s">
        <v>231</v>
      </c>
      <c r="H3740" s="10" t="s">
        <v>233</v>
      </c>
      <c r="I3740" s="10" t="s">
        <v>209</v>
      </c>
      <c r="J3740" s="10">
        <v>80</v>
      </c>
      <c r="K3740" s="12">
        <v>44980</v>
      </c>
      <c r="L3740" s="33">
        <v>0.57466435185185183</v>
      </c>
      <c r="M3740" s="10">
        <v>1</v>
      </c>
      <c r="N3740" s="10" t="s">
        <v>169</v>
      </c>
      <c r="O3740" s="10">
        <v>5.27</v>
      </c>
      <c r="P3740" s="10">
        <v>0.24199999999999999</v>
      </c>
      <c r="Q3740" s="10">
        <v>687</v>
      </c>
      <c r="R3740" s="10" t="s">
        <v>77</v>
      </c>
      <c r="S3740" s="34">
        <f t="shared" si="423"/>
        <v>687</v>
      </c>
      <c r="T3740" s="10" t="s">
        <v>1274</v>
      </c>
      <c r="U3740" s="34">
        <f t="shared" si="424"/>
        <v>0.72516316171138506</v>
      </c>
      <c r="V3740" s="31" t="str">
        <f>IF(H3740="CHK",VLOOKUP(I3740,QCCHK,3,),IF(H3740="GUP",VLOOKUP(E3740,QCGUP,2,),IF(AND(H3740="ATP",OR(I3740="TN",I3740="TDN",I3740="TNO2-3",I3740="NO2-3")),VLOOKUP(E3740,QCREC_N,2,),IF(AND(H3740="NIC",OR(I3740="TN",I3740="TDN",I3740="TNO2-3",I3740="NO2-3")),VLOOKUP(E3740,QCNIC_N,2,),IF(AND(H3740="UREA",OR(I3740="TN",I3740="TDN",I3740="TNO2-3",I3740="NO2-3")),VLOOKUP(E3740,QCUREA_N,2,),IF(H3740="PER",VLOOKUP(I3740,QCPER,MATCH(E3740,QCACTUAL!$J$25:$AA$25,0),),IF(H3740="SPK",VLOOKUP(I3740,QCSPK,3,),IF(AND(H3740="ATP",OR(I3740="TP",I3740="TDP")),VLOOKUP(E3740,QCATP_P,2,),""))))))))</f>
        <v/>
      </c>
      <c r="W3740" s="31" t="str">
        <f t="shared" si="425"/>
        <v>TRUE</v>
      </c>
      <c r="X3740" s="31" t="str">
        <f t="shared" si="422"/>
        <v>((ABS(rep1-rep2))/((rep1+rep2)/2)*100</v>
      </c>
      <c r="Y3740" s="10" t="s">
        <v>1253</v>
      </c>
      <c r="AL3740" s="10" t="str">
        <f t="shared" si="420"/>
        <v>FALSE</v>
      </c>
      <c r="AM3740" s="10" t="str">
        <f t="shared" si="420"/>
        <v>FALSE</v>
      </c>
      <c r="AN3740" s="10" t="str">
        <f t="shared" si="420"/>
        <v>FALSE</v>
      </c>
      <c r="AO3740" s="10" t="str">
        <f t="shared" si="421"/>
        <v>FALSE</v>
      </c>
      <c r="AP3740" s="10" t="str">
        <f t="shared" si="421"/>
        <v>FALSE</v>
      </c>
      <c r="AQ3740" s="10" t="b">
        <f>IF(AND(I3740="TP",S3740&lt;=150),VLOOKUP(AF3740,TPCalibEq150!$AZ$2:$BB$55,3,),IF(AND(I3740="TDP",S3740&lt;=150),VLOOKUP(AF3740,TPCalibEq150!$AZ$2:$BB$55,3,)))</f>
        <v>0</v>
      </c>
      <c r="AR3740" s="10" t="b">
        <f>IF(AND(I3740="TP",S3740&lt;=300),VLOOKUP(AF3740,TPCalibEq300!$AZ$2:$BB$55,3,),IF(AND(I3740="TDP",S3740&lt;=300),VLOOKUP(AF3740,TPCalibEq300!$AZ$2:$BB$55,3,)))</f>
        <v>0</v>
      </c>
      <c r="AS3740" s="10" t="b">
        <f>IF(AND(I3740="TP",S3740&lt;=500),VLOOKUP(AF3740,TPCalibEq500!$AZ$2:$BB$56,3,),IF(AND(I3740="TDP",S3740&lt;=500),VLOOKUP(AF3740,TPCalibEq500!$AZ$2:$BB$56,3,)))</f>
        <v>0</v>
      </c>
      <c r="AT3740" s="10" t="b">
        <f>IF(AND(I3740="TN",S3740&lt;=2800),VLOOKUP(AF3740,TNCalibEq2500!$AZ$2:$BB$56,3,),IF(AND(I3740="TDN",S3740&lt;=2800),VLOOKUP(AF3740,TNCalibEq2500!$AZ$2:$BB$56,3,)))</f>
        <v>0</v>
      </c>
      <c r="AU3740" s="10" t="b">
        <f>IF(I3740="TP",VLOOKUP(AF3740,TPCalibEqFull!$AZ$2:$BB$56,3),IF(I3740="TDP",VLOOKUP(AF3740,TPCalibEqFull!$AZ$2:$BB$56,3),IF(I3740="TDN",VLOOKUP(AF3740,TNCalibEqFull!$AZ$1:$BB$56,3),IF(I3740="TN",VLOOKUP(AF3740,TNCalibEqFull!$AZ$1:$BB$56,3),FALSE))))</f>
        <v>0</v>
      </c>
      <c r="AV3740" s="10" t="str">
        <f t="shared" si="426"/>
        <v>0221 10:39:00-BUO-48-FIL-1-SW-DUP</v>
      </c>
    </row>
    <row r="3741" spans="1:48" s="10" customFormat="1" x14ac:dyDescent="0.55000000000000004">
      <c r="A3741" s="32">
        <v>44978</v>
      </c>
      <c r="B3741" s="33">
        <v>0.44375000000000003</v>
      </c>
      <c r="C3741" s="10" t="s">
        <v>611</v>
      </c>
      <c r="D3741" s="10">
        <v>48</v>
      </c>
      <c r="E3741" s="10" t="s">
        <v>911</v>
      </c>
      <c r="F3741" s="10">
        <v>1</v>
      </c>
      <c r="G3741" s="10" t="s">
        <v>231</v>
      </c>
      <c r="H3741" s="10" t="s">
        <v>314</v>
      </c>
      <c r="I3741" s="10" t="s">
        <v>209</v>
      </c>
      <c r="J3741" s="10">
        <v>90</v>
      </c>
      <c r="K3741" s="12">
        <v>44980</v>
      </c>
      <c r="L3741" s="33">
        <v>0.57547453703703699</v>
      </c>
      <c r="M3741" s="10">
        <v>1</v>
      </c>
      <c r="N3741" s="10" t="s">
        <v>169</v>
      </c>
      <c r="O3741" s="10">
        <v>10.4</v>
      </c>
      <c r="P3741" s="10">
        <v>0.47599999999999998</v>
      </c>
      <c r="Q3741" s="10">
        <v>1350</v>
      </c>
      <c r="R3741" s="10" t="s">
        <v>77</v>
      </c>
      <c r="S3741" s="34">
        <f t="shared" si="423"/>
        <v>1350</v>
      </c>
      <c r="T3741" s="10" t="s">
        <v>1274</v>
      </c>
      <c r="U3741" s="34">
        <f t="shared" si="424"/>
        <v>106.08</v>
      </c>
      <c r="V3741" s="31">
        <f>IF(H3741="CHK",VLOOKUP(I3741,QCCHK,3,),IF(H3741="GUP",VLOOKUP(E3741,QCGUP,2,),IF(AND(H3741="ATP",OR(I3741="TN",I3741="TDN",I3741="TNO2-3",I3741="NO2-3")),VLOOKUP(E3741,QCREC_N,2,),IF(AND(H3741="NIC",OR(I3741="TN",I3741="TDN",I3741="TNO2-3",I3741="NO2-3")),VLOOKUP(E3741,QCNIC_N,2,),IF(AND(H3741="UREA",OR(I3741="TN",I3741="TDN",I3741="TNO2-3",I3741="NO2-3")),VLOOKUP(E3741,QCUREA_N,2,),IF(H3741="PER",VLOOKUP(I3741,QCPER,MATCH(E3741,QCACTUAL!$J$25:$AA$25,0),),IF(H3741="SPK",VLOOKUP(I3741,QCSPK,3,),IF(AND(H3741="ATP",OR(I3741="TP",I3741="TDP")),VLOOKUP(E3741,QCATP_P,2,),""))))))))</f>
        <v>625</v>
      </c>
      <c r="W3741" s="31" t="str">
        <f t="shared" si="425"/>
        <v>TRUE</v>
      </c>
      <c r="X3741" s="31" t="str">
        <f t="shared" si="422"/>
        <v>([spikedunkn]-[unkn])/[spike]*100</v>
      </c>
      <c r="Y3741" s="10" t="s">
        <v>1253</v>
      </c>
      <c r="AL3741" s="10" t="str">
        <f t="shared" si="420"/>
        <v>FALSE</v>
      </c>
      <c r="AM3741" s="10" t="str">
        <f t="shared" si="420"/>
        <v>FALSE</v>
      </c>
      <c r="AN3741" s="10" t="str">
        <f t="shared" si="420"/>
        <v>FALSE</v>
      </c>
      <c r="AO3741" s="10" t="str">
        <f t="shared" si="421"/>
        <v>FALSE</v>
      </c>
      <c r="AP3741" s="10" t="str">
        <f t="shared" si="421"/>
        <v>FALSE</v>
      </c>
      <c r="AQ3741" s="10" t="b">
        <f>IF(AND(I3741="TP",S3741&lt;=150),VLOOKUP(AF3741,TPCalibEq150!$AZ$2:$BB$55,3,),IF(AND(I3741="TDP",S3741&lt;=150),VLOOKUP(AF3741,TPCalibEq150!$AZ$2:$BB$55,3,)))</f>
        <v>0</v>
      </c>
      <c r="AR3741" s="10" t="b">
        <f>IF(AND(I3741="TP",S3741&lt;=300),VLOOKUP(AF3741,TPCalibEq300!$AZ$2:$BB$55,3,),IF(AND(I3741="TDP",S3741&lt;=300),VLOOKUP(AF3741,TPCalibEq300!$AZ$2:$BB$55,3,)))</f>
        <v>0</v>
      </c>
      <c r="AS3741" s="10" t="b">
        <f>IF(AND(I3741="TP",S3741&lt;=500),VLOOKUP(AF3741,TPCalibEq500!$AZ$2:$BB$56,3,),IF(AND(I3741="TDP",S3741&lt;=500),VLOOKUP(AF3741,TPCalibEq500!$AZ$2:$BB$56,3,)))</f>
        <v>0</v>
      </c>
      <c r="AT3741" s="10" t="b">
        <f>IF(AND(I3741="TN",S3741&lt;=2800),VLOOKUP(AF3741,TNCalibEq2500!$AZ$2:$BB$56,3,),IF(AND(I3741="TDN",S3741&lt;=2800),VLOOKUP(AF3741,TNCalibEq2500!$AZ$2:$BB$56,3,)))</f>
        <v>0</v>
      </c>
      <c r="AU3741" s="10" t="b">
        <f>IF(I3741="TP",VLOOKUP(AF3741,TPCalibEqFull!$AZ$2:$BB$56,3),IF(I3741="TDP",VLOOKUP(AF3741,TPCalibEqFull!$AZ$2:$BB$56,3),IF(I3741="TDN",VLOOKUP(AF3741,TNCalibEqFull!$AZ$1:$BB$56,3),IF(I3741="TN",VLOOKUP(AF3741,TNCalibEqFull!$AZ$1:$BB$56,3),FALSE))))</f>
        <v>0</v>
      </c>
      <c r="AV3741" s="10" t="str">
        <f t="shared" si="426"/>
        <v>0221 10:39:00-BUO-48-FIL-1-SW-SPK</v>
      </c>
    </row>
    <row r="3742" spans="1:48" s="10" customFormat="1" x14ac:dyDescent="0.55000000000000004">
      <c r="A3742" s="32">
        <v>44979</v>
      </c>
      <c r="B3742" s="33">
        <v>0.375</v>
      </c>
      <c r="C3742" s="10" t="s">
        <v>70</v>
      </c>
      <c r="D3742" s="10" t="s">
        <v>71</v>
      </c>
      <c r="E3742" s="10" t="s">
        <v>901</v>
      </c>
      <c r="F3742" s="10">
        <v>1</v>
      </c>
      <c r="G3742" s="10" t="s">
        <v>73</v>
      </c>
      <c r="H3742" s="10" t="s">
        <v>207</v>
      </c>
      <c r="I3742" s="10" t="s">
        <v>256</v>
      </c>
      <c r="J3742" s="10">
        <v>203</v>
      </c>
      <c r="K3742" s="12">
        <v>44980</v>
      </c>
      <c r="L3742" s="33">
        <v>0.57630787037037035</v>
      </c>
      <c r="M3742" s="10">
        <v>1</v>
      </c>
      <c r="N3742" s="10" t="s">
        <v>169</v>
      </c>
      <c r="O3742" s="10">
        <v>2.2599999999999998</v>
      </c>
      <c r="P3742" s="10">
        <v>0.106</v>
      </c>
      <c r="Q3742" s="10">
        <v>294</v>
      </c>
      <c r="R3742" s="10" t="s">
        <v>77</v>
      </c>
      <c r="S3742" s="34">
        <f t="shared" si="423"/>
        <v>294</v>
      </c>
      <c r="T3742" s="10" t="s">
        <v>1274</v>
      </c>
      <c r="U3742" s="34">
        <f t="shared" si="424"/>
        <v>98</v>
      </c>
      <c r="V3742" s="31">
        <f>IF(H3742="CHK",VLOOKUP(I3742,QCCHK,3,),IF(H3742="GUP",VLOOKUP(E3742,QCGUP,2,),IF(AND(H3742="ATP",OR(I3742="TN",I3742="TDN",I3742="TNO2-3",I3742="NO2-3")),VLOOKUP(E3742,QCREC_N,2,),IF(AND(H3742="NIC",OR(I3742="TN",I3742="TDN",I3742="TNO2-3",I3742="NO2-3")),VLOOKUP(E3742,QCNIC_N,2,),IF(AND(H3742="UREA",OR(I3742="TN",I3742="TDN",I3742="TNO2-3",I3742="NO2-3")),VLOOKUP(E3742,QCUREA_N,2,),IF(H3742="PER",VLOOKUP(I3742,QCPER,MATCH(E3742,QCACTUAL!$J$25:$AA$25,0),),IF(H3742="SPK",VLOOKUP(I3742,QCSPK,3,),IF(AND(H3742="ATP",OR(I3742="TP",I3742="TDP")),VLOOKUP(E3742,QCATP_P,2,),""))))))))</f>
        <v>300</v>
      </c>
      <c r="W3742" s="31" t="str">
        <f t="shared" si="425"/>
        <v>TRUE</v>
      </c>
      <c r="X3742" s="31" t="str">
        <f t="shared" si="422"/>
        <v>[chk]/[actual]*100</v>
      </c>
      <c r="Y3742" s="10" t="s">
        <v>1253</v>
      </c>
      <c r="AL3742" s="10" t="str">
        <f t="shared" si="420"/>
        <v>FALSE</v>
      </c>
      <c r="AM3742" s="10" t="str">
        <f t="shared" si="420"/>
        <v>FALSE</v>
      </c>
      <c r="AN3742" s="10" t="str">
        <f t="shared" si="420"/>
        <v>FALSE</v>
      </c>
      <c r="AO3742" s="10" t="str">
        <f t="shared" si="421"/>
        <v>FALSE</v>
      </c>
      <c r="AP3742" s="10" t="str">
        <f t="shared" si="421"/>
        <v>FALSE</v>
      </c>
      <c r="AQ3742" s="10" t="b">
        <f>IF(AND(I3742="TP",S3742&lt;=150),VLOOKUP(AF3742,TPCalibEq150!$AZ$2:$BB$55,3,),IF(AND(I3742="TDP",S3742&lt;=150),VLOOKUP(AF3742,TPCalibEq150!$AZ$2:$BB$55,3,)))</f>
        <v>0</v>
      </c>
      <c r="AR3742" s="10" t="b">
        <f>IF(AND(I3742="TP",S3742&lt;=300),VLOOKUP(AF3742,TPCalibEq300!$AZ$2:$BB$55,3,),IF(AND(I3742="TDP",S3742&lt;=300),VLOOKUP(AF3742,TPCalibEq300!$AZ$2:$BB$55,3,)))</f>
        <v>0</v>
      </c>
      <c r="AS3742" s="10" t="b">
        <f>IF(AND(I3742="TP",S3742&lt;=500),VLOOKUP(AF3742,TPCalibEq500!$AZ$2:$BB$56,3,),IF(AND(I3742="TDP",S3742&lt;=500),VLOOKUP(AF3742,TPCalibEq500!$AZ$2:$BB$56,3,)))</f>
        <v>0</v>
      </c>
      <c r="AT3742" s="10" t="b">
        <f>IF(AND(I3742="TN",S3742&lt;=2800),VLOOKUP(AF3742,TNCalibEq2500!$AZ$2:$BB$56,3,),IF(AND(I3742="TDN",S3742&lt;=2800),VLOOKUP(AF3742,TNCalibEq2500!$AZ$2:$BB$56,3,)))</f>
        <v>0</v>
      </c>
      <c r="AU3742" s="10" t="b">
        <f>IF(I3742="TP",VLOOKUP(AF3742,TPCalibEqFull!$AZ$2:$BB$56,3),IF(I3742="TDP",VLOOKUP(AF3742,TPCalibEqFull!$AZ$2:$BB$56,3),IF(I3742="TDN",VLOOKUP(AF3742,TNCalibEqFull!$AZ$1:$BB$56,3),IF(I3742="TN",VLOOKUP(AF3742,TNCalibEqFull!$AZ$1:$BB$56,3),FALSE))))</f>
        <v>0</v>
      </c>
      <c r="AV3742" s="10" t="str">
        <f t="shared" si="426"/>
        <v>0222 09:00:00-QAC-STD-D-1-DI-CHK</v>
      </c>
    </row>
    <row r="3743" spans="1:48" s="10" customFormat="1" x14ac:dyDescent="0.55000000000000004">
      <c r="A3743" s="32">
        <v>44979</v>
      </c>
      <c r="B3743" s="33">
        <v>0.375</v>
      </c>
      <c r="C3743" s="10" t="s">
        <v>70</v>
      </c>
      <c r="D3743" s="10" t="s">
        <v>71</v>
      </c>
      <c r="E3743" s="10" t="s">
        <v>917</v>
      </c>
      <c r="F3743" s="10">
        <v>1</v>
      </c>
      <c r="G3743" s="10" t="s">
        <v>73</v>
      </c>
      <c r="H3743" s="10" t="s">
        <v>74</v>
      </c>
      <c r="I3743" s="10" t="s">
        <v>235</v>
      </c>
      <c r="J3743" s="10">
        <v>181</v>
      </c>
      <c r="K3743" s="12">
        <v>44981</v>
      </c>
      <c r="L3743" s="33">
        <v>0.48741898148148149</v>
      </c>
      <c r="M3743" s="10">
        <v>1</v>
      </c>
      <c r="N3743" s="10" t="s">
        <v>196</v>
      </c>
      <c r="O3743" s="10">
        <v>0.46400000000000002</v>
      </c>
      <c r="P3743" s="10">
        <v>2.2200000000000001E-2</v>
      </c>
      <c r="Q3743" s="10">
        <v>0</v>
      </c>
      <c r="R3743" s="10" t="s">
        <v>170</v>
      </c>
      <c r="S3743" s="34">
        <f t="shared" si="423"/>
        <v>0</v>
      </c>
      <c r="T3743" s="10" t="s">
        <v>914</v>
      </c>
      <c r="U3743" s="34" t="str">
        <f t="shared" si="424"/>
        <v/>
      </c>
      <c r="V3743" s="31" t="str">
        <f>IF(H3743="CHK",VLOOKUP(I3743,QCCHK,3,),IF(H3743="GUP",VLOOKUP(E3743,QCGUP,2,),IF(AND(H3743="ATP",OR(I3743="TN",I3743="TDN",I3743="TNO2-3",I3743="NO2-3")),VLOOKUP(E3743,QCREC_N,2,),IF(AND(H3743="NIC",OR(I3743="TN",I3743="TDN",I3743="TNO2-3",I3743="NO2-3")),VLOOKUP(E3743,QCNIC_N,2,),IF(AND(H3743="UREA",OR(I3743="TN",I3743="TDN",I3743="TNO2-3",I3743="NO2-3")),VLOOKUP(E3743,QCUREA_N,2,),IF(H3743="PER",VLOOKUP(I3743,QCPER,MATCH(E3743,QCACTUAL!$J$25:$AA$25,0),),IF(H3743="SPK",VLOOKUP(I3743,QCSPK,3,),IF(AND(H3743="ATP",OR(I3743="TP",I3743="TDP")),VLOOKUP(E3743,QCATP_P,2,),""))))))))</f>
        <v/>
      </c>
      <c r="W3743" s="31" t="str">
        <f t="shared" si="425"/>
        <v>TRUE</v>
      </c>
      <c r="X3743" s="31" t="str">
        <f t="shared" si="422"/>
        <v/>
      </c>
      <c r="Y3743" s="10" t="s">
        <v>1275</v>
      </c>
      <c r="AF3743" s="12">
        <v>44981</v>
      </c>
      <c r="AJ3743" s="10">
        <f>2.8761*0.464^2+145.17*0.464-57.22</f>
        <v>10.758092825600002</v>
      </c>
      <c r="AK3743" s="10">
        <f>0.3348*0.464^2+180.18*0.464-102.36</f>
        <v>-18.684398899199991</v>
      </c>
      <c r="AL3743" s="10" t="str">
        <f t="shared" si="420"/>
        <v>FALSE</v>
      </c>
      <c r="AM3743" s="10" t="str">
        <f t="shared" si="420"/>
        <v>FALSE</v>
      </c>
      <c r="AN3743" s="10" t="str">
        <f t="shared" si="420"/>
        <v>FALSE</v>
      </c>
      <c r="AO3743" s="10" t="str">
        <f t="shared" si="421"/>
        <v>y=2.8761*0.464^2+145.17*0.464-57.22</v>
      </c>
      <c r="AP3743" s="10" t="str">
        <f t="shared" si="421"/>
        <v>y=0.3348*0.464^2+180.18*0.464-102.36</v>
      </c>
      <c r="AQ3743" s="10" t="b">
        <f>IF(AND(I3743="TP",S3743&lt;=150),VLOOKUP(AF3743,TPCalibEq150!$AZ$2:$BB$55,3,),IF(AND(I3743="TDP",S3743&lt;=150),VLOOKUP(AF3743,TPCalibEq150!$AZ$2:$BB$55,3,)))</f>
        <v>0</v>
      </c>
      <c r="AR3743" s="10" t="b">
        <f>IF(AND(I3743="TP",S3743&lt;=300),VLOOKUP(AF3743,TPCalibEq300!$AZ$2:$BB$55,3,),IF(AND(I3743="TDP",S3743&lt;=300),VLOOKUP(AF3743,TPCalibEq300!$AZ$2:$BB$55,3,)))</f>
        <v>0</v>
      </c>
      <c r="AS3743" s="10" t="b">
        <f>IF(AND(I3743="TP",S3743&lt;=500),VLOOKUP(AF3743,TPCalibEq500!$AZ$2:$BB$56,3,),IF(AND(I3743="TDP",S3743&lt;=500),VLOOKUP(AF3743,TPCalibEq500!$AZ$2:$BB$56,3,)))</f>
        <v>0</v>
      </c>
      <c r="AT3743" s="10" t="str">
        <f>IF(AND(I3743="TN",S3743&lt;=2800),VLOOKUP(AF3743,TNCalibEq2500!$AZ$2:$BB$56,3,),IF(AND(I3743="TDN",S3743&lt;=2800),VLOOKUP(AF3743,TNCalibEq2500!$AZ$2:$BB$56,3,)))</f>
        <v>y=2.8761x2+145.17x-57.22</v>
      </c>
      <c r="AU3743" s="10" t="str">
        <f>IF(I3743="TP",VLOOKUP(AF3743,TPCalibEqFull!$AZ$2:$BB$56,3),IF(I3743="TDP",VLOOKUP(AF3743,TPCalibEqFull!$AZ$2:$BB$56,3),IF(I3743="TDN",VLOOKUP(AF3743,TNCalibEqFull!$AZ$1:$BB$56,3),IF(I3743="TN",VLOOKUP(AF3743,TNCalibEqFull!$AZ$1:$BB$56,3),FALSE))))</f>
        <v>y=0.3348x2+180.18x-102.36</v>
      </c>
      <c r="AV3743" s="10" t="str">
        <f t="shared" si="426"/>
        <v>0222 09:00:00-QAC-STD-D.H-1-DI-CAL</v>
      </c>
    </row>
    <row r="3744" spans="1:48" s="10" customFormat="1" x14ac:dyDescent="0.55000000000000004">
      <c r="A3744" s="32">
        <v>44979</v>
      </c>
      <c r="B3744" s="33">
        <v>0.375</v>
      </c>
      <c r="C3744" s="10" t="s">
        <v>70</v>
      </c>
      <c r="D3744" s="10" t="s">
        <v>71</v>
      </c>
      <c r="E3744" s="10" t="s">
        <v>918</v>
      </c>
      <c r="F3744" s="10">
        <v>1</v>
      </c>
      <c r="G3744" s="10" t="s">
        <v>73</v>
      </c>
      <c r="H3744" s="10" t="s">
        <v>74</v>
      </c>
      <c r="I3744" s="10" t="s">
        <v>235</v>
      </c>
      <c r="J3744" s="10">
        <v>182</v>
      </c>
      <c r="K3744" s="12">
        <v>44981</v>
      </c>
      <c r="L3744" s="33">
        <v>0.48810185185185184</v>
      </c>
      <c r="M3744" s="10">
        <v>1</v>
      </c>
      <c r="N3744" s="10" t="s">
        <v>196</v>
      </c>
      <c r="O3744" s="10">
        <v>0.66900000000000004</v>
      </c>
      <c r="P3744" s="10">
        <v>3.1800000000000002E-2</v>
      </c>
      <c r="Q3744" s="10">
        <v>30</v>
      </c>
      <c r="R3744" s="10" t="s">
        <v>170</v>
      </c>
      <c r="S3744" s="34">
        <f t="shared" si="423"/>
        <v>30</v>
      </c>
      <c r="T3744" s="10" t="s">
        <v>1276</v>
      </c>
      <c r="U3744" s="34" t="str">
        <f t="shared" si="424"/>
        <v/>
      </c>
      <c r="V3744" s="31" t="str">
        <f>IF(H3744="CHK",VLOOKUP(I3744,QCCHK,3,),IF(H3744="GUP",VLOOKUP(E3744,QCGUP,2,),IF(AND(H3744="ATP",OR(I3744="TN",I3744="TDN",I3744="TNO2-3",I3744="NO2-3")),VLOOKUP(E3744,QCREC_N,2,),IF(AND(H3744="NIC",OR(I3744="TN",I3744="TDN",I3744="TNO2-3",I3744="NO2-3")),VLOOKUP(E3744,QCNIC_N,2,),IF(AND(H3744="UREA",OR(I3744="TN",I3744="TDN",I3744="TNO2-3",I3744="NO2-3")),VLOOKUP(E3744,QCUREA_N,2,),IF(H3744="PER",VLOOKUP(I3744,QCPER,MATCH(E3744,QCACTUAL!$J$25:$AA$25,0),),IF(H3744="SPK",VLOOKUP(I3744,QCSPK,3,),IF(AND(H3744="ATP",OR(I3744="TP",I3744="TDP")),VLOOKUP(E3744,QCATP_P,2,),""))))))))</f>
        <v/>
      </c>
      <c r="W3744" s="31" t="str">
        <f t="shared" si="425"/>
        <v>TRUE</v>
      </c>
      <c r="X3744" s="31" t="str">
        <f t="shared" si="422"/>
        <v/>
      </c>
      <c r="Y3744" s="10" t="s">
        <v>1275</v>
      </c>
      <c r="AF3744" s="12">
        <v>44981</v>
      </c>
      <c r="AJ3744" s="10">
        <f>2.8761*0.669^2+145.17*0.669-57.22</f>
        <v>41.185960192099998</v>
      </c>
      <c r="AK3744" s="10">
        <f>0.3348*0.669^2+180.18*0.669-102.36</f>
        <v>18.330263422800016</v>
      </c>
      <c r="AL3744" s="10" t="str">
        <f t="shared" ref="AL3744:AN3807" si="427">IF($O3744="", "", IF(AQ3744&lt;&gt;"", SUBSTITUTE(SUBSTITUTE(AQ3744, "x", "*"&amp;$O3744&amp;"^", 1), "x", "*"&amp;$O3744, 1), ""))</f>
        <v>FALSE</v>
      </c>
      <c r="AM3744" s="10" t="str">
        <f t="shared" si="427"/>
        <v>FALSE</v>
      </c>
      <c r="AN3744" s="10" t="str">
        <f t="shared" si="427"/>
        <v>FALSE</v>
      </c>
      <c r="AO3744" s="10" t="str">
        <f t="shared" ref="AO3744:AP3807" si="428">IF($O3744="", "FALSE", IF(AT3744&lt;&gt;"FALSE", SUBSTITUTE(SUBSTITUTE(AT3744, "x", "*"&amp;$O3744&amp;"^", 1), "x", "*"&amp;$O3744, 1), ""))</f>
        <v>y=2.8761*0.669^2+145.17*0.669-57.22</v>
      </c>
      <c r="AP3744" s="10" t="str">
        <f t="shared" si="428"/>
        <v>y=0.3348*0.669^2+180.18*0.669-102.36</v>
      </c>
      <c r="AQ3744" s="10" t="b">
        <f>IF(AND(I3744="TP",S3744&lt;=150),VLOOKUP(AF3744,TPCalibEq150!$AZ$2:$BB$55,3,),IF(AND(I3744="TDP",S3744&lt;=150),VLOOKUP(AF3744,TPCalibEq150!$AZ$2:$BB$55,3,)))</f>
        <v>0</v>
      </c>
      <c r="AR3744" s="10" t="b">
        <f>IF(AND(I3744="TP",S3744&lt;=300),VLOOKUP(AF3744,TPCalibEq300!$AZ$2:$BB$55,3,),IF(AND(I3744="TDP",S3744&lt;=300),VLOOKUP(AF3744,TPCalibEq300!$AZ$2:$BB$55,3,)))</f>
        <v>0</v>
      </c>
      <c r="AS3744" s="10" t="b">
        <f>IF(AND(I3744="TP",S3744&lt;=500),VLOOKUP(AF3744,TPCalibEq500!$AZ$2:$BB$56,3,),IF(AND(I3744="TDP",S3744&lt;=500),VLOOKUP(AF3744,TPCalibEq500!$AZ$2:$BB$56,3,)))</f>
        <v>0</v>
      </c>
      <c r="AT3744" s="10" t="str">
        <f>IF(AND(I3744="TN",S3744&lt;=2800),VLOOKUP(AF3744,TNCalibEq2500!$AZ$2:$BB$56,3,),IF(AND(I3744="TDN",S3744&lt;=2800),VLOOKUP(AF3744,TNCalibEq2500!$AZ$2:$BB$56,3,)))</f>
        <v>y=2.8761x2+145.17x-57.22</v>
      </c>
      <c r="AU3744" s="10" t="str">
        <f>IF(I3744="TP",VLOOKUP(AF3744,TPCalibEqFull!$AZ$2:$BB$56,3),IF(I3744="TDP",VLOOKUP(AF3744,TPCalibEqFull!$AZ$2:$BB$56,3),IF(I3744="TDN",VLOOKUP(AF3744,TNCalibEqFull!$AZ$1:$BB$56,3),IF(I3744="TN",VLOOKUP(AF3744,TNCalibEqFull!$AZ$1:$BB$56,3),FALSE))))</f>
        <v>y=0.3348x2+180.18x-102.36</v>
      </c>
      <c r="AV3744" s="10" t="str">
        <f t="shared" si="426"/>
        <v>0222 09:00:00-QAC-STD-D.G-1-DI-CAL</v>
      </c>
    </row>
    <row r="3745" spans="1:48" s="10" customFormat="1" x14ac:dyDescent="0.55000000000000004">
      <c r="A3745" s="32">
        <v>44979</v>
      </c>
      <c r="B3745" s="33">
        <v>0.375</v>
      </c>
      <c r="C3745" s="10" t="s">
        <v>70</v>
      </c>
      <c r="D3745" s="10" t="s">
        <v>71</v>
      </c>
      <c r="E3745" s="10" t="s">
        <v>919</v>
      </c>
      <c r="F3745" s="10">
        <v>1</v>
      </c>
      <c r="G3745" s="10" t="s">
        <v>73</v>
      </c>
      <c r="H3745" s="10" t="s">
        <v>74</v>
      </c>
      <c r="I3745" s="10" t="s">
        <v>235</v>
      </c>
      <c r="J3745" s="10">
        <v>183</v>
      </c>
      <c r="K3745" s="12">
        <v>44981</v>
      </c>
      <c r="L3745" s="33">
        <v>0.48878472222222219</v>
      </c>
      <c r="M3745" s="10">
        <v>1</v>
      </c>
      <c r="N3745" s="10" t="s">
        <v>196</v>
      </c>
      <c r="O3745" s="10">
        <v>1.19</v>
      </c>
      <c r="P3745" s="10">
        <v>5.7200000000000001E-2</v>
      </c>
      <c r="Q3745" s="10">
        <v>125</v>
      </c>
      <c r="R3745" s="10" t="s">
        <v>170</v>
      </c>
      <c r="S3745" s="34">
        <f t="shared" si="423"/>
        <v>125</v>
      </c>
      <c r="T3745" s="10" t="s">
        <v>1277</v>
      </c>
      <c r="U3745" s="34" t="str">
        <f t="shared" si="424"/>
        <v/>
      </c>
      <c r="V3745" s="31" t="str">
        <f>IF(H3745="CHK",VLOOKUP(I3745,QCCHK,3,),IF(H3745="GUP",VLOOKUP(E3745,QCGUP,2,),IF(AND(H3745="ATP",OR(I3745="TN",I3745="TDN",I3745="TNO2-3",I3745="NO2-3")),VLOOKUP(E3745,QCREC_N,2,),IF(AND(H3745="NIC",OR(I3745="TN",I3745="TDN",I3745="TNO2-3",I3745="NO2-3")),VLOOKUP(E3745,QCNIC_N,2,),IF(AND(H3745="UREA",OR(I3745="TN",I3745="TDN",I3745="TNO2-3",I3745="NO2-3")),VLOOKUP(E3745,QCUREA_N,2,),IF(H3745="PER",VLOOKUP(I3745,QCPER,MATCH(E3745,QCACTUAL!$J$25:$AA$25,0),),IF(H3745="SPK",VLOOKUP(I3745,QCSPK,3,),IF(AND(H3745="ATP",OR(I3745="TP",I3745="TDP")),VLOOKUP(E3745,QCATP_P,2,),""))))))))</f>
        <v/>
      </c>
      <c r="W3745" s="31" t="str">
        <f t="shared" si="425"/>
        <v>TRUE</v>
      </c>
      <c r="X3745" s="31" t="str">
        <f t="shared" si="422"/>
        <v/>
      </c>
      <c r="Y3745" s="10" t="s">
        <v>1275</v>
      </c>
      <c r="AF3745" s="12">
        <v>44981</v>
      </c>
      <c r="AJ3745" s="10">
        <f>2.8761*1.19^2+145.17*1.19-57.22</f>
        <v>119.60514520999999</v>
      </c>
      <c r="AK3745" s="10">
        <f>0.3348*1.19^2+180.18*1.19-102.36</f>
        <v>112.52831027999999</v>
      </c>
      <c r="AL3745" s="10" t="str">
        <f t="shared" si="427"/>
        <v>FALSE</v>
      </c>
      <c r="AM3745" s="10" t="str">
        <f t="shared" si="427"/>
        <v>FALSE</v>
      </c>
      <c r="AN3745" s="10" t="str">
        <f t="shared" si="427"/>
        <v>FALSE</v>
      </c>
      <c r="AO3745" s="10" t="str">
        <f t="shared" si="428"/>
        <v>y=2.8761*1.19^2+145.17*1.19-57.22</v>
      </c>
      <c r="AP3745" s="10" t="str">
        <f t="shared" si="428"/>
        <v>y=0.3348*1.19^2+180.18*1.19-102.36</v>
      </c>
      <c r="AQ3745" s="10" t="b">
        <f>IF(AND(I3745="TP",S3745&lt;=150),VLOOKUP(AF3745,TPCalibEq150!$AZ$2:$BB$55,3,),IF(AND(I3745="TDP",S3745&lt;=150),VLOOKUP(AF3745,TPCalibEq150!$AZ$2:$BB$55,3,)))</f>
        <v>0</v>
      </c>
      <c r="AR3745" s="10" t="b">
        <f>IF(AND(I3745="TP",S3745&lt;=300),VLOOKUP(AF3745,TPCalibEq300!$AZ$2:$BB$55,3,),IF(AND(I3745="TDP",S3745&lt;=300),VLOOKUP(AF3745,TPCalibEq300!$AZ$2:$BB$55,3,)))</f>
        <v>0</v>
      </c>
      <c r="AS3745" s="10" t="b">
        <f>IF(AND(I3745="TP",S3745&lt;=500),VLOOKUP(AF3745,TPCalibEq500!$AZ$2:$BB$56,3,),IF(AND(I3745="TDP",S3745&lt;=500),VLOOKUP(AF3745,TPCalibEq500!$AZ$2:$BB$56,3,)))</f>
        <v>0</v>
      </c>
      <c r="AT3745" s="10" t="str">
        <f>IF(AND(I3745="TN",S3745&lt;=2800),VLOOKUP(AF3745,TNCalibEq2500!$AZ$2:$BB$56,3,),IF(AND(I3745="TDN",S3745&lt;=2800),VLOOKUP(AF3745,TNCalibEq2500!$AZ$2:$BB$56,3,)))</f>
        <v>y=2.8761x2+145.17x-57.22</v>
      </c>
      <c r="AU3745" s="10" t="str">
        <f>IF(I3745="TP",VLOOKUP(AF3745,TPCalibEqFull!$AZ$2:$BB$56,3),IF(I3745="TDP",VLOOKUP(AF3745,TPCalibEqFull!$AZ$2:$BB$56,3),IF(I3745="TDN",VLOOKUP(AF3745,TNCalibEqFull!$AZ$1:$BB$56,3),IF(I3745="TN",VLOOKUP(AF3745,TNCalibEqFull!$AZ$1:$BB$56,3),FALSE))))</f>
        <v>y=0.3348x2+180.18x-102.36</v>
      </c>
      <c r="AV3745" s="10" t="str">
        <f t="shared" si="426"/>
        <v>0222 09:00:00-QAC-STD-D.F-1-DI-CAL</v>
      </c>
    </row>
    <row r="3746" spans="1:48" s="10" customFormat="1" x14ac:dyDescent="0.55000000000000004">
      <c r="A3746" s="32">
        <v>44979</v>
      </c>
      <c r="B3746" s="33">
        <v>0.375</v>
      </c>
      <c r="C3746" s="10" t="s">
        <v>70</v>
      </c>
      <c r="D3746" s="10" t="s">
        <v>71</v>
      </c>
      <c r="E3746" s="10" t="s">
        <v>920</v>
      </c>
      <c r="F3746" s="10">
        <v>1</v>
      </c>
      <c r="G3746" s="10" t="s">
        <v>73</v>
      </c>
      <c r="H3746" s="10" t="s">
        <v>74</v>
      </c>
      <c r="I3746" s="10" t="s">
        <v>235</v>
      </c>
      <c r="J3746" s="10">
        <v>184</v>
      </c>
      <c r="K3746" s="12">
        <v>44981</v>
      </c>
      <c r="L3746" s="33">
        <v>0.48945601851851855</v>
      </c>
      <c r="M3746" s="10">
        <v>1</v>
      </c>
      <c r="N3746" s="10" t="s">
        <v>196</v>
      </c>
      <c r="O3746" s="10">
        <v>3.37</v>
      </c>
      <c r="P3746" s="10">
        <v>0.16200000000000001</v>
      </c>
      <c r="Q3746" s="10">
        <v>500</v>
      </c>
      <c r="R3746" s="10" t="s">
        <v>170</v>
      </c>
      <c r="S3746" s="34">
        <f t="shared" si="423"/>
        <v>500</v>
      </c>
      <c r="T3746" s="10" t="s">
        <v>1278</v>
      </c>
      <c r="U3746" s="34" t="str">
        <f t="shared" si="424"/>
        <v/>
      </c>
      <c r="V3746" s="31" t="str">
        <f>IF(H3746="CHK",VLOOKUP(I3746,QCCHK,3,),IF(H3746="GUP",VLOOKUP(E3746,QCGUP,2,),IF(AND(H3746="ATP",OR(I3746="TN",I3746="TDN",I3746="TNO2-3",I3746="NO2-3")),VLOOKUP(E3746,QCREC_N,2,),IF(AND(H3746="NIC",OR(I3746="TN",I3746="TDN",I3746="TNO2-3",I3746="NO2-3")),VLOOKUP(E3746,QCNIC_N,2,),IF(AND(H3746="UREA",OR(I3746="TN",I3746="TDN",I3746="TNO2-3",I3746="NO2-3")),VLOOKUP(E3746,QCUREA_N,2,),IF(H3746="PER",VLOOKUP(I3746,QCPER,MATCH(E3746,QCACTUAL!$J$25:$AA$25,0),),IF(H3746="SPK",VLOOKUP(I3746,QCSPK,3,),IF(AND(H3746="ATP",OR(I3746="TP",I3746="TDP")),VLOOKUP(E3746,QCATP_P,2,),""))))))))</f>
        <v/>
      </c>
      <c r="W3746" s="31" t="str">
        <f t="shared" si="425"/>
        <v>TRUE</v>
      </c>
      <c r="X3746" s="31" t="str">
        <f t="shared" si="422"/>
        <v/>
      </c>
      <c r="Y3746" s="10" t="s">
        <v>1275</v>
      </c>
      <c r="AF3746" s="12">
        <v>44981</v>
      </c>
      <c r="AJ3746" s="10">
        <f>2.8761*3.37^2+145.17*3.37-57.22</f>
        <v>464.66648008999994</v>
      </c>
      <c r="AK3746" s="10">
        <f>0.3348*3.37^2+180.18*3.37-102.36</f>
        <v>508.64889012000003</v>
      </c>
      <c r="AL3746" s="10" t="str">
        <f t="shared" si="427"/>
        <v>FALSE</v>
      </c>
      <c r="AM3746" s="10" t="str">
        <f t="shared" si="427"/>
        <v>FALSE</v>
      </c>
      <c r="AN3746" s="10" t="str">
        <f t="shared" si="427"/>
        <v>FALSE</v>
      </c>
      <c r="AO3746" s="10" t="str">
        <f t="shared" si="428"/>
        <v>y=2.8761*3.37^2+145.17*3.37-57.22</v>
      </c>
      <c r="AP3746" s="10" t="str">
        <f t="shared" si="428"/>
        <v>y=0.3348*3.37^2+180.18*3.37-102.36</v>
      </c>
      <c r="AQ3746" s="10" t="b">
        <f>IF(AND(I3746="TP",S3746&lt;=150),VLOOKUP(AF3746,TPCalibEq150!$AZ$2:$BB$55,3,),IF(AND(I3746="TDP",S3746&lt;=150),VLOOKUP(AF3746,TPCalibEq150!$AZ$2:$BB$55,3,)))</f>
        <v>0</v>
      </c>
      <c r="AR3746" s="10" t="b">
        <f>IF(AND(I3746="TP",S3746&lt;=300),VLOOKUP(AF3746,TPCalibEq300!$AZ$2:$BB$55,3,),IF(AND(I3746="TDP",S3746&lt;=300),VLOOKUP(AF3746,TPCalibEq300!$AZ$2:$BB$55,3,)))</f>
        <v>0</v>
      </c>
      <c r="AS3746" s="10" t="b">
        <f>IF(AND(I3746="TP",S3746&lt;=500),VLOOKUP(AF3746,TPCalibEq500!$AZ$2:$BB$56,3,),IF(AND(I3746="TDP",S3746&lt;=500),VLOOKUP(AF3746,TPCalibEq500!$AZ$2:$BB$56,3,)))</f>
        <v>0</v>
      </c>
      <c r="AT3746" s="10" t="str">
        <f>IF(AND(I3746="TN",S3746&lt;=2800),VLOOKUP(AF3746,TNCalibEq2500!$AZ$2:$BB$56,3,),IF(AND(I3746="TDN",S3746&lt;=2800),VLOOKUP(AF3746,TNCalibEq2500!$AZ$2:$BB$56,3,)))</f>
        <v>y=2.8761x2+145.17x-57.22</v>
      </c>
      <c r="AU3746" s="10" t="str">
        <f>IF(I3746="TP",VLOOKUP(AF3746,TPCalibEqFull!$AZ$2:$BB$56,3),IF(I3746="TDP",VLOOKUP(AF3746,TPCalibEqFull!$AZ$2:$BB$56,3),IF(I3746="TDN",VLOOKUP(AF3746,TNCalibEqFull!$AZ$1:$BB$56,3),IF(I3746="TN",VLOOKUP(AF3746,TNCalibEqFull!$AZ$1:$BB$56,3),FALSE))))</f>
        <v>y=0.3348x2+180.18x-102.36</v>
      </c>
      <c r="AV3746" s="10" t="str">
        <f t="shared" si="426"/>
        <v>0222 09:00:00-QAC-STD-D.E-1-DI-CAL</v>
      </c>
    </row>
    <row r="3747" spans="1:48" s="10" customFormat="1" x14ac:dyDescent="0.55000000000000004">
      <c r="A3747" s="32">
        <v>44979</v>
      </c>
      <c r="B3747" s="33">
        <v>0.375</v>
      </c>
      <c r="C3747" s="10" t="s">
        <v>70</v>
      </c>
      <c r="D3747" s="10" t="s">
        <v>71</v>
      </c>
      <c r="E3747" s="10" t="s">
        <v>921</v>
      </c>
      <c r="F3747" s="10">
        <v>1</v>
      </c>
      <c r="G3747" s="10" t="s">
        <v>73</v>
      </c>
      <c r="H3747" s="10" t="s">
        <v>74</v>
      </c>
      <c r="I3747" s="10" t="s">
        <v>235</v>
      </c>
      <c r="J3747" s="10">
        <v>185</v>
      </c>
      <c r="K3747" s="12">
        <v>44981</v>
      </c>
      <c r="L3747" s="33">
        <v>0.49012731481481481</v>
      </c>
      <c r="M3747" s="10">
        <v>1</v>
      </c>
      <c r="N3747" s="10" t="s">
        <v>196</v>
      </c>
      <c r="O3747" s="10">
        <v>7.93</v>
      </c>
      <c r="P3747" s="10">
        <v>0.38200000000000001</v>
      </c>
      <c r="Q3747" s="10">
        <v>1250</v>
      </c>
      <c r="R3747" s="10" t="s">
        <v>170</v>
      </c>
      <c r="S3747" s="34">
        <f t="shared" si="423"/>
        <v>1250</v>
      </c>
      <c r="T3747" s="10" t="s">
        <v>1279</v>
      </c>
      <c r="U3747" s="34" t="str">
        <f t="shared" si="424"/>
        <v/>
      </c>
      <c r="V3747" s="31" t="str">
        <f>IF(H3747="CHK",VLOOKUP(I3747,QCCHK,3,),IF(H3747="GUP",VLOOKUP(E3747,QCGUP,2,),IF(AND(H3747="ATP",OR(I3747="TN",I3747="TDN",I3747="TNO2-3",I3747="NO2-3")),VLOOKUP(E3747,QCREC_N,2,),IF(AND(H3747="NIC",OR(I3747="TN",I3747="TDN",I3747="TNO2-3",I3747="NO2-3")),VLOOKUP(E3747,QCNIC_N,2,),IF(AND(H3747="UREA",OR(I3747="TN",I3747="TDN",I3747="TNO2-3",I3747="NO2-3")),VLOOKUP(E3747,QCUREA_N,2,),IF(H3747="PER",VLOOKUP(I3747,QCPER,MATCH(E3747,QCACTUAL!$J$25:$AA$25,0),),IF(H3747="SPK",VLOOKUP(I3747,QCSPK,3,),IF(AND(H3747="ATP",OR(I3747="TP",I3747="TDP")),VLOOKUP(E3747,QCATP_P,2,),""))))))))</f>
        <v/>
      </c>
      <c r="W3747" s="31" t="str">
        <f t="shared" si="425"/>
        <v>TRUE</v>
      </c>
      <c r="X3747" s="31" t="str">
        <f t="shared" si="422"/>
        <v/>
      </c>
      <c r="Y3747" s="10" t="s">
        <v>1275</v>
      </c>
      <c r="AF3747" s="12">
        <v>44981</v>
      </c>
      <c r="AJ3747" s="10">
        <f>2.8761*7.93^2+145.17*7.93-57.22</f>
        <v>1274.8413608899998</v>
      </c>
      <c r="AK3747" s="10">
        <f>0.3348*7.93^2+180.18*7.93-102.36</f>
        <v>1347.5212645199999</v>
      </c>
      <c r="AL3747" s="10" t="str">
        <f t="shared" si="427"/>
        <v>FALSE</v>
      </c>
      <c r="AM3747" s="10" t="str">
        <f t="shared" si="427"/>
        <v>FALSE</v>
      </c>
      <c r="AN3747" s="10" t="str">
        <f t="shared" si="427"/>
        <v>FALSE</v>
      </c>
      <c r="AO3747" s="10" t="str">
        <f t="shared" si="428"/>
        <v>y=2.8761*7.93^2+145.17*7.93-57.22</v>
      </c>
      <c r="AP3747" s="10" t="str">
        <f t="shared" si="428"/>
        <v>y=0.3348*7.93^2+180.18*7.93-102.36</v>
      </c>
      <c r="AQ3747" s="10" t="b">
        <f>IF(AND(I3747="TP",S3747&lt;=150),VLOOKUP(AF3747,TPCalibEq150!$AZ$2:$BB$55,3,),IF(AND(I3747="TDP",S3747&lt;=150),VLOOKUP(AF3747,TPCalibEq150!$AZ$2:$BB$55,3,)))</f>
        <v>0</v>
      </c>
      <c r="AR3747" s="10" t="b">
        <f>IF(AND(I3747="TP",S3747&lt;=300),VLOOKUP(AF3747,TPCalibEq300!$AZ$2:$BB$55,3,),IF(AND(I3747="TDP",S3747&lt;=300),VLOOKUP(AF3747,TPCalibEq300!$AZ$2:$BB$55,3,)))</f>
        <v>0</v>
      </c>
      <c r="AS3747" s="10" t="b">
        <f>IF(AND(I3747="TP",S3747&lt;=500),VLOOKUP(AF3747,TPCalibEq500!$AZ$2:$BB$56,3,),IF(AND(I3747="TDP",S3747&lt;=500),VLOOKUP(AF3747,TPCalibEq500!$AZ$2:$BB$56,3,)))</f>
        <v>0</v>
      </c>
      <c r="AT3747" s="10" t="str">
        <f>IF(AND(I3747="TN",S3747&lt;=2800),VLOOKUP(AF3747,TNCalibEq2500!$AZ$2:$BB$56,3,),IF(AND(I3747="TDN",S3747&lt;=2800),VLOOKUP(AF3747,TNCalibEq2500!$AZ$2:$BB$56,3,)))</f>
        <v>y=2.8761x2+145.17x-57.22</v>
      </c>
      <c r="AU3747" s="10" t="str">
        <f>IF(I3747="TP",VLOOKUP(AF3747,TPCalibEqFull!$AZ$2:$BB$56,3),IF(I3747="TDP",VLOOKUP(AF3747,TPCalibEqFull!$AZ$2:$BB$56,3),IF(I3747="TDN",VLOOKUP(AF3747,TNCalibEqFull!$AZ$1:$BB$56,3),IF(I3747="TN",VLOOKUP(AF3747,TNCalibEqFull!$AZ$1:$BB$56,3),FALSE))))</f>
        <v>y=0.3348x2+180.18x-102.36</v>
      </c>
      <c r="AV3747" s="10" t="str">
        <f t="shared" si="426"/>
        <v>0222 09:00:00-QAC-STD-D.D-1-DI-CAL</v>
      </c>
    </row>
    <row r="3748" spans="1:48" s="10" customFormat="1" x14ac:dyDescent="0.55000000000000004">
      <c r="A3748" s="32">
        <v>44979</v>
      </c>
      <c r="B3748" s="33">
        <v>0.375</v>
      </c>
      <c r="C3748" s="10" t="s">
        <v>70</v>
      </c>
      <c r="D3748" s="10" t="s">
        <v>71</v>
      </c>
      <c r="E3748" s="10" t="s">
        <v>922</v>
      </c>
      <c r="F3748" s="10">
        <v>1</v>
      </c>
      <c r="G3748" s="10" t="s">
        <v>73</v>
      </c>
      <c r="H3748" s="10" t="s">
        <v>74</v>
      </c>
      <c r="I3748" s="10" t="s">
        <v>235</v>
      </c>
      <c r="J3748" s="10">
        <v>186</v>
      </c>
      <c r="K3748" s="12">
        <v>44981</v>
      </c>
      <c r="L3748" s="33">
        <v>0.49079861111111112</v>
      </c>
      <c r="M3748" s="10">
        <v>1</v>
      </c>
      <c r="N3748" s="10" t="s">
        <v>196</v>
      </c>
      <c r="O3748" s="10">
        <v>13.8</v>
      </c>
      <c r="P3748" s="10">
        <v>0.66400000000000003</v>
      </c>
      <c r="Q3748" s="10">
        <v>2500</v>
      </c>
      <c r="R3748" s="10" t="s">
        <v>170</v>
      </c>
      <c r="S3748" s="34">
        <f t="shared" si="423"/>
        <v>2500</v>
      </c>
      <c r="T3748" s="10" t="s">
        <v>1280</v>
      </c>
      <c r="U3748" s="34" t="str">
        <f t="shared" si="424"/>
        <v/>
      </c>
      <c r="V3748" s="31" t="str">
        <f>IF(H3748="CHK",VLOOKUP(I3748,QCCHK,3,),IF(H3748="GUP",VLOOKUP(E3748,QCGUP,2,),IF(AND(H3748="ATP",OR(I3748="TN",I3748="TDN",I3748="TNO2-3",I3748="NO2-3")),VLOOKUP(E3748,QCREC_N,2,),IF(AND(H3748="NIC",OR(I3748="TN",I3748="TDN",I3748="TNO2-3",I3748="NO2-3")),VLOOKUP(E3748,QCNIC_N,2,),IF(AND(H3748="UREA",OR(I3748="TN",I3748="TDN",I3748="TNO2-3",I3748="NO2-3")),VLOOKUP(E3748,QCUREA_N,2,),IF(H3748="PER",VLOOKUP(I3748,QCPER,MATCH(E3748,QCACTUAL!$J$25:$AA$25,0),),IF(H3748="SPK",VLOOKUP(I3748,QCSPK,3,),IF(AND(H3748="ATP",OR(I3748="TP",I3748="TDP")),VLOOKUP(E3748,QCATP_P,2,),""))))))))</f>
        <v/>
      </c>
      <c r="W3748" s="31" t="str">
        <f t="shared" si="425"/>
        <v>TRUE</v>
      </c>
      <c r="X3748" s="31" t="str">
        <f t="shared" si="422"/>
        <v/>
      </c>
      <c r="Y3748" s="10" t="s">
        <v>1275</v>
      </c>
      <c r="AF3748" s="12">
        <v>44981</v>
      </c>
      <c r="AJ3748" s="10">
        <f>2.8761*13.8^2+145.17*13.8-57.22</f>
        <v>2493.8504840000001</v>
      </c>
      <c r="AK3748" s="10">
        <f>0.3348*13.8^2+180.18*13.8-102.36</f>
        <v>2447.8833120000004</v>
      </c>
      <c r="AL3748" s="10" t="str">
        <f t="shared" si="427"/>
        <v>FALSE</v>
      </c>
      <c r="AM3748" s="10" t="str">
        <f t="shared" si="427"/>
        <v>FALSE</v>
      </c>
      <c r="AN3748" s="10" t="str">
        <f t="shared" si="427"/>
        <v>FALSE</v>
      </c>
      <c r="AO3748" s="10" t="str">
        <f t="shared" si="428"/>
        <v>y=2.8761*13.8^2+145.17*13.8-57.22</v>
      </c>
      <c r="AP3748" s="10" t="str">
        <f t="shared" si="428"/>
        <v>y=0.3348*13.8^2+180.18*13.8-102.36</v>
      </c>
      <c r="AQ3748" s="10" t="b">
        <f>IF(AND(I3748="TP",S3748&lt;=150),VLOOKUP(AF3748,TPCalibEq150!$AZ$2:$BB$55,3,),IF(AND(I3748="TDP",S3748&lt;=150),VLOOKUP(AF3748,TPCalibEq150!$AZ$2:$BB$55,3,)))</f>
        <v>0</v>
      </c>
      <c r="AR3748" s="10" t="b">
        <f>IF(AND(I3748="TP",S3748&lt;=300),VLOOKUP(AF3748,TPCalibEq300!$AZ$2:$BB$55,3,),IF(AND(I3748="TDP",S3748&lt;=300),VLOOKUP(AF3748,TPCalibEq300!$AZ$2:$BB$55,3,)))</f>
        <v>0</v>
      </c>
      <c r="AS3748" s="10" t="b">
        <f>IF(AND(I3748="TP",S3748&lt;=500),VLOOKUP(AF3748,TPCalibEq500!$AZ$2:$BB$56,3,),IF(AND(I3748="TDP",S3748&lt;=500),VLOOKUP(AF3748,TPCalibEq500!$AZ$2:$BB$56,3,)))</f>
        <v>0</v>
      </c>
      <c r="AT3748" s="10" t="str">
        <f>IF(AND(I3748="TN",S3748&lt;=2800),VLOOKUP(AF3748,TNCalibEq2500!$AZ$2:$BB$56,3,),IF(AND(I3748="TDN",S3748&lt;=2800),VLOOKUP(AF3748,TNCalibEq2500!$AZ$2:$BB$56,3,)))</f>
        <v>y=2.8761x2+145.17x-57.22</v>
      </c>
      <c r="AU3748" s="10" t="str">
        <f>IF(I3748="TP",VLOOKUP(AF3748,TPCalibEqFull!$AZ$2:$BB$56,3),IF(I3748="TDP",VLOOKUP(AF3748,TPCalibEqFull!$AZ$2:$BB$56,3),IF(I3748="TDN",VLOOKUP(AF3748,TNCalibEqFull!$AZ$1:$BB$56,3),IF(I3748="TN",VLOOKUP(AF3748,TNCalibEqFull!$AZ$1:$BB$56,3),FALSE))))</f>
        <v>y=0.3348x2+180.18x-102.36</v>
      </c>
      <c r="AV3748" s="10" t="str">
        <f t="shared" si="426"/>
        <v>0222 09:00:00-QAC-STD-D.C-1-DI-CAL</v>
      </c>
    </row>
    <row r="3749" spans="1:48" s="10" customFormat="1" x14ac:dyDescent="0.55000000000000004">
      <c r="A3749" s="32">
        <v>44979</v>
      </c>
      <c r="B3749" s="33">
        <v>0.375</v>
      </c>
      <c r="C3749" s="10" t="s">
        <v>70</v>
      </c>
      <c r="D3749" s="10" t="s">
        <v>71</v>
      </c>
      <c r="E3749" s="10" t="s">
        <v>923</v>
      </c>
      <c r="F3749" s="10">
        <v>1</v>
      </c>
      <c r="G3749" s="10" t="s">
        <v>73</v>
      </c>
      <c r="H3749" s="10" t="s">
        <v>74</v>
      </c>
      <c r="I3749" s="10" t="s">
        <v>235</v>
      </c>
      <c r="J3749" s="10">
        <v>187</v>
      </c>
      <c r="K3749" s="12">
        <v>44981</v>
      </c>
      <c r="L3749" s="33">
        <v>0.49148148148148146</v>
      </c>
      <c r="M3749" s="10">
        <v>1</v>
      </c>
      <c r="N3749" s="10" t="s">
        <v>196</v>
      </c>
      <c r="O3749" s="10">
        <v>20.399999999999999</v>
      </c>
      <c r="P3749" s="10">
        <v>0.98099999999999998</v>
      </c>
      <c r="Q3749" s="10">
        <v>3750</v>
      </c>
      <c r="R3749" s="10" t="s">
        <v>170</v>
      </c>
      <c r="S3749" s="34">
        <f t="shared" si="423"/>
        <v>3750</v>
      </c>
      <c r="T3749" s="10" t="s">
        <v>1281</v>
      </c>
      <c r="U3749" s="34" t="str">
        <f t="shared" si="424"/>
        <v/>
      </c>
      <c r="V3749" s="31" t="str">
        <f>IF(H3749="CHK",VLOOKUP(I3749,QCCHK,3,),IF(H3749="GUP",VLOOKUP(E3749,QCGUP,2,),IF(AND(H3749="ATP",OR(I3749="TN",I3749="TDN",I3749="TNO2-3",I3749="NO2-3")),VLOOKUP(E3749,QCREC_N,2,),IF(AND(H3749="NIC",OR(I3749="TN",I3749="TDN",I3749="TNO2-3",I3749="NO2-3")),VLOOKUP(E3749,QCNIC_N,2,),IF(AND(H3749="UREA",OR(I3749="TN",I3749="TDN",I3749="TNO2-3",I3749="NO2-3")),VLOOKUP(E3749,QCUREA_N,2,),IF(H3749="PER",VLOOKUP(I3749,QCPER,MATCH(E3749,QCACTUAL!$J$25:$AA$25,0),),IF(H3749="SPK",VLOOKUP(I3749,QCSPK,3,),IF(AND(H3749="ATP",OR(I3749="TP",I3749="TDP")),VLOOKUP(E3749,QCATP_P,2,),""))))))))</f>
        <v/>
      </c>
      <c r="W3749" s="31" t="str">
        <f t="shared" si="425"/>
        <v>TRUE</v>
      </c>
      <c r="X3749" s="31" t="str">
        <f t="shared" si="422"/>
        <v/>
      </c>
      <c r="Y3749" s="10" t="s">
        <v>1275</v>
      </c>
      <c r="AF3749" s="12">
        <v>44981</v>
      </c>
      <c r="AK3749" s="10">
        <f>0.3348*20.4^2+180.18*20.4-102.36</f>
        <v>3712.6423679999998</v>
      </c>
      <c r="AL3749" s="10" t="str">
        <f t="shared" si="427"/>
        <v>FALSE</v>
      </c>
      <c r="AM3749" s="10" t="str">
        <f t="shared" si="427"/>
        <v>FALSE</v>
      </c>
      <c r="AN3749" s="10" t="str">
        <f t="shared" si="427"/>
        <v>FALSE</v>
      </c>
      <c r="AO3749" s="10" t="str">
        <f t="shared" si="428"/>
        <v>FALSE</v>
      </c>
      <c r="AP3749" s="10" t="str">
        <f t="shared" si="428"/>
        <v>y=0.3348*20.4^2+180.18*20.4-102.36</v>
      </c>
      <c r="AQ3749" s="10" t="b">
        <f>IF(AND(I3749="TP",S3749&lt;=150),VLOOKUP(AF3749,TPCalibEq150!$AZ$2:$BB$55,3,),IF(AND(I3749="TDP",S3749&lt;=150),VLOOKUP(AF3749,TPCalibEq150!$AZ$2:$BB$55,3,)))</f>
        <v>0</v>
      </c>
      <c r="AR3749" s="10" t="b">
        <f>IF(AND(I3749="TP",S3749&lt;=300),VLOOKUP(AF3749,TPCalibEq300!$AZ$2:$BB$55,3,),IF(AND(I3749="TDP",S3749&lt;=300),VLOOKUP(AF3749,TPCalibEq300!$AZ$2:$BB$55,3,)))</f>
        <v>0</v>
      </c>
      <c r="AS3749" s="10" t="b">
        <f>IF(AND(I3749="TP",S3749&lt;=500),VLOOKUP(AF3749,TPCalibEq500!$AZ$2:$BB$56,3,),IF(AND(I3749="TDP",S3749&lt;=500),VLOOKUP(AF3749,TPCalibEq500!$AZ$2:$BB$56,3,)))</f>
        <v>0</v>
      </c>
      <c r="AT3749" s="10" t="b">
        <f>IF(AND(I3749="TN",S3749&lt;=2800),VLOOKUP(AF3749,TNCalibEq2500!$AZ$2:$BB$56,3,),IF(AND(I3749="TDN",S3749&lt;=2800),VLOOKUP(AF3749,TNCalibEq2500!$AZ$2:$BB$56,3,)))</f>
        <v>0</v>
      </c>
      <c r="AU3749" s="10" t="str">
        <f>IF(I3749="TP",VLOOKUP(AF3749,TPCalibEqFull!$AZ$2:$BB$56,3),IF(I3749="TDP",VLOOKUP(AF3749,TPCalibEqFull!$AZ$2:$BB$56,3),IF(I3749="TDN",VLOOKUP(AF3749,TNCalibEqFull!$AZ$1:$BB$56,3),IF(I3749="TN",VLOOKUP(AF3749,TNCalibEqFull!$AZ$1:$BB$56,3),FALSE))))</f>
        <v>y=0.3348x2+180.18x-102.36</v>
      </c>
      <c r="AV3749" s="10" t="str">
        <f t="shared" si="426"/>
        <v>0222 09:00:00-QAC-STD-D.B-1-DI-CAL</v>
      </c>
    </row>
    <row r="3750" spans="1:48" s="10" customFormat="1" x14ac:dyDescent="0.55000000000000004">
      <c r="A3750" s="32">
        <v>44979</v>
      </c>
      <c r="B3750" s="33">
        <v>0.375</v>
      </c>
      <c r="C3750" s="10" t="s">
        <v>70</v>
      </c>
      <c r="D3750" s="10" t="s">
        <v>71</v>
      </c>
      <c r="E3750" s="10" t="s">
        <v>924</v>
      </c>
      <c r="F3750" s="10">
        <v>1</v>
      </c>
      <c r="G3750" s="10" t="s">
        <v>73</v>
      </c>
      <c r="H3750" s="10" t="s">
        <v>74</v>
      </c>
      <c r="I3750" s="10" t="s">
        <v>235</v>
      </c>
      <c r="J3750" s="10">
        <v>188</v>
      </c>
      <c r="K3750" s="12">
        <v>44981</v>
      </c>
      <c r="L3750" s="33">
        <v>0.49215277777777783</v>
      </c>
      <c r="M3750" s="10">
        <v>1</v>
      </c>
      <c r="N3750" s="10" t="s">
        <v>196</v>
      </c>
      <c r="O3750" s="10">
        <v>27.1</v>
      </c>
      <c r="P3750" s="10">
        <v>1.29</v>
      </c>
      <c r="Q3750" s="10">
        <v>5000</v>
      </c>
      <c r="R3750" s="10" t="s">
        <v>170</v>
      </c>
      <c r="S3750" s="34">
        <f t="shared" si="423"/>
        <v>5000</v>
      </c>
      <c r="T3750" s="10" t="s">
        <v>1282</v>
      </c>
      <c r="U3750" s="34" t="str">
        <f t="shared" si="424"/>
        <v/>
      </c>
      <c r="V3750" s="31" t="str">
        <f>IF(H3750="CHK",VLOOKUP(I3750,QCCHK,3,),IF(H3750="GUP",VLOOKUP(E3750,QCGUP,2,),IF(AND(H3750="ATP",OR(I3750="TN",I3750="TDN",I3750="TNO2-3",I3750="NO2-3")),VLOOKUP(E3750,QCREC_N,2,),IF(AND(H3750="NIC",OR(I3750="TN",I3750="TDN",I3750="TNO2-3",I3750="NO2-3")),VLOOKUP(E3750,QCNIC_N,2,),IF(AND(H3750="UREA",OR(I3750="TN",I3750="TDN",I3750="TNO2-3",I3750="NO2-3")),VLOOKUP(E3750,QCUREA_N,2,),IF(H3750="PER",VLOOKUP(I3750,QCPER,MATCH(E3750,QCACTUAL!$J$25:$AA$25,0),),IF(H3750="SPK",VLOOKUP(I3750,QCSPK,3,),IF(AND(H3750="ATP",OR(I3750="TP",I3750="TDP")),VLOOKUP(E3750,QCATP_P,2,),""))))))))</f>
        <v/>
      </c>
      <c r="W3750" s="31" t="str">
        <f t="shared" si="425"/>
        <v>TRUE</v>
      </c>
      <c r="X3750" s="31" t="str">
        <f t="shared" si="422"/>
        <v/>
      </c>
      <c r="Y3750" s="10" t="s">
        <v>1275</v>
      </c>
      <c r="AF3750" s="12">
        <v>44981</v>
      </c>
      <c r="AK3750" s="10">
        <f>0.3348*27.1^2+180.18*27.1-102.36</f>
        <v>5026.3984680000012</v>
      </c>
      <c r="AL3750" s="10" t="str">
        <f t="shared" si="427"/>
        <v>FALSE</v>
      </c>
      <c r="AM3750" s="10" t="str">
        <f t="shared" si="427"/>
        <v>FALSE</v>
      </c>
      <c r="AN3750" s="10" t="str">
        <f t="shared" si="427"/>
        <v>FALSE</v>
      </c>
      <c r="AO3750" s="10" t="str">
        <f t="shared" si="428"/>
        <v>FALSE</v>
      </c>
      <c r="AP3750" s="10" t="str">
        <f t="shared" si="428"/>
        <v>y=0.3348*27.1^2+180.18*27.1-102.36</v>
      </c>
      <c r="AQ3750" s="10" t="b">
        <f>IF(AND(I3750="TP",S3750&lt;=150),VLOOKUP(AF3750,TPCalibEq150!$AZ$2:$BB$55,3,),IF(AND(I3750="TDP",S3750&lt;=150),VLOOKUP(AF3750,TPCalibEq150!$AZ$2:$BB$55,3,)))</f>
        <v>0</v>
      </c>
      <c r="AR3750" s="10" t="b">
        <f>IF(AND(I3750="TP",S3750&lt;=300),VLOOKUP(AF3750,TPCalibEq300!$AZ$2:$BB$55,3,),IF(AND(I3750="TDP",S3750&lt;=300),VLOOKUP(AF3750,TPCalibEq300!$AZ$2:$BB$55,3,)))</f>
        <v>0</v>
      </c>
      <c r="AS3750" s="10" t="b">
        <f>IF(AND(I3750="TP",S3750&lt;=500),VLOOKUP(AF3750,TPCalibEq500!$AZ$2:$BB$56,3,),IF(AND(I3750="TDP",S3750&lt;=500),VLOOKUP(AF3750,TPCalibEq500!$AZ$2:$BB$56,3,)))</f>
        <v>0</v>
      </c>
      <c r="AT3750" s="10" t="b">
        <f>IF(AND(I3750="TN",S3750&lt;=2800),VLOOKUP(AF3750,TNCalibEq2500!$AZ$2:$BB$56,3,),IF(AND(I3750="TDN",S3750&lt;=2800),VLOOKUP(AF3750,TNCalibEq2500!$AZ$2:$BB$56,3,)))</f>
        <v>0</v>
      </c>
      <c r="AU3750" s="10" t="str">
        <f>IF(I3750="TP",VLOOKUP(AF3750,TPCalibEqFull!$AZ$2:$BB$56,3),IF(I3750="TDP",VLOOKUP(AF3750,TPCalibEqFull!$AZ$2:$BB$56,3),IF(I3750="TDN",VLOOKUP(AF3750,TNCalibEqFull!$AZ$1:$BB$56,3),IF(I3750="TN",VLOOKUP(AF3750,TNCalibEqFull!$AZ$1:$BB$56,3),FALSE))))</f>
        <v>y=0.3348x2+180.18x-102.36</v>
      </c>
      <c r="AV3750" s="10" t="str">
        <f t="shared" si="426"/>
        <v>0222 09:00:00-QAC-STD-D.A-1-DI-CAL</v>
      </c>
    </row>
    <row r="3751" spans="1:48" s="10" customFormat="1" x14ac:dyDescent="0.55000000000000004">
      <c r="A3751" s="32">
        <v>44979</v>
      </c>
      <c r="B3751" s="33">
        <v>0.375</v>
      </c>
      <c r="C3751" s="10" t="s">
        <v>70</v>
      </c>
      <c r="D3751" s="10" t="s">
        <v>241</v>
      </c>
      <c r="E3751" s="10" t="s">
        <v>866</v>
      </c>
      <c r="F3751" s="10">
        <v>1</v>
      </c>
      <c r="G3751" s="10" t="s">
        <v>73</v>
      </c>
      <c r="H3751" s="10" t="s">
        <v>283</v>
      </c>
      <c r="I3751" s="10" t="s">
        <v>235</v>
      </c>
      <c r="J3751" s="10">
        <v>198</v>
      </c>
      <c r="K3751" s="12">
        <v>44981</v>
      </c>
      <c r="L3751" s="33">
        <v>0.49347222222222226</v>
      </c>
      <c r="M3751" s="10">
        <v>1</v>
      </c>
      <c r="N3751" s="10" t="s">
        <v>196</v>
      </c>
      <c r="O3751" s="10">
        <v>0.45900000000000002</v>
      </c>
      <c r="P3751" s="10">
        <v>2.2100000000000002E-2</v>
      </c>
      <c r="Q3751" s="10">
        <v>-37.299999999999997</v>
      </c>
      <c r="R3751" s="10" t="s">
        <v>170</v>
      </c>
      <c r="S3751" s="34">
        <f t="shared" si="423"/>
        <v>10.018969624099995</v>
      </c>
      <c r="T3751" s="10" t="s">
        <v>1282</v>
      </c>
      <c r="U3751" s="34">
        <f t="shared" si="424"/>
        <v>10.018969624099995</v>
      </c>
      <c r="V3751" s="31" t="str">
        <f>IF(H3751="CHK",VLOOKUP(I3751,QCCHK,3,),IF(H3751="GUP",VLOOKUP(E3751,QCGUP,2,),IF(AND(H3751="ATP",OR(I3751="TN",I3751="TDN",I3751="TNO2-3",I3751="NO2-3")),VLOOKUP(E3751,QCREC_N,2,),IF(AND(H3751="NIC",OR(I3751="TN",I3751="TDN",I3751="TNO2-3",I3751="NO2-3")),VLOOKUP(E3751,QCNIC_N,2,),IF(AND(H3751="UREA",OR(I3751="TN",I3751="TDN",I3751="TNO2-3",I3751="NO2-3")),VLOOKUP(E3751,QCUREA_N,2,),IF(H3751="PER",VLOOKUP(I3751,QCPER,MATCH(E3751,QCACTUAL!$J$25:$AA$25,0),),IF(H3751="SPK",VLOOKUP(I3751,QCSPK,3,),IF(AND(H3751="ATP",OR(I3751="TP",I3751="TDP")),VLOOKUP(E3751,QCATP_P,2,),""))))))))</f>
        <v/>
      </c>
      <c r="W3751" s="31" t="str">
        <f t="shared" si="425"/>
        <v>TRUE</v>
      </c>
      <c r="X3751" s="31" t="str">
        <f t="shared" si="422"/>
        <v>nominal concentration</v>
      </c>
      <c r="Y3751" s="10" t="s">
        <v>1275</v>
      </c>
      <c r="AF3751" s="12">
        <v>44981</v>
      </c>
      <c r="AJ3751" s="10">
        <f>2.8761*0.459^2+145.17*0.459-57.22</f>
        <v>10.018969624099995</v>
      </c>
      <c r="AK3751" s="10">
        <f>0.3348*0.459^2+180.18*0.459-102.36</f>
        <v>-19.586844001199992</v>
      </c>
      <c r="AL3751" s="10" t="str">
        <f t="shared" si="427"/>
        <v>FALSE</v>
      </c>
      <c r="AM3751" s="10" t="str">
        <f t="shared" si="427"/>
        <v>FALSE</v>
      </c>
      <c r="AN3751" s="10" t="str">
        <f t="shared" si="427"/>
        <v>FALSE</v>
      </c>
      <c r="AO3751" s="10" t="str">
        <f t="shared" si="428"/>
        <v>y=2.8761*0.459^2+145.17*0.459-57.22</v>
      </c>
      <c r="AP3751" s="10" t="str">
        <f t="shared" si="428"/>
        <v>y=0.3348*0.459^2+180.18*0.459-102.36</v>
      </c>
      <c r="AQ3751" s="10" t="b">
        <f>IF(AND(I3751="TP",S3751&lt;=150),VLOOKUP(AF3751,TPCalibEq150!$AZ$2:$BB$55,3,),IF(AND(I3751="TDP",S3751&lt;=150),VLOOKUP(AF3751,TPCalibEq150!$AZ$2:$BB$55,3,)))</f>
        <v>0</v>
      </c>
      <c r="AR3751" s="10" t="b">
        <f>IF(AND(I3751="TP",S3751&lt;=300),VLOOKUP(AF3751,TPCalibEq300!$AZ$2:$BB$55,3,),IF(AND(I3751="TDP",S3751&lt;=300),VLOOKUP(AF3751,TPCalibEq300!$AZ$2:$BB$55,3,)))</f>
        <v>0</v>
      </c>
      <c r="AS3751" s="10" t="b">
        <f>IF(AND(I3751="TP",S3751&lt;=500),VLOOKUP(AF3751,TPCalibEq500!$AZ$2:$BB$56,3,),IF(AND(I3751="TDP",S3751&lt;=500),VLOOKUP(AF3751,TPCalibEq500!$AZ$2:$BB$56,3,)))</f>
        <v>0</v>
      </c>
      <c r="AT3751" s="10" t="str">
        <f>IF(AND(I3751="TN",S3751&lt;=2800),VLOOKUP(AF3751,TNCalibEq2500!$AZ$2:$BB$56,3,),IF(AND(I3751="TDN",S3751&lt;=2800),VLOOKUP(AF3751,TNCalibEq2500!$AZ$2:$BB$56,3,)))</f>
        <v>y=2.8761x2+145.17x-57.22</v>
      </c>
      <c r="AU3751" s="10" t="str">
        <f>IF(I3751="TP",VLOOKUP(AF3751,TPCalibEqFull!$AZ$2:$BB$56,3),IF(I3751="TDP",VLOOKUP(AF3751,TPCalibEqFull!$AZ$2:$BB$56,3),IF(I3751="TDN",VLOOKUP(AF3751,TNCalibEqFull!$AZ$1:$BB$56,3),IF(I3751="TN",VLOOKUP(AF3751,TNCalibEqFull!$AZ$1:$BB$56,3),FALSE))))</f>
        <v>y=0.3348x2+180.18x-102.36</v>
      </c>
      <c r="AV3751" s="10" t="str">
        <f t="shared" si="426"/>
        <v>0222 09:00:00-QAC-BLK-A-1-DI-LAB</v>
      </c>
    </row>
    <row r="3752" spans="1:48" s="10" customFormat="1" x14ac:dyDescent="0.55000000000000004">
      <c r="A3752" s="32">
        <v>44979</v>
      </c>
      <c r="B3752" s="33">
        <v>0.375</v>
      </c>
      <c r="C3752" s="10" t="s">
        <v>70</v>
      </c>
      <c r="D3752" s="10" t="s">
        <v>241</v>
      </c>
      <c r="E3752" s="10" t="s">
        <v>866</v>
      </c>
      <c r="F3752" s="10">
        <v>1</v>
      </c>
      <c r="G3752" s="10" t="s">
        <v>73</v>
      </c>
      <c r="H3752" s="10" t="s">
        <v>314</v>
      </c>
      <c r="I3752" s="10" t="s">
        <v>235</v>
      </c>
      <c r="J3752" s="10">
        <v>225</v>
      </c>
      <c r="K3752" s="12">
        <v>44981</v>
      </c>
      <c r="L3752" s="33">
        <v>0.4941550925925926</v>
      </c>
      <c r="M3752" s="10">
        <v>1</v>
      </c>
      <c r="N3752" s="10" t="s">
        <v>196</v>
      </c>
      <c r="O3752" s="10">
        <v>13.9</v>
      </c>
      <c r="P3752" s="10">
        <v>0.66800000000000004</v>
      </c>
      <c r="Q3752" s="10">
        <v>2510</v>
      </c>
      <c r="R3752" s="10" t="s">
        <v>170</v>
      </c>
      <c r="S3752" s="34">
        <f t="shared" si="423"/>
        <v>2510</v>
      </c>
      <c r="T3752" s="10" t="s">
        <v>1282</v>
      </c>
      <c r="U3752" s="34">
        <f t="shared" si="424"/>
        <v>99.999241215035994</v>
      </c>
      <c r="V3752" s="31">
        <f>IF(H3752="CHK",VLOOKUP(I3752,QCCHK,3,),IF(H3752="GUP",VLOOKUP(E3752,QCGUP,2,),IF(AND(H3752="ATP",OR(I3752="TN",I3752="TDN",I3752="TNO2-3",I3752="NO2-3")),VLOOKUP(E3752,QCREC_N,2,),IF(AND(H3752="NIC",OR(I3752="TN",I3752="TDN",I3752="TNO2-3",I3752="NO2-3")),VLOOKUP(E3752,QCNIC_N,2,),IF(AND(H3752="UREA",OR(I3752="TN",I3752="TDN",I3752="TNO2-3",I3752="NO2-3")),VLOOKUP(E3752,QCUREA_N,2,),IF(H3752="PER",VLOOKUP(I3752,QCPER,MATCH(E3752,QCACTUAL!$J$25:$AA$25,0),),IF(H3752="SPK",VLOOKUP(I3752,QCSPK,3,),IF(AND(H3752="ATP",OR(I3752="TP",I3752="TDP")),VLOOKUP(E3752,QCATP_P,2,),""))))))))</f>
        <v>2500</v>
      </c>
      <c r="W3752" s="31" t="str">
        <f t="shared" si="425"/>
        <v>TRUE</v>
      </c>
      <c r="X3752" s="31" t="str">
        <f t="shared" si="422"/>
        <v>([spikedunkn]-[unkn])/[spike]*100</v>
      </c>
      <c r="Y3752" s="10" t="s">
        <v>1275</v>
      </c>
      <c r="AF3752" s="12">
        <v>44981</v>
      </c>
      <c r="AJ3752" s="10">
        <f>2.8761*13.9^2+145.17*13.9-57.22</f>
        <v>2516.3342809999999</v>
      </c>
      <c r="AK3752" s="10">
        <f>0.3348*13.9^2+180.18*13.9-102.36</f>
        <v>2466.828708</v>
      </c>
      <c r="AL3752" s="10" t="str">
        <f t="shared" si="427"/>
        <v>FALSE</v>
      </c>
      <c r="AM3752" s="10" t="str">
        <f t="shared" si="427"/>
        <v>FALSE</v>
      </c>
      <c r="AN3752" s="10" t="str">
        <f t="shared" si="427"/>
        <v>FALSE</v>
      </c>
      <c r="AO3752" s="10" t="str">
        <f t="shared" si="428"/>
        <v>y=2.8761*13.9^2+145.17*13.9-57.22</v>
      </c>
      <c r="AP3752" s="10" t="str">
        <f t="shared" si="428"/>
        <v>y=0.3348*13.9^2+180.18*13.9-102.36</v>
      </c>
      <c r="AQ3752" s="10" t="b">
        <f>IF(AND(I3752="TP",S3752&lt;=150),VLOOKUP(AF3752,TPCalibEq150!$AZ$2:$BB$55,3,),IF(AND(I3752="TDP",S3752&lt;=150),VLOOKUP(AF3752,TPCalibEq150!$AZ$2:$BB$55,3,)))</f>
        <v>0</v>
      </c>
      <c r="AR3752" s="10" t="b">
        <f>IF(AND(I3752="TP",S3752&lt;=300),VLOOKUP(AF3752,TPCalibEq300!$AZ$2:$BB$55,3,),IF(AND(I3752="TDP",S3752&lt;=300),VLOOKUP(AF3752,TPCalibEq300!$AZ$2:$BB$55,3,)))</f>
        <v>0</v>
      </c>
      <c r="AS3752" s="10" t="b">
        <f>IF(AND(I3752="TP",S3752&lt;=500),VLOOKUP(AF3752,TPCalibEq500!$AZ$2:$BB$56,3,),IF(AND(I3752="TDP",S3752&lt;=500),VLOOKUP(AF3752,TPCalibEq500!$AZ$2:$BB$56,3,)))</f>
        <v>0</v>
      </c>
      <c r="AT3752" s="10" t="str">
        <f>IF(AND(I3752="TN",S3752&lt;=2800),VLOOKUP(AF3752,TNCalibEq2500!$AZ$2:$BB$56,3,),IF(AND(I3752="TDN",S3752&lt;=2800),VLOOKUP(AF3752,TNCalibEq2500!$AZ$2:$BB$56,3,)))</f>
        <v>y=2.8761x2+145.17x-57.22</v>
      </c>
      <c r="AU3752" s="10" t="str">
        <f>IF(I3752="TP",VLOOKUP(AF3752,TPCalibEqFull!$AZ$2:$BB$56,3),IF(I3752="TDP",VLOOKUP(AF3752,TPCalibEqFull!$AZ$2:$BB$56,3),IF(I3752="TDN",VLOOKUP(AF3752,TNCalibEqFull!$AZ$1:$BB$56,3),IF(I3752="TN",VLOOKUP(AF3752,TNCalibEqFull!$AZ$1:$BB$56,3),FALSE))))</f>
        <v>y=0.3348x2+180.18x-102.36</v>
      </c>
      <c r="AV3752" s="10" t="str">
        <f t="shared" si="426"/>
        <v>0222 09:00:00-QAC-BLK-A-1-DI-SPK</v>
      </c>
    </row>
    <row r="3753" spans="1:48" s="10" customFormat="1" x14ac:dyDescent="0.55000000000000004">
      <c r="A3753" s="32">
        <v>44979</v>
      </c>
      <c r="B3753" s="33">
        <v>0.375</v>
      </c>
      <c r="C3753" s="10" t="s">
        <v>70</v>
      </c>
      <c r="D3753" s="10" t="s">
        <v>71</v>
      </c>
      <c r="E3753" s="10" t="s">
        <v>948</v>
      </c>
      <c r="F3753" s="10">
        <v>1</v>
      </c>
      <c r="G3753" s="10" t="s">
        <v>73</v>
      </c>
      <c r="H3753" s="10" t="s">
        <v>299</v>
      </c>
      <c r="I3753" s="10" t="s">
        <v>235</v>
      </c>
      <c r="J3753" s="10">
        <v>197</v>
      </c>
      <c r="K3753" s="12">
        <v>44981</v>
      </c>
      <c r="L3753" s="33">
        <v>0.49482638888888886</v>
      </c>
      <c r="M3753" s="10">
        <v>1</v>
      </c>
      <c r="N3753" s="10" t="s">
        <v>196</v>
      </c>
      <c r="O3753" s="10">
        <v>10.8</v>
      </c>
      <c r="P3753" s="10">
        <v>0.52300000000000002</v>
      </c>
      <c r="Q3753" s="10">
        <v>1920</v>
      </c>
      <c r="R3753" s="10" t="s">
        <v>170</v>
      </c>
      <c r="S3753" s="34">
        <f t="shared" si="423"/>
        <v>1920</v>
      </c>
      <c r="T3753" s="10" t="s">
        <v>1282</v>
      </c>
      <c r="U3753" s="34">
        <f t="shared" si="424"/>
        <v>102.67379679144386</v>
      </c>
      <c r="V3753" s="31">
        <f>IF(H3753="CHK",VLOOKUP(I3753,QCCHK,3,),IF(H3753="GUP",VLOOKUP(E3753,QCGUP,2,),IF(AND(H3753="ATP",OR(I3753="TN",I3753="TDN",I3753="TNO2-3",I3753="NO2-3")),VLOOKUP(E3753,QCREC_N,2,),IF(AND(H3753="NIC",OR(I3753="TN",I3753="TDN",I3753="TNO2-3",I3753="NO2-3")),VLOOKUP(E3753,QCNIC_N,2,),IF(AND(H3753="UREA",OR(I3753="TN",I3753="TDN",I3753="TNO2-3",I3753="NO2-3")),VLOOKUP(E3753,QCUREA_N,2,),IF(H3753="PER",VLOOKUP(I3753,QCPER,MATCH(E3753,QCACTUAL!$J$25:$AA$25,0),),IF(H3753="SPK",VLOOKUP(I3753,QCSPK,3,),IF(AND(H3753="ATP",OR(I3753="TP",I3753="TDP")),VLOOKUP(E3753,QCATP_P,2,),""))))))))</f>
        <v>1870</v>
      </c>
      <c r="W3753" s="31" t="str">
        <f t="shared" si="425"/>
        <v>TRUE</v>
      </c>
      <c r="X3753" s="31" t="str">
        <f t="shared" si="422"/>
        <v>[per]/[actual]*100</v>
      </c>
      <c r="Y3753" s="10" t="s">
        <v>1275</v>
      </c>
      <c r="AF3753" s="12">
        <v>44981</v>
      </c>
      <c r="AJ3753" s="10">
        <f>2.8761*10.8^2+145.17*10.8-57.22</f>
        <v>1846.084304</v>
      </c>
      <c r="AK3753" s="10">
        <f>0.3348*10.8^2+180.18*10.8-102.36</f>
        <v>1882.6350720000003</v>
      </c>
      <c r="AL3753" s="10" t="str">
        <f t="shared" si="427"/>
        <v>FALSE</v>
      </c>
      <c r="AM3753" s="10" t="str">
        <f t="shared" si="427"/>
        <v>FALSE</v>
      </c>
      <c r="AN3753" s="10" t="str">
        <f t="shared" si="427"/>
        <v>FALSE</v>
      </c>
      <c r="AO3753" s="10" t="str">
        <f t="shared" si="428"/>
        <v>y=2.8761*10.8^2+145.17*10.8-57.22</v>
      </c>
      <c r="AP3753" s="10" t="str">
        <f t="shared" si="428"/>
        <v>y=0.3348*10.8^2+180.18*10.8-102.36</v>
      </c>
      <c r="AQ3753" s="10" t="b">
        <f>IF(AND(I3753="TP",S3753&lt;=150),VLOOKUP(AF3753,TPCalibEq150!$AZ$2:$BB$55,3,),IF(AND(I3753="TDP",S3753&lt;=150),VLOOKUP(AF3753,TPCalibEq150!$AZ$2:$BB$55,3,)))</f>
        <v>0</v>
      </c>
      <c r="AR3753" s="10" t="b">
        <f>IF(AND(I3753="TP",S3753&lt;=300),VLOOKUP(AF3753,TPCalibEq300!$AZ$2:$BB$55,3,),IF(AND(I3753="TDP",S3753&lt;=300),VLOOKUP(AF3753,TPCalibEq300!$AZ$2:$BB$55,3,)))</f>
        <v>0</v>
      </c>
      <c r="AS3753" s="10" t="b">
        <f>IF(AND(I3753="TP",S3753&lt;=500),VLOOKUP(AF3753,TPCalibEq500!$AZ$2:$BB$56,3,),IF(AND(I3753="TDP",S3753&lt;=500),VLOOKUP(AF3753,TPCalibEq500!$AZ$2:$BB$56,3,)))</f>
        <v>0</v>
      </c>
      <c r="AT3753" s="10" t="str">
        <f>IF(AND(I3753="TN",S3753&lt;=2800),VLOOKUP(AF3753,TNCalibEq2500!$AZ$2:$BB$56,3,),IF(AND(I3753="TDN",S3753&lt;=2800),VLOOKUP(AF3753,TNCalibEq2500!$AZ$2:$BB$56,3,)))</f>
        <v>y=2.8761x2+145.17x-57.22</v>
      </c>
      <c r="AU3753" s="10" t="str">
        <f>IF(I3753="TP",VLOOKUP(AF3753,TPCalibEqFull!$AZ$2:$BB$56,3),IF(I3753="TDP",VLOOKUP(AF3753,TPCalibEqFull!$AZ$2:$BB$56,3),IF(I3753="TDN",VLOOKUP(AF3753,TNCalibEqFull!$AZ$1:$BB$56,3),IF(I3753="TN",VLOOKUP(AF3753,TNCalibEqFull!$AZ$1:$BB$56,3),FALSE))))</f>
        <v>y=0.3348x2+180.18x-102.36</v>
      </c>
      <c r="AV3753" s="10" t="str">
        <f t="shared" si="426"/>
        <v>0222 09:00:00-QAC-STD-22A-1-DI-PER</v>
      </c>
    </row>
    <row r="3754" spans="1:48" s="10" customFormat="1" x14ac:dyDescent="0.55000000000000004">
      <c r="A3754" s="32">
        <v>44979</v>
      </c>
      <c r="B3754" s="33">
        <v>0.375</v>
      </c>
      <c r="C3754" s="10" t="s">
        <v>70</v>
      </c>
      <c r="D3754" s="10" t="s">
        <v>305</v>
      </c>
      <c r="E3754" s="10" t="s">
        <v>866</v>
      </c>
      <c r="F3754" s="10">
        <v>1</v>
      </c>
      <c r="G3754" s="10" t="s">
        <v>73</v>
      </c>
      <c r="H3754" s="10" t="s">
        <v>274</v>
      </c>
      <c r="I3754" s="10" t="s">
        <v>235</v>
      </c>
      <c r="J3754" s="10">
        <v>204</v>
      </c>
      <c r="K3754" s="12">
        <v>44981</v>
      </c>
      <c r="L3754" s="33">
        <v>0.49549768518518517</v>
      </c>
      <c r="M3754" s="10">
        <v>1</v>
      </c>
      <c r="N3754" s="10" t="s">
        <v>196</v>
      </c>
      <c r="O3754" s="10">
        <v>5.96</v>
      </c>
      <c r="P3754" s="10">
        <v>0.28899999999999998</v>
      </c>
      <c r="Q3754" s="10">
        <v>1000</v>
      </c>
      <c r="R3754" s="10" t="s">
        <v>170</v>
      </c>
      <c r="S3754" s="34">
        <f t="shared" si="423"/>
        <v>1000</v>
      </c>
      <c r="T3754" s="10" t="s">
        <v>1282</v>
      </c>
      <c r="U3754" s="34">
        <f t="shared" si="424"/>
        <v>100</v>
      </c>
      <c r="V3754" s="31">
        <f>IF(H3754="CHK",VLOOKUP(I3754,QCCHK,3,),IF(H3754="GUP",VLOOKUP(E3754,QCGUP,2,),IF(AND(H3754="ATP",OR(I3754="TN",I3754="TDN",I3754="TNO2-3",I3754="NO2-3")),VLOOKUP(E3754,QCREC_N,2,),IF(AND(H3754="NIC",OR(I3754="TN",I3754="TDN",I3754="TNO2-3",I3754="NO2-3")),VLOOKUP(E3754,QCNIC_N,2,),IF(AND(H3754="UREA",OR(I3754="TN",I3754="TDN",I3754="TNO2-3",I3754="NO2-3")),VLOOKUP(E3754,QCUREA_N,2,),IF(H3754="PER",VLOOKUP(I3754,QCPER,MATCH(E3754,QCACTUAL!$J$25:$AA$25,0),),IF(H3754="SPK",VLOOKUP(I3754,QCSPK,3,),IF(AND(H3754="ATP",OR(I3754="TP",I3754="TDP")),VLOOKUP(E3754,QCATP_P,2,),""))))))))</f>
        <v>1000</v>
      </c>
      <c r="W3754" s="31" t="str">
        <f t="shared" si="425"/>
        <v>TRUE</v>
      </c>
      <c r="X3754" s="31" t="str">
        <f t="shared" si="422"/>
        <v>[rec]/[actual]*100</v>
      </c>
      <c r="Y3754" s="10" t="s">
        <v>1275</v>
      </c>
      <c r="AF3754" s="12">
        <v>44981</v>
      </c>
      <c r="AJ3754" s="10">
        <f>2.8761*5.96^2+145.17*5.96-57.22</f>
        <v>910.15687375999994</v>
      </c>
      <c r="AK3754" s="10">
        <f>0.3348*5.96^2+180.18*5.96-102.36</f>
        <v>983.40543168000011</v>
      </c>
      <c r="AL3754" s="10" t="str">
        <f t="shared" si="427"/>
        <v>FALSE</v>
      </c>
      <c r="AM3754" s="10" t="str">
        <f t="shared" si="427"/>
        <v>FALSE</v>
      </c>
      <c r="AN3754" s="10" t="str">
        <f t="shared" si="427"/>
        <v>FALSE</v>
      </c>
      <c r="AO3754" s="10" t="str">
        <f t="shared" si="428"/>
        <v>y=2.8761*5.96^2+145.17*5.96-57.22</v>
      </c>
      <c r="AP3754" s="10" t="str">
        <f t="shared" si="428"/>
        <v>y=0.3348*5.96^2+180.18*5.96-102.36</v>
      </c>
      <c r="AQ3754" s="10" t="b">
        <f>IF(AND(I3754="TP",S3754&lt;=150),VLOOKUP(AF3754,TPCalibEq150!$AZ$2:$BB$55,3,),IF(AND(I3754="TDP",S3754&lt;=150),VLOOKUP(AF3754,TPCalibEq150!$AZ$2:$BB$55,3,)))</f>
        <v>0</v>
      </c>
      <c r="AR3754" s="10" t="b">
        <f>IF(AND(I3754="TP",S3754&lt;=300),VLOOKUP(AF3754,TPCalibEq300!$AZ$2:$BB$55,3,),IF(AND(I3754="TDP",S3754&lt;=300),VLOOKUP(AF3754,TPCalibEq300!$AZ$2:$BB$55,3,)))</f>
        <v>0</v>
      </c>
      <c r="AS3754" s="10" t="b">
        <f>IF(AND(I3754="TP",S3754&lt;=500),VLOOKUP(AF3754,TPCalibEq500!$AZ$2:$BB$56,3,),IF(AND(I3754="TDP",S3754&lt;=500),VLOOKUP(AF3754,TPCalibEq500!$AZ$2:$BB$56,3,)))</f>
        <v>0</v>
      </c>
      <c r="AT3754" s="10" t="str">
        <f>IF(AND(I3754="TN",S3754&lt;=2800),VLOOKUP(AF3754,TNCalibEq2500!$AZ$2:$BB$56,3,),IF(AND(I3754="TDN",S3754&lt;=2800),VLOOKUP(AF3754,TNCalibEq2500!$AZ$2:$BB$56,3,)))</f>
        <v>y=2.8761x2+145.17x-57.22</v>
      </c>
      <c r="AU3754" s="10" t="str">
        <f>IF(I3754="TP",VLOOKUP(AF3754,TPCalibEqFull!$AZ$2:$BB$56,3),IF(I3754="TDP",VLOOKUP(AF3754,TPCalibEqFull!$AZ$2:$BB$56,3),IF(I3754="TDN",VLOOKUP(AF3754,TNCalibEqFull!$AZ$1:$BB$56,3),IF(I3754="TN",VLOOKUP(AF3754,TNCalibEqFull!$AZ$1:$BB$56,3),FALSE))))</f>
        <v>y=0.3348x2+180.18x-102.36</v>
      </c>
      <c r="AV3754" s="10" t="str">
        <f t="shared" si="426"/>
        <v>0222 09:00:00-QAC-REC-A-1-DI-GUP</v>
      </c>
    </row>
    <row r="3755" spans="1:48" s="10" customFormat="1" x14ac:dyDescent="0.55000000000000004">
      <c r="A3755" s="32">
        <v>44979</v>
      </c>
      <c r="B3755" s="33">
        <v>0.375</v>
      </c>
      <c r="C3755" s="10" t="s">
        <v>70</v>
      </c>
      <c r="D3755" s="10" t="s">
        <v>305</v>
      </c>
      <c r="E3755" s="10" t="s">
        <v>583</v>
      </c>
      <c r="F3755" s="10">
        <v>1</v>
      </c>
      <c r="G3755" s="10" t="s">
        <v>73</v>
      </c>
      <c r="H3755" s="10" t="s">
        <v>274</v>
      </c>
      <c r="I3755" s="10" t="s">
        <v>235</v>
      </c>
      <c r="J3755" s="10">
        <v>205</v>
      </c>
      <c r="K3755" s="12">
        <v>44981</v>
      </c>
      <c r="L3755" s="33">
        <v>0.49616898148148153</v>
      </c>
      <c r="M3755" s="10">
        <v>1</v>
      </c>
      <c r="N3755" s="10" t="s">
        <v>196</v>
      </c>
      <c r="O3755" s="10">
        <v>1.51</v>
      </c>
      <c r="P3755" s="10">
        <v>7.3300000000000004E-2</v>
      </c>
      <c r="Q3755" s="10">
        <v>161</v>
      </c>
      <c r="R3755" s="10" t="s">
        <v>170</v>
      </c>
      <c r="S3755" s="34">
        <f t="shared" si="423"/>
        <v>170.47517747999996</v>
      </c>
      <c r="T3755" s="10" t="s">
        <v>1282</v>
      </c>
      <c r="U3755" s="34">
        <f t="shared" si="424"/>
        <v>85.237588739999978</v>
      </c>
      <c r="V3755" s="31">
        <f>IF(H3755="CHK",VLOOKUP(I3755,QCCHK,3,),IF(H3755="GUP",VLOOKUP(E3755,QCGUP,2,),IF(AND(H3755="ATP",OR(I3755="TN",I3755="TDN",I3755="TNO2-3",I3755="NO2-3")),VLOOKUP(E3755,QCREC_N,2,),IF(AND(H3755="NIC",OR(I3755="TN",I3755="TDN",I3755="TNO2-3",I3755="NO2-3")),VLOOKUP(E3755,QCNIC_N,2,),IF(AND(H3755="UREA",OR(I3755="TN",I3755="TDN",I3755="TNO2-3",I3755="NO2-3")),VLOOKUP(E3755,QCUREA_N,2,),IF(H3755="PER",VLOOKUP(I3755,QCPER,MATCH(E3755,QCACTUAL!$J$25:$AA$25,0),),IF(H3755="SPK",VLOOKUP(I3755,QCSPK,3,),IF(AND(H3755="ATP",OR(I3755="TP",I3755="TDP")),VLOOKUP(E3755,QCATP_P,2,),""))))))))</f>
        <v>200</v>
      </c>
      <c r="W3755" s="31" t="str">
        <f t="shared" si="425"/>
        <v>TRUE</v>
      </c>
      <c r="X3755" s="31" t="str">
        <f t="shared" si="422"/>
        <v>[rec]/[actual]*100</v>
      </c>
      <c r="Y3755" s="10" t="s">
        <v>1275</v>
      </c>
      <c r="AF3755" s="12">
        <v>44981</v>
      </c>
      <c r="AJ3755" s="10">
        <f>2.8761*1.51^2+145.17*1.51-57.22</f>
        <v>168.54449560999998</v>
      </c>
      <c r="AK3755" s="10">
        <f>0.3348*1.51^2+180.18*1.51-102.36</f>
        <v>170.47517747999996</v>
      </c>
      <c r="AL3755" s="10" t="str">
        <f t="shared" si="427"/>
        <v>FALSE</v>
      </c>
      <c r="AM3755" s="10" t="str">
        <f t="shared" si="427"/>
        <v>FALSE</v>
      </c>
      <c r="AN3755" s="10" t="str">
        <f t="shared" si="427"/>
        <v>FALSE</v>
      </c>
      <c r="AO3755" s="10" t="str">
        <f t="shared" si="428"/>
        <v>y=2.8761*1.51^2+145.17*1.51-57.22</v>
      </c>
      <c r="AP3755" s="10" t="str">
        <f t="shared" si="428"/>
        <v>y=0.3348*1.51^2+180.18*1.51-102.36</v>
      </c>
      <c r="AQ3755" s="10" t="b">
        <f>IF(AND(I3755="TP",S3755&lt;=150),VLOOKUP(AF3755,TPCalibEq150!$AZ$2:$BB$55,3,),IF(AND(I3755="TDP",S3755&lt;=150),VLOOKUP(AF3755,TPCalibEq150!$AZ$2:$BB$55,3,)))</f>
        <v>0</v>
      </c>
      <c r="AR3755" s="10" t="b">
        <f>IF(AND(I3755="TP",S3755&lt;=300),VLOOKUP(AF3755,TPCalibEq300!$AZ$2:$BB$55,3,),IF(AND(I3755="TDP",S3755&lt;=300),VLOOKUP(AF3755,TPCalibEq300!$AZ$2:$BB$55,3,)))</f>
        <v>0</v>
      </c>
      <c r="AS3755" s="10" t="b">
        <f>IF(AND(I3755="TP",S3755&lt;=500),VLOOKUP(AF3755,TPCalibEq500!$AZ$2:$BB$56,3,),IF(AND(I3755="TDP",S3755&lt;=500),VLOOKUP(AF3755,TPCalibEq500!$AZ$2:$BB$56,3,)))</f>
        <v>0</v>
      </c>
      <c r="AT3755" s="10" t="str">
        <f>IF(AND(I3755="TN",S3755&lt;=2800),VLOOKUP(AF3755,TNCalibEq2500!$AZ$2:$BB$56,3,),IF(AND(I3755="TDN",S3755&lt;=2800),VLOOKUP(AF3755,TNCalibEq2500!$AZ$2:$BB$56,3,)))</f>
        <v>y=2.8761x2+145.17x-57.22</v>
      </c>
      <c r="AU3755" s="10" t="str">
        <f>IF(I3755="TP",VLOOKUP(AF3755,TPCalibEqFull!$AZ$2:$BB$56,3),IF(I3755="TDP",VLOOKUP(AF3755,TPCalibEqFull!$AZ$2:$BB$56,3),IF(I3755="TDN",VLOOKUP(AF3755,TNCalibEqFull!$AZ$1:$BB$56,3),IF(I3755="TN",VLOOKUP(AF3755,TNCalibEqFull!$AZ$1:$BB$56,3),FALSE))))</f>
        <v>y=0.3348x2+180.18x-102.36</v>
      </c>
      <c r="AV3755" s="10" t="str">
        <f t="shared" si="426"/>
        <v>0222 09:00:00-QAC-REC-B-1-DI-GUP</v>
      </c>
    </row>
    <row r="3756" spans="1:48" s="10" customFormat="1" x14ac:dyDescent="0.55000000000000004">
      <c r="A3756" s="32">
        <v>44979</v>
      </c>
      <c r="B3756" s="33">
        <v>0.375</v>
      </c>
      <c r="C3756" s="10" t="s">
        <v>70</v>
      </c>
      <c r="D3756" s="10" t="s">
        <v>305</v>
      </c>
      <c r="E3756" s="10" t="s">
        <v>190</v>
      </c>
      <c r="F3756" s="10">
        <v>1</v>
      </c>
      <c r="G3756" s="10" t="s">
        <v>73</v>
      </c>
      <c r="H3756" s="10" t="s">
        <v>274</v>
      </c>
      <c r="I3756" s="10" t="s">
        <v>235</v>
      </c>
      <c r="J3756" s="10">
        <v>206</v>
      </c>
      <c r="K3756" s="12">
        <v>44981</v>
      </c>
      <c r="L3756" s="33">
        <v>0.49684027777777778</v>
      </c>
      <c r="M3756" s="10">
        <v>1</v>
      </c>
      <c r="N3756" s="10" t="s">
        <v>196</v>
      </c>
      <c r="O3756" s="10">
        <v>0.97799999999999998</v>
      </c>
      <c r="P3756" s="10">
        <v>4.7E-2</v>
      </c>
      <c r="Q3756" s="10">
        <v>60.8</v>
      </c>
      <c r="R3756" s="10" t="s">
        <v>170</v>
      </c>
      <c r="S3756" s="34">
        <f t="shared" si="423"/>
        <v>87.507203632400007</v>
      </c>
      <c r="T3756" s="10" t="s">
        <v>1282</v>
      </c>
      <c r="U3756" s="34">
        <f t="shared" si="424"/>
        <v>87.507203632400007</v>
      </c>
      <c r="V3756" s="31">
        <f>IF(H3756="CHK",VLOOKUP(I3756,QCCHK,3,),IF(H3756="GUP",VLOOKUP(E3756,QCGUP,2,),IF(AND(H3756="ATP",OR(I3756="TN",I3756="TDN",I3756="TNO2-3",I3756="NO2-3")),VLOOKUP(E3756,QCREC_N,2,),IF(AND(H3756="NIC",OR(I3756="TN",I3756="TDN",I3756="TNO2-3",I3756="NO2-3")),VLOOKUP(E3756,QCNIC_N,2,),IF(AND(H3756="UREA",OR(I3756="TN",I3756="TDN",I3756="TNO2-3",I3756="NO2-3")),VLOOKUP(E3756,QCUREA_N,2,),IF(H3756="PER",VLOOKUP(I3756,QCPER,MATCH(E3756,QCACTUAL!$J$25:$AA$25,0),),IF(H3756="SPK",VLOOKUP(I3756,QCSPK,3,),IF(AND(H3756="ATP",OR(I3756="TP",I3756="TDP")),VLOOKUP(E3756,QCATP_P,2,),""))))))))</f>
        <v>100</v>
      </c>
      <c r="W3756" s="31" t="str">
        <f t="shared" si="425"/>
        <v>TRUE</v>
      </c>
      <c r="X3756" s="31" t="str">
        <f t="shared" si="422"/>
        <v>[rec]/[actual]*100</v>
      </c>
      <c r="Y3756" s="10" t="s">
        <v>1275</v>
      </c>
      <c r="AF3756" s="12">
        <v>44981</v>
      </c>
      <c r="AJ3756" s="10">
        <f>2.8761*0.978^2+145.17*0.978-57.22</f>
        <v>87.507203632400007</v>
      </c>
      <c r="AK3756" s="10">
        <f>0.3348*0.978^2+180.18*0.978-102.36</f>
        <v>74.176270843199987</v>
      </c>
      <c r="AL3756" s="10" t="str">
        <f t="shared" si="427"/>
        <v>FALSE</v>
      </c>
      <c r="AM3756" s="10" t="str">
        <f t="shared" si="427"/>
        <v>FALSE</v>
      </c>
      <c r="AN3756" s="10" t="str">
        <f t="shared" si="427"/>
        <v>FALSE</v>
      </c>
      <c r="AO3756" s="10" t="str">
        <f t="shared" si="428"/>
        <v>y=2.8761*0.978^2+145.17*0.978-57.22</v>
      </c>
      <c r="AP3756" s="10" t="str">
        <f t="shared" si="428"/>
        <v>y=0.3348*0.978^2+180.18*0.978-102.36</v>
      </c>
      <c r="AQ3756" s="10" t="b">
        <f>IF(AND(I3756="TP",S3756&lt;=150),VLOOKUP(AF3756,TPCalibEq150!$AZ$2:$BB$55,3,),IF(AND(I3756="TDP",S3756&lt;=150),VLOOKUP(AF3756,TPCalibEq150!$AZ$2:$BB$55,3,)))</f>
        <v>0</v>
      </c>
      <c r="AR3756" s="10" t="b">
        <f>IF(AND(I3756="TP",S3756&lt;=300),VLOOKUP(AF3756,TPCalibEq300!$AZ$2:$BB$55,3,),IF(AND(I3756="TDP",S3756&lt;=300),VLOOKUP(AF3756,TPCalibEq300!$AZ$2:$BB$55,3,)))</f>
        <v>0</v>
      </c>
      <c r="AS3756" s="10" t="b">
        <f>IF(AND(I3756="TP",S3756&lt;=500),VLOOKUP(AF3756,TPCalibEq500!$AZ$2:$BB$56,3,),IF(AND(I3756="TDP",S3756&lt;=500),VLOOKUP(AF3756,TPCalibEq500!$AZ$2:$BB$56,3,)))</f>
        <v>0</v>
      </c>
      <c r="AT3756" s="10" t="str">
        <f>IF(AND(I3756="TN",S3756&lt;=2800),VLOOKUP(AF3756,TNCalibEq2500!$AZ$2:$BB$56,3,),IF(AND(I3756="TDN",S3756&lt;=2800),VLOOKUP(AF3756,TNCalibEq2500!$AZ$2:$BB$56,3,)))</f>
        <v>y=2.8761x2+145.17x-57.22</v>
      </c>
      <c r="AU3756" s="10" t="str">
        <f>IF(I3756="TP",VLOOKUP(AF3756,TPCalibEqFull!$AZ$2:$BB$56,3),IF(I3756="TDP",VLOOKUP(AF3756,TPCalibEqFull!$AZ$2:$BB$56,3),IF(I3756="TDN",VLOOKUP(AF3756,TNCalibEqFull!$AZ$1:$BB$56,3),IF(I3756="TN",VLOOKUP(AF3756,TNCalibEqFull!$AZ$1:$BB$56,3),FALSE))))</f>
        <v>y=0.3348x2+180.18x-102.36</v>
      </c>
      <c r="AV3756" s="10" t="str">
        <f t="shared" si="426"/>
        <v>0222 09:00:00-QAC-REC-C-1-DI-GUP</v>
      </c>
    </row>
    <row r="3757" spans="1:48" s="10" customFormat="1" x14ac:dyDescent="0.55000000000000004">
      <c r="A3757" s="32">
        <v>44979</v>
      </c>
      <c r="B3757" s="33">
        <v>0.375</v>
      </c>
      <c r="C3757" s="10" t="s">
        <v>70</v>
      </c>
      <c r="D3757" s="10" t="s">
        <v>305</v>
      </c>
      <c r="E3757" s="10" t="s">
        <v>866</v>
      </c>
      <c r="F3757" s="10">
        <v>1</v>
      </c>
      <c r="G3757" s="10" t="s">
        <v>73</v>
      </c>
      <c r="H3757" s="10" t="s">
        <v>181</v>
      </c>
      <c r="I3757" s="10" t="s">
        <v>235</v>
      </c>
      <c r="J3757" s="10">
        <v>207</v>
      </c>
      <c r="K3757" s="12">
        <v>44981</v>
      </c>
      <c r="L3757" s="33">
        <v>0.49752314814814813</v>
      </c>
      <c r="M3757" s="10">
        <v>1</v>
      </c>
      <c r="N3757" s="10" t="s">
        <v>196</v>
      </c>
      <c r="O3757" s="10">
        <v>4.53</v>
      </c>
      <c r="P3757" s="10">
        <v>0.218</v>
      </c>
      <c r="Q3757" s="10">
        <v>733</v>
      </c>
      <c r="R3757" s="10" t="s">
        <v>170</v>
      </c>
      <c r="S3757" s="34">
        <f t="shared" si="423"/>
        <v>733</v>
      </c>
      <c r="T3757" s="10" t="s">
        <v>1282</v>
      </c>
      <c r="U3757" s="34">
        <f t="shared" si="424"/>
        <v>73.3</v>
      </c>
      <c r="V3757" s="31">
        <f>IF(H3757="CHK",VLOOKUP(I3757,QCCHK,3,),IF(H3757="GUP",VLOOKUP(E3757,QCGUP,2,),IF(AND(H3757="ATP",OR(I3757="TN",I3757="TDN",I3757="TNO2-3",I3757="NO2-3")),VLOOKUP(E3757,QCREC_N,2,),IF(AND(H3757="NIC",OR(I3757="TN",I3757="TDN",I3757="TNO2-3",I3757="NO2-3")),VLOOKUP(E3757,QCNIC_N,2,),IF(AND(H3757="UREA",OR(I3757="TN",I3757="TDN",I3757="TNO2-3",I3757="NO2-3")),VLOOKUP(E3757,QCUREA_N,2,),IF(H3757="PER",VLOOKUP(I3757,QCPER,MATCH(E3757,QCACTUAL!$J$25:$AA$25,0),),IF(H3757="SPK",VLOOKUP(I3757,QCSPK,3,),IF(AND(H3757="ATP",OR(I3757="TP",I3757="TDP")),VLOOKUP(E3757,QCATP_P,2,),""))))))))</f>
        <v>1000</v>
      </c>
      <c r="W3757" s="31" t="str">
        <f t="shared" si="425"/>
        <v>FALSE</v>
      </c>
      <c r="X3757" s="31" t="str">
        <f t="shared" si="422"/>
        <v>[rec]/[actual]*100</v>
      </c>
      <c r="Y3757" s="10" t="s">
        <v>1275</v>
      </c>
      <c r="AF3757" s="12">
        <v>44981</v>
      </c>
      <c r="AJ3757" s="10">
        <f>2.8761*4.53^2+145.17*4.53-57.22</f>
        <v>659.42026048999992</v>
      </c>
      <c r="AK3757" s="10">
        <f>0.3348*4.53^2+180.18*4.53-102.36</f>
        <v>720.72579732000008</v>
      </c>
      <c r="AL3757" s="10" t="str">
        <f t="shared" si="427"/>
        <v>FALSE</v>
      </c>
      <c r="AM3757" s="10" t="str">
        <f t="shared" si="427"/>
        <v>FALSE</v>
      </c>
      <c r="AN3757" s="10" t="str">
        <f t="shared" si="427"/>
        <v>FALSE</v>
      </c>
      <c r="AO3757" s="10" t="str">
        <f t="shared" si="428"/>
        <v>y=2.8761*4.53^2+145.17*4.53-57.22</v>
      </c>
      <c r="AP3757" s="10" t="str">
        <f t="shared" si="428"/>
        <v>y=0.3348*4.53^2+180.18*4.53-102.36</v>
      </c>
      <c r="AQ3757" s="10" t="b">
        <f>IF(AND(I3757="TP",S3757&lt;=150),VLOOKUP(AF3757,TPCalibEq150!$AZ$2:$BB$55,3,),IF(AND(I3757="TDP",S3757&lt;=150),VLOOKUP(AF3757,TPCalibEq150!$AZ$2:$BB$55,3,)))</f>
        <v>0</v>
      </c>
      <c r="AR3757" s="10" t="b">
        <f>IF(AND(I3757="TP",S3757&lt;=300),VLOOKUP(AF3757,TPCalibEq300!$AZ$2:$BB$55,3,),IF(AND(I3757="TDP",S3757&lt;=300),VLOOKUP(AF3757,TPCalibEq300!$AZ$2:$BB$55,3,)))</f>
        <v>0</v>
      </c>
      <c r="AS3757" s="10" t="b">
        <f>IF(AND(I3757="TP",S3757&lt;=500),VLOOKUP(AF3757,TPCalibEq500!$AZ$2:$BB$56,3,),IF(AND(I3757="TDP",S3757&lt;=500),VLOOKUP(AF3757,TPCalibEq500!$AZ$2:$BB$56,3,)))</f>
        <v>0</v>
      </c>
      <c r="AT3757" s="10" t="str">
        <f>IF(AND(I3757="TN",S3757&lt;=2800),VLOOKUP(AF3757,TNCalibEq2500!$AZ$2:$BB$56,3,),IF(AND(I3757="TDN",S3757&lt;=2800),VLOOKUP(AF3757,TNCalibEq2500!$AZ$2:$BB$56,3,)))</f>
        <v>y=2.8761x2+145.17x-57.22</v>
      </c>
      <c r="AU3757" s="10" t="str">
        <f>IF(I3757="TP",VLOOKUP(AF3757,TPCalibEqFull!$AZ$2:$BB$56,3),IF(I3757="TDP",VLOOKUP(AF3757,TPCalibEqFull!$AZ$2:$BB$56,3),IF(I3757="TDN",VLOOKUP(AF3757,TNCalibEqFull!$AZ$1:$BB$56,3),IF(I3757="TN",VLOOKUP(AF3757,TNCalibEqFull!$AZ$1:$BB$56,3),FALSE))))</f>
        <v>y=0.3348x2+180.18x-102.36</v>
      </c>
      <c r="AV3757" s="10" t="str">
        <f t="shared" si="426"/>
        <v>0222 09:00:00-QAC-REC-A-1-DI-ATP</v>
      </c>
    </row>
    <row r="3758" spans="1:48" s="10" customFormat="1" x14ac:dyDescent="0.55000000000000004">
      <c r="A3758" s="32">
        <v>44979</v>
      </c>
      <c r="B3758" s="33">
        <v>0.375</v>
      </c>
      <c r="C3758" s="10" t="s">
        <v>70</v>
      </c>
      <c r="D3758" s="10" t="s">
        <v>305</v>
      </c>
      <c r="E3758" s="10" t="s">
        <v>583</v>
      </c>
      <c r="F3758" s="10">
        <v>1</v>
      </c>
      <c r="G3758" s="10" t="s">
        <v>73</v>
      </c>
      <c r="H3758" s="10" t="s">
        <v>181</v>
      </c>
      <c r="I3758" s="10" t="s">
        <v>235</v>
      </c>
      <c r="J3758" s="10">
        <v>208</v>
      </c>
      <c r="K3758" s="12">
        <v>44981</v>
      </c>
      <c r="L3758" s="33">
        <v>0.49820601851851848</v>
      </c>
      <c r="M3758" s="10">
        <v>1</v>
      </c>
      <c r="N3758" s="10" t="s">
        <v>196</v>
      </c>
      <c r="O3758" s="10">
        <v>1.31</v>
      </c>
      <c r="P3758" s="10">
        <v>6.3299999999999995E-2</v>
      </c>
      <c r="Q3758" s="10">
        <v>124</v>
      </c>
      <c r="R3758" s="10" t="s">
        <v>170</v>
      </c>
      <c r="S3758" s="34">
        <f t="shared" si="423"/>
        <v>137.88837520999999</v>
      </c>
      <c r="T3758" s="10" t="s">
        <v>1282</v>
      </c>
      <c r="U3758" s="34">
        <f t="shared" si="424"/>
        <v>68.944187604999996</v>
      </c>
      <c r="V3758" s="31">
        <f>IF(H3758="CHK",VLOOKUP(I3758,QCCHK,3,),IF(H3758="GUP",VLOOKUP(E3758,QCGUP,2,),IF(AND(H3758="ATP",OR(I3758="TN",I3758="TDN",I3758="TNO2-3",I3758="NO2-3")),VLOOKUP(E3758,QCREC_N,2,),IF(AND(H3758="NIC",OR(I3758="TN",I3758="TDN",I3758="TNO2-3",I3758="NO2-3")),VLOOKUP(E3758,QCNIC_N,2,),IF(AND(H3758="UREA",OR(I3758="TN",I3758="TDN",I3758="TNO2-3",I3758="NO2-3")),VLOOKUP(E3758,QCUREA_N,2,),IF(H3758="PER",VLOOKUP(I3758,QCPER,MATCH(E3758,QCACTUAL!$J$25:$AA$25,0),),IF(H3758="SPK",VLOOKUP(I3758,QCSPK,3,),IF(AND(H3758="ATP",OR(I3758="TP",I3758="TDP")),VLOOKUP(E3758,QCATP_P,2,),""))))))))</f>
        <v>200</v>
      </c>
      <c r="W3758" s="31" t="str">
        <f t="shared" si="425"/>
        <v>FALSE</v>
      </c>
      <c r="X3758" s="31" t="str">
        <f t="shared" si="422"/>
        <v>[rec]/[actual]*100</v>
      </c>
      <c r="Y3758" s="10" t="s">
        <v>1275</v>
      </c>
      <c r="AF3758" s="12">
        <v>44981</v>
      </c>
      <c r="AJ3758" s="10">
        <f>2.8761*1.31^2+145.17*1.31-57.22</f>
        <v>137.88837520999999</v>
      </c>
      <c r="AK3758" s="10">
        <f>0.3348*1.31^2+180.18*1.31-102.36</f>
        <v>134.25035028000002</v>
      </c>
      <c r="AL3758" s="10" t="str">
        <f t="shared" si="427"/>
        <v>FALSE</v>
      </c>
      <c r="AM3758" s="10" t="str">
        <f t="shared" si="427"/>
        <v>FALSE</v>
      </c>
      <c r="AN3758" s="10" t="str">
        <f t="shared" si="427"/>
        <v>FALSE</v>
      </c>
      <c r="AO3758" s="10" t="str">
        <f t="shared" si="428"/>
        <v>y=2.8761*1.31^2+145.17*1.31-57.22</v>
      </c>
      <c r="AP3758" s="10" t="str">
        <f t="shared" si="428"/>
        <v>y=0.3348*1.31^2+180.18*1.31-102.36</v>
      </c>
      <c r="AQ3758" s="10" t="b">
        <f>IF(AND(I3758="TP",S3758&lt;=150),VLOOKUP(AF3758,TPCalibEq150!$AZ$2:$BB$55,3,),IF(AND(I3758="TDP",S3758&lt;=150),VLOOKUP(AF3758,TPCalibEq150!$AZ$2:$BB$55,3,)))</f>
        <v>0</v>
      </c>
      <c r="AR3758" s="10" t="b">
        <f>IF(AND(I3758="TP",S3758&lt;=300),VLOOKUP(AF3758,TPCalibEq300!$AZ$2:$BB$55,3,),IF(AND(I3758="TDP",S3758&lt;=300),VLOOKUP(AF3758,TPCalibEq300!$AZ$2:$BB$55,3,)))</f>
        <v>0</v>
      </c>
      <c r="AS3758" s="10" t="b">
        <f>IF(AND(I3758="TP",S3758&lt;=500),VLOOKUP(AF3758,TPCalibEq500!$AZ$2:$BB$56,3,),IF(AND(I3758="TDP",S3758&lt;=500),VLOOKUP(AF3758,TPCalibEq500!$AZ$2:$BB$56,3,)))</f>
        <v>0</v>
      </c>
      <c r="AT3758" s="10" t="str">
        <f>IF(AND(I3758="TN",S3758&lt;=2800),VLOOKUP(AF3758,TNCalibEq2500!$AZ$2:$BB$56,3,),IF(AND(I3758="TDN",S3758&lt;=2800),VLOOKUP(AF3758,TNCalibEq2500!$AZ$2:$BB$56,3,)))</f>
        <v>y=2.8761x2+145.17x-57.22</v>
      </c>
      <c r="AU3758" s="10" t="str">
        <f>IF(I3758="TP",VLOOKUP(AF3758,TPCalibEqFull!$AZ$2:$BB$56,3),IF(I3758="TDP",VLOOKUP(AF3758,TPCalibEqFull!$AZ$2:$BB$56,3),IF(I3758="TDN",VLOOKUP(AF3758,TNCalibEqFull!$AZ$1:$BB$56,3),IF(I3758="TN",VLOOKUP(AF3758,TNCalibEqFull!$AZ$1:$BB$56,3),FALSE))))</f>
        <v>y=0.3348x2+180.18x-102.36</v>
      </c>
      <c r="AV3758" s="10" t="str">
        <f t="shared" si="426"/>
        <v>0222 09:00:00-QAC-REC-B-1-DI-ATP</v>
      </c>
    </row>
    <row r="3759" spans="1:48" s="10" customFormat="1" x14ac:dyDescent="0.55000000000000004">
      <c r="A3759" s="32">
        <v>44979</v>
      </c>
      <c r="B3759" s="33">
        <v>0.375</v>
      </c>
      <c r="C3759" s="10" t="s">
        <v>70</v>
      </c>
      <c r="D3759" s="10" t="s">
        <v>305</v>
      </c>
      <c r="E3759" s="10" t="s">
        <v>190</v>
      </c>
      <c r="F3759" s="10">
        <v>1</v>
      </c>
      <c r="G3759" s="10" t="s">
        <v>73</v>
      </c>
      <c r="H3759" s="10" t="s">
        <v>181</v>
      </c>
      <c r="I3759" s="10" t="s">
        <v>235</v>
      </c>
      <c r="J3759" s="10">
        <v>209</v>
      </c>
      <c r="K3759" s="12">
        <v>44981</v>
      </c>
      <c r="L3759" s="33">
        <v>0.49887731481481484</v>
      </c>
      <c r="M3759" s="10">
        <v>1</v>
      </c>
      <c r="N3759" s="10" t="s">
        <v>196</v>
      </c>
      <c r="O3759" s="10">
        <v>1.06</v>
      </c>
      <c r="P3759" s="10">
        <v>5.04E-2</v>
      </c>
      <c r="Q3759" s="10">
        <v>75.7</v>
      </c>
      <c r="R3759" s="10" t="s">
        <v>170</v>
      </c>
      <c r="S3759" s="34">
        <f t="shared" si="423"/>
        <v>99.891785959999993</v>
      </c>
      <c r="T3759" s="10" t="s">
        <v>1282</v>
      </c>
      <c r="U3759" s="34">
        <f t="shared" si="424"/>
        <v>99.891785959999993</v>
      </c>
      <c r="V3759" s="31">
        <f>IF(H3759="CHK",VLOOKUP(I3759,QCCHK,3,),IF(H3759="GUP",VLOOKUP(E3759,QCGUP,2,),IF(AND(H3759="ATP",OR(I3759="TN",I3759="TDN",I3759="TNO2-3",I3759="NO2-3")),VLOOKUP(E3759,QCREC_N,2,),IF(AND(H3759="NIC",OR(I3759="TN",I3759="TDN",I3759="TNO2-3",I3759="NO2-3")),VLOOKUP(E3759,QCNIC_N,2,),IF(AND(H3759="UREA",OR(I3759="TN",I3759="TDN",I3759="TNO2-3",I3759="NO2-3")),VLOOKUP(E3759,QCUREA_N,2,),IF(H3759="PER",VLOOKUP(I3759,QCPER,MATCH(E3759,QCACTUAL!$J$25:$AA$25,0),),IF(H3759="SPK",VLOOKUP(I3759,QCSPK,3,),IF(AND(H3759="ATP",OR(I3759="TP",I3759="TDP")),VLOOKUP(E3759,QCATP_P,2,),""))))))))</f>
        <v>100</v>
      </c>
      <c r="W3759" s="31" t="str">
        <f t="shared" si="425"/>
        <v>TRUE</v>
      </c>
      <c r="X3759" s="31" t="str">
        <f t="shared" si="422"/>
        <v>[rec]/[actual]*100</v>
      </c>
      <c r="Y3759" s="10" t="s">
        <v>1275</v>
      </c>
      <c r="AF3759" s="12">
        <v>44981</v>
      </c>
      <c r="AJ3759" s="10">
        <f>2.8761*1.06^2+145.17*1.06-57.22</f>
        <v>99.891785959999993</v>
      </c>
      <c r="AK3759" s="10">
        <f>0.3348*1.06^2+180.18*1.06-102.36</f>
        <v>89.006981280000005</v>
      </c>
      <c r="AL3759" s="10" t="str">
        <f t="shared" si="427"/>
        <v>FALSE</v>
      </c>
      <c r="AM3759" s="10" t="str">
        <f t="shared" si="427"/>
        <v>FALSE</v>
      </c>
      <c r="AN3759" s="10" t="str">
        <f t="shared" si="427"/>
        <v>FALSE</v>
      </c>
      <c r="AO3759" s="10" t="str">
        <f t="shared" si="428"/>
        <v>y=2.8761*1.06^2+145.17*1.06-57.22</v>
      </c>
      <c r="AP3759" s="10" t="str">
        <f t="shared" si="428"/>
        <v>y=0.3348*1.06^2+180.18*1.06-102.36</v>
      </c>
      <c r="AQ3759" s="10" t="b">
        <f>IF(AND(I3759="TP",S3759&lt;=150),VLOOKUP(AF3759,TPCalibEq150!$AZ$2:$BB$55,3,),IF(AND(I3759="TDP",S3759&lt;=150),VLOOKUP(AF3759,TPCalibEq150!$AZ$2:$BB$55,3,)))</f>
        <v>0</v>
      </c>
      <c r="AR3759" s="10" t="b">
        <f>IF(AND(I3759="TP",S3759&lt;=300),VLOOKUP(AF3759,TPCalibEq300!$AZ$2:$BB$55,3,),IF(AND(I3759="TDP",S3759&lt;=300),VLOOKUP(AF3759,TPCalibEq300!$AZ$2:$BB$55,3,)))</f>
        <v>0</v>
      </c>
      <c r="AS3759" s="10" t="b">
        <f>IF(AND(I3759="TP",S3759&lt;=500),VLOOKUP(AF3759,TPCalibEq500!$AZ$2:$BB$56,3,),IF(AND(I3759="TDP",S3759&lt;=500),VLOOKUP(AF3759,TPCalibEq500!$AZ$2:$BB$56,3,)))</f>
        <v>0</v>
      </c>
      <c r="AT3759" s="10" t="str">
        <f>IF(AND(I3759="TN",S3759&lt;=2800),VLOOKUP(AF3759,TNCalibEq2500!$AZ$2:$BB$56,3,),IF(AND(I3759="TDN",S3759&lt;=2800),VLOOKUP(AF3759,TNCalibEq2500!$AZ$2:$BB$56,3,)))</f>
        <v>y=2.8761x2+145.17x-57.22</v>
      </c>
      <c r="AU3759" s="10" t="str">
        <f>IF(I3759="TP",VLOOKUP(AF3759,TPCalibEqFull!$AZ$2:$BB$56,3),IF(I3759="TDP",VLOOKUP(AF3759,TPCalibEqFull!$AZ$2:$BB$56,3),IF(I3759="TDN",VLOOKUP(AF3759,TNCalibEqFull!$AZ$1:$BB$56,3),IF(I3759="TN",VLOOKUP(AF3759,TNCalibEqFull!$AZ$1:$BB$56,3),FALSE))))</f>
        <v>y=0.3348x2+180.18x-102.36</v>
      </c>
      <c r="AV3759" s="10" t="str">
        <f t="shared" si="426"/>
        <v>0222 09:00:00-QAC-REC-C-1-DI-ATP</v>
      </c>
    </row>
    <row r="3760" spans="1:48" s="10" customFormat="1" x14ac:dyDescent="0.55000000000000004">
      <c r="A3760" s="32">
        <v>44979</v>
      </c>
      <c r="B3760" s="33">
        <v>0.375</v>
      </c>
      <c r="C3760" s="10" t="s">
        <v>70</v>
      </c>
      <c r="D3760" s="10" t="s">
        <v>305</v>
      </c>
      <c r="E3760" s="10" t="s">
        <v>190</v>
      </c>
      <c r="F3760" s="10">
        <v>1</v>
      </c>
      <c r="G3760" s="10" t="s">
        <v>73</v>
      </c>
      <c r="H3760" s="10" t="s">
        <v>856</v>
      </c>
      <c r="I3760" s="10" t="s">
        <v>235</v>
      </c>
      <c r="J3760" s="10">
        <v>210</v>
      </c>
      <c r="K3760" s="12">
        <v>44981</v>
      </c>
      <c r="L3760" s="33">
        <v>0.4995486111111111</v>
      </c>
      <c r="M3760" s="10">
        <v>1</v>
      </c>
      <c r="N3760" s="10" t="s">
        <v>196</v>
      </c>
      <c r="O3760" s="10">
        <v>0.96099999999999997</v>
      </c>
      <c r="P3760" s="10">
        <v>4.6199999999999998E-2</v>
      </c>
      <c r="Q3760" s="10">
        <v>57.7</v>
      </c>
      <c r="R3760" s="10" t="s">
        <v>170</v>
      </c>
      <c r="S3760" s="34">
        <f t="shared" si="423"/>
        <v>84.944508748099992</v>
      </c>
      <c r="T3760" s="10" t="s">
        <v>1282</v>
      </c>
      <c r="U3760" s="34">
        <f t="shared" si="424"/>
        <v>84.944508748099992</v>
      </c>
      <c r="V3760" s="31">
        <f>IF(H3760="CHK",VLOOKUP(I3760,QCCHK,3,),IF(H3760="GUP",VLOOKUP(E3760,QCGUP,2,),IF(AND(H3760="ATP",OR(I3760="TN",I3760="TDN",I3760="TNO2-3",I3760="NO2-3")),VLOOKUP(E3760,QCREC_N,2,),IF(AND(H3760="NIC",OR(I3760="TN",I3760="TDN",I3760="TNO2-3",I3760="NO2-3")),VLOOKUP(E3760,QCNIC_N,2,),IF(AND(H3760="UREA",OR(I3760="TN",I3760="TDN",I3760="TNO2-3",I3760="NO2-3")),VLOOKUP(E3760,QCUREA_N,2,),IF(H3760="PER",VLOOKUP(I3760,QCPER,MATCH(E3760,QCACTUAL!$J$25:$AA$25,0),),IF(H3760="SPK",VLOOKUP(I3760,QCSPK,3,),IF(AND(H3760="ATP",OR(I3760="TP",I3760="TDP")),VLOOKUP(E3760,QCATP_P,2,),""))))))))</f>
        <v>100</v>
      </c>
      <c r="W3760" s="31" t="str">
        <f t="shared" si="425"/>
        <v>TRUE</v>
      </c>
      <c r="X3760" s="31" t="str">
        <f t="shared" si="422"/>
        <v>[rec]/[actual]*100</v>
      </c>
      <c r="Y3760" s="10" t="s">
        <v>1275</v>
      </c>
      <c r="AF3760" s="12">
        <v>44981</v>
      </c>
      <c r="AJ3760" s="10">
        <f>2.8761*0.961^2+145.17*0.961-57.22</f>
        <v>84.944508748099992</v>
      </c>
      <c r="AK3760" s="10">
        <f>0.3348*0.961^2+180.18*0.961-102.36</f>
        <v>71.102174830800024</v>
      </c>
      <c r="AL3760" s="10" t="str">
        <f t="shared" si="427"/>
        <v>FALSE</v>
      </c>
      <c r="AM3760" s="10" t="str">
        <f t="shared" si="427"/>
        <v>FALSE</v>
      </c>
      <c r="AN3760" s="10" t="str">
        <f t="shared" si="427"/>
        <v>FALSE</v>
      </c>
      <c r="AO3760" s="10" t="str">
        <f t="shared" si="428"/>
        <v>y=2.8761*0.961^2+145.17*0.961-57.22</v>
      </c>
      <c r="AP3760" s="10" t="str">
        <f t="shared" si="428"/>
        <v>y=0.3348*0.961^2+180.18*0.961-102.36</v>
      </c>
      <c r="AQ3760" s="10" t="b">
        <f>IF(AND(I3760="TP",S3760&lt;=150),VLOOKUP(AF3760,TPCalibEq150!$AZ$2:$BB$55,3,),IF(AND(I3760="TDP",S3760&lt;=150),VLOOKUP(AF3760,TPCalibEq150!$AZ$2:$BB$55,3,)))</f>
        <v>0</v>
      </c>
      <c r="AR3760" s="10" t="b">
        <f>IF(AND(I3760="TP",S3760&lt;=300),VLOOKUP(AF3760,TPCalibEq300!$AZ$2:$BB$55,3,),IF(AND(I3760="TDP",S3760&lt;=300),VLOOKUP(AF3760,TPCalibEq300!$AZ$2:$BB$55,3,)))</f>
        <v>0</v>
      </c>
      <c r="AS3760" s="10" t="b">
        <f>IF(AND(I3760="TP",S3760&lt;=500),VLOOKUP(AF3760,TPCalibEq500!$AZ$2:$BB$56,3,),IF(AND(I3760="TDP",S3760&lt;=500),VLOOKUP(AF3760,TPCalibEq500!$AZ$2:$BB$56,3,)))</f>
        <v>0</v>
      </c>
      <c r="AT3760" s="10" t="str">
        <f>IF(AND(I3760="TN",S3760&lt;=2800),VLOOKUP(AF3760,TNCalibEq2500!$AZ$2:$BB$56,3,),IF(AND(I3760="TDN",S3760&lt;=2800),VLOOKUP(AF3760,TNCalibEq2500!$AZ$2:$BB$56,3,)))</f>
        <v>y=2.8761x2+145.17x-57.22</v>
      </c>
      <c r="AU3760" s="10" t="str">
        <f>IF(I3760="TP",VLOOKUP(AF3760,TPCalibEqFull!$AZ$2:$BB$56,3),IF(I3760="TDP",VLOOKUP(AF3760,TPCalibEqFull!$AZ$2:$BB$56,3),IF(I3760="TDN",VLOOKUP(AF3760,TNCalibEqFull!$AZ$1:$BB$56,3),IF(I3760="TN",VLOOKUP(AF3760,TNCalibEqFull!$AZ$1:$BB$56,3),FALSE))))</f>
        <v>y=0.3348x2+180.18x-102.36</v>
      </c>
      <c r="AV3760" s="10" t="str">
        <f t="shared" si="426"/>
        <v>0222 09:00:00-QAC-REC-C-1-DI-NIC</v>
      </c>
    </row>
    <row r="3761" spans="1:48" s="10" customFormat="1" x14ac:dyDescent="0.55000000000000004">
      <c r="A3761" s="32">
        <v>44979</v>
      </c>
      <c r="B3761" s="33">
        <v>0.375</v>
      </c>
      <c r="C3761" s="10" t="s">
        <v>70</v>
      </c>
      <c r="D3761" s="10" t="s">
        <v>305</v>
      </c>
      <c r="E3761" s="10" t="s">
        <v>583</v>
      </c>
      <c r="F3761" s="10">
        <v>1</v>
      </c>
      <c r="G3761" s="10" t="s">
        <v>73</v>
      </c>
      <c r="H3761" s="10" t="s">
        <v>856</v>
      </c>
      <c r="I3761" s="10" t="s">
        <v>235</v>
      </c>
      <c r="J3761" s="10">
        <v>211</v>
      </c>
      <c r="K3761" s="12">
        <v>44981</v>
      </c>
      <c r="L3761" s="33">
        <v>0.5002199074074074</v>
      </c>
      <c r="M3761" s="10">
        <v>1</v>
      </c>
      <c r="N3761" s="10" t="s">
        <v>196</v>
      </c>
      <c r="O3761" s="10">
        <v>1.32</v>
      </c>
      <c r="P3761" s="10">
        <v>6.3700000000000007E-2</v>
      </c>
      <c r="Q3761" s="10">
        <v>126</v>
      </c>
      <c r="R3761" s="10" t="s">
        <v>170</v>
      </c>
      <c r="S3761" s="34">
        <f t="shared" si="423"/>
        <v>139.41571663999997</v>
      </c>
      <c r="T3761" s="10" t="s">
        <v>1282</v>
      </c>
      <c r="U3761" s="34">
        <f t="shared" si="424"/>
        <v>69.707858319999985</v>
      </c>
      <c r="V3761" s="31">
        <f>IF(H3761="CHK",VLOOKUP(I3761,QCCHK,3,),IF(H3761="GUP",VLOOKUP(E3761,QCGUP,2,),IF(AND(H3761="ATP",OR(I3761="TN",I3761="TDN",I3761="TNO2-3",I3761="NO2-3")),VLOOKUP(E3761,QCREC_N,2,),IF(AND(H3761="NIC",OR(I3761="TN",I3761="TDN",I3761="TNO2-3",I3761="NO2-3")),VLOOKUP(E3761,QCNIC_N,2,),IF(AND(H3761="UREA",OR(I3761="TN",I3761="TDN",I3761="TNO2-3",I3761="NO2-3")),VLOOKUP(E3761,QCUREA_N,2,),IF(H3761="PER",VLOOKUP(I3761,QCPER,MATCH(E3761,QCACTUAL!$J$25:$AA$25,0),),IF(H3761="SPK",VLOOKUP(I3761,QCSPK,3,),IF(AND(H3761="ATP",OR(I3761="TP",I3761="TDP")),VLOOKUP(E3761,QCATP_P,2,),""))))))))</f>
        <v>200</v>
      </c>
      <c r="W3761" s="31" t="str">
        <f t="shared" si="425"/>
        <v>FALSE</v>
      </c>
      <c r="X3761" s="31" t="str">
        <f t="shared" si="422"/>
        <v>[rec]/[actual]*100</v>
      </c>
      <c r="Y3761" s="10" t="s">
        <v>1275</v>
      </c>
      <c r="AF3761" s="12">
        <v>44981</v>
      </c>
      <c r="AJ3761" s="10">
        <f>2.8761*1.32^2+145.17*1.32-57.22</f>
        <v>139.41571663999997</v>
      </c>
      <c r="AK3761" s="10">
        <f>0.3348*1.32^2+180.18*1.32-102.36</f>
        <v>136.06095551999999</v>
      </c>
      <c r="AL3761" s="10" t="str">
        <f t="shared" si="427"/>
        <v>FALSE</v>
      </c>
      <c r="AM3761" s="10" t="str">
        <f t="shared" si="427"/>
        <v>FALSE</v>
      </c>
      <c r="AN3761" s="10" t="str">
        <f t="shared" si="427"/>
        <v>FALSE</v>
      </c>
      <c r="AO3761" s="10" t="str">
        <f t="shared" si="428"/>
        <v>y=2.8761*1.32^2+145.17*1.32-57.22</v>
      </c>
      <c r="AP3761" s="10" t="str">
        <f t="shared" si="428"/>
        <v>y=0.3348*1.32^2+180.18*1.32-102.36</v>
      </c>
      <c r="AQ3761" s="10" t="b">
        <f>IF(AND(I3761="TP",S3761&lt;=150),VLOOKUP(AF3761,TPCalibEq150!$AZ$2:$BB$55,3,),IF(AND(I3761="TDP",S3761&lt;=150),VLOOKUP(AF3761,TPCalibEq150!$AZ$2:$BB$55,3,)))</f>
        <v>0</v>
      </c>
      <c r="AR3761" s="10" t="b">
        <f>IF(AND(I3761="TP",S3761&lt;=300),VLOOKUP(AF3761,TPCalibEq300!$AZ$2:$BB$55,3,),IF(AND(I3761="TDP",S3761&lt;=300),VLOOKUP(AF3761,TPCalibEq300!$AZ$2:$BB$55,3,)))</f>
        <v>0</v>
      </c>
      <c r="AS3761" s="10" t="b">
        <f>IF(AND(I3761="TP",S3761&lt;=500),VLOOKUP(AF3761,TPCalibEq500!$AZ$2:$BB$56,3,),IF(AND(I3761="TDP",S3761&lt;=500),VLOOKUP(AF3761,TPCalibEq500!$AZ$2:$BB$56,3,)))</f>
        <v>0</v>
      </c>
      <c r="AT3761" s="10" t="str">
        <f>IF(AND(I3761="TN",S3761&lt;=2800),VLOOKUP(AF3761,TNCalibEq2500!$AZ$2:$BB$56,3,),IF(AND(I3761="TDN",S3761&lt;=2800),VLOOKUP(AF3761,TNCalibEq2500!$AZ$2:$BB$56,3,)))</f>
        <v>y=2.8761x2+145.17x-57.22</v>
      </c>
      <c r="AU3761" s="10" t="str">
        <f>IF(I3761="TP",VLOOKUP(AF3761,TPCalibEqFull!$AZ$2:$BB$56,3),IF(I3761="TDP",VLOOKUP(AF3761,TPCalibEqFull!$AZ$2:$BB$56,3),IF(I3761="TDN",VLOOKUP(AF3761,TNCalibEqFull!$AZ$1:$BB$56,3),IF(I3761="TN",VLOOKUP(AF3761,TNCalibEqFull!$AZ$1:$BB$56,3),FALSE))))</f>
        <v>y=0.3348x2+180.18x-102.36</v>
      </c>
      <c r="AV3761" s="10" t="str">
        <f t="shared" si="426"/>
        <v>0222 09:00:00-QAC-REC-B-1-DI-NIC</v>
      </c>
    </row>
    <row r="3762" spans="1:48" s="10" customFormat="1" x14ac:dyDescent="0.55000000000000004">
      <c r="A3762" s="32">
        <v>44979</v>
      </c>
      <c r="B3762" s="33">
        <v>0.375</v>
      </c>
      <c r="C3762" s="10" t="s">
        <v>70</v>
      </c>
      <c r="D3762" s="10" t="s">
        <v>305</v>
      </c>
      <c r="E3762" s="10" t="s">
        <v>866</v>
      </c>
      <c r="F3762" s="10">
        <v>1</v>
      </c>
      <c r="G3762" s="10" t="s">
        <v>73</v>
      </c>
      <c r="H3762" s="10" t="s">
        <v>856</v>
      </c>
      <c r="I3762" s="10" t="s">
        <v>235</v>
      </c>
      <c r="J3762" s="10">
        <v>212</v>
      </c>
      <c r="K3762" s="12">
        <v>44981</v>
      </c>
      <c r="L3762" s="33">
        <v>0.50089120370370377</v>
      </c>
      <c r="M3762" s="10">
        <v>1</v>
      </c>
      <c r="N3762" s="10" t="s">
        <v>196</v>
      </c>
      <c r="O3762" s="10">
        <v>5.4</v>
      </c>
      <c r="P3762" s="10">
        <v>0.26</v>
      </c>
      <c r="Q3762" s="10">
        <v>897</v>
      </c>
      <c r="R3762" s="10" t="s">
        <v>170</v>
      </c>
      <c r="S3762" s="34">
        <f t="shared" si="423"/>
        <v>897</v>
      </c>
      <c r="T3762" s="10" t="s">
        <v>1282</v>
      </c>
      <c r="U3762" s="34">
        <f t="shared" si="424"/>
        <v>89.7</v>
      </c>
      <c r="V3762" s="31">
        <f>IF(H3762="CHK",VLOOKUP(I3762,QCCHK,3,),IF(H3762="GUP",VLOOKUP(E3762,QCGUP,2,),IF(AND(H3762="ATP",OR(I3762="TN",I3762="TDN",I3762="TNO2-3",I3762="NO2-3")),VLOOKUP(E3762,QCREC_N,2,),IF(AND(H3762="NIC",OR(I3762="TN",I3762="TDN",I3762="TNO2-3",I3762="NO2-3")),VLOOKUP(E3762,QCNIC_N,2,),IF(AND(H3762="UREA",OR(I3762="TN",I3762="TDN",I3762="TNO2-3",I3762="NO2-3")),VLOOKUP(E3762,QCUREA_N,2,),IF(H3762="PER",VLOOKUP(I3762,QCPER,MATCH(E3762,QCACTUAL!$J$25:$AA$25,0),),IF(H3762="SPK",VLOOKUP(I3762,QCSPK,3,),IF(AND(H3762="ATP",OR(I3762="TP",I3762="TDP")),VLOOKUP(E3762,QCATP_P,2,),""))))))))</f>
        <v>1000</v>
      </c>
      <c r="W3762" s="31" t="str">
        <f t="shared" si="425"/>
        <v>TRUE</v>
      </c>
      <c r="X3762" s="31" t="str">
        <f t="shared" si="422"/>
        <v>[rec]/[actual]*100</v>
      </c>
      <c r="Y3762" s="10" t="s">
        <v>1275</v>
      </c>
      <c r="AF3762" s="12">
        <v>44981</v>
      </c>
      <c r="AJ3762" s="10">
        <f>2.8761*5.4^2+145.17*5.4-57.22</f>
        <v>810.56507599999998</v>
      </c>
      <c r="AK3762" s="10">
        <f>0.3348*5.4^2+180.18*5.4-102.36</f>
        <v>880.37476800000013</v>
      </c>
      <c r="AL3762" s="10" t="str">
        <f t="shared" si="427"/>
        <v>FALSE</v>
      </c>
      <c r="AM3762" s="10" t="str">
        <f t="shared" si="427"/>
        <v>FALSE</v>
      </c>
      <c r="AN3762" s="10" t="str">
        <f t="shared" si="427"/>
        <v>FALSE</v>
      </c>
      <c r="AO3762" s="10" t="str">
        <f t="shared" si="428"/>
        <v>y=2.8761*5.4^2+145.17*5.4-57.22</v>
      </c>
      <c r="AP3762" s="10" t="str">
        <f t="shared" si="428"/>
        <v>y=0.3348*5.4^2+180.18*5.4-102.36</v>
      </c>
      <c r="AQ3762" s="10" t="b">
        <f>IF(AND(I3762="TP",S3762&lt;=150),VLOOKUP(AF3762,TPCalibEq150!$AZ$2:$BB$55,3,),IF(AND(I3762="TDP",S3762&lt;=150),VLOOKUP(AF3762,TPCalibEq150!$AZ$2:$BB$55,3,)))</f>
        <v>0</v>
      </c>
      <c r="AR3762" s="10" t="b">
        <f>IF(AND(I3762="TP",S3762&lt;=300),VLOOKUP(AF3762,TPCalibEq300!$AZ$2:$BB$55,3,),IF(AND(I3762="TDP",S3762&lt;=300),VLOOKUP(AF3762,TPCalibEq300!$AZ$2:$BB$55,3,)))</f>
        <v>0</v>
      </c>
      <c r="AS3762" s="10" t="b">
        <f>IF(AND(I3762="TP",S3762&lt;=500),VLOOKUP(AF3762,TPCalibEq500!$AZ$2:$BB$56,3,),IF(AND(I3762="TDP",S3762&lt;=500),VLOOKUP(AF3762,TPCalibEq500!$AZ$2:$BB$56,3,)))</f>
        <v>0</v>
      </c>
      <c r="AT3762" s="10" t="str">
        <f>IF(AND(I3762="TN",S3762&lt;=2800),VLOOKUP(AF3762,TNCalibEq2500!$AZ$2:$BB$56,3,),IF(AND(I3762="TDN",S3762&lt;=2800),VLOOKUP(AF3762,TNCalibEq2500!$AZ$2:$BB$56,3,)))</f>
        <v>y=2.8761x2+145.17x-57.22</v>
      </c>
      <c r="AU3762" s="10" t="str">
        <f>IF(I3762="TP",VLOOKUP(AF3762,TPCalibEqFull!$AZ$2:$BB$56,3),IF(I3762="TDP",VLOOKUP(AF3762,TPCalibEqFull!$AZ$2:$BB$56,3),IF(I3762="TDN",VLOOKUP(AF3762,TNCalibEqFull!$AZ$1:$BB$56,3),IF(I3762="TN",VLOOKUP(AF3762,TNCalibEqFull!$AZ$1:$BB$56,3),FALSE))))</f>
        <v>y=0.3348x2+180.18x-102.36</v>
      </c>
      <c r="AV3762" s="10" t="str">
        <f t="shared" si="426"/>
        <v>0222 09:00:00-QAC-REC-A-1-DI-NIC</v>
      </c>
    </row>
    <row r="3763" spans="1:48" s="10" customFormat="1" x14ac:dyDescent="0.55000000000000004">
      <c r="A3763" s="32">
        <v>44979</v>
      </c>
      <c r="B3763" s="33">
        <v>0.375</v>
      </c>
      <c r="C3763" s="10" t="s">
        <v>70</v>
      </c>
      <c r="D3763" s="10" t="s">
        <v>305</v>
      </c>
      <c r="E3763" s="10" t="s">
        <v>901</v>
      </c>
      <c r="F3763" s="10">
        <v>1</v>
      </c>
      <c r="G3763" s="10" t="s">
        <v>73</v>
      </c>
      <c r="H3763" s="10" t="s">
        <v>856</v>
      </c>
      <c r="I3763" s="10" t="s">
        <v>235</v>
      </c>
      <c r="J3763" s="10">
        <v>213</v>
      </c>
      <c r="K3763" s="12">
        <v>44981</v>
      </c>
      <c r="L3763" s="33">
        <v>0.50156250000000002</v>
      </c>
      <c r="M3763" s="10">
        <v>1</v>
      </c>
      <c r="N3763" s="10" t="s">
        <v>196</v>
      </c>
      <c r="O3763" s="10">
        <v>26.2</v>
      </c>
      <c r="P3763" s="10">
        <v>1.25</v>
      </c>
      <c r="Q3763" s="10">
        <v>4830</v>
      </c>
      <c r="R3763" s="10" t="s">
        <v>170</v>
      </c>
      <c r="S3763" s="34">
        <f t="shared" si="423"/>
        <v>4848.176112000001</v>
      </c>
      <c r="T3763" s="10" t="s">
        <v>1282</v>
      </c>
      <c r="U3763" s="34">
        <f t="shared" si="424"/>
        <v>96.963522240000017</v>
      </c>
      <c r="V3763" s="31">
        <f>IF(H3763="CHK",VLOOKUP(I3763,QCCHK,3,),IF(H3763="GUP",VLOOKUP(E3763,QCGUP,2,),IF(AND(H3763="ATP",OR(I3763="TN",I3763="TDN",I3763="TNO2-3",I3763="NO2-3")),VLOOKUP(E3763,QCREC_N,2,),IF(AND(H3763="NIC",OR(I3763="TN",I3763="TDN",I3763="TNO2-3",I3763="NO2-3")),VLOOKUP(E3763,QCNIC_N,2,),IF(AND(H3763="UREA",OR(I3763="TN",I3763="TDN",I3763="TNO2-3",I3763="NO2-3")),VLOOKUP(E3763,QCUREA_N,2,),IF(H3763="PER",VLOOKUP(I3763,QCPER,MATCH(E3763,QCACTUAL!$J$25:$AA$25,0),),IF(H3763="SPK",VLOOKUP(I3763,QCSPK,3,),IF(AND(H3763="ATP",OR(I3763="TP",I3763="TDP")),VLOOKUP(E3763,QCATP_P,2,),""))))))))</f>
        <v>5000</v>
      </c>
      <c r="W3763" s="31" t="str">
        <f t="shared" si="425"/>
        <v>TRUE</v>
      </c>
      <c r="X3763" s="31" t="str">
        <f t="shared" si="422"/>
        <v>[rec]/[actual]*100</v>
      </c>
      <c r="Y3763" s="10" t="s">
        <v>1275</v>
      </c>
      <c r="AF3763" s="12">
        <v>44981</v>
      </c>
      <c r="AK3763" s="10">
        <f>0.3348*26.2^2+180.18*26.2-102.36</f>
        <v>4848.176112000001</v>
      </c>
      <c r="AL3763" s="10" t="str">
        <f t="shared" si="427"/>
        <v>FALSE</v>
      </c>
      <c r="AM3763" s="10" t="str">
        <f t="shared" si="427"/>
        <v>FALSE</v>
      </c>
      <c r="AN3763" s="10" t="str">
        <f t="shared" si="427"/>
        <v>FALSE</v>
      </c>
      <c r="AO3763" s="10" t="str">
        <f t="shared" si="428"/>
        <v>FALSE</v>
      </c>
      <c r="AP3763" s="10" t="str">
        <f t="shared" si="428"/>
        <v>y=0.3348*26.2^2+180.18*26.2-102.36</v>
      </c>
      <c r="AQ3763" s="10" t="b">
        <f>IF(AND(I3763="TP",S3763&lt;=150),VLOOKUP(AF3763,TPCalibEq150!$AZ$2:$BB$55,3,),IF(AND(I3763="TDP",S3763&lt;=150),VLOOKUP(AF3763,TPCalibEq150!$AZ$2:$BB$55,3,)))</f>
        <v>0</v>
      </c>
      <c r="AR3763" s="10" t="b">
        <f>IF(AND(I3763="TP",S3763&lt;=300),VLOOKUP(AF3763,TPCalibEq300!$AZ$2:$BB$55,3,),IF(AND(I3763="TDP",S3763&lt;=300),VLOOKUP(AF3763,TPCalibEq300!$AZ$2:$BB$55,3,)))</f>
        <v>0</v>
      </c>
      <c r="AS3763" s="10" t="b">
        <f>IF(AND(I3763="TP",S3763&lt;=500),VLOOKUP(AF3763,TPCalibEq500!$AZ$2:$BB$56,3,),IF(AND(I3763="TDP",S3763&lt;=500),VLOOKUP(AF3763,TPCalibEq500!$AZ$2:$BB$56,3,)))</f>
        <v>0</v>
      </c>
      <c r="AT3763" s="10" t="b">
        <f>IF(AND(I3763="TN",S3763&lt;=2800),VLOOKUP(AF3763,TNCalibEq2500!$AZ$2:$BB$56,3,),IF(AND(I3763="TDN",S3763&lt;=2800),VLOOKUP(AF3763,TNCalibEq2500!$AZ$2:$BB$56,3,)))</f>
        <v>0</v>
      </c>
      <c r="AU3763" s="10" t="str">
        <f>IF(I3763="TP",VLOOKUP(AF3763,TPCalibEqFull!$AZ$2:$BB$56,3),IF(I3763="TDP",VLOOKUP(AF3763,TPCalibEqFull!$AZ$2:$BB$56,3),IF(I3763="TDN",VLOOKUP(AF3763,TNCalibEqFull!$AZ$1:$BB$56,3),IF(I3763="TN",VLOOKUP(AF3763,TNCalibEqFull!$AZ$1:$BB$56,3),FALSE))))</f>
        <v>y=0.3348x2+180.18x-102.36</v>
      </c>
      <c r="AV3763" s="10" t="str">
        <f t="shared" si="426"/>
        <v>0222 09:00:00-QAC-REC-D-1-DI-NIC</v>
      </c>
    </row>
    <row r="3764" spans="1:48" s="10" customFormat="1" x14ac:dyDescent="0.55000000000000004">
      <c r="A3764" s="32">
        <v>44978</v>
      </c>
      <c r="B3764" s="33">
        <v>0.25</v>
      </c>
      <c r="C3764" s="10" t="s">
        <v>70</v>
      </c>
      <c r="D3764" s="10" t="s">
        <v>241</v>
      </c>
      <c r="E3764" s="10">
        <v>800</v>
      </c>
      <c r="F3764" s="10">
        <v>1</v>
      </c>
      <c r="G3764" s="10" t="s">
        <v>73</v>
      </c>
      <c r="H3764" s="10" t="s">
        <v>264</v>
      </c>
      <c r="I3764" s="10" t="s">
        <v>235</v>
      </c>
      <c r="J3764" s="10">
        <v>256</v>
      </c>
      <c r="K3764" s="12">
        <v>44981</v>
      </c>
      <c r="L3764" s="33">
        <v>0.50290509259259253</v>
      </c>
      <c r="M3764" s="10">
        <v>1</v>
      </c>
      <c r="N3764" s="10" t="s">
        <v>196</v>
      </c>
      <c r="O3764" s="10">
        <v>0.34399999999999997</v>
      </c>
      <c r="P3764" s="10">
        <v>1.5900000000000001E-2</v>
      </c>
      <c r="Q3764" s="10">
        <v>-59</v>
      </c>
      <c r="R3764" s="10" t="s">
        <v>170</v>
      </c>
      <c r="S3764" s="34">
        <f t="shared" si="423"/>
        <v>-6.941173830400011</v>
      </c>
      <c r="T3764" s="10" t="s">
        <v>1282</v>
      </c>
      <c r="U3764" s="34">
        <f t="shared" si="424"/>
        <v>-6.941173830400011</v>
      </c>
      <c r="V3764" s="31" t="str">
        <f>IF(H3764="CHK",VLOOKUP(I3764,QCCHK,3,),IF(H3764="GUP",VLOOKUP(E3764,QCGUP,2,),IF(AND(H3764="ATP",OR(I3764="TN",I3764="TDN",I3764="TNO2-3",I3764="NO2-3")),VLOOKUP(E3764,QCREC_N,2,),IF(AND(H3764="NIC",OR(I3764="TN",I3764="TDN",I3764="TNO2-3",I3764="NO2-3")),VLOOKUP(E3764,QCNIC_N,2,),IF(AND(H3764="UREA",OR(I3764="TN",I3764="TDN",I3764="TNO2-3",I3764="NO2-3")),VLOOKUP(E3764,QCUREA_N,2,),IF(H3764="PER",VLOOKUP(I3764,QCPER,MATCH(E3764,QCACTUAL!$J$25:$AA$25,0),),IF(H3764="SPK",VLOOKUP(I3764,QCSPK,3,),IF(AND(H3764="ATP",OR(I3764="TP",I3764="TDP")),VLOOKUP(E3764,QCATP_P,2,),""))))))))</f>
        <v/>
      </c>
      <c r="W3764" s="31" t="str">
        <f t="shared" si="425"/>
        <v>TRUE</v>
      </c>
      <c r="X3764" s="31" t="str">
        <f t="shared" si="422"/>
        <v>nominal concentration</v>
      </c>
      <c r="Y3764" s="10" t="s">
        <v>1275</v>
      </c>
      <c r="AF3764" s="12">
        <v>44981</v>
      </c>
      <c r="AJ3764" s="10">
        <f>2.8761*0.344^2+145.17*0.344-57.22</f>
        <v>-6.941173830400011</v>
      </c>
      <c r="AK3764" s="10">
        <f>0.3348*0.344^2+180.18*0.344-102.36</f>
        <v>-40.338461107200004</v>
      </c>
      <c r="AL3764" s="10" t="str">
        <f t="shared" si="427"/>
        <v>FALSE</v>
      </c>
      <c r="AM3764" s="10" t="str">
        <f t="shared" si="427"/>
        <v>FALSE</v>
      </c>
      <c r="AN3764" s="10" t="str">
        <f t="shared" si="427"/>
        <v>FALSE</v>
      </c>
      <c r="AO3764" s="10" t="str">
        <f t="shared" si="428"/>
        <v>y=2.8761*0.344^2+145.17*0.344-57.22</v>
      </c>
      <c r="AP3764" s="10" t="str">
        <f t="shared" si="428"/>
        <v>y=0.3348*0.344^2+180.18*0.344-102.36</v>
      </c>
      <c r="AQ3764" s="10" t="b">
        <f>IF(AND(I3764="TP",S3764&lt;=150),VLOOKUP(AF3764,TPCalibEq150!$AZ$2:$BB$55,3,),IF(AND(I3764="TDP",S3764&lt;=150),VLOOKUP(AF3764,TPCalibEq150!$AZ$2:$BB$55,3,)))</f>
        <v>0</v>
      </c>
      <c r="AR3764" s="10" t="b">
        <f>IF(AND(I3764="TP",S3764&lt;=300),VLOOKUP(AF3764,TPCalibEq300!$AZ$2:$BB$55,3,),IF(AND(I3764="TDP",S3764&lt;=300),VLOOKUP(AF3764,TPCalibEq300!$AZ$2:$BB$55,3,)))</f>
        <v>0</v>
      </c>
      <c r="AS3764" s="10" t="b">
        <f>IF(AND(I3764="TP",S3764&lt;=500),VLOOKUP(AF3764,TPCalibEq500!$AZ$2:$BB$56,3,),IF(AND(I3764="TDP",S3764&lt;=500),VLOOKUP(AF3764,TPCalibEq500!$AZ$2:$BB$56,3,)))</f>
        <v>0</v>
      </c>
      <c r="AT3764" s="10" t="str">
        <f>IF(AND(I3764="TN",S3764&lt;=2800),VLOOKUP(AF3764,TNCalibEq2500!$AZ$2:$BB$56,3,),IF(AND(I3764="TDN",S3764&lt;=2800),VLOOKUP(AF3764,TNCalibEq2500!$AZ$2:$BB$56,3,)))</f>
        <v>y=2.8761x2+145.17x-57.22</v>
      </c>
      <c r="AU3764" s="10" t="str">
        <f>IF(I3764="TP",VLOOKUP(AF3764,TPCalibEqFull!$AZ$2:$BB$56,3),IF(I3764="TDP",VLOOKUP(AF3764,TPCalibEqFull!$AZ$2:$BB$56,3),IF(I3764="TDN",VLOOKUP(AF3764,TNCalibEqFull!$AZ$1:$BB$56,3),IF(I3764="TN",VLOOKUP(AF3764,TNCalibEqFull!$AZ$1:$BB$56,3),FALSE))))</f>
        <v>y=0.3348x2+180.18x-102.36</v>
      </c>
      <c r="AV3764" s="10" t="str">
        <f t="shared" si="426"/>
        <v>0221 06:00:00-QAC-BLK-800-1-DI-FLD</v>
      </c>
    </row>
    <row r="3765" spans="1:48" s="10" customFormat="1" x14ac:dyDescent="0.55000000000000004">
      <c r="A3765" s="32">
        <v>44978</v>
      </c>
      <c r="B3765" s="33">
        <v>0.23333333333333331</v>
      </c>
      <c r="C3765" s="10" t="s">
        <v>70</v>
      </c>
      <c r="D3765" s="10" t="s">
        <v>241</v>
      </c>
      <c r="E3765" s="10" t="s">
        <v>866</v>
      </c>
      <c r="F3765" s="10">
        <v>1</v>
      </c>
      <c r="G3765" s="10" t="s">
        <v>73</v>
      </c>
      <c r="H3765" s="10" t="s">
        <v>264</v>
      </c>
      <c r="I3765" s="10" t="s">
        <v>235</v>
      </c>
      <c r="J3765" s="10">
        <v>257</v>
      </c>
      <c r="K3765" s="12">
        <v>44981</v>
      </c>
      <c r="L3765" s="33">
        <v>0.50358796296296293</v>
      </c>
      <c r="M3765" s="10">
        <v>1</v>
      </c>
      <c r="N3765" s="10" t="s">
        <v>196</v>
      </c>
      <c r="O3765" s="10">
        <v>0.34799999999999998</v>
      </c>
      <c r="P3765" s="10">
        <v>1.67E-2</v>
      </c>
      <c r="Q3765" s="10">
        <v>-58.2</v>
      </c>
      <c r="R3765" s="10" t="s">
        <v>170</v>
      </c>
      <c r="S3765" s="34">
        <f t="shared" si="423"/>
        <v>-6.3525327856000047</v>
      </c>
      <c r="T3765" s="10" t="s">
        <v>1282</v>
      </c>
      <c r="U3765" s="34">
        <f t="shared" si="424"/>
        <v>-6.3525327856000047</v>
      </c>
      <c r="V3765" s="31" t="str">
        <f>IF(H3765="CHK",VLOOKUP(I3765,QCCHK,3,),IF(H3765="GUP",VLOOKUP(E3765,QCGUP,2,),IF(AND(H3765="ATP",OR(I3765="TN",I3765="TDN",I3765="TNO2-3",I3765="NO2-3")),VLOOKUP(E3765,QCREC_N,2,),IF(AND(H3765="NIC",OR(I3765="TN",I3765="TDN",I3765="TNO2-3",I3765="NO2-3")),VLOOKUP(E3765,QCNIC_N,2,),IF(AND(H3765="UREA",OR(I3765="TN",I3765="TDN",I3765="TNO2-3",I3765="NO2-3")),VLOOKUP(E3765,QCUREA_N,2,),IF(H3765="PER",VLOOKUP(I3765,QCPER,MATCH(E3765,QCACTUAL!$J$25:$AA$25,0),),IF(H3765="SPK",VLOOKUP(I3765,QCSPK,3,),IF(AND(H3765="ATP",OR(I3765="TP",I3765="TDP")),VLOOKUP(E3765,QCATP_P,2,),""))))))))</f>
        <v/>
      </c>
      <c r="W3765" s="31" t="str">
        <f t="shared" si="425"/>
        <v>TRUE</v>
      </c>
      <c r="X3765" s="31" t="str">
        <f t="shared" si="422"/>
        <v>nominal concentration</v>
      </c>
      <c r="Y3765" s="10" t="s">
        <v>1275</v>
      </c>
      <c r="AF3765" s="12">
        <v>44981</v>
      </c>
      <c r="AJ3765" s="10">
        <f>2.8761*0.348^2+145.17*0.348-57.22</f>
        <v>-6.3525327856000047</v>
      </c>
      <c r="AK3765" s="10">
        <f>0.3348*0.348^2+180.18*0.348-102.36</f>
        <v>-39.616814380800001</v>
      </c>
      <c r="AL3765" s="10" t="str">
        <f t="shared" si="427"/>
        <v>FALSE</v>
      </c>
      <c r="AM3765" s="10" t="str">
        <f t="shared" si="427"/>
        <v>FALSE</v>
      </c>
      <c r="AN3765" s="10" t="str">
        <f t="shared" si="427"/>
        <v>FALSE</v>
      </c>
      <c r="AO3765" s="10" t="str">
        <f t="shared" si="428"/>
        <v>y=2.8761*0.348^2+145.17*0.348-57.22</v>
      </c>
      <c r="AP3765" s="10" t="str">
        <f t="shared" si="428"/>
        <v>y=0.3348*0.348^2+180.18*0.348-102.36</v>
      </c>
      <c r="AQ3765" s="10" t="b">
        <f>IF(AND(I3765="TP",S3765&lt;=150),VLOOKUP(AF3765,TPCalibEq150!$AZ$2:$BB$55,3,),IF(AND(I3765="TDP",S3765&lt;=150),VLOOKUP(AF3765,TPCalibEq150!$AZ$2:$BB$55,3,)))</f>
        <v>0</v>
      </c>
      <c r="AR3765" s="10" t="b">
        <f>IF(AND(I3765="TP",S3765&lt;=300),VLOOKUP(AF3765,TPCalibEq300!$AZ$2:$BB$55,3,),IF(AND(I3765="TDP",S3765&lt;=300),VLOOKUP(AF3765,TPCalibEq300!$AZ$2:$BB$55,3,)))</f>
        <v>0</v>
      </c>
      <c r="AS3765" s="10" t="b">
        <f>IF(AND(I3765="TP",S3765&lt;=500),VLOOKUP(AF3765,TPCalibEq500!$AZ$2:$BB$56,3,),IF(AND(I3765="TDP",S3765&lt;=500),VLOOKUP(AF3765,TPCalibEq500!$AZ$2:$BB$56,3,)))</f>
        <v>0</v>
      </c>
      <c r="AT3765" s="10" t="str">
        <f>IF(AND(I3765="TN",S3765&lt;=2800),VLOOKUP(AF3765,TNCalibEq2500!$AZ$2:$BB$56,3,),IF(AND(I3765="TDN",S3765&lt;=2800),VLOOKUP(AF3765,TNCalibEq2500!$AZ$2:$BB$56,3,)))</f>
        <v>y=2.8761x2+145.17x-57.22</v>
      </c>
      <c r="AU3765" s="10" t="str">
        <f>IF(I3765="TP",VLOOKUP(AF3765,TPCalibEqFull!$AZ$2:$BB$56,3),IF(I3765="TDP",VLOOKUP(AF3765,TPCalibEqFull!$AZ$2:$BB$56,3),IF(I3765="TDN",VLOOKUP(AF3765,TNCalibEqFull!$AZ$1:$BB$56,3),IF(I3765="TN",VLOOKUP(AF3765,TNCalibEqFull!$AZ$1:$BB$56,3),FALSE))))</f>
        <v>y=0.3348x2+180.18x-102.36</v>
      </c>
      <c r="AV3765" s="10" t="str">
        <f t="shared" si="426"/>
        <v>0221 05:36:00-QAC-BLK-A-1-DI-FLD</v>
      </c>
    </row>
    <row r="3766" spans="1:48" s="10" customFormat="1" x14ac:dyDescent="0.55000000000000004">
      <c r="A3766" s="32">
        <v>44978</v>
      </c>
      <c r="B3766" s="33">
        <v>0.25</v>
      </c>
      <c r="C3766" s="10" t="s">
        <v>70</v>
      </c>
      <c r="D3766" s="10" t="s">
        <v>241</v>
      </c>
      <c r="E3766" s="10" t="s">
        <v>911</v>
      </c>
      <c r="F3766" s="10">
        <v>1</v>
      </c>
      <c r="G3766" s="10" t="s">
        <v>73</v>
      </c>
      <c r="H3766" s="10" t="s">
        <v>245</v>
      </c>
      <c r="I3766" s="10" t="s">
        <v>224</v>
      </c>
      <c r="J3766" s="10">
        <v>258</v>
      </c>
      <c r="K3766" s="12">
        <v>44981</v>
      </c>
      <c r="L3766" s="33">
        <v>0.5042592592592593</v>
      </c>
      <c r="M3766" s="10">
        <v>1</v>
      </c>
      <c r="N3766" s="10" t="s">
        <v>196</v>
      </c>
      <c r="O3766" s="10">
        <v>0.40799999999999997</v>
      </c>
      <c r="P3766" s="10">
        <v>1.9800000000000002E-2</v>
      </c>
      <c r="Q3766" s="10">
        <v>-46.8</v>
      </c>
      <c r="R3766" s="10" t="s">
        <v>170</v>
      </c>
      <c r="S3766" s="34">
        <f t="shared" si="423"/>
        <v>2.4881271103999936</v>
      </c>
      <c r="T3766" s="10" t="s">
        <v>1282</v>
      </c>
      <c r="U3766" s="34">
        <f t="shared" si="424"/>
        <v>2.4881271103999936</v>
      </c>
      <c r="V3766" s="31" t="str">
        <f>IF(H3766="CHK",VLOOKUP(I3766,QCCHK,3,),IF(H3766="GUP",VLOOKUP(E3766,QCGUP,2,),IF(AND(H3766="ATP",OR(I3766="TN",I3766="TDN",I3766="TNO2-3",I3766="NO2-3")),VLOOKUP(E3766,QCREC_N,2,),IF(AND(H3766="NIC",OR(I3766="TN",I3766="TDN",I3766="TNO2-3",I3766="NO2-3")),VLOOKUP(E3766,QCNIC_N,2,),IF(AND(H3766="UREA",OR(I3766="TN",I3766="TDN",I3766="TNO2-3",I3766="NO2-3")),VLOOKUP(E3766,QCUREA_N,2,),IF(H3766="PER",VLOOKUP(I3766,QCPER,MATCH(E3766,QCACTUAL!$J$25:$AA$25,0),),IF(H3766="SPK",VLOOKUP(I3766,QCSPK,3,),IF(AND(H3766="ATP",OR(I3766="TP",I3766="TDP")),VLOOKUP(E3766,QCATP_P,2,),""))))))))</f>
        <v/>
      </c>
      <c r="W3766" s="31" t="str">
        <f t="shared" si="425"/>
        <v>TRUE</v>
      </c>
      <c r="X3766" s="31" t="str">
        <f t="shared" si="422"/>
        <v>nominal concentration</v>
      </c>
      <c r="Y3766" s="10" t="s">
        <v>1275</v>
      </c>
      <c r="AF3766" s="12">
        <v>44981</v>
      </c>
      <c r="AJ3766" s="10">
        <f>2.8761*0.408^2+145.17*0.408-57.22</f>
        <v>2.4881271103999936</v>
      </c>
      <c r="AK3766" s="10">
        <f>0.3348*0.408^2+180.18*0.408-102.36</f>
        <v>-28.790827852799993</v>
      </c>
      <c r="AL3766" s="10" t="str">
        <f t="shared" si="427"/>
        <v>FALSE</v>
      </c>
      <c r="AM3766" s="10" t="str">
        <f t="shared" si="427"/>
        <v>FALSE</v>
      </c>
      <c r="AN3766" s="10" t="str">
        <f t="shared" si="427"/>
        <v>FALSE</v>
      </c>
      <c r="AO3766" s="10" t="str">
        <f t="shared" si="428"/>
        <v>y=2.8761*0.408^2+145.17*0.408-57.22</v>
      </c>
      <c r="AP3766" s="10" t="str">
        <f t="shared" si="428"/>
        <v>y=0.3348*0.408^2+180.18*0.408-102.36</v>
      </c>
      <c r="AQ3766" s="10" t="b">
        <f>IF(AND(I3766="TP",S3766&lt;=150),VLOOKUP(AF3766,TPCalibEq150!$AZ$2:$BB$55,3,),IF(AND(I3766="TDP",S3766&lt;=150),VLOOKUP(AF3766,TPCalibEq150!$AZ$2:$BB$55,3,)))</f>
        <v>0</v>
      </c>
      <c r="AR3766" s="10" t="b">
        <f>IF(AND(I3766="TP",S3766&lt;=300),VLOOKUP(AF3766,TPCalibEq300!$AZ$2:$BB$55,3,),IF(AND(I3766="TDP",S3766&lt;=300),VLOOKUP(AF3766,TPCalibEq300!$AZ$2:$BB$55,3,)))</f>
        <v>0</v>
      </c>
      <c r="AS3766" s="10" t="b">
        <f>IF(AND(I3766="TP",S3766&lt;=500),VLOOKUP(AF3766,TPCalibEq500!$AZ$2:$BB$56,3,),IF(AND(I3766="TDP",S3766&lt;=500),VLOOKUP(AF3766,TPCalibEq500!$AZ$2:$BB$56,3,)))</f>
        <v>0</v>
      </c>
      <c r="AT3766" s="10" t="str">
        <f>IF(AND(I3766="TN",S3766&lt;=2800),VLOOKUP(AF3766,TNCalibEq2500!$AZ$2:$BB$56,3,),IF(AND(I3766="TDN",S3766&lt;=2800),VLOOKUP(AF3766,TNCalibEq2500!$AZ$2:$BB$56,3,)))</f>
        <v>y=2.8761x2+145.17x-57.22</v>
      </c>
      <c r="AU3766" s="10" t="str">
        <f>IF(I3766="TP",VLOOKUP(AF3766,TPCalibEqFull!$AZ$2:$BB$56,3),IF(I3766="TDP",VLOOKUP(AF3766,TPCalibEqFull!$AZ$2:$BB$56,3),IF(I3766="TDN",VLOOKUP(AF3766,TNCalibEqFull!$AZ$1:$BB$56,3),IF(I3766="TN",VLOOKUP(AF3766,TNCalibEqFull!$AZ$1:$BB$56,3),FALSE))))</f>
        <v>y=0.3348x2+180.18x-102.36</v>
      </c>
      <c r="AV3766" s="10" t="str">
        <f t="shared" si="426"/>
        <v>0221 06:00:00-QAC-BLK-FIL-1-DI-ESF</v>
      </c>
    </row>
    <row r="3767" spans="1:48" s="10" customFormat="1" x14ac:dyDescent="0.55000000000000004">
      <c r="A3767" s="32">
        <v>44978</v>
      </c>
      <c r="B3767" s="33">
        <v>0.23333333333333331</v>
      </c>
      <c r="C3767" s="10" t="s">
        <v>70</v>
      </c>
      <c r="D3767" s="10" t="s">
        <v>241</v>
      </c>
      <c r="E3767" s="10" t="s">
        <v>911</v>
      </c>
      <c r="F3767" s="10">
        <v>1</v>
      </c>
      <c r="G3767" s="10" t="s">
        <v>73</v>
      </c>
      <c r="H3767" s="10" t="s">
        <v>245</v>
      </c>
      <c r="I3767" s="10" t="s">
        <v>224</v>
      </c>
      <c r="J3767" s="10">
        <v>259</v>
      </c>
      <c r="K3767" s="12">
        <v>44981</v>
      </c>
      <c r="L3767" s="33">
        <v>0.50495370370370374</v>
      </c>
      <c r="M3767" s="10">
        <v>1</v>
      </c>
      <c r="N3767" s="10" t="s">
        <v>196</v>
      </c>
      <c r="O3767" s="10">
        <v>0.44500000000000001</v>
      </c>
      <c r="P3767" s="10">
        <v>2.1100000000000001E-2</v>
      </c>
      <c r="Q3767" s="10">
        <v>-39.799999999999997</v>
      </c>
      <c r="R3767" s="10" t="s">
        <v>170</v>
      </c>
      <c r="S3767" s="34">
        <f t="shared" si="423"/>
        <v>7.9501897024999977</v>
      </c>
      <c r="T3767" s="10" t="s">
        <v>1282</v>
      </c>
      <c r="U3767" s="34">
        <f t="shared" si="424"/>
        <v>7.9501897024999977</v>
      </c>
      <c r="V3767" s="31" t="str">
        <f>IF(H3767="CHK",VLOOKUP(I3767,QCCHK,3,),IF(H3767="GUP",VLOOKUP(E3767,QCGUP,2,),IF(AND(H3767="ATP",OR(I3767="TN",I3767="TDN",I3767="TNO2-3",I3767="NO2-3")),VLOOKUP(E3767,QCREC_N,2,),IF(AND(H3767="NIC",OR(I3767="TN",I3767="TDN",I3767="TNO2-3",I3767="NO2-3")),VLOOKUP(E3767,QCNIC_N,2,),IF(AND(H3767="UREA",OR(I3767="TN",I3767="TDN",I3767="TNO2-3",I3767="NO2-3")),VLOOKUP(E3767,QCUREA_N,2,),IF(H3767="PER",VLOOKUP(I3767,QCPER,MATCH(E3767,QCACTUAL!$J$25:$AA$25,0),),IF(H3767="SPK",VLOOKUP(I3767,QCSPK,3,),IF(AND(H3767="ATP",OR(I3767="TP",I3767="TDP")),VLOOKUP(E3767,QCATP_P,2,),""))))))))</f>
        <v/>
      </c>
      <c r="W3767" s="31" t="str">
        <f t="shared" si="425"/>
        <v>TRUE</v>
      </c>
      <c r="X3767" s="31" t="str">
        <f t="shared" si="422"/>
        <v>nominal concentration</v>
      </c>
      <c r="Y3767" s="10" t="s">
        <v>1275</v>
      </c>
      <c r="AF3767" s="12">
        <v>44981</v>
      </c>
      <c r="AJ3767" s="10">
        <f>2.8761*0.445^2+145.17*0.445-57.22</f>
        <v>7.9501897024999977</v>
      </c>
      <c r="AK3767" s="10">
        <f>0.3348*0.445^2+180.18*0.445-102.36</f>
        <v>-22.113601229999986</v>
      </c>
      <c r="AL3767" s="10" t="str">
        <f t="shared" si="427"/>
        <v>FALSE</v>
      </c>
      <c r="AM3767" s="10" t="str">
        <f t="shared" si="427"/>
        <v>FALSE</v>
      </c>
      <c r="AN3767" s="10" t="str">
        <f t="shared" si="427"/>
        <v>FALSE</v>
      </c>
      <c r="AO3767" s="10" t="str">
        <f t="shared" si="428"/>
        <v>y=2.8761*0.445^2+145.17*0.445-57.22</v>
      </c>
      <c r="AP3767" s="10" t="str">
        <f t="shared" si="428"/>
        <v>y=0.3348*0.445^2+180.18*0.445-102.36</v>
      </c>
      <c r="AQ3767" s="10" t="b">
        <f>IF(AND(I3767="TP",S3767&lt;=150),VLOOKUP(AF3767,TPCalibEq150!$AZ$2:$BB$55,3,),IF(AND(I3767="TDP",S3767&lt;=150),VLOOKUP(AF3767,TPCalibEq150!$AZ$2:$BB$55,3,)))</f>
        <v>0</v>
      </c>
      <c r="AR3767" s="10" t="b">
        <f>IF(AND(I3767="TP",S3767&lt;=300),VLOOKUP(AF3767,TPCalibEq300!$AZ$2:$BB$55,3,),IF(AND(I3767="TDP",S3767&lt;=300),VLOOKUP(AF3767,TPCalibEq300!$AZ$2:$BB$55,3,)))</f>
        <v>0</v>
      </c>
      <c r="AS3767" s="10" t="b">
        <f>IF(AND(I3767="TP",S3767&lt;=500),VLOOKUP(AF3767,TPCalibEq500!$AZ$2:$BB$56,3,),IF(AND(I3767="TDP",S3767&lt;=500),VLOOKUP(AF3767,TPCalibEq500!$AZ$2:$BB$56,3,)))</f>
        <v>0</v>
      </c>
      <c r="AT3767" s="10" t="str">
        <f>IF(AND(I3767="TN",S3767&lt;=2800),VLOOKUP(AF3767,TNCalibEq2500!$AZ$2:$BB$56,3,),IF(AND(I3767="TDN",S3767&lt;=2800),VLOOKUP(AF3767,TNCalibEq2500!$AZ$2:$BB$56,3,)))</f>
        <v>y=2.8761x2+145.17x-57.22</v>
      </c>
      <c r="AU3767" s="10" t="str">
        <f>IF(I3767="TP",VLOOKUP(AF3767,TPCalibEqFull!$AZ$2:$BB$56,3),IF(I3767="TDP",VLOOKUP(AF3767,TPCalibEqFull!$AZ$2:$BB$56,3),IF(I3767="TDN",VLOOKUP(AF3767,TNCalibEqFull!$AZ$1:$BB$56,3),IF(I3767="TN",VLOOKUP(AF3767,TNCalibEqFull!$AZ$1:$BB$56,3),FALSE))))</f>
        <v>y=0.3348x2+180.18x-102.36</v>
      </c>
      <c r="AV3767" s="10" t="str">
        <f t="shared" si="426"/>
        <v>0221 05:36:00-QAC-BLK-FIL-1-DI-ESF</v>
      </c>
    </row>
    <row r="3768" spans="1:48" s="10" customFormat="1" x14ac:dyDescent="0.55000000000000004">
      <c r="A3768" s="32">
        <v>44972</v>
      </c>
      <c r="B3768" s="33">
        <v>0.22430555555555556</v>
      </c>
      <c r="C3768" s="10" t="s">
        <v>279</v>
      </c>
      <c r="D3768" s="10">
        <v>0</v>
      </c>
      <c r="E3768" s="10" t="s">
        <v>190</v>
      </c>
      <c r="F3768" s="10">
        <v>1</v>
      </c>
      <c r="G3768" s="10" t="s">
        <v>231</v>
      </c>
      <c r="H3768" s="10" t="s">
        <v>322</v>
      </c>
      <c r="I3768" s="10" t="s">
        <v>235</v>
      </c>
      <c r="J3768" s="10">
        <v>1</v>
      </c>
      <c r="K3768" s="12">
        <v>44981</v>
      </c>
      <c r="L3768" s="33">
        <v>0.50562499999999999</v>
      </c>
      <c r="M3768" s="10">
        <v>1</v>
      </c>
      <c r="N3768" s="10" t="s">
        <v>196</v>
      </c>
      <c r="O3768" s="10">
        <v>7.83</v>
      </c>
      <c r="P3768" s="10">
        <v>0.376</v>
      </c>
      <c r="Q3768" s="10">
        <v>1360</v>
      </c>
      <c r="R3768" s="10" t="s">
        <v>170</v>
      </c>
      <c r="S3768" s="34">
        <f t="shared" si="423"/>
        <v>1360</v>
      </c>
      <c r="T3768" s="10" t="s">
        <v>1282</v>
      </c>
      <c r="U3768" s="34" t="str">
        <f t="shared" si="424"/>
        <v/>
      </c>
      <c r="V3768" s="31" t="str">
        <f>IF(H3768="CHK",VLOOKUP(I3768,QCCHK,3,),IF(H3768="GUP",VLOOKUP(E3768,QCGUP,2,),IF(AND(H3768="ATP",OR(I3768="TN",I3768="TDN",I3768="TNO2-3",I3768="NO2-3")),VLOOKUP(E3768,QCREC_N,2,),IF(AND(H3768="NIC",OR(I3768="TN",I3768="TDN",I3768="TNO2-3",I3768="NO2-3")),VLOOKUP(E3768,QCNIC_N,2,),IF(AND(H3768="UREA",OR(I3768="TN",I3768="TDN",I3768="TNO2-3",I3768="NO2-3")),VLOOKUP(E3768,QCUREA_N,2,),IF(H3768="PER",VLOOKUP(I3768,QCPER,MATCH(E3768,QCACTUAL!$J$25:$AA$25,0),),IF(H3768="SPK",VLOOKUP(I3768,QCSPK,3,),IF(AND(H3768="ATP",OR(I3768="TP",I3768="TDP")),VLOOKUP(E3768,QCATP_P,2,),""))))))))</f>
        <v/>
      </c>
      <c r="W3768" s="31" t="str">
        <f t="shared" si="425"/>
        <v>TRUE</v>
      </c>
      <c r="X3768" s="31" t="str">
        <f t="shared" si="422"/>
        <v/>
      </c>
      <c r="Y3768" s="10" t="s">
        <v>1275</v>
      </c>
      <c r="Z3768" s="10" t="s">
        <v>910</v>
      </c>
      <c r="AF3768" s="12">
        <v>44981</v>
      </c>
      <c r="AJ3768" s="10">
        <f>2.8761*7.83^2+145.17*7.83-57.22</f>
        <v>1255.79162729</v>
      </c>
      <c r="AK3768" s="10">
        <f>0.3348*7.83^2+180.18*7.83-102.36</f>
        <v>1328.9756197200002</v>
      </c>
      <c r="AL3768" s="10" t="str">
        <f t="shared" si="427"/>
        <v>FALSE</v>
      </c>
      <c r="AM3768" s="10" t="str">
        <f t="shared" si="427"/>
        <v>FALSE</v>
      </c>
      <c r="AN3768" s="10" t="str">
        <f t="shared" si="427"/>
        <v>FALSE</v>
      </c>
      <c r="AO3768" s="10" t="str">
        <f t="shared" si="428"/>
        <v>y=2.8761*7.83^2+145.17*7.83-57.22</v>
      </c>
      <c r="AP3768" s="10" t="str">
        <f t="shared" si="428"/>
        <v>y=0.3348*7.83^2+180.18*7.83-102.36</v>
      </c>
      <c r="AQ3768" s="10" t="b">
        <f>IF(AND(I3768="TP",S3768&lt;=150),VLOOKUP(AF3768,TPCalibEq150!$AZ$2:$BB$55,3,),IF(AND(I3768="TDP",S3768&lt;=150),VLOOKUP(AF3768,TPCalibEq150!$AZ$2:$BB$55,3,)))</f>
        <v>0</v>
      </c>
      <c r="AR3768" s="10" t="b">
        <f>IF(AND(I3768="TP",S3768&lt;=300),VLOOKUP(AF3768,TPCalibEq300!$AZ$2:$BB$55,3,),IF(AND(I3768="TDP",S3768&lt;=300),VLOOKUP(AF3768,TPCalibEq300!$AZ$2:$BB$55,3,)))</f>
        <v>0</v>
      </c>
      <c r="AS3768" s="10" t="b">
        <f>IF(AND(I3768="TP",S3768&lt;=500),VLOOKUP(AF3768,TPCalibEq500!$AZ$2:$BB$56,3,),IF(AND(I3768="TDP",S3768&lt;=500),VLOOKUP(AF3768,TPCalibEq500!$AZ$2:$BB$56,3,)))</f>
        <v>0</v>
      </c>
      <c r="AT3768" s="10" t="str">
        <f>IF(AND(I3768="TN",S3768&lt;=2800),VLOOKUP(AF3768,TNCalibEq2500!$AZ$2:$BB$56,3,),IF(AND(I3768="TDN",S3768&lt;=2800),VLOOKUP(AF3768,TNCalibEq2500!$AZ$2:$BB$56,3,)))</f>
        <v>y=2.8761x2+145.17x-57.22</v>
      </c>
      <c r="AU3768" s="10" t="str">
        <f>IF(I3768="TP",VLOOKUP(AF3768,TPCalibEqFull!$AZ$2:$BB$56,3),IF(I3768="TDP",VLOOKUP(AF3768,TPCalibEqFull!$AZ$2:$BB$56,3),IF(I3768="TDN",VLOOKUP(AF3768,TNCalibEqFull!$AZ$1:$BB$56,3),IF(I3768="TN",VLOOKUP(AF3768,TNCalibEqFull!$AZ$1:$BB$56,3),FALSE))))</f>
        <v>y=0.3348x2+180.18x-102.36</v>
      </c>
      <c r="AV3768" s="10" t="str">
        <f t="shared" si="426"/>
        <v>0215 05:23:00-EFK-0-C-1-SW-UKN</v>
      </c>
    </row>
    <row r="3769" spans="1:48" s="10" customFormat="1" x14ac:dyDescent="0.55000000000000004">
      <c r="A3769" s="32">
        <v>44972</v>
      </c>
      <c r="B3769" s="33">
        <v>0.22777777777777777</v>
      </c>
      <c r="C3769" s="10" t="s">
        <v>333</v>
      </c>
      <c r="D3769" s="10">
        <v>0</v>
      </c>
      <c r="E3769" s="10" t="s">
        <v>190</v>
      </c>
      <c r="F3769" s="10">
        <v>1</v>
      </c>
      <c r="G3769" s="10" t="s">
        <v>231</v>
      </c>
      <c r="H3769" s="10" t="s">
        <v>322</v>
      </c>
      <c r="I3769" s="10" t="s">
        <v>235</v>
      </c>
      <c r="J3769" s="10">
        <v>2</v>
      </c>
      <c r="K3769" s="12">
        <v>44981</v>
      </c>
      <c r="L3769" s="33">
        <v>0.50629629629629636</v>
      </c>
      <c r="M3769" s="10">
        <v>1</v>
      </c>
      <c r="N3769" s="10" t="s">
        <v>196</v>
      </c>
      <c r="O3769" s="10">
        <v>4.2</v>
      </c>
      <c r="P3769" s="10">
        <v>0.20399999999999999</v>
      </c>
      <c r="Q3769" s="10">
        <v>671</v>
      </c>
      <c r="R3769" s="10" t="s">
        <v>170</v>
      </c>
      <c r="S3769" s="34">
        <f t="shared" si="423"/>
        <v>671</v>
      </c>
      <c r="T3769" s="10" t="s">
        <v>1282</v>
      </c>
      <c r="U3769" s="34" t="str">
        <f t="shared" si="424"/>
        <v/>
      </c>
      <c r="V3769" s="31" t="str">
        <f>IF(H3769="CHK",VLOOKUP(I3769,QCCHK,3,),IF(H3769="GUP",VLOOKUP(E3769,QCGUP,2,),IF(AND(H3769="ATP",OR(I3769="TN",I3769="TDN",I3769="TNO2-3",I3769="NO2-3")),VLOOKUP(E3769,QCREC_N,2,),IF(AND(H3769="NIC",OR(I3769="TN",I3769="TDN",I3769="TNO2-3",I3769="NO2-3")),VLOOKUP(E3769,QCNIC_N,2,),IF(AND(H3769="UREA",OR(I3769="TN",I3769="TDN",I3769="TNO2-3",I3769="NO2-3")),VLOOKUP(E3769,QCUREA_N,2,),IF(H3769="PER",VLOOKUP(I3769,QCPER,MATCH(E3769,QCACTUAL!$J$25:$AA$25,0),),IF(H3769="SPK",VLOOKUP(I3769,QCSPK,3,),IF(AND(H3769="ATP",OR(I3769="TP",I3769="TDP")),VLOOKUP(E3769,QCATP_P,2,),""))))))))</f>
        <v/>
      </c>
      <c r="W3769" s="31" t="str">
        <f t="shared" si="425"/>
        <v>TRUE</v>
      </c>
      <c r="X3769" s="31" t="str">
        <f t="shared" si="422"/>
        <v/>
      </c>
      <c r="Y3769" s="10" t="s">
        <v>1275</v>
      </c>
      <c r="Z3769" s="10" t="s">
        <v>910</v>
      </c>
      <c r="AF3769" s="12">
        <v>44981</v>
      </c>
      <c r="AJ3769" s="10">
        <f>2.8761*4.2^2+145.17*4.2-57.22</f>
        <v>603.22840399999995</v>
      </c>
      <c r="AK3769" s="10">
        <f>0.3348*4.2^2+180.18*4.2-102.36</f>
        <v>660.30187200000012</v>
      </c>
      <c r="AL3769" s="10" t="str">
        <f t="shared" si="427"/>
        <v>FALSE</v>
      </c>
      <c r="AM3769" s="10" t="str">
        <f t="shared" si="427"/>
        <v>FALSE</v>
      </c>
      <c r="AN3769" s="10" t="str">
        <f t="shared" si="427"/>
        <v>FALSE</v>
      </c>
      <c r="AO3769" s="10" t="str">
        <f t="shared" si="428"/>
        <v>y=2.8761*4.2^2+145.17*4.2-57.22</v>
      </c>
      <c r="AP3769" s="10" t="str">
        <f t="shared" si="428"/>
        <v>y=0.3348*4.2^2+180.18*4.2-102.36</v>
      </c>
      <c r="AQ3769" s="10" t="b">
        <f>IF(AND(I3769="TP",S3769&lt;=150),VLOOKUP(AF3769,TPCalibEq150!$AZ$2:$BB$55,3,),IF(AND(I3769="TDP",S3769&lt;=150),VLOOKUP(AF3769,TPCalibEq150!$AZ$2:$BB$55,3,)))</f>
        <v>0</v>
      </c>
      <c r="AR3769" s="10" t="b">
        <f>IF(AND(I3769="TP",S3769&lt;=300),VLOOKUP(AF3769,TPCalibEq300!$AZ$2:$BB$55,3,),IF(AND(I3769="TDP",S3769&lt;=300),VLOOKUP(AF3769,TPCalibEq300!$AZ$2:$BB$55,3,)))</f>
        <v>0</v>
      </c>
      <c r="AS3769" s="10" t="b">
        <f>IF(AND(I3769="TP",S3769&lt;=500),VLOOKUP(AF3769,TPCalibEq500!$AZ$2:$BB$56,3,),IF(AND(I3769="TDP",S3769&lt;=500),VLOOKUP(AF3769,TPCalibEq500!$AZ$2:$BB$56,3,)))</f>
        <v>0</v>
      </c>
      <c r="AT3769" s="10" t="str">
        <f>IF(AND(I3769="TN",S3769&lt;=2800),VLOOKUP(AF3769,TNCalibEq2500!$AZ$2:$BB$56,3,),IF(AND(I3769="TDN",S3769&lt;=2800),VLOOKUP(AF3769,TNCalibEq2500!$AZ$2:$BB$56,3,)))</f>
        <v>y=2.8761x2+145.17x-57.22</v>
      </c>
      <c r="AU3769" s="10" t="str">
        <f>IF(I3769="TP",VLOOKUP(AF3769,TPCalibEqFull!$AZ$2:$BB$56,3),IF(I3769="TDP",VLOOKUP(AF3769,TPCalibEqFull!$AZ$2:$BB$56,3),IF(I3769="TDN",VLOOKUP(AF3769,TNCalibEqFull!$AZ$1:$BB$56,3),IF(I3769="TN",VLOOKUP(AF3769,TNCalibEqFull!$AZ$1:$BB$56,3),FALSE))))</f>
        <v>y=0.3348x2+180.18x-102.36</v>
      </c>
      <c r="AV3769" s="10" t="str">
        <f t="shared" si="426"/>
        <v>0215 05:28:00-HST-0-C-1-SW-UKN</v>
      </c>
    </row>
    <row r="3770" spans="1:48" s="10" customFormat="1" x14ac:dyDescent="0.55000000000000004">
      <c r="A3770" s="32">
        <v>44974</v>
      </c>
      <c r="B3770" s="33">
        <v>0.36388888888888887</v>
      </c>
      <c r="C3770" s="10" t="s">
        <v>279</v>
      </c>
      <c r="D3770" s="10">
        <v>0</v>
      </c>
      <c r="E3770" s="10" t="s">
        <v>190</v>
      </c>
      <c r="F3770" s="10">
        <v>1</v>
      </c>
      <c r="G3770" s="10" t="s">
        <v>231</v>
      </c>
      <c r="H3770" s="10" t="s">
        <v>322</v>
      </c>
      <c r="I3770" s="10" t="s">
        <v>235</v>
      </c>
      <c r="J3770" s="10">
        <v>3</v>
      </c>
      <c r="K3770" s="12">
        <v>44981</v>
      </c>
      <c r="L3770" s="33">
        <v>0.50696759259259261</v>
      </c>
      <c r="M3770" s="10">
        <v>1</v>
      </c>
      <c r="N3770" s="10" t="s">
        <v>196</v>
      </c>
      <c r="O3770" s="10">
        <v>7.9</v>
      </c>
      <c r="P3770" s="10">
        <v>0.38100000000000001</v>
      </c>
      <c r="Q3770" s="10">
        <v>1370</v>
      </c>
      <c r="R3770" s="10" t="s">
        <v>170</v>
      </c>
      <c r="S3770" s="34">
        <f t="shared" si="423"/>
        <v>1370</v>
      </c>
      <c r="T3770" s="10" t="s">
        <v>1282</v>
      </c>
      <c r="U3770" s="34" t="str">
        <f t="shared" si="424"/>
        <v/>
      </c>
      <c r="V3770" s="31" t="str">
        <f>IF(H3770="CHK",VLOOKUP(I3770,QCCHK,3,),IF(H3770="GUP",VLOOKUP(E3770,QCGUP,2,),IF(AND(H3770="ATP",OR(I3770="TN",I3770="TDN",I3770="TNO2-3",I3770="NO2-3")),VLOOKUP(E3770,QCREC_N,2,),IF(AND(H3770="NIC",OR(I3770="TN",I3770="TDN",I3770="TNO2-3",I3770="NO2-3")),VLOOKUP(E3770,QCNIC_N,2,),IF(AND(H3770="UREA",OR(I3770="TN",I3770="TDN",I3770="TNO2-3",I3770="NO2-3")),VLOOKUP(E3770,QCUREA_N,2,),IF(H3770="PER",VLOOKUP(I3770,QCPER,MATCH(E3770,QCACTUAL!$J$25:$AA$25,0),),IF(H3770="SPK",VLOOKUP(I3770,QCSPK,3,),IF(AND(H3770="ATP",OR(I3770="TP",I3770="TDP")),VLOOKUP(E3770,QCATP_P,2,),""))))))))</f>
        <v/>
      </c>
      <c r="W3770" s="31" t="str">
        <f t="shared" si="425"/>
        <v>TRUE</v>
      </c>
      <c r="X3770" s="31" t="str">
        <f t="shared" si="422"/>
        <v/>
      </c>
      <c r="Y3770" s="10" t="s">
        <v>1275</v>
      </c>
      <c r="Z3770" s="10" t="s">
        <v>910</v>
      </c>
      <c r="AF3770" s="12">
        <v>44981</v>
      </c>
      <c r="AJ3770" s="10">
        <f>2.8761*7.9^2+145.17*7.9-57.22</f>
        <v>1269.1204009999999</v>
      </c>
      <c r="AK3770" s="10">
        <f>0.3348*7.9^2+180.18*7.9-102.36</f>
        <v>1341.9568680000002</v>
      </c>
      <c r="AL3770" s="10" t="str">
        <f t="shared" si="427"/>
        <v>FALSE</v>
      </c>
      <c r="AM3770" s="10" t="str">
        <f t="shared" si="427"/>
        <v>FALSE</v>
      </c>
      <c r="AN3770" s="10" t="str">
        <f t="shared" si="427"/>
        <v>FALSE</v>
      </c>
      <c r="AO3770" s="10" t="str">
        <f t="shared" si="428"/>
        <v>y=2.8761*7.9^2+145.17*7.9-57.22</v>
      </c>
      <c r="AP3770" s="10" t="str">
        <f t="shared" si="428"/>
        <v>y=0.3348*7.9^2+180.18*7.9-102.36</v>
      </c>
      <c r="AQ3770" s="10" t="b">
        <f>IF(AND(I3770="TP",S3770&lt;=150),VLOOKUP(AF3770,TPCalibEq150!$AZ$2:$BB$55,3,),IF(AND(I3770="TDP",S3770&lt;=150),VLOOKUP(AF3770,TPCalibEq150!$AZ$2:$BB$55,3,)))</f>
        <v>0</v>
      </c>
      <c r="AR3770" s="10" t="b">
        <f>IF(AND(I3770="TP",S3770&lt;=300),VLOOKUP(AF3770,TPCalibEq300!$AZ$2:$BB$55,3,),IF(AND(I3770="TDP",S3770&lt;=300),VLOOKUP(AF3770,TPCalibEq300!$AZ$2:$BB$55,3,)))</f>
        <v>0</v>
      </c>
      <c r="AS3770" s="10" t="b">
        <f>IF(AND(I3770="TP",S3770&lt;=500),VLOOKUP(AF3770,TPCalibEq500!$AZ$2:$BB$56,3,),IF(AND(I3770="TDP",S3770&lt;=500),VLOOKUP(AF3770,TPCalibEq500!$AZ$2:$BB$56,3,)))</f>
        <v>0</v>
      </c>
      <c r="AT3770" s="10" t="str">
        <f>IF(AND(I3770="TN",S3770&lt;=2800),VLOOKUP(AF3770,TNCalibEq2500!$AZ$2:$BB$56,3,),IF(AND(I3770="TDN",S3770&lt;=2800),VLOOKUP(AF3770,TNCalibEq2500!$AZ$2:$BB$56,3,)))</f>
        <v>y=2.8761x2+145.17x-57.22</v>
      </c>
      <c r="AU3770" s="10" t="str">
        <f>IF(I3770="TP",VLOOKUP(AF3770,TPCalibEqFull!$AZ$2:$BB$56,3),IF(I3770="TDP",VLOOKUP(AF3770,TPCalibEqFull!$AZ$2:$BB$56,3),IF(I3770="TDN",VLOOKUP(AF3770,TNCalibEqFull!$AZ$1:$BB$56,3),IF(I3770="TN",VLOOKUP(AF3770,TNCalibEqFull!$AZ$1:$BB$56,3),FALSE))))</f>
        <v>y=0.3348x2+180.18x-102.36</v>
      </c>
      <c r="AV3770" s="10" t="str">
        <f t="shared" si="426"/>
        <v>0217 08:44:00-EFK-0-C-1-SW-UKN</v>
      </c>
    </row>
    <row r="3771" spans="1:48" s="10" customFormat="1" x14ac:dyDescent="0.55000000000000004">
      <c r="A3771" s="32">
        <v>44974</v>
      </c>
      <c r="B3771" s="33">
        <v>0.35833333333333334</v>
      </c>
      <c r="C3771" s="10" t="s">
        <v>333</v>
      </c>
      <c r="D3771" s="10">
        <v>0</v>
      </c>
      <c r="E3771" s="10" t="s">
        <v>190</v>
      </c>
      <c r="F3771" s="10">
        <v>1</v>
      </c>
      <c r="G3771" s="10" t="s">
        <v>231</v>
      </c>
      <c r="H3771" s="10" t="s">
        <v>322</v>
      </c>
      <c r="I3771" s="10" t="s">
        <v>235</v>
      </c>
      <c r="J3771" s="10">
        <v>4</v>
      </c>
      <c r="K3771" s="12">
        <v>44981</v>
      </c>
      <c r="L3771" s="33">
        <v>0.50763888888888886</v>
      </c>
      <c r="M3771" s="10">
        <v>1</v>
      </c>
      <c r="N3771" s="10" t="s">
        <v>196</v>
      </c>
      <c r="O3771" s="10">
        <v>6.33</v>
      </c>
      <c r="P3771" s="10">
        <v>0.33700000000000002</v>
      </c>
      <c r="Q3771" s="10">
        <v>1070</v>
      </c>
      <c r="R3771" s="10" t="s">
        <v>170</v>
      </c>
      <c r="S3771" s="34">
        <f t="shared" si="423"/>
        <v>1070</v>
      </c>
      <c r="T3771" s="10" t="s">
        <v>1282</v>
      </c>
      <c r="U3771" s="34" t="str">
        <f t="shared" si="424"/>
        <v/>
      </c>
      <c r="V3771" s="31" t="str">
        <f>IF(H3771="CHK",VLOOKUP(I3771,QCCHK,3,),IF(H3771="GUP",VLOOKUP(E3771,QCGUP,2,),IF(AND(H3771="ATP",OR(I3771="TN",I3771="TDN",I3771="TNO2-3",I3771="NO2-3")),VLOOKUP(E3771,QCREC_N,2,),IF(AND(H3771="NIC",OR(I3771="TN",I3771="TDN",I3771="TNO2-3",I3771="NO2-3")),VLOOKUP(E3771,QCNIC_N,2,),IF(AND(H3771="UREA",OR(I3771="TN",I3771="TDN",I3771="TNO2-3",I3771="NO2-3")),VLOOKUP(E3771,QCUREA_N,2,),IF(H3771="PER",VLOOKUP(I3771,QCPER,MATCH(E3771,QCACTUAL!$J$25:$AA$25,0),),IF(H3771="SPK",VLOOKUP(I3771,QCSPK,3,),IF(AND(H3771="ATP",OR(I3771="TP",I3771="TDP")),VLOOKUP(E3771,QCATP_P,2,),""))))))))</f>
        <v/>
      </c>
      <c r="W3771" s="31" t="str">
        <f t="shared" si="425"/>
        <v>TRUE</v>
      </c>
      <c r="X3771" s="31" t="str">
        <f t="shared" si="422"/>
        <v/>
      </c>
      <c r="Y3771" s="10" t="s">
        <v>1275</v>
      </c>
      <c r="Z3771" s="10" t="s">
        <v>910</v>
      </c>
      <c r="AF3771" s="12">
        <v>44981</v>
      </c>
      <c r="AJ3771" s="10">
        <f>2.8761*6.33^2+145.17*6.33-57.22</f>
        <v>976.94826328999989</v>
      </c>
      <c r="AK3771" s="10">
        <f>0.3348*6.33^2+180.18*6.33-102.36</f>
        <v>1051.5944677200002</v>
      </c>
      <c r="AL3771" s="10" t="str">
        <f t="shared" si="427"/>
        <v>FALSE</v>
      </c>
      <c r="AM3771" s="10" t="str">
        <f t="shared" si="427"/>
        <v>FALSE</v>
      </c>
      <c r="AN3771" s="10" t="str">
        <f t="shared" si="427"/>
        <v>FALSE</v>
      </c>
      <c r="AO3771" s="10" t="str">
        <f t="shared" si="428"/>
        <v>y=2.8761*6.33^2+145.17*6.33-57.22</v>
      </c>
      <c r="AP3771" s="10" t="str">
        <f t="shared" si="428"/>
        <v>y=0.3348*6.33^2+180.18*6.33-102.36</v>
      </c>
      <c r="AQ3771" s="10" t="b">
        <f>IF(AND(I3771="TP",S3771&lt;=150),VLOOKUP(AF3771,TPCalibEq150!$AZ$2:$BB$55,3,),IF(AND(I3771="TDP",S3771&lt;=150),VLOOKUP(AF3771,TPCalibEq150!$AZ$2:$BB$55,3,)))</f>
        <v>0</v>
      </c>
      <c r="AR3771" s="10" t="b">
        <f>IF(AND(I3771="TP",S3771&lt;=300),VLOOKUP(AF3771,TPCalibEq300!$AZ$2:$BB$55,3,),IF(AND(I3771="TDP",S3771&lt;=300),VLOOKUP(AF3771,TPCalibEq300!$AZ$2:$BB$55,3,)))</f>
        <v>0</v>
      </c>
      <c r="AS3771" s="10" t="b">
        <f>IF(AND(I3771="TP",S3771&lt;=500),VLOOKUP(AF3771,TPCalibEq500!$AZ$2:$BB$56,3,),IF(AND(I3771="TDP",S3771&lt;=500),VLOOKUP(AF3771,TPCalibEq500!$AZ$2:$BB$56,3,)))</f>
        <v>0</v>
      </c>
      <c r="AT3771" s="10" t="str">
        <f>IF(AND(I3771="TN",S3771&lt;=2800),VLOOKUP(AF3771,TNCalibEq2500!$AZ$2:$BB$56,3,),IF(AND(I3771="TDN",S3771&lt;=2800),VLOOKUP(AF3771,TNCalibEq2500!$AZ$2:$BB$56,3,)))</f>
        <v>y=2.8761x2+145.17x-57.22</v>
      </c>
      <c r="AU3771" s="10" t="str">
        <f>IF(I3771="TP",VLOOKUP(AF3771,TPCalibEqFull!$AZ$2:$BB$56,3),IF(I3771="TDP",VLOOKUP(AF3771,TPCalibEqFull!$AZ$2:$BB$56,3),IF(I3771="TDN",VLOOKUP(AF3771,TNCalibEqFull!$AZ$1:$BB$56,3),IF(I3771="TN",VLOOKUP(AF3771,TNCalibEqFull!$AZ$1:$BB$56,3),FALSE))))</f>
        <v>y=0.3348x2+180.18x-102.36</v>
      </c>
      <c r="AV3771" s="10" t="str">
        <f t="shared" si="426"/>
        <v>0217 08:36:00-HST-0-C-1-SW-UKN</v>
      </c>
    </row>
    <row r="3772" spans="1:48" s="10" customFormat="1" x14ac:dyDescent="0.55000000000000004">
      <c r="A3772" s="32">
        <v>44978</v>
      </c>
      <c r="B3772" s="33">
        <v>0.31597222222222221</v>
      </c>
      <c r="C3772" s="10" t="s">
        <v>279</v>
      </c>
      <c r="D3772" s="10">
        <v>0</v>
      </c>
      <c r="E3772" s="10" t="s">
        <v>190</v>
      </c>
      <c r="F3772" s="10">
        <v>1</v>
      </c>
      <c r="G3772" s="10" t="s">
        <v>231</v>
      </c>
      <c r="H3772" s="10" t="s">
        <v>322</v>
      </c>
      <c r="I3772" s="10" t="s">
        <v>235</v>
      </c>
      <c r="J3772" s="10">
        <v>5</v>
      </c>
      <c r="K3772" s="12">
        <v>44981</v>
      </c>
      <c r="L3772" s="33">
        <v>0.50831018518518511</v>
      </c>
      <c r="M3772" s="10">
        <v>1</v>
      </c>
      <c r="N3772" s="10" t="s">
        <v>196</v>
      </c>
      <c r="O3772" s="10">
        <v>9.1</v>
      </c>
      <c r="P3772" s="10">
        <v>0.44</v>
      </c>
      <c r="Q3772" s="10">
        <v>1600</v>
      </c>
      <c r="R3772" s="10" t="s">
        <v>170</v>
      </c>
      <c r="S3772" s="34">
        <f t="shared" si="423"/>
        <v>1600</v>
      </c>
      <c r="T3772" s="10" t="s">
        <v>1282</v>
      </c>
      <c r="U3772" s="34" t="str">
        <f t="shared" si="424"/>
        <v/>
      </c>
      <c r="V3772" s="31" t="str">
        <f>IF(H3772="CHK",VLOOKUP(I3772,QCCHK,3,),IF(H3772="GUP",VLOOKUP(E3772,QCGUP,2,),IF(AND(H3772="ATP",OR(I3772="TN",I3772="TDN",I3772="TNO2-3",I3772="NO2-3")),VLOOKUP(E3772,QCREC_N,2,),IF(AND(H3772="NIC",OR(I3772="TN",I3772="TDN",I3772="TNO2-3",I3772="NO2-3")),VLOOKUP(E3772,QCNIC_N,2,),IF(AND(H3772="UREA",OR(I3772="TN",I3772="TDN",I3772="TNO2-3",I3772="NO2-3")),VLOOKUP(E3772,QCUREA_N,2,),IF(H3772="PER",VLOOKUP(I3772,QCPER,MATCH(E3772,QCACTUAL!$J$25:$AA$25,0),),IF(H3772="SPK",VLOOKUP(I3772,QCSPK,3,),IF(AND(H3772="ATP",OR(I3772="TP",I3772="TDP")),VLOOKUP(E3772,QCATP_P,2,),""))))))))</f>
        <v/>
      </c>
      <c r="W3772" s="31" t="str">
        <f t="shared" si="425"/>
        <v>TRUE</v>
      </c>
      <c r="X3772" s="31" t="str">
        <f t="shared" si="422"/>
        <v/>
      </c>
      <c r="Y3772" s="10" t="s">
        <v>1275</v>
      </c>
      <c r="AF3772" s="12">
        <v>44981</v>
      </c>
      <c r="AJ3772" s="10">
        <f>2.8761*9.1^2+145.17*9.1-57.22</f>
        <v>1501.9968409999997</v>
      </c>
      <c r="AK3772" s="10">
        <f>0.3348*9.1^2+180.18*9.1-102.36</f>
        <v>1565.002788</v>
      </c>
      <c r="AL3772" s="10" t="str">
        <f t="shared" si="427"/>
        <v>FALSE</v>
      </c>
      <c r="AM3772" s="10" t="str">
        <f t="shared" si="427"/>
        <v>FALSE</v>
      </c>
      <c r="AN3772" s="10" t="str">
        <f t="shared" si="427"/>
        <v>FALSE</v>
      </c>
      <c r="AO3772" s="10" t="str">
        <f t="shared" si="428"/>
        <v>y=2.8761*9.1^2+145.17*9.1-57.22</v>
      </c>
      <c r="AP3772" s="10" t="str">
        <f t="shared" si="428"/>
        <v>y=0.3348*9.1^2+180.18*9.1-102.36</v>
      </c>
      <c r="AQ3772" s="10" t="b">
        <f>IF(AND(I3772="TP",S3772&lt;=150),VLOOKUP(AF3772,TPCalibEq150!$AZ$2:$BB$55,3,),IF(AND(I3772="TDP",S3772&lt;=150),VLOOKUP(AF3772,TPCalibEq150!$AZ$2:$BB$55,3,)))</f>
        <v>0</v>
      </c>
      <c r="AR3772" s="10" t="b">
        <f>IF(AND(I3772="TP",S3772&lt;=300),VLOOKUP(AF3772,TPCalibEq300!$AZ$2:$BB$55,3,),IF(AND(I3772="TDP",S3772&lt;=300),VLOOKUP(AF3772,TPCalibEq300!$AZ$2:$BB$55,3,)))</f>
        <v>0</v>
      </c>
      <c r="AS3772" s="10" t="b">
        <f>IF(AND(I3772="TP",S3772&lt;=500),VLOOKUP(AF3772,TPCalibEq500!$AZ$2:$BB$56,3,),IF(AND(I3772="TDP",S3772&lt;=500),VLOOKUP(AF3772,TPCalibEq500!$AZ$2:$BB$56,3,)))</f>
        <v>0</v>
      </c>
      <c r="AT3772" s="10" t="str">
        <f>IF(AND(I3772="TN",S3772&lt;=2800),VLOOKUP(AF3772,TNCalibEq2500!$AZ$2:$BB$56,3,),IF(AND(I3772="TDN",S3772&lt;=2800),VLOOKUP(AF3772,TNCalibEq2500!$AZ$2:$BB$56,3,)))</f>
        <v>y=2.8761x2+145.17x-57.22</v>
      </c>
      <c r="AU3772" s="10" t="str">
        <f>IF(I3772="TP",VLOOKUP(AF3772,TPCalibEqFull!$AZ$2:$BB$56,3),IF(I3772="TDP",VLOOKUP(AF3772,TPCalibEqFull!$AZ$2:$BB$56,3),IF(I3772="TDN",VLOOKUP(AF3772,TNCalibEqFull!$AZ$1:$BB$56,3),IF(I3772="TN",VLOOKUP(AF3772,TNCalibEqFull!$AZ$1:$BB$56,3),FALSE))))</f>
        <v>y=0.3348x2+180.18x-102.36</v>
      </c>
      <c r="AV3772" s="10" t="str">
        <f t="shared" si="426"/>
        <v>0221 07:35:00-EFK-0-C-1-SW-UKN</v>
      </c>
    </row>
    <row r="3773" spans="1:48" s="10" customFormat="1" x14ac:dyDescent="0.55000000000000004">
      <c r="A3773" s="32">
        <v>44978</v>
      </c>
      <c r="B3773" s="33">
        <v>0.31944444444444448</v>
      </c>
      <c r="C3773" s="10" t="s">
        <v>333</v>
      </c>
      <c r="D3773" s="10">
        <v>0</v>
      </c>
      <c r="E3773" s="10" t="s">
        <v>190</v>
      </c>
      <c r="F3773" s="10">
        <v>1</v>
      </c>
      <c r="G3773" s="10" t="s">
        <v>231</v>
      </c>
      <c r="H3773" s="10" t="s">
        <v>322</v>
      </c>
      <c r="I3773" s="10" t="s">
        <v>235</v>
      </c>
      <c r="J3773" s="10">
        <v>6</v>
      </c>
      <c r="K3773" s="12">
        <v>44981</v>
      </c>
      <c r="L3773" s="33">
        <v>0.50907407407407412</v>
      </c>
      <c r="M3773" s="10">
        <v>1</v>
      </c>
      <c r="N3773" s="10" t="s">
        <v>196</v>
      </c>
      <c r="O3773" s="10">
        <v>5.01</v>
      </c>
      <c r="P3773" s="10">
        <v>0.24299999999999999</v>
      </c>
      <c r="Q3773" s="10">
        <v>824</v>
      </c>
      <c r="R3773" s="10" t="s">
        <v>170</v>
      </c>
      <c r="S3773" s="34">
        <f t="shared" si="423"/>
        <v>824</v>
      </c>
      <c r="T3773" s="10" t="s">
        <v>1282</v>
      </c>
      <c r="U3773" s="34" t="str">
        <f t="shared" si="424"/>
        <v/>
      </c>
      <c r="V3773" s="31" t="str">
        <f>IF(H3773="CHK",VLOOKUP(I3773,QCCHK,3,),IF(H3773="GUP",VLOOKUP(E3773,QCGUP,2,),IF(AND(H3773="ATP",OR(I3773="TN",I3773="TDN",I3773="TNO2-3",I3773="NO2-3")),VLOOKUP(E3773,QCREC_N,2,),IF(AND(H3773="NIC",OR(I3773="TN",I3773="TDN",I3773="TNO2-3",I3773="NO2-3")),VLOOKUP(E3773,QCNIC_N,2,),IF(AND(H3773="UREA",OR(I3773="TN",I3773="TDN",I3773="TNO2-3",I3773="NO2-3")),VLOOKUP(E3773,QCUREA_N,2,),IF(H3773="PER",VLOOKUP(I3773,QCPER,MATCH(E3773,QCACTUAL!$J$25:$AA$25,0),),IF(H3773="SPK",VLOOKUP(I3773,QCSPK,3,),IF(AND(H3773="ATP",OR(I3773="TP",I3773="TDP")),VLOOKUP(E3773,QCATP_P,2,),""))))))))</f>
        <v/>
      </c>
      <c r="W3773" s="31" t="str">
        <f t="shared" si="425"/>
        <v>TRUE</v>
      </c>
      <c r="X3773" s="31" t="str">
        <f t="shared" si="422"/>
        <v/>
      </c>
      <c r="Y3773" s="10" t="s">
        <v>1275</v>
      </c>
      <c r="AF3773" s="12">
        <v>44981</v>
      </c>
      <c r="AJ3773" s="10">
        <f>2.8761*5.01^2+145.17*5.01-57.22</f>
        <v>742.27209760999983</v>
      </c>
      <c r="AK3773" s="10">
        <f>0.3348*5.01^2+180.18*5.01-102.36</f>
        <v>808.74531348000005</v>
      </c>
      <c r="AL3773" s="10" t="str">
        <f t="shared" si="427"/>
        <v>FALSE</v>
      </c>
      <c r="AM3773" s="10" t="str">
        <f t="shared" si="427"/>
        <v>FALSE</v>
      </c>
      <c r="AN3773" s="10" t="str">
        <f t="shared" si="427"/>
        <v>FALSE</v>
      </c>
      <c r="AO3773" s="10" t="str">
        <f t="shared" si="428"/>
        <v>y=2.8761*5.01^2+145.17*5.01-57.22</v>
      </c>
      <c r="AP3773" s="10" t="str">
        <f t="shared" si="428"/>
        <v>y=0.3348*5.01^2+180.18*5.01-102.36</v>
      </c>
      <c r="AQ3773" s="10" t="b">
        <f>IF(AND(I3773="TP",S3773&lt;=150),VLOOKUP(AF3773,TPCalibEq150!$AZ$2:$BB$55,3,),IF(AND(I3773="TDP",S3773&lt;=150),VLOOKUP(AF3773,TPCalibEq150!$AZ$2:$BB$55,3,)))</f>
        <v>0</v>
      </c>
      <c r="AR3773" s="10" t="b">
        <f>IF(AND(I3773="TP",S3773&lt;=300),VLOOKUP(AF3773,TPCalibEq300!$AZ$2:$BB$55,3,),IF(AND(I3773="TDP",S3773&lt;=300),VLOOKUP(AF3773,TPCalibEq300!$AZ$2:$BB$55,3,)))</f>
        <v>0</v>
      </c>
      <c r="AS3773" s="10" t="b">
        <f>IF(AND(I3773="TP",S3773&lt;=500),VLOOKUP(AF3773,TPCalibEq500!$AZ$2:$BB$56,3,),IF(AND(I3773="TDP",S3773&lt;=500),VLOOKUP(AF3773,TPCalibEq500!$AZ$2:$BB$56,3,)))</f>
        <v>0</v>
      </c>
      <c r="AT3773" s="10" t="str">
        <f>IF(AND(I3773="TN",S3773&lt;=2800),VLOOKUP(AF3773,TNCalibEq2500!$AZ$2:$BB$56,3,),IF(AND(I3773="TDN",S3773&lt;=2800),VLOOKUP(AF3773,TNCalibEq2500!$AZ$2:$BB$56,3,)))</f>
        <v>y=2.8761x2+145.17x-57.22</v>
      </c>
      <c r="AU3773" s="10" t="str">
        <f>IF(I3773="TP",VLOOKUP(AF3773,TPCalibEqFull!$AZ$2:$BB$56,3),IF(I3773="TDP",VLOOKUP(AF3773,TPCalibEqFull!$AZ$2:$BB$56,3),IF(I3773="TDN",VLOOKUP(AF3773,TNCalibEqFull!$AZ$1:$BB$56,3),IF(I3773="TN",VLOOKUP(AF3773,TNCalibEqFull!$AZ$1:$BB$56,3),FALSE))))</f>
        <v>y=0.3348x2+180.18x-102.36</v>
      </c>
      <c r="AV3773" s="10" t="str">
        <f t="shared" si="426"/>
        <v>0221 07:40:00-HST-0-C-1-SW-UKN</v>
      </c>
    </row>
    <row r="3774" spans="1:48" s="10" customFormat="1" x14ac:dyDescent="0.55000000000000004">
      <c r="A3774" s="32">
        <v>44978</v>
      </c>
      <c r="B3774" s="33">
        <v>0.31944444444444448</v>
      </c>
      <c r="C3774" s="10" t="s">
        <v>333</v>
      </c>
      <c r="D3774" s="10">
        <v>0</v>
      </c>
      <c r="E3774" s="10" t="s">
        <v>190</v>
      </c>
      <c r="F3774" s="10">
        <v>1</v>
      </c>
      <c r="G3774" s="10" t="s">
        <v>231</v>
      </c>
      <c r="H3774" s="10" t="s">
        <v>233</v>
      </c>
      <c r="I3774" s="10" t="s">
        <v>235</v>
      </c>
      <c r="J3774" s="10">
        <v>6</v>
      </c>
      <c r="K3774" s="12">
        <v>44981</v>
      </c>
      <c r="L3774" s="33">
        <v>0.50964120370370369</v>
      </c>
      <c r="M3774" s="10">
        <v>1</v>
      </c>
      <c r="N3774" s="10" t="s">
        <v>196</v>
      </c>
      <c r="O3774" s="10">
        <v>5.04</v>
      </c>
      <c r="P3774" s="10">
        <v>0.24299999999999999</v>
      </c>
      <c r="Q3774" s="10">
        <v>829</v>
      </c>
      <c r="R3774" s="10" t="s">
        <v>170</v>
      </c>
      <c r="S3774" s="34">
        <f t="shared" si="423"/>
        <v>829</v>
      </c>
      <c r="T3774" s="10" t="s">
        <v>1282</v>
      </c>
      <c r="U3774" s="34">
        <f t="shared" si="424"/>
        <v>0.60496067755595884</v>
      </c>
      <c r="V3774" s="31" t="str">
        <f>IF(H3774="CHK",VLOOKUP(I3774,QCCHK,3,),IF(H3774="GUP",VLOOKUP(E3774,QCGUP,2,),IF(AND(H3774="ATP",OR(I3774="TN",I3774="TDN",I3774="TNO2-3",I3774="NO2-3")),VLOOKUP(E3774,QCREC_N,2,),IF(AND(H3774="NIC",OR(I3774="TN",I3774="TDN",I3774="TNO2-3",I3774="NO2-3")),VLOOKUP(E3774,QCNIC_N,2,),IF(AND(H3774="UREA",OR(I3774="TN",I3774="TDN",I3774="TNO2-3",I3774="NO2-3")),VLOOKUP(E3774,QCUREA_N,2,),IF(H3774="PER",VLOOKUP(I3774,QCPER,MATCH(E3774,QCACTUAL!$J$25:$AA$25,0),),IF(H3774="SPK",VLOOKUP(I3774,QCSPK,3,),IF(AND(H3774="ATP",OR(I3774="TP",I3774="TDP")),VLOOKUP(E3774,QCATP_P,2,),""))))))))</f>
        <v/>
      </c>
      <c r="W3774" s="31" t="str">
        <f t="shared" si="425"/>
        <v>TRUE</v>
      </c>
      <c r="X3774" s="31" t="str">
        <f t="shared" si="422"/>
        <v>((ABS(rep1-rep2))/((rep1+rep2)/2)*100</v>
      </c>
      <c r="Y3774" s="10" t="s">
        <v>1275</v>
      </c>
      <c r="AF3774" s="12">
        <v>44981</v>
      </c>
      <c r="AJ3774" s="10">
        <f>2.8761*5.04^2+145.17*5.04-57.22</f>
        <v>747.49434176</v>
      </c>
      <c r="AK3774" s="10">
        <f>0.3348*5.04^2+180.18*5.04-102.36</f>
        <v>814.25165568</v>
      </c>
      <c r="AL3774" s="10" t="str">
        <f t="shared" si="427"/>
        <v>FALSE</v>
      </c>
      <c r="AM3774" s="10" t="str">
        <f t="shared" si="427"/>
        <v>FALSE</v>
      </c>
      <c r="AN3774" s="10" t="str">
        <f t="shared" si="427"/>
        <v>FALSE</v>
      </c>
      <c r="AO3774" s="10" t="str">
        <f t="shared" si="428"/>
        <v>y=2.8761*5.04^2+145.17*5.04-57.22</v>
      </c>
      <c r="AP3774" s="10" t="str">
        <f t="shared" si="428"/>
        <v>y=0.3348*5.04^2+180.18*5.04-102.36</v>
      </c>
      <c r="AQ3774" s="10" t="b">
        <f>IF(AND(I3774="TP",S3774&lt;=150),VLOOKUP(AF3774,TPCalibEq150!$AZ$2:$BB$55,3,),IF(AND(I3774="TDP",S3774&lt;=150),VLOOKUP(AF3774,TPCalibEq150!$AZ$2:$BB$55,3,)))</f>
        <v>0</v>
      </c>
      <c r="AR3774" s="10" t="b">
        <f>IF(AND(I3774="TP",S3774&lt;=300),VLOOKUP(AF3774,TPCalibEq300!$AZ$2:$BB$55,3,),IF(AND(I3774="TDP",S3774&lt;=300),VLOOKUP(AF3774,TPCalibEq300!$AZ$2:$BB$55,3,)))</f>
        <v>0</v>
      </c>
      <c r="AS3774" s="10" t="b">
        <f>IF(AND(I3774="TP",S3774&lt;=500),VLOOKUP(AF3774,TPCalibEq500!$AZ$2:$BB$56,3,),IF(AND(I3774="TDP",S3774&lt;=500),VLOOKUP(AF3774,TPCalibEq500!$AZ$2:$BB$56,3,)))</f>
        <v>0</v>
      </c>
      <c r="AT3774" s="10" t="str">
        <f>IF(AND(I3774="TN",S3774&lt;=2800),VLOOKUP(AF3774,TNCalibEq2500!$AZ$2:$BB$56,3,),IF(AND(I3774="TDN",S3774&lt;=2800),VLOOKUP(AF3774,TNCalibEq2500!$AZ$2:$BB$56,3,)))</f>
        <v>y=2.8761x2+145.17x-57.22</v>
      </c>
      <c r="AU3774" s="10" t="str">
        <f>IF(I3774="TP",VLOOKUP(AF3774,TPCalibEqFull!$AZ$2:$BB$56,3),IF(I3774="TDP",VLOOKUP(AF3774,TPCalibEqFull!$AZ$2:$BB$56,3),IF(I3774="TDN",VLOOKUP(AF3774,TNCalibEqFull!$AZ$1:$BB$56,3),IF(I3774="TN",VLOOKUP(AF3774,TNCalibEqFull!$AZ$1:$BB$56,3),FALSE))))</f>
        <v>y=0.3348x2+180.18x-102.36</v>
      </c>
      <c r="AV3774" s="10" t="str">
        <f t="shared" si="426"/>
        <v>0221 07:40:00-HST-0-C-1-SW-DUP</v>
      </c>
    </row>
    <row r="3775" spans="1:48" s="10" customFormat="1" x14ac:dyDescent="0.55000000000000004">
      <c r="A3775" s="32">
        <v>44978</v>
      </c>
      <c r="B3775" s="33">
        <v>0.31944444444444448</v>
      </c>
      <c r="C3775" s="10" t="s">
        <v>912</v>
      </c>
      <c r="D3775" s="10">
        <v>0</v>
      </c>
      <c r="E3775" s="10" t="s">
        <v>190</v>
      </c>
      <c r="F3775" s="10">
        <v>1</v>
      </c>
      <c r="G3775" s="10" t="s">
        <v>231</v>
      </c>
      <c r="H3775" s="10" t="s">
        <v>314</v>
      </c>
      <c r="I3775" s="10" t="s">
        <v>235</v>
      </c>
      <c r="J3775" s="10">
        <v>81</v>
      </c>
      <c r="K3775" s="12">
        <v>44981</v>
      </c>
      <c r="L3775" s="33">
        <v>0.51031250000000006</v>
      </c>
      <c r="M3775" s="10">
        <v>1</v>
      </c>
      <c r="N3775" s="10" t="s">
        <v>196</v>
      </c>
      <c r="O3775" s="10">
        <v>18.7</v>
      </c>
      <c r="P3775" s="10">
        <v>0.92900000000000005</v>
      </c>
      <c r="Q3775" s="10">
        <v>3400</v>
      </c>
      <c r="R3775" s="10" t="s">
        <v>170</v>
      </c>
      <c r="S3775" s="34">
        <f t="shared" si="423"/>
        <v>3400</v>
      </c>
      <c r="T3775" s="10" t="s">
        <v>1282</v>
      </c>
      <c r="U3775" s="34">
        <f t="shared" si="424"/>
        <v>102.84</v>
      </c>
      <c r="V3775" s="31">
        <f>IF(H3775="CHK",VLOOKUP(I3775,QCCHK,3,),IF(H3775="GUP",VLOOKUP(E3775,QCGUP,2,),IF(AND(H3775="ATP",OR(I3775="TN",I3775="TDN",I3775="TNO2-3",I3775="NO2-3")),VLOOKUP(E3775,QCREC_N,2,),IF(AND(H3775="NIC",OR(I3775="TN",I3775="TDN",I3775="TNO2-3",I3775="NO2-3")),VLOOKUP(E3775,QCNIC_N,2,),IF(AND(H3775="UREA",OR(I3775="TN",I3775="TDN",I3775="TNO2-3",I3775="NO2-3")),VLOOKUP(E3775,QCUREA_N,2,),IF(H3775="PER",VLOOKUP(I3775,QCPER,MATCH(E3775,QCACTUAL!$J$25:$AA$25,0),),IF(H3775="SPK",VLOOKUP(I3775,QCSPK,3,),IF(AND(H3775="ATP",OR(I3775="TP",I3775="TDP")),VLOOKUP(E3775,QCATP_P,2,),""))))))))</f>
        <v>2500</v>
      </c>
      <c r="W3775" s="31" t="str">
        <f t="shared" si="425"/>
        <v>TRUE</v>
      </c>
      <c r="X3775" s="31" t="str">
        <f t="shared" ref="X3775:X3838" si="429">IF(ISNA(VLOOKUP(H3775,QCEQUATIONS,2,)),"",(VLOOKUP(H3775,QCEQUATIONS,2,)))</f>
        <v>([spikedunkn]-[unkn])/[spike]*100</v>
      </c>
      <c r="Y3775" s="10" t="s">
        <v>1275</v>
      </c>
      <c r="AF3775" s="12">
        <v>44981</v>
      </c>
      <c r="AK3775" s="10">
        <f>0.3348*18.7^2+180.18*18.7-102.36</f>
        <v>3384.0822119999998</v>
      </c>
      <c r="AL3775" s="10" t="str">
        <f t="shared" si="427"/>
        <v>FALSE</v>
      </c>
      <c r="AM3775" s="10" t="str">
        <f t="shared" si="427"/>
        <v>FALSE</v>
      </c>
      <c r="AN3775" s="10" t="str">
        <f t="shared" si="427"/>
        <v>FALSE</v>
      </c>
      <c r="AO3775" s="10" t="str">
        <f t="shared" si="428"/>
        <v>FALSE</v>
      </c>
      <c r="AP3775" s="10" t="str">
        <f t="shared" si="428"/>
        <v>y=0.3348*18.7^2+180.18*18.7-102.36</v>
      </c>
      <c r="AQ3775" s="10" t="b">
        <f>IF(AND(I3775="TP",S3775&lt;=150),VLOOKUP(AF3775,TPCalibEq150!$AZ$2:$BB$55,3,),IF(AND(I3775="TDP",S3775&lt;=150),VLOOKUP(AF3775,TPCalibEq150!$AZ$2:$BB$55,3,)))</f>
        <v>0</v>
      </c>
      <c r="AR3775" s="10" t="b">
        <f>IF(AND(I3775="TP",S3775&lt;=300),VLOOKUP(AF3775,TPCalibEq300!$AZ$2:$BB$55,3,),IF(AND(I3775="TDP",S3775&lt;=300),VLOOKUP(AF3775,TPCalibEq300!$AZ$2:$BB$55,3,)))</f>
        <v>0</v>
      </c>
      <c r="AS3775" s="10" t="b">
        <f>IF(AND(I3775="TP",S3775&lt;=500),VLOOKUP(AF3775,TPCalibEq500!$AZ$2:$BB$56,3,),IF(AND(I3775="TDP",S3775&lt;=500),VLOOKUP(AF3775,TPCalibEq500!$AZ$2:$BB$56,3,)))</f>
        <v>0</v>
      </c>
      <c r="AT3775" s="10" t="b">
        <f>IF(AND(I3775="TN",S3775&lt;=2800),VLOOKUP(AF3775,TNCalibEq2500!$AZ$2:$BB$56,3,),IF(AND(I3775="TDN",S3775&lt;=2800),VLOOKUP(AF3775,TNCalibEq2500!$AZ$2:$BB$56,3,)))</f>
        <v>0</v>
      </c>
      <c r="AU3775" s="10" t="str">
        <f>IF(I3775="TP",VLOOKUP(AF3775,TPCalibEqFull!$AZ$2:$BB$56,3),IF(I3775="TDP",VLOOKUP(AF3775,TPCalibEqFull!$AZ$2:$BB$56,3),IF(I3775="TDN",VLOOKUP(AF3775,TNCalibEqFull!$AZ$1:$BB$56,3),IF(I3775="TN",VLOOKUP(AF3775,TNCalibEqFull!$AZ$1:$BB$56,3),FALSE))))</f>
        <v>y=0.3348x2+180.18x-102.36</v>
      </c>
      <c r="AV3775" s="10" t="str">
        <f t="shared" si="426"/>
        <v>0221 07:40:00-HST -0-C-1-SW-SPK</v>
      </c>
    </row>
    <row r="3776" spans="1:48" s="10" customFormat="1" x14ac:dyDescent="0.55000000000000004">
      <c r="A3776" s="32">
        <v>44979</v>
      </c>
      <c r="B3776" s="33">
        <v>0.375</v>
      </c>
      <c r="C3776" s="10" t="s">
        <v>70</v>
      </c>
      <c r="D3776" s="10" t="s">
        <v>71</v>
      </c>
      <c r="E3776" s="10" t="s">
        <v>901</v>
      </c>
      <c r="F3776" s="10">
        <v>1</v>
      </c>
      <c r="G3776" s="10" t="s">
        <v>73</v>
      </c>
      <c r="H3776" s="10" t="s">
        <v>207</v>
      </c>
      <c r="I3776" s="10" t="s">
        <v>235</v>
      </c>
      <c r="J3776" s="10">
        <v>199</v>
      </c>
      <c r="K3776" s="12">
        <v>44981</v>
      </c>
      <c r="L3776" s="33">
        <v>0.51097222222222227</v>
      </c>
      <c r="M3776" s="10">
        <v>1</v>
      </c>
      <c r="N3776" s="10" t="s">
        <v>196</v>
      </c>
      <c r="O3776" s="10">
        <v>7.36</v>
      </c>
      <c r="P3776" s="10">
        <v>0.35799999999999998</v>
      </c>
      <c r="Q3776" s="10">
        <v>1270</v>
      </c>
      <c r="R3776" s="10" t="s">
        <v>170</v>
      </c>
      <c r="S3776" s="34">
        <f t="shared" ref="S3776:S3839" si="430">IF(OR(AND(I3776&lt;&gt;"TP", I3776&lt;&gt;"TDP",I3776&lt;&gt;"TN", I3776&lt;&gt;"TDN"),H3776="CAL"), Q3776*M3776, IF(OR(AND(I3776="TN", Q3776&gt;2500), AND(I3776="TDN", Q3776&gt;2500)),MAX(Q3776, AK3776)*M3776, IF(OR(AND(I3776="TN", Q3776&lt;=2500), AND(I3776="TDN", Q3776&lt;=2500)),MAX(Q3776, AJ3776,AK3776)*M3776, IF(OR(AND(I3776="TP",Q3776&gt;500), AND(I3776="TDP", Q3776&gt;500)),MAX(Q3776,AK3776)*M3776,IF(OR(AND(I3776="TP",Q3776&lt;=150), AND(I3776="TDP", Q3776&lt;=150)),MAX(Q3776,AG3776:AI3776,AK3776)*M3776,IF(OR(AND(I3776="TP",Q3776&lt;=300), AND(I3776="TDP", Q3776&lt;=300)),MAX(Q3776,AH3776,AI3776,AK3776)*M3776,IF(OR(AND(I3776="TP",Q3776&lt;=500), AND(I3776="TDP", Q3776&lt;=500)),MAX(Q3776,AI3776,AK3776)*M3776,"")))))))</f>
        <v>1270</v>
      </c>
      <c r="T3776" s="10" t="s">
        <v>1282</v>
      </c>
      <c r="U3776" s="34">
        <f t="shared" si="424"/>
        <v>101.6</v>
      </c>
      <c r="V3776" s="31">
        <f>IF(H3776="CHK",VLOOKUP(I3776,QCCHK,3,),IF(H3776="GUP",VLOOKUP(E3776,QCGUP,2,),IF(AND(H3776="ATP",OR(I3776="TN",I3776="TDN",I3776="TNO2-3",I3776="NO2-3")),VLOOKUP(E3776,QCREC_N,2,),IF(AND(H3776="NIC",OR(I3776="TN",I3776="TDN",I3776="TNO2-3",I3776="NO2-3")),VLOOKUP(E3776,QCNIC_N,2,),IF(AND(H3776="UREA",OR(I3776="TN",I3776="TDN",I3776="TNO2-3",I3776="NO2-3")),VLOOKUP(E3776,QCUREA_N,2,),IF(H3776="PER",VLOOKUP(I3776,QCPER,MATCH(E3776,QCACTUAL!$J$25:$AA$25,0),),IF(H3776="SPK",VLOOKUP(I3776,QCSPK,3,),IF(AND(H3776="ATP",OR(I3776="TP",I3776="TDP")),VLOOKUP(E3776,QCATP_P,2,),""))))))))</f>
        <v>1250</v>
      </c>
      <c r="W3776" s="31" t="str">
        <f t="shared" si="425"/>
        <v>TRUE</v>
      </c>
      <c r="X3776" s="31" t="str">
        <f t="shared" si="429"/>
        <v>[chk]/[actual]*100</v>
      </c>
      <c r="Y3776" s="10" t="s">
        <v>1275</v>
      </c>
      <c r="AF3776" s="12">
        <v>44981</v>
      </c>
      <c r="AJ3776" s="10">
        <f>2.8761*7.36^2+145.17*7.36-57.22</f>
        <v>1167.0283865599999</v>
      </c>
      <c r="AK3776" s="10">
        <f>0.3348*7.36^2+180.18*7.36-102.36</f>
        <v>1241.9007820800002</v>
      </c>
      <c r="AL3776" s="10" t="str">
        <f t="shared" si="427"/>
        <v>FALSE</v>
      </c>
      <c r="AM3776" s="10" t="str">
        <f t="shared" si="427"/>
        <v>FALSE</v>
      </c>
      <c r="AN3776" s="10" t="str">
        <f t="shared" si="427"/>
        <v>FALSE</v>
      </c>
      <c r="AO3776" s="10" t="str">
        <f t="shared" si="428"/>
        <v>y=2.8761*7.36^2+145.17*7.36-57.22</v>
      </c>
      <c r="AP3776" s="10" t="str">
        <f t="shared" si="428"/>
        <v>y=0.3348*7.36^2+180.18*7.36-102.36</v>
      </c>
      <c r="AQ3776" s="10" t="b">
        <f>IF(AND(I3776="TP",S3776&lt;=150),VLOOKUP(AF3776,TPCalibEq150!$AZ$2:$BB$55,3,),IF(AND(I3776="TDP",S3776&lt;=150),VLOOKUP(AF3776,TPCalibEq150!$AZ$2:$BB$55,3,)))</f>
        <v>0</v>
      </c>
      <c r="AR3776" s="10" t="b">
        <f>IF(AND(I3776="TP",S3776&lt;=300),VLOOKUP(AF3776,TPCalibEq300!$AZ$2:$BB$55,3,),IF(AND(I3776="TDP",S3776&lt;=300),VLOOKUP(AF3776,TPCalibEq300!$AZ$2:$BB$55,3,)))</f>
        <v>0</v>
      </c>
      <c r="AS3776" s="10" t="b">
        <f>IF(AND(I3776="TP",S3776&lt;=500),VLOOKUP(AF3776,TPCalibEq500!$AZ$2:$BB$56,3,),IF(AND(I3776="TDP",S3776&lt;=500),VLOOKUP(AF3776,TPCalibEq500!$AZ$2:$BB$56,3,)))</f>
        <v>0</v>
      </c>
      <c r="AT3776" s="10" t="str">
        <f>IF(AND(I3776="TN",S3776&lt;=2800),VLOOKUP(AF3776,TNCalibEq2500!$AZ$2:$BB$56,3,),IF(AND(I3776="TDN",S3776&lt;=2800),VLOOKUP(AF3776,TNCalibEq2500!$AZ$2:$BB$56,3,)))</f>
        <v>y=2.8761x2+145.17x-57.22</v>
      </c>
      <c r="AU3776" s="10" t="str">
        <f>IF(I3776="TP",VLOOKUP(AF3776,TPCalibEqFull!$AZ$2:$BB$56,3),IF(I3776="TDP",VLOOKUP(AF3776,TPCalibEqFull!$AZ$2:$BB$56,3),IF(I3776="TDN",VLOOKUP(AF3776,TNCalibEqFull!$AZ$1:$BB$56,3),IF(I3776="TN",VLOOKUP(AF3776,TNCalibEqFull!$AZ$1:$BB$56,3),FALSE))))</f>
        <v>y=0.3348x2+180.18x-102.36</v>
      </c>
      <c r="AV3776" s="10" t="str">
        <f t="shared" si="426"/>
        <v>0222 09:00:00-QAC-STD-D-1-DI-CHK</v>
      </c>
    </row>
    <row r="3777" spans="1:48" s="10" customFormat="1" x14ac:dyDescent="0.55000000000000004">
      <c r="A3777" s="32">
        <v>44978</v>
      </c>
      <c r="B3777" s="33">
        <v>0.4777777777777778</v>
      </c>
      <c r="C3777" s="10" t="s">
        <v>431</v>
      </c>
      <c r="D3777" s="10">
        <v>0</v>
      </c>
      <c r="E3777" s="10">
        <v>240</v>
      </c>
      <c r="F3777" s="10">
        <v>1</v>
      </c>
      <c r="G3777" s="10" t="s">
        <v>231</v>
      </c>
      <c r="H3777" s="10" t="s">
        <v>322</v>
      </c>
      <c r="I3777" s="10" t="s">
        <v>235</v>
      </c>
      <c r="J3777" s="10">
        <v>7</v>
      </c>
      <c r="K3777" s="12">
        <v>44981</v>
      </c>
      <c r="L3777" s="33">
        <v>0.51165509259259256</v>
      </c>
      <c r="M3777" s="10">
        <v>1</v>
      </c>
      <c r="N3777" s="10" t="s">
        <v>196</v>
      </c>
      <c r="O3777" s="10">
        <v>9.9</v>
      </c>
      <c r="P3777" s="10">
        <v>0.47799999999999998</v>
      </c>
      <c r="Q3777" s="10">
        <v>1750</v>
      </c>
      <c r="R3777" s="10" t="s">
        <v>170</v>
      </c>
      <c r="S3777" s="34">
        <f t="shared" si="430"/>
        <v>1750</v>
      </c>
      <c r="T3777" s="10" t="s">
        <v>1282</v>
      </c>
      <c r="U3777" s="34" t="str">
        <f t="shared" si="424"/>
        <v/>
      </c>
      <c r="V3777" s="31" t="str">
        <f>IF(H3777="CHK",VLOOKUP(I3777,QCCHK,3,),IF(H3777="GUP",VLOOKUP(E3777,QCGUP,2,),IF(AND(H3777="ATP",OR(I3777="TN",I3777="TDN",I3777="TNO2-3",I3777="NO2-3")),VLOOKUP(E3777,QCREC_N,2,),IF(AND(H3777="NIC",OR(I3777="TN",I3777="TDN",I3777="TNO2-3",I3777="NO2-3")),VLOOKUP(E3777,QCNIC_N,2,),IF(AND(H3777="UREA",OR(I3777="TN",I3777="TDN",I3777="TNO2-3",I3777="NO2-3")),VLOOKUP(E3777,QCUREA_N,2,),IF(H3777="PER",VLOOKUP(I3777,QCPER,MATCH(E3777,QCACTUAL!$J$25:$AA$25,0),),IF(H3777="SPK",VLOOKUP(I3777,QCSPK,3,),IF(AND(H3777="ATP",OR(I3777="TP",I3777="TDP")),VLOOKUP(E3777,QCATP_P,2,),""))))))))</f>
        <v/>
      </c>
      <c r="W3777" s="31" t="str">
        <f t="shared" si="425"/>
        <v>TRUE</v>
      </c>
      <c r="X3777" s="31" t="str">
        <f t="shared" si="429"/>
        <v/>
      </c>
      <c r="Y3777" s="10" t="s">
        <v>1275</v>
      </c>
      <c r="AF3777" s="12">
        <v>44981</v>
      </c>
      <c r="AJ3777" s="10">
        <f>2.8761*9.9^2+145.17*9.9-57.22</f>
        <v>1661.849561</v>
      </c>
      <c r="AK3777" s="10">
        <f>0.3348*9.9^2+180.18*9.9-102.36</f>
        <v>1714.2357480000003</v>
      </c>
      <c r="AL3777" s="10" t="str">
        <f t="shared" si="427"/>
        <v>FALSE</v>
      </c>
      <c r="AM3777" s="10" t="str">
        <f t="shared" si="427"/>
        <v>FALSE</v>
      </c>
      <c r="AN3777" s="10" t="str">
        <f t="shared" si="427"/>
        <v>FALSE</v>
      </c>
      <c r="AO3777" s="10" t="str">
        <f t="shared" si="428"/>
        <v>y=2.8761*9.9^2+145.17*9.9-57.22</v>
      </c>
      <c r="AP3777" s="10" t="str">
        <f t="shared" si="428"/>
        <v>y=0.3348*9.9^2+180.18*9.9-102.36</v>
      </c>
      <c r="AQ3777" s="10" t="b">
        <f>IF(AND(I3777="TP",S3777&lt;=150),VLOOKUP(AF3777,TPCalibEq150!$AZ$2:$BB$55,3,),IF(AND(I3777="TDP",S3777&lt;=150),VLOOKUP(AF3777,TPCalibEq150!$AZ$2:$BB$55,3,)))</f>
        <v>0</v>
      </c>
      <c r="AR3777" s="10" t="b">
        <f>IF(AND(I3777="TP",S3777&lt;=300),VLOOKUP(AF3777,TPCalibEq300!$AZ$2:$BB$55,3,),IF(AND(I3777="TDP",S3777&lt;=300),VLOOKUP(AF3777,TPCalibEq300!$AZ$2:$BB$55,3,)))</f>
        <v>0</v>
      </c>
      <c r="AS3777" s="10" t="b">
        <f>IF(AND(I3777="TP",S3777&lt;=500),VLOOKUP(AF3777,TPCalibEq500!$AZ$2:$BB$56,3,),IF(AND(I3777="TDP",S3777&lt;=500),VLOOKUP(AF3777,TPCalibEq500!$AZ$2:$BB$56,3,)))</f>
        <v>0</v>
      </c>
      <c r="AT3777" s="10" t="str">
        <f>IF(AND(I3777="TN",S3777&lt;=2800),VLOOKUP(AF3777,TNCalibEq2500!$AZ$2:$BB$56,3,),IF(AND(I3777="TDN",S3777&lt;=2800),VLOOKUP(AF3777,TNCalibEq2500!$AZ$2:$BB$56,3,)))</f>
        <v>y=2.8761x2+145.17x-57.22</v>
      </c>
      <c r="AU3777" s="10" t="str">
        <f>IF(I3777="TP",VLOOKUP(AF3777,TPCalibEqFull!$AZ$2:$BB$56,3),IF(I3777="TDP",VLOOKUP(AF3777,TPCalibEqFull!$AZ$2:$BB$56,3),IF(I3777="TDN",VLOOKUP(AF3777,TNCalibEqFull!$AZ$1:$BB$56,3),IF(I3777="TN",VLOOKUP(AF3777,TNCalibEqFull!$AZ$1:$BB$56,3),FALSE))))</f>
        <v>y=0.3348x2+180.18x-102.36</v>
      </c>
      <c r="AV3777" s="10" t="str">
        <f t="shared" si="426"/>
        <v>0221 11:28:00-EUS-0-240-1-SW-UKN</v>
      </c>
    </row>
    <row r="3778" spans="1:48" s="10" customFormat="1" x14ac:dyDescent="0.55000000000000004">
      <c r="A3778" s="32">
        <v>44978</v>
      </c>
      <c r="B3778" s="33">
        <v>0.48055555555555557</v>
      </c>
      <c r="C3778" s="10" t="s">
        <v>431</v>
      </c>
      <c r="D3778" s="10">
        <v>5</v>
      </c>
      <c r="E3778" s="10" t="s">
        <v>190</v>
      </c>
      <c r="F3778" s="10">
        <v>1</v>
      </c>
      <c r="G3778" s="10" t="s">
        <v>231</v>
      </c>
      <c r="H3778" s="10" t="s">
        <v>322</v>
      </c>
      <c r="I3778" s="10" t="s">
        <v>235</v>
      </c>
      <c r="J3778" s="10">
        <v>8</v>
      </c>
      <c r="K3778" s="12">
        <v>44981</v>
      </c>
      <c r="L3778" s="33">
        <v>0.51231481481481478</v>
      </c>
      <c r="M3778" s="10">
        <v>1</v>
      </c>
      <c r="N3778" s="10" t="s">
        <v>196</v>
      </c>
      <c r="O3778" s="10">
        <v>9.1300000000000008</v>
      </c>
      <c r="P3778" s="10">
        <v>0.442</v>
      </c>
      <c r="Q3778" s="10">
        <v>1600</v>
      </c>
      <c r="R3778" s="10" t="s">
        <v>170</v>
      </c>
      <c r="S3778" s="34">
        <f t="shared" si="430"/>
        <v>1600</v>
      </c>
      <c r="T3778" s="10" t="s">
        <v>1282</v>
      </c>
      <c r="U3778" s="34" t="str">
        <f t="shared" ref="U3778:U3841" si="431">IF(OR(H3778="CHK",H3778="ATP",H3778="GUP",H3778="PER", H3778="NIC", H3778="UREA"),(S3778/V3778*100),IF(H3778="DUP",((ABS(S3778-S3777))/((S3777+S3778)/2))*100,IF(H3778="SPK",((S3778-S3777)/V3778*100),IF(OR(H3778="LAB",H3778="FLD",H3778="ESF"),S3778,""))))</f>
        <v/>
      </c>
      <c r="V3778" s="31" t="str">
        <f>IF(H3778="CHK",VLOOKUP(I3778,QCCHK,3,),IF(H3778="GUP",VLOOKUP(E3778,QCGUP,2,),IF(AND(H3778="ATP",OR(I3778="TN",I3778="TDN",I3778="TNO2-3",I3778="NO2-3")),VLOOKUP(E3778,QCREC_N,2,),IF(AND(H3778="NIC",OR(I3778="TN",I3778="TDN",I3778="TNO2-3",I3778="NO2-3")),VLOOKUP(E3778,QCNIC_N,2,),IF(AND(H3778="UREA",OR(I3778="TN",I3778="TDN",I3778="TNO2-3",I3778="NO2-3")),VLOOKUP(E3778,QCUREA_N,2,),IF(H3778="PER",VLOOKUP(I3778,QCPER,MATCH(E3778,QCACTUAL!$J$25:$AA$25,0),),IF(H3778="SPK",VLOOKUP(I3778,QCSPK,3,),IF(AND(H3778="ATP",OR(I3778="TP",I3778="TDP")),VLOOKUP(E3778,QCATP_P,2,),""))))))))</f>
        <v/>
      </c>
      <c r="W3778" s="31" t="str">
        <f t="shared" ref="W3778:W3841" si="432">IF(AND(OR(H3778="PER",H3778="ATP",H3778="GUP",H3778="CHK",H3778="SPK", H3778="NIC"),OR(U3778&gt;125,U3778&lt;75)),"FALSE",IF(AND(H3778="DUP",OR(U3778&gt;25, U3778&lt;-25)),"FALSE",IF(AND(OR(H3778="LAB",H3778="FLD",H3778="ESF"),U3778&gt;15),"FALSE","TRUE")))</f>
        <v>TRUE</v>
      </c>
      <c r="X3778" s="31" t="str">
        <f t="shared" si="429"/>
        <v/>
      </c>
      <c r="Y3778" s="10" t="s">
        <v>1275</v>
      </c>
      <c r="AF3778" s="12">
        <v>44981</v>
      </c>
      <c r="AJ3778" s="10">
        <f>2.8761*9.13^2+145.17*9.13-57.22</f>
        <v>1507.92488009</v>
      </c>
      <c r="AK3778" s="10">
        <f>0.3348*9.13^2+180.18*9.13-102.36</f>
        <v>1570.5912901200004</v>
      </c>
      <c r="AL3778" s="10" t="str">
        <f t="shared" si="427"/>
        <v>FALSE</v>
      </c>
      <c r="AM3778" s="10" t="str">
        <f t="shared" si="427"/>
        <v>FALSE</v>
      </c>
      <c r="AN3778" s="10" t="str">
        <f t="shared" si="427"/>
        <v>FALSE</v>
      </c>
      <c r="AO3778" s="10" t="str">
        <f t="shared" si="428"/>
        <v>y=2.8761*9.13^2+145.17*9.13-57.22</v>
      </c>
      <c r="AP3778" s="10" t="str">
        <f t="shared" si="428"/>
        <v>y=0.3348*9.13^2+180.18*9.13-102.36</v>
      </c>
      <c r="AQ3778" s="10" t="b">
        <f>IF(AND(I3778="TP",S3778&lt;=150),VLOOKUP(AF3778,TPCalibEq150!$AZ$2:$BB$55,3,),IF(AND(I3778="TDP",S3778&lt;=150),VLOOKUP(AF3778,TPCalibEq150!$AZ$2:$BB$55,3,)))</f>
        <v>0</v>
      </c>
      <c r="AR3778" s="10" t="b">
        <f>IF(AND(I3778="TP",S3778&lt;=300),VLOOKUP(AF3778,TPCalibEq300!$AZ$2:$BB$55,3,),IF(AND(I3778="TDP",S3778&lt;=300),VLOOKUP(AF3778,TPCalibEq300!$AZ$2:$BB$55,3,)))</f>
        <v>0</v>
      </c>
      <c r="AS3778" s="10" t="b">
        <f>IF(AND(I3778="TP",S3778&lt;=500),VLOOKUP(AF3778,TPCalibEq500!$AZ$2:$BB$56,3,),IF(AND(I3778="TDP",S3778&lt;=500),VLOOKUP(AF3778,TPCalibEq500!$AZ$2:$BB$56,3,)))</f>
        <v>0</v>
      </c>
      <c r="AT3778" s="10" t="str">
        <f>IF(AND(I3778="TN",S3778&lt;=2800),VLOOKUP(AF3778,TNCalibEq2500!$AZ$2:$BB$56,3,),IF(AND(I3778="TDN",S3778&lt;=2800),VLOOKUP(AF3778,TNCalibEq2500!$AZ$2:$BB$56,3,)))</f>
        <v>y=2.8761x2+145.17x-57.22</v>
      </c>
      <c r="AU3778" s="10" t="str">
        <f>IF(I3778="TP",VLOOKUP(AF3778,TPCalibEqFull!$AZ$2:$BB$56,3),IF(I3778="TDP",VLOOKUP(AF3778,TPCalibEqFull!$AZ$2:$BB$56,3),IF(I3778="TDN",VLOOKUP(AF3778,TNCalibEqFull!$AZ$1:$BB$56,3),IF(I3778="TN",VLOOKUP(AF3778,TNCalibEqFull!$AZ$1:$BB$56,3),FALSE))))</f>
        <v>y=0.3348x2+180.18x-102.36</v>
      </c>
      <c r="AV3778" s="10" t="str">
        <f t="shared" ref="AV3778:AV3841" si="433">TEXT(A3778, "MMDD")&amp;" "&amp;TEXT(B3778, "HH:MM:SS")&amp;"-"&amp;C3778&amp;"-"&amp;D3778&amp;"-"&amp;E3778&amp;"-"&amp;F3778&amp;"-"&amp;G3778&amp;"-"&amp;H3778</f>
        <v>0221 11:32:00-EUS-5-C-1-SW-UKN</v>
      </c>
    </row>
    <row r="3779" spans="1:48" s="10" customFormat="1" x14ac:dyDescent="0.55000000000000004">
      <c r="A3779" s="32">
        <v>44978</v>
      </c>
      <c r="B3779" s="33">
        <v>0.49444444444444446</v>
      </c>
      <c r="C3779" s="10" t="s">
        <v>618</v>
      </c>
      <c r="D3779" s="10">
        <v>0</v>
      </c>
      <c r="E3779" s="10">
        <v>180</v>
      </c>
      <c r="F3779" s="10">
        <v>1</v>
      </c>
      <c r="G3779" s="10" t="s">
        <v>231</v>
      </c>
      <c r="H3779" s="10" t="s">
        <v>322</v>
      </c>
      <c r="I3779" s="10" t="s">
        <v>235</v>
      </c>
      <c r="J3779" s="10">
        <v>9</v>
      </c>
      <c r="K3779" s="12">
        <v>44981</v>
      </c>
      <c r="L3779" s="33">
        <v>0.51298611111111114</v>
      </c>
      <c r="M3779" s="10">
        <v>1</v>
      </c>
      <c r="N3779" s="10" t="s">
        <v>196</v>
      </c>
      <c r="O3779" s="10">
        <v>8.0299999999999994</v>
      </c>
      <c r="P3779" s="10">
        <v>0.38800000000000001</v>
      </c>
      <c r="Q3779" s="10">
        <v>1390</v>
      </c>
      <c r="R3779" s="10" t="s">
        <v>170</v>
      </c>
      <c r="S3779" s="34">
        <f t="shared" si="430"/>
        <v>1390</v>
      </c>
      <c r="T3779" s="10" t="s">
        <v>1282</v>
      </c>
      <c r="U3779" s="34" t="str">
        <f t="shared" si="431"/>
        <v/>
      </c>
      <c r="V3779" s="31" t="str">
        <f>IF(H3779="CHK",VLOOKUP(I3779,QCCHK,3,),IF(H3779="GUP",VLOOKUP(E3779,QCGUP,2,),IF(AND(H3779="ATP",OR(I3779="TN",I3779="TDN",I3779="TNO2-3",I3779="NO2-3")),VLOOKUP(E3779,QCREC_N,2,),IF(AND(H3779="NIC",OR(I3779="TN",I3779="TDN",I3779="TNO2-3",I3779="NO2-3")),VLOOKUP(E3779,QCNIC_N,2,),IF(AND(H3779="UREA",OR(I3779="TN",I3779="TDN",I3779="TNO2-3",I3779="NO2-3")),VLOOKUP(E3779,QCUREA_N,2,),IF(H3779="PER",VLOOKUP(I3779,QCPER,MATCH(E3779,QCACTUAL!$J$25:$AA$25,0),),IF(H3779="SPK",VLOOKUP(I3779,QCSPK,3,),IF(AND(H3779="ATP",OR(I3779="TP",I3779="TDP")),VLOOKUP(E3779,QCATP_P,2,),""))))))))</f>
        <v/>
      </c>
      <c r="W3779" s="31" t="str">
        <f t="shared" si="432"/>
        <v>TRUE</v>
      </c>
      <c r="X3779" s="31" t="str">
        <f t="shared" si="429"/>
        <v/>
      </c>
      <c r="Y3779" s="10" t="s">
        <v>1275</v>
      </c>
      <c r="AF3779" s="12">
        <v>44981</v>
      </c>
      <c r="AJ3779" s="10">
        <f>2.8761*8.03^2+145.17*8.03-57.22</f>
        <v>1293.9486164899997</v>
      </c>
      <c r="AK3779" s="10">
        <f>0.3348*8.03^2+180.18*8.03-102.36</f>
        <v>1366.0736053200001</v>
      </c>
      <c r="AL3779" s="10" t="str">
        <f t="shared" si="427"/>
        <v>FALSE</v>
      </c>
      <c r="AM3779" s="10" t="str">
        <f t="shared" si="427"/>
        <v>FALSE</v>
      </c>
      <c r="AN3779" s="10" t="str">
        <f t="shared" si="427"/>
        <v>FALSE</v>
      </c>
      <c r="AO3779" s="10" t="str">
        <f t="shared" si="428"/>
        <v>y=2.8761*8.03^2+145.17*8.03-57.22</v>
      </c>
      <c r="AP3779" s="10" t="str">
        <f t="shared" si="428"/>
        <v>y=0.3348*8.03^2+180.18*8.03-102.36</v>
      </c>
      <c r="AQ3779" s="10" t="b">
        <f>IF(AND(I3779="TP",S3779&lt;=150),VLOOKUP(AF3779,TPCalibEq150!$AZ$2:$BB$55,3,),IF(AND(I3779="TDP",S3779&lt;=150),VLOOKUP(AF3779,TPCalibEq150!$AZ$2:$BB$55,3,)))</f>
        <v>0</v>
      </c>
      <c r="AR3779" s="10" t="b">
        <f>IF(AND(I3779="TP",S3779&lt;=300),VLOOKUP(AF3779,TPCalibEq300!$AZ$2:$BB$55,3,),IF(AND(I3779="TDP",S3779&lt;=300),VLOOKUP(AF3779,TPCalibEq300!$AZ$2:$BB$55,3,)))</f>
        <v>0</v>
      </c>
      <c r="AS3779" s="10" t="b">
        <f>IF(AND(I3779="TP",S3779&lt;=500),VLOOKUP(AF3779,TPCalibEq500!$AZ$2:$BB$56,3,),IF(AND(I3779="TDP",S3779&lt;=500),VLOOKUP(AF3779,TPCalibEq500!$AZ$2:$BB$56,3,)))</f>
        <v>0</v>
      </c>
      <c r="AT3779" s="10" t="str">
        <f>IF(AND(I3779="TN",S3779&lt;=2800),VLOOKUP(AF3779,TNCalibEq2500!$AZ$2:$BB$56,3,),IF(AND(I3779="TDN",S3779&lt;=2800),VLOOKUP(AF3779,TNCalibEq2500!$AZ$2:$BB$56,3,)))</f>
        <v>y=2.8761x2+145.17x-57.22</v>
      </c>
      <c r="AU3779" s="10" t="str">
        <f>IF(I3779="TP",VLOOKUP(AF3779,TPCalibEqFull!$AZ$2:$BB$56,3),IF(I3779="TDP",VLOOKUP(AF3779,TPCalibEqFull!$AZ$2:$BB$56,3),IF(I3779="TDN",VLOOKUP(AF3779,TNCalibEqFull!$AZ$1:$BB$56,3),IF(I3779="TN",VLOOKUP(AF3779,TNCalibEqFull!$AZ$1:$BB$56,3),FALSE))))</f>
        <v>y=0.3348x2+180.18x-102.36</v>
      </c>
      <c r="AV3779" s="10" t="str">
        <f t="shared" si="433"/>
        <v>0221 11:52:00-ECP-0-180-1-SW-UKN</v>
      </c>
    </row>
    <row r="3780" spans="1:48" s="10" customFormat="1" x14ac:dyDescent="0.55000000000000004">
      <c r="A3780" s="32">
        <v>44978</v>
      </c>
      <c r="B3780" s="33">
        <v>0.49444444444444446</v>
      </c>
      <c r="C3780" s="10" t="s">
        <v>618</v>
      </c>
      <c r="D3780" s="10">
        <v>0</v>
      </c>
      <c r="E3780" s="10">
        <v>180</v>
      </c>
      <c r="F3780" s="10">
        <v>2</v>
      </c>
      <c r="G3780" s="10" t="s">
        <v>231</v>
      </c>
      <c r="H3780" s="10" t="s">
        <v>322</v>
      </c>
      <c r="I3780" s="10" t="s">
        <v>235</v>
      </c>
      <c r="J3780" s="10">
        <v>10</v>
      </c>
      <c r="K3780" s="12">
        <v>44981</v>
      </c>
      <c r="L3780" s="33">
        <v>0.51363425925925921</v>
      </c>
      <c r="M3780" s="10">
        <v>1</v>
      </c>
      <c r="N3780" s="10" t="s">
        <v>196</v>
      </c>
      <c r="O3780" s="10">
        <v>7.97</v>
      </c>
      <c r="P3780" s="10">
        <v>0.38500000000000001</v>
      </c>
      <c r="Q3780" s="10">
        <v>1380</v>
      </c>
      <c r="R3780" s="10" t="s">
        <v>170</v>
      </c>
      <c r="S3780" s="34">
        <f t="shared" si="430"/>
        <v>1380</v>
      </c>
      <c r="T3780" s="10" t="s">
        <v>1282</v>
      </c>
      <c r="U3780" s="34" t="str">
        <f t="shared" si="431"/>
        <v/>
      </c>
      <c r="V3780" s="31" t="str">
        <f>IF(H3780="CHK",VLOOKUP(I3780,QCCHK,3,),IF(H3780="GUP",VLOOKUP(E3780,QCGUP,2,),IF(AND(H3780="ATP",OR(I3780="TN",I3780="TDN",I3780="TNO2-3",I3780="NO2-3")),VLOOKUP(E3780,QCREC_N,2,),IF(AND(H3780="NIC",OR(I3780="TN",I3780="TDN",I3780="TNO2-3",I3780="NO2-3")),VLOOKUP(E3780,QCNIC_N,2,),IF(AND(H3780="UREA",OR(I3780="TN",I3780="TDN",I3780="TNO2-3",I3780="NO2-3")),VLOOKUP(E3780,QCUREA_N,2,),IF(H3780="PER",VLOOKUP(I3780,QCPER,MATCH(E3780,QCACTUAL!$J$25:$AA$25,0),),IF(H3780="SPK",VLOOKUP(I3780,QCSPK,3,),IF(AND(H3780="ATP",OR(I3780="TP",I3780="TDP")),VLOOKUP(E3780,QCATP_P,2,),""))))))))</f>
        <v/>
      </c>
      <c r="W3780" s="31" t="str">
        <f t="shared" si="432"/>
        <v>TRUE</v>
      </c>
      <c r="X3780" s="31" t="str">
        <f t="shared" si="429"/>
        <v/>
      </c>
      <c r="Y3780" s="10" t="s">
        <v>1275</v>
      </c>
      <c r="AF3780" s="12">
        <v>44981</v>
      </c>
      <c r="AJ3780" s="10">
        <f>2.8761*7.97^2+145.17*7.97-57.22</f>
        <v>1282.4773604899999</v>
      </c>
      <c r="AK3780" s="10">
        <f>0.3348*7.97^2+180.18*7.97-102.36</f>
        <v>1354.9413973200001</v>
      </c>
      <c r="AL3780" s="10" t="str">
        <f t="shared" si="427"/>
        <v>FALSE</v>
      </c>
      <c r="AM3780" s="10" t="str">
        <f t="shared" si="427"/>
        <v>FALSE</v>
      </c>
      <c r="AN3780" s="10" t="str">
        <f t="shared" si="427"/>
        <v>FALSE</v>
      </c>
      <c r="AO3780" s="10" t="str">
        <f t="shared" si="428"/>
        <v>y=2.8761*7.97^2+145.17*7.97-57.22</v>
      </c>
      <c r="AP3780" s="10" t="str">
        <f t="shared" si="428"/>
        <v>y=0.3348*7.97^2+180.18*7.97-102.36</v>
      </c>
      <c r="AQ3780" s="10" t="b">
        <f>IF(AND(I3780="TP",S3780&lt;=150),VLOOKUP(AF3780,TPCalibEq150!$AZ$2:$BB$55,3,),IF(AND(I3780="TDP",S3780&lt;=150),VLOOKUP(AF3780,TPCalibEq150!$AZ$2:$BB$55,3,)))</f>
        <v>0</v>
      </c>
      <c r="AR3780" s="10" t="b">
        <f>IF(AND(I3780="TP",S3780&lt;=300),VLOOKUP(AF3780,TPCalibEq300!$AZ$2:$BB$55,3,),IF(AND(I3780="TDP",S3780&lt;=300),VLOOKUP(AF3780,TPCalibEq300!$AZ$2:$BB$55,3,)))</f>
        <v>0</v>
      </c>
      <c r="AS3780" s="10" t="b">
        <f>IF(AND(I3780="TP",S3780&lt;=500),VLOOKUP(AF3780,TPCalibEq500!$AZ$2:$BB$56,3,),IF(AND(I3780="TDP",S3780&lt;=500),VLOOKUP(AF3780,TPCalibEq500!$AZ$2:$BB$56,3,)))</f>
        <v>0</v>
      </c>
      <c r="AT3780" s="10" t="str">
        <f>IF(AND(I3780="TN",S3780&lt;=2800),VLOOKUP(AF3780,TNCalibEq2500!$AZ$2:$BB$56,3,),IF(AND(I3780="TDN",S3780&lt;=2800),VLOOKUP(AF3780,TNCalibEq2500!$AZ$2:$BB$56,3,)))</f>
        <v>y=2.8761x2+145.17x-57.22</v>
      </c>
      <c r="AU3780" s="10" t="str">
        <f>IF(I3780="TP",VLOOKUP(AF3780,TPCalibEqFull!$AZ$2:$BB$56,3),IF(I3780="TDP",VLOOKUP(AF3780,TPCalibEqFull!$AZ$2:$BB$56,3),IF(I3780="TDN",VLOOKUP(AF3780,TNCalibEqFull!$AZ$1:$BB$56,3),IF(I3780="TN",VLOOKUP(AF3780,TNCalibEqFull!$AZ$1:$BB$56,3),FALSE))))</f>
        <v>y=0.3348x2+180.18x-102.36</v>
      </c>
      <c r="AV3780" s="10" t="str">
        <f t="shared" si="433"/>
        <v>0221 11:52:00-ECP-0-180-2-SW-UKN</v>
      </c>
    </row>
    <row r="3781" spans="1:48" s="10" customFormat="1" x14ac:dyDescent="0.55000000000000004">
      <c r="A3781" s="32">
        <v>44978</v>
      </c>
      <c r="B3781" s="33">
        <v>0.49444444444444446</v>
      </c>
      <c r="C3781" s="10" t="s">
        <v>618</v>
      </c>
      <c r="D3781" s="10">
        <v>0</v>
      </c>
      <c r="E3781" s="10">
        <v>180</v>
      </c>
      <c r="F3781" s="10">
        <v>2</v>
      </c>
      <c r="G3781" s="10" t="s">
        <v>231</v>
      </c>
      <c r="H3781" s="10" t="s">
        <v>233</v>
      </c>
      <c r="I3781" s="10" t="s">
        <v>235</v>
      </c>
      <c r="J3781" s="10">
        <v>10</v>
      </c>
      <c r="K3781" s="12">
        <v>44981</v>
      </c>
      <c r="L3781" s="33">
        <v>0.51430555555555557</v>
      </c>
      <c r="M3781" s="10">
        <v>1</v>
      </c>
      <c r="N3781" s="10" t="s">
        <v>196</v>
      </c>
      <c r="O3781" s="10">
        <v>7.99</v>
      </c>
      <c r="P3781" s="10">
        <v>0.38600000000000001</v>
      </c>
      <c r="Q3781" s="10">
        <v>1390</v>
      </c>
      <c r="R3781" s="10" t="s">
        <v>170</v>
      </c>
      <c r="S3781" s="34">
        <f t="shared" si="430"/>
        <v>1390</v>
      </c>
      <c r="T3781" s="10" t="s">
        <v>1282</v>
      </c>
      <c r="U3781" s="34">
        <f t="shared" si="431"/>
        <v>0.72202166064981954</v>
      </c>
      <c r="V3781" s="31" t="str">
        <f>IF(H3781="CHK",VLOOKUP(I3781,QCCHK,3,),IF(H3781="GUP",VLOOKUP(E3781,QCGUP,2,),IF(AND(H3781="ATP",OR(I3781="TN",I3781="TDN",I3781="TNO2-3",I3781="NO2-3")),VLOOKUP(E3781,QCREC_N,2,),IF(AND(H3781="NIC",OR(I3781="TN",I3781="TDN",I3781="TNO2-3",I3781="NO2-3")),VLOOKUP(E3781,QCNIC_N,2,),IF(AND(H3781="UREA",OR(I3781="TN",I3781="TDN",I3781="TNO2-3",I3781="NO2-3")),VLOOKUP(E3781,QCUREA_N,2,),IF(H3781="PER",VLOOKUP(I3781,QCPER,MATCH(E3781,QCACTUAL!$J$25:$AA$25,0),),IF(H3781="SPK",VLOOKUP(I3781,QCSPK,3,),IF(AND(H3781="ATP",OR(I3781="TP",I3781="TDP")),VLOOKUP(E3781,QCATP_P,2,),""))))))))</f>
        <v/>
      </c>
      <c r="W3781" s="31" t="str">
        <f t="shared" si="432"/>
        <v>TRUE</v>
      </c>
      <c r="X3781" s="31" t="str">
        <f t="shared" si="429"/>
        <v>((ABS(rep1-rep2))/((rep1+rep2)/2)*100</v>
      </c>
      <c r="Y3781" s="10" t="s">
        <v>1275</v>
      </c>
      <c r="AF3781" s="12">
        <v>44981</v>
      </c>
      <c r="AJ3781" s="10">
        <f>2.8761*7.99^2+145.17*7.99-57.22</f>
        <v>1286.2988116099998</v>
      </c>
      <c r="AK3781" s="10">
        <f>0.3348*7.99^2+180.18*7.99-102.36</f>
        <v>1358.6518654800002</v>
      </c>
      <c r="AL3781" s="10" t="str">
        <f t="shared" si="427"/>
        <v>FALSE</v>
      </c>
      <c r="AM3781" s="10" t="str">
        <f t="shared" si="427"/>
        <v>FALSE</v>
      </c>
      <c r="AN3781" s="10" t="str">
        <f t="shared" si="427"/>
        <v>FALSE</v>
      </c>
      <c r="AO3781" s="10" t="str">
        <f t="shared" si="428"/>
        <v>y=2.8761*7.99^2+145.17*7.99-57.22</v>
      </c>
      <c r="AP3781" s="10" t="str">
        <f t="shared" si="428"/>
        <v>y=0.3348*7.99^2+180.18*7.99-102.36</v>
      </c>
      <c r="AQ3781" s="10" t="b">
        <f>IF(AND(I3781="TP",S3781&lt;=150),VLOOKUP(AF3781,TPCalibEq150!$AZ$2:$BB$55,3,),IF(AND(I3781="TDP",S3781&lt;=150),VLOOKUP(AF3781,TPCalibEq150!$AZ$2:$BB$55,3,)))</f>
        <v>0</v>
      </c>
      <c r="AR3781" s="10" t="b">
        <f>IF(AND(I3781="TP",S3781&lt;=300),VLOOKUP(AF3781,TPCalibEq300!$AZ$2:$BB$55,3,),IF(AND(I3781="TDP",S3781&lt;=300),VLOOKUP(AF3781,TPCalibEq300!$AZ$2:$BB$55,3,)))</f>
        <v>0</v>
      </c>
      <c r="AS3781" s="10" t="b">
        <f>IF(AND(I3781="TP",S3781&lt;=500),VLOOKUP(AF3781,TPCalibEq500!$AZ$2:$BB$56,3,),IF(AND(I3781="TDP",S3781&lt;=500),VLOOKUP(AF3781,TPCalibEq500!$AZ$2:$BB$56,3,)))</f>
        <v>0</v>
      </c>
      <c r="AT3781" s="10" t="str">
        <f>IF(AND(I3781="TN",S3781&lt;=2800),VLOOKUP(AF3781,TNCalibEq2500!$AZ$2:$BB$56,3,),IF(AND(I3781="TDN",S3781&lt;=2800),VLOOKUP(AF3781,TNCalibEq2500!$AZ$2:$BB$56,3,)))</f>
        <v>y=2.8761x2+145.17x-57.22</v>
      </c>
      <c r="AU3781" s="10" t="str">
        <f>IF(I3781="TP",VLOOKUP(AF3781,TPCalibEqFull!$AZ$2:$BB$56,3),IF(I3781="TDP",VLOOKUP(AF3781,TPCalibEqFull!$AZ$2:$BB$56,3),IF(I3781="TDN",VLOOKUP(AF3781,TNCalibEqFull!$AZ$1:$BB$56,3),IF(I3781="TN",VLOOKUP(AF3781,TNCalibEqFull!$AZ$1:$BB$56,3),FALSE))))</f>
        <v>y=0.3348x2+180.18x-102.36</v>
      </c>
      <c r="AV3781" s="10" t="str">
        <f t="shared" si="433"/>
        <v>0221 11:52:00-ECP-0-180-2-SW-DUP</v>
      </c>
    </row>
    <row r="3782" spans="1:48" s="10" customFormat="1" x14ac:dyDescent="0.55000000000000004">
      <c r="A3782" s="32">
        <v>44978</v>
      </c>
      <c r="B3782" s="33">
        <v>0.49444444444444446</v>
      </c>
      <c r="C3782" s="10" t="s">
        <v>618</v>
      </c>
      <c r="D3782" s="10">
        <v>0</v>
      </c>
      <c r="E3782" s="10">
        <v>180</v>
      </c>
      <c r="F3782" s="10">
        <v>2</v>
      </c>
      <c r="G3782" s="10" t="s">
        <v>231</v>
      </c>
      <c r="H3782" s="10" t="s">
        <v>314</v>
      </c>
      <c r="I3782" s="10" t="s">
        <v>235</v>
      </c>
      <c r="J3782" s="10">
        <v>82</v>
      </c>
      <c r="K3782" s="12">
        <v>44981</v>
      </c>
      <c r="L3782" s="33">
        <v>0.51497685185185182</v>
      </c>
      <c r="M3782" s="10">
        <v>1</v>
      </c>
      <c r="N3782" s="10" t="s">
        <v>196</v>
      </c>
      <c r="O3782" s="10">
        <v>21.6</v>
      </c>
      <c r="P3782" s="10">
        <v>1.05</v>
      </c>
      <c r="Q3782" s="10">
        <v>3950</v>
      </c>
      <c r="R3782" s="10" t="s">
        <v>170</v>
      </c>
      <c r="S3782" s="34">
        <f t="shared" si="430"/>
        <v>3950</v>
      </c>
      <c r="T3782" s="10" t="s">
        <v>1282</v>
      </c>
      <c r="U3782" s="34">
        <f t="shared" si="431"/>
        <v>102.4</v>
      </c>
      <c r="V3782" s="31">
        <f>IF(H3782="CHK",VLOOKUP(I3782,QCCHK,3,),IF(H3782="GUP",VLOOKUP(E3782,QCGUP,2,),IF(AND(H3782="ATP",OR(I3782="TN",I3782="TDN",I3782="TNO2-3",I3782="NO2-3")),VLOOKUP(E3782,QCREC_N,2,),IF(AND(H3782="NIC",OR(I3782="TN",I3782="TDN",I3782="TNO2-3",I3782="NO2-3")),VLOOKUP(E3782,QCNIC_N,2,),IF(AND(H3782="UREA",OR(I3782="TN",I3782="TDN",I3782="TNO2-3",I3782="NO2-3")),VLOOKUP(E3782,QCUREA_N,2,),IF(H3782="PER",VLOOKUP(I3782,QCPER,MATCH(E3782,QCACTUAL!$J$25:$AA$25,0),),IF(H3782="SPK",VLOOKUP(I3782,QCSPK,3,),IF(AND(H3782="ATP",OR(I3782="TP",I3782="TDP")),VLOOKUP(E3782,QCATP_P,2,),""))))))))</f>
        <v>2500</v>
      </c>
      <c r="W3782" s="31" t="str">
        <f t="shared" si="432"/>
        <v>TRUE</v>
      </c>
      <c r="X3782" s="31" t="str">
        <f t="shared" si="429"/>
        <v>([spikedunkn]-[unkn])/[spike]*100</v>
      </c>
      <c r="Y3782" s="10" t="s">
        <v>1275</v>
      </c>
      <c r="AF3782" s="12">
        <v>44981</v>
      </c>
      <c r="AK3782" s="10">
        <f>0.3348*21.6^2+180.18*21.6-102.36</f>
        <v>3945.7322880000002</v>
      </c>
      <c r="AL3782" s="10" t="str">
        <f t="shared" si="427"/>
        <v>FALSE</v>
      </c>
      <c r="AM3782" s="10" t="str">
        <f t="shared" si="427"/>
        <v>FALSE</v>
      </c>
      <c r="AN3782" s="10" t="str">
        <f t="shared" si="427"/>
        <v>FALSE</v>
      </c>
      <c r="AO3782" s="10" t="str">
        <f t="shared" si="428"/>
        <v>FALSE</v>
      </c>
      <c r="AP3782" s="10" t="str">
        <f t="shared" si="428"/>
        <v>y=0.3348*21.6^2+180.18*21.6-102.36</v>
      </c>
      <c r="AQ3782" s="10" t="b">
        <f>IF(AND(I3782="TP",S3782&lt;=150),VLOOKUP(AF3782,TPCalibEq150!$AZ$2:$BB$55,3,),IF(AND(I3782="TDP",S3782&lt;=150),VLOOKUP(AF3782,TPCalibEq150!$AZ$2:$BB$55,3,)))</f>
        <v>0</v>
      </c>
      <c r="AR3782" s="10" t="b">
        <f>IF(AND(I3782="TP",S3782&lt;=300),VLOOKUP(AF3782,TPCalibEq300!$AZ$2:$BB$55,3,),IF(AND(I3782="TDP",S3782&lt;=300),VLOOKUP(AF3782,TPCalibEq300!$AZ$2:$BB$55,3,)))</f>
        <v>0</v>
      </c>
      <c r="AS3782" s="10" t="b">
        <f>IF(AND(I3782="TP",S3782&lt;=500),VLOOKUP(AF3782,TPCalibEq500!$AZ$2:$BB$56,3,),IF(AND(I3782="TDP",S3782&lt;=500),VLOOKUP(AF3782,TPCalibEq500!$AZ$2:$BB$56,3,)))</f>
        <v>0</v>
      </c>
      <c r="AT3782" s="10" t="b">
        <f>IF(AND(I3782="TN",S3782&lt;=2800),VLOOKUP(AF3782,TNCalibEq2500!$AZ$2:$BB$56,3,),IF(AND(I3782="TDN",S3782&lt;=2800),VLOOKUP(AF3782,TNCalibEq2500!$AZ$2:$BB$56,3,)))</f>
        <v>0</v>
      </c>
      <c r="AU3782" s="10" t="str">
        <f>IF(I3782="TP",VLOOKUP(AF3782,TPCalibEqFull!$AZ$2:$BB$56,3),IF(I3782="TDP",VLOOKUP(AF3782,TPCalibEqFull!$AZ$2:$BB$56,3),IF(I3782="TDN",VLOOKUP(AF3782,TNCalibEqFull!$AZ$1:$BB$56,3),IF(I3782="TN",VLOOKUP(AF3782,TNCalibEqFull!$AZ$1:$BB$56,3),FALSE))))</f>
        <v>y=0.3348x2+180.18x-102.36</v>
      </c>
      <c r="AV3782" s="10" t="str">
        <f t="shared" si="433"/>
        <v>0221 11:52:00-ECP-0-180-2-SW-SPK</v>
      </c>
    </row>
    <row r="3783" spans="1:48" s="10" customFormat="1" x14ac:dyDescent="0.55000000000000004">
      <c r="A3783" s="32">
        <v>44979</v>
      </c>
      <c r="B3783" s="33">
        <v>0.375</v>
      </c>
      <c r="C3783" s="10" t="s">
        <v>70</v>
      </c>
      <c r="D3783" s="10" t="s">
        <v>71</v>
      </c>
      <c r="E3783" s="10" t="s">
        <v>901</v>
      </c>
      <c r="F3783" s="10">
        <v>1</v>
      </c>
      <c r="G3783" s="10" t="s">
        <v>73</v>
      </c>
      <c r="H3783" s="10" t="s">
        <v>207</v>
      </c>
      <c r="I3783" s="10" t="s">
        <v>235</v>
      </c>
      <c r="J3783" s="10">
        <v>199</v>
      </c>
      <c r="K3783" s="12">
        <v>44981</v>
      </c>
      <c r="L3783" s="33">
        <v>0.51564814814814819</v>
      </c>
      <c r="M3783" s="10">
        <v>1</v>
      </c>
      <c r="N3783" s="10" t="s">
        <v>196</v>
      </c>
      <c r="O3783" s="10">
        <v>7.36</v>
      </c>
      <c r="P3783" s="10">
        <v>0.35899999999999999</v>
      </c>
      <c r="Q3783" s="10">
        <v>1270</v>
      </c>
      <c r="R3783" s="10" t="s">
        <v>170</v>
      </c>
      <c r="S3783" s="34">
        <f t="shared" si="430"/>
        <v>1270</v>
      </c>
      <c r="T3783" s="10" t="s">
        <v>1282</v>
      </c>
      <c r="U3783" s="34">
        <f t="shared" si="431"/>
        <v>101.6</v>
      </c>
      <c r="V3783" s="31">
        <f>IF(H3783="CHK",VLOOKUP(I3783,QCCHK,3,),IF(H3783="GUP",VLOOKUP(E3783,QCGUP,2,),IF(AND(H3783="ATP",OR(I3783="TN",I3783="TDN",I3783="TNO2-3",I3783="NO2-3")),VLOOKUP(E3783,QCREC_N,2,),IF(AND(H3783="NIC",OR(I3783="TN",I3783="TDN",I3783="TNO2-3",I3783="NO2-3")),VLOOKUP(E3783,QCNIC_N,2,),IF(AND(H3783="UREA",OR(I3783="TN",I3783="TDN",I3783="TNO2-3",I3783="NO2-3")),VLOOKUP(E3783,QCUREA_N,2,),IF(H3783="PER",VLOOKUP(I3783,QCPER,MATCH(E3783,QCACTUAL!$J$25:$AA$25,0),),IF(H3783="SPK",VLOOKUP(I3783,QCSPK,3,),IF(AND(H3783="ATP",OR(I3783="TP",I3783="TDP")),VLOOKUP(E3783,QCATP_P,2,),""))))))))</f>
        <v>1250</v>
      </c>
      <c r="W3783" s="31" t="str">
        <f t="shared" si="432"/>
        <v>TRUE</v>
      </c>
      <c r="X3783" s="31" t="str">
        <f t="shared" si="429"/>
        <v>[chk]/[actual]*100</v>
      </c>
      <c r="Y3783" s="10" t="s">
        <v>1275</v>
      </c>
      <c r="AF3783" s="12">
        <v>44981</v>
      </c>
      <c r="AJ3783" s="10">
        <f>2.8761*7.36^2+145.17*7.36-57.22</f>
        <v>1167.0283865599999</v>
      </c>
      <c r="AK3783" s="10">
        <f>0.3348*7.36^2+180.18*7.36-102.36</f>
        <v>1241.9007820800002</v>
      </c>
      <c r="AL3783" s="10" t="str">
        <f t="shared" si="427"/>
        <v>FALSE</v>
      </c>
      <c r="AM3783" s="10" t="str">
        <f t="shared" si="427"/>
        <v>FALSE</v>
      </c>
      <c r="AN3783" s="10" t="str">
        <f t="shared" si="427"/>
        <v>FALSE</v>
      </c>
      <c r="AO3783" s="10" t="str">
        <f t="shared" si="428"/>
        <v>y=2.8761*7.36^2+145.17*7.36-57.22</v>
      </c>
      <c r="AP3783" s="10" t="str">
        <f t="shared" si="428"/>
        <v>y=0.3348*7.36^2+180.18*7.36-102.36</v>
      </c>
      <c r="AQ3783" s="10" t="b">
        <f>IF(AND(I3783="TP",S3783&lt;=150),VLOOKUP(AF3783,TPCalibEq150!$AZ$2:$BB$55,3,),IF(AND(I3783="TDP",S3783&lt;=150),VLOOKUP(AF3783,TPCalibEq150!$AZ$2:$BB$55,3,)))</f>
        <v>0</v>
      </c>
      <c r="AR3783" s="10" t="b">
        <f>IF(AND(I3783="TP",S3783&lt;=300),VLOOKUP(AF3783,TPCalibEq300!$AZ$2:$BB$55,3,),IF(AND(I3783="TDP",S3783&lt;=300),VLOOKUP(AF3783,TPCalibEq300!$AZ$2:$BB$55,3,)))</f>
        <v>0</v>
      </c>
      <c r="AS3783" s="10" t="b">
        <f>IF(AND(I3783="TP",S3783&lt;=500),VLOOKUP(AF3783,TPCalibEq500!$AZ$2:$BB$56,3,),IF(AND(I3783="TDP",S3783&lt;=500),VLOOKUP(AF3783,TPCalibEq500!$AZ$2:$BB$56,3,)))</f>
        <v>0</v>
      </c>
      <c r="AT3783" s="10" t="str">
        <f>IF(AND(I3783="TN",S3783&lt;=2800),VLOOKUP(AF3783,TNCalibEq2500!$AZ$2:$BB$56,3,),IF(AND(I3783="TDN",S3783&lt;=2800),VLOOKUP(AF3783,TNCalibEq2500!$AZ$2:$BB$56,3,)))</f>
        <v>y=2.8761x2+145.17x-57.22</v>
      </c>
      <c r="AU3783" s="10" t="str">
        <f>IF(I3783="TP",VLOOKUP(AF3783,TPCalibEqFull!$AZ$2:$BB$56,3),IF(I3783="TDP",VLOOKUP(AF3783,TPCalibEqFull!$AZ$2:$BB$56,3),IF(I3783="TDN",VLOOKUP(AF3783,TNCalibEqFull!$AZ$1:$BB$56,3),IF(I3783="TN",VLOOKUP(AF3783,TNCalibEqFull!$AZ$1:$BB$56,3),FALSE))))</f>
        <v>y=0.3348x2+180.18x-102.36</v>
      </c>
      <c r="AV3783" s="10" t="str">
        <f t="shared" si="433"/>
        <v>0222 09:00:00-QAC-STD-D-1-DI-CHK</v>
      </c>
    </row>
    <row r="3784" spans="1:48" s="10" customFormat="1" x14ac:dyDescent="0.55000000000000004">
      <c r="A3784" s="32">
        <v>44978</v>
      </c>
      <c r="B3784" s="33">
        <v>0.49652777777777773</v>
      </c>
      <c r="C3784" s="10" t="s">
        <v>618</v>
      </c>
      <c r="D3784" s="10">
        <v>5</v>
      </c>
      <c r="E3784" s="10">
        <v>180</v>
      </c>
      <c r="F3784" s="10">
        <v>1</v>
      </c>
      <c r="G3784" s="10" t="s">
        <v>231</v>
      </c>
      <c r="H3784" s="10" t="s">
        <v>322</v>
      </c>
      <c r="I3784" s="10" t="s">
        <v>235</v>
      </c>
      <c r="J3784" s="10">
        <v>11</v>
      </c>
      <c r="K3784" s="12">
        <v>44981</v>
      </c>
      <c r="L3784" s="33">
        <v>0.5163078703703704</v>
      </c>
      <c r="M3784" s="10">
        <v>1</v>
      </c>
      <c r="N3784" s="10" t="s">
        <v>196</v>
      </c>
      <c r="O3784" s="10">
        <v>8.48</v>
      </c>
      <c r="P3784" s="10">
        <v>0.41099999999999998</v>
      </c>
      <c r="Q3784" s="10">
        <v>1480</v>
      </c>
      <c r="R3784" s="10" t="s">
        <v>170</v>
      </c>
      <c r="S3784" s="34">
        <f t="shared" si="430"/>
        <v>1480</v>
      </c>
      <c r="T3784" s="10" t="s">
        <v>1282</v>
      </c>
      <c r="U3784" s="34" t="str">
        <f t="shared" si="431"/>
        <v/>
      </c>
      <c r="V3784" s="31" t="str">
        <f>IF(H3784="CHK",VLOOKUP(I3784,QCCHK,3,),IF(H3784="GUP",VLOOKUP(E3784,QCGUP,2,),IF(AND(H3784="ATP",OR(I3784="TN",I3784="TDN",I3784="TNO2-3",I3784="NO2-3")),VLOOKUP(E3784,QCREC_N,2,),IF(AND(H3784="NIC",OR(I3784="TN",I3784="TDN",I3784="TNO2-3",I3784="NO2-3")),VLOOKUP(E3784,QCNIC_N,2,),IF(AND(H3784="UREA",OR(I3784="TN",I3784="TDN",I3784="TNO2-3",I3784="NO2-3")),VLOOKUP(E3784,QCUREA_N,2,),IF(H3784="PER",VLOOKUP(I3784,QCPER,MATCH(E3784,QCACTUAL!$J$25:$AA$25,0),),IF(H3784="SPK",VLOOKUP(I3784,QCSPK,3,),IF(AND(H3784="ATP",OR(I3784="TP",I3784="TDP")),VLOOKUP(E3784,QCATP_P,2,),""))))))))</f>
        <v/>
      </c>
      <c r="W3784" s="31" t="str">
        <f t="shared" si="432"/>
        <v>TRUE</v>
      </c>
      <c r="X3784" s="31" t="str">
        <f t="shared" si="429"/>
        <v/>
      </c>
      <c r="Y3784" s="10" t="s">
        <v>1275</v>
      </c>
      <c r="AF3784" s="12">
        <v>44981</v>
      </c>
      <c r="AJ3784" s="10">
        <f>2.8761*8.48^2+145.17*8.48-57.22</f>
        <v>1380.64310144</v>
      </c>
      <c r="AK3784" s="10">
        <f>0.3348*8.48^2+180.18*8.48-102.36</f>
        <v>1449.6420019200002</v>
      </c>
      <c r="AL3784" s="10" t="str">
        <f t="shared" si="427"/>
        <v>FALSE</v>
      </c>
      <c r="AM3784" s="10" t="str">
        <f t="shared" si="427"/>
        <v>FALSE</v>
      </c>
      <c r="AN3784" s="10" t="str">
        <f t="shared" si="427"/>
        <v>FALSE</v>
      </c>
      <c r="AO3784" s="10" t="str">
        <f t="shared" si="428"/>
        <v>y=2.8761*8.48^2+145.17*8.48-57.22</v>
      </c>
      <c r="AP3784" s="10" t="str">
        <f t="shared" si="428"/>
        <v>y=0.3348*8.48^2+180.18*8.48-102.36</v>
      </c>
      <c r="AQ3784" s="10" t="b">
        <f>IF(AND(I3784="TP",S3784&lt;=150),VLOOKUP(AF3784,TPCalibEq150!$AZ$2:$BB$55,3,),IF(AND(I3784="TDP",S3784&lt;=150),VLOOKUP(AF3784,TPCalibEq150!$AZ$2:$BB$55,3,)))</f>
        <v>0</v>
      </c>
      <c r="AR3784" s="10" t="b">
        <f>IF(AND(I3784="TP",S3784&lt;=300),VLOOKUP(AF3784,TPCalibEq300!$AZ$2:$BB$55,3,),IF(AND(I3784="TDP",S3784&lt;=300),VLOOKUP(AF3784,TPCalibEq300!$AZ$2:$BB$55,3,)))</f>
        <v>0</v>
      </c>
      <c r="AS3784" s="10" t="b">
        <f>IF(AND(I3784="TP",S3784&lt;=500),VLOOKUP(AF3784,TPCalibEq500!$AZ$2:$BB$56,3,),IF(AND(I3784="TDP",S3784&lt;=500),VLOOKUP(AF3784,TPCalibEq500!$AZ$2:$BB$56,3,)))</f>
        <v>0</v>
      </c>
      <c r="AT3784" s="10" t="str">
        <f>IF(AND(I3784="TN",S3784&lt;=2800),VLOOKUP(AF3784,TNCalibEq2500!$AZ$2:$BB$56,3,),IF(AND(I3784="TDN",S3784&lt;=2800),VLOOKUP(AF3784,TNCalibEq2500!$AZ$2:$BB$56,3,)))</f>
        <v>y=2.8761x2+145.17x-57.22</v>
      </c>
      <c r="AU3784" s="10" t="str">
        <f>IF(I3784="TP",VLOOKUP(AF3784,TPCalibEqFull!$AZ$2:$BB$56,3),IF(I3784="TDP",VLOOKUP(AF3784,TPCalibEqFull!$AZ$2:$BB$56,3),IF(I3784="TDN",VLOOKUP(AF3784,TNCalibEqFull!$AZ$1:$BB$56,3),IF(I3784="TN",VLOOKUP(AF3784,TNCalibEqFull!$AZ$1:$BB$56,3),FALSE))))</f>
        <v>y=0.3348x2+180.18x-102.36</v>
      </c>
      <c r="AV3784" s="10" t="str">
        <f t="shared" si="433"/>
        <v>0221 11:55:00-ECP-5-180-1-SW-UKN</v>
      </c>
    </row>
    <row r="3785" spans="1:48" s="10" customFormat="1" x14ac:dyDescent="0.55000000000000004">
      <c r="A3785" s="32">
        <v>44978</v>
      </c>
      <c r="B3785" s="33">
        <v>0.49861111111111112</v>
      </c>
      <c r="C3785" s="10" t="s">
        <v>618</v>
      </c>
      <c r="D3785" s="10">
        <v>10</v>
      </c>
      <c r="E3785" s="10">
        <v>200</v>
      </c>
      <c r="F3785" s="10">
        <v>1</v>
      </c>
      <c r="G3785" s="10" t="s">
        <v>231</v>
      </c>
      <c r="H3785" s="10" t="s">
        <v>322</v>
      </c>
      <c r="I3785" s="10" t="s">
        <v>235</v>
      </c>
      <c r="J3785" s="10">
        <v>12</v>
      </c>
      <c r="K3785" s="12">
        <v>44981</v>
      </c>
      <c r="L3785" s="33">
        <v>0.51696759259259262</v>
      </c>
      <c r="M3785" s="10">
        <v>1</v>
      </c>
      <c r="N3785" s="10" t="s">
        <v>196</v>
      </c>
      <c r="O3785" s="10">
        <v>8.43</v>
      </c>
      <c r="P3785" s="10">
        <v>0.44</v>
      </c>
      <c r="Q3785" s="10">
        <v>1470</v>
      </c>
      <c r="R3785" s="10" t="s">
        <v>170</v>
      </c>
      <c r="S3785" s="34">
        <f t="shared" si="430"/>
        <v>1470</v>
      </c>
      <c r="T3785" s="10" t="s">
        <v>1282</v>
      </c>
      <c r="U3785" s="34" t="str">
        <f t="shared" si="431"/>
        <v/>
      </c>
      <c r="V3785" s="31" t="str">
        <f>IF(H3785="CHK",VLOOKUP(I3785,QCCHK,3,),IF(H3785="GUP",VLOOKUP(E3785,QCGUP,2,),IF(AND(H3785="ATP",OR(I3785="TN",I3785="TDN",I3785="TNO2-3",I3785="NO2-3")),VLOOKUP(E3785,QCREC_N,2,),IF(AND(H3785="NIC",OR(I3785="TN",I3785="TDN",I3785="TNO2-3",I3785="NO2-3")),VLOOKUP(E3785,QCNIC_N,2,),IF(AND(H3785="UREA",OR(I3785="TN",I3785="TDN",I3785="TNO2-3",I3785="NO2-3")),VLOOKUP(E3785,QCUREA_N,2,),IF(H3785="PER",VLOOKUP(I3785,QCPER,MATCH(E3785,QCACTUAL!$J$25:$AA$25,0),),IF(H3785="SPK",VLOOKUP(I3785,QCSPK,3,),IF(AND(H3785="ATP",OR(I3785="TP",I3785="TDP")),VLOOKUP(E3785,QCATP_P,2,),""))))))))</f>
        <v/>
      </c>
      <c r="W3785" s="31" t="str">
        <f t="shared" si="432"/>
        <v>TRUE</v>
      </c>
      <c r="X3785" s="31" t="str">
        <f t="shared" si="429"/>
        <v/>
      </c>
      <c r="Y3785" s="10" t="s">
        <v>1275</v>
      </c>
      <c r="AF3785" s="12">
        <v>44981</v>
      </c>
      <c r="AJ3785" s="10">
        <f>2.8761*8.43^2+145.17*8.43-57.22</f>
        <v>1370.9528588899998</v>
      </c>
      <c r="AK3785" s="10">
        <f>0.3348*8.43^2+180.18*8.43-102.36</f>
        <v>1440.34992852</v>
      </c>
      <c r="AL3785" s="10" t="str">
        <f t="shared" si="427"/>
        <v>FALSE</v>
      </c>
      <c r="AM3785" s="10" t="str">
        <f t="shared" si="427"/>
        <v>FALSE</v>
      </c>
      <c r="AN3785" s="10" t="str">
        <f t="shared" si="427"/>
        <v>FALSE</v>
      </c>
      <c r="AO3785" s="10" t="str">
        <f t="shared" si="428"/>
        <v>y=2.8761*8.43^2+145.17*8.43-57.22</v>
      </c>
      <c r="AP3785" s="10" t="str">
        <f t="shared" si="428"/>
        <v>y=0.3348*8.43^2+180.18*8.43-102.36</v>
      </c>
      <c r="AQ3785" s="10" t="b">
        <f>IF(AND(I3785="TP",S3785&lt;=150),VLOOKUP(AF3785,TPCalibEq150!$AZ$2:$BB$55,3,),IF(AND(I3785="TDP",S3785&lt;=150),VLOOKUP(AF3785,TPCalibEq150!$AZ$2:$BB$55,3,)))</f>
        <v>0</v>
      </c>
      <c r="AR3785" s="10" t="b">
        <f>IF(AND(I3785="TP",S3785&lt;=300),VLOOKUP(AF3785,TPCalibEq300!$AZ$2:$BB$55,3,),IF(AND(I3785="TDP",S3785&lt;=300),VLOOKUP(AF3785,TPCalibEq300!$AZ$2:$BB$55,3,)))</f>
        <v>0</v>
      </c>
      <c r="AS3785" s="10" t="b">
        <f>IF(AND(I3785="TP",S3785&lt;=500),VLOOKUP(AF3785,TPCalibEq500!$AZ$2:$BB$56,3,),IF(AND(I3785="TDP",S3785&lt;=500),VLOOKUP(AF3785,TPCalibEq500!$AZ$2:$BB$56,3,)))</f>
        <v>0</v>
      </c>
      <c r="AT3785" s="10" t="str">
        <f>IF(AND(I3785="TN",S3785&lt;=2800),VLOOKUP(AF3785,TNCalibEq2500!$AZ$2:$BB$56,3,),IF(AND(I3785="TDN",S3785&lt;=2800),VLOOKUP(AF3785,TNCalibEq2500!$AZ$2:$BB$56,3,)))</f>
        <v>y=2.8761x2+145.17x-57.22</v>
      </c>
      <c r="AU3785" s="10" t="str">
        <f>IF(I3785="TP",VLOOKUP(AF3785,TPCalibEqFull!$AZ$2:$BB$56,3),IF(I3785="TDP",VLOOKUP(AF3785,TPCalibEqFull!$AZ$2:$BB$56,3),IF(I3785="TDN",VLOOKUP(AF3785,TNCalibEqFull!$AZ$1:$BB$56,3),IF(I3785="TN",VLOOKUP(AF3785,TNCalibEqFull!$AZ$1:$BB$56,3),FALSE))))</f>
        <v>y=0.3348x2+180.18x-102.36</v>
      </c>
      <c r="AV3785" s="10" t="str">
        <f t="shared" si="433"/>
        <v>0221 11:58:00-ECP-10-200-1-SW-UKN</v>
      </c>
    </row>
    <row r="3786" spans="1:48" s="10" customFormat="1" x14ac:dyDescent="0.55000000000000004">
      <c r="A3786" s="32">
        <v>44978</v>
      </c>
      <c r="B3786" s="33">
        <v>0.50208333333333333</v>
      </c>
      <c r="C3786" s="10" t="s">
        <v>618</v>
      </c>
      <c r="D3786" s="10">
        <v>20</v>
      </c>
      <c r="E3786" s="10" t="s">
        <v>190</v>
      </c>
      <c r="F3786" s="10">
        <v>1</v>
      </c>
      <c r="G3786" s="10" t="s">
        <v>231</v>
      </c>
      <c r="H3786" s="10" t="s">
        <v>322</v>
      </c>
      <c r="I3786" s="10" t="s">
        <v>235</v>
      </c>
      <c r="J3786" s="10">
        <v>13</v>
      </c>
      <c r="K3786" s="12">
        <v>44981</v>
      </c>
      <c r="L3786" s="33">
        <v>0.51762731481481483</v>
      </c>
      <c r="M3786" s="10">
        <v>1</v>
      </c>
      <c r="N3786" s="10" t="s">
        <v>196</v>
      </c>
      <c r="O3786" s="10">
        <v>7.56</v>
      </c>
      <c r="P3786" s="10">
        <v>0.36799999999999999</v>
      </c>
      <c r="Q3786" s="10">
        <v>1310</v>
      </c>
      <c r="R3786" s="10" t="s">
        <v>170</v>
      </c>
      <c r="S3786" s="34">
        <f t="shared" si="430"/>
        <v>1310</v>
      </c>
      <c r="T3786" s="10" t="s">
        <v>1282</v>
      </c>
      <c r="U3786" s="34" t="str">
        <f t="shared" si="431"/>
        <v/>
      </c>
      <c r="V3786" s="31" t="str">
        <f>IF(H3786="CHK",VLOOKUP(I3786,QCCHK,3,),IF(H3786="GUP",VLOOKUP(E3786,QCGUP,2,),IF(AND(H3786="ATP",OR(I3786="TN",I3786="TDN",I3786="TNO2-3",I3786="NO2-3")),VLOOKUP(E3786,QCREC_N,2,),IF(AND(H3786="NIC",OR(I3786="TN",I3786="TDN",I3786="TNO2-3",I3786="NO2-3")),VLOOKUP(E3786,QCNIC_N,2,),IF(AND(H3786="UREA",OR(I3786="TN",I3786="TDN",I3786="TNO2-3",I3786="NO2-3")),VLOOKUP(E3786,QCUREA_N,2,),IF(H3786="PER",VLOOKUP(I3786,QCPER,MATCH(E3786,QCACTUAL!$J$25:$AA$25,0),),IF(H3786="SPK",VLOOKUP(I3786,QCSPK,3,),IF(AND(H3786="ATP",OR(I3786="TP",I3786="TDP")),VLOOKUP(E3786,QCATP_P,2,),""))))))))</f>
        <v/>
      </c>
      <c r="W3786" s="31" t="str">
        <f t="shared" si="432"/>
        <v>TRUE</v>
      </c>
      <c r="X3786" s="31" t="str">
        <f t="shared" si="429"/>
        <v/>
      </c>
      <c r="Y3786" s="10" t="s">
        <v>1275</v>
      </c>
      <c r="AF3786" s="12">
        <v>44981</v>
      </c>
      <c r="AJ3786" s="10">
        <f>2.8761*7.56^2+145.17*7.56-57.22</f>
        <v>1204.6446689599998</v>
      </c>
      <c r="AK3786" s="10">
        <f>0.3348*7.56^2+180.18*7.56-102.36</f>
        <v>1278.93582528</v>
      </c>
      <c r="AL3786" s="10" t="str">
        <f t="shared" si="427"/>
        <v>FALSE</v>
      </c>
      <c r="AM3786" s="10" t="str">
        <f t="shared" si="427"/>
        <v>FALSE</v>
      </c>
      <c r="AN3786" s="10" t="str">
        <f t="shared" si="427"/>
        <v>FALSE</v>
      </c>
      <c r="AO3786" s="10" t="str">
        <f t="shared" si="428"/>
        <v>y=2.8761*7.56^2+145.17*7.56-57.22</v>
      </c>
      <c r="AP3786" s="10" t="str">
        <f t="shared" si="428"/>
        <v>y=0.3348*7.56^2+180.18*7.56-102.36</v>
      </c>
      <c r="AQ3786" s="10" t="b">
        <f>IF(AND(I3786="TP",S3786&lt;=150),VLOOKUP(AF3786,TPCalibEq150!$AZ$2:$BB$55,3,),IF(AND(I3786="TDP",S3786&lt;=150),VLOOKUP(AF3786,TPCalibEq150!$AZ$2:$BB$55,3,)))</f>
        <v>0</v>
      </c>
      <c r="AR3786" s="10" t="b">
        <f>IF(AND(I3786="TP",S3786&lt;=300),VLOOKUP(AF3786,TPCalibEq300!$AZ$2:$BB$55,3,),IF(AND(I3786="TDP",S3786&lt;=300),VLOOKUP(AF3786,TPCalibEq300!$AZ$2:$BB$55,3,)))</f>
        <v>0</v>
      </c>
      <c r="AS3786" s="10" t="b">
        <f>IF(AND(I3786="TP",S3786&lt;=500),VLOOKUP(AF3786,TPCalibEq500!$AZ$2:$BB$56,3,),IF(AND(I3786="TDP",S3786&lt;=500),VLOOKUP(AF3786,TPCalibEq500!$AZ$2:$BB$56,3,)))</f>
        <v>0</v>
      </c>
      <c r="AT3786" s="10" t="str">
        <f>IF(AND(I3786="TN",S3786&lt;=2800),VLOOKUP(AF3786,TNCalibEq2500!$AZ$2:$BB$56,3,),IF(AND(I3786="TDN",S3786&lt;=2800),VLOOKUP(AF3786,TNCalibEq2500!$AZ$2:$BB$56,3,)))</f>
        <v>y=2.8761x2+145.17x-57.22</v>
      </c>
      <c r="AU3786" s="10" t="str">
        <f>IF(I3786="TP",VLOOKUP(AF3786,TPCalibEqFull!$AZ$2:$BB$56,3),IF(I3786="TDP",VLOOKUP(AF3786,TPCalibEqFull!$AZ$2:$BB$56,3),IF(I3786="TDN",VLOOKUP(AF3786,TNCalibEqFull!$AZ$1:$BB$56,3),IF(I3786="TN",VLOOKUP(AF3786,TNCalibEqFull!$AZ$1:$BB$56,3),FALSE))))</f>
        <v>y=0.3348x2+180.18x-102.36</v>
      </c>
      <c r="AV3786" s="10" t="str">
        <f t="shared" si="433"/>
        <v>0221 12:03:00-ECP-20-C-1-SW-UKN</v>
      </c>
    </row>
    <row r="3787" spans="1:48" s="10" customFormat="1" x14ac:dyDescent="0.55000000000000004">
      <c r="A3787" s="32">
        <v>44978</v>
      </c>
      <c r="B3787" s="33">
        <v>0.50416666666666665</v>
      </c>
      <c r="C3787" s="10" t="s">
        <v>618</v>
      </c>
      <c r="D3787" s="10">
        <v>29</v>
      </c>
      <c r="E3787" s="10" t="s">
        <v>190</v>
      </c>
      <c r="F3787" s="10">
        <v>1</v>
      </c>
      <c r="G3787" s="10" t="s">
        <v>231</v>
      </c>
      <c r="H3787" s="10" t="s">
        <v>322</v>
      </c>
      <c r="I3787" s="10" t="s">
        <v>235</v>
      </c>
      <c r="J3787" s="10">
        <v>14</v>
      </c>
      <c r="K3787" s="12">
        <v>44981</v>
      </c>
      <c r="L3787" s="33">
        <v>0.51828703703703705</v>
      </c>
      <c r="M3787" s="10">
        <v>1</v>
      </c>
      <c r="N3787" s="10" t="s">
        <v>196</v>
      </c>
      <c r="O3787" s="10">
        <v>8.64</v>
      </c>
      <c r="P3787" s="10">
        <v>0.41799999999999998</v>
      </c>
      <c r="Q3787" s="10">
        <v>1510</v>
      </c>
      <c r="R3787" s="10" t="s">
        <v>170</v>
      </c>
      <c r="S3787" s="34">
        <f t="shared" si="430"/>
        <v>1510</v>
      </c>
      <c r="T3787" s="10" t="s">
        <v>1282</v>
      </c>
      <c r="U3787" s="34" t="str">
        <f t="shared" si="431"/>
        <v/>
      </c>
      <c r="V3787" s="31" t="str">
        <f>IF(H3787="CHK",VLOOKUP(I3787,QCCHK,3,),IF(H3787="GUP",VLOOKUP(E3787,QCGUP,2,),IF(AND(H3787="ATP",OR(I3787="TN",I3787="TDN",I3787="TNO2-3",I3787="NO2-3")),VLOOKUP(E3787,QCREC_N,2,),IF(AND(H3787="NIC",OR(I3787="TN",I3787="TDN",I3787="TNO2-3",I3787="NO2-3")),VLOOKUP(E3787,QCNIC_N,2,),IF(AND(H3787="UREA",OR(I3787="TN",I3787="TDN",I3787="TNO2-3",I3787="NO2-3")),VLOOKUP(E3787,QCUREA_N,2,),IF(H3787="PER",VLOOKUP(I3787,QCPER,MATCH(E3787,QCACTUAL!$J$25:$AA$25,0),),IF(H3787="SPK",VLOOKUP(I3787,QCSPK,3,),IF(AND(H3787="ATP",OR(I3787="TP",I3787="TDP")),VLOOKUP(E3787,QCATP_P,2,),""))))))))</f>
        <v/>
      </c>
      <c r="W3787" s="31" t="str">
        <f t="shared" si="432"/>
        <v>TRUE</v>
      </c>
      <c r="X3787" s="31" t="str">
        <f t="shared" si="429"/>
        <v/>
      </c>
      <c r="Y3787" s="10" t="s">
        <v>1275</v>
      </c>
      <c r="AF3787" s="12">
        <v>44981</v>
      </c>
      <c r="AJ3787" s="10">
        <f>2.8761*8.64^2+145.17*8.64-57.22</f>
        <v>1411.7485145600001</v>
      </c>
      <c r="AK3787" s="10">
        <f>0.3348*8.64^2+180.18*8.64-102.36</f>
        <v>1479.3878860800003</v>
      </c>
      <c r="AL3787" s="10" t="str">
        <f t="shared" si="427"/>
        <v>FALSE</v>
      </c>
      <c r="AM3787" s="10" t="str">
        <f t="shared" si="427"/>
        <v>FALSE</v>
      </c>
      <c r="AN3787" s="10" t="str">
        <f t="shared" si="427"/>
        <v>FALSE</v>
      </c>
      <c r="AO3787" s="10" t="str">
        <f t="shared" si="428"/>
        <v>y=2.8761*8.64^2+145.17*8.64-57.22</v>
      </c>
      <c r="AP3787" s="10" t="str">
        <f t="shared" si="428"/>
        <v>y=0.3348*8.64^2+180.18*8.64-102.36</v>
      </c>
      <c r="AQ3787" s="10" t="b">
        <f>IF(AND(I3787="TP",S3787&lt;=150),VLOOKUP(AF3787,TPCalibEq150!$AZ$2:$BB$55,3,),IF(AND(I3787="TDP",S3787&lt;=150),VLOOKUP(AF3787,TPCalibEq150!$AZ$2:$BB$55,3,)))</f>
        <v>0</v>
      </c>
      <c r="AR3787" s="10" t="b">
        <f>IF(AND(I3787="TP",S3787&lt;=300),VLOOKUP(AF3787,TPCalibEq300!$AZ$2:$BB$55,3,),IF(AND(I3787="TDP",S3787&lt;=300),VLOOKUP(AF3787,TPCalibEq300!$AZ$2:$BB$55,3,)))</f>
        <v>0</v>
      </c>
      <c r="AS3787" s="10" t="b">
        <f>IF(AND(I3787="TP",S3787&lt;=500),VLOOKUP(AF3787,TPCalibEq500!$AZ$2:$BB$56,3,),IF(AND(I3787="TDP",S3787&lt;=500),VLOOKUP(AF3787,TPCalibEq500!$AZ$2:$BB$56,3,)))</f>
        <v>0</v>
      </c>
      <c r="AT3787" s="10" t="str">
        <f>IF(AND(I3787="TN",S3787&lt;=2800),VLOOKUP(AF3787,TNCalibEq2500!$AZ$2:$BB$56,3,),IF(AND(I3787="TDN",S3787&lt;=2800),VLOOKUP(AF3787,TNCalibEq2500!$AZ$2:$BB$56,3,)))</f>
        <v>y=2.8761x2+145.17x-57.22</v>
      </c>
      <c r="AU3787" s="10" t="str">
        <f>IF(I3787="TP",VLOOKUP(AF3787,TPCalibEqFull!$AZ$2:$BB$56,3),IF(I3787="TDP",VLOOKUP(AF3787,TPCalibEqFull!$AZ$2:$BB$56,3),IF(I3787="TDN",VLOOKUP(AF3787,TNCalibEqFull!$AZ$1:$BB$56,3),IF(I3787="TN",VLOOKUP(AF3787,TNCalibEqFull!$AZ$1:$BB$56,3),FALSE))))</f>
        <v>y=0.3348x2+180.18x-102.36</v>
      </c>
      <c r="AV3787" s="10" t="str">
        <f t="shared" si="433"/>
        <v>0221 12:06:00-ECP-29-C-1-SW-UKN</v>
      </c>
    </row>
    <row r="3788" spans="1:48" s="10" customFormat="1" x14ac:dyDescent="0.55000000000000004">
      <c r="A3788" s="32">
        <v>44978</v>
      </c>
      <c r="B3788" s="33">
        <v>0.50972222222222219</v>
      </c>
      <c r="C3788" s="10" t="s">
        <v>661</v>
      </c>
      <c r="D3788" s="10">
        <v>0</v>
      </c>
      <c r="E3788" s="10">
        <v>170</v>
      </c>
      <c r="F3788" s="10">
        <v>1</v>
      </c>
      <c r="G3788" s="10" t="s">
        <v>231</v>
      </c>
      <c r="H3788" s="10" t="s">
        <v>322</v>
      </c>
      <c r="I3788" s="10" t="s">
        <v>235</v>
      </c>
      <c r="J3788" s="10">
        <v>15</v>
      </c>
      <c r="K3788" s="12">
        <v>44981</v>
      </c>
      <c r="L3788" s="33">
        <v>0.51894675925925926</v>
      </c>
      <c r="M3788" s="10">
        <v>1</v>
      </c>
      <c r="N3788" s="10" t="s">
        <v>196</v>
      </c>
      <c r="O3788" s="10">
        <v>7.69</v>
      </c>
      <c r="P3788" s="10">
        <v>0.372</v>
      </c>
      <c r="Q3788" s="10">
        <v>1330</v>
      </c>
      <c r="R3788" s="10" t="s">
        <v>170</v>
      </c>
      <c r="S3788" s="34">
        <f t="shared" si="430"/>
        <v>1330</v>
      </c>
      <c r="T3788" s="10" t="s">
        <v>1282</v>
      </c>
      <c r="U3788" s="34" t="str">
        <f t="shared" si="431"/>
        <v/>
      </c>
      <c r="V3788" s="31" t="str">
        <f>IF(H3788="CHK",VLOOKUP(I3788,QCCHK,3,),IF(H3788="GUP",VLOOKUP(E3788,QCGUP,2,),IF(AND(H3788="ATP",OR(I3788="TN",I3788="TDN",I3788="TNO2-3",I3788="NO2-3")),VLOOKUP(E3788,QCREC_N,2,),IF(AND(H3788="NIC",OR(I3788="TN",I3788="TDN",I3788="TNO2-3",I3788="NO2-3")),VLOOKUP(E3788,QCNIC_N,2,),IF(AND(H3788="UREA",OR(I3788="TN",I3788="TDN",I3788="TNO2-3",I3788="NO2-3")),VLOOKUP(E3788,QCUREA_N,2,),IF(H3788="PER",VLOOKUP(I3788,QCPER,MATCH(E3788,QCACTUAL!$J$25:$AA$25,0),),IF(H3788="SPK",VLOOKUP(I3788,QCSPK,3,),IF(AND(H3788="ATP",OR(I3788="TP",I3788="TDP")),VLOOKUP(E3788,QCATP_P,2,),""))))))))</f>
        <v/>
      </c>
      <c r="W3788" s="31" t="str">
        <f t="shared" si="432"/>
        <v>TRUE</v>
      </c>
      <c r="X3788" s="31" t="str">
        <f t="shared" si="429"/>
        <v/>
      </c>
      <c r="Y3788" s="10" t="s">
        <v>1275</v>
      </c>
      <c r="AF3788" s="12">
        <v>44981</v>
      </c>
      <c r="AJ3788" s="10">
        <f>2.8761*7.69^2+145.17*7.69-57.22</f>
        <v>1229.2186372099998</v>
      </c>
      <c r="AK3788" s="10">
        <f>0.3348*7.69^2+180.18*7.69-102.36</f>
        <v>1303.0229662800002</v>
      </c>
      <c r="AL3788" s="10" t="str">
        <f t="shared" si="427"/>
        <v>FALSE</v>
      </c>
      <c r="AM3788" s="10" t="str">
        <f t="shared" si="427"/>
        <v>FALSE</v>
      </c>
      <c r="AN3788" s="10" t="str">
        <f t="shared" si="427"/>
        <v>FALSE</v>
      </c>
      <c r="AO3788" s="10" t="str">
        <f t="shared" si="428"/>
        <v>y=2.8761*7.69^2+145.17*7.69-57.22</v>
      </c>
      <c r="AP3788" s="10" t="str">
        <f t="shared" si="428"/>
        <v>y=0.3348*7.69^2+180.18*7.69-102.36</v>
      </c>
      <c r="AQ3788" s="10" t="b">
        <f>IF(AND(I3788="TP",S3788&lt;=150),VLOOKUP(AF3788,TPCalibEq150!$AZ$2:$BB$55,3,),IF(AND(I3788="TDP",S3788&lt;=150),VLOOKUP(AF3788,TPCalibEq150!$AZ$2:$BB$55,3,)))</f>
        <v>0</v>
      </c>
      <c r="AR3788" s="10" t="b">
        <f>IF(AND(I3788="TP",S3788&lt;=300),VLOOKUP(AF3788,TPCalibEq300!$AZ$2:$BB$55,3,),IF(AND(I3788="TDP",S3788&lt;=300),VLOOKUP(AF3788,TPCalibEq300!$AZ$2:$BB$55,3,)))</f>
        <v>0</v>
      </c>
      <c r="AS3788" s="10" t="b">
        <f>IF(AND(I3788="TP",S3788&lt;=500),VLOOKUP(AF3788,TPCalibEq500!$AZ$2:$BB$56,3,),IF(AND(I3788="TDP",S3788&lt;=500),VLOOKUP(AF3788,TPCalibEq500!$AZ$2:$BB$56,3,)))</f>
        <v>0</v>
      </c>
      <c r="AT3788" s="10" t="str">
        <f>IF(AND(I3788="TN",S3788&lt;=2800),VLOOKUP(AF3788,TNCalibEq2500!$AZ$2:$BB$56,3,),IF(AND(I3788="TDN",S3788&lt;=2800),VLOOKUP(AF3788,TNCalibEq2500!$AZ$2:$BB$56,3,)))</f>
        <v>y=2.8761x2+145.17x-57.22</v>
      </c>
      <c r="AU3788" s="10" t="str">
        <f>IF(I3788="TP",VLOOKUP(AF3788,TPCalibEqFull!$AZ$2:$BB$56,3),IF(I3788="TDP",VLOOKUP(AF3788,TPCalibEqFull!$AZ$2:$BB$56,3),IF(I3788="TDN",VLOOKUP(AF3788,TNCalibEqFull!$AZ$1:$BB$56,3),IF(I3788="TN",VLOOKUP(AF3788,TNCalibEqFull!$AZ$1:$BB$56,3),FALSE))))</f>
        <v>y=0.3348x2+180.18x-102.36</v>
      </c>
      <c r="AV3788" s="10" t="str">
        <f t="shared" si="433"/>
        <v>0221 12:14:00-ENN-0-170-1-SW-UKN</v>
      </c>
    </row>
    <row r="3789" spans="1:48" s="10" customFormat="1" x14ac:dyDescent="0.55000000000000004">
      <c r="A3789" s="32">
        <v>44978</v>
      </c>
      <c r="B3789" s="33">
        <v>0.51180555555555551</v>
      </c>
      <c r="C3789" s="10" t="s">
        <v>661</v>
      </c>
      <c r="D3789" s="10">
        <v>5</v>
      </c>
      <c r="E3789" s="10">
        <v>160</v>
      </c>
      <c r="F3789" s="10">
        <v>1</v>
      </c>
      <c r="G3789" s="10" t="s">
        <v>231</v>
      </c>
      <c r="H3789" s="10" t="s">
        <v>322</v>
      </c>
      <c r="I3789" s="10" t="s">
        <v>235</v>
      </c>
      <c r="J3789" s="10">
        <v>16</v>
      </c>
      <c r="K3789" s="12">
        <v>44981</v>
      </c>
      <c r="L3789" s="33">
        <v>0.51961805555555551</v>
      </c>
      <c r="M3789" s="10">
        <v>1</v>
      </c>
      <c r="N3789" s="10" t="s">
        <v>196</v>
      </c>
      <c r="O3789" s="10">
        <v>7.51</v>
      </c>
      <c r="P3789" s="10">
        <v>0.36499999999999999</v>
      </c>
      <c r="Q3789" s="10">
        <v>1300</v>
      </c>
      <c r="R3789" s="10" t="s">
        <v>170</v>
      </c>
      <c r="S3789" s="34">
        <f t="shared" si="430"/>
        <v>1300</v>
      </c>
      <c r="T3789" s="10" t="s">
        <v>1282</v>
      </c>
      <c r="U3789" s="34" t="str">
        <f t="shared" si="431"/>
        <v/>
      </c>
      <c r="V3789" s="31" t="str">
        <f>IF(H3789="CHK",VLOOKUP(I3789,QCCHK,3,),IF(H3789="GUP",VLOOKUP(E3789,QCGUP,2,),IF(AND(H3789="ATP",OR(I3789="TN",I3789="TDN",I3789="TNO2-3",I3789="NO2-3")),VLOOKUP(E3789,QCREC_N,2,),IF(AND(H3789="NIC",OR(I3789="TN",I3789="TDN",I3789="TNO2-3",I3789="NO2-3")),VLOOKUP(E3789,QCNIC_N,2,),IF(AND(H3789="UREA",OR(I3789="TN",I3789="TDN",I3789="TNO2-3",I3789="NO2-3")),VLOOKUP(E3789,QCUREA_N,2,),IF(H3789="PER",VLOOKUP(I3789,QCPER,MATCH(E3789,QCACTUAL!$J$25:$AA$25,0),),IF(H3789="SPK",VLOOKUP(I3789,QCSPK,3,),IF(AND(H3789="ATP",OR(I3789="TP",I3789="TDP")),VLOOKUP(E3789,QCATP_P,2,),""))))))))</f>
        <v/>
      </c>
      <c r="W3789" s="31" t="str">
        <f t="shared" si="432"/>
        <v>TRUE</v>
      </c>
      <c r="X3789" s="31" t="str">
        <f t="shared" si="429"/>
        <v/>
      </c>
      <c r="Y3789" s="10" t="s">
        <v>1275</v>
      </c>
      <c r="AF3789" s="12">
        <v>44981</v>
      </c>
      <c r="AJ3789" s="10">
        <f>2.8761*7.51^2+145.17*7.51-57.22</f>
        <v>1195.2190276099998</v>
      </c>
      <c r="AK3789" s="10">
        <f>0.3348*7.51^2+180.18*7.51-102.36</f>
        <v>1269.6745534800002</v>
      </c>
      <c r="AL3789" s="10" t="str">
        <f t="shared" si="427"/>
        <v>FALSE</v>
      </c>
      <c r="AM3789" s="10" t="str">
        <f t="shared" si="427"/>
        <v>FALSE</v>
      </c>
      <c r="AN3789" s="10" t="str">
        <f t="shared" si="427"/>
        <v>FALSE</v>
      </c>
      <c r="AO3789" s="10" t="str">
        <f t="shared" si="428"/>
        <v>y=2.8761*7.51^2+145.17*7.51-57.22</v>
      </c>
      <c r="AP3789" s="10" t="str">
        <f t="shared" si="428"/>
        <v>y=0.3348*7.51^2+180.18*7.51-102.36</v>
      </c>
      <c r="AQ3789" s="10" t="b">
        <f>IF(AND(I3789="TP",S3789&lt;=150),VLOOKUP(AF3789,TPCalibEq150!$AZ$2:$BB$55,3,),IF(AND(I3789="TDP",S3789&lt;=150),VLOOKUP(AF3789,TPCalibEq150!$AZ$2:$BB$55,3,)))</f>
        <v>0</v>
      </c>
      <c r="AR3789" s="10" t="b">
        <f>IF(AND(I3789="TP",S3789&lt;=300),VLOOKUP(AF3789,TPCalibEq300!$AZ$2:$BB$55,3,),IF(AND(I3789="TDP",S3789&lt;=300),VLOOKUP(AF3789,TPCalibEq300!$AZ$2:$BB$55,3,)))</f>
        <v>0</v>
      </c>
      <c r="AS3789" s="10" t="b">
        <f>IF(AND(I3789="TP",S3789&lt;=500),VLOOKUP(AF3789,TPCalibEq500!$AZ$2:$BB$56,3,),IF(AND(I3789="TDP",S3789&lt;=500),VLOOKUP(AF3789,TPCalibEq500!$AZ$2:$BB$56,3,)))</f>
        <v>0</v>
      </c>
      <c r="AT3789" s="10" t="str">
        <f>IF(AND(I3789="TN",S3789&lt;=2800),VLOOKUP(AF3789,TNCalibEq2500!$AZ$2:$BB$56,3,),IF(AND(I3789="TDN",S3789&lt;=2800),VLOOKUP(AF3789,TNCalibEq2500!$AZ$2:$BB$56,3,)))</f>
        <v>y=2.8761x2+145.17x-57.22</v>
      </c>
      <c r="AU3789" s="10" t="str">
        <f>IF(I3789="TP",VLOOKUP(AF3789,TPCalibEqFull!$AZ$2:$BB$56,3),IF(I3789="TDP",VLOOKUP(AF3789,TPCalibEqFull!$AZ$2:$BB$56,3),IF(I3789="TDN",VLOOKUP(AF3789,TNCalibEqFull!$AZ$1:$BB$56,3),IF(I3789="TN",VLOOKUP(AF3789,TNCalibEqFull!$AZ$1:$BB$56,3),FALSE))))</f>
        <v>y=0.3348x2+180.18x-102.36</v>
      </c>
      <c r="AV3789" s="10" t="str">
        <f t="shared" si="433"/>
        <v>0221 12:17:00-ENN-5-160-1-SW-UKN</v>
      </c>
    </row>
    <row r="3790" spans="1:48" s="10" customFormat="1" x14ac:dyDescent="0.55000000000000004">
      <c r="A3790" s="32">
        <v>44978</v>
      </c>
      <c r="B3790" s="33">
        <v>0.51388888888888895</v>
      </c>
      <c r="C3790" s="10" t="s">
        <v>661</v>
      </c>
      <c r="D3790" s="10">
        <v>10</v>
      </c>
      <c r="E3790" s="10">
        <v>220</v>
      </c>
      <c r="F3790" s="10">
        <v>1</v>
      </c>
      <c r="G3790" s="10" t="s">
        <v>231</v>
      </c>
      <c r="H3790" s="10" t="s">
        <v>322</v>
      </c>
      <c r="I3790" s="10" t="s">
        <v>235</v>
      </c>
      <c r="J3790" s="10">
        <v>17</v>
      </c>
      <c r="K3790" s="12">
        <v>44981</v>
      </c>
      <c r="L3790" s="33">
        <v>0.52028935185185188</v>
      </c>
      <c r="M3790" s="10">
        <v>1</v>
      </c>
      <c r="N3790" s="10" t="s">
        <v>196</v>
      </c>
      <c r="O3790" s="10">
        <v>7.95</v>
      </c>
      <c r="P3790" s="10">
        <v>0.38400000000000001</v>
      </c>
      <c r="Q3790" s="10">
        <v>1380</v>
      </c>
      <c r="R3790" s="10" t="s">
        <v>170</v>
      </c>
      <c r="S3790" s="34">
        <f t="shared" si="430"/>
        <v>1380</v>
      </c>
      <c r="T3790" s="10" t="s">
        <v>1282</v>
      </c>
      <c r="U3790" s="34" t="str">
        <f t="shared" si="431"/>
        <v/>
      </c>
      <c r="V3790" s="31" t="str">
        <f>IF(H3790="CHK",VLOOKUP(I3790,QCCHK,3,),IF(H3790="GUP",VLOOKUP(E3790,QCGUP,2,),IF(AND(H3790="ATP",OR(I3790="TN",I3790="TDN",I3790="TNO2-3",I3790="NO2-3")),VLOOKUP(E3790,QCREC_N,2,),IF(AND(H3790="NIC",OR(I3790="TN",I3790="TDN",I3790="TNO2-3",I3790="NO2-3")),VLOOKUP(E3790,QCNIC_N,2,),IF(AND(H3790="UREA",OR(I3790="TN",I3790="TDN",I3790="TNO2-3",I3790="NO2-3")),VLOOKUP(E3790,QCUREA_N,2,),IF(H3790="PER",VLOOKUP(I3790,QCPER,MATCH(E3790,QCACTUAL!$J$25:$AA$25,0),),IF(H3790="SPK",VLOOKUP(I3790,QCSPK,3,),IF(AND(H3790="ATP",OR(I3790="TP",I3790="TDP")),VLOOKUP(E3790,QCATP_P,2,),""))))))))</f>
        <v/>
      </c>
      <c r="W3790" s="31" t="str">
        <f t="shared" si="432"/>
        <v>TRUE</v>
      </c>
      <c r="X3790" s="31" t="str">
        <f t="shared" si="429"/>
        <v/>
      </c>
      <c r="Y3790" s="10" t="s">
        <v>1275</v>
      </c>
      <c r="AF3790" s="12">
        <v>44981</v>
      </c>
      <c r="AJ3790" s="10">
        <f>2.8761*7.95^2+145.17*7.95-57.22</f>
        <v>1278.6582102499999</v>
      </c>
      <c r="AK3790" s="10">
        <f>0.3348*7.95^2+180.18*7.95-102.36</f>
        <v>1351.2311970000001</v>
      </c>
      <c r="AL3790" s="10" t="str">
        <f t="shared" si="427"/>
        <v>FALSE</v>
      </c>
      <c r="AM3790" s="10" t="str">
        <f t="shared" si="427"/>
        <v>FALSE</v>
      </c>
      <c r="AN3790" s="10" t="str">
        <f t="shared" si="427"/>
        <v>FALSE</v>
      </c>
      <c r="AO3790" s="10" t="str">
        <f t="shared" si="428"/>
        <v>y=2.8761*7.95^2+145.17*7.95-57.22</v>
      </c>
      <c r="AP3790" s="10" t="str">
        <f t="shared" si="428"/>
        <v>y=0.3348*7.95^2+180.18*7.95-102.36</v>
      </c>
      <c r="AQ3790" s="10" t="b">
        <f>IF(AND(I3790="TP",S3790&lt;=150),VLOOKUP(AF3790,TPCalibEq150!$AZ$2:$BB$55,3,),IF(AND(I3790="TDP",S3790&lt;=150),VLOOKUP(AF3790,TPCalibEq150!$AZ$2:$BB$55,3,)))</f>
        <v>0</v>
      </c>
      <c r="AR3790" s="10" t="b">
        <f>IF(AND(I3790="TP",S3790&lt;=300),VLOOKUP(AF3790,TPCalibEq300!$AZ$2:$BB$55,3,),IF(AND(I3790="TDP",S3790&lt;=300),VLOOKUP(AF3790,TPCalibEq300!$AZ$2:$BB$55,3,)))</f>
        <v>0</v>
      </c>
      <c r="AS3790" s="10" t="b">
        <f>IF(AND(I3790="TP",S3790&lt;=500),VLOOKUP(AF3790,TPCalibEq500!$AZ$2:$BB$56,3,),IF(AND(I3790="TDP",S3790&lt;=500),VLOOKUP(AF3790,TPCalibEq500!$AZ$2:$BB$56,3,)))</f>
        <v>0</v>
      </c>
      <c r="AT3790" s="10" t="str">
        <f>IF(AND(I3790="TN",S3790&lt;=2800),VLOOKUP(AF3790,TNCalibEq2500!$AZ$2:$BB$56,3,),IF(AND(I3790="TDN",S3790&lt;=2800),VLOOKUP(AF3790,TNCalibEq2500!$AZ$2:$BB$56,3,)))</f>
        <v>y=2.8761x2+145.17x-57.22</v>
      </c>
      <c r="AU3790" s="10" t="str">
        <f>IF(I3790="TP",VLOOKUP(AF3790,TPCalibEqFull!$AZ$2:$BB$56,3),IF(I3790="TDP",VLOOKUP(AF3790,TPCalibEqFull!$AZ$2:$BB$56,3),IF(I3790="TDN",VLOOKUP(AF3790,TNCalibEqFull!$AZ$1:$BB$56,3),IF(I3790="TN",VLOOKUP(AF3790,TNCalibEqFull!$AZ$1:$BB$56,3),FALSE))))</f>
        <v>y=0.3348x2+180.18x-102.36</v>
      </c>
      <c r="AV3790" s="10" t="str">
        <f t="shared" si="433"/>
        <v>0221 12:20:00-ENN-10-220-1-SW-UKN</v>
      </c>
    </row>
    <row r="3791" spans="1:48" s="10" customFormat="1" x14ac:dyDescent="0.55000000000000004">
      <c r="A3791" s="32">
        <v>44978</v>
      </c>
      <c r="B3791" s="33">
        <v>0.51666666666666672</v>
      </c>
      <c r="C3791" s="10" t="s">
        <v>661</v>
      </c>
      <c r="D3791" s="10">
        <v>20</v>
      </c>
      <c r="E3791" s="10" t="s">
        <v>190</v>
      </c>
      <c r="F3791" s="10">
        <v>1</v>
      </c>
      <c r="G3791" s="10" t="s">
        <v>231</v>
      </c>
      <c r="H3791" s="10" t="s">
        <v>322</v>
      </c>
      <c r="I3791" s="10" t="s">
        <v>235</v>
      </c>
      <c r="J3791" s="10">
        <v>18</v>
      </c>
      <c r="K3791" s="12">
        <v>44981</v>
      </c>
      <c r="L3791" s="33">
        <v>0.52097222222222228</v>
      </c>
      <c r="M3791" s="10">
        <v>1</v>
      </c>
      <c r="N3791" s="10" t="s">
        <v>196</v>
      </c>
      <c r="O3791" s="10">
        <v>7.66</v>
      </c>
      <c r="P3791" s="10">
        <v>0.371</v>
      </c>
      <c r="Q3791" s="10">
        <v>1320</v>
      </c>
      <c r="R3791" s="10" t="s">
        <v>170</v>
      </c>
      <c r="S3791" s="34">
        <f t="shared" si="430"/>
        <v>1320</v>
      </c>
      <c r="T3791" s="10" t="s">
        <v>1282</v>
      </c>
      <c r="U3791" s="34" t="str">
        <f t="shared" si="431"/>
        <v/>
      </c>
      <c r="V3791" s="31" t="str">
        <f>IF(H3791="CHK",VLOOKUP(I3791,QCCHK,3,),IF(H3791="GUP",VLOOKUP(E3791,QCGUP,2,),IF(AND(H3791="ATP",OR(I3791="TN",I3791="TDN",I3791="TNO2-3",I3791="NO2-3")),VLOOKUP(E3791,QCREC_N,2,),IF(AND(H3791="NIC",OR(I3791="TN",I3791="TDN",I3791="TNO2-3",I3791="NO2-3")),VLOOKUP(E3791,QCNIC_N,2,),IF(AND(H3791="UREA",OR(I3791="TN",I3791="TDN",I3791="TNO2-3",I3791="NO2-3")),VLOOKUP(E3791,QCUREA_N,2,),IF(H3791="PER",VLOOKUP(I3791,QCPER,MATCH(E3791,QCACTUAL!$J$25:$AA$25,0),),IF(H3791="SPK",VLOOKUP(I3791,QCSPK,3,),IF(AND(H3791="ATP",OR(I3791="TP",I3791="TDP")),VLOOKUP(E3791,QCATP_P,2,),""))))))))</f>
        <v/>
      </c>
      <c r="W3791" s="31" t="str">
        <f t="shared" si="432"/>
        <v>TRUE</v>
      </c>
      <c r="X3791" s="31" t="str">
        <f t="shared" si="429"/>
        <v/>
      </c>
      <c r="Y3791" s="10" t="s">
        <v>1275</v>
      </c>
      <c r="AF3791" s="12">
        <v>44981</v>
      </c>
      <c r="AJ3791" s="10">
        <f>2.8761*7.66^2+145.17*7.66-57.22</f>
        <v>1223.5390931599998</v>
      </c>
      <c r="AK3791" s="10">
        <f>0.3348*7.66^2+180.18*7.66-102.36</f>
        <v>1297.4633908800001</v>
      </c>
      <c r="AL3791" s="10" t="str">
        <f t="shared" si="427"/>
        <v>FALSE</v>
      </c>
      <c r="AM3791" s="10" t="str">
        <f t="shared" si="427"/>
        <v>FALSE</v>
      </c>
      <c r="AN3791" s="10" t="str">
        <f t="shared" si="427"/>
        <v>FALSE</v>
      </c>
      <c r="AO3791" s="10" t="str">
        <f t="shared" si="428"/>
        <v>y=2.8761*7.66^2+145.17*7.66-57.22</v>
      </c>
      <c r="AP3791" s="10" t="str">
        <f t="shared" si="428"/>
        <v>y=0.3348*7.66^2+180.18*7.66-102.36</v>
      </c>
      <c r="AQ3791" s="10" t="b">
        <f>IF(AND(I3791="TP",S3791&lt;=150),VLOOKUP(AF3791,TPCalibEq150!$AZ$2:$BB$55,3,),IF(AND(I3791="TDP",S3791&lt;=150),VLOOKUP(AF3791,TPCalibEq150!$AZ$2:$BB$55,3,)))</f>
        <v>0</v>
      </c>
      <c r="AR3791" s="10" t="b">
        <f>IF(AND(I3791="TP",S3791&lt;=300),VLOOKUP(AF3791,TPCalibEq300!$AZ$2:$BB$55,3,),IF(AND(I3791="TDP",S3791&lt;=300),VLOOKUP(AF3791,TPCalibEq300!$AZ$2:$BB$55,3,)))</f>
        <v>0</v>
      </c>
      <c r="AS3791" s="10" t="b">
        <f>IF(AND(I3791="TP",S3791&lt;=500),VLOOKUP(AF3791,TPCalibEq500!$AZ$2:$BB$56,3,),IF(AND(I3791="TDP",S3791&lt;=500),VLOOKUP(AF3791,TPCalibEq500!$AZ$2:$BB$56,3,)))</f>
        <v>0</v>
      </c>
      <c r="AT3791" s="10" t="str">
        <f>IF(AND(I3791="TN",S3791&lt;=2800),VLOOKUP(AF3791,TNCalibEq2500!$AZ$2:$BB$56,3,),IF(AND(I3791="TDN",S3791&lt;=2800),VLOOKUP(AF3791,TNCalibEq2500!$AZ$2:$BB$56,3,)))</f>
        <v>y=2.8761x2+145.17x-57.22</v>
      </c>
      <c r="AU3791" s="10" t="str">
        <f>IF(I3791="TP",VLOOKUP(AF3791,TPCalibEqFull!$AZ$2:$BB$56,3),IF(I3791="TDP",VLOOKUP(AF3791,TPCalibEqFull!$AZ$2:$BB$56,3),IF(I3791="TDN",VLOOKUP(AF3791,TNCalibEqFull!$AZ$1:$BB$56,3),IF(I3791="TN",VLOOKUP(AF3791,TNCalibEqFull!$AZ$1:$BB$56,3),FALSE))))</f>
        <v>y=0.3348x2+180.18x-102.36</v>
      </c>
      <c r="AV3791" s="10" t="str">
        <f t="shared" si="433"/>
        <v>0221 12:24:00-ENN-20-C-1-SW-UKN</v>
      </c>
    </row>
    <row r="3792" spans="1:48" s="10" customFormat="1" x14ac:dyDescent="0.55000000000000004">
      <c r="A3792" s="32">
        <v>44978</v>
      </c>
      <c r="B3792" s="33">
        <v>0.51944444444444449</v>
      </c>
      <c r="C3792" s="10" t="s">
        <v>661</v>
      </c>
      <c r="D3792" s="10">
        <v>24</v>
      </c>
      <c r="E3792" s="10" t="s">
        <v>190</v>
      </c>
      <c r="F3792" s="10">
        <v>1</v>
      </c>
      <c r="G3792" s="10" t="s">
        <v>231</v>
      </c>
      <c r="H3792" s="10" t="s">
        <v>322</v>
      </c>
      <c r="I3792" s="10" t="s">
        <v>235</v>
      </c>
      <c r="J3792" s="10">
        <v>19</v>
      </c>
      <c r="K3792" s="12">
        <v>44981</v>
      </c>
      <c r="L3792" s="33">
        <v>0.52164351851851853</v>
      </c>
      <c r="M3792" s="10">
        <v>1</v>
      </c>
      <c r="N3792" s="10" t="s">
        <v>196</v>
      </c>
      <c r="O3792" s="10">
        <v>7.81</v>
      </c>
      <c r="P3792" s="10">
        <v>0.379</v>
      </c>
      <c r="Q3792" s="10">
        <v>1350</v>
      </c>
      <c r="R3792" s="10" t="s">
        <v>170</v>
      </c>
      <c r="S3792" s="34">
        <f t="shared" si="430"/>
        <v>1350</v>
      </c>
      <c r="T3792" s="10" t="s">
        <v>1282</v>
      </c>
      <c r="U3792" s="34" t="str">
        <f t="shared" si="431"/>
        <v/>
      </c>
      <c r="V3792" s="31" t="str">
        <f>IF(H3792="CHK",VLOOKUP(I3792,QCCHK,3,),IF(H3792="GUP",VLOOKUP(E3792,QCGUP,2,),IF(AND(H3792="ATP",OR(I3792="TN",I3792="TDN",I3792="TNO2-3",I3792="NO2-3")),VLOOKUP(E3792,QCREC_N,2,),IF(AND(H3792="NIC",OR(I3792="TN",I3792="TDN",I3792="TNO2-3",I3792="NO2-3")),VLOOKUP(E3792,QCNIC_N,2,),IF(AND(H3792="UREA",OR(I3792="TN",I3792="TDN",I3792="TNO2-3",I3792="NO2-3")),VLOOKUP(E3792,QCUREA_N,2,),IF(H3792="PER",VLOOKUP(I3792,QCPER,MATCH(E3792,QCACTUAL!$J$25:$AA$25,0),),IF(H3792="SPK",VLOOKUP(I3792,QCSPK,3,),IF(AND(H3792="ATP",OR(I3792="TP",I3792="TDP")),VLOOKUP(E3792,QCATP_P,2,),""))))))))</f>
        <v/>
      </c>
      <c r="W3792" s="31" t="str">
        <f t="shared" si="432"/>
        <v>TRUE</v>
      </c>
      <c r="X3792" s="31" t="str">
        <f t="shared" si="429"/>
        <v/>
      </c>
      <c r="Y3792" s="10" t="s">
        <v>1275</v>
      </c>
      <c r="AF3792" s="12">
        <v>44981</v>
      </c>
      <c r="AJ3792" s="10">
        <f>2.8761*7.81^2+145.17*7.81-57.22</f>
        <v>1251.9885832099999</v>
      </c>
      <c r="AK3792" s="10">
        <f>0.3348*7.81^2+180.18*7.81-102.36</f>
        <v>1325.26729428</v>
      </c>
      <c r="AL3792" s="10" t="str">
        <f t="shared" si="427"/>
        <v>FALSE</v>
      </c>
      <c r="AM3792" s="10" t="str">
        <f t="shared" si="427"/>
        <v>FALSE</v>
      </c>
      <c r="AN3792" s="10" t="str">
        <f t="shared" si="427"/>
        <v>FALSE</v>
      </c>
      <c r="AO3792" s="10" t="str">
        <f t="shared" si="428"/>
        <v>y=2.8761*7.81^2+145.17*7.81-57.22</v>
      </c>
      <c r="AP3792" s="10" t="str">
        <f t="shared" si="428"/>
        <v>y=0.3348*7.81^2+180.18*7.81-102.36</v>
      </c>
      <c r="AQ3792" s="10" t="b">
        <f>IF(AND(I3792="TP",S3792&lt;=150),VLOOKUP(AF3792,TPCalibEq150!$AZ$2:$BB$55,3,),IF(AND(I3792="TDP",S3792&lt;=150),VLOOKUP(AF3792,TPCalibEq150!$AZ$2:$BB$55,3,)))</f>
        <v>0</v>
      </c>
      <c r="AR3792" s="10" t="b">
        <f>IF(AND(I3792="TP",S3792&lt;=300),VLOOKUP(AF3792,TPCalibEq300!$AZ$2:$BB$55,3,),IF(AND(I3792="TDP",S3792&lt;=300),VLOOKUP(AF3792,TPCalibEq300!$AZ$2:$BB$55,3,)))</f>
        <v>0</v>
      </c>
      <c r="AS3792" s="10" t="b">
        <f>IF(AND(I3792="TP",S3792&lt;=500),VLOOKUP(AF3792,TPCalibEq500!$AZ$2:$BB$56,3,),IF(AND(I3792="TDP",S3792&lt;=500),VLOOKUP(AF3792,TPCalibEq500!$AZ$2:$BB$56,3,)))</f>
        <v>0</v>
      </c>
      <c r="AT3792" s="10" t="str">
        <f>IF(AND(I3792="TN",S3792&lt;=2800),VLOOKUP(AF3792,TNCalibEq2500!$AZ$2:$BB$56,3,),IF(AND(I3792="TDN",S3792&lt;=2800),VLOOKUP(AF3792,TNCalibEq2500!$AZ$2:$BB$56,3,)))</f>
        <v>y=2.8761x2+145.17x-57.22</v>
      </c>
      <c r="AU3792" s="10" t="str">
        <f>IF(I3792="TP",VLOOKUP(AF3792,TPCalibEqFull!$AZ$2:$BB$56,3),IF(I3792="TDP",VLOOKUP(AF3792,TPCalibEqFull!$AZ$2:$BB$56,3),IF(I3792="TDN",VLOOKUP(AF3792,TNCalibEqFull!$AZ$1:$BB$56,3),IF(I3792="TN",VLOOKUP(AF3792,TNCalibEqFull!$AZ$1:$BB$56,3),FALSE))))</f>
        <v>y=0.3348x2+180.18x-102.36</v>
      </c>
      <c r="AV3792" s="10" t="str">
        <f t="shared" si="433"/>
        <v>0221 12:28:00-ENN-24-C-1-SW-UKN</v>
      </c>
    </row>
    <row r="3793" spans="1:48" s="10" customFormat="1" x14ac:dyDescent="0.55000000000000004">
      <c r="A3793" s="32">
        <v>44978</v>
      </c>
      <c r="B3793" s="33">
        <v>0.45069444444444445</v>
      </c>
      <c r="C3793" s="10" t="s">
        <v>646</v>
      </c>
      <c r="D3793" s="10">
        <v>0</v>
      </c>
      <c r="E3793" s="10">
        <v>360</v>
      </c>
      <c r="F3793" s="10">
        <v>1</v>
      </c>
      <c r="G3793" s="10" t="s">
        <v>231</v>
      </c>
      <c r="H3793" s="10" t="s">
        <v>322</v>
      </c>
      <c r="I3793" s="10" t="s">
        <v>235</v>
      </c>
      <c r="J3793" s="10">
        <v>20</v>
      </c>
      <c r="K3793" s="12">
        <v>44981</v>
      </c>
      <c r="L3793" s="33">
        <v>0.52230324074074075</v>
      </c>
      <c r="M3793" s="10">
        <v>1</v>
      </c>
      <c r="N3793" s="10" t="s">
        <v>196</v>
      </c>
      <c r="O3793" s="10">
        <v>7.68</v>
      </c>
      <c r="P3793" s="10">
        <v>0.371</v>
      </c>
      <c r="Q3793" s="10">
        <v>1330</v>
      </c>
      <c r="R3793" s="10" t="s">
        <v>170</v>
      </c>
      <c r="S3793" s="34">
        <f t="shared" si="430"/>
        <v>1330</v>
      </c>
      <c r="T3793" s="10" t="s">
        <v>1282</v>
      </c>
      <c r="U3793" s="34" t="str">
        <f t="shared" si="431"/>
        <v/>
      </c>
      <c r="V3793" s="31" t="str">
        <f>IF(H3793="CHK",VLOOKUP(I3793,QCCHK,3,),IF(H3793="GUP",VLOOKUP(E3793,QCGUP,2,),IF(AND(H3793="ATP",OR(I3793="TN",I3793="TDN",I3793="TNO2-3",I3793="NO2-3")),VLOOKUP(E3793,QCREC_N,2,),IF(AND(H3793="NIC",OR(I3793="TN",I3793="TDN",I3793="TNO2-3",I3793="NO2-3")),VLOOKUP(E3793,QCNIC_N,2,),IF(AND(H3793="UREA",OR(I3793="TN",I3793="TDN",I3793="TNO2-3",I3793="NO2-3")),VLOOKUP(E3793,QCUREA_N,2,),IF(H3793="PER",VLOOKUP(I3793,QCPER,MATCH(E3793,QCACTUAL!$J$25:$AA$25,0),),IF(H3793="SPK",VLOOKUP(I3793,QCSPK,3,),IF(AND(H3793="ATP",OR(I3793="TP",I3793="TDP")),VLOOKUP(E3793,QCATP_P,2,),""))))))))</f>
        <v/>
      </c>
      <c r="W3793" s="31" t="str">
        <f t="shared" si="432"/>
        <v>TRUE</v>
      </c>
      <c r="X3793" s="31" t="str">
        <f t="shared" si="429"/>
        <v/>
      </c>
      <c r="Y3793" s="10" t="s">
        <v>1275</v>
      </c>
      <c r="AF3793" s="12">
        <v>44981</v>
      </c>
      <c r="AJ3793" s="10">
        <f>2.8761*7.68^2+145.17*7.68-57.22</f>
        <v>1227.3248806399997</v>
      </c>
      <c r="AK3793" s="10">
        <f>0.3348*7.68^2+180.18*7.68-102.36</f>
        <v>1301.1697075200002</v>
      </c>
      <c r="AL3793" s="10" t="str">
        <f t="shared" si="427"/>
        <v>FALSE</v>
      </c>
      <c r="AM3793" s="10" t="str">
        <f t="shared" si="427"/>
        <v>FALSE</v>
      </c>
      <c r="AN3793" s="10" t="str">
        <f t="shared" si="427"/>
        <v>FALSE</v>
      </c>
      <c r="AO3793" s="10" t="str">
        <f t="shared" si="428"/>
        <v>y=2.8761*7.68^2+145.17*7.68-57.22</v>
      </c>
      <c r="AP3793" s="10" t="str">
        <f t="shared" si="428"/>
        <v>y=0.3348*7.68^2+180.18*7.68-102.36</v>
      </c>
      <c r="AQ3793" s="10" t="b">
        <f>IF(AND(I3793="TP",S3793&lt;=150),VLOOKUP(AF3793,TPCalibEq150!$AZ$2:$BB$55,3,),IF(AND(I3793="TDP",S3793&lt;=150),VLOOKUP(AF3793,TPCalibEq150!$AZ$2:$BB$55,3,)))</f>
        <v>0</v>
      </c>
      <c r="AR3793" s="10" t="b">
        <f>IF(AND(I3793="TP",S3793&lt;=300),VLOOKUP(AF3793,TPCalibEq300!$AZ$2:$BB$55,3,),IF(AND(I3793="TDP",S3793&lt;=300),VLOOKUP(AF3793,TPCalibEq300!$AZ$2:$BB$55,3,)))</f>
        <v>0</v>
      </c>
      <c r="AS3793" s="10" t="b">
        <f>IF(AND(I3793="TP",S3793&lt;=500),VLOOKUP(AF3793,TPCalibEq500!$AZ$2:$BB$56,3,),IF(AND(I3793="TDP",S3793&lt;=500),VLOOKUP(AF3793,TPCalibEq500!$AZ$2:$BB$56,3,)))</f>
        <v>0</v>
      </c>
      <c r="AT3793" s="10" t="str">
        <f>IF(AND(I3793="TN",S3793&lt;=2800),VLOOKUP(AF3793,TNCalibEq2500!$AZ$2:$BB$56,3,),IF(AND(I3793="TDN",S3793&lt;=2800),VLOOKUP(AF3793,TNCalibEq2500!$AZ$2:$BB$56,3,)))</f>
        <v>y=2.8761x2+145.17x-57.22</v>
      </c>
      <c r="AU3793" s="10" t="str">
        <f>IF(I3793="TP",VLOOKUP(AF3793,TPCalibEqFull!$AZ$2:$BB$56,3),IF(I3793="TDP",VLOOKUP(AF3793,TPCalibEqFull!$AZ$2:$BB$56,3),IF(I3793="TDN",VLOOKUP(AF3793,TNCalibEqFull!$AZ$1:$BB$56,3),IF(I3793="TN",VLOOKUP(AF3793,TNCalibEqFull!$AZ$1:$BB$56,3),FALSE))))</f>
        <v>y=0.3348x2+180.18x-102.36</v>
      </c>
      <c r="AV3793" s="10" t="str">
        <f t="shared" si="433"/>
        <v>0221 10:49:00-EMB-0-360-1-SW-UKN</v>
      </c>
    </row>
    <row r="3794" spans="1:48" s="10" customFormat="1" x14ac:dyDescent="0.55000000000000004">
      <c r="A3794" s="32">
        <v>44978</v>
      </c>
      <c r="B3794" s="33">
        <v>0.45069444444444445</v>
      </c>
      <c r="C3794" s="10" t="s">
        <v>646</v>
      </c>
      <c r="D3794" s="10">
        <v>0</v>
      </c>
      <c r="E3794" s="10">
        <v>360</v>
      </c>
      <c r="F3794" s="10">
        <v>1</v>
      </c>
      <c r="G3794" s="10" t="s">
        <v>231</v>
      </c>
      <c r="H3794" s="10" t="s">
        <v>233</v>
      </c>
      <c r="I3794" s="10" t="s">
        <v>235</v>
      </c>
      <c r="J3794" s="10">
        <v>20</v>
      </c>
      <c r="K3794" s="12">
        <v>44981</v>
      </c>
      <c r="L3794" s="33">
        <v>0.522974537037037</v>
      </c>
      <c r="M3794" s="10">
        <v>1</v>
      </c>
      <c r="N3794" s="10" t="s">
        <v>196</v>
      </c>
      <c r="O3794" s="10">
        <v>7.56</v>
      </c>
      <c r="P3794" s="10">
        <v>0.36799999999999999</v>
      </c>
      <c r="Q3794" s="10">
        <v>1300</v>
      </c>
      <c r="R3794" s="10" t="s">
        <v>170</v>
      </c>
      <c r="S3794" s="34">
        <f t="shared" si="430"/>
        <v>1300</v>
      </c>
      <c r="T3794" s="10" t="s">
        <v>1282</v>
      </c>
      <c r="U3794" s="34">
        <f t="shared" si="431"/>
        <v>2.2813688212927756</v>
      </c>
      <c r="V3794" s="31" t="str">
        <f>IF(H3794="CHK",VLOOKUP(I3794,QCCHK,3,),IF(H3794="GUP",VLOOKUP(E3794,QCGUP,2,),IF(AND(H3794="ATP",OR(I3794="TN",I3794="TDN",I3794="TNO2-3",I3794="NO2-3")),VLOOKUP(E3794,QCREC_N,2,),IF(AND(H3794="NIC",OR(I3794="TN",I3794="TDN",I3794="TNO2-3",I3794="NO2-3")),VLOOKUP(E3794,QCNIC_N,2,),IF(AND(H3794="UREA",OR(I3794="TN",I3794="TDN",I3794="TNO2-3",I3794="NO2-3")),VLOOKUP(E3794,QCUREA_N,2,),IF(H3794="PER",VLOOKUP(I3794,QCPER,MATCH(E3794,QCACTUAL!$J$25:$AA$25,0),),IF(H3794="SPK",VLOOKUP(I3794,QCSPK,3,),IF(AND(H3794="ATP",OR(I3794="TP",I3794="TDP")),VLOOKUP(E3794,QCATP_P,2,),""))))))))</f>
        <v/>
      </c>
      <c r="W3794" s="31" t="str">
        <f t="shared" si="432"/>
        <v>TRUE</v>
      </c>
      <c r="X3794" s="31" t="str">
        <f t="shared" si="429"/>
        <v>((ABS(rep1-rep2))/((rep1+rep2)/2)*100</v>
      </c>
      <c r="Y3794" s="10" t="s">
        <v>1275</v>
      </c>
      <c r="AF3794" s="12">
        <v>44981</v>
      </c>
      <c r="AJ3794" s="10">
        <f>2.8761*7.56^2+145.17*7.56-57.22</f>
        <v>1204.6446689599998</v>
      </c>
      <c r="AK3794" s="10">
        <f>0.3348*7.56^2+180.18*7.56-102.36</f>
        <v>1278.93582528</v>
      </c>
      <c r="AL3794" s="10" t="str">
        <f t="shared" si="427"/>
        <v>FALSE</v>
      </c>
      <c r="AM3794" s="10" t="str">
        <f t="shared" si="427"/>
        <v>FALSE</v>
      </c>
      <c r="AN3794" s="10" t="str">
        <f t="shared" si="427"/>
        <v>FALSE</v>
      </c>
      <c r="AO3794" s="10" t="str">
        <f t="shared" si="428"/>
        <v>y=2.8761*7.56^2+145.17*7.56-57.22</v>
      </c>
      <c r="AP3794" s="10" t="str">
        <f t="shared" si="428"/>
        <v>y=0.3348*7.56^2+180.18*7.56-102.36</v>
      </c>
      <c r="AQ3794" s="10" t="b">
        <f>IF(AND(I3794="TP",S3794&lt;=150),VLOOKUP(AF3794,TPCalibEq150!$AZ$2:$BB$55,3,),IF(AND(I3794="TDP",S3794&lt;=150),VLOOKUP(AF3794,TPCalibEq150!$AZ$2:$BB$55,3,)))</f>
        <v>0</v>
      </c>
      <c r="AR3794" s="10" t="b">
        <f>IF(AND(I3794="TP",S3794&lt;=300),VLOOKUP(AF3794,TPCalibEq300!$AZ$2:$BB$55,3,),IF(AND(I3794="TDP",S3794&lt;=300),VLOOKUP(AF3794,TPCalibEq300!$AZ$2:$BB$55,3,)))</f>
        <v>0</v>
      </c>
      <c r="AS3794" s="10" t="b">
        <f>IF(AND(I3794="TP",S3794&lt;=500),VLOOKUP(AF3794,TPCalibEq500!$AZ$2:$BB$56,3,),IF(AND(I3794="TDP",S3794&lt;=500),VLOOKUP(AF3794,TPCalibEq500!$AZ$2:$BB$56,3,)))</f>
        <v>0</v>
      </c>
      <c r="AT3794" s="10" t="str">
        <f>IF(AND(I3794="TN",S3794&lt;=2800),VLOOKUP(AF3794,TNCalibEq2500!$AZ$2:$BB$56,3,),IF(AND(I3794="TDN",S3794&lt;=2800),VLOOKUP(AF3794,TNCalibEq2500!$AZ$2:$BB$56,3,)))</f>
        <v>y=2.8761x2+145.17x-57.22</v>
      </c>
      <c r="AU3794" s="10" t="str">
        <f>IF(I3794="TP",VLOOKUP(AF3794,TPCalibEqFull!$AZ$2:$BB$56,3),IF(I3794="TDP",VLOOKUP(AF3794,TPCalibEqFull!$AZ$2:$BB$56,3),IF(I3794="TDN",VLOOKUP(AF3794,TNCalibEqFull!$AZ$1:$BB$56,3),IF(I3794="TN",VLOOKUP(AF3794,TNCalibEqFull!$AZ$1:$BB$56,3),FALSE))))</f>
        <v>y=0.3348x2+180.18x-102.36</v>
      </c>
      <c r="AV3794" s="10" t="str">
        <f t="shared" si="433"/>
        <v>0221 10:49:00-EMB-0-360-1-SW-DUP</v>
      </c>
    </row>
    <row r="3795" spans="1:48" s="10" customFormat="1" x14ac:dyDescent="0.55000000000000004">
      <c r="A3795" s="32">
        <v>44978</v>
      </c>
      <c r="B3795" s="33">
        <v>0.45069444444444445</v>
      </c>
      <c r="C3795" s="10" t="s">
        <v>646</v>
      </c>
      <c r="D3795" s="10">
        <v>0</v>
      </c>
      <c r="E3795" s="10">
        <v>360</v>
      </c>
      <c r="F3795" s="10">
        <v>1</v>
      </c>
      <c r="G3795" s="10" t="s">
        <v>231</v>
      </c>
      <c r="H3795" s="10" t="s">
        <v>314</v>
      </c>
      <c r="I3795" s="10" t="s">
        <v>235</v>
      </c>
      <c r="J3795" s="10">
        <v>83</v>
      </c>
      <c r="K3795" s="12">
        <v>44981</v>
      </c>
      <c r="L3795" s="33">
        <v>0.52364583333333337</v>
      </c>
      <c r="M3795" s="10">
        <v>1</v>
      </c>
      <c r="N3795" s="10" t="s">
        <v>196</v>
      </c>
      <c r="O3795" s="10">
        <v>21.4</v>
      </c>
      <c r="P3795" s="10">
        <v>1.03</v>
      </c>
      <c r="Q3795" s="10">
        <v>3920</v>
      </c>
      <c r="R3795" s="10" t="s">
        <v>170</v>
      </c>
      <c r="S3795" s="34">
        <f t="shared" si="430"/>
        <v>3920</v>
      </c>
      <c r="T3795" s="10" t="s">
        <v>1282</v>
      </c>
      <c r="U3795" s="34">
        <f t="shared" si="431"/>
        <v>104.80000000000001</v>
      </c>
      <c r="V3795" s="31">
        <f>IF(H3795="CHK",VLOOKUP(I3795,QCCHK,3,),IF(H3795="GUP",VLOOKUP(E3795,QCGUP,2,),IF(AND(H3795="ATP",OR(I3795="TN",I3795="TDN",I3795="TNO2-3",I3795="NO2-3")),VLOOKUP(E3795,QCREC_N,2,),IF(AND(H3795="NIC",OR(I3795="TN",I3795="TDN",I3795="TNO2-3",I3795="NO2-3")),VLOOKUP(E3795,QCNIC_N,2,),IF(AND(H3795="UREA",OR(I3795="TN",I3795="TDN",I3795="TNO2-3",I3795="NO2-3")),VLOOKUP(E3795,QCUREA_N,2,),IF(H3795="PER",VLOOKUP(I3795,QCPER,MATCH(E3795,QCACTUAL!$J$25:$AA$25,0),),IF(H3795="SPK",VLOOKUP(I3795,QCSPK,3,),IF(AND(H3795="ATP",OR(I3795="TP",I3795="TDP")),VLOOKUP(E3795,QCATP_P,2,),""))))))))</f>
        <v>2500</v>
      </c>
      <c r="W3795" s="31" t="str">
        <f t="shared" si="432"/>
        <v>TRUE</v>
      </c>
      <c r="X3795" s="31" t="str">
        <f t="shared" si="429"/>
        <v>([spikedunkn]-[unkn])/[spike]*100</v>
      </c>
      <c r="Y3795" s="10" t="s">
        <v>1275</v>
      </c>
      <c r="AF3795" s="12">
        <v>44981</v>
      </c>
      <c r="AK3795" s="10">
        <f>0.3348*21.4^2+180.18*21.4-102.36</f>
        <v>3906.8170079999995</v>
      </c>
      <c r="AL3795" s="10" t="str">
        <f t="shared" si="427"/>
        <v>FALSE</v>
      </c>
      <c r="AM3795" s="10" t="str">
        <f t="shared" si="427"/>
        <v>FALSE</v>
      </c>
      <c r="AN3795" s="10" t="str">
        <f t="shared" si="427"/>
        <v>FALSE</v>
      </c>
      <c r="AO3795" s="10" t="str">
        <f t="shared" si="428"/>
        <v>FALSE</v>
      </c>
      <c r="AP3795" s="10" t="str">
        <f t="shared" si="428"/>
        <v>y=0.3348*21.4^2+180.18*21.4-102.36</v>
      </c>
      <c r="AQ3795" s="10" t="b">
        <f>IF(AND(I3795="TP",S3795&lt;=150),VLOOKUP(AF3795,TPCalibEq150!$AZ$2:$BB$55,3,),IF(AND(I3795="TDP",S3795&lt;=150),VLOOKUP(AF3795,TPCalibEq150!$AZ$2:$BB$55,3,)))</f>
        <v>0</v>
      </c>
      <c r="AR3795" s="10" t="b">
        <f>IF(AND(I3795="TP",S3795&lt;=300),VLOOKUP(AF3795,TPCalibEq300!$AZ$2:$BB$55,3,),IF(AND(I3795="TDP",S3795&lt;=300),VLOOKUP(AF3795,TPCalibEq300!$AZ$2:$BB$55,3,)))</f>
        <v>0</v>
      </c>
      <c r="AS3795" s="10" t="b">
        <f>IF(AND(I3795="TP",S3795&lt;=500),VLOOKUP(AF3795,TPCalibEq500!$AZ$2:$BB$56,3,),IF(AND(I3795="TDP",S3795&lt;=500),VLOOKUP(AF3795,TPCalibEq500!$AZ$2:$BB$56,3,)))</f>
        <v>0</v>
      </c>
      <c r="AT3795" s="10" t="b">
        <f>IF(AND(I3795="TN",S3795&lt;=2800),VLOOKUP(AF3795,TNCalibEq2500!$AZ$2:$BB$56,3,),IF(AND(I3795="TDN",S3795&lt;=2800),VLOOKUP(AF3795,TNCalibEq2500!$AZ$2:$BB$56,3,)))</f>
        <v>0</v>
      </c>
      <c r="AU3795" s="10" t="str">
        <f>IF(I3795="TP",VLOOKUP(AF3795,TPCalibEqFull!$AZ$2:$BB$56,3),IF(I3795="TDP",VLOOKUP(AF3795,TPCalibEqFull!$AZ$2:$BB$56,3),IF(I3795="TDN",VLOOKUP(AF3795,TNCalibEqFull!$AZ$1:$BB$56,3),IF(I3795="TN",VLOOKUP(AF3795,TNCalibEqFull!$AZ$1:$BB$56,3),FALSE))))</f>
        <v>y=0.3348x2+180.18x-102.36</v>
      </c>
      <c r="AV3795" s="10" t="str">
        <f t="shared" si="433"/>
        <v>0221 10:49:00-EMB-0-360-1-SW-SPK</v>
      </c>
    </row>
    <row r="3796" spans="1:48" s="10" customFormat="1" x14ac:dyDescent="0.55000000000000004">
      <c r="A3796" s="32">
        <v>44979</v>
      </c>
      <c r="B3796" s="33">
        <v>0.375</v>
      </c>
      <c r="C3796" s="10" t="s">
        <v>70</v>
      </c>
      <c r="D3796" s="10" t="s">
        <v>71</v>
      </c>
      <c r="E3796" s="10" t="s">
        <v>901</v>
      </c>
      <c r="F3796" s="10">
        <v>1</v>
      </c>
      <c r="G3796" s="10" t="s">
        <v>73</v>
      </c>
      <c r="H3796" s="10" t="s">
        <v>207</v>
      </c>
      <c r="I3796" s="10" t="s">
        <v>235</v>
      </c>
      <c r="J3796" s="10">
        <v>200</v>
      </c>
      <c r="K3796" s="12">
        <v>44981</v>
      </c>
      <c r="L3796" s="33">
        <v>0.52431712962962962</v>
      </c>
      <c r="M3796" s="10">
        <v>1</v>
      </c>
      <c r="N3796" s="10" t="s">
        <v>196</v>
      </c>
      <c r="O3796" s="10">
        <v>7.08</v>
      </c>
      <c r="P3796" s="10">
        <v>0.34599999999999997</v>
      </c>
      <c r="Q3796" s="10">
        <v>1210</v>
      </c>
      <c r="R3796" s="10" t="s">
        <v>170</v>
      </c>
      <c r="S3796" s="34">
        <f t="shared" si="430"/>
        <v>1210</v>
      </c>
      <c r="T3796" s="10" t="s">
        <v>1282</v>
      </c>
      <c r="U3796" s="34">
        <f t="shared" si="431"/>
        <v>96.8</v>
      </c>
      <c r="V3796" s="31">
        <f>IF(H3796="CHK",VLOOKUP(I3796,QCCHK,3,),IF(H3796="GUP",VLOOKUP(E3796,QCGUP,2,),IF(AND(H3796="ATP",OR(I3796="TN",I3796="TDN",I3796="TNO2-3",I3796="NO2-3")),VLOOKUP(E3796,QCREC_N,2,),IF(AND(H3796="NIC",OR(I3796="TN",I3796="TDN",I3796="TNO2-3",I3796="NO2-3")),VLOOKUP(E3796,QCNIC_N,2,),IF(AND(H3796="UREA",OR(I3796="TN",I3796="TDN",I3796="TNO2-3",I3796="NO2-3")),VLOOKUP(E3796,QCUREA_N,2,),IF(H3796="PER",VLOOKUP(I3796,QCPER,MATCH(E3796,QCACTUAL!$J$25:$AA$25,0),),IF(H3796="SPK",VLOOKUP(I3796,QCSPK,3,),IF(AND(H3796="ATP",OR(I3796="TP",I3796="TDP")),VLOOKUP(E3796,QCATP_P,2,),""))))))))</f>
        <v>1250</v>
      </c>
      <c r="W3796" s="31" t="str">
        <f t="shared" si="432"/>
        <v>TRUE</v>
      </c>
      <c r="X3796" s="31" t="str">
        <f t="shared" si="429"/>
        <v>[chk]/[actual]*100</v>
      </c>
      <c r="Y3796" s="10" t="s">
        <v>1275</v>
      </c>
      <c r="AF3796" s="12">
        <v>44981</v>
      </c>
      <c r="AJ3796" s="10">
        <f>2.8761*7.08^2+145.17*7.08-57.22</f>
        <v>1114.75213904</v>
      </c>
      <c r="AK3796" s="10">
        <f>0.3348*7.08^2+180.18*7.08-102.36</f>
        <v>1190.0967187200001</v>
      </c>
      <c r="AL3796" s="10" t="str">
        <f t="shared" si="427"/>
        <v>FALSE</v>
      </c>
      <c r="AM3796" s="10" t="str">
        <f t="shared" si="427"/>
        <v>FALSE</v>
      </c>
      <c r="AN3796" s="10" t="str">
        <f t="shared" si="427"/>
        <v>FALSE</v>
      </c>
      <c r="AO3796" s="10" t="str">
        <f t="shared" si="428"/>
        <v>y=2.8761*7.08^2+145.17*7.08-57.22</v>
      </c>
      <c r="AP3796" s="10" t="str">
        <f t="shared" si="428"/>
        <v>y=0.3348*7.08^2+180.18*7.08-102.36</v>
      </c>
      <c r="AQ3796" s="10" t="b">
        <f>IF(AND(I3796="TP",S3796&lt;=150),VLOOKUP(AF3796,TPCalibEq150!$AZ$2:$BB$55,3,),IF(AND(I3796="TDP",S3796&lt;=150),VLOOKUP(AF3796,TPCalibEq150!$AZ$2:$BB$55,3,)))</f>
        <v>0</v>
      </c>
      <c r="AR3796" s="10" t="b">
        <f>IF(AND(I3796="TP",S3796&lt;=300),VLOOKUP(AF3796,TPCalibEq300!$AZ$2:$BB$55,3,),IF(AND(I3796="TDP",S3796&lt;=300),VLOOKUP(AF3796,TPCalibEq300!$AZ$2:$BB$55,3,)))</f>
        <v>0</v>
      </c>
      <c r="AS3796" s="10" t="b">
        <f>IF(AND(I3796="TP",S3796&lt;=500),VLOOKUP(AF3796,TPCalibEq500!$AZ$2:$BB$56,3,),IF(AND(I3796="TDP",S3796&lt;=500),VLOOKUP(AF3796,TPCalibEq500!$AZ$2:$BB$56,3,)))</f>
        <v>0</v>
      </c>
      <c r="AT3796" s="10" t="str">
        <f>IF(AND(I3796="TN",S3796&lt;=2800),VLOOKUP(AF3796,TNCalibEq2500!$AZ$2:$BB$56,3,),IF(AND(I3796="TDN",S3796&lt;=2800),VLOOKUP(AF3796,TNCalibEq2500!$AZ$2:$BB$56,3,)))</f>
        <v>y=2.8761x2+145.17x-57.22</v>
      </c>
      <c r="AU3796" s="10" t="str">
        <f>IF(I3796="TP",VLOOKUP(AF3796,TPCalibEqFull!$AZ$2:$BB$56,3),IF(I3796="TDP",VLOOKUP(AF3796,TPCalibEqFull!$AZ$2:$BB$56,3),IF(I3796="TDN",VLOOKUP(AF3796,TNCalibEqFull!$AZ$1:$BB$56,3),IF(I3796="TN",VLOOKUP(AF3796,TNCalibEqFull!$AZ$1:$BB$56,3),FALSE))))</f>
        <v>y=0.3348x2+180.18x-102.36</v>
      </c>
      <c r="AV3796" s="10" t="str">
        <f t="shared" si="433"/>
        <v>0222 09:00:00-QAC-STD-D-1-DI-CHK</v>
      </c>
    </row>
    <row r="3797" spans="1:48" s="10" customFormat="1" x14ac:dyDescent="0.55000000000000004">
      <c r="A3797" s="32">
        <v>44978</v>
      </c>
      <c r="B3797" s="33">
        <v>0.45277777777777778</v>
      </c>
      <c r="C3797" s="10" t="s">
        <v>646</v>
      </c>
      <c r="D3797" s="10">
        <v>5</v>
      </c>
      <c r="E3797" s="10">
        <v>360</v>
      </c>
      <c r="F3797" s="10">
        <v>1</v>
      </c>
      <c r="G3797" s="10" t="s">
        <v>231</v>
      </c>
      <c r="H3797" s="10" t="s">
        <v>322</v>
      </c>
      <c r="I3797" s="10" t="s">
        <v>235</v>
      </c>
      <c r="J3797" s="10">
        <v>21</v>
      </c>
      <c r="K3797" s="12">
        <v>44981</v>
      </c>
      <c r="L3797" s="33">
        <v>0.52498842592592598</v>
      </c>
      <c r="M3797" s="10">
        <v>1</v>
      </c>
      <c r="N3797" s="10" t="s">
        <v>196</v>
      </c>
      <c r="O3797" s="10">
        <v>7.12</v>
      </c>
      <c r="P3797" s="10">
        <v>0.34499999999999997</v>
      </c>
      <c r="Q3797" s="10">
        <v>1220</v>
      </c>
      <c r="R3797" s="10" t="s">
        <v>170</v>
      </c>
      <c r="S3797" s="34">
        <f t="shared" si="430"/>
        <v>1220</v>
      </c>
      <c r="T3797" s="10" t="s">
        <v>1282</v>
      </c>
      <c r="U3797" s="34" t="str">
        <f t="shared" si="431"/>
        <v/>
      </c>
      <c r="V3797" s="31" t="str">
        <f>IF(H3797="CHK",VLOOKUP(I3797,QCCHK,3,),IF(H3797="GUP",VLOOKUP(E3797,QCGUP,2,),IF(AND(H3797="ATP",OR(I3797="TN",I3797="TDN",I3797="TNO2-3",I3797="NO2-3")),VLOOKUP(E3797,QCREC_N,2,),IF(AND(H3797="NIC",OR(I3797="TN",I3797="TDN",I3797="TNO2-3",I3797="NO2-3")),VLOOKUP(E3797,QCNIC_N,2,),IF(AND(H3797="UREA",OR(I3797="TN",I3797="TDN",I3797="TNO2-3",I3797="NO2-3")),VLOOKUP(E3797,QCUREA_N,2,),IF(H3797="PER",VLOOKUP(I3797,QCPER,MATCH(E3797,QCACTUAL!$J$25:$AA$25,0),),IF(H3797="SPK",VLOOKUP(I3797,QCSPK,3,),IF(AND(H3797="ATP",OR(I3797="TP",I3797="TDP")),VLOOKUP(E3797,QCATP_P,2,),""))))))))</f>
        <v/>
      </c>
      <c r="W3797" s="31" t="str">
        <f t="shared" si="432"/>
        <v>TRUE</v>
      </c>
      <c r="X3797" s="31" t="str">
        <f t="shared" si="429"/>
        <v/>
      </c>
      <c r="Y3797" s="10" t="s">
        <v>1275</v>
      </c>
      <c r="AF3797" s="12">
        <v>44981</v>
      </c>
      <c r="AJ3797" s="10">
        <f>2.8761*7.12^2+145.17*7.12-57.22</f>
        <v>1122.19256384</v>
      </c>
      <c r="AK3797" s="10">
        <f>0.3348*7.12^2+180.18*7.12-102.36</f>
        <v>1197.4940851200004</v>
      </c>
      <c r="AL3797" s="10" t="str">
        <f t="shared" si="427"/>
        <v>FALSE</v>
      </c>
      <c r="AM3797" s="10" t="str">
        <f t="shared" si="427"/>
        <v>FALSE</v>
      </c>
      <c r="AN3797" s="10" t="str">
        <f t="shared" si="427"/>
        <v>FALSE</v>
      </c>
      <c r="AO3797" s="10" t="str">
        <f t="shared" si="428"/>
        <v>y=2.8761*7.12^2+145.17*7.12-57.22</v>
      </c>
      <c r="AP3797" s="10" t="str">
        <f t="shared" si="428"/>
        <v>y=0.3348*7.12^2+180.18*7.12-102.36</v>
      </c>
      <c r="AQ3797" s="10" t="b">
        <f>IF(AND(I3797="TP",S3797&lt;=150),VLOOKUP(AF3797,TPCalibEq150!$AZ$2:$BB$55,3,),IF(AND(I3797="TDP",S3797&lt;=150),VLOOKUP(AF3797,TPCalibEq150!$AZ$2:$BB$55,3,)))</f>
        <v>0</v>
      </c>
      <c r="AR3797" s="10" t="b">
        <f>IF(AND(I3797="TP",S3797&lt;=300),VLOOKUP(AF3797,TPCalibEq300!$AZ$2:$BB$55,3,),IF(AND(I3797="TDP",S3797&lt;=300),VLOOKUP(AF3797,TPCalibEq300!$AZ$2:$BB$55,3,)))</f>
        <v>0</v>
      </c>
      <c r="AS3797" s="10" t="b">
        <f>IF(AND(I3797="TP",S3797&lt;=500),VLOOKUP(AF3797,TPCalibEq500!$AZ$2:$BB$56,3,),IF(AND(I3797="TDP",S3797&lt;=500),VLOOKUP(AF3797,TPCalibEq500!$AZ$2:$BB$56,3,)))</f>
        <v>0</v>
      </c>
      <c r="AT3797" s="10" t="str">
        <f>IF(AND(I3797="TN",S3797&lt;=2800),VLOOKUP(AF3797,TNCalibEq2500!$AZ$2:$BB$56,3,),IF(AND(I3797="TDN",S3797&lt;=2800),VLOOKUP(AF3797,TNCalibEq2500!$AZ$2:$BB$56,3,)))</f>
        <v>y=2.8761x2+145.17x-57.22</v>
      </c>
      <c r="AU3797" s="10" t="str">
        <f>IF(I3797="TP",VLOOKUP(AF3797,TPCalibEqFull!$AZ$2:$BB$56,3),IF(I3797="TDP",VLOOKUP(AF3797,TPCalibEqFull!$AZ$2:$BB$56,3),IF(I3797="TDN",VLOOKUP(AF3797,TNCalibEqFull!$AZ$1:$BB$56,3),IF(I3797="TN",VLOOKUP(AF3797,TNCalibEqFull!$AZ$1:$BB$56,3),FALSE))))</f>
        <v>y=0.3348x2+180.18x-102.36</v>
      </c>
      <c r="AV3797" s="10" t="str">
        <f t="shared" si="433"/>
        <v>0221 10:52:00-EMB-5-360-1-SW-UKN</v>
      </c>
    </row>
    <row r="3798" spans="1:48" s="10" customFormat="1" x14ac:dyDescent="0.55000000000000004">
      <c r="A3798" s="32">
        <v>44978</v>
      </c>
      <c r="B3798" s="33">
        <v>0.4548611111111111</v>
      </c>
      <c r="C3798" s="10" t="s">
        <v>646</v>
      </c>
      <c r="D3798" s="10">
        <v>10</v>
      </c>
      <c r="E3798" s="10">
        <v>380</v>
      </c>
      <c r="F3798" s="10">
        <v>1</v>
      </c>
      <c r="G3798" s="10" t="s">
        <v>231</v>
      </c>
      <c r="H3798" s="10" t="s">
        <v>322</v>
      </c>
      <c r="I3798" s="10" t="s">
        <v>235</v>
      </c>
      <c r="J3798" s="10">
        <v>22</v>
      </c>
      <c r="K3798" s="12">
        <v>44981</v>
      </c>
      <c r="L3798" s="33">
        <v>0.5256481481481482</v>
      </c>
      <c r="M3798" s="10">
        <v>1</v>
      </c>
      <c r="N3798" s="10" t="s">
        <v>196</v>
      </c>
      <c r="O3798" s="10">
        <v>7.15</v>
      </c>
      <c r="P3798" s="10">
        <v>0.34699999999999998</v>
      </c>
      <c r="Q3798" s="10">
        <v>1230</v>
      </c>
      <c r="R3798" s="10" t="s">
        <v>170</v>
      </c>
      <c r="S3798" s="34">
        <f t="shared" si="430"/>
        <v>1230</v>
      </c>
      <c r="T3798" s="10" t="s">
        <v>1282</v>
      </c>
      <c r="U3798" s="34" t="str">
        <f t="shared" si="431"/>
        <v/>
      </c>
      <c r="V3798" s="31" t="str">
        <f>IF(H3798="CHK",VLOOKUP(I3798,QCCHK,3,),IF(H3798="GUP",VLOOKUP(E3798,QCGUP,2,),IF(AND(H3798="ATP",OR(I3798="TN",I3798="TDN",I3798="TNO2-3",I3798="NO2-3")),VLOOKUP(E3798,QCREC_N,2,),IF(AND(H3798="NIC",OR(I3798="TN",I3798="TDN",I3798="TNO2-3",I3798="NO2-3")),VLOOKUP(E3798,QCNIC_N,2,),IF(AND(H3798="UREA",OR(I3798="TN",I3798="TDN",I3798="TNO2-3",I3798="NO2-3")),VLOOKUP(E3798,QCUREA_N,2,),IF(H3798="PER",VLOOKUP(I3798,QCPER,MATCH(E3798,QCACTUAL!$J$25:$AA$25,0),),IF(H3798="SPK",VLOOKUP(I3798,QCSPK,3,),IF(AND(H3798="ATP",OR(I3798="TP",I3798="TDP")),VLOOKUP(E3798,QCATP_P,2,),""))))))))</f>
        <v/>
      </c>
      <c r="W3798" s="31" t="str">
        <f t="shared" si="432"/>
        <v>TRUE</v>
      </c>
      <c r="X3798" s="31" t="str">
        <f t="shared" si="429"/>
        <v/>
      </c>
      <c r="Y3798" s="10" t="s">
        <v>1275</v>
      </c>
      <c r="AF3798" s="12">
        <v>44981</v>
      </c>
      <c r="AJ3798" s="10">
        <f>2.8761*7.15^2+145.17*7.15-57.22</f>
        <v>1127.7789222500001</v>
      </c>
      <c r="AK3798" s="10">
        <f>0.3348*7.15^2+180.18*7.15-102.36</f>
        <v>1203.042813</v>
      </c>
      <c r="AL3798" s="10" t="str">
        <f t="shared" si="427"/>
        <v>FALSE</v>
      </c>
      <c r="AM3798" s="10" t="str">
        <f t="shared" si="427"/>
        <v>FALSE</v>
      </c>
      <c r="AN3798" s="10" t="str">
        <f t="shared" si="427"/>
        <v>FALSE</v>
      </c>
      <c r="AO3798" s="10" t="str">
        <f t="shared" si="428"/>
        <v>y=2.8761*7.15^2+145.17*7.15-57.22</v>
      </c>
      <c r="AP3798" s="10" t="str">
        <f t="shared" si="428"/>
        <v>y=0.3348*7.15^2+180.18*7.15-102.36</v>
      </c>
      <c r="AQ3798" s="10" t="b">
        <f>IF(AND(I3798="TP",S3798&lt;=150),VLOOKUP(AF3798,TPCalibEq150!$AZ$2:$BB$55,3,),IF(AND(I3798="TDP",S3798&lt;=150),VLOOKUP(AF3798,TPCalibEq150!$AZ$2:$BB$55,3,)))</f>
        <v>0</v>
      </c>
      <c r="AR3798" s="10" t="b">
        <f>IF(AND(I3798="TP",S3798&lt;=300),VLOOKUP(AF3798,TPCalibEq300!$AZ$2:$BB$55,3,),IF(AND(I3798="TDP",S3798&lt;=300),VLOOKUP(AF3798,TPCalibEq300!$AZ$2:$BB$55,3,)))</f>
        <v>0</v>
      </c>
      <c r="AS3798" s="10" t="b">
        <f>IF(AND(I3798="TP",S3798&lt;=500),VLOOKUP(AF3798,TPCalibEq500!$AZ$2:$BB$56,3,),IF(AND(I3798="TDP",S3798&lt;=500),VLOOKUP(AF3798,TPCalibEq500!$AZ$2:$BB$56,3,)))</f>
        <v>0</v>
      </c>
      <c r="AT3798" s="10" t="str">
        <f>IF(AND(I3798="TN",S3798&lt;=2800),VLOOKUP(AF3798,TNCalibEq2500!$AZ$2:$BB$56,3,),IF(AND(I3798="TDN",S3798&lt;=2800),VLOOKUP(AF3798,TNCalibEq2500!$AZ$2:$BB$56,3,)))</f>
        <v>y=2.8761x2+145.17x-57.22</v>
      </c>
      <c r="AU3798" s="10" t="str">
        <f>IF(I3798="TP",VLOOKUP(AF3798,TPCalibEqFull!$AZ$2:$BB$56,3),IF(I3798="TDP",VLOOKUP(AF3798,TPCalibEqFull!$AZ$2:$BB$56,3),IF(I3798="TDN",VLOOKUP(AF3798,TNCalibEqFull!$AZ$1:$BB$56,3),IF(I3798="TN",VLOOKUP(AF3798,TNCalibEqFull!$AZ$1:$BB$56,3),FALSE))))</f>
        <v>y=0.3348x2+180.18x-102.36</v>
      </c>
      <c r="AV3798" s="10" t="str">
        <f t="shared" si="433"/>
        <v>0221 10:55:00-EMB-10-380-1-SW-UKN</v>
      </c>
    </row>
    <row r="3799" spans="1:48" s="10" customFormat="1" x14ac:dyDescent="0.55000000000000004">
      <c r="A3799" s="32">
        <v>44978</v>
      </c>
      <c r="B3799" s="33">
        <v>0.45763888888888887</v>
      </c>
      <c r="C3799" s="10" t="s">
        <v>646</v>
      </c>
      <c r="D3799" s="10">
        <v>20</v>
      </c>
      <c r="E3799" s="10" t="s">
        <v>190</v>
      </c>
      <c r="F3799" s="10">
        <v>1</v>
      </c>
      <c r="G3799" s="10" t="s">
        <v>231</v>
      </c>
      <c r="H3799" s="10" t="s">
        <v>322</v>
      </c>
      <c r="I3799" s="10" t="s">
        <v>235</v>
      </c>
      <c r="J3799" s="10">
        <v>23</v>
      </c>
      <c r="K3799" s="12">
        <v>44981</v>
      </c>
      <c r="L3799" s="33">
        <v>0.52631944444444445</v>
      </c>
      <c r="M3799" s="10">
        <v>1</v>
      </c>
      <c r="N3799" s="10" t="s">
        <v>196</v>
      </c>
      <c r="O3799" s="10">
        <v>7.44</v>
      </c>
      <c r="P3799" s="10">
        <v>0.36</v>
      </c>
      <c r="Q3799" s="10">
        <v>1280</v>
      </c>
      <c r="R3799" s="10" t="s">
        <v>170</v>
      </c>
      <c r="S3799" s="34">
        <f t="shared" si="430"/>
        <v>1280</v>
      </c>
      <c r="T3799" s="10" t="s">
        <v>1282</v>
      </c>
      <c r="U3799" s="34" t="str">
        <f t="shared" si="431"/>
        <v/>
      </c>
      <c r="V3799" s="31" t="str">
        <f>IF(H3799="CHK",VLOOKUP(I3799,QCCHK,3,),IF(H3799="GUP",VLOOKUP(E3799,QCGUP,2,),IF(AND(H3799="ATP",OR(I3799="TN",I3799="TDN",I3799="TNO2-3",I3799="NO2-3")),VLOOKUP(E3799,QCREC_N,2,),IF(AND(H3799="NIC",OR(I3799="TN",I3799="TDN",I3799="TNO2-3",I3799="NO2-3")),VLOOKUP(E3799,QCNIC_N,2,),IF(AND(H3799="UREA",OR(I3799="TN",I3799="TDN",I3799="TNO2-3",I3799="NO2-3")),VLOOKUP(E3799,QCUREA_N,2,),IF(H3799="PER",VLOOKUP(I3799,QCPER,MATCH(E3799,QCACTUAL!$J$25:$AA$25,0),),IF(H3799="SPK",VLOOKUP(I3799,QCSPK,3,),IF(AND(H3799="ATP",OR(I3799="TP",I3799="TDP")),VLOOKUP(E3799,QCATP_P,2,),""))))))))</f>
        <v/>
      </c>
      <c r="W3799" s="31" t="str">
        <f t="shared" si="432"/>
        <v>TRUE</v>
      </c>
      <c r="X3799" s="31" t="str">
        <f t="shared" si="429"/>
        <v/>
      </c>
      <c r="Y3799" s="10" t="s">
        <v>1275</v>
      </c>
      <c r="AF3799" s="12">
        <v>44981</v>
      </c>
      <c r="AJ3799" s="10">
        <f>2.8761*7.44^2+145.17*7.44-57.22</f>
        <v>1182.0472889599998</v>
      </c>
      <c r="AK3799" s="10">
        <f>0.3348*7.44^2+180.18*7.44-102.36</f>
        <v>1256.7115852800002</v>
      </c>
      <c r="AL3799" s="10" t="str">
        <f t="shared" si="427"/>
        <v>FALSE</v>
      </c>
      <c r="AM3799" s="10" t="str">
        <f t="shared" si="427"/>
        <v>FALSE</v>
      </c>
      <c r="AN3799" s="10" t="str">
        <f t="shared" si="427"/>
        <v>FALSE</v>
      </c>
      <c r="AO3799" s="10" t="str">
        <f t="shared" si="428"/>
        <v>y=2.8761*7.44^2+145.17*7.44-57.22</v>
      </c>
      <c r="AP3799" s="10" t="str">
        <f t="shared" si="428"/>
        <v>y=0.3348*7.44^2+180.18*7.44-102.36</v>
      </c>
      <c r="AQ3799" s="10" t="b">
        <f>IF(AND(I3799="TP",S3799&lt;=150),VLOOKUP(AF3799,TPCalibEq150!$AZ$2:$BB$55,3,),IF(AND(I3799="TDP",S3799&lt;=150),VLOOKUP(AF3799,TPCalibEq150!$AZ$2:$BB$55,3,)))</f>
        <v>0</v>
      </c>
      <c r="AR3799" s="10" t="b">
        <f>IF(AND(I3799="TP",S3799&lt;=300),VLOOKUP(AF3799,TPCalibEq300!$AZ$2:$BB$55,3,),IF(AND(I3799="TDP",S3799&lt;=300),VLOOKUP(AF3799,TPCalibEq300!$AZ$2:$BB$55,3,)))</f>
        <v>0</v>
      </c>
      <c r="AS3799" s="10" t="b">
        <f>IF(AND(I3799="TP",S3799&lt;=500),VLOOKUP(AF3799,TPCalibEq500!$AZ$2:$BB$56,3,),IF(AND(I3799="TDP",S3799&lt;=500),VLOOKUP(AF3799,TPCalibEq500!$AZ$2:$BB$56,3,)))</f>
        <v>0</v>
      </c>
      <c r="AT3799" s="10" t="str">
        <f>IF(AND(I3799="TN",S3799&lt;=2800),VLOOKUP(AF3799,TNCalibEq2500!$AZ$2:$BB$56,3,),IF(AND(I3799="TDN",S3799&lt;=2800),VLOOKUP(AF3799,TNCalibEq2500!$AZ$2:$BB$56,3,)))</f>
        <v>y=2.8761x2+145.17x-57.22</v>
      </c>
      <c r="AU3799" s="10" t="str">
        <f>IF(I3799="TP",VLOOKUP(AF3799,TPCalibEqFull!$AZ$2:$BB$56,3),IF(I3799="TDP",VLOOKUP(AF3799,TPCalibEqFull!$AZ$2:$BB$56,3),IF(I3799="TDN",VLOOKUP(AF3799,TNCalibEqFull!$AZ$1:$BB$56,3),IF(I3799="TN",VLOOKUP(AF3799,TNCalibEqFull!$AZ$1:$BB$56,3),FALSE))))</f>
        <v>y=0.3348x2+180.18x-102.36</v>
      </c>
      <c r="AV3799" s="10" t="str">
        <f t="shared" si="433"/>
        <v>0221 10:59:00-EMB-20-C-1-SW-UKN</v>
      </c>
    </row>
    <row r="3800" spans="1:48" s="10" customFormat="1" x14ac:dyDescent="0.55000000000000004">
      <c r="A3800" s="32">
        <v>44978</v>
      </c>
      <c r="B3800" s="33">
        <v>0.46249999999999997</v>
      </c>
      <c r="C3800" s="10" t="s">
        <v>646</v>
      </c>
      <c r="D3800" s="10">
        <v>60</v>
      </c>
      <c r="E3800" s="10" t="s">
        <v>190</v>
      </c>
      <c r="F3800" s="10">
        <v>1</v>
      </c>
      <c r="G3800" s="10" t="s">
        <v>231</v>
      </c>
      <c r="H3800" s="10" t="s">
        <v>322</v>
      </c>
      <c r="I3800" s="10" t="s">
        <v>235</v>
      </c>
      <c r="J3800" s="10">
        <v>24</v>
      </c>
      <c r="K3800" s="12">
        <v>44981</v>
      </c>
      <c r="L3800" s="33">
        <v>0.52697916666666667</v>
      </c>
      <c r="M3800" s="10">
        <v>1</v>
      </c>
      <c r="N3800" s="10" t="s">
        <v>196</v>
      </c>
      <c r="O3800" s="10">
        <v>7.21</v>
      </c>
      <c r="P3800" s="10">
        <v>0.35</v>
      </c>
      <c r="Q3800" s="10">
        <v>1240</v>
      </c>
      <c r="R3800" s="10" t="s">
        <v>170</v>
      </c>
      <c r="S3800" s="34">
        <f t="shared" si="430"/>
        <v>1240</v>
      </c>
      <c r="T3800" s="10" t="s">
        <v>1282</v>
      </c>
      <c r="U3800" s="34" t="str">
        <f t="shared" si="431"/>
        <v/>
      </c>
      <c r="V3800" s="31" t="str">
        <f>IF(H3800="CHK",VLOOKUP(I3800,QCCHK,3,),IF(H3800="GUP",VLOOKUP(E3800,QCGUP,2,),IF(AND(H3800="ATP",OR(I3800="TN",I3800="TDN",I3800="TNO2-3",I3800="NO2-3")),VLOOKUP(E3800,QCREC_N,2,),IF(AND(H3800="NIC",OR(I3800="TN",I3800="TDN",I3800="TNO2-3",I3800="NO2-3")),VLOOKUP(E3800,QCNIC_N,2,),IF(AND(H3800="UREA",OR(I3800="TN",I3800="TDN",I3800="TNO2-3",I3800="NO2-3")),VLOOKUP(E3800,QCUREA_N,2,),IF(H3800="PER",VLOOKUP(I3800,QCPER,MATCH(E3800,QCACTUAL!$J$25:$AA$25,0),),IF(H3800="SPK",VLOOKUP(I3800,QCSPK,3,),IF(AND(H3800="ATP",OR(I3800="TP",I3800="TDP")),VLOOKUP(E3800,QCATP_P,2,),""))))))))</f>
        <v/>
      </c>
      <c r="W3800" s="31" t="str">
        <f t="shared" si="432"/>
        <v>TRUE</v>
      </c>
      <c r="X3800" s="31" t="str">
        <f t="shared" si="429"/>
        <v/>
      </c>
      <c r="Y3800" s="10" t="s">
        <v>1275</v>
      </c>
      <c r="AF3800" s="12">
        <v>44981</v>
      </c>
      <c r="AJ3800" s="10">
        <f>2.8761*7.21^2+145.17*7.21-57.22</f>
        <v>1138.96717001</v>
      </c>
      <c r="AK3800" s="10">
        <f>0.3348*7.21^2+180.18*7.21-102.36</f>
        <v>1214.1420766800002</v>
      </c>
      <c r="AL3800" s="10" t="str">
        <f t="shared" si="427"/>
        <v>FALSE</v>
      </c>
      <c r="AM3800" s="10" t="str">
        <f t="shared" si="427"/>
        <v>FALSE</v>
      </c>
      <c r="AN3800" s="10" t="str">
        <f t="shared" si="427"/>
        <v>FALSE</v>
      </c>
      <c r="AO3800" s="10" t="str">
        <f t="shared" si="428"/>
        <v>y=2.8761*7.21^2+145.17*7.21-57.22</v>
      </c>
      <c r="AP3800" s="10" t="str">
        <f t="shared" si="428"/>
        <v>y=0.3348*7.21^2+180.18*7.21-102.36</v>
      </c>
      <c r="AQ3800" s="10" t="b">
        <f>IF(AND(I3800="TP",S3800&lt;=150),VLOOKUP(AF3800,TPCalibEq150!$AZ$2:$BB$55,3,),IF(AND(I3800="TDP",S3800&lt;=150),VLOOKUP(AF3800,TPCalibEq150!$AZ$2:$BB$55,3,)))</f>
        <v>0</v>
      </c>
      <c r="AR3800" s="10" t="b">
        <f>IF(AND(I3800="TP",S3800&lt;=300),VLOOKUP(AF3800,TPCalibEq300!$AZ$2:$BB$55,3,),IF(AND(I3800="TDP",S3800&lt;=300),VLOOKUP(AF3800,TPCalibEq300!$AZ$2:$BB$55,3,)))</f>
        <v>0</v>
      </c>
      <c r="AS3800" s="10" t="b">
        <f>IF(AND(I3800="TP",S3800&lt;=500),VLOOKUP(AF3800,TPCalibEq500!$AZ$2:$BB$56,3,),IF(AND(I3800="TDP",S3800&lt;=500),VLOOKUP(AF3800,TPCalibEq500!$AZ$2:$BB$56,3,)))</f>
        <v>0</v>
      </c>
      <c r="AT3800" s="10" t="str">
        <f>IF(AND(I3800="TN",S3800&lt;=2800),VLOOKUP(AF3800,TNCalibEq2500!$AZ$2:$BB$56,3,),IF(AND(I3800="TDN",S3800&lt;=2800),VLOOKUP(AF3800,TNCalibEq2500!$AZ$2:$BB$56,3,)))</f>
        <v>y=2.8761x2+145.17x-57.22</v>
      </c>
      <c r="AU3800" s="10" t="str">
        <f>IF(I3800="TP",VLOOKUP(AF3800,TPCalibEqFull!$AZ$2:$BB$56,3),IF(I3800="TDP",VLOOKUP(AF3800,TPCalibEqFull!$AZ$2:$BB$56,3),IF(I3800="TDN",VLOOKUP(AF3800,TNCalibEqFull!$AZ$1:$BB$56,3),IF(I3800="TN",VLOOKUP(AF3800,TNCalibEqFull!$AZ$1:$BB$56,3),FALSE))))</f>
        <v>y=0.3348x2+180.18x-102.36</v>
      </c>
      <c r="AV3800" s="10" t="str">
        <f t="shared" si="433"/>
        <v>0221 11:06:00-EMB-60-C-1-SW-UKN</v>
      </c>
    </row>
    <row r="3801" spans="1:48" s="10" customFormat="1" x14ac:dyDescent="0.55000000000000004">
      <c r="A3801" s="32">
        <v>44978</v>
      </c>
      <c r="B3801" s="33">
        <v>0.41319444444444442</v>
      </c>
      <c r="C3801" s="10" t="s">
        <v>287</v>
      </c>
      <c r="D3801" s="10">
        <v>0</v>
      </c>
      <c r="E3801" s="10">
        <v>290</v>
      </c>
      <c r="F3801" s="10">
        <v>1</v>
      </c>
      <c r="G3801" s="10" t="s">
        <v>231</v>
      </c>
      <c r="H3801" s="10" t="s">
        <v>322</v>
      </c>
      <c r="I3801" s="10" t="s">
        <v>235</v>
      </c>
      <c r="J3801" s="10">
        <v>25</v>
      </c>
      <c r="K3801" s="12">
        <v>44981</v>
      </c>
      <c r="L3801" s="33">
        <v>0.52763888888888888</v>
      </c>
      <c r="M3801" s="10">
        <v>1</v>
      </c>
      <c r="N3801" s="10" t="s">
        <v>196</v>
      </c>
      <c r="O3801" s="10">
        <v>7.68</v>
      </c>
      <c r="P3801" s="10">
        <v>0.373</v>
      </c>
      <c r="Q3801" s="10">
        <v>1330</v>
      </c>
      <c r="R3801" s="10" t="s">
        <v>170</v>
      </c>
      <c r="S3801" s="34">
        <f t="shared" si="430"/>
        <v>1330</v>
      </c>
      <c r="T3801" s="10" t="s">
        <v>1282</v>
      </c>
      <c r="U3801" s="34" t="str">
        <f t="shared" si="431"/>
        <v/>
      </c>
      <c r="V3801" s="31" t="str">
        <f>IF(H3801="CHK",VLOOKUP(I3801,QCCHK,3,),IF(H3801="GUP",VLOOKUP(E3801,QCGUP,2,),IF(AND(H3801="ATP",OR(I3801="TN",I3801="TDN",I3801="TNO2-3",I3801="NO2-3")),VLOOKUP(E3801,QCREC_N,2,),IF(AND(H3801="NIC",OR(I3801="TN",I3801="TDN",I3801="TNO2-3",I3801="NO2-3")),VLOOKUP(E3801,QCNIC_N,2,),IF(AND(H3801="UREA",OR(I3801="TN",I3801="TDN",I3801="TNO2-3",I3801="NO2-3")),VLOOKUP(E3801,QCUREA_N,2,),IF(H3801="PER",VLOOKUP(I3801,QCPER,MATCH(E3801,QCACTUAL!$J$25:$AA$25,0),),IF(H3801="SPK",VLOOKUP(I3801,QCSPK,3,),IF(AND(H3801="ATP",OR(I3801="TP",I3801="TDP")),VLOOKUP(E3801,QCATP_P,2,),""))))))))</f>
        <v/>
      </c>
      <c r="W3801" s="31" t="str">
        <f t="shared" si="432"/>
        <v>TRUE</v>
      </c>
      <c r="X3801" s="31" t="str">
        <f t="shared" si="429"/>
        <v/>
      </c>
      <c r="Y3801" s="10" t="s">
        <v>1275</v>
      </c>
      <c r="AF3801" s="12">
        <v>44981</v>
      </c>
      <c r="AJ3801" s="10">
        <f>2.8761*7.68^2+145.17*7.68-57.22</f>
        <v>1227.3248806399997</v>
      </c>
      <c r="AK3801" s="10">
        <f>0.3348*7.68^2+180.18*7.68-102.36</f>
        <v>1301.1697075200002</v>
      </c>
      <c r="AL3801" s="10" t="str">
        <f t="shared" si="427"/>
        <v>FALSE</v>
      </c>
      <c r="AM3801" s="10" t="str">
        <f t="shared" si="427"/>
        <v>FALSE</v>
      </c>
      <c r="AN3801" s="10" t="str">
        <f t="shared" si="427"/>
        <v>FALSE</v>
      </c>
      <c r="AO3801" s="10" t="str">
        <f t="shared" si="428"/>
        <v>y=2.8761*7.68^2+145.17*7.68-57.22</v>
      </c>
      <c r="AP3801" s="10" t="str">
        <f t="shared" si="428"/>
        <v>y=0.3348*7.68^2+180.18*7.68-102.36</v>
      </c>
      <c r="AQ3801" s="10" t="b">
        <f>IF(AND(I3801="TP",S3801&lt;=150),VLOOKUP(AF3801,TPCalibEq150!$AZ$2:$BB$55,3,),IF(AND(I3801="TDP",S3801&lt;=150),VLOOKUP(AF3801,TPCalibEq150!$AZ$2:$BB$55,3,)))</f>
        <v>0</v>
      </c>
      <c r="AR3801" s="10" t="b">
        <f>IF(AND(I3801="TP",S3801&lt;=300),VLOOKUP(AF3801,TPCalibEq300!$AZ$2:$BB$55,3,),IF(AND(I3801="TDP",S3801&lt;=300),VLOOKUP(AF3801,TPCalibEq300!$AZ$2:$BB$55,3,)))</f>
        <v>0</v>
      </c>
      <c r="AS3801" s="10" t="b">
        <f>IF(AND(I3801="TP",S3801&lt;=500),VLOOKUP(AF3801,TPCalibEq500!$AZ$2:$BB$56,3,),IF(AND(I3801="TDP",S3801&lt;=500),VLOOKUP(AF3801,TPCalibEq500!$AZ$2:$BB$56,3,)))</f>
        <v>0</v>
      </c>
      <c r="AT3801" s="10" t="str">
        <f>IF(AND(I3801="TN",S3801&lt;=2800),VLOOKUP(AF3801,TNCalibEq2500!$AZ$2:$BB$56,3,),IF(AND(I3801="TDN",S3801&lt;=2800),VLOOKUP(AF3801,TNCalibEq2500!$AZ$2:$BB$56,3,)))</f>
        <v>y=2.8761x2+145.17x-57.22</v>
      </c>
      <c r="AU3801" s="10" t="str">
        <f>IF(I3801="TP",VLOOKUP(AF3801,TPCalibEqFull!$AZ$2:$BB$56,3),IF(I3801="TDP",VLOOKUP(AF3801,TPCalibEqFull!$AZ$2:$BB$56,3),IF(I3801="TDN",VLOOKUP(AF3801,TNCalibEqFull!$AZ$1:$BB$56,3),IF(I3801="TN",VLOOKUP(AF3801,TNCalibEqFull!$AZ$1:$BB$56,3),FALSE))))</f>
        <v>y=0.3348x2+180.18x-102.36</v>
      </c>
      <c r="AV3801" s="10" t="str">
        <f t="shared" si="433"/>
        <v>0221 09:55:00-EFL-0-290-1-SW-UKN</v>
      </c>
    </row>
    <row r="3802" spans="1:48" s="10" customFormat="1" x14ac:dyDescent="0.55000000000000004">
      <c r="A3802" s="32">
        <v>44978</v>
      </c>
      <c r="B3802" s="33">
        <v>0.41597222222222219</v>
      </c>
      <c r="C3802" s="10" t="s">
        <v>287</v>
      </c>
      <c r="D3802" s="10">
        <v>5</v>
      </c>
      <c r="E3802" s="10">
        <v>400</v>
      </c>
      <c r="F3802" s="10">
        <v>1</v>
      </c>
      <c r="G3802" s="10" t="s">
        <v>231</v>
      </c>
      <c r="H3802" s="10" t="s">
        <v>322</v>
      </c>
      <c r="I3802" s="10" t="s">
        <v>235</v>
      </c>
      <c r="J3802" s="10">
        <v>26</v>
      </c>
      <c r="K3802" s="12">
        <v>44981</v>
      </c>
      <c r="L3802" s="33">
        <v>0.52829861111111109</v>
      </c>
      <c r="M3802" s="10">
        <v>1</v>
      </c>
      <c r="N3802" s="10" t="s">
        <v>196</v>
      </c>
      <c r="O3802" s="10">
        <v>7.16</v>
      </c>
      <c r="P3802" s="10">
        <v>0.34799999999999998</v>
      </c>
      <c r="Q3802" s="10">
        <v>1230</v>
      </c>
      <c r="R3802" s="10" t="s">
        <v>170</v>
      </c>
      <c r="S3802" s="34">
        <f t="shared" si="430"/>
        <v>1230</v>
      </c>
      <c r="T3802" s="10" t="s">
        <v>1282</v>
      </c>
      <c r="U3802" s="34" t="str">
        <f t="shared" si="431"/>
        <v/>
      </c>
      <c r="V3802" s="31" t="str">
        <f>IF(H3802="CHK",VLOOKUP(I3802,QCCHK,3,),IF(H3802="GUP",VLOOKUP(E3802,QCGUP,2,),IF(AND(H3802="ATP",OR(I3802="TN",I3802="TDN",I3802="TNO2-3",I3802="NO2-3")),VLOOKUP(E3802,QCREC_N,2,),IF(AND(H3802="NIC",OR(I3802="TN",I3802="TDN",I3802="TNO2-3",I3802="NO2-3")),VLOOKUP(E3802,QCNIC_N,2,),IF(AND(H3802="UREA",OR(I3802="TN",I3802="TDN",I3802="TNO2-3",I3802="NO2-3")),VLOOKUP(E3802,QCUREA_N,2,),IF(H3802="PER",VLOOKUP(I3802,QCPER,MATCH(E3802,QCACTUAL!$J$25:$AA$25,0),),IF(H3802="SPK",VLOOKUP(I3802,QCSPK,3,),IF(AND(H3802="ATP",OR(I3802="TP",I3802="TDP")),VLOOKUP(E3802,QCATP_P,2,),""))))))))</f>
        <v/>
      </c>
      <c r="W3802" s="31" t="str">
        <f t="shared" si="432"/>
        <v>TRUE</v>
      </c>
      <c r="X3802" s="31" t="str">
        <f t="shared" si="429"/>
        <v/>
      </c>
      <c r="Y3802" s="10" t="s">
        <v>1275</v>
      </c>
      <c r="AF3802" s="12">
        <v>44981</v>
      </c>
      <c r="AJ3802" s="10">
        <f>2.8761*7.16^2+145.17*7.16-57.22</f>
        <v>1129.6421921599999</v>
      </c>
      <c r="AK3802" s="10">
        <f>0.3348*7.16^2+180.18*7.16-102.36</f>
        <v>1204.8925228800001</v>
      </c>
      <c r="AL3802" s="10" t="str">
        <f t="shared" si="427"/>
        <v>FALSE</v>
      </c>
      <c r="AM3802" s="10" t="str">
        <f t="shared" si="427"/>
        <v>FALSE</v>
      </c>
      <c r="AN3802" s="10" t="str">
        <f t="shared" si="427"/>
        <v>FALSE</v>
      </c>
      <c r="AO3802" s="10" t="str">
        <f t="shared" si="428"/>
        <v>y=2.8761*7.16^2+145.17*7.16-57.22</v>
      </c>
      <c r="AP3802" s="10" t="str">
        <f t="shared" si="428"/>
        <v>y=0.3348*7.16^2+180.18*7.16-102.36</v>
      </c>
      <c r="AQ3802" s="10" t="b">
        <f>IF(AND(I3802="TP",S3802&lt;=150),VLOOKUP(AF3802,TPCalibEq150!$AZ$2:$BB$55,3,),IF(AND(I3802="TDP",S3802&lt;=150),VLOOKUP(AF3802,TPCalibEq150!$AZ$2:$BB$55,3,)))</f>
        <v>0</v>
      </c>
      <c r="AR3802" s="10" t="b">
        <f>IF(AND(I3802="TP",S3802&lt;=300),VLOOKUP(AF3802,TPCalibEq300!$AZ$2:$BB$55,3,),IF(AND(I3802="TDP",S3802&lt;=300),VLOOKUP(AF3802,TPCalibEq300!$AZ$2:$BB$55,3,)))</f>
        <v>0</v>
      </c>
      <c r="AS3802" s="10" t="b">
        <f>IF(AND(I3802="TP",S3802&lt;=500),VLOOKUP(AF3802,TPCalibEq500!$AZ$2:$BB$56,3,),IF(AND(I3802="TDP",S3802&lt;=500),VLOOKUP(AF3802,TPCalibEq500!$AZ$2:$BB$56,3,)))</f>
        <v>0</v>
      </c>
      <c r="AT3802" s="10" t="str">
        <f>IF(AND(I3802="TN",S3802&lt;=2800),VLOOKUP(AF3802,TNCalibEq2500!$AZ$2:$BB$56,3,),IF(AND(I3802="TDN",S3802&lt;=2800),VLOOKUP(AF3802,TNCalibEq2500!$AZ$2:$BB$56,3,)))</f>
        <v>y=2.8761x2+145.17x-57.22</v>
      </c>
      <c r="AU3802" s="10" t="str">
        <f>IF(I3802="TP",VLOOKUP(AF3802,TPCalibEqFull!$AZ$2:$BB$56,3),IF(I3802="TDP",VLOOKUP(AF3802,TPCalibEqFull!$AZ$2:$BB$56,3),IF(I3802="TDN",VLOOKUP(AF3802,TNCalibEqFull!$AZ$1:$BB$56,3),IF(I3802="TN",VLOOKUP(AF3802,TNCalibEqFull!$AZ$1:$BB$56,3),FALSE))))</f>
        <v>y=0.3348x2+180.18x-102.36</v>
      </c>
      <c r="AV3802" s="10" t="str">
        <f t="shared" si="433"/>
        <v>0221 09:59:00-EFL-5-400-1-SW-UKN</v>
      </c>
    </row>
    <row r="3803" spans="1:48" s="10" customFormat="1" x14ac:dyDescent="0.55000000000000004">
      <c r="A3803" s="32">
        <v>44978</v>
      </c>
      <c r="B3803" s="33">
        <v>0.41805555555555557</v>
      </c>
      <c r="C3803" s="10" t="s">
        <v>287</v>
      </c>
      <c r="D3803" s="10">
        <v>10</v>
      </c>
      <c r="E3803" s="10">
        <v>490</v>
      </c>
      <c r="F3803" s="10">
        <v>1</v>
      </c>
      <c r="G3803" s="10" t="s">
        <v>231</v>
      </c>
      <c r="H3803" s="10" t="s">
        <v>322</v>
      </c>
      <c r="I3803" s="10" t="s">
        <v>235</v>
      </c>
      <c r="J3803" s="10">
        <v>27</v>
      </c>
      <c r="K3803" s="12">
        <v>44981</v>
      </c>
      <c r="L3803" s="33">
        <v>0.52896990740740735</v>
      </c>
      <c r="M3803" s="10">
        <v>1</v>
      </c>
      <c r="N3803" s="10" t="s">
        <v>196</v>
      </c>
      <c r="O3803" s="10">
        <v>7.09</v>
      </c>
      <c r="P3803" s="10">
        <v>0.34399999999999997</v>
      </c>
      <c r="Q3803" s="10">
        <v>1220</v>
      </c>
      <c r="R3803" s="10" t="s">
        <v>170</v>
      </c>
      <c r="S3803" s="34">
        <f t="shared" si="430"/>
        <v>1220</v>
      </c>
      <c r="T3803" s="10" t="s">
        <v>1282</v>
      </c>
      <c r="U3803" s="34" t="str">
        <f t="shared" si="431"/>
        <v/>
      </c>
      <c r="V3803" s="31" t="str">
        <f>IF(H3803="CHK",VLOOKUP(I3803,QCCHK,3,),IF(H3803="GUP",VLOOKUP(E3803,QCGUP,2,),IF(AND(H3803="ATP",OR(I3803="TN",I3803="TDN",I3803="TNO2-3",I3803="NO2-3")),VLOOKUP(E3803,QCREC_N,2,),IF(AND(H3803="NIC",OR(I3803="TN",I3803="TDN",I3803="TNO2-3",I3803="NO2-3")),VLOOKUP(E3803,QCNIC_N,2,),IF(AND(H3803="UREA",OR(I3803="TN",I3803="TDN",I3803="TNO2-3",I3803="NO2-3")),VLOOKUP(E3803,QCUREA_N,2,),IF(H3803="PER",VLOOKUP(I3803,QCPER,MATCH(E3803,QCACTUAL!$J$25:$AA$25,0),),IF(H3803="SPK",VLOOKUP(I3803,QCSPK,3,),IF(AND(H3803="ATP",OR(I3803="TP",I3803="TDP")),VLOOKUP(E3803,QCATP_P,2,),""))))))))</f>
        <v/>
      </c>
      <c r="W3803" s="31" t="str">
        <f t="shared" si="432"/>
        <v>TRUE</v>
      </c>
      <c r="X3803" s="31" t="str">
        <f t="shared" si="429"/>
        <v/>
      </c>
      <c r="Y3803" s="10" t="s">
        <v>1275</v>
      </c>
      <c r="AF3803" s="12">
        <v>44981</v>
      </c>
      <c r="AJ3803" s="10">
        <f>2.8761*7.09^2+145.17*7.09-57.22</f>
        <v>1116.6113824099998</v>
      </c>
      <c r="AK3803" s="10">
        <f>0.3348*7.09^2+180.18*7.09-102.36</f>
        <v>1191.9459598800001</v>
      </c>
      <c r="AL3803" s="10" t="str">
        <f t="shared" si="427"/>
        <v>FALSE</v>
      </c>
      <c r="AM3803" s="10" t="str">
        <f t="shared" si="427"/>
        <v>FALSE</v>
      </c>
      <c r="AN3803" s="10" t="str">
        <f t="shared" si="427"/>
        <v>FALSE</v>
      </c>
      <c r="AO3803" s="10" t="str">
        <f t="shared" si="428"/>
        <v>y=2.8761*7.09^2+145.17*7.09-57.22</v>
      </c>
      <c r="AP3803" s="10" t="str">
        <f t="shared" si="428"/>
        <v>y=0.3348*7.09^2+180.18*7.09-102.36</v>
      </c>
      <c r="AQ3803" s="10" t="b">
        <f>IF(AND(I3803="TP",S3803&lt;=150),VLOOKUP(AF3803,TPCalibEq150!$AZ$2:$BB$55,3,),IF(AND(I3803="TDP",S3803&lt;=150),VLOOKUP(AF3803,TPCalibEq150!$AZ$2:$BB$55,3,)))</f>
        <v>0</v>
      </c>
      <c r="AR3803" s="10" t="b">
        <f>IF(AND(I3803="TP",S3803&lt;=300),VLOOKUP(AF3803,TPCalibEq300!$AZ$2:$BB$55,3,),IF(AND(I3803="TDP",S3803&lt;=300),VLOOKUP(AF3803,TPCalibEq300!$AZ$2:$BB$55,3,)))</f>
        <v>0</v>
      </c>
      <c r="AS3803" s="10" t="b">
        <f>IF(AND(I3803="TP",S3803&lt;=500),VLOOKUP(AF3803,TPCalibEq500!$AZ$2:$BB$56,3,),IF(AND(I3803="TDP",S3803&lt;=500),VLOOKUP(AF3803,TPCalibEq500!$AZ$2:$BB$56,3,)))</f>
        <v>0</v>
      </c>
      <c r="AT3803" s="10" t="str">
        <f>IF(AND(I3803="TN",S3803&lt;=2800),VLOOKUP(AF3803,TNCalibEq2500!$AZ$2:$BB$56,3,),IF(AND(I3803="TDN",S3803&lt;=2800),VLOOKUP(AF3803,TNCalibEq2500!$AZ$2:$BB$56,3,)))</f>
        <v>y=2.8761x2+145.17x-57.22</v>
      </c>
      <c r="AU3803" s="10" t="str">
        <f>IF(I3803="TP",VLOOKUP(AF3803,TPCalibEqFull!$AZ$2:$BB$56,3),IF(I3803="TDP",VLOOKUP(AF3803,TPCalibEqFull!$AZ$2:$BB$56,3),IF(I3803="TDN",VLOOKUP(AF3803,TNCalibEqFull!$AZ$1:$BB$56,3),IF(I3803="TN",VLOOKUP(AF3803,TNCalibEqFull!$AZ$1:$BB$56,3),FALSE))))</f>
        <v>y=0.3348x2+180.18x-102.36</v>
      </c>
      <c r="AV3803" s="10" t="str">
        <f t="shared" si="433"/>
        <v>0221 10:02:00-EFL-10-490-1-SW-UKN</v>
      </c>
    </row>
    <row r="3804" spans="1:48" s="10" customFormat="1" x14ac:dyDescent="0.55000000000000004">
      <c r="A3804" s="32">
        <v>44978</v>
      </c>
      <c r="B3804" s="33">
        <v>0.42083333333333334</v>
      </c>
      <c r="C3804" s="10" t="s">
        <v>287</v>
      </c>
      <c r="D3804" s="10">
        <v>20</v>
      </c>
      <c r="E3804" s="10">
        <v>280</v>
      </c>
      <c r="F3804" s="10">
        <v>1</v>
      </c>
      <c r="G3804" s="10" t="s">
        <v>231</v>
      </c>
      <c r="H3804" s="10" t="s">
        <v>322</v>
      </c>
      <c r="I3804" s="10" t="s">
        <v>235</v>
      </c>
      <c r="J3804" s="10">
        <v>28</v>
      </c>
      <c r="K3804" s="12">
        <v>44981</v>
      </c>
      <c r="L3804" s="33">
        <v>0.52961805555555552</v>
      </c>
      <c r="M3804" s="10">
        <v>1</v>
      </c>
      <c r="N3804" s="10" t="s">
        <v>196</v>
      </c>
      <c r="O3804" s="10">
        <v>7.28</v>
      </c>
      <c r="P3804" s="10">
        <v>0.35299999999999998</v>
      </c>
      <c r="Q3804" s="10">
        <v>1250</v>
      </c>
      <c r="R3804" s="10" t="s">
        <v>170</v>
      </c>
      <c r="S3804" s="34">
        <f t="shared" si="430"/>
        <v>1250</v>
      </c>
      <c r="T3804" s="10" t="s">
        <v>1282</v>
      </c>
      <c r="U3804" s="34" t="str">
        <f t="shared" si="431"/>
        <v/>
      </c>
      <c r="V3804" s="31" t="str">
        <f>IF(H3804="CHK",VLOOKUP(I3804,QCCHK,3,),IF(H3804="GUP",VLOOKUP(E3804,QCGUP,2,),IF(AND(H3804="ATP",OR(I3804="TN",I3804="TDN",I3804="TNO2-3",I3804="NO2-3")),VLOOKUP(E3804,QCREC_N,2,),IF(AND(H3804="NIC",OR(I3804="TN",I3804="TDN",I3804="TNO2-3",I3804="NO2-3")),VLOOKUP(E3804,QCNIC_N,2,),IF(AND(H3804="UREA",OR(I3804="TN",I3804="TDN",I3804="TNO2-3",I3804="NO2-3")),VLOOKUP(E3804,QCUREA_N,2,),IF(H3804="PER",VLOOKUP(I3804,QCPER,MATCH(E3804,QCACTUAL!$J$25:$AA$25,0),),IF(H3804="SPK",VLOOKUP(I3804,QCSPK,3,),IF(AND(H3804="ATP",OR(I3804="TP",I3804="TDP")),VLOOKUP(E3804,QCATP_P,2,),""))))))))</f>
        <v/>
      </c>
      <c r="W3804" s="31" t="str">
        <f t="shared" si="432"/>
        <v>TRUE</v>
      </c>
      <c r="X3804" s="31" t="str">
        <f t="shared" si="429"/>
        <v/>
      </c>
      <c r="Y3804" s="10" t="s">
        <v>1275</v>
      </c>
      <c r="AF3804" s="12">
        <v>44981</v>
      </c>
      <c r="AJ3804" s="10">
        <f>2.8761*7.28^2+145.17*7.28-57.22</f>
        <v>1152.0462982399997</v>
      </c>
      <c r="AK3804" s="10">
        <f>0.3348*7.28^2+180.18*7.28-102.36</f>
        <v>1227.0942643200003</v>
      </c>
      <c r="AL3804" s="10" t="str">
        <f t="shared" si="427"/>
        <v>FALSE</v>
      </c>
      <c r="AM3804" s="10" t="str">
        <f t="shared" si="427"/>
        <v>FALSE</v>
      </c>
      <c r="AN3804" s="10" t="str">
        <f t="shared" si="427"/>
        <v>FALSE</v>
      </c>
      <c r="AO3804" s="10" t="str">
        <f t="shared" si="428"/>
        <v>y=2.8761*7.28^2+145.17*7.28-57.22</v>
      </c>
      <c r="AP3804" s="10" t="str">
        <f t="shared" si="428"/>
        <v>y=0.3348*7.28^2+180.18*7.28-102.36</v>
      </c>
      <c r="AQ3804" s="10" t="b">
        <f>IF(AND(I3804="TP",S3804&lt;=150),VLOOKUP(AF3804,TPCalibEq150!$AZ$2:$BB$55,3,),IF(AND(I3804="TDP",S3804&lt;=150),VLOOKUP(AF3804,TPCalibEq150!$AZ$2:$BB$55,3,)))</f>
        <v>0</v>
      </c>
      <c r="AR3804" s="10" t="b">
        <f>IF(AND(I3804="TP",S3804&lt;=300),VLOOKUP(AF3804,TPCalibEq300!$AZ$2:$BB$55,3,),IF(AND(I3804="TDP",S3804&lt;=300),VLOOKUP(AF3804,TPCalibEq300!$AZ$2:$BB$55,3,)))</f>
        <v>0</v>
      </c>
      <c r="AS3804" s="10" t="b">
        <f>IF(AND(I3804="TP",S3804&lt;=500),VLOOKUP(AF3804,TPCalibEq500!$AZ$2:$BB$56,3,),IF(AND(I3804="TDP",S3804&lt;=500),VLOOKUP(AF3804,TPCalibEq500!$AZ$2:$BB$56,3,)))</f>
        <v>0</v>
      </c>
      <c r="AT3804" s="10" t="str">
        <f>IF(AND(I3804="TN",S3804&lt;=2800),VLOOKUP(AF3804,TNCalibEq2500!$AZ$2:$BB$56,3,),IF(AND(I3804="TDN",S3804&lt;=2800),VLOOKUP(AF3804,TNCalibEq2500!$AZ$2:$BB$56,3,)))</f>
        <v>y=2.8761x2+145.17x-57.22</v>
      </c>
      <c r="AU3804" s="10" t="str">
        <f>IF(I3804="TP",VLOOKUP(AF3804,TPCalibEqFull!$AZ$2:$BB$56,3),IF(I3804="TDP",VLOOKUP(AF3804,TPCalibEqFull!$AZ$2:$BB$56,3),IF(I3804="TDN",VLOOKUP(AF3804,TNCalibEqFull!$AZ$1:$BB$56,3),IF(I3804="TN",VLOOKUP(AF3804,TNCalibEqFull!$AZ$1:$BB$56,3),FALSE))))</f>
        <v>y=0.3348x2+180.18x-102.36</v>
      </c>
      <c r="AV3804" s="10" t="str">
        <f t="shared" si="433"/>
        <v>0221 10:06:00-EFL-20-280-1-SW-UKN</v>
      </c>
    </row>
    <row r="3805" spans="1:48" s="10" customFormat="1" x14ac:dyDescent="0.55000000000000004">
      <c r="A3805" s="32">
        <v>44978</v>
      </c>
      <c r="B3805" s="33">
        <v>0.42083333333333334</v>
      </c>
      <c r="C3805" s="10" t="s">
        <v>287</v>
      </c>
      <c r="D3805" s="10">
        <v>20</v>
      </c>
      <c r="E3805" s="10">
        <v>270</v>
      </c>
      <c r="F3805" s="10">
        <v>2</v>
      </c>
      <c r="G3805" s="10" t="s">
        <v>231</v>
      </c>
      <c r="H3805" s="10" t="s">
        <v>322</v>
      </c>
      <c r="I3805" s="10" t="s">
        <v>235</v>
      </c>
      <c r="J3805" s="10">
        <v>29</v>
      </c>
      <c r="K3805" s="12">
        <v>44981</v>
      </c>
      <c r="L3805" s="33">
        <v>0.53027777777777774</v>
      </c>
      <c r="M3805" s="10">
        <v>1</v>
      </c>
      <c r="N3805" s="10" t="s">
        <v>196</v>
      </c>
      <c r="O3805" s="10">
        <v>7.24</v>
      </c>
      <c r="P3805" s="10">
        <v>0.35</v>
      </c>
      <c r="Q3805" s="10">
        <v>1240</v>
      </c>
      <c r="R3805" s="10" t="s">
        <v>170</v>
      </c>
      <c r="S3805" s="34">
        <f t="shared" si="430"/>
        <v>1240</v>
      </c>
      <c r="T3805" s="10" t="s">
        <v>1282</v>
      </c>
      <c r="U3805" s="34" t="str">
        <f t="shared" si="431"/>
        <v/>
      </c>
      <c r="V3805" s="31" t="str">
        <f>IF(H3805="CHK",VLOOKUP(I3805,QCCHK,3,),IF(H3805="GUP",VLOOKUP(E3805,QCGUP,2,),IF(AND(H3805="ATP",OR(I3805="TN",I3805="TDN",I3805="TNO2-3",I3805="NO2-3")),VLOOKUP(E3805,QCREC_N,2,),IF(AND(H3805="NIC",OR(I3805="TN",I3805="TDN",I3805="TNO2-3",I3805="NO2-3")),VLOOKUP(E3805,QCNIC_N,2,),IF(AND(H3805="UREA",OR(I3805="TN",I3805="TDN",I3805="TNO2-3",I3805="NO2-3")),VLOOKUP(E3805,QCUREA_N,2,),IF(H3805="PER",VLOOKUP(I3805,QCPER,MATCH(E3805,QCACTUAL!$J$25:$AA$25,0),),IF(H3805="SPK",VLOOKUP(I3805,QCSPK,3,),IF(AND(H3805="ATP",OR(I3805="TP",I3805="TDP")),VLOOKUP(E3805,QCATP_P,2,),""))))))))</f>
        <v/>
      </c>
      <c r="W3805" s="31" t="str">
        <f t="shared" si="432"/>
        <v>TRUE</v>
      </c>
      <c r="X3805" s="31" t="str">
        <f t="shared" si="429"/>
        <v/>
      </c>
      <c r="Y3805" s="10" t="s">
        <v>1275</v>
      </c>
      <c r="AF3805" s="12">
        <v>44981</v>
      </c>
      <c r="AJ3805" s="10">
        <f>2.8761*7.24^2+145.17*7.24-57.22</f>
        <v>1144.56905936</v>
      </c>
      <c r="AK3805" s="10">
        <f>0.3348*7.24^2+180.18*7.24-102.36</f>
        <v>1219.6926124800002</v>
      </c>
      <c r="AL3805" s="10" t="str">
        <f t="shared" si="427"/>
        <v>FALSE</v>
      </c>
      <c r="AM3805" s="10" t="str">
        <f t="shared" si="427"/>
        <v>FALSE</v>
      </c>
      <c r="AN3805" s="10" t="str">
        <f t="shared" si="427"/>
        <v>FALSE</v>
      </c>
      <c r="AO3805" s="10" t="str">
        <f t="shared" si="428"/>
        <v>y=2.8761*7.24^2+145.17*7.24-57.22</v>
      </c>
      <c r="AP3805" s="10" t="str">
        <f t="shared" si="428"/>
        <v>y=0.3348*7.24^2+180.18*7.24-102.36</v>
      </c>
      <c r="AQ3805" s="10" t="b">
        <f>IF(AND(I3805="TP",S3805&lt;=150),VLOOKUP(AF3805,TPCalibEq150!$AZ$2:$BB$55,3,),IF(AND(I3805="TDP",S3805&lt;=150),VLOOKUP(AF3805,TPCalibEq150!$AZ$2:$BB$55,3,)))</f>
        <v>0</v>
      </c>
      <c r="AR3805" s="10" t="b">
        <f>IF(AND(I3805="TP",S3805&lt;=300),VLOOKUP(AF3805,TPCalibEq300!$AZ$2:$BB$55,3,),IF(AND(I3805="TDP",S3805&lt;=300),VLOOKUP(AF3805,TPCalibEq300!$AZ$2:$BB$55,3,)))</f>
        <v>0</v>
      </c>
      <c r="AS3805" s="10" t="b">
        <f>IF(AND(I3805="TP",S3805&lt;=500),VLOOKUP(AF3805,TPCalibEq500!$AZ$2:$BB$56,3,),IF(AND(I3805="TDP",S3805&lt;=500),VLOOKUP(AF3805,TPCalibEq500!$AZ$2:$BB$56,3,)))</f>
        <v>0</v>
      </c>
      <c r="AT3805" s="10" t="str">
        <f>IF(AND(I3805="TN",S3805&lt;=2800),VLOOKUP(AF3805,TNCalibEq2500!$AZ$2:$BB$56,3,),IF(AND(I3805="TDN",S3805&lt;=2800),VLOOKUP(AF3805,TNCalibEq2500!$AZ$2:$BB$56,3,)))</f>
        <v>y=2.8761x2+145.17x-57.22</v>
      </c>
      <c r="AU3805" s="10" t="str">
        <f>IF(I3805="TP",VLOOKUP(AF3805,TPCalibEqFull!$AZ$2:$BB$56,3),IF(I3805="TDP",VLOOKUP(AF3805,TPCalibEqFull!$AZ$2:$BB$56,3),IF(I3805="TDN",VLOOKUP(AF3805,TNCalibEqFull!$AZ$1:$BB$56,3),IF(I3805="TN",VLOOKUP(AF3805,TNCalibEqFull!$AZ$1:$BB$56,3),FALSE))))</f>
        <v>y=0.3348x2+180.18x-102.36</v>
      </c>
      <c r="AV3805" s="10" t="str">
        <f t="shared" si="433"/>
        <v>0221 10:06:00-EFL-20-270-2-SW-UKN</v>
      </c>
    </row>
    <row r="3806" spans="1:48" s="10" customFormat="1" x14ac:dyDescent="0.55000000000000004">
      <c r="A3806" s="32">
        <v>44978</v>
      </c>
      <c r="B3806" s="33">
        <v>0.42569444444444443</v>
      </c>
      <c r="C3806" s="10" t="s">
        <v>287</v>
      </c>
      <c r="D3806" s="10">
        <v>45</v>
      </c>
      <c r="E3806" s="10" t="s">
        <v>190</v>
      </c>
      <c r="F3806" s="10">
        <v>1</v>
      </c>
      <c r="G3806" s="10" t="s">
        <v>231</v>
      </c>
      <c r="H3806" s="10" t="s">
        <v>322</v>
      </c>
      <c r="I3806" s="10" t="s">
        <v>235</v>
      </c>
      <c r="J3806" s="10">
        <v>30</v>
      </c>
      <c r="K3806" s="12">
        <v>44981</v>
      </c>
      <c r="L3806" s="33">
        <v>0.53093749999999995</v>
      </c>
      <c r="M3806" s="10">
        <v>1</v>
      </c>
      <c r="N3806" s="10" t="s">
        <v>196</v>
      </c>
      <c r="O3806" s="10">
        <v>6.91</v>
      </c>
      <c r="P3806" s="10">
        <v>0.33400000000000002</v>
      </c>
      <c r="Q3806" s="10">
        <v>1180</v>
      </c>
      <c r="R3806" s="10" t="s">
        <v>170</v>
      </c>
      <c r="S3806" s="34">
        <f t="shared" si="430"/>
        <v>1180</v>
      </c>
      <c r="T3806" s="10" t="s">
        <v>1282</v>
      </c>
      <c r="U3806" s="34" t="str">
        <f t="shared" si="431"/>
        <v/>
      </c>
      <c r="V3806" s="31" t="str">
        <f>IF(H3806="CHK",VLOOKUP(I3806,QCCHK,3,),IF(H3806="GUP",VLOOKUP(E3806,QCGUP,2,),IF(AND(H3806="ATP",OR(I3806="TN",I3806="TDN",I3806="TNO2-3",I3806="NO2-3")),VLOOKUP(E3806,QCREC_N,2,),IF(AND(H3806="NIC",OR(I3806="TN",I3806="TDN",I3806="TNO2-3",I3806="NO2-3")),VLOOKUP(E3806,QCNIC_N,2,),IF(AND(H3806="UREA",OR(I3806="TN",I3806="TDN",I3806="TNO2-3",I3806="NO2-3")),VLOOKUP(E3806,QCUREA_N,2,),IF(H3806="PER",VLOOKUP(I3806,QCPER,MATCH(E3806,QCACTUAL!$J$25:$AA$25,0),),IF(H3806="SPK",VLOOKUP(I3806,QCSPK,3,),IF(AND(H3806="ATP",OR(I3806="TP",I3806="TDP")),VLOOKUP(E3806,QCATP_P,2,),""))))))))</f>
        <v/>
      </c>
      <c r="W3806" s="31" t="str">
        <f t="shared" si="432"/>
        <v>TRUE</v>
      </c>
      <c r="X3806" s="31" t="str">
        <f t="shared" si="429"/>
        <v/>
      </c>
      <c r="Y3806" s="10" t="s">
        <v>1275</v>
      </c>
      <c r="AF3806" s="12">
        <v>44981</v>
      </c>
      <c r="AJ3806" s="10">
        <f>2.8761*6.91^2+145.17*6.91-57.22</f>
        <v>1083.2330104099999</v>
      </c>
      <c r="AK3806" s="10">
        <f>0.3348*6.91^2+180.18*6.91-102.36</f>
        <v>1158.6698638800003</v>
      </c>
      <c r="AL3806" s="10" t="str">
        <f t="shared" si="427"/>
        <v>FALSE</v>
      </c>
      <c r="AM3806" s="10" t="str">
        <f t="shared" si="427"/>
        <v>FALSE</v>
      </c>
      <c r="AN3806" s="10" t="str">
        <f t="shared" si="427"/>
        <v>FALSE</v>
      </c>
      <c r="AO3806" s="10" t="str">
        <f t="shared" si="428"/>
        <v>y=2.8761*6.91^2+145.17*6.91-57.22</v>
      </c>
      <c r="AP3806" s="10" t="str">
        <f t="shared" si="428"/>
        <v>y=0.3348*6.91^2+180.18*6.91-102.36</v>
      </c>
      <c r="AQ3806" s="10" t="b">
        <f>IF(AND(I3806="TP",S3806&lt;=150),VLOOKUP(AF3806,TPCalibEq150!$AZ$2:$BB$55,3,),IF(AND(I3806="TDP",S3806&lt;=150),VLOOKUP(AF3806,TPCalibEq150!$AZ$2:$BB$55,3,)))</f>
        <v>0</v>
      </c>
      <c r="AR3806" s="10" t="b">
        <f>IF(AND(I3806="TP",S3806&lt;=300),VLOOKUP(AF3806,TPCalibEq300!$AZ$2:$BB$55,3,),IF(AND(I3806="TDP",S3806&lt;=300),VLOOKUP(AF3806,TPCalibEq300!$AZ$2:$BB$55,3,)))</f>
        <v>0</v>
      </c>
      <c r="AS3806" s="10" t="b">
        <f>IF(AND(I3806="TP",S3806&lt;=500),VLOOKUP(AF3806,TPCalibEq500!$AZ$2:$BB$56,3,),IF(AND(I3806="TDP",S3806&lt;=500),VLOOKUP(AF3806,TPCalibEq500!$AZ$2:$BB$56,3,)))</f>
        <v>0</v>
      </c>
      <c r="AT3806" s="10" t="str">
        <f>IF(AND(I3806="TN",S3806&lt;=2800),VLOOKUP(AF3806,TNCalibEq2500!$AZ$2:$BB$56,3,),IF(AND(I3806="TDN",S3806&lt;=2800),VLOOKUP(AF3806,TNCalibEq2500!$AZ$2:$BB$56,3,)))</f>
        <v>y=2.8761x2+145.17x-57.22</v>
      </c>
      <c r="AU3806" s="10" t="str">
        <f>IF(I3806="TP",VLOOKUP(AF3806,TPCalibEqFull!$AZ$2:$BB$56,3),IF(I3806="TDP",VLOOKUP(AF3806,TPCalibEqFull!$AZ$2:$BB$56,3),IF(I3806="TDN",VLOOKUP(AF3806,TNCalibEqFull!$AZ$1:$BB$56,3),IF(I3806="TN",VLOOKUP(AF3806,TNCalibEqFull!$AZ$1:$BB$56,3),FALSE))))</f>
        <v>y=0.3348x2+180.18x-102.36</v>
      </c>
      <c r="AV3806" s="10" t="str">
        <f t="shared" si="433"/>
        <v>0221 10:13:00-EFL-45-C-1-SW-UKN</v>
      </c>
    </row>
    <row r="3807" spans="1:48" s="10" customFormat="1" x14ac:dyDescent="0.55000000000000004">
      <c r="A3807" s="32">
        <v>44978</v>
      </c>
      <c r="B3807" s="33">
        <v>0.42569444444444443</v>
      </c>
      <c r="C3807" s="10" t="s">
        <v>287</v>
      </c>
      <c r="D3807" s="10">
        <v>45</v>
      </c>
      <c r="E3807" s="10" t="s">
        <v>190</v>
      </c>
      <c r="F3807" s="10">
        <v>1</v>
      </c>
      <c r="G3807" s="10" t="s">
        <v>231</v>
      </c>
      <c r="H3807" s="10" t="s">
        <v>233</v>
      </c>
      <c r="I3807" s="10" t="s">
        <v>235</v>
      </c>
      <c r="J3807" s="10">
        <v>30</v>
      </c>
      <c r="K3807" s="12">
        <v>44981</v>
      </c>
      <c r="L3807" s="33">
        <v>0.53159722222222217</v>
      </c>
      <c r="M3807" s="10">
        <v>1</v>
      </c>
      <c r="N3807" s="10" t="s">
        <v>196</v>
      </c>
      <c r="O3807" s="10">
        <v>6.91</v>
      </c>
      <c r="P3807" s="10">
        <v>0.33500000000000002</v>
      </c>
      <c r="Q3807" s="10">
        <v>1180</v>
      </c>
      <c r="R3807" s="10" t="s">
        <v>170</v>
      </c>
      <c r="S3807" s="34">
        <f t="shared" si="430"/>
        <v>1180</v>
      </c>
      <c r="T3807" s="10" t="s">
        <v>1282</v>
      </c>
      <c r="U3807" s="34">
        <f t="shared" si="431"/>
        <v>0</v>
      </c>
      <c r="V3807" s="31" t="str">
        <f>IF(H3807="CHK",VLOOKUP(I3807,QCCHK,3,),IF(H3807="GUP",VLOOKUP(E3807,QCGUP,2,),IF(AND(H3807="ATP",OR(I3807="TN",I3807="TDN",I3807="TNO2-3",I3807="NO2-3")),VLOOKUP(E3807,QCREC_N,2,),IF(AND(H3807="NIC",OR(I3807="TN",I3807="TDN",I3807="TNO2-3",I3807="NO2-3")),VLOOKUP(E3807,QCNIC_N,2,),IF(AND(H3807="UREA",OR(I3807="TN",I3807="TDN",I3807="TNO2-3",I3807="NO2-3")),VLOOKUP(E3807,QCUREA_N,2,),IF(H3807="PER",VLOOKUP(I3807,QCPER,MATCH(E3807,QCACTUAL!$J$25:$AA$25,0),),IF(H3807="SPK",VLOOKUP(I3807,QCSPK,3,),IF(AND(H3807="ATP",OR(I3807="TP",I3807="TDP")),VLOOKUP(E3807,QCATP_P,2,),""))))))))</f>
        <v/>
      </c>
      <c r="W3807" s="31" t="str">
        <f t="shared" si="432"/>
        <v>TRUE</v>
      </c>
      <c r="X3807" s="31" t="str">
        <f t="shared" si="429"/>
        <v>((ABS(rep1-rep2))/((rep1+rep2)/2)*100</v>
      </c>
      <c r="Y3807" s="10" t="s">
        <v>1275</v>
      </c>
      <c r="AF3807" s="12">
        <v>44981</v>
      </c>
      <c r="AJ3807" s="10">
        <f>2.8761*6.91^2+145.17*6.91-57.22</f>
        <v>1083.2330104099999</v>
      </c>
      <c r="AK3807" s="10">
        <f>0.3348*6.91^2+180.18*6.91-102.36</f>
        <v>1158.6698638800003</v>
      </c>
      <c r="AL3807" s="10" t="str">
        <f t="shared" si="427"/>
        <v>FALSE</v>
      </c>
      <c r="AM3807" s="10" t="str">
        <f t="shared" si="427"/>
        <v>FALSE</v>
      </c>
      <c r="AN3807" s="10" t="str">
        <f t="shared" si="427"/>
        <v>FALSE</v>
      </c>
      <c r="AO3807" s="10" t="str">
        <f t="shared" si="428"/>
        <v>y=2.8761*6.91^2+145.17*6.91-57.22</v>
      </c>
      <c r="AP3807" s="10" t="str">
        <f t="shared" si="428"/>
        <v>y=0.3348*6.91^2+180.18*6.91-102.36</v>
      </c>
      <c r="AQ3807" s="10" t="b">
        <f>IF(AND(I3807="TP",S3807&lt;=150),VLOOKUP(AF3807,TPCalibEq150!$AZ$2:$BB$55,3,),IF(AND(I3807="TDP",S3807&lt;=150),VLOOKUP(AF3807,TPCalibEq150!$AZ$2:$BB$55,3,)))</f>
        <v>0</v>
      </c>
      <c r="AR3807" s="10" t="b">
        <f>IF(AND(I3807="TP",S3807&lt;=300),VLOOKUP(AF3807,TPCalibEq300!$AZ$2:$BB$55,3,),IF(AND(I3807="TDP",S3807&lt;=300),VLOOKUP(AF3807,TPCalibEq300!$AZ$2:$BB$55,3,)))</f>
        <v>0</v>
      </c>
      <c r="AS3807" s="10" t="b">
        <f>IF(AND(I3807="TP",S3807&lt;=500),VLOOKUP(AF3807,TPCalibEq500!$AZ$2:$BB$56,3,),IF(AND(I3807="TDP",S3807&lt;=500),VLOOKUP(AF3807,TPCalibEq500!$AZ$2:$BB$56,3,)))</f>
        <v>0</v>
      </c>
      <c r="AT3807" s="10" t="str">
        <f>IF(AND(I3807="TN",S3807&lt;=2800),VLOOKUP(AF3807,TNCalibEq2500!$AZ$2:$BB$56,3,),IF(AND(I3807="TDN",S3807&lt;=2800),VLOOKUP(AF3807,TNCalibEq2500!$AZ$2:$BB$56,3,)))</f>
        <v>y=2.8761x2+145.17x-57.22</v>
      </c>
      <c r="AU3807" s="10" t="str">
        <f>IF(I3807="TP",VLOOKUP(AF3807,TPCalibEqFull!$AZ$2:$BB$56,3),IF(I3807="TDP",VLOOKUP(AF3807,TPCalibEqFull!$AZ$2:$BB$56,3),IF(I3807="TDN",VLOOKUP(AF3807,TNCalibEqFull!$AZ$1:$BB$56,3),IF(I3807="TN",VLOOKUP(AF3807,TNCalibEqFull!$AZ$1:$BB$56,3),FALSE))))</f>
        <v>y=0.3348x2+180.18x-102.36</v>
      </c>
      <c r="AV3807" s="10" t="str">
        <f t="shared" si="433"/>
        <v>0221 10:13:00-EFL-45-C-1-SW-DUP</v>
      </c>
    </row>
    <row r="3808" spans="1:48" s="10" customFormat="1" x14ac:dyDescent="0.55000000000000004">
      <c r="A3808" s="32">
        <v>44978</v>
      </c>
      <c r="B3808" s="33">
        <v>0.42569444444444443</v>
      </c>
      <c r="C3808" s="10" t="s">
        <v>287</v>
      </c>
      <c r="D3808" s="10">
        <v>45</v>
      </c>
      <c r="E3808" s="10" t="s">
        <v>190</v>
      </c>
      <c r="F3808" s="10">
        <v>1</v>
      </c>
      <c r="G3808" s="10" t="s">
        <v>231</v>
      </c>
      <c r="H3808" s="10" t="s">
        <v>314</v>
      </c>
      <c r="I3808" s="10" t="s">
        <v>235</v>
      </c>
      <c r="J3808" s="10">
        <v>84</v>
      </c>
      <c r="K3808" s="12">
        <v>44981</v>
      </c>
      <c r="L3808" s="33">
        <v>0.53225694444444438</v>
      </c>
      <c r="M3808" s="10">
        <v>1</v>
      </c>
      <c r="N3808" s="10" t="s">
        <v>196</v>
      </c>
      <c r="O3808" s="10">
        <v>19.899999999999999</v>
      </c>
      <c r="P3808" s="10">
        <v>0.95799999999999996</v>
      </c>
      <c r="Q3808" s="10">
        <v>3640</v>
      </c>
      <c r="R3808" s="10" t="s">
        <v>170</v>
      </c>
      <c r="S3808" s="34">
        <f t="shared" si="430"/>
        <v>3640</v>
      </c>
      <c r="T3808" s="10" t="s">
        <v>1282</v>
      </c>
      <c r="U3808" s="34">
        <f t="shared" si="431"/>
        <v>98.4</v>
      </c>
      <c r="V3808" s="31">
        <f>IF(H3808="CHK",VLOOKUP(I3808,QCCHK,3,),IF(H3808="GUP",VLOOKUP(E3808,QCGUP,2,),IF(AND(H3808="ATP",OR(I3808="TN",I3808="TDN",I3808="TNO2-3",I3808="NO2-3")),VLOOKUP(E3808,QCREC_N,2,),IF(AND(H3808="NIC",OR(I3808="TN",I3808="TDN",I3808="TNO2-3",I3808="NO2-3")),VLOOKUP(E3808,QCNIC_N,2,),IF(AND(H3808="UREA",OR(I3808="TN",I3808="TDN",I3808="TNO2-3",I3808="NO2-3")),VLOOKUP(E3808,QCUREA_N,2,),IF(H3808="PER",VLOOKUP(I3808,QCPER,MATCH(E3808,QCACTUAL!$J$25:$AA$25,0),),IF(H3808="SPK",VLOOKUP(I3808,QCSPK,3,),IF(AND(H3808="ATP",OR(I3808="TP",I3808="TDP")),VLOOKUP(E3808,QCATP_P,2,),""))))))))</f>
        <v>2500</v>
      </c>
      <c r="W3808" s="31" t="str">
        <f t="shared" si="432"/>
        <v>TRUE</v>
      </c>
      <c r="X3808" s="31" t="str">
        <f t="shared" si="429"/>
        <v>([spikedunkn]-[unkn])/[spike]*100</v>
      </c>
      <c r="Y3808" s="10" t="s">
        <v>1275</v>
      </c>
      <c r="AF3808" s="12">
        <v>44981</v>
      </c>
      <c r="AK3808" s="10">
        <f>0.3348*19.9^2+180.18*19.9-102.36</f>
        <v>3615.8061479999997</v>
      </c>
      <c r="AL3808" s="10" t="str">
        <f t="shared" ref="AL3808:AN3871" si="434">IF($O3808="", "", IF(AQ3808&lt;&gt;"", SUBSTITUTE(SUBSTITUTE(AQ3808, "x", "*"&amp;$O3808&amp;"^", 1), "x", "*"&amp;$O3808, 1), ""))</f>
        <v>FALSE</v>
      </c>
      <c r="AM3808" s="10" t="str">
        <f t="shared" si="434"/>
        <v>FALSE</v>
      </c>
      <c r="AN3808" s="10" t="str">
        <f t="shared" si="434"/>
        <v>FALSE</v>
      </c>
      <c r="AO3808" s="10" t="str">
        <f t="shared" ref="AO3808:AP3871" si="435">IF($O3808="", "FALSE", IF(AT3808&lt;&gt;"FALSE", SUBSTITUTE(SUBSTITUTE(AT3808, "x", "*"&amp;$O3808&amp;"^", 1), "x", "*"&amp;$O3808, 1), ""))</f>
        <v>FALSE</v>
      </c>
      <c r="AP3808" s="10" t="str">
        <f t="shared" si="435"/>
        <v>y=0.3348*19.9^2+180.18*19.9-102.36</v>
      </c>
      <c r="AQ3808" s="10" t="b">
        <f>IF(AND(I3808="TP",S3808&lt;=150),VLOOKUP(AF3808,TPCalibEq150!$AZ$2:$BB$55,3,),IF(AND(I3808="TDP",S3808&lt;=150),VLOOKUP(AF3808,TPCalibEq150!$AZ$2:$BB$55,3,)))</f>
        <v>0</v>
      </c>
      <c r="AR3808" s="10" t="b">
        <f>IF(AND(I3808="TP",S3808&lt;=300),VLOOKUP(AF3808,TPCalibEq300!$AZ$2:$BB$55,3,),IF(AND(I3808="TDP",S3808&lt;=300),VLOOKUP(AF3808,TPCalibEq300!$AZ$2:$BB$55,3,)))</f>
        <v>0</v>
      </c>
      <c r="AS3808" s="10" t="b">
        <f>IF(AND(I3808="TP",S3808&lt;=500),VLOOKUP(AF3808,TPCalibEq500!$AZ$2:$BB$56,3,),IF(AND(I3808="TDP",S3808&lt;=500),VLOOKUP(AF3808,TPCalibEq500!$AZ$2:$BB$56,3,)))</f>
        <v>0</v>
      </c>
      <c r="AT3808" s="10" t="b">
        <f>IF(AND(I3808="TN",S3808&lt;=2800),VLOOKUP(AF3808,TNCalibEq2500!$AZ$2:$BB$56,3,),IF(AND(I3808="TDN",S3808&lt;=2800),VLOOKUP(AF3808,TNCalibEq2500!$AZ$2:$BB$56,3,)))</f>
        <v>0</v>
      </c>
      <c r="AU3808" s="10" t="str">
        <f>IF(I3808="TP",VLOOKUP(AF3808,TPCalibEqFull!$AZ$2:$BB$56,3),IF(I3808="TDP",VLOOKUP(AF3808,TPCalibEqFull!$AZ$2:$BB$56,3),IF(I3808="TDN",VLOOKUP(AF3808,TNCalibEqFull!$AZ$1:$BB$56,3),IF(I3808="TN",VLOOKUP(AF3808,TNCalibEqFull!$AZ$1:$BB$56,3),FALSE))))</f>
        <v>y=0.3348x2+180.18x-102.36</v>
      </c>
      <c r="AV3808" s="10" t="str">
        <f t="shared" si="433"/>
        <v>0221 10:13:00-EFL-45-C-1-SW-SPK</v>
      </c>
    </row>
    <row r="3809" spans="1:48" s="10" customFormat="1" x14ac:dyDescent="0.55000000000000004">
      <c r="A3809" s="32">
        <v>44979</v>
      </c>
      <c r="B3809" s="33">
        <v>0.375</v>
      </c>
      <c r="C3809" s="10" t="s">
        <v>70</v>
      </c>
      <c r="D3809" s="10" t="s">
        <v>71</v>
      </c>
      <c r="E3809" s="10" t="s">
        <v>901</v>
      </c>
      <c r="F3809" s="10">
        <v>1</v>
      </c>
      <c r="G3809" s="10" t="s">
        <v>73</v>
      </c>
      <c r="H3809" s="10" t="s">
        <v>207</v>
      </c>
      <c r="I3809" s="10" t="s">
        <v>235</v>
      </c>
      <c r="J3809" s="10">
        <v>200</v>
      </c>
      <c r="K3809" s="12">
        <v>44981</v>
      </c>
      <c r="L3809" s="33">
        <v>0.53292824074074074</v>
      </c>
      <c r="M3809" s="10">
        <v>1</v>
      </c>
      <c r="N3809" s="10" t="s">
        <v>196</v>
      </c>
      <c r="O3809" s="10">
        <v>7.07</v>
      </c>
      <c r="P3809" s="10">
        <v>0.34499999999999997</v>
      </c>
      <c r="Q3809" s="10">
        <v>1210</v>
      </c>
      <c r="R3809" s="10" t="s">
        <v>170</v>
      </c>
      <c r="S3809" s="34">
        <f t="shared" si="430"/>
        <v>1210</v>
      </c>
      <c r="T3809" s="10" t="s">
        <v>1282</v>
      </c>
      <c r="U3809" s="34">
        <f t="shared" si="431"/>
        <v>96.8</v>
      </c>
      <c r="V3809" s="31">
        <f>IF(H3809="CHK",VLOOKUP(I3809,QCCHK,3,),IF(H3809="GUP",VLOOKUP(E3809,QCGUP,2,),IF(AND(H3809="ATP",OR(I3809="TN",I3809="TDN",I3809="TNO2-3",I3809="NO2-3")),VLOOKUP(E3809,QCREC_N,2,),IF(AND(H3809="NIC",OR(I3809="TN",I3809="TDN",I3809="TNO2-3",I3809="NO2-3")),VLOOKUP(E3809,QCNIC_N,2,),IF(AND(H3809="UREA",OR(I3809="TN",I3809="TDN",I3809="TNO2-3",I3809="NO2-3")),VLOOKUP(E3809,QCUREA_N,2,),IF(H3809="PER",VLOOKUP(I3809,QCPER,MATCH(E3809,QCACTUAL!$J$25:$AA$25,0),),IF(H3809="SPK",VLOOKUP(I3809,QCSPK,3,),IF(AND(H3809="ATP",OR(I3809="TP",I3809="TDP")),VLOOKUP(E3809,QCATP_P,2,),""))))))))</f>
        <v>1250</v>
      </c>
      <c r="W3809" s="31" t="str">
        <f t="shared" si="432"/>
        <v>TRUE</v>
      </c>
      <c r="X3809" s="31" t="str">
        <f t="shared" si="429"/>
        <v>[chk]/[actual]*100</v>
      </c>
      <c r="Y3809" s="10" t="s">
        <v>1275</v>
      </c>
      <c r="AF3809" s="12">
        <v>44981</v>
      </c>
      <c r="AJ3809" s="10">
        <f>2.8761*7.07^2+145.17*7.07-57.22</f>
        <v>1112.8934708899999</v>
      </c>
      <c r="AK3809" s="10">
        <f>0.3348*7.07^2+180.18*7.07-102.36</f>
        <v>1188.2475445200002</v>
      </c>
      <c r="AL3809" s="10" t="str">
        <f t="shared" si="434"/>
        <v>FALSE</v>
      </c>
      <c r="AM3809" s="10" t="str">
        <f t="shared" si="434"/>
        <v>FALSE</v>
      </c>
      <c r="AN3809" s="10" t="str">
        <f t="shared" si="434"/>
        <v>FALSE</v>
      </c>
      <c r="AO3809" s="10" t="str">
        <f t="shared" si="435"/>
        <v>y=2.8761*7.07^2+145.17*7.07-57.22</v>
      </c>
      <c r="AP3809" s="10" t="str">
        <f t="shared" si="435"/>
        <v>y=0.3348*7.07^2+180.18*7.07-102.36</v>
      </c>
      <c r="AQ3809" s="10" t="b">
        <f>IF(AND(I3809="TP",S3809&lt;=150),VLOOKUP(AF3809,TPCalibEq150!$AZ$2:$BB$55,3,),IF(AND(I3809="TDP",S3809&lt;=150),VLOOKUP(AF3809,TPCalibEq150!$AZ$2:$BB$55,3,)))</f>
        <v>0</v>
      </c>
      <c r="AR3809" s="10" t="b">
        <f>IF(AND(I3809="TP",S3809&lt;=300),VLOOKUP(AF3809,TPCalibEq300!$AZ$2:$BB$55,3,),IF(AND(I3809="TDP",S3809&lt;=300),VLOOKUP(AF3809,TPCalibEq300!$AZ$2:$BB$55,3,)))</f>
        <v>0</v>
      </c>
      <c r="AS3809" s="10" t="b">
        <f>IF(AND(I3809="TP",S3809&lt;=500),VLOOKUP(AF3809,TPCalibEq500!$AZ$2:$BB$56,3,),IF(AND(I3809="TDP",S3809&lt;=500),VLOOKUP(AF3809,TPCalibEq500!$AZ$2:$BB$56,3,)))</f>
        <v>0</v>
      </c>
      <c r="AT3809" s="10" t="str">
        <f>IF(AND(I3809="TN",S3809&lt;=2800),VLOOKUP(AF3809,TNCalibEq2500!$AZ$2:$BB$56,3,),IF(AND(I3809="TDN",S3809&lt;=2800),VLOOKUP(AF3809,TNCalibEq2500!$AZ$2:$BB$56,3,)))</f>
        <v>y=2.8761x2+145.17x-57.22</v>
      </c>
      <c r="AU3809" s="10" t="str">
        <f>IF(I3809="TP",VLOOKUP(AF3809,TPCalibEqFull!$AZ$2:$BB$56,3),IF(I3809="TDP",VLOOKUP(AF3809,TPCalibEqFull!$AZ$2:$BB$56,3),IF(I3809="TDN",VLOOKUP(AF3809,TNCalibEqFull!$AZ$1:$BB$56,3),IF(I3809="TN",VLOOKUP(AF3809,TNCalibEqFull!$AZ$1:$BB$56,3),FALSE))))</f>
        <v>y=0.3348x2+180.18x-102.36</v>
      </c>
      <c r="AV3809" s="10" t="str">
        <f t="shared" si="433"/>
        <v>0222 09:00:00-QAC-STD-D-1-DI-CHK</v>
      </c>
    </row>
    <row r="3810" spans="1:48" s="10" customFormat="1" x14ac:dyDescent="0.55000000000000004">
      <c r="A3810" s="32">
        <v>44978</v>
      </c>
      <c r="B3810" s="33">
        <v>0.38958333333333334</v>
      </c>
      <c r="C3810" s="10" t="s">
        <v>428</v>
      </c>
      <c r="D3810" s="10">
        <v>0</v>
      </c>
      <c r="E3810" s="10">
        <v>480</v>
      </c>
      <c r="F3810" s="10">
        <v>1</v>
      </c>
      <c r="G3810" s="10" t="s">
        <v>231</v>
      </c>
      <c r="H3810" s="10" t="s">
        <v>322</v>
      </c>
      <c r="I3810" s="10" t="s">
        <v>235</v>
      </c>
      <c r="J3810" s="10">
        <v>31</v>
      </c>
      <c r="K3810" s="12">
        <v>44981</v>
      </c>
      <c r="L3810" s="33">
        <v>0.53361111111111115</v>
      </c>
      <c r="M3810" s="10">
        <v>1</v>
      </c>
      <c r="N3810" s="10" t="s">
        <v>196</v>
      </c>
      <c r="O3810" s="10">
        <v>8.43</v>
      </c>
      <c r="P3810" s="10">
        <v>0.41299999999999998</v>
      </c>
      <c r="Q3810" s="10">
        <v>1470</v>
      </c>
      <c r="R3810" s="10" t="s">
        <v>170</v>
      </c>
      <c r="S3810" s="34">
        <f t="shared" si="430"/>
        <v>1470</v>
      </c>
      <c r="T3810" s="10" t="s">
        <v>1282</v>
      </c>
      <c r="U3810" s="34" t="str">
        <f t="shared" si="431"/>
        <v/>
      </c>
      <c r="V3810" s="31" t="str">
        <f>IF(H3810="CHK",VLOOKUP(I3810,QCCHK,3,),IF(H3810="GUP",VLOOKUP(E3810,QCGUP,2,),IF(AND(H3810="ATP",OR(I3810="TN",I3810="TDN",I3810="TNO2-3",I3810="NO2-3")),VLOOKUP(E3810,QCREC_N,2,),IF(AND(H3810="NIC",OR(I3810="TN",I3810="TDN",I3810="TNO2-3",I3810="NO2-3")),VLOOKUP(E3810,QCNIC_N,2,),IF(AND(H3810="UREA",OR(I3810="TN",I3810="TDN",I3810="TNO2-3",I3810="NO2-3")),VLOOKUP(E3810,QCUREA_N,2,),IF(H3810="PER",VLOOKUP(I3810,QCPER,MATCH(E3810,QCACTUAL!$J$25:$AA$25,0),),IF(H3810="SPK",VLOOKUP(I3810,QCSPK,3,),IF(AND(H3810="ATP",OR(I3810="TP",I3810="TDP")),VLOOKUP(E3810,QCATP_P,2,),""))))))))</f>
        <v/>
      </c>
      <c r="W3810" s="31" t="str">
        <f t="shared" si="432"/>
        <v>TRUE</v>
      </c>
      <c r="X3810" s="31" t="str">
        <f t="shared" si="429"/>
        <v/>
      </c>
      <c r="Y3810" s="10" t="s">
        <v>1275</v>
      </c>
      <c r="AF3810" s="12">
        <v>44981</v>
      </c>
      <c r="AJ3810" s="10">
        <f>2.8761*8.43^2+145.17*8.43-57.22</f>
        <v>1370.9528588899998</v>
      </c>
      <c r="AK3810" s="10">
        <f>0.3348*8.43^2+180.18*8.43-102.36</f>
        <v>1440.34992852</v>
      </c>
      <c r="AL3810" s="10" t="str">
        <f t="shared" si="434"/>
        <v>FALSE</v>
      </c>
      <c r="AM3810" s="10" t="str">
        <f t="shared" si="434"/>
        <v>FALSE</v>
      </c>
      <c r="AN3810" s="10" t="str">
        <f t="shared" si="434"/>
        <v>FALSE</v>
      </c>
      <c r="AO3810" s="10" t="str">
        <f t="shared" si="435"/>
        <v>y=2.8761*8.43^2+145.17*8.43-57.22</v>
      </c>
      <c r="AP3810" s="10" t="str">
        <f t="shared" si="435"/>
        <v>y=0.3348*8.43^2+180.18*8.43-102.36</v>
      </c>
      <c r="AQ3810" s="10" t="b">
        <f>IF(AND(I3810="TP",S3810&lt;=150),VLOOKUP(AF3810,TPCalibEq150!$AZ$2:$BB$55,3,),IF(AND(I3810="TDP",S3810&lt;=150),VLOOKUP(AF3810,TPCalibEq150!$AZ$2:$BB$55,3,)))</f>
        <v>0</v>
      </c>
      <c r="AR3810" s="10" t="b">
        <f>IF(AND(I3810="TP",S3810&lt;=300),VLOOKUP(AF3810,TPCalibEq300!$AZ$2:$BB$55,3,),IF(AND(I3810="TDP",S3810&lt;=300),VLOOKUP(AF3810,TPCalibEq300!$AZ$2:$BB$55,3,)))</f>
        <v>0</v>
      </c>
      <c r="AS3810" s="10" t="b">
        <f>IF(AND(I3810="TP",S3810&lt;=500),VLOOKUP(AF3810,TPCalibEq500!$AZ$2:$BB$56,3,),IF(AND(I3810="TDP",S3810&lt;=500),VLOOKUP(AF3810,TPCalibEq500!$AZ$2:$BB$56,3,)))</f>
        <v>0</v>
      </c>
      <c r="AT3810" s="10" t="str">
        <f>IF(AND(I3810="TN",S3810&lt;=2800),VLOOKUP(AF3810,TNCalibEq2500!$AZ$2:$BB$56,3,),IF(AND(I3810="TDN",S3810&lt;=2800),VLOOKUP(AF3810,TNCalibEq2500!$AZ$2:$BB$56,3,)))</f>
        <v>y=2.8761x2+145.17x-57.22</v>
      </c>
      <c r="AU3810" s="10" t="str">
        <f>IF(I3810="TP",VLOOKUP(AF3810,TPCalibEqFull!$AZ$2:$BB$56,3),IF(I3810="TDP",VLOOKUP(AF3810,TPCalibEqFull!$AZ$2:$BB$56,3),IF(I3810="TDN",VLOOKUP(AF3810,TNCalibEqFull!$AZ$1:$BB$56,3),IF(I3810="TN",VLOOKUP(AF3810,TNCalibEqFull!$AZ$1:$BB$56,3),FALSE))))</f>
        <v>y=0.3348x2+180.18x-102.36</v>
      </c>
      <c r="AV3810" s="10" t="str">
        <f t="shared" si="433"/>
        <v>0221 09:21:00-EOF-0-480-1-SW-UKN</v>
      </c>
    </row>
    <row r="3811" spans="1:48" s="10" customFormat="1" x14ac:dyDescent="0.55000000000000004">
      <c r="A3811" s="32">
        <v>44978</v>
      </c>
      <c r="B3811" s="33">
        <v>0.39166666666666666</v>
      </c>
      <c r="C3811" s="10" t="s">
        <v>428</v>
      </c>
      <c r="D3811" s="10">
        <v>5</v>
      </c>
      <c r="E3811" s="10">
        <v>480</v>
      </c>
      <c r="F3811" s="10">
        <v>1</v>
      </c>
      <c r="G3811" s="10" t="s">
        <v>231</v>
      </c>
      <c r="H3811" s="10" t="s">
        <v>322</v>
      </c>
      <c r="I3811" s="10" t="s">
        <v>235</v>
      </c>
      <c r="J3811" s="10">
        <v>32</v>
      </c>
      <c r="K3811" s="12">
        <v>44981</v>
      </c>
      <c r="L3811" s="33">
        <v>0.5342824074074074</v>
      </c>
      <c r="M3811" s="10">
        <v>1</v>
      </c>
      <c r="N3811" s="10" t="s">
        <v>196</v>
      </c>
      <c r="O3811" s="10">
        <v>7.04</v>
      </c>
      <c r="P3811" s="10">
        <v>0.34100000000000003</v>
      </c>
      <c r="Q3811" s="10">
        <v>1210</v>
      </c>
      <c r="R3811" s="10" t="s">
        <v>170</v>
      </c>
      <c r="S3811" s="34">
        <f t="shared" si="430"/>
        <v>1210</v>
      </c>
      <c r="T3811" s="10" t="s">
        <v>1282</v>
      </c>
      <c r="U3811" s="34" t="str">
        <f t="shared" si="431"/>
        <v/>
      </c>
      <c r="V3811" s="31" t="str">
        <f>IF(H3811="CHK",VLOOKUP(I3811,QCCHK,3,),IF(H3811="GUP",VLOOKUP(E3811,QCGUP,2,),IF(AND(H3811="ATP",OR(I3811="TN",I3811="TDN",I3811="TNO2-3",I3811="NO2-3")),VLOOKUP(E3811,QCREC_N,2,),IF(AND(H3811="NIC",OR(I3811="TN",I3811="TDN",I3811="TNO2-3",I3811="NO2-3")),VLOOKUP(E3811,QCNIC_N,2,),IF(AND(H3811="UREA",OR(I3811="TN",I3811="TDN",I3811="TNO2-3",I3811="NO2-3")),VLOOKUP(E3811,QCUREA_N,2,),IF(H3811="PER",VLOOKUP(I3811,QCPER,MATCH(E3811,QCACTUAL!$J$25:$AA$25,0),),IF(H3811="SPK",VLOOKUP(I3811,QCSPK,3,),IF(AND(H3811="ATP",OR(I3811="TP",I3811="TDP")),VLOOKUP(E3811,QCATP_P,2,),""))))))))</f>
        <v/>
      </c>
      <c r="W3811" s="31" t="str">
        <f t="shared" si="432"/>
        <v>TRUE</v>
      </c>
      <c r="X3811" s="31" t="str">
        <f t="shared" si="429"/>
        <v/>
      </c>
      <c r="Y3811" s="10" t="s">
        <v>1275</v>
      </c>
      <c r="AF3811" s="12">
        <v>44981</v>
      </c>
      <c r="AJ3811" s="10">
        <f>2.8761*7.04^2+145.17*7.04-57.22</f>
        <v>1107.3209177599999</v>
      </c>
      <c r="AK3811" s="10">
        <f>0.3348*7.04^2+180.18*7.04-102.36</f>
        <v>1182.7004236800001</v>
      </c>
      <c r="AL3811" s="10" t="str">
        <f t="shared" si="434"/>
        <v>FALSE</v>
      </c>
      <c r="AM3811" s="10" t="str">
        <f t="shared" si="434"/>
        <v>FALSE</v>
      </c>
      <c r="AN3811" s="10" t="str">
        <f t="shared" si="434"/>
        <v>FALSE</v>
      </c>
      <c r="AO3811" s="10" t="str">
        <f t="shared" si="435"/>
        <v>y=2.8761*7.04^2+145.17*7.04-57.22</v>
      </c>
      <c r="AP3811" s="10" t="str">
        <f t="shared" si="435"/>
        <v>y=0.3348*7.04^2+180.18*7.04-102.36</v>
      </c>
      <c r="AQ3811" s="10" t="b">
        <f>IF(AND(I3811="TP",S3811&lt;=150),VLOOKUP(AF3811,TPCalibEq150!$AZ$2:$BB$55,3,),IF(AND(I3811="TDP",S3811&lt;=150),VLOOKUP(AF3811,TPCalibEq150!$AZ$2:$BB$55,3,)))</f>
        <v>0</v>
      </c>
      <c r="AR3811" s="10" t="b">
        <f>IF(AND(I3811="TP",S3811&lt;=300),VLOOKUP(AF3811,TPCalibEq300!$AZ$2:$BB$55,3,),IF(AND(I3811="TDP",S3811&lt;=300),VLOOKUP(AF3811,TPCalibEq300!$AZ$2:$BB$55,3,)))</f>
        <v>0</v>
      </c>
      <c r="AS3811" s="10" t="b">
        <f>IF(AND(I3811="TP",S3811&lt;=500),VLOOKUP(AF3811,TPCalibEq500!$AZ$2:$BB$56,3,),IF(AND(I3811="TDP",S3811&lt;=500),VLOOKUP(AF3811,TPCalibEq500!$AZ$2:$BB$56,3,)))</f>
        <v>0</v>
      </c>
      <c r="AT3811" s="10" t="str">
        <f>IF(AND(I3811="TN",S3811&lt;=2800),VLOOKUP(AF3811,TNCalibEq2500!$AZ$2:$BB$56,3,),IF(AND(I3811="TDN",S3811&lt;=2800),VLOOKUP(AF3811,TNCalibEq2500!$AZ$2:$BB$56,3,)))</f>
        <v>y=2.8761x2+145.17x-57.22</v>
      </c>
      <c r="AU3811" s="10" t="str">
        <f>IF(I3811="TP",VLOOKUP(AF3811,TPCalibEqFull!$AZ$2:$BB$56,3),IF(I3811="TDP",VLOOKUP(AF3811,TPCalibEqFull!$AZ$2:$BB$56,3),IF(I3811="TDN",VLOOKUP(AF3811,TNCalibEqFull!$AZ$1:$BB$56,3),IF(I3811="TN",VLOOKUP(AF3811,TNCalibEqFull!$AZ$1:$BB$56,3),FALSE))))</f>
        <v>y=0.3348x2+180.18x-102.36</v>
      </c>
      <c r="AV3811" s="10" t="str">
        <f t="shared" si="433"/>
        <v>0221 09:24:00-EOF-5-480-1-SW-UKN</v>
      </c>
    </row>
    <row r="3812" spans="1:48" s="10" customFormat="1" x14ac:dyDescent="0.55000000000000004">
      <c r="A3812" s="32">
        <v>44978</v>
      </c>
      <c r="B3812" s="33">
        <v>0.39444444444444443</v>
      </c>
      <c r="C3812" s="10" t="s">
        <v>428</v>
      </c>
      <c r="D3812" s="10">
        <v>10</v>
      </c>
      <c r="E3812" s="10">
        <v>490</v>
      </c>
      <c r="F3812" s="10">
        <v>1</v>
      </c>
      <c r="G3812" s="10" t="s">
        <v>231</v>
      </c>
      <c r="H3812" s="10" t="s">
        <v>322</v>
      </c>
      <c r="I3812" s="10" t="s">
        <v>235</v>
      </c>
      <c r="J3812" s="10">
        <v>33</v>
      </c>
      <c r="K3812" s="12">
        <v>44981</v>
      </c>
      <c r="L3812" s="33">
        <v>0.53495370370370365</v>
      </c>
      <c r="M3812" s="10">
        <v>1</v>
      </c>
      <c r="N3812" s="10" t="s">
        <v>196</v>
      </c>
      <c r="O3812" s="10">
        <v>7.26</v>
      </c>
      <c r="P3812" s="10">
        <v>0.35099999999999998</v>
      </c>
      <c r="Q3812" s="10">
        <v>1250</v>
      </c>
      <c r="R3812" s="10" t="s">
        <v>170</v>
      </c>
      <c r="S3812" s="34">
        <f t="shared" si="430"/>
        <v>1250</v>
      </c>
      <c r="T3812" s="10" t="s">
        <v>1282</v>
      </c>
      <c r="U3812" s="34" t="str">
        <f t="shared" si="431"/>
        <v/>
      </c>
      <c r="V3812" s="31" t="str">
        <f>IF(H3812="CHK",VLOOKUP(I3812,QCCHK,3,),IF(H3812="GUP",VLOOKUP(E3812,QCGUP,2,),IF(AND(H3812="ATP",OR(I3812="TN",I3812="TDN",I3812="TNO2-3",I3812="NO2-3")),VLOOKUP(E3812,QCREC_N,2,),IF(AND(H3812="NIC",OR(I3812="TN",I3812="TDN",I3812="TNO2-3",I3812="NO2-3")),VLOOKUP(E3812,QCNIC_N,2,),IF(AND(H3812="UREA",OR(I3812="TN",I3812="TDN",I3812="TNO2-3",I3812="NO2-3")),VLOOKUP(E3812,QCUREA_N,2,),IF(H3812="PER",VLOOKUP(I3812,QCPER,MATCH(E3812,QCACTUAL!$J$25:$AA$25,0),),IF(H3812="SPK",VLOOKUP(I3812,QCSPK,3,),IF(AND(H3812="ATP",OR(I3812="TP",I3812="TDP")),VLOOKUP(E3812,QCATP_P,2,),""))))))))</f>
        <v/>
      </c>
      <c r="W3812" s="31" t="str">
        <f t="shared" si="432"/>
        <v>TRUE</v>
      </c>
      <c r="X3812" s="31" t="str">
        <f t="shared" si="429"/>
        <v/>
      </c>
      <c r="Y3812" s="10" t="s">
        <v>1275</v>
      </c>
      <c r="AF3812" s="12">
        <v>44981</v>
      </c>
      <c r="AJ3812" s="10">
        <f>2.8761*7.26^2+145.17*7.26-57.22</f>
        <v>1148.3065283599999</v>
      </c>
      <c r="AK3812" s="10">
        <f>0.3348*7.26^2+180.18*7.26-102.36</f>
        <v>1223.3933044800001</v>
      </c>
      <c r="AL3812" s="10" t="str">
        <f t="shared" si="434"/>
        <v>FALSE</v>
      </c>
      <c r="AM3812" s="10" t="str">
        <f t="shared" si="434"/>
        <v>FALSE</v>
      </c>
      <c r="AN3812" s="10" t="str">
        <f t="shared" si="434"/>
        <v>FALSE</v>
      </c>
      <c r="AO3812" s="10" t="str">
        <f t="shared" si="435"/>
        <v>y=2.8761*7.26^2+145.17*7.26-57.22</v>
      </c>
      <c r="AP3812" s="10" t="str">
        <f t="shared" si="435"/>
        <v>y=0.3348*7.26^2+180.18*7.26-102.36</v>
      </c>
      <c r="AQ3812" s="10" t="b">
        <f>IF(AND(I3812="TP",S3812&lt;=150),VLOOKUP(AF3812,TPCalibEq150!$AZ$2:$BB$55,3,),IF(AND(I3812="TDP",S3812&lt;=150),VLOOKUP(AF3812,TPCalibEq150!$AZ$2:$BB$55,3,)))</f>
        <v>0</v>
      </c>
      <c r="AR3812" s="10" t="b">
        <f>IF(AND(I3812="TP",S3812&lt;=300),VLOOKUP(AF3812,TPCalibEq300!$AZ$2:$BB$55,3,),IF(AND(I3812="TDP",S3812&lt;=300),VLOOKUP(AF3812,TPCalibEq300!$AZ$2:$BB$55,3,)))</f>
        <v>0</v>
      </c>
      <c r="AS3812" s="10" t="b">
        <f>IF(AND(I3812="TP",S3812&lt;=500),VLOOKUP(AF3812,TPCalibEq500!$AZ$2:$BB$56,3,),IF(AND(I3812="TDP",S3812&lt;=500),VLOOKUP(AF3812,TPCalibEq500!$AZ$2:$BB$56,3,)))</f>
        <v>0</v>
      </c>
      <c r="AT3812" s="10" t="str">
        <f>IF(AND(I3812="TN",S3812&lt;=2800),VLOOKUP(AF3812,TNCalibEq2500!$AZ$2:$BB$56,3,),IF(AND(I3812="TDN",S3812&lt;=2800),VLOOKUP(AF3812,TNCalibEq2500!$AZ$2:$BB$56,3,)))</f>
        <v>y=2.8761x2+145.17x-57.22</v>
      </c>
      <c r="AU3812" s="10" t="str">
        <f>IF(I3812="TP",VLOOKUP(AF3812,TPCalibEqFull!$AZ$2:$BB$56,3),IF(I3812="TDP",VLOOKUP(AF3812,TPCalibEqFull!$AZ$2:$BB$56,3),IF(I3812="TDN",VLOOKUP(AF3812,TNCalibEqFull!$AZ$1:$BB$56,3),IF(I3812="TN",VLOOKUP(AF3812,TNCalibEqFull!$AZ$1:$BB$56,3),FALSE))))</f>
        <v>y=0.3348x2+180.18x-102.36</v>
      </c>
      <c r="AV3812" s="10" t="str">
        <f t="shared" si="433"/>
        <v>0221 09:28:00-EOF-10-490-1-SW-UKN</v>
      </c>
    </row>
    <row r="3813" spans="1:48" s="10" customFormat="1" x14ac:dyDescent="0.55000000000000004">
      <c r="A3813" s="32">
        <v>44978</v>
      </c>
      <c r="B3813" s="33">
        <v>0.39652777777777781</v>
      </c>
      <c r="C3813" s="10" t="s">
        <v>428</v>
      </c>
      <c r="D3813" s="10">
        <v>20</v>
      </c>
      <c r="E3813" s="10" t="s">
        <v>190</v>
      </c>
      <c r="F3813" s="10">
        <v>1</v>
      </c>
      <c r="G3813" s="10" t="s">
        <v>231</v>
      </c>
      <c r="H3813" s="10" t="s">
        <v>322</v>
      </c>
      <c r="I3813" s="10" t="s">
        <v>235</v>
      </c>
      <c r="J3813" s="10">
        <v>34</v>
      </c>
      <c r="K3813" s="12">
        <v>44981</v>
      </c>
      <c r="L3813" s="33">
        <v>0.53562500000000002</v>
      </c>
      <c r="M3813" s="10">
        <v>1</v>
      </c>
      <c r="N3813" s="10" t="s">
        <v>196</v>
      </c>
      <c r="O3813" s="10">
        <v>7.3</v>
      </c>
      <c r="P3813" s="10">
        <v>0.35399999999999998</v>
      </c>
      <c r="Q3813" s="10">
        <v>1260</v>
      </c>
      <c r="R3813" s="10" t="s">
        <v>170</v>
      </c>
      <c r="S3813" s="34">
        <f t="shared" si="430"/>
        <v>1260</v>
      </c>
      <c r="T3813" s="10" t="s">
        <v>1282</v>
      </c>
      <c r="U3813" s="34" t="str">
        <f t="shared" si="431"/>
        <v/>
      </c>
      <c r="V3813" s="31" t="str">
        <f>IF(H3813="CHK",VLOOKUP(I3813,QCCHK,3,),IF(H3813="GUP",VLOOKUP(E3813,QCGUP,2,),IF(AND(H3813="ATP",OR(I3813="TN",I3813="TDN",I3813="TNO2-3",I3813="NO2-3")),VLOOKUP(E3813,QCREC_N,2,),IF(AND(H3813="NIC",OR(I3813="TN",I3813="TDN",I3813="TNO2-3",I3813="NO2-3")),VLOOKUP(E3813,QCNIC_N,2,),IF(AND(H3813="UREA",OR(I3813="TN",I3813="TDN",I3813="TNO2-3",I3813="NO2-3")),VLOOKUP(E3813,QCUREA_N,2,),IF(H3813="PER",VLOOKUP(I3813,QCPER,MATCH(E3813,QCACTUAL!$J$25:$AA$25,0),),IF(H3813="SPK",VLOOKUP(I3813,QCSPK,3,),IF(AND(H3813="ATP",OR(I3813="TP",I3813="TDP")),VLOOKUP(E3813,QCATP_P,2,),""))))))))</f>
        <v/>
      </c>
      <c r="W3813" s="31" t="str">
        <f t="shared" si="432"/>
        <v>TRUE</v>
      </c>
      <c r="X3813" s="31" t="str">
        <f t="shared" si="429"/>
        <v/>
      </c>
      <c r="Y3813" s="10" t="s">
        <v>1275</v>
      </c>
      <c r="AF3813" s="12">
        <v>44981</v>
      </c>
      <c r="AJ3813" s="10">
        <f>2.8761*7.3^2+145.17*7.3-57.22</f>
        <v>1155.7883689999999</v>
      </c>
      <c r="AK3813" s="10">
        <f>0.3348*7.3^2+180.18*7.3-102.36</f>
        <v>1230.7954920000002</v>
      </c>
      <c r="AL3813" s="10" t="str">
        <f t="shared" si="434"/>
        <v>FALSE</v>
      </c>
      <c r="AM3813" s="10" t="str">
        <f t="shared" si="434"/>
        <v>FALSE</v>
      </c>
      <c r="AN3813" s="10" t="str">
        <f t="shared" si="434"/>
        <v>FALSE</v>
      </c>
      <c r="AO3813" s="10" t="str">
        <f t="shared" si="435"/>
        <v>y=2.8761*7.3^2+145.17*7.3-57.22</v>
      </c>
      <c r="AP3813" s="10" t="str">
        <f t="shared" si="435"/>
        <v>y=0.3348*7.3^2+180.18*7.3-102.36</v>
      </c>
      <c r="AQ3813" s="10" t="b">
        <f>IF(AND(I3813="TP",S3813&lt;=150),VLOOKUP(AF3813,TPCalibEq150!$AZ$2:$BB$55,3,),IF(AND(I3813="TDP",S3813&lt;=150),VLOOKUP(AF3813,TPCalibEq150!$AZ$2:$BB$55,3,)))</f>
        <v>0</v>
      </c>
      <c r="AR3813" s="10" t="b">
        <f>IF(AND(I3813="TP",S3813&lt;=300),VLOOKUP(AF3813,TPCalibEq300!$AZ$2:$BB$55,3,),IF(AND(I3813="TDP",S3813&lt;=300),VLOOKUP(AF3813,TPCalibEq300!$AZ$2:$BB$55,3,)))</f>
        <v>0</v>
      </c>
      <c r="AS3813" s="10" t="b">
        <f>IF(AND(I3813="TP",S3813&lt;=500),VLOOKUP(AF3813,TPCalibEq500!$AZ$2:$BB$56,3,),IF(AND(I3813="TDP",S3813&lt;=500),VLOOKUP(AF3813,TPCalibEq500!$AZ$2:$BB$56,3,)))</f>
        <v>0</v>
      </c>
      <c r="AT3813" s="10" t="str">
        <f>IF(AND(I3813="TN",S3813&lt;=2800),VLOOKUP(AF3813,TNCalibEq2500!$AZ$2:$BB$56,3,),IF(AND(I3813="TDN",S3813&lt;=2800),VLOOKUP(AF3813,TNCalibEq2500!$AZ$2:$BB$56,3,)))</f>
        <v>y=2.8761x2+145.17x-57.22</v>
      </c>
      <c r="AU3813" s="10" t="str">
        <f>IF(I3813="TP",VLOOKUP(AF3813,TPCalibEqFull!$AZ$2:$BB$56,3),IF(I3813="TDP",VLOOKUP(AF3813,TPCalibEqFull!$AZ$2:$BB$56,3),IF(I3813="TDN",VLOOKUP(AF3813,TNCalibEqFull!$AZ$1:$BB$56,3),IF(I3813="TN",VLOOKUP(AF3813,TNCalibEqFull!$AZ$1:$BB$56,3),FALSE))))</f>
        <v>y=0.3348x2+180.18x-102.36</v>
      </c>
      <c r="AV3813" s="10" t="str">
        <f t="shared" si="433"/>
        <v>0221 09:31:00-EOF-20-C-1-SW-UKN</v>
      </c>
    </row>
    <row r="3814" spans="1:48" s="10" customFormat="1" x14ac:dyDescent="0.55000000000000004">
      <c r="A3814" s="32">
        <v>44978</v>
      </c>
      <c r="B3814" s="33">
        <v>0.40347222222222223</v>
      </c>
      <c r="C3814" s="10" t="s">
        <v>428</v>
      </c>
      <c r="D3814" s="10">
        <v>97</v>
      </c>
      <c r="E3814" s="10" t="s">
        <v>190</v>
      </c>
      <c r="F3814" s="10">
        <v>1</v>
      </c>
      <c r="G3814" s="10" t="s">
        <v>231</v>
      </c>
      <c r="H3814" s="10" t="s">
        <v>322</v>
      </c>
      <c r="I3814" s="10" t="s">
        <v>235</v>
      </c>
      <c r="J3814" s="10">
        <v>35</v>
      </c>
      <c r="K3814" s="12">
        <v>44981</v>
      </c>
      <c r="L3814" s="33">
        <v>0.53629629629629627</v>
      </c>
      <c r="M3814" s="10">
        <v>1</v>
      </c>
      <c r="N3814" s="10" t="s">
        <v>196</v>
      </c>
      <c r="O3814" s="10">
        <v>7.08</v>
      </c>
      <c r="P3814" s="10">
        <v>0.36299999999999999</v>
      </c>
      <c r="Q3814" s="10">
        <v>1210</v>
      </c>
      <c r="R3814" s="10" t="s">
        <v>170</v>
      </c>
      <c r="S3814" s="34">
        <f t="shared" si="430"/>
        <v>1210</v>
      </c>
      <c r="T3814" s="10" t="s">
        <v>1282</v>
      </c>
      <c r="U3814" s="34" t="str">
        <f t="shared" si="431"/>
        <v/>
      </c>
      <c r="V3814" s="31" t="str">
        <f>IF(H3814="CHK",VLOOKUP(I3814,QCCHK,3,),IF(H3814="GUP",VLOOKUP(E3814,QCGUP,2,),IF(AND(H3814="ATP",OR(I3814="TN",I3814="TDN",I3814="TNO2-3",I3814="NO2-3")),VLOOKUP(E3814,QCREC_N,2,),IF(AND(H3814="NIC",OR(I3814="TN",I3814="TDN",I3814="TNO2-3",I3814="NO2-3")),VLOOKUP(E3814,QCNIC_N,2,),IF(AND(H3814="UREA",OR(I3814="TN",I3814="TDN",I3814="TNO2-3",I3814="NO2-3")),VLOOKUP(E3814,QCUREA_N,2,),IF(H3814="PER",VLOOKUP(I3814,QCPER,MATCH(E3814,QCACTUAL!$J$25:$AA$25,0),),IF(H3814="SPK",VLOOKUP(I3814,QCSPK,3,),IF(AND(H3814="ATP",OR(I3814="TP",I3814="TDP")),VLOOKUP(E3814,QCATP_P,2,),""))))))))</f>
        <v/>
      </c>
      <c r="W3814" s="31" t="str">
        <f t="shared" si="432"/>
        <v>TRUE</v>
      </c>
      <c r="X3814" s="31" t="str">
        <f t="shared" si="429"/>
        <v/>
      </c>
      <c r="Y3814" s="10" t="s">
        <v>1275</v>
      </c>
      <c r="AF3814" s="12">
        <v>44981</v>
      </c>
      <c r="AJ3814" s="10">
        <f>2.8761*7.08^2+145.17*7.08-57.22</f>
        <v>1114.75213904</v>
      </c>
      <c r="AK3814" s="10">
        <f>0.3348*7.08^2+180.18*7.08-102.36</f>
        <v>1190.0967187200001</v>
      </c>
      <c r="AL3814" s="10" t="str">
        <f t="shared" si="434"/>
        <v>FALSE</v>
      </c>
      <c r="AM3814" s="10" t="str">
        <f t="shared" si="434"/>
        <v>FALSE</v>
      </c>
      <c r="AN3814" s="10" t="str">
        <f t="shared" si="434"/>
        <v>FALSE</v>
      </c>
      <c r="AO3814" s="10" t="str">
        <f t="shared" si="435"/>
        <v>y=2.8761*7.08^2+145.17*7.08-57.22</v>
      </c>
      <c r="AP3814" s="10" t="str">
        <f t="shared" si="435"/>
        <v>y=0.3348*7.08^2+180.18*7.08-102.36</v>
      </c>
      <c r="AQ3814" s="10" t="b">
        <f>IF(AND(I3814="TP",S3814&lt;=150),VLOOKUP(AF3814,TPCalibEq150!$AZ$2:$BB$55,3,),IF(AND(I3814="TDP",S3814&lt;=150),VLOOKUP(AF3814,TPCalibEq150!$AZ$2:$BB$55,3,)))</f>
        <v>0</v>
      </c>
      <c r="AR3814" s="10" t="b">
        <f>IF(AND(I3814="TP",S3814&lt;=300),VLOOKUP(AF3814,TPCalibEq300!$AZ$2:$BB$55,3,),IF(AND(I3814="TDP",S3814&lt;=300),VLOOKUP(AF3814,TPCalibEq300!$AZ$2:$BB$55,3,)))</f>
        <v>0</v>
      </c>
      <c r="AS3814" s="10" t="b">
        <f>IF(AND(I3814="TP",S3814&lt;=500),VLOOKUP(AF3814,TPCalibEq500!$AZ$2:$BB$56,3,),IF(AND(I3814="TDP",S3814&lt;=500),VLOOKUP(AF3814,TPCalibEq500!$AZ$2:$BB$56,3,)))</f>
        <v>0</v>
      </c>
      <c r="AT3814" s="10" t="str">
        <f>IF(AND(I3814="TN",S3814&lt;=2800),VLOOKUP(AF3814,TNCalibEq2500!$AZ$2:$BB$56,3,),IF(AND(I3814="TDN",S3814&lt;=2800),VLOOKUP(AF3814,TNCalibEq2500!$AZ$2:$BB$56,3,)))</f>
        <v>y=2.8761x2+145.17x-57.22</v>
      </c>
      <c r="AU3814" s="10" t="str">
        <f>IF(I3814="TP",VLOOKUP(AF3814,TPCalibEqFull!$AZ$2:$BB$56,3),IF(I3814="TDP",VLOOKUP(AF3814,TPCalibEqFull!$AZ$2:$BB$56,3),IF(I3814="TDN",VLOOKUP(AF3814,TNCalibEqFull!$AZ$1:$BB$56,3),IF(I3814="TN",VLOOKUP(AF3814,TNCalibEqFull!$AZ$1:$BB$56,3),FALSE))))</f>
        <v>y=0.3348x2+180.18x-102.36</v>
      </c>
      <c r="AV3814" s="10" t="str">
        <f t="shared" si="433"/>
        <v>0221 09:41:00-EOF-97-C-1-SW-UKN</v>
      </c>
    </row>
    <row r="3815" spans="1:48" s="10" customFormat="1" x14ac:dyDescent="0.55000000000000004">
      <c r="A3815" s="32">
        <v>44978</v>
      </c>
      <c r="B3815" s="33">
        <v>0.43124999999999997</v>
      </c>
      <c r="C3815" s="10" t="s">
        <v>611</v>
      </c>
      <c r="D3815" s="10">
        <v>0</v>
      </c>
      <c r="E3815" s="10">
        <v>260</v>
      </c>
      <c r="F3815" s="10">
        <v>1</v>
      </c>
      <c r="G3815" s="10" t="s">
        <v>231</v>
      </c>
      <c r="H3815" s="10" t="s">
        <v>322</v>
      </c>
      <c r="I3815" s="10" t="s">
        <v>235</v>
      </c>
      <c r="J3815" s="10">
        <v>36</v>
      </c>
      <c r="K3815" s="12">
        <v>44981</v>
      </c>
      <c r="L3815" s="33">
        <v>0.53695601851851849</v>
      </c>
      <c r="M3815" s="10">
        <v>1</v>
      </c>
      <c r="N3815" s="10" t="s">
        <v>196</v>
      </c>
      <c r="O3815" s="10">
        <v>8.9</v>
      </c>
      <c r="P3815" s="10">
        <v>0.43099999999999999</v>
      </c>
      <c r="Q3815" s="10">
        <v>1560</v>
      </c>
      <c r="R3815" s="10" t="s">
        <v>170</v>
      </c>
      <c r="S3815" s="34">
        <f t="shared" si="430"/>
        <v>1560</v>
      </c>
      <c r="T3815" s="10" t="s">
        <v>1282</v>
      </c>
      <c r="U3815" s="34" t="str">
        <f t="shared" si="431"/>
        <v/>
      </c>
      <c r="V3815" s="31" t="str">
        <f>IF(H3815="CHK",VLOOKUP(I3815,QCCHK,3,),IF(H3815="GUP",VLOOKUP(E3815,QCGUP,2,),IF(AND(H3815="ATP",OR(I3815="TN",I3815="TDN",I3815="TNO2-3",I3815="NO2-3")),VLOOKUP(E3815,QCREC_N,2,),IF(AND(H3815="NIC",OR(I3815="TN",I3815="TDN",I3815="TNO2-3",I3815="NO2-3")),VLOOKUP(E3815,QCNIC_N,2,),IF(AND(H3815="UREA",OR(I3815="TN",I3815="TDN",I3815="TNO2-3",I3815="NO2-3")),VLOOKUP(E3815,QCUREA_N,2,),IF(H3815="PER",VLOOKUP(I3815,QCPER,MATCH(E3815,QCACTUAL!$J$25:$AA$25,0),),IF(H3815="SPK",VLOOKUP(I3815,QCSPK,3,),IF(AND(H3815="ATP",OR(I3815="TP",I3815="TDP")),VLOOKUP(E3815,QCATP_P,2,),""))))))))</f>
        <v/>
      </c>
      <c r="W3815" s="31" t="str">
        <f t="shared" si="432"/>
        <v>TRUE</v>
      </c>
      <c r="X3815" s="31" t="str">
        <f t="shared" si="429"/>
        <v/>
      </c>
      <c r="Y3815" s="10" t="s">
        <v>1275</v>
      </c>
      <c r="AF3815" s="12">
        <v>44981</v>
      </c>
      <c r="AJ3815" s="10">
        <f>2.8761*8.9^2+145.17*8.9-57.22</f>
        <v>1462.6088809999999</v>
      </c>
      <c r="AK3815" s="10">
        <f>0.3348*8.9^2+180.18*8.9-102.36</f>
        <v>1527.7615080000003</v>
      </c>
      <c r="AL3815" s="10" t="str">
        <f t="shared" si="434"/>
        <v>FALSE</v>
      </c>
      <c r="AM3815" s="10" t="str">
        <f t="shared" si="434"/>
        <v>FALSE</v>
      </c>
      <c r="AN3815" s="10" t="str">
        <f t="shared" si="434"/>
        <v>FALSE</v>
      </c>
      <c r="AO3815" s="10" t="str">
        <f t="shared" si="435"/>
        <v>y=2.8761*8.9^2+145.17*8.9-57.22</v>
      </c>
      <c r="AP3815" s="10" t="str">
        <f t="shared" si="435"/>
        <v>y=0.3348*8.9^2+180.18*8.9-102.36</v>
      </c>
      <c r="AQ3815" s="10" t="b">
        <f>IF(AND(I3815="TP",S3815&lt;=150),VLOOKUP(AF3815,TPCalibEq150!$AZ$2:$BB$55,3,),IF(AND(I3815="TDP",S3815&lt;=150),VLOOKUP(AF3815,TPCalibEq150!$AZ$2:$BB$55,3,)))</f>
        <v>0</v>
      </c>
      <c r="AR3815" s="10" t="b">
        <f>IF(AND(I3815="TP",S3815&lt;=300),VLOOKUP(AF3815,TPCalibEq300!$AZ$2:$BB$55,3,),IF(AND(I3815="TDP",S3815&lt;=300),VLOOKUP(AF3815,TPCalibEq300!$AZ$2:$BB$55,3,)))</f>
        <v>0</v>
      </c>
      <c r="AS3815" s="10" t="b">
        <f>IF(AND(I3815="TP",S3815&lt;=500),VLOOKUP(AF3815,TPCalibEq500!$AZ$2:$BB$56,3,),IF(AND(I3815="TDP",S3815&lt;=500),VLOOKUP(AF3815,TPCalibEq500!$AZ$2:$BB$56,3,)))</f>
        <v>0</v>
      </c>
      <c r="AT3815" s="10" t="str">
        <f>IF(AND(I3815="TN",S3815&lt;=2800),VLOOKUP(AF3815,TNCalibEq2500!$AZ$2:$BB$56,3,),IF(AND(I3815="TDN",S3815&lt;=2800),VLOOKUP(AF3815,TNCalibEq2500!$AZ$2:$BB$56,3,)))</f>
        <v>y=2.8761x2+145.17x-57.22</v>
      </c>
      <c r="AU3815" s="10" t="str">
        <f>IF(I3815="TP",VLOOKUP(AF3815,TPCalibEqFull!$AZ$2:$BB$56,3),IF(I3815="TDP",VLOOKUP(AF3815,TPCalibEqFull!$AZ$2:$BB$56,3),IF(I3815="TDN",VLOOKUP(AF3815,TNCalibEqFull!$AZ$1:$BB$56,3),IF(I3815="TN",VLOOKUP(AF3815,TNCalibEqFull!$AZ$1:$BB$56,3),FALSE))))</f>
        <v>y=0.3348x2+180.18x-102.36</v>
      </c>
      <c r="AV3815" s="10" t="str">
        <f t="shared" si="433"/>
        <v>0221 10:21:00-BUO-0-260-1-SW-UKN</v>
      </c>
    </row>
    <row r="3816" spans="1:48" s="10" customFormat="1" x14ac:dyDescent="0.55000000000000004">
      <c r="A3816" s="32">
        <v>44978</v>
      </c>
      <c r="B3816" s="33">
        <v>0.43472222222222223</v>
      </c>
      <c r="C3816" s="10" t="s">
        <v>611</v>
      </c>
      <c r="D3816" s="10">
        <v>5</v>
      </c>
      <c r="E3816" s="10">
        <v>260</v>
      </c>
      <c r="F3816" s="10">
        <v>1</v>
      </c>
      <c r="G3816" s="10" t="s">
        <v>231</v>
      </c>
      <c r="H3816" s="10" t="s">
        <v>322</v>
      </c>
      <c r="I3816" s="10" t="s">
        <v>235</v>
      </c>
      <c r="J3816" s="10">
        <v>37</v>
      </c>
      <c r="K3816" s="12">
        <v>44981</v>
      </c>
      <c r="L3816" s="33">
        <v>0.53762731481481485</v>
      </c>
      <c r="M3816" s="10">
        <v>1</v>
      </c>
      <c r="N3816" s="10" t="s">
        <v>196</v>
      </c>
      <c r="O3816" s="10">
        <v>7.73</v>
      </c>
      <c r="P3816" s="10">
        <v>0.374</v>
      </c>
      <c r="Q3816" s="10">
        <v>1340</v>
      </c>
      <c r="R3816" s="10" t="s">
        <v>170</v>
      </c>
      <c r="S3816" s="34">
        <f t="shared" si="430"/>
        <v>1340</v>
      </c>
      <c r="T3816" s="10" t="s">
        <v>1282</v>
      </c>
      <c r="U3816" s="34" t="str">
        <f t="shared" si="431"/>
        <v/>
      </c>
      <c r="V3816" s="31" t="str">
        <f>IF(H3816="CHK",VLOOKUP(I3816,QCCHK,3,),IF(H3816="GUP",VLOOKUP(E3816,QCGUP,2,),IF(AND(H3816="ATP",OR(I3816="TN",I3816="TDN",I3816="TNO2-3",I3816="NO2-3")),VLOOKUP(E3816,QCREC_N,2,),IF(AND(H3816="NIC",OR(I3816="TN",I3816="TDN",I3816="TNO2-3",I3816="NO2-3")),VLOOKUP(E3816,QCNIC_N,2,),IF(AND(H3816="UREA",OR(I3816="TN",I3816="TDN",I3816="TNO2-3",I3816="NO2-3")),VLOOKUP(E3816,QCUREA_N,2,),IF(H3816="PER",VLOOKUP(I3816,QCPER,MATCH(E3816,QCACTUAL!$J$25:$AA$25,0),),IF(H3816="SPK",VLOOKUP(I3816,QCSPK,3,),IF(AND(H3816="ATP",OR(I3816="TP",I3816="TDP")),VLOOKUP(E3816,QCATP_P,2,),""))))))))</f>
        <v/>
      </c>
      <c r="W3816" s="31" t="str">
        <f t="shared" si="432"/>
        <v>TRUE</v>
      </c>
      <c r="X3816" s="31" t="str">
        <f t="shared" si="429"/>
        <v/>
      </c>
      <c r="Y3816" s="10" t="s">
        <v>1275</v>
      </c>
      <c r="AF3816" s="12">
        <v>44981</v>
      </c>
      <c r="AJ3816" s="10">
        <f>2.8761*7.73^2+145.17*7.73-57.22</f>
        <v>1236.7994156899999</v>
      </c>
      <c r="AK3816" s="10">
        <f>0.3348*7.73^2+180.18*7.73-102.36</f>
        <v>1310.4366709200001</v>
      </c>
      <c r="AL3816" s="10" t="str">
        <f t="shared" si="434"/>
        <v>FALSE</v>
      </c>
      <c r="AM3816" s="10" t="str">
        <f t="shared" si="434"/>
        <v>FALSE</v>
      </c>
      <c r="AN3816" s="10" t="str">
        <f t="shared" si="434"/>
        <v>FALSE</v>
      </c>
      <c r="AO3816" s="10" t="str">
        <f t="shared" si="435"/>
        <v>y=2.8761*7.73^2+145.17*7.73-57.22</v>
      </c>
      <c r="AP3816" s="10" t="str">
        <f t="shared" si="435"/>
        <v>y=0.3348*7.73^2+180.18*7.73-102.36</v>
      </c>
      <c r="AQ3816" s="10" t="b">
        <f>IF(AND(I3816="TP",S3816&lt;=150),VLOOKUP(AF3816,TPCalibEq150!$AZ$2:$BB$55,3,),IF(AND(I3816="TDP",S3816&lt;=150),VLOOKUP(AF3816,TPCalibEq150!$AZ$2:$BB$55,3,)))</f>
        <v>0</v>
      </c>
      <c r="AR3816" s="10" t="b">
        <f>IF(AND(I3816="TP",S3816&lt;=300),VLOOKUP(AF3816,TPCalibEq300!$AZ$2:$BB$55,3,),IF(AND(I3816="TDP",S3816&lt;=300),VLOOKUP(AF3816,TPCalibEq300!$AZ$2:$BB$55,3,)))</f>
        <v>0</v>
      </c>
      <c r="AS3816" s="10" t="b">
        <f>IF(AND(I3816="TP",S3816&lt;=500),VLOOKUP(AF3816,TPCalibEq500!$AZ$2:$BB$56,3,),IF(AND(I3816="TDP",S3816&lt;=500),VLOOKUP(AF3816,TPCalibEq500!$AZ$2:$BB$56,3,)))</f>
        <v>0</v>
      </c>
      <c r="AT3816" s="10" t="str">
        <f>IF(AND(I3816="TN",S3816&lt;=2800),VLOOKUP(AF3816,TNCalibEq2500!$AZ$2:$BB$56,3,),IF(AND(I3816="TDN",S3816&lt;=2800),VLOOKUP(AF3816,TNCalibEq2500!$AZ$2:$BB$56,3,)))</f>
        <v>y=2.8761x2+145.17x-57.22</v>
      </c>
      <c r="AU3816" s="10" t="str">
        <f>IF(I3816="TP",VLOOKUP(AF3816,TPCalibEqFull!$AZ$2:$BB$56,3),IF(I3816="TDP",VLOOKUP(AF3816,TPCalibEqFull!$AZ$2:$BB$56,3),IF(I3816="TDN",VLOOKUP(AF3816,TNCalibEqFull!$AZ$1:$BB$56,3),IF(I3816="TN",VLOOKUP(AF3816,TNCalibEqFull!$AZ$1:$BB$56,3),FALSE))))</f>
        <v>y=0.3348x2+180.18x-102.36</v>
      </c>
      <c r="AV3816" s="10" t="str">
        <f t="shared" si="433"/>
        <v>0221 10:26:00-BUO-5-260-1-SW-UKN</v>
      </c>
    </row>
    <row r="3817" spans="1:48" s="10" customFormat="1" x14ac:dyDescent="0.55000000000000004">
      <c r="A3817" s="32">
        <v>44978</v>
      </c>
      <c r="B3817" s="33">
        <v>0.4368055555555555</v>
      </c>
      <c r="C3817" s="10" t="s">
        <v>611</v>
      </c>
      <c r="D3817" s="10">
        <v>10</v>
      </c>
      <c r="E3817" s="10">
        <v>230</v>
      </c>
      <c r="F3817" s="10">
        <v>1</v>
      </c>
      <c r="G3817" s="10" t="s">
        <v>231</v>
      </c>
      <c r="H3817" s="10" t="s">
        <v>322</v>
      </c>
      <c r="I3817" s="10" t="s">
        <v>235</v>
      </c>
      <c r="J3817" s="10">
        <v>38</v>
      </c>
      <c r="K3817" s="12">
        <v>44981</v>
      </c>
      <c r="L3817" s="33">
        <v>0.5382986111111111</v>
      </c>
      <c r="M3817" s="10">
        <v>1</v>
      </c>
      <c r="N3817" s="10" t="s">
        <v>196</v>
      </c>
      <c r="O3817" s="10">
        <v>7.72</v>
      </c>
      <c r="P3817" s="10">
        <v>0.374</v>
      </c>
      <c r="Q3817" s="10">
        <v>1340</v>
      </c>
      <c r="R3817" s="10" t="s">
        <v>170</v>
      </c>
      <c r="S3817" s="34">
        <f t="shared" si="430"/>
        <v>1340</v>
      </c>
      <c r="T3817" s="10" t="s">
        <v>1282</v>
      </c>
      <c r="U3817" s="34" t="str">
        <f t="shared" si="431"/>
        <v/>
      </c>
      <c r="V3817" s="31" t="str">
        <f>IF(H3817="CHK",VLOOKUP(I3817,QCCHK,3,),IF(H3817="GUP",VLOOKUP(E3817,QCGUP,2,),IF(AND(H3817="ATP",OR(I3817="TN",I3817="TDN",I3817="TNO2-3",I3817="NO2-3")),VLOOKUP(E3817,QCREC_N,2,),IF(AND(H3817="NIC",OR(I3817="TN",I3817="TDN",I3817="TNO2-3",I3817="NO2-3")),VLOOKUP(E3817,QCNIC_N,2,),IF(AND(H3817="UREA",OR(I3817="TN",I3817="TDN",I3817="TNO2-3",I3817="NO2-3")),VLOOKUP(E3817,QCUREA_N,2,),IF(H3817="PER",VLOOKUP(I3817,QCPER,MATCH(E3817,QCACTUAL!$J$25:$AA$25,0),),IF(H3817="SPK",VLOOKUP(I3817,QCSPK,3,),IF(AND(H3817="ATP",OR(I3817="TP",I3817="TDP")),VLOOKUP(E3817,QCATP_P,2,),""))))))))</f>
        <v/>
      </c>
      <c r="W3817" s="31" t="str">
        <f t="shared" si="432"/>
        <v>TRUE</v>
      </c>
      <c r="X3817" s="31" t="str">
        <f t="shared" si="429"/>
        <v/>
      </c>
      <c r="Y3817" s="10" t="s">
        <v>1275</v>
      </c>
      <c r="AF3817" s="12">
        <v>44981</v>
      </c>
      <c r="AJ3817" s="10">
        <f>2.8761*7.72^2+145.17*7.72-57.22</f>
        <v>1234.90335824</v>
      </c>
      <c r="AK3817" s="10">
        <f>0.3348*7.72^2+180.18*7.72-102.36</f>
        <v>1308.5831443200002</v>
      </c>
      <c r="AL3817" s="10" t="str">
        <f t="shared" si="434"/>
        <v>FALSE</v>
      </c>
      <c r="AM3817" s="10" t="str">
        <f t="shared" si="434"/>
        <v>FALSE</v>
      </c>
      <c r="AN3817" s="10" t="str">
        <f t="shared" si="434"/>
        <v>FALSE</v>
      </c>
      <c r="AO3817" s="10" t="str">
        <f t="shared" si="435"/>
        <v>y=2.8761*7.72^2+145.17*7.72-57.22</v>
      </c>
      <c r="AP3817" s="10" t="str">
        <f t="shared" si="435"/>
        <v>y=0.3348*7.72^2+180.18*7.72-102.36</v>
      </c>
      <c r="AQ3817" s="10" t="b">
        <f>IF(AND(I3817="TP",S3817&lt;=150),VLOOKUP(AF3817,TPCalibEq150!$AZ$2:$BB$55,3,),IF(AND(I3817="TDP",S3817&lt;=150),VLOOKUP(AF3817,TPCalibEq150!$AZ$2:$BB$55,3,)))</f>
        <v>0</v>
      </c>
      <c r="AR3817" s="10" t="b">
        <f>IF(AND(I3817="TP",S3817&lt;=300),VLOOKUP(AF3817,TPCalibEq300!$AZ$2:$BB$55,3,),IF(AND(I3817="TDP",S3817&lt;=300),VLOOKUP(AF3817,TPCalibEq300!$AZ$2:$BB$55,3,)))</f>
        <v>0</v>
      </c>
      <c r="AS3817" s="10" t="b">
        <f>IF(AND(I3817="TP",S3817&lt;=500),VLOOKUP(AF3817,TPCalibEq500!$AZ$2:$BB$56,3,),IF(AND(I3817="TDP",S3817&lt;=500),VLOOKUP(AF3817,TPCalibEq500!$AZ$2:$BB$56,3,)))</f>
        <v>0</v>
      </c>
      <c r="AT3817" s="10" t="str">
        <f>IF(AND(I3817="TN",S3817&lt;=2800),VLOOKUP(AF3817,TNCalibEq2500!$AZ$2:$BB$56,3,),IF(AND(I3817="TDN",S3817&lt;=2800),VLOOKUP(AF3817,TNCalibEq2500!$AZ$2:$BB$56,3,)))</f>
        <v>y=2.8761x2+145.17x-57.22</v>
      </c>
      <c r="AU3817" s="10" t="str">
        <f>IF(I3817="TP",VLOOKUP(AF3817,TPCalibEqFull!$AZ$2:$BB$56,3),IF(I3817="TDP",VLOOKUP(AF3817,TPCalibEqFull!$AZ$2:$BB$56,3),IF(I3817="TDN",VLOOKUP(AF3817,TNCalibEqFull!$AZ$1:$BB$56,3),IF(I3817="TN",VLOOKUP(AF3817,TNCalibEqFull!$AZ$1:$BB$56,3),FALSE))))</f>
        <v>y=0.3348x2+180.18x-102.36</v>
      </c>
      <c r="AV3817" s="10" t="str">
        <f t="shared" si="433"/>
        <v>0221 10:29:00-BUO-10-230-1-SW-UKN</v>
      </c>
    </row>
    <row r="3818" spans="1:48" s="10" customFormat="1" x14ac:dyDescent="0.55000000000000004">
      <c r="A3818" s="32">
        <v>44978</v>
      </c>
      <c r="B3818" s="33">
        <v>0.43958333333333338</v>
      </c>
      <c r="C3818" s="10" t="s">
        <v>611</v>
      </c>
      <c r="D3818" s="10">
        <v>20</v>
      </c>
      <c r="E3818" s="10" t="s">
        <v>190</v>
      </c>
      <c r="F3818" s="10">
        <v>1</v>
      </c>
      <c r="G3818" s="10" t="s">
        <v>231</v>
      </c>
      <c r="H3818" s="10" t="s">
        <v>322</v>
      </c>
      <c r="I3818" s="10" t="s">
        <v>235</v>
      </c>
      <c r="J3818" s="10">
        <v>39</v>
      </c>
      <c r="K3818" s="12">
        <v>44981</v>
      </c>
      <c r="L3818" s="33">
        <v>0.53895833333333332</v>
      </c>
      <c r="M3818" s="10">
        <v>1</v>
      </c>
      <c r="N3818" s="10" t="s">
        <v>196</v>
      </c>
      <c r="O3818" s="10">
        <v>7.81</v>
      </c>
      <c r="P3818" s="10">
        <v>0.378</v>
      </c>
      <c r="Q3818" s="10">
        <v>1350</v>
      </c>
      <c r="R3818" s="10" t="s">
        <v>170</v>
      </c>
      <c r="S3818" s="34">
        <f t="shared" si="430"/>
        <v>1350</v>
      </c>
      <c r="T3818" s="10" t="s">
        <v>1282</v>
      </c>
      <c r="U3818" s="34" t="str">
        <f t="shared" si="431"/>
        <v/>
      </c>
      <c r="V3818" s="31" t="str">
        <f>IF(H3818="CHK",VLOOKUP(I3818,QCCHK,3,),IF(H3818="GUP",VLOOKUP(E3818,QCGUP,2,),IF(AND(H3818="ATP",OR(I3818="TN",I3818="TDN",I3818="TNO2-3",I3818="NO2-3")),VLOOKUP(E3818,QCREC_N,2,),IF(AND(H3818="NIC",OR(I3818="TN",I3818="TDN",I3818="TNO2-3",I3818="NO2-3")),VLOOKUP(E3818,QCNIC_N,2,),IF(AND(H3818="UREA",OR(I3818="TN",I3818="TDN",I3818="TNO2-3",I3818="NO2-3")),VLOOKUP(E3818,QCUREA_N,2,),IF(H3818="PER",VLOOKUP(I3818,QCPER,MATCH(E3818,QCACTUAL!$J$25:$AA$25,0),),IF(H3818="SPK",VLOOKUP(I3818,QCSPK,3,),IF(AND(H3818="ATP",OR(I3818="TP",I3818="TDP")),VLOOKUP(E3818,QCATP_P,2,),""))))))))</f>
        <v/>
      </c>
      <c r="W3818" s="31" t="str">
        <f t="shared" si="432"/>
        <v>TRUE</v>
      </c>
      <c r="X3818" s="31" t="str">
        <f t="shared" si="429"/>
        <v/>
      </c>
      <c r="Y3818" s="10" t="s">
        <v>1275</v>
      </c>
      <c r="AF3818" s="12">
        <v>44981</v>
      </c>
      <c r="AJ3818" s="10">
        <f>2.8761*7.81^2+145.17*7.81-57.22</f>
        <v>1251.9885832099999</v>
      </c>
      <c r="AK3818" s="10">
        <f>0.3348*7.81^2+180.18*7.81-102.36</f>
        <v>1325.26729428</v>
      </c>
      <c r="AL3818" s="10" t="str">
        <f t="shared" si="434"/>
        <v>FALSE</v>
      </c>
      <c r="AM3818" s="10" t="str">
        <f t="shared" si="434"/>
        <v>FALSE</v>
      </c>
      <c r="AN3818" s="10" t="str">
        <f t="shared" si="434"/>
        <v>FALSE</v>
      </c>
      <c r="AO3818" s="10" t="str">
        <f t="shared" si="435"/>
        <v>y=2.8761*7.81^2+145.17*7.81-57.22</v>
      </c>
      <c r="AP3818" s="10" t="str">
        <f t="shared" si="435"/>
        <v>y=0.3348*7.81^2+180.18*7.81-102.36</v>
      </c>
      <c r="AQ3818" s="10" t="b">
        <f>IF(AND(I3818="TP",S3818&lt;=150),VLOOKUP(AF3818,TPCalibEq150!$AZ$2:$BB$55,3,),IF(AND(I3818="TDP",S3818&lt;=150),VLOOKUP(AF3818,TPCalibEq150!$AZ$2:$BB$55,3,)))</f>
        <v>0</v>
      </c>
      <c r="AR3818" s="10" t="b">
        <f>IF(AND(I3818="TP",S3818&lt;=300),VLOOKUP(AF3818,TPCalibEq300!$AZ$2:$BB$55,3,),IF(AND(I3818="TDP",S3818&lt;=300),VLOOKUP(AF3818,TPCalibEq300!$AZ$2:$BB$55,3,)))</f>
        <v>0</v>
      </c>
      <c r="AS3818" s="10" t="b">
        <f>IF(AND(I3818="TP",S3818&lt;=500),VLOOKUP(AF3818,TPCalibEq500!$AZ$2:$BB$56,3,),IF(AND(I3818="TDP",S3818&lt;=500),VLOOKUP(AF3818,TPCalibEq500!$AZ$2:$BB$56,3,)))</f>
        <v>0</v>
      </c>
      <c r="AT3818" s="10" t="str">
        <f>IF(AND(I3818="TN",S3818&lt;=2800),VLOOKUP(AF3818,TNCalibEq2500!$AZ$2:$BB$56,3,),IF(AND(I3818="TDN",S3818&lt;=2800),VLOOKUP(AF3818,TNCalibEq2500!$AZ$2:$BB$56,3,)))</f>
        <v>y=2.8761x2+145.17x-57.22</v>
      </c>
      <c r="AU3818" s="10" t="str">
        <f>IF(I3818="TP",VLOOKUP(AF3818,TPCalibEqFull!$AZ$2:$BB$56,3),IF(I3818="TDP",VLOOKUP(AF3818,TPCalibEqFull!$AZ$2:$BB$56,3),IF(I3818="TDN",VLOOKUP(AF3818,TNCalibEqFull!$AZ$1:$BB$56,3),IF(I3818="TN",VLOOKUP(AF3818,TNCalibEqFull!$AZ$1:$BB$56,3),FALSE))))</f>
        <v>y=0.3348x2+180.18x-102.36</v>
      </c>
      <c r="AV3818" s="10" t="str">
        <f t="shared" si="433"/>
        <v>0221 10:33:00-BUO-20-C-1-SW-UKN</v>
      </c>
    </row>
    <row r="3819" spans="1:48" s="10" customFormat="1" x14ac:dyDescent="0.55000000000000004">
      <c r="A3819" s="32">
        <v>44978</v>
      </c>
      <c r="B3819" s="33">
        <v>0.44375000000000003</v>
      </c>
      <c r="C3819" s="10" t="s">
        <v>611</v>
      </c>
      <c r="D3819" s="10">
        <v>48</v>
      </c>
      <c r="E3819" s="10" t="s">
        <v>190</v>
      </c>
      <c r="F3819" s="10">
        <v>1</v>
      </c>
      <c r="G3819" s="10" t="s">
        <v>231</v>
      </c>
      <c r="H3819" s="10" t="s">
        <v>322</v>
      </c>
      <c r="I3819" s="10" t="s">
        <v>235</v>
      </c>
      <c r="J3819" s="10">
        <v>40</v>
      </c>
      <c r="K3819" s="12">
        <v>44981</v>
      </c>
      <c r="L3819" s="33">
        <v>0.53961805555555553</v>
      </c>
      <c r="M3819" s="10">
        <v>1</v>
      </c>
      <c r="N3819" s="10" t="s">
        <v>196</v>
      </c>
      <c r="O3819" s="10">
        <v>7.74</v>
      </c>
      <c r="P3819" s="10">
        <v>0.375</v>
      </c>
      <c r="Q3819" s="10">
        <v>1340</v>
      </c>
      <c r="R3819" s="10" t="s">
        <v>170</v>
      </c>
      <c r="S3819" s="34">
        <f t="shared" si="430"/>
        <v>1340</v>
      </c>
      <c r="T3819" s="10" t="s">
        <v>1282</v>
      </c>
      <c r="U3819" s="34" t="str">
        <f t="shared" si="431"/>
        <v/>
      </c>
      <c r="V3819" s="31" t="str">
        <f>IF(H3819="CHK",VLOOKUP(I3819,QCCHK,3,),IF(H3819="GUP",VLOOKUP(E3819,QCGUP,2,),IF(AND(H3819="ATP",OR(I3819="TN",I3819="TDN",I3819="TNO2-3",I3819="NO2-3")),VLOOKUP(E3819,QCREC_N,2,),IF(AND(H3819="NIC",OR(I3819="TN",I3819="TDN",I3819="TNO2-3",I3819="NO2-3")),VLOOKUP(E3819,QCNIC_N,2,),IF(AND(H3819="UREA",OR(I3819="TN",I3819="TDN",I3819="TNO2-3",I3819="NO2-3")),VLOOKUP(E3819,QCUREA_N,2,),IF(H3819="PER",VLOOKUP(I3819,QCPER,MATCH(E3819,QCACTUAL!$J$25:$AA$25,0),),IF(H3819="SPK",VLOOKUP(I3819,QCSPK,3,),IF(AND(H3819="ATP",OR(I3819="TP",I3819="TDP")),VLOOKUP(E3819,QCATP_P,2,),""))))))))</f>
        <v/>
      </c>
      <c r="W3819" s="31" t="str">
        <f t="shared" si="432"/>
        <v>TRUE</v>
      </c>
      <c r="X3819" s="31" t="str">
        <f t="shared" si="429"/>
        <v/>
      </c>
      <c r="Y3819" s="10" t="s">
        <v>1275</v>
      </c>
      <c r="AF3819" s="12">
        <v>44981</v>
      </c>
      <c r="AJ3819" s="10">
        <f>2.8761*7.74^2+145.17*7.74-57.22</f>
        <v>1238.6960483600001</v>
      </c>
      <c r="AK3819" s="10">
        <f>0.3348*7.74^2+180.18*7.74-102.36</f>
        <v>1312.2902644800001</v>
      </c>
      <c r="AL3819" s="10" t="str">
        <f t="shared" si="434"/>
        <v>FALSE</v>
      </c>
      <c r="AM3819" s="10" t="str">
        <f t="shared" si="434"/>
        <v>FALSE</v>
      </c>
      <c r="AN3819" s="10" t="str">
        <f t="shared" si="434"/>
        <v>FALSE</v>
      </c>
      <c r="AO3819" s="10" t="str">
        <f t="shared" si="435"/>
        <v>y=2.8761*7.74^2+145.17*7.74-57.22</v>
      </c>
      <c r="AP3819" s="10" t="str">
        <f t="shared" si="435"/>
        <v>y=0.3348*7.74^2+180.18*7.74-102.36</v>
      </c>
      <c r="AQ3819" s="10" t="b">
        <f>IF(AND(I3819="TP",S3819&lt;=150),VLOOKUP(AF3819,TPCalibEq150!$AZ$2:$BB$55,3,),IF(AND(I3819="TDP",S3819&lt;=150),VLOOKUP(AF3819,TPCalibEq150!$AZ$2:$BB$55,3,)))</f>
        <v>0</v>
      </c>
      <c r="AR3819" s="10" t="b">
        <f>IF(AND(I3819="TP",S3819&lt;=300),VLOOKUP(AF3819,TPCalibEq300!$AZ$2:$BB$55,3,),IF(AND(I3819="TDP",S3819&lt;=300),VLOOKUP(AF3819,TPCalibEq300!$AZ$2:$BB$55,3,)))</f>
        <v>0</v>
      </c>
      <c r="AS3819" s="10" t="b">
        <f>IF(AND(I3819="TP",S3819&lt;=500),VLOOKUP(AF3819,TPCalibEq500!$AZ$2:$BB$56,3,),IF(AND(I3819="TDP",S3819&lt;=500),VLOOKUP(AF3819,TPCalibEq500!$AZ$2:$BB$56,3,)))</f>
        <v>0</v>
      </c>
      <c r="AT3819" s="10" t="str">
        <f>IF(AND(I3819="TN",S3819&lt;=2800),VLOOKUP(AF3819,TNCalibEq2500!$AZ$2:$BB$56,3,),IF(AND(I3819="TDN",S3819&lt;=2800),VLOOKUP(AF3819,TNCalibEq2500!$AZ$2:$BB$56,3,)))</f>
        <v>y=2.8761x2+145.17x-57.22</v>
      </c>
      <c r="AU3819" s="10" t="str">
        <f>IF(I3819="TP",VLOOKUP(AF3819,TPCalibEqFull!$AZ$2:$BB$56,3),IF(I3819="TDP",VLOOKUP(AF3819,TPCalibEqFull!$AZ$2:$BB$56,3),IF(I3819="TDN",VLOOKUP(AF3819,TNCalibEqFull!$AZ$1:$BB$56,3),IF(I3819="TN",VLOOKUP(AF3819,TNCalibEqFull!$AZ$1:$BB$56,3),FALSE))))</f>
        <v>y=0.3348x2+180.18x-102.36</v>
      </c>
      <c r="AV3819" s="10" t="str">
        <f t="shared" si="433"/>
        <v>0221 10:39:00-BUO-48-C-1-SW-UKN</v>
      </c>
    </row>
    <row r="3820" spans="1:48" s="10" customFormat="1" x14ac:dyDescent="0.55000000000000004">
      <c r="A3820" s="32">
        <v>44978</v>
      </c>
      <c r="B3820" s="33">
        <v>0.44375000000000003</v>
      </c>
      <c r="C3820" s="10" t="s">
        <v>611</v>
      </c>
      <c r="D3820" s="10">
        <v>48</v>
      </c>
      <c r="E3820" s="10" t="s">
        <v>190</v>
      </c>
      <c r="F3820" s="10">
        <v>1</v>
      </c>
      <c r="G3820" s="10" t="s">
        <v>231</v>
      </c>
      <c r="H3820" s="10" t="s">
        <v>233</v>
      </c>
      <c r="I3820" s="10" t="s">
        <v>235</v>
      </c>
      <c r="J3820" s="10">
        <v>40</v>
      </c>
      <c r="K3820" s="12">
        <v>44981</v>
      </c>
      <c r="L3820" s="33">
        <v>0.54028935185185178</v>
      </c>
      <c r="M3820" s="10">
        <v>1</v>
      </c>
      <c r="N3820" s="10" t="s">
        <v>196</v>
      </c>
      <c r="O3820" s="10">
        <v>7.71</v>
      </c>
      <c r="P3820" s="10">
        <v>0.375</v>
      </c>
      <c r="Q3820" s="10">
        <v>1330</v>
      </c>
      <c r="R3820" s="10" t="s">
        <v>170</v>
      </c>
      <c r="S3820" s="34">
        <f t="shared" si="430"/>
        <v>1330</v>
      </c>
      <c r="T3820" s="10" t="s">
        <v>1282</v>
      </c>
      <c r="U3820" s="34">
        <f t="shared" si="431"/>
        <v>0.74906367041198507</v>
      </c>
      <c r="V3820" s="31" t="str">
        <f>IF(H3820="CHK",VLOOKUP(I3820,QCCHK,3,),IF(H3820="GUP",VLOOKUP(E3820,QCGUP,2,),IF(AND(H3820="ATP",OR(I3820="TN",I3820="TDN",I3820="TNO2-3",I3820="NO2-3")),VLOOKUP(E3820,QCREC_N,2,),IF(AND(H3820="NIC",OR(I3820="TN",I3820="TDN",I3820="TNO2-3",I3820="NO2-3")),VLOOKUP(E3820,QCNIC_N,2,),IF(AND(H3820="UREA",OR(I3820="TN",I3820="TDN",I3820="TNO2-3",I3820="NO2-3")),VLOOKUP(E3820,QCUREA_N,2,),IF(H3820="PER",VLOOKUP(I3820,QCPER,MATCH(E3820,QCACTUAL!$J$25:$AA$25,0),),IF(H3820="SPK",VLOOKUP(I3820,QCSPK,3,),IF(AND(H3820="ATP",OR(I3820="TP",I3820="TDP")),VLOOKUP(E3820,QCATP_P,2,),""))))))))</f>
        <v/>
      </c>
      <c r="W3820" s="31" t="str">
        <f t="shared" si="432"/>
        <v>TRUE</v>
      </c>
      <c r="X3820" s="31" t="str">
        <f t="shared" si="429"/>
        <v>((ABS(rep1-rep2))/((rep1+rep2)/2)*100</v>
      </c>
      <c r="Y3820" s="10" t="s">
        <v>1275</v>
      </c>
      <c r="AF3820" s="12">
        <v>44981</v>
      </c>
      <c r="AJ3820" s="10">
        <f>2.8761*7.71^2+145.17*7.71-57.22</f>
        <v>1233.0078760099998</v>
      </c>
      <c r="AK3820" s="10">
        <f>0.3348*7.71^2+180.18*7.71-102.36</f>
        <v>1306.7296846800002</v>
      </c>
      <c r="AL3820" s="10" t="str">
        <f t="shared" si="434"/>
        <v>FALSE</v>
      </c>
      <c r="AM3820" s="10" t="str">
        <f t="shared" si="434"/>
        <v>FALSE</v>
      </c>
      <c r="AN3820" s="10" t="str">
        <f t="shared" si="434"/>
        <v>FALSE</v>
      </c>
      <c r="AO3820" s="10" t="str">
        <f t="shared" si="435"/>
        <v>y=2.8761*7.71^2+145.17*7.71-57.22</v>
      </c>
      <c r="AP3820" s="10" t="str">
        <f t="shared" si="435"/>
        <v>y=0.3348*7.71^2+180.18*7.71-102.36</v>
      </c>
      <c r="AQ3820" s="10" t="b">
        <f>IF(AND(I3820="TP",S3820&lt;=150),VLOOKUP(AF3820,TPCalibEq150!$AZ$2:$BB$55,3,),IF(AND(I3820="TDP",S3820&lt;=150),VLOOKUP(AF3820,TPCalibEq150!$AZ$2:$BB$55,3,)))</f>
        <v>0</v>
      </c>
      <c r="AR3820" s="10" t="b">
        <f>IF(AND(I3820="TP",S3820&lt;=300),VLOOKUP(AF3820,TPCalibEq300!$AZ$2:$BB$55,3,),IF(AND(I3820="TDP",S3820&lt;=300),VLOOKUP(AF3820,TPCalibEq300!$AZ$2:$BB$55,3,)))</f>
        <v>0</v>
      </c>
      <c r="AS3820" s="10" t="b">
        <f>IF(AND(I3820="TP",S3820&lt;=500),VLOOKUP(AF3820,TPCalibEq500!$AZ$2:$BB$56,3,),IF(AND(I3820="TDP",S3820&lt;=500),VLOOKUP(AF3820,TPCalibEq500!$AZ$2:$BB$56,3,)))</f>
        <v>0</v>
      </c>
      <c r="AT3820" s="10" t="str">
        <f>IF(AND(I3820="TN",S3820&lt;=2800),VLOOKUP(AF3820,TNCalibEq2500!$AZ$2:$BB$56,3,),IF(AND(I3820="TDN",S3820&lt;=2800),VLOOKUP(AF3820,TNCalibEq2500!$AZ$2:$BB$56,3,)))</f>
        <v>y=2.8761x2+145.17x-57.22</v>
      </c>
      <c r="AU3820" s="10" t="str">
        <f>IF(I3820="TP",VLOOKUP(AF3820,TPCalibEqFull!$AZ$2:$BB$56,3),IF(I3820="TDP",VLOOKUP(AF3820,TPCalibEqFull!$AZ$2:$BB$56,3),IF(I3820="TDN",VLOOKUP(AF3820,TNCalibEqFull!$AZ$1:$BB$56,3),IF(I3820="TN",VLOOKUP(AF3820,TNCalibEqFull!$AZ$1:$BB$56,3),FALSE))))</f>
        <v>y=0.3348x2+180.18x-102.36</v>
      </c>
      <c r="AV3820" s="10" t="str">
        <f t="shared" si="433"/>
        <v>0221 10:39:00-BUO-48-C-1-SW-DUP</v>
      </c>
    </row>
    <row r="3821" spans="1:48" s="10" customFormat="1" x14ac:dyDescent="0.55000000000000004">
      <c r="A3821" s="32">
        <v>44978</v>
      </c>
      <c r="B3821" s="33">
        <v>0.44375000000000003</v>
      </c>
      <c r="C3821" s="10" t="s">
        <v>611</v>
      </c>
      <c r="D3821" s="10">
        <v>48</v>
      </c>
      <c r="E3821" s="10" t="s">
        <v>190</v>
      </c>
      <c r="F3821" s="10">
        <v>1</v>
      </c>
      <c r="G3821" s="10" t="s">
        <v>231</v>
      </c>
      <c r="H3821" s="10" t="s">
        <v>314</v>
      </c>
      <c r="I3821" s="10" t="s">
        <v>235</v>
      </c>
      <c r="J3821" s="10">
        <v>85</v>
      </c>
      <c r="K3821" s="12">
        <v>44981</v>
      </c>
      <c r="L3821" s="33">
        <v>0.54094907407407411</v>
      </c>
      <c r="M3821" s="10">
        <v>1</v>
      </c>
      <c r="N3821" s="10" t="s">
        <v>196</v>
      </c>
      <c r="O3821" s="10">
        <v>21.7</v>
      </c>
      <c r="P3821" s="10">
        <v>1.04</v>
      </c>
      <c r="Q3821" s="10">
        <v>3980</v>
      </c>
      <c r="R3821" s="10" t="s">
        <v>170</v>
      </c>
      <c r="S3821" s="34">
        <f t="shared" si="430"/>
        <v>3980</v>
      </c>
      <c r="T3821" s="10" t="s">
        <v>1282</v>
      </c>
      <c r="U3821" s="34">
        <f t="shared" si="431"/>
        <v>106</v>
      </c>
      <c r="V3821" s="31">
        <f>IF(H3821="CHK",VLOOKUP(I3821,QCCHK,3,),IF(H3821="GUP",VLOOKUP(E3821,QCGUP,2,),IF(AND(H3821="ATP",OR(I3821="TN",I3821="TDN",I3821="TNO2-3",I3821="NO2-3")),VLOOKUP(E3821,QCREC_N,2,),IF(AND(H3821="NIC",OR(I3821="TN",I3821="TDN",I3821="TNO2-3",I3821="NO2-3")),VLOOKUP(E3821,QCNIC_N,2,),IF(AND(H3821="UREA",OR(I3821="TN",I3821="TDN",I3821="TNO2-3",I3821="NO2-3")),VLOOKUP(E3821,QCUREA_N,2,),IF(H3821="PER",VLOOKUP(I3821,QCPER,MATCH(E3821,QCACTUAL!$J$25:$AA$25,0),),IF(H3821="SPK",VLOOKUP(I3821,QCSPK,3,),IF(AND(H3821="ATP",OR(I3821="TP",I3821="TDP")),VLOOKUP(E3821,QCATP_P,2,),""))))))))</f>
        <v>2500</v>
      </c>
      <c r="W3821" s="31" t="str">
        <f t="shared" si="432"/>
        <v>TRUE</v>
      </c>
      <c r="X3821" s="31" t="str">
        <f t="shared" si="429"/>
        <v>([spikedunkn]-[unkn])/[spike]*100</v>
      </c>
      <c r="Y3821" s="10" t="s">
        <v>1275</v>
      </c>
      <c r="AF3821" s="12">
        <v>44981</v>
      </c>
      <c r="AK3821" s="10">
        <f>0.3348*21.7^2+180.18*21.7-102.36</f>
        <v>3965.1999719999999</v>
      </c>
      <c r="AL3821" s="10" t="str">
        <f t="shared" si="434"/>
        <v>FALSE</v>
      </c>
      <c r="AM3821" s="10" t="str">
        <f t="shared" si="434"/>
        <v>FALSE</v>
      </c>
      <c r="AN3821" s="10" t="str">
        <f t="shared" si="434"/>
        <v>FALSE</v>
      </c>
      <c r="AO3821" s="10" t="str">
        <f t="shared" si="435"/>
        <v>FALSE</v>
      </c>
      <c r="AP3821" s="10" t="str">
        <f t="shared" si="435"/>
        <v>y=0.3348*21.7^2+180.18*21.7-102.36</v>
      </c>
      <c r="AQ3821" s="10" t="b">
        <f>IF(AND(I3821="TP",S3821&lt;=150),VLOOKUP(AF3821,TPCalibEq150!$AZ$2:$BB$55,3,),IF(AND(I3821="TDP",S3821&lt;=150),VLOOKUP(AF3821,TPCalibEq150!$AZ$2:$BB$55,3,)))</f>
        <v>0</v>
      </c>
      <c r="AR3821" s="10" t="b">
        <f>IF(AND(I3821="TP",S3821&lt;=300),VLOOKUP(AF3821,TPCalibEq300!$AZ$2:$BB$55,3,),IF(AND(I3821="TDP",S3821&lt;=300),VLOOKUP(AF3821,TPCalibEq300!$AZ$2:$BB$55,3,)))</f>
        <v>0</v>
      </c>
      <c r="AS3821" s="10" t="b">
        <f>IF(AND(I3821="TP",S3821&lt;=500),VLOOKUP(AF3821,TPCalibEq500!$AZ$2:$BB$56,3,),IF(AND(I3821="TDP",S3821&lt;=500),VLOOKUP(AF3821,TPCalibEq500!$AZ$2:$BB$56,3,)))</f>
        <v>0</v>
      </c>
      <c r="AT3821" s="10" t="b">
        <f>IF(AND(I3821="TN",S3821&lt;=2800),VLOOKUP(AF3821,TNCalibEq2500!$AZ$2:$BB$56,3,),IF(AND(I3821="TDN",S3821&lt;=2800),VLOOKUP(AF3821,TNCalibEq2500!$AZ$2:$BB$56,3,)))</f>
        <v>0</v>
      </c>
      <c r="AU3821" s="10" t="str">
        <f>IF(I3821="TP",VLOOKUP(AF3821,TPCalibEqFull!$AZ$2:$BB$56,3),IF(I3821="TDP",VLOOKUP(AF3821,TPCalibEqFull!$AZ$2:$BB$56,3),IF(I3821="TDN",VLOOKUP(AF3821,TNCalibEqFull!$AZ$1:$BB$56,3),IF(I3821="TN",VLOOKUP(AF3821,TNCalibEqFull!$AZ$1:$BB$56,3),FALSE))))</f>
        <v>y=0.3348x2+180.18x-102.36</v>
      </c>
      <c r="AV3821" s="10" t="str">
        <f t="shared" si="433"/>
        <v>0221 10:39:00-BUO-48-C-1-SW-SPK</v>
      </c>
    </row>
    <row r="3822" spans="1:48" s="10" customFormat="1" x14ac:dyDescent="0.55000000000000004">
      <c r="A3822" s="32">
        <v>44979</v>
      </c>
      <c r="B3822" s="33">
        <v>0.375</v>
      </c>
      <c r="C3822" s="10" t="s">
        <v>70</v>
      </c>
      <c r="D3822" s="10" t="s">
        <v>71</v>
      </c>
      <c r="E3822" s="10" t="s">
        <v>901</v>
      </c>
      <c r="F3822" s="10">
        <v>1</v>
      </c>
      <c r="G3822" s="10" t="s">
        <v>73</v>
      </c>
      <c r="H3822" s="10" t="s">
        <v>207</v>
      </c>
      <c r="I3822" s="10" t="s">
        <v>235</v>
      </c>
      <c r="J3822" s="10">
        <v>201</v>
      </c>
      <c r="K3822" s="12">
        <v>44981</v>
      </c>
      <c r="L3822" s="33">
        <v>0.54162037037037036</v>
      </c>
      <c r="M3822" s="10">
        <v>1</v>
      </c>
      <c r="N3822" s="10" t="s">
        <v>196</v>
      </c>
      <c r="O3822" s="10">
        <v>6.9</v>
      </c>
      <c r="P3822" s="10">
        <v>0.33700000000000002</v>
      </c>
      <c r="Q3822" s="10">
        <v>1180</v>
      </c>
      <c r="R3822" s="10" t="s">
        <v>170</v>
      </c>
      <c r="S3822" s="34">
        <f t="shared" si="430"/>
        <v>1180</v>
      </c>
      <c r="T3822" s="10" t="s">
        <v>1282</v>
      </c>
      <c r="U3822" s="34">
        <f t="shared" si="431"/>
        <v>94.399999999999991</v>
      </c>
      <c r="V3822" s="31">
        <f>IF(H3822="CHK",VLOOKUP(I3822,QCCHK,3,),IF(H3822="GUP",VLOOKUP(E3822,QCGUP,2,),IF(AND(H3822="ATP",OR(I3822="TN",I3822="TDN",I3822="TNO2-3",I3822="NO2-3")),VLOOKUP(E3822,QCREC_N,2,),IF(AND(H3822="NIC",OR(I3822="TN",I3822="TDN",I3822="TNO2-3",I3822="NO2-3")),VLOOKUP(E3822,QCNIC_N,2,),IF(AND(H3822="UREA",OR(I3822="TN",I3822="TDN",I3822="TNO2-3",I3822="NO2-3")),VLOOKUP(E3822,QCUREA_N,2,),IF(H3822="PER",VLOOKUP(I3822,QCPER,MATCH(E3822,QCACTUAL!$J$25:$AA$25,0),),IF(H3822="SPK",VLOOKUP(I3822,QCSPK,3,),IF(AND(H3822="ATP",OR(I3822="TP",I3822="TDP")),VLOOKUP(E3822,QCATP_P,2,),""))))))))</f>
        <v>1250</v>
      </c>
      <c r="W3822" s="31" t="str">
        <f t="shared" si="432"/>
        <v>TRUE</v>
      </c>
      <c r="X3822" s="31" t="str">
        <f t="shared" si="429"/>
        <v>[chk]/[actual]*100</v>
      </c>
      <c r="Y3822" s="10" t="s">
        <v>1275</v>
      </c>
      <c r="AF3822" s="12">
        <v>44981</v>
      </c>
      <c r="AJ3822" s="10">
        <f>2.8761*6.9^2+145.17*6.9-57.22</f>
        <v>1081.3841210000001</v>
      </c>
      <c r="AK3822" s="10">
        <f>0.3348*6.9^2+180.18*6.9-102.36</f>
        <v>1156.8218280000003</v>
      </c>
      <c r="AL3822" s="10" t="str">
        <f t="shared" si="434"/>
        <v>FALSE</v>
      </c>
      <c r="AM3822" s="10" t="str">
        <f t="shared" si="434"/>
        <v>FALSE</v>
      </c>
      <c r="AN3822" s="10" t="str">
        <f t="shared" si="434"/>
        <v>FALSE</v>
      </c>
      <c r="AO3822" s="10" t="str">
        <f t="shared" si="435"/>
        <v>y=2.8761*6.9^2+145.17*6.9-57.22</v>
      </c>
      <c r="AP3822" s="10" t="str">
        <f t="shared" si="435"/>
        <v>y=0.3348*6.9^2+180.18*6.9-102.36</v>
      </c>
      <c r="AQ3822" s="10" t="b">
        <f>IF(AND(I3822="TP",S3822&lt;=150),VLOOKUP(AF3822,TPCalibEq150!$AZ$2:$BB$55,3,),IF(AND(I3822="TDP",S3822&lt;=150),VLOOKUP(AF3822,TPCalibEq150!$AZ$2:$BB$55,3,)))</f>
        <v>0</v>
      </c>
      <c r="AR3822" s="10" t="b">
        <f>IF(AND(I3822="TP",S3822&lt;=300),VLOOKUP(AF3822,TPCalibEq300!$AZ$2:$BB$55,3,),IF(AND(I3822="TDP",S3822&lt;=300),VLOOKUP(AF3822,TPCalibEq300!$AZ$2:$BB$55,3,)))</f>
        <v>0</v>
      </c>
      <c r="AS3822" s="10" t="b">
        <f>IF(AND(I3822="TP",S3822&lt;=500),VLOOKUP(AF3822,TPCalibEq500!$AZ$2:$BB$56,3,),IF(AND(I3822="TDP",S3822&lt;=500),VLOOKUP(AF3822,TPCalibEq500!$AZ$2:$BB$56,3,)))</f>
        <v>0</v>
      </c>
      <c r="AT3822" s="10" t="str">
        <f>IF(AND(I3822="TN",S3822&lt;=2800),VLOOKUP(AF3822,TNCalibEq2500!$AZ$2:$BB$56,3,),IF(AND(I3822="TDN",S3822&lt;=2800),VLOOKUP(AF3822,TNCalibEq2500!$AZ$2:$BB$56,3,)))</f>
        <v>y=2.8761x2+145.17x-57.22</v>
      </c>
      <c r="AU3822" s="10" t="str">
        <f>IF(I3822="TP",VLOOKUP(AF3822,TPCalibEqFull!$AZ$2:$BB$56,3),IF(I3822="TDP",VLOOKUP(AF3822,TPCalibEqFull!$AZ$2:$BB$56,3),IF(I3822="TDN",VLOOKUP(AF3822,TNCalibEqFull!$AZ$1:$BB$56,3),IF(I3822="TN",VLOOKUP(AF3822,TNCalibEqFull!$AZ$1:$BB$56,3),FALSE))))</f>
        <v>y=0.3348x2+180.18x-102.36</v>
      </c>
      <c r="AV3822" s="10" t="str">
        <f t="shared" si="433"/>
        <v>0222 09:00:00-QAC-STD-D-1-DI-CHK</v>
      </c>
    </row>
    <row r="3823" spans="1:48" s="10" customFormat="1" x14ac:dyDescent="0.55000000000000004">
      <c r="A3823" s="32">
        <v>44972</v>
      </c>
      <c r="B3823" s="33">
        <v>0.22430555555555556</v>
      </c>
      <c r="C3823" s="10" t="s">
        <v>279</v>
      </c>
      <c r="D3823" s="10">
        <v>0</v>
      </c>
      <c r="E3823" s="10" t="s">
        <v>911</v>
      </c>
      <c r="F3823" s="10">
        <v>1</v>
      </c>
      <c r="G3823" s="10" t="s">
        <v>231</v>
      </c>
      <c r="H3823" s="10" t="s">
        <v>322</v>
      </c>
      <c r="I3823" s="10" t="s">
        <v>224</v>
      </c>
      <c r="J3823" s="10">
        <v>41</v>
      </c>
      <c r="K3823" s="12">
        <v>44981</v>
      </c>
      <c r="L3823" s="33">
        <v>0.54228009259259258</v>
      </c>
      <c r="M3823" s="10">
        <v>1</v>
      </c>
      <c r="N3823" s="10" t="s">
        <v>196</v>
      </c>
      <c r="O3823" s="10">
        <v>7.53</v>
      </c>
      <c r="P3823" s="10">
        <v>0.378</v>
      </c>
      <c r="Q3823" s="10">
        <v>1300</v>
      </c>
      <c r="R3823" s="10" t="s">
        <v>170</v>
      </c>
      <c r="S3823" s="34">
        <f t="shared" si="430"/>
        <v>1300</v>
      </c>
      <c r="T3823" s="10" t="s">
        <v>1282</v>
      </c>
      <c r="U3823" s="34" t="str">
        <f t="shared" si="431"/>
        <v/>
      </c>
      <c r="V3823" s="31" t="str">
        <f>IF(H3823="CHK",VLOOKUP(I3823,QCCHK,3,),IF(H3823="GUP",VLOOKUP(E3823,QCGUP,2,),IF(AND(H3823="ATP",OR(I3823="TN",I3823="TDN",I3823="TNO2-3",I3823="NO2-3")),VLOOKUP(E3823,QCREC_N,2,),IF(AND(H3823="NIC",OR(I3823="TN",I3823="TDN",I3823="TNO2-3",I3823="NO2-3")),VLOOKUP(E3823,QCNIC_N,2,),IF(AND(H3823="UREA",OR(I3823="TN",I3823="TDN",I3823="TNO2-3",I3823="NO2-3")),VLOOKUP(E3823,QCUREA_N,2,),IF(H3823="PER",VLOOKUP(I3823,QCPER,MATCH(E3823,QCACTUAL!$J$25:$AA$25,0),),IF(H3823="SPK",VLOOKUP(I3823,QCSPK,3,),IF(AND(H3823="ATP",OR(I3823="TP",I3823="TDP")),VLOOKUP(E3823,QCATP_P,2,),""))))))))</f>
        <v/>
      </c>
      <c r="W3823" s="31" t="str">
        <f t="shared" si="432"/>
        <v>TRUE</v>
      </c>
      <c r="X3823" s="31" t="str">
        <f t="shared" si="429"/>
        <v/>
      </c>
      <c r="Y3823" s="10" t="s">
        <v>1275</v>
      </c>
      <c r="Z3823" s="10" t="s">
        <v>910</v>
      </c>
      <c r="AF3823" s="12">
        <v>44981</v>
      </c>
      <c r="AJ3823" s="10">
        <f>2.8761*7.53^2+145.17*7.53-57.22</f>
        <v>1198.9875584899999</v>
      </c>
      <c r="AK3823" s="10">
        <f>0.3348*7.53^2+180.18*7.53-102.36</f>
        <v>1273.3788613200002</v>
      </c>
      <c r="AL3823" s="10" t="str">
        <f t="shared" si="434"/>
        <v>FALSE</v>
      </c>
      <c r="AM3823" s="10" t="str">
        <f t="shared" si="434"/>
        <v>FALSE</v>
      </c>
      <c r="AN3823" s="10" t="str">
        <f t="shared" si="434"/>
        <v>FALSE</v>
      </c>
      <c r="AO3823" s="10" t="str">
        <f t="shared" si="435"/>
        <v>y=2.8761*7.53^2+145.17*7.53-57.22</v>
      </c>
      <c r="AP3823" s="10" t="str">
        <f t="shared" si="435"/>
        <v>y=0.3348*7.53^2+180.18*7.53-102.36</v>
      </c>
      <c r="AQ3823" s="10" t="b">
        <f>IF(AND(I3823="TP",S3823&lt;=150),VLOOKUP(AF3823,TPCalibEq150!$AZ$2:$BB$55,3,),IF(AND(I3823="TDP",S3823&lt;=150),VLOOKUP(AF3823,TPCalibEq150!$AZ$2:$BB$55,3,)))</f>
        <v>0</v>
      </c>
      <c r="AR3823" s="10" t="b">
        <f>IF(AND(I3823="TP",S3823&lt;=300),VLOOKUP(AF3823,TPCalibEq300!$AZ$2:$BB$55,3,),IF(AND(I3823="TDP",S3823&lt;=300),VLOOKUP(AF3823,TPCalibEq300!$AZ$2:$BB$55,3,)))</f>
        <v>0</v>
      </c>
      <c r="AS3823" s="10" t="b">
        <f>IF(AND(I3823="TP",S3823&lt;=500),VLOOKUP(AF3823,TPCalibEq500!$AZ$2:$BB$56,3,),IF(AND(I3823="TDP",S3823&lt;=500),VLOOKUP(AF3823,TPCalibEq500!$AZ$2:$BB$56,3,)))</f>
        <v>0</v>
      </c>
      <c r="AT3823" s="10" t="str">
        <f>IF(AND(I3823="TN",S3823&lt;=2800),VLOOKUP(AF3823,TNCalibEq2500!$AZ$2:$BB$56,3,),IF(AND(I3823="TDN",S3823&lt;=2800),VLOOKUP(AF3823,TNCalibEq2500!$AZ$2:$BB$56,3,)))</f>
        <v>y=2.8761x2+145.17x-57.22</v>
      </c>
      <c r="AU3823" s="10" t="str">
        <f>IF(I3823="TP",VLOOKUP(AF3823,TPCalibEqFull!$AZ$2:$BB$56,3),IF(I3823="TDP",VLOOKUP(AF3823,TPCalibEqFull!$AZ$2:$BB$56,3),IF(I3823="TDN",VLOOKUP(AF3823,TNCalibEqFull!$AZ$1:$BB$56,3),IF(I3823="TN",VLOOKUP(AF3823,TNCalibEqFull!$AZ$1:$BB$56,3),FALSE))))</f>
        <v>y=0.3348x2+180.18x-102.36</v>
      </c>
      <c r="AV3823" s="10" t="str">
        <f t="shared" si="433"/>
        <v>0215 05:23:00-EFK-0-FIL-1-SW-UKN</v>
      </c>
    </row>
    <row r="3824" spans="1:48" s="10" customFormat="1" x14ac:dyDescent="0.55000000000000004">
      <c r="A3824" s="32">
        <v>44972</v>
      </c>
      <c r="B3824" s="33">
        <v>0.22777777777777777</v>
      </c>
      <c r="C3824" s="10" t="s">
        <v>333</v>
      </c>
      <c r="D3824" s="10">
        <v>0</v>
      </c>
      <c r="E3824" s="10" t="s">
        <v>911</v>
      </c>
      <c r="F3824" s="10">
        <v>1</v>
      </c>
      <c r="G3824" s="10" t="s">
        <v>231</v>
      </c>
      <c r="H3824" s="10" t="s">
        <v>322</v>
      </c>
      <c r="I3824" s="10" t="s">
        <v>224</v>
      </c>
      <c r="J3824" s="10">
        <v>42</v>
      </c>
      <c r="K3824" s="12">
        <v>44981</v>
      </c>
      <c r="L3824" s="33">
        <v>0.54293981481481479</v>
      </c>
      <c r="M3824" s="10">
        <v>1</v>
      </c>
      <c r="N3824" s="10" t="s">
        <v>196</v>
      </c>
      <c r="O3824" s="10">
        <v>4.4800000000000004</v>
      </c>
      <c r="P3824" s="10">
        <v>0.217</v>
      </c>
      <c r="Q3824" s="10">
        <v>723</v>
      </c>
      <c r="R3824" s="10" t="s">
        <v>170</v>
      </c>
      <c r="S3824" s="34">
        <f t="shared" si="430"/>
        <v>723</v>
      </c>
      <c r="T3824" s="10" t="s">
        <v>1282</v>
      </c>
      <c r="U3824" s="34" t="str">
        <f t="shared" si="431"/>
        <v/>
      </c>
      <c r="V3824" s="31" t="str">
        <f>IF(H3824="CHK",VLOOKUP(I3824,QCCHK,3,),IF(H3824="GUP",VLOOKUP(E3824,QCGUP,2,),IF(AND(H3824="ATP",OR(I3824="TN",I3824="TDN",I3824="TNO2-3",I3824="NO2-3")),VLOOKUP(E3824,QCREC_N,2,),IF(AND(H3824="NIC",OR(I3824="TN",I3824="TDN",I3824="TNO2-3",I3824="NO2-3")),VLOOKUP(E3824,QCNIC_N,2,),IF(AND(H3824="UREA",OR(I3824="TN",I3824="TDN",I3824="TNO2-3",I3824="NO2-3")),VLOOKUP(E3824,QCUREA_N,2,),IF(H3824="PER",VLOOKUP(I3824,QCPER,MATCH(E3824,QCACTUAL!$J$25:$AA$25,0),),IF(H3824="SPK",VLOOKUP(I3824,QCSPK,3,),IF(AND(H3824="ATP",OR(I3824="TP",I3824="TDP")),VLOOKUP(E3824,QCATP_P,2,),""))))))))</f>
        <v/>
      </c>
      <c r="W3824" s="31" t="str">
        <f t="shared" si="432"/>
        <v>TRUE</v>
      </c>
      <c r="X3824" s="31" t="str">
        <f t="shared" si="429"/>
        <v/>
      </c>
      <c r="Y3824" s="10" t="s">
        <v>1275</v>
      </c>
      <c r="Z3824" s="10" t="s">
        <v>910</v>
      </c>
      <c r="AF3824" s="12">
        <v>44981</v>
      </c>
      <c r="AJ3824" s="10">
        <f>2.8761*4.48^2+145.17*4.48-57.22</f>
        <v>650.86607743999991</v>
      </c>
      <c r="AK3824" s="10">
        <f>0.3348*4.48^2+180.18*4.48-102.36</f>
        <v>711.56596992000016</v>
      </c>
      <c r="AL3824" s="10" t="str">
        <f t="shared" si="434"/>
        <v>FALSE</v>
      </c>
      <c r="AM3824" s="10" t="str">
        <f t="shared" si="434"/>
        <v>FALSE</v>
      </c>
      <c r="AN3824" s="10" t="str">
        <f t="shared" si="434"/>
        <v>FALSE</v>
      </c>
      <c r="AO3824" s="10" t="str">
        <f t="shared" si="435"/>
        <v>y=2.8761*4.48^2+145.17*4.48-57.22</v>
      </c>
      <c r="AP3824" s="10" t="str">
        <f t="shared" si="435"/>
        <v>y=0.3348*4.48^2+180.18*4.48-102.36</v>
      </c>
      <c r="AQ3824" s="10" t="b">
        <f>IF(AND(I3824="TP",S3824&lt;=150),VLOOKUP(AF3824,TPCalibEq150!$AZ$2:$BB$55,3,),IF(AND(I3824="TDP",S3824&lt;=150),VLOOKUP(AF3824,TPCalibEq150!$AZ$2:$BB$55,3,)))</f>
        <v>0</v>
      </c>
      <c r="AR3824" s="10" t="b">
        <f>IF(AND(I3824="TP",S3824&lt;=300),VLOOKUP(AF3824,TPCalibEq300!$AZ$2:$BB$55,3,),IF(AND(I3824="TDP",S3824&lt;=300),VLOOKUP(AF3824,TPCalibEq300!$AZ$2:$BB$55,3,)))</f>
        <v>0</v>
      </c>
      <c r="AS3824" s="10" t="b">
        <f>IF(AND(I3824="TP",S3824&lt;=500),VLOOKUP(AF3824,TPCalibEq500!$AZ$2:$BB$56,3,),IF(AND(I3824="TDP",S3824&lt;=500),VLOOKUP(AF3824,TPCalibEq500!$AZ$2:$BB$56,3,)))</f>
        <v>0</v>
      </c>
      <c r="AT3824" s="10" t="str">
        <f>IF(AND(I3824="TN",S3824&lt;=2800),VLOOKUP(AF3824,TNCalibEq2500!$AZ$2:$BB$56,3,),IF(AND(I3824="TDN",S3824&lt;=2800),VLOOKUP(AF3824,TNCalibEq2500!$AZ$2:$BB$56,3,)))</f>
        <v>y=2.8761x2+145.17x-57.22</v>
      </c>
      <c r="AU3824" s="10" t="str">
        <f>IF(I3824="TP",VLOOKUP(AF3824,TPCalibEqFull!$AZ$2:$BB$56,3),IF(I3824="TDP",VLOOKUP(AF3824,TPCalibEqFull!$AZ$2:$BB$56,3),IF(I3824="TDN",VLOOKUP(AF3824,TNCalibEqFull!$AZ$1:$BB$56,3),IF(I3824="TN",VLOOKUP(AF3824,TNCalibEqFull!$AZ$1:$BB$56,3),FALSE))))</f>
        <v>y=0.3348x2+180.18x-102.36</v>
      </c>
      <c r="AV3824" s="10" t="str">
        <f t="shared" si="433"/>
        <v>0215 05:28:00-HST-0-FIL-1-SW-UKN</v>
      </c>
    </row>
    <row r="3825" spans="1:48" s="10" customFormat="1" x14ac:dyDescent="0.55000000000000004">
      <c r="A3825" s="32">
        <v>44974</v>
      </c>
      <c r="B3825" s="33">
        <v>0.36388888888888887</v>
      </c>
      <c r="C3825" s="10" t="s">
        <v>279</v>
      </c>
      <c r="D3825" s="10">
        <v>0</v>
      </c>
      <c r="E3825" s="10" t="s">
        <v>911</v>
      </c>
      <c r="F3825" s="10">
        <v>1</v>
      </c>
      <c r="G3825" s="10" t="s">
        <v>231</v>
      </c>
      <c r="H3825" s="10" t="s">
        <v>322</v>
      </c>
      <c r="I3825" s="10" t="s">
        <v>224</v>
      </c>
      <c r="J3825" s="10">
        <v>43</v>
      </c>
      <c r="K3825" s="12">
        <v>44981</v>
      </c>
      <c r="L3825" s="33">
        <v>0.54359953703703701</v>
      </c>
      <c r="M3825" s="10">
        <v>1</v>
      </c>
      <c r="N3825" s="10" t="s">
        <v>196</v>
      </c>
      <c r="O3825" s="10">
        <v>6.23</v>
      </c>
      <c r="P3825" s="10">
        <v>0.30099999999999999</v>
      </c>
      <c r="Q3825" s="10">
        <v>1050</v>
      </c>
      <c r="R3825" s="10" t="s">
        <v>170</v>
      </c>
      <c r="S3825" s="34">
        <f t="shared" si="430"/>
        <v>1050</v>
      </c>
      <c r="T3825" s="10" t="s">
        <v>1282</v>
      </c>
      <c r="U3825" s="34" t="str">
        <f t="shared" si="431"/>
        <v/>
      </c>
      <c r="V3825" s="31" t="str">
        <f>IF(H3825="CHK",VLOOKUP(I3825,QCCHK,3,),IF(H3825="GUP",VLOOKUP(E3825,QCGUP,2,),IF(AND(H3825="ATP",OR(I3825="TN",I3825="TDN",I3825="TNO2-3",I3825="NO2-3")),VLOOKUP(E3825,QCREC_N,2,),IF(AND(H3825="NIC",OR(I3825="TN",I3825="TDN",I3825="TNO2-3",I3825="NO2-3")),VLOOKUP(E3825,QCNIC_N,2,),IF(AND(H3825="UREA",OR(I3825="TN",I3825="TDN",I3825="TNO2-3",I3825="NO2-3")),VLOOKUP(E3825,QCUREA_N,2,),IF(H3825="PER",VLOOKUP(I3825,QCPER,MATCH(E3825,QCACTUAL!$J$25:$AA$25,0),),IF(H3825="SPK",VLOOKUP(I3825,QCSPK,3,),IF(AND(H3825="ATP",OR(I3825="TP",I3825="TDP")),VLOOKUP(E3825,QCATP_P,2,),""))))))))</f>
        <v/>
      </c>
      <c r="W3825" s="31" t="str">
        <f t="shared" si="432"/>
        <v>TRUE</v>
      </c>
      <c r="X3825" s="31" t="str">
        <f t="shared" si="429"/>
        <v/>
      </c>
      <c r="Y3825" s="10" t="s">
        <v>1275</v>
      </c>
      <c r="Z3825" s="10" t="s">
        <v>910</v>
      </c>
      <c r="AF3825" s="12">
        <v>44981</v>
      </c>
      <c r="AJ3825" s="10">
        <f>2.8761*6.23^2+145.17*6.23-57.22</f>
        <v>958.8188816899999</v>
      </c>
      <c r="AK3825" s="10">
        <f>0.3348*6.23^2+180.18*6.23-102.36</f>
        <v>1033.1559589200001</v>
      </c>
      <c r="AL3825" s="10" t="str">
        <f t="shared" si="434"/>
        <v>FALSE</v>
      </c>
      <c r="AM3825" s="10" t="str">
        <f t="shared" si="434"/>
        <v>FALSE</v>
      </c>
      <c r="AN3825" s="10" t="str">
        <f t="shared" si="434"/>
        <v>FALSE</v>
      </c>
      <c r="AO3825" s="10" t="str">
        <f t="shared" si="435"/>
        <v>y=2.8761*6.23^2+145.17*6.23-57.22</v>
      </c>
      <c r="AP3825" s="10" t="str">
        <f t="shared" si="435"/>
        <v>y=0.3348*6.23^2+180.18*6.23-102.36</v>
      </c>
      <c r="AQ3825" s="10" t="b">
        <f>IF(AND(I3825="TP",S3825&lt;=150),VLOOKUP(AF3825,TPCalibEq150!$AZ$2:$BB$55,3,),IF(AND(I3825="TDP",S3825&lt;=150),VLOOKUP(AF3825,TPCalibEq150!$AZ$2:$BB$55,3,)))</f>
        <v>0</v>
      </c>
      <c r="AR3825" s="10" t="b">
        <f>IF(AND(I3825="TP",S3825&lt;=300),VLOOKUP(AF3825,TPCalibEq300!$AZ$2:$BB$55,3,),IF(AND(I3825="TDP",S3825&lt;=300),VLOOKUP(AF3825,TPCalibEq300!$AZ$2:$BB$55,3,)))</f>
        <v>0</v>
      </c>
      <c r="AS3825" s="10" t="b">
        <f>IF(AND(I3825="TP",S3825&lt;=500),VLOOKUP(AF3825,TPCalibEq500!$AZ$2:$BB$56,3,),IF(AND(I3825="TDP",S3825&lt;=500),VLOOKUP(AF3825,TPCalibEq500!$AZ$2:$BB$56,3,)))</f>
        <v>0</v>
      </c>
      <c r="AT3825" s="10" t="str">
        <f>IF(AND(I3825="TN",S3825&lt;=2800),VLOOKUP(AF3825,TNCalibEq2500!$AZ$2:$BB$56,3,),IF(AND(I3825="TDN",S3825&lt;=2800),VLOOKUP(AF3825,TNCalibEq2500!$AZ$2:$BB$56,3,)))</f>
        <v>y=2.8761x2+145.17x-57.22</v>
      </c>
      <c r="AU3825" s="10" t="str">
        <f>IF(I3825="TP",VLOOKUP(AF3825,TPCalibEqFull!$AZ$2:$BB$56,3),IF(I3825="TDP",VLOOKUP(AF3825,TPCalibEqFull!$AZ$2:$BB$56,3),IF(I3825="TDN",VLOOKUP(AF3825,TNCalibEqFull!$AZ$1:$BB$56,3),IF(I3825="TN",VLOOKUP(AF3825,TNCalibEqFull!$AZ$1:$BB$56,3),FALSE))))</f>
        <v>y=0.3348x2+180.18x-102.36</v>
      </c>
      <c r="AV3825" s="10" t="str">
        <f t="shared" si="433"/>
        <v>0217 08:44:00-EFK-0-FIL-1-SW-UKN</v>
      </c>
    </row>
    <row r="3826" spans="1:48" s="10" customFormat="1" x14ac:dyDescent="0.55000000000000004">
      <c r="A3826" s="32">
        <v>44974</v>
      </c>
      <c r="B3826" s="33">
        <v>0.35833333333333334</v>
      </c>
      <c r="C3826" s="10" t="s">
        <v>333</v>
      </c>
      <c r="D3826" s="10">
        <v>0</v>
      </c>
      <c r="E3826" s="10" t="s">
        <v>911</v>
      </c>
      <c r="F3826" s="10">
        <v>1</v>
      </c>
      <c r="G3826" s="10" t="s">
        <v>231</v>
      </c>
      <c r="H3826" s="10" t="s">
        <v>322</v>
      </c>
      <c r="I3826" s="10" t="s">
        <v>224</v>
      </c>
      <c r="J3826" s="10">
        <v>44</v>
      </c>
      <c r="K3826" s="12">
        <v>44981</v>
      </c>
      <c r="L3826" s="33">
        <v>0.54425925925925933</v>
      </c>
      <c r="M3826" s="10">
        <v>1</v>
      </c>
      <c r="N3826" s="10" t="s">
        <v>196</v>
      </c>
      <c r="O3826" s="10">
        <v>6.68</v>
      </c>
      <c r="P3826" s="10">
        <v>0.32400000000000001</v>
      </c>
      <c r="Q3826" s="10">
        <v>1140</v>
      </c>
      <c r="R3826" s="10" t="s">
        <v>170</v>
      </c>
      <c r="S3826" s="34">
        <f t="shared" si="430"/>
        <v>1140</v>
      </c>
      <c r="T3826" s="10" t="s">
        <v>1282</v>
      </c>
      <c r="U3826" s="34" t="str">
        <f t="shared" si="431"/>
        <v/>
      </c>
      <c r="V3826" s="31" t="str">
        <f>IF(H3826="CHK",VLOOKUP(I3826,QCCHK,3,),IF(H3826="GUP",VLOOKUP(E3826,QCGUP,2,),IF(AND(H3826="ATP",OR(I3826="TN",I3826="TDN",I3826="TNO2-3",I3826="NO2-3")),VLOOKUP(E3826,QCREC_N,2,),IF(AND(H3826="NIC",OR(I3826="TN",I3826="TDN",I3826="TNO2-3",I3826="NO2-3")),VLOOKUP(E3826,QCNIC_N,2,),IF(AND(H3826="UREA",OR(I3826="TN",I3826="TDN",I3826="TNO2-3",I3826="NO2-3")),VLOOKUP(E3826,QCUREA_N,2,),IF(H3826="PER",VLOOKUP(I3826,QCPER,MATCH(E3826,QCACTUAL!$J$25:$AA$25,0),),IF(H3826="SPK",VLOOKUP(I3826,QCSPK,3,),IF(AND(H3826="ATP",OR(I3826="TP",I3826="TDP")),VLOOKUP(E3826,QCATP_P,2,),""))))))))</f>
        <v/>
      </c>
      <c r="W3826" s="31" t="str">
        <f t="shared" si="432"/>
        <v>TRUE</v>
      </c>
      <c r="X3826" s="31" t="str">
        <f t="shared" si="429"/>
        <v/>
      </c>
      <c r="Y3826" s="10" t="s">
        <v>1275</v>
      </c>
      <c r="Z3826" s="10" t="s">
        <v>910</v>
      </c>
      <c r="AF3826" s="12">
        <v>44981</v>
      </c>
      <c r="AJ3826" s="10">
        <f>2.8761*6.68^2+145.17*6.68-57.22</f>
        <v>1040.8540846399999</v>
      </c>
      <c r="AK3826" s="10">
        <f>0.3348*6.68^2+180.18*6.68-102.36</f>
        <v>1116.1819795200001</v>
      </c>
      <c r="AL3826" s="10" t="str">
        <f t="shared" si="434"/>
        <v>FALSE</v>
      </c>
      <c r="AM3826" s="10" t="str">
        <f t="shared" si="434"/>
        <v>FALSE</v>
      </c>
      <c r="AN3826" s="10" t="str">
        <f t="shared" si="434"/>
        <v>FALSE</v>
      </c>
      <c r="AO3826" s="10" t="str">
        <f t="shared" si="435"/>
        <v>y=2.8761*6.68^2+145.17*6.68-57.22</v>
      </c>
      <c r="AP3826" s="10" t="str">
        <f t="shared" si="435"/>
        <v>y=0.3348*6.68^2+180.18*6.68-102.36</v>
      </c>
      <c r="AQ3826" s="10" t="b">
        <f>IF(AND(I3826="TP",S3826&lt;=150),VLOOKUP(AF3826,TPCalibEq150!$AZ$2:$BB$55,3,),IF(AND(I3826="TDP",S3826&lt;=150),VLOOKUP(AF3826,TPCalibEq150!$AZ$2:$BB$55,3,)))</f>
        <v>0</v>
      </c>
      <c r="AR3826" s="10" t="b">
        <f>IF(AND(I3826="TP",S3826&lt;=300),VLOOKUP(AF3826,TPCalibEq300!$AZ$2:$BB$55,3,),IF(AND(I3826="TDP",S3826&lt;=300),VLOOKUP(AF3826,TPCalibEq300!$AZ$2:$BB$55,3,)))</f>
        <v>0</v>
      </c>
      <c r="AS3826" s="10" t="b">
        <f>IF(AND(I3826="TP",S3826&lt;=500),VLOOKUP(AF3826,TPCalibEq500!$AZ$2:$BB$56,3,),IF(AND(I3826="TDP",S3826&lt;=500),VLOOKUP(AF3826,TPCalibEq500!$AZ$2:$BB$56,3,)))</f>
        <v>0</v>
      </c>
      <c r="AT3826" s="10" t="str">
        <f>IF(AND(I3826="TN",S3826&lt;=2800),VLOOKUP(AF3826,TNCalibEq2500!$AZ$2:$BB$56,3,),IF(AND(I3826="TDN",S3826&lt;=2800),VLOOKUP(AF3826,TNCalibEq2500!$AZ$2:$BB$56,3,)))</f>
        <v>y=2.8761x2+145.17x-57.22</v>
      </c>
      <c r="AU3826" s="10" t="str">
        <f>IF(I3826="TP",VLOOKUP(AF3826,TPCalibEqFull!$AZ$2:$BB$56,3),IF(I3826="TDP",VLOOKUP(AF3826,TPCalibEqFull!$AZ$2:$BB$56,3),IF(I3826="TDN",VLOOKUP(AF3826,TNCalibEqFull!$AZ$1:$BB$56,3),IF(I3826="TN",VLOOKUP(AF3826,TNCalibEqFull!$AZ$1:$BB$56,3),FALSE))))</f>
        <v>y=0.3348x2+180.18x-102.36</v>
      </c>
      <c r="AV3826" s="10" t="str">
        <f t="shared" si="433"/>
        <v>0217 08:36:00-HST-0-FIL-1-SW-UKN</v>
      </c>
    </row>
    <row r="3827" spans="1:48" s="10" customFormat="1" x14ac:dyDescent="0.55000000000000004">
      <c r="A3827" s="32">
        <v>44978</v>
      </c>
      <c r="B3827" s="33">
        <v>0.31597222222222221</v>
      </c>
      <c r="C3827" s="10" t="s">
        <v>279</v>
      </c>
      <c r="D3827" s="10">
        <v>0</v>
      </c>
      <c r="E3827" s="10" t="s">
        <v>911</v>
      </c>
      <c r="F3827" s="10">
        <v>1</v>
      </c>
      <c r="G3827" s="10" t="s">
        <v>231</v>
      </c>
      <c r="H3827" s="10" t="s">
        <v>322</v>
      </c>
      <c r="I3827" s="10" t="s">
        <v>224</v>
      </c>
      <c r="J3827" s="10">
        <v>45</v>
      </c>
      <c r="K3827" s="12">
        <v>44981</v>
      </c>
      <c r="L3827" s="33">
        <v>0.54491898148148155</v>
      </c>
      <c r="M3827" s="10">
        <v>1</v>
      </c>
      <c r="N3827" s="10" t="s">
        <v>196</v>
      </c>
      <c r="O3827" s="10">
        <v>7.3</v>
      </c>
      <c r="P3827" s="10">
        <v>0.35399999999999998</v>
      </c>
      <c r="Q3827" s="10">
        <v>1260</v>
      </c>
      <c r="R3827" s="10" t="s">
        <v>170</v>
      </c>
      <c r="S3827" s="34">
        <f t="shared" si="430"/>
        <v>1260</v>
      </c>
      <c r="T3827" s="10" t="s">
        <v>1282</v>
      </c>
      <c r="U3827" s="34" t="str">
        <f t="shared" si="431"/>
        <v/>
      </c>
      <c r="V3827" s="31" t="str">
        <f>IF(H3827="CHK",VLOOKUP(I3827,QCCHK,3,),IF(H3827="GUP",VLOOKUP(E3827,QCGUP,2,),IF(AND(H3827="ATP",OR(I3827="TN",I3827="TDN",I3827="TNO2-3",I3827="NO2-3")),VLOOKUP(E3827,QCREC_N,2,),IF(AND(H3827="NIC",OR(I3827="TN",I3827="TDN",I3827="TNO2-3",I3827="NO2-3")),VLOOKUP(E3827,QCNIC_N,2,),IF(AND(H3827="UREA",OR(I3827="TN",I3827="TDN",I3827="TNO2-3",I3827="NO2-3")),VLOOKUP(E3827,QCUREA_N,2,),IF(H3827="PER",VLOOKUP(I3827,QCPER,MATCH(E3827,QCACTUAL!$J$25:$AA$25,0),),IF(H3827="SPK",VLOOKUP(I3827,QCSPK,3,),IF(AND(H3827="ATP",OR(I3827="TP",I3827="TDP")),VLOOKUP(E3827,QCATP_P,2,),""))))))))</f>
        <v/>
      </c>
      <c r="W3827" s="31" t="str">
        <f t="shared" si="432"/>
        <v>TRUE</v>
      </c>
      <c r="X3827" s="31" t="str">
        <f t="shared" si="429"/>
        <v/>
      </c>
      <c r="Y3827" s="10" t="s">
        <v>1275</v>
      </c>
      <c r="AF3827" s="12">
        <v>44981</v>
      </c>
      <c r="AJ3827" s="10">
        <f>2.8761*7.3^2+145.17*7.3-57.22</f>
        <v>1155.7883689999999</v>
      </c>
      <c r="AK3827" s="10">
        <f>0.3348*7.3^2+180.18*7.3-102.36</f>
        <v>1230.7954920000002</v>
      </c>
      <c r="AL3827" s="10" t="str">
        <f t="shared" si="434"/>
        <v>FALSE</v>
      </c>
      <c r="AM3827" s="10" t="str">
        <f t="shared" si="434"/>
        <v>FALSE</v>
      </c>
      <c r="AN3827" s="10" t="str">
        <f t="shared" si="434"/>
        <v>FALSE</v>
      </c>
      <c r="AO3827" s="10" t="str">
        <f t="shared" si="435"/>
        <v>y=2.8761*7.3^2+145.17*7.3-57.22</v>
      </c>
      <c r="AP3827" s="10" t="str">
        <f t="shared" si="435"/>
        <v>y=0.3348*7.3^2+180.18*7.3-102.36</v>
      </c>
      <c r="AQ3827" s="10" t="b">
        <f>IF(AND(I3827="TP",S3827&lt;=150),VLOOKUP(AF3827,TPCalibEq150!$AZ$2:$BB$55,3,),IF(AND(I3827="TDP",S3827&lt;=150),VLOOKUP(AF3827,TPCalibEq150!$AZ$2:$BB$55,3,)))</f>
        <v>0</v>
      </c>
      <c r="AR3827" s="10" t="b">
        <f>IF(AND(I3827="TP",S3827&lt;=300),VLOOKUP(AF3827,TPCalibEq300!$AZ$2:$BB$55,3,),IF(AND(I3827="TDP",S3827&lt;=300),VLOOKUP(AF3827,TPCalibEq300!$AZ$2:$BB$55,3,)))</f>
        <v>0</v>
      </c>
      <c r="AS3827" s="10" t="b">
        <f>IF(AND(I3827="TP",S3827&lt;=500),VLOOKUP(AF3827,TPCalibEq500!$AZ$2:$BB$56,3,),IF(AND(I3827="TDP",S3827&lt;=500),VLOOKUP(AF3827,TPCalibEq500!$AZ$2:$BB$56,3,)))</f>
        <v>0</v>
      </c>
      <c r="AT3827" s="10" t="str">
        <f>IF(AND(I3827="TN",S3827&lt;=2800),VLOOKUP(AF3827,TNCalibEq2500!$AZ$2:$BB$56,3,),IF(AND(I3827="TDN",S3827&lt;=2800),VLOOKUP(AF3827,TNCalibEq2500!$AZ$2:$BB$56,3,)))</f>
        <v>y=2.8761x2+145.17x-57.22</v>
      </c>
      <c r="AU3827" s="10" t="str">
        <f>IF(I3827="TP",VLOOKUP(AF3827,TPCalibEqFull!$AZ$2:$BB$56,3),IF(I3827="TDP",VLOOKUP(AF3827,TPCalibEqFull!$AZ$2:$BB$56,3),IF(I3827="TDN",VLOOKUP(AF3827,TNCalibEqFull!$AZ$1:$BB$56,3),IF(I3827="TN",VLOOKUP(AF3827,TNCalibEqFull!$AZ$1:$BB$56,3),FALSE))))</f>
        <v>y=0.3348x2+180.18x-102.36</v>
      </c>
      <c r="AV3827" s="10" t="str">
        <f t="shared" si="433"/>
        <v>0221 07:35:00-EFK-0-FIL-1-SW-UKN</v>
      </c>
    </row>
    <row r="3828" spans="1:48" s="10" customFormat="1" x14ac:dyDescent="0.55000000000000004">
      <c r="A3828" s="32">
        <v>44978</v>
      </c>
      <c r="B3828" s="33">
        <v>0.31944444444444448</v>
      </c>
      <c r="C3828" s="10" t="s">
        <v>333</v>
      </c>
      <c r="D3828" s="10">
        <v>0</v>
      </c>
      <c r="E3828" s="10" t="s">
        <v>911</v>
      </c>
      <c r="F3828" s="10">
        <v>1</v>
      </c>
      <c r="G3828" s="10" t="s">
        <v>231</v>
      </c>
      <c r="H3828" s="10" t="s">
        <v>322</v>
      </c>
      <c r="I3828" s="10" t="s">
        <v>224</v>
      </c>
      <c r="J3828" s="10">
        <v>46</v>
      </c>
      <c r="K3828" s="12">
        <v>44981</v>
      </c>
      <c r="L3828" s="33">
        <v>0.5455902777777778</v>
      </c>
      <c r="M3828" s="10">
        <v>1</v>
      </c>
      <c r="N3828" s="10" t="s">
        <v>196</v>
      </c>
      <c r="O3828" s="10">
        <v>4.8899999999999997</v>
      </c>
      <c r="P3828" s="10">
        <v>0.23599999999999999</v>
      </c>
      <c r="Q3828" s="10">
        <v>800</v>
      </c>
      <c r="R3828" s="10" t="s">
        <v>170</v>
      </c>
      <c r="S3828" s="34">
        <f t="shared" si="430"/>
        <v>800</v>
      </c>
      <c r="T3828" s="10" t="s">
        <v>1282</v>
      </c>
      <c r="U3828" s="34" t="str">
        <f t="shared" si="431"/>
        <v/>
      </c>
      <c r="V3828" s="31" t="str">
        <f>IF(H3828="CHK",VLOOKUP(I3828,QCCHK,3,),IF(H3828="GUP",VLOOKUP(E3828,QCGUP,2,),IF(AND(H3828="ATP",OR(I3828="TN",I3828="TDN",I3828="TNO2-3",I3828="NO2-3")),VLOOKUP(E3828,QCREC_N,2,),IF(AND(H3828="NIC",OR(I3828="TN",I3828="TDN",I3828="TNO2-3",I3828="NO2-3")),VLOOKUP(E3828,QCNIC_N,2,),IF(AND(H3828="UREA",OR(I3828="TN",I3828="TDN",I3828="TNO2-3",I3828="NO2-3")),VLOOKUP(E3828,QCUREA_N,2,),IF(H3828="PER",VLOOKUP(I3828,QCPER,MATCH(E3828,QCACTUAL!$J$25:$AA$25,0),),IF(H3828="SPK",VLOOKUP(I3828,QCSPK,3,),IF(AND(H3828="ATP",OR(I3828="TP",I3828="TDP")),VLOOKUP(E3828,QCATP_P,2,),""))))))))</f>
        <v/>
      </c>
      <c r="W3828" s="31" t="str">
        <f t="shared" si="432"/>
        <v>TRUE</v>
      </c>
      <c r="X3828" s="31" t="str">
        <f t="shared" si="429"/>
        <v/>
      </c>
      <c r="Y3828" s="10" t="s">
        <v>1275</v>
      </c>
      <c r="AF3828" s="12">
        <v>44981</v>
      </c>
      <c r="AJ3828" s="10">
        <f>2.8761*4.89^2+145.17*4.89-57.22</f>
        <v>721.43489080999984</v>
      </c>
      <c r="AK3828" s="10">
        <f>0.3348*4.89^2+180.18*4.89-102.36</f>
        <v>786.72597108000002</v>
      </c>
      <c r="AL3828" s="10" t="str">
        <f t="shared" si="434"/>
        <v>FALSE</v>
      </c>
      <c r="AM3828" s="10" t="str">
        <f t="shared" si="434"/>
        <v>FALSE</v>
      </c>
      <c r="AN3828" s="10" t="str">
        <f t="shared" si="434"/>
        <v>FALSE</v>
      </c>
      <c r="AO3828" s="10" t="str">
        <f t="shared" si="435"/>
        <v>y=2.8761*4.89^2+145.17*4.89-57.22</v>
      </c>
      <c r="AP3828" s="10" t="str">
        <f t="shared" si="435"/>
        <v>y=0.3348*4.89^2+180.18*4.89-102.36</v>
      </c>
      <c r="AQ3828" s="10" t="b">
        <f>IF(AND(I3828="TP",S3828&lt;=150),VLOOKUP(AF3828,TPCalibEq150!$AZ$2:$BB$55,3,),IF(AND(I3828="TDP",S3828&lt;=150),VLOOKUP(AF3828,TPCalibEq150!$AZ$2:$BB$55,3,)))</f>
        <v>0</v>
      </c>
      <c r="AR3828" s="10" t="b">
        <f>IF(AND(I3828="TP",S3828&lt;=300),VLOOKUP(AF3828,TPCalibEq300!$AZ$2:$BB$55,3,),IF(AND(I3828="TDP",S3828&lt;=300),VLOOKUP(AF3828,TPCalibEq300!$AZ$2:$BB$55,3,)))</f>
        <v>0</v>
      </c>
      <c r="AS3828" s="10" t="b">
        <f>IF(AND(I3828="TP",S3828&lt;=500),VLOOKUP(AF3828,TPCalibEq500!$AZ$2:$BB$56,3,),IF(AND(I3828="TDP",S3828&lt;=500),VLOOKUP(AF3828,TPCalibEq500!$AZ$2:$BB$56,3,)))</f>
        <v>0</v>
      </c>
      <c r="AT3828" s="10" t="str">
        <f>IF(AND(I3828="TN",S3828&lt;=2800),VLOOKUP(AF3828,TNCalibEq2500!$AZ$2:$BB$56,3,),IF(AND(I3828="TDN",S3828&lt;=2800),VLOOKUP(AF3828,TNCalibEq2500!$AZ$2:$BB$56,3,)))</f>
        <v>y=2.8761x2+145.17x-57.22</v>
      </c>
      <c r="AU3828" s="10" t="str">
        <f>IF(I3828="TP",VLOOKUP(AF3828,TPCalibEqFull!$AZ$2:$BB$56,3),IF(I3828="TDP",VLOOKUP(AF3828,TPCalibEqFull!$AZ$2:$BB$56,3),IF(I3828="TDN",VLOOKUP(AF3828,TNCalibEqFull!$AZ$1:$BB$56,3),IF(I3828="TN",VLOOKUP(AF3828,TNCalibEqFull!$AZ$1:$BB$56,3),FALSE))))</f>
        <v>y=0.3348x2+180.18x-102.36</v>
      </c>
      <c r="AV3828" s="10" t="str">
        <f t="shared" si="433"/>
        <v>0221 07:40:00-HST-0-FIL-1-SW-UKN</v>
      </c>
    </row>
    <row r="3829" spans="1:48" s="10" customFormat="1" x14ac:dyDescent="0.55000000000000004">
      <c r="A3829" s="32">
        <v>44978</v>
      </c>
      <c r="B3829" s="33">
        <v>0.31944444444444448</v>
      </c>
      <c r="C3829" s="10" t="s">
        <v>333</v>
      </c>
      <c r="D3829" s="10">
        <v>0</v>
      </c>
      <c r="E3829" s="10" t="s">
        <v>911</v>
      </c>
      <c r="F3829" s="10">
        <v>1</v>
      </c>
      <c r="G3829" s="10" t="s">
        <v>231</v>
      </c>
      <c r="H3829" s="10" t="s">
        <v>233</v>
      </c>
      <c r="I3829" s="10" t="s">
        <v>224</v>
      </c>
      <c r="J3829" s="10">
        <v>46</v>
      </c>
      <c r="K3829" s="12">
        <v>44981</v>
      </c>
      <c r="L3829" s="33">
        <v>0.54626157407407405</v>
      </c>
      <c r="M3829" s="10">
        <v>1</v>
      </c>
      <c r="N3829" s="10" t="s">
        <v>196</v>
      </c>
      <c r="O3829" s="10">
        <v>4.87</v>
      </c>
      <c r="P3829" s="10">
        <v>0.23599999999999999</v>
      </c>
      <c r="Q3829" s="10">
        <v>796</v>
      </c>
      <c r="R3829" s="10" t="s">
        <v>170</v>
      </c>
      <c r="S3829" s="34">
        <f t="shared" si="430"/>
        <v>796</v>
      </c>
      <c r="T3829" s="10" t="s">
        <v>1282</v>
      </c>
      <c r="U3829" s="34">
        <f t="shared" si="431"/>
        <v>0.50125313283208017</v>
      </c>
      <c r="V3829" s="31" t="str">
        <f>IF(H3829="CHK",VLOOKUP(I3829,QCCHK,3,),IF(H3829="GUP",VLOOKUP(E3829,QCGUP,2,),IF(AND(H3829="ATP",OR(I3829="TN",I3829="TDN",I3829="TNO2-3",I3829="NO2-3")),VLOOKUP(E3829,QCREC_N,2,),IF(AND(H3829="NIC",OR(I3829="TN",I3829="TDN",I3829="TNO2-3",I3829="NO2-3")),VLOOKUP(E3829,QCNIC_N,2,),IF(AND(H3829="UREA",OR(I3829="TN",I3829="TDN",I3829="TNO2-3",I3829="NO2-3")),VLOOKUP(E3829,QCUREA_N,2,),IF(H3829="PER",VLOOKUP(I3829,QCPER,MATCH(E3829,QCACTUAL!$J$25:$AA$25,0),),IF(H3829="SPK",VLOOKUP(I3829,QCSPK,3,),IF(AND(H3829="ATP",OR(I3829="TP",I3829="TDP")),VLOOKUP(E3829,QCATP_P,2,),""))))))))</f>
        <v/>
      </c>
      <c r="W3829" s="31" t="str">
        <f t="shared" si="432"/>
        <v>TRUE</v>
      </c>
      <c r="X3829" s="31" t="str">
        <f t="shared" si="429"/>
        <v>((ABS(rep1-rep2))/((rep1+rep2)/2)*100</v>
      </c>
      <c r="Y3829" s="10" t="s">
        <v>1275</v>
      </c>
      <c r="AF3829" s="12">
        <v>44981</v>
      </c>
      <c r="AJ3829" s="10">
        <f>2.8761*4.87^2+145.17*4.87-57.22</f>
        <v>717.97007609000002</v>
      </c>
      <c r="AK3829" s="10">
        <f>0.3348*4.87^2+180.18*4.87-102.36</f>
        <v>783.05701812000007</v>
      </c>
      <c r="AL3829" s="10" t="str">
        <f t="shared" si="434"/>
        <v>FALSE</v>
      </c>
      <c r="AM3829" s="10" t="str">
        <f t="shared" si="434"/>
        <v>FALSE</v>
      </c>
      <c r="AN3829" s="10" t="str">
        <f t="shared" si="434"/>
        <v>FALSE</v>
      </c>
      <c r="AO3829" s="10" t="str">
        <f t="shared" si="435"/>
        <v>y=2.8761*4.87^2+145.17*4.87-57.22</v>
      </c>
      <c r="AP3829" s="10" t="str">
        <f t="shared" si="435"/>
        <v>y=0.3348*4.87^2+180.18*4.87-102.36</v>
      </c>
      <c r="AQ3829" s="10" t="b">
        <f>IF(AND(I3829="TP",S3829&lt;=150),VLOOKUP(AF3829,TPCalibEq150!$AZ$2:$BB$55,3,),IF(AND(I3829="TDP",S3829&lt;=150),VLOOKUP(AF3829,TPCalibEq150!$AZ$2:$BB$55,3,)))</f>
        <v>0</v>
      </c>
      <c r="AR3829" s="10" t="b">
        <f>IF(AND(I3829="TP",S3829&lt;=300),VLOOKUP(AF3829,TPCalibEq300!$AZ$2:$BB$55,3,),IF(AND(I3829="TDP",S3829&lt;=300),VLOOKUP(AF3829,TPCalibEq300!$AZ$2:$BB$55,3,)))</f>
        <v>0</v>
      </c>
      <c r="AS3829" s="10" t="b">
        <f>IF(AND(I3829="TP",S3829&lt;=500),VLOOKUP(AF3829,TPCalibEq500!$AZ$2:$BB$56,3,),IF(AND(I3829="TDP",S3829&lt;=500),VLOOKUP(AF3829,TPCalibEq500!$AZ$2:$BB$56,3,)))</f>
        <v>0</v>
      </c>
      <c r="AT3829" s="10" t="str">
        <f>IF(AND(I3829="TN",S3829&lt;=2800),VLOOKUP(AF3829,TNCalibEq2500!$AZ$2:$BB$56,3,),IF(AND(I3829="TDN",S3829&lt;=2800),VLOOKUP(AF3829,TNCalibEq2500!$AZ$2:$BB$56,3,)))</f>
        <v>y=2.8761x2+145.17x-57.22</v>
      </c>
      <c r="AU3829" s="10" t="str">
        <f>IF(I3829="TP",VLOOKUP(AF3829,TPCalibEqFull!$AZ$2:$BB$56,3),IF(I3829="TDP",VLOOKUP(AF3829,TPCalibEqFull!$AZ$2:$BB$56,3),IF(I3829="TDN",VLOOKUP(AF3829,TNCalibEqFull!$AZ$1:$BB$56,3),IF(I3829="TN",VLOOKUP(AF3829,TNCalibEqFull!$AZ$1:$BB$56,3),FALSE))))</f>
        <v>y=0.3348x2+180.18x-102.36</v>
      </c>
      <c r="AV3829" s="10" t="str">
        <f t="shared" si="433"/>
        <v>0221 07:40:00-HST-0-FIL-1-SW-DUP</v>
      </c>
    </row>
    <row r="3830" spans="1:48" s="10" customFormat="1" x14ac:dyDescent="0.55000000000000004">
      <c r="A3830" s="32">
        <v>44978</v>
      </c>
      <c r="B3830" s="33">
        <v>0.31944444444444448</v>
      </c>
      <c r="C3830" s="10" t="s">
        <v>912</v>
      </c>
      <c r="D3830" s="10">
        <v>0</v>
      </c>
      <c r="E3830" s="10" t="s">
        <v>911</v>
      </c>
      <c r="F3830" s="10">
        <v>1</v>
      </c>
      <c r="G3830" s="10" t="s">
        <v>231</v>
      </c>
      <c r="H3830" s="10" t="s">
        <v>314</v>
      </c>
      <c r="I3830" s="10" t="s">
        <v>224</v>
      </c>
      <c r="J3830" s="10">
        <v>86</v>
      </c>
      <c r="K3830" s="12">
        <v>44981</v>
      </c>
      <c r="L3830" s="33">
        <v>0.54692129629629627</v>
      </c>
      <c r="M3830" s="10">
        <v>1</v>
      </c>
      <c r="N3830" s="10" t="s">
        <v>196</v>
      </c>
      <c r="O3830" s="10">
        <v>19.5</v>
      </c>
      <c r="P3830" s="10">
        <v>0.93600000000000005</v>
      </c>
      <c r="Q3830" s="10">
        <v>3560</v>
      </c>
      <c r="R3830" s="10" t="s">
        <v>170</v>
      </c>
      <c r="S3830" s="34">
        <f t="shared" si="430"/>
        <v>3560</v>
      </c>
      <c r="T3830" s="10" t="s">
        <v>1282</v>
      </c>
      <c r="U3830" s="34">
        <f t="shared" si="431"/>
        <v>110.55999999999999</v>
      </c>
      <c r="V3830" s="31">
        <f>IF(H3830="CHK",VLOOKUP(I3830,QCCHK,3,),IF(H3830="GUP",VLOOKUP(E3830,QCGUP,2,),IF(AND(H3830="ATP",OR(I3830="TN",I3830="TDN",I3830="TNO2-3",I3830="NO2-3")),VLOOKUP(E3830,QCREC_N,2,),IF(AND(H3830="NIC",OR(I3830="TN",I3830="TDN",I3830="TNO2-3",I3830="NO2-3")),VLOOKUP(E3830,QCNIC_N,2,),IF(AND(H3830="UREA",OR(I3830="TN",I3830="TDN",I3830="TNO2-3",I3830="NO2-3")),VLOOKUP(E3830,QCUREA_N,2,),IF(H3830="PER",VLOOKUP(I3830,QCPER,MATCH(E3830,QCACTUAL!$J$25:$AA$25,0),),IF(H3830="SPK",VLOOKUP(I3830,QCSPK,3,),IF(AND(H3830="ATP",OR(I3830="TP",I3830="TDP")),VLOOKUP(E3830,QCATP_P,2,),""))))))))</f>
        <v>2500</v>
      </c>
      <c r="W3830" s="31" t="str">
        <f t="shared" si="432"/>
        <v>TRUE</v>
      </c>
      <c r="X3830" s="31" t="str">
        <f t="shared" si="429"/>
        <v>([spikedunkn]-[unkn])/[spike]*100</v>
      </c>
      <c r="Y3830" s="10" t="s">
        <v>1275</v>
      </c>
      <c r="AF3830" s="12">
        <v>44981</v>
      </c>
      <c r="AK3830" s="10">
        <f>0.3348*19.5^2+180.18*19.5-102.36</f>
        <v>3538.4576999999999</v>
      </c>
      <c r="AL3830" s="10" t="str">
        <f t="shared" si="434"/>
        <v>FALSE</v>
      </c>
      <c r="AM3830" s="10" t="str">
        <f t="shared" si="434"/>
        <v>FALSE</v>
      </c>
      <c r="AN3830" s="10" t="str">
        <f t="shared" si="434"/>
        <v>FALSE</v>
      </c>
      <c r="AO3830" s="10" t="str">
        <f t="shared" si="435"/>
        <v>FALSE</v>
      </c>
      <c r="AP3830" s="10" t="str">
        <f t="shared" si="435"/>
        <v>y=0.3348*19.5^2+180.18*19.5-102.36</v>
      </c>
      <c r="AQ3830" s="10" t="b">
        <f>IF(AND(I3830="TP",S3830&lt;=150),VLOOKUP(AF3830,TPCalibEq150!$AZ$2:$BB$55,3,),IF(AND(I3830="TDP",S3830&lt;=150),VLOOKUP(AF3830,TPCalibEq150!$AZ$2:$BB$55,3,)))</f>
        <v>0</v>
      </c>
      <c r="AR3830" s="10" t="b">
        <f>IF(AND(I3830="TP",S3830&lt;=300),VLOOKUP(AF3830,TPCalibEq300!$AZ$2:$BB$55,3,),IF(AND(I3830="TDP",S3830&lt;=300),VLOOKUP(AF3830,TPCalibEq300!$AZ$2:$BB$55,3,)))</f>
        <v>0</v>
      </c>
      <c r="AS3830" s="10" t="b">
        <f>IF(AND(I3830="TP",S3830&lt;=500),VLOOKUP(AF3830,TPCalibEq500!$AZ$2:$BB$56,3,),IF(AND(I3830="TDP",S3830&lt;=500),VLOOKUP(AF3830,TPCalibEq500!$AZ$2:$BB$56,3,)))</f>
        <v>0</v>
      </c>
      <c r="AT3830" s="10" t="b">
        <f>IF(AND(I3830="TN",S3830&lt;=2800),VLOOKUP(AF3830,TNCalibEq2500!$AZ$2:$BB$56,3,),IF(AND(I3830="TDN",S3830&lt;=2800),VLOOKUP(AF3830,TNCalibEq2500!$AZ$2:$BB$56,3,)))</f>
        <v>0</v>
      </c>
      <c r="AU3830" s="10" t="str">
        <f>IF(I3830="TP",VLOOKUP(AF3830,TPCalibEqFull!$AZ$2:$BB$56,3),IF(I3830="TDP",VLOOKUP(AF3830,TPCalibEqFull!$AZ$2:$BB$56,3),IF(I3830="TDN",VLOOKUP(AF3830,TNCalibEqFull!$AZ$1:$BB$56,3),IF(I3830="TN",VLOOKUP(AF3830,TNCalibEqFull!$AZ$1:$BB$56,3),FALSE))))</f>
        <v>y=0.3348x2+180.18x-102.36</v>
      </c>
      <c r="AV3830" s="10" t="str">
        <f t="shared" si="433"/>
        <v>0221 07:40:00-HST -0-FIL-1-SW-SPK</v>
      </c>
    </row>
    <row r="3831" spans="1:48" s="10" customFormat="1" x14ac:dyDescent="0.55000000000000004">
      <c r="A3831" s="32">
        <v>44979</v>
      </c>
      <c r="B3831" s="33">
        <v>0.375</v>
      </c>
      <c r="C3831" s="10" t="s">
        <v>70</v>
      </c>
      <c r="D3831" s="10" t="s">
        <v>71</v>
      </c>
      <c r="E3831" s="10" t="s">
        <v>901</v>
      </c>
      <c r="F3831" s="10">
        <v>1</v>
      </c>
      <c r="G3831" s="10" t="s">
        <v>73</v>
      </c>
      <c r="H3831" s="10" t="s">
        <v>207</v>
      </c>
      <c r="I3831" s="10" t="s">
        <v>235</v>
      </c>
      <c r="J3831" s="10">
        <v>201</v>
      </c>
      <c r="K3831" s="12">
        <v>44981</v>
      </c>
      <c r="L3831" s="33">
        <v>0.54759259259259252</v>
      </c>
      <c r="M3831" s="10">
        <v>1</v>
      </c>
      <c r="N3831" s="10" t="s">
        <v>196</v>
      </c>
      <c r="O3831" s="10">
        <v>6.88</v>
      </c>
      <c r="P3831" s="10">
        <v>0.33600000000000002</v>
      </c>
      <c r="Q3831" s="10">
        <v>1180</v>
      </c>
      <c r="R3831" s="10" t="s">
        <v>170</v>
      </c>
      <c r="S3831" s="34">
        <f t="shared" si="430"/>
        <v>1180</v>
      </c>
      <c r="T3831" s="10" t="s">
        <v>1282</v>
      </c>
      <c r="U3831" s="34">
        <f t="shared" si="431"/>
        <v>94.399999999999991</v>
      </c>
      <c r="V3831" s="31">
        <f>IF(H3831="CHK",VLOOKUP(I3831,QCCHK,3,),IF(H3831="GUP",VLOOKUP(E3831,QCGUP,2,),IF(AND(H3831="ATP",OR(I3831="TN",I3831="TDN",I3831="TNO2-3",I3831="NO2-3")),VLOOKUP(E3831,QCREC_N,2,),IF(AND(H3831="NIC",OR(I3831="TN",I3831="TDN",I3831="TNO2-3",I3831="NO2-3")),VLOOKUP(E3831,QCNIC_N,2,),IF(AND(H3831="UREA",OR(I3831="TN",I3831="TDN",I3831="TNO2-3",I3831="NO2-3")),VLOOKUP(E3831,QCUREA_N,2,),IF(H3831="PER",VLOOKUP(I3831,QCPER,MATCH(E3831,QCACTUAL!$J$25:$AA$25,0),),IF(H3831="SPK",VLOOKUP(I3831,QCSPK,3,),IF(AND(H3831="ATP",OR(I3831="TP",I3831="TDP")),VLOOKUP(E3831,QCATP_P,2,),""))))))))</f>
        <v>1250</v>
      </c>
      <c r="W3831" s="31" t="str">
        <f t="shared" si="432"/>
        <v>TRUE</v>
      </c>
      <c r="X3831" s="31" t="str">
        <f t="shared" si="429"/>
        <v>[chk]/[actual]*100</v>
      </c>
      <c r="Y3831" s="10" t="s">
        <v>1275</v>
      </c>
      <c r="AF3831" s="12">
        <v>44981</v>
      </c>
      <c r="AJ3831" s="10">
        <f>2.8761*6.88^2+145.17*6.88-57.22</f>
        <v>1077.6880678399998</v>
      </c>
      <c r="AK3831" s="10">
        <f>0.3348*6.88^2+180.18*6.88-102.36</f>
        <v>1153.1259571200001</v>
      </c>
      <c r="AL3831" s="10" t="str">
        <f t="shared" si="434"/>
        <v>FALSE</v>
      </c>
      <c r="AM3831" s="10" t="str">
        <f t="shared" si="434"/>
        <v>FALSE</v>
      </c>
      <c r="AN3831" s="10" t="str">
        <f t="shared" si="434"/>
        <v>FALSE</v>
      </c>
      <c r="AO3831" s="10" t="str">
        <f t="shared" si="435"/>
        <v>y=2.8761*6.88^2+145.17*6.88-57.22</v>
      </c>
      <c r="AP3831" s="10" t="str">
        <f t="shared" si="435"/>
        <v>y=0.3348*6.88^2+180.18*6.88-102.36</v>
      </c>
      <c r="AQ3831" s="10" t="b">
        <f>IF(AND(I3831="TP",S3831&lt;=150),VLOOKUP(AF3831,TPCalibEq150!$AZ$2:$BB$55,3,),IF(AND(I3831="TDP",S3831&lt;=150),VLOOKUP(AF3831,TPCalibEq150!$AZ$2:$BB$55,3,)))</f>
        <v>0</v>
      </c>
      <c r="AR3831" s="10" t="b">
        <f>IF(AND(I3831="TP",S3831&lt;=300),VLOOKUP(AF3831,TPCalibEq300!$AZ$2:$BB$55,3,),IF(AND(I3831="TDP",S3831&lt;=300),VLOOKUP(AF3831,TPCalibEq300!$AZ$2:$BB$55,3,)))</f>
        <v>0</v>
      </c>
      <c r="AS3831" s="10" t="b">
        <f>IF(AND(I3831="TP",S3831&lt;=500),VLOOKUP(AF3831,TPCalibEq500!$AZ$2:$BB$56,3,),IF(AND(I3831="TDP",S3831&lt;=500),VLOOKUP(AF3831,TPCalibEq500!$AZ$2:$BB$56,3,)))</f>
        <v>0</v>
      </c>
      <c r="AT3831" s="10" t="str">
        <f>IF(AND(I3831="TN",S3831&lt;=2800),VLOOKUP(AF3831,TNCalibEq2500!$AZ$2:$BB$56,3,),IF(AND(I3831="TDN",S3831&lt;=2800),VLOOKUP(AF3831,TNCalibEq2500!$AZ$2:$BB$56,3,)))</f>
        <v>y=2.8761x2+145.17x-57.22</v>
      </c>
      <c r="AU3831" s="10" t="str">
        <f>IF(I3831="TP",VLOOKUP(AF3831,TPCalibEqFull!$AZ$2:$BB$56,3),IF(I3831="TDP",VLOOKUP(AF3831,TPCalibEqFull!$AZ$2:$BB$56,3),IF(I3831="TDN",VLOOKUP(AF3831,TNCalibEqFull!$AZ$1:$BB$56,3),IF(I3831="TN",VLOOKUP(AF3831,TNCalibEqFull!$AZ$1:$BB$56,3),FALSE))))</f>
        <v>y=0.3348x2+180.18x-102.36</v>
      </c>
      <c r="AV3831" s="10" t="str">
        <f t="shared" si="433"/>
        <v>0222 09:00:00-QAC-STD-D-1-DI-CHK</v>
      </c>
    </row>
    <row r="3832" spans="1:48" s="10" customFormat="1" x14ac:dyDescent="0.55000000000000004">
      <c r="A3832" s="32">
        <v>44978</v>
      </c>
      <c r="B3832" s="33">
        <v>0.4777777777777778</v>
      </c>
      <c r="C3832" s="10" t="s">
        <v>431</v>
      </c>
      <c r="D3832" s="10">
        <v>0</v>
      </c>
      <c r="E3832" s="10" t="s">
        <v>911</v>
      </c>
      <c r="F3832" s="10">
        <v>1</v>
      </c>
      <c r="G3832" s="10" t="s">
        <v>231</v>
      </c>
      <c r="H3832" s="10" t="s">
        <v>322</v>
      </c>
      <c r="I3832" s="10" t="s">
        <v>224</v>
      </c>
      <c r="J3832" s="10">
        <v>47</v>
      </c>
      <c r="K3832" s="12">
        <v>44981</v>
      </c>
      <c r="L3832" s="33">
        <v>0.54826388888888888</v>
      </c>
      <c r="M3832" s="10">
        <v>1</v>
      </c>
      <c r="N3832" s="10" t="s">
        <v>196</v>
      </c>
      <c r="O3832" s="10">
        <v>9.16</v>
      </c>
      <c r="P3832" s="10">
        <v>0.443</v>
      </c>
      <c r="Q3832" s="10">
        <v>1610</v>
      </c>
      <c r="R3832" s="10" t="s">
        <v>170</v>
      </c>
      <c r="S3832" s="34">
        <f t="shared" si="430"/>
        <v>1610</v>
      </c>
      <c r="T3832" s="10" t="s">
        <v>1282</v>
      </c>
      <c r="U3832" s="34" t="str">
        <f t="shared" si="431"/>
        <v/>
      </c>
      <c r="V3832" s="31" t="str">
        <f>IF(H3832="CHK",VLOOKUP(I3832,QCCHK,3,),IF(H3832="GUP",VLOOKUP(E3832,QCGUP,2,),IF(AND(H3832="ATP",OR(I3832="TN",I3832="TDN",I3832="TNO2-3",I3832="NO2-3")),VLOOKUP(E3832,QCREC_N,2,),IF(AND(H3832="NIC",OR(I3832="TN",I3832="TDN",I3832="TNO2-3",I3832="NO2-3")),VLOOKUP(E3832,QCNIC_N,2,),IF(AND(H3832="UREA",OR(I3832="TN",I3832="TDN",I3832="TNO2-3",I3832="NO2-3")),VLOOKUP(E3832,QCUREA_N,2,),IF(H3832="PER",VLOOKUP(I3832,QCPER,MATCH(E3832,QCACTUAL!$J$25:$AA$25,0),),IF(H3832="SPK",VLOOKUP(I3832,QCSPK,3,),IF(AND(H3832="ATP",OR(I3832="TP",I3832="TDP")),VLOOKUP(E3832,QCATP_P,2,),""))))))))</f>
        <v/>
      </c>
      <c r="W3832" s="31" t="str">
        <f t="shared" si="432"/>
        <v>TRUE</v>
      </c>
      <c r="X3832" s="31" t="str">
        <f t="shared" si="429"/>
        <v/>
      </c>
      <c r="Y3832" s="10" t="s">
        <v>1275</v>
      </c>
      <c r="AF3832" s="12">
        <v>44981</v>
      </c>
      <c r="AJ3832" s="10">
        <f>2.8761*9.16^2+145.17*9.16-57.22</f>
        <v>1513.8580961600001</v>
      </c>
      <c r="AK3832" s="10">
        <f>0.3348*9.16^2+180.18*9.16-102.36</f>
        <v>1576.1803948800002</v>
      </c>
      <c r="AL3832" s="10" t="str">
        <f t="shared" si="434"/>
        <v>FALSE</v>
      </c>
      <c r="AM3832" s="10" t="str">
        <f t="shared" si="434"/>
        <v>FALSE</v>
      </c>
      <c r="AN3832" s="10" t="str">
        <f t="shared" si="434"/>
        <v>FALSE</v>
      </c>
      <c r="AO3832" s="10" t="str">
        <f t="shared" si="435"/>
        <v>y=2.8761*9.16^2+145.17*9.16-57.22</v>
      </c>
      <c r="AP3832" s="10" t="str">
        <f t="shared" si="435"/>
        <v>y=0.3348*9.16^2+180.18*9.16-102.36</v>
      </c>
      <c r="AQ3832" s="10" t="b">
        <f>IF(AND(I3832="TP",S3832&lt;=150),VLOOKUP(AF3832,TPCalibEq150!$AZ$2:$BB$55,3,),IF(AND(I3832="TDP",S3832&lt;=150),VLOOKUP(AF3832,TPCalibEq150!$AZ$2:$BB$55,3,)))</f>
        <v>0</v>
      </c>
      <c r="AR3832" s="10" t="b">
        <f>IF(AND(I3832="TP",S3832&lt;=300),VLOOKUP(AF3832,TPCalibEq300!$AZ$2:$BB$55,3,),IF(AND(I3832="TDP",S3832&lt;=300),VLOOKUP(AF3832,TPCalibEq300!$AZ$2:$BB$55,3,)))</f>
        <v>0</v>
      </c>
      <c r="AS3832" s="10" t="b">
        <f>IF(AND(I3832="TP",S3832&lt;=500),VLOOKUP(AF3832,TPCalibEq500!$AZ$2:$BB$56,3,),IF(AND(I3832="TDP",S3832&lt;=500),VLOOKUP(AF3832,TPCalibEq500!$AZ$2:$BB$56,3,)))</f>
        <v>0</v>
      </c>
      <c r="AT3832" s="10" t="str">
        <f>IF(AND(I3832="TN",S3832&lt;=2800),VLOOKUP(AF3832,TNCalibEq2500!$AZ$2:$BB$56,3,),IF(AND(I3832="TDN",S3832&lt;=2800),VLOOKUP(AF3832,TNCalibEq2500!$AZ$2:$BB$56,3,)))</f>
        <v>y=2.8761x2+145.17x-57.22</v>
      </c>
      <c r="AU3832" s="10" t="str">
        <f>IF(I3832="TP",VLOOKUP(AF3832,TPCalibEqFull!$AZ$2:$BB$56,3),IF(I3832="TDP",VLOOKUP(AF3832,TPCalibEqFull!$AZ$2:$BB$56,3),IF(I3832="TDN",VLOOKUP(AF3832,TNCalibEqFull!$AZ$1:$BB$56,3),IF(I3832="TN",VLOOKUP(AF3832,TNCalibEqFull!$AZ$1:$BB$56,3),FALSE))))</f>
        <v>y=0.3348x2+180.18x-102.36</v>
      </c>
      <c r="AV3832" s="10" t="str">
        <f t="shared" si="433"/>
        <v>0221 11:28:00-EUS-0-FIL-1-SW-UKN</v>
      </c>
    </row>
    <row r="3833" spans="1:48" s="10" customFormat="1" x14ac:dyDescent="0.55000000000000004">
      <c r="A3833" s="32">
        <v>44978</v>
      </c>
      <c r="B3833" s="33">
        <v>0.48055555555555557</v>
      </c>
      <c r="C3833" s="10" t="s">
        <v>431</v>
      </c>
      <c r="D3833" s="10">
        <v>5</v>
      </c>
      <c r="E3833" s="10" t="s">
        <v>911</v>
      </c>
      <c r="F3833" s="10">
        <v>1</v>
      </c>
      <c r="G3833" s="10" t="s">
        <v>231</v>
      </c>
      <c r="H3833" s="10" t="s">
        <v>322</v>
      </c>
      <c r="I3833" s="10" t="s">
        <v>224</v>
      </c>
      <c r="J3833" s="10">
        <v>48</v>
      </c>
      <c r="K3833" s="12">
        <v>44981</v>
      </c>
      <c r="L3833" s="33">
        <v>0.54893518518518525</v>
      </c>
      <c r="M3833" s="10">
        <v>1</v>
      </c>
      <c r="N3833" s="10" t="s">
        <v>196</v>
      </c>
      <c r="O3833" s="10">
        <v>7.7</v>
      </c>
      <c r="P3833" s="10">
        <v>0.373</v>
      </c>
      <c r="Q3833" s="10">
        <v>1330</v>
      </c>
      <c r="R3833" s="10" t="s">
        <v>170</v>
      </c>
      <c r="S3833" s="34">
        <f t="shared" si="430"/>
        <v>1330</v>
      </c>
      <c r="T3833" s="10" t="s">
        <v>1282</v>
      </c>
      <c r="U3833" s="34" t="str">
        <f t="shared" si="431"/>
        <v/>
      </c>
      <c r="V3833" s="31" t="str">
        <f>IF(H3833="CHK",VLOOKUP(I3833,QCCHK,3,),IF(H3833="GUP",VLOOKUP(E3833,QCGUP,2,),IF(AND(H3833="ATP",OR(I3833="TN",I3833="TDN",I3833="TNO2-3",I3833="NO2-3")),VLOOKUP(E3833,QCREC_N,2,),IF(AND(H3833="NIC",OR(I3833="TN",I3833="TDN",I3833="TNO2-3",I3833="NO2-3")),VLOOKUP(E3833,QCNIC_N,2,),IF(AND(H3833="UREA",OR(I3833="TN",I3833="TDN",I3833="TNO2-3",I3833="NO2-3")),VLOOKUP(E3833,QCUREA_N,2,),IF(H3833="PER",VLOOKUP(I3833,QCPER,MATCH(E3833,QCACTUAL!$J$25:$AA$25,0),),IF(H3833="SPK",VLOOKUP(I3833,QCSPK,3,),IF(AND(H3833="ATP",OR(I3833="TP",I3833="TDP")),VLOOKUP(E3833,QCATP_P,2,),""))))))))</f>
        <v/>
      </c>
      <c r="W3833" s="31" t="str">
        <f t="shared" si="432"/>
        <v>TRUE</v>
      </c>
      <c r="X3833" s="31" t="str">
        <f t="shared" si="429"/>
        <v/>
      </c>
      <c r="Y3833" s="10" t="s">
        <v>1275</v>
      </c>
      <c r="AF3833" s="12">
        <v>44981</v>
      </c>
      <c r="AJ3833" s="10">
        <f>2.8761*7.7^2+145.17*7.7-57.22</f>
        <v>1231.112969</v>
      </c>
      <c r="AK3833" s="10">
        <f>0.3348*7.7^2+180.18*7.7-102.36</f>
        <v>1304.8762920000004</v>
      </c>
      <c r="AL3833" s="10" t="str">
        <f t="shared" si="434"/>
        <v>FALSE</v>
      </c>
      <c r="AM3833" s="10" t="str">
        <f t="shared" si="434"/>
        <v>FALSE</v>
      </c>
      <c r="AN3833" s="10" t="str">
        <f t="shared" si="434"/>
        <v>FALSE</v>
      </c>
      <c r="AO3833" s="10" t="str">
        <f t="shared" si="435"/>
        <v>y=2.8761*7.7^2+145.17*7.7-57.22</v>
      </c>
      <c r="AP3833" s="10" t="str">
        <f t="shared" si="435"/>
        <v>y=0.3348*7.7^2+180.18*7.7-102.36</v>
      </c>
      <c r="AQ3833" s="10" t="b">
        <f>IF(AND(I3833="TP",S3833&lt;=150),VLOOKUP(AF3833,TPCalibEq150!$AZ$2:$BB$55,3,),IF(AND(I3833="TDP",S3833&lt;=150),VLOOKUP(AF3833,TPCalibEq150!$AZ$2:$BB$55,3,)))</f>
        <v>0</v>
      </c>
      <c r="AR3833" s="10" t="b">
        <f>IF(AND(I3833="TP",S3833&lt;=300),VLOOKUP(AF3833,TPCalibEq300!$AZ$2:$BB$55,3,),IF(AND(I3833="TDP",S3833&lt;=300),VLOOKUP(AF3833,TPCalibEq300!$AZ$2:$BB$55,3,)))</f>
        <v>0</v>
      </c>
      <c r="AS3833" s="10" t="b">
        <f>IF(AND(I3833="TP",S3833&lt;=500),VLOOKUP(AF3833,TPCalibEq500!$AZ$2:$BB$56,3,),IF(AND(I3833="TDP",S3833&lt;=500),VLOOKUP(AF3833,TPCalibEq500!$AZ$2:$BB$56,3,)))</f>
        <v>0</v>
      </c>
      <c r="AT3833" s="10" t="str">
        <f>IF(AND(I3833="TN",S3833&lt;=2800),VLOOKUP(AF3833,TNCalibEq2500!$AZ$2:$BB$56,3,),IF(AND(I3833="TDN",S3833&lt;=2800),VLOOKUP(AF3833,TNCalibEq2500!$AZ$2:$BB$56,3,)))</f>
        <v>y=2.8761x2+145.17x-57.22</v>
      </c>
      <c r="AU3833" s="10" t="str">
        <f>IF(I3833="TP",VLOOKUP(AF3833,TPCalibEqFull!$AZ$2:$BB$56,3),IF(I3833="TDP",VLOOKUP(AF3833,TPCalibEqFull!$AZ$2:$BB$56,3),IF(I3833="TDN",VLOOKUP(AF3833,TNCalibEqFull!$AZ$1:$BB$56,3),IF(I3833="TN",VLOOKUP(AF3833,TNCalibEqFull!$AZ$1:$BB$56,3),FALSE))))</f>
        <v>y=0.3348x2+180.18x-102.36</v>
      </c>
      <c r="AV3833" s="10" t="str">
        <f t="shared" si="433"/>
        <v>0221 11:32:00-EUS-5-FIL-1-SW-UKN</v>
      </c>
    </row>
    <row r="3834" spans="1:48" s="10" customFormat="1" x14ac:dyDescent="0.55000000000000004">
      <c r="A3834" s="32">
        <v>44978</v>
      </c>
      <c r="B3834" s="33">
        <v>0.49444444444444446</v>
      </c>
      <c r="C3834" s="10" t="s">
        <v>618</v>
      </c>
      <c r="D3834" s="10">
        <v>0</v>
      </c>
      <c r="E3834" s="10" t="s">
        <v>911</v>
      </c>
      <c r="F3834" s="10">
        <v>1</v>
      </c>
      <c r="G3834" s="10" t="s">
        <v>231</v>
      </c>
      <c r="H3834" s="10" t="s">
        <v>322</v>
      </c>
      <c r="I3834" s="10" t="s">
        <v>224</v>
      </c>
      <c r="J3834" s="10">
        <v>49</v>
      </c>
      <c r="K3834" s="12">
        <v>44981</v>
      </c>
      <c r="L3834" s="33">
        <v>0.5496064814814815</v>
      </c>
      <c r="M3834" s="10">
        <v>1</v>
      </c>
      <c r="N3834" s="10" t="s">
        <v>196</v>
      </c>
      <c r="O3834" s="10">
        <v>6.31</v>
      </c>
      <c r="P3834" s="10">
        <v>0.30499999999999999</v>
      </c>
      <c r="Q3834" s="10">
        <v>1070</v>
      </c>
      <c r="R3834" s="10" t="s">
        <v>170</v>
      </c>
      <c r="S3834" s="34">
        <f t="shared" si="430"/>
        <v>1070</v>
      </c>
      <c r="T3834" s="10" t="s">
        <v>1282</v>
      </c>
      <c r="U3834" s="34" t="str">
        <f t="shared" si="431"/>
        <v/>
      </c>
      <c r="V3834" s="31" t="str">
        <f>IF(H3834="CHK",VLOOKUP(I3834,QCCHK,3,),IF(H3834="GUP",VLOOKUP(E3834,QCGUP,2,),IF(AND(H3834="ATP",OR(I3834="TN",I3834="TDN",I3834="TNO2-3",I3834="NO2-3")),VLOOKUP(E3834,QCREC_N,2,),IF(AND(H3834="NIC",OR(I3834="TN",I3834="TDN",I3834="TNO2-3",I3834="NO2-3")),VLOOKUP(E3834,QCNIC_N,2,),IF(AND(H3834="UREA",OR(I3834="TN",I3834="TDN",I3834="TNO2-3",I3834="NO2-3")),VLOOKUP(E3834,QCUREA_N,2,),IF(H3834="PER",VLOOKUP(I3834,QCPER,MATCH(E3834,QCACTUAL!$J$25:$AA$25,0),),IF(H3834="SPK",VLOOKUP(I3834,QCSPK,3,),IF(AND(H3834="ATP",OR(I3834="TP",I3834="TDP")),VLOOKUP(E3834,QCATP_P,2,),""))))))))</f>
        <v/>
      </c>
      <c r="W3834" s="31" t="str">
        <f t="shared" si="432"/>
        <v>TRUE</v>
      </c>
      <c r="X3834" s="31" t="str">
        <f t="shared" si="429"/>
        <v/>
      </c>
      <c r="Y3834" s="10" t="s">
        <v>1275</v>
      </c>
      <c r="AF3834" s="12">
        <v>44981</v>
      </c>
      <c r="AJ3834" s="10">
        <f>2.8761*6.31^2+145.17*6.31-57.22</f>
        <v>973.31778520999978</v>
      </c>
      <c r="AK3834" s="10">
        <f>0.3348*6.31^2+180.18*6.31-102.36</f>
        <v>1047.90623028</v>
      </c>
      <c r="AL3834" s="10" t="str">
        <f t="shared" si="434"/>
        <v>FALSE</v>
      </c>
      <c r="AM3834" s="10" t="str">
        <f t="shared" si="434"/>
        <v>FALSE</v>
      </c>
      <c r="AN3834" s="10" t="str">
        <f t="shared" si="434"/>
        <v>FALSE</v>
      </c>
      <c r="AO3834" s="10" t="str">
        <f t="shared" si="435"/>
        <v>y=2.8761*6.31^2+145.17*6.31-57.22</v>
      </c>
      <c r="AP3834" s="10" t="str">
        <f t="shared" si="435"/>
        <v>y=0.3348*6.31^2+180.18*6.31-102.36</v>
      </c>
      <c r="AQ3834" s="10" t="b">
        <f>IF(AND(I3834="TP",S3834&lt;=150),VLOOKUP(AF3834,TPCalibEq150!$AZ$2:$BB$55,3,),IF(AND(I3834="TDP",S3834&lt;=150),VLOOKUP(AF3834,TPCalibEq150!$AZ$2:$BB$55,3,)))</f>
        <v>0</v>
      </c>
      <c r="AR3834" s="10" t="b">
        <f>IF(AND(I3834="TP",S3834&lt;=300),VLOOKUP(AF3834,TPCalibEq300!$AZ$2:$BB$55,3,),IF(AND(I3834="TDP",S3834&lt;=300),VLOOKUP(AF3834,TPCalibEq300!$AZ$2:$BB$55,3,)))</f>
        <v>0</v>
      </c>
      <c r="AS3834" s="10" t="b">
        <f>IF(AND(I3834="TP",S3834&lt;=500),VLOOKUP(AF3834,TPCalibEq500!$AZ$2:$BB$56,3,),IF(AND(I3834="TDP",S3834&lt;=500),VLOOKUP(AF3834,TPCalibEq500!$AZ$2:$BB$56,3,)))</f>
        <v>0</v>
      </c>
      <c r="AT3834" s="10" t="str">
        <f>IF(AND(I3834="TN",S3834&lt;=2800),VLOOKUP(AF3834,TNCalibEq2500!$AZ$2:$BB$56,3,),IF(AND(I3834="TDN",S3834&lt;=2800),VLOOKUP(AF3834,TNCalibEq2500!$AZ$2:$BB$56,3,)))</f>
        <v>y=2.8761x2+145.17x-57.22</v>
      </c>
      <c r="AU3834" s="10" t="str">
        <f>IF(I3834="TP",VLOOKUP(AF3834,TPCalibEqFull!$AZ$2:$BB$56,3),IF(I3834="TDP",VLOOKUP(AF3834,TPCalibEqFull!$AZ$2:$BB$56,3),IF(I3834="TDN",VLOOKUP(AF3834,TNCalibEqFull!$AZ$1:$BB$56,3),IF(I3834="TN",VLOOKUP(AF3834,TNCalibEqFull!$AZ$1:$BB$56,3),FALSE))))</f>
        <v>y=0.3348x2+180.18x-102.36</v>
      </c>
      <c r="AV3834" s="10" t="str">
        <f t="shared" si="433"/>
        <v>0221 11:52:00-ECP-0-FIL-1-SW-UKN</v>
      </c>
    </row>
    <row r="3835" spans="1:48" s="10" customFormat="1" x14ac:dyDescent="0.55000000000000004">
      <c r="A3835" s="32">
        <v>44978</v>
      </c>
      <c r="B3835" s="33">
        <v>0.49444444444444446</v>
      </c>
      <c r="C3835" s="10" t="s">
        <v>618</v>
      </c>
      <c r="D3835" s="10">
        <v>0</v>
      </c>
      <c r="E3835" s="10" t="s">
        <v>911</v>
      </c>
      <c r="F3835" s="10">
        <v>2</v>
      </c>
      <c r="G3835" s="10" t="s">
        <v>231</v>
      </c>
      <c r="H3835" s="10" t="s">
        <v>322</v>
      </c>
      <c r="I3835" s="10" t="s">
        <v>224</v>
      </c>
      <c r="J3835" s="10">
        <v>50</v>
      </c>
      <c r="K3835" s="12">
        <v>44981</v>
      </c>
      <c r="L3835" s="33">
        <v>0.55027777777777775</v>
      </c>
      <c r="M3835" s="10">
        <v>1</v>
      </c>
      <c r="N3835" s="10" t="s">
        <v>196</v>
      </c>
      <c r="O3835" s="10">
        <v>5.98</v>
      </c>
      <c r="P3835" s="10">
        <v>0.28899999999999998</v>
      </c>
      <c r="Q3835" s="10">
        <v>1010</v>
      </c>
      <c r="R3835" s="10" t="s">
        <v>170</v>
      </c>
      <c r="S3835" s="34">
        <f t="shared" si="430"/>
        <v>1010</v>
      </c>
      <c r="T3835" s="10" t="s">
        <v>1282</v>
      </c>
      <c r="U3835" s="34" t="str">
        <f t="shared" si="431"/>
        <v/>
      </c>
      <c r="V3835" s="31" t="str">
        <f>IF(H3835="CHK",VLOOKUP(I3835,QCCHK,3,),IF(H3835="GUP",VLOOKUP(E3835,QCGUP,2,),IF(AND(H3835="ATP",OR(I3835="TN",I3835="TDN",I3835="TNO2-3",I3835="NO2-3")),VLOOKUP(E3835,QCREC_N,2,),IF(AND(H3835="NIC",OR(I3835="TN",I3835="TDN",I3835="TNO2-3",I3835="NO2-3")),VLOOKUP(E3835,QCNIC_N,2,),IF(AND(H3835="UREA",OR(I3835="TN",I3835="TDN",I3835="TNO2-3",I3835="NO2-3")),VLOOKUP(E3835,QCUREA_N,2,),IF(H3835="PER",VLOOKUP(I3835,QCPER,MATCH(E3835,QCACTUAL!$J$25:$AA$25,0),),IF(H3835="SPK",VLOOKUP(I3835,QCSPK,3,),IF(AND(H3835="ATP",OR(I3835="TP",I3835="TDP")),VLOOKUP(E3835,QCATP_P,2,),""))))))))</f>
        <v/>
      </c>
      <c r="W3835" s="31" t="str">
        <f t="shared" si="432"/>
        <v>TRUE</v>
      </c>
      <c r="X3835" s="31" t="str">
        <f t="shared" si="429"/>
        <v/>
      </c>
      <c r="Y3835" s="10" t="s">
        <v>1275</v>
      </c>
      <c r="AF3835" s="12">
        <v>44981</v>
      </c>
      <c r="AJ3835" s="10">
        <f>2.8761*5.98^2+145.17*5.98-57.22</f>
        <v>913.74708643999998</v>
      </c>
      <c r="AK3835" s="10">
        <f>0.3348*5.98^2+180.18*5.98-102.36</f>
        <v>987.08898192000004</v>
      </c>
      <c r="AL3835" s="10" t="str">
        <f t="shared" si="434"/>
        <v>FALSE</v>
      </c>
      <c r="AM3835" s="10" t="str">
        <f t="shared" si="434"/>
        <v>FALSE</v>
      </c>
      <c r="AN3835" s="10" t="str">
        <f t="shared" si="434"/>
        <v>FALSE</v>
      </c>
      <c r="AO3835" s="10" t="str">
        <f t="shared" si="435"/>
        <v>y=2.8761*5.98^2+145.17*5.98-57.22</v>
      </c>
      <c r="AP3835" s="10" t="str">
        <f t="shared" si="435"/>
        <v>y=0.3348*5.98^2+180.18*5.98-102.36</v>
      </c>
      <c r="AQ3835" s="10" t="b">
        <f>IF(AND(I3835="TP",S3835&lt;=150),VLOOKUP(AF3835,TPCalibEq150!$AZ$2:$BB$55,3,),IF(AND(I3835="TDP",S3835&lt;=150),VLOOKUP(AF3835,TPCalibEq150!$AZ$2:$BB$55,3,)))</f>
        <v>0</v>
      </c>
      <c r="AR3835" s="10" t="b">
        <f>IF(AND(I3835="TP",S3835&lt;=300),VLOOKUP(AF3835,TPCalibEq300!$AZ$2:$BB$55,3,),IF(AND(I3835="TDP",S3835&lt;=300),VLOOKUP(AF3835,TPCalibEq300!$AZ$2:$BB$55,3,)))</f>
        <v>0</v>
      </c>
      <c r="AS3835" s="10" t="b">
        <f>IF(AND(I3835="TP",S3835&lt;=500),VLOOKUP(AF3835,TPCalibEq500!$AZ$2:$BB$56,3,),IF(AND(I3835="TDP",S3835&lt;=500),VLOOKUP(AF3835,TPCalibEq500!$AZ$2:$BB$56,3,)))</f>
        <v>0</v>
      </c>
      <c r="AT3835" s="10" t="str">
        <f>IF(AND(I3835="TN",S3835&lt;=2800),VLOOKUP(AF3835,TNCalibEq2500!$AZ$2:$BB$56,3,),IF(AND(I3835="TDN",S3835&lt;=2800),VLOOKUP(AF3835,TNCalibEq2500!$AZ$2:$BB$56,3,)))</f>
        <v>y=2.8761x2+145.17x-57.22</v>
      </c>
      <c r="AU3835" s="10" t="str">
        <f>IF(I3835="TP",VLOOKUP(AF3835,TPCalibEqFull!$AZ$2:$BB$56,3),IF(I3835="TDP",VLOOKUP(AF3835,TPCalibEqFull!$AZ$2:$BB$56,3),IF(I3835="TDN",VLOOKUP(AF3835,TNCalibEqFull!$AZ$1:$BB$56,3),IF(I3835="TN",VLOOKUP(AF3835,TNCalibEqFull!$AZ$1:$BB$56,3),FALSE))))</f>
        <v>y=0.3348x2+180.18x-102.36</v>
      </c>
      <c r="AV3835" s="10" t="str">
        <f t="shared" si="433"/>
        <v>0221 11:52:00-ECP-0-FIL-2-SW-UKN</v>
      </c>
    </row>
    <row r="3836" spans="1:48" s="10" customFormat="1" x14ac:dyDescent="0.55000000000000004">
      <c r="A3836" s="32">
        <v>44978</v>
      </c>
      <c r="B3836" s="33">
        <v>0.49444444444444446</v>
      </c>
      <c r="C3836" s="10" t="s">
        <v>618</v>
      </c>
      <c r="D3836" s="10">
        <v>0</v>
      </c>
      <c r="E3836" s="10" t="s">
        <v>911</v>
      </c>
      <c r="F3836" s="10">
        <v>2</v>
      </c>
      <c r="G3836" s="10" t="s">
        <v>231</v>
      </c>
      <c r="H3836" s="10" t="s">
        <v>233</v>
      </c>
      <c r="I3836" s="10" t="s">
        <v>224</v>
      </c>
      <c r="J3836" s="10">
        <v>50</v>
      </c>
      <c r="K3836" s="12">
        <v>44981</v>
      </c>
      <c r="L3836" s="33">
        <v>0.55094907407407401</v>
      </c>
      <c r="M3836" s="10">
        <v>1</v>
      </c>
      <c r="N3836" s="10" t="s">
        <v>196</v>
      </c>
      <c r="O3836" s="10">
        <v>5.97</v>
      </c>
      <c r="P3836" s="10">
        <v>0.28899999999999998</v>
      </c>
      <c r="Q3836" s="10">
        <v>1000</v>
      </c>
      <c r="R3836" s="10" t="s">
        <v>170</v>
      </c>
      <c r="S3836" s="34">
        <f t="shared" si="430"/>
        <v>1000</v>
      </c>
      <c r="T3836" s="10" t="s">
        <v>1282</v>
      </c>
      <c r="U3836" s="34">
        <f t="shared" si="431"/>
        <v>0.99502487562189057</v>
      </c>
      <c r="V3836" s="31" t="str">
        <f>IF(H3836="CHK",VLOOKUP(I3836,QCCHK,3,),IF(H3836="GUP",VLOOKUP(E3836,QCGUP,2,),IF(AND(H3836="ATP",OR(I3836="TN",I3836="TDN",I3836="TNO2-3",I3836="NO2-3")),VLOOKUP(E3836,QCREC_N,2,),IF(AND(H3836="NIC",OR(I3836="TN",I3836="TDN",I3836="TNO2-3",I3836="NO2-3")),VLOOKUP(E3836,QCNIC_N,2,),IF(AND(H3836="UREA",OR(I3836="TN",I3836="TDN",I3836="TNO2-3",I3836="NO2-3")),VLOOKUP(E3836,QCUREA_N,2,),IF(H3836="PER",VLOOKUP(I3836,QCPER,MATCH(E3836,QCACTUAL!$J$25:$AA$25,0),),IF(H3836="SPK",VLOOKUP(I3836,QCSPK,3,),IF(AND(H3836="ATP",OR(I3836="TP",I3836="TDP")),VLOOKUP(E3836,QCATP_P,2,),""))))))))</f>
        <v/>
      </c>
      <c r="W3836" s="31" t="str">
        <f t="shared" si="432"/>
        <v>TRUE</v>
      </c>
      <c r="X3836" s="31" t="str">
        <f t="shared" si="429"/>
        <v>((ABS(rep1-rep2))/((rep1+rep2)/2)*100</v>
      </c>
      <c r="Y3836" s="10" t="s">
        <v>1275</v>
      </c>
      <c r="AF3836" s="12">
        <v>44981</v>
      </c>
      <c r="AJ3836" s="10">
        <f>2.8761*5.97^2+145.17*5.97-57.22</f>
        <v>911.9516924899998</v>
      </c>
      <c r="AK3836" s="10">
        <f>0.3348*5.97^2+180.18*5.97-102.36</f>
        <v>985.24717332000012</v>
      </c>
      <c r="AL3836" s="10" t="str">
        <f t="shared" si="434"/>
        <v>FALSE</v>
      </c>
      <c r="AM3836" s="10" t="str">
        <f t="shared" si="434"/>
        <v>FALSE</v>
      </c>
      <c r="AN3836" s="10" t="str">
        <f t="shared" si="434"/>
        <v>FALSE</v>
      </c>
      <c r="AO3836" s="10" t="str">
        <f t="shared" si="435"/>
        <v>y=2.8761*5.97^2+145.17*5.97-57.22</v>
      </c>
      <c r="AP3836" s="10" t="str">
        <f t="shared" si="435"/>
        <v>y=0.3348*5.97^2+180.18*5.97-102.36</v>
      </c>
      <c r="AQ3836" s="10" t="b">
        <f>IF(AND(I3836="TP",S3836&lt;=150),VLOOKUP(AF3836,TPCalibEq150!$AZ$2:$BB$55,3,),IF(AND(I3836="TDP",S3836&lt;=150),VLOOKUP(AF3836,TPCalibEq150!$AZ$2:$BB$55,3,)))</f>
        <v>0</v>
      </c>
      <c r="AR3836" s="10" t="b">
        <f>IF(AND(I3836="TP",S3836&lt;=300),VLOOKUP(AF3836,TPCalibEq300!$AZ$2:$BB$55,3,),IF(AND(I3836="TDP",S3836&lt;=300),VLOOKUP(AF3836,TPCalibEq300!$AZ$2:$BB$55,3,)))</f>
        <v>0</v>
      </c>
      <c r="AS3836" s="10" t="b">
        <f>IF(AND(I3836="TP",S3836&lt;=500),VLOOKUP(AF3836,TPCalibEq500!$AZ$2:$BB$56,3,),IF(AND(I3836="TDP",S3836&lt;=500),VLOOKUP(AF3836,TPCalibEq500!$AZ$2:$BB$56,3,)))</f>
        <v>0</v>
      </c>
      <c r="AT3836" s="10" t="str">
        <f>IF(AND(I3836="TN",S3836&lt;=2800),VLOOKUP(AF3836,TNCalibEq2500!$AZ$2:$BB$56,3,),IF(AND(I3836="TDN",S3836&lt;=2800),VLOOKUP(AF3836,TNCalibEq2500!$AZ$2:$BB$56,3,)))</f>
        <v>y=2.8761x2+145.17x-57.22</v>
      </c>
      <c r="AU3836" s="10" t="str">
        <f>IF(I3836="TP",VLOOKUP(AF3836,TPCalibEqFull!$AZ$2:$BB$56,3),IF(I3836="TDP",VLOOKUP(AF3836,TPCalibEqFull!$AZ$2:$BB$56,3),IF(I3836="TDN",VLOOKUP(AF3836,TNCalibEqFull!$AZ$1:$BB$56,3),IF(I3836="TN",VLOOKUP(AF3836,TNCalibEqFull!$AZ$1:$BB$56,3),FALSE))))</f>
        <v>y=0.3348x2+180.18x-102.36</v>
      </c>
      <c r="AV3836" s="10" t="str">
        <f t="shared" si="433"/>
        <v>0221 11:52:00-ECP-0-FIL-2-SW-DUP</v>
      </c>
    </row>
    <row r="3837" spans="1:48" s="10" customFormat="1" x14ac:dyDescent="0.55000000000000004">
      <c r="A3837" s="32">
        <v>44978</v>
      </c>
      <c r="B3837" s="33">
        <v>0.49444444444444446</v>
      </c>
      <c r="C3837" s="10" t="s">
        <v>618</v>
      </c>
      <c r="D3837" s="10">
        <v>0</v>
      </c>
      <c r="E3837" s="10" t="s">
        <v>911</v>
      </c>
      <c r="F3837" s="10">
        <v>2</v>
      </c>
      <c r="G3837" s="10" t="s">
        <v>231</v>
      </c>
      <c r="H3837" s="10" t="s">
        <v>314</v>
      </c>
      <c r="I3837" s="10" t="s">
        <v>224</v>
      </c>
      <c r="J3837" s="10">
        <v>87</v>
      </c>
      <c r="K3837" s="12">
        <v>44981</v>
      </c>
      <c r="L3837" s="33">
        <v>0.55159722222222218</v>
      </c>
      <c r="M3837" s="10">
        <v>1</v>
      </c>
      <c r="N3837" s="10" t="s">
        <v>196</v>
      </c>
      <c r="O3837" s="10">
        <v>20.3</v>
      </c>
      <c r="P3837" s="10">
        <v>0.97599999999999998</v>
      </c>
      <c r="Q3837" s="10">
        <v>3710</v>
      </c>
      <c r="R3837" s="10" t="s">
        <v>170</v>
      </c>
      <c r="S3837" s="34">
        <f t="shared" si="430"/>
        <v>3710</v>
      </c>
      <c r="T3837" s="10" t="s">
        <v>1282</v>
      </c>
      <c r="U3837" s="34">
        <f t="shared" si="431"/>
        <v>108.4</v>
      </c>
      <c r="V3837" s="31">
        <f>IF(H3837="CHK",VLOOKUP(I3837,QCCHK,3,),IF(H3837="GUP",VLOOKUP(E3837,QCGUP,2,),IF(AND(H3837="ATP",OR(I3837="TN",I3837="TDN",I3837="TNO2-3",I3837="NO2-3")),VLOOKUP(E3837,QCREC_N,2,),IF(AND(H3837="NIC",OR(I3837="TN",I3837="TDN",I3837="TNO2-3",I3837="NO2-3")),VLOOKUP(E3837,QCNIC_N,2,),IF(AND(H3837="UREA",OR(I3837="TN",I3837="TDN",I3837="TNO2-3",I3837="NO2-3")),VLOOKUP(E3837,QCUREA_N,2,),IF(H3837="PER",VLOOKUP(I3837,QCPER,MATCH(E3837,QCACTUAL!$J$25:$AA$25,0),),IF(H3837="SPK",VLOOKUP(I3837,QCSPK,3,),IF(AND(H3837="ATP",OR(I3837="TP",I3837="TDP")),VLOOKUP(E3837,QCATP_P,2,),""))))))))</f>
        <v>2500</v>
      </c>
      <c r="W3837" s="31" t="str">
        <f t="shared" si="432"/>
        <v>TRUE</v>
      </c>
      <c r="X3837" s="31" t="str">
        <f t="shared" si="429"/>
        <v>([spikedunkn]-[unkn])/[spike]*100</v>
      </c>
      <c r="Y3837" s="10" t="s">
        <v>1275</v>
      </c>
      <c r="AF3837" s="12">
        <v>44981</v>
      </c>
      <c r="AK3837" s="10">
        <f>0.3348*20.3^2+180.18*20.3-102.36</f>
        <v>3693.2617320000004</v>
      </c>
      <c r="AL3837" s="10" t="str">
        <f t="shared" si="434"/>
        <v>FALSE</v>
      </c>
      <c r="AM3837" s="10" t="str">
        <f t="shared" si="434"/>
        <v>FALSE</v>
      </c>
      <c r="AN3837" s="10" t="str">
        <f t="shared" si="434"/>
        <v>FALSE</v>
      </c>
      <c r="AO3837" s="10" t="str">
        <f t="shared" si="435"/>
        <v>FALSE</v>
      </c>
      <c r="AP3837" s="10" t="str">
        <f t="shared" si="435"/>
        <v>y=0.3348*20.3^2+180.18*20.3-102.36</v>
      </c>
      <c r="AQ3837" s="10" t="b">
        <f>IF(AND(I3837="TP",S3837&lt;=150),VLOOKUP(AF3837,TPCalibEq150!$AZ$2:$BB$55,3,),IF(AND(I3837="TDP",S3837&lt;=150),VLOOKUP(AF3837,TPCalibEq150!$AZ$2:$BB$55,3,)))</f>
        <v>0</v>
      </c>
      <c r="AR3837" s="10" t="b">
        <f>IF(AND(I3837="TP",S3837&lt;=300),VLOOKUP(AF3837,TPCalibEq300!$AZ$2:$BB$55,3,),IF(AND(I3837="TDP",S3837&lt;=300),VLOOKUP(AF3837,TPCalibEq300!$AZ$2:$BB$55,3,)))</f>
        <v>0</v>
      </c>
      <c r="AS3837" s="10" t="b">
        <f>IF(AND(I3837="TP",S3837&lt;=500),VLOOKUP(AF3837,TPCalibEq500!$AZ$2:$BB$56,3,),IF(AND(I3837="TDP",S3837&lt;=500),VLOOKUP(AF3837,TPCalibEq500!$AZ$2:$BB$56,3,)))</f>
        <v>0</v>
      </c>
      <c r="AT3837" s="10" t="b">
        <f>IF(AND(I3837="TN",S3837&lt;=2800),VLOOKUP(AF3837,TNCalibEq2500!$AZ$2:$BB$56,3,),IF(AND(I3837="TDN",S3837&lt;=2800),VLOOKUP(AF3837,TNCalibEq2500!$AZ$2:$BB$56,3,)))</f>
        <v>0</v>
      </c>
      <c r="AU3837" s="10" t="str">
        <f>IF(I3837="TP",VLOOKUP(AF3837,TPCalibEqFull!$AZ$2:$BB$56,3),IF(I3837="TDP",VLOOKUP(AF3837,TPCalibEqFull!$AZ$2:$BB$56,3),IF(I3837="TDN",VLOOKUP(AF3837,TNCalibEqFull!$AZ$1:$BB$56,3),IF(I3837="TN",VLOOKUP(AF3837,TNCalibEqFull!$AZ$1:$BB$56,3),FALSE))))</f>
        <v>y=0.3348x2+180.18x-102.36</v>
      </c>
      <c r="AV3837" s="10" t="str">
        <f t="shared" si="433"/>
        <v>0221 11:52:00-ECP-0-FIL-2-SW-SPK</v>
      </c>
    </row>
    <row r="3838" spans="1:48" s="10" customFormat="1" x14ac:dyDescent="0.55000000000000004">
      <c r="A3838" s="32">
        <v>44979</v>
      </c>
      <c r="B3838" s="33">
        <v>0.375</v>
      </c>
      <c r="C3838" s="10" t="s">
        <v>70</v>
      </c>
      <c r="D3838" s="10" t="s">
        <v>71</v>
      </c>
      <c r="E3838" s="10" t="s">
        <v>901</v>
      </c>
      <c r="F3838" s="10">
        <v>1</v>
      </c>
      <c r="G3838" s="10" t="s">
        <v>73</v>
      </c>
      <c r="H3838" s="10" t="s">
        <v>207</v>
      </c>
      <c r="I3838" s="10" t="s">
        <v>235</v>
      </c>
      <c r="J3838" s="10">
        <v>202</v>
      </c>
      <c r="K3838" s="12">
        <v>44981</v>
      </c>
      <c r="L3838" s="33">
        <v>0.55228009259259259</v>
      </c>
      <c r="M3838" s="10">
        <v>1</v>
      </c>
      <c r="N3838" s="10" t="s">
        <v>196</v>
      </c>
      <c r="O3838" s="10">
        <v>6.72</v>
      </c>
      <c r="P3838" s="10">
        <v>0.33</v>
      </c>
      <c r="Q3838" s="10">
        <v>1150</v>
      </c>
      <c r="R3838" s="10" t="s">
        <v>170</v>
      </c>
      <c r="S3838" s="34">
        <f t="shared" si="430"/>
        <v>1150</v>
      </c>
      <c r="T3838" s="10" t="s">
        <v>1282</v>
      </c>
      <c r="U3838" s="34">
        <f t="shared" si="431"/>
        <v>92</v>
      </c>
      <c r="V3838" s="31">
        <f>IF(H3838="CHK",VLOOKUP(I3838,QCCHK,3,),IF(H3838="GUP",VLOOKUP(E3838,QCGUP,2,),IF(AND(H3838="ATP",OR(I3838="TN",I3838="TDN",I3838="TNO2-3",I3838="NO2-3")),VLOOKUP(E3838,QCREC_N,2,),IF(AND(H3838="NIC",OR(I3838="TN",I3838="TDN",I3838="TNO2-3",I3838="NO2-3")),VLOOKUP(E3838,QCNIC_N,2,),IF(AND(H3838="UREA",OR(I3838="TN",I3838="TDN",I3838="TNO2-3",I3838="NO2-3")),VLOOKUP(E3838,QCUREA_N,2,),IF(H3838="PER",VLOOKUP(I3838,QCPER,MATCH(E3838,QCACTUAL!$J$25:$AA$25,0),),IF(H3838="SPK",VLOOKUP(I3838,QCSPK,3,),IF(AND(H3838="ATP",OR(I3838="TP",I3838="TDP")),VLOOKUP(E3838,QCATP_P,2,),""))))))))</f>
        <v>1250</v>
      </c>
      <c r="W3838" s="31" t="str">
        <f t="shared" si="432"/>
        <v>TRUE</v>
      </c>
      <c r="X3838" s="31" t="str">
        <f t="shared" si="429"/>
        <v>[chk]/[actual]*100</v>
      </c>
      <c r="Y3838" s="10" t="s">
        <v>1275</v>
      </c>
      <c r="AF3838" s="12">
        <v>44981</v>
      </c>
      <c r="AJ3838" s="10">
        <f>2.8761*6.72^2+145.17*6.72-57.22</f>
        <v>1048.2024742399999</v>
      </c>
      <c r="AK3838" s="10">
        <f>0.3348*6.72^2+180.18*6.72-102.36</f>
        <v>1123.5686323200002</v>
      </c>
      <c r="AL3838" s="10" t="str">
        <f t="shared" si="434"/>
        <v>FALSE</v>
      </c>
      <c r="AM3838" s="10" t="str">
        <f t="shared" si="434"/>
        <v>FALSE</v>
      </c>
      <c r="AN3838" s="10" t="str">
        <f t="shared" si="434"/>
        <v>FALSE</v>
      </c>
      <c r="AO3838" s="10" t="str">
        <f t="shared" si="435"/>
        <v>y=2.8761*6.72^2+145.17*6.72-57.22</v>
      </c>
      <c r="AP3838" s="10" t="str">
        <f t="shared" si="435"/>
        <v>y=0.3348*6.72^2+180.18*6.72-102.36</v>
      </c>
      <c r="AQ3838" s="10" t="b">
        <f>IF(AND(I3838="TP",S3838&lt;=150),VLOOKUP(AF3838,TPCalibEq150!$AZ$2:$BB$55,3,),IF(AND(I3838="TDP",S3838&lt;=150),VLOOKUP(AF3838,TPCalibEq150!$AZ$2:$BB$55,3,)))</f>
        <v>0</v>
      </c>
      <c r="AR3838" s="10" t="b">
        <f>IF(AND(I3838="TP",S3838&lt;=300),VLOOKUP(AF3838,TPCalibEq300!$AZ$2:$BB$55,3,),IF(AND(I3838="TDP",S3838&lt;=300),VLOOKUP(AF3838,TPCalibEq300!$AZ$2:$BB$55,3,)))</f>
        <v>0</v>
      </c>
      <c r="AS3838" s="10" t="b">
        <f>IF(AND(I3838="TP",S3838&lt;=500),VLOOKUP(AF3838,TPCalibEq500!$AZ$2:$BB$56,3,),IF(AND(I3838="TDP",S3838&lt;=500),VLOOKUP(AF3838,TPCalibEq500!$AZ$2:$BB$56,3,)))</f>
        <v>0</v>
      </c>
      <c r="AT3838" s="10" t="str">
        <f>IF(AND(I3838="TN",S3838&lt;=2800),VLOOKUP(AF3838,TNCalibEq2500!$AZ$2:$BB$56,3,),IF(AND(I3838="TDN",S3838&lt;=2800),VLOOKUP(AF3838,TNCalibEq2500!$AZ$2:$BB$56,3,)))</f>
        <v>y=2.8761x2+145.17x-57.22</v>
      </c>
      <c r="AU3838" s="10" t="str">
        <f>IF(I3838="TP",VLOOKUP(AF3838,TPCalibEqFull!$AZ$2:$BB$56,3),IF(I3838="TDP",VLOOKUP(AF3838,TPCalibEqFull!$AZ$2:$BB$56,3),IF(I3838="TDN",VLOOKUP(AF3838,TNCalibEqFull!$AZ$1:$BB$56,3),IF(I3838="TN",VLOOKUP(AF3838,TNCalibEqFull!$AZ$1:$BB$56,3),FALSE))))</f>
        <v>y=0.3348x2+180.18x-102.36</v>
      </c>
      <c r="AV3838" s="10" t="str">
        <f t="shared" si="433"/>
        <v>0222 09:00:00-QAC-STD-D-1-DI-CHK</v>
      </c>
    </row>
    <row r="3839" spans="1:48" s="10" customFormat="1" x14ac:dyDescent="0.55000000000000004">
      <c r="A3839" s="32">
        <v>44978</v>
      </c>
      <c r="B3839" s="33">
        <v>0.49652777777777773</v>
      </c>
      <c r="C3839" s="10" t="s">
        <v>618</v>
      </c>
      <c r="D3839" s="10">
        <v>5</v>
      </c>
      <c r="E3839" s="10" t="s">
        <v>911</v>
      </c>
      <c r="F3839" s="10">
        <v>1</v>
      </c>
      <c r="G3839" s="10" t="s">
        <v>231</v>
      </c>
      <c r="H3839" s="10" t="s">
        <v>322</v>
      </c>
      <c r="I3839" s="10" t="s">
        <v>224</v>
      </c>
      <c r="J3839" s="10">
        <v>51</v>
      </c>
      <c r="K3839" s="12">
        <v>44981</v>
      </c>
      <c r="L3839" s="33">
        <v>0.5529398148148148</v>
      </c>
      <c r="M3839" s="10">
        <v>1</v>
      </c>
      <c r="N3839" s="10" t="s">
        <v>196</v>
      </c>
      <c r="O3839" s="10">
        <v>6</v>
      </c>
      <c r="P3839" s="10">
        <v>0.29099999999999998</v>
      </c>
      <c r="Q3839" s="10">
        <v>1010</v>
      </c>
      <c r="R3839" s="10" t="s">
        <v>170</v>
      </c>
      <c r="S3839" s="34">
        <f t="shared" si="430"/>
        <v>1010</v>
      </c>
      <c r="T3839" s="10" t="s">
        <v>1282</v>
      </c>
      <c r="U3839" s="34" t="str">
        <f t="shared" si="431"/>
        <v/>
      </c>
      <c r="V3839" s="31" t="str">
        <f>IF(H3839="CHK",VLOOKUP(I3839,QCCHK,3,),IF(H3839="GUP",VLOOKUP(E3839,QCGUP,2,),IF(AND(H3839="ATP",OR(I3839="TN",I3839="TDN",I3839="TNO2-3",I3839="NO2-3")),VLOOKUP(E3839,QCREC_N,2,),IF(AND(H3839="NIC",OR(I3839="TN",I3839="TDN",I3839="TNO2-3",I3839="NO2-3")),VLOOKUP(E3839,QCNIC_N,2,),IF(AND(H3839="UREA",OR(I3839="TN",I3839="TDN",I3839="TNO2-3",I3839="NO2-3")),VLOOKUP(E3839,QCUREA_N,2,),IF(H3839="PER",VLOOKUP(I3839,QCPER,MATCH(E3839,QCACTUAL!$J$25:$AA$25,0),),IF(H3839="SPK",VLOOKUP(I3839,QCSPK,3,),IF(AND(H3839="ATP",OR(I3839="TP",I3839="TDP")),VLOOKUP(E3839,QCATP_P,2,),""))))))))</f>
        <v/>
      </c>
      <c r="W3839" s="31" t="str">
        <f t="shared" si="432"/>
        <v>TRUE</v>
      </c>
      <c r="X3839" s="31" t="str">
        <f t="shared" ref="X3839:X3902" si="436">IF(ISNA(VLOOKUP(H3839,QCEQUATIONS,2,)),"",(VLOOKUP(H3839,QCEQUATIONS,2,)))</f>
        <v/>
      </c>
      <c r="Y3839" s="10" t="s">
        <v>1275</v>
      </c>
      <c r="AF3839" s="12">
        <v>44981</v>
      </c>
      <c r="AJ3839" s="10">
        <f>2.8761*6^2+145.17*6-57.22</f>
        <v>917.33960000000002</v>
      </c>
      <c r="AK3839" s="10">
        <f>0.3348*6^2+180.18*6-102.36</f>
        <v>990.77279999999985</v>
      </c>
      <c r="AL3839" s="10" t="str">
        <f t="shared" si="434"/>
        <v>FALSE</v>
      </c>
      <c r="AM3839" s="10" t="str">
        <f t="shared" si="434"/>
        <v>FALSE</v>
      </c>
      <c r="AN3839" s="10" t="str">
        <f t="shared" si="434"/>
        <v>FALSE</v>
      </c>
      <c r="AO3839" s="10" t="str">
        <f t="shared" si="435"/>
        <v>y=2.8761*6^2+145.17*6-57.22</v>
      </c>
      <c r="AP3839" s="10" t="str">
        <f t="shared" si="435"/>
        <v>y=0.3348*6^2+180.18*6-102.36</v>
      </c>
      <c r="AQ3839" s="10" t="b">
        <f>IF(AND(I3839="TP",S3839&lt;=150),VLOOKUP(AF3839,TPCalibEq150!$AZ$2:$BB$55,3,),IF(AND(I3839="TDP",S3839&lt;=150),VLOOKUP(AF3839,TPCalibEq150!$AZ$2:$BB$55,3,)))</f>
        <v>0</v>
      </c>
      <c r="AR3839" s="10" t="b">
        <f>IF(AND(I3839="TP",S3839&lt;=300),VLOOKUP(AF3839,TPCalibEq300!$AZ$2:$BB$55,3,),IF(AND(I3839="TDP",S3839&lt;=300),VLOOKUP(AF3839,TPCalibEq300!$AZ$2:$BB$55,3,)))</f>
        <v>0</v>
      </c>
      <c r="AS3839" s="10" t="b">
        <f>IF(AND(I3839="TP",S3839&lt;=500),VLOOKUP(AF3839,TPCalibEq500!$AZ$2:$BB$56,3,),IF(AND(I3839="TDP",S3839&lt;=500),VLOOKUP(AF3839,TPCalibEq500!$AZ$2:$BB$56,3,)))</f>
        <v>0</v>
      </c>
      <c r="AT3839" s="10" t="str">
        <f>IF(AND(I3839="TN",S3839&lt;=2800),VLOOKUP(AF3839,TNCalibEq2500!$AZ$2:$BB$56,3,),IF(AND(I3839="TDN",S3839&lt;=2800),VLOOKUP(AF3839,TNCalibEq2500!$AZ$2:$BB$56,3,)))</f>
        <v>y=2.8761x2+145.17x-57.22</v>
      </c>
      <c r="AU3839" s="10" t="str">
        <f>IF(I3839="TP",VLOOKUP(AF3839,TPCalibEqFull!$AZ$2:$BB$56,3),IF(I3839="TDP",VLOOKUP(AF3839,TPCalibEqFull!$AZ$2:$BB$56,3),IF(I3839="TDN",VLOOKUP(AF3839,TNCalibEqFull!$AZ$1:$BB$56,3),IF(I3839="TN",VLOOKUP(AF3839,TNCalibEqFull!$AZ$1:$BB$56,3),FALSE))))</f>
        <v>y=0.3348x2+180.18x-102.36</v>
      </c>
      <c r="AV3839" s="10" t="str">
        <f t="shared" si="433"/>
        <v>0221 11:55:00-ECP-5-FIL-1-SW-UKN</v>
      </c>
    </row>
    <row r="3840" spans="1:48" s="10" customFormat="1" x14ac:dyDescent="0.55000000000000004">
      <c r="A3840" s="32">
        <v>44978</v>
      </c>
      <c r="B3840" s="33">
        <v>0.49861111111111112</v>
      </c>
      <c r="C3840" s="10" t="s">
        <v>618</v>
      </c>
      <c r="D3840" s="10">
        <v>10</v>
      </c>
      <c r="E3840" s="10" t="s">
        <v>911</v>
      </c>
      <c r="F3840" s="10">
        <v>1</v>
      </c>
      <c r="G3840" s="10" t="s">
        <v>231</v>
      </c>
      <c r="H3840" s="10" t="s">
        <v>322</v>
      </c>
      <c r="I3840" s="10" t="s">
        <v>224</v>
      </c>
      <c r="J3840" s="10">
        <v>52</v>
      </c>
      <c r="K3840" s="12">
        <v>44981</v>
      </c>
      <c r="L3840" s="33">
        <v>0.55361111111111116</v>
      </c>
      <c r="M3840" s="10">
        <v>1</v>
      </c>
      <c r="N3840" s="10" t="s">
        <v>196</v>
      </c>
      <c r="O3840" s="10">
        <v>6.15</v>
      </c>
      <c r="P3840" s="10">
        <v>0.29699999999999999</v>
      </c>
      <c r="Q3840" s="10">
        <v>1040</v>
      </c>
      <c r="R3840" s="10" t="s">
        <v>170</v>
      </c>
      <c r="S3840" s="34">
        <f t="shared" ref="S3840:S3903" si="437">IF(OR(AND(I3840&lt;&gt;"TP", I3840&lt;&gt;"TDP",I3840&lt;&gt;"TN", I3840&lt;&gt;"TDN"),H3840="CAL"), Q3840*M3840, IF(OR(AND(I3840="TN", Q3840&gt;2500), AND(I3840="TDN", Q3840&gt;2500)),MAX(Q3840, AK3840)*M3840, IF(OR(AND(I3840="TN", Q3840&lt;=2500), AND(I3840="TDN", Q3840&lt;=2500)),MAX(Q3840, AJ3840,AK3840)*M3840, IF(OR(AND(I3840="TP",Q3840&gt;500), AND(I3840="TDP", Q3840&gt;500)),MAX(Q3840,AK3840)*M3840,IF(OR(AND(I3840="TP",Q3840&lt;=150), AND(I3840="TDP", Q3840&lt;=150)),MAX(Q3840,AG3840:AI3840,AK3840)*M3840,IF(OR(AND(I3840="TP",Q3840&lt;=300), AND(I3840="TDP", Q3840&lt;=300)),MAX(Q3840,AH3840,AI3840,AK3840)*M3840,IF(OR(AND(I3840="TP",Q3840&lt;=500), AND(I3840="TDP", Q3840&lt;=500)),MAX(Q3840,AI3840,AK3840)*M3840,"")))))))</f>
        <v>1040</v>
      </c>
      <c r="T3840" s="10" t="s">
        <v>1282</v>
      </c>
      <c r="U3840" s="34" t="str">
        <f t="shared" si="431"/>
        <v/>
      </c>
      <c r="V3840" s="31" t="str">
        <f>IF(H3840="CHK",VLOOKUP(I3840,QCCHK,3,),IF(H3840="GUP",VLOOKUP(E3840,QCGUP,2,),IF(AND(H3840="ATP",OR(I3840="TN",I3840="TDN",I3840="TNO2-3",I3840="NO2-3")),VLOOKUP(E3840,QCREC_N,2,),IF(AND(H3840="NIC",OR(I3840="TN",I3840="TDN",I3840="TNO2-3",I3840="NO2-3")),VLOOKUP(E3840,QCNIC_N,2,),IF(AND(H3840="UREA",OR(I3840="TN",I3840="TDN",I3840="TNO2-3",I3840="NO2-3")),VLOOKUP(E3840,QCUREA_N,2,),IF(H3840="PER",VLOOKUP(I3840,QCPER,MATCH(E3840,QCACTUAL!$J$25:$AA$25,0),),IF(H3840="SPK",VLOOKUP(I3840,QCSPK,3,),IF(AND(H3840="ATP",OR(I3840="TP",I3840="TDP")),VLOOKUP(E3840,QCATP_P,2,),""))))))))</f>
        <v/>
      </c>
      <c r="W3840" s="31" t="str">
        <f t="shared" si="432"/>
        <v>TRUE</v>
      </c>
      <c r="X3840" s="31" t="str">
        <f t="shared" si="436"/>
        <v/>
      </c>
      <c r="Y3840" s="10" t="s">
        <v>1275</v>
      </c>
      <c r="AF3840" s="12">
        <v>44981</v>
      </c>
      <c r="AJ3840" s="10">
        <f>2.8761*6.15^2+145.17*6.15-57.22</f>
        <v>944.3567922499999</v>
      </c>
      <c r="AK3840" s="10">
        <f>0.3348*6.15^2+180.18*6.15-102.36</f>
        <v>1018.4099730000002</v>
      </c>
      <c r="AL3840" s="10" t="str">
        <f t="shared" si="434"/>
        <v>FALSE</v>
      </c>
      <c r="AM3840" s="10" t="str">
        <f t="shared" si="434"/>
        <v>FALSE</v>
      </c>
      <c r="AN3840" s="10" t="str">
        <f t="shared" si="434"/>
        <v>FALSE</v>
      </c>
      <c r="AO3840" s="10" t="str">
        <f t="shared" si="435"/>
        <v>y=2.8761*6.15^2+145.17*6.15-57.22</v>
      </c>
      <c r="AP3840" s="10" t="str">
        <f t="shared" si="435"/>
        <v>y=0.3348*6.15^2+180.18*6.15-102.36</v>
      </c>
      <c r="AQ3840" s="10" t="b">
        <f>IF(AND(I3840="TP",S3840&lt;=150),VLOOKUP(AF3840,TPCalibEq150!$AZ$2:$BB$55,3,),IF(AND(I3840="TDP",S3840&lt;=150),VLOOKUP(AF3840,TPCalibEq150!$AZ$2:$BB$55,3,)))</f>
        <v>0</v>
      </c>
      <c r="AR3840" s="10" t="b">
        <f>IF(AND(I3840="TP",S3840&lt;=300),VLOOKUP(AF3840,TPCalibEq300!$AZ$2:$BB$55,3,),IF(AND(I3840="TDP",S3840&lt;=300),VLOOKUP(AF3840,TPCalibEq300!$AZ$2:$BB$55,3,)))</f>
        <v>0</v>
      </c>
      <c r="AS3840" s="10" t="b">
        <f>IF(AND(I3840="TP",S3840&lt;=500),VLOOKUP(AF3840,TPCalibEq500!$AZ$2:$BB$56,3,),IF(AND(I3840="TDP",S3840&lt;=500),VLOOKUP(AF3840,TPCalibEq500!$AZ$2:$BB$56,3,)))</f>
        <v>0</v>
      </c>
      <c r="AT3840" s="10" t="str">
        <f>IF(AND(I3840="TN",S3840&lt;=2800),VLOOKUP(AF3840,TNCalibEq2500!$AZ$2:$BB$56,3,),IF(AND(I3840="TDN",S3840&lt;=2800),VLOOKUP(AF3840,TNCalibEq2500!$AZ$2:$BB$56,3,)))</f>
        <v>y=2.8761x2+145.17x-57.22</v>
      </c>
      <c r="AU3840" s="10" t="str">
        <f>IF(I3840="TP",VLOOKUP(AF3840,TPCalibEqFull!$AZ$2:$BB$56,3),IF(I3840="TDP",VLOOKUP(AF3840,TPCalibEqFull!$AZ$2:$BB$56,3),IF(I3840="TDN",VLOOKUP(AF3840,TNCalibEqFull!$AZ$1:$BB$56,3),IF(I3840="TN",VLOOKUP(AF3840,TNCalibEqFull!$AZ$1:$BB$56,3),FALSE))))</f>
        <v>y=0.3348x2+180.18x-102.36</v>
      </c>
      <c r="AV3840" s="10" t="str">
        <f t="shared" si="433"/>
        <v>0221 11:58:00-ECP-10-FIL-1-SW-UKN</v>
      </c>
    </row>
    <row r="3841" spans="1:48" s="10" customFormat="1" x14ac:dyDescent="0.55000000000000004">
      <c r="A3841" s="32">
        <v>44978</v>
      </c>
      <c r="B3841" s="33">
        <v>0.50208333333333333</v>
      </c>
      <c r="C3841" s="10" t="s">
        <v>618</v>
      </c>
      <c r="D3841" s="10">
        <v>20</v>
      </c>
      <c r="E3841" s="10" t="s">
        <v>911</v>
      </c>
      <c r="F3841" s="10">
        <v>1</v>
      </c>
      <c r="G3841" s="10" t="s">
        <v>231</v>
      </c>
      <c r="H3841" s="10" t="s">
        <v>322</v>
      </c>
      <c r="I3841" s="10" t="s">
        <v>224</v>
      </c>
      <c r="J3841" s="10">
        <v>53</v>
      </c>
      <c r="K3841" s="12">
        <v>44981</v>
      </c>
      <c r="L3841" s="33">
        <v>0.55428240740740742</v>
      </c>
      <c r="M3841" s="10">
        <v>1</v>
      </c>
      <c r="N3841" s="10" t="s">
        <v>196</v>
      </c>
      <c r="O3841" s="10">
        <v>5.91</v>
      </c>
      <c r="P3841" s="10">
        <v>0.28499999999999998</v>
      </c>
      <c r="Q3841" s="10">
        <v>993</v>
      </c>
      <c r="R3841" s="10" t="s">
        <v>170</v>
      </c>
      <c r="S3841" s="34">
        <f t="shared" si="437"/>
        <v>993</v>
      </c>
      <c r="T3841" s="10" t="s">
        <v>1282</v>
      </c>
      <c r="U3841" s="34" t="str">
        <f t="shared" si="431"/>
        <v/>
      </c>
      <c r="V3841" s="31" t="str">
        <f>IF(H3841="CHK",VLOOKUP(I3841,QCCHK,3,),IF(H3841="GUP",VLOOKUP(E3841,QCGUP,2,),IF(AND(H3841="ATP",OR(I3841="TN",I3841="TDN",I3841="TNO2-3",I3841="NO2-3")),VLOOKUP(E3841,QCREC_N,2,),IF(AND(H3841="NIC",OR(I3841="TN",I3841="TDN",I3841="TNO2-3",I3841="NO2-3")),VLOOKUP(E3841,QCNIC_N,2,),IF(AND(H3841="UREA",OR(I3841="TN",I3841="TDN",I3841="TNO2-3",I3841="NO2-3")),VLOOKUP(E3841,QCUREA_N,2,),IF(H3841="PER",VLOOKUP(I3841,QCPER,MATCH(E3841,QCACTUAL!$J$25:$AA$25,0),),IF(H3841="SPK",VLOOKUP(I3841,QCSPK,3,),IF(AND(H3841="ATP",OR(I3841="TP",I3841="TDP")),VLOOKUP(E3841,QCATP_P,2,),""))))))))</f>
        <v/>
      </c>
      <c r="W3841" s="31" t="str">
        <f t="shared" si="432"/>
        <v>TRUE</v>
      </c>
      <c r="X3841" s="31" t="str">
        <f t="shared" si="436"/>
        <v/>
      </c>
      <c r="Y3841" s="10" t="s">
        <v>1275</v>
      </c>
      <c r="AF3841" s="12">
        <v>44981</v>
      </c>
      <c r="AJ3841" s="10">
        <f>2.8761*5.91^2+145.17*5.91-57.22</f>
        <v>901.19140841000001</v>
      </c>
      <c r="AK3841" s="10">
        <f>0.3348*5.91^2+180.18*5.91-102.36</f>
        <v>974.19772788000012</v>
      </c>
      <c r="AL3841" s="10" t="str">
        <f t="shared" si="434"/>
        <v>FALSE</v>
      </c>
      <c r="AM3841" s="10" t="str">
        <f t="shared" si="434"/>
        <v>FALSE</v>
      </c>
      <c r="AN3841" s="10" t="str">
        <f t="shared" si="434"/>
        <v>FALSE</v>
      </c>
      <c r="AO3841" s="10" t="str">
        <f t="shared" si="435"/>
        <v>y=2.8761*5.91^2+145.17*5.91-57.22</v>
      </c>
      <c r="AP3841" s="10" t="str">
        <f t="shared" si="435"/>
        <v>y=0.3348*5.91^2+180.18*5.91-102.36</v>
      </c>
      <c r="AQ3841" s="10" t="b">
        <f>IF(AND(I3841="TP",S3841&lt;=150),VLOOKUP(AF3841,TPCalibEq150!$AZ$2:$BB$55,3,),IF(AND(I3841="TDP",S3841&lt;=150),VLOOKUP(AF3841,TPCalibEq150!$AZ$2:$BB$55,3,)))</f>
        <v>0</v>
      </c>
      <c r="AR3841" s="10" t="b">
        <f>IF(AND(I3841="TP",S3841&lt;=300),VLOOKUP(AF3841,TPCalibEq300!$AZ$2:$BB$55,3,),IF(AND(I3841="TDP",S3841&lt;=300),VLOOKUP(AF3841,TPCalibEq300!$AZ$2:$BB$55,3,)))</f>
        <v>0</v>
      </c>
      <c r="AS3841" s="10" t="b">
        <f>IF(AND(I3841="TP",S3841&lt;=500),VLOOKUP(AF3841,TPCalibEq500!$AZ$2:$BB$56,3,),IF(AND(I3841="TDP",S3841&lt;=500),VLOOKUP(AF3841,TPCalibEq500!$AZ$2:$BB$56,3,)))</f>
        <v>0</v>
      </c>
      <c r="AT3841" s="10" t="str">
        <f>IF(AND(I3841="TN",S3841&lt;=2800),VLOOKUP(AF3841,TNCalibEq2500!$AZ$2:$BB$56,3,),IF(AND(I3841="TDN",S3841&lt;=2800),VLOOKUP(AF3841,TNCalibEq2500!$AZ$2:$BB$56,3,)))</f>
        <v>y=2.8761x2+145.17x-57.22</v>
      </c>
      <c r="AU3841" s="10" t="str">
        <f>IF(I3841="TP",VLOOKUP(AF3841,TPCalibEqFull!$AZ$2:$BB$56,3),IF(I3841="TDP",VLOOKUP(AF3841,TPCalibEqFull!$AZ$2:$BB$56,3),IF(I3841="TDN",VLOOKUP(AF3841,TNCalibEqFull!$AZ$1:$BB$56,3),IF(I3841="TN",VLOOKUP(AF3841,TNCalibEqFull!$AZ$1:$BB$56,3),FALSE))))</f>
        <v>y=0.3348x2+180.18x-102.36</v>
      </c>
      <c r="AV3841" s="10" t="str">
        <f t="shared" si="433"/>
        <v>0221 12:03:00-ECP-20-FIL-1-SW-UKN</v>
      </c>
    </row>
    <row r="3842" spans="1:48" s="10" customFormat="1" x14ac:dyDescent="0.55000000000000004">
      <c r="A3842" s="32">
        <v>44978</v>
      </c>
      <c r="B3842" s="33">
        <v>0.50416666666666665</v>
      </c>
      <c r="C3842" s="10" t="s">
        <v>618</v>
      </c>
      <c r="D3842" s="10">
        <v>29</v>
      </c>
      <c r="E3842" s="10" t="s">
        <v>911</v>
      </c>
      <c r="F3842" s="10">
        <v>1</v>
      </c>
      <c r="G3842" s="10" t="s">
        <v>231</v>
      </c>
      <c r="H3842" s="10" t="s">
        <v>322</v>
      </c>
      <c r="I3842" s="10" t="s">
        <v>224</v>
      </c>
      <c r="J3842" s="10">
        <v>54</v>
      </c>
      <c r="K3842" s="12">
        <v>44981</v>
      </c>
      <c r="L3842" s="33">
        <v>0.55494212962962963</v>
      </c>
      <c r="M3842" s="10">
        <v>1</v>
      </c>
      <c r="N3842" s="10" t="s">
        <v>196</v>
      </c>
      <c r="O3842" s="10">
        <v>6.59</v>
      </c>
      <c r="P3842" s="10">
        <v>0.318</v>
      </c>
      <c r="Q3842" s="10">
        <v>1120</v>
      </c>
      <c r="R3842" s="10" t="s">
        <v>170</v>
      </c>
      <c r="S3842" s="34">
        <f t="shared" si="437"/>
        <v>1120</v>
      </c>
      <c r="T3842" s="10" t="s">
        <v>1282</v>
      </c>
      <c r="U3842" s="34" t="str">
        <f t="shared" ref="U3842:U3905" si="438">IF(OR(H3842="CHK",H3842="ATP",H3842="GUP",H3842="PER", H3842="NIC", H3842="UREA"),(S3842/V3842*100),IF(H3842="DUP",((ABS(S3842-S3841))/((S3841+S3842)/2))*100,IF(H3842="SPK",((S3842-S3841)/V3842*100),IF(OR(H3842="LAB",H3842="FLD",H3842="ESF"),S3842,""))))</f>
        <v/>
      </c>
      <c r="V3842" s="31" t="str">
        <f>IF(H3842="CHK",VLOOKUP(I3842,QCCHK,3,),IF(H3842="GUP",VLOOKUP(E3842,QCGUP,2,),IF(AND(H3842="ATP",OR(I3842="TN",I3842="TDN",I3842="TNO2-3",I3842="NO2-3")),VLOOKUP(E3842,QCREC_N,2,),IF(AND(H3842="NIC",OR(I3842="TN",I3842="TDN",I3842="TNO2-3",I3842="NO2-3")),VLOOKUP(E3842,QCNIC_N,2,),IF(AND(H3842="UREA",OR(I3842="TN",I3842="TDN",I3842="TNO2-3",I3842="NO2-3")),VLOOKUP(E3842,QCUREA_N,2,),IF(H3842="PER",VLOOKUP(I3842,QCPER,MATCH(E3842,QCACTUAL!$J$25:$AA$25,0),),IF(H3842="SPK",VLOOKUP(I3842,QCSPK,3,),IF(AND(H3842="ATP",OR(I3842="TP",I3842="TDP")),VLOOKUP(E3842,QCATP_P,2,),""))))))))</f>
        <v/>
      </c>
      <c r="W3842" s="31" t="str">
        <f t="shared" ref="W3842:W3905" si="439">IF(AND(OR(H3842="PER",H3842="ATP",H3842="GUP",H3842="CHK",H3842="SPK", H3842="NIC"),OR(U3842&gt;125,U3842&lt;75)),"FALSE",IF(AND(H3842="DUP",OR(U3842&gt;25, U3842&lt;-25)),"FALSE",IF(AND(OR(H3842="LAB",H3842="FLD",H3842="ESF"),U3842&gt;15),"FALSE","TRUE")))</f>
        <v>TRUE</v>
      </c>
      <c r="X3842" s="31" t="str">
        <f t="shared" si="436"/>
        <v/>
      </c>
      <c r="Y3842" s="10" t="s">
        <v>1275</v>
      </c>
      <c r="AF3842" s="12">
        <v>44981</v>
      </c>
      <c r="AJ3842" s="10">
        <f>2.8761*6.59^2+145.17*6.59-57.22</f>
        <v>1024.3538584099999</v>
      </c>
      <c r="AK3842" s="10">
        <f>0.3348*6.59^2+180.18*6.59-102.36</f>
        <v>1099.5659278800001</v>
      </c>
      <c r="AL3842" s="10" t="str">
        <f t="shared" si="434"/>
        <v>FALSE</v>
      </c>
      <c r="AM3842" s="10" t="str">
        <f t="shared" si="434"/>
        <v>FALSE</v>
      </c>
      <c r="AN3842" s="10" t="str">
        <f t="shared" si="434"/>
        <v>FALSE</v>
      </c>
      <c r="AO3842" s="10" t="str">
        <f t="shared" si="435"/>
        <v>y=2.8761*6.59^2+145.17*6.59-57.22</v>
      </c>
      <c r="AP3842" s="10" t="str">
        <f t="shared" si="435"/>
        <v>y=0.3348*6.59^2+180.18*6.59-102.36</v>
      </c>
      <c r="AQ3842" s="10" t="b">
        <f>IF(AND(I3842="TP",S3842&lt;=150),VLOOKUP(AF3842,TPCalibEq150!$AZ$2:$BB$55,3,),IF(AND(I3842="TDP",S3842&lt;=150),VLOOKUP(AF3842,TPCalibEq150!$AZ$2:$BB$55,3,)))</f>
        <v>0</v>
      </c>
      <c r="AR3842" s="10" t="b">
        <f>IF(AND(I3842="TP",S3842&lt;=300),VLOOKUP(AF3842,TPCalibEq300!$AZ$2:$BB$55,3,),IF(AND(I3842="TDP",S3842&lt;=300),VLOOKUP(AF3842,TPCalibEq300!$AZ$2:$BB$55,3,)))</f>
        <v>0</v>
      </c>
      <c r="AS3842" s="10" t="b">
        <f>IF(AND(I3842="TP",S3842&lt;=500),VLOOKUP(AF3842,TPCalibEq500!$AZ$2:$BB$56,3,),IF(AND(I3842="TDP",S3842&lt;=500),VLOOKUP(AF3842,TPCalibEq500!$AZ$2:$BB$56,3,)))</f>
        <v>0</v>
      </c>
      <c r="AT3842" s="10" t="str">
        <f>IF(AND(I3842="TN",S3842&lt;=2800),VLOOKUP(AF3842,TNCalibEq2500!$AZ$2:$BB$56,3,),IF(AND(I3842="TDN",S3842&lt;=2800),VLOOKUP(AF3842,TNCalibEq2500!$AZ$2:$BB$56,3,)))</f>
        <v>y=2.8761x2+145.17x-57.22</v>
      </c>
      <c r="AU3842" s="10" t="str">
        <f>IF(I3842="TP",VLOOKUP(AF3842,TPCalibEqFull!$AZ$2:$BB$56,3),IF(I3842="TDP",VLOOKUP(AF3842,TPCalibEqFull!$AZ$2:$BB$56,3),IF(I3842="TDN",VLOOKUP(AF3842,TNCalibEqFull!$AZ$1:$BB$56,3),IF(I3842="TN",VLOOKUP(AF3842,TNCalibEqFull!$AZ$1:$BB$56,3),FALSE))))</f>
        <v>y=0.3348x2+180.18x-102.36</v>
      </c>
      <c r="AV3842" s="10" t="str">
        <f t="shared" ref="AV3842:AV3905" si="440">TEXT(A3842, "MMDD")&amp;" "&amp;TEXT(B3842, "HH:MM:SS")&amp;"-"&amp;C3842&amp;"-"&amp;D3842&amp;"-"&amp;E3842&amp;"-"&amp;F3842&amp;"-"&amp;G3842&amp;"-"&amp;H3842</f>
        <v>0221 12:06:00-ECP-29-FIL-1-SW-UKN</v>
      </c>
    </row>
    <row r="3843" spans="1:48" s="10" customFormat="1" x14ac:dyDescent="0.55000000000000004">
      <c r="A3843" s="32">
        <v>44978</v>
      </c>
      <c r="B3843" s="33">
        <v>0.50972222222222219</v>
      </c>
      <c r="C3843" s="10" t="s">
        <v>661</v>
      </c>
      <c r="D3843" s="10">
        <v>0</v>
      </c>
      <c r="E3843" s="10" t="s">
        <v>911</v>
      </c>
      <c r="F3843" s="10">
        <v>1</v>
      </c>
      <c r="G3843" s="10" t="s">
        <v>231</v>
      </c>
      <c r="H3843" s="10" t="s">
        <v>322</v>
      </c>
      <c r="I3843" s="10" t="s">
        <v>224</v>
      </c>
      <c r="J3843" s="10">
        <v>55</v>
      </c>
      <c r="K3843" s="12">
        <v>44981</v>
      </c>
      <c r="L3843" s="33">
        <v>0.55560185185185185</v>
      </c>
      <c r="M3843" s="10">
        <v>1</v>
      </c>
      <c r="N3843" s="10" t="s">
        <v>196</v>
      </c>
      <c r="O3843" s="10">
        <v>5.85</v>
      </c>
      <c r="P3843" s="10">
        <v>0.28199999999999997</v>
      </c>
      <c r="Q3843" s="10">
        <v>982</v>
      </c>
      <c r="R3843" s="10" t="s">
        <v>170</v>
      </c>
      <c r="S3843" s="34">
        <f t="shared" si="437"/>
        <v>982</v>
      </c>
      <c r="T3843" s="10" t="s">
        <v>1282</v>
      </c>
      <c r="U3843" s="34" t="str">
        <f t="shared" si="438"/>
        <v/>
      </c>
      <c r="V3843" s="31" t="str">
        <f>IF(H3843="CHK",VLOOKUP(I3843,QCCHK,3,),IF(H3843="GUP",VLOOKUP(E3843,QCGUP,2,),IF(AND(H3843="ATP",OR(I3843="TN",I3843="TDN",I3843="TNO2-3",I3843="NO2-3")),VLOOKUP(E3843,QCREC_N,2,),IF(AND(H3843="NIC",OR(I3843="TN",I3843="TDN",I3843="TNO2-3",I3843="NO2-3")),VLOOKUP(E3843,QCNIC_N,2,),IF(AND(H3843="UREA",OR(I3843="TN",I3843="TDN",I3843="TNO2-3",I3843="NO2-3")),VLOOKUP(E3843,QCUREA_N,2,),IF(H3843="PER",VLOOKUP(I3843,QCPER,MATCH(E3843,QCACTUAL!$J$25:$AA$25,0),),IF(H3843="SPK",VLOOKUP(I3843,QCSPK,3,),IF(AND(H3843="ATP",OR(I3843="TP",I3843="TDP")),VLOOKUP(E3843,QCATP_P,2,),""))))))))</f>
        <v/>
      </c>
      <c r="W3843" s="31" t="str">
        <f t="shared" si="439"/>
        <v>TRUE</v>
      </c>
      <c r="X3843" s="31" t="str">
        <f t="shared" si="436"/>
        <v/>
      </c>
      <c r="Y3843" s="10" t="s">
        <v>1275</v>
      </c>
      <c r="AF3843" s="12">
        <v>44981</v>
      </c>
      <c r="AJ3843" s="10">
        <f>2.8761*5.85^2+145.17*5.85-57.22</f>
        <v>890.45183224999982</v>
      </c>
      <c r="AK3843" s="10">
        <f>0.3348*5.85^2+180.18*5.85-102.36</f>
        <v>963.15069299999993</v>
      </c>
      <c r="AL3843" s="10" t="str">
        <f t="shared" si="434"/>
        <v>FALSE</v>
      </c>
      <c r="AM3843" s="10" t="str">
        <f t="shared" si="434"/>
        <v>FALSE</v>
      </c>
      <c r="AN3843" s="10" t="str">
        <f t="shared" si="434"/>
        <v>FALSE</v>
      </c>
      <c r="AO3843" s="10" t="str">
        <f t="shared" si="435"/>
        <v>y=2.8761*5.85^2+145.17*5.85-57.22</v>
      </c>
      <c r="AP3843" s="10" t="str">
        <f t="shared" si="435"/>
        <v>y=0.3348*5.85^2+180.18*5.85-102.36</v>
      </c>
      <c r="AQ3843" s="10" t="b">
        <f>IF(AND(I3843="TP",S3843&lt;=150),VLOOKUP(AF3843,TPCalibEq150!$AZ$2:$BB$55,3,),IF(AND(I3843="TDP",S3843&lt;=150),VLOOKUP(AF3843,TPCalibEq150!$AZ$2:$BB$55,3,)))</f>
        <v>0</v>
      </c>
      <c r="AR3843" s="10" t="b">
        <f>IF(AND(I3843="TP",S3843&lt;=300),VLOOKUP(AF3843,TPCalibEq300!$AZ$2:$BB$55,3,),IF(AND(I3843="TDP",S3843&lt;=300),VLOOKUP(AF3843,TPCalibEq300!$AZ$2:$BB$55,3,)))</f>
        <v>0</v>
      </c>
      <c r="AS3843" s="10" t="b">
        <f>IF(AND(I3843="TP",S3843&lt;=500),VLOOKUP(AF3843,TPCalibEq500!$AZ$2:$BB$56,3,),IF(AND(I3843="TDP",S3843&lt;=500),VLOOKUP(AF3843,TPCalibEq500!$AZ$2:$BB$56,3,)))</f>
        <v>0</v>
      </c>
      <c r="AT3843" s="10" t="str">
        <f>IF(AND(I3843="TN",S3843&lt;=2800),VLOOKUP(AF3843,TNCalibEq2500!$AZ$2:$BB$56,3,),IF(AND(I3843="TDN",S3843&lt;=2800),VLOOKUP(AF3843,TNCalibEq2500!$AZ$2:$BB$56,3,)))</f>
        <v>y=2.8761x2+145.17x-57.22</v>
      </c>
      <c r="AU3843" s="10" t="str">
        <f>IF(I3843="TP",VLOOKUP(AF3843,TPCalibEqFull!$AZ$2:$BB$56,3),IF(I3843="TDP",VLOOKUP(AF3843,TPCalibEqFull!$AZ$2:$BB$56,3),IF(I3843="TDN",VLOOKUP(AF3843,TNCalibEqFull!$AZ$1:$BB$56,3),IF(I3843="TN",VLOOKUP(AF3843,TNCalibEqFull!$AZ$1:$BB$56,3),FALSE))))</f>
        <v>y=0.3348x2+180.18x-102.36</v>
      </c>
      <c r="AV3843" s="10" t="str">
        <f t="shared" si="440"/>
        <v>0221 12:14:00-ENN-0-FIL-1-SW-UKN</v>
      </c>
    </row>
    <row r="3844" spans="1:48" s="10" customFormat="1" x14ac:dyDescent="0.55000000000000004">
      <c r="A3844" s="32">
        <v>44978</v>
      </c>
      <c r="B3844" s="33">
        <v>0.51180555555555551</v>
      </c>
      <c r="C3844" s="10" t="s">
        <v>661</v>
      </c>
      <c r="D3844" s="10">
        <v>5</v>
      </c>
      <c r="E3844" s="10" t="s">
        <v>911</v>
      </c>
      <c r="F3844" s="10">
        <v>1</v>
      </c>
      <c r="G3844" s="10" t="s">
        <v>231</v>
      </c>
      <c r="H3844" s="10" t="s">
        <v>322</v>
      </c>
      <c r="I3844" s="10" t="s">
        <v>224</v>
      </c>
      <c r="J3844" s="10">
        <v>56</v>
      </c>
      <c r="K3844" s="12">
        <v>44981</v>
      </c>
      <c r="L3844" s="33">
        <v>0.55626157407407406</v>
      </c>
      <c r="M3844" s="10">
        <v>1</v>
      </c>
      <c r="N3844" s="10" t="s">
        <v>196</v>
      </c>
      <c r="O3844" s="10">
        <v>5.85</v>
      </c>
      <c r="P3844" s="10">
        <v>0.28299999999999997</v>
      </c>
      <c r="Q3844" s="10">
        <v>981</v>
      </c>
      <c r="R3844" s="10" t="s">
        <v>170</v>
      </c>
      <c r="S3844" s="34">
        <f t="shared" si="437"/>
        <v>981</v>
      </c>
      <c r="T3844" s="10" t="s">
        <v>1282</v>
      </c>
      <c r="U3844" s="34" t="str">
        <f t="shared" si="438"/>
        <v/>
      </c>
      <c r="V3844" s="31" t="str">
        <f>IF(H3844="CHK",VLOOKUP(I3844,QCCHK,3,),IF(H3844="GUP",VLOOKUP(E3844,QCGUP,2,),IF(AND(H3844="ATP",OR(I3844="TN",I3844="TDN",I3844="TNO2-3",I3844="NO2-3")),VLOOKUP(E3844,QCREC_N,2,),IF(AND(H3844="NIC",OR(I3844="TN",I3844="TDN",I3844="TNO2-3",I3844="NO2-3")),VLOOKUP(E3844,QCNIC_N,2,),IF(AND(H3844="UREA",OR(I3844="TN",I3844="TDN",I3844="TNO2-3",I3844="NO2-3")),VLOOKUP(E3844,QCUREA_N,2,),IF(H3844="PER",VLOOKUP(I3844,QCPER,MATCH(E3844,QCACTUAL!$J$25:$AA$25,0),),IF(H3844="SPK",VLOOKUP(I3844,QCSPK,3,),IF(AND(H3844="ATP",OR(I3844="TP",I3844="TDP")),VLOOKUP(E3844,QCATP_P,2,),""))))))))</f>
        <v/>
      </c>
      <c r="W3844" s="31" t="str">
        <f t="shared" si="439"/>
        <v>TRUE</v>
      </c>
      <c r="X3844" s="31" t="str">
        <f t="shared" si="436"/>
        <v/>
      </c>
      <c r="Y3844" s="10" t="s">
        <v>1275</v>
      </c>
      <c r="AF3844" s="12">
        <v>44981</v>
      </c>
      <c r="AJ3844" s="10">
        <f>2.8761*5.85^2+145.17*5.85-57.22</f>
        <v>890.45183224999982</v>
      </c>
      <c r="AK3844" s="10">
        <f>0.3348*5.85^2+180.18*5.85-102.36</f>
        <v>963.15069299999993</v>
      </c>
      <c r="AL3844" s="10" t="str">
        <f t="shared" si="434"/>
        <v>FALSE</v>
      </c>
      <c r="AM3844" s="10" t="str">
        <f t="shared" si="434"/>
        <v>FALSE</v>
      </c>
      <c r="AN3844" s="10" t="str">
        <f t="shared" si="434"/>
        <v>FALSE</v>
      </c>
      <c r="AO3844" s="10" t="str">
        <f t="shared" si="435"/>
        <v>y=2.8761*5.85^2+145.17*5.85-57.22</v>
      </c>
      <c r="AP3844" s="10" t="str">
        <f t="shared" si="435"/>
        <v>y=0.3348*5.85^2+180.18*5.85-102.36</v>
      </c>
      <c r="AQ3844" s="10" t="b">
        <f>IF(AND(I3844="TP",S3844&lt;=150),VLOOKUP(AF3844,TPCalibEq150!$AZ$2:$BB$55,3,),IF(AND(I3844="TDP",S3844&lt;=150),VLOOKUP(AF3844,TPCalibEq150!$AZ$2:$BB$55,3,)))</f>
        <v>0</v>
      </c>
      <c r="AR3844" s="10" t="b">
        <f>IF(AND(I3844="TP",S3844&lt;=300),VLOOKUP(AF3844,TPCalibEq300!$AZ$2:$BB$55,3,),IF(AND(I3844="TDP",S3844&lt;=300),VLOOKUP(AF3844,TPCalibEq300!$AZ$2:$BB$55,3,)))</f>
        <v>0</v>
      </c>
      <c r="AS3844" s="10" t="b">
        <f>IF(AND(I3844="TP",S3844&lt;=500),VLOOKUP(AF3844,TPCalibEq500!$AZ$2:$BB$56,3,),IF(AND(I3844="TDP",S3844&lt;=500),VLOOKUP(AF3844,TPCalibEq500!$AZ$2:$BB$56,3,)))</f>
        <v>0</v>
      </c>
      <c r="AT3844" s="10" t="str">
        <f>IF(AND(I3844="TN",S3844&lt;=2800),VLOOKUP(AF3844,TNCalibEq2500!$AZ$2:$BB$56,3,),IF(AND(I3844="TDN",S3844&lt;=2800),VLOOKUP(AF3844,TNCalibEq2500!$AZ$2:$BB$56,3,)))</f>
        <v>y=2.8761x2+145.17x-57.22</v>
      </c>
      <c r="AU3844" s="10" t="str">
        <f>IF(I3844="TP",VLOOKUP(AF3844,TPCalibEqFull!$AZ$2:$BB$56,3),IF(I3844="TDP",VLOOKUP(AF3844,TPCalibEqFull!$AZ$2:$BB$56,3),IF(I3844="TDN",VLOOKUP(AF3844,TNCalibEqFull!$AZ$1:$BB$56,3),IF(I3844="TN",VLOOKUP(AF3844,TNCalibEqFull!$AZ$1:$BB$56,3),FALSE))))</f>
        <v>y=0.3348x2+180.18x-102.36</v>
      </c>
      <c r="AV3844" s="10" t="str">
        <f t="shared" si="440"/>
        <v>0221 12:17:00-ENN-5-FIL-1-SW-UKN</v>
      </c>
    </row>
    <row r="3845" spans="1:48" s="10" customFormat="1" x14ac:dyDescent="0.55000000000000004">
      <c r="A3845" s="32">
        <v>44978</v>
      </c>
      <c r="B3845" s="33">
        <v>0.51388888888888895</v>
      </c>
      <c r="C3845" s="10" t="s">
        <v>661</v>
      </c>
      <c r="D3845" s="10">
        <v>10</v>
      </c>
      <c r="E3845" s="10" t="s">
        <v>911</v>
      </c>
      <c r="F3845" s="10">
        <v>1</v>
      </c>
      <c r="G3845" s="10" t="s">
        <v>231</v>
      </c>
      <c r="H3845" s="10" t="s">
        <v>322</v>
      </c>
      <c r="I3845" s="10" t="s">
        <v>224</v>
      </c>
      <c r="J3845" s="10">
        <v>57</v>
      </c>
      <c r="K3845" s="12">
        <v>44981</v>
      </c>
      <c r="L3845" s="33">
        <v>0.55692129629629628</v>
      </c>
      <c r="M3845" s="10">
        <v>1</v>
      </c>
      <c r="N3845" s="10" t="s">
        <v>196</v>
      </c>
      <c r="O3845" s="10">
        <v>5.79</v>
      </c>
      <c r="P3845" s="10">
        <v>0.28100000000000003</v>
      </c>
      <c r="Q3845" s="10">
        <v>970</v>
      </c>
      <c r="R3845" s="10" t="s">
        <v>170</v>
      </c>
      <c r="S3845" s="34">
        <f t="shared" si="437"/>
        <v>970</v>
      </c>
      <c r="T3845" s="10" t="s">
        <v>1282</v>
      </c>
      <c r="U3845" s="34" t="str">
        <f t="shared" si="438"/>
        <v/>
      </c>
      <c r="V3845" s="31" t="str">
        <f>IF(H3845="CHK",VLOOKUP(I3845,QCCHK,3,),IF(H3845="GUP",VLOOKUP(E3845,QCGUP,2,),IF(AND(H3845="ATP",OR(I3845="TN",I3845="TDN",I3845="TNO2-3",I3845="NO2-3")),VLOOKUP(E3845,QCREC_N,2,),IF(AND(H3845="NIC",OR(I3845="TN",I3845="TDN",I3845="TNO2-3",I3845="NO2-3")),VLOOKUP(E3845,QCNIC_N,2,),IF(AND(H3845="UREA",OR(I3845="TN",I3845="TDN",I3845="TNO2-3",I3845="NO2-3")),VLOOKUP(E3845,QCUREA_N,2,),IF(H3845="PER",VLOOKUP(I3845,QCPER,MATCH(E3845,QCACTUAL!$J$25:$AA$25,0),),IF(H3845="SPK",VLOOKUP(I3845,QCSPK,3,),IF(AND(H3845="ATP",OR(I3845="TP",I3845="TDP")),VLOOKUP(E3845,QCATP_P,2,),""))))))))</f>
        <v/>
      </c>
      <c r="W3845" s="31" t="str">
        <f t="shared" si="439"/>
        <v>TRUE</v>
      </c>
      <c r="X3845" s="31" t="str">
        <f t="shared" si="436"/>
        <v/>
      </c>
      <c r="Y3845" s="10" t="s">
        <v>1275</v>
      </c>
      <c r="AF3845" s="12">
        <v>44981</v>
      </c>
      <c r="AJ3845" s="10">
        <f>2.8761*5.79^2+145.17*5.79-57.22</f>
        <v>879.73296400999993</v>
      </c>
      <c r="AK3845" s="10">
        <f>0.3348*5.79^2+180.18*5.79-102.36</f>
        <v>952.10606868000002</v>
      </c>
      <c r="AL3845" s="10" t="str">
        <f t="shared" si="434"/>
        <v>FALSE</v>
      </c>
      <c r="AM3845" s="10" t="str">
        <f t="shared" si="434"/>
        <v>FALSE</v>
      </c>
      <c r="AN3845" s="10" t="str">
        <f t="shared" si="434"/>
        <v>FALSE</v>
      </c>
      <c r="AO3845" s="10" t="str">
        <f t="shared" si="435"/>
        <v>y=2.8761*5.79^2+145.17*5.79-57.22</v>
      </c>
      <c r="AP3845" s="10" t="str">
        <f t="shared" si="435"/>
        <v>y=0.3348*5.79^2+180.18*5.79-102.36</v>
      </c>
      <c r="AQ3845" s="10" t="b">
        <f>IF(AND(I3845="TP",S3845&lt;=150),VLOOKUP(AF3845,TPCalibEq150!$AZ$2:$BB$55,3,),IF(AND(I3845="TDP",S3845&lt;=150),VLOOKUP(AF3845,TPCalibEq150!$AZ$2:$BB$55,3,)))</f>
        <v>0</v>
      </c>
      <c r="AR3845" s="10" t="b">
        <f>IF(AND(I3845="TP",S3845&lt;=300),VLOOKUP(AF3845,TPCalibEq300!$AZ$2:$BB$55,3,),IF(AND(I3845="TDP",S3845&lt;=300),VLOOKUP(AF3845,TPCalibEq300!$AZ$2:$BB$55,3,)))</f>
        <v>0</v>
      </c>
      <c r="AS3845" s="10" t="b">
        <f>IF(AND(I3845="TP",S3845&lt;=500),VLOOKUP(AF3845,TPCalibEq500!$AZ$2:$BB$56,3,),IF(AND(I3845="TDP",S3845&lt;=500),VLOOKUP(AF3845,TPCalibEq500!$AZ$2:$BB$56,3,)))</f>
        <v>0</v>
      </c>
      <c r="AT3845" s="10" t="str">
        <f>IF(AND(I3845="TN",S3845&lt;=2800),VLOOKUP(AF3845,TNCalibEq2500!$AZ$2:$BB$56,3,),IF(AND(I3845="TDN",S3845&lt;=2800),VLOOKUP(AF3845,TNCalibEq2500!$AZ$2:$BB$56,3,)))</f>
        <v>y=2.8761x2+145.17x-57.22</v>
      </c>
      <c r="AU3845" s="10" t="str">
        <f>IF(I3845="TP",VLOOKUP(AF3845,TPCalibEqFull!$AZ$2:$BB$56,3),IF(I3845="TDP",VLOOKUP(AF3845,TPCalibEqFull!$AZ$2:$BB$56,3),IF(I3845="TDN",VLOOKUP(AF3845,TNCalibEqFull!$AZ$1:$BB$56,3),IF(I3845="TN",VLOOKUP(AF3845,TNCalibEqFull!$AZ$1:$BB$56,3),FALSE))))</f>
        <v>y=0.3348x2+180.18x-102.36</v>
      </c>
      <c r="AV3845" s="10" t="str">
        <f t="shared" si="440"/>
        <v>0221 12:20:00-ENN-10-FIL-1-SW-UKN</v>
      </c>
    </row>
    <row r="3846" spans="1:48" s="10" customFormat="1" x14ac:dyDescent="0.55000000000000004">
      <c r="A3846" s="32">
        <v>44978</v>
      </c>
      <c r="B3846" s="33">
        <v>0.51666666666666672</v>
      </c>
      <c r="C3846" s="10" t="s">
        <v>661</v>
      </c>
      <c r="D3846" s="10">
        <v>20</v>
      </c>
      <c r="E3846" s="10" t="s">
        <v>911</v>
      </c>
      <c r="F3846" s="10">
        <v>1</v>
      </c>
      <c r="G3846" s="10" t="s">
        <v>231</v>
      </c>
      <c r="H3846" s="10" t="s">
        <v>322</v>
      </c>
      <c r="I3846" s="10" t="s">
        <v>224</v>
      </c>
      <c r="J3846" s="10">
        <v>58</v>
      </c>
      <c r="K3846" s="12">
        <v>44981</v>
      </c>
      <c r="L3846" s="33">
        <v>0.55758101851851849</v>
      </c>
      <c r="M3846" s="10">
        <v>1</v>
      </c>
      <c r="N3846" s="10" t="s">
        <v>196</v>
      </c>
      <c r="O3846" s="10">
        <v>6.26</v>
      </c>
      <c r="P3846" s="10">
        <v>0.30499999999999999</v>
      </c>
      <c r="Q3846" s="10">
        <v>1060</v>
      </c>
      <c r="R3846" s="10" t="s">
        <v>170</v>
      </c>
      <c r="S3846" s="34">
        <f t="shared" si="437"/>
        <v>1060</v>
      </c>
      <c r="T3846" s="10" t="s">
        <v>1282</v>
      </c>
      <c r="U3846" s="34" t="str">
        <f t="shared" si="438"/>
        <v/>
      </c>
      <c r="V3846" s="31" t="str">
        <f>IF(H3846="CHK",VLOOKUP(I3846,QCCHK,3,),IF(H3846="GUP",VLOOKUP(E3846,QCGUP,2,),IF(AND(H3846="ATP",OR(I3846="TN",I3846="TDN",I3846="TNO2-3",I3846="NO2-3")),VLOOKUP(E3846,QCREC_N,2,),IF(AND(H3846="NIC",OR(I3846="TN",I3846="TDN",I3846="TNO2-3",I3846="NO2-3")),VLOOKUP(E3846,QCNIC_N,2,),IF(AND(H3846="UREA",OR(I3846="TN",I3846="TDN",I3846="TNO2-3",I3846="NO2-3")),VLOOKUP(E3846,QCUREA_N,2,),IF(H3846="PER",VLOOKUP(I3846,QCPER,MATCH(E3846,QCACTUAL!$J$25:$AA$25,0),),IF(H3846="SPK",VLOOKUP(I3846,QCSPK,3,),IF(AND(H3846="ATP",OR(I3846="TP",I3846="TDP")),VLOOKUP(E3846,QCATP_P,2,),""))))))))</f>
        <v/>
      </c>
      <c r="W3846" s="31" t="str">
        <f t="shared" si="439"/>
        <v>TRUE</v>
      </c>
      <c r="X3846" s="31" t="str">
        <f t="shared" si="436"/>
        <v/>
      </c>
      <c r="Y3846" s="10" t="s">
        <v>1275</v>
      </c>
      <c r="AF3846" s="12">
        <v>44981</v>
      </c>
      <c r="AJ3846" s="10">
        <f>2.8761*6.26^2+145.17*6.26-57.22</f>
        <v>964.25165635999986</v>
      </c>
      <c r="AK3846" s="10">
        <f>0.3348*6.26^2+180.18*6.26-102.36</f>
        <v>1038.6868084800001</v>
      </c>
      <c r="AL3846" s="10" t="str">
        <f t="shared" si="434"/>
        <v>FALSE</v>
      </c>
      <c r="AM3846" s="10" t="str">
        <f t="shared" si="434"/>
        <v>FALSE</v>
      </c>
      <c r="AN3846" s="10" t="str">
        <f t="shared" si="434"/>
        <v>FALSE</v>
      </c>
      <c r="AO3846" s="10" t="str">
        <f t="shared" si="435"/>
        <v>y=2.8761*6.26^2+145.17*6.26-57.22</v>
      </c>
      <c r="AP3846" s="10" t="str">
        <f t="shared" si="435"/>
        <v>y=0.3348*6.26^2+180.18*6.26-102.36</v>
      </c>
      <c r="AQ3846" s="10" t="b">
        <f>IF(AND(I3846="TP",S3846&lt;=150),VLOOKUP(AF3846,TPCalibEq150!$AZ$2:$BB$55,3,),IF(AND(I3846="TDP",S3846&lt;=150),VLOOKUP(AF3846,TPCalibEq150!$AZ$2:$BB$55,3,)))</f>
        <v>0</v>
      </c>
      <c r="AR3846" s="10" t="b">
        <f>IF(AND(I3846="TP",S3846&lt;=300),VLOOKUP(AF3846,TPCalibEq300!$AZ$2:$BB$55,3,),IF(AND(I3846="TDP",S3846&lt;=300),VLOOKUP(AF3846,TPCalibEq300!$AZ$2:$BB$55,3,)))</f>
        <v>0</v>
      </c>
      <c r="AS3846" s="10" t="b">
        <f>IF(AND(I3846="TP",S3846&lt;=500),VLOOKUP(AF3846,TPCalibEq500!$AZ$2:$BB$56,3,),IF(AND(I3846="TDP",S3846&lt;=500),VLOOKUP(AF3846,TPCalibEq500!$AZ$2:$BB$56,3,)))</f>
        <v>0</v>
      </c>
      <c r="AT3846" s="10" t="str">
        <f>IF(AND(I3846="TN",S3846&lt;=2800),VLOOKUP(AF3846,TNCalibEq2500!$AZ$2:$BB$56,3,),IF(AND(I3846="TDN",S3846&lt;=2800),VLOOKUP(AF3846,TNCalibEq2500!$AZ$2:$BB$56,3,)))</f>
        <v>y=2.8761x2+145.17x-57.22</v>
      </c>
      <c r="AU3846" s="10" t="str">
        <f>IF(I3846="TP",VLOOKUP(AF3846,TPCalibEqFull!$AZ$2:$BB$56,3),IF(I3846="TDP",VLOOKUP(AF3846,TPCalibEqFull!$AZ$2:$BB$56,3),IF(I3846="TDN",VLOOKUP(AF3846,TNCalibEqFull!$AZ$1:$BB$56,3),IF(I3846="TN",VLOOKUP(AF3846,TNCalibEqFull!$AZ$1:$BB$56,3),FALSE))))</f>
        <v>y=0.3348x2+180.18x-102.36</v>
      </c>
      <c r="AV3846" s="10" t="str">
        <f t="shared" si="440"/>
        <v>0221 12:24:00-ENN-20-FIL-1-SW-UKN</v>
      </c>
    </row>
    <row r="3847" spans="1:48" s="10" customFormat="1" x14ac:dyDescent="0.55000000000000004">
      <c r="A3847" s="32">
        <v>44978</v>
      </c>
      <c r="B3847" s="33">
        <v>0.51944444444444449</v>
      </c>
      <c r="C3847" s="10" t="s">
        <v>661</v>
      </c>
      <c r="D3847" s="10">
        <v>24</v>
      </c>
      <c r="E3847" s="10" t="s">
        <v>911</v>
      </c>
      <c r="F3847" s="10">
        <v>1</v>
      </c>
      <c r="G3847" s="10" t="s">
        <v>231</v>
      </c>
      <c r="H3847" s="10" t="s">
        <v>322</v>
      </c>
      <c r="I3847" s="10" t="s">
        <v>224</v>
      </c>
      <c r="J3847" s="10">
        <v>59</v>
      </c>
      <c r="K3847" s="12">
        <v>44981</v>
      </c>
      <c r="L3847" s="33">
        <v>0.55825231481481474</v>
      </c>
      <c r="M3847" s="10">
        <v>1</v>
      </c>
      <c r="N3847" s="10" t="s">
        <v>196</v>
      </c>
      <c r="O3847" s="10">
        <v>6.46</v>
      </c>
      <c r="P3847" s="10">
        <v>0.33700000000000002</v>
      </c>
      <c r="Q3847" s="10">
        <v>1100</v>
      </c>
      <c r="R3847" s="10" t="s">
        <v>170</v>
      </c>
      <c r="S3847" s="34">
        <f t="shared" si="437"/>
        <v>1100</v>
      </c>
      <c r="T3847" s="10" t="s">
        <v>1282</v>
      </c>
      <c r="U3847" s="34" t="str">
        <f t="shared" si="438"/>
        <v/>
      </c>
      <c r="V3847" s="31" t="str">
        <f>IF(H3847="CHK",VLOOKUP(I3847,QCCHK,3,),IF(H3847="GUP",VLOOKUP(E3847,QCGUP,2,),IF(AND(H3847="ATP",OR(I3847="TN",I3847="TDN",I3847="TNO2-3",I3847="NO2-3")),VLOOKUP(E3847,QCREC_N,2,),IF(AND(H3847="NIC",OR(I3847="TN",I3847="TDN",I3847="TNO2-3",I3847="NO2-3")),VLOOKUP(E3847,QCNIC_N,2,),IF(AND(H3847="UREA",OR(I3847="TN",I3847="TDN",I3847="TNO2-3",I3847="NO2-3")),VLOOKUP(E3847,QCUREA_N,2,),IF(H3847="PER",VLOOKUP(I3847,QCPER,MATCH(E3847,QCACTUAL!$J$25:$AA$25,0),),IF(H3847="SPK",VLOOKUP(I3847,QCSPK,3,),IF(AND(H3847="ATP",OR(I3847="TP",I3847="TDP")),VLOOKUP(E3847,QCATP_P,2,),""))))))))</f>
        <v/>
      </c>
      <c r="W3847" s="31" t="str">
        <f t="shared" si="439"/>
        <v>TRUE</v>
      </c>
      <c r="X3847" s="31" t="str">
        <f t="shared" si="436"/>
        <v/>
      </c>
      <c r="Y3847" s="10" t="s">
        <v>1275</v>
      </c>
      <c r="AF3847" s="12">
        <v>44981</v>
      </c>
      <c r="AJ3847" s="10">
        <f>2.8761*6.46^2+145.17*6.46-57.22</f>
        <v>1000.60245476</v>
      </c>
      <c r="AK3847" s="10">
        <f>0.3348*6.46^2+180.18*6.46-102.36</f>
        <v>1075.57453968</v>
      </c>
      <c r="AL3847" s="10" t="str">
        <f t="shared" si="434"/>
        <v>FALSE</v>
      </c>
      <c r="AM3847" s="10" t="str">
        <f t="shared" si="434"/>
        <v>FALSE</v>
      </c>
      <c r="AN3847" s="10" t="str">
        <f t="shared" si="434"/>
        <v>FALSE</v>
      </c>
      <c r="AO3847" s="10" t="str">
        <f t="shared" si="435"/>
        <v>y=2.8761*6.46^2+145.17*6.46-57.22</v>
      </c>
      <c r="AP3847" s="10" t="str">
        <f t="shared" si="435"/>
        <v>y=0.3348*6.46^2+180.18*6.46-102.36</v>
      </c>
      <c r="AQ3847" s="10" t="b">
        <f>IF(AND(I3847="TP",S3847&lt;=150),VLOOKUP(AF3847,TPCalibEq150!$AZ$2:$BB$55,3,),IF(AND(I3847="TDP",S3847&lt;=150),VLOOKUP(AF3847,TPCalibEq150!$AZ$2:$BB$55,3,)))</f>
        <v>0</v>
      </c>
      <c r="AR3847" s="10" t="b">
        <f>IF(AND(I3847="TP",S3847&lt;=300),VLOOKUP(AF3847,TPCalibEq300!$AZ$2:$BB$55,3,),IF(AND(I3847="TDP",S3847&lt;=300),VLOOKUP(AF3847,TPCalibEq300!$AZ$2:$BB$55,3,)))</f>
        <v>0</v>
      </c>
      <c r="AS3847" s="10" t="b">
        <f>IF(AND(I3847="TP",S3847&lt;=500),VLOOKUP(AF3847,TPCalibEq500!$AZ$2:$BB$56,3,),IF(AND(I3847="TDP",S3847&lt;=500),VLOOKUP(AF3847,TPCalibEq500!$AZ$2:$BB$56,3,)))</f>
        <v>0</v>
      </c>
      <c r="AT3847" s="10" t="str">
        <f>IF(AND(I3847="TN",S3847&lt;=2800),VLOOKUP(AF3847,TNCalibEq2500!$AZ$2:$BB$56,3,),IF(AND(I3847="TDN",S3847&lt;=2800),VLOOKUP(AF3847,TNCalibEq2500!$AZ$2:$BB$56,3,)))</f>
        <v>y=2.8761x2+145.17x-57.22</v>
      </c>
      <c r="AU3847" s="10" t="str">
        <f>IF(I3847="TP",VLOOKUP(AF3847,TPCalibEqFull!$AZ$2:$BB$56,3),IF(I3847="TDP",VLOOKUP(AF3847,TPCalibEqFull!$AZ$2:$BB$56,3),IF(I3847="TDN",VLOOKUP(AF3847,TNCalibEqFull!$AZ$1:$BB$56,3),IF(I3847="TN",VLOOKUP(AF3847,TNCalibEqFull!$AZ$1:$BB$56,3),FALSE))))</f>
        <v>y=0.3348x2+180.18x-102.36</v>
      </c>
      <c r="AV3847" s="10" t="str">
        <f t="shared" si="440"/>
        <v>0221 12:28:00-ENN-24-FIL-1-SW-UKN</v>
      </c>
    </row>
    <row r="3848" spans="1:48" s="10" customFormat="1" x14ac:dyDescent="0.55000000000000004">
      <c r="A3848" s="32">
        <v>44978</v>
      </c>
      <c r="B3848" s="33">
        <v>0.45069444444444445</v>
      </c>
      <c r="C3848" s="10" t="s">
        <v>646</v>
      </c>
      <c r="D3848" s="10">
        <v>0</v>
      </c>
      <c r="E3848" s="10" t="s">
        <v>911</v>
      </c>
      <c r="F3848" s="10">
        <v>1</v>
      </c>
      <c r="G3848" s="10" t="s">
        <v>231</v>
      </c>
      <c r="H3848" s="10" t="s">
        <v>322</v>
      </c>
      <c r="I3848" s="10" t="s">
        <v>224</v>
      </c>
      <c r="J3848" s="10">
        <v>60</v>
      </c>
      <c r="K3848" s="12">
        <v>44981</v>
      </c>
      <c r="L3848" s="33">
        <v>0.55890046296296292</v>
      </c>
      <c r="M3848" s="10">
        <v>1</v>
      </c>
      <c r="N3848" s="10" t="s">
        <v>196</v>
      </c>
      <c r="O3848" s="10">
        <v>6.76</v>
      </c>
      <c r="P3848" s="10">
        <v>0.32600000000000001</v>
      </c>
      <c r="Q3848" s="10">
        <v>1150</v>
      </c>
      <c r="R3848" s="10" t="s">
        <v>170</v>
      </c>
      <c r="S3848" s="34">
        <f t="shared" si="437"/>
        <v>1150</v>
      </c>
      <c r="T3848" s="10" t="s">
        <v>1282</v>
      </c>
      <c r="U3848" s="34" t="str">
        <f t="shared" si="438"/>
        <v/>
      </c>
      <c r="V3848" s="31" t="str">
        <f>IF(H3848="CHK",VLOOKUP(I3848,QCCHK,3,),IF(H3848="GUP",VLOOKUP(E3848,QCGUP,2,),IF(AND(H3848="ATP",OR(I3848="TN",I3848="TDN",I3848="TNO2-3",I3848="NO2-3")),VLOOKUP(E3848,QCREC_N,2,),IF(AND(H3848="NIC",OR(I3848="TN",I3848="TDN",I3848="TNO2-3",I3848="NO2-3")),VLOOKUP(E3848,QCNIC_N,2,),IF(AND(H3848="UREA",OR(I3848="TN",I3848="TDN",I3848="TNO2-3",I3848="NO2-3")),VLOOKUP(E3848,QCUREA_N,2,),IF(H3848="PER",VLOOKUP(I3848,QCPER,MATCH(E3848,QCACTUAL!$J$25:$AA$25,0),),IF(H3848="SPK",VLOOKUP(I3848,QCSPK,3,),IF(AND(H3848="ATP",OR(I3848="TP",I3848="TDP")),VLOOKUP(E3848,QCATP_P,2,),""))))))))</f>
        <v/>
      </c>
      <c r="W3848" s="31" t="str">
        <f t="shared" si="439"/>
        <v>TRUE</v>
      </c>
      <c r="X3848" s="31" t="str">
        <f t="shared" si="436"/>
        <v/>
      </c>
      <c r="Y3848" s="10" t="s">
        <v>1275</v>
      </c>
      <c r="AF3848" s="12">
        <v>44981</v>
      </c>
      <c r="AJ3848" s="10">
        <f>2.8761*6.76^2+145.17*6.76-57.22</f>
        <v>1055.5600673599999</v>
      </c>
      <c r="AK3848" s="10">
        <f>0.3348*6.76^2+180.18*6.76-102.36</f>
        <v>1130.9563564800003</v>
      </c>
      <c r="AL3848" s="10" t="str">
        <f t="shared" si="434"/>
        <v>FALSE</v>
      </c>
      <c r="AM3848" s="10" t="str">
        <f t="shared" si="434"/>
        <v>FALSE</v>
      </c>
      <c r="AN3848" s="10" t="str">
        <f t="shared" si="434"/>
        <v>FALSE</v>
      </c>
      <c r="AO3848" s="10" t="str">
        <f t="shared" si="435"/>
        <v>y=2.8761*6.76^2+145.17*6.76-57.22</v>
      </c>
      <c r="AP3848" s="10" t="str">
        <f t="shared" si="435"/>
        <v>y=0.3348*6.76^2+180.18*6.76-102.36</v>
      </c>
      <c r="AQ3848" s="10" t="b">
        <f>IF(AND(I3848="TP",S3848&lt;=150),VLOOKUP(AF3848,TPCalibEq150!$AZ$2:$BB$55,3,),IF(AND(I3848="TDP",S3848&lt;=150),VLOOKUP(AF3848,TPCalibEq150!$AZ$2:$BB$55,3,)))</f>
        <v>0</v>
      </c>
      <c r="AR3848" s="10" t="b">
        <f>IF(AND(I3848="TP",S3848&lt;=300),VLOOKUP(AF3848,TPCalibEq300!$AZ$2:$BB$55,3,),IF(AND(I3848="TDP",S3848&lt;=300),VLOOKUP(AF3848,TPCalibEq300!$AZ$2:$BB$55,3,)))</f>
        <v>0</v>
      </c>
      <c r="AS3848" s="10" t="b">
        <f>IF(AND(I3848="TP",S3848&lt;=500),VLOOKUP(AF3848,TPCalibEq500!$AZ$2:$BB$56,3,),IF(AND(I3848="TDP",S3848&lt;=500),VLOOKUP(AF3848,TPCalibEq500!$AZ$2:$BB$56,3,)))</f>
        <v>0</v>
      </c>
      <c r="AT3848" s="10" t="str">
        <f>IF(AND(I3848="TN",S3848&lt;=2800),VLOOKUP(AF3848,TNCalibEq2500!$AZ$2:$BB$56,3,),IF(AND(I3848="TDN",S3848&lt;=2800),VLOOKUP(AF3848,TNCalibEq2500!$AZ$2:$BB$56,3,)))</f>
        <v>y=2.8761x2+145.17x-57.22</v>
      </c>
      <c r="AU3848" s="10" t="str">
        <f>IF(I3848="TP",VLOOKUP(AF3848,TPCalibEqFull!$AZ$2:$BB$56,3),IF(I3848="TDP",VLOOKUP(AF3848,TPCalibEqFull!$AZ$2:$BB$56,3),IF(I3848="TDN",VLOOKUP(AF3848,TNCalibEqFull!$AZ$1:$BB$56,3),IF(I3848="TN",VLOOKUP(AF3848,TNCalibEqFull!$AZ$1:$BB$56,3),FALSE))))</f>
        <v>y=0.3348x2+180.18x-102.36</v>
      </c>
      <c r="AV3848" s="10" t="str">
        <f t="shared" si="440"/>
        <v>0221 10:49:00-EMB-0-FIL-1-SW-UKN</v>
      </c>
    </row>
    <row r="3849" spans="1:48" s="10" customFormat="1" x14ac:dyDescent="0.55000000000000004">
      <c r="A3849" s="32">
        <v>44978</v>
      </c>
      <c r="B3849" s="33">
        <v>0.45069444444444445</v>
      </c>
      <c r="C3849" s="10" t="s">
        <v>646</v>
      </c>
      <c r="D3849" s="10">
        <v>0</v>
      </c>
      <c r="E3849" s="10" t="s">
        <v>911</v>
      </c>
      <c r="F3849" s="10">
        <v>1</v>
      </c>
      <c r="G3849" s="10" t="s">
        <v>231</v>
      </c>
      <c r="H3849" s="10" t="s">
        <v>233</v>
      </c>
      <c r="I3849" s="10" t="s">
        <v>224</v>
      </c>
      <c r="J3849" s="10">
        <v>60</v>
      </c>
      <c r="K3849" s="12">
        <v>44981</v>
      </c>
      <c r="L3849" s="33">
        <v>0.55956018518518513</v>
      </c>
      <c r="M3849" s="10">
        <v>1</v>
      </c>
      <c r="N3849" s="10" t="s">
        <v>196</v>
      </c>
      <c r="O3849" s="10">
        <v>6.74</v>
      </c>
      <c r="P3849" s="10">
        <v>0.32600000000000001</v>
      </c>
      <c r="Q3849" s="10">
        <v>1150</v>
      </c>
      <c r="R3849" s="10" t="s">
        <v>170</v>
      </c>
      <c r="S3849" s="34">
        <f t="shared" si="437"/>
        <v>1150</v>
      </c>
      <c r="T3849" s="10" t="s">
        <v>1282</v>
      </c>
      <c r="U3849" s="34">
        <f t="shared" si="438"/>
        <v>0</v>
      </c>
      <c r="V3849" s="31" t="str">
        <f>IF(H3849="CHK",VLOOKUP(I3849,QCCHK,3,),IF(H3849="GUP",VLOOKUP(E3849,QCGUP,2,),IF(AND(H3849="ATP",OR(I3849="TN",I3849="TDN",I3849="TNO2-3",I3849="NO2-3")),VLOOKUP(E3849,QCREC_N,2,),IF(AND(H3849="NIC",OR(I3849="TN",I3849="TDN",I3849="TNO2-3",I3849="NO2-3")),VLOOKUP(E3849,QCNIC_N,2,),IF(AND(H3849="UREA",OR(I3849="TN",I3849="TDN",I3849="TNO2-3",I3849="NO2-3")),VLOOKUP(E3849,QCUREA_N,2,),IF(H3849="PER",VLOOKUP(I3849,QCPER,MATCH(E3849,QCACTUAL!$J$25:$AA$25,0),),IF(H3849="SPK",VLOOKUP(I3849,QCSPK,3,),IF(AND(H3849="ATP",OR(I3849="TP",I3849="TDP")),VLOOKUP(E3849,QCATP_P,2,),""))))))))</f>
        <v/>
      </c>
      <c r="W3849" s="31" t="str">
        <f t="shared" si="439"/>
        <v>TRUE</v>
      </c>
      <c r="X3849" s="31" t="str">
        <f t="shared" si="436"/>
        <v>((ABS(rep1-rep2))/((rep1+rep2)/2)*100</v>
      </c>
      <c r="Y3849" s="10" t="s">
        <v>1275</v>
      </c>
      <c r="AF3849" s="12">
        <v>44981</v>
      </c>
      <c r="AJ3849" s="10">
        <f>2.8761*6.74^2+145.17*6.74-57.22</f>
        <v>1051.8801203599999</v>
      </c>
      <c r="AK3849" s="10">
        <f>0.3348*6.74^2+180.18*6.74-102.36</f>
        <v>1127.2623604800003</v>
      </c>
      <c r="AL3849" s="10" t="str">
        <f t="shared" si="434"/>
        <v>FALSE</v>
      </c>
      <c r="AM3849" s="10" t="str">
        <f t="shared" si="434"/>
        <v>FALSE</v>
      </c>
      <c r="AN3849" s="10" t="str">
        <f t="shared" si="434"/>
        <v>FALSE</v>
      </c>
      <c r="AO3849" s="10" t="str">
        <f t="shared" si="435"/>
        <v>y=2.8761*6.74^2+145.17*6.74-57.22</v>
      </c>
      <c r="AP3849" s="10" t="str">
        <f t="shared" si="435"/>
        <v>y=0.3348*6.74^2+180.18*6.74-102.36</v>
      </c>
      <c r="AQ3849" s="10" t="b">
        <f>IF(AND(I3849="TP",S3849&lt;=150),VLOOKUP(AF3849,TPCalibEq150!$AZ$2:$BB$55,3,),IF(AND(I3849="TDP",S3849&lt;=150),VLOOKUP(AF3849,TPCalibEq150!$AZ$2:$BB$55,3,)))</f>
        <v>0</v>
      </c>
      <c r="AR3849" s="10" t="b">
        <f>IF(AND(I3849="TP",S3849&lt;=300),VLOOKUP(AF3849,TPCalibEq300!$AZ$2:$BB$55,3,),IF(AND(I3849="TDP",S3849&lt;=300),VLOOKUP(AF3849,TPCalibEq300!$AZ$2:$BB$55,3,)))</f>
        <v>0</v>
      </c>
      <c r="AS3849" s="10" t="b">
        <f>IF(AND(I3849="TP",S3849&lt;=500),VLOOKUP(AF3849,TPCalibEq500!$AZ$2:$BB$56,3,),IF(AND(I3849="TDP",S3849&lt;=500),VLOOKUP(AF3849,TPCalibEq500!$AZ$2:$BB$56,3,)))</f>
        <v>0</v>
      </c>
      <c r="AT3849" s="10" t="str">
        <f>IF(AND(I3849="TN",S3849&lt;=2800),VLOOKUP(AF3849,TNCalibEq2500!$AZ$2:$BB$56,3,),IF(AND(I3849="TDN",S3849&lt;=2800),VLOOKUP(AF3849,TNCalibEq2500!$AZ$2:$BB$56,3,)))</f>
        <v>y=2.8761x2+145.17x-57.22</v>
      </c>
      <c r="AU3849" s="10" t="str">
        <f>IF(I3849="TP",VLOOKUP(AF3849,TPCalibEqFull!$AZ$2:$BB$56,3),IF(I3849="TDP",VLOOKUP(AF3849,TPCalibEqFull!$AZ$2:$BB$56,3),IF(I3849="TDN",VLOOKUP(AF3849,TNCalibEqFull!$AZ$1:$BB$56,3),IF(I3849="TN",VLOOKUP(AF3849,TNCalibEqFull!$AZ$1:$BB$56,3),FALSE))))</f>
        <v>y=0.3348x2+180.18x-102.36</v>
      </c>
      <c r="AV3849" s="10" t="str">
        <f t="shared" si="440"/>
        <v>0221 10:49:00-EMB-0-FIL-1-SW-DUP</v>
      </c>
    </row>
    <row r="3850" spans="1:48" s="10" customFormat="1" x14ac:dyDescent="0.55000000000000004">
      <c r="A3850" s="32">
        <v>44978</v>
      </c>
      <c r="B3850" s="33">
        <v>0.45069444444444445</v>
      </c>
      <c r="C3850" s="10" t="s">
        <v>646</v>
      </c>
      <c r="D3850" s="10">
        <v>0</v>
      </c>
      <c r="E3850" s="10" t="s">
        <v>911</v>
      </c>
      <c r="F3850" s="10">
        <v>1</v>
      </c>
      <c r="G3850" s="10" t="s">
        <v>231</v>
      </c>
      <c r="H3850" s="10" t="s">
        <v>314</v>
      </c>
      <c r="I3850" s="10" t="s">
        <v>224</v>
      </c>
      <c r="J3850" s="10">
        <v>88</v>
      </c>
      <c r="K3850" s="12">
        <v>44981</v>
      </c>
      <c r="L3850" s="33">
        <v>0.5602314814814815</v>
      </c>
      <c r="M3850" s="10">
        <v>1</v>
      </c>
      <c r="N3850" s="10" t="s">
        <v>196</v>
      </c>
      <c r="O3850" s="10">
        <v>20.2</v>
      </c>
      <c r="P3850" s="10">
        <v>1.04</v>
      </c>
      <c r="Q3850" s="10">
        <v>3690</v>
      </c>
      <c r="R3850" s="10" t="s">
        <v>170</v>
      </c>
      <c r="S3850" s="34">
        <f t="shared" si="437"/>
        <v>3690</v>
      </c>
      <c r="T3850" s="10" t="s">
        <v>1282</v>
      </c>
      <c r="U3850" s="34">
        <f t="shared" si="438"/>
        <v>101.6</v>
      </c>
      <c r="V3850" s="31">
        <f>IF(H3850="CHK",VLOOKUP(I3850,QCCHK,3,),IF(H3850="GUP",VLOOKUP(E3850,QCGUP,2,),IF(AND(H3850="ATP",OR(I3850="TN",I3850="TDN",I3850="TNO2-3",I3850="NO2-3")),VLOOKUP(E3850,QCREC_N,2,),IF(AND(H3850="NIC",OR(I3850="TN",I3850="TDN",I3850="TNO2-3",I3850="NO2-3")),VLOOKUP(E3850,QCNIC_N,2,),IF(AND(H3850="UREA",OR(I3850="TN",I3850="TDN",I3850="TNO2-3",I3850="NO2-3")),VLOOKUP(E3850,QCUREA_N,2,),IF(H3850="PER",VLOOKUP(I3850,QCPER,MATCH(E3850,QCACTUAL!$J$25:$AA$25,0),),IF(H3850="SPK",VLOOKUP(I3850,QCSPK,3,),IF(AND(H3850="ATP",OR(I3850="TP",I3850="TDP")),VLOOKUP(E3850,QCATP_P,2,),""))))))))</f>
        <v>2500</v>
      </c>
      <c r="W3850" s="31" t="str">
        <f t="shared" si="439"/>
        <v>TRUE</v>
      </c>
      <c r="X3850" s="31" t="str">
        <f t="shared" si="436"/>
        <v>([spikedunkn]-[unkn])/[spike]*100</v>
      </c>
      <c r="Y3850" s="10" t="s">
        <v>1275</v>
      </c>
      <c r="AF3850" s="12">
        <v>44981</v>
      </c>
      <c r="AK3850" s="10">
        <f>0.3348*20.2^2+180.18*20.2-102.36</f>
        <v>3673.887792</v>
      </c>
      <c r="AL3850" s="10" t="str">
        <f t="shared" si="434"/>
        <v>FALSE</v>
      </c>
      <c r="AM3850" s="10" t="str">
        <f t="shared" si="434"/>
        <v>FALSE</v>
      </c>
      <c r="AN3850" s="10" t="str">
        <f t="shared" si="434"/>
        <v>FALSE</v>
      </c>
      <c r="AO3850" s="10" t="str">
        <f t="shared" si="435"/>
        <v>FALSE</v>
      </c>
      <c r="AP3850" s="10" t="str">
        <f t="shared" si="435"/>
        <v>y=0.3348*20.2^2+180.18*20.2-102.36</v>
      </c>
      <c r="AQ3850" s="10" t="b">
        <f>IF(AND(I3850="TP",S3850&lt;=150),VLOOKUP(AF3850,TPCalibEq150!$AZ$2:$BB$55,3,),IF(AND(I3850="TDP",S3850&lt;=150),VLOOKUP(AF3850,TPCalibEq150!$AZ$2:$BB$55,3,)))</f>
        <v>0</v>
      </c>
      <c r="AR3850" s="10" t="b">
        <f>IF(AND(I3850="TP",S3850&lt;=300),VLOOKUP(AF3850,TPCalibEq300!$AZ$2:$BB$55,3,),IF(AND(I3850="TDP",S3850&lt;=300),VLOOKUP(AF3850,TPCalibEq300!$AZ$2:$BB$55,3,)))</f>
        <v>0</v>
      </c>
      <c r="AS3850" s="10" t="b">
        <f>IF(AND(I3850="TP",S3850&lt;=500),VLOOKUP(AF3850,TPCalibEq500!$AZ$2:$BB$56,3,),IF(AND(I3850="TDP",S3850&lt;=500),VLOOKUP(AF3850,TPCalibEq500!$AZ$2:$BB$56,3,)))</f>
        <v>0</v>
      </c>
      <c r="AT3850" s="10" t="b">
        <f>IF(AND(I3850="TN",S3850&lt;=2800),VLOOKUP(AF3850,TNCalibEq2500!$AZ$2:$BB$56,3,),IF(AND(I3850="TDN",S3850&lt;=2800),VLOOKUP(AF3850,TNCalibEq2500!$AZ$2:$BB$56,3,)))</f>
        <v>0</v>
      </c>
      <c r="AU3850" s="10" t="str">
        <f>IF(I3850="TP",VLOOKUP(AF3850,TPCalibEqFull!$AZ$2:$BB$56,3),IF(I3850="TDP",VLOOKUP(AF3850,TPCalibEqFull!$AZ$2:$BB$56,3),IF(I3850="TDN",VLOOKUP(AF3850,TNCalibEqFull!$AZ$1:$BB$56,3),IF(I3850="TN",VLOOKUP(AF3850,TNCalibEqFull!$AZ$1:$BB$56,3),FALSE))))</f>
        <v>y=0.3348x2+180.18x-102.36</v>
      </c>
      <c r="AV3850" s="10" t="str">
        <f t="shared" si="440"/>
        <v>0221 10:49:00-EMB-0-FIL-1-SW-SPK</v>
      </c>
    </row>
    <row r="3851" spans="1:48" s="10" customFormat="1" x14ac:dyDescent="0.55000000000000004">
      <c r="A3851" s="32">
        <v>44979</v>
      </c>
      <c r="B3851" s="33">
        <v>0.375</v>
      </c>
      <c r="C3851" s="10" t="s">
        <v>70</v>
      </c>
      <c r="D3851" s="10" t="s">
        <v>71</v>
      </c>
      <c r="E3851" s="10" t="s">
        <v>901</v>
      </c>
      <c r="F3851" s="10">
        <v>1</v>
      </c>
      <c r="G3851" s="10" t="s">
        <v>73</v>
      </c>
      <c r="H3851" s="10" t="s">
        <v>207</v>
      </c>
      <c r="I3851" s="10" t="s">
        <v>235</v>
      </c>
      <c r="J3851" s="10">
        <v>202</v>
      </c>
      <c r="K3851" s="12">
        <v>44981</v>
      </c>
      <c r="L3851" s="33">
        <v>0.56090277777777775</v>
      </c>
      <c r="M3851" s="10">
        <v>1</v>
      </c>
      <c r="N3851" s="10" t="s">
        <v>196</v>
      </c>
      <c r="O3851" s="10">
        <v>6.73</v>
      </c>
      <c r="P3851" s="10">
        <v>0.32900000000000001</v>
      </c>
      <c r="Q3851" s="10">
        <v>1150</v>
      </c>
      <c r="R3851" s="10" t="s">
        <v>170</v>
      </c>
      <c r="S3851" s="34">
        <f t="shared" si="437"/>
        <v>1150</v>
      </c>
      <c r="T3851" s="10" t="s">
        <v>1282</v>
      </c>
      <c r="U3851" s="34">
        <f t="shared" si="438"/>
        <v>92</v>
      </c>
      <c r="V3851" s="31">
        <f>IF(H3851="CHK",VLOOKUP(I3851,QCCHK,3,),IF(H3851="GUP",VLOOKUP(E3851,QCGUP,2,),IF(AND(H3851="ATP",OR(I3851="TN",I3851="TDN",I3851="TNO2-3",I3851="NO2-3")),VLOOKUP(E3851,QCREC_N,2,),IF(AND(H3851="NIC",OR(I3851="TN",I3851="TDN",I3851="TNO2-3",I3851="NO2-3")),VLOOKUP(E3851,QCNIC_N,2,),IF(AND(H3851="UREA",OR(I3851="TN",I3851="TDN",I3851="TNO2-3",I3851="NO2-3")),VLOOKUP(E3851,QCUREA_N,2,),IF(H3851="PER",VLOOKUP(I3851,QCPER,MATCH(E3851,QCACTUAL!$J$25:$AA$25,0),),IF(H3851="SPK",VLOOKUP(I3851,QCSPK,3,),IF(AND(H3851="ATP",OR(I3851="TP",I3851="TDP")),VLOOKUP(E3851,QCATP_P,2,),""))))))))</f>
        <v>1250</v>
      </c>
      <c r="W3851" s="31" t="str">
        <f t="shared" si="439"/>
        <v>TRUE</v>
      </c>
      <c r="X3851" s="31" t="str">
        <f t="shared" si="436"/>
        <v>[chk]/[actual]*100</v>
      </c>
      <c r="Y3851" s="10" t="s">
        <v>1275</v>
      </c>
      <c r="AF3851" s="12">
        <v>44981</v>
      </c>
      <c r="AJ3851" s="10">
        <f>2.8761*6.73^2+145.17*6.73-57.22</f>
        <v>1050.04100969</v>
      </c>
      <c r="AK3851" s="10">
        <f>0.3348*6.73^2+180.18*6.73-102.36</f>
        <v>1125.4154629200004</v>
      </c>
      <c r="AL3851" s="10" t="str">
        <f t="shared" si="434"/>
        <v>FALSE</v>
      </c>
      <c r="AM3851" s="10" t="str">
        <f t="shared" si="434"/>
        <v>FALSE</v>
      </c>
      <c r="AN3851" s="10" t="str">
        <f t="shared" si="434"/>
        <v>FALSE</v>
      </c>
      <c r="AO3851" s="10" t="str">
        <f t="shared" si="435"/>
        <v>y=2.8761*6.73^2+145.17*6.73-57.22</v>
      </c>
      <c r="AP3851" s="10" t="str">
        <f t="shared" si="435"/>
        <v>y=0.3348*6.73^2+180.18*6.73-102.36</v>
      </c>
      <c r="AQ3851" s="10" t="b">
        <f>IF(AND(I3851="TP",S3851&lt;=150),VLOOKUP(AF3851,TPCalibEq150!$AZ$2:$BB$55,3,),IF(AND(I3851="TDP",S3851&lt;=150),VLOOKUP(AF3851,TPCalibEq150!$AZ$2:$BB$55,3,)))</f>
        <v>0</v>
      </c>
      <c r="AR3851" s="10" t="b">
        <f>IF(AND(I3851="TP",S3851&lt;=300),VLOOKUP(AF3851,TPCalibEq300!$AZ$2:$BB$55,3,),IF(AND(I3851="TDP",S3851&lt;=300),VLOOKUP(AF3851,TPCalibEq300!$AZ$2:$BB$55,3,)))</f>
        <v>0</v>
      </c>
      <c r="AS3851" s="10" t="b">
        <f>IF(AND(I3851="TP",S3851&lt;=500),VLOOKUP(AF3851,TPCalibEq500!$AZ$2:$BB$56,3,),IF(AND(I3851="TDP",S3851&lt;=500),VLOOKUP(AF3851,TPCalibEq500!$AZ$2:$BB$56,3,)))</f>
        <v>0</v>
      </c>
      <c r="AT3851" s="10" t="str">
        <f>IF(AND(I3851="TN",S3851&lt;=2800),VLOOKUP(AF3851,TNCalibEq2500!$AZ$2:$BB$56,3,),IF(AND(I3851="TDN",S3851&lt;=2800),VLOOKUP(AF3851,TNCalibEq2500!$AZ$2:$BB$56,3,)))</f>
        <v>y=2.8761x2+145.17x-57.22</v>
      </c>
      <c r="AU3851" s="10" t="str">
        <f>IF(I3851="TP",VLOOKUP(AF3851,TPCalibEqFull!$AZ$2:$BB$56,3),IF(I3851="TDP",VLOOKUP(AF3851,TPCalibEqFull!$AZ$2:$BB$56,3),IF(I3851="TDN",VLOOKUP(AF3851,TNCalibEqFull!$AZ$1:$BB$56,3),IF(I3851="TN",VLOOKUP(AF3851,TNCalibEqFull!$AZ$1:$BB$56,3),FALSE))))</f>
        <v>y=0.3348x2+180.18x-102.36</v>
      </c>
      <c r="AV3851" s="10" t="str">
        <f t="shared" si="440"/>
        <v>0222 09:00:00-QAC-STD-D-1-DI-CHK</v>
      </c>
    </row>
    <row r="3852" spans="1:48" s="10" customFormat="1" x14ac:dyDescent="0.55000000000000004">
      <c r="A3852" s="32">
        <v>44978</v>
      </c>
      <c r="B3852" s="33">
        <v>0.45277777777777778</v>
      </c>
      <c r="C3852" s="10" t="s">
        <v>646</v>
      </c>
      <c r="D3852" s="10">
        <v>5</v>
      </c>
      <c r="E3852" s="10" t="s">
        <v>911</v>
      </c>
      <c r="F3852" s="10">
        <v>1</v>
      </c>
      <c r="G3852" s="10" t="s">
        <v>231</v>
      </c>
      <c r="H3852" s="10" t="s">
        <v>322</v>
      </c>
      <c r="I3852" s="10" t="s">
        <v>224</v>
      </c>
      <c r="J3852" s="10">
        <v>61</v>
      </c>
      <c r="K3852" s="12">
        <v>44981</v>
      </c>
      <c r="L3852" s="33">
        <v>0.56157407407407411</v>
      </c>
      <c r="M3852" s="10">
        <v>1</v>
      </c>
      <c r="N3852" s="10" t="s">
        <v>196</v>
      </c>
      <c r="O3852" s="10">
        <v>7.29</v>
      </c>
      <c r="P3852" s="10">
        <v>0.35199999999999998</v>
      </c>
      <c r="Q3852" s="10">
        <v>1250</v>
      </c>
      <c r="R3852" s="10" t="s">
        <v>170</v>
      </c>
      <c r="S3852" s="34">
        <f t="shared" si="437"/>
        <v>1250</v>
      </c>
      <c r="T3852" s="10" t="s">
        <v>1282</v>
      </c>
      <c r="U3852" s="34" t="str">
        <f t="shared" si="438"/>
        <v/>
      </c>
      <c r="V3852" s="31" t="str">
        <f>IF(H3852="CHK",VLOOKUP(I3852,QCCHK,3,),IF(H3852="GUP",VLOOKUP(E3852,QCGUP,2,),IF(AND(H3852="ATP",OR(I3852="TN",I3852="TDN",I3852="TNO2-3",I3852="NO2-3")),VLOOKUP(E3852,QCREC_N,2,),IF(AND(H3852="NIC",OR(I3852="TN",I3852="TDN",I3852="TNO2-3",I3852="NO2-3")),VLOOKUP(E3852,QCNIC_N,2,),IF(AND(H3852="UREA",OR(I3852="TN",I3852="TDN",I3852="TNO2-3",I3852="NO2-3")),VLOOKUP(E3852,QCUREA_N,2,),IF(H3852="PER",VLOOKUP(I3852,QCPER,MATCH(E3852,QCACTUAL!$J$25:$AA$25,0),),IF(H3852="SPK",VLOOKUP(I3852,QCSPK,3,),IF(AND(H3852="ATP",OR(I3852="TP",I3852="TDP")),VLOOKUP(E3852,QCATP_P,2,),""))))))))</f>
        <v/>
      </c>
      <c r="W3852" s="31" t="str">
        <f t="shared" si="439"/>
        <v>TRUE</v>
      </c>
      <c r="X3852" s="31" t="str">
        <f t="shared" si="436"/>
        <v/>
      </c>
      <c r="Y3852" s="10" t="s">
        <v>1275</v>
      </c>
      <c r="AF3852" s="12">
        <v>44981</v>
      </c>
      <c r="AJ3852" s="10">
        <f>2.8761*7.29^2+145.17*7.29-57.22</f>
        <v>1153.9170460099999</v>
      </c>
      <c r="AK3852" s="10">
        <f>0.3348*7.29^2+180.18*7.29-102.36</f>
        <v>1228.9448446800002</v>
      </c>
      <c r="AL3852" s="10" t="str">
        <f t="shared" si="434"/>
        <v>FALSE</v>
      </c>
      <c r="AM3852" s="10" t="str">
        <f t="shared" si="434"/>
        <v>FALSE</v>
      </c>
      <c r="AN3852" s="10" t="str">
        <f t="shared" si="434"/>
        <v>FALSE</v>
      </c>
      <c r="AO3852" s="10" t="str">
        <f t="shared" si="435"/>
        <v>y=2.8761*7.29^2+145.17*7.29-57.22</v>
      </c>
      <c r="AP3852" s="10" t="str">
        <f t="shared" si="435"/>
        <v>y=0.3348*7.29^2+180.18*7.29-102.36</v>
      </c>
      <c r="AQ3852" s="10" t="b">
        <f>IF(AND(I3852="TP",S3852&lt;=150),VLOOKUP(AF3852,TPCalibEq150!$AZ$2:$BB$55,3,),IF(AND(I3852="TDP",S3852&lt;=150),VLOOKUP(AF3852,TPCalibEq150!$AZ$2:$BB$55,3,)))</f>
        <v>0</v>
      </c>
      <c r="AR3852" s="10" t="b">
        <f>IF(AND(I3852="TP",S3852&lt;=300),VLOOKUP(AF3852,TPCalibEq300!$AZ$2:$BB$55,3,),IF(AND(I3852="TDP",S3852&lt;=300),VLOOKUP(AF3852,TPCalibEq300!$AZ$2:$BB$55,3,)))</f>
        <v>0</v>
      </c>
      <c r="AS3852" s="10" t="b">
        <f>IF(AND(I3852="TP",S3852&lt;=500),VLOOKUP(AF3852,TPCalibEq500!$AZ$2:$BB$56,3,),IF(AND(I3852="TDP",S3852&lt;=500),VLOOKUP(AF3852,TPCalibEq500!$AZ$2:$BB$56,3,)))</f>
        <v>0</v>
      </c>
      <c r="AT3852" s="10" t="str">
        <f>IF(AND(I3852="TN",S3852&lt;=2800),VLOOKUP(AF3852,TNCalibEq2500!$AZ$2:$BB$56,3,),IF(AND(I3852="TDN",S3852&lt;=2800),VLOOKUP(AF3852,TNCalibEq2500!$AZ$2:$BB$56,3,)))</f>
        <v>y=2.8761x2+145.17x-57.22</v>
      </c>
      <c r="AU3852" s="10" t="str">
        <f>IF(I3852="TP",VLOOKUP(AF3852,TPCalibEqFull!$AZ$2:$BB$56,3),IF(I3852="TDP",VLOOKUP(AF3852,TPCalibEqFull!$AZ$2:$BB$56,3),IF(I3852="TDN",VLOOKUP(AF3852,TNCalibEqFull!$AZ$1:$BB$56,3),IF(I3852="TN",VLOOKUP(AF3852,TNCalibEqFull!$AZ$1:$BB$56,3),FALSE))))</f>
        <v>y=0.3348x2+180.18x-102.36</v>
      </c>
      <c r="AV3852" s="10" t="str">
        <f t="shared" si="440"/>
        <v>0221 10:52:00-EMB-5-FIL-1-SW-UKN</v>
      </c>
    </row>
    <row r="3853" spans="1:48" s="10" customFormat="1" x14ac:dyDescent="0.55000000000000004">
      <c r="A3853" s="32">
        <v>44978</v>
      </c>
      <c r="B3853" s="33">
        <v>0.4548611111111111</v>
      </c>
      <c r="C3853" s="10" t="s">
        <v>646</v>
      </c>
      <c r="D3853" s="10">
        <v>10</v>
      </c>
      <c r="E3853" s="10" t="s">
        <v>911</v>
      </c>
      <c r="F3853" s="10">
        <v>1</v>
      </c>
      <c r="G3853" s="10" t="s">
        <v>231</v>
      </c>
      <c r="H3853" s="10" t="s">
        <v>322</v>
      </c>
      <c r="I3853" s="10" t="s">
        <v>224</v>
      </c>
      <c r="J3853" s="10">
        <v>62</v>
      </c>
      <c r="K3853" s="12">
        <v>44981</v>
      </c>
      <c r="L3853" s="33">
        <v>0.56225694444444441</v>
      </c>
      <c r="M3853" s="10">
        <v>1</v>
      </c>
      <c r="N3853" s="10" t="s">
        <v>196</v>
      </c>
      <c r="O3853" s="10">
        <v>6.72</v>
      </c>
      <c r="P3853" s="10">
        <v>0.32500000000000001</v>
      </c>
      <c r="Q3853" s="10">
        <v>1150</v>
      </c>
      <c r="R3853" s="10" t="s">
        <v>170</v>
      </c>
      <c r="S3853" s="34">
        <f t="shared" si="437"/>
        <v>1150</v>
      </c>
      <c r="T3853" s="10" t="s">
        <v>1282</v>
      </c>
      <c r="U3853" s="34" t="str">
        <f t="shared" si="438"/>
        <v/>
      </c>
      <c r="V3853" s="31" t="str">
        <f>IF(H3853="CHK",VLOOKUP(I3853,QCCHK,3,),IF(H3853="GUP",VLOOKUP(E3853,QCGUP,2,),IF(AND(H3853="ATP",OR(I3853="TN",I3853="TDN",I3853="TNO2-3",I3853="NO2-3")),VLOOKUP(E3853,QCREC_N,2,),IF(AND(H3853="NIC",OR(I3853="TN",I3853="TDN",I3853="TNO2-3",I3853="NO2-3")),VLOOKUP(E3853,QCNIC_N,2,),IF(AND(H3853="UREA",OR(I3853="TN",I3853="TDN",I3853="TNO2-3",I3853="NO2-3")),VLOOKUP(E3853,QCUREA_N,2,),IF(H3853="PER",VLOOKUP(I3853,QCPER,MATCH(E3853,QCACTUAL!$J$25:$AA$25,0),),IF(H3853="SPK",VLOOKUP(I3853,QCSPK,3,),IF(AND(H3853="ATP",OR(I3853="TP",I3853="TDP")),VLOOKUP(E3853,QCATP_P,2,),""))))))))</f>
        <v/>
      </c>
      <c r="W3853" s="31" t="str">
        <f t="shared" si="439"/>
        <v>TRUE</v>
      </c>
      <c r="X3853" s="31" t="str">
        <f t="shared" si="436"/>
        <v/>
      </c>
      <c r="Y3853" s="10" t="s">
        <v>1275</v>
      </c>
      <c r="AF3853" s="12">
        <v>44981</v>
      </c>
      <c r="AJ3853" s="10">
        <f>2.8761*6.72^2+145.17*6.72-57.22</f>
        <v>1048.2024742399999</v>
      </c>
      <c r="AK3853" s="10">
        <f>0.3348*6.72^2+180.18*6.72-102.36</f>
        <v>1123.5686323200002</v>
      </c>
      <c r="AL3853" s="10" t="str">
        <f t="shared" si="434"/>
        <v>FALSE</v>
      </c>
      <c r="AM3853" s="10" t="str">
        <f t="shared" si="434"/>
        <v>FALSE</v>
      </c>
      <c r="AN3853" s="10" t="str">
        <f t="shared" si="434"/>
        <v>FALSE</v>
      </c>
      <c r="AO3853" s="10" t="str">
        <f t="shared" si="435"/>
        <v>y=2.8761*6.72^2+145.17*6.72-57.22</v>
      </c>
      <c r="AP3853" s="10" t="str">
        <f t="shared" si="435"/>
        <v>y=0.3348*6.72^2+180.18*6.72-102.36</v>
      </c>
      <c r="AQ3853" s="10" t="b">
        <f>IF(AND(I3853="TP",S3853&lt;=150),VLOOKUP(AF3853,TPCalibEq150!$AZ$2:$BB$55,3,),IF(AND(I3853="TDP",S3853&lt;=150),VLOOKUP(AF3853,TPCalibEq150!$AZ$2:$BB$55,3,)))</f>
        <v>0</v>
      </c>
      <c r="AR3853" s="10" t="b">
        <f>IF(AND(I3853="TP",S3853&lt;=300),VLOOKUP(AF3853,TPCalibEq300!$AZ$2:$BB$55,3,),IF(AND(I3853="TDP",S3853&lt;=300),VLOOKUP(AF3853,TPCalibEq300!$AZ$2:$BB$55,3,)))</f>
        <v>0</v>
      </c>
      <c r="AS3853" s="10" t="b">
        <f>IF(AND(I3853="TP",S3853&lt;=500),VLOOKUP(AF3853,TPCalibEq500!$AZ$2:$BB$56,3,),IF(AND(I3853="TDP",S3853&lt;=500),VLOOKUP(AF3853,TPCalibEq500!$AZ$2:$BB$56,3,)))</f>
        <v>0</v>
      </c>
      <c r="AT3853" s="10" t="str">
        <f>IF(AND(I3853="TN",S3853&lt;=2800),VLOOKUP(AF3853,TNCalibEq2500!$AZ$2:$BB$56,3,),IF(AND(I3853="TDN",S3853&lt;=2800),VLOOKUP(AF3853,TNCalibEq2500!$AZ$2:$BB$56,3,)))</f>
        <v>y=2.8761x2+145.17x-57.22</v>
      </c>
      <c r="AU3853" s="10" t="str">
        <f>IF(I3853="TP",VLOOKUP(AF3853,TPCalibEqFull!$AZ$2:$BB$56,3),IF(I3853="TDP",VLOOKUP(AF3853,TPCalibEqFull!$AZ$2:$BB$56,3),IF(I3853="TDN",VLOOKUP(AF3853,TNCalibEqFull!$AZ$1:$BB$56,3),IF(I3853="TN",VLOOKUP(AF3853,TNCalibEqFull!$AZ$1:$BB$56,3),FALSE))))</f>
        <v>y=0.3348x2+180.18x-102.36</v>
      </c>
      <c r="AV3853" s="10" t="str">
        <f t="shared" si="440"/>
        <v>0221 10:55:00-EMB-10-FIL-1-SW-UKN</v>
      </c>
    </row>
    <row r="3854" spans="1:48" s="10" customFormat="1" x14ac:dyDescent="0.55000000000000004">
      <c r="A3854" s="32">
        <v>44978</v>
      </c>
      <c r="B3854" s="33">
        <v>0.45763888888888887</v>
      </c>
      <c r="C3854" s="10" t="s">
        <v>646</v>
      </c>
      <c r="D3854" s="10">
        <v>20</v>
      </c>
      <c r="E3854" s="10" t="s">
        <v>911</v>
      </c>
      <c r="F3854" s="10">
        <v>1</v>
      </c>
      <c r="G3854" s="10" t="s">
        <v>231</v>
      </c>
      <c r="H3854" s="10" t="s">
        <v>322</v>
      </c>
      <c r="I3854" s="10" t="s">
        <v>224</v>
      </c>
      <c r="J3854" s="10">
        <v>63</v>
      </c>
      <c r="K3854" s="12">
        <v>44981</v>
      </c>
      <c r="L3854" s="33">
        <v>0.56292824074074077</v>
      </c>
      <c r="M3854" s="10">
        <v>1</v>
      </c>
      <c r="N3854" s="10" t="s">
        <v>196</v>
      </c>
      <c r="O3854" s="10">
        <v>7.35</v>
      </c>
      <c r="P3854" s="10">
        <v>0.35499999999999998</v>
      </c>
      <c r="Q3854" s="10">
        <v>1260</v>
      </c>
      <c r="R3854" s="10" t="s">
        <v>170</v>
      </c>
      <c r="S3854" s="34">
        <f t="shared" si="437"/>
        <v>1260</v>
      </c>
      <c r="T3854" s="10" t="s">
        <v>1282</v>
      </c>
      <c r="U3854" s="34" t="str">
        <f t="shared" si="438"/>
        <v/>
      </c>
      <c r="V3854" s="31" t="str">
        <f>IF(H3854="CHK",VLOOKUP(I3854,QCCHK,3,),IF(H3854="GUP",VLOOKUP(E3854,QCGUP,2,),IF(AND(H3854="ATP",OR(I3854="TN",I3854="TDN",I3854="TNO2-3",I3854="NO2-3")),VLOOKUP(E3854,QCREC_N,2,),IF(AND(H3854="NIC",OR(I3854="TN",I3854="TDN",I3854="TNO2-3",I3854="NO2-3")),VLOOKUP(E3854,QCNIC_N,2,),IF(AND(H3854="UREA",OR(I3854="TN",I3854="TDN",I3854="TNO2-3",I3854="NO2-3")),VLOOKUP(E3854,QCUREA_N,2,),IF(H3854="PER",VLOOKUP(I3854,QCPER,MATCH(E3854,QCACTUAL!$J$25:$AA$25,0),),IF(H3854="SPK",VLOOKUP(I3854,QCSPK,3,),IF(AND(H3854="ATP",OR(I3854="TP",I3854="TDP")),VLOOKUP(E3854,QCATP_P,2,),""))))))))</f>
        <v/>
      </c>
      <c r="W3854" s="31" t="str">
        <f t="shared" si="439"/>
        <v>TRUE</v>
      </c>
      <c r="X3854" s="31" t="str">
        <f t="shared" si="436"/>
        <v/>
      </c>
      <c r="Y3854" s="10" t="s">
        <v>1275</v>
      </c>
      <c r="AF3854" s="12">
        <v>44981</v>
      </c>
      <c r="AJ3854" s="10">
        <f>2.8761*7.35^2+145.17*7.35-57.22</f>
        <v>1165.1536122499999</v>
      </c>
      <c r="AK3854" s="10">
        <f>0.3348*7.35^2+180.18*7.35-102.36</f>
        <v>1240.0497330000003</v>
      </c>
      <c r="AL3854" s="10" t="str">
        <f t="shared" si="434"/>
        <v>FALSE</v>
      </c>
      <c r="AM3854" s="10" t="str">
        <f t="shared" si="434"/>
        <v>FALSE</v>
      </c>
      <c r="AN3854" s="10" t="str">
        <f t="shared" si="434"/>
        <v>FALSE</v>
      </c>
      <c r="AO3854" s="10" t="str">
        <f t="shared" si="435"/>
        <v>y=2.8761*7.35^2+145.17*7.35-57.22</v>
      </c>
      <c r="AP3854" s="10" t="str">
        <f t="shared" si="435"/>
        <v>y=0.3348*7.35^2+180.18*7.35-102.36</v>
      </c>
      <c r="AQ3854" s="10" t="b">
        <f>IF(AND(I3854="TP",S3854&lt;=150),VLOOKUP(AF3854,TPCalibEq150!$AZ$2:$BB$55,3,),IF(AND(I3854="TDP",S3854&lt;=150),VLOOKUP(AF3854,TPCalibEq150!$AZ$2:$BB$55,3,)))</f>
        <v>0</v>
      </c>
      <c r="AR3854" s="10" t="b">
        <f>IF(AND(I3854="TP",S3854&lt;=300),VLOOKUP(AF3854,TPCalibEq300!$AZ$2:$BB$55,3,),IF(AND(I3854="TDP",S3854&lt;=300),VLOOKUP(AF3854,TPCalibEq300!$AZ$2:$BB$55,3,)))</f>
        <v>0</v>
      </c>
      <c r="AS3854" s="10" t="b">
        <f>IF(AND(I3854="TP",S3854&lt;=500),VLOOKUP(AF3854,TPCalibEq500!$AZ$2:$BB$56,3,),IF(AND(I3854="TDP",S3854&lt;=500),VLOOKUP(AF3854,TPCalibEq500!$AZ$2:$BB$56,3,)))</f>
        <v>0</v>
      </c>
      <c r="AT3854" s="10" t="str">
        <f>IF(AND(I3854="TN",S3854&lt;=2800),VLOOKUP(AF3854,TNCalibEq2500!$AZ$2:$BB$56,3,),IF(AND(I3854="TDN",S3854&lt;=2800),VLOOKUP(AF3854,TNCalibEq2500!$AZ$2:$BB$56,3,)))</f>
        <v>y=2.8761x2+145.17x-57.22</v>
      </c>
      <c r="AU3854" s="10" t="str">
        <f>IF(I3854="TP",VLOOKUP(AF3854,TPCalibEqFull!$AZ$2:$BB$56,3),IF(I3854="TDP",VLOOKUP(AF3854,TPCalibEqFull!$AZ$2:$BB$56,3),IF(I3854="TDN",VLOOKUP(AF3854,TNCalibEqFull!$AZ$1:$BB$56,3),IF(I3854="TN",VLOOKUP(AF3854,TNCalibEqFull!$AZ$1:$BB$56,3),FALSE))))</f>
        <v>y=0.3348x2+180.18x-102.36</v>
      </c>
      <c r="AV3854" s="10" t="str">
        <f t="shared" si="440"/>
        <v>0221 10:59:00-EMB-20-FIL-1-SW-UKN</v>
      </c>
    </row>
    <row r="3855" spans="1:48" s="10" customFormat="1" x14ac:dyDescent="0.55000000000000004">
      <c r="A3855" s="32">
        <v>44978</v>
      </c>
      <c r="B3855" s="33">
        <v>0.46249999999999997</v>
      </c>
      <c r="C3855" s="10" t="s">
        <v>646</v>
      </c>
      <c r="D3855" s="10">
        <v>60</v>
      </c>
      <c r="E3855" s="10" t="s">
        <v>911</v>
      </c>
      <c r="F3855" s="10">
        <v>1</v>
      </c>
      <c r="G3855" s="10" t="s">
        <v>231</v>
      </c>
      <c r="H3855" s="10" t="s">
        <v>322</v>
      </c>
      <c r="I3855" s="10" t="s">
        <v>224</v>
      </c>
      <c r="J3855" s="10">
        <v>64</v>
      </c>
      <c r="K3855" s="12">
        <v>44981</v>
      </c>
      <c r="L3855" s="33">
        <v>0.56358796296296299</v>
      </c>
      <c r="M3855" s="10">
        <v>1</v>
      </c>
      <c r="N3855" s="10" t="s">
        <v>196</v>
      </c>
      <c r="O3855" s="10">
        <v>7</v>
      </c>
      <c r="P3855" s="10">
        <v>0.33800000000000002</v>
      </c>
      <c r="Q3855" s="10">
        <v>1200</v>
      </c>
      <c r="R3855" s="10" t="s">
        <v>170</v>
      </c>
      <c r="S3855" s="34">
        <f t="shared" si="437"/>
        <v>1200</v>
      </c>
      <c r="T3855" s="10" t="s">
        <v>1282</v>
      </c>
      <c r="U3855" s="34" t="str">
        <f t="shared" si="438"/>
        <v/>
      </c>
      <c r="V3855" s="31" t="str">
        <f>IF(H3855="CHK",VLOOKUP(I3855,QCCHK,3,),IF(H3855="GUP",VLOOKUP(E3855,QCGUP,2,),IF(AND(H3855="ATP",OR(I3855="TN",I3855="TDN",I3855="TNO2-3",I3855="NO2-3")),VLOOKUP(E3855,QCREC_N,2,),IF(AND(H3855="NIC",OR(I3855="TN",I3855="TDN",I3855="TNO2-3",I3855="NO2-3")),VLOOKUP(E3855,QCNIC_N,2,),IF(AND(H3855="UREA",OR(I3855="TN",I3855="TDN",I3855="TNO2-3",I3855="NO2-3")),VLOOKUP(E3855,QCUREA_N,2,),IF(H3855="PER",VLOOKUP(I3855,QCPER,MATCH(E3855,QCACTUAL!$J$25:$AA$25,0),),IF(H3855="SPK",VLOOKUP(I3855,QCSPK,3,),IF(AND(H3855="ATP",OR(I3855="TP",I3855="TDP")),VLOOKUP(E3855,QCATP_P,2,),""))))))))</f>
        <v/>
      </c>
      <c r="W3855" s="31" t="str">
        <f t="shared" si="439"/>
        <v>TRUE</v>
      </c>
      <c r="X3855" s="31" t="str">
        <f t="shared" si="436"/>
        <v/>
      </c>
      <c r="Y3855" s="10" t="s">
        <v>1275</v>
      </c>
      <c r="AF3855" s="12">
        <v>44981</v>
      </c>
      <c r="AJ3855" s="10">
        <f>2.8761*7^2+145.17*7-57.22</f>
        <v>1099.8988999999999</v>
      </c>
      <c r="AK3855" s="10">
        <f>0.3348*7^2+180.18*7-102.36</f>
        <v>1175.3052</v>
      </c>
      <c r="AL3855" s="10" t="str">
        <f t="shared" si="434"/>
        <v>FALSE</v>
      </c>
      <c r="AM3855" s="10" t="str">
        <f t="shared" si="434"/>
        <v>FALSE</v>
      </c>
      <c r="AN3855" s="10" t="str">
        <f t="shared" si="434"/>
        <v>FALSE</v>
      </c>
      <c r="AO3855" s="10" t="str">
        <f t="shared" si="435"/>
        <v>y=2.8761*7^2+145.17*7-57.22</v>
      </c>
      <c r="AP3855" s="10" t="str">
        <f t="shared" si="435"/>
        <v>y=0.3348*7^2+180.18*7-102.36</v>
      </c>
      <c r="AQ3855" s="10" t="b">
        <f>IF(AND(I3855="TP",S3855&lt;=150),VLOOKUP(AF3855,TPCalibEq150!$AZ$2:$BB$55,3,),IF(AND(I3855="TDP",S3855&lt;=150),VLOOKUP(AF3855,TPCalibEq150!$AZ$2:$BB$55,3,)))</f>
        <v>0</v>
      </c>
      <c r="AR3855" s="10" t="b">
        <f>IF(AND(I3855="TP",S3855&lt;=300),VLOOKUP(AF3855,TPCalibEq300!$AZ$2:$BB$55,3,),IF(AND(I3855="TDP",S3855&lt;=300),VLOOKUP(AF3855,TPCalibEq300!$AZ$2:$BB$55,3,)))</f>
        <v>0</v>
      </c>
      <c r="AS3855" s="10" t="b">
        <f>IF(AND(I3855="TP",S3855&lt;=500),VLOOKUP(AF3855,TPCalibEq500!$AZ$2:$BB$56,3,),IF(AND(I3855="TDP",S3855&lt;=500),VLOOKUP(AF3855,TPCalibEq500!$AZ$2:$BB$56,3,)))</f>
        <v>0</v>
      </c>
      <c r="AT3855" s="10" t="str">
        <f>IF(AND(I3855="TN",S3855&lt;=2800),VLOOKUP(AF3855,TNCalibEq2500!$AZ$2:$BB$56,3,),IF(AND(I3855="TDN",S3855&lt;=2800),VLOOKUP(AF3855,TNCalibEq2500!$AZ$2:$BB$56,3,)))</f>
        <v>y=2.8761x2+145.17x-57.22</v>
      </c>
      <c r="AU3855" s="10" t="str">
        <f>IF(I3855="TP",VLOOKUP(AF3855,TPCalibEqFull!$AZ$2:$BB$56,3),IF(I3855="TDP",VLOOKUP(AF3855,TPCalibEqFull!$AZ$2:$BB$56,3),IF(I3855="TDN",VLOOKUP(AF3855,TNCalibEqFull!$AZ$1:$BB$56,3),IF(I3855="TN",VLOOKUP(AF3855,TNCalibEqFull!$AZ$1:$BB$56,3),FALSE))))</f>
        <v>y=0.3348x2+180.18x-102.36</v>
      </c>
      <c r="AV3855" s="10" t="str">
        <f t="shared" si="440"/>
        <v>0221 11:06:00-EMB-60-FIL-1-SW-UKN</v>
      </c>
    </row>
    <row r="3856" spans="1:48" s="10" customFormat="1" x14ac:dyDescent="0.55000000000000004">
      <c r="A3856" s="32">
        <v>44978</v>
      </c>
      <c r="B3856" s="33">
        <v>0.41319444444444442</v>
      </c>
      <c r="C3856" s="10" t="s">
        <v>287</v>
      </c>
      <c r="D3856" s="10">
        <v>0</v>
      </c>
      <c r="E3856" s="10" t="s">
        <v>911</v>
      </c>
      <c r="F3856" s="10">
        <v>1</v>
      </c>
      <c r="G3856" s="10" t="s">
        <v>231</v>
      </c>
      <c r="H3856" s="10" t="s">
        <v>322</v>
      </c>
      <c r="I3856" s="10" t="s">
        <v>224</v>
      </c>
      <c r="J3856" s="10">
        <v>65</v>
      </c>
      <c r="K3856" s="12">
        <v>44981</v>
      </c>
      <c r="L3856" s="33">
        <v>0.56425925925925924</v>
      </c>
      <c r="M3856" s="10">
        <v>1</v>
      </c>
      <c r="N3856" s="10" t="s">
        <v>196</v>
      </c>
      <c r="O3856" s="10">
        <v>7.4</v>
      </c>
      <c r="P3856" s="10">
        <v>0.35799999999999998</v>
      </c>
      <c r="Q3856" s="10">
        <v>1270</v>
      </c>
      <c r="R3856" s="10" t="s">
        <v>170</v>
      </c>
      <c r="S3856" s="34">
        <f t="shared" si="437"/>
        <v>1270</v>
      </c>
      <c r="T3856" s="10" t="s">
        <v>1282</v>
      </c>
      <c r="U3856" s="34" t="str">
        <f t="shared" si="438"/>
        <v/>
      </c>
      <c r="V3856" s="31" t="str">
        <f>IF(H3856="CHK",VLOOKUP(I3856,QCCHK,3,),IF(H3856="GUP",VLOOKUP(E3856,QCGUP,2,),IF(AND(H3856="ATP",OR(I3856="TN",I3856="TDN",I3856="TNO2-3",I3856="NO2-3")),VLOOKUP(E3856,QCREC_N,2,),IF(AND(H3856="NIC",OR(I3856="TN",I3856="TDN",I3856="TNO2-3",I3856="NO2-3")),VLOOKUP(E3856,QCNIC_N,2,),IF(AND(H3856="UREA",OR(I3856="TN",I3856="TDN",I3856="TNO2-3",I3856="NO2-3")),VLOOKUP(E3856,QCUREA_N,2,),IF(H3856="PER",VLOOKUP(I3856,QCPER,MATCH(E3856,QCACTUAL!$J$25:$AA$25,0),),IF(H3856="SPK",VLOOKUP(I3856,QCSPK,3,),IF(AND(H3856="ATP",OR(I3856="TP",I3856="TDP")),VLOOKUP(E3856,QCATP_P,2,),""))))))))</f>
        <v/>
      </c>
      <c r="W3856" s="31" t="str">
        <f t="shared" si="439"/>
        <v>TRUE</v>
      </c>
      <c r="X3856" s="31" t="str">
        <f t="shared" si="436"/>
        <v/>
      </c>
      <c r="Y3856" s="10" t="s">
        <v>1275</v>
      </c>
      <c r="AF3856" s="12">
        <v>44981</v>
      </c>
      <c r="AJ3856" s="10">
        <f>2.8761*7.4^2+145.17*7.4-57.22</f>
        <v>1174.533236</v>
      </c>
      <c r="AK3856" s="10">
        <f>0.3348*7.4^2+180.18*7.4-102.36</f>
        <v>1249.3056480000002</v>
      </c>
      <c r="AL3856" s="10" t="str">
        <f t="shared" si="434"/>
        <v>FALSE</v>
      </c>
      <c r="AM3856" s="10" t="str">
        <f t="shared" si="434"/>
        <v>FALSE</v>
      </c>
      <c r="AN3856" s="10" t="str">
        <f t="shared" si="434"/>
        <v>FALSE</v>
      </c>
      <c r="AO3856" s="10" t="str">
        <f t="shared" si="435"/>
        <v>y=2.8761*7.4^2+145.17*7.4-57.22</v>
      </c>
      <c r="AP3856" s="10" t="str">
        <f t="shared" si="435"/>
        <v>y=0.3348*7.4^2+180.18*7.4-102.36</v>
      </c>
      <c r="AQ3856" s="10" t="b">
        <f>IF(AND(I3856="TP",S3856&lt;=150),VLOOKUP(AF3856,TPCalibEq150!$AZ$2:$BB$55,3,),IF(AND(I3856="TDP",S3856&lt;=150),VLOOKUP(AF3856,TPCalibEq150!$AZ$2:$BB$55,3,)))</f>
        <v>0</v>
      </c>
      <c r="AR3856" s="10" t="b">
        <f>IF(AND(I3856="TP",S3856&lt;=300),VLOOKUP(AF3856,TPCalibEq300!$AZ$2:$BB$55,3,),IF(AND(I3856="TDP",S3856&lt;=300),VLOOKUP(AF3856,TPCalibEq300!$AZ$2:$BB$55,3,)))</f>
        <v>0</v>
      </c>
      <c r="AS3856" s="10" t="b">
        <f>IF(AND(I3856="TP",S3856&lt;=500),VLOOKUP(AF3856,TPCalibEq500!$AZ$2:$BB$56,3,),IF(AND(I3856="TDP",S3856&lt;=500),VLOOKUP(AF3856,TPCalibEq500!$AZ$2:$BB$56,3,)))</f>
        <v>0</v>
      </c>
      <c r="AT3856" s="10" t="str">
        <f>IF(AND(I3856="TN",S3856&lt;=2800),VLOOKUP(AF3856,TNCalibEq2500!$AZ$2:$BB$56,3,),IF(AND(I3856="TDN",S3856&lt;=2800),VLOOKUP(AF3856,TNCalibEq2500!$AZ$2:$BB$56,3,)))</f>
        <v>y=2.8761x2+145.17x-57.22</v>
      </c>
      <c r="AU3856" s="10" t="str">
        <f>IF(I3856="TP",VLOOKUP(AF3856,TPCalibEqFull!$AZ$2:$BB$56,3),IF(I3856="TDP",VLOOKUP(AF3856,TPCalibEqFull!$AZ$2:$BB$56,3),IF(I3856="TDN",VLOOKUP(AF3856,TNCalibEqFull!$AZ$1:$BB$56,3),IF(I3856="TN",VLOOKUP(AF3856,TNCalibEqFull!$AZ$1:$BB$56,3),FALSE))))</f>
        <v>y=0.3348x2+180.18x-102.36</v>
      </c>
      <c r="AV3856" s="10" t="str">
        <f t="shared" si="440"/>
        <v>0221 09:55:00-EFL-0-FIL-1-SW-UKN</v>
      </c>
    </row>
    <row r="3857" spans="1:48" s="10" customFormat="1" x14ac:dyDescent="0.55000000000000004">
      <c r="A3857" s="32">
        <v>44978</v>
      </c>
      <c r="B3857" s="33">
        <v>0.41597222222222219</v>
      </c>
      <c r="C3857" s="10" t="s">
        <v>287</v>
      </c>
      <c r="D3857" s="10">
        <v>5</v>
      </c>
      <c r="E3857" s="10" t="s">
        <v>911</v>
      </c>
      <c r="F3857" s="10">
        <v>1</v>
      </c>
      <c r="G3857" s="10" t="s">
        <v>231</v>
      </c>
      <c r="H3857" s="10" t="s">
        <v>322</v>
      </c>
      <c r="I3857" s="10" t="s">
        <v>224</v>
      </c>
      <c r="J3857" s="10">
        <v>66</v>
      </c>
      <c r="K3857" s="12">
        <v>44981</v>
      </c>
      <c r="L3857" s="33">
        <v>0.5649305555555556</v>
      </c>
      <c r="M3857" s="10">
        <v>1</v>
      </c>
      <c r="N3857" s="10" t="s">
        <v>196</v>
      </c>
      <c r="O3857" s="10">
        <v>6.95</v>
      </c>
      <c r="P3857" s="10">
        <v>0.33500000000000002</v>
      </c>
      <c r="Q3857" s="10">
        <v>1190</v>
      </c>
      <c r="R3857" s="10" t="s">
        <v>170</v>
      </c>
      <c r="S3857" s="34">
        <f t="shared" si="437"/>
        <v>1190</v>
      </c>
      <c r="T3857" s="10" t="s">
        <v>1282</v>
      </c>
      <c r="U3857" s="34" t="str">
        <f t="shared" si="438"/>
        <v/>
      </c>
      <c r="V3857" s="31" t="str">
        <f>IF(H3857="CHK",VLOOKUP(I3857,QCCHK,3,),IF(H3857="GUP",VLOOKUP(E3857,QCGUP,2,),IF(AND(H3857="ATP",OR(I3857="TN",I3857="TDN",I3857="TNO2-3",I3857="NO2-3")),VLOOKUP(E3857,QCREC_N,2,),IF(AND(H3857="NIC",OR(I3857="TN",I3857="TDN",I3857="TNO2-3",I3857="NO2-3")),VLOOKUP(E3857,QCNIC_N,2,),IF(AND(H3857="UREA",OR(I3857="TN",I3857="TDN",I3857="TNO2-3",I3857="NO2-3")),VLOOKUP(E3857,QCUREA_N,2,),IF(H3857="PER",VLOOKUP(I3857,QCPER,MATCH(E3857,QCACTUAL!$J$25:$AA$25,0),),IF(H3857="SPK",VLOOKUP(I3857,QCSPK,3,),IF(AND(H3857="ATP",OR(I3857="TP",I3857="TDP")),VLOOKUP(E3857,QCATP_P,2,),""))))))))</f>
        <v/>
      </c>
      <c r="W3857" s="31" t="str">
        <f t="shared" si="439"/>
        <v>TRUE</v>
      </c>
      <c r="X3857" s="31" t="str">
        <f t="shared" si="436"/>
        <v/>
      </c>
      <c r="Y3857" s="10" t="s">
        <v>1275</v>
      </c>
      <c r="AF3857" s="12">
        <v>44981</v>
      </c>
      <c r="AJ3857" s="10">
        <f>2.8761*6.95^2+145.17*6.95-57.22</f>
        <v>1090.63432025</v>
      </c>
      <c r="AK3857" s="10">
        <f>0.3348*6.95^2+180.18*6.95-102.36</f>
        <v>1166.0626770000001</v>
      </c>
      <c r="AL3857" s="10" t="str">
        <f t="shared" si="434"/>
        <v>FALSE</v>
      </c>
      <c r="AM3857" s="10" t="str">
        <f t="shared" si="434"/>
        <v>FALSE</v>
      </c>
      <c r="AN3857" s="10" t="str">
        <f t="shared" si="434"/>
        <v>FALSE</v>
      </c>
      <c r="AO3857" s="10" t="str">
        <f t="shared" si="435"/>
        <v>y=2.8761*6.95^2+145.17*6.95-57.22</v>
      </c>
      <c r="AP3857" s="10" t="str">
        <f t="shared" si="435"/>
        <v>y=0.3348*6.95^2+180.18*6.95-102.36</v>
      </c>
      <c r="AQ3857" s="10" t="b">
        <f>IF(AND(I3857="TP",S3857&lt;=150),VLOOKUP(AF3857,TPCalibEq150!$AZ$2:$BB$55,3,),IF(AND(I3857="TDP",S3857&lt;=150),VLOOKUP(AF3857,TPCalibEq150!$AZ$2:$BB$55,3,)))</f>
        <v>0</v>
      </c>
      <c r="AR3857" s="10" t="b">
        <f>IF(AND(I3857="TP",S3857&lt;=300),VLOOKUP(AF3857,TPCalibEq300!$AZ$2:$BB$55,3,),IF(AND(I3857="TDP",S3857&lt;=300),VLOOKUP(AF3857,TPCalibEq300!$AZ$2:$BB$55,3,)))</f>
        <v>0</v>
      </c>
      <c r="AS3857" s="10" t="b">
        <f>IF(AND(I3857="TP",S3857&lt;=500),VLOOKUP(AF3857,TPCalibEq500!$AZ$2:$BB$56,3,),IF(AND(I3857="TDP",S3857&lt;=500),VLOOKUP(AF3857,TPCalibEq500!$AZ$2:$BB$56,3,)))</f>
        <v>0</v>
      </c>
      <c r="AT3857" s="10" t="str">
        <f>IF(AND(I3857="TN",S3857&lt;=2800),VLOOKUP(AF3857,TNCalibEq2500!$AZ$2:$BB$56,3,),IF(AND(I3857="TDN",S3857&lt;=2800),VLOOKUP(AF3857,TNCalibEq2500!$AZ$2:$BB$56,3,)))</f>
        <v>y=2.8761x2+145.17x-57.22</v>
      </c>
      <c r="AU3857" s="10" t="str">
        <f>IF(I3857="TP",VLOOKUP(AF3857,TPCalibEqFull!$AZ$2:$BB$56,3),IF(I3857="TDP",VLOOKUP(AF3857,TPCalibEqFull!$AZ$2:$BB$56,3),IF(I3857="TDN",VLOOKUP(AF3857,TNCalibEqFull!$AZ$1:$BB$56,3),IF(I3857="TN",VLOOKUP(AF3857,TNCalibEqFull!$AZ$1:$BB$56,3),FALSE))))</f>
        <v>y=0.3348x2+180.18x-102.36</v>
      </c>
      <c r="AV3857" s="10" t="str">
        <f t="shared" si="440"/>
        <v>0221 09:59:00-EFL-5-FIL-1-SW-UKN</v>
      </c>
    </row>
    <row r="3858" spans="1:48" s="10" customFormat="1" x14ac:dyDescent="0.55000000000000004">
      <c r="A3858" s="32">
        <v>44978</v>
      </c>
      <c r="B3858" s="33">
        <v>0.41805555555555557</v>
      </c>
      <c r="C3858" s="10" t="s">
        <v>287</v>
      </c>
      <c r="D3858" s="10">
        <v>10</v>
      </c>
      <c r="E3858" s="10" t="s">
        <v>911</v>
      </c>
      <c r="F3858" s="10">
        <v>1</v>
      </c>
      <c r="G3858" s="10" t="s">
        <v>231</v>
      </c>
      <c r="H3858" s="10" t="s">
        <v>322</v>
      </c>
      <c r="I3858" s="10" t="s">
        <v>224</v>
      </c>
      <c r="J3858" s="10">
        <v>67</v>
      </c>
      <c r="K3858" s="12">
        <v>44981</v>
      </c>
      <c r="L3858" s="33">
        <v>0.56559027777777782</v>
      </c>
      <c r="M3858" s="10">
        <v>1</v>
      </c>
      <c r="N3858" s="10" t="s">
        <v>196</v>
      </c>
      <c r="O3858" s="10">
        <v>6.64</v>
      </c>
      <c r="P3858" s="10">
        <v>0.32</v>
      </c>
      <c r="Q3858" s="10">
        <v>1130</v>
      </c>
      <c r="R3858" s="10" t="s">
        <v>170</v>
      </c>
      <c r="S3858" s="34">
        <f t="shared" si="437"/>
        <v>1130</v>
      </c>
      <c r="T3858" s="10" t="s">
        <v>1282</v>
      </c>
      <c r="U3858" s="34" t="str">
        <f t="shared" si="438"/>
        <v/>
      </c>
      <c r="V3858" s="31" t="str">
        <f>IF(H3858="CHK",VLOOKUP(I3858,QCCHK,3,),IF(H3858="GUP",VLOOKUP(E3858,QCGUP,2,),IF(AND(H3858="ATP",OR(I3858="TN",I3858="TDN",I3858="TNO2-3",I3858="NO2-3")),VLOOKUP(E3858,QCREC_N,2,),IF(AND(H3858="NIC",OR(I3858="TN",I3858="TDN",I3858="TNO2-3",I3858="NO2-3")),VLOOKUP(E3858,QCNIC_N,2,),IF(AND(H3858="UREA",OR(I3858="TN",I3858="TDN",I3858="TNO2-3",I3858="NO2-3")),VLOOKUP(E3858,QCUREA_N,2,),IF(H3858="PER",VLOOKUP(I3858,QCPER,MATCH(E3858,QCACTUAL!$J$25:$AA$25,0),),IF(H3858="SPK",VLOOKUP(I3858,QCSPK,3,),IF(AND(H3858="ATP",OR(I3858="TP",I3858="TDP")),VLOOKUP(E3858,QCATP_P,2,),""))))))))</f>
        <v/>
      </c>
      <c r="W3858" s="31" t="str">
        <f t="shared" si="439"/>
        <v>TRUE</v>
      </c>
      <c r="X3858" s="31" t="str">
        <f t="shared" si="436"/>
        <v/>
      </c>
      <c r="Y3858" s="10" t="s">
        <v>1275</v>
      </c>
      <c r="AF3858" s="12">
        <v>44981</v>
      </c>
      <c r="AJ3858" s="10">
        <f>2.8761*6.64^2+145.17*6.64-57.22</f>
        <v>1033.5148985599999</v>
      </c>
      <c r="AK3858" s="10">
        <f>0.3348*6.64^2+180.18*6.64-102.36</f>
        <v>1108.79639808</v>
      </c>
      <c r="AL3858" s="10" t="str">
        <f t="shared" si="434"/>
        <v>FALSE</v>
      </c>
      <c r="AM3858" s="10" t="str">
        <f t="shared" si="434"/>
        <v>FALSE</v>
      </c>
      <c r="AN3858" s="10" t="str">
        <f t="shared" si="434"/>
        <v>FALSE</v>
      </c>
      <c r="AO3858" s="10" t="str">
        <f t="shared" si="435"/>
        <v>y=2.8761*6.64^2+145.17*6.64-57.22</v>
      </c>
      <c r="AP3858" s="10" t="str">
        <f t="shared" si="435"/>
        <v>y=0.3348*6.64^2+180.18*6.64-102.36</v>
      </c>
      <c r="AQ3858" s="10" t="b">
        <f>IF(AND(I3858="TP",S3858&lt;=150),VLOOKUP(AF3858,TPCalibEq150!$AZ$2:$BB$55,3,),IF(AND(I3858="TDP",S3858&lt;=150),VLOOKUP(AF3858,TPCalibEq150!$AZ$2:$BB$55,3,)))</f>
        <v>0</v>
      </c>
      <c r="AR3858" s="10" t="b">
        <f>IF(AND(I3858="TP",S3858&lt;=300),VLOOKUP(AF3858,TPCalibEq300!$AZ$2:$BB$55,3,),IF(AND(I3858="TDP",S3858&lt;=300),VLOOKUP(AF3858,TPCalibEq300!$AZ$2:$BB$55,3,)))</f>
        <v>0</v>
      </c>
      <c r="AS3858" s="10" t="b">
        <f>IF(AND(I3858="TP",S3858&lt;=500),VLOOKUP(AF3858,TPCalibEq500!$AZ$2:$BB$56,3,),IF(AND(I3858="TDP",S3858&lt;=500),VLOOKUP(AF3858,TPCalibEq500!$AZ$2:$BB$56,3,)))</f>
        <v>0</v>
      </c>
      <c r="AT3858" s="10" t="str">
        <f>IF(AND(I3858="TN",S3858&lt;=2800),VLOOKUP(AF3858,TNCalibEq2500!$AZ$2:$BB$56,3,),IF(AND(I3858="TDN",S3858&lt;=2800),VLOOKUP(AF3858,TNCalibEq2500!$AZ$2:$BB$56,3,)))</f>
        <v>y=2.8761x2+145.17x-57.22</v>
      </c>
      <c r="AU3858" s="10" t="str">
        <f>IF(I3858="TP",VLOOKUP(AF3858,TPCalibEqFull!$AZ$2:$BB$56,3),IF(I3858="TDP",VLOOKUP(AF3858,TPCalibEqFull!$AZ$2:$BB$56,3),IF(I3858="TDN",VLOOKUP(AF3858,TNCalibEqFull!$AZ$1:$BB$56,3),IF(I3858="TN",VLOOKUP(AF3858,TNCalibEqFull!$AZ$1:$BB$56,3),FALSE))))</f>
        <v>y=0.3348x2+180.18x-102.36</v>
      </c>
      <c r="AV3858" s="10" t="str">
        <f t="shared" si="440"/>
        <v>0221 10:02:00-EFL-10-FIL-1-SW-UKN</v>
      </c>
    </row>
    <row r="3859" spans="1:48" s="10" customFormat="1" x14ac:dyDescent="0.55000000000000004">
      <c r="A3859" s="32">
        <v>44978</v>
      </c>
      <c r="B3859" s="33">
        <v>0.42083333333333334</v>
      </c>
      <c r="C3859" s="10" t="s">
        <v>287</v>
      </c>
      <c r="D3859" s="10">
        <v>20</v>
      </c>
      <c r="E3859" s="10" t="s">
        <v>911</v>
      </c>
      <c r="F3859" s="10">
        <v>1</v>
      </c>
      <c r="G3859" s="10" t="s">
        <v>231</v>
      </c>
      <c r="H3859" s="10" t="s">
        <v>322</v>
      </c>
      <c r="I3859" s="10" t="s">
        <v>224</v>
      </c>
      <c r="J3859" s="10">
        <v>68</v>
      </c>
      <c r="K3859" s="12">
        <v>44981</v>
      </c>
      <c r="L3859" s="33">
        <v>0.56626157407407407</v>
      </c>
      <c r="M3859" s="10">
        <v>1</v>
      </c>
      <c r="N3859" s="10" t="s">
        <v>196</v>
      </c>
      <c r="O3859" s="10">
        <v>6.64</v>
      </c>
      <c r="P3859" s="10">
        <v>0.32100000000000001</v>
      </c>
      <c r="Q3859" s="10">
        <v>1130</v>
      </c>
      <c r="R3859" s="10" t="s">
        <v>170</v>
      </c>
      <c r="S3859" s="34">
        <f t="shared" si="437"/>
        <v>1130</v>
      </c>
      <c r="T3859" s="10" t="s">
        <v>1282</v>
      </c>
      <c r="U3859" s="34" t="str">
        <f t="shared" si="438"/>
        <v/>
      </c>
      <c r="V3859" s="31" t="str">
        <f>IF(H3859="CHK",VLOOKUP(I3859,QCCHK,3,),IF(H3859="GUP",VLOOKUP(E3859,QCGUP,2,),IF(AND(H3859="ATP",OR(I3859="TN",I3859="TDN",I3859="TNO2-3",I3859="NO2-3")),VLOOKUP(E3859,QCREC_N,2,),IF(AND(H3859="NIC",OR(I3859="TN",I3859="TDN",I3859="TNO2-3",I3859="NO2-3")),VLOOKUP(E3859,QCNIC_N,2,),IF(AND(H3859="UREA",OR(I3859="TN",I3859="TDN",I3859="TNO2-3",I3859="NO2-3")),VLOOKUP(E3859,QCUREA_N,2,),IF(H3859="PER",VLOOKUP(I3859,QCPER,MATCH(E3859,QCACTUAL!$J$25:$AA$25,0),),IF(H3859="SPK",VLOOKUP(I3859,QCSPK,3,),IF(AND(H3859="ATP",OR(I3859="TP",I3859="TDP")),VLOOKUP(E3859,QCATP_P,2,),""))))))))</f>
        <v/>
      </c>
      <c r="W3859" s="31" t="str">
        <f t="shared" si="439"/>
        <v>TRUE</v>
      </c>
      <c r="X3859" s="31" t="str">
        <f t="shared" si="436"/>
        <v/>
      </c>
      <c r="Y3859" s="10" t="s">
        <v>1275</v>
      </c>
      <c r="AF3859" s="12">
        <v>44981</v>
      </c>
      <c r="AJ3859" s="10">
        <f>2.8761*6.64^2+145.17*6.64-57.22</f>
        <v>1033.5148985599999</v>
      </c>
      <c r="AK3859" s="10">
        <f>0.3348*6.64^2+180.18*6.64-102.36</f>
        <v>1108.79639808</v>
      </c>
      <c r="AL3859" s="10" t="str">
        <f t="shared" si="434"/>
        <v>FALSE</v>
      </c>
      <c r="AM3859" s="10" t="str">
        <f t="shared" si="434"/>
        <v>FALSE</v>
      </c>
      <c r="AN3859" s="10" t="str">
        <f t="shared" si="434"/>
        <v>FALSE</v>
      </c>
      <c r="AO3859" s="10" t="str">
        <f t="shared" si="435"/>
        <v>y=2.8761*6.64^2+145.17*6.64-57.22</v>
      </c>
      <c r="AP3859" s="10" t="str">
        <f t="shared" si="435"/>
        <v>y=0.3348*6.64^2+180.18*6.64-102.36</v>
      </c>
      <c r="AQ3859" s="10" t="b">
        <f>IF(AND(I3859="TP",S3859&lt;=150),VLOOKUP(AF3859,TPCalibEq150!$AZ$2:$BB$55,3,),IF(AND(I3859="TDP",S3859&lt;=150),VLOOKUP(AF3859,TPCalibEq150!$AZ$2:$BB$55,3,)))</f>
        <v>0</v>
      </c>
      <c r="AR3859" s="10" t="b">
        <f>IF(AND(I3859="TP",S3859&lt;=300),VLOOKUP(AF3859,TPCalibEq300!$AZ$2:$BB$55,3,),IF(AND(I3859="TDP",S3859&lt;=300),VLOOKUP(AF3859,TPCalibEq300!$AZ$2:$BB$55,3,)))</f>
        <v>0</v>
      </c>
      <c r="AS3859" s="10" t="b">
        <f>IF(AND(I3859="TP",S3859&lt;=500),VLOOKUP(AF3859,TPCalibEq500!$AZ$2:$BB$56,3,),IF(AND(I3859="TDP",S3859&lt;=500),VLOOKUP(AF3859,TPCalibEq500!$AZ$2:$BB$56,3,)))</f>
        <v>0</v>
      </c>
      <c r="AT3859" s="10" t="str">
        <f>IF(AND(I3859="TN",S3859&lt;=2800),VLOOKUP(AF3859,TNCalibEq2500!$AZ$2:$BB$56,3,),IF(AND(I3859="TDN",S3859&lt;=2800),VLOOKUP(AF3859,TNCalibEq2500!$AZ$2:$BB$56,3,)))</f>
        <v>y=2.8761x2+145.17x-57.22</v>
      </c>
      <c r="AU3859" s="10" t="str">
        <f>IF(I3859="TP",VLOOKUP(AF3859,TPCalibEqFull!$AZ$2:$BB$56,3),IF(I3859="TDP",VLOOKUP(AF3859,TPCalibEqFull!$AZ$2:$BB$56,3),IF(I3859="TDN",VLOOKUP(AF3859,TNCalibEqFull!$AZ$1:$BB$56,3),IF(I3859="TN",VLOOKUP(AF3859,TNCalibEqFull!$AZ$1:$BB$56,3),FALSE))))</f>
        <v>y=0.3348x2+180.18x-102.36</v>
      </c>
      <c r="AV3859" s="10" t="str">
        <f t="shared" si="440"/>
        <v>0221 10:06:00-EFL-20-FIL-1-SW-UKN</v>
      </c>
    </row>
    <row r="3860" spans="1:48" s="10" customFormat="1" x14ac:dyDescent="0.55000000000000004">
      <c r="A3860" s="32">
        <v>44978</v>
      </c>
      <c r="B3860" s="33">
        <v>0.42083333333333334</v>
      </c>
      <c r="C3860" s="10" t="s">
        <v>287</v>
      </c>
      <c r="D3860" s="10">
        <v>20</v>
      </c>
      <c r="E3860" s="10" t="s">
        <v>911</v>
      </c>
      <c r="F3860" s="10">
        <v>2</v>
      </c>
      <c r="G3860" s="10" t="s">
        <v>231</v>
      </c>
      <c r="H3860" s="10" t="s">
        <v>322</v>
      </c>
      <c r="I3860" s="10" t="s">
        <v>224</v>
      </c>
      <c r="J3860" s="10">
        <v>69</v>
      </c>
      <c r="K3860" s="12">
        <v>44981</v>
      </c>
      <c r="L3860" s="33">
        <v>0.56692129629629628</v>
      </c>
      <c r="M3860" s="10">
        <v>1</v>
      </c>
      <c r="N3860" s="10" t="s">
        <v>196</v>
      </c>
      <c r="O3860" s="10">
        <v>6.75</v>
      </c>
      <c r="P3860" s="10">
        <v>0.32600000000000001</v>
      </c>
      <c r="Q3860" s="10">
        <v>1150</v>
      </c>
      <c r="R3860" s="10" t="s">
        <v>170</v>
      </c>
      <c r="S3860" s="34">
        <f t="shared" si="437"/>
        <v>1150</v>
      </c>
      <c r="T3860" s="10" t="s">
        <v>1282</v>
      </c>
      <c r="U3860" s="34" t="str">
        <f t="shared" si="438"/>
        <v/>
      </c>
      <c r="V3860" s="31" t="str">
        <f>IF(H3860="CHK",VLOOKUP(I3860,QCCHK,3,),IF(H3860="GUP",VLOOKUP(E3860,QCGUP,2,),IF(AND(H3860="ATP",OR(I3860="TN",I3860="TDN",I3860="TNO2-3",I3860="NO2-3")),VLOOKUP(E3860,QCREC_N,2,),IF(AND(H3860="NIC",OR(I3860="TN",I3860="TDN",I3860="TNO2-3",I3860="NO2-3")),VLOOKUP(E3860,QCNIC_N,2,),IF(AND(H3860="UREA",OR(I3860="TN",I3860="TDN",I3860="TNO2-3",I3860="NO2-3")),VLOOKUP(E3860,QCUREA_N,2,),IF(H3860="PER",VLOOKUP(I3860,QCPER,MATCH(E3860,QCACTUAL!$J$25:$AA$25,0),),IF(H3860="SPK",VLOOKUP(I3860,QCSPK,3,),IF(AND(H3860="ATP",OR(I3860="TP",I3860="TDP")),VLOOKUP(E3860,QCATP_P,2,),""))))))))</f>
        <v/>
      </c>
      <c r="W3860" s="31" t="str">
        <f t="shared" si="439"/>
        <v>TRUE</v>
      </c>
      <c r="X3860" s="31" t="str">
        <f t="shared" si="436"/>
        <v/>
      </c>
      <c r="Y3860" s="10" t="s">
        <v>1275</v>
      </c>
      <c r="AF3860" s="12">
        <v>44981</v>
      </c>
      <c r="AJ3860" s="10">
        <f>2.8761*6.75^2+145.17*6.75-57.22</f>
        <v>1053.7198062499999</v>
      </c>
      <c r="AK3860" s="10">
        <f>0.3348*6.75^2+180.18*6.75-102.36</f>
        <v>1129.1093250000004</v>
      </c>
      <c r="AL3860" s="10" t="str">
        <f t="shared" si="434"/>
        <v>FALSE</v>
      </c>
      <c r="AM3860" s="10" t="str">
        <f t="shared" si="434"/>
        <v>FALSE</v>
      </c>
      <c r="AN3860" s="10" t="str">
        <f t="shared" si="434"/>
        <v>FALSE</v>
      </c>
      <c r="AO3860" s="10" t="str">
        <f t="shared" si="435"/>
        <v>y=2.8761*6.75^2+145.17*6.75-57.22</v>
      </c>
      <c r="AP3860" s="10" t="str">
        <f t="shared" si="435"/>
        <v>y=0.3348*6.75^2+180.18*6.75-102.36</v>
      </c>
      <c r="AQ3860" s="10" t="b">
        <f>IF(AND(I3860="TP",S3860&lt;=150),VLOOKUP(AF3860,TPCalibEq150!$AZ$2:$BB$55,3,),IF(AND(I3860="TDP",S3860&lt;=150),VLOOKUP(AF3860,TPCalibEq150!$AZ$2:$BB$55,3,)))</f>
        <v>0</v>
      </c>
      <c r="AR3860" s="10" t="b">
        <f>IF(AND(I3860="TP",S3860&lt;=300),VLOOKUP(AF3860,TPCalibEq300!$AZ$2:$BB$55,3,),IF(AND(I3860="TDP",S3860&lt;=300),VLOOKUP(AF3860,TPCalibEq300!$AZ$2:$BB$55,3,)))</f>
        <v>0</v>
      </c>
      <c r="AS3860" s="10" t="b">
        <f>IF(AND(I3860="TP",S3860&lt;=500),VLOOKUP(AF3860,TPCalibEq500!$AZ$2:$BB$56,3,),IF(AND(I3860="TDP",S3860&lt;=500),VLOOKUP(AF3860,TPCalibEq500!$AZ$2:$BB$56,3,)))</f>
        <v>0</v>
      </c>
      <c r="AT3860" s="10" t="str">
        <f>IF(AND(I3860="TN",S3860&lt;=2800),VLOOKUP(AF3860,TNCalibEq2500!$AZ$2:$BB$56,3,),IF(AND(I3860="TDN",S3860&lt;=2800),VLOOKUP(AF3860,TNCalibEq2500!$AZ$2:$BB$56,3,)))</f>
        <v>y=2.8761x2+145.17x-57.22</v>
      </c>
      <c r="AU3860" s="10" t="str">
        <f>IF(I3860="TP",VLOOKUP(AF3860,TPCalibEqFull!$AZ$2:$BB$56,3),IF(I3860="TDP",VLOOKUP(AF3860,TPCalibEqFull!$AZ$2:$BB$56,3),IF(I3860="TDN",VLOOKUP(AF3860,TNCalibEqFull!$AZ$1:$BB$56,3),IF(I3860="TN",VLOOKUP(AF3860,TNCalibEqFull!$AZ$1:$BB$56,3),FALSE))))</f>
        <v>y=0.3348x2+180.18x-102.36</v>
      </c>
      <c r="AV3860" s="10" t="str">
        <f t="shared" si="440"/>
        <v>0221 10:06:00-EFL-20-FIL-2-SW-UKN</v>
      </c>
    </row>
    <row r="3861" spans="1:48" s="10" customFormat="1" x14ac:dyDescent="0.55000000000000004">
      <c r="A3861" s="32">
        <v>44978</v>
      </c>
      <c r="B3861" s="33">
        <v>0.42569444444444443</v>
      </c>
      <c r="C3861" s="10" t="s">
        <v>287</v>
      </c>
      <c r="D3861" s="10">
        <v>45</v>
      </c>
      <c r="E3861" s="10" t="s">
        <v>911</v>
      </c>
      <c r="F3861" s="10">
        <v>1</v>
      </c>
      <c r="G3861" s="10" t="s">
        <v>231</v>
      </c>
      <c r="H3861" s="10" t="s">
        <v>322</v>
      </c>
      <c r="I3861" s="10" t="s">
        <v>224</v>
      </c>
      <c r="J3861" s="10">
        <v>70</v>
      </c>
      <c r="K3861" s="12">
        <v>44981</v>
      </c>
      <c r="L3861" s="33">
        <v>0.56759259259259254</v>
      </c>
      <c r="M3861" s="10">
        <v>1</v>
      </c>
      <c r="N3861" s="10" t="s">
        <v>196</v>
      </c>
      <c r="O3861" s="10">
        <v>6.71</v>
      </c>
      <c r="P3861" s="10">
        <v>0.32400000000000001</v>
      </c>
      <c r="Q3861" s="10">
        <v>1140</v>
      </c>
      <c r="R3861" s="10" t="s">
        <v>170</v>
      </c>
      <c r="S3861" s="34">
        <f t="shared" si="437"/>
        <v>1140</v>
      </c>
      <c r="T3861" s="10" t="s">
        <v>1282</v>
      </c>
      <c r="U3861" s="34" t="str">
        <f t="shared" si="438"/>
        <v/>
      </c>
      <c r="V3861" s="31" t="str">
        <f>IF(H3861="CHK",VLOOKUP(I3861,QCCHK,3,),IF(H3861="GUP",VLOOKUP(E3861,QCGUP,2,),IF(AND(H3861="ATP",OR(I3861="TN",I3861="TDN",I3861="TNO2-3",I3861="NO2-3")),VLOOKUP(E3861,QCREC_N,2,),IF(AND(H3861="NIC",OR(I3861="TN",I3861="TDN",I3861="TNO2-3",I3861="NO2-3")),VLOOKUP(E3861,QCNIC_N,2,),IF(AND(H3861="UREA",OR(I3861="TN",I3861="TDN",I3861="TNO2-3",I3861="NO2-3")),VLOOKUP(E3861,QCUREA_N,2,),IF(H3861="PER",VLOOKUP(I3861,QCPER,MATCH(E3861,QCACTUAL!$J$25:$AA$25,0),),IF(H3861="SPK",VLOOKUP(I3861,QCSPK,3,),IF(AND(H3861="ATP",OR(I3861="TP",I3861="TDP")),VLOOKUP(E3861,QCATP_P,2,),""))))))))</f>
        <v/>
      </c>
      <c r="W3861" s="31" t="str">
        <f t="shared" si="439"/>
        <v>TRUE</v>
      </c>
      <c r="X3861" s="31" t="str">
        <f t="shared" si="436"/>
        <v/>
      </c>
      <c r="Y3861" s="10" t="s">
        <v>1275</v>
      </c>
      <c r="AF3861" s="12">
        <v>44981</v>
      </c>
      <c r="AJ3861" s="10">
        <f>2.8761*6.71^2+145.17*6.71-57.22</f>
        <v>1046.3645140099998</v>
      </c>
      <c r="AK3861" s="10">
        <f>0.3348*6.71^2+180.18*6.71-102.36</f>
        <v>1121.7218686800002</v>
      </c>
      <c r="AL3861" s="10" t="str">
        <f t="shared" si="434"/>
        <v>FALSE</v>
      </c>
      <c r="AM3861" s="10" t="str">
        <f t="shared" si="434"/>
        <v>FALSE</v>
      </c>
      <c r="AN3861" s="10" t="str">
        <f t="shared" si="434"/>
        <v>FALSE</v>
      </c>
      <c r="AO3861" s="10" t="str">
        <f t="shared" si="435"/>
        <v>y=2.8761*6.71^2+145.17*6.71-57.22</v>
      </c>
      <c r="AP3861" s="10" t="str">
        <f t="shared" si="435"/>
        <v>y=0.3348*6.71^2+180.18*6.71-102.36</v>
      </c>
      <c r="AQ3861" s="10" t="b">
        <f>IF(AND(I3861="TP",S3861&lt;=150),VLOOKUP(AF3861,TPCalibEq150!$AZ$2:$BB$55,3,),IF(AND(I3861="TDP",S3861&lt;=150),VLOOKUP(AF3861,TPCalibEq150!$AZ$2:$BB$55,3,)))</f>
        <v>0</v>
      </c>
      <c r="AR3861" s="10" t="b">
        <f>IF(AND(I3861="TP",S3861&lt;=300),VLOOKUP(AF3861,TPCalibEq300!$AZ$2:$BB$55,3,),IF(AND(I3861="TDP",S3861&lt;=300),VLOOKUP(AF3861,TPCalibEq300!$AZ$2:$BB$55,3,)))</f>
        <v>0</v>
      </c>
      <c r="AS3861" s="10" t="b">
        <f>IF(AND(I3861="TP",S3861&lt;=500),VLOOKUP(AF3861,TPCalibEq500!$AZ$2:$BB$56,3,),IF(AND(I3861="TDP",S3861&lt;=500),VLOOKUP(AF3861,TPCalibEq500!$AZ$2:$BB$56,3,)))</f>
        <v>0</v>
      </c>
      <c r="AT3861" s="10" t="str">
        <f>IF(AND(I3861="TN",S3861&lt;=2800),VLOOKUP(AF3861,TNCalibEq2500!$AZ$2:$BB$56,3,),IF(AND(I3861="TDN",S3861&lt;=2800),VLOOKUP(AF3861,TNCalibEq2500!$AZ$2:$BB$56,3,)))</f>
        <v>y=2.8761x2+145.17x-57.22</v>
      </c>
      <c r="AU3861" s="10" t="str">
        <f>IF(I3861="TP",VLOOKUP(AF3861,TPCalibEqFull!$AZ$2:$BB$56,3),IF(I3861="TDP",VLOOKUP(AF3861,TPCalibEqFull!$AZ$2:$BB$56,3),IF(I3861="TDN",VLOOKUP(AF3861,TNCalibEqFull!$AZ$1:$BB$56,3),IF(I3861="TN",VLOOKUP(AF3861,TNCalibEqFull!$AZ$1:$BB$56,3),FALSE))))</f>
        <v>y=0.3348x2+180.18x-102.36</v>
      </c>
      <c r="AV3861" s="10" t="str">
        <f t="shared" si="440"/>
        <v>0221 10:13:00-EFL-45-FIL-1-SW-UKN</v>
      </c>
    </row>
    <row r="3862" spans="1:48" s="10" customFormat="1" x14ac:dyDescent="0.55000000000000004">
      <c r="A3862" s="32">
        <v>44978</v>
      </c>
      <c r="B3862" s="33">
        <v>0.42569444444444443</v>
      </c>
      <c r="C3862" s="10" t="s">
        <v>287</v>
      </c>
      <c r="D3862" s="10">
        <v>45</v>
      </c>
      <c r="E3862" s="10" t="s">
        <v>911</v>
      </c>
      <c r="F3862" s="10">
        <v>1</v>
      </c>
      <c r="G3862" s="10" t="s">
        <v>231</v>
      </c>
      <c r="H3862" s="10" t="s">
        <v>233</v>
      </c>
      <c r="I3862" s="10" t="s">
        <v>224</v>
      </c>
      <c r="J3862" s="10">
        <v>70</v>
      </c>
      <c r="K3862" s="12">
        <v>44981</v>
      </c>
      <c r="L3862" s="33">
        <v>0.56825231481481475</v>
      </c>
      <c r="M3862" s="10">
        <v>1</v>
      </c>
      <c r="N3862" s="10" t="s">
        <v>196</v>
      </c>
      <c r="O3862" s="10">
        <v>6.7</v>
      </c>
      <c r="P3862" s="10">
        <v>0.32400000000000001</v>
      </c>
      <c r="Q3862" s="10">
        <v>1140</v>
      </c>
      <c r="R3862" s="10" t="s">
        <v>170</v>
      </c>
      <c r="S3862" s="34">
        <f t="shared" si="437"/>
        <v>1140</v>
      </c>
      <c r="T3862" s="10" t="s">
        <v>1282</v>
      </c>
      <c r="U3862" s="34">
        <f t="shared" si="438"/>
        <v>0</v>
      </c>
      <c r="V3862" s="31" t="str">
        <f>IF(H3862="CHK",VLOOKUP(I3862,QCCHK,3,),IF(H3862="GUP",VLOOKUP(E3862,QCGUP,2,),IF(AND(H3862="ATP",OR(I3862="TN",I3862="TDN",I3862="TNO2-3",I3862="NO2-3")),VLOOKUP(E3862,QCREC_N,2,),IF(AND(H3862="NIC",OR(I3862="TN",I3862="TDN",I3862="TNO2-3",I3862="NO2-3")),VLOOKUP(E3862,QCNIC_N,2,),IF(AND(H3862="UREA",OR(I3862="TN",I3862="TDN",I3862="TNO2-3",I3862="NO2-3")),VLOOKUP(E3862,QCUREA_N,2,),IF(H3862="PER",VLOOKUP(I3862,QCPER,MATCH(E3862,QCACTUAL!$J$25:$AA$25,0),),IF(H3862="SPK",VLOOKUP(I3862,QCSPK,3,),IF(AND(H3862="ATP",OR(I3862="TP",I3862="TDP")),VLOOKUP(E3862,QCATP_P,2,),""))))))))</f>
        <v/>
      </c>
      <c r="W3862" s="31" t="str">
        <f t="shared" si="439"/>
        <v>TRUE</v>
      </c>
      <c r="X3862" s="31" t="str">
        <f t="shared" si="436"/>
        <v>((ABS(rep1-rep2))/((rep1+rep2)/2)*100</v>
      </c>
      <c r="Y3862" s="10" t="s">
        <v>1275</v>
      </c>
      <c r="AF3862" s="12">
        <v>44981</v>
      </c>
      <c r="AJ3862" s="10">
        <f>2.8761*6.7^2+145.17*6.7-57.22</f>
        <v>1044.5271289999998</v>
      </c>
      <c r="AK3862" s="10">
        <f>0.3348*6.7^2+180.18*6.7-102.36</f>
        <v>1119.8751720000002</v>
      </c>
      <c r="AL3862" s="10" t="str">
        <f t="shared" si="434"/>
        <v>FALSE</v>
      </c>
      <c r="AM3862" s="10" t="str">
        <f t="shared" si="434"/>
        <v>FALSE</v>
      </c>
      <c r="AN3862" s="10" t="str">
        <f t="shared" si="434"/>
        <v>FALSE</v>
      </c>
      <c r="AO3862" s="10" t="str">
        <f t="shared" si="435"/>
        <v>y=2.8761*6.7^2+145.17*6.7-57.22</v>
      </c>
      <c r="AP3862" s="10" t="str">
        <f t="shared" si="435"/>
        <v>y=0.3348*6.7^2+180.18*6.7-102.36</v>
      </c>
      <c r="AQ3862" s="10" t="b">
        <f>IF(AND(I3862="TP",S3862&lt;=150),VLOOKUP(AF3862,TPCalibEq150!$AZ$2:$BB$55,3,),IF(AND(I3862="TDP",S3862&lt;=150),VLOOKUP(AF3862,TPCalibEq150!$AZ$2:$BB$55,3,)))</f>
        <v>0</v>
      </c>
      <c r="AR3862" s="10" t="b">
        <f>IF(AND(I3862="TP",S3862&lt;=300),VLOOKUP(AF3862,TPCalibEq300!$AZ$2:$BB$55,3,),IF(AND(I3862="TDP",S3862&lt;=300),VLOOKUP(AF3862,TPCalibEq300!$AZ$2:$BB$55,3,)))</f>
        <v>0</v>
      </c>
      <c r="AS3862" s="10" t="b">
        <f>IF(AND(I3862="TP",S3862&lt;=500),VLOOKUP(AF3862,TPCalibEq500!$AZ$2:$BB$56,3,),IF(AND(I3862="TDP",S3862&lt;=500),VLOOKUP(AF3862,TPCalibEq500!$AZ$2:$BB$56,3,)))</f>
        <v>0</v>
      </c>
      <c r="AT3862" s="10" t="str">
        <f>IF(AND(I3862="TN",S3862&lt;=2800),VLOOKUP(AF3862,TNCalibEq2500!$AZ$2:$BB$56,3,),IF(AND(I3862="TDN",S3862&lt;=2800),VLOOKUP(AF3862,TNCalibEq2500!$AZ$2:$BB$56,3,)))</f>
        <v>y=2.8761x2+145.17x-57.22</v>
      </c>
      <c r="AU3862" s="10" t="str">
        <f>IF(I3862="TP",VLOOKUP(AF3862,TPCalibEqFull!$AZ$2:$BB$56,3),IF(I3862="TDP",VLOOKUP(AF3862,TPCalibEqFull!$AZ$2:$BB$56,3),IF(I3862="TDN",VLOOKUP(AF3862,TNCalibEqFull!$AZ$1:$BB$56,3),IF(I3862="TN",VLOOKUP(AF3862,TNCalibEqFull!$AZ$1:$BB$56,3),FALSE))))</f>
        <v>y=0.3348x2+180.18x-102.36</v>
      </c>
      <c r="AV3862" s="10" t="str">
        <f t="shared" si="440"/>
        <v>0221 10:13:00-EFL-45-FIL-1-SW-DUP</v>
      </c>
    </row>
    <row r="3863" spans="1:48" s="10" customFormat="1" x14ac:dyDescent="0.55000000000000004">
      <c r="A3863" s="32">
        <v>44978</v>
      </c>
      <c r="B3863" s="33">
        <v>0.42569444444444443</v>
      </c>
      <c r="C3863" s="10" t="s">
        <v>287</v>
      </c>
      <c r="D3863" s="10">
        <v>45</v>
      </c>
      <c r="E3863" s="10" t="s">
        <v>911</v>
      </c>
      <c r="F3863" s="10">
        <v>1</v>
      </c>
      <c r="G3863" s="10" t="s">
        <v>231</v>
      </c>
      <c r="H3863" s="10" t="s">
        <v>314</v>
      </c>
      <c r="I3863" s="10" t="s">
        <v>224</v>
      </c>
      <c r="J3863" s="10">
        <v>89</v>
      </c>
      <c r="K3863" s="12">
        <v>44981</v>
      </c>
      <c r="L3863" s="33">
        <v>0.56891203703703697</v>
      </c>
      <c r="M3863" s="10">
        <v>1</v>
      </c>
      <c r="N3863" s="10" t="s">
        <v>196</v>
      </c>
      <c r="O3863" s="10">
        <v>21</v>
      </c>
      <c r="P3863" s="10">
        <v>1.01</v>
      </c>
      <c r="Q3863" s="10">
        <v>3840</v>
      </c>
      <c r="R3863" s="10" t="s">
        <v>170</v>
      </c>
      <c r="S3863" s="34">
        <f t="shared" si="437"/>
        <v>3840</v>
      </c>
      <c r="T3863" s="10" t="s">
        <v>1282</v>
      </c>
      <c r="U3863" s="34">
        <f t="shared" si="438"/>
        <v>108</v>
      </c>
      <c r="V3863" s="31">
        <f>IF(H3863="CHK",VLOOKUP(I3863,QCCHK,3,),IF(H3863="GUP",VLOOKUP(E3863,QCGUP,2,),IF(AND(H3863="ATP",OR(I3863="TN",I3863="TDN",I3863="TNO2-3",I3863="NO2-3")),VLOOKUP(E3863,QCREC_N,2,),IF(AND(H3863="NIC",OR(I3863="TN",I3863="TDN",I3863="TNO2-3",I3863="NO2-3")),VLOOKUP(E3863,QCNIC_N,2,),IF(AND(H3863="UREA",OR(I3863="TN",I3863="TDN",I3863="TNO2-3",I3863="NO2-3")),VLOOKUP(E3863,QCUREA_N,2,),IF(H3863="PER",VLOOKUP(I3863,QCPER,MATCH(E3863,QCACTUAL!$J$25:$AA$25,0),),IF(H3863="SPK",VLOOKUP(I3863,QCSPK,3,),IF(AND(H3863="ATP",OR(I3863="TP",I3863="TDP")),VLOOKUP(E3863,QCATP_P,2,),""))))))))</f>
        <v>2500</v>
      </c>
      <c r="W3863" s="31" t="str">
        <f t="shared" si="439"/>
        <v>TRUE</v>
      </c>
      <c r="X3863" s="31" t="str">
        <f t="shared" si="436"/>
        <v>([spikedunkn]-[unkn])/[spike]*100</v>
      </c>
      <c r="Y3863" s="10" t="s">
        <v>1275</v>
      </c>
      <c r="AF3863" s="12">
        <v>44981</v>
      </c>
      <c r="AK3863" s="10">
        <f>0.3348*21^2+180.18*21-102.36</f>
        <v>3829.0668000000001</v>
      </c>
      <c r="AL3863" s="10" t="str">
        <f t="shared" si="434"/>
        <v>FALSE</v>
      </c>
      <c r="AM3863" s="10" t="str">
        <f t="shared" si="434"/>
        <v>FALSE</v>
      </c>
      <c r="AN3863" s="10" t="str">
        <f t="shared" si="434"/>
        <v>FALSE</v>
      </c>
      <c r="AO3863" s="10" t="str">
        <f t="shared" si="435"/>
        <v>FALSE</v>
      </c>
      <c r="AP3863" s="10" t="str">
        <f t="shared" si="435"/>
        <v>y=0.3348*21^2+180.18*21-102.36</v>
      </c>
      <c r="AQ3863" s="10" t="b">
        <f>IF(AND(I3863="TP",S3863&lt;=150),VLOOKUP(AF3863,TPCalibEq150!$AZ$2:$BB$55,3,),IF(AND(I3863="TDP",S3863&lt;=150),VLOOKUP(AF3863,TPCalibEq150!$AZ$2:$BB$55,3,)))</f>
        <v>0</v>
      </c>
      <c r="AR3863" s="10" t="b">
        <f>IF(AND(I3863="TP",S3863&lt;=300),VLOOKUP(AF3863,TPCalibEq300!$AZ$2:$BB$55,3,),IF(AND(I3863="TDP",S3863&lt;=300),VLOOKUP(AF3863,TPCalibEq300!$AZ$2:$BB$55,3,)))</f>
        <v>0</v>
      </c>
      <c r="AS3863" s="10" t="b">
        <f>IF(AND(I3863="TP",S3863&lt;=500),VLOOKUP(AF3863,TPCalibEq500!$AZ$2:$BB$56,3,),IF(AND(I3863="TDP",S3863&lt;=500),VLOOKUP(AF3863,TPCalibEq500!$AZ$2:$BB$56,3,)))</f>
        <v>0</v>
      </c>
      <c r="AT3863" s="10" t="b">
        <f>IF(AND(I3863="TN",S3863&lt;=2800),VLOOKUP(AF3863,TNCalibEq2500!$AZ$2:$BB$56,3,),IF(AND(I3863="TDN",S3863&lt;=2800),VLOOKUP(AF3863,TNCalibEq2500!$AZ$2:$BB$56,3,)))</f>
        <v>0</v>
      </c>
      <c r="AU3863" s="10" t="str">
        <f>IF(I3863="TP",VLOOKUP(AF3863,TPCalibEqFull!$AZ$2:$BB$56,3),IF(I3863="TDP",VLOOKUP(AF3863,TPCalibEqFull!$AZ$2:$BB$56,3),IF(I3863="TDN",VLOOKUP(AF3863,TNCalibEqFull!$AZ$1:$BB$56,3),IF(I3863="TN",VLOOKUP(AF3863,TNCalibEqFull!$AZ$1:$BB$56,3),FALSE))))</f>
        <v>y=0.3348x2+180.18x-102.36</v>
      </c>
      <c r="AV3863" s="10" t="str">
        <f t="shared" si="440"/>
        <v>0221 10:13:00-EFL-45-FIL-1-SW-SPK</v>
      </c>
    </row>
    <row r="3864" spans="1:48" s="10" customFormat="1" x14ac:dyDescent="0.55000000000000004">
      <c r="A3864" s="32">
        <v>44979</v>
      </c>
      <c r="B3864" s="33">
        <v>0.375</v>
      </c>
      <c r="C3864" s="10" t="s">
        <v>70</v>
      </c>
      <c r="D3864" s="10" t="s">
        <v>71</v>
      </c>
      <c r="E3864" s="10" t="s">
        <v>901</v>
      </c>
      <c r="F3864" s="10">
        <v>1</v>
      </c>
      <c r="G3864" s="10" t="s">
        <v>73</v>
      </c>
      <c r="H3864" s="10" t="s">
        <v>207</v>
      </c>
      <c r="I3864" s="10" t="s">
        <v>235</v>
      </c>
      <c r="J3864" s="10">
        <v>203</v>
      </c>
      <c r="K3864" s="12">
        <v>44981</v>
      </c>
      <c r="L3864" s="33">
        <v>0.56958333333333333</v>
      </c>
      <c r="M3864" s="10">
        <v>1</v>
      </c>
      <c r="N3864" s="10" t="s">
        <v>196</v>
      </c>
      <c r="O3864" s="10">
        <v>6.89</v>
      </c>
      <c r="P3864" s="10">
        <v>0.33600000000000002</v>
      </c>
      <c r="Q3864" s="10">
        <v>1180</v>
      </c>
      <c r="R3864" s="10" t="s">
        <v>170</v>
      </c>
      <c r="S3864" s="34">
        <f t="shared" si="437"/>
        <v>1180</v>
      </c>
      <c r="T3864" s="10" t="s">
        <v>1282</v>
      </c>
      <c r="U3864" s="34">
        <f t="shared" si="438"/>
        <v>94.399999999999991</v>
      </c>
      <c r="V3864" s="31">
        <f>IF(H3864="CHK",VLOOKUP(I3864,QCCHK,3,),IF(H3864="GUP",VLOOKUP(E3864,QCGUP,2,),IF(AND(H3864="ATP",OR(I3864="TN",I3864="TDN",I3864="TNO2-3",I3864="NO2-3")),VLOOKUP(E3864,QCREC_N,2,),IF(AND(H3864="NIC",OR(I3864="TN",I3864="TDN",I3864="TNO2-3",I3864="NO2-3")),VLOOKUP(E3864,QCNIC_N,2,),IF(AND(H3864="UREA",OR(I3864="TN",I3864="TDN",I3864="TNO2-3",I3864="NO2-3")),VLOOKUP(E3864,QCUREA_N,2,),IF(H3864="PER",VLOOKUP(I3864,QCPER,MATCH(E3864,QCACTUAL!$J$25:$AA$25,0),),IF(H3864="SPK",VLOOKUP(I3864,QCSPK,3,),IF(AND(H3864="ATP",OR(I3864="TP",I3864="TDP")),VLOOKUP(E3864,QCATP_P,2,),""))))))))</f>
        <v>1250</v>
      </c>
      <c r="W3864" s="31" t="str">
        <f t="shared" si="439"/>
        <v>TRUE</v>
      </c>
      <c r="X3864" s="31" t="str">
        <f t="shared" si="436"/>
        <v>[chk]/[actual]*100</v>
      </c>
      <c r="Y3864" s="10" t="s">
        <v>1275</v>
      </c>
      <c r="AF3864" s="12">
        <v>44981</v>
      </c>
      <c r="AJ3864" s="10">
        <f>2.8761*6.89^2+145.17*6.89-57.22</f>
        <v>1079.5358068099997</v>
      </c>
      <c r="AK3864" s="10">
        <f>0.3348*6.89^2+180.18*6.89-102.36</f>
        <v>1154.97385908</v>
      </c>
      <c r="AL3864" s="10" t="str">
        <f t="shared" si="434"/>
        <v>FALSE</v>
      </c>
      <c r="AM3864" s="10" t="str">
        <f t="shared" si="434"/>
        <v>FALSE</v>
      </c>
      <c r="AN3864" s="10" t="str">
        <f t="shared" si="434"/>
        <v>FALSE</v>
      </c>
      <c r="AO3864" s="10" t="str">
        <f t="shared" si="435"/>
        <v>y=2.8761*6.89^2+145.17*6.89-57.22</v>
      </c>
      <c r="AP3864" s="10" t="str">
        <f t="shared" si="435"/>
        <v>y=0.3348*6.89^2+180.18*6.89-102.36</v>
      </c>
      <c r="AQ3864" s="10" t="b">
        <f>IF(AND(I3864="TP",S3864&lt;=150),VLOOKUP(AF3864,TPCalibEq150!$AZ$2:$BB$55,3,),IF(AND(I3864="TDP",S3864&lt;=150),VLOOKUP(AF3864,TPCalibEq150!$AZ$2:$BB$55,3,)))</f>
        <v>0</v>
      </c>
      <c r="AR3864" s="10" t="b">
        <f>IF(AND(I3864="TP",S3864&lt;=300),VLOOKUP(AF3864,TPCalibEq300!$AZ$2:$BB$55,3,),IF(AND(I3864="TDP",S3864&lt;=300),VLOOKUP(AF3864,TPCalibEq300!$AZ$2:$BB$55,3,)))</f>
        <v>0</v>
      </c>
      <c r="AS3864" s="10" t="b">
        <f>IF(AND(I3864="TP",S3864&lt;=500),VLOOKUP(AF3864,TPCalibEq500!$AZ$2:$BB$56,3,),IF(AND(I3864="TDP",S3864&lt;=500),VLOOKUP(AF3864,TPCalibEq500!$AZ$2:$BB$56,3,)))</f>
        <v>0</v>
      </c>
      <c r="AT3864" s="10" t="str">
        <f>IF(AND(I3864="TN",S3864&lt;=2800),VLOOKUP(AF3864,TNCalibEq2500!$AZ$2:$BB$56,3,),IF(AND(I3864="TDN",S3864&lt;=2800),VLOOKUP(AF3864,TNCalibEq2500!$AZ$2:$BB$56,3,)))</f>
        <v>y=2.8761x2+145.17x-57.22</v>
      </c>
      <c r="AU3864" s="10" t="str">
        <f>IF(I3864="TP",VLOOKUP(AF3864,TPCalibEqFull!$AZ$2:$BB$56,3),IF(I3864="TDP",VLOOKUP(AF3864,TPCalibEqFull!$AZ$2:$BB$56,3),IF(I3864="TDN",VLOOKUP(AF3864,TNCalibEqFull!$AZ$1:$BB$56,3),IF(I3864="TN",VLOOKUP(AF3864,TNCalibEqFull!$AZ$1:$BB$56,3),FALSE))))</f>
        <v>y=0.3348x2+180.18x-102.36</v>
      </c>
      <c r="AV3864" s="10" t="str">
        <f t="shared" si="440"/>
        <v>0222 09:00:00-QAC-STD-D-1-DI-CHK</v>
      </c>
    </row>
    <row r="3865" spans="1:48" s="10" customFormat="1" x14ac:dyDescent="0.55000000000000004">
      <c r="A3865" s="32">
        <v>44978</v>
      </c>
      <c r="B3865" s="33">
        <v>0.38958333333333334</v>
      </c>
      <c r="C3865" s="10" t="s">
        <v>428</v>
      </c>
      <c r="D3865" s="10">
        <v>0</v>
      </c>
      <c r="E3865" s="10" t="s">
        <v>911</v>
      </c>
      <c r="F3865" s="10">
        <v>1</v>
      </c>
      <c r="G3865" s="10" t="s">
        <v>231</v>
      </c>
      <c r="H3865" s="10" t="s">
        <v>322</v>
      </c>
      <c r="I3865" s="10" t="s">
        <v>224</v>
      </c>
      <c r="J3865" s="10">
        <v>71</v>
      </c>
      <c r="K3865" s="12">
        <v>44981</v>
      </c>
      <c r="L3865" s="33">
        <v>0.57024305555555554</v>
      </c>
      <c r="M3865" s="10">
        <v>1</v>
      </c>
      <c r="N3865" s="10" t="s">
        <v>196</v>
      </c>
      <c r="O3865" s="10">
        <v>7.28</v>
      </c>
      <c r="P3865" s="10">
        <v>0.35299999999999998</v>
      </c>
      <c r="Q3865" s="10">
        <v>1250</v>
      </c>
      <c r="R3865" s="10" t="s">
        <v>170</v>
      </c>
      <c r="S3865" s="34">
        <f t="shared" si="437"/>
        <v>1250</v>
      </c>
      <c r="T3865" s="10" t="s">
        <v>1282</v>
      </c>
      <c r="U3865" s="34" t="str">
        <f t="shared" si="438"/>
        <v/>
      </c>
      <c r="V3865" s="31" t="str">
        <f>IF(H3865="CHK",VLOOKUP(I3865,QCCHK,3,),IF(H3865="GUP",VLOOKUP(E3865,QCGUP,2,),IF(AND(H3865="ATP",OR(I3865="TN",I3865="TDN",I3865="TNO2-3",I3865="NO2-3")),VLOOKUP(E3865,QCREC_N,2,),IF(AND(H3865="NIC",OR(I3865="TN",I3865="TDN",I3865="TNO2-3",I3865="NO2-3")),VLOOKUP(E3865,QCNIC_N,2,),IF(AND(H3865="UREA",OR(I3865="TN",I3865="TDN",I3865="TNO2-3",I3865="NO2-3")),VLOOKUP(E3865,QCUREA_N,2,),IF(H3865="PER",VLOOKUP(I3865,QCPER,MATCH(E3865,QCACTUAL!$J$25:$AA$25,0),),IF(H3865="SPK",VLOOKUP(I3865,QCSPK,3,),IF(AND(H3865="ATP",OR(I3865="TP",I3865="TDP")),VLOOKUP(E3865,QCATP_P,2,),""))))))))</f>
        <v/>
      </c>
      <c r="W3865" s="31" t="str">
        <f t="shared" si="439"/>
        <v>TRUE</v>
      </c>
      <c r="X3865" s="31" t="str">
        <f t="shared" si="436"/>
        <v/>
      </c>
      <c r="Y3865" s="10" t="s">
        <v>1275</v>
      </c>
      <c r="AF3865" s="12">
        <v>44981</v>
      </c>
      <c r="AJ3865" s="10">
        <f>2.8761*7.28^2+145.17*7.28-57.22</f>
        <v>1152.0462982399997</v>
      </c>
      <c r="AK3865" s="10">
        <f>0.3348*7.28^2+180.18*7.28-102.36</f>
        <v>1227.0942643200003</v>
      </c>
      <c r="AL3865" s="10" t="str">
        <f t="shared" si="434"/>
        <v>FALSE</v>
      </c>
      <c r="AM3865" s="10" t="str">
        <f t="shared" si="434"/>
        <v>FALSE</v>
      </c>
      <c r="AN3865" s="10" t="str">
        <f t="shared" si="434"/>
        <v>FALSE</v>
      </c>
      <c r="AO3865" s="10" t="str">
        <f t="shared" si="435"/>
        <v>y=2.8761*7.28^2+145.17*7.28-57.22</v>
      </c>
      <c r="AP3865" s="10" t="str">
        <f t="shared" si="435"/>
        <v>y=0.3348*7.28^2+180.18*7.28-102.36</v>
      </c>
      <c r="AQ3865" s="10" t="b">
        <f>IF(AND(I3865="TP",S3865&lt;=150),VLOOKUP(AF3865,TPCalibEq150!$AZ$2:$BB$55,3,),IF(AND(I3865="TDP",S3865&lt;=150),VLOOKUP(AF3865,TPCalibEq150!$AZ$2:$BB$55,3,)))</f>
        <v>0</v>
      </c>
      <c r="AR3865" s="10" t="b">
        <f>IF(AND(I3865="TP",S3865&lt;=300),VLOOKUP(AF3865,TPCalibEq300!$AZ$2:$BB$55,3,),IF(AND(I3865="TDP",S3865&lt;=300),VLOOKUP(AF3865,TPCalibEq300!$AZ$2:$BB$55,3,)))</f>
        <v>0</v>
      </c>
      <c r="AS3865" s="10" t="b">
        <f>IF(AND(I3865="TP",S3865&lt;=500),VLOOKUP(AF3865,TPCalibEq500!$AZ$2:$BB$56,3,),IF(AND(I3865="TDP",S3865&lt;=500),VLOOKUP(AF3865,TPCalibEq500!$AZ$2:$BB$56,3,)))</f>
        <v>0</v>
      </c>
      <c r="AT3865" s="10" t="str">
        <f>IF(AND(I3865="TN",S3865&lt;=2800),VLOOKUP(AF3865,TNCalibEq2500!$AZ$2:$BB$56,3,),IF(AND(I3865="TDN",S3865&lt;=2800),VLOOKUP(AF3865,TNCalibEq2500!$AZ$2:$BB$56,3,)))</f>
        <v>y=2.8761x2+145.17x-57.22</v>
      </c>
      <c r="AU3865" s="10" t="str">
        <f>IF(I3865="TP",VLOOKUP(AF3865,TPCalibEqFull!$AZ$2:$BB$56,3),IF(I3865="TDP",VLOOKUP(AF3865,TPCalibEqFull!$AZ$2:$BB$56,3),IF(I3865="TDN",VLOOKUP(AF3865,TNCalibEqFull!$AZ$1:$BB$56,3),IF(I3865="TN",VLOOKUP(AF3865,TNCalibEqFull!$AZ$1:$BB$56,3),FALSE))))</f>
        <v>y=0.3348x2+180.18x-102.36</v>
      </c>
      <c r="AV3865" s="10" t="str">
        <f t="shared" si="440"/>
        <v>0221 09:21:00-EOF-0-FIL-1-SW-UKN</v>
      </c>
    </row>
    <row r="3866" spans="1:48" s="10" customFormat="1" x14ac:dyDescent="0.55000000000000004">
      <c r="A3866" s="32">
        <v>44978</v>
      </c>
      <c r="B3866" s="33">
        <v>0.39166666666666666</v>
      </c>
      <c r="C3866" s="10" t="s">
        <v>428</v>
      </c>
      <c r="D3866" s="10">
        <v>5</v>
      </c>
      <c r="E3866" s="10" t="s">
        <v>911</v>
      </c>
      <c r="F3866" s="10">
        <v>1</v>
      </c>
      <c r="G3866" s="10" t="s">
        <v>231</v>
      </c>
      <c r="H3866" s="10" t="s">
        <v>322</v>
      </c>
      <c r="I3866" s="10" t="s">
        <v>224</v>
      </c>
      <c r="J3866" s="10">
        <v>72</v>
      </c>
      <c r="K3866" s="12">
        <v>44981</v>
      </c>
      <c r="L3866" s="33">
        <v>0.57091435185185191</v>
      </c>
      <c r="M3866" s="10">
        <v>1</v>
      </c>
      <c r="N3866" s="10" t="s">
        <v>196</v>
      </c>
      <c r="O3866" s="10">
        <v>6.96</v>
      </c>
      <c r="P3866" s="10">
        <v>0.33700000000000002</v>
      </c>
      <c r="Q3866" s="10">
        <v>1190</v>
      </c>
      <c r="R3866" s="10" t="s">
        <v>170</v>
      </c>
      <c r="S3866" s="34">
        <f t="shared" si="437"/>
        <v>1190</v>
      </c>
      <c r="T3866" s="10" t="s">
        <v>1282</v>
      </c>
      <c r="U3866" s="34" t="str">
        <f t="shared" si="438"/>
        <v/>
      </c>
      <c r="V3866" s="31" t="str">
        <f>IF(H3866="CHK",VLOOKUP(I3866,QCCHK,3,),IF(H3866="GUP",VLOOKUP(E3866,QCGUP,2,),IF(AND(H3866="ATP",OR(I3866="TN",I3866="TDN",I3866="TNO2-3",I3866="NO2-3")),VLOOKUP(E3866,QCREC_N,2,),IF(AND(H3866="NIC",OR(I3866="TN",I3866="TDN",I3866="TNO2-3",I3866="NO2-3")),VLOOKUP(E3866,QCNIC_N,2,),IF(AND(H3866="UREA",OR(I3866="TN",I3866="TDN",I3866="TNO2-3",I3866="NO2-3")),VLOOKUP(E3866,QCUREA_N,2,),IF(H3866="PER",VLOOKUP(I3866,QCPER,MATCH(E3866,QCACTUAL!$J$25:$AA$25,0),),IF(H3866="SPK",VLOOKUP(I3866,QCSPK,3,),IF(AND(H3866="ATP",OR(I3866="TP",I3866="TDP")),VLOOKUP(E3866,QCATP_P,2,),""))))))))</f>
        <v/>
      </c>
      <c r="W3866" s="31" t="str">
        <f t="shared" si="439"/>
        <v>TRUE</v>
      </c>
      <c r="X3866" s="31" t="str">
        <f t="shared" si="436"/>
        <v/>
      </c>
      <c r="Y3866" s="10" t="s">
        <v>1275</v>
      </c>
      <c r="AF3866" s="12">
        <v>44981</v>
      </c>
      <c r="AJ3866" s="10">
        <f>2.8761*6.96^2+145.17*6.96-57.22</f>
        <v>1092.4860857599999</v>
      </c>
      <c r="AK3866" s="10">
        <f>0.3348*6.96^2+180.18*6.96-102.36</f>
        <v>1167.9110476800001</v>
      </c>
      <c r="AL3866" s="10" t="str">
        <f t="shared" si="434"/>
        <v>FALSE</v>
      </c>
      <c r="AM3866" s="10" t="str">
        <f t="shared" si="434"/>
        <v>FALSE</v>
      </c>
      <c r="AN3866" s="10" t="str">
        <f t="shared" si="434"/>
        <v>FALSE</v>
      </c>
      <c r="AO3866" s="10" t="str">
        <f t="shared" si="435"/>
        <v>y=2.8761*6.96^2+145.17*6.96-57.22</v>
      </c>
      <c r="AP3866" s="10" t="str">
        <f t="shared" si="435"/>
        <v>y=0.3348*6.96^2+180.18*6.96-102.36</v>
      </c>
      <c r="AQ3866" s="10" t="b">
        <f>IF(AND(I3866="TP",S3866&lt;=150),VLOOKUP(AF3866,TPCalibEq150!$AZ$2:$BB$55,3,),IF(AND(I3866="TDP",S3866&lt;=150),VLOOKUP(AF3866,TPCalibEq150!$AZ$2:$BB$55,3,)))</f>
        <v>0</v>
      </c>
      <c r="AR3866" s="10" t="b">
        <f>IF(AND(I3866="TP",S3866&lt;=300),VLOOKUP(AF3866,TPCalibEq300!$AZ$2:$BB$55,3,),IF(AND(I3866="TDP",S3866&lt;=300),VLOOKUP(AF3866,TPCalibEq300!$AZ$2:$BB$55,3,)))</f>
        <v>0</v>
      </c>
      <c r="AS3866" s="10" t="b">
        <f>IF(AND(I3866="TP",S3866&lt;=500),VLOOKUP(AF3866,TPCalibEq500!$AZ$2:$BB$56,3,),IF(AND(I3866="TDP",S3866&lt;=500),VLOOKUP(AF3866,TPCalibEq500!$AZ$2:$BB$56,3,)))</f>
        <v>0</v>
      </c>
      <c r="AT3866" s="10" t="str">
        <f>IF(AND(I3866="TN",S3866&lt;=2800),VLOOKUP(AF3866,TNCalibEq2500!$AZ$2:$BB$56,3,),IF(AND(I3866="TDN",S3866&lt;=2800),VLOOKUP(AF3866,TNCalibEq2500!$AZ$2:$BB$56,3,)))</f>
        <v>y=2.8761x2+145.17x-57.22</v>
      </c>
      <c r="AU3866" s="10" t="str">
        <f>IF(I3866="TP",VLOOKUP(AF3866,TPCalibEqFull!$AZ$2:$BB$56,3),IF(I3866="TDP",VLOOKUP(AF3866,TPCalibEqFull!$AZ$2:$BB$56,3),IF(I3866="TDN",VLOOKUP(AF3866,TNCalibEqFull!$AZ$1:$BB$56,3),IF(I3866="TN",VLOOKUP(AF3866,TNCalibEqFull!$AZ$1:$BB$56,3),FALSE))))</f>
        <v>y=0.3348x2+180.18x-102.36</v>
      </c>
      <c r="AV3866" s="10" t="str">
        <f t="shared" si="440"/>
        <v>0221 09:24:00-EOF-5-FIL-1-SW-UKN</v>
      </c>
    </row>
    <row r="3867" spans="1:48" s="10" customFormat="1" x14ac:dyDescent="0.55000000000000004">
      <c r="A3867" s="32">
        <v>44978</v>
      </c>
      <c r="B3867" s="33">
        <v>0.39444444444444443</v>
      </c>
      <c r="C3867" s="10" t="s">
        <v>428</v>
      </c>
      <c r="D3867" s="10">
        <v>10</v>
      </c>
      <c r="E3867" s="10" t="s">
        <v>911</v>
      </c>
      <c r="F3867" s="10">
        <v>1</v>
      </c>
      <c r="G3867" s="10" t="s">
        <v>231</v>
      </c>
      <c r="H3867" s="10" t="s">
        <v>322</v>
      </c>
      <c r="I3867" s="10" t="s">
        <v>224</v>
      </c>
      <c r="J3867" s="10">
        <v>73</v>
      </c>
      <c r="K3867" s="12">
        <v>44981</v>
      </c>
      <c r="L3867" s="33">
        <v>0.57157407407407412</v>
      </c>
      <c r="M3867" s="10">
        <v>1</v>
      </c>
      <c r="N3867" s="10" t="s">
        <v>196</v>
      </c>
      <c r="O3867" s="10">
        <v>7</v>
      </c>
      <c r="P3867" s="10">
        <v>0.33800000000000002</v>
      </c>
      <c r="Q3867" s="10">
        <v>1200</v>
      </c>
      <c r="R3867" s="10" t="s">
        <v>170</v>
      </c>
      <c r="S3867" s="34">
        <f t="shared" si="437"/>
        <v>1200</v>
      </c>
      <c r="T3867" s="10" t="s">
        <v>1282</v>
      </c>
      <c r="U3867" s="34" t="str">
        <f t="shared" si="438"/>
        <v/>
      </c>
      <c r="V3867" s="31" t="str">
        <f>IF(H3867="CHK",VLOOKUP(I3867,QCCHK,3,),IF(H3867="GUP",VLOOKUP(E3867,QCGUP,2,),IF(AND(H3867="ATP",OR(I3867="TN",I3867="TDN",I3867="TNO2-3",I3867="NO2-3")),VLOOKUP(E3867,QCREC_N,2,),IF(AND(H3867="NIC",OR(I3867="TN",I3867="TDN",I3867="TNO2-3",I3867="NO2-3")),VLOOKUP(E3867,QCNIC_N,2,),IF(AND(H3867="UREA",OR(I3867="TN",I3867="TDN",I3867="TNO2-3",I3867="NO2-3")),VLOOKUP(E3867,QCUREA_N,2,),IF(H3867="PER",VLOOKUP(I3867,QCPER,MATCH(E3867,QCACTUAL!$J$25:$AA$25,0),),IF(H3867="SPK",VLOOKUP(I3867,QCSPK,3,),IF(AND(H3867="ATP",OR(I3867="TP",I3867="TDP")),VLOOKUP(E3867,QCATP_P,2,),""))))))))</f>
        <v/>
      </c>
      <c r="W3867" s="31" t="str">
        <f t="shared" si="439"/>
        <v>TRUE</v>
      </c>
      <c r="X3867" s="31" t="str">
        <f t="shared" si="436"/>
        <v/>
      </c>
      <c r="Y3867" s="10" t="s">
        <v>1275</v>
      </c>
      <c r="AF3867" s="12">
        <v>44981</v>
      </c>
      <c r="AJ3867" s="10">
        <f>2.8761*7^2+145.17*7-57.22</f>
        <v>1099.8988999999999</v>
      </c>
      <c r="AK3867" s="10">
        <f>0.3348*7^2+180.18*7-102.36</f>
        <v>1175.3052</v>
      </c>
      <c r="AL3867" s="10" t="str">
        <f t="shared" si="434"/>
        <v>FALSE</v>
      </c>
      <c r="AM3867" s="10" t="str">
        <f t="shared" si="434"/>
        <v>FALSE</v>
      </c>
      <c r="AN3867" s="10" t="str">
        <f t="shared" si="434"/>
        <v>FALSE</v>
      </c>
      <c r="AO3867" s="10" t="str">
        <f t="shared" si="435"/>
        <v>y=2.8761*7^2+145.17*7-57.22</v>
      </c>
      <c r="AP3867" s="10" t="str">
        <f t="shared" si="435"/>
        <v>y=0.3348*7^2+180.18*7-102.36</v>
      </c>
      <c r="AQ3867" s="10" t="b">
        <f>IF(AND(I3867="TP",S3867&lt;=150),VLOOKUP(AF3867,TPCalibEq150!$AZ$2:$BB$55,3,),IF(AND(I3867="TDP",S3867&lt;=150),VLOOKUP(AF3867,TPCalibEq150!$AZ$2:$BB$55,3,)))</f>
        <v>0</v>
      </c>
      <c r="AR3867" s="10" t="b">
        <f>IF(AND(I3867="TP",S3867&lt;=300),VLOOKUP(AF3867,TPCalibEq300!$AZ$2:$BB$55,3,),IF(AND(I3867="TDP",S3867&lt;=300),VLOOKUP(AF3867,TPCalibEq300!$AZ$2:$BB$55,3,)))</f>
        <v>0</v>
      </c>
      <c r="AS3867" s="10" t="b">
        <f>IF(AND(I3867="TP",S3867&lt;=500),VLOOKUP(AF3867,TPCalibEq500!$AZ$2:$BB$56,3,),IF(AND(I3867="TDP",S3867&lt;=500),VLOOKUP(AF3867,TPCalibEq500!$AZ$2:$BB$56,3,)))</f>
        <v>0</v>
      </c>
      <c r="AT3867" s="10" t="str">
        <f>IF(AND(I3867="TN",S3867&lt;=2800),VLOOKUP(AF3867,TNCalibEq2500!$AZ$2:$BB$56,3,),IF(AND(I3867="TDN",S3867&lt;=2800),VLOOKUP(AF3867,TNCalibEq2500!$AZ$2:$BB$56,3,)))</f>
        <v>y=2.8761x2+145.17x-57.22</v>
      </c>
      <c r="AU3867" s="10" t="str">
        <f>IF(I3867="TP",VLOOKUP(AF3867,TPCalibEqFull!$AZ$2:$BB$56,3),IF(I3867="TDP",VLOOKUP(AF3867,TPCalibEqFull!$AZ$2:$BB$56,3),IF(I3867="TDN",VLOOKUP(AF3867,TNCalibEqFull!$AZ$1:$BB$56,3),IF(I3867="TN",VLOOKUP(AF3867,TNCalibEqFull!$AZ$1:$BB$56,3),FALSE))))</f>
        <v>y=0.3348x2+180.18x-102.36</v>
      </c>
      <c r="AV3867" s="10" t="str">
        <f t="shared" si="440"/>
        <v>0221 09:28:00-EOF-10-FIL-1-SW-UKN</v>
      </c>
    </row>
    <row r="3868" spans="1:48" s="10" customFormat="1" x14ac:dyDescent="0.55000000000000004">
      <c r="A3868" s="32">
        <v>44978</v>
      </c>
      <c r="B3868" s="33">
        <v>0.39652777777777781</v>
      </c>
      <c r="C3868" s="10" t="s">
        <v>428</v>
      </c>
      <c r="D3868" s="10">
        <v>20</v>
      </c>
      <c r="E3868" s="10" t="s">
        <v>911</v>
      </c>
      <c r="F3868" s="10">
        <v>1</v>
      </c>
      <c r="G3868" s="10" t="s">
        <v>231</v>
      </c>
      <c r="H3868" s="10" t="s">
        <v>322</v>
      </c>
      <c r="I3868" s="10" t="s">
        <v>224</v>
      </c>
      <c r="J3868" s="10">
        <v>74</v>
      </c>
      <c r="K3868" s="12">
        <v>44981</v>
      </c>
      <c r="L3868" s="33">
        <v>0.57223379629629634</v>
      </c>
      <c r="M3868" s="10">
        <v>1</v>
      </c>
      <c r="N3868" s="10" t="s">
        <v>196</v>
      </c>
      <c r="O3868" s="10">
        <v>6.36</v>
      </c>
      <c r="P3868" s="10">
        <v>0.307</v>
      </c>
      <c r="Q3868" s="10">
        <v>1080</v>
      </c>
      <c r="R3868" s="10" t="s">
        <v>170</v>
      </c>
      <c r="S3868" s="34">
        <f t="shared" si="437"/>
        <v>1080</v>
      </c>
      <c r="T3868" s="10" t="s">
        <v>1282</v>
      </c>
      <c r="U3868" s="34" t="str">
        <f t="shared" si="438"/>
        <v/>
      </c>
      <c r="V3868" s="31" t="str">
        <f>IF(H3868="CHK",VLOOKUP(I3868,QCCHK,3,),IF(H3868="GUP",VLOOKUP(E3868,QCGUP,2,),IF(AND(H3868="ATP",OR(I3868="TN",I3868="TDN",I3868="TNO2-3",I3868="NO2-3")),VLOOKUP(E3868,QCREC_N,2,),IF(AND(H3868="NIC",OR(I3868="TN",I3868="TDN",I3868="TNO2-3",I3868="NO2-3")),VLOOKUP(E3868,QCNIC_N,2,),IF(AND(H3868="UREA",OR(I3868="TN",I3868="TDN",I3868="TNO2-3",I3868="NO2-3")),VLOOKUP(E3868,QCUREA_N,2,),IF(H3868="PER",VLOOKUP(I3868,QCPER,MATCH(E3868,QCACTUAL!$J$25:$AA$25,0),),IF(H3868="SPK",VLOOKUP(I3868,QCSPK,3,),IF(AND(H3868="ATP",OR(I3868="TP",I3868="TDP")),VLOOKUP(E3868,QCATP_P,2,),""))))))))</f>
        <v/>
      </c>
      <c r="W3868" s="31" t="str">
        <f t="shared" si="439"/>
        <v>TRUE</v>
      </c>
      <c r="X3868" s="31" t="str">
        <f t="shared" si="436"/>
        <v/>
      </c>
      <c r="Y3868" s="10" t="s">
        <v>1275</v>
      </c>
      <c r="AF3868" s="12">
        <v>44981</v>
      </c>
      <c r="AJ3868" s="10">
        <f>2.8761*6.36^2+145.17*6.36-57.22</f>
        <v>982.39829456000007</v>
      </c>
      <c r="AK3868" s="10">
        <f>0.3348*6.36^2+180.18*6.36-102.36</f>
        <v>1057.1273260800003</v>
      </c>
      <c r="AL3868" s="10" t="str">
        <f t="shared" si="434"/>
        <v>FALSE</v>
      </c>
      <c r="AM3868" s="10" t="str">
        <f t="shared" si="434"/>
        <v>FALSE</v>
      </c>
      <c r="AN3868" s="10" t="str">
        <f t="shared" si="434"/>
        <v>FALSE</v>
      </c>
      <c r="AO3868" s="10" t="str">
        <f t="shared" si="435"/>
        <v>y=2.8761*6.36^2+145.17*6.36-57.22</v>
      </c>
      <c r="AP3868" s="10" t="str">
        <f t="shared" si="435"/>
        <v>y=0.3348*6.36^2+180.18*6.36-102.36</v>
      </c>
      <c r="AQ3868" s="10" t="b">
        <f>IF(AND(I3868="TP",S3868&lt;=150),VLOOKUP(AF3868,TPCalibEq150!$AZ$2:$BB$55,3,),IF(AND(I3868="TDP",S3868&lt;=150),VLOOKUP(AF3868,TPCalibEq150!$AZ$2:$BB$55,3,)))</f>
        <v>0</v>
      </c>
      <c r="AR3868" s="10" t="b">
        <f>IF(AND(I3868="TP",S3868&lt;=300),VLOOKUP(AF3868,TPCalibEq300!$AZ$2:$BB$55,3,),IF(AND(I3868="TDP",S3868&lt;=300),VLOOKUP(AF3868,TPCalibEq300!$AZ$2:$BB$55,3,)))</f>
        <v>0</v>
      </c>
      <c r="AS3868" s="10" t="b">
        <f>IF(AND(I3868="TP",S3868&lt;=500),VLOOKUP(AF3868,TPCalibEq500!$AZ$2:$BB$56,3,),IF(AND(I3868="TDP",S3868&lt;=500),VLOOKUP(AF3868,TPCalibEq500!$AZ$2:$BB$56,3,)))</f>
        <v>0</v>
      </c>
      <c r="AT3868" s="10" t="str">
        <f>IF(AND(I3868="TN",S3868&lt;=2800),VLOOKUP(AF3868,TNCalibEq2500!$AZ$2:$BB$56,3,),IF(AND(I3868="TDN",S3868&lt;=2800),VLOOKUP(AF3868,TNCalibEq2500!$AZ$2:$BB$56,3,)))</f>
        <v>y=2.8761x2+145.17x-57.22</v>
      </c>
      <c r="AU3868" s="10" t="str">
        <f>IF(I3868="TP",VLOOKUP(AF3868,TPCalibEqFull!$AZ$2:$BB$56,3),IF(I3868="TDP",VLOOKUP(AF3868,TPCalibEqFull!$AZ$2:$BB$56,3),IF(I3868="TDN",VLOOKUP(AF3868,TNCalibEqFull!$AZ$1:$BB$56,3),IF(I3868="TN",VLOOKUP(AF3868,TNCalibEqFull!$AZ$1:$BB$56,3),FALSE))))</f>
        <v>y=0.3348x2+180.18x-102.36</v>
      </c>
      <c r="AV3868" s="10" t="str">
        <f t="shared" si="440"/>
        <v>0221 09:31:00-EOF-20-FIL-1-SW-UKN</v>
      </c>
    </row>
    <row r="3869" spans="1:48" s="10" customFormat="1" x14ac:dyDescent="0.55000000000000004">
      <c r="A3869" s="32">
        <v>44978</v>
      </c>
      <c r="B3869" s="33">
        <v>0.40347222222222223</v>
      </c>
      <c r="C3869" s="10" t="s">
        <v>428</v>
      </c>
      <c r="D3869" s="10">
        <v>97</v>
      </c>
      <c r="E3869" s="10" t="s">
        <v>911</v>
      </c>
      <c r="F3869" s="10">
        <v>1</v>
      </c>
      <c r="G3869" s="10" t="s">
        <v>231</v>
      </c>
      <c r="H3869" s="10" t="s">
        <v>322</v>
      </c>
      <c r="I3869" s="10" t="s">
        <v>224</v>
      </c>
      <c r="J3869" s="10">
        <v>75</v>
      </c>
      <c r="K3869" s="12">
        <v>44981</v>
      </c>
      <c r="L3869" s="33">
        <v>0.57289351851851855</v>
      </c>
      <c r="M3869" s="10">
        <v>1</v>
      </c>
      <c r="N3869" s="10" t="s">
        <v>196</v>
      </c>
      <c r="O3869" s="10">
        <v>6.88</v>
      </c>
      <c r="P3869" s="10">
        <v>0.33200000000000002</v>
      </c>
      <c r="Q3869" s="10">
        <v>1180</v>
      </c>
      <c r="R3869" s="10" t="s">
        <v>170</v>
      </c>
      <c r="S3869" s="34">
        <f t="shared" si="437"/>
        <v>1180</v>
      </c>
      <c r="T3869" s="10" t="s">
        <v>1282</v>
      </c>
      <c r="U3869" s="34" t="str">
        <f t="shared" si="438"/>
        <v/>
      </c>
      <c r="V3869" s="31" t="str">
        <f>IF(H3869="CHK",VLOOKUP(I3869,QCCHK,3,),IF(H3869="GUP",VLOOKUP(E3869,QCGUP,2,),IF(AND(H3869="ATP",OR(I3869="TN",I3869="TDN",I3869="TNO2-3",I3869="NO2-3")),VLOOKUP(E3869,QCREC_N,2,),IF(AND(H3869="NIC",OR(I3869="TN",I3869="TDN",I3869="TNO2-3",I3869="NO2-3")),VLOOKUP(E3869,QCNIC_N,2,),IF(AND(H3869="UREA",OR(I3869="TN",I3869="TDN",I3869="TNO2-3",I3869="NO2-3")),VLOOKUP(E3869,QCUREA_N,2,),IF(H3869="PER",VLOOKUP(I3869,QCPER,MATCH(E3869,QCACTUAL!$J$25:$AA$25,0),),IF(H3869="SPK",VLOOKUP(I3869,QCSPK,3,),IF(AND(H3869="ATP",OR(I3869="TP",I3869="TDP")),VLOOKUP(E3869,QCATP_P,2,),""))))))))</f>
        <v/>
      </c>
      <c r="W3869" s="31" t="str">
        <f t="shared" si="439"/>
        <v>TRUE</v>
      </c>
      <c r="X3869" s="31" t="str">
        <f t="shared" si="436"/>
        <v/>
      </c>
      <c r="Y3869" s="10" t="s">
        <v>1275</v>
      </c>
      <c r="AF3869" s="12">
        <v>44981</v>
      </c>
      <c r="AJ3869" s="10">
        <f>2.8761*6.88^2+145.17*6.88-57.22</f>
        <v>1077.6880678399998</v>
      </c>
      <c r="AK3869" s="10">
        <f>0.3348*6.88^2+180.18*6.88-102.36</f>
        <v>1153.1259571200001</v>
      </c>
      <c r="AL3869" s="10" t="str">
        <f t="shared" si="434"/>
        <v>FALSE</v>
      </c>
      <c r="AM3869" s="10" t="str">
        <f t="shared" si="434"/>
        <v>FALSE</v>
      </c>
      <c r="AN3869" s="10" t="str">
        <f t="shared" si="434"/>
        <v>FALSE</v>
      </c>
      <c r="AO3869" s="10" t="str">
        <f t="shared" si="435"/>
        <v>y=2.8761*6.88^2+145.17*6.88-57.22</v>
      </c>
      <c r="AP3869" s="10" t="str">
        <f t="shared" si="435"/>
        <v>y=0.3348*6.88^2+180.18*6.88-102.36</v>
      </c>
      <c r="AQ3869" s="10" t="b">
        <f>IF(AND(I3869="TP",S3869&lt;=150),VLOOKUP(AF3869,TPCalibEq150!$AZ$2:$BB$55,3,),IF(AND(I3869="TDP",S3869&lt;=150),VLOOKUP(AF3869,TPCalibEq150!$AZ$2:$BB$55,3,)))</f>
        <v>0</v>
      </c>
      <c r="AR3869" s="10" t="b">
        <f>IF(AND(I3869="TP",S3869&lt;=300),VLOOKUP(AF3869,TPCalibEq300!$AZ$2:$BB$55,3,),IF(AND(I3869="TDP",S3869&lt;=300),VLOOKUP(AF3869,TPCalibEq300!$AZ$2:$BB$55,3,)))</f>
        <v>0</v>
      </c>
      <c r="AS3869" s="10" t="b">
        <f>IF(AND(I3869="TP",S3869&lt;=500),VLOOKUP(AF3869,TPCalibEq500!$AZ$2:$BB$56,3,),IF(AND(I3869="TDP",S3869&lt;=500),VLOOKUP(AF3869,TPCalibEq500!$AZ$2:$BB$56,3,)))</f>
        <v>0</v>
      </c>
      <c r="AT3869" s="10" t="str">
        <f>IF(AND(I3869="TN",S3869&lt;=2800),VLOOKUP(AF3869,TNCalibEq2500!$AZ$2:$BB$56,3,),IF(AND(I3869="TDN",S3869&lt;=2800),VLOOKUP(AF3869,TNCalibEq2500!$AZ$2:$BB$56,3,)))</f>
        <v>y=2.8761x2+145.17x-57.22</v>
      </c>
      <c r="AU3869" s="10" t="str">
        <f>IF(I3869="TP",VLOOKUP(AF3869,TPCalibEqFull!$AZ$2:$BB$56,3),IF(I3869="TDP",VLOOKUP(AF3869,TPCalibEqFull!$AZ$2:$BB$56,3),IF(I3869="TDN",VLOOKUP(AF3869,TNCalibEqFull!$AZ$1:$BB$56,3),IF(I3869="TN",VLOOKUP(AF3869,TNCalibEqFull!$AZ$1:$BB$56,3),FALSE))))</f>
        <v>y=0.3348x2+180.18x-102.36</v>
      </c>
      <c r="AV3869" s="10" t="str">
        <f t="shared" si="440"/>
        <v>0221 09:41:00-EOF-97-FIL-1-SW-UKN</v>
      </c>
    </row>
    <row r="3870" spans="1:48" s="10" customFormat="1" x14ac:dyDescent="0.55000000000000004">
      <c r="A3870" s="32">
        <v>44978</v>
      </c>
      <c r="B3870" s="33">
        <v>0.43124999999999997</v>
      </c>
      <c r="C3870" s="10" t="s">
        <v>611</v>
      </c>
      <c r="D3870" s="10">
        <v>0</v>
      </c>
      <c r="E3870" s="10" t="s">
        <v>911</v>
      </c>
      <c r="F3870" s="10">
        <v>1</v>
      </c>
      <c r="G3870" s="10" t="s">
        <v>231</v>
      </c>
      <c r="H3870" s="10" t="s">
        <v>322</v>
      </c>
      <c r="I3870" s="10" t="s">
        <v>224</v>
      </c>
      <c r="J3870" s="10">
        <v>76</v>
      </c>
      <c r="K3870" s="12">
        <v>44981</v>
      </c>
      <c r="L3870" s="33">
        <v>0.57357638888888884</v>
      </c>
      <c r="M3870" s="10">
        <v>1</v>
      </c>
      <c r="N3870" s="10" t="s">
        <v>196</v>
      </c>
      <c r="O3870" s="10">
        <v>6.83</v>
      </c>
      <c r="P3870" s="10">
        <v>0.33</v>
      </c>
      <c r="Q3870" s="10">
        <v>1170</v>
      </c>
      <c r="R3870" s="10" t="s">
        <v>170</v>
      </c>
      <c r="S3870" s="34">
        <f t="shared" si="437"/>
        <v>1170</v>
      </c>
      <c r="T3870" s="10" t="s">
        <v>1282</v>
      </c>
      <c r="U3870" s="34" t="str">
        <f t="shared" si="438"/>
        <v/>
      </c>
      <c r="V3870" s="31" t="str">
        <f>IF(H3870="CHK",VLOOKUP(I3870,QCCHK,3,),IF(H3870="GUP",VLOOKUP(E3870,QCGUP,2,),IF(AND(H3870="ATP",OR(I3870="TN",I3870="TDN",I3870="TNO2-3",I3870="NO2-3")),VLOOKUP(E3870,QCREC_N,2,),IF(AND(H3870="NIC",OR(I3870="TN",I3870="TDN",I3870="TNO2-3",I3870="NO2-3")),VLOOKUP(E3870,QCNIC_N,2,),IF(AND(H3870="UREA",OR(I3870="TN",I3870="TDN",I3870="TNO2-3",I3870="NO2-3")),VLOOKUP(E3870,QCUREA_N,2,),IF(H3870="PER",VLOOKUP(I3870,QCPER,MATCH(E3870,QCACTUAL!$J$25:$AA$25,0),),IF(H3870="SPK",VLOOKUP(I3870,QCSPK,3,),IF(AND(H3870="ATP",OR(I3870="TP",I3870="TDP")),VLOOKUP(E3870,QCATP_P,2,),""))))))))</f>
        <v/>
      </c>
      <c r="W3870" s="31" t="str">
        <f t="shared" si="439"/>
        <v>TRUE</v>
      </c>
      <c r="X3870" s="31" t="str">
        <f t="shared" si="436"/>
        <v/>
      </c>
      <c r="Y3870" s="10" t="s">
        <v>1275</v>
      </c>
      <c r="AF3870" s="12">
        <v>44981</v>
      </c>
      <c r="AJ3870" s="10">
        <f>2.8761*6.83^2+145.17*6.83-57.22</f>
        <v>1068.4580012899999</v>
      </c>
      <c r="AK3870" s="10">
        <f>0.3348*6.83^2+180.18*6.83-102.36</f>
        <v>1143.8874517200002</v>
      </c>
      <c r="AL3870" s="10" t="str">
        <f t="shared" si="434"/>
        <v>FALSE</v>
      </c>
      <c r="AM3870" s="10" t="str">
        <f t="shared" si="434"/>
        <v>FALSE</v>
      </c>
      <c r="AN3870" s="10" t="str">
        <f t="shared" si="434"/>
        <v>FALSE</v>
      </c>
      <c r="AO3870" s="10" t="str">
        <f t="shared" si="435"/>
        <v>y=2.8761*6.83^2+145.17*6.83-57.22</v>
      </c>
      <c r="AP3870" s="10" t="str">
        <f t="shared" si="435"/>
        <v>y=0.3348*6.83^2+180.18*6.83-102.36</v>
      </c>
      <c r="AQ3870" s="10" t="b">
        <f>IF(AND(I3870="TP",S3870&lt;=150),VLOOKUP(AF3870,TPCalibEq150!$AZ$2:$BB$55,3,),IF(AND(I3870="TDP",S3870&lt;=150),VLOOKUP(AF3870,TPCalibEq150!$AZ$2:$BB$55,3,)))</f>
        <v>0</v>
      </c>
      <c r="AR3870" s="10" t="b">
        <f>IF(AND(I3870="TP",S3870&lt;=300),VLOOKUP(AF3870,TPCalibEq300!$AZ$2:$BB$55,3,),IF(AND(I3870="TDP",S3870&lt;=300),VLOOKUP(AF3870,TPCalibEq300!$AZ$2:$BB$55,3,)))</f>
        <v>0</v>
      </c>
      <c r="AS3870" s="10" t="b">
        <f>IF(AND(I3870="TP",S3870&lt;=500),VLOOKUP(AF3870,TPCalibEq500!$AZ$2:$BB$56,3,),IF(AND(I3870="TDP",S3870&lt;=500),VLOOKUP(AF3870,TPCalibEq500!$AZ$2:$BB$56,3,)))</f>
        <v>0</v>
      </c>
      <c r="AT3870" s="10" t="str">
        <f>IF(AND(I3870="TN",S3870&lt;=2800),VLOOKUP(AF3870,TNCalibEq2500!$AZ$2:$BB$56,3,),IF(AND(I3870="TDN",S3870&lt;=2800),VLOOKUP(AF3870,TNCalibEq2500!$AZ$2:$BB$56,3,)))</f>
        <v>y=2.8761x2+145.17x-57.22</v>
      </c>
      <c r="AU3870" s="10" t="str">
        <f>IF(I3870="TP",VLOOKUP(AF3870,TPCalibEqFull!$AZ$2:$BB$56,3),IF(I3870="TDP",VLOOKUP(AF3870,TPCalibEqFull!$AZ$2:$BB$56,3),IF(I3870="TDN",VLOOKUP(AF3870,TNCalibEqFull!$AZ$1:$BB$56,3),IF(I3870="TN",VLOOKUP(AF3870,TNCalibEqFull!$AZ$1:$BB$56,3),FALSE))))</f>
        <v>y=0.3348x2+180.18x-102.36</v>
      </c>
      <c r="AV3870" s="10" t="str">
        <f t="shared" si="440"/>
        <v>0221 10:21:00-BUO-0-FIL-1-SW-UKN</v>
      </c>
    </row>
    <row r="3871" spans="1:48" s="10" customFormat="1" x14ac:dyDescent="0.55000000000000004">
      <c r="A3871" s="32">
        <v>44978</v>
      </c>
      <c r="B3871" s="33">
        <v>0.43472222222222223</v>
      </c>
      <c r="C3871" s="10" t="s">
        <v>611</v>
      </c>
      <c r="D3871" s="10">
        <v>5</v>
      </c>
      <c r="E3871" s="10" t="s">
        <v>911</v>
      </c>
      <c r="F3871" s="10">
        <v>1</v>
      </c>
      <c r="G3871" s="10" t="s">
        <v>231</v>
      </c>
      <c r="H3871" s="10" t="s">
        <v>322</v>
      </c>
      <c r="I3871" s="10" t="s">
        <v>224</v>
      </c>
      <c r="J3871" s="10">
        <v>77</v>
      </c>
      <c r="K3871" s="12">
        <v>44981</v>
      </c>
      <c r="L3871" s="33">
        <v>0.57424768518518521</v>
      </c>
      <c r="M3871" s="10">
        <v>1</v>
      </c>
      <c r="N3871" s="10" t="s">
        <v>196</v>
      </c>
      <c r="O3871" s="10">
        <v>6.43</v>
      </c>
      <c r="P3871" s="10">
        <v>0.31</v>
      </c>
      <c r="Q3871" s="10">
        <v>1090</v>
      </c>
      <c r="R3871" s="10" t="s">
        <v>170</v>
      </c>
      <c r="S3871" s="34">
        <f t="shared" si="437"/>
        <v>1090</v>
      </c>
      <c r="T3871" s="10" t="s">
        <v>1282</v>
      </c>
      <c r="U3871" s="34" t="str">
        <f t="shared" si="438"/>
        <v/>
      </c>
      <c r="V3871" s="31" t="str">
        <f>IF(H3871="CHK",VLOOKUP(I3871,QCCHK,3,),IF(H3871="GUP",VLOOKUP(E3871,QCGUP,2,),IF(AND(H3871="ATP",OR(I3871="TN",I3871="TDN",I3871="TNO2-3",I3871="NO2-3")),VLOOKUP(E3871,QCREC_N,2,),IF(AND(H3871="NIC",OR(I3871="TN",I3871="TDN",I3871="TNO2-3",I3871="NO2-3")),VLOOKUP(E3871,QCNIC_N,2,),IF(AND(H3871="UREA",OR(I3871="TN",I3871="TDN",I3871="TNO2-3",I3871="NO2-3")),VLOOKUP(E3871,QCUREA_N,2,),IF(H3871="PER",VLOOKUP(I3871,QCPER,MATCH(E3871,QCACTUAL!$J$25:$AA$25,0),),IF(H3871="SPK",VLOOKUP(I3871,QCSPK,3,),IF(AND(H3871="ATP",OR(I3871="TP",I3871="TDP")),VLOOKUP(E3871,QCATP_P,2,),""))))))))</f>
        <v/>
      </c>
      <c r="W3871" s="31" t="str">
        <f t="shared" si="439"/>
        <v>TRUE</v>
      </c>
      <c r="X3871" s="31" t="str">
        <f t="shared" si="436"/>
        <v/>
      </c>
      <c r="Y3871" s="10" t="s">
        <v>1275</v>
      </c>
      <c r="AF3871" s="12">
        <v>44981</v>
      </c>
      <c r="AJ3871" s="10">
        <f>2.8761*6.43^2+145.17*6.43-57.22</f>
        <v>995.13516688999971</v>
      </c>
      <c r="AK3871" s="10">
        <f>0.3348*6.43^2+180.18*6.43-102.36</f>
        <v>1070.0396725200001</v>
      </c>
      <c r="AL3871" s="10" t="str">
        <f t="shared" si="434"/>
        <v>FALSE</v>
      </c>
      <c r="AM3871" s="10" t="str">
        <f t="shared" si="434"/>
        <v>FALSE</v>
      </c>
      <c r="AN3871" s="10" t="str">
        <f t="shared" si="434"/>
        <v>FALSE</v>
      </c>
      <c r="AO3871" s="10" t="str">
        <f t="shared" si="435"/>
        <v>y=2.8761*6.43^2+145.17*6.43-57.22</v>
      </c>
      <c r="AP3871" s="10" t="str">
        <f t="shared" si="435"/>
        <v>y=0.3348*6.43^2+180.18*6.43-102.36</v>
      </c>
      <c r="AQ3871" s="10" t="b">
        <f>IF(AND(I3871="TP",S3871&lt;=150),VLOOKUP(AF3871,TPCalibEq150!$AZ$2:$BB$55,3,),IF(AND(I3871="TDP",S3871&lt;=150),VLOOKUP(AF3871,TPCalibEq150!$AZ$2:$BB$55,3,)))</f>
        <v>0</v>
      </c>
      <c r="AR3871" s="10" t="b">
        <f>IF(AND(I3871="TP",S3871&lt;=300),VLOOKUP(AF3871,TPCalibEq300!$AZ$2:$BB$55,3,),IF(AND(I3871="TDP",S3871&lt;=300),VLOOKUP(AF3871,TPCalibEq300!$AZ$2:$BB$55,3,)))</f>
        <v>0</v>
      </c>
      <c r="AS3871" s="10" t="b">
        <f>IF(AND(I3871="TP",S3871&lt;=500),VLOOKUP(AF3871,TPCalibEq500!$AZ$2:$BB$56,3,),IF(AND(I3871="TDP",S3871&lt;=500),VLOOKUP(AF3871,TPCalibEq500!$AZ$2:$BB$56,3,)))</f>
        <v>0</v>
      </c>
      <c r="AT3871" s="10" t="str">
        <f>IF(AND(I3871="TN",S3871&lt;=2800),VLOOKUP(AF3871,TNCalibEq2500!$AZ$2:$BB$56,3,),IF(AND(I3871="TDN",S3871&lt;=2800),VLOOKUP(AF3871,TNCalibEq2500!$AZ$2:$BB$56,3,)))</f>
        <v>y=2.8761x2+145.17x-57.22</v>
      </c>
      <c r="AU3871" s="10" t="str">
        <f>IF(I3871="TP",VLOOKUP(AF3871,TPCalibEqFull!$AZ$2:$BB$56,3),IF(I3871="TDP",VLOOKUP(AF3871,TPCalibEqFull!$AZ$2:$BB$56,3),IF(I3871="TDN",VLOOKUP(AF3871,TNCalibEqFull!$AZ$1:$BB$56,3),IF(I3871="TN",VLOOKUP(AF3871,TNCalibEqFull!$AZ$1:$BB$56,3),FALSE))))</f>
        <v>y=0.3348x2+180.18x-102.36</v>
      </c>
      <c r="AV3871" s="10" t="str">
        <f t="shared" si="440"/>
        <v>0221 10:26:00-BUO-5-FIL-1-SW-UKN</v>
      </c>
    </row>
    <row r="3872" spans="1:48" s="10" customFormat="1" x14ac:dyDescent="0.55000000000000004">
      <c r="A3872" s="32">
        <v>44978</v>
      </c>
      <c r="B3872" s="33">
        <v>0.4368055555555555</v>
      </c>
      <c r="C3872" s="10" t="s">
        <v>611</v>
      </c>
      <c r="D3872" s="10">
        <v>10</v>
      </c>
      <c r="E3872" s="10" t="s">
        <v>911</v>
      </c>
      <c r="F3872" s="10">
        <v>1</v>
      </c>
      <c r="G3872" s="10" t="s">
        <v>231</v>
      </c>
      <c r="H3872" s="10" t="s">
        <v>322</v>
      </c>
      <c r="I3872" s="10" t="s">
        <v>224</v>
      </c>
      <c r="J3872" s="10">
        <v>78</v>
      </c>
      <c r="K3872" s="12">
        <v>44981</v>
      </c>
      <c r="L3872" s="33">
        <v>0.57491898148148146</v>
      </c>
      <c r="M3872" s="10">
        <v>1</v>
      </c>
      <c r="N3872" s="10" t="s">
        <v>196</v>
      </c>
      <c r="O3872" s="10">
        <v>7.09</v>
      </c>
      <c r="P3872" s="10">
        <v>0.34200000000000003</v>
      </c>
      <c r="Q3872" s="10">
        <v>1220</v>
      </c>
      <c r="R3872" s="10" t="s">
        <v>170</v>
      </c>
      <c r="S3872" s="34">
        <f t="shared" si="437"/>
        <v>1220</v>
      </c>
      <c r="T3872" s="10" t="s">
        <v>1282</v>
      </c>
      <c r="U3872" s="34" t="str">
        <f t="shared" si="438"/>
        <v/>
      </c>
      <c r="V3872" s="31" t="str">
        <f>IF(H3872="CHK",VLOOKUP(I3872,QCCHK,3,),IF(H3872="GUP",VLOOKUP(E3872,QCGUP,2,),IF(AND(H3872="ATP",OR(I3872="TN",I3872="TDN",I3872="TNO2-3",I3872="NO2-3")),VLOOKUP(E3872,QCREC_N,2,),IF(AND(H3872="NIC",OR(I3872="TN",I3872="TDN",I3872="TNO2-3",I3872="NO2-3")),VLOOKUP(E3872,QCNIC_N,2,),IF(AND(H3872="UREA",OR(I3872="TN",I3872="TDN",I3872="TNO2-3",I3872="NO2-3")),VLOOKUP(E3872,QCUREA_N,2,),IF(H3872="PER",VLOOKUP(I3872,QCPER,MATCH(E3872,QCACTUAL!$J$25:$AA$25,0),),IF(H3872="SPK",VLOOKUP(I3872,QCSPK,3,),IF(AND(H3872="ATP",OR(I3872="TP",I3872="TDP")),VLOOKUP(E3872,QCATP_P,2,),""))))))))</f>
        <v/>
      </c>
      <c r="W3872" s="31" t="str">
        <f t="shared" si="439"/>
        <v>TRUE</v>
      </c>
      <c r="X3872" s="31" t="str">
        <f t="shared" si="436"/>
        <v/>
      </c>
      <c r="Y3872" s="10" t="s">
        <v>1275</v>
      </c>
      <c r="AF3872" s="12">
        <v>44981</v>
      </c>
      <c r="AJ3872" s="10">
        <f>2.8761*7.09^2+145.17*7.09-57.22</f>
        <v>1116.6113824099998</v>
      </c>
      <c r="AK3872" s="10">
        <f>0.3348*7.09^2+180.18*7.09-102.36</f>
        <v>1191.9459598800001</v>
      </c>
      <c r="AL3872" s="10" t="str">
        <f t="shared" ref="AL3872:AN3887" si="441">IF($O3872="", "", IF(AQ3872&lt;&gt;"", SUBSTITUTE(SUBSTITUTE(AQ3872, "x", "*"&amp;$O3872&amp;"^", 1), "x", "*"&amp;$O3872, 1), ""))</f>
        <v>FALSE</v>
      </c>
      <c r="AM3872" s="10" t="str">
        <f t="shared" si="441"/>
        <v>FALSE</v>
      </c>
      <c r="AN3872" s="10" t="str">
        <f t="shared" si="441"/>
        <v>FALSE</v>
      </c>
      <c r="AO3872" s="10" t="str">
        <f t="shared" ref="AO3872:AP3887" si="442">IF($O3872="", "FALSE", IF(AT3872&lt;&gt;"FALSE", SUBSTITUTE(SUBSTITUTE(AT3872, "x", "*"&amp;$O3872&amp;"^", 1), "x", "*"&amp;$O3872, 1), ""))</f>
        <v>y=2.8761*7.09^2+145.17*7.09-57.22</v>
      </c>
      <c r="AP3872" s="10" t="str">
        <f t="shared" si="442"/>
        <v>y=0.3348*7.09^2+180.18*7.09-102.36</v>
      </c>
      <c r="AQ3872" s="10" t="b">
        <f>IF(AND(I3872="TP",S3872&lt;=150),VLOOKUP(AF3872,TPCalibEq150!$AZ$2:$BB$55,3,),IF(AND(I3872="TDP",S3872&lt;=150),VLOOKUP(AF3872,TPCalibEq150!$AZ$2:$BB$55,3,)))</f>
        <v>0</v>
      </c>
      <c r="AR3872" s="10" t="b">
        <f>IF(AND(I3872="TP",S3872&lt;=300),VLOOKUP(AF3872,TPCalibEq300!$AZ$2:$BB$55,3,),IF(AND(I3872="TDP",S3872&lt;=300),VLOOKUP(AF3872,TPCalibEq300!$AZ$2:$BB$55,3,)))</f>
        <v>0</v>
      </c>
      <c r="AS3872" s="10" t="b">
        <f>IF(AND(I3872="TP",S3872&lt;=500),VLOOKUP(AF3872,TPCalibEq500!$AZ$2:$BB$56,3,),IF(AND(I3872="TDP",S3872&lt;=500),VLOOKUP(AF3872,TPCalibEq500!$AZ$2:$BB$56,3,)))</f>
        <v>0</v>
      </c>
      <c r="AT3872" s="10" t="str">
        <f>IF(AND(I3872="TN",S3872&lt;=2800),VLOOKUP(AF3872,TNCalibEq2500!$AZ$2:$BB$56,3,),IF(AND(I3872="TDN",S3872&lt;=2800),VLOOKUP(AF3872,TNCalibEq2500!$AZ$2:$BB$56,3,)))</f>
        <v>y=2.8761x2+145.17x-57.22</v>
      </c>
      <c r="AU3872" s="10" t="str">
        <f>IF(I3872="TP",VLOOKUP(AF3872,TPCalibEqFull!$AZ$2:$BB$56,3),IF(I3872="TDP",VLOOKUP(AF3872,TPCalibEqFull!$AZ$2:$BB$56,3),IF(I3872="TDN",VLOOKUP(AF3872,TNCalibEqFull!$AZ$1:$BB$56,3),IF(I3872="TN",VLOOKUP(AF3872,TNCalibEqFull!$AZ$1:$BB$56,3),FALSE))))</f>
        <v>y=0.3348x2+180.18x-102.36</v>
      </c>
      <c r="AV3872" s="10" t="str">
        <f t="shared" si="440"/>
        <v>0221 10:29:00-BUO-10-FIL-1-SW-UKN</v>
      </c>
    </row>
    <row r="3873" spans="1:48" s="10" customFormat="1" x14ac:dyDescent="0.55000000000000004">
      <c r="A3873" s="32">
        <v>44978</v>
      </c>
      <c r="B3873" s="33">
        <v>0.43958333333333338</v>
      </c>
      <c r="C3873" s="10" t="s">
        <v>611</v>
      </c>
      <c r="D3873" s="10">
        <v>20</v>
      </c>
      <c r="E3873" s="10" t="s">
        <v>911</v>
      </c>
      <c r="F3873" s="10">
        <v>1</v>
      </c>
      <c r="G3873" s="10" t="s">
        <v>231</v>
      </c>
      <c r="H3873" s="10" t="s">
        <v>322</v>
      </c>
      <c r="I3873" s="10" t="s">
        <v>224</v>
      </c>
      <c r="J3873" s="10">
        <v>79</v>
      </c>
      <c r="K3873" s="12">
        <v>44981</v>
      </c>
      <c r="L3873" s="33">
        <v>0.57559027777777783</v>
      </c>
      <c r="M3873" s="10">
        <v>1</v>
      </c>
      <c r="N3873" s="10" t="s">
        <v>196</v>
      </c>
      <c r="O3873" s="10">
        <v>6.92</v>
      </c>
      <c r="P3873" s="10">
        <v>0.33700000000000002</v>
      </c>
      <c r="Q3873" s="10">
        <v>1180</v>
      </c>
      <c r="R3873" s="10" t="s">
        <v>170</v>
      </c>
      <c r="S3873" s="34">
        <f t="shared" si="437"/>
        <v>1180</v>
      </c>
      <c r="T3873" s="10" t="s">
        <v>1282</v>
      </c>
      <c r="U3873" s="34" t="str">
        <f t="shared" si="438"/>
        <v/>
      </c>
      <c r="V3873" s="31" t="str">
        <f>IF(H3873="CHK",VLOOKUP(I3873,QCCHK,3,),IF(H3873="GUP",VLOOKUP(E3873,QCGUP,2,),IF(AND(H3873="ATP",OR(I3873="TN",I3873="TDN",I3873="TNO2-3",I3873="NO2-3")),VLOOKUP(E3873,QCREC_N,2,),IF(AND(H3873="NIC",OR(I3873="TN",I3873="TDN",I3873="TNO2-3",I3873="NO2-3")),VLOOKUP(E3873,QCNIC_N,2,),IF(AND(H3873="UREA",OR(I3873="TN",I3873="TDN",I3873="TNO2-3",I3873="NO2-3")),VLOOKUP(E3873,QCUREA_N,2,),IF(H3873="PER",VLOOKUP(I3873,QCPER,MATCH(E3873,QCACTUAL!$J$25:$AA$25,0),),IF(H3873="SPK",VLOOKUP(I3873,QCSPK,3,),IF(AND(H3873="ATP",OR(I3873="TP",I3873="TDP")),VLOOKUP(E3873,QCATP_P,2,),""))))))))</f>
        <v/>
      </c>
      <c r="W3873" s="31" t="str">
        <f t="shared" si="439"/>
        <v>TRUE</v>
      </c>
      <c r="X3873" s="31" t="str">
        <f t="shared" si="436"/>
        <v/>
      </c>
      <c r="Y3873" s="10" t="s">
        <v>1275</v>
      </c>
      <c r="AF3873" s="12">
        <v>44981</v>
      </c>
      <c r="AJ3873" s="10">
        <f>2.8761*6.92^2+145.17*6.92-57.22</f>
        <v>1085.08247504</v>
      </c>
      <c r="AK3873" s="10">
        <f>0.3348*6.92^2+180.18*6.92-102.36</f>
        <v>1160.5179667200002</v>
      </c>
      <c r="AL3873" s="10" t="str">
        <f t="shared" si="441"/>
        <v>FALSE</v>
      </c>
      <c r="AM3873" s="10" t="str">
        <f t="shared" si="441"/>
        <v>FALSE</v>
      </c>
      <c r="AN3873" s="10" t="str">
        <f t="shared" si="441"/>
        <v>FALSE</v>
      </c>
      <c r="AO3873" s="10" t="str">
        <f t="shared" si="442"/>
        <v>y=2.8761*6.92^2+145.17*6.92-57.22</v>
      </c>
      <c r="AP3873" s="10" t="str">
        <f t="shared" si="442"/>
        <v>y=0.3348*6.92^2+180.18*6.92-102.36</v>
      </c>
      <c r="AQ3873" s="10" t="b">
        <f>IF(AND(I3873="TP",S3873&lt;=150),VLOOKUP(AF3873,TPCalibEq150!$AZ$2:$BB$55,3,),IF(AND(I3873="TDP",S3873&lt;=150),VLOOKUP(AF3873,TPCalibEq150!$AZ$2:$BB$55,3,)))</f>
        <v>0</v>
      </c>
      <c r="AR3873" s="10" t="b">
        <f>IF(AND(I3873="TP",S3873&lt;=300),VLOOKUP(AF3873,TPCalibEq300!$AZ$2:$BB$55,3,),IF(AND(I3873="TDP",S3873&lt;=300),VLOOKUP(AF3873,TPCalibEq300!$AZ$2:$BB$55,3,)))</f>
        <v>0</v>
      </c>
      <c r="AS3873" s="10" t="b">
        <f>IF(AND(I3873="TP",S3873&lt;=500),VLOOKUP(AF3873,TPCalibEq500!$AZ$2:$BB$56,3,),IF(AND(I3873="TDP",S3873&lt;=500),VLOOKUP(AF3873,TPCalibEq500!$AZ$2:$BB$56,3,)))</f>
        <v>0</v>
      </c>
      <c r="AT3873" s="10" t="str">
        <f>IF(AND(I3873="TN",S3873&lt;=2800),VLOOKUP(AF3873,TNCalibEq2500!$AZ$2:$BB$56,3,),IF(AND(I3873="TDN",S3873&lt;=2800),VLOOKUP(AF3873,TNCalibEq2500!$AZ$2:$BB$56,3,)))</f>
        <v>y=2.8761x2+145.17x-57.22</v>
      </c>
      <c r="AU3873" s="10" t="str">
        <f>IF(I3873="TP",VLOOKUP(AF3873,TPCalibEqFull!$AZ$2:$BB$56,3),IF(I3873="TDP",VLOOKUP(AF3873,TPCalibEqFull!$AZ$2:$BB$56,3),IF(I3873="TDN",VLOOKUP(AF3873,TNCalibEqFull!$AZ$1:$BB$56,3),IF(I3873="TN",VLOOKUP(AF3873,TNCalibEqFull!$AZ$1:$BB$56,3),FALSE))))</f>
        <v>y=0.3348x2+180.18x-102.36</v>
      </c>
      <c r="AV3873" s="10" t="str">
        <f t="shared" si="440"/>
        <v>0221 10:33:00-BUO-20-FIL-1-SW-UKN</v>
      </c>
    </row>
    <row r="3874" spans="1:48" s="10" customFormat="1" x14ac:dyDescent="0.55000000000000004">
      <c r="A3874" s="32">
        <v>44978</v>
      </c>
      <c r="B3874" s="33">
        <v>0.44375000000000003</v>
      </c>
      <c r="C3874" s="10" t="s">
        <v>611</v>
      </c>
      <c r="D3874" s="10">
        <v>48</v>
      </c>
      <c r="E3874" s="10" t="s">
        <v>911</v>
      </c>
      <c r="F3874" s="10">
        <v>1</v>
      </c>
      <c r="G3874" s="10" t="s">
        <v>231</v>
      </c>
      <c r="H3874" s="10" t="s">
        <v>322</v>
      </c>
      <c r="I3874" s="10" t="s">
        <v>224</v>
      </c>
      <c r="J3874" s="10">
        <v>80</v>
      </c>
      <c r="K3874" s="12">
        <v>44981</v>
      </c>
      <c r="L3874" s="33">
        <v>0.57626157407407408</v>
      </c>
      <c r="M3874" s="10">
        <v>1</v>
      </c>
      <c r="N3874" s="10" t="s">
        <v>196</v>
      </c>
      <c r="O3874" s="10">
        <v>7.4</v>
      </c>
      <c r="P3874" s="10">
        <v>0.35799999999999998</v>
      </c>
      <c r="Q3874" s="10">
        <v>1280</v>
      </c>
      <c r="R3874" s="10" t="s">
        <v>170</v>
      </c>
      <c r="S3874" s="34">
        <f t="shared" si="437"/>
        <v>1280</v>
      </c>
      <c r="T3874" s="10" t="s">
        <v>1282</v>
      </c>
      <c r="U3874" s="34" t="str">
        <f t="shared" si="438"/>
        <v/>
      </c>
      <c r="V3874" s="31" t="str">
        <f>IF(H3874="CHK",VLOOKUP(I3874,QCCHK,3,),IF(H3874="GUP",VLOOKUP(E3874,QCGUP,2,),IF(AND(H3874="ATP",OR(I3874="TN",I3874="TDN",I3874="TNO2-3",I3874="NO2-3")),VLOOKUP(E3874,QCREC_N,2,),IF(AND(H3874="NIC",OR(I3874="TN",I3874="TDN",I3874="TNO2-3",I3874="NO2-3")),VLOOKUP(E3874,QCNIC_N,2,),IF(AND(H3874="UREA",OR(I3874="TN",I3874="TDN",I3874="TNO2-3",I3874="NO2-3")),VLOOKUP(E3874,QCUREA_N,2,),IF(H3874="PER",VLOOKUP(I3874,QCPER,MATCH(E3874,QCACTUAL!$J$25:$AA$25,0),),IF(H3874="SPK",VLOOKUP(I3874,QCSPK,3,),IF(AND(H3874="ATP",OR(I3874="TP",I3874="TDP")),VLOOKUP(E3874,QCATP_P,2,),""))))))))</f>
        <v/>
      </c>
      <c r="W3874" s="31" t="str">
        <f t="shared" si="439"/>
        <v>TRUE</v>
      </c>
      <c r="X3874" s="31" t="str">
        <f t="shared" si="436"/>
        <v/>
      </c>
      <c r="Y3874" s="10" t="s">
        <v>1275</v>
      </c>
      <c r="AF3874" s="12">
        <v>44981</v>
      </c>
      <c r="AJ3874" s="10">
        <f>2.8761*7.4^2+145.17*7.4-57.22</f>
        <v>1174.533236</v>
      </c>
      <c r="AK3874" s="10">
        <f>0.3348*7.4^2+180.18*7.4-102.36</f>
        <v>1249.3056480000002</v>
      </c>
      <c r="AL3874" s="10" t="str">
        <f t="shared" si="441"/>
        <v>FALSE</v>
      </c>
      <c r="AM3874" s="10" t="str">
        <f t="shared" si="441"/>
        <v>FALSE</v>
      </c>
      <c r="AN3874" s="10" t="str">
        <f t="shared" si="441"/>
        <v>FALSE</v>
      </c>
      <c r="AO3874" s="10" t="str">
        <f t="shared" si="442"/>
        <v>y=2.8761*7.4^2+145.17*7.4-57.22</v>
      </c>
      <c r="AP3874" s="10" t="str">
        <f t="shared" si="442"/>
        <v>y=0.3348*7.4^2+180.18*7.4-102.36</v>
      </c>
      <c r="AQ3874" s="10" t="b">
        <f>IF(AND(I3874="TP",S3874&lt;=150),VLOOKUP(AF3874,TPCalibEq150!$AZ$2:$BB$55,3,),IF(AND(I3874="TDP",S3874&lt;=150),VLOOKUP(AF3874,TPCalibEq150!$AZ$2:$BB$55,3,)))</f>
        <v>0</v>
      </c>
      <c r="AR3874" s="10" t="b">
        <f>IF(AND(I3874="TP",S3874&lt;=300),VLOOKUP(AF3874,TPCalibEq300!$AZ$2:$BB$55,3,),IF(AND(I3874="TDP",S3874&lt;=300),VLOOKUP(AF3874,TPCalibEq300!$AZ$2:$BB$55,3,)))</f>
        <v>0</v>
      </c>
      <c r="AS3874" s="10" t="b">
        <f>IF(AND(I3874="TP",S3874&lt;=500),VLOOKUP(AF3874,TPCalibEq500!$AZ$2:$BB$56,3,),IF(AND(I3874="TDP",S3874&lt;=500),VLOOKUP(AF3874,TPCalibEq500!$AZ$2:$BB$56,3,)))</f>
        <v>0</v>
      </c>
      <c r="AT3874" s="10" t="str">
        <f>IF(AND(I3874="TN",S3874&lt;=2800),VLOOKUP(AF3874,TNCalibEq2500!$AZ$2:$BB$56,3,),IF(AND(I3874="TDN",S3874&lt;=2800),VLOOKUP(AF3874,TNCalibEq2500!$AZ$2:$BB$56,3,)))</f>
        <v>y=2.8761x2+145.17x-57.22</v>
      </c>
      <c r="AU3874" s="10" t="str">
        <f>IF(I3874="TP",VLOOKUP(AF3874,TPCalibEqFull!$AZ$2:$BB$56,3),IF(I3874="TDP",VLOOKUP(AF3874,TPCalibEqFull!$AZ$2:$BB$56,3),IF(I3874="TDN",VLOOKUP(AF3874,TNCalibEqFull!$AZ$1:$BB$56,3),IF(I3874="TN",VLOOKUP(AF3874,TNCalibEqFull!$AZ$1:$BB$56,3),FALSE))))</f>
        <v>y=0.3348x2+180.18x-102.36</v>
      </c>
      <c r="AV3874" s="10" t="str">
        <f t="shared" si="440"/>
        <v>0221 10:39:00-BUO-48-FIL-1-SW-UKN</v>
      </c>
    </row>
    <row r="3875" spans="1:48" s="10" customFormat="1" x14ac:dyDescent="0.55000000000000004">
      <c r="A3875" s="32">
        <v>44978</v>
      </c>
      <c r="B3875" s="33">
        <v>0.44375000000000003</v>
      </c>
      <c r="C3875" s="10" t="s">
        <v>611</v>
      </c>
      <c r="D3875" s="10">
        <v>48</v>
      </c>
      <c r="E3875" s="10" t="s">
        <v>911</v>
      </c>
      <c r="F3875" s="10">
        <v>1</v>
      </c>
      <c r="G3875" s="10" t="s">
        <v>231</v>
      </c>
      <c r="H3875" s="10" t="s">
        <v>233</v>
      </c>
      <c r="I3875" s="10" t="s">
        <v>224</v>
      </c>
      <c r="J3875" s="10">
        <v>80</v>
      </c>
      <c r="K3875" s="12">
        <v>44981</v>
      </c>
      <c r="L3875" s="33">
        <v>0.57692129629629629</v>
      </c>
      <c r="M3875" s="10">
        <v>1</v>
      </c>
      <c r="N3875" s="10" t="s">
        <v>196</v>
      </c>
      <c r="O3875" s="10">
        <v>7.31</v>
      </c>
      <c r="P3875" s="10">
        <v>0.35499999999999998</v>
      </c>
      <c r="Q3875" s="10">
        <v>1260</v>
      </c>
      <c r="R3875" s="10" t="s">
        <v>170</v>
      </c>
      <c r="S3875" s="34">
        <f t="shared" si="437"/>
        <v>1260</v>
      </c>
      <c r="T3875" s="10" t="s">
        <v>1282</v>
      </c>
      <c r="U3875" s="34">
        <f t="shared" si="438"/>
        <v>1.5748031496062991</v>
      </c>
      <c r="V3875" s="31" t="str">
        <f>IF(H3875="CHK",VLOOKUP(I3875,QCCHK,3,),IF(H3875="GUP",VLOOKUP(E3875,QCGUP,2,),IF(AND(H3875="ATP",OR(I3875="TN",I3875="TDN",I3875="TNO2-3",I3875="NO2-3")),VLOOKUP(E3875,QCREC_N,2,),IF(AND(H3875="NIC",OR(I3875="TN",I3875="TDN",I3875="TNO2-3",I3875="NO2-3")),VLOOKUP(E3875,QCNIC_N,2,),IF(AND(H3875="UREA",OR(I3875="TN",I3875="TDN",I3875="TNO2-3",I3875="NO2-3")),VLOOKUP(E3875,QCUREA_N,2,),IF(H3875="PER",VLOOKUP(I3875,QCPER,MATCH(E3875,QCACTUAL!$J$25:$AA$25,0),),IF(H3875="SPK",VLOOKUP(I3875,QCSPK,3,),IF(AND(H3875="ATP",OR(I3875="TP",I3875="TDP")),VLOOKUP(E3875,QCATP_P,2,),""))))))))</f>
        <v/>
      </c>
      <c r="W3875" s="31" t="str">
        <f t="shared" si="439"/>
        <v>TRUE</v>
      </c>
      <c r="X3875" s="31" t="str">
        <f t="shared" si="436"/>
        <v>((ABS(rep1-rep2))/((rep1+rep2)/2)*100</v>
      </c>
      <c r="Y3875" s="10" t="s">
        <v>1275</v>
      </c>
      <c r="AF3875" s="12">
        <v>44981</v>
      </c>
      <c r="AJ3875" s="10">
        <f>2.8761*7.31^2+145.17*7.31-57.22</f>
        <v>1157.6602672099998</v>
      </c>
      <c r="AK3875" s="10">
        <f>0.3348*7.31^2+180.18*7.31-102.36</f>
        <v>1232.6462062800001</v>
      </c>
      <c r="AL3875" s="10" t="str">
        <f t="shared" si="441"/>
        <v>FALSE</v>
      </c>
      <c r="AM3875" s="10" t="str">
        <f t="shared" si="441"/>
        <v>FALSE</v>
      </c>
      <c r="AN3875" s="10" t="str">
        <f t="shared" si="441"/>
        <v>FALSE</v>
      </c>
      <c r="AO3875" s="10" t="str">
        <f t="shared" si="442"/>
        <v>y=2.8761*7.31^2+145.17*7.31-57.22</v>
      </c>
      <c r="AP3875" s="10" t="str">
        <f t="shared" si="442"/>
        <v>y=0.3348*7.31^2+180.18*7.31-102.36</v>
      </c>
      <c r="AQ3875" s="10" t="b">
        <f>IF(AND(I3875="TP",S3875&lt;=150),VLOOKUP(AF3875,TPCalibEq150!$AZ$2:$BB$55,3,),IF(AND(I3875="TDP",S3875&lt;=150),VLOOKUP(AF3875,TPCalibEq150!$AZ$2:$BB$55,3,)))</f>
        <v>0</v>
      </c>
      <c r="AR3875" s="10" t="b">
        <f>IF(AND(I3875="TP",S3875&lt;=300),VLOOKUP(AF3875,TPCalibEq300!$AZ$2:$BB$55,3,),IF(AND(I3875="TDP",S3875&lt;=300),VLOOKUP(AF3875,TPCalibEq300!$AZ$2:$BB$55,3,)))</f>
        <v>0</v>
      </c>
      <c r="AS3875" s="10" t="b">
        <f>IF(AND(I3875="TP",S3875&lt;=500),VLOOKUP(AF3875,TPCalibEq500!$AZ$2:$BB$56,3,),IF(AND(I3875="TDP",S3875&lt;=500),VLOOKUP(AF3875,TPCalibEq500!$AZ$2:$BB$56,3,)))</f>
        <v>0</v>
      </c>
      <c r="AT3875" s="10" t="str">
        <f>IF(AND(I3875="TN",S3875&lt;=2800),VLOOKUP(AF3875,TNCalibEq2500!$AZ$2:$BB$56,3,),IF(AND(I3875="TDN",S3875&lt;=2800),VLOOKUP(AF3875,TNCalibEq2500!$AZ$2:$BB$56,3,)))</f>
        <v>y=2.8761x2+145.17x-57.22</v>
      </c>
      <c r="AU3875" s="10" t="str">
        <f>IF(I3875="TP",VLOOKUP(AF3875,TPCalibEqFull!$AZ$2:$BB$56,3),IF(I3875="TDP",VLOOKUP(AF3875,TPCalibEqFull!$AZ$2:$BB$56,3),IF(I3875="TDN",VLOOKUP(AF3875,TNCalibEqFull!$AZ$1:$BB$56,3),IF(I3875="TN",VLOOKUP(AF3875,TNCalibEqFull!$AZ$1:$BB$56,3),FALSE))))</f>
        <v>y=0.3348x2+180.18x-102.36</v>
      </c>
      <c r="AV3875" s="10" t="str">
        <f t="shared" si="440"/>
        <v>0221 10:39:00-BUO-48-FIL-1-SW-DUP</v>
      </c>
    </row>
    <row r="3876" spans="1:48" s="10" customFormat="1" x14ac:dyDescent="0.55000000000000004">
      <c r="A3876" s="32">
        <v>44978</v>
      </c>
      <c r="B3876" s="33">
        <v>0.44375000000000003</v>
      </c>
      <c r="C3876" s="10" t="s">
        <v>611</v>
      </c>
      <c r="D3876" s="10">
        <v>48</v>
      </c>
      <c r="E3876" s="10" t="s">
        <v>911</v>
      </c>
      <c r="F3876" s="10">
        <v>1</v>
      </c>
      <c r="G3876" s="10" t="s">
        <v>231</v>
      </c>
      <c r="H3876" s="10" t="s">
        <v>314</v>
      </c>
      <c r="I3876" s="10" t="s">
        <v>224</v>
      </c>
      <c r="J3876" s="10">
        <v>90</v>
      </c>
      <c r="K3876" s="12">
        <v>44981</v>
      </c>
      <c r="L3876" s="33">
        <v>0.57758101851851851</v>
      </c>
      <c r="M3876" s="10">
        <v>1</v>
      </c>
      <c r="N3876" s="10" t="s">
        <v>196</v>
      </c>
      <c r="O3876" s="10">
        <v>21.5</v>
      </c>
      <c r="P3876" s="10">
        <v>1.03</v>
      </c>
      <c r="Q3876" s="10">
        <v>3950</v>
      </c>
      <c r="R3876" s="10" t="s">
        <v>170</v>
      </c>
      <c r="S3876" s="34">
        <f t="shared" si="437"/>
        <v>3950</v>
      </c>
      <c r="T3876" s="10" t="s">
        <v>1282</v>
      </c>
      <c r="U3876" s="34">
        <f t="shared" si="438"/>
        <v>107.60000000000001</v>
      </c>
      <c r="V3876" s="31">
        <f>IF(H3876="CHK",VLOOKUP(I3876,QCCHK,3,),IF(H3876="GUP",VLOOKUP(E3876,QCGUP,2,),IF(AND(H3876="ATP",OR(I3876="TN",I3876="TDN",I3876="TNO2-3",I3876="NO2-3")),VLOOKUP(E3876,QCREC_N,2,),IF(AND(H3876="NIC",OR(I3876="TN",I3876="TDN",I3876="TNO2-3",I3876="NO2-3")),VLOOKUP(E3876,QCNIC_N,2,),IF(AND(H3876="UREA",OR(I3876="TN",I3876="TDN",I3876="TNO2-3",I3876="NO2-3")),VLOOKUP(E3876,QCUREA_N,2,),IF(H3876="PER",VLOOKUP(I3876,QCPER,MATCH(E3876,QCACTUAL!$J$25:$AA$25,0),),IF(H3876="SPK",VLOOKUP(I3876,QCSPK,3,),IF(AND(H3876="ATP",OR(I3876="TP",I3876="TDP")),VLOOKUP(E3876,QCATP_P,2,),""))))))))</f>
        <v>2500</v>
      </c>
      <c r="W3876" s="31" t="str">
        <f t="shared" si="439"/>
        <v>TRUE</v>
      </c>
      <c r="X3876" s="31" t="str">
        <f t="shared" si="436"/>
        <v>([spikedunkn]-[unkn])/[spike]*100</v>
      </c>
      <c r="Y3876" s="10" t="s">
        <v>1275</v>
      </c>
      <c r="AF3876" s="12">
        <v>44981</v>
      </c>
      <c r="AK3876" s="10">
        <f>0.3348*21.5^2+180.18*21.5-102.36</f>
        <v>3926.2713000000003</v>
      </c>
      <c r="AL3876" s="10" t="str">
        <f t="shared" si="441"/>
        <v>FALSE</v>
      </c>
      <c r="AM3876" s="10" t="str">
        <f t="shared" si="441"/>
        <v>FALSE</v>
      </c>
      <c r="AN3876" s="10" t="str">
        <f t="shared" si="441"/>
        <v>FALSE</v>
      </c>
      <c r="AO3876" s="10" t="str">
        <f t="shared" si="442"/>
        <v>FALSE</v>
      </c>
      <c r="AP3876" s="10" t="str">
        <f t="shared" si="442"/>
        <v>y=0.3348*21.5^2+180.18*21.5-102.36</v>
      </c>
      <c r="AQ3876" s="10" t="b">
        <f>IF(AND(I3876="TP",S3876&lt;=150),VLOOKUP(AF3876,TPCalibEq150!$AZ$2:$BB$55,3,),IF(AND(I3876="TDP",S3876&lt;=150),VLOOKUP(AF3876,TPCalibEq150!$AZ$2:$BB$55,3,)))</f>
        <v>0</v>
      </c>
      <c r="AR3876" s="10" t="b">
        <f>IF(AND(I3876="TP",S3876&lt;=300),VLOOKUP(AF3876,TPCalibEq300!$AZ$2:$BB$55,3,),IF(AND(I3876="TDP",S3876&lt;=300),VLOOKUP(AF3876,TPCalibEq300!$AZ$2:$BB$55,3,)))</f>
        <v>0</v>
      </c>
      <c r="AS3876" s="10" t="b">
        <f>IF(AND(I3876="TP",S3876&lt;=500),VLOOKUP(AF3876,TPCalibEq500!$AZ$2:$BB$56,3,),IF(AND(I3876="TDP",S3876&lt;=500),VLOOKUP(AF3876,TPCalibEq500!$AZ$2:$BB$56,3,)))</f>
        <v>0</v>
      </c>
      <c r="AT3876" s="10" t="b">
        <f>IF(AND(I3876="TN",S3876&lt;=2800),VLOOKUP(AF3876,TNCalibEq2500!$AZ$2:$BB$56,3,),IF(AND(I3876="TDN",S3876&lt;=2800),VLOOKUP(AF3876,TNCalibEq2500!$AZ$2:$BB$56,3,)))</f>
        <v>0</v>
      </c>
      <c r="AU3876" s="10" t="str">
        <f>IF(I3876="TP",VLOOKUP(AF3876,TPCalibEqFull!$AZ$2:$BB$56,3),IF(I3876="TDP",VLOOKUP(AF3876,TPCalibEqFull!$AZ$2:$BB$56,3),IF(I3876="TDN",VLOOKUP(AF3876,TNCalibEqFull!$AZ$1:$BB$56,3),IF(I3876="TN",VLOOKUP(AF3876,TNCalibEqFull!$AZ$1:$BB$56,3),FALSE))))</f>
        <v>y=0.3348x2+180.18x-102.36</v>
      </c>
      <c r="AV3876" s="10" t="str">
        <f t="shared" si="440"/>
        <v>0221 10:39:00-BUO-48-FIL-1-SW-SPK</v>
      </c>
    </row>
    <row r="3877" spans="1:48" s="10" customFormat="1" x14ac:dyDescent="0.55000000000000004">
      <c r="A3877" s="32">
        <v>44979</v>
      </c>
      <c r="B3877" s="33">
        <v>0.375</v>
      </c>
      <c r="C3877" s="10" t="s">
        <v>70</v>
      </c>
      <c r="D3877" s="10" t="s">
        <v>71</v>
      </c>
      <c r="E3877" s="10" t="s">
        <v>901</v>
      </c>
      <c r="F3877" s="10">
        <v>1</v>
      </c>
      <c r="G3877" s="10" t="s">
        <v>73</v>
      </c>
      <c r="H3877" s="10" t="s">
        <v>207</v>
      </c>
      <c r="I3877" s="10" t="s">
        <v>235</v>
      </c>
      <c r="J3877" s="10">
        <v>203</v>
      </c>
      <c r="K3877" s="12">
        <v>44981</v>
      </c>
      <c r="L3877" s="33">
        <v>0.57826388888888891</v>
      </c>
      <c r="M3877" s="10">
        <v>1</v>
      </c>
      <c r="N3877" s="10" t="s">
        <v>196</v>
      </c>
      <c r="O3877" s="10">
        <v>6.97</v>
      </c>
      <c r="P3877" s="10">
        <v>0.34</v>
      </c>
      <c r="Q3877" s="10">
        <v>1190</v>
      </c>
      <c r="R3877" s="10" t="s">
        <v>170</v>
      </c>
      <c r="S3877" s="34">
        <f t="shared" si="437"/>
        <v>1190</v>
      </c>
      <c r="T3877" s="10" t="s">
        <v>1282</v>
      </c>
      <c r="U3877" s="34">
        <f t="shared" si="438"/>
        <v>95.199999999999989</v>
      </c>
      <c r="V3877" s="31">
        <f>IF(H3877="CHK",VLOOKUP(I3877,QCCHK,3,),IF(H3877="GUP",VLOOKUP(E3877,QCGUP,2,),IF(AND(H3877="ATP",OR(I3877="TN",I3877="TDN",I3877="TNO2-3",I3877="NO2-3")),VLOOKUP(E3877,QCREC_N,2,),IF(AND(H3877="NIC",OR(I3877="TN",I3877="TDN",I3877="TNO2-3",I3877="NO2-3")),VLOOKUP(E3877,QCNIC_N,2,),IF(AND(H3877="UREA",OR(I3877="TN",I3877="TDN",I3877="TNO2-3",I3877="NO2-3")),VLOOKUP(E3877,QCUREA_N,2,),IF(H3877="PER",VLOOKUP(I3877,QCPER,MATCH(E3877,QCACTUAL!$J$25:$AA$25,0),),IF(H3877="SPK",VLOOKUP(I3877,QCSPK,3,),IF(AND(H3877="ATP",OR(I3877="TP",I3877="TDP")),VLOOKUP(E3877,QCATP_P,2,),""))))))))</f>
        <v>1250</v>
      </c>
      <c r="W3877" s="31" t="str">
        <f t="shared" si="439"/>
        <v>TRUE</v>
      </c>
      <c r="X3877" s="31" t="str">
        <f t="shared" si="436"/>
        <v>[chk]/[actual]*100</v>
      </c>
      <c r="Y3877" s="10" t="s">
        <v>1275</v>
      </c>
      <c r="AF3877" s="12">
        <v>44981</v>
      </c>
      <c r="AJ3877" s="10">
        <f>2.8761*6.97^2+145.17*6.97-57.22</f>
        <v>1094.3384264899998</v>
      </c>
      <c r="AK3877" s="10">
        <f>0.3348*6.97^2+180.18*6.97-102.36</f>
        <v>1169.7594853200001</v>
      </c>
      <c r="AL3877" s="10" t="str">
        <f t="shared" si="441"/>
        <v>FALSE</v>
      </c>
      <c r="AM3877" s="10" t="str">
        <f t="shared" si="441"/>
        <v>FALSE</v>
      </c>
      <c r="AN3877" s="10" t="str">
        <f t="shared" si="441"/>
        <v>FALSE</v>
      </c>
      <c r="AO3877" s="10" t="str">
        <f t="shared" si="442"/>
        <v>y=2.8761*6.97^2+145.17*6.97-57.22</v>
      </c>
      <c r="AP3877" s="10" t="str">
        <f t="shared" si="442"/>
        <v>y=0.3348*6.97^2+180.18*6.97-102.36</v>
      </c>
      <c r="AQ3877" s="10" t="b">
        <f>IF(AND(I3877="TP",S3877&lt;=150),VLOOKUP(AF3877,TPCalibEq150!$AZ$2:$BB$55,3,),IF(AND(I3877="TDP",S3877&lt;=150),VLOOKUP(AF3877,TPCalibEq150!$AZ$2:$BB$55,3,)))</f>
        <v>0</v>
      </c>
      <c r="AR3877" s="10" t="b">
        <f>IF(AND(I3877="TP",S3877&lt;=300),VLOOKUP(AF3877,TPCalibEq300!$AZ$2:$BB$55,3,),IF(AND(I3877="TDP",S3877&lt;=300),VLOOKUP(AF3877,TPCalibEq300!$AZ$2:$BB$55,3,)))</f>
        <v>0</v>
      </c>
      <c r="AS3877" s="10" t="b">
        <f>IF(AND(I3877="TP",S3877&lt;=500),VLOOKUP(AF3877,TPCalibEq500!$AZ$2:$BB$56,3,),IF(AND(I3877="TDP",S3877&lt;=500),VLOOKUP(AF3877,TPCalibEq500!$AZ$2:$BB$56,3,)))</f>
        <v>0</v>
      </c>
      <c r="AT3877" s="10" t="str">
        <f>IF(AND(I3877="TN",S3877&lt;=2800),VLOOKUP(AF3877,TNCalibEq2500!$AZ$2:$BB$56,3,),IF(AND(I3877="TDN",S3877&lt;=2800),VLOOKUP(AF3877,TNCalibEq2500!$AZ$2:$BB$56,3,)))</f>
        <v>y=2.8761x2+145.17x-57.22</v>
      </c>
      <c r="AU3877" s="10" t="str">
        <f>IF(I3877="TP",VLOOKUP(AF3877,TPCalibEqFull!$AZ$2:$BB$56,3),IF(I3877="TDP",VLOOKUP(AF3877,TPCalibEqFull!$AZ$2:$BB$56,3),IF(I3877="TDN",VLOOKUP(AF3877,TNCalibEqFull!$AZ$1:$BB$56,3),IF(I3877="TN",VLOOKUP(AF3877,TNCalibEqFull!$AZ$1:$BB$56,3),FALSE))))</f>
        <v>y=0.3348x2+180.18x-102.36</v>
      </c>
      <c r="AV3877" s="10" t="str">
        <f t="shared" si="440"/>
        <v>0222 09:00:00-QAC-STD-D-1-DI-CHK</v>
      </c>
    </row>
    <row r="3878" spans="1:48" s="10" customFormat="1" x14ac:dyDescent="0.55000000000000004">
      <c r="A3878" s="32">
        <v>44979</v>
      </c>
      <c r="B3878" s="33">
        <v>0.375</v>
      </c>
      <c r="C3878" s="10" t="s">
        <v>70</v>
      </c>
      <c r="D3878" s="10" t="s">
        <v>71</v>
      </c>
      <c r="E3878" s="10" t="s">
        <v>917</v>
      </c>
      <c r="F3878" s="10">
        <v>1</v>
      </c>
      <c r="G3878" s="10" t="s">
        <v>73</v>
      </c>
      <c r="H3878" s="10" t="s">
        <v>74</v>
      </c>
      <c r="I3878" s="10" t="s">
        <v>83</v>
      </c>
      <c r="J3878" s="10">
        <v>181</v>
      </c>
      <c r="K3878" s="12">
        <v>44980</v>
      </c>
      <c r="L3878" s="33">
        <v>0.41797453703703707</v>
      </c>
      <c r="M3878" s="10">
        <v>1</v>
      </c>
      <c r="N3878" s="10" t="s">
        <v>84</v>
      </c>
      <c r="O3878" s="10">
        <v>0.33800000000000002</v>
      </c>
      <c r="P3878" s="10">
        <v>2.3400000000000001E-2</v>
      </c>
      <c r="Q3878" s="10">
        <v>0</v>
      </c>
      <c r="R3878" s="10" t="s">
        <v>85</v>
      </c>
      <c r="S3878" s="34">
        <f t="shared" si="437"/>
        <v>0</v>
      </c>
      <c r="T3878" s="10" t="s">
        <v>78</v>
      </c>
      <c r="U3878" s="34" t="str">
        <f t="shared" si="438"/>
        <v/>
      </c>
      <c r="V3878" s="31" t="str">
        <f>IF(H3878="CHK",VLOOKUP(I3878,QCCHK,3,),IF(H3878="GUP",VLOOKUP(E3878,QCGUP,2,),IF(AND(H3878="ATP",OR(I3878="TN",I3878="TDN",I3878="TNO2-3",I3878="NO2-3")),VLOOKUP(E3878,QCREC_N,2,),IF(AND(H3878="NIC",OR(I3878="TN",I3878="TDN",I3878="TNO2-3",I3878="NO2-3")),VLOOKUP(E3878,QCNIC_N,2,),IF(AND(H3878="UREA",OR(I3878="TN",I3878="TDN",I3878="TNO2-3",I3878="NO2-3")),VLOOKUP(E3878,QCUREA_N,2,),IF(H3878="PER",VLOOKUP(I3878,QCPER,MATCH(E3878,QCACTUAL!$J$25:$AA$25,0),),IF(H3878="SPK",VLOOKUP(I3878,QCSPK,3,),IF(AND(H3878="ATP",OR(I3878="TP",I3878="TDP")),VLOOKUP(E3878,QCATP_P,2,),""))))))))</f>
        <v/>
      </c>
      <c r="W3878" s="31" t="str">
        <f t="shared" si="439"/>
        <v>TRUE</v>
      </c>
      <c r="X3878" s="31" t="str">
        <f t="shared" si="436"/>
        <v/>
      </c>
      <c r="Y3878" s="10" t="s">
        <v>1285</v>
      </c>
      <c r="AF3878" s="12">
        <v>44980</v>
      </c>
      <c r="AG3878" s="10">
        <f>-7.042*0.338^2+106.99*0.338-46.227</f>
        <v>-10.868886247999995</v>
      </c>
      <c r="AH3878" s="10">
        <f>-5.1889*0.338^2+102.33*0.338-44.163</f>
        <v>-10.16826069159999</v>
      </c>
      <c r="AI3878" s="10">
        <f>-1.8824*0.338^2+87.341*0.338-33.178</f>
        <v>-3.8717949055999981</v>
      </c>
      <c r="AK3878" s="10">
        <f>-0.0059*0.338^2+68.478*0.338-14.154</f>
        <v>8.9908899604000005</v>
      </c>
      <c r="AL3878" s="10" t="str">
        <f t="shared" si="441"/>
        <v>y=-7.042*0.338^2+106.99*0.338-46.227</v>
      </c>
      <c r="AM3878" s="10" t="str">
        <f t="shared" si="441"/>
        <v>y=-5.1889*0.338^2+102.33*0.338-44.163</v>
      </c>
      <c r="AN3878" s="10" t="str">
        <f t="shared" si="441"/>
        <v>y=-1.8824*0.338^2+87.341*0.338-33.178</v>
      </c>
      <c r="AO3878" s="10" t="str">
        <f t="shared" si="442"/>
        <v>FALSE</v>
      </c>
      <c r="AP3878" s="10" t="str">
        <f t="shared" si="442"/>
        <v>y=-0.0059*0.338^2+68.478*0.338-14.154</v>
      </c>
      <c r="AQ3878" s="10" t="str">
        <f>IF(AND(I3878="TP",S3878&lt;=150),VLOOKUP(AF3878,TPCalibEq150!$AZ$2:$BB$55,3,),IF(AND(I3878="TDP",S3878&lt;=150),VLOOKUP(AF3878,TPCalibEq150!$AZ$2:$BB$55,3,)))</f>
        <v>y=-7.042x2+106.99x-46.227</v>
      </c>
      <c r="AR3878" s="10" t="str">
        <f>IF(AND(I3878="TP",S3878&lt;=300),VLOOKUP(AF3878,TPCalibEq300!$AZ$2:$BB$55,3,),IF(AND(I3878="TDP",S3878&lt;=300),VLOOKUP(AF3878,TPCalibEq300!$AZ$2:$BB$55,3,)))</f>
        <v>y=-5.1889x2+102.33x-44.163</v>
      </c>
      <c r="AS3878" s="10" t="str">
        <f>IF(AND(I3878="TP",S3878&lt;=500),VLOOKUP(AF3878,TPCalibEq500!$AZ$2:$BB$56,3,),IF(AND(I3878="TDP",S3878&lt;=500),VLOOKUP(AF3878,TPCalibEq500!$AZ$2:$BB$56,3,)))</f>
        <v>y=-1.8824x2+87.341x-33.178</v>
      </c>
      <c r="AT3878" s="10" t="b">
        <f>IF(AND(I3878="TN",S3878&lt;=2800),VLOOKUP(AF3878,TNCalibEq2500!$AZ$2:$BB$56,3,),IF(AND(I3878="TDN",S3878&lt;=2800),VLOOKUP(AF3878,TNCalibEq2500!$AZ$2:$BB$56,3,)))</f>
        <v>0</v>
      </c>
      <c r="AU3878" s="10" t="str">
        <f>IF(I3878="TP",VLOOKUP(AF3878,TPCalibEqFull!$AZ$2:$BB$56,3),IF(I3878="TDP",VLOOKUP(AF3878,TPCalibEqFull!$AZ$2:$BB$56,3),IF(I3878="TDN",VLOOKUP(AF3878,TNCalibEqFull!$AZ$1:$BB$56,3),IF(I3878="TN",VLOOKUP(AF3878,TNCalibEqFull!$AZ$1:$BB$56,3),FALSE))))</f>
        <v>y=-0.0059x2+68.478x-14.154</v>
      </c>
      <c r="AV3878" s="10" t="str">
        <f t="shared" si="440"/>
        <v>0222 09:00:00-QAC-STD-D.H-1-DI-CAL</v>
      </c>
    </row>
    <row r="3879" spans="1:48" s="10" customFormat="1" x14ac:dyDescent="0.55000000000000004">
      <c r="A3879" s="32">
        <v>44979</v>
      </c>
      <c r="B3879" s="33">
        <v>0.375</v>
      </c>
      <c r="C3879" s="10" t="s">
        <v>70</v>
      </c>
      <c r="D3879" s="10" t="s">
        <v>71</v>
      </c>
      <c r="E3879" s="10" t="s">
        <v>918</v>
      </c>
      <c r="F3879" s="10">
        <v>1</v>
      </c>
      <c r="G3879" s="10" t="s">
        <v>73</v>
      </c>
      <c r="H3879" s="10" t="s">
        <v>74</v>
      </c>
      <c r="I3879" s="10" t="s">
        <v>83</v>
      </c>
      <c r="J3879" s="10">
        <v>182</v>
      </c>
      <c r="K3879" s="12">
        <v>44980</v>
      </c>
      <c r="L3879" s="33">
        <v>0.41868055555555556</v>
      </c>
      <c r="M3879" s="10">
        <v>1</v>
      </c>
      <c r="N3879" s="10" t="s">
        <v>84</v>
      </c>
      <c r="O3879" s="10">
        <v>0.47399999999999998</v>
      </c>
      <c r="P3879" s="10">
        <v>3.3599999999999998E-2</v>
      </c>
      <c r="Q3879" s="10">
        <v>12</v>
      </c>
      <c r="R3879" s="10" t="s">
        <v>85</v>
      </c>
      <c r="S3879" s="34">
        <f t="shared" si="437"/>
        <v>12</v>
      </c>
      <c r="T3879" s="10" t="s">
        <v>78</v>
      </c>
      <c r="U3879" s="34" t="str">
        <f t="shared" si="438"/>
        <v/>
      </c>
      <c r="V3879" s="31" t="str">
        <f>IF(H3879="CHK",VLOOKUP(I3879,QCCHK,3,),IF(H3879="GUP",VLOOKUP(E3879,QCGUP,2,),IF(AND(H3879="ATP",OR(I3879="TN",I3879="TDN",I3879="TNO2-3",I3879="NO2-3")),VLOOKUP(E3879,QCREC_N,2,),IF(AND(H3879="NIC",OR(I3879="TN",I3879="TDN",I3879="TNO2-3",I3879="NO2-3")),VLOOKUP(E3879,QCNIC_N,2,),IF(AND(H3879="UREA",OR(I3879="TN",I3879="TDN",I3879="TNO2-3",I3879="NO2-3")),VLOOKUP(E3879,QCUREA_N,2,),IF(H3879="PER",VLOOKUP(I3879,QCPER,MATCH(E3879,QCACTUAL!$J$25:$AA$25,0),),IF(H3879="SPK",VLOOKUP(I3879,QCSPK,3,),IF(AND(H3879="ATP",OR(I3879="TP",I3879="TDP")),VLOOKUP(E3879,QCATP_P,2,),""))))))))</f>
        <v/>
      </c>
      <c r="W3879" s="31" t="str">
        <f t="shared" si="439"/>
        <v>TRUE</v>
      </c>
      <c r="X3879" s="31" t="str">
        <f t="shared" si="436"/>
        <v/>
      </c>
      <c r="Y3879" s="10" t="s">
        <v>1285</v>
      </c>
      <c r="AF3879" s="12">
        <v>44980</v>
      </c>
      <c r="AG3879" s="10">
        <f>-7.042*0.474^2+106.99*0.474-46.227</f>
        <v>2.9040916080000017</v>
      </c>
      <c r="AH3879" s="10">
        <f>-5.1889*0.474^2+102.33*0.474-44.163</f>
        <v>3.1755987036000022</v>
      </c>
      <c r="AI3879" s="10">
        <f>-1.8824*0.474^2+87.341*0.474-33.178</f>
        <v>7.7987038975999923</v>
      </c>
      <c r="AK3879" s="10">
        <f>-0.0059*0.474^2+68.478*0.474-14.154</f>
        <v>18.303246411599996</v>
      </c>
      <c r="AL3879" s="10" t="str">
        <f t="shared" si="441"/>
        <v>y=-7.042*0.474^2+106.99*0.474-46.227</v>
      </c>
      <c r="AM3879" s="10" t="str">
        <f t="shared" si="441"/>
        <v>y=-5.1889*0.474^2+102.33*0.474-44.163</v>
      </c>
      <c r="AN3879" s="10" t="str">
        <f t="shared" si="441"/>
        <v>y=-1.8824*0.474^2+87.341*0.474-33.178</v>
      </c>
      <c r="AO3879" s="10" t="str">
        <f t="shared" si="442"/>
        <v>FALSE</v>
      </c>
      <c r="AP3879" s="10" t="str">
        <f t="shared" si="442"/>
        <v>y=-0.0059*0.474^2+68.478*0.474-14.154</v>
      </c>
      <c r="AQ3879" s="10" t="str">
        <f>IF(AND(I3879="TP",S3879&lt;=150),VLOOKUP(AF3879,TPCalibEq150!$AZ$2:$BB$55,3,),IF(AND(I3879="TDP",S3879&lt;=150),VLOOKUP(AF3879,TPCalibEq150!$AZ$2:$BB$55,3,)))</f>
        <v>y=-7.042x2+106.99x-46.227</v>
      </c>
      <c r="AR3879" s="10" t="str">
        <f>IF(AND(I3879="TP",S3879&lt;=300),VLOOKUP(AF3879,TPCalibEq300!$AZ$2:$BB$55,3,),IF(AND(I3879="TDP",S3879&lt;=300),VLOOKUP(AF3879,TPCalibEq300!$AZ$2:$BB$55,3,)))</f>
        <v>y=-5.1889x2+102.33x-44.163</v>
      </c>
      <c r="AS3879" s="10" t="str">
        <f>IF(AND(I3879="TP",S3879&lt;=500),VLOOKUP(AF3879,TPCalibEq500!$AZ$2:$BB$56,3,),IF(AND(I3879="TDP",S3879&lt;=500),VLOOKUP(AF3879,TPCalibEq500!$AZ$2:$BB$56,3,)))</f>
        <v>y=-1.8824x2+87.341x-33.178</v>
      </c>
      <c r="AT3879" s="10" t="b">
        <f>IF(AND(I3879="TN",S3879&lt;=2800),VLOOKUP(AF3879,TNCalibEq2500!$AZ$2:$BB$56,3,),IF(AND(I3879="TDN",S3879&lt;=2800),VLOOKUP(AF3879,TNCalibEq2500!$AZ$2:$BB$56,3,)))</f>
        <v>0</v>
      </c>
      <c r="AU3879" s="10" t="str">
        <f>IF(I3879="TP",VLOOKUP(AF3879,TPCalibEqFull!$AZ$2:$BB$56,3),IF(I3879="TDP",VLOOKUP(AF3879,TPCalibEqFull!$AZ$2:$BB$56,3),IF(I3879="TDN",VLOOKUP(AF3879,TNCalibEqFull!$AZ$1:$BB$56,3),IF(I3879="TN",VLOOKUP(AF3879,TNCalibEqFull!$AZ$1:$BB$56,3),FALSE))))</f>
        <v>y=-0.0059x2+68.478x-14.154</v>
      </c>
      <c r="AV3879" s="10" t="str">
        <f t="shared" si="440"/>
        <v>0222 09:00:00-QAC-STD-D.G-1-DI-CAL</v>
      </c>
    </row>
    <row r="3880" spans="1:48" s="10" customFormat="1" x14ac:dyDescent="0.55000000000000004">
      <c r="A3880" s="32">
        <v>44979</v>
      </c>
      <c r="B3880" s="33">
        <v>0.375</v>
      </c>
      <c r="C3880" s="10" t="s">
        <v>70</v>
      </c>
      <c r="D3880" s="10" t="s">
        <v>71</v>
      </c>
      <c r="E3880" s="10" t="s">
        <v>919</v>
      </c>
      <c r="F3880" s="10">
        <v>1</v>
      </c>
      <c r="G3880" s="10" t="s">
        <v>73</v>
      </c>
      <c r="H3880" s="10" t="s">
        <v>74</v>
      </c>
      <c r="I3880" s="10" t="s">
        <v>83</v>
      </c>
      <c r="J3880" s="10">
        <v>183</v>
      </c>
      <c r="K3880" s="12">
        <v>44980</v>
      </c>
      <c r="L3880" s="33">
        <v>0.41938657407407409</v>
      </c>
      <c r="M3880" s="10">
        <v>1</v>
      </c>
      <c r="N3880" s="10" t="s">
        <v>84</v>
      </c>
      <c r="O3880" s="10">
        <v>0.93100000000000005</v>
      </c>
      <c r="P3880" s="10">
        <v>6.6500000000000004E-2</v>
      </c>
      <c r="Q3880" s="10">
        <v>50</v>
      </c>
      <c r="R3880" s="10" t="s">
        <v>85</v>
      </c>
      <c r="S3880" s="34">
        <f t="shared" si="437"/>
        <v>50</v>
      </c>
      <c r="T3880" s="10" t="s">
        <v>1286</v>
      </c>
      <c r="U3880" s="34" t="str">
        <f t="shared" si="438"/>
        <v/>
      </c>
      <c r="V3880" s="31" t="str">
        <f>IF(H3880="CHK",VLOOKUP(I3880,QCCHK,3,),IF(H3880="GUP",VLOOKUP(E3880,QCGUP,2,),IF(AND(H3880="ATP",OR(I3880="TN",I3880="TDN",I3880="TNO2-3",I3880="NO2-3")),VLOOKUP(E3880,QCREC_N,2,),IF(AND(H3880="NIC",OR(I3880="TN",I3880="TDN",I3880="TNO2-3",I3880="NO2-3")),VLOOKUP(E3880,QCNIC_N,2,),IF(AND(H3880="UREA",OR(I3880="TN",I3880="TDN",I3880="TNO2-3",I3880="NO2-3")),VLOOKUP(E3880,QCUREA_N,2,),IF(H3880="PER",VLOOKUP(I3880,QCPER,MATCH(E3880,QCACTUAL!$J$25:$AA$25,0),),IF(H3880="SPK",VLOOKUP(I3880,QCSPK,3,),IF(AND(H3880="ATP",OR(I3880="TP",I3880="TDP")),VLOOKUP(E3880,QCATP_P,2,),""))))))))</f>
        <v/>
      </c>
      <c r="W3880" s="31" t="str">
        <f t="shared" si="439"/>
        <v>TRUE</v>
      </c>
      <c r="X3880" s="31" t="str">
        <f t="shared" si="436"/>
        <v/>
      </c>
      <c r="Y3880" s="10" t="s">
        <v>1285</v>
      </c>
      <c r="AF3880" s="12">
        <v>44980</v>
      </c>
      <c r="AG3880" s="10">
        <f>-7.042*0.931^2+106.99*0.931-46.227</f>
        <v>47.276959038000008</v>
      </c>
      <c r="AH3880" s="10">
        <f>-5.1889*0.931^2+102.33*0.931-44.163</f>
        <v>46.608693847100014</v>
      </c>
      <c r="AI3880" s="10">
        <f>-1.8824*0.931^2+87.341*0.931-33.178</f>
        <v>46.504880093599994</v>
      </c>
      <c r="AK3880" s="10">
        <f>-0.0059*0.931^2+68.478*0.931-14.154</f>
        <v>49.593904110099999</v>
      </c>
      <c r="AL3880" s="10" t="str">
        <f t="shared" si="441"/>
        <v>y=-7.042*0.931^2+106.99*0.931-46.227</v>
      </c>
      <c r="AM3880" s="10" t="str">
        <f t="shared" si="441"/>
        <v>y=-5.1889*0.931^2+102.33*0.931-44.163</v>
      </c>
      <c r="AN3880" s="10" t="str">
        <f t="shared" si="441"/>
        <v>y=-1.8824*0.931^2+87.341*0.931-33.178</v>
      </c>
      <c r="AO3880" s="10" t="str">
        <f t="shared" si="442"/>
        <v>FALSE</v>
      </c>
      <c r="AP3880" s="10" t="str">
        <f t="shared" si="442"/>
        <v>y=-0.0059*0.931^2+68.478*0.931-14.154</v>
      </c>
      <c r="AQ3880" s="10" t="str">
        <f>IF(AND(I3880="TP",S3880&lt;=150),VLOOKUP(AF3880,TPCalibEq150!$AZ$2:$BB$55,3,),IF(AND(I3880="TDP",S3880&lt;=150),VLOOKUP(AF3880,TPCalibEq150!$AZ$2:$BB$55,3,)))</f>
        <v>y=-7.042x2+106.99x-46.227</v>
      </c>
      <c r="AR3880" s="10" t="str">
        <f>IF(AND(I3880="TP",S3880&lt;=300),VLOOKUP(AF3880,TPCalibEq300!$AZ$2:$BB$55,3,),IF(AND(I3880="TDP",S3880&lt;=300),VLOOKUP(AF3880,TPCalibEq300!$AZ$2:$BB$55,3,)))</f>
        <v>y=-5.1889x2+102.33x-44.163</v>
      </c>
      <c r="AS3880" s="10" t="str">
        <f>IF(AND(I3880="TP",S3880&lt;=500),VLOOKUP(AF3880,TPCalibEq500!$AZ$2:$BB$56,3,),IF(AND(I3880="TDP",S3880&lt;=500),VLOOKUP(AF3880,TPCalibEq500!$AZ$2:$BB$56,3,)))</f>
        <v>y=-1.8824x2+87.341x-33.178</v>
      </c>
      <c r="AT3880" s="10" t="b">
        <f>IF(AND(I3880="TN",S3880&lt;=2800),VLOOKUP(AF3880,TNCalibEq2500!$AZ$2:$BB$56,3,),IF(AND(I3880="TDN",S3880&lt;=2800),VLOOKUP(AF3880,TNCalibEq2500!$AZ$2:$BB$56,3,)))</f>
        <v>0</v>
      </c>
      <c r="AU3880" s="10" t="str">
        <f>IF(I3880="TP",VLOOKUP(AF3880,TPCalibEqFull!$AZ$2:$BB$56,3),IF(I3880="TDP",VLOOKUP(AF3880,TPCalibEqFull!$AZ$2:$BB$56,3),IF(I3880="TDN",VLOOKUP(AF3880,TNCalibEqFull!$AZ$1:$BB$56,3),IF(I3880="TN",VLOOKUP(AF3880,TNCalibEqFull!$AZ$1:$BB$56,3),FALSE))))</f>
        <v>y=-0.0059x2+68.478x-14.154</v>
      </c>
      <c r="AV3880" s="10" t="str">
        <f t="shared" si="440"/>
        <v>0222 09:00:00-QAC-STD-D.F-1-DI-CAL</v>
      </c>
    </row>
    <row r="3881" spans="1:48" s="10" customFormat="1" x14ac:dyDescent="0.55000000000000004">
      <c r="A3881" s="32">
        <v>44979</v>
      </c>
      <c r="B3881" s="33">
        <v>0.375</v>
      </c>
      <c r="C3881" s="10" t="s">
        <v>70</v>
      </c>
      <c r="D3881" s="10" t="s">
        <v>71</v>
      </c>
      <c r="E3881" s="10" t="s">
        <v>920</v>
      </c>
      <c r="F3881" s="10">
        <v>1</v>
      </c>
      <c r="G3881" s="10" t="s">
        <v>73</v>
      </c>
      <c r="H3881" s="10" t="s">
        <v>74</v>
      </c>
      <c r="I3881" s="10" t="s">
        <v>83</v>
      </c>
      <c r="J3881" s="10">
        <v>184</v>
      </c>
      <c r="K3881" s="12">
        <v>44980</v>
      </c>
      <c r="L3881" s="33">
        <v>0.42009259259259263</v>
      </c>
      <c r="M3881" s="10">
        <v>1</v>
      </c>
      <c r="N3881" s="10" t="s">
        <v>84</v>
      </c>
      <c r="O3881" s="10">
        <v>2.85</v>
      </c>
      <c r="P3881" s="10">
        <v>0.20699999999999999</v>
      </c>
      <c r="Q3881" s="10">
        <v>200</v>
      </c>
      <c r="R3881" s="10" t="s">
        <v>85</v>
      </c>
      <c r="S3881" s="34">
        <f t="shared" si="437"/>
        <v>200</v>
      </c>
      <c r="T3881" s="10" t="s">
        <v>1287</v>
      </c>
      <c r="U3881" s="34" t="str">
        <f t="shared" si="438"/>
        <v/>
      </c>
      <c r="V3881" s="31" t="str">
        <f>IF(H3881="CHK",VLOOKUP(I3881,QCCHK,3,),IF(H3881="GUP",VLOOKUP(E3881,QCGUP,2,),IF(AND(H3881="ATP",OR(I3881="TN",I3881="TDN",I3881="TNO2-3",I3881="NO2-3")),VLOOKUP(E3881,QCREC_N,2,),IF(AND(H3881="NIC",OR(I3881="TN",I3881="TDN",I3881="TNO2-3",I3881="NO2-3")),VLOOKUP(E3881,QCNIC_N,2,),IF(AND(H3881="UREA",OR(I3881="TN",I3881="TDN",I3881="TNO2-3",I3881="NO2-3")),VLOOKUP(E3881,QCUREA_N,2,),IF(H3881="PER",VLOOKUP(I3881,QCPER,MATCH(E3881,QCACTUAL!$J$25:$AA$25,0),),IF(H3881="SPK",VLOOKUP(I3881,QCSPK,3,),IF(AND(H3881="ATP",OR(I3881="TP",I3881="TDP")),VLOOKUP(E3881,QCATP_P,2,),""))))))))</f>
        <v/>
      </c>
      <c r="W3881" s="31" t="str">
        <f t="shared" si="439"/>
        <v>TRUE</v>
      </c>
      <c r="X3881" s="31" t="str">
        <f t="shared" si="436"/>
        <v/>
      </c>
      <c r="Y3881" s="10" t="s">
        <v>1285</v>
      </c>
      <c r="AF3881" s="12">
        <v>44980</v>
      </c>
      <c r="AH3881" s="10">
        <f>-5.1889*2.85^2+102.33*2.85-44.163</f>
        <v>205.33065975000005</v>
      </c>
      <c r="AI3881" s="10">
        <f>-1.8824*2.85^2+87.341*2.85-33.178</f>
        <v>200.45405599999998</v>
      </c>
      <c r="AK3881" s="10">
        <f>-0.0059*2.85^2+68.478*2.85-14.154</f>
        <v>180.96037724999999</v>
      </c>
      <c r="AL3881" s="10" t="str">
        <f t="shared" si="441"/>
        <v>FALSE</v>
      </c>
      <c r="AM3881" s="10" t="str">
        <f t="shared" si="441"/>
        <v>y=-5.1889*2.85^2+102.33*2.85-44.163</v>
      </c>
      <c r="AN3881" s="10" t="str">
        <f t="shared" si="441"/>
        <v>y=-1.8824*2.85^2+87.341*2.85-33.178</v>
      </c>
      <c r="AO3881" s="10" t="str">
        <f t="shared" si="442"/>
        <v>FALSE</v>
      </c>
      <c r="AP3881" s="10" t="str">
        <f t="shared" si="442"/>
        <v>y=-0.0059*2.85^2+68.478*2.85-14.154</v>
      </c>
      <c r="AQ3881" s="10" t="b">
        <f>IF(AND(I3881="TP",S3881&lt;=150),VLOOKUP(AF3881,TPCalibEq150!$AZ$2:$BB$55,3,),IF(AND(I3881="TDP",S3881&lt;=150),VLOOKUP(AF3881,TPCalibEq150!$AZ$2:$BB$55,3,)))</f>
        <v>0</v>
      </c>
      <c r="AR3881" s="10" t="str">
        <f>IF(AND(I3881="TP",S3881&lt;=300),VLOOKUP(AF3881,TPCalibEq300!$AZ$2:$BB$55,3,),IF(AND(I3881="TDP",S3881&lt;=300),VLOOKUP(AF3881,TPCalibEq300!$AZ$2:$BB$55,3,)))</f>
        <v>y=-5.1889x2+102.33x-44.163</v>
      </c>
      <c r="AS3881" s="10" t="str">
        <f>IF(AND(I3881="TP",S3881&lt;=500),VLOOKUP(AF3881,TPCalibEq500!$AZ$2:$BB$56,3,),IF(AND(I3881="TDP",S3881&lt;=500),VLOOKUP(AF3881,TPCalibEq500!$AZ$2:$BB$56,3,)))</f>
        <v>y=-1.8824x2+87.341x-33.178</v>
      </c>
      <c r="AT3881" s="10" t="b">
        <f>IF(AND(I3881="TN",S3881&lt;=2800),VLOOKUP(AF3881,TNCalibEq2500!$AZ$2:$BB$56,3,),IF(AND(I3881="TDN",S3881&lt;=2800),VLOOKUP(AF3881,TNCalibEq2500!$AZ$2:$BB$56,3,)))</f>
        <v>0</v>
      </c>
      <c r="AU3881" s="10" t="str">
        <f>IF(I3881="TP",VLOOKUP(AF3881,TPCalibEqFull!$AZ$2:$BB$56,3),IF(I3881="TDP",VLOOKUP(AF3881,TPCalibEqFull!$AZ$2:$BB$56,3),IF(I3881="TDN",VLOOKUP(AF3881,TNCalibEqFull!$AZ$1:$BB$56,3),IF(I3881="TN",VLOOKUP(AF3881,TNCalibEqFull!$AZ$1:$BB$56,3),FALSE))))</f>
        <v>y=-0.0059x2+68.478x-14.154</v>
      </c>
      <c r="AV3881" s="10" t="str">
        <f t="shared" si="440"/>
        <v>0222 09:00:00-QAC-STD-D.E-1-DI-CAL</v>
      </c>
    </row>
    <row r="3882" spans="1:48" s="10" customFormat="1" x14ac:dyDescent="0.55000000000000004">
      <c r="A3882" s="32">
        <v>44979</v>
      </c>
      <c r="B3882" s="33">
        <v>0.375</v>
      </c>
      <c r="C3882" s="10" t="s">
        <v>70</v>
      </c>
      <c r="D3882" s="10" t="s">
        <v>71</v>
      </c>
      <c r="E3882" s="10" t="s">
        <v>921</v>
      </c>
      <c r="F3882" s="10">
        <v>1</v>
      </c>
      <c r="G3882" s="10" t="s">
        <v>73</v>
      </c>
      <c r="H3882" s="10" t="s">
        <v>74</v>
      </c>
      <c r="I3882" s="10" t="s">
        <v>83</v>
      </c>
      <c r="J3882" s="10">
        <v>185</v>
      </c>
      <c r="K3882" s="12">
        <v>44980</v>
      </c>
      <c r="L3882" s="33">
        <v>0.42079861111111111</v>
      </c>
      <c r="M3882" s="10">
        <v>1</v>
      </c>
      <c r="N3882" s="10" t="s">
        <v>84</v>
      </c>
      <c r="O3882" s="10">
        <v>7.39</v>
      </c>
      <c r="P3882" s="10">
        <v>0.54500000000000004</v>
      </c>
      <c r="Q3882" s="10">
        <v>500</v>
      </c>
      <c r="R3882" s="10" t="s">
        <v>85</v>
      </c>
      <c r="S3882" s="34">
        <f t="shared" si="437"/>
        <v>500</v>
      </c>
      <c r="T3882" s="10" t="s">
        <v>1288</v>
      </c>
      <c r="U3882" s="34" t="str">
        <f t="shared" si="438"/>
        <v/>
      </c>
      <c r="V3882" s="31" t="str">
        <f>IF(H3882="CHK",VLOOKUP(I3882,QCCHK,3,),IF(H3882="GUP",VLOOKUP(E3882,QCGUP,2,),IF(AND(H3882="ATP",OR(I3882="TN",I3882="TDN",I3882="TNO2-3",I3882="NO2-3")),VLOOKUP(E3882,QCREC_N,2,),IF(AND(H3882="NIC",OR(I3882="TN",I3882="TDN",I3882="TNO2-3",I3882="NO2-3")),VLOOKUP(E3882,QCNIC_N,2,),IF(AND(H3882="UREA",OR(I3882="TN",I3882="TDN",I3882="TNO2-3",I3882="NO2-3")),VLOOKUP(E3882,QCUREA_N,2,),IF(H3882="PER",VLOOKUP(I3882,QCPER,MATCH(E3882,QCACTUAL!$J$25:$AA$25,0),),IF(H3882="SPK",VLOOKUP(I3882,QCSPK,3,),IF(AND(H3882="ATP",OR(I3882="TP",I3882="TDP")),VLOOKUP(E3882,QCATP_P,2,),""))))))))</f>
        <v/>
      </c>
      <c r="W3882" s="31" t="str">
        <f t="shared" si="439"/>
        <v>TRUE</v>
      </c>
      <c r="X3882" s="31" t="str">
        <f t="shared" si="436"/>
        <v/>
      </c>
      <c r="Y3882" s="10" t="s">
        <v>1285</v>
      </c>
      <c r="AF3882" s="12">
        <v>44980</v>
      </c>
      <c r="AI3882" s="10">
        <f>-1.8824*7.39^2+87.341*7.39-33.178</f>
        <v>509.47017296000001</v>
      </c>
      <c r="AK3882" s="10">
        <f>-0.0059*7.39^2+68.478*7.39-14.154</f>
        <v>491.57620860999992</v>
      </c>
      <c r="AL3882" s="10" t="str">
        <f t="shared" si="441"/>
        <v>FALSE</v>
      </c>
      <c r="AM3882" s="10" t="str">
        <f t="shared" si="441"/>
        <v>FALSE</v>
      </c>
      <c r="AN3882" s="10" t="str">
        <f t="shared" si="441"/>
        <v>y=-1.8824*7.39^2+87.341*7.39-33.178</v>
      </c>
      <c r="AO3882" s="10" t="str">
        <f t="shared" si="442"/>
        <v>FALSE</v>
      </c>
      <c r="AP3882" s="10" t="str">
        <f t="shared" si="442"/>
        <v>y=-0.0059*7.39^2+68.478*7.39-14.154</v>
      </c>
      <c r="AQ3882" s="10" t="b">
        <f>IF(AND(I3882="TP",S3882&lt;=150),VLOOKUP(AF3882,TPCalibEq150!$AZ$2:$BB$55,3,),IF(AND(I3882="TDP",S3882&lt;=150),VLOOKUP(AF3882,TPCalibEq150!$AZ$2:$BB$55,3,)))</f>
        <v>0</v>
      </c>
      <c r="AR3882" s="10" t="b">
        <f>IF(AND(I3882="TP",S3882&lt;=300),VLOOKUP(AF3882,TPCalibEq300!$AZ$2:$BB$55,3,),IF(AND(I3882="TDP",S3882&lt;=300),VLOOKUP(AF3882,TPCalibEq300!$AZ$2:$BB$55,3,)))</f>
        <v>0</v>
      </c>
      <c r="AS3882" s="10" t="str">
        <f>IF(AND(I3882="TP",S3882&lt;=500),VLOOKUP(AF3882,TPCalibEq500!$AZ$2:$BB$56,3,),IF(AND(I3882="TDP",S3882&lt;=500),VLOOKUP(AF3882,TPCalibEq500!$AZ$2:$BB$56,3,)))</f>
        <v>y=-1.8824x2+87.341x-33.178</v>
      </c>
      <c r="AT3882" s="10" t="b">
        <f>IF(AND(I3882="TN",S3882&lt;=2800),VLOOKUP(AF3882,TNCalibEq2500!$AZ$2:$BB$56,3,),IF(AND(I3882="TDN",S3882&lt;=2800),VLOOKUP(AF3882,TNCalibEq2500!$AZ$2:$BB$56,3,)))</f>
        <v>0</v>
      </c>
      <c r="AU3882" s="10" t="str">
        <f>IF(I3882="TP",VLOOKUP(AF3882,TPCalibEqFull!$AZ$2:$BB$56,3),IF(I3882="TDP",VLOOKUP(AF3882,TPCalibEqFull!$AZ$2:$BB$56,3),IF(I3882="TDN",VLOOKUP(AF3882,TNCalibEqFull!$AZ$1:$BB$56,3),IF(I3882="TN",VLOOKUP(AF3882,TNCalibEqFull!$AZ$1:$BB$56,3),FALSE))))</f>
        <v>y=-0.0059x2+68.478x-14.154</v>
      </c>
      <c r="AV3882" s="10" t="str">
        <f t="shared" si="440"/>
        <v>0222 09:00:00-QAC-STD-D.D-1-DI-CAL</v>
      </c>
    </row>
    <row r="3883" spans="1:48" s="10" customFormat="1" x14ac:dyDescent="0.55000000000000004">
      <c r="A3883" s="32">
        <v>44979</v>
      </c>
      <c r="B3883" s="33">
        <v>0.375</v>
      </c>
      <c r="C3883" s="10" t="s">
        <v>70</v>
      </c>
      <c r="D3883" s="10" t="s">
        <v>71</v>
      </c>
      <c r="E3883" s="10" t="s">
        <v>922</v>
      </c>
      <c r="F3883" s="10">
        <v>1</v>
      </c>
      <c r="G3883" s="10" t="s">
        <v>73</v>
      </c>
      <c r="H3883" s="10" t="s">
        <v>74</v>
      </c>
      <c r="I3883" s="10" t="s">
        <v>83</v>
      </c>
      <c r="J3883" s="10">
        <v>186</v>
      </c>
      <c r="K3883" s="12">
        <v>44980</v>
      </c>
      <c r="L3883" s="33">
        <v>0.42151620370370368</v>
      </c>
      <c r="M3883" s="10">
        <v>1</v>
      </c>
      <c r="N3883" s="10" t="s">
        <v>84</v>
      </c>
      <c r="O3883" s="10">
        <v>15.3</v>
      </c>
      <c r="P3883" s="10">
        <v>1.1200000000000001</v>
      </c>
      <c r="Q3883" s="10">
        <v>1000</v>
      </c>
      <c r="R3883" s="10" t="s">
        <v>85</v>
      </c>
      <c r="S3883" s="34">
        <f t="shared" si="437"/>
        <v>1000</v>
      </c>
      <c r="T3883" s="10" t="s">
        <v>1289</v>
      </c>
      <c r="U3883" s="34" t="str">
        <f t="shared" si="438"/>
        <v/>
      </c>
      <c r="V3883" s="31" t="str">
        <f>IF(H3883="CHK",VLOOKUP(I3883,QCCHK,3,),IF(H3883="GUP",VLOOKUP(E3883,QCGUP,2,),IF(AND(H3883="ATP",OR(I3883="TN",I3883="TDN",I3883="TNO2-3",I3883="NO2-3")),VLOOKUP(E3883,QCREC_N,2,),IF(AND(H3883="NIC",OR(I3883="TN",I3883="TDN",I3883="TNO2-3",I3883="NO2-3")),VLOOKUP(E3883,QCNIC_N,2,),IF(AND(H3883="UREA",OR(I3883="TN",I3883="TDN",I3883="TNO2-3",I3883="NO2-3")),VLOOKUP(E3883,QCUREA_N,2,),IF(H3883="PER",VLOOKUP(I3883,QCPER,MATCH(E3883,QCACTUAL!$J$25:$AA$25,0),),IF(H3883="SPK",VLOOKUP(I3883,QCSPK,3,),IF(AND(H3883="ATP",OR(I3883="TP",I3883="TDP")),VLOOKUP(E3883,QCATP_P,2,),""))))))))</f>
        <v/>
      </c>
      <c r="W3883" s="31" t="str">
        <f t="shared" si="439"/>
        <v>TRUE</v>
      </c>
      <c r="X3883" s="31" t="str">
        <f t="shared" si="436"/>
        <v/>
      </c>
      <c r="Y3883" s="10" t="s">
        <v>1285</v>
      </c>
      <c r="AF3883" s="12">
        <v>44980</v>
      </c>
      <c r="AK3883" s="10">
        <f>-0.0059*15.3^2+68.478*15.3-14.154</f>
        <v>1032.1782689999998</v>
      </c>
      <c r="AL3883" s="10" t="str">
        <f t="shared" si="441"/>
        <v>FALSE</v>
      </c>
      <c r="AM3883" s="10" t="str">
        <f t="shared" si="441"/>
        <v>FALSE</v>
      </c>
      <c r="AN3883" s="10" t="str">
        <f t="shared" si="441"/>
        <v>FALSE</v>
      </c>
      <c r="AO3883" s="10" t="str">
        <f t="shared" si="442"/>
        <v>FALSE</v>
      </c>
      <c r="AP3883" s="10" t="str">
        <f t="shared" si="442"/>
        <v>y=-0.0059*15.3^2+68.478*15.3-14.154</v>
      </c>
      <c r="AQ3883" s="10" t="b">
        <f>IF(AND(I3883="TP",S3883&lt;=150),VLOOKUP(AF3883,TPCalibEq150!$AZ$2:$BB$55,3,),IF(AND(I3883="TDP",S3883&lt;=150),VLOOKUP(AF3883,TPCalibEq150!$AZ$2:$BB$55,3,)))</f>
        <v>0</v>
      </c>
      <c r="AR3883" s="10" t="b">
        <f>IF(AND(I3883="TP",S3883&lt;=300),VLOOKUP(AF3883,TPCalibEq300!$AZ$2:$BB$55,3,),IF(AND(I3883="TDP",S3883&lt;=300),VLOOKUP(AF3883,TPCalibEq300!$AZ$2:$BB$55,3,)))</f>
        <v>0</v>
      </c>
      <c r="AS3883" s="10" t="b">
        <f>IF(AND(I3883="TP",S3883&lt;=500),VLOOKUP(AF3883,TPCalibEq500!$AZ$2:$BB$56,3,),IF(AND(I3883="TDP",S3883&lt;=500),VLOOKUP(AF3883,TPCalibEq500!$AZ$2:$BB$56,3,)))</f>
        <v>0</v>
      </c>
      <c r="AT3883" s="10" t="b">
        <f>IF(AND(I3883="TN",S3883&lt;=2800),VLOOKUP(AF3883,TNCalibEq2500!$AZ$2:$BB$56,3,),IF(AND(I3883="TDN",S3883&lt;=2800),VLOOKUP(AF3883,TNCalibEq2500!$AZ$2:$BB$56,3,)))</f>
        <v>0</v>
      </c>
      <c r="AU3883" s="10" t="str">
        <f>IF(I3883="TP",VLOOKUP(AF3883,TPCalibEqFull!$AZ$2:$BB$56,3),IF(I3883="TDP",VLOOKUP(AF3883,TPCalibEqFull!$AZ$2:$BB$56,3),IF(I3883="TDN",VLOOKUP(AF3883,TNCalibEqFull!$AZ$1:$BB$56,3),IF(I3883="TN",VLOOKUP(AF3883,TNCalibEqFull!$AZ$1:$BB$56,3),FALSE))))</f>
        <v>y=-0.0059x2+68.478x-14.154</v>
      </c>
      <c r="AV3883" s="10" t="str">
        <f t="shared" si="440"/>
        <v>0222 09:00:00-QAC-STD-D.C-1-DI-CAL</v>
      </c>
    </row>
    <row r="3884" spans="1:48" s="10" customFormat="1" x14ac:dyDescent="0.55000000000000004">
      <c r="A3884" s="32">
        <v>44979</v>
      </c>
      <c r="B3884" s="33">
        <v>0.375</v>
      </c>
      <c r="C3884" s="10" t="s">
        <v>70</v>
      </c>
      <c r="D3884" s="10" t="s">
        <v>71</v>
      </c>
      <c r="E3884" s="10" t="s">
        <v>923</v>
      </c>
      <c r="F3884" s="10">
        <v>1</v>
      </c>
      <c r="G3884" s="10" t="s">
        <v>73</v>
      </c>
      <c r="H3884" s="10" t="s">
        <v>74</v>
      </c>
      <c r="I3884" s="10" t="s">
        <v>83</v>
      </c>
      <c r="J3884" s="10">
        <v>187</v>
      </c>
      <c r="K3884" s="12">
        <v>44980</v>
      </c>
      <c r="L3884" s="33">
        <v>0.42222222222222222</v>
      </c>
      <c r="M3884" s="10">
        <v>1</v>
      </c>
      <c r="N3884" s="10" t="s">
        <v>84</v>
      </c>
      <c r="O3884" s="10">
        <v>22.5</v>
      </c>
      <c r="P3884" s="10">
        <v>1.62</v>
      </c>
      <c r="Q3884" s="10">
        <v>1500</v>
      </c>
      <c r="R3884" s="10" t="s">
        <v>85</v>
      </c>
      <c r="S3884" s="34">
        <f t="shared" si="437"/>
        <v>1500</v>
      </c>
      <c r="T3884" s="10" t="s">
        <v>1290</v>
      </c>
      <c r="U3884" s="34" t="str">
        <f t="shared" si="438"/>
        <v/>
      </c>
      <c r="V3884" s="31" t="str">
        <f>IF(H3884="CHK",VLOOKUP(I3884,QCCHK,3,),IF(H3884="GUP",VLOOKUP(E3884,QCGUP,2,),IF(AND(H3884="ATP",OR(I3884="TN",I3884="TDN",I3884="TNO2-3",I3884="NO2-3")),VLOOKUP(E3884,QCREC_N,2,),IF(AND(H3884="NIC",OR(I3884="TN",I3884="TDN",I3884="TNO2-3",I3884="NO2-3")),VLOOKUP(E3884,QCNIC_N,2,),IF(AND(H3884="UREA",OR(I3884="TN",I3884="TDN",I3884="TNO2-3",I3884="NO2-3")),VLOOKUP(E3884,QCUREA_N,2,),IF(H3884="PER",VLOOKUP(I3884,QCPER,MATCH(E3884,QCACTUAL!$J$25:$AA$25,0),),IF(H3884="SPK",VLOOKUP(I3884,QCSPK,3,),IF(AND(H3884="ATP",OR(I3884="TP",I3884="TDP")),VLOOKUP(E3884,QCATP_P,2,),""))))))))</f>
        <v/>
      </c>
      <c r="W3884" s="31" t="str">
        <f t="shared" si="439"/>
        <v>TRUE</v>
      </c>
      <c r="X3884" s="31" t="str">
        <f t="shared" si="436"/>
        <v/>
      </c>
      <c r="Y3884" s="10" t="s">
        <v>1285</v>
      </c>
      <c r="AF3884" s="12">
        <v>44980</v>
      </c>
      <c r="AK3884" s="10">
        <f>-0.0059*22.5^2+68.478*22.5-14.154</f>
        <v>1523.6141249999998</v>
      </c>
      <c r="AL3884" s="10" t="str">
        <f t="shared" si="441"/>
        <v>FALSE</v>
      </c>
      <c r="AM3884" s="10" t="str">
        <f t="shared" si="441"/>
        <v>FALSE</v>
      </c>
      <c r="AN3884" s="10" t="str">
        <f t="shared" si="441"/>
        <v>FALSE</v>
      </c>
      <c r="AO3884" s="10" t="str">
        <f t="shared" si="442"/>
        <v>FALSE</v>
      </c>
      <c r="AP3884" s="10" t="str">
        <f t="shared" si="442"/>
        <v>y=-0.0059*22.5^2+68.478*22.5-14.154</v>
      </c>
      <c r="AQ3884" s="10" t="b">
        <f>IF(AND(I3884="TP",S3884&lt;=150),VLOOKUP(AF3884,TPCalibEq150!$AZ$2:$BB$55,3,),IF(AND(I3884="TDP",S3884&lt;=150),VLOOKUP(AF3884,TPCalibEq150!$AZ$2:$BB$55,3,)))</f>
        <v>0</v>
      </c>
      <c r="AR3884" s="10" t="b">
        <f>IF(AND(I3884="TP",S3884&lt;=300),VLOOKUP(AF3884,TPCalibEq300!$AZ$2:$BB$55,3,),IF(AND(I3884="TDP",S3884&lt;=300),VLOOKUP(AF3884,TPCalibEq300!$AZ$2:$BB$55,3,)))</f>
        <v>0</v>
      </c>
      <c r="AS3884" s="10" t="b">
        <f>IF(AND(I3884="TP",S3884&lt;=500),VLOOKUP(AF3884,TPCalibEq500!$AZ$2:$BB$56,3,),IF(AND(I3884="TDP",S3884&lt;=500),VLOOKUP(AF3884,TPCalibEq500!$AZ$2:$BB$56,3,)))</f>
        <v>0</v>
      </c>
      <c r="AT3884" s="10" t="b">
        <f>IF(AND(I3884="TN",S3884&lt;=2800),VLOOKUP(AF3884,TNCalibEq2500!$AZ$2:$BB$56,3,),IF(AND(I3884="TDN",S3884&lt;=2800),VLOOKUP(AF3884,TNCalibEq2500!$AZ$2:$BB$56,3,)))</f>
        <v>0</v>
      </c>
      <c r="AU3884" s="10" t="str">
        <f>IF(I3884="TP",VLOOKUP(AF3884,TPCalibEqFull!$AZ$2:$BB$56,3),IF(I3884="TDP",VLOOKUP(AF3884,TPCalibEqFull!$AZ$2:$BB$56,3),IF(I3884="TDN",VLOOKUP(AF3884,TNCalibEqFull!$AZ$1:$BB$56,3),IF(I3884="TN",VLOOKUP(AF3884,TNCalibEqFull!$AZ$1:$BB$56,3),FALSE))))</f>
        <v>y=-0.0059x2+68.478x-14.154</v>
      </c>
      <c r="AV3884" s="10" t="str">
        <f t="shared" si="440"/>
        <v>0222 09:00:00-QAC-STD-D.B-1-DI-CAL</v>
      </c>
    </row>
    <row r="3885" spans="1:48" s="10" customFormat="1" x14ac:dyDescent="0.55000000000000004">
      <c r="A3885" s="32">
        <v>44979</v>
      </c>
      <c r="B3885" s="33">
        <v>0.375</v>
      </c>
      <c r="C3885" s="10" t="s">
        <v>70</v>
      </c>
      <c r="D3885" s="10" t="s">
        <v>71</v>
      </c>
      <c r="E3885" s="10" t="s">
        <v>924</v>
      </c>
      <c r="F3885" s="10">
        <v>1</v>
      </c>
      <c r="G3885" s="10" t="s">
        <v>73</v>
      </c>
      <c r="H3885" s="10" t="s">
        <v>74</v>
      </c>
      <c r="I3885" s="10" t="s">
        <v>83</v>
      </c>
      <c r="J3885" s="10">
        <v>188</v>
      </c>
      <c r="K3885" s="12">
        <v>44980</v>
      </c>
      <c r="L3885" s="33">
        <v>0.4229282407407407</v>
      </c>
      <c r="M3885" s="10">
        <v>1</v>
      </c>
      <c r="N3885" s="10" t="s">
        <v>84</v>
      </c>
      <c r="O3885" s="10">
        <v>29.2</v>
      </c>
      <c r="P3885" s="10">
        <v>2.09</v>
      </c>
      <c r="Q3885" s="10">
        <v>2000</v>
      </c>
      <c r="R3885" s="10" t="s">
        <v>85</v>
      </c>
      <c r="S3885" s="34">
        <f t="shared" si="437"/>
        <v>2000</v>
      </c>
      <c r="T3885" s="10" t="s">
        <v>1291</v>
      </c>
      <c r="U3885" s="34" t="str">
        <f t="shared" si="438"/>
        <v/>
      </c>
      <c r="V3885" s="31" t="str">
        <f>IF(H3885="CHK",VLOOKUP(I3885,QCCHK,3,),IF(H3885="GUP",VLOOKUP(E3885,QCGUP,2,),IF(AND(H3885="ATP",OR(I3885="TN",I3885="TDN",I3885="TNO2-3",I3885="NO2-3")),VLOOKUP(E3885,QCREC_N,2,),IF(AND(H3885="NIC",OR(I3885="TN",I3885="TDN",I3885="TNO2-3",I3885="NO2-3")),VLOOKUP(E3885,QCNIC_N,2,),IF(AND(H3885="UREA",OR(I3885="TN",I3885="TDN",I3885="TNO2-3",I3885="NO2-3")),VLOOKUP(E3885,QCUREA_N,2,),IF(H3885="PER",VLOOKUP(I3885,QCPER,MATCH(E3885,QCACTUAL!$J$25:$AA$25,0),),IF(H3885="SPK",VLOOKUP(I3885,QCSPK,3,),IF(AND(H3885="ATP",OR(I3885="TP",I3885="TDP")),VLOOKUP(E3885,QCATP_P,2,),""))))))))</f>
        <v/>
      </c>
      <c r="W3885" s="31" t="str">
        <f t="shared" si="439"/>
        <v>TRUE</v>
      </c>
      <c r="X3885" s="31" t="str">
        <f t="shared" si="436"/>
        <v/>
      </c>
      <c r="Y3885" s="10" t="s">
        <v>1285</v>
      </c>
      <c r="AF3885" s="12">
        <v>44980</v>
      </c>
      <c r="AK3885" s="10">
        <f>-0.0059*29.2^2+68.478*29.2-14.154</f>
        <v>1980.3730239999998</v>
      </c>
      <c r="AL3885" s="10" t="str">
        <f t="shared" si="441"/>
        <v>FALSE</v>
      </c>
      <c r="AM3885" s="10" t="str">
        <f t="shared" si="441"/>
        <v>FALSE</v>
      </c>
      <c r="AN3885" s="10" t="str">
        <f t="shared" si="441"/>
        <v>FALSE</v>
      </c>
      <c r="AO3885" s="10" t="str">
        <f t="shared" si="442"/>
        <v>FALSE</v>
      </c>
      <c r="AP3885" s="10" t="str">
        <f t="shared" si="442"/>
        <v>y=-0.0059*29.2^2+68.478*29.2-14.154</v>
      </c>
      <c r="AQ3885" s="10" t="b">
        <f>IF(AND(I3885="TP",S3885&lt;=150),VLOOKUP(AF3885,TPCalibEq150!$AZ$2:$BB$55,3,),IF(AND(I3885="TDP",S3885&lt;=150),VLOOKUP(AF3885,TPCalibEq150!$AZ$2:$BB$55,3,)))</f>
        <v>0</v>
      </c>
      <c r="AR3885" s="10" t="b">
        <f>IF(AND(I3885="TP",S3885&lt;=300),VLOOKUP(AF3885,TPCalibEq300!$AZ$2:$BB$55,3,),IF(AND(I3885="TDP",S3885&lt;=300),VLOOKUP(AF3885,TPCalibEq300!$AZ$2:$BB$55,3,)))</f>
        <v>0</v>
      </c>
      <c r="AS3885" s="10" t="b">
        <f>IF(AND(I3885="TP",S3885&lt;=500),VLOOKUP(AF3885,TPCalibEq500!$AZ$2:$BB$56,3,),IF(AND(I3885="TDP",S3885&lt;=500),VLOOKUP(AF3885,TPCalibEq500!$AZ$2:$BB$56,3,)))</f>
        <v>0</v>
      </c>
      <c r="AT3885" s="10" t="b">
        <f>IF(AND(I3885="TN",S3885&lt;=2800),VLOOKUP(AF3885,TNCalibEq2500!$AZ$2:$BB$56,3,),IF(AND(I3885="TDN",S3885&lt;=2800),VLOOKUP(AF3885,TNCalibEq2500!$AZ$2:$BB$56,3,)))</f>
        <v>0</v>
      </c>
      <c r="AU3885" s="10" t="str">
        <f>IF(I3885="TP",VLOOKUP(AF3885,TPCalibEqFull!$AZ$2:$BB$56,3),IF(I3885="TDP",VLOOKUP(AF3885,TPCalibEqFull!$AZ$2:$BB$56,3),IF(I3885="TDN",VLOOKUP(AF3885,TNCalibEqFull!$AZ$1:$BB$56,3),IF(I3885="TN",VLOOKUP(AF3885,TNCalibEqFull!$AZ$1:$BB$56,3),FALSE))))</f>
        <v>y=-0.0059x2+68.478x-14.154</v>
      </c>
      <c r="AV3885" s="10" t="str">
        <f t="shared" si="440"/>
        <v>0222 09:00:00-QAC-STD-D.A-1-DI-CAL</v>
      </c>
    </row>
    <row r="3886" spans="1:48" s="10" customFormat="1" x14ac:dyDescent="0.55000000000000004">
      <c r="A3886" s="32">
        <v>44979</v>
      </c>
      <c r="B3886" s="33">
        <v>0.375</v>
      </c>
      <c r="C3886" s="10" t="s">
        <v>70</v>
      </c>
      <c r="D3886" s="10" t="s">
        <v>71</v>
      </c>
      <c r="E3886" s="10" t="s">
        <v>925</v>
      </c>
      <c r="F3886" s="10">
        <v>1</v>
      </c>
      <c r="G3886" s="10" t="s">
        <v>73</v>
      </c>
      <c r="H3886" s="10" t="s">
        <v>74</v>
      </c>
      <c r="I3886" s="10" t="s">
        <v>83</v>
      </c>
      <c r="J3886" s="10">
        <v>189</v>
      </c>
      <c r="K3886" s="12">
        <v>44980</v>
      </c>
      <c r="L3886" s="33">
        <v>0.42363425925925924</v>
      </c>
      <c r="M3886" s="10">
        <v>1</v>
      </c>
      <c r="N3886" s="10" t="s">
        <v>84</v>
      </c>
      <c r="O3886" s="10">
        <v>0.48699999999999999</v>
      </c>
      <c r="P3886" s="10">
        <v>3.3399999999999999E-2</v>
      </c>
      <c r="Q3886" s="10">
        <v>0</v>
      </c>
      <c r="R3886" s="10" t="s">
        <v>85</v>
      </c>
      <c r="S3886" s="34">
        <f t="shared" si="437"/>
        <v>0</v>
      </c>
      <c r="T3886" s="10" t="s">
        <v>1292</v>
      </c>
      <c r="U3886" s="34" t="str">
        <f t="shared" si="438"/>
        <v/>
      </c>
      <c r="V3886" s="31" t="str">
        <f>IF(H3886="CHK",VLOOKUP(I3886,QCCHK,3,),IF(H3886="GUP",VLOOKUP(E3886,QCGUP,2,),IF(AND(H3886="ATP",OR(I3886="TN",I3886="TDN",I3886="TNO2-3",I3886="NO2-3")),VLOOKUP(E3886,QCREC_N,2,),IF(AND(H3886="NIC",OR(I3886="TN",I3886="TDN",I3886="TNO2-3",I3886="NO2-3")),VLOOKUP(E3886,QCNIC_N,2,),IF(AND(H3886="UREA",OR(I3886="TN",I3886="TDN",I3886="TNO2-3",I3886="NO2-3")),VLOOKUP(E3886,QCUREA_N,2,),IF(H3886="PER",VLOOKUP(I3886,QCPER,MATCH(E3886,QCACTUAL!$J$25:$AA$25,0),),IF(H3886="SPK",VLOOKUP(I3886,QCSPK,3,),IF(AND(H3886="ATP",OR(I3886="TP",I3886="TDP")),VLOOKUP(E3886,QCATP_P,2,),""))))))))</f>
        <v/>
      </c>
      <c r="W3886" s="31" t="str">
        <f t="shared" si="439"/>
        <v>TRUE</v>
      </c>
      <c r="X3886" s="31" t="str">
        <f t="shared" si="436"/>
        <v/>
      </c>
      <c r="Y3886" s="10" t="s">
        <v>1285</v>
      </c>
      <c r="AF3886" s="12">
        <v>44980</v>
      </c>
      <c r="AG3886" s="10">
        <f>-7.042*0.487^2+106.99*0.487-46.227</f>
        <v>4.2069859019999996</v>
      </c>
      <c r="AH3886" s="10">
        <f>-5.1889*0.487^2+102.33*0.487-44.163</f>
        <v>4.4410637759000053</v>
      </c>
      <c r="AI3886" s="10">
        <f>-1.8824*0.487^2+87.341*0.487-33.178</f>
        <v>8.9106200744000006</v>
      </c>
      <c r="AK3886" s="10">
        <f>-0.0059*0.487^2+68.478*0.487-14.154</f>
        <v>19.193386702899996</v>
      </c>
      <c r="AL3886" s="10" t="str">
        <f t="shared" si="441"/>
        <v>y=-7.042*0.487^2+106.99*0.487-46.227</v>
      </c>
      <c r="AM3886" s="10" t="str">
        <f t="shared" si="441"/>
        <v>y=-5.1889*0.487^2+102.33*0.487-44.163</v>
      </c>
      <c r="AN3886" s="10" t="str">
        <f t="shared" si="441"/>
        <v>y=-1.8824*0.487^2+87.341*0.487-33.178</v>
      </c>
      <c r="AO3886" s="10" t="str">
        <f t="shared" si="442"/>
        <v>FALSE</v>
      </c>
      <c r="AP3886" s="10" t="str">
        <f t="shared" si="442"/>
        <v>y=-0.0059*0.487^2+68.478*0.487-14.154</v>
      </c>
      <c r="AQ3886" s="10" t="str">
        <f>IF(AND(I3886="TP",S3886&lt;=150),VLOOKUP(AF3886,TPCalibEq150!$AZ$2:$BB$55,3,),IF(AND(I3886="TDP",S3886&lt;=150),VLOOKUP(AF3886,TPCalibEq150!$AZ$2:$BB$55,3,)))</f>
        <v>y=-7.042x2+106.99x-46.227</v>
      </c>
      <c r="AR3886" s="10" t="str">
        <f>IF(AND(I3886="TP",S3886&lt;=300),VLOOKUP(AF3886,TPCalibEq300!$AZ$2:$BB$55,3,),IF(AND(I3886="TDP",S3886&lt;=300),VLOOKUP(AF3886,TPCalibEq300!$AZ$2:$BB$55,3,)))</f>
        <v>y=-5.1889x2+102.33x-44.163</v>
      </c>
      <c r="AS3886" s="10" t="str">
        <f>IF(AND(I3886="TP",S3886&lt;=500),VLOOKUP(AF3886,TPCalibEq500!$AZ$2:$BB$56,3,),IF(AND(I3886="TDP",S3886&lt;=500),VLOOKUP(AF3886,TPCalibEq500!$AZ$2:$BB$56,3,)))</f>
        <v>y=-1.8824x2+87.341x-33.178</v>
      </c>
      <c r="AT3886" s="10" t="b">
        <f>IF(AND(I3886="TN",S3886&lt;=2800),VLOOKUP(AF3886,TNCalibEq2500!$AZ$2:$BB$56,3,),IF(AND(I3886="TDN",S3886&lt;=2800),VLOOKUP(AF3886,TNCalibEq2500!$AZ$2:$BB$56,3,)))</f>
        <v>0</v>
      </c>
      <c r="AU3886" s="10" t="str">
        <f>IF(I3886="TP",VLOOKUP(AF3886,TPCalibEqFull!$AZ$2:$BB$56,3),IF(I3886="TDP",VLOOKUP(AF3886,TPCalibEqFull!$AZ$2:$BB$56,3),IF(I3886="TDN",VLOOKUP(AF3886,TNCalibEqFull!$AZ$1:$BB$56,3),IF(I3886="TN",VLOOKUP(AF3886,TNCalibEqFull!$AZ$1:$BB$56,3),FALSE))))</f>
        <v>y=-0.0059x2+68.478x-14.154</v>
      </c>
      <c r="AV3886" s="10" t="str">
        <f t="shared" si="440"/>
        <v>0222 09:00:00-QAC-STD-Q.H-1-DI-CAL</v>
      </c>
    </row>
    <row r="3887" spans="1:48" s="10" customFormat="1" x14ac:dyDescent="0.55000000000000004">
      <c r="A3887" s="32">
        <v>44979</v>
      </c>
      <c r="B3887" s="33">
        <v>0.375</v>
      </c>
      <c r="C3887" s="10" t="s">
        <v>70</v>
      </c>
      <c r="D3887" s="10" t="s">
        <v>71</v>
      </c>
      <c r="E3887" s="10" t="s">
        <v>926</v>
      </c>
      <c r="F3887" s="10">
        <v>1</v>
      </c>
      <c r="G3887" s="10" t="s">
        <v>73</v>
      </c>
      <c r="H3887" s="10" t="s">
        <v>74</v>
      </c>
      <c r="I3887" s="10" t="s">
        <v>83</v>
      </c>
      <c r="J3887" s="10">
        <v>190</v>
      </c>
      <c r="K3887" s="12">
        <v>44980</v>
      </c>
      <c r="L3887" s="33">
        <v>0.42434027777777777</v>
      </c>
      <c r="M3887" s="10">
        <v>1</v>
      </c>
      <c r="N3887" s="10" t="s">
        <v>84</v>
      </c>
      <c r="O3887" s="10">
        <v>0.504</v>
      </c>
      <c r="P3887" s="10">
        <v>3.4599999999999999E-2</v>
      </c>
      <c r="Q3887" s="10">
        <v>5</v>
      </c>
      <c r="R3887" s="10" t="s">
        <v>85</v>
      </c>
      <c r="S3887" s="34">
        <f t="shared" si="437"/>
        <v>5</v>
      </c>
      <c r="T3887" s="10" t="s">
        <v>1293</v>
      </c>
      <c r="U3887" s="34" t="str">
        <f t="shared" si="438"/>
        <v/>
      </c>
      <c r="V3887" s="31" t="str">
        <f>IF(H3887="CHK",VLOOKUP(I3887,QCCHK,3,),IF(H3887="GUP",VLOOKUP(E3887,QCGUP,2,),IF(AND(H3887="ATP",OR(I3887="TN",I3887="TDN",I3887="TNO2-3",I3887="NO2-3")),VLOOKUP(E3887,QCREC_N,2,),IF(AND(H3887="NIC",OR(I3887="TN",I3887="TDN",I3887="TNO2-3",I3887="NO2-3")),VLOOKUP(E3887,QCNIC_N,2,),IF(AND(H3887="UREA",OR(I3887="TN",I3887="TDN",I3887="TNO2-3",I3887="NO2-3")),VLOOKUP(E3887,QCUREA_N,2,),IF(H3887="PER",VLOOKUP(I3887,QCPER,MATCH(E3887,QCACTUAL!$J$25:$AA$25,0),),IF(H3887="SPK",VLOOKUP(I3887,QCSPK,3,),IF(AND(H3887="ATP",OR(I3887="TP",I3887="TDP")),VLOOKUP(E3887,QCATP_P,2,),""))))))))</f>
        <v/>
      </c>
      <c r="W3887" s="31" t="str">
        <f t="shared" si="439"/>
        <v>TRUE</v>
      </c>
      <c r="X3887" s="31" t="str">
        <f t="shared" si="436"/>
        <v/>
      </c>
      <c r="Y3887" s="10" t="s">
        <v>1285</v>
      </c>
      <c r="AF3887" s="12">
        <v>44980</v>
      </c>
      <c r="AG3887" s="10">
        <f>-7.042*0.504^2+106.99*0.504-46.227</f>
        <v>5.907179327999998</v>
      </c>
      <c r="AH3887" s="10">
        <f>-5.1889*0.504^2+102.33*0.504-44.163</f>
        <v>6.0932563776000066</v>
      </c>
      <c r="AI3887" s="10">
        <f>-1.8824*0.504^2+87.341*0.504-33.178</f>
        <v>10.3637042816</v>
      </c>
      <c r="AK3887" s="10">
        <f>-0.0059*0.504^2+68.478*0.504-14.154</f>
        <v>20.357413305600002</v>
      </c>
      <c r="AL3887" s="10" t="str">
        <f t="shared" si="441"/>
        <v>y=-7.042*0.504^2+106.99*0.504-46.227</v>
      </c>
      <c r="AM3887" s="10" t="str">
        <f t="shared" si="441"/>
        <v>y=-5.1889*0.504^2+102.33*0.504-44.163</v>
      </c>
      <c r="AN3887" s="10" t="str">
        <f t="shared" si="441"/>
        <v>y=-1.8824*0.504^2+87.341*0.504-33.178</v>
      </c>
      <c r="AO3887" s="10" t="str">
        <f t="shared" si="442"/>
        <v>FALSE</v>
      </c>
      <c r="AP3887" s="10" t="str">
        <f t="shared" si="442"/>
        <v>y=-0.0059*0.504^2+68.478*0.504-14.154</v>
      </c>
      <c r="AQ3887" s="10" t="str">
        <f>IF(AND(I3887="TP",S3887&lt;=150),VLOOKUP(AF3887,TPCalibEq150!$AZ$2:$BB$55,3,),IF(AND(I3887="TDP",S3887&lt;=150),VLOOKUP(AF3887,TPCalibEq150!$AZ$2:$BB$55,3,)))</f>
        <v>y=-7.042x2+106.99x-46.227</v>
      </c>
      <c r="AR3887" s="10" t="str">
        <f>IF(AND(I3887="TP",S3887&lt;=300),VLOOKUP(AF3887,TPCalibEq300!$AZ$2:$BB$55,3,),IF(AND(I3887="TDP",S3887&lt;=300),VLOOKUP(AF3887,TPCalibEq300!$AZ$2:$BB$55,3,)))</f>
        <v>y=-5.1889x2+102.33x-44.163</v>
      </c>
      <c r="AS3887" s="10" t="str">
        <f>IF(AND(I3887="TP",S3887&lt;=500),VLOOKUP(AF3887,TPCalibEq500!$AZ$2:$BB$56,3,),IF(AND(I3887="TDP",S3887&lt;=500),VLOOKUP(AF3887,TPCalibEq500!$AZ$2:$BB$56,3,)))</f>
        <v>y=-1.8824x2+87.341x-33.178</v>
      </c>
      <c r="AT3887" s="10" t="b">
        <f>IF(AND(I3887="TN",S3887&lt;=2800),VLOOKUP(AF3887,TNCalibEq2500!$AZ$2:$BB$56,3,),IF(AND(I3887="TDN",S3887&lt;=2800),VLOOKUP(AF3887,TNCalibEq2500!$AZ$2:$BB$56,3,)))</f>
        <v>0</v>
      </c>
      <c r="AU3887" s="10" t="str">
        <f>IF(I3887="TP",VLOOKUP(AF3887,TPCalibEqFull!$AZ$2:$BB$56,3),IF(I3887="TDP",VLOOKUP(AF3887,TPCalibEqFull!$AZ$2:$BB$56,3),IF(I3887="TDN",VLOOKUP(AF3887,TNCalibEqFull!$AZ$1:$BB$56,3),IF(I3887="TN",VLOOKUP(AF3887,TNCalibEqFull!$AZ$1:$BB$56,3),FALSE))))</f>
        <v>y=-0.0059x2+68.478x-14.154</v>
      </c>
      <c r="AV3887" s="10" t="str">
        <f t="shared" si="440"/>
        <v>0222 09:00:00-QAC-STD-Q.G-1-DI-CAL</v>
      </c>
    </row>
    <row r="3888" spans="1:48" s="10" customFormat="1" x14ac:dyDescent="0.55000000000000004">
      <c r="A3888" s="32">
        <v>44979</v>
      </c>
      <c r="B3888" s="33">
        <v>0.375</v>
      </c>
      <c r="C3888" s="10" t="s">
        <v>70</v>
      </c>
      <c r="D3888" s="10" t="s">
        <v>71</v>
      </c>
      <c r="E3888" s="10" t="s">
        <v>927</v>
      </c>
      <c r="F3888" s="10">
        <v>1</v>
      </c>
      <c r="G3888" s="10" t="s">
        <v>73</v>
      </c>
      <c r="H3888" s="10" t="s">
        <v>74</v>
      </c>
      <c r="I3888" s="10" t="s">
        <v>83</v>
      </c>
      <c r="J3888" s="10">
        <v>191</v>
      </c>
      <c r="K3888" s="12">
        <v>44980</v>
      </c>
      <c r="L3888" s="33">
        <v>0.42505787037037041</v>
      </c>
      <c r="M3888" s="10">
        <v>1</v>
      </c>
      <c r="N3888" s="10" t="s">
        <v>84</v>
      </c>
      <c r="O3888" s="10">
        <v>0.57299999999999995</v>
      </c>
      <c r="P3888" s="10">
        <v>3.9E-2</v>
      </c>
      <c r="Q3888" s="10">
        <v>15</v>
      </c>
      <c r="R3888" s="10" t="s">
        <v>85</v>
      </c>
      <c r="S3888" s="34">
        <f t="shared" si="437"/>
        <v>15</v>
      </c>
      <c r="T3888" s="10" t="s">
        <v>1294</v>
      </c>
      <c r="U3888" s="34" t="str">
        <f t="shared" si="438"/>
        <v/>
      </c>
      <c r="V3888" s="31" t="str">
        <f>IF(H3888="CHK",VLOOKUP(I3888,QCCHK,3,),IF(H3888="GUP",VLOOKUP(E3888,QCGUP,2,),IF(AND(H3888="ATP",OR(I3888="TN",I3888="TDN",I3888="TNO2-3",I3888="NO2-3")),VLOOKUP(E3888,QCREC_N,2,),IF(AND(H3888="NIC",OR(I3888="TN",I3888="TDN",I3888="TNO2-3",I3888="NO2-3")),VLOOKUP(E3888,QCNIC_N,2,),IF(AND(H3888="UREA",OR(I3888="TN",I3888="TDN",I3888="TNO2-3",I3888="NO2-3")),VLOOKUP(E3888,QCUREA_N,2,),IF(H3888="PER",VLOOKUP(I3888,QCPER,MATCH(E3888,QCACTUAL!$J$25:$AA$25,0),),IF(H3888="SPK",VLOOKUP(I3888,QCSPK,3,),IF(AND(H3888="ATP",OR(I3888="TP",I3888="TDP")),VLOOKUP(E3888,QCATP_P,2,),""))))))))</f>
        <v/>
      </c>
      <c r="W3888" s="31" t="str">
        <f t="shared" si="439"/>
        <v>TRUE</v>
      </c>
      <c r="X3888" s="31" t="str">
        <f t="shared" si="436"/>
        <v/>
      </c>
      <c r="Y3888" s="10" t="s">
        <v>1285</v>
      </c>
      <c r="AF3888" s="12">
        <v>44980</v>
      </c>
      <c r="AG3888" s="10">
        <f>-7.042*0.573^2+106.99*0.573-46.227</f>
        <v>12.766177182</v>
      </c>
      <c r="AH3888" s="10">
        <f>-5.1889*0.573^2+102.33*0.573-44.163</f>
        <v>12.768423651899994</v>
      </c>
      <c r="AI3888" s="10">
        <f>-1.8824*0.573^2+87.341*0.573-33.178</f>
        <v>16.250346490399998</v>
      </c>
      <c r="AK3888" s="10">
        <f>-0.0059*0.573^2+68.478*0.573-14.154</f>
        <v>25.081956858899996</v>
      </c>
      <c r="AL3888" s="10" t="str">
        <f t="shared" ref="AL3888:AN3951" si="443">IF($O3888="", "", IF(AQ3888&lt;&gt;"", SUBSTITUTE(SUBSTITUTE(AQ3888, "x", "*"&amp;$O3888&amp;"^", 1), "x", "*"&amp;$O3888, 1), ""))</f>
        <v>y=-7.042*0.573^2+106.99*0.573-46.227</v>
      </c>
      <c r="AM3888" s="10" t="str">
        <f t="shared" si="443"/>
        <v>y=-5.1889*0.573^2+102.33*0.573-44.163</v>
      </c>
      <c r="AN3888" s="10" t="str">
        <f t="shared" si="443"/>
        <v>y=-1.8824*0.573^2+87.341*0.573-33.178</v>
      </c>
      <c r="AO3888" s="10" t="str">
        <f t="shared" ref="AO3888:AP3951" si="444">IF($O3888="", "FALSE", IF(AT3888&lt;&gt;"FALSE", SUBSTITUTE(SUBSTITUTE(AT3888, "x", "*"&amp;$O3888&amp;"^", 1), "x", "*"&amp;$O3888, 1), ""))</f>
        <v>FALSE</v>
      </c>
      <c r="AP3888" s="10" t="str">
        <f t="shared" si="444"/>
        <v>y=-0.0059*0.573^2+68.478*0.573-14.154</v>
      </c>
      <c r="AQ3888" s="10" t="str">
        <f>IF(AND(I3888="TP",S3888&lt;=150),VLOOKUP(AF3888,TPCalibEq150!$AZ$2:$BB$55,3,),IF(AND(I3888="TDP",S3888&lt;=150),VLOOKUP(AF3888,TPCalibEq150!$AZ$2:$BB$55,3,)))</f>
        <v>y=-7.042x2+106.99x-46.227</v>
      </c>
      <c r="AR3888" s="10" t="str">
        <f>IF(AND(I3888="TP",S3888&lt;=300),VLOOKUP(AF3888,TPCalibEq300!$AZ$2:$BB$55,3,),IF(AND(I3888="TDP",S3888&lt;=300),VLOOKUP(AF3888,TPCalibEq300!$AZ$2:$BB$55,3,)))</f>
        <v>y=-5.1889x2+102.33x-44.163</v>
      </c>
      <c r="AS3888" s="10" t="str">
        <f>IF(AND(I3888="TP",S3888&lt;=500),VLOOKUP(AF3888,TPCalibEq500!$AZ$2:$BB$56,3,),IF(AND(I3888="TDP",S3888&lt;=500),VLOOKUP(AF3888,TPCalibEq500!$AZ$2:$BB$56,3,)))</f>
        <v>y=-1.8824x2+87.341x-33.178</v>
      </c>
      <c r="AT3888" s="10" t="b">
        <f>IF(AND(I3888="TN",S3888&lt;=2800),VLOOKUP(AF3888,TNCalibEq2500!$AZ$2:$BB$56,3,),IF(AND(I3888="TDN",S3888&lt;=2800),VLOOKUP(AF3888,TNCalibEq2500!$AZ$2:$BB$56,3,)))</f>
        <v>0</v>
      </c>
      <c r="AU3888" s="10" t="str">
        <f>IF(I3888="TP",VLOOKUP(AF3888,TPCalibEqFull!$AZ$2:$BB$56,3),IF(I3888="TDP",VLOOKUP(AF3888,TPCalibEqFull!$AZ$2:$BB$56,3),IF(I3888="TDN",VLOOKUP(AF3888,TNCalibEqFull!$AZ$1:$BB$56,3),IF(I3888="TN",VLOOKUP(AF3888,TNCalibEqFull!$AZ$1:$BB$56,3),FALSE))))</f>
        <v>y=-0.0059x2+68.478x-14.154</v>
      </c>
      <c r="AV3888" s="10" t="str">
        <f t="shared" si="440"/>
        <v>0222 09:00:00-QAC-STD-Q.F-1-DI-CAL</v>
      </c>
    </row>
    <row r="3889" spans="1:48" s="10" customFormat="1" x14ac:dyDescent="0.55000000000000004">
      <c r="A3889" s="32">
        <v>44979</v>
      </c>
      <c r="B3889" s="33">
        <v>0.375</v>
      </c>
      <c r="C3889" s="10" t="s">
        <v>70</v>
      </c>
      <c r="D3889" s="10" t="s">
        <v>71</v>
      </c>
      <c r="E3889" s="10" t="s">
        <v>928</v>
      </c>
      <c r="F3889" s="10">
        <v>1</v>
      </c>
      <c r="G3889" s="10" t="s">
        <v>73</v>
      </c>
      <c r="H3889" s="10" t="s">
        <v>74</v>
      </c>
      <c r="I3889" s="10" t="s">
        <v>83</v>
      </c>
      <c r="J3889" s="10">
        <v>192</v>
      </c>
      <c r="K3889" s="12">
        <v>44980</v>
      </c>
      <c r="L3889" s="33">
        <v>0.42576388888888889</v>
      </c>
      <c r="M3889" s="10">
        <v>1</v>
      </c>
      <c r="N3889" s="10" t="s">
        <v>84</v>
      </c>
      <c r="O3889" s="10">
        <v>0.60499999999999998</v>
      </c>
      <c r="P3889" s="10">
        <v>4.1200000000000001E-2</v>
      </c>
      <c r="Q3889" s="10">
        <v>20</v>
      </c>
      <c r="R3889" s="10" t="s">
        <v>85</v>
      </c>
      <c r="S3889" s="34">
        <f t="shared" si="437"/>
        <v>20</v>
      </c>
      <c r="T3889" s="10" t="s">
        <v>1295</v>
      </c>
      <c r="U3889" s="34" t="str">
        <f t="shared" si="438"/>
        <v/>
      </c>
      <c r="V3889" s="31" t="str">
        <f>IF(H3889="CHK",VLOOKUP(I3889,QCCHK,3,),IF(H3889="GUP",VLOOKUP(E3889,QCGUP,2,),IF(AND(H3889="ATP",OR(I3889="TN",I3889="TDN",I3889="TNO2-3",I3889="NO2-3")),VLOOKUP(E3889,QCREC_N,2,),IF(AND(H3889="NIC",OR(I3889="TN",I3889="TDN",I3889="TNO2-3",I3889="NO2-3")),VLOOKUP(E3889,QCNIC_N,2,),IF(AND(H3889="UREA",OR(I3889="TN",I3889="TDN",I3889="TNO2-3",I3889="NO2-3")),VLOOKUP(E3889,QCUREA_N,2,),IF(H3889="PER",VLOOKUP(I3889,QCPER,MATCH(E3889,QCACTUAL!$J$25:$AA$25,0),),IF(H3889="SPK",VLOOKUP(I3889,QCSPK,3,),IF(AND(H3889="ATP",OR(I3889="TP",I3889="TDP")),VLOOKUP(E3889,QCATP_P,2,),""))))))))</f>
        <v/>
      </c>
      <c r="W3889" s="31" t="str">
        <f t="shared" si="439"/>
        <v>TRUE</v>
      </c>
      <c r="X3889" s="31" t="str">
        <f t="shared" si="436"/>
        <v/>
      </c>
      <c r="Y3889" s="10" t="s">
        <v>1285</v>
      </c>
      <c r="AF3889" s="12">
        <v>44980</v>
      </c>
      <c r="AG3889" s="10">
        <f>-7.042*0.605^2+106.99*0.605-46.227</f>
        <v>15.924401950000004</v>
      </c>
      <c r="AH3889" s="10">
        <f>-5.1889*0.605^2+102.33*0.605-44.163</f>
        <v>15.847382877500003</v>
      </c>
      <c r="AI3889" s="10">
        <f>-1.8824*0.605^2+87.341*0.605-33.178</f>
        <v>18.974299539999997</v>
      </c>
      <c r="AK3889" s="10">
        <f>-0.0059*0.605^2+68.478*0.605-14.154</f>
        <v>27.273030452499999</v>
      </c>
      <c r="AL3889" s="10" t="str">
        <f t="shared" si="443"/>
        <v>y=-7.042*0.605^2+106.99*0.605-46.227</v>
      </c>
      <c r="AM3889" s="10" t="str">
        <f t="shared" si="443"/>
        <v>y=-5.1889*0.605^2+102.33*0.605-44.163</v>
      </c>
      <c r="AN3889" s="10" t="str">
        <f t="shared" si="443"/>
        <v>y=-1.8824*0.605^2+87.341*0.605-33.178</v>
      </c>
      <c r="AO3889" s="10" t="str">
        <f t="shared" si="444"/>
        <v>FALSE</v>
      </c>
      <c r="AP3889" s="10" t="str">
        <f t="shared" si="444"/>
        <v>y=-0.0059*0.605^2+68.478*0.605-14.154</v>
      </c>
      <c r="AQ3889" s="10" t="str">
        <f>IF(AND(I3889="TP",S3889&lt;=150),VLOOKUP(AF3889,TPCalibEq150!$AZ$2:$BB$55,3,),IF(AND(I3889="TDP",S3889&lt;=150),VLOOKUP(AF3889,TPCalibEq150!$AZ$2:$BB$55,3,)))</f>
        <v>y=-7.042x2+106.99x-46.227</v>
      </c>
      <c r="AR3889" s="10" t="str">
        <f>IF(AND(I3889="TP",S3889&lt;=300),VLOOKUP(AF3889,TPCalibEq300!$AZ$2:$BB$55,3,),IF(AND(I3889="TDP",S3889&lt;=300),VLOOKUP(AF3889,TPCalibEq300!$AZ$2:$BB$55,3,)))</f>
        <v>y=-5.1889x2+102.33x-44.163</v>
      </c>
      <c r="AS3889" s="10" t="str">
        <f>IF(AND(I3889="TP",S3889&lt;=500),VLOOKUP(AF3889,TPCalibEq500!$AZ$2:$BB$56,3,),IF(AND(I3889="TDP",S3889&lt;=500),VLOOKUP(AF3889,TPCalibEq500!$AZ$2:$BB$56,3,)))</f>
        <v>y=-1.8824x2+87.341x-33.178</v>
      </c>
      <c r="AT3889" s="10" t="b">
        <f>IF(AND(I3889="TN",S3889&lt;=2800),VLOOKUP(AF3889,TNCalibEq2500!$AZ$2:$BB$56,3,),IF(AND(I3889="TDN",S3889&lt;=2800),VLOOKUP(AF3889,TNCalibEq2500!$AZ$2:$BB$56,3,)))</f>
        <v>0</v>
      </c>
      <c r="AU3889" s="10" t="str">
        <f>IF(I3889="TP",VLOOKUP(AF3889,TPCalibEqFull!$AZ$2:$BB$56,3),IF(I3889="TDP",VLOOKUP(AF3889,TPCalibEqFull!$AZ$2:$BB$56,3),IF(I3889="TDN",VLOOKUP(AF3889,TNCalibEqFull!$AZ$1:$BB$56,3),IF(I3889="TN",VLOOKUP(AF3889,TNCalibEqFull!$AZ$1:$BB$56,3),FALSE))))</f>
        <v>y=-0.0059x2+68.478x-14.154</v>
      </c>
      <c r="AV3889" s="10" t="str">
        <f t="shared" si="440"/>
        <v>0222 09:00:00-QAC-STD-Q.E-1-DI-CAL</v>
      </c>
    </row>
    <row r="3890" spans="1:48" s="10" customFormat="1" x14ac:dyDescent="0.55000000000000004">
      <c r="A3890" s="32">
        <v>44979</v>
      </c>
      <c r="B3890" s="33">
        <v>0.375</v>
      </c>
      <c r="C3890" s="10" t="s">
        <v>70</v>
      </c>
      <c r="D3890" s="10" t="s">
        <v>71</v>
      </c>
      <c r="E3890" s="10" t="s">
        <v>929</v>
      </c>
      <c r="F3890" s="10">
        <v>1</v>
      </c>
      <c r="G3890" s="10" t="s">
        <v>73</v>
      </c>
      <c r="H3890" s="10" t="s">
        <v>74</v>
      </c>
      <c r="I3890" s="10" t="s">
        <v>83</v>
      </c>
      <c r="J3890" s="10">
        <v>193</v>
      </c>
      <c r="K3890" s="12">
        <v>44980</v>
      </c>
      <c r="L3890" s="33">
        <v>0.42646990740740742</v>
      </c>
      <c r="M3890" s="10">
        <v>1</v>
      </c>
      <c r="N3890" s="10" t="s">
        <v>84</v>
      </c>
      <c r="O3890" s="10">
        <v>1.25</v>
      </c>
      <c r="P3890" s="10">
        <v>8.8200000000000001E-2</v>
      </c>
      <c r="Q3890" s="10">
        <v>75</v>
      </c>
      <c r="R3890" s="10" t="s">
        <v>85</v>
      </c>
      <c r="S3890" s="34">
        <f t="shared" si="437"/>
        <v>75</v>
      </c>
      <c r="T3890" s="10" t="s">
        <v>1296</v>
      </c>
      <c r="U3890" s="34" t="str">
        <f t="shared" si="438"/>
        <v/>
      </c>
      <c r="V3890" s="31" t="str">
        <f>IF(H3890="CHK",VLOOKUP(I3890,QCCHK,3,),IF(H3890="GUP",VLOOKUP(E3890,QCGUP,2,),IF(AND(H3890="ATP",OR(I3890="TN",I3890="TDN",I3890="TNO2-3",I3890="NO2-3")),VLOOKUP(E3890,QCREC_N,2,),IF(AND(H3890="NIC",OR(I3890="TN",I3890="TDN",I3890="TNO2-3",I3890="NO2-3")),VLOOKUP(E3890,QCNIC_N,2,),IF(AND(H3890="UREA",OR(I3890="TN",I3890="TDN",I3890="TNO2-3",I3890="NO2-3")),VLOOKUP(E3890,QCUREA_N,2,),IF(H3890="PER",VLOOKUP(I3890,QCPER,MATCH(E3890,QCACTUAL!$J$25:$AA$25,0),),IF(H3890="SPK",VLOOKUP(I3890,QCSPK,3,),IF(AND(H3890="ATP",OR(I3890="TP",I3890="TDP")),VLOOKUP(E3890,QCATP_P,2,),""))))))))</f>
        <v/>
      </c>
      <c r="W3890" s="31" t="str">
        <f t="shared" si="439"/>
        <v>TRUE</v>
      </c>
      <c r="X3890" s="31" t="str">
        <f t="shared" si="436"/>
        <v/>
      </c>
      <c r="Y3890" s="10" t="s">
        <v>1285</v>
      </c>
      <c r="AF3890" s="12">
        <v>44980</v>
      </c>
      <c r="AG3890" s="10">
        <f>-7.042*1.25^2+106.99*1.25-46.227</f>
        <v>76.507374999999996</v>
      </c>
      <c r="AH3890" s="10">
        <f>-5.1889*1.25^2+102.33*1.25-44.163</f>
        <v>75.641843749999992</v>
      </c>
      <c r="AI3890" s="10">
        <f>-1.8824*1.25^2+87.341*1.25-33.178</f>
        <v>73.057000000000002</v>
      </c>
      <c r="AK3890" s="10">
        <f>-0.0059*1.25^2+68.478*1.25-14.154</f>
        <v>71.434281249999998</v>
      </c>
      <c r="AL3890" s="10" t="str">
        <f t="shared" si="443"/>
        <v>y=-7.042*1.25^2+106.99*1.25-46.227</v>
      </c>
      <c r="AM3890" s="10" t="str">
        <f t="shared" si="443"/>
        <v>y=-5.1889*1.25^2+102.33*1.25-44.163</v>
      </c>
      <c r="AN3890" s="10" t="str">
        <f t="shared" si="443"/>
        <v>y=-1.8824*1.25^2+87.341*1.25-33.178</v>
      </c>
      <c r="AO3890" s="10" t="str">
        <f t="shared" si="444"/>
        <v>FALSE</v>
      </c>
      <c r="AP3890" s="10" t="str">
        <f t="shared" si="444"/>
        <v>y=-0.0059*1.25^2+68.478*1.25-14.154</v>
      </c>
      <c r="AQ3890" s="10" t="str">
        <f>IF(AND(I3890="TP",S3890&lt;=150),VLOOKUP(AF3890,TPCalibEq150!$AZ$2:$BB$55,3,),IF(AND(I3890="TDP",S3890&lt;=150),VLOOKUP(AF3890,TPCalibEq150!$AZ$2:$BB$55,3,)))</f>
        <v>y=-7.042x2+106.99x-46.227</v>
      </c>
      <c r="AR3890" s="10" t="str">
        <f>IF(AND(I3890="TP",S3890&lt;=300),VLOOKUP(AF3890,TPCalibEq300!$AZ$2:$BB$55,3,),IF(AND(I3890="TDP",S3890&lt;=300),VLOOKUP(AF3890,TPCalibEq300!$AZ$2:$BB$55,3,)))</f>
        <v>y=-5.1889x2+102.33x-44.163</v>
      </c>
      <c r="AS3890" s="10" t="str">
        <f>IF(AND(I3890="TP",S3890&lt;=500),VLOOKUP(AF3890,TPCalibEq500!$AZ$2:$BB$56,3,),IF(AND(I3890="TDP",S3890&lt;=500),VLOOKUP(AF3890,TPCalibEq500!$AZ$2:$BB$56,3,)))</f>
        <v>y=-1.8824x2+87.341x-33.178</v>
      </c>
      <c r="AT3890" s="10" t="b">
        <f>IF(AND(I3890="TN",S3890&lt;=2800),VLOOKUP(AF3890,TNCalibEq2500!$AZ$2:$BB$56,3,),IF(AND(I3890="TDN",S3890&lt;=2800),VLOOKUP(AF3890,TNCalibEq2500!$AZ$2:$BB$56,3,)))</f>
        <v>0</v>
      </c>
      <c r="AU3890" s="10" t="str">
        <f>IF(I3890="TP",VLOOKUP(AF3890,TPCalibEqFull!$AZ$2:$BB$56,3),IF(I3890="TDP",VLOOKUP(AF3890,TPCalibEqFull!$AZ$2:$BB$56,3),IF(I3890="TDN",VLOOKUP(AF3890,TNCalibEqFull!$AZ$1:$BB$56,3),IF(I3890="TN",VLOOKUP(AF3890,TNCalibEqFull!$AZ$1:$BB$56,3),FALSE))))</f>
        <v>y=-0.0059x2+68.478x-14.154</v>
      </c>
      <c r="AV3890" s="10" t="str">
        <f t="shared" si="440"/>
        <v>0222 09:00:00-QAC-STD-Q.D-1-DI-CAL</v>
      </c>
    </row>
    <row r="3891" spans="1:48" s="10" customFormat="1" x14ac:dyDescent="0.55000000000000004">
      <c r="A3891" s="32">
        <v>44979</v>
      </c>
      <c r="B3891" s="33">
        <v>0.375</v>
      </c>
      <c r="C3891" s="10" t="s">
        <v>70</v>
      </c>
      <c r="D3891" s="10" t="s">
        <v>71</v>
      </c>
      <c r="E3891" s="10" t="s">
        <v>930</v>
      </c>
      <c r="F3891" s="10">
        <v>1</v>
      </c>
      <c r="G3891" s="10" t="s">
        <v>73</v>
      </c>
      <c r="H3891" s="10" t="s">
        <v>74</v>
      </c>
      <c r="I3891" s="10" t="s">
        <v>83</v>
      </c>
      <c r="J3891" s="10">
        <v>194</v>
      </c>
      <c r="K3891" s="12">
        <v>44980</v>
      </c>
      <c r="L3891" s="33">
        <v>0.42717592592592596</v>
      </c>
      <c r="M3891" s="10">
        <v>1</v>
      </c>
      <c r="N3891" s="10" t="s">
        <v>84</v>
      </c>
      <c r="O3891" s="10">
        <v>2.13</v>
      </c>
      <c r="P3891" s="10">
        <v>0.152</v>
      </c>
      <c r="Q3891" s="10">
        <v>150</v>
      </c>
      <c r="R3891" s="10" t="s">
        <v>85</v>
      </c>
      <c r="S3891" s="34">
        <f t="shared" si="437"/>
        <v>150</v>
      </c>
      <c r="T3891" s="10" t="s">
        <v>1297</v>
      </c>
      <c r="U3891" s="34" t="str">
        <f t="shared" si="438"/>
        <v/>
      </c>
      <c r="V3891" s="31" t="str">
        <f>IF(H3891="CHK",VLOOKUP(I3891,QCCHK,3,),IF(H3891="GUP",VLOOKUP(E3891,QCGUP,2,),IF(AND(H3891="ATP",OR(I3891="TN",I3891="TDN",I3891="TNO2-3",I3891="NO2-3")),VLOOKUP(E3891,QCREC_N,2,),IF(AND(H3891="NIC",OR(I3891="TN",I3891="TDN",I3891="TNO2-3",I3891="NO2-3")),VLOOKUP(E3891,QCNIC_N,2,),IF(AND(H3891="UREA",OR(I3891="TN",I3891="TDN",I3891="TNO2-3",I3891="NO2-3")),VLOOKUP(E3891,QCUREA_N,2,),IF(H3891="PER",VLOOKUP(I3891,QCPER,MATCH(E3891,QCACTUAL!$J$25:$AA$25,0),),IF(H3891="SPK",VLOOKUP(I3891,QCSPK,3,),IF(AND(H3891="ATP",OR(I3891="TP",I3891="TDP")),VLOOKUP(E3891,QCATP_P,2,),""))))))))</f>
        <v/>
      </c>
      <c r="W3891" s="31" t="str">
        <f t="shared" si="439"/>
        <v>TRUE</v>
      </c>
      <c r="X3891" s="31" t="str">
        <f t="shared" si="436"/>
        <v/>
      </c>
      <c r="Y3891" s="10" t="s">
        <v>1285</v>
      </c>
      <c r="AF3891" s="12">
        <v>44980</v>
      </c>
      <c r="AG3891" s="10">
        <f>-7.042*2.13^2+106.99*2.13-46.227</f>
        <v>149.71285019999996</v>
      </c>
      <c r="AH3891" s="10">
        <f>-5.1889*2.13^2+102.33*2.13-44.163</f>
        <v>150.25837959</v>
      </c>
      <c r="AI3891" s="10">
        <f>-1.8824*2.13^2+87.341*2.13-33.178</f>
        <v>144.31806943999996</v>
      </c>
      <c r="AK3891" s="10">
        <f>-0.0059*2.13^2+68.478*2.13-14.154</f>
        <v>131.67737228999999</v>
      </c>
      <c r="AL3891" s="10" t="str">
        <f t="shared" si="443"/>
        <v>y=-7.042*2.13^2+106.99*2.13-46.227</v>
      </c>
      <c r="AM3891" s="10" t="str">
        <f t="shared" si="443"/>
        <v>y=-5.1889*2.13^2+102.33*2.13-44.163</v>
      </c>
      <c r="AN3891" s="10" t="str">
        <f t="shared" si="443"/>
        <v>y=-1.8824*2.13^2+87.341*2.13-33.178</v>
      </c>
      <c r="AO3891" s="10" t="str">
        <f t="shared" si="444"/>
        <v>FALSE</v>
      </c>
      <c r="AP3891" s="10" t="str">
        <f t="shared" si="444"/>
        <v>y=-0.0059*2.13^2+68.478*2.13-14.154</v>
      </c>
      <c r="AQ3891" s="10" t="str">
        <f>IF(AND(I3891="TP",S3891&lt;=150),VLOOKUP(AF3891,TPCalibEq150!$AZ$2:$BB$55,3,),IF(AND(I3891="TDP",S3891&lt;=150),VLOOKUP(AF3891,TPCalibEq150!$AZ$2:$BB$55,3,)))</f>
        <v>y=-7.042x2+106.99x-46.227</v>
      </c>
      <c r="AR3891" s="10" t="str">
        <f>IF(AND(I3891="TP",S3891&lt;=300),VLOOKUP(AF3891,TPCalibEq300!$AZ$2:$BB$55,3,),IF(AND(I3891="TDP",S3891&lt;=300),VLOOKUP(AF3891,TPCalibEq300!$AZ$2:$BB$55,3,)))</f>
        <v>y=-5.1889x2+102.33x-44.163</v>
      </c>
      <c r="AS3891" s="10" t="str">
        <f>IF(AND(I3891="TP",S3891&lt;=500),VLOOKUP(AF3891,TPCalibEq500!$AZ$2:$BB$56,3,),IF(AND(I3891="TDP",S3891&lt;=500),VLOOKUP(AF3891,TPCalibEq500!$AZ$2:$BB$56,3,)))</f>
        <v>y=-1.8824x2+87.341x-33.178</v>
      </c>
      <c r="AT3891" s="10" t="b">
        <f>IF(AND(I3891="TN",S3891&lt;=2800),VLOOKUP(AF3891,TNCalibEq2500!$AZ$2:$BB$56,3,),IF(AND(I3891="TDN",S3891&lt;=2800),VLOOKUP(AF3891,TNCalibEq2500!$AZ$2:$BB$56,3,)))</f>
        <v>0</v>
      </c>
      <c r="AU3891" s="10" t="str">
        <f>IF(I3891="TP",VLOOKUP(AF3891,TPCalibEqFull!$AZ$2:$BB$56,3),IF(I3891="TDP",VLOOKUP(AF3891,TPCalibEqFull!$AZ$2:$BB$56,3),IF(I3891="TDN",VLOOKUP(AF3891,TNCalibEqFull!$AZ$1:$BB$56,3),IF(I3891="TN",VLOOKUP(AF3891,TNCalibEqFull!$AZ$1:$BB$56,3),FALSE))))</f>
        <v>y=-0.0059x2+68.478x-14.154</v>
      </c>
      <c r="AV3891" s="10" t="str">
        <f t="shared" si="440"/>
        <v>0222 09:00:00-QAC-STD-Q.C-1-DI-CAL</v>
      </c>
    </row>
    <row r="3892" spans="1:48" s="10" customFormat="1" x14ac:dyDescent="0.55000000000000004">
      <c r="A3892" s="32">
        <v>44979</v>
      </c>
      <c r="B3892" s="33">
        <v>0.375</v>
      </c>
      <c r="C3892" s="10" t="s">
        <v>70</v>
      </c>
      <c r="D3892" s="10" t="s">
        <v>71</v>
      </c>
      <c r="E3892" s="10" t="s">
        <v>931</v>
      </c>
      <c r="F3892" s="10">
        <v>1</v>
      </c>
      <c r="G3892" s="10" t="s">
        <v>73</v>
      </c>
      <c r="H3892" s="10" t="s">
        <v>74</v>
      </c>
      <c r="I3892" s="10" t="s">
        <v>83</v>
      </c>
      <c r="J3892" s="10">
        <v>195</v>
      </c>
      <c r="K3892" s="12">
        <v>44980</v>
      </c>
      <c r="L3892" s="33">
        <v>0.42788194444444444</v>
      </c>
      <c r="M3892" s="10">
        <v>1</v>
      </c>
      <c r="N3892" s="10" t="s">
        <v>84</v>
      </c>
      <c r="O3892" s="10">
        <v>4.3</v>
      </c>
      <c r="P3892" s="10">
        <v>0.314</v>
      </c>
      <c r="Q3892" s="10">
        <v>300</v>
      </c>
      <c r="R3892" s="10" t="s">
        <v>85</v>
      </c>
      <c r="S3892" s="34">
        <f t="shared" si="437"/>
        <v>300</v>
      </c>
      <c r="T3892" s="10" t="s">
        <v>1298</v>
      </c>
      <c r="U3892" s="34" t="str">
        <f t="shared" si="438"/>
        <v/>
      </c>
      <c r="V3892" s="31" t="str">
        <f>IF(H3892="CHK",VLOOKUP(I3892,QCCHK,3,),IF(H3892="GUP",VLOOKUP(E3892,QCGUP,2,),IF(AND(H3892="ATP",OR(I3892="TN",I3892="TDN",I3892="TNO2-3",I3892="NO2-3")),VLOOKUP(E3892,QCREC_N,2,),IF(AND(H3892="NIC",OR(I3892="TN",I3892="TDN",I3892="TNO2-3",I3892="NO2-3")),VLOOKUP(E3892,QCNIC_N,2,),IF(AND(H3892="UREA",OR(I3892="TN",I3892="TDN",I3892="TNO2-3",I3892="NO2-3")),VLOOKUP(E3892,QCUREA_N,2,),IF(H3892="PER",VLOOKUP(I3892,QCPER,MATCH(E3892,QCACTUAL!$J$25:$AA$25,0),),IF(H3892="SPK",VLOOKUP(I3892,QCSPK,3,),IF(AND(H3892="ATP",OR(I3892="TP",I3892="TDP")),VLOOKUP(E3892,QCATP_P,2,),""))))))))</f>
        <v/>
      </c>
      <c r="W3892" s="31" t="str">
        <f t="shared" si="439"/>
        <v>TRUE</v>
      </c>
      <c r="X3892" s="31" t="str">
        <f t="shared" si="436"/>
        <v/>
      </c>
      <c r="Y3892" s="10" t="s">
        <v>1285</v>
      </c>
      <c r="AF3892" s="12">
        <v>44980</v>
      </c>
      <c r="AH3892" s="10">
        <f>-5.1889*4.3^2+102.33*4.3-44.163</f>
        <v>299.91323899999998</v>
      </c>
      <c r="AI3892" s="10">
        <f>-1.8824*4.3^2+87.341*4.3-33.178</f>
        <v>307.58272399999998</v>
      </c>
      <c r="AK3892" s="10">
        <f>-0.0059*4.3^2+68.478*4.3-14.154</f>
        <v>280.19230899999997</v>
      </c>
      <c r="AL3892" s="10" t="str">
        <f t="shared" si="443"/>
        <v>FALSE</v>
      </c>
      <c r="AM3892" s="10" t="str">
        <f t="shared" si="443"/>
        <v>y=-5.1889*4.3^2+102.33*4.3-44.163</v>
      </c>
      <c r="AN3892" s="10" t="str">
        <f t="shared" si="443"/>
        <v>y=-1.8824*4.3^2+87.341*4.3-33.178</v>
      </c>
      <c r="AO3892" s="10" t="str">
        <f t="shared" si="444"/>
        <v>FALSE</v>
      </c>
      <c r="AP3892" s="10" t="str">
        <f t="shared" si="444"/>
        <v>y=-0.0059*4.3^2+68.478*4.3-14.154</v>
      </c>
      <c r="AQ3892" s="10" t="b">
        <f>IF(AND(I3892="TP",S3892&lt;=150),VLOOKUP(AF3892,TPCalibEq150!$AZ$2:$BB$55,3,),IF(AND(I3892="TDP",S3892&lt;=150),VLOOKUP(AF3892,TPCalibEq150!$AZ$2:$BB$55,3,)))</f>
        <v>0</v>
      </c>
      <c r="AR3892" s="10" t="str">
        <f>IF(AND(I3892="TP",S3892&lt;=300),VLOOKUP(AF3892,TPCalibEq300!$AZ$2:$BB$55,3,),IF(AND(I3892="TDP",S3892&lt;=300),VLOOKUP(AF3892,TPCalibEq300!$AZ$2:$BB$55,3,)))</f>
        <v>y=-5.1889x2+102.33x-44.163</v>
      </c>
      <c r="AS3892" s="10" t="str">
        <f>IF(AND(I3892="TP",S3892&lt;=500),VLOOKUP(AF3892,TPCalibEq500!$AZ$2:$BB$56,3,),IF(AND(I3892="TDP",S3892&lt;=500),VLOOKUP(AF3892,TPCalibEq500!$AZ$2:$BB$56,3,)))</f>
        <v>y=-1.8824x2+87.341x-33.178</v>
      </c>
      <c r="AT3892" s="10" t="b">
        <f>IF(AND(I3892="TN",S3892&lt;=2800),VLOOKUP(AF3892,TNCalibEq2500!$AZ$2:$BB$56,3,),IF(AND(I3892="TDN",S3892&lt;=2800),VLOOKUP(AF3892,TNCalibEq2500!$AZ$2:$BB$56,3,)))</f>
        <v>0</v>
      </c>
      <c r="AU3892" s="10" t="str">
        <f>IF(I3892="TP",VLOOKUP(AF3892,TPCalibEqFull!$AZ$2:$BB$56,3),IF(I3892="TDP",VLOOKUP(AF3892,TPCalibEqFull!$AZ$2:$BB$56,3),IF(I3892="TDN",VLOOKUP(AF3892,TNCalibEqFull!$AZ$1:$BB$56,3),IF(I3892="TN",VLOOKUP(AF3892,TNCalibEqFull!$AZ$1:$BB$56,3),FALSE))))</f>
        <v>y=-0.0059x2+68.478x-14.154</v>
      </c>
      <c r="AV3892" s="10" t="str">
        <f t="shared" si="440"/>
        <v>0222 09:00:00-QAC-STD-Q.B-1-DI-CAL</v>
      </c>
    </row>
    <row r="3893" spans="1:48" s="10" customFormat="1" x14ac:dyDescent="0.55000000000000004">
      <c r="A3893" s="32">
        <v>44979</v>
      </c>
      <c r="B3893" s="33">
        <v>0.375</v>
      </c>
      <c r="C3893" s="10" t="s">
        <v>70</v>
      </c>
      <c r="D3893" s="10" t="s">
        <v>71</v>
      </c>
      <c r="E3893" s="10" t="s">
        <v>932</v>
      </c>
      <c r="F3893" s="10">
        <v>1</v>
      </c>
      <c r="G3893" s="10" t="s">
        <v>73</v>
      </c>
      <c r="H3893" s="10" t="s">
        <v>74</v>
      </c>
      <c r="I3893" s="10" t="s">
        <v>83</v>
      </c>
      <c r="J3893" s="10">
        <v>196</v>
      </c>
      <c r="K3893" s="12">
        <v>44980</v>
      </c>
      <c r="L3893" s="33">
        <v>0.42859953703703701</v>
      </c>
      <c r="M3893" s="10">
        <v>1</v>
      </c>
      <c r="N3893" s="10" t="s">
        <v>84</v>
      </c>
      <c r="O3893" s="10">
        <v>7.02</v>
      </c>
      <c r="P3893" s="10">
        <v>0.51900000000000002</v>
      </c>
      <c r="Q3893" s="10">
        <v>500</v>
      </c>
      <c r="R3893" s="10" t="s">
        <v>85</v>
      </c>
      <c r="S3893" s="34">
        <f t="shared" si="437"/>
        <v>500</v>
      </c>
      <c r="T3893" s="10" t="s">
        <v>1299</v>
      </c>
      <c r="U3893" s="34" t="str">
        <f t="shared" si="438"/>
        <v/>
      </c>
      <c r="V3893" s="31" t="str">
        <f>IF(H3893="CHK",VLOOKUP(I3893,QCCHK,3,),IF(H3893="GUP",VLOOKUP(E3893,QCGUP,2,),IF(AND(H3893="ATP",OR(I3893="TN",I3893="TDN",I3893="TNO2-3",I3893="NO2-3")),VLOOKUP(E3893,QCREC_N,2,),IF(AND(H3893="NIC",OR(I3893="TN",I3893="TDN",I3893="TNO2-3",I3893="NO2-3")),VLOOKUP(E3893,QCNIC_N,2,),IF(AND(H3893="UREA",OR(I3893="TN",I3893="TDN",I3893="TNO2-3",I3893="NO2-3")),VLOOKUP(E3893,QCUREA_N,2,),IF(H3893="PER",VLOOKUP(I3893,QCPER,MATCH(E3893,QCACTUAL!$J$25:$AA$25,0),),IF(H3893="SPK",VLOOKUP(I3893,QCSPK,3,),IF(AND(H3893="ATP",OR(I3893="TP",I3893="TDP")),VLOOKUP(E3893,QCATP_P,2,),""))))))))</f>
        <v/>
      </c>
      <c r="W3893" s="31" t="str">
        <f t="shared" si="439"/>
        <v>TRUE</v>
      </c>
      <c r="X3893" s="31" t="str">
        <f t="shared" si="436"/>
        <v/>
      </c>
      <c r="Y3893" s="10" t="s">
        <v>1285</v>
      </c>
      <c r="AF3893" s="12">
        <v>44980</v>
      </c>
      <c r="AI3893" s="10">
        <f>-1.8824*7.02^2+87.341*7.02-33.178</f>
        <v>487.19039503999988</v>
      </c>
      <c r="AK3893" s="10">
        <f>-0.0059*7.02^2+68.478*7.02-14.154</f>
        <v>466.27080563999994</v>
      </c>
      <c r="AL3893" s="10" t="str">
        <f t="shared" si="443"/>
        <v>FALSE</v>
      </c>
      <c r="AM3893" s="10" t="str">
        <f t="shared" si="443"/>
        <v>FALSE</v>
      </c>
      <c r="AN3893" s="10" t="str">
        <f t="shared" si="443"/>
        <v>y=-1.8824*7.02^2+87.341*7.02-33.178</v>
      </c>
      <c r="AO3893" s="10" t="str">
        <f t="shared" si="444"/>
        <v>FALSE</v>
      </c>
      <c r="AP3893" s="10" t="str">
        <f t="shared" si="444"/>
        <v>y=-0.0059*7.02^2+68.478*7.02-14.154</v>
      </c>
      <c r="AQ3893" s="10" t="b">
        <f>IF(AND(I3893="TP",S3893&lt;=150),VLOOKUP(AF3893,TPCalibEq150!$AZ$2:$BB$55,3,),IF(AND(I3893="TDP",S3893&lt;=150),VLOOKUP(AF3893,TPCalibEq150!$AZ$2:$BB$55,3,)))</f>
        <v>0</v>
      </c>
      <c r="AR3893" s="10" t="b">
        <f>IF(AND(I3893="TP",S3893&lt;=300),VLOOKUP(AF3893,TPCalibEq300!$AZ$2:$BB$55,3,),IF(AND(I3893="TDP",S3893&lt;=300),VLOOKUP(AF3893,TPCalibEq300!$AZ$2:$BB$55,3,)))</f>
        <v>0</v>
      </c>
      <c r="AS3893" s="10" t="str">
        <f>IF(AND(I3893="TP",S3893&lt;=500),VLOOKUP(AF3893,TPCalibEq500!$AZ$2:$BB$56,3,),IF(AND(I3893="TDP",S3893&lt;=500),VLOOKUP(AF3893,TPCalibEq500!$AZ$2:$BB$56,3,)))</f>
        <v>y=-1.8824x2+87.341x-33.178</v>
      </c>
      <c r="AT3893" s="10" t="b">
        <f>IF(AND(I3893="TN",S3893&lt;=2800),VLOOKUP(AF3893,TNCalibEq2500!$AZ$2:$BB$56,3,),IF(AND(I3893="TDN",S3893&lt;=2800),VLOOKUP(AF3893,TNCalibEq2500!$AZ$2:$BB$56,3,)))</f>
        <v>0</v>
      </c>
      <c r="AU3893" s="10" t="str">
        <f>IF(I3893="TP",VLOOKUP(AF3893,TPCalibEqFull!$AZ$2:$BB$56,3),IF(I3893="TDP",VLOOKUP(AF3893,TPCalibEqFull!$AZ$2:$BB$56,3),IF(I3893="TDN",VLOOKUP(AF3893,TNCalibEqFull!$AZ$1:$BB$56,3),IF(I3893="TN",VLOOKUP(AF3893,TNCalibEqFull!$AZ$1:$BB$56,3),FALSE))))</f>
        <v>y=-0.0059x2+68.478x-14.154</v>
      </c>
      <c r="AV3893" s="10" t="str">
        <f t="shared" si="440"/>
        <v>0222 09:00:00-QAC-STD-Q.A-1-DI-CAL</v>
      </c>
    </row>
    <row r="3894" spans="1:48" s="10" customFormat="1" x14ac:dyDescent="0.55000000000000004">
      <c r="A3894" s="32">
        <v>44979</v>
      </c>
      <c r="B3894" s="33">
        <v>0.375</v>
      </c>
      <c r="C3894" s="10" t="s">
        <v>70</v>
      </c>
      <c r="D3894" s="10" t="s">
        <v>241</v>
      </c>
      <c r="E3894" s="10" t="s">
        <v>866</v>
      </c>
      <c r="F3894" s="10">
        <v>1</v>
      </c>
      <c r="G3894" s="10" t="s">
        <v>73</v>
      </c>
      <c r="H3894" s="10" t="s">
        <v>283</v>
      </c>
      <c r="I3894" s="10" t="s">
        <v>83</v>
      </c>
      <c r="J3894" s="10">
        <v>198</v>
      </c>
      <c r="K3894" s="12">
        <v>44980</v>
      </c>
      <c r="L3894" s="33">
        <v>0.4299884259259259</v>
      </c>
      <c r="M3894" s="10">
        <v>1</v>
      </c>
      <c r="N3894" s="10" t="s">
        <v>84</v>
      </c>
      <c r="O3894" s="10">
        <v>0.41799999999999998</v>
      </c>
      <c r="P3894" s="10">
        <v>2.8500000000000001E-2</v>
      </c>
      <c r="Q3894" s="10">
        <v>15.7</v>
      </c>
      <c r="R3894" s="10" t="s">
        <v>85</v>
      </c>
      <c r="S3894" s="34">
        <f t="shared" si="437"/>
        <v>15.7</v>
      </c>
      <c r="T3894" s="10" t="s">
        <v>1299</v>
      </c>
      <c r="U3894" s="34">
        <f t="shared" si="438"/>
        <v>15.7</v>
      </c>
      <c r="V3894" s="31" t="str">
        <f>IF(H3894="CHK",VLOOKUP(I3894,QCCHK,3,),IF(H3894="GUP",VLOOKUP(E3894,QCGUP,2,),IF(AND(H3894="ATP",OR(I3894="TN",I3894="TDN",I3894="TNO2-3",I3894="NO2-3")),VLOOKUP(E3894,QCREC_N,2,),IF(AND(H3894="NIC",OR(I3894="TN",I3894="TDN",I3894="TNO2-3",I3894="NO2-3")),VLOOKUP(E3894,QCNIC_N,2,),IF(AND(H3894="UREA",OR(I3894="TN",I3894="TDN",I3894="TNO2-3",I3894="NO2-3")),VLOOKUP(E3894,QCUREA_N,2,),IF(H3894="PER",VLOOKUP(I3894,QCPER,MATCH(E3894,QCACTUAL!$J$25:$AA$25,0),),IF(H3894="SPK",VLOOKUP(I3894,QCSPK,3,),IF(AND(H3894="ATP",OR(I3894="TP",I3894="TDP")),VLOOKUP(E3894,QCATP_P,2,),""))))))))</f>
        <v/>
      </c>
      <c r="W3894" s="31" t="str">
        <f t="shared" si="439"/>
        <v>FALSE</v>
      </c>
      <c r="X3894" s="31" t="str">
        <f t="shared" si="436"/>
        <v>nominal concentration</v>
      </c>
      <c r="Y3894" s="10" t="s">
        <v>1285</v>
      </c>
      <c r="AF3894" s="12">
        <v>44980</v>
      </c>
      <c r="AG3894" s="10">
        <f>-7.042*0.418^2+106.99*0.418-46.227</f>
        <v>-2.7355864080000032</v>
      </c>
      <c r="AH3894" s="10">
        <f>-5.1889*0.418^2+102.33*0.418-44.163</f>
        <v>-2.2956853636000005</v>
      </c>
      <c r="AI3894" s="10">
        <f>-1.8824*0.418^2+87.341*0.418-33.178</f>
        <v>3.0016375423999975</v>
      </c>
      <c r="AK3894" s="10">
        <f>-0.0059*0.418^2+68.478*0.418-14.154</f>
        <v>14.468773128399995</v>
      </c>
      <c r="AL3894" s="10" t="str">
        <f t="shared" si="443"/>
        <v>y=-7.042*0.418^2+106.99*0.418-46.227</v>
      </c>
      <c r="AM3894" s="10" t="str">
        <f t="shared" si="443"/>
        <v>y=-5.1889*0.418^2+102.33*0.418-44.163</v>
      </c>
      <c r="AN3894" s="10" t="str">
        <f t="shared" si="443"/>
        <v>y=-1.8824*0.418^2+87.341*0.418-33.178</v>
      </c>
      <c r="AO3894" s="10" t="str">
        <f t="shared" si="444"/>
        <v>FALSE</v>
      </c>
      <c r="AP3894" s="10" t="str">
        <f t="shared" si="444"/>
        <v>y=-0.0059*0.418^2+68.478*0.418-14.154</v>
      </c>
      <c r="AQ3894" s="10" t="str">
        <f>IF(AND(I3894="TP",S3894&lt;=150),VLOOKUP(AF3894,TPCalibEq150!$AZ$2:$BB$55,3,),IF(AND(I3894="TDP",S3894&lt;=150),VLOOKUP(AF3894,TPCalibEq150!$AZ$2:$BB$55,3,)))</f>
        <v>y=-7.042x2+106.99x-46.227</v>
      </c>
      <c r="AR3894" s="10" t="str">
        <f>IF(AND(I3894="TP",S3894&lt;=300),VLOOKUP(AF3894,TPCalibEq300!$AZ$2:$BB$55,3,),IF(AND(I3894="TDP",S3894&lt;=300),VLOOKUP(AF3894,TPCalibEq300!$AZ$2:$BB$55,3,)))</f>
        <v>y=-5.1889x2+102.33x-44.163</v>
      </c>
      <c r="AS3894" s="10" t="str">
        <f>IF(AND(I3894="TP",S3894&lt;=500),VLOOKUP(AF3894,TPCalibEq500!$AZ$2:$BB$56,3,),IF(AND(I3894="TDP",S3894&lt;=500),VLOOKUP(AF3894,TPCalibEq500!$AZ$2:$BB$56,3,)))</f>
        <v>y=-1.8824x2+87.341x-33.178</v>
      </c>
      <c r="AT3894" s="10" t="b">
        <f>IF(AND(I3894="TN",S3894&lt;=2800),VLOOKUP(AF3894,TNCalibEq2500!$AZ$2:$BB$56,3,),IF(AND(I3894="TDN",S3894&lt;=2800),VLOOKUP(AF3894,TNCalibEq2500!$AZ$2:$BB$56,3,)))</f>
        <v>0</v>
      </c>
      <c r="AU3894" s="10" t="str">
        <f>IF(I3894="TP",VLOOKUP(AF3894,TPCalibEqFull!$AZ$2:$BB$56,3),IF(I3894="TDP",VLOOKUP(AF3894,TPCalibEqFull!$AZ$2:$BB$56,3),IF(I3894="TDN",VLOOKUP(AF3894,TNCalibEqFull!$AZ$1:$BB$56,3),IF(I3894="TN",VLOOKUP(AF3894,TNCalibEqFull!$AZ$1:$BB$56,3),FALSE))))</f>
        <v>y=-0.0059x2+68.478x-14.154</v>
      </c>
      <c r="AV3894" s="10" t="str">
        <f t="shared" si="440"/>
        <v>0222 09:00:00-QAC-BLK-A-1-DI-LAB</v>
      </c>
    </row>
    <row r="3895" spans="1:48" s="10" customFormat="1" x14ac:dyDescent="0.55000000000000004">
      <c r="A3895" s="32">
        <v>44979</v>
      </c>
      <c r="B3895" s="33">
        <v>0.375</v>
      </c>
      <c r="C3895" s="10" t="s">
        <v>70</v>
      </c>
      <c r="D3895" s="10" t="s">
        <v>241</v>
      </c>
      <c r="E3895" s="10" t="s">
        <v>866</v>
      </c>
      <c r="F3895" s="10">
        <v>1</v>
      </c>
      <c r="G3895" s="10" t="s">
        <v>73</v>
      </c>
      <c r="H3895" s="10" t="s">
        <v>314</v>
      </c>
      <c r="I3895" s="10" t="s">
        <v>83</v>
      </c>
      <c r="J3895" s="10">
        <v>225</v>
      </c>
      <c r="K3895" s="12">
        <v>44980</v>
      </c>
      <c r="L3895" s="33">
        <v>0.43069444444444444</v>
      </c>
      <c r="M3895" s="10">
        <v>1</v>
      </c>
      <c r="N3895" s="10" t="s">
        <v>84</v>
      </c>
      <c r="O3895" s="10">
        <v>15.2</v>
      </c>
      <c r="P3895" s="10">
        <v>1.1000000000000001</v>
      </c>
      <c r="Q3895" s="10">
        <v>1020</v>
      </c>
      <c r="R3895" s="10" t="s">
        <v>85</v>
      </c>
      <c r="S3895" s="34">
        <f t="shared" si="437"/>
        <v>1025.3484639999999</v>
      </c>
      <c r="T3895" s="10" t="s">
        <v>1299</v>
      </c>
      <c r="U3895" s="34">
        <f t="shared" si="438"/>
        <v>100.96484639999998</v>
      </c>
      <c r="V3895" s="31">
        <f>IF(H3895="CHK",VLOOKUP(I3895,QCCHK,3,),IF(H3895="GUP",VLOOKUP(E3895,QCGUP,2,),IF(AND(H3895="ATP",OR(I3895="TN",I3895="TDN",I3895="TNO2-3",I3895="NO2-3")),VLOOKUP(E3895,QCREC_N,2,),IF(AND(H3895="NIC",OR(I3895="TN",I3895="TDN",I3895="TNO2-3",I3895="NO2-3")),VLOOKUP(E3895,QCNIC_N,2,),IF(AND(H3895="UREA",OR(I3895="TN",I3895="TDN",I3895="TNO2-3",I3895="NO2-3")),VLOOKUP(E3895,QCUREA_N,2,),IF(H3895="PER",VLOOKUP(I3895,QCPER,MATCH(E3895,QCACTUAL!$J$25:$AA$25,0),),IF(H3895="SPK",VLOOKUP(I3895,QCSPK,3,),IF(AND(H3895="ATP",OR(I3895="TP",I3895="TDP")),VLOOKUP(E3895,QCATP_P,2,),""))))))))</f>
        <v>1000</v>
      </c>
      <c r="W3895" s="31" t="str">
        <f t="shared" si="439"/>
        <v>TRUE</v>
      </c>
      <c r="X3895" s="31" t="str">
        <f t="shared" si="436"/>
        <v>([spikedunkn]-[unkn])/[spike]*100</v>
      </c>
      <c r="Y3895" s="10" t="s">
        <v>1285</v>
      </c>
      <c r="AF3895" s="12">
        <v>44980</v>
      </c>
      <c r="AK3895" s="10">
        <f>-0.0059*15.2^2+68.478*15.2-14.154</f>
        <v>1025.3484639999999</v>
      </c>
      <c r="AL3895" s="10" t="str">
        <f t="shared" si="443"/>
        <v>FALSE</v>
      </c>
      <c r="AM3895" s="10" t="str">
        <f t="shared" si="443"/>
        <v>FALSE</v>
      </c>
      <c r="AN3895" s="10" t="str">
        <f t="shared" si="443"/>
        <v>FALSE</v>
      </c>
      <c r="AO3895" s="10" t="str">
        <f t="shared" si="444"/>
        <v>FALSE</v>
      </c>
      <c r="AP3895" s="10" t="str">
        <f t="shared" si="444"/>
        <v>y=-0.0059*15.2^2+68.478*15.2-14.154</v>
      </c>
      <c r="AQ3895" s="10" t="b">
        <f>IF(AND(I3895="TP",S3895&lt;=150),VLOOKUP(AF3895,TPCalibEq150!$AZ$2:$BB$55,3,),IF(AND(I3895="TDP",S3895&lt;=150),VLOOKUP(AF3895,TPCalibEq150!$AZ$2:$BB$55,3,)))</f>
        <v>0</v>
      </c>
      <c r="AR3895" s="10" t="b">
        <f>IF(AND(I3895="TP",S3895&lt;=300),VLOOKUP(AF3895,TPCalibEq300!$AZ$2:$BB$55,3,),IF(AND(I3895="TDP",S3895&lt;=300),VLOOKUP(AF3895,TPCalibEq300!$AZ$2:$BB$55,3,)))</f>
        <v>0</v>
      </c>
      <c r="AS3895" s="10" t="b">
        <f>IF(AND(I3895="TP",S3895&lt;=500),VLOOKUP(AF3895,TPCalibEq500!$AZ$2:$BB$56,3,),IF(AND(I3895="TDP",S3895&lt;=500),VLOOKUP(AF3895,TPCalibEq500!$AZ$2:$BB$56,3,)))</f>
        <v>0</v>
      </c>
      <c r="AT3895" s="10" t="b">
        <f>IF(AND(I3895="TN",S3895&lt;=2800),VLOOKUP(AF3895,TNCalibEq2500!$AZ$2:$BB$56,3,),IF(AND(I3895="TDN",S3895&lt;=2800),VLOOKUP(AF3895,TNCalibEq2500!$AZ$2:$BB$56,3,)))</f>
        <v>0</v>
      </c>
      <c r="AU3895" s="10" t="str">
        <f>IF(I3895="TP",VLOOKUP(AF3895,TPCalibEqFull!$AZ$2:$BB$56,3),IF(I3895="TDP",VLOOKUP(AF3895,TPCalibEqFull!$AZ$2:$BB$56,3),IF(I3895="TDN",VLOOKUP(AF3895,TNCalibEqFull!$AZ$1:$BB$56,3),IF(I3895="TN",VLOOKUP(AF3895,TNCalibEqFull!$AZ$1:$BB$56,3),FALSE))))</f>
        <v>y=-0.0059x2+68.478x-14.154</v>
      </c>
      <c r="AV3895" s="10" t="str">
        <f t="shared" si="440"/>
        <v>0222 09:00:00-QAC-BLK-A-1-DI-SPK</v>
      </c>
    </row>
    <row r="3896" spans="1:48" s="10" customFormat="1" x14ac:dyDescent="0.55000000000000004">
      <c r="A3896" s="32">
        <v>44979</v>
      </c>
      <c r="B3896" s="33">
        <v>0.375</v>
      </c>
      <c r="C3896" s="10" t="s">
        <v>70</v>
      </c>
      <c r="D3896" s="10" t="s">
        <v>71</v>
      </c>
      <c r="E3896" s="10" t="s">
        <v>948</v>
      </c>
      <c r="F3896" s="10">
        <v>1</v>
      </c>
      <c r="G3896" s="10" t="s">
        <v>73</v>
      </c>
      <c r="H3896" s="10" t="s">
        <v>299</v>
      </c>
      <c r="I3896" s="10" t="s">
        <v>83</v>
      </c>
      <c r="J3896" s="10">
        <v>197</v>
      </c>
      <c r="K3896" s="12">
        <v>44980</v>
      </c>
      <c r="L3896" s="33">
        <v>0.43140046296296292</v>
      </c>
      <c r="M3896" s="10">
        <v>1</v>
      </c>
      <c r="N3896" s="10" t="s">
        <v>84</v>
      </c>
      <c r="O3896" s="10">
        <v>4.47</v>
      </c>
      <c r="P3896" s="10">
        <v>0.32800000000000001</v>
      </c>
      <c r="Q3896" s="10">
        <v>291</v>
      </c>
      <c r="R3896" s="10" t="s">
        <v>85</v>
      </c>
      <c r="S3896" s="34">
        <f t="shared" si="437"/>
        <v>319.62422383999996</v>
      </c>
      <c r="T3896" s="10" t="s">
        <v>1299</v>
      </c>
      <c r="U3896" s="34">
        <f t="shared" si="438"/>
        <v>96.855825406060589</v>
      </c>
      <c r="V3896" s="31">
        <f>IF(H3896="CHK",VLOOKUP(I3896,QCCHK,3,),IF(H3896="GUP",VLOOKUP(E3896,QCGUP,2,),IF(AND(H3896="ATP",OR(I3896="TN",I3896="TDN",I3896="TNO2-3",I3896="NO2-3")),VLOOKUP(E3896,QCREC_N,2,),IF(AND(H3896="NIC",OR(I3896="TN",I3896="TDN",I3896="TNO2-3",I3896="NO2-3")),VLOOKUP(E3896,QCNIC_N,2,),IF(AND(H3896="UREA",OR(I3896="TN",I3896="TDN",I3896="TNO2-3",I3896="NO2-3")),VLOOKUP(E3896,QCUREA_N,2,),IF(H3896="PER",VLOOKUP(I3896,QCPER,MATCH(E3896,QCACTUAL!$J$25:$AA$25,0),),IF(H3896="SPK",VLOOKUP(I3896,QCSPK,3,),IF(AND(H3896="ATP",OR(I3896="TP",I3896="TDP")),VLOOKUP(E3896,QCATP_P,2,),""))))))))</f>
        <v>330</v>
      </c>
      <c r="W3896" s="31" t="str">
        <f t="shared" si="439"/>
        <v>TRUE</v>
      </c>
      <c r="X3896" s="31" t="str">
        <f t="shared" si="436"/>
        <v>[per]/[actual]*100</v>
      </c>
      <c r="Y3896" s="10" t="s">
        <v>1285</v>
      </c>
      <c r="AF3896" s="12">
        <v>44980</v>
      </c>
      <c r="AH3896" s="10">
        <f>-5.1889*4.47^2+102.33*4.47-44.163</f>
        <v>309.5732079899999</v>
      </c>
      <c r="AI3896" s="10">
        <f>-1.8824*4.47^2+87.341*4.47-33.178</f>
        <v>319.62422383999996</v>
      </c>
      <c r="AK3896" s="10">
        <f>-0.0059*4.47^2+68.478*4.47-14.154</f>
        <v>291.82477268999997</v>
      </c>
      <c r="AL3896" s="10" t="str">
        <f t="shared" si="443"/>
        <v>FALSE</v>
      </c>
      <c r="AM3896" s="10" t="str">
        <f t="shared" si="443"/>
        <v>FALSE</v>
      </c>
      <c r="AN3896" s="10" t="str">
        <f t="shared" si="443"/>
        <v>y=-1.8824*4.47^2+87.341*4.47-33.178</v>
      </c>
      <c r="AO3896" s="10" t="str">
        <f t="shared" si="444"/>
        <v>FALSE</v>
      </c>
      <c r="AP3896" s="10" t="str">
        <f t="shared" si="444"/>
        <v>y=-0.0059*4.47^2+68.478*4.47-14.154</v>
      </c>
      <c r="AQ3896" s="10" t="b">
        <f>IF(AND(I3896="TP",S3896&lt;=150),VLOOKUP(AF3896,TPCalibEq150!$AZ$2:$BB$55,3,),IF(AND(I3896="TDP",S3896&lt;=150),VLOOKUP(AF3896,TPCalibEq150!$AZ$2:$BB$55,3,)))</f>
        <v>0</v>
      </c>
      <c r="AR3896" s="10" t="b">
        <f>IF(AND(I3896="TP",S3896&lt;=300),VLOOKUP(AF3896,TPCalibEq300!$AZ$2:$BB$55,3,),IF(AND(I3896="TDP",S3896&lt;=300),VLOOKUP(AF3896,TPCalibEq300!$AZ$2:$BB$55,3,)))</f>
        <v>0</v>
      </c>
      <c r="AS3896" s="10" t="str">
        <f>IF(AND(I3896="TP",S3896&lt;=500),VLOOKUP(AF3896,TPCalibEq500!$AZ$2:$BB$56,3,),IF(AND(I3896="TDP",S3896&lt;=500),VLOOKUP(AF3896,TPCalibEq500!$AZ$2:$BB$56,3,)))</f>
        <v>y=-1.8824x2+87.341x-33.178</v>
      </c>
      <c r="AT3896" s="10" t="b">
        <f>IF(AND(I3896="TN",S3896&lt;=2800),VLOOKUP(AF3896,TNCalibEq2500!$AZ$2:$BB$56,3,),IF(AND(I3896="TDN",S3896&lt;=2800),VLOOKUP(AF3896,TNCalibEq2500!$AZ$2:$BB$56,3,)))</f>
        <v>0</v>
      </c>
      <c r="AU3896" s="10" t="str">
        <f>IF(I3896="TP",VLOOKUP(AF3896,TPCalibEqFull!$AZ$2:$BB$56,3),IF(I3896="TDP",VLOOKUP(AF3896,TPCalibEqFull!$AZ$2:$BB$56,3),IF(I3896="TDN",VLOOKUP(AF3896,TNCalibEqFull!$AZ$1:$BB$56,3),IF(I3896="TN",VLOOKUP(AF3896,TNCalibEqFull!$AZ$1:$BB$56,3),FALSE))))</f>
        <v>y=-0.0059x2+68.478x-14.154</v>
      </c>
      <c r="AV3896" s="10" t="str">
        <f t="shared" si="440"/>
        <v>0222 09:00:00-QAC-STD-22A-1-DI-PER</v>
      </c>
    </row>
    <row r="3897" spans="1:48" s="10" customFormat="1" x14ac:dyDescent="0.55000000000000004">
      <c r="A3897" s="32">
        <v>44979</v>
      </c>
      <c r="B3897" s="33">
        <v>0.375</v>
      </c>
      <c r="C3897" s="10" t="s">
        <v>70</v>
      </c>
      <c r="D3897" s="10" t="s">
        <v>71</v>
      </c>
      <c r="E3897" s="10" t="s">
        <v>948</v>
      </c>
      <c r="F3897" s="10">
        <v>2</v>
      </c>
      <c r="G3897" s="10" t="s">
        <v>73</v>
      </c>
      <c r="H3897" s="10" t="s">
        <v>299</v>
      </c>
      <c r="I3897" s="10" t="s">
        <v>83</v>
      </c>
      <c r="J3897" s="10">
        <v>214</v>
      </c>
      <c r="K3897" s="12">
        <v>44980</v>
      </c>
      <c r="L3897" s="33">
        <v>0.43211805555555555</v>
      </c>
      <c r="M3897" s="10">
        <v>1</v>
      </c>
      <c r="N3897" s="10" t="s">
        <v>84</v>
      </c>
      <c r="O3897" s="10">
        <v>3.02</v>
      </c>
      <c r="P3897" s="10">
        <v>0.217</v>
      </c>
      <c r="Q3897" s="10">
        <v>192</v>
      </c>
      <c r="R3897" s="10" t="s">
        <v>85</v>
      </c>
      <c r="S3897" s="34">
        <f t="shared" si="437"/>
        <v>217.54875644000003</v>
      </c>
      <c r="T3897" s="10" t="s">
        <v>1299</v>
      </c>
      <c r="U3897" s="34">
        <f t="shared" si="438"/>
        <v>65.923865587878794</v>
      </c>
      <c r="V3897" s="31">
        <f>IF(H3897="CHK",VLOOKUP(I3897,QCCHK,3,),IF(H3897="GUP",VLOOKUP(E3897,QCGUP,2,),IF(AND(H3897="ATP",OR(I3897="TN",I3897="TDN",I3897="TNO2-3",I3897="NO2-3")),VLOOKUP(E3897,QCREC_N,2,),IF(AND(H3897="NIC",OR(I3897="TN",I3897="TDN",I3897="TNO2-3",I3897="NO2-3")),VLOOKUP(E3897,QCNIC_N,2,),IF(AND(H3897="UREA",OR(I3897="TN",I3897="TDN",I3897="TNO2-3",I3897="NO2-3")),VLOOKUP(E3897,QCUREA_N,2,),IF(H3897="PER",VLOOKUP(I3897,QCPER,MATCH(E3897,QCACTUAL!$J$25:$AA$25,0),),IF(H3897="SPK",VLOOKUP(I3897,QCSPK,3,),IF(AND(H3897="ATP",OR(I3897="TP",I3897="TDP")),VLOOKUP(E3897,QCATP_P,2,),""))))))))</f>
        <v>330</v>
      </c>
      <c r="W3897" s="31" t="str">
        <f t="shared" si="439"/>
        <v>FALSE</v>
      </c>
      <c r="X3897" s="31" t="str">
        <f t="shared" si="436"/>
        <v>[per]/[actual]*100</v>
      </c>
      <c r="Y3897" s="10" t="s">
        <v>1285</v>
      </c>
      <c r="AF3897" s="12">
        <v>44980</v>
      </c>
      <c r="AH3897" s="10">
        <f>-5.1889*3.02^2+102.33*3.02-44.163</f>
        <v>217.54875644000003</v>
      </c>
      <c r="AI3897" s="10">
        <f>-1.8824*3.02^2+87.341*3.02-33.178</f>
        <v>213.42357903999999</v>
      </c>
      <c r="AK3897" s="10">
        <f>-0.0059*3.02^2+68.478*3.02-14.154</f>
        <v>192.59574963999998</v>
      </c>
      <c r="AL3897" s="10" t="str">
        <f t="shared" si="443"/>
        <v>FALSE</v>
      </c>
      <c r="AM3897" s="10" t="str">
        <f t="shared" si="443"/>
        <v>y=-5.1889*3.02^2+102.33*3.02-44.163</v>
      </c>
      <c r="AN3897" s="10" t="str">
        <f t="shared" si="443"/>
        <v>y=-1.8824*3.02^2+87.341*3.02-33.178</v>
      </c>
      <c r="AO3897" s="10" t="str">
        <f t="shared" si="444"/>
        <v>FALSE</v>
      </c>
      <c r="AP3897" s="10" t="str">
        <f t="shared" si="444"/>
        <v>y=-0.0059*3.02^2+68.478*3.02-14.154</v>
      </c>
      <c r="AQ3897" s="10" t="b">
        <f>IF(AND(I3897="TP",S3897&lt;=150),VLOOKUP(AF3897,TPCalibEq150!$AZ$2:$BB$55,3,),IF(AND(I3897="TDP",S3897&lt;=150),VLOOKUP(AF3897,TPCalibEq150!$AZ$2:$BB$55,3,)))</f>
        <v>0</v>
      </c>
      <c r="AR3897" s="10" t="str">
        <f>IF(AND(I3897="TP",S3897&lt;=300),VLOOKUP(AF3897,TPCalibEq300!$AZ$2:$BB$55,3,),IF(AND(I3897="TDP",S3897&lt;=300),VLOOKUP(AF3897,TPCalibEq300!$AZ$2:$BB$55,3,)))</f>
        <v>y=-5.1889x2+102.33x-44.163</v>
      </c>
      <c r="AS3897" s="10" t="str">
        <f>IF(AND(I3897="TP",S3897&lt;=500),VLOOKUP(AF3897,TPCalibEq500!$AZ$2:$BB$56,3,),IF(AND(I3897="TDP",S3897&lt;=500),VLOOKUP(AF3897,TPCalibEq500!$AZ$2:$BB$56,3,)))</f>
        <v>y=-1.8824x2+87.341x-33.178</v>
      </c>
      <c r="AT3897" s="10" t="b">
        <f>IF(AND(I3897="TN",S3897&lt;=2800),VLOOKUP(AF3897,TNCalibEq2500!$AZ$2:$BB$56,3,),IF(AND(I3897="TDN",S3897&lt;=2800),VLOOKUP(AF3897,TNCalibEq2500!$AZ$2:$BB$56,3,)))</f>
        <v>0</v>
      </c>
      <c r="AU3897" s="10" t="str">
        <f>IF(I3897="TP",VLOOKUP(AF3897,TPCalibEqFull!$AZ$2:$BB$56,3),IF(I3897="TDP",VLOOKUP(AF3897,TPCalibEqFull!$AZ$2:$BB$56,3),IF(I3897="TDN",VLOOKUP(AF3897,TNCalibEqFull!$AZ$1:$BB$56,3),IF(I3897="TN",VLOOKUP(AF3897,TNCalibEqFull!$AZ$1:$BB$56,3),FALSE))))</f>
        <v>y=-0.0059x2+68.478x-14.154</v>
      </c>
      <c r="AV3897" s="10" t="str">
        <f t="shared" si="440"/>
        <v>0222 09:00:00-QAC-STD-22A-2-DI-PER</v>
      </c>
    </row>
    <row r="3898" spans="1:48" s="10" customFormat="1" x14ac:dyDescent="0.55000000000000004">
      <c r="A3898" s="32">
        <v>44979</v>
      </c>
      <c r="B3898" s="33">
        <v>0.375</v>
      </c>
      <c r="C3898" s="10" t="s">
        <v>70</v>
      </c>
      <c r="D3898" s="10" t="s">
        <v>305</v>
      </c>
      <c r="E3898" s="10" t="s">
        <v>866</v>
      </c>
      <c r="F3898" s="10">
        <v>1</v>
      </c>
      <c r="G3898" s="10" t="s">
        <v>73</v>
      </c>
      <c r="H3898" s="10" t="s">
        <v>274</v>
      </c>
      <c r="I3898" s="10" t="s">
        <v>83</v>
      </c>
      <c r="J3898" s="10">
        <v>204</v>
      </c>
      <c r="K3898" s="12">
        <v>44980</v>
      </c>
      <c r="L3898" s="33">
        <v>0.43282407407407408</v>
      </c>
      <c r="M3898" s="10">
        <v>1</v>
      </c>
      <c r="N3898" s="10" t="s">
        <v>84</v>
      </c>
      <c r="O3898" s="10">
        <v>15.4</v>
      </c>
      <c r="P3898" s="10">
        <v>1.1100000000000001</v>
      </c>
      <c r="Q3898" s="10">
        <v>1030</v>
      </c>
      <c r="R3898" s="10" t="s">
        <v>85</v>
      </c>
      <c r="S3898" s="34">
        <f t="shared" si="437"/>
        <v>1039.0079559999999</v>
      </c>
      <c r="T3898" s="10" t="s">
        <v>1299</v>
      </c>
      <c r="U3898" s="34">
        <f t="shared" si="438"/>
        <v>103.90079559999998</v>
      </c>
      <c r="V3898" s="31">
        <f>IF(H3898="CHK",VLOOKUP(I3898,QCCHK,3,),IF(H3898="GUP",VLOOKUP(E3898,QCGUP,2,),IF(AND(H3898="ATP",OR(I3898="TN",I3898="TDN",I3898="TNO2-3",I3898="NO2-3")),VLOOKUP(E3898,QCREC_N,2,),IF(AND(H3898="NIC",OR(I3898="TN",I3898="TDN",I3898="TNO2-3",I3898="NO2-3")),VLOOKUP(E3898,QCNIC_N,2,),IF(AND(H3898="UREA",OR(I3898="TN",I3898="TDN",I3898="TNO2-3",I3898="NO2-3")),VLOOKUP(E3898,QCUREA_N,2,),IF(H3898="PER",VLOOKUP(I3898,QCPER,MATCH(E3898,QCACTUAL!$J$25:$AA$25,0),),IF(H3898="SPK",VLOOKUP(I3898,QCSPK,3,),IF(AND(H3898="ATP",OR(I3898="TP",I3898="TDP")),VLOOKUP(E3898,QCATP_P,2,),""))))))))</f>
        <v>1000</v>
      </c>
      <c r="W3898" s="31" t="str">
        <f t="shared" si="439"/>
        <v>TRUE</v>
      </c>
      <c r="X3898" s="31" t="str">
        <f t="shared" si="436"/>
        <v>[rec]/[actual]*100</v>
      </c>
      <c r="Y3898" s="10" t="s">
        <v>1285</v>
      </c>
      <c r="AF3898" s="12">
        <v>44980</v>
      </c>
      <c r="AK3898" s="10">
        <f>-0.0059*15.4^2+68.478*15.4-14.154</f>
        <v>1039.0079559999999</v>
      </c>
      <c r="AL3898" s="10" t="str">
        <f t="shared" si="443"/>
        <v>FALSE</v>
      </c>
      <c r="AM3898" s="10" t="str">
        <f t="shared" si="443"/>
        <v>FALSE</v>
      </c>
      <c r="AN3898" s="10" t="str">
        <f t="shared" si="443"/>
        <v>FALSE</v>
      </c>
      <c r="AO3898" s="10" t="str">
        <f t="shared" si="444"/>
        <v>FALSE</v>
      </c>
      <c r="AP3898" s="10" t="str">
        <f t="shared" si="444"/>
        <v>y=-0.0059*15.4^2+68.478*15.4-14.154</v>
      </c>
      <c r="AQ3898" s="10" t="b">
        <f>IF(AND(I3898="TP",S3898&lt;=150),VLOOKUP(AF3898,TPCalibEq150!$AZ$2:$BB$55,3,),IF(AND(I3898="TDP",S3898&lt;=150),VLOOKUP(AF3898,TPCalibEq150!$AZ$2:$BB$55,3,)))</f>
        <v>0</v>
      </c>
      <c r="AR3898" s="10" t="b">
        <f>IF(AND(I3898="TP",S3898&lt;=300),VLOOKUP(AF3898,TPCalibEq300!$AZ$2:$BB$55,3,),IF(AND(I3898="TDP",S3898&lt;=300),VLOOKUP(AF3898,TPCalibEq300!$AZ$2:$BB$55,3,)))</f>
        <v>0</v>
      </c>
      <c r="AS3898" s="10" t="b">
        <f>IF(AND(I3898="TP",S3898&lt;=500),VLOOKUP(AF3898,TPCalibEq500!$AZ$2:$BB$56,3,),IF(AND(I3898="TDP",S3898&lt;=500),VLOOKUP(AF3898,TPCalibEq500!$AZ$2:$BB$56,3,)))</f>
        <v>0</v>
      </c>
      <c r="AT3898" s="10" t="b">
        <f>IF(AND(I3898="TN",S3898&lt;=2800),VLOOKUP(AF3898,TNCalibEq2500!$AZ$2:$BB$56,3,),IF(AND(I3898="TDN",S3898&lt;=2800),VLOOKUP(AF3898,TNCalibEq2500!$AZ$2:$BB$56,3,)))</f>
        <v>0</v>
      </c>
      <c r="AU3898" s="10" t="str">
        <f>IF(I3898="TP",VLOOKUP(AF3898,TPCalibEqFull!$AZ$2:$BB$56,3),IF(I3898="TDP",VLOOKUP(AF3898,TPCalibEqFull!$AZ$2:$BB$56,3),IF(I3898="TDN",VLOOKUP(AF3898,TNCalibEqFull!$AZ$1:$BB$56,3),IF(I3898="TN",VLOOKUP(AF3898,TNCalibEqFull!$AZ$1:$BB$56,3),FALSE))))</f>
        <v>y=-0.0059x2+68.478x-14.154</v>
      </c>
      <c r="AV3898" s="10" t="str">
        <f t="shared" si="440"/>
        <v>0222 09:00:00-QAC-REC-A-1-DI-GUP</v>
      </c>
    </row>
    <row r="3899" spans="1:48" s="10" customFormat="1" x14ac:dyDescent="0.55000000000000004">
      <c r="A3899" s="32">
        <v>44979</v>
      </c>
      <c r="B3899" s="33">
        <v>0.375</v>
      </c>
      <c r="C3899" s="10" t="s">
        <v>70</v>
      </c>
      <c r="D3899" s="10" t="s">
        <v>305</v>
      </c>
      <c r="E3899" s="10" t="s">
        <v>583</v>
      </c>
      <c r="F3899" s="10">
        <v>1</v>
      </c>
      <c r="G3899" s="10" t="s">
        <v>73</v>
      </c>
      <c r="H3899" s="10" t="s">
        <v>274</v>
      </c>
      <c r="I3899" s="10" t="s">
        <v>83</v>
      </c>
      <c r="J3899" s="10">
        <v>205</v>
      </c>
      <c r="K3899" s="12">
        <v>44980</v>
      </c>
      <c r="L3899" s="33">
        <v>0.43353009259259262</v>
      </c>
      <c r="M3899" s="10">
        <v>1</v>
      </c>
      <c r="N3899" s="10" t="s">
        <v>84</v>
      </c>
      <c r="O3899" s="10">
        <v>3.14</v>
      </c>
      <c r="P3899" s="10">
        <v>0.22800000000000001</v>
      </c>
      <c r="Q3899" s="10">
        <v>200</v>
      </c>
      <c r="R3899" s="10" t="s">
        <v>85</v>
      </c>
      <c r="S3899" s="34">
        <f t="shared" si="437"/>
        <v>225.99272155999995</v>
      </c>
      <c r="T3899" s="10" t="s">
        <v>1299</v>
      </c>
      <c r="U3899" s="34">
        <f t="shared" si="438"/>
        <v>112.99636077999997</v>
      </c>
      <c r="V3899" s="31">
        <f>IF(H3899="CHK",VLOOKUP(I3899,QCCHK,3,),IF(H3899="GUP",VLOOKUP(E3899,QCGUP,2,),IF(AND(H3899="ATP",OR(I3899="TN",I3899="TDN",I3899="TNO2-3",I3899="NO2-3")),VLOOKUP(E3899,QCREC_N,2,),IF(AND(H3899="NIC",OR(I3899="TN",I3899="TDN",I3899="TNO2-3",I3899="NO2-3")),VLOOKUP(E3899,QCNIC_N,2,),IF(AND(H3899="UREA",OR(I3899="TN",I3899="TDN",I3899="TNO2-3",I3899="NO2-3")),VLOOKUP(E3899,QCUREA_N,2,),IF(H3899="PER",VLOOKUP(I3899,QCPER,MATCH(E3899,QCACTUAL!$J$25:$AA$25,0),),IF(H3899="SPK",VLOOKUP(I3899,QCSPK,3,),IF(AND(H3899="ATP",OR(I3899="TP",I3899="TDP")),VLOOKUP(E3899,QCATP_P,2,),""))))))))</f>
        <v>200</v>
      </c>
      <c r="W3899" s="31" t="str">
        <f t="shared" si="439"/>
        <v>TRUE</v>
      </c>
      <c r="X3899" s="31" t="str">
        <f t="shared" si="436"/>
        <v>[rec]/[actual]*100</v>
      </c>
      <c r="Y3899" s="10" t="s">
        <v>1285</v>
      </c>
      <c r="AF3899" s="12">
        <v>44980</v>
      </c>
      <c r="AH3899" s="10">
        <f>-5.1889*3.14^2+102.33*3.14-44.163</f>
        <v>225.99272155999995</v>
      </c>
      <c r="AI3899" s="10">
        <f>-1.8824*3.14^2+87.341*3.14-33.178</f>
        <v>222.51302896000001</v>
      </c>
      <c r="AK3899" s="10">
        <f>-0.0059*3.14^2+68.478*3.14-14.154</f>
        <v>200.80874835999998</v>
      </c>
      <c r="AL3899" s="10" t="str">
        <f t="shared" si="443"/>
        <v>FALSE</v>
      </c>
      <c r="AM3899" s="10" t="str">
        <f t="shared" si="443"/>
        <v>y=-5.1889*3.14^2+102.33*3.14-44.163</v>
      </c>
      <c r="AN3899" s="10" t="str">
        <f t="shared" si="443"/>
        <v>y=-1.8824*3.14^2+87.341*3.14-33.178</v>
      </c>
      <c r="AO3899" s="10" t="str">
        <f t="shared" si="444"/>
        <v>FALSE</v>
      </c>
      <c r="AP3899" s="10" t="str">
        <f t="shared" si="444"/>
        <v>y=-0.0059*3.14^2+68.478*3.14-14.154</v>
      </c>
      <c r="AQ3899" s="10" t="b">
        <f>IF(AND(I3899="TP",S3899&lt;=150),VLOOKUP(AF3899,TPCalibEq150!$AZ$2:$BB$55,3,),IF(AND(I3899="TDP",S3899&lt;=150),VLOOKUP(AF3899,TPCalibEq150!$AZ$2:$BB$55,3,)))</f>
        <v>0</v>
      </c>
      <c r="AR3899" s="10" t="str">
        <f>IF(AND(I3899="TP",S3899&lt;=300),VLOOKUP(AF3899,TPCalibEq300!$AZ$2:$BB$55,3,),IF(AND(I3899="TDP",S3899&lt;=300),VLOOKUP(AF3899,TPCalibEq300!$AZ$2:$BB$55,3,)))</f>
        <v>y=-5.1889x2+102.33x-44.163</v>
      </c>
      <c r="AS3899" s="10" t="str">
        <f>IF(AND(I3899="TP",S3899&lt;=500),VLOOKUP(AF3899,TPCalibEq500!$AZ$2:$BB$56,3,),IF(AND(I3899="TDP",S3899&lt;=500),VLOOKUP(AF3899,TPCalibEq500!$AZ$2:$BB$56,3,)))</f>
        <v>y=-1.8824x2+87.341x-33.178</v>
      </c>
      <c r="AT3899" s="10" t="b">
        <f>IF(AND(I3899="TN",S3899&lt;=2800),VLOOKUP(AF3899,TNCalibEq2500!$AZ$2:$BB$56,3,),IF(AND(I3899="TDN",S3899&lt;=2800),VLOOKUP(AF3899,TNCalibEq2500!$AZ$2:$BB$56,3,)))</f>
        <v>0</v>
      </c>
      <c r="AU3899" s="10" t="str">
        <f>IF(I3899="TP",VLOOKUP(AF3899,TPCalibEqFull!$AZ$2:$BB$56,3),IF(I3899="TDP",VLOOKUP(AF3899,TPCalibEqFull!$AZ$2:$BB$56,3),IF(I3899="TDN",VLOOKUP(AF3899,TNCalibEqFull!$AZ$1:$BB$56,3),IF(I3899="TN",VLOOKUP(AF3899,TNCalibEqFull!$AZ$1:$BB$56,3),FALSE))))</f>
        <v>y=-0.0059x2+68.478x-14.154</v>
      </c>
      <c r="AV3899" s="10" t="str">
        <f t="shared" si="440"/>
        <v>0222 09:00:00-QAC-REC-B-1-DI-GUP</v>
      </c>
    </row>
    <row r="3900" spans="1:48" s="10" customFormat="1" x14ac:dyDescent="0.55000000000000004">
      <c r="A3900" s="32">
        <v>44979</v>
      </c>
      <c r="B3900" s="33">
        <v>0.375</v>
      </c>
      <c r="C3900" s="10" t="s">
        <v>70</v>
      </c>
      <c r="D3900" s="10" t="s">
        <v>305</v>
      </c>
      <c r="E3900" s="10" t="s">
        <v>190</v>
      </c>
      <c r="F3900" s="10">
        <v>1</v>
      </c>
      <c r="G3900" s="10" t="s">
        <v>73</v>
      </c>
      <c r="H3900" s="10" t="s">
        <v>274</v>
      </c>
      <c r="I3900" s="10" t="s">
        <v>83</v>
      </c>
      <c r="J3900" s="10">
        <v>206</v>
      </c>
      <c r="K3900" s="12">
        <v>44980</v>
      </c>
      <c r="L3900" s="33">
        <v>0.4342361111111111</v>
      </c>
      <c r="M3900" s="10">
        <v>1</v>
      </c>
      <c r="N3900" s="10" t="s">
        <v>84</v>
      </c>
      <c r="O3900" s="10">
        <v>1.74</v>
      </c>
      <c r="P3900" s="10">
        <v>0.123</v>
      </c>
      <c r="Q3900" s="10">
        <v>105</v>
      </c>
      <c r="R3900" s="10" t="s">
        <v>85</v>
      </c>
      <c r="S3900" s="34">
        <f t="shared" si="437"/>
        <v>118.61524080000001</v>
      </c>
      <c r="T3900" s="10" t="s">
        <v>1299</v>
      </c>
      <c r="U3900" s="34">
        <f t="shared" si="438"/>
        <v>118.61524080000001</v>
      </c>
      <c r="V3900" s="31">
        <f>IF(H3900="CHK",VLOOKUP(I3900,QCCHK,3,),IF(H3900="GUP",VLOOKUP(E3900,QCGUP,2,),IF(AND(H3900="ATP",OR(I3900="TN",I3900="TDN",I3900="TNO2-3",I3900="NO2-3")),VLOOKUP(E3900,QCREC_N,2,),IF(AND(H3900="NIC",OR(I3900="TN",I3900="TDN",I3900="TNO2-3",I3900="NO2-3")),VLOOKUP(E3900,QCNIC_N,2,),IF(AND(H3900="UREA",OR(I3900="TN",I3900="TDN",I3900="TNO2-3",I3900="NO2-3")),VLOOKUP(E3900,QCUREA_N,2,),IF(H3900="PER",VLOOKUP(I3900,QCPER,MATCH(E3900,QCACTUAL!$J$25:$AA$25,0),),IF(H3900="SPK",VLOOKUP(I3900,QCSPK,3,),IF(AND(H3900="ATP",OR(I3900="TP",I3900="TDP")),VLOOKUP(E3900,QCATP_P,2,),""))))))))</f>
        <v>100</v>
      </c>
      <c r="W3900" s="31" t="str">
        <f t="shared" si="439"/>
        <v>TRUE</v>
      </c>
      <c r="X3900" s="31" t="str">
        <f t="shared" si="436"/>
        <v>[rec]/[actual]*100</v>
      </c>
      <c r="Y3900" s="10" t="s">
        <v>1285</v>
      </c>
      <c r="AF3900" s="12">
        <v>44980</v>
      </c>
      <c r="AG3900" s="10">
        <f>-7.042*1.74^2+106.99*1.74-46.227</f>
        <v>118.61524080000001</v>
      </c>
      <c r="AH3900" s="10">
        <f>-5.1889*1.74^2+102.33*1.74-44.163</f>
        <v>118.18128636000002</v>
      </c>
      <c r="AI3900" s="10">
        <f>-1.8824*1.74^2+87.341*1.74-33.178</f>
        <v>113.09618575999997</v>
      </c>
      <c r="AK3900" s="10">
        <f>-0.0059*1.74^2+68.478*1.74-14.154</f>
        <v>104.97985715999998</v>
      </c>
      <c r="AL3900" s="10" t="str">
        <f t="shared" si="443"/>
        <v>y=-7.042*1.74^2+106.99*1.74-46.227</v>
      </c>
      <c r="AM3900" s="10" t="str">
        <f t="shared" si="443"/>
        <v>y=-5.1889*1.74^2+102.33*1.74-44.163</v>
      </c>
      <c r="AN3900" s="10" t="str">
        <f t="shared" si="443"/>
        <v>y=-1.8824*1.74^2+87.341*1.74-33.178</v>
      </c>
      <c r="AO3900" s="10" t="str">
        <f t="shared" si="444"/>
        <v>FALSE</v>
      </c>
      <c r="AP3900" s="10" t="str">
        <f t="shared" si="444"/>
        <v>y=-0.0059*1.74^2+68.478*1.74-14.154</v>
      </c>
      <c r="AQ3900" s="10" t="str">
        <f>IF(AND(I3900="TP",S3900&lt;=150),VLOOKUP(AF3900,TPCalibEq150!$AZ$2:$BB$55,3,),IF(AND(I3900="TDP",S3900&lt;=150),VLOOKUP(AF3900,TPCalibEq150!$AZ$2:$BB$55,3,)))</f>
        <v>y=-7.042x2+106.99x-46.227</v>
      </c>
      <c r="AR3900" s="10" t="str">
        <f>IF(AND(I3900="TP",S3900&lt;=300),VLOOKUP(AF3900,TPCalibEq300!$AZ$2:$BB$55,3,),IF(AND(I3900="TDP",S3900&lt;=300),VLOOKUP(AF3900,TPCalibEq300!$AZ$2:$BB$55,3,)))</f>
        <v>y=-5.1889x2+102.33x-44.163</v>
      </c>
      <c r="AS3900" s="10" t="str">
        <f>IF(AND(I3900="TP",S3900&lt;=500),VLOOKUP(AF3900,TPCalibEq500!$AZ$2:$BB$56,3,),IF(AND(I3900="TDP",S3900&lt;=500),VLOOKUP(AF3900,TPCalibEq500!$AZ$2:$BB$56,3,)))</f>
        <v>y=-1.8824x2+87.341x-33.178</v>
      </c>
      <c r="AT3900" s="10" t="b">
        <f>IF(AND(I3900="TN",S3900&lt;=2800),VLOOKUP(AF3900,TNCalibEq2500!$AZ$2:$BB$56,3,),IF(AND(I3900="TDN",S3900&lt;=2800),VLOOKUP(AF3900,TNCalibEq2500!$AZ$2:$BB$56,3,)))</f>
        <v>0</v>
      </c>
      <c r="AU3900" s="10" t="str">
        <f>IF(I3900="TP",VLOOKUP(AF3900,TPCalibEqFull!$AZ$2:$BB$56,3),IF(I3900="TDP",VLOOKUP(AF3900,TPCalibEqFull!$AZ$2:$BB$56,3),IF(I3900="TDN",VLOOKUP(AF3900,TNCalibEqFull!$AZ$1:$BB$56,3),IF(I3900="TN",VLOOKUP(AF3900,TNCalibEqFull!$AZ$1:$BB$56,3),FALSE))))</f>
        <v>y=-0.0059x2+68.478x-14.154</v>
      </c>
      <c r="AV3900" s="10" t="str">
        <f t="shared" si="440"/>
        <v>0222 09:00:00-QAC-REC-C-1-DI-GUP</v>
      </c>
    </row>
    <row r="3901" spans="1:48" s="10" customFormat="1" x14ac:dyDescent="0.55000000000000004">
      <c r="A3901" s="32">
        <v>44979</v>
      </c>
      <c r="B3901" s="33">
        <v>0.375</v>
      </c>
      <c r="C3901" s="10" t="s">
        <v>70</v>
      </c>
      <c r="D3901" s="10" t="s">
        <v>305</v>
      </c>
      <c r="E3901" s="10" t="s">
        <v>866</v>
      </c>
      <c r="F3901" s="10">
        <v>1</v>
      </c>
      <c r="G3901" s="10" t="s">
        <v>73</v>
      </c>
      <c r="H3901" s="10" t="s">
        <v>181</v>
      </c>
      <c r="I3901" s="10" t="s">
        <v>83</v>
      </c>
      <c r="J3901" s="10">
        <v>207</v>
      </c>
      <c r="K3901" s="12">
        <v>44980</v>
      </c>
      <c r="L3901" s="33">
        <v>0.43494212962962964</v>
      </c>
      <c r="M3901" s="10">
        <v>1</v>
      </c>
      <c r="N3901" s="10" t="s">
        <v>84</v>
      </c>
      <c r="O3901" s="10">
        <v>18.100000000000001</v>
      </c>
      <c r="P3901" s="10">
        <v>1.3</v>
      </c>
      <c r="Q3901" s="10">
        <v>1220</v>
      </c>
      <c r="R3901" s="10" t="s">
        <v>85</v>
      </c>
      <c r="S3901" s="34">
        <f t="shared" si="437"/>
        <v>1223.3649010000001</v>
      </c>
      <c r="T3901" s="10" t="s">
        <v>1299</v>
      </c>
      <c r="U3901" s="34">
        <f t="shared" si="438"/>
        <v>91.775311402850718</v>
      </c>
      <c r="V3901" s="31">
        <f>IF(H3901="CHK",VLOOKUP(I3901,QCCHK,3,),IF(H3901="GUP",VLOOKUP(E3901,QCGUP,2,),IF(AND(H3901="ATP",OR(I3901="TN",I3901="TDN",I3901="TNO2-3",I3901="NO2-3")),VLOOKUP(E3901,QCREC_N,2,),IF(AND(H3901="NIC",OR(I3901="TN",I3901="TDN",I3901="TNO2-3",I3901="NO2-3")),VLOOKUP(E3901,QCNIC_N,2,),IF(AND(H3901="UREA",OR(I3901="TN",I3901="TDN",I3901="TNO2-3",I3901="NO2-3")),VLOOKUP(E3901,QCUREA_N,2,),IF(H3901="PER",VLOOKUP(I3901,QCPER,MATCH(E3901,QCACTUAL!$J$25:$AA$25,0),),IF(H3901="SPK",VLOOKUP(I3901,QCSPK,3,),IF(AND(H3901="ATP",OR(I3901="TP",I3901="TDP")),VLOOKUP(E3901,QCATP_P,2,),""))))))))</f>
        <v>1333</v>
      </c>
      <c r="W3901" s="31" t="str">
        <f t="shared" si="439"/>
        <v>TRUE</v>
      </c>
      <c r="X3901" s="31" t="str">
        <f t="shared" si="436"/>
        <v>[rec]/[actual]*100</v>
      </c>
      <c r="Y3901" s="10" t="s">
        <v>1285</v>
      </c>
      <c r="AF3901" s="12">
        <v>44980</v>
      </c>
      <c r="AK3901" s="10">
        <f>-0.0059*18.1^2+68.478*18.1-14.154</f>
        <v>1223.3649010000001</v>
      </c>
      <c r="AL3901" s="10" t="str">
        <f t="shared" si="443"/>
        <v>FALSE</v>
      </c>
      <c r="AM3901" s="10" t="str">
        <f t="shared" si="443"/>
        <v>FALSE</v>
      </c>
      <c r="AN3901" s="10" t="str">
        <f t="shared" si="443"/>
        <v>FALSE</v>
      </c>
      <c r="AO3901" s="10" t="str">
        <f t="shared" si="444"/>
        <v>FALSE</v>
      </c>
      <c r="AP3901" s="10" t="str">
        <f t="shared" si="444"/>
        <v>y=-0.0059*18.1^2+68.478*18.1-14.154</v>
      </c>
      <c r="AQ3901" s="10" t="b">
        <f>IF(AND(I3901="TP",S3901&lt;=150),VLOOKUP(AF3901,TPCalibEq150!$AZ$2:$BB$55,3,),IF(AND(I3901="TDP",S3901&lt;=150),VLOOKUP(AF3901,TPCalibEq150!$AZ$2:$BB$55,3,)))</f>
        <v>0</v>
      </c>
      <c r="AR3901" s="10" t="b">
        <f>IF(AND(I3901="TP",S3901&lt;=300),VLOOKUP(AF3901,TPCalibEq300!$AZ$2:$BB$55,3,),IF(AND(I3901="TDP",S3901&lt;=300),VLOOKUP(AF3901,TPCalibEq300!$AZ$2:$BB$55,3,)))</f>
        <v>0</v>
      </c>
      <c r="AS3901" s="10" t="b">
        <f>IF(AND(I3901="TP",S3901&lt;=500),VLOOKUP(AF3901,TPCalibEq500!$AZ$2:$BB$56,3,),IF(AND(I3901="TDP",S3901&lt;=500),VLOOKUP(AF3901,TPCalibEq500!$AZ$2:$BB$56,3,)))</f>
        <v>0</v>
      </c>
      <c r="AT3901" s="10" t="b">
        <f>IF(AND(I3901="TN",S3901&lt;=2800),VLOOKUP(AF3901,TNCalibEq2500!$AZ$2:$BB$56,3,),IF(AND(I3901="TDN",S3901&lt;=2800),VLOOKUP(AF3901,TNCalibEq2500!$AZ$2:$BB$56,3,)))</f>
        <v>0</v>
      </c>
      <c r="AU3901" s="10" t="str">
        <f>IF(I3901="TP",VLOOKUP(AF3901,TPCalibEqFull!$AZ$2:$BB$56,3),IF(I3901="TDP",VLOOKUP(AF3901,TPCalibEqFull!$AZ$2:$BB$56,3),IF(I3901="TDN",VLOOKUP(AF3901,TNCalibEqFull!$AZ$1:$BB$56,3),IF(I3901="TN",VLOOKUP(AF3901,TNCalibEqFull!$AZ$1:$BB$56,3),FALSE))))</f>
        <v>y=-0.0059x2+68.478x-14.154</v>
      </c>
      <c r="AV3901" s="10" t="str">
        <f t="shared" si="440"/>
        <v>0222 09:00:00-QAC-REC-A-1-DI-ATP</v>
      </c>
    </row>
    <row r="3902" spans="1:48" s="10" customFormat="1" x14ac:dyDescent="0.55000000000000004">
      <c r="A3902" s="32">
        <v>44979</v>
      </c>
      <c r="B3902" s="33">
        <v>0.375</v>
      </c>
      <c r="C3902" s="10" t="s">
        <v>70</v>
      </c>
      <c r="D3902" s="10" t="s">
        <v>305</v>
      </c>
      <c r="E3902" s="10" t="s">
        <v>583</v>
      </c>
      <c r="F3902" s="10">
        <v>1</v>
      </c>
      <c r="G3902" s="10" t="s">
        <v>73</v>
      </c>
      <c r="H3902" s="10" t="s">
        <v>181</v>
      </c>
      <c r="I3902" s="10" t="s">
        <v>83</v>
      </c>
      <c r="J3902" s="10">
        <v>208</v>
      </c>
      <c r="K3902" s="12">
        <v>44980</v>
      </c>
      <c r="L3902" s="33">
        <v>0.43564814814814817</v>
      </c>
      <c r="M3902" s="10">
        <v>1</v>
      </c>
      <c r="N3902" s="10" t="s">
        <v>84</v>
      </c>
      <c r="O3902" s="10">
        <v>3.86</v>
      </c>
      <c r="P3902" s="10">
        <v>0.28199999999999997</v>
      </c>
      <c r="Q3902" s="10">
        <v>249</v>
      </c>
      <c r="R3902" s="10" t="s">
        <v>85</v>
      </c>
      <c r="S3902" s="34">
        <f t="shared" si="437"/>
        <v>275.91125296000001</v>
      </c>
      <c r="T3902" s="10" t="s">
        <v>1299</v>
      </c>
      <c r="U3902" s="34">
        <f t="shared" si="438"/>
        <v>103.72603494736843</v>
      </c>
      <c r="V3902" s="31">
        <f>IF(H3902="CHK",VLOOKUP(I3902,QCCHK,3,),IF(H3902="GUP",VLOOKUP(E3902,QCGUP,2,),IF(AND(H3902="ATP",OR(I3902="TN",I3902="TDN",I3902="TNO2-3",I3902="NO2-3")),VLOOKUP(E3902,QCREC_N,2,),IF(AND(H3902="NIC",OR(I3902="TN",I3902="TDN",I3902="TNO2-3",I3902="NO2-3")),VLOOKUP(E3902,QCNIC_N,2,),IF(AND(H3902="UREA",OR(I3902="TN",I3902="TDN",I3902="TNO2-3",I3902="NO2-3")),VLOOKUP(E3902,QCUREA_N,2,),IF(H3902="PER",VLOOKUP(I3902,QCPER,MATCH(E3902,QCACTUAL!$J$25:$AA$25,0),),IF(H3902="SPK",VLOOKUP(I3902,QCSPK,3,),IF(AND(H3902="ATP",OR(I3902="TP",I3902="TDP")),VLOOKUP(E3902,QCATP_P,2,),""))))))))</f>
        <v>266</v>
      </c>
      <c r="W3902" s="31" t="str">
        <f t="shared" si="439"/>
        <v>TRUE</v>
      </c>
      <c r="X3902" s="31" t="str">
        <f t="shared" si="436"/>
        <v>[rec]/[actual]*100</v>
      </c>
      <c r="Y3902" s="10" t="s">
        <v>1285</v>
      </c>
      <c r="AF3902" s="12">
        <v>44980</v>
      </c>
      <c r="AH3902" s="10">
        <f>-5.1889*3.86^2+102.33*3.86-44.163</f>
        <v>273.51826555999992</v>
      </c>
      <c r="AI3902" s="10">
        <f>-1.8824*3.86^2+87.341*3.86-33.178</f>
        <v>275.91125296000001</v>
      </c>
      <c r="AK3902" s="10">
        <f>-0.0059*3.86^2+68.478*3.86-14.154</f>
        <v>250.08317235999993</v>
      </c>
      <c r="AL3902" s="10" t="str">
        <f t="shared" si="443"/>
        <v>FALSE</v>
      </c>
      <c r="AM3902" s="10" t="str">
        <f t="shared" si="443"/>
        <v>y=-5.1889*3.86^2+102.33*3.86-44.163</v>
      </c>
      <c r="AN3902" s="10" t="str">
        <f t="shared" si="443"/>
        <v>y=-1.8824*3.86^2+87.341*3.86-33.178</v>
      </c>
      <c r="AO3902" s="10" t="str">
        <f t="shared" si="444"/>
        <v>FALSE</v>
      </c>
      <c r="AP3902" s="10" t="str">
        <f t="shared" si="444"/>
        <v>y=-0.0059*3.86^2+68.478*3.86-14.154</v>
      </c>
      <c r="AQ3902" s="10" t="b">
        <f>IF(AND(I3902="TP",S3902&lt;=150),VLOOKUP(AF3902,TPCalibEq150!$AZ$2:$BB$55,3,),IF(AND(I3902="TDP",S3902&lt;=150),VLOOKUP(AF3902,TPCalibEq150!$AZ$2:$BB$55,3,)))</f>
        <v>0</v>
      </c>
      <c r="AR3902" s="10" t="str">
        <f>IF(AND(I3902="TP",S3902&lt;=300),VLOOKUP(AF3902,TPCalibEq300!$AZ$2:$BB$55,3,),IF(AND(I3902="TDP",S3902&lt;=300),VLOOKUP(AF3902,TPCalibEq300!$AZ$2:$BB$55,3,)))</f>
        <v>y=-5.1889x2+102.33x-44.163</v>
      </c>
      <c r="AS3902" s="10" t="str">
        <f>IF(AND(I3902="TP",S3902&lt;=500),VLOOKUP(AF3902,TPCalibEq500!$AZ$2:$BB$56,3,),IF(AND(I3902="TDP",S3902&lt;=500),VLOOKUP(AF3902,TPCalibEq500!$AZ$2:$BB$56,3,)))</f>
        <v>y=-1.8824x2+87.341x-33.178</v>
      </c>
      <c r="AT3902" s="10" t="b">
        <f>IF(AND(I3902="TN",S3902&lt;=2800),VLOOKUP(AF3902,TNCalibEq2500!$AZ$2:$BB$56,3,),IF(AND(I3902="TDN",S3902&lt;=2800),VLOOKUP(AF3902,TNCalibEq2500!$AZ$2:$BB$56,3,)))</f>
        <v>0</v>
      </c>
      <c r="AU3902" s="10" t="str">
        <f>IF(I3902="TP",VLOOKUP(AF3902,TPCalibEqFull!$AZ$2:$BB$56,3),IF(I3902="TDP",VLOOKUP(AF3902,TPCalibEqFull!$AZ$2:$BB$56,3),IF(I3902="TDN",VLOOKUP(AF3902,TNCalibEqFull!$AZ$1:$BB$56,3),IF(I3902="TN",VLOOKUP(AF3902,TNCalibEqFull!$AZ$1:$BB$56,3),FALSE))))</f>
        <v>y=-0.0059x2+68.478x-14.154</v>
      </c>
      <c r="AV3902" s="10" t="str">
        <f t="shared" si="440"/>
        <v>0222 09:00:00-QAC-REC-B-1-DI-ATP</v>
      </c>
    </row>
    <row r="3903" spans="1:48" s="10" customFormat="1" x14ac:dyDescent="0.55000000000000004">
      <c r="A3903" s="32">
        <v>44979</v>
      </c>
      <c r="B3903" s="33">
        <v>0.375</v>
      </c>
      <c r="C3903" s="10" t="s">
        <v>70</v>
      </c>
      <c r="D3903" s="10" t="s">
        <v>305</v>
      </c>
      <c r="E3903" s="10" t="s">
        <v>190</v>
      </c>
      <c r="F3903" s="10">
        <v>1</v>
      </c>
      <c r="G3903" s="10" t="s">
        <v>73</v>
      </c>
      <c r="H3903" s="10" t="s">
        <v>181</v>
      </c>
      <c r="I3903" s="10" t="s">
        <v>83</v>
      </c>
      <c r="J3903" s="10">
        <v>209</v>
      </c>
      <c r="K3903" s="12">
        <v>44980</v>
      </c>
      <c r="L3903" s="33">
        <v>0.43635416666666665</v>
      </c>
      <c r="M3903" s="10">
        <v>1</v>
      </c>
      <c r="N3903" s="10" t="s">
        <v>84</v>
      </c>
      <c r="O3903" s="10">
        <v>1.9</v>
      </c>
      <c r="P3903" s="10">
        <v>0.13500000000000001</v>
      </c>
      <c r="Q3903" s="10">
        <v>116</v>
      </c>
      <c r="R3903" s="10" t="s">
        <v>85</v>
      </c>
      <c r="S3903" s="34">
        <f t="shared" si="437"/>
        <v>131.63237999999998</v>
      </c>
      <c r="T3903" s="10" t="s">
        <v>1299</v>
      </c>
      <c r="U3903" s="34">
        <f t="shared" si="438"/>
        <v>98.97171428571427</v>
      </c>
      <c r="V3903" s="31">
        <f>IF(H3903="CHK",VLOOKUP(I3903,QCCHK,3,),IF(H3903="GUP",VLOOKUP(E3903,QCGUP,2,),IF(AND(H3903="ATP",OR(I3903="TN",I3903="TDN",I3903="TNO2-3",I3903="NO2-3")),VLOOKUP(E3903,QCREC_N,2,),IF(AND(H3903="NIC",OR(I3903="TN",I3903="TDN",I3903="TNO2-3",I3903="NO2-3")),VLOOKUP(E3903,QCNIC_N,2,),IF(AND(H3903="UREA",OR(I3903="TN",I3903="TDN",I3903="TNO2-3",I3903="NO2-3")),VLOOKUP(E3903,QCUREA_N,2,),IF(H3903="PER",VLOOKUP(I3903,QCPER,MATCH(E3903,QCACTUAL!$J$25:$AA$25,0),),IF(H3903="SPK",VLOOKUP(I3903,QCSPK,3,),IF(AND(H3903="ATP",OR(I3903="TP",I3903="TDP")),VLOOKUP(E3903,QCATP_P,2,),""))))))))</f>
        <v>133</v>
      </c>
      <c r="W3903" s="31" t="str">
        <f t="shared" si="439"/>
        <v>TRUE</v>
      </c>
      <c r="X3903" s="31" t="str">
        <f t="shared" ref="X3903:X3966" si="445">IF(ISNA(VLOOKUP(H3903,QCEQUATIONS,2,)),"",(VLOOKUP(H3903,QCEQUATIONS,2,)))</f>
        <v>[rec]/[actual]*100</v>
      </c>
      <c r="Y3903" s="10" t="s">
        <v>1285</v>
      </c>
      <c r="AF3903" s="12">
        <v>44980</v>
      </c>
      <c r="AG3903" s="10">
        <f>-7.042*1.9^2+106.99*1.9-46.227</f>
        <v>131.63237999999998</v>
      </c>
      <c r="AH3903" s="10">
        <f>-5.1889*1.9^2+102.33*1.9-44.163</f>
        <v>131.53207099999997</v>
      </c>
      <c r="AI3903" s="10">
        <f>-1.8824*1.9^2+87.341*1.9-33.178</f>
        <v>125.97443599999997</v>
      </c>
      <c r="AK3903" s="10">
        <f>-0.0059*1.9^2+68.478*1.9-14.154</f>
        <v>115.93290099999999</v>
      </c>
      <c r="AL3903" s="10" t="str">
        <f t="shared" si="443"/>
        <v>y=-7.042*1.9^2+106.99*1.9-46.227</v>
      </c>
      <c r="AM3903" s="10" t="str">
        <f t="shared" si="443"/>
        <v>y=-5.1889*1.9^2+102.33*1.9-44.163</v>
      </c>
      <c r="AN3903" s="10" t="str">
        <f t="shared" si="443"/>
        <v>y=-1.8824*1.9^2+87.341*1.9-33.178</v>
      </c>
      <c r="AO3903" s="10" t="str">
        <f t="shared" si="444"/>
        <v>FALSE</v>
      </c>
      <c r="AP3903" s="10" t="str">
        <f t="shared" si="444"/>
        <v>y=-0.0059*1.9^2+68.478*1.9-14.154</v>
      </c>
      <c r="AQ3903" s="10" t="str">
        <f>IF(AND(I3903="TP",S3903&lt;=150),VLOOKUP(AF3903,TPCalibEq150!$AZ$2:$BB$55,3,),IF(AND(I3903="TDP",S3903&lt;=150),VLOOKUP(AF3903,TPCalibEq150!$AZ$2:$BB$55,3,)))</f>
        <v>y=-7.042x2+106.99x-46.227</v>
      </c>
      <c r="AR3903" s="10" t="str">
        <f>IF(AND(I3903="TP",S3903&lt;=300),VLOOKUP(AF3903,TPCalibEq300!$AZ$2:$BB$55,3,),IF(AND(I3903="TDP",S3903&lt;=300),VLOOKUP(AF3903,TPCalibEq300!$AZ$2:$BB$55,3,)))</f>
        <v>y=-5.1889x2+102.33x-44.163</v>
      </c>
      <c r="AS3903" s="10" t="str">
        <f>IF(AND(I3903="TP",S3903&lt;=500),VLOOKUP(AF3903,TPCalibEq500!$AZ$2:$BB$56,3,),IF(AND(I3903="TDP",S3903&lt;=500),VLOOKUP(AF3903,TPCalibEq500!$AZ$2:$BB$56,3,)))</f>
        <v>y=-1.8824x2+87.341x-33.178</v>
      </c>
      <c r="AT3903" s="10" t="b">
        <f>IF(AND(I3903="TN",S3903&lt;=2800),VLOOKUP(AF3903,TNCalibEq2500!$AZ$2:$BB$56,3,),IF(AND(I3903="TDN",S3903&lt;=2800),VLOOKUP(AF3903,TNCalibEq2500!$AZ$2:$BB$56,3,)))</f>
        <v>0</v>
      </c>
      <c r="AU3903" s="10" t="str">
        <f>IF(I3903="TP",VLOOKUP(AF3903,TPCalibEqFull!$AZ$2:$BB$56,3),IF(I3903="TDP",VLOOKUP(AF3903,TPCalibEqFull!$AZ$2:$BB$56,3),IF(I3903="TDN",VLOOKUP(AF3903,TNCalibEqFull!$AZ$1:$BB$56,3),IF(I3903="TN",VLOOKUP(AF3903,TNCalibEqFull!$AZ$1:$BB$56,3),FALSE))))</f>
        <v>y=-0.0059x2+68.478x-14.154</v>
      </c>
      <c r="AV3903" s="10" t="str">
        <f t="shared" si="440"/>
        <v>0222 09:00:00-QAC-REC-C-1-DI-ATP</v>
      </c>
    </row>
    <row r="3904" spans="1:48" s="10" customFormat="1" x14ac:dyDescent="0.55000000000000004">
      <c r="A3904" s="32">
        <v>44979</v>
      </c>
      <c r="B3904" s="33">
        <v>0.375</v>
      </c>
      <c r="C3904" s="10" t="s">
        <v>70</v>
      </c>
      <c r="D3904" s="10" t="s">
        <v>71</v>
      </c>
      <c r="E3904" s="10" t="s">
        <v>901</v>
      </c>
      <c r="F3904" s="10">
        <v>1</v>
      </c>
      <c r="G3904" s="10" t="s">
        <v>73</v>
      </c>
      <c r="H3904" s="10" t="s">
        <v>207</v>
      </c>
      <c r="I3904" s="10" t="s">
        <v>83</v>
      </c>
      <c r="J3904" s="10">
        <v>199</v>
      </c>
      <c r="K3904" s="12">
        <v>44980</v>
      </c>
      <c r="L3904" s="33">
        <v>0.43706018518518519</v>
      </c>
      <c r="M3904" s="10">
        <v>1</v>
      </c>
      <c r="N3904" s="10" t="s">
        <v>84</v>
      </c>
      <c r="O3904" s="10">
        <v>7.42</v>
      </c>
      <c r="P3904" s="10">
        <v>0.54600000000000004</v>
      </c>
      <c r="Q3904" s="10">
        <v>492</v>
      </c>
      <c r="R3904" s="10" t="s">
        <v>85</v>
      </c>
      <c r="S3904" s="34">
        <f t="shared" ref="S3904:S3967" si="446">IF(OR(AND(I3904&lt;&gt;"TP", I3904&lt;&gt;"TDP",I3904&lt;&gt;"TN", I3904&lt;&gt;"TDN"),H3904="CAL"), Q3904*M3904, IF(OR(AND(I3904="TN", Q3904&gt;2500), AND(I3904="TDN", Q3904&gt;2500)),MAX(Q3904, AK3904)*M3904, IF(OR(AND(I3904="TN", Q3904&lt;=2500), AND(I3904="TDN", Q3904&lt;=2500)),MAX(Q3904, AJ3904,AK3904)*M3904, IF(OR(AND(I3904="TP",Q3904&gt;500), AND(I3904="TDP", Q3904&gt;500)),MAX(Q3904,AK3904)*M3904,IF(OR(AND(I3904="TP",Q3904&lt;=150), AND(I3904="TDP", Q3904&lt;=150)),MAX(Q3904,AG3904:AI3904,AK3904)*M3904,IF(OR(AND(I3904="TP",Q3904&lt;=300), AND(I3904="TDP", Q3904&lt;=300)),MAX(Q3904,AH3904,AI3904,AK3904)*M3904,IF(OR(AND(I3904="TP",Q3904&lt;=500), AND(I3904="TDP", Q3904&lt;=500)),MAX(Q3904,AI3904,AK3904)*M3904,"")))))))</f>
        <v>511.25405263999994</v>
      </c>
      <c r="T3904" s="10" t="s">
        <v>1299</v>
      </c>
      <c r="U3904" s="34">
        <f t="shared" si="438"/>
        <v>102.25081052799997</v>
      </c>
      <c r="V3904" s="31">
        <f>IF(H3904="CHK",VLOOKUP(I3904,QCCHK,3,),IF(H3904="GUP",VLOOKUP(E3904,QCGUP,2,),IF(AND(H3904="ATP",OR(I3904="TN",I3904="TDN",I3904="TNO2-3",I3904="NO2-3")),VLOOKUP(E3904,QCREC_N,2,),IF(AND(H3904="NIC",OR(I3904="TN",I3904="TDN",I3904="TNO2-3",I3904="NO2-3")),VLOOKUP(E3904,QCNIC_N,2,),IF(AND(H3904="UREA",OR(I3904="TN",I3904="TDN",I3904="TNO2-3",I3904="NO2-3")),VLOOKUP(E3904,QCUREA_N,2,),IF(H3904="PER",VLOOKUP(I3904,QCPER,MATCH(E3904,QCACTUAL!$J$25:$AA$25,0),),IF(H3904="SPK",VLOOKUP(I3904,QCSPK,3,),IF(AND(H3904="ATP",OR(I3904="TP",I3904="TDP")),VLOOKUP(E3904,QCATP_P,2,),""))))))))</f>
        <v>500</v>
      </c>
      <c r="W3904" s="31" t="str">
        <f t="shared" si="439"/>
        <v>TRUE</v>
      </c>
      <c r="X3904" s="31" t="str">
        <f t="shared" si="445"/>
        <v>[chk]/[actual]*100</v>
      </c>
      <c r="Y3904" s="10" t="s">
        <v>1285</v>
      </c>
      <c r="AF3904" s="12">
        <v>44980</v>
      </c>
      <c r="AI3904" s="10">
        <f>-1.8824*7.42^2+87.341*7.42-33.178</f>
        <v>511.25405263999994</v>
      </c>
      <c r="AK3904" s="10">
        <f>-0.0059*7.42^2+68.478*7.42-14.154</f>
        <v>493.62792723999996</v>
      </c>
      <c r="AL3904" s="10" t="str">
        <f t="shared" si="443"/>
        <v>FALSE</v>
      </c>
      <c r="AM3904" s="10" t="str">
        <f t="shared" si="443"/>
        <v>FALSE</v>
      </c>
      <c r="AN3904" s="10" t="str">
        <f t="shared" si="443"/>
        <v>FALSE</v>
      </c>
      <c r="AO3904" s="10" t="str">
        <f t="shared" si="444"/>
        <v>FALSE</v>
      </c>
      <c r="AP3904" s="10" t="str">
        <f t="shared" si="444"/>
        <v>y=-0.0059*7.42^2+68.478*7.42-14.154</v>
      </c>
      <c r="AQ3904" s="10" t="b">
        <f>IF(AND(I3904="TP",S3904&lt;=150),VLOOKUP(AF3904,TPCalibEq150!$AZ$2:$BB$55,3,),IF(AND(I3904="TDP",S3904&lt;=150),VLOOKUP(AF3904,TPCalibEq150!$AZ$2:$BB$55,3,)))</f>
        <v>0</v>
      </c>
      <c r="AR3904" s="10" t="b">
        <f>IF(AND(I3904="TP",S3904&lt;=300),VLOOKUP(AF3904,TPCalibEq300!$AZ$2:$BB$55,3,),IF(AND(I3904="TDP",S3904&lt;=300),VLOOKUP(AF3904,TPCalibEq300!$AZ$2:$BB$55,3,)))</f>
        <v>0</v>
      </c>
      <c r="AS3904" s="10" t="b">
        <f>IF(AND(I3904="TP",S3904&lt;=500),VLOOKUP(AF3904,TPCalibEq500!$AZ$2:$BB$56,3,),IF(AND(I3904="TDP",S3904&lt;=500),VLOOKUP(AF3904,TPCalibEq500!$AZ$2:$BB$56,3,)))</f>
        <v>0</v>
      </c>
      <c r="AT3904" s="10" t="b">
        <f>IF(AND(I3904="TN",S3904&lt;=2800),VLOOKUP(AF3904,TNCalibEq2500!$AZ$2:$BB$56,3,),IF(AND(I3904="TDN",S3904&lt;=2800),VLOOKUP(AF3904,TNCalibEq2500!$AZ$2:$BB$56,3,)))</f>
        <v>0</v>
      </c>
      <c r="AU3904" s="10" t="str">
        <f>IF(I3904="TP",VLOOKUP(AF3904,TPCalibEqFull!$AZ$2:$BB$56,3),IF(I3904="TDP",VLOOKUP(AF3904,TPCalibEqFull!$AZ$2:$BB$56,3),IF(I3904="TDN",VLOOKUP(AF3904,TNCalibEqFull!$AZ$1:$BB$56,3),IF(I3904="TN",VLOOKUP(AF3904,TNCalibEqFull!$AZ$1:$BB$56,3),FALSE))))</f>
        <v>y=-0.0059x2+68.478x-14.154</v>
      </c>
      <c r="AV3904" s="10" t="str">
        <f t="shared" si="440"/>
        <v>0222 09:00:00-QAC-STD-D-1-DI-CHK</v>
      </c>
    </row>
    <row r="3905" spans="1:48" s="10" customFormat="1" x14ac:dyDescent="0.55000000000000004">
      <c r="A3905" s="32">
        <v>44978</v>
      </c>
      <c r="B3905" s="33">
        <v>0.25</v>
      </c>
      <c r="C3905" s="10" t="s">
        <v>70</v>
      </c>
      <c r="D3905" s="10" t="s">
        <v>241</v>
      </c>
      <c r="E3905" s="10">
        <v>800</v>
      </c>
      <c r="F3905" s="10">
        <v>1</v>
      </c>
      <c r="G3905" s="10" t="s">
        <v>73</v>
      </c>
      <c r="H3905" s="10" t="s">
        <v>264</v>
      </c>
      <c r="I3905" s="10" t="s">
        <v>83</v>
      </c>
      <c r="J3905" s="10">
        <v>91</v>
      </c>
      <c r="K3905" s="12">
        <v>44980</v>
      </c>
      <c r="L3905" s="33">
        <v>0.43844907407407407</v>
      </c>
      <c r="M3905" s="10">
        <v>1</v>
      </c>
      <c r="N3905" s="10" t="s">
        <v>84</v>
      </c>
      <c r="O3905" s="10">
        <v>1.1200000000000001</v>
      </c>
      <c r="P3905" s="10">
        <v>7.8299999999999995E-2</v>
      </c>
      <c r="Q3905" s="10">
        <v>63.4</v>
      </c>
      <c r="R3905" s="10" t="s">
        <v>85</v>
      </c>
      <c r="S3905" s="34">
        <f t="shared" si="446"/>
        <v>64.768315199999989</v>
      </c>
      <c r="T3905" s="10" t="s">
        <v>1299</v>
      </c>
      <c r="U3905" s="34">
        <f t="shared" si="438"/>
        <v>64.768315199999989</v>
      </c>
      <c r="V3905" s="31" t="str">
        <f>IF(H3905="CHK",VLOOKUP(I3905,QCCHK,3,),IF(H3905="GUP",VLOOKUP(E3905,QCGUP,2,),IF(AND(H3905="ATP",OR(I3905="TN",I3905="TDN",I3905="TNO2-3",I3905="NO2-3")),VLOOKUP(E3905,QCREC_N,2,),IF(AND(H3905="NIC",OR(I3905="TN",I3905="TDN",I3905="TNO2-3",I3905="NO2-3")),VLOOKUP(E3905,QCNIC_N,2,),IF(AND(H3905="UREA",OR(I3905="TN",I3905="TDN",I3905="TNO2-3",I3905="NO2-3")),VLOOKUP(E3905,QCUREA_N,2,),IF(H3905="PER",VLOOKUP(I3905,QCPER,MATCH(E3905,QCACTUAL!$J$25:$AA$25,0),),IF(H3905="SPK",VLOOKUP(I3905,QCSPK,3,),IF(AND(H3905="ATP",OR(I3905="TP",I3905="TDP")),VLOOKUP(E3905,QCATP_P,2,),""))))))))</f>
        <v/>
      </c>
      <c r="W3905" s="31" t="str">
        <f t="shared" si="439"/>
        <v>FALSE</v>
      </c>
      <c r="X3905" s="31" t="str">
        <f t="shared" si="445"/>
        <v>nominal concentration</v>
      </c>
      <c r="Y3905" s="10" t="s">
        <v>1285</v>
      </c>
      <c r="AF3905" s="12">
        <v>44980</v>
      </c>
      <c r="AG3905" s="10">
        <f>-7.042*1.12^2+106.99*1.12-46.227</f>
        <v>64.768315199999989</v>
      </c>
      <c r="AH3905" s="10">
        <f>-5.1889*1.12^2+102.33*1.12-44.163</f>
        <v>63.937643840000021</v>
      </c>
      <c r="AI3905" s="10">
        <f>-1.8824*1.12^2+87.341*1.12-33.178</f>
        <v>62.282637440000002</v>
      </c>
      <c r="AK3905" s="10">
        <f>-0.0059*1.12^2+68.478*1.12-14.154</f>
        <v>62.533959040000013</v>
      </c>
      <c r="AL3905" s="10" t="str">
        <f t="shared" si="443"/>
        <v>y=-7.042*1.12^2+106.99*1.12-46.227</v>
      </c>
      <c r="AM3905" s="10" t="str">
        <f t="shared" si="443"/>
        <v>y=-5.1889*1.12^2+102.33*1.12-44.163</v>
      </c>
      <c r="AN3905" s="10" t="str">
        <f t="shared" si="443"/>
        <v>y=-1.8824*1.12^2+87.341*1.12-33.178</v>
      </c>
      <c r="AO3905" s="10" t="str">
        <f t="shared" si="444"/>
        <v>FALSE</v>
      </c>
      <c r="AP3905" s="10" t="str">
        <f t="shared" si="444"/>
        <v>y=-0.0059*1.12^2+68.478*1.12-14.154</v>
      </c>
      <c r="AQ3905" s="10" t="str">
        <f>IF(AND(I3905="TP",S3905&lt;=150),VLOOKUP(AF3905,TPCalibEq150!$AZ$2:$BB$55,3,),IF(AND(I3905="TDP",S3905&lt;=150),VLOOKUP(AF3905,TPCalibEq150!$AZ$2:$BB$55,3,)))</f>
        <v>y=-7.042x2+106.99x-46.227</v>
      </c>
      <c r="AR3905" s="10" t="str">
        <f>IF(AND(I3905="TP",S3905&lt;=300),VLOOKUP(AF3905,TPCalibEq300!$AZ$2:$BB$55,3,),IF(AND(I3905="TDP",S3905&lt;=300),VLOOKUP(AF3905,TPCalibEq300!$AZ$2:$BB$55,3,)))</f>
        <v>y=-5.1889x2+102.33x-44.163</v>
      </c>
      <c r="AS3905" s="10" t="str">
        <f>IF(AND(I3905="TP",S3905&lt;=500),VLOOKUP(AF3905,TPCalibEq500!$AZ$2:$BB$56,3,),IF(AND(I3905="TDP",S3905&lt;=500),VLOOKUP(AF3905,TPCalibEq500!$AZ$2:$BB$56,3,)))</f>
        <v>y=-1.8824x2+87.341x-33.178</v>
      </c>
      <c r="AT3905" s="10" t="b">
        <f>IF(AND(I3905="TN",S3905&lt;=2800),VLOOKUP(AF3905,TNCalibEq2500!$AZ$2:$BB$56,3,),IF(AND(I3905="TDN",S3905&lt;=2800),VLOOKUP(AF3905,TNCalibEq2500!$AZ$2:$BB$56,3,)))</f>
        <v>0</v>
      </c>
      <c r="AU3905" s="10" t="str">
        <f>IF(I3905="TP",VLOOKUP(AF3905,TPCalibEqFull!$AZ$2:$BB$56,3),IF(I3905="TDP",VLOOKUP(AF3905,TPCalibEqFull!$AZ$2:$BB$56,3),IF(I3905="TDN",VLOOKUP(AF3905,TNCalibEqFull!$AZ$1:$BB$56,3),IF(I3905="TN",VLOOKUP(AF3905,TNCalibEqFull!$AZ$1:$BB$56,3),FALSE))))</f>
        <v>y=-0.0059x2+68.478x-14.154</v>
      </c>
      <c r="AV3905" s="10" t="str">
        <f t="shared" si="440"/>
        <v>0221 06:00:00-QAC-BLK-800-1-DI-FLD</v>
      </c>
    </row>
    <row r="3906" spans="1:48" s="10" customFormat="1" x14ac:dyDescent="0.55000000000000004">
      <c r="A3906" s="32">
        <v>44978</v>
      </c>
      <c r="B3906" s="33">
        <v>0.23333333333333331</v>
      </c>
      <c r="C3906" s="10" t="s">
        <v>70</v>
      </c>
      <c r="D3906" s="10" t="s">
        <v>241</v>
      </c>
      <c r="E3906" s="10" t="s">
        <v>866</v>
      </c>
      <c r="F3906" s="10">
        <v>1</v>
      </c>
      <c r="G3906" s="10" t="s">
        <v>73</v>
      </c>
      <c r="H3906" s="10" t="s">
        <v>264</v>
      </c>
      <c r="I3906" s="10" t="s">
        <v>83</v>
      </c>
      <c r="J3906" s="10">
        <v>92</v>
      </c>
      <c r="K3906" s="12">
        <v>44980</v>
      </c>
      <c r="L3906" s="33">
        <v>0.43914351851851857</v>
      </c>
      <c r="M3906" s="10">
        <v>1</v>
      </c>
      <c r="N3906" s="10" t="s">
        <v>84</v>
      </c>
      <c r="O3906" s="10">
        <v>0.42099999999999999</v>
      </c>
      <c r="P3906" s="10">
        <v>2.8400000000000002E-2</v>
      </c>
      <c r="Q3906" s="10">
        <v>15.9</v>
      </c>
      <c r="R3906" s="10" t="s">
        <v>85</v>
      </c>
      <c r="S3906" s="34">
        <f t="shared" si="446"/>
        <v>15.9</v>
      </c>
      <c r="T3906" s="10" t="s">
        <v>1299</v>
      </c>
      <c r="U3906" s="34">
        <f t="shared" ref="U3906:U3969" si="447">IF(OR(H3906="CHK",H3906="ATP",H3906="GUP",H3906="PER", H3906="NIC", H3906="UREA"),(S3906/V3906*100),IF(H3906="DUP",((ABS(S3906-S3905))/((S3905+S3906)/2))*100,IF(H3906="SPK",((S3906-S3905)/V3906*100),IF(OR(H3906="LAB",H3906="FLD",H3906="ESF"),S3906,""))))</f>
        <v>15.9</v>
      </c>
      <c r="V3906" s="31" t="str">
        <f>IF(H3906="CHK",VLOOKUP(I3906,QCCHK,3,),IF(H3906="GUP",VLOOKUP(E3906,QCGUP,2,),IF(AND(H3906="ATP",OR(I3906="TN",I3906="TDN",I3906="TNO2-3",I3906="NO2-3")),VLOOKUP(E3906,QCREC_N,2,),IF(AND(H3906="NIC",OR(I3906="TN",I3906="TDN",I3906="TNO2-3",I3906="NO2-3")),VLOOKUP(E3906,QCNIC_N,2,),IF(AND(H3906="UREA",OR(I3906="TN",I3906="TDN",I3906="TNO2-3",I3906="NO2-3")),VLOOKUP(E3906,QCUREA_N,2,),IF(H3906="PER",VLOOKUP(I3906,QCPER,MATCH(E3906,QCACTUAL!$J$25:$AA$25,0),),IF(H3906="SPK",VLOOKUP(I3906,QCSPK,3,),IF(AND(H3906="ATP",OR(I3906="TP",I3906="TDP")),VLOOKUP(E3906,QCATP_P,2,),""))))))))</f>
        <v/>
      </c>
      <c r="W3906" s="31" t="str">
        <f t="shared" ref="W3906:W3969" si="448">IF(AND(OR(H3906="PER",H3906="ATP",H3906="GUP",H3906="CHK",H3906="SPK", H3906="NIC"),OR(U3906&gt;125,U3906&lt;75)),"FALSE",IF(AND(H3906="DUP",OR(U3906&gt;25, U3906&lt;-25)),"FALSE",IF(AND(OR(H3906="LAB",H3906="FLD",H3906="ESF"),U3906&gt;15),"FALSE","TRUE")))</f>
        <v>FALSE</v>
      </c>
      <c r="X3906" s="31" t="str">
        <f t="shared" si="445"/>
        <v>nominal concentration</v>
      </c>
      <c r="Y3906" s="10" t="s">
        <v>1285</v>
      </c>
      <c r="AF3906" s="12">
        <v>44980</v>
      </c>
      <c r="AG3906" s="10">
        <f>-7.042*0.421^2+106.99*0.421-46.227</f>
        <v>-2.4323411219999969</v>
      </c>
      <c r="AH3906" s="10">
        <f>-5.1889*0.421^2+102.33*0.421-44.163</f>
        <v>-2.0017558249000018</v>
      </c>
      <c r="AI3906" s="10">
        <f>-1.8824*0.421^2+87.341*0.421-33.178</f>
        <v>3.2589225415999934</v>
      </c>
      <c r="AK3906" s="10">
        <f>-0.0059*0.421^2+68.478*0.421-14.154</f>
        <v>14.674192278099998</v>
      </c>
      <c r="AL3906" s="10" t="str">
        <f t="shared" si="443"/>
        <v>y=-7.042*0.421^2+106.99*0.421-46.227</v>
      </c>
      <c r="AM3906" s="10" t="str">
        <f t="shared" si="443"/>
        <v>y=-5.1889*0.421^2+102.33*0.421-44.163</v>
      </c>
      <c r="AN3906" s="10" t="str">
        <f t="shared" si="443"/>
        <v>y=-1.8824*0.421^2+87.341*0.421-33.178</v>
      </c>
      <c r="AO3906" s="10" t="str">
        <f t="shared" si="444"/>
        <v>FALSE</v>
      </c>
      <c r="AP3906" s="10" t="str">
        <f t="shared" si="444"/>
        <v>y=-0.0059*0.421^2+68.478*0.421-14.154</v>
      </c>
      <c r="AQ3906" s="10" t="str">
        <f>IF(AND(I3906="TP",S3906&lt;=150),VLOOKUP(AF3906,TPCalibEq150!$AZ$2:$BB$55,3,),IF(AND(I3906="TDP",S3906&lt;=150),VLOOKUP(AF3906,TPCalibEq150!$AZ$2:$BB$55,3,)))</f>
        <v>y=-7.042x2+106.99x-46.227</v>
      </c>
      <c r="AR3906" s="10" t="str">
        <f>IF(AND(I3906="TP",S3906&lt;=300),VLOOKUP(AF3906,TPCalibEq300!$AZ$2:$BB$55,3,),IF(AND(I3906="TDP",S3906&lt;=300),VLOOKUP(AF3906,TPCalibEq300!$AZ$2:$BB$55,3,)))</f>
        <v>y=-5.1889x2+102.33x-44.163</v>
      </c>
      <c r="AS3906" s="10" t="str">
        <f>IF(AND(I3906="TP",S3906&lt;=500),VLOOKUP(AF3906,TPCalibEq500!$AZ$2:$BB$56,3,),IF(AND(I3906="TDP",S3906&lt;=500),VLOOKUP(AF3906,TPCalibEq500!$AZ$2:$BB$56,3,)))</f>
        <v>y=-1.8824x2+87.341x-33.178</v>
      </c>
      <c r="AT3906" s="10" t="b">
        <f>IF(AND(I3906="TN",S3906&lt;=2800),VLOOKUP(AF3906,TNCalibEq2500!$AZ$2:$BB$56,3,),IF(AND(I3906="TDN",S3906&lt;=2800),VLOOKUP(AF3906,TNCalibEq2500!$AZ$2:$BB$56,3,)))</f>
        <v>0</v>
      </c>
      <c r="AU3906" s="10" t="str">
        <f>IF(I3906="TP",VLOOKUP(AF3906,TPCalibEqFull!$AZ$2:$BB$56,3),IF(I3906="TDP",VLOOKUP(AF3906,TPCalibEqFull!$AZ$2:$BB$56,3),IF(I3906="TDN",VLOOKUP(AF3906,TNCalibEqFull!$AZ$1:$BB$56,3),IF(I3906="TN",VLOOKUP(AF3906,TNCalibEqFull!$AZ$1:$BB$56,3),FALSE))))</f>
        <v>y=-0.0059x2+68.478x-14.154</v>
      </c>
      <c r="AV3906" s="10" t="str">
        <f t="shared" ref="AV3906:AV3969" si="449">TEXT(A3906, "MMDD")&amp;" "&amp;TEXT(B3906, "HH:MM:SS")&amp;"-"&amp;C3906&amp;"-"&amp;D3906&amp;"-"&amp;E3906&amp;"-"&amp;F3906&amp;"-"&amp;G3906&amp;"-"&amp;H3906</f>
        <v>0221 05:36:00-QAC-BLK-A-1-DI-FLD</v>
      </c>
    </row>
    <row r="3907" spans="1:48" s="10" customFormat="1" x14ac:dyDescent="0.55000000000000004">
      <c r="A3907" s="32">
        <v>44978</v>
      </c>
      <c r="B3907" s="33">
        <v>0.25</v>
      </c>
      <c r="C3907" s="10" t="s">
        <v>70</v>
      </c>
      <c r="D3907" s="10" t="s">
        <v>241</v>
      </c>
      <c r="E3907" s="10" t="s">
        <v>911</v>
      </c>
      <c r="F3907" s="10">
        <v>1</v>
      </c>
      <c r="G3907" s="10" t="s">
        <v>73</v>
      </c>
      <c r="H3907" s="10" t="s">
        <v>245</v>
      </c>
      <c r="I3907" s="10" t="s">
        <v>266</v>
      </c>
      <c r="J3907" s="10">
        <v>93</v>
      </c>
      <c r="K3907" s="12">
        <v>44980</v>
      </c>
      <c r="L3907" s="33">
        <v>0.43986111111111109</v>
      </c>
      <c r="M3907" s="10">
        <v>1</v>
      </c>
      <c r="N3907" s="10" t="s">
        <v>84</v>
      </c>
      <c r="O3907" s="10">
        <v>0.49299999999999999</v>
      </c>
      <c r="P3907" s="10">
        <v>3.3599999999999998E-2</v>
      </c>
      <c r="Q3907" s="10">
        <v>20.8</v>
      </c>
      <c r="R3907" s="10" t="s">
        <v>85</v>
      </c>
      <c r="S3907" s="34">
        <f t="shared" si="446"/>
        <v>20.8</v>
      </c>
      <c r="T3907" s="10" t="s">
        <v>1299</v>
      </c>
      <c r="U3907" s="34">
        <f t="shared" si="447"/>
        <v>20.8</v>
      </c>
      <c r="V3907" s="31" t="str">
        <f>IF(H3907="CHK",VLOOKUP(I3907,QCCHK,3,),IF(H3907="GUP",VLOOKUP(E3907,QCGUP,2,),IF(AND(H3907="ATP",OR(I3907="TN",I3907="TDN",I3907="TNO2-3",I3907="NO2-3")),VLOOKUP(E3907,QCREC_N,2,),IF(AND(H3907="NIC",OR(I3907="TN",I3907="TDN",I3907="TNO2-3",I3907="NO2-3")),VLOOKUP(E3907,QCNIC_N,2,),IF(AND(H3907="UREA",OR(I3907="TN",I3907="TDN",I3907="TNO2-3",I3907="NO2-3")),VLOOKUP(E3907,QCUREA_N,2,),IF(H3907="PER",VLOOKUP(I3907,QCPER,MATCH(E3907,QCACTUAL!$J$25:$AA$25,0),),IF(H3907="SPK",VLOOKUP(I3907,QCSPK,3,),IF(AND(H3907="ATP",OR(I3907="TP",I3907="TDP")),VLOOKUP(E3907,QCATP_P,2,),""))))))))</f>
        <v/>
      </c>
      <c r="W3907" s="31" t="str">
        <f t="shared" si="448"/>
        <v>FALSE</v>
      </c>
      <c r="X3907" s="31" t="str">
        <f t="shared" si="445"/>
        <v>nominal concentration</v>
      </c>
      <c r="Y3907" s="10" t="s">
        <v>1285</v>
      </c>
      <c r="AF3907" s="12">
        <v>44980</v>
      </c>
      <c r="AG3907" s="10">
        <f>-7.042*0.493^2+106.99*0.493-46.227</f>
        <v>4.8075189420000015</v>
      </c>
      <c r="AH3907" s="10">
        <f>-5.1889*0.493^2+102.33*0.493-44.163</f>
        <v>5.0245330439</v>
      </c>
      <c r="AI3907" s="10">
        <f>-1.8824*0.493^2+87.341*0.493-33.178</f>
        <v>9.4235975623999977</v>
      </c>
      <c r="AK3907" s="10">
        <f>-0.0059*0.493^2+68.478*0.493-14.154</f>
        <v>19.604220010899997</v>
      </c>
      <c r="AL3907" s="10" t="str">
        <f t="shared" si="443"/>
        <v>y=-7.042*0.493^2+106.99*0.493-46.227</v>
      </c>
      <c r="AM3907" s="10" t="str">
        <f t="shared" si="443"/>
        <v>y=-5.1889*0.493^2+102.33*0.493-44.163</v>
      </c>
      <c r="AN3907" s="10" t="str">
        <f t="shared" si="443"/>
        <v>y=-1.8824*0.493^2+87.341*0.493-33.178</v>
      </c>
      <c r="AO3907" s="10" t="str">
        <f t="shared" si="444"/>
        <v>FALSE</v>
      </c>
      <c r="AP3907" s="10" t="str">
        <f t="shared" si="444"/>
        <v>y=-0.0059*0.493^2+68.478*0.493-14.154</v>
      </c>
      <c r="AQ3907" s="10" t="str">
        <f>IF(AND(I3907="TP",S3907&lt;=150),VLOOKUP(AF3907,TPCalibEq150!$AZ$2:$BB$55,3,),IF(AND(I3907="TDP",S3907&lt;=150),VLOOKUP(AF3907,TPCalibEq150!$AZ$2:$BB$55,3,)))</f>
        <v>y=-7.042x2+106.99x-46.227</v>
      </c>
      <c r="AR3907" s="10" t="str">
        <f>IF(AND(I3907="TP",S3907&lt;=300),VLOOKUP(AF3907,TPCalibEq300!$AZ$2:$BB$55,3,),IF(AND(I3907="TDP",S3907&lt;=300),VLOOKUP(AF3907,TPCalibEq300!$AZ$2:$BB$55,3,)))</f>
        <v>y=-5.1889x2+102.33x-44.163</v>
      </c>
      <c r="AS3907" s="10" t="str">
        <f>IF(AND(I3907="TP",S3907&lt;=500),VLOOKUP(AF3907,TPCalibEq500!$AZ$2:$BB$56,3,),IF(AND(I3907="TDP",S3907&lt;=500),VLOOKUP(AF3907,TPCalibEq500!$AZ$2:$BB$56,3,)))</f>
        <v>y=-1.8824x2+87.341x-33.178</v>
      </c>
      <c r="AT3907" s="10" t="b">
        <f>IF(AND(I3907="TN",S3907&lt;=2800),VLOOKUP(AF3907,TNCalibEq2500!$AZ$2:$BB$56,3,),IF(AND(I3907="TDN",S3907&lt;=2800),VLOOKUP(AF3907,TNCalibEq2500!$AZ$2:$BB$56,3,)))</f>
        <v>0</v>
      </c>
      <c r="AU3907" s="10" t="str">
        <f>IF(I3907="TP",VLOOKUP(AF3907,TPCalibEqFull!$AZ$2:$BB$56,3),IF(I3907="TDP",VLOOKUP(AF3907,TPCalibEqFull!$AZ$2:$BB$56,3),IF(I3907="TDN",VLOOKUP(AF3907,TNCalibEqFull!$AZ$1:$BB$56,3),IF(I3907="TN",VLOOKUP(AF3907,TNCalibEqFull!$AZ$1:$BB$56,3),FALSE))))</f>
        <v>y=-0.0059x2+68.478x-14.154</v>
      </c>
      <c r="AV3907" s="10" t="str">
        <f t="shared" si="449"/>
        <v>0221 06:00:00-QAC-BLK-FIL-1-DI-ESF</v>
      </c>
    </row>
    <row r="3908" spans="1:48" s="10" customFormat="1" x14ac:dyDescent="0.55000000000000004">
      <c r="A3908" s="32">
        <v>44978</v>
      </c>
      <c r="B3908" s="33">
        <v>0.23333333333333331</v>
      </c>
      <c r="C3908" s="10" t="s">
        <v>70</v>
      </c>
      <c r="D3908" s="10" t="s">
        <v>241</v>
      </c>
      <c r="E3908" s="10" t="s">
        <v>911</v>
      </c>
      <c r="F3908" s="10">
        <v>1</v>
      </c>
      <c r="G3908" s="10" t="s">
        <v>73</v>
      </c>
      <c r="H3908" s="10" t="s">
        <v>245</v>
      </c>
      <c r="I3908" s="10" t="s">
        <v>266</v>
      </c>
      <c r="J3908" s="10">
        <v>94</v>
      </c>
      <c r="K3908" s="12">
        <v>44980</v>
      </c>
      <c r="L3908" s="33">
        <v>0.44055555555555559</v>
      </c>
      <c r="M3908" s="10">
        <v>1</v>
      </c>
      <c r="N3908" s="10" t="s">
        <v>84</v>
      </c>
      <c r="O3908" s="10">
        <v>0.434</v>
      </c>
      <c r="P3908" s="10">
        <v>2.92E-2</v>
      </c>
      <c r="Q3908" s="10">
        <v>16.8</v>
      </c>
      <c r="R3908" s="10" t="s">
        <v>85</v>
      </c>
      <c r="S3908" s="34">
        <f t="shared" si="446"/>
        <v>16.8</v>
      </c>
      <c r="T3908" s="10" t="s">
        <v>1299</v>
      </c>
      <c r="U3908" s="34">
        <f t="shared" si="447"/>
        <v>16.8</v>
      </c>
      <c r="V3908" s="31" t="str">
        <f>IF(H3908="CHK",VLOOKUP(I3908,QCCHK,3,),IF(H3908="GUP",VLOOKUP(E3908,QCGUP,2,),IF(AND(H3908="ATP",OR(I3908="TN",I3908="TDN",I3908="TNO2-3",I3908="NO2-3")),VLOOKUP(E3908,QCREC_N,2,),IF(AND(H3908="NIC",OR(I3908="TN",I3908="TDN",I3908="TNO2-3",I3908="NO2-3")),VLOOKUP(E3908,QCNIC_N,2,),IF(AND(H3908="UREA",OR(I3908="TN",I3908="TDN",I3908="TNO2-3",I3908="NO2-3")),VLOOKUP(E3908,QCUREA_N,2,),IF(H3908="PER",VLOOKUP(I3908,QCPER,MATCH(E3908,QCACTUAL!$J$25:$AA$25,0),),IF(H3908="SPK",VLOOKUP(I3908,QCSPK,3,),IF(AND(H3908="ATP",OR(I3908="TP",I3908="TDP")),VLOOKUP(E3908,QCATP_P,2,),""))))))))</f>
        <v/>
      </c>
      <c r="W3908" s="31" t="str">
        <f t="shared" si="448"/>
        <v>FALSE</v>
      </c>
      <c r="X3908" s="31" t="str">
        <f t="shared" si="445"/>
        <v>nominal concentration</v>
      </c>
      <c r="Y3908" s="10" t="s">
        <v>1285</v>
      </c>
      <c r="AF3908" s="12">
        <v>44980</v>
      </c>
      <c r="AG3908" s="10">
        <f>-7.042*0.434^2+106.99*0.434-46.227</f>
        <v>-1.1197429520000028</v>
      </c>
      <c r="AH3908" s="10">
        <f>-5.1889*0.434^2+102.33*0.434-44.163</f>
        <v>-0.72914044839999548</v>
      </c>
      <c r="AI3908" s="10">
        <f>-1.8824*0.434^2+87.341*0.434-33.178</f>
        <v>4.3734326655999993</v>
      </c>
      <c r="AK3908" s="10">
        <f>-0.0059*0.434^2+68.478*0.434-14.154</f>
        <v>15.564340699599995</v>
      </c>
      <c r="AL3908" s="10" t="str">
        <f t="shared" si="443"/>
        <v>y=-7.042*0.434^2+106.99*0.434-46.227</v>
      </c>
      <c r="AM3908" s="10" t="str">
        <f t="shared" si="443"/>
        <v>y=-5.1889*0.434^2+102.33*0.434-44.163</v>
      </c>
      <c r="AN3908" s="10" t="str">
        <f t="shared" si="443"/>
        <v>y=-1.8824*0.434^2+87.341*0.434-33.178</v>
      </c>
      <c r="AO3908" s="10" t="str">
        <f t="shared" si="444"/>
        <v>FALSE</v>
      </c>
      <c r="AP3908" s="10" t="str">
        <f t="shared" si="444"/>
        <v>y=-0.0059*0.434^2+68.478*0.434-14.154</v>
      </c>
      <c r="AQ3908" s="10" t="str">
        <f>IF(AND(I3908="TP",S3908&lt;=150),VLOOKUP(AF3908,TPCalibEq150!$AZ$2:$BB$55,3,),IF(AND(I3908="TDP",S3908&lt;=150),VLOOKUP(AF3908,TPCalibEq150!$AZ$2:$BB$55,3,)))</f>
        <v>y=-7.042x2+106.99x-46.227</v>
      </c>
      <c r="AR3908" s="10" t="str">
        <f>IF(AND(I3908="TP",S3908&lt;=300),VLOOKUP(AF3908,TPCalibEq300!$AZ$2:$BB$55,3,),IF(AND(I3908="TDP",S3908&lt;=300),VLOOKUP(AF3908,TPCalibEq300!$AZ$2:$BB$55,3,)))</f>
        <v>y=-5.1889x2+102.33x-44.163</v>
      </c>
      <c r="AS3908" s="10" t="str">
        <f>IF(AND(I3908="TP",S3908&lt;=500),VLOOKUP(AF3908,TPCalibEq500!$AZ$2:$BB$56,3,),IF(AND(I3908="TDP",S3908&lt;=500),VLOOKUP(AF3908,TPCalibEq500!$AZ$2:$BB$56,3,)))</f>
        <v>y=-1.8824x2+87.341x-33.178</v>
      </c>
      <c r="AT3908" s="10" t="b">
        <f>IF(AND(I3908="TN",S3908&lt;=2800),VLOOKUP(AF3908,TNCalibEq2500!$AZ$2:$BB$56,3,),IF(AND(I3908="TDN",S3908&lt;=2800),VLOOKUP(AF3908,TNCalibEq2500!$AZ$2:$BB$56,3,)))</f>
        <v>0</v>
      </c>
      <c r="AU3908" s="10" t="str">
        <f>IF(I3908="TP",VLOOKUP(AF3908,TPCalibEqFull!$AZ$2:$BB$56,3),IF(I3908="TDP",VLOOKUP(AF3908,TPCalibEqFull!$AZ$2:$BB$56,3),IF(I3908="TDN",VLOOKUP(AF3908,TNCalibEqFull!$AZ$1:$BB$56,3),IF(I3908="TN",VLOOKUP(AF3908,TNCalibEqFull!$AZ$1:$BB$56,3),FALSE))))</f>
        <v>y=-0.0059x2+68.478x-14.154</v>
      </c>
      <c r="AV3908" s="10" t="str">
        <f t="shared" si="449"/>
        <v>0221 05:36:00-QAC-BLK-FIL-1-DI-ESF</v>
      </c>
    </row>
    <row r="3909" spans="1:48" s="10" customFormat="1" x14ac:dyDescent="0.55000000000000004">
      <c r="A3909" s="32">
        <v>44972</v>
      </c>
      <c r="B3909" s="33">
        <v>0.22430555555555556</v>
      </c>
      <c r="C3909" s="10" t="s">
        <v>279</v>
      </c>
      <c r="D3909" s="10">
        <v>0</v>
      </c>
      <c r="E3909" s="10" t="s">
        <v>190</v>
      </c>
      <c r="F3909" s="10">
        <v>1</v>
      </c>
      <c r="G3909" s="10" t="s">
        <v>231</v>
      </c>
      <c r="H3909" s="10" t="s">
        <v>322</v>
      </c>
      <c r="I3909" s="10" t="s">
        <v>83</v>
      </c>
      <c r="J3909" s="10">
        <v>1</v>
      </c>
      <c r="K3909" s="12">
        <v>44980</v>
      </c>
      <c r="L3909" s="33">
        <v>0.44127314814814816</v>
      </c>
      <c r="M3909" s="10">
        <v>1</v>
      </c>
      <c r="N3909" s="10" t="s">
        <v>84</v>
      </c>
      <c r="O3909" s="10">
        <v>2.56</v>
      </c>
      <c r="P3909" s="10">
        <v>0.183</v>
      </c>
      <c r="Q3909" s="10">
        <v>161</v>
      </c>
      <c r="R3909" s="10" t="s">
        <v>85</v>
      </c>
      <c r="S3909" s="34">
        <f t="shared" si="446"/>
        <v>183.79582496</v>
      </c>
      <c r="T3909" s="10" t="s">
        <v>1299</v>
      </c>
      <c r="U3909" s="34" t="str">
        <f t="shared" si="447"/>
        <v/>
      </c>
      <c r="V3909" s="31" t="str">
        <f>IF(H3909="CHK",VLOOKUP(I3909,QCCHK,3,),IF(H3909="GUP",VLOOKUP(E3909,QCGUP,2,),IF(AND(H3909="ATP",OR(I3909="TN",I3909="TDN",I3909="TNO2-3",I3909="NO2-3")),VLOOKUP(E3909,QCREC_N,2,),IF(AND(H3909="NIC",OR(I3909="TN",I3909="TDN",I3909="TNO2-3",I3909="NO2-3")),VLOOKUP(E3909,QCNIC_N,2,),IF(AND(H3909="UREA",OR(I3909="TN",I3909="TDN",I3909="TNO2-3",I3909="NO2-3")),VLOOKUP(E3909,QCUREA_N,2,),IF(H3909="PER",VLOOKUP(I3909,QCPER,MATCH(E3909,QCACTUAL!$J$25:$AA$25,0),),IF(H3909="SPK",VLOOKUP(I3909,QCSPK,3,),IF(AND(H3909="ATP",OR(I3909="TP",I3909="TDP")),VLOOKUP(E3909,QCATP_P,2,),""))))))))</f>
        <v/>
      </c>
      <c r="W3909" s="31" t="str">
        <f t="shared" si="448"/>
        <v>TRUE</v>
      </c>
      <c r="X3909" s="31" t="str">
        <f t="shared" si="445"/>
        <v/>
      </c>
      <c r="Y3909" s="10" t="s">
        <v>1285</v>
      </c>
      <c r="Z3909" s="10" t="s">
        <v>910</v>
      </c>
      <c r="AF3909" s="12">
        <v>44980</v>
      </c>
      <c r="AH3909" s="10">
        <f>-5.1889*2.56^2+102.33*2.56-44.163</f>
        <v>183.79582496</v>
      </c>
      <c r="AI3909" s="10">
        <f>-1.8824*2.56^2+87.341*2.56-33.178</f>
        <v>178.07846335999997</v>
      </c>
      <c r="AK3909" s="10">
        <f>-0.0059*2.56^2+68.478*2.56-14.154</f>
        <v>161.11101375999999</v>
      </c>
      <c r="AL3909" s="10" t="str">
        <f t="shared" si="443"/>
        <v>FALSE</v>
      </c>
      <c r="AM3909" s="10" t="str">
        <f t="shared" si="443"/>
        <v>y=-5.1889*2.56^2+102.33*2.56-44.163</v>
      </c>
      <c r="AN3909" s="10" t="str">
        <f t="shared" si="443"/>
        <v>y=-1.8824*2.56^2+87.341*2.56-33.178</v>
      </c>
      <c r="AO3909" s="10" t="str">
        <f t="shared" si="444"/>
        <v>FALSE</v>
      </c>
      <c r="AP3909" s="10" t="str">
        <f t="shared" si="444"/>
        <v>y=-0.0059*2.56^2+68.478*2.56-14.154</v>
      </c>
      <c r="AQ3909" s="10" t="b">
        <f>IF(AND(I3909="TP",S3909&lt;=150),VLOOKUP(AF3909,TPCalibEq150!$AZ$2:$BB$55,3,),IF(AND(I3909="TDP",S3909&lt;=150),VLOOKUP(AF3909,TPCalibEq150!$AZ$2:$BB$55,3,)))</f>
        <v>0</v>
      </c>
      <c r="AR3909" s="10" t="str">
        <f>IF(AND(I3909="TP",S3909&lt;=300),VLOOKUP(AF3909,TPCalibEq300!$AZ$2:$BB$55,3,),IF(AND(I3909="TDP",S3909&lt;=300),VLOOKUP(AF3909,TPCalibEq300!$AZ$2:$BB$55,3,)))</f>
        <v>y=-5.1889x2+102.33x-44.163</v>
      </c>
      <c r="AS3909" s="10" t="str">
        <f>IF(AND(I3909="TP",S3909&lt;=500),VLOOKUP(AF3909,TPCalibEq500!$AZ$2:$BB$56,3,),IF(AND(I3909="TDP",S3909&lt;=500),VLOOKUP(AF3909,TPCalibEq500!$AZ$2:$BB$56,3,)))</f>
        <v>y=-1.8824x2+87.341x-33.178</v>
      </c>
      <c r="AT3909" s="10" t="b">
        <f>IF(AND(I3909="TN",S3909&lt;=2800),VLOOKUP(AF3909,TNCalibEq2500!$AZ$2:$BB$56,3,),IF(AND(I3909="TDN",S3909&lt;=2800),VLOOKUP(AF3909,TNCalibEq2500!$AZ$2:$BB$56,3,)))</f>
        <v>0</v>
      </c>
      <c r="AU3909" s="10" t="str">
        <f>IF(I3909="TP",VLOOKUP(AF3909,TPCalibEqFull!$AZ$2:$BB$56,3),IF(I3909="TDP",VLOOKUP(AF3909,TPCalibEqFull!$AZ$2:$BB$56,3),IF(I3909="TDN",VLOOKUP(AF3909,TNCalibEqFull!$AZ$1:$BB$56,3),IF(I3909="TN",VLOOKUP(AF3909,TNCalibEqFull!$AZ$1:$BB$56,3),FALSE))))</f>
        <v>y=-0.0059x2+68.478x-14.154</v>
      </c>
      <c r="AV3909" s="10" t="str">
        <f t="shared" si="449"/>
        <v>0215 05:23:00-EFK-0-C-1-SW-UKN</v>
      </c>
    </row>
    <row r="3910" spans="1:48" s="10" customFormat="1" x14ac:dyDescent="0.55000000000000004">
      <c r="A3910" s="32">
        <v>44972</v>
      </c>
      <c r="B3910" s="33">
        <v>0.22777777777777777</v>
      </c>
      <c r="C3910" s="10" t="s">
        <v>333</v>
      </c>
      <c r="D3910" s="10">
        <v>0</v>
      </c>
      <c r="E3910" s="10" t="s">
        <v>190</v>
      </c>
      <c r="F3910" s="10">
        <v>1</v>
      </c>
      <c r="G3910" s="10" t="s">
        <v>231</v>
      </c>
      <c r="H3910" s="10" t="s">
        <v>322</v>
      </c>
      <c r="I3910" s="10" t="s">
        <v>83</v>
      </c>
      <c r="J3910" s="10">
        <v>2</v>
      </c>
      <c r="K3910" s="12">
        <v>44980</v>
      </c>
      <c r="L3910" s="33">
        <v>0.44197916666666665</v>
      </c>
      <c r="M3910" s="10">
        <v>1</v>
      </c>
      <c r="N3910" s="10" t="s">
        <v>84</v>
      </c>
      <c r="O3910" s="10">
        <v>0.96</v>
      </c>
      <c r="P3910" s="10">
        <v>6.6799999999999998E-2</v>
      </c>
      <c r="Q3910" s="10">
        <v>52.5</v>
      </c>
      <c r="R3910" s="10" t="s">
        <v>85</v>
      </c>
      <c r="S3910" s="34">
        <f t="shared" si="446"/>
        <v>52.5</v>
      </c>
      <c r="T3910" s="10" t="s">
        <v>1299</v>
      </c>
      <c r="U3910" s="34" t="str">
        <f t="shared" si="447"/>
        <v/>
      </c>
      <c r="V3910" s="31" t="str">
        <f>IF(H3910="CHK",VLOOKUP(I3910,QCCHK,3,),IF(H3910="GUP",VLOOKUP(E3910,QCGUP,2,),IF(AND(H3910="ATP",OR(I3910="TN",I3910="TDN",I3910="TNO2-3",I3910="NO2-3")),VLOOKUP(E3910,QCREC_N,2,),IF(AND(H3910="NIC",OR(I3910="TN",I3910="TDN",I3910="TNO2-3",I3910="NO2-3")),VLOOKUP(E3910,QCNIC_N,2,),IF(AND(H3910="UREA",OR(I3910="TN",I3910="TDN",I3910="TNO2-3",I3910="NO2-3")),VLOOKUP(E3910,QCUREA_N,2,),IF(H3910="PER",VLOOKUP(I3910,QCPER,MATCH(E3910,QCACTUAL!$J$25:$AA$25,0),),IF(H3910="SPK",VLOOKUP(I3910,QCSPK,3,),IF(AND(H3910="ATP",OR(I3910="TP",I3910="TDP")),VLOOKUP(E3910,QCATP_P,2,),""))))))))</f>
        <v/>
      </c>
      <c r="W3910" s="31" t="str">
        <f t="shared" si="448"/>
        <v>TRUE</v>
      </c>
      <c r="X3910" s="31" t="str">
        <f t="shared" si="445"/>
        <v/>
      </c>
      <c r="Y3910" s="10" t="s">
        <v>1285</v>
      </c>
      <c r="Z3910" s="10" t="s">
        <v>910</v>
      </c>
      <c r="AF3910" s="12">
        <v>44980</v>
      </c>
      <c r="AG3910" s="10">
        <f>-7.042*0.96^2+106.99*0.96-46.227</f>
        <v>49.993492799999991</v>
      </c>
      <c r="AH3910" s="10">
        <f>-5.1889*0.96^2+102.33*0.96-44.163</f>
        <v>49.291709759999989</v>
      </c>
      <c r="AI3910" s="10">
        <f>-1.8824*0.96^2+87.341*0.96-33.178</f>
        <v>48.934540159999997</v>
      </c>
      <c r="AK3910" s="10">
        <f>-0.0059*0.96^2+68.478*0.96-14.154</f>
        <v>51.579442560000004</v>
      </c>
      <c r="AL3910" s="10" t="str">
        <f t="shared" si="443"/>
        <v>y=-7.042*0.96^2+106.99*0.96-46.227</v>
      </c>
      <c r="AM3910" s="10" t="str">
        <f t="shared" si="443"/>
        <v>y=-5.1889*0.96^2+102.33*0.96-44.163</v>
      </c>
      <c r="AN3910" s="10" t="str">
        <f t="shared" si="443"/>
        <v>y=-1.8824*0.96^2+87.341*0.96-33.178</v>
      </c>
      <c r="AO3910" s="10" t="str">
        <f t="shared" si="444"/>
        <v>FALSE</v>
      </c>
      <c r="AP3910" s="10" t="str">
        <f t="shared" si="444"/>
        <v>y=-0.0059*0.96^2+68.478*0.96-14.154</v>
      </c>
      <c r="AQ3910" s="10" t="str">
        <f>IF(AND(I3910="TP",S3910&lt;=150),VLOOKUP(AF3910,TPCalibEq150!$AZ$2:$BB$55,3,),IF(AND(I3910="TDP",S3910&lt;=150),VLOOKUP(AF3910,TPCalibEq150!$AZ$2:$BB$55,3,)))</f>
        <v>y=-7.042x2+106.99x-46.227</v>
      </c>
      <c r="AR3910" s="10" t="str">
        <f>IF(AND(I3910="TP",S3910&lt;=300),VLOOKUP(AF3910,TPCalibEq300!$AZ$2:$BB$55,3,),IF(AND(I3910="TDP",S3910&lt;=300),VLOOKUP(AF3910,TPCalibEq300!$AZ$2:$BB$55,3,)))</f>
        <v>y=-5.1889x2+102.33x-44.163</v>
      </c>
      <c r="AS3910" s="10" t="str">
        <f>IF(AND(I3910="TP",S3910&lt;=500),VLOOKUP(AF3910,TPCalibEq500!$AZ$2:$BB$56,3,),IF(AND(I3910="TDP",S3910&lt;=500),VLOOKUP(AF3910,TPCalibEq500!$AZ$2:$BB$56,3,)))</f>
        <v>y=-1.8824x2+87.341x-33.178</v>
      </c>
      <c r="AT3910" s="10" t="b">
        <f>IF(AND(I3910="TN",S3910&lt;=2800),VLOOKUP(AF3910,TNCalibEq2500!$AZ$2:$BB$56,3,),IF(AND(I3910="TDN",S3910&lt;=2800),VLOOKUP(AF3910,TNCalibEq2500!$AZ$2:$BB$56,3,)))</f>
        <v>0</v>
      </c>
      <c r="AU3910" s="10" t="str">
        <f>IF(I3910="TP",VLOOKUP(AF3910,TPCalibEqFull!$AZ$2:$BB$56,3),IF(I3910="TDP",VLOOKUP(AF3910,TPCalibEqFull!$AZ$2:$BB$56,3),IF(I3910="TDN",VLOOKUP(AF3910,TNCalibEqFull!$AZ$1:$BB$56,3),IF(I3910="TN",VLOOKUP(AF3910,TNCalibEqFull!$AZ$1:$BB$56,3),FALSE))))</f>
        <v>y=-0.0059x2+68.478x-14.154</v>
      </c>
      <c r="AV3910" s="10" t="str">
        <f t="shared" si="449"/>
        <v>0215 05:28:00-HST-0-C-1-SW-UKN</v>
      </c>
    </row>
    <row r="3911" spans="1:48" s="10" customFormat="1" x14ac:dyDescent="0.55000000000000004">
      <c r="A3911" s="32">
        <v>44974</v>
      </c>
      <c r="B3911" s="33">
        <v>0.36388888888888887</v>
      </c>
      <c r="C3911" s="10" t="s">
        <v>279</v>
      </c>
      <c r="D3911" s="10">
        <v>0</v>
      </c>
      <c r="E3911" s="10" t="s">
        <v>190</v>
      </c>
      <c r="F3911" s="10">
        <v>1</v>
      </c>
      <c r="G3911" s="10" t="s">
        <v>231</v>
      </c>
      <c r="H3911" s="10" t="s">
        <v>322</v>
      </c>
      <c r="I3911" s="10" t="s">
        <v>83</v>
      </c>
      <c r="J3911" s="10">
        <v>3</v>
      </c>
      <c r="K3911" s="12">
        <v>44980</v>
      </c>
      <c r="L3911" s="33">
        <v>0.44268518518518518</v>
      </c>
      <c r="M3911" s="10">
        <v>1</v>
      </c>
      <c r="N3911" s="10" t="s">
        <v>84</v>
      </c>
      <c r="O3911" s="10">
        <v>4.93</v>
      </c>
      <c r="P3911" s="10">
        <v>0.36</v>
      </c>
      <c r="Q3911" s="10">
        <v>322</v>
      </c>
      <c r="R3911" s="10" t="s">
        <v>85</v>
      </c>
      <c r="S3911" s="34">
        <f t="shared" si="446"/>
        <v>351.66158623999996</v>
      </c>
      <c r="T3911" s="10" t="s">
        <v>1299</v>
      </c>
      <c r="U3911" s="34" t="str">
        <f t="shared" si="447"/>
        <v/>
      </c>
      <c r="V3911" s="31" t="str">
        <f>IF(H3911="CHK",VLOOKUP(I3911,QCCHK,3,),IF(H3911="GUP",VLOOKUP(E3911,QCGUP,2,),IF(AND(H3911="ATP",OR(I3911="TN",I3911="TDN",I3911="TNO2-3",I3911="NO2-3")),VLOOKUP(E3911,QCREC_N,2,),IF(AND(H3911="NIC",OR(I3911="TN",I3911="TDN",I3911="TNO2-3",I3911="NO2-3")),VLOOKUP(E3911,QCNIC_N,2,),IF(AND(H3911="UREA",OR(I3911="TN",I3911="TDN",I3911="TNO2-3",I3911="NO2-3")),VLOOKUP(E3911,QCUREA_N,2,),IF(H3911="PER",VLOOKUP(I3911,QCPER,MATCH(E3911,QCACTUAL!$J$25:$AA$25,0),),IF(H3911="SPK",VLOOKUP(I3911,QCSPK,3,),IF(AND(H3911="ATP",OR(I3911="TP",I3911="TDP")),VLOOKUP(E3911,QCATP_P,2,),""))))))))</f>
        <v/>
      </c>
      <c r="W3911" s="31" t="str">
        <f t="shared" si="448"/>
        <v>TRUE</v>
      </c>
      <c r="X3911" s="31" t="str">
        <f t="shared" si="445"/>
        <v/>
      </c>
      <c r="Y3911" s="10" t="s">
        <v>1285</v>
      </c>
      <c r="Z3911" s="10" t="s">
        <v>910</v>
      </c>
      <c r="AF3911" s="12">
        <v>44980</v>
      </c>
      <c r="AI3911" s="10">
        <f>-1.8824*4.93^2+87.341*4.93-33.178</f>
        <v>351.66158623999996</v>
      </c>
      <c r="AK3911" s="10">
        <f>-0.0059*4.93^2+68.478*4.93-14.154</f>
        <v>323.29914108999998</v>
      </c>
      <c r="AL3911" s="10" t="str">
        <f t="shared" si="443"/>
        <v>FALSE</v>
      </c>
      <c r="AM3911" s="10" t="str">
        <f t="shared" si="443"/>
        <v>FALSE</v>
      </c>
      <c r="AN3911" s="10" t="str">
        <f t="shared" si="443"/>
        <v>y=-1.8824*4.93^2+87.341*4.93-33.178</v>
      </c>
      <c r="AO3911" s="10" t="str">
        <f t="shared" si="444"/>
        <v>FALSE</v>
      </c>
      <c r="AP3911" s="10" t="str">
        <f t="shared" si="444"/>
        <v>y=-0.0059*4.93^2+68.478*4.93-14.154</v>
      </c>
      <c r="AQ3911" s="10" t="b">
        <f>IF(AND(I3911="TP",S3911&lt;=150),VLOOKUP(AF3911,TPCalibEq150!$AZ$2:$BB$55,3,),IF(AND(I3911="TDP",S3911&lt;=150),VLOOKUP(AF3911,TPCalibEq150!$AZ$2:$BB$55,3,)))</f>
        <v>0</v>
      </c>
      <c r="AR3911" s="10" t="b">
        <f>IF(AND(I3911="TP",S3911&lt;=300),VLOOKUP(AF3911,TPCalibEq300!$AZ$2:$BB$55,3,),IF(AND(I3911="TDP",S3911&lt;=300),VLOOKUP(AF3911,TPCalibEq300!$AZ$2:$BB$55,3,)))</f>
        <v>0</v>
      </c>
      <c r="AS3911" s="10" t="str">
        <f>IF(AND(I3911="TP",S3911&lt;=500),VLOOKUP(AF3911,TPCalibEq500!$AZ$2:$BB$56,3,),IF(AND(I3911="TDP",S3911&lt;=500),VLOOKUP(AF3911,TPCalibEq500!$AZ$2:$BB$56,3,)))</f>
        <v>y=-1.8824x2+87.341x-33.178</v>
      </c>
      <c r="AT3911" s="10" t="b">
        <f>IF(AND(I3911="TN",S3911&lt;=2800),VLOOKUP(AF3911,TNCalibEq2500!$AZ$2:$BB$56,3,),IF(AND(I3911="TDN",S3911&lt;=2800),VLOOKUP(AF3911,TNCalibEq2500!$AZ$2:$BB$56,3,)))</f>
        <v>0</v>
      </c>
      <c r="AU3911" s="10" t="str">
        <f>IF(I3911="TP",VLOOKUP(AF3911,TPCalibEqFull!$AZ$2:$BB$56,3),IF(I3911="TDP",VLOOKUP(AF3911,TPCalibEqFull!$AZ$2:$BB$56,3),IF(I3911="TDN",VLOOKUP(AF3911,TNCalibEqFull!$AZ$1:$BB$56,3),IF(I3911="TN",VLOOKUP(AF3911,TNCalibEqFull!$AZ$1:$BB$56,3),FALSE))))</f>
        <v>y=-0.0059x2+68.478x-14.154</v>
      </c>
      <c r="AV3911" s="10" t="str">
        <f t="shared" si="449"/>
        <v>0217 08:44:00-EFK-0-C-1-SW-UKN</v>
      </c>
    </row>
    <row r="3912" spans="1:48" s="10" customFormat="1" x14ac:dyDescent="0.55000000000000004">
      <c r="A3912" s="32">
        <v>44974</v>
      </c>
      <c r="B3912" s="33">
        <v>0.35833333333333334</v>
      </c>
      <c r="C3912" s="10" t="s">
        <v>333</v>
      </c>
      <c r="D3912" s="10">
        <v>0</v>
      </c>
      <c r="E3912" s="10" t="s">
        <v>190</v>
      </c>
      <c r="F3912" s="10">
        <v>1</v>
      </c>
      <c r="G3912" s="10" t="s">
        <v>231</v>
      </c>
      <c r="H3912" s="10" t="s">
        <v>322</v>
      </c>
      <c r="I3912" s="10" t="s">
        <v>83</v>
      </c>
      <c r="J3912" s="10">
        <v>4</v>
      </c>
      <c r="K3912" s="12">
        <v>44980</v>
      </c>
      <c r="L3912" s="33">
        <v>0.44339120370370372</v>
      </c>
      <c r="M3912" s="10">
        <v>1</v>
      </c>
      <c r="N3912" s="10" t="s">
        <v>84</v>
      </c>
      <c r="O3912" s="10">
        <v>2.0299999999999998</v>
      </c>
      <c r="P3912" s="10">
        <v>0.14399999999999999</v>
      </c>
      <c r="Q3912" s="10">
        <v>125</v>
      </c>
      <c r="R3912" s="10" t="s">
        <v>85</v>
      </c>
      <c r="S3912" s="34">
        <f t="shared" si="446"/>
        <v>142.18396199</v>
      </c>
      <c r="T3912" s="10" t="s">
        <v>1299</v>
      </c>
      <c r="U3912" s="34" t="str">
        <f t="shared" si="447"/>
        <v/>
      </c>
      <c r="V3912" s="31" t="str">
        <f>IF(H3912="CHK",VLOOKUP(I3912,QCCHK,3,),IF(H3912="GUP",VLOOKUP(E3912,QCGUP,2,),IF(AND(H3912="ATP",OR(I3912="TN",I3912="TDN",I3912="TNO2-3",I3912="NO2-3")),VLOOKUP(E3912,QCREC_N,2,),IF(AND(H3912="NIC",OR(I3912="TN",I3912="TDN",I3912="TNO2-3",I3912="NO2-3")),VLOOKUP(E3912,QCNIC_N,2,),IF(AND(H3912="UREA",OR(I3912="TN",I3912="TDN",I3912="TNO2-3",I3912="NO2-3")),VLOOKUP(E3912,QCUREA_N,2,),IF(H3912="PER",VLOOKUP(I3912,QCPER,MATCH(E3912,QCACTUAL!$J$25:$AA$25,0),),IF(H3912="SPK",VLOOKUP(I3912,QCSPK,3,),IF(AND(H3912="ATP",OR(I3912="TP",I3912="TDP")),VLOOKUP(E3912,QCATP_P,2,),""))))))))</f>
        <v/>
      </c>
      <c r="W3912" s="31" t="str">
        <f t="shared" si="448"/>
        <v>TRUE</v>
      </c>
      <c r="X3912" s="31" t="str">
        <f t="shared" si="445"/>
        <v/>
      </c>
      <c r="Y3912" s="10" t="s">
        <v>1285</v>
      </c>
      <c r="Z3912" s="10" t="s">
        <v>910</v>
      </c>
      <c r="AF3912" s="12">
        <v>44980</v>
      </c>
      <c r="AG3912" s="10">
        <f>-7.042*2.03^2+106.99*2.03-46.227</f>
        <v>141.94332219999995</v>
      </c>
      <c r="AH3912" s="10">
        <f>-5.1889*2.03^2+102.33*2.03-44.163</f>
        <v>142.18396199</v>
      </c>
      <c r="AI3912" s="10">
        <f>-1.8824*2.03^2+87.341*2.03-33.178</f>
        <v>136.36704784</v>
      </c>
      <c r="AK3912" s="10">
        <f>-0.0059*2.03^2+68.478*2.03-14.154</f>
        <v>124.83202668999999</v>
      </c>
      <c r="AL3912" s="10" t="str">
        <f t="shared" si="443"/>
        <v>y=-7.042*2.03^2+106.99*2.03-46.227</v>
      </c>
      <c r="AM3912" s="10" t="str">
        <f t="shared" si="443"/>
        <v>y=-5.1889*2.03^2+102.33*2.03-44.163</v>
      </c>
      <c r="AN3912" s="10" t="str">
        <f t="shared" si="443"/>
        <v>y=-1.8824*2.03^2+87.341*2.03-33.178</v>
      </c>
      <c r="AO3912" s="10" t="str">
        <f t="shared" si="444"/>
        <v>FALSE</v>
      </c>
      <c r="AP3912" s="10" t="str">
        <f t="shared" si="444"/>
        <v>y=-0.0059*2.03^2+68.478*2.03-14.154</v>
      </c>
      <c r="AQ3912" s="10" t="str">
        <f>IF(AND(I3912="TP",S3912&lt;=150),VLOOKUP(AF3912,TPCalibEq150!$AZ$2:$BB$55,3,),IF(AND(I3912="TDP",S3912&lt;=150),VLOOKUP(AF3912,TPCalibEq150!$AZ$2:$BB$55,3,)))</f>
        <v>y=-7.042x2+106.99x-46.227</v>
      </c>
      <c r="AR3912" s="10" t="str">
        <f>IF(AND(I3912="TP",S3912&lt;=300),VLOOKUP(AF3912,TPCalibEq300!$AZ$2:$BB$55,3,),IF(AND(I3912="TDP",S3912&lt;=300),VLOOKUP(AF3912,TPCalibEq300!$AZ$2:$BB$55,3,)))</f>
        <v>y=-5.1889x2+102.33x-44.163</v>
      </c>
      <c r="AS3912" s="10" t="str">
        <f>IF(AND(I3912="TP",S3912&lt;=500),VLOOKUP(AF3912,TPCalibEq500!$AZ$2:$BB$56,3,),IF(AND(I3912="TDP",S3912&lt;=500),VLOOKUP(AF3912,TPCalibEq500!$AZ$2:$BB$56,3,)))</f>
        <v>y=-1.8824x2+87.341x-33.178</v>
      </c>
      <c r="AT3912" s="10" t="b">
        <f>IF(AND(I3912="TN",S3912&lt;=2800),VLOOKUP(AF3912,TNCalibEq2500!$AZ$2:$BB$56,3,),IF(AND(I3912="TDN",S3912&lt;=2800),VLOOKUP(AF3912,TNCalibEq2500!$AZ$2:$BB$56,3,)))</f>
        <v>0</v>
      </c>
      <c r="AU3912" s="10" t="str">
        <f>IF(I3912="TP",VLOOKUP(AF3912,TPCalibEqFull!$AZ$2:$BB$56,3),IF(I3912="TDP",VLOOKUP(AF3912,TPCalibEqFull!$AZ$2:$BB$56,3),IF(I3912="TDN",VLOOKUP(AF3912,TNCalibEqFull!$AZ$1:$BB$56,3),IF(I3912="TN",VLOOKUP(AF3912,TNCalibEqFull!$AZ$1:$BB$56,3),FALSE))))</f>
        <v>y=-0.0059x2+68.478x-14.154</v>
      </c>
      <c r="AV3912" s="10" t="str">
        <f t="shared" si="449"/>
        <v>0217 08:36:00-HST-0-C-1-SW-UKN</v>
      </c>
    </row>
    <row r="3913" spans="1:48" s="10" customFormat="1" x14ac:dyDescent="0.55000000000000004">
      <c r="A3913" s="32">
        <v>44978</v>
      </c>
      <c r="B3913" s="33">
        <v>0.31597222222222221</v>
      </c>
      <c r="C3913" s="10" t="s">
        <v>279</v>
      </c>
      <c r="D3913" s="10">
        <v>0</v>
      </c>
      <c r="E3913" s="10" t="s">
        <v>190</v>
      </c>
      <c r="F3913" s="10">
        <v>1</v>
      </c>
      <c r="G3913" s="10" t="s">
        <v>231</v>
      </c>
      <c r="H3913" s="10" t="s">
        <v>322</v>
      </c>
      <c r="I3913" s="10" t="s">
        <v>83</v>
      </c>
      <c r="J3913" s="10">
        <v>5</v>
      </c>
      <c r="K3913" s="12">
        <v>44980</v>
      </c>
      <c r="L3913" s="33">
        <v>0.4440972222222222</v>
      </c>
      <c r="M3913" s="10">
        <v>1</v>
      </c>
      <c r="N3913" s="10" t="s">
        <v>84</v>
      </c>
      <c r="O3913" s="10">
        <v>2.27</v>
      </c>
      <c r="P3913" s="10">
        <v>0.16300000000000001</v>
      </c>
      <c r="Q3913" s="10">
        <v>142</v>
      </c>
      <c r="R3913" s="10" t="s">
        <v>85</v>
      </c>
      <c r="S3913" s="34">
        <f t="shared" si="446"/>
        <v>161.38821718999998</v>
      </c>
      <c r="T3913" s="10" t="s">
        <v>1299</v>
      </c>
      <c r="U3913" s="34" t="str">
        <f t="shared" si="447"/>
        <v/>
      </c>
      <c r="V3913" s="31" t="str">
        <f>IF(H3913="CHK",VLOOKUP(I3913,QCCHK,3,),IF(H3913="GUP",VLOOKUP(E3913,QCGUP,2,),IF(AND(H3913="ATP",OR(I3913="TN",I3913="TDN",I3913="TNO2-3",I3913="NO2-3")),VLOOKUP(E3913,QCREC_N,2,),IF(AND(H3913="NIC",OR(I3913="TN",I3913="TDN",I3913="TNO2-3",I3913="NO2-3")),VLOOKUP(E3913,QCNIC_N,2,),IF(AND(H3913="UREA",OR(I3913="TN",I3913="TDN",I3913="TNO2-3",I3913="NO2-3")),VLOOKUP(E3913,QCUREA_N,2,),IF(H3913="PER",VLOOKUP(I3913,QCPER,MATCH(E3913,QCACTUAL!$J$25:$AA$25,0),),IF(H3913="SPK",VLOOKUP(I3913,QCSPK,3,),IF(AND(H3913="ATP",OR(I3913="TP",I3913="TDP")),VLOOKUP(E3913,QCATP_P,2,),""))))))))</f>
        <v/>
      </c>
      <c r="W3913" s="31" t="str">
        <f t="shared" si="448"/>
        <v>TRUE</v>
      </c>
      <c r="X3913" s="31" t="str">
        <f t="shared" si="445"/>
        <v/>
      </c>
      <c r="Y3913" s="10" t="s">
        <v>1285</v>
      </c>
      <c r="AF3913" s="12">
        <v>44980</v>
      </c>
      <c r="AH3913" s="10">
        <f>-5.1889*2.27^2+102.33*2.27-44.163</f>
        <v>161.38821718999998</v>
      </c>
      <c r="AI3913" s="10">
        <f>-1.8824*2.27^2+87.341*2.27-33.178</f>
        <v>155.38625103999999</v>
      </c>
      <c r="AK3913" s="10">
        <f>-0.0059*2.27^2+68.478*2.27-14.154</f>
        <v>141.26065788999998</v>
      </c>
      <c r="AL3913" s="10" t="str">
        <f t="shared" si="443"/>
        <v>FALSE</v>
      </c>
      <c r="AM3913" s="10" t="str">
        <f t="shared" si="443"/>
        <v>y=-5.1889*2.27^2+102.33*2.27-44.163</v>
      </c>
      <c r="AN3913" s="10" t="str">
        <f t="shared" si="443"/>
        <v>y=-1.8824*2.27^2+87.341*2.27-33.178</v>
      </c>
      <c r="AO3913" s="10" t="str">
        <f t="shared" si="444"/>
        <v>FALSE</v>
      </c>
      <c r="AP3913" s="10" t="str">
        <f t="shared" si="444"/>
        <v>y=-0.0059*2.27^2+68.478*2.27-14.154</v>
      </c>
      <c r="AQ3913" s="10" t="b">
        <f>IF(AND(I3913="TP",S3913&lt;=150),VLOOKUP(AF3913,TPCalibEq150!$AZ$2:$BB$55,3,),IF(AND(I3913="TDP",S3913&lt;=150),VLOOKUP(AF3913,TPCalibEq150!$AZ$2:$BB$55,3,)))</f>
        <v>0</v>
      </c>
      <c r="AR3913" s="10" t="str">
        <f>IF(AND(I3913="TP",S3913&lt;=300),VLOOKUP(AF3913,TPCalibEq300!$AZ$2:$BB$55,3,),IF(AND(I3913="TDP",S3913&lt;=300),VLOOKUP(AF3913,TPCalibEq300!$AZ$2:$BB$55,3,)))</f>
        <v>y=-5.1889x2+102.33x-44.163</v>
      </c>
      <c r="AS3913" s="10" t="str">
        <f>IF(AND(I3913="TP",S3913&lt;=500),VLOOKUP(AF3913,TPCalibEq500!$AZ$2:$BB$56,3,),IF(AND(I3913="TDP",S3913&lt;=500),VLOOKUP(AF3913,TPCalibEq500!$AZ$2:$BB$56,3,)))</f>
        <v>y=-1.8824x2+87.341x-33.178</v>
      </c>
      <c r="AT3913" s="10" t="b">
        <f>IF(AND(I3913="TN",S3913&lt;=2800),VLOOKUP(AF3913,TNCalibEq2500!$AZ$2:$BB$56,3,),IF(AND(I3913="TDN",S3913&lt;=2800),VLOOKUP(AF3913,TNCalibEq2500!$AZ$2:$BB$56,3,)))</f>
        <v>0</v>
      </c>
      <c r="AU3913" s="10" t="str">
        <f>IF(I3913="TP",VLOOKUP(AF3913,TPCalibEqFull!$AZ$2:$BB$56,3),IF(I3913="TDP",VLOOKUP(AF3913,TPCalibEqFull!$AZ$2:$BB$56,3),IF(I3913="TDN",VLOOKUP(AF3913,TNCalibEqFull!$AZ$1:$BB$56,3),IF(I3913="TN",VLOOKUP(AF3913,TNCalibEqFull!$AZ$1:$BB$56,3),FALSE))))</f>
        <v>y=-0.0059x2+68.478x-14.154</v>
      </c>
      <c r="AV3913" s="10" t="str">
        <f t="shared" si="449"/>
        <v>0221 07:35:00-EFK-0-C-1-SW-UKN</v>
      </c>
    </row>
    <row r="3914" spans="1:48" s="10" customFormat="1" x14ac:dyDescent="0.55000000000000004">
      <c r="A3914" s="32">
        <v>44978</v>
      </c>
      <c r="B3914" s="33">
        <v>0.31944444444444448</v>
      </c>
      <c r="C3914" s="10" t="s">
        <v>333</v>
      </c>
      <c r="D3914" s="10">
        <v>0</v>
      </c>
      <c r="E3914" s="10" t="s">
        <v>190</v>
      </c>
      <c r="F3914" s="10">
        <v>1</v>
      </c>
      <c r="G3914" s="10" t="s">
        <v>231</v>
      </c>
      <c r="H3914" s="10" t="s">
        <v>322</v>
      </c>
      <c r="I3914" s="10" t="s">
        <v>83</v>
      </c>
      <c r="J3914" s="10">
        <v>6</v>
      </c>
      <c r="K3914" s="12">
        <v>44980</v>
      </c>
      <c r="L3914" s="33">
        <v>0.4447916666666667</v>
      </c>
      <c r="M3914" s="10">
        <v>1</v>
      </c>
      <c r="N3914" s="10" t="s">
        <v>84</v>
      </c>
      <c r="O3914" s="10">
        <v>1.49</v>
      </c>
      <c r="P3914" s="10">
        <v>0.105</v>
      </c>
      <c r="Q3914" s="10">
        <v>88.5</v>
      </c>
      <c r="R3914" s="10" t="s">
        <v>85</v>
      </c>
      <c r="S3914" s="34">
        <f t="shared" si="446"/>
        <v>97.55415579999999</v>
      </c>
      <c r="T3914" s="10" t="s">
        <v>1299</v>
      </c>
      <c r="U3914" s="34" t="str">
        <f t="shared" si="447"/>
        <v/>
      </c>
      <c r="V3914" s="31" t="str">
        <f>IF(H3914="CHK",VLOOKUP(I3914,QCCHK,3,),IF(H3914="GUP",VLOOKUP(E3914,QCGUP,2,),IF(AND(H3914="ATP",OR(I3914="TN",I3914="TDN",I3914="TNO2-3",I3914="NO2-3")),VLOOKUP(E3914,QCREC_N,2,),IF(AND(H3914="NIC",OR(I3914="TN",I3914="TDN",I3914="TNO2-3",I3914="NO2-3")),VLOOKUP(E3914,QCNIC_N,2,),IF(AND(H3914="UREA",OR(I3914="TN",I3914="TDN",I3914="TNO2-3",I3914="NO2-3")),VLOOKUP(E3914,QCUREA_N,2,),IF(H3914="PER",VLOOKUP(I3914,QCPER,MATCH(E3914,QCACTUAL!$J$25:$AA$25,0),),IF(H3914="SPK",VLOOKUP(I3914,QCSPK,3,),IF(AND(H3914="ATP",OR(I3914="TP",I3914="TDP")),VLOOKUP(E3914,QCATP_P,2,),""))))))))</f>
        <v/>
      </c>
      <c r="W3914" s="31" t="str">
        <f t="shared" si="448"/>
        <v>TRUE</v>
      </c>
      <c r="X3914" s="31" t="str">
        <f t="shared" si="445"/>
        <v/>
      </c>
      <c r="Y3914" s="10" t="s">
        <v>1285</v>
      </c>
      <c r="AF3914" s="12">
        <v>44980</v>
      </c>
      <c r="AG3914" s="10">
        <f>-7.042*1.49^2+106.99*1.49-46.227</f>
        <v>97.55415579999999</v>
      </c>
      <c r="AH3914" s="10">
        <f>-5.1889*1.49^2+102.33*1.49-44.163</f>
        <v>96.788823109999996</v>
      </c>
      <c r="AI3914" s="10">
        <f>-1.8824*1.49^2+87.341*1.49-33.178</f>
        <v>92.780973759999981</v>
      </c>
      <c r="AK3914" s="10">
        <f>-0.0059*1.49^2+68.478*1.49-14.154</f>
        <v>87.86512141</v>
      </c>
      <c r="AL3914" s="10" t="str">
        <f t="shared" si="443"/>
        <v>y=-7.042*1.49^2+106.99*1.49-46.227</v>
      </c>
      <c r="AM3914" s="10" t="str">
        <f t="shared" si="443"/>
        <v>y=-5.1889*1.49^2+102.33*1.49-44.163</v>
      </c>
      <c r="AN3914" s="10" t="str">
        <f t="shared" si="443"/>
        <v>y=-1.8824*1.49^2+87.341*1.49-33.178</v>
      </c>
      <c r="AO3914" s="10" t="str">
        <f t="shared" si="444"/>
        <v>FALSE</v>
      </c>
      <c r="AP3914" s="10" t="str">
        <f t="shared" si="444"/>
        <v>y=-0.0059*1.49^2+68.478*1.49-14.154</v>
      </c>
      <c r="AQ3914" s="10" t="str">
        <f>IF(AND(I3914="TP",S3914&lt;=150),VLOOKUP(AF3914,TPCalibEq150!$AZ$2:$BB$55,3,),IF(AND(I3914="TDP",S3914&lt;=150),VLOOKUP(AF3914,TPCalibEq150!$AZ$2:$BB$55,3,)))</f>
        <v>y=-7.042x2+106.99x-46.227</v>
      </c>
      <c r="AR3914" s="10" t="str">
        <f>IF(AND(I3914="TP",S3914&lt;=300),VLOOKUP(AF3914,TPCalibEq300!$AZ$2:$BB$55,3,),IF(AND(I3914="TDP",S3914&lt;=300),VLOOKUP(AF3914,TPCalibEq300!$AZ$2:$BB$55,3,)))</f>
        <v>y=-5.1889x2+102.33x-44.163</v>
      </c>
      <c r="AS3914" s="10" t="str">
        <f>IF(AND(I3914="TP",S3914&lt;=500),VLOOKUP(AF3914,TPCalibEq500!$AZ$2:$BB$56,3,),IF(AND(I3914="TDP",S3914&lt;=500),VLOOKUP(AF3914,TPCalibEq500!$AZ$2:$BB$56,3,)))</f>
        <v>y=-1.8824x2+87.341x-33.178</v>
      </c>
      <c r="AT3914" s="10" t="b">
        <f>IF(AND(I3914="TN",S3914&lt;=2800),VLOOKUP(AF3914,TNCalibEq2500!$AZ$2:$BB$56,3,),IF(AND(I3914="TDN",S3914&lt;=2800),VLOOKUP(AF3914,TNCalibEq2500!$AZ$2:$BB$56,3,)))</f>
        <v>0</v>
      </c>
      <c r="AU3914" s="10" t="str">
        <f>IF(I3914="TP",VLOOKUP(AF3914,TPCalibEqFull!$AZ$2:$BB$56,3),IF(I3914="TDP",VLOOKUP(AF3914,TPCalibEqFull!$AZ$2:$BB$56,3),IF(I3914="TDN",VLOOKUP(AF3914,TNCalibEqFull!$AZ$1:$BB$56,3),IF(I3914="TN",VLOOKUP(AF3914,TNCalibEqFull!$AZ$1:$BB$56,3),FALSE))))</f>
        <v>y=-0.0059x2+68.478x-14.154</v>
      </c>
      <c r="AV3914" s="10" t="str">
        <f t="shared" si="449"/>
        <v>0221 07:40:00-HST-0-C-1-SW-UKN</v>
      </c>
    </row>
    <row r="3915" spans="1:48" s="10" customFormat="1" x14ac:dyDescent="0.55000000000000004">
      <c r="A3915" s="32">
        <v>44978</v>
      </c>
      <c r="B3915" s="33">
        <v>0.31944444444444448</v>
      </c>
      <c r="C3915" s="10" t="s">
        <v>333</v>
      </c>
      <c r="D3915" s="10">
        <v>0</v>
      </c>
      <c r="E3915" s="10" t="s">
        <v>190</v>
      </c>
      <c r="F3915" s="10">
        <v>1</v>
      </c>
      <c r="G3915" s="10" t="s">
        <v>231</v>
      </c>
      <c r="H3915" s="10" t="s">
        <v>233</v>
      </c>
      <c r="I3915" s="10" t="s">
        <v>83</v>
      </c>
      <c r="J3915" s="10">
        <v>6</v>
      </c>
      <c r="K3915" s="12">
        <v>44980</v>
      </c>
      <c r="L3915" s="33">
        <v>0.44549768518518523</v>
      </c>
      <c r="M3915" s="10">
        <v>1</v>
      </c>
      <c r="N3915" s="10" t="s">
        <v>84</v>
      </c>
      <c r="O3915" s="10">
        <v>1.49</v>
      </c>
      <c r="P3915" s="10">
        <v>0.105</v>
      </c>
      <c r="Q3915" s="10">
        <v>88.3</v>
      </c>
      <c r="R3915" s="10" t="s">
        <v>85</v>
      </c>
      <c r="S3915" s="34">
        <f t="shared" si="446"/>
        <v>97.55415579999999</v>
      </c>
      <c r="T3915" s="10" t="s">
        <v>1299</v>
      </c>
      <c r="U3915" s="34">
        <f t="shared" si="447"/>
        <v>0</v>
      </c>
      <c r="V3915" s="31" t="str">
        <f>IF(H3915="CHK",VLOOKUP(I3915,QCCHK,3,),IF(H3915="GUP",VLOOKUP(E3915,QCGUP,2,),IF(AND(H3915="ATP",OR(I3915="TN",I3915="TDN",I3915="TNO2-3",I3915="NO2-3")),VLOOKUP(E3915,QCREC_N,2,),IF(AND(H3915="NIC",OR(I3915="TN",I3915="TDN",I3915="TNO2-3",I3915="NO2-3")),VLOOKUP(E3915,QCNIC_N,2,),IF(AND(H3915="UREA",OR(I3915="TN",I3915="TDN",I3915="TNO2-3",I3915="NO2-3")),VLOOKUP(E3915,QCUREA_N,2,),IF(H3915="PER",VLOOKUP(I3915,QCPER,MATCH(E3915,QCACTUAL!$J$25:$AA$25,0),),IF(H3915="SPK",VLOOKUP(I3915,QCSPK,3,),IF(AND(H3915="ATP",OR(I3915="TP",I3915="TDP")),VLOOKUP(E3915,QCATP_P,2,),""))))))))</f>
        <v/>
      </c>
      <c r="W3915" s="31" t="str">
        <f t="shared" si="448"/>
        <v>TRUE</v>
      </c>
      <c r="X3915" s="31" t="str">
        <f t="shared" si="445"/>
        <v>((ABS(rep1-rep2))/((rep1+rep2)/2)*100</v>
      </c>
      <c r="Y3915" s="10" t="s">
        <v>1285</v>
      </c>
      <c r="AF3915" s="12">
        <v>44980</v>
      </c>
      <c r="AG3915" s="10">
        <f>-7.042*1.49^2+106.99*1.49-46.227</f>
        <v>97.55415579999999</v>
      </c>
      <c r="AH3915" s="10">
        <f>-5.1889*1.49^2+102.33*1.49-44.163</f>
        <v>96.788823109999996</v>
      </c>
      <c r="AI3915" s="10">
        <f>-1.8824*1.49^2+87.341*1.49-33.178</f>
        <v>92.780973759999981</v>
      </c>
      <c r="AK3915" s="10">
        <f>-0.0059*1.49^2+68.478*1.49-14.154</f>
        <v>87.86512141</v>
      </c>
      <c r="AL3915" s="10" t="str">
        <f t="shared" si="443"/>
        <v>y=-7.042*1.49^2+106.99*1.49-46.227</v>
      </c>
      <c r="AM3915" s="10" t="str">
        <f t="shared" si="443"/>
        <v>y=-5.1889*1.49^2+102.33*1.49-44.163</v>
      </c>
      <c r="AN3915" s="10" t="str">
        <f t="shared" si="443"/>
        <v>y=-1.8824*1.49^2+87.341*1.49-33.178</v>
      </c>
      <c r="AO3915" s="10" t="str">
        <f t="shared" si="444"/>
        <v>FALSE</v>
      </c>
      <c r="AP3915" s="10" t="str">
        <f t="shared" si="444"/>
        <v>y=-0.0059*1.49^2+68.478*1.49-14.154</v>
      </c>
      <c r="AQ3915" s="10" t="str">
        <f>IF(AND(I3915="TP",S3915&lt;=150),VLOOKUP(AF3915,TPCalibEq150!$AZ$2:$BB$55,3,),IF(AND(I3915="TDP",S3915&lt;=150),VLOOKUP(AF3915,TPCalibEq150!$AZ$2:$BB$55,3,)))</f>
        <v>y=-7.042x2+106.99x-46.227</v>
      </c>
      <c r="AR3915" s="10" t="str">
        <f>IF(AND(I3915="TP",S3915&lt;=300),VLOOKUP(AF3915,TPCalibEq300!$AZ$2:$BB$55,3,),IF(AND(I3915="TDP",S3915&lt;=300),VLOOKUP(AF3915,TPCalibEq300!$AZ$2:$BB$55,3,)))</f>
        <v>y=-5.1889x2+102.33x-44.163</v>
      </c>
      <c r="AS3915" s="10" t="str">
        <f>IF(AND(I3915="TP",S3915&lt;=500),VLOOKUP(AF3915,TPCalibEq500!$AZ$2:$BB$56,3,),IF(AND(I3915="TDP",S3915&lt;=500),VLOOKUP(AF3915,TPCalibEq500!$AZ$2:$BB$56,3,)))</f>
        <v>y=-1.8824x2+87.341x-33.178</v>
      </c>
      <c r="AT3915" s="10" t="b">
        <f>IF(AND(I3915="TN",S3915&lt;=2800),VLOOKUP(AF3915,TNCalibEq2500!$AZ$2:$BB$56,3,),IF(AND(I3915="TDN",S3915&lt;=2800),VLOOKUP(AF3915,TNCalibEq2500!$AZ$2:$BB$56,3,)))</f>
        <v>0</v>
      </c>
      <c r="AU3915" s="10" t="str">
        <f>IF(I3915="TP",VLOOKUP(AF3915,TPCalibEqFull!$AZ$2:$BB$56,3),IF(I3915="TDP",VLOOKUP(AF3915,TPCalibEqFull!$AZ$2:$BB$56,3),IF(I3915="TDN",VLOOKUP(AF3915,TNCalibEqFull!$AZ$1:$BB$56,3),IF(I3915="TN",VLOOKUP(AF3915,TNCalibEqFull!$AZ$1:$BB$56,3),FALSE))))</f>
        <v>y=-0.0059x2+68.478x-14.154</v>
      </c>
      <c r="AV3915" s="10" t="str">
        <f t="shared" si="449"/>
        <v>0221 07:40:00-HST-0-C-1-SW-DUP</v>
      </c>
    </row>
    <row r="3916" spans="1:48" s="10" customFormat="1" x14ac:dyDescent="0.55000000000000004">
      <c r="A3916" s="32">
        <v>44978</v>
      </c>
      <c r="B3916" s="33">
        <v>0.31944444444444448</v>
      </c>
      <c r="C3916" s="10" t="s">
        <v>912</v>
      </c>
      <c r="D3916" s="10">
        <v>0</v>
      </c>
      <c r="E3916" s="10" t="s">
        <v>190</v>
      </c>
      <c r="F3916" s="10">
        <v>1</v>
      </c>
      <c r="G3916" s="10" t="s">
        <v>231</v>
      </c>
      <c r="H3916" s="10" t="s">
        <v>314</v>
      </c>
      <c r="I3916" s="10" t="s">
        <v>83</v>
      </c>
      <c r="J3916" s="10">
        <v>81</v>
      </c>
      <c r="K3916" s="12">
        <v>44980</v>
      </c>
      <c r="L3916" s="33">
        <v>0.44619212962962962</v>
      </c>
      <c r="M3916" s="10">
        <v>1</v>
      </c>
      <c r="N3916" s="10" t="s">
        <v>84</v>
      </c>
      <c r="O3916" s="10">
        <v>16.399999999999999</v>
      </c>
      <c r="P3916" s="10">
        <v>1.18</v>
      </c>
      <c r="Q3916" s="10">
        <v>1100</v>
      </c>
      <c r="R3916" s="10" t="s">
        <v>85</v>
      </c>
      <c r="S3916" s="34">
        <f t="shared" si="446"/>
        <v>1107.2983359999996</v>
      </c>
      <c r="T3916" s="10" t="s">
        <v>1299</v>
      </c>
      <c r="U3916" s="34">
        <f t="shared" si="447"/>
        <v>100.97441801999996</v>
      </c>
      <c r="V3916" s="31">
        <f>IF(H3916="CHK",VLOOKUP(I3916,QCCHK,3,),IF(H3916="GUP",VLOOKUP(E3916,QCGUP,2,),IF(AND(H3916="ATP",OR(I3916="TN",I3916="TDN",I3916="TNO2-3",I3916="NO2-3")),VLOOKUP(E3916,QCREC_N,2,),IF(AND(H3916="NIC",OR(I3916="TN",I3916="TDN",I3916="TNO2-3",I3916="NO2-3")),VLOOKUP(E3916,QCNIC_N,2,),IF(AND(H3916="UREA",OR(I3916="TN",I3916="TDN",I3916="TNO2-3",I3916="NO2-3")),VLOOKUP(E3916,QCUREA_N,2,),IF(H3916="PER",VLOOKUP(I3916,QCPER,MATCH(E3916,QCACTUAL!$J$25:$AA$25,0),),IF(H3916="SPK",VLOOKUP(I3916,QCSPK,3,),IF(AND(H3916="ATP",OR(I3916="TP",I3916="TDP")),VLOOKUP(E3916,QCATP_P,2,),""))))))))</f>
        <v>1000</v>
      </c>
      <c r="W3916" s="31" t="str">
        <f t="shared" si="448"/>
        <v>TRUE</v>
      </c>
      <c r="X3916" s="31" t="str">
        <f t="shared" si="445"/>
        <v>([spikedunkn]-[unkn])/[spike]*100</v>
      </c>
      <c r="Y3916" s="10" t="s">
        <v>1285</v>
      </c>
      <c r="AF3916" s="12">
        <v>44980</v>
      </c>
      <c r="AK3916" s="10">
        <f>-0.0059*16.4^2+68.478*16.4-14.154</f>
        <v>1107.2983359999996</v>
      </c>
      <c r="AL3916" s="10" t="str">
        <f t="shared" si="443"/>
        <v>FALSE</v>
      </c>
      <c r="AM3916" s="10" t="str">
        <f t="shared" si="443"/>
        <v>FALSE</v>
      </c>
      <c r="AN3916" s="10" t="str">
        <f t="shared" si="443"/>
        <v>FALSE</v>
      </c>
      <c r="AO3916" s="10" t="str">
        <f t="shared" si="444"/>
        <v>FALSE</v>
      </c>
      <c r="AP3916" s="10" t="str">
        <f t="shared" si="444"/>
        <v>y=-0.0059*16.4^2+68.478*16.4-14.154</v>
      </c>
      <c r="AQ3916" s="10" t="b">
        <f>IF(AND(I3916="TP",S3916&lt;=150),VLOOKUP(AF3916,TPCalibEq150!$AZ$2:$BB$55,3,),IF(AND(I3916="TDP",S3916&lt;=150),VLOOKUP(AF3916,TPCalibEq150!$AZ$2:$BB$55,3,)))</f>
        <v>0</v>
      </c>
      <c r="AR3916" s="10" t="b">
        <f>IF(AND(I3916="TP",S3916&lt;=300),VLOOKUP(AF3916,TPCalibEq300!$AZ$2:$BB$55,3,),IF(AND(I3916="TDP",S3916&lt;=300),VLOOKUP(AF3916,TPCalibEq300!$AZ$2:$BB$55,3,)))</f>
        <v>0</v>
      </c>
      <c r="AS3916" s="10" t="b">
        <f>IF(AND(I3916="TP",S3916&lt;=500),VLOOKUP(AF3916,TPCalibEq500!$AZ$2:$BB$56,3,),IF(AND(I3916="TDP",S3916&lt;=500),VLOOKUP(AF3916,TPCalibEq500!$AZ$2:$BB$56,3,)))</f>
        <v>0</v>
      </c>
      <c r="AT3916" s="10" t="b">
        <f>IF(AND(I3916="TN",S3916&lt;=2800),VLOOKUP(AF3916,TNCalibEq2500!$AZ$2:$BB$56,3,),IF(AND(I3916="TDN",S3916&lt;=2800),VLOOKUP(AF3916,TNCalibEq2500!$AZ$2:$BB$56,3,)))</f>
        <v>0</v>
      </c>
      <c r="AU3916" s="10" t="str">
        <f>IF(I3916="TP",VLOOKUP(AF3916,TPCalibEqFull!$AZ$2:$BB$56,3),IF(I3916="TDP",VLOOKUP(AF3916,TPCalibEqFull!$AZ$2:$BB$56,3),IF(I3916="TDN",VLOOKUP(AF3916,TNCalibEqFull!$AZ$1:$BB$56,3),IF(I3916="TN",VLOOKUP(AF3916,TNCalibEqFull!$AZ$1:$BB$56,3),FALSE))))</f>
        <v>y=-0.0059x2+68.478x-14.154</v>
      </c>
      <c r="AV3916" s="10" t="str">
        <f t="shared" si="449"/>
        <v>0221 07:40:00-HST -0-C-1-SW-SPK</v>
      </c>
    </row>
    <row r="3917" spans="1:48" s="10" customFormat="1" x14ac:dyDescent="0.55000000000000004">
      <c r="A3917" s="32">
        <v>44979</v>
      </c>
      <c r="B3917" s="33">
        <v>0.375</v>
      </c>
      <c r="C3917" s="10" t="s">
        <v>70</v>
      </c>
      <c r="D3917" s="10" t="s">
        <v>71</v>
      </c>
      <c r="E3917" s="10" t="s">
        <v>901</v>
      </c>
      <c r="F3917" s="10">
        <v>1</v>
      </c>
      <c r="G3917" s="10" t="s">
        <v>73</v>
      </c>
      <c r="H3917" s="10" t="s">
        <v>207</v>
      </c>
      <c r="I3917" s="10" t="s">
        <v>83</v>
      </c>
      <c r="J3917" s="10">
        <v>199</v>
      </c>
      <c r="K3917" s="12">
        <v>44980</v>
      </c>
      <c r="L3917" s="33">
        <v>0.44690972222222225</v>
      </c>
      <c r="M3917" s="10">
        <v>1</v>
      </c>
      <c r="N3917" s="10" t="s">
        <v>84</v>
      </c>
      <c r="O3917" s="10">
        <v>7.53</v>
      </c>
      <c r="P3917" s="10">
        <v>0.55000000000000004</v>
      </c>
      <c r="Q3917" s="10">
        <v>499</v>
      </c>
      <c r="R3917" s="10" t="s">
        <v>85</v>
      </c>
      <c r="S3917" s="34">
        <f t="shared" si="446"/>
        <v>517.76595583999995</v>
      </c>
      <c r="T3917" s="10" t="s">
        <v>1299</v>
      </c>
      <c r="U3917" s="34">
        <f t="shared" si="447"/>
        <v>103.553191168</v>
      </c>
      <c r="V3917" s="31">
        <f>IF(H3917="CHK",VLOOKUP(I3917,QCCHK,3,),IF(H3917="GUP",VLOOKUP(E3917,QCGUP,2,),IF(AND(H3917="ATP",OR(I3917="TN",I3917="TDN",I3917="TNO2-3",I3917="NO2-3")),VLOOKUP(E3917,QCREC_N,2,),IF(AND(H3917="NIC",OR(I3917="TN",I3917="TDN",I3917="TNO2-3",I3917="NO2-3")),VLOOKUP(E3917,QCNIC_N,2,),IF(AND(H3917="UREA",OR(I3917="TN",I3917="TDN",I3917="TNO2-3",I3917="NO2-3")),VLOOKUP(E3917,QCUREA_N,2,),IF(H3917="PER",VLOOKUP(I3917,QCPER,MATCH(E3917,QCACTUAL!$J$25:$AA$25,0),),IF(H3917="SPK",VLOOKUP(I3917,QCSPK,3,),IF(AND(H3917="ATP",OR(I3917="TP",I3917="TDP")),VLOOKUP(E3917,QCATP_P,2,),""))))))))</f>
        <v>500</v>
      </c>
      <c r="W3917" s="31" t="str">
        <f t="shared" si="448"/>
        <v>TRUE</v>
      </c>
      <c r="X3917" s="31" t="str">
        <f t="shared" si="445"/>
        <v>[chk]/[actual]*100</v>
      </c>
      <c r="Y3917" s="10" t="s">
        <v>1285</v>
      </c>
      <c r="AF3917" s="12">
        <v>44980</v>
      </c>
      <c r="AI3917" s="10">
        <f>-1.8824*7.53^2+87.341*7.53-33.178</f>
        <v>517.76595583999995</v>
      </c>
      <c r="AK3917" s="10">
        <f>-0.0059*7.53^2+68.478*7.53-14.154</f>
        <v>501.15080468999997</v>
      </c>
      <c r="AL3917" s="10" t="str">
        <f t="shared" si="443"/>
        <v>FALSE</v>
      </c>
      <c r="AM3917" s="10" t="str">
        <f t="shared" si="443"/>
        <v>FALSE</v>
      </c>
      <c r="AN3917" s="10" t="str">
        <f t="shared" si="443"/>
        <v>FALSE</v>
      </c>
      <c r="AO3917" s="10" t="str">
        <f t="shared" si="444"/>
        <v>FALSE</v>
      </c>
      <c r="AP3917" s="10" t="str">
        <f t="shared" si="444"/>
        <v>y=-0.0059*7.53^2+68.478*7.53-14.154</v>
      </c>
      <c r="AQ3917" s="10" t="b">
        <f>IF(AND(I3917="TP",S3917&lt;=150),VLOOKUP(AF3917,TPCalibEq150!$AZ$2:$BB$55,3,),IF(AND(I3917="TDP",S3917&lt;=150),VLOOKUP(AF3917,TPCalibEq150!$AZ$2:$BB$55,3,)))</f>
        <v>0</v>
      </c>
      <c r="AR3917" s="10" t="b">
        <f>IF(AND(I3917="TP",S3917&lt;=300),VLOOKUP(AF3917,TPCalibEq300!$AZ$2:$BB$55,3,),IF(AND(I3917="TDP",S3917&lt;=300),VLOOKUP(AF3917,TPCalibEq300!$AZ$2:$BB$55,3,)))</f>
        <v>0</v>
      </c>
      <c r="AS3917" s="10" t="b">
        <f>IF(AND(I3917="TP",S3917&lt;=500),VLOOKUP(AF3917,TPCalibEq500!$AZ$2:$BB$56,3,),IF(AND(I3917="TDP",S3917&lt;=500),VLOOKUP(AF3917,TPCalibEq500!$AZ$2:$BB$56,3,)))</f>
        <v>0</v>
      </c>
      <c r="AT3917" s="10" t="b">
        <f>IF(AND(I3917="TN",S3917&lt;=2800),VLOOKUP(AF3917,TNCalibEq2500!$AZ$2:$BB$56,3,),IF(AND(I3917="TDN",S3917&lt;=2800),VLOOKUP(AF3917,TNCalibEq2500!$AZ$2:$BB$56,3,)))</f>
        <v>0</v>
      </c>
      <c r="AU3917" s="10" t="str">
        <f>IF(I3917="TP",VLOOKUP(AF3917,TPCalibEqFull!$AZ$2:$BB$56,3),IF(I3917="TDP",VLOOKUP(AF3917,TPCalibEqFull!$AZ$2:$BB$56,3),IF(I3917="TDN",VLOOKUP(AF3917,TNCalibEqFull!$AZ$1:$BB$56,3),IF(I3917="TN",VLOOKUP(AF3917,TNCalibEqFull!$AZ$1:$BB$56,3),FALSE))))</f>
        <v>y=-0.0059x2+68.478x-14.154</v>
      </c>
      <c r="AV3917" s="10" t="str">
        <f t="shared" si="449"/>
        <v>0222 09:00:00-QAC-STD-D-1-DI-CHK</v>
      </c>
    </row>
    <row r="3918" spans="1:48" s="10" customFormat="1" x14ac:dyDescent="0.55000000000000004">
      <c r="A3918" s="32">
        <v>44978</v>
      </c>
      <c r="B3918" s="33">
        <v>0.4777777777777778</v>
      </c>
      <c r="C3918" s="10" t="s">
        <v>431</v>
      </c>
      <c r="D3918" s="10">
        <v>0</v>
      </c>
      <c r="E3918" s="10">
        <v>240</v>
      </c>
      <c r="F3918" s="10">
        <v>1</v>
      </c>
      <c r="G3918" s="10" t="s">
        <v>231</v>
      </c>
      <c r="H3918" s="10" t="s">
        <v>322</v>
      </c>
      <c r="I3918" s="10" t="s">
        <v>83</v>
      </c>
      <c r="J3918" s="10">
        <v>7</v>
      </c>
      <c r="K3918" s="12">
        <v>44980</v>
      </c>
      <c r="L3918" s="33">
        <v>0.44760416666666664</v>
      </c>
      <c r="M3918" s="10">
        <v>1</v>
      </c>
      <c r="N3918" s="10" t="s">
        <v>84</v>
      </c>
      <c r="O3918" s="10">
        <v>4.07</v>
      </c>
      <c r="P3918" s="10">
        <v>0.29599999999999999</v>
      </c>
      <c r="Q3918" s="10">
        <v>264</v>
      </c>
      <c r="R3918" s="10" t="s">
        <v>85</v>
      </c>
      <c r="S3918" s="34">
        <f t="shared" si="446"/>
        <v>291.11810223999998</v>
      </c>
      <c r="T3918" s="10" t="s">
        <v>1299</v>
      </c>
      <c r="U3918" s="34" t="str">
        <f t="shared" si="447"/>
        <v/>
      </c>
      <c r="V3918" s="31" t="str">
        <f>IF(H3918="CHK",VLOOKUP(I3918,QCCHK,3,),IF(H3918="GUP",VLOOKUP(E3918,QCGUP,2,),IF(AND(H3918="ATP",OR(I3918="TN",I3918="TDN",I3918="TNO2-3",I3918="NO2-3")),VLOOKUP(E3918,QCREC_N,2,),IF(AND(H3918="NIC",OR(I3918="TN",I3918="TDN",I3918="TNO2-3",I3918="NO2-3")),VLOOKUP(E3918,QCNIC_N,2,),IF(AND(H3918="UREA",OR(I3918="TN",I3918="TDN",I3918="TNO2-3",I3918="NO2-3")),VLOOKUP(E3918,QCUREA_N,2,),IF(H3918="PER",VLOOKUP(I3918,QCPER,MATCH(E3918,QCACTUAL!$J$25:$AA$25,0),),IF(H3918="SPK",VLOOKUP(I3918,QCSPK,3,),IF(AND(H3918="ATP",OR(I3918="TP",I3918="TDP")),VLOOKUP(E3918,QCATP_P,2,),""))))))))</f>
        <v/>
      </c>
      <c r="W3918" s="31" t="str">
        <f t="shared" si="448"/>
        <v>TRUE</v>
      </c>
      <c r="X3918" s="31" t="str">
        <f t="shared" si="445"/>
        <v/>
      </c>
      <c r="Y3918" s="10" t="s">
        <v>1285</v>
      </c>
      <c r="AF3918" s="12">
        <v>44980</v>
      </c>
      <c r="AH3918" s="10">
        <f>-5.1889*4.07^2+102.33*4.07-44.163</f>
        <v>286.36649039000002</v>
      </c>
      <c r="AI3918" s="10">
        <f>-1.8824*4.07^2+87.341*4.07-33.178</f>
        <v>291.11810223999998</v>
      </c>
      <c r="AK3918" s="10">
        <f>-0.0059*4.07^2+68.478*4.07-14.154</f>
        <v>264.45372709000003</v>
      </c>
      <c r="AL3918" s="10" t="str">
        <f t="shared" si="443"/>
        <v>FALSE</v>
      </c>
      <c r="AM3918" s="10" t="str">
        <f t="shared" si="443"/>
        <v>y=-5.1889*4.07^2+102.33*4.07-44.163</v>
      </c>
      <c r="AN3918" s="10" t="str">
        <f t="shared" si="443"/>
        <v>y=-1.8824*4.07^2+87.341*4.07-33.178</v>
      </c>
      <c r="AO3918" s="10" t="str">
        <f t="shared" si="444"/>
        <v>FALSE</v>
      </c>
      <c r="AP3918" s="10" t="str">
        <f t="shared" si="444"/>
        <v>y=-0.0059*4.07^2+68.478*4.07-14.154</v>
      </c>
      <c r="AQ3918" s="10" t="b">
        <f>IF(AND(I3918="TP",S3918&lt;=150),VLOOKUP(AF3918,TPCalibEq150!$AZ$2:$BB$55,3,),IF(AND(I3918="TDP",S3918&lt;=150),VLOOKUP(AF3918,TPCalibEq150!$AZ$2:$BB$55,3,)))</f>
        <v>0</v>
      </c>
      <c r="AR3918" s="10" t="str">
        <f>IF(AND(I3918="TP",S3918&lt;=300),VLOOKUP(AF3918,TPCalibEq300!$AZ$2:$BB$55,3,),IF(AND(I3918="TDP",S3918&lt;=300),VLOOKUP(AF3918,TPCalibEq300!$AZ$2:$BB$55,3,)))</f>
        <v>y=-5.1889x2+102.33x-44.163</v>
      </c>
      <c r="AS3918" s="10" t="str">
        <f>IF(AND(I3918="TP",S3918&lt;=500),VLOOKUP(AF3918,TPCalibEq500!$AZ$2:$BB$56,3,),IF(AND(I3918="TDP",S3918&lt;=500),VLOOKUP(AF3918,TPCalibEq500!$AZ$2:$BB$56,3,)))</f>
        <v>y=-1.8824x2+87.341x-33.178</v>
      </c>
      <c r="AT3918" s="10" t="b">
        <f>IF(AND(I3918="TN",S3918&lt;=2800),VLOOKUP(AF3918,TNCalibEq2500!$AZ$2:$BB$56,3,),IF(AND(I3918="TDN",S3918&lt;=2800),VLOOKUP(AF3918,TNCalibEq2500!$AZ$2:$BB$56,3,)))</f>
        <v>0</v>
      </c>
      <c r="AU3918" s="10" t="str">
        <f>IF(I3918="TP",VLOOKUP(AF3918,TPCalibEqFull!$AZ$2:$BB$56,3),IF(I3918="TDP",VLOOKUP(AF3918,TPCalibEqFull!$AZ$2:$BB$56,3),IF(I3918="TDN",VLOOKUP(AF3918,TNCalibEqFull!$AZ$1:$BB$56,3),IF(I3918="TN",VLOOKUP(AF3918,TNCalibEqFull!$AZ$1:$BB$56,3),FALSE))))</f>
        <v>y=-0.0059x2+68.478x-14.154</v>
      </c>
      <c r="AV3918" s="10" t="str">
        <f t="shared" si="449"/>
        <v>0221 11:28:00-EUS-0-240-1-SW-UKN</v>
      </c>
    </row>
    <row r="3919" spans="1:48" s="10" customFormat="1" x14ac:dyDescent="0.55000000000000004">
      <c r="A3919" s="32">
        <v>44978</v>
      </c>
      <c r="B3919" s="33">
        <v>0.48055555555555557</v>
      </c>
      <c r="C3919" s="10" t="s">
        <v>431</v>
      </c>
      <c r="D3919" s="10">
        <v>5</v>
      </c>
      <c r="E3919" s="10" t="s">
        <v>190</v>
      </c>
      <c r="F3919" s="10">
        <v>1</v>
      </c>
      <c r="G3919" s="10" t="s">
        <v>231</v>
      </c>
      <c r="H3919" s="10" t="s">
        <v>322</v>
      </c>
      <c r="I3919" s="10" t="s">
        <v>83</v>
      </c>
      <c r="J3919" s="10">
        <v>8</v>
      </c>
      <c r="K3919" s="12">
        <v>44980</v>
      </c>
      <c r="L3919" s="33">
        <v>0.44831018518518517</v>
      </c>
      <c r="M3919" s="10">
        <v>1</v>
      </c>
      <c r="N3919" s="10" t="s">
        <v>84</v>
      </c>
      <c r="O3919" s="10">
        <v>3.79</v>
      </c>
      <c r="P3919" s="10">
        <v>0.27500000000000002</v>
      </c>
      <c r="Q3919" s="10">
        <v>244</v>
      </c>
      <c r="R3919" s="10" t="s">
        <v>85</v>
      </c>
      <c r="S3919" s="34">
        <f t="shared" si="446"/>
        <v>270.80540815999996</v>
      </c>
      <c r="T3919" s="10" t="s">
        <v>1299</v>
      </c>
      <c r="U3919" s="34" t="str">
        <f t="shared" si="447"/>
        <v/>
      </c>
      <c r="V3919" s="31" t="str">
        <f>IF(H3919="CHK",VLOOKUP(I3919,QCCHK,3,),IF(H3919="GUP",VLOOKUP(E3919,QCGUP,2,),IF(AND(H3919="ATP",OR(I3919="TN",I3919="TDN",I3919="TNO2-3",I3919="NO2-3")),VLOOKUP(E3919,QCREC_N,2,),IF(AND(H3919="NIC",OR(I3919="TN",I3919="TDN",I3919="TNO2-3",I3919="NO2-3")),VLOOKUP(E3919,QCNIC_N,2,),IF(AND(H3919="UREA",OR(I3919="TN",I3919="TDN",I3919="TNO2-3",I3919="NO2-3")),VLOOKUP(E3919,QCUREA_N,2,),IF(H3919="PER",VLOOKUP(I3919,QCPER,MATCH(E3919,QCACTUAL!$J$25:$AA$25,0),),IF(H3919="SPK",VLOOKUP(I3919,QCSPK,3,),IF(AND(H3919="ATP",OR(I3919="TP",I3919="TDP")),VLOOKUP(E3919,QCATP_P,2,),""))))))))</f>
        <v/>
      </c>
      <c r="W3919" s="31" t="str">
        <f t="shared" si="448"/>
        <v>TRUE</v>
      </c>
      <c r="X3919" s="31" t="str">
        <f t="shared" si="445"/>
        <v/>
      </c>
      <c r="Y3919" s="10" t="s">
        <v>1285</v>
      </c>
      <c r="AF3919" s="12">
        <v>44980</v>
      </c>
      <c r="AH3919" s="10">
        <f>-5.1889*3.79^2+102.33*3.79-44.163</f>
        <v>269.13382150999996</v>
      </c>
      <c r="AI3919" s="10">
        <f>-1.8824*3.79^2+87.341*3.79-33.178</f>
        <v>270.80540815999996</v>
      </c>
      <c r="AK3919" s="10">
        <f>-0.0059*3.79^2+68.478*3.79-14.154</f>
        <v>245.29287180999995</v>
      </c>
      <c r="AL3919" s="10" t="str">
        <f t="shared" si="443"/>
        <v>FALSE</v>
      </c>
      <c r="AM3919" s="10" t="str">
        <f t="shared" si="443"/>
        <v>y=-5.1889*3.79^2+102.33*3.79-44.163</v>
      </c>
      <c r="AN3919" s="10" t="str">
        <f t="shared" si="443"/>
        <v>y=-1.8824*3.79^2+87.341*3.79-33.178</v>
      </c>
      <c r="AO3919" s="10" t="str">
        <f t="shared" si="444"/>
        <v>FALSE</v>
      </c>
      <c r="AP3919" s="10" t="str">
        <f t="shared" si="444"/>
        <v>y=-0.0059*3.79^2+68.478*3.79-14.154</v>
      </c>
      <c r="AQ3919" s="10" t="b">
        <f>IF(AND(I3919="TP",S3919&lt;=150),VLOOKUP(AF3919,TPCalibEq150!$AZ$2:$BB$55,3,),IF(AND(I3919="TDP",S3919&lt;=150),VLOOKUP(AF3919,TPCalibEq150!$AZ$2:$BB$55,3,)))</f>
        <v>0</v>
      </c>
      <c r="AR3919" s="10" t="str">
        <f>IF(AND(I3919="TP",S3919&lt;=300),VLOOKUP(AF3919,TPCalibEq300!$AZ$2:$BB$55,3,),IF(AND(I3919="TDP",S3919&lt;=300),VLOOKUP(AF3919,TPCalibEq300!$AZ$2:$BB$55,3,)))</f>
        <v>y=-5.1889x2+102.33x-44.163</v>
      </c>
      <c r="AS3919" s="10" t="str">
        <f>IF(AND(I3919="TP",S3919&lt;=500),VLOOKUP(AF3919,TPCalibEq500!$AZ$2:$BB$56,3,),IF(AND(I3919="TDP",S3919&lt;=500),VLOOKUP(AF3919,TPCalibEq500!$AZ$2:$BB$56,3,)))</f>
        <v>y=-1.8824x2+87.341x-33.178</v>
      </c>
      <c r="AT3919" s="10" t="b">
        <f>IF(AND(I3919="TN",S3919&lt;=2800),VLOOKUP(AF3919,TNCalibEq2500!$AZ$2:$BB$56,3,),IF(AND(I3919="TDN",S3919&lt;=2800),VLOOKUP(AF3919,TNCalibEq2500!$AZ$2:$BB$56,3,)))</f>
        <v>0</v>
      </c>
      <c r="AU3919" s="10" t="str">
        <f>IF(I3919="TP",VLOOKUP(AF3919,TPCalibEqFull!$AZ$2:$BB$56,3),IF(I3919="TDP",VLOOKUP(AF3919,TPCalibEqFull!$AZ$2:$BB$56,3),IF(I3919="TDN",VLOOKUP(AF3919,TNCalibEqFull!$AZ$1:$BB$56,3),IF(I3919="TN",VLOOKUP(AF3919,TNCalibEqFull!$AZ$1:$BB$56,3),FALSE))))</f>
        <v>y=-0.0059x2+68.478x-14.154</v>
      </c>
      <c r="AV3919" s="10" t="str">
        <f t="shared" si="449"/>
        <v>0221 11:32:00-EUS-5-C-1-SW-UKN</v>
      </c>
    </row>
    <row r="3920" spans="1:48" s="10" customFormat="1" x14ac:dyDescent="0.55000000000000004">
      <c r="A3920" s="32">
        <v>44978</v>
      </c>
      <c r="B3920" s="33">
        <v>0.49444444444444446</v>
      </c>
      <c r="C3920" s="10" t="s">
        <v>618</v>
      </c>
      <c r="D3920" s="10">
        <v>0</v>
      </c>
      <c r="E3920" s="10">
        <v>180</v>
      </c>
      <c r="F3920" s="10">
        <v>1</v>
      </c>
      <c r="G3920" s="10" t="s">
        <v>231</v>
      </c>
      <c r="H3920" s="10" t="s">
        <v>322</v>
      </c>
      <c r="I3920" s="10" t="s">
        <v>83</v>
      </c>
      <c r="J3920" s="10">
        <v>9</v>
      </c>
      <c r="K3920" s="12">
        <v>44980</v>
      </c>
      <c r="L3920" s="33">
        <v>0.44900462962962967</v>
      </c>
      <c r="M3920" s="10">
        <v>1</v>
      </c>
      <c r="N3920" s="10" t="s">
        <v>84</v>
      </c>
      <c r="O3920" s="10">
        <v>4.82</v>
      </c>
      <c r="P3920" s="10">
        <v>0.35</v>
      </c>
      <c r="Q3920" s="10">
        <v>314</v>
      </c>
      <c r="R3920" s="10" t="s">
        <v>85</v>
      </c>
      <c r="S3920" s="34">
        <f t="shared" si="446"/>
        <v>344.07295023999995</v>
      </c>
      <c r="T3920" s="10" t="s">
        <v>1299</v>
      </c>
      <c r="U3920" s="34" t="str">
        <f t="shared" si="447"/>
        <v/>
      </c>
      <c r="V3920" s="31" t="str">
        <f>IF(H3920="CHK",VLOOKUP(I3920,QCCHK,3,),IF(H3920="GUP",VLOOKUP(E3920,QCGUP,2,),IF(AND(H3920="ATP",OR(I3920="TN",I3920="TDN",I3920="TNO2-3",I3920="NO2-3")),VLOOKUP(E3920,QCREC_N,2,),IF(AND(H3920="NIC",OR(I3920="TN",I3920="TDN",I3920="TNO2-3",I3920="NO2-3")),VLOOKUP(E3920,QCNIC_N,2,),IF(AND(H3920="UREA",OR(I3920="TN",I3920="TDN",I3920="TNO2-3",I3920="NO2-3")),VLOOKUP(E3920,QCUREA_N,2,),IF(H3920="PER",VLOOKUP(I3920,QCPER,MATCH(E3920,QCACTUAL!$J$25:$AA$25,0),),IF(H3920="SPK",VLOOKUP(I3920,QCSPK,3,),IF(AND(H3920="ATP",OR(I3920="TP",I3920="TDP")),VLOOKUP(E3920,QCATP_P,2,),""))))))))</f>
        <v/>
      </c>
      <c r="W3920" s="31" t="str">
        <f t="shared" si="448"/>
        <v>TRUE</v>
      </c>
      <c r="X3920" s="31" t="str">
        <f t="shared" si="445"/>
        <v/>
      </c>
      <c r="Y3920" s="10" t="s">
        <v>1285</v>
      </c>
      <c r="AF3920" s="12">
        <v>44980</v>
      </c>
      <c r="AI3920" s="10">
        <f>-1.8824*4.82^2+87.341*4.82-33.178</f>
        <v>344.07295023999995</v>
      </c>
      <c r="AK3920" s="10">
        <f>-0.0059*4.82^2+68.478*4.82-14.154</f>
        <v>315.77288884000001</v>
      </c>
      <c r="AL3920" s="10" t="str">
        <f t="shared" si="443"/>
        <v>FALSE</v>
      </c>
      <c r="AM3920" s="10" t="str">
        <f t="shared" si="443"/>
        <v>FALSE</v>
      </c>
      <c r="AN3920" s="10" t="str">
        <f t="shared" si="443"/>
        <v>y=-1.8824*4.82^2+87.341*4.82-33.178</v>
      </c>
      <c r="AO3920" s="10" t="str">
        <f t="shared" si="444"/>
        <v>FALSE</v>
      </c>
      <c r="AP3920" s="10" t="str">
        <f t="shared" si="444"/>
        <v>y=-0.0059*4.82^2+68.478*4.82-14.154</v>
      </c>
      <c r="AQ3920" s="10" t="b">
        <f>IF(AND(I3920="TP",S3920&lt;=150),VLOOKUP(AF3920,TPCalibEq150!$AZ$2:$BB$55,3,),IF(AND(I3920="TDP",S3920&lt;=150),VLOOKUP(AF3920,TPCalibEq150!$AZ$2:$BB$55,3,)))</f>
        <v>0</v>
      </c>
      <c r="AR3920" s="10" t="b">
        <f>IF(AND(I3920="TP",S3920&lt;=300),VLOOKUP(AF3920,TPCalibEq300!$AZ$2:$BB$55,3,),IF(AND(I3920="TDP",S3920&lt;=300),VLOOKUP(AF3920,TPCalibEq300!$AZ$2:$BB$55,3,)))</f>
        <v>0</v>
      </c>
      <c r="AS3920" s="10" t="str">
        <f>IF(AND(I3920="TP",S3920&lt;=500),VLOOKUP(AF3920,TPCalibEq500!$AZ$2:$BB$56,3,),IF(AND(I3920="TDP",S3920&lt;=500),VLOOKUP(AF3920,TPCalibEq500!$AZ$2:$BB$56,3,)))</f>
        <v>y=-1.8824x2+87.341x-33.178</v>
      </c>
      <c r="AT3920" s="10" t="b">
        <f>IF(AND(I3920="TN",S3920&lt;=2800),VLOOKUP(AF3920,TNCalibEq2500!$AZ$2:$BB$56,3,),IF(AND(I3920="TDN",S3920&lt;=2800),VLOOKUP(AF3920,TNCalibEq2500!$AZ$2:$BB$56,3,)))</f>
        <v>0</v>
      </c>
      <c r="AU3920" s="10" t="str">
        <f>IF(I3920="TP",VLOOKUP(AF3920,TPCalibEqFull!$AZ$2:$BB$56,3),IF(I3920="TDP",VLOOKUP(AF3920,TPCalibEqFull!$AZ$2:$BB$56,3),IF(I3920="TDN",VLOOKUP(AF3920,TNCalibEqFull!$AZ$1:$BB$56,3),IF(I3920="TN",VLOOKUP(AF3920,TNCalibEqFull!$AZ$1:$BB$56,3),FALSE))))</f>
        <v>y=-0.0059x2+68.478x-14.154</v>
      </c>
      <c r="AV3920" s="10" t="str">
        <f t="shared" si="449"/>
        <v>0221 11:52:00-ECP-0-180-1-SW-UKN</v>
      </c>
    </row>
    <row r="3921" spans="1:48" s="10" customFormat="1" x14ac:dyDescent="0.55000000000000004">
      <c r="A3921" s="32">
        <v>44978</v>
      </c>
      <c r="B3921" s="33">
        <v>0.49444444444444446</v>
      </c>
      <c r="C3921" s="10" t="s">
        <v>618</v>
      </c>
      <c r="D3921" s="10">
        <v>0</v>
      </c>
      <c r="E3921" s="10">
        <v>180</v>
      </c>
      <c r="F3921" s="10">
        <v>2</v>
      </c>
      <c r="G3921" s="10" t="s">
        <v>231</v>
      </c>
      <c r="H3921" s="10" t="s">
        <v>322</v>
      </c>
      <c r="I3921" s="10" t="s">
        <v>83</v>
      </c>
      <c r="J3921" s="10">
        <v>10</v>
      </c>
      <c r="K3921" s="12">
        <v>44980</v>
      </c>
      <c r="L3921" s="33">
        <v>0.44969907407407406</v>
      </c>
      <c r="M3921" s="10">
        <v>1</v>
      </c>
      <c r="N3921" s="10" t="s">
        <v>84</v>
      </c>
      <c r="O3921" s="10">
        <v>4.29</v>
      </c>
      <c r="P3921" s="10">
        <v>0.313</v>
      </c>
      <c r="Q3921" s="10">
        <v>279</v>
      </c>
      <c r="R3921" s="10" t="s">
        <v>85</v>
      </c>
      <c r="S3921" s="34">
        <f t="shared" si="446"/>
        <v>306.87101215999996</v>
      </c>
      <c r="T3921" s="10" t="s">
        <v>1299</v>
      </c>
      <c r="U3921" s="34" t="str">
        <f t="shared" si="447"/>
        <v/>
      </c>
      <c r="V3921" s="31" t="str">
        <f>IF(H3921="CHK",VLOOKUP(I3921,QCCHK,3,),IF(H3921="GUP",VLOOKUP(E3921,QCGUP,2,),IF(AND(H3921="ATP",OR(I3921="TN",I3921="TDN",I3921="TNO2-3",I3921="NO2-3")),VLOOKUP(E3921,QCREC_N,2,),IF(AND(H3921="NIC",OR(I3921="TN",I3921="TDN",I3921="TNO2-3",I3921="NO2-3")),VLOOKUP(E3921,QCNIC_N,2,),IF(AND(H3921="UREA",OR(I3921="TN",I3921="TDN",I3921="TNO2-3",I3921="NO2-3")),VLOOKUP(E3921,QCUREA_N,2,),IF(H3921="PER",VLOOKUP(I3921,QCPER,MATCH(E3921,QCACTUAL!$J$25:$AA$25,0),),IF(H3921="SPK",VLOOKUP(I3921,QCSPK,3,),IF(AND(H3921="ATP",OR(I3921="TP",I3921="TDP")),VLOOKUP(E3921,QCATP_P,2,),""))))))))</f>
        <v/>
      </c>
      <c r="W3921" s="31" t="str">
        <f t="shared" si="448"/>
        <v>TRUE</v>
      </c>
      <c r="X3921" s="31" t="str">
        <f t="shared" si="445"/>
        <v/>
      </c>
      <c r="Y3921" s="10" t="s">
        <v>1285</v>
      </c>
      <c r="AF3921" s="12">
        <v>44980</v>
      </c>
      <c r="AH3921" s="10">
        <f>-5.1889*4.29^2+102.33*4.29-44.163</f>
        <v>299.33566551000001</v>
      </c>
      <c r="AI3921" s="10">
        <f>-1.8824*4.29^2+87.341*4.29-33.178</f>
        <v>306.87101215999996</v>
      </c>
      <c r="AK3921" s="10">
        <f>-0.0059*4.29^2+68.478*4.29-14.154</f>
        <v>279.50803580999997</v>
      </c>
      <c r="AL3921" s="10" t="str">
        <f t="shared" si="443"/>
        <v>FALSE</v>
      </c>
      <c r="AM3921" s="10" t="str">
        <f t="shared" si="443"/>
        <v>FALSE</v>
      </c>
      <c r="AN3921" s="10" t="str">
        <f t="shared" si="443"/>
        <v>y=-1.8824*4.29^2+87.341*4.29-33.178</v>
      </c>
      <c r="AO3921" s="10" t="str">
        <f t="shared" si="444"/>
        <v>FALSE</v>
      </c>
      <c r="AP3921" s="10" t="str">
        <f t="shared" si="444"/>
        <v>y=-0.0059*4.29^2+68.478*4.29-14.154</v>
      </c>
      <c r="AQ3921" s="10" t="b">
        <f>IF(AND(I3921="TP",S3921&lt;=150),VLOOKUP(AF3921,TPCalibEq150!$AZ$2:$BB$55,3,),IF(AND(I3921="TDP",S3921&lt;=150),VLOOKUP(AF3921,TPCalibEq150!$AZ$2:$BB$55,3,)))</f>
        <v>0</v>
      </c>
      <c r="AR3921" s="10" t="b">
        <f>IF(AND(I3921="TP",S3921&lt;=300),VLOOKUP(AF3921,TPCalibEq300!$AZ$2:$BB$55,3,),IF(AND(I3921="TDP",S3921&lt;=300),VLOOKUP(AF3921,TPCalibEq300!$AZ$2:$BB$55,3,)))</f>
        <v>0</v>
      </c>
      <c r="AS3921" s="10" t="str">
        <f>IF(AND(I3921="TP",S3921&lt;=500),VLOOKUP(AF3921,TPCalibEq500!$AZ$2:$BB$56,3,),IF(AND(I3921="TDP",S3921&lt;=500),VLOOKUP(AF3921,TPCalibEq500!$AZ$2:$BB$56,3,)))</f>
        <v>y=-1.8824x2+87.341x-33.178</v>
      </c>
      <c r="AT3921" s="10" t="b">
        <f>IF(AND(I3921="TN",S3921&lt;=2800),VLOOKUP(AF3921,TNCalibEq2500!$AZ$2:$BB$56,3,),IF(AND(I3921="TDN",S3921&lt;=2800),VLOOKUP(AF3921,TNCalibEq2500!$AZ$2:$BB$56,3,)))</f>
        <v>0</v>
      </c>
      <c r="AU3921" s="10" t="str">
        <f>IF(I3921="TP",VLOOKUP(AF3921,TPCalibEqFull!$AZ$2:$BB$56,3),IF(I3921="TDP",VLOOKUP(AF3921,TPCalibEqFull!$AZ$2:$BB$56,3),IF(I3921="TDN",VLOOKUP(AF3921,TNCalibEqFull!$AZ$1:$BB$56,3),IF(I3921="TN",VLOOKUP(AF3921,TNCalibEqFull!$AZ$1:$BB$56,3),FALSE))))</f>
        <v>y=-0.0059x2+68.478x-14.154</v>
      </c>
      <c r="AV3921" s="10" t="str">
        <f t="shared" si="449"/>
        <v>0221 11:52:00-ECP-0-180-2-SW-UKN</v>
      </c>
    </row>
    <row r="3922" spans="1:48" s="10" customFormat="1" x14ac:dyDescent="0.55000000000000004">
      <c r="A3922" s="32">
        <v>44978</v>
      </c>
      <c r="B3922" s="33">
        <v>0.49444444444444446</v>
      </c>
      <c r="C3922" s="10" t="s">
        <v>618</v>
      </c>
      <c r="D3922" s="10">
        <v>0</v>
      </c>
      <c r="E3922" s="10">
        <v>180</v>
      </c>
      <c r="F3922" s="10">
        <v>2</v>
      </c>
      <c r="G3922" s="10" t="s">
        <v>231</v>
      </c>
      <c r="H3922" s="10" t="s">
        <v>233</v>
      </c>
      <c r="I3922" s="10" t="s">
        <v>83</v>
      </c>
      <c r="J3922" s="10">
        <v>10</v>
      </c>
      <c r="K3922" s="12">
        <v>44980</v>
      </c>
      <c r="L3922" s="33">
        <v>0.4503819444444444</v>
      </c>
      <c r="M3922" s="10">
        <v>1</v>
      </c>
      <c r="N3922" s="10" t="s">
        <v>84</v>
      </c>
      <c r="O3922" s="10">
        <v>4.28</v>
      </c>
      <c r="P3922" s="10">
        <v>0.311</v>
      </c>
      <c r="Q3922" s="10">
        <v>278</v>
      </c>
      <c r="R3922" s="10" t="s">
        <v>85</v>
      </c>
      <c r="S3922" s="34">
        <f t="shared" si="446"/>
        <v>306.15892384</v>
      </c>
      <c r="T3922" s="10" t="s">
        <v>1299</v>
      </c>
      <c r="U3922" s="34">
        <f t="shared" si="447"/>
        <v>0.23231763350622536</v>
      </c>
      <c r="V3922" s="31" t="str">
        <f>IF(H3922="CHK",VLOOKUP(I3922,QCCHK,3,),IF(H3922="GUP",VLOOKUP(E3922,QCGUP,2,),IF(AND(H3922="ATP",OR(I3922="TN",I3922="TDN",I3922="TNO2-3",I3922="NO2-3")),VLOOKUP(E3922,QCREC_N,2,),IF(AND(H3922="NIC",OR(I3922="TN",I3922="TDN",I3922="TNO2-3",I3922="NO2-3")),VLOOKUP(E3922,QCNIC_N,2,),IF(AND(H3922="UREA",OR(I3922="TN",I3922="TDN",I3922="TNO2-3",I3922="NO2-3")),VLOOKUP(E3922,QCUREA_N,2,),IF(H3922="PER",VLOOKUP(I3922,QCPER,MATCH(E3922,QCACTUAL!$J$25:$AA$25,0),),IF(H3922="SPK",VLOOKUP(I3922,QCSPK,3,),IF(AND(H3922="ATP",OR(I3922="TP",I3922="TDP")),VLOOKUP(E3922,QCATP_P,2,),""))))))))</f>
        <v/>
      </c>
      <c r="W3922" s="31" t="str">
        <f t="shared" si="448"/>
        <v>TRUE</v>
      </c>
      <c r="X3922" s="31" t="str">
        <f t="shared" si="445"/>
        <v>((ABS(rep1-rep2))/((rep1+rep2)/2)*100</v>
      </c>
      <c r="Y3922" s="10" t="s">
        <v>1285</v>
      </c>
      <c r="AF3922" s="12">
        <v>44980</v>
      </c>
      <c r="AH3922" s="10">
        <f>-5.1889*4.28^2+102.33*4.28-44.163</f>
        <v>298.75705424</v>
      </c>
      <c r="AI3922" s="10">
        <f>-1.8824*4.28^2+87.341*4.28-33.178</f>
        <v>306.15892384</v>
      </c>
      <c r="AK3922" s="10">
        <f>-0.0059*4.28^2+68.478*4.28-14.154</f>
        <v>278.82376144</v>
      </c>
      <c r="AL3922" s="10" t="str">
        <f t="shared" si="443"/>
        <v>FALSE</v>
      </c>
      <c r="AM3922" s="10" t="str">
        <f t="shared" si="443"/>
        <v>FALSE</v>
      </c>
      <c r="AN3922" s="10" t="str">
        <f t="shared" si="443"/>
        <v>y=-1.8824*4.28^2+87.341*4.28-33.178</v>
      </c>
      <c r="AO3922" s="10" t="str">
        <f t="shared" si="444"/>
        <v>FALSE</v>
      </c>
      <c r="AP3922" s="10" t="str">
        <f t="shared" si="444"/>
        <v>y=-0.0059*4.28^2+68.478*4.28-14.154</v>
      </c>
      <c r="AQ3922" s="10" t="b">
        <f>IF(AND(I3922="TP",S3922&lt;=150),VLOOKUP(AF3922,TPCalibEq150!$AZ$2:$BB$55,3,),IF(AND(I3922="TDP",S3922&lt;=150),VLOOKUP(AF3922,TPCalibEq150!$AZ$2:$BB$55,3,)))</f>
        <v>0</v>
      </c>
      <c r="AR3922" s="10" t="b">
        <f>IF(AND(I3922="TP",S3922&lt;=300),VLOOKUP(AF3922,TPCalibEq300!$AZ$2:$BB$55,3,),IF(AND(I3922="TDP",S3922&lt;=300),VLOOKUP(AF3922,TPCalibEq300!$AZ$2:$BB$55,3,)))</f>
        <v>0</v>
      </c>
      <c r="AS3922" s="10" t="str">
        <f>IF(AND(I3922="TP",S3922&lt;=500),VLOOKUP(AF3922,TPCalibEq500!$AZ$2:$BB$56,3,),IF(AND(I3922="TDP",S3922&lt;=500),VLOOKUP(AF3922,TPCalibEq500!$AZ$2:$BB$56,3,)))</f>
        <v>y=-1.8824x2+87.341x-33.178</v>
      </c>
      <c r="AT3922" s="10" t="b">
        <f>IF(AND(I3922="TN",S3922&lt;=2800),VLOOKUP(AF3922,TNCalibEq2500!$AZ$2:$BB$56,3,),IF(AND(I3922="TDN",S3922&lt;=2800),VLOOKUP(AF3922,TNCalibEq2500!$AZ$2:$BB$56,3,)))</f>
        <v>0</v>
      </c>
      <c r="AU3922" s="10" t="str">
        <f>IF(I3922="TP",VLOOKUP(AF3922,TPCalibEqFull!$AZ$2:$BB$56,3),IF(I3922="TDP",VLOOKUP(AF3922,TPCalibEqFull!$AZ$2:$BB$56,3),IF(I3922="TDN",VLOOKUP(AF3922,TNCalibEqFull!$AZ$1:$BB$56,3),IF(I3922="TN",VLOOKUP(AF3922,TNCalibEqFull!$AZ$1:$BB$56,3),FALSE))))</f>
        <v>y=-0.0059x2+68.478x-14.154</v>
      </c>
      <c r="AV3922" s="10" t="str">
        <f t="shared" si="449"/>
        <v>0221 11:52:00-ECP-0-180-2-SW-DUP</v>
      </c>
    </row>
    <row r="3923" spans="1:48" s="10" customFormat="1" x14ac:dyDescent="0.55000000000000004">
      <c r="A3923" s="32">
        <v>44978</v>
      </c>
      <c r="B3923" s="33">
        <v>0.49444444444444446</v>
      </c>
      <c r="C3923" s="10" t="s">
        <v>618</v>
      </c>
      <c r="D3923" s="10">
        <v>0</v>
      </c>
      <c r="E3923" s="10">
        <v>180</v>
      </c>
      <c r="F3923" s="10">
        <v>2</v>
      </c>
      <c r="G3923" s="10" t="s">
        <v>231</v>
      </c>
      <c r="H3923" s="10" t="s">
        <v>314</v>
      </c>
      <c r="I3923" s="10" t="s">
        <v>83</v>
      </c>
      <c r="J3923" s="10">
        <v>82</v>
      </c>
      <c r="K3923" s="12">
        <v>44980</v>
      </c>
      <c r="L3923" s="33">
        <v>0.45108796296296294</v>
      </c>
      <c r="M3923" s="10">
        <v>1</v>
      </c>
      <c r="N3923" s="10" t="s">
        <v>84</v>
      </c>
      <c r="O3923" s="10">
        <v>20</v>
      </c>
      <c r="P3923" s="10">
        <v>1.43</v>
      </c>
      <c r="Q3923" s="10">
        <v>1350</v>
      </c>
      <c r="R3923" s="10" t="s">
        <v>85</v>
      </c>
      <c r="S3923" s="34">
        <f t="shared" si="446"/>
        <v>1353.046</v>
      </c>
      <c r="T3923" s="10" t="s">
        <v>1299</v>
      </c>
      <c r="U3923" s="34">
        <f t="shared" si="447"/>
        <v>104.68870761600002</v>
      </c>
      <c r="V3923" s="31">
        <f>IF(H3923="CHK",VLOOKUP(I3923,QCCHK,3,),IF(H3923="GUP",VLOOKUP(E3923,QCGUP,2,),IF(AND(H3923="ATP",OR(I3923="TN",I3923="TDN",I3923="TNO2-3",I3923="NO2-3")),VLOOKUP(E3923,QCREC_N,2,),IF(AND(H3923="NIC",OR(I3923="TN",I3923="TDN",I3923="TNO2-3",I3923="NO2-3")),VLOOKUP(E3923,QCNIC_N,2,),IF(AND(H3923="UREA",OR(I3923="TN",I3923="TDN",I3923="TNO2-3",I3923="NO2-3")),VLOOKUP(E3923,QCUREA_N,2,),IF(H3923="PER",VLOOKUP(I3923,QCPER,MATCH(E3923,QCACTUAL!$J$25:$AA$25,0),),IF(H3923="SPK",VLOOKUP(I3923,QCSPK,3,),IF(AND(H3923="ATP",OR(I3923="TP",I3923="TDP")),VLOOKUP(E3923,QCATP_P,2,),""))))))))</f>
        <v>1000</v>
      </c>
      <c r="W3923" s="31" t="str">
        <f t="shared" si="448"/>
        <v>TRUE</v>
      </c>
      <c r="X3923" s="31" t="str">
        <f t="shared" si="445"/>
        <v>([spikedunkn]-[unkn])/[spike]*100</v>
      </c>
      <c r="Y3923" s="10" t="s">
        <v>1285</v>
      </c>
      <c r="AF3923" s="12">
        <v>44980</v>
      </c>
      <c r="AK3923" s="10">
        <f>-0.0059*20^2+68.478*20-14.154</f>
        <v>1353.046</v>
      </c>
      <c r="AL3923" s="10" t="str">
        <f t="shared" si="443"/>
        <v>FALSE</v>
      </c>
      <c r="AM3923" s="10" t="str">
        <f t="shared" si="443"/>
        <v>FALSE</v>
      </c>
      <c r="AN3923" s="10" t="str">
        <f t="shared" si="443"/>
        <v>FALSE</v>
      </c>
      <c r="AO3923" s="10" t="str">
        <f t="shared" si="444"/>
        <v>FALSE</v>
      </c>
      <c r="AP3923" s="10" t="str">
        <f t="shared" si="444"/>
        <v>y=-0.0059*20^2+68.478*20-14.154</v>
      </c>
      <c r="AQ3923" s="10" t="b">
        <f>IF(AND(I3923="TP",S3923&lt;=150),VLOOKUP(AF3923,TPCalibEq150!$AZ$2:$BB$55,3,),IF(AND(I3923="TDP",S3923&lt;=150),VLOOKUP(AF3923,TPCalibEq150!$AZ$2:$BB$55,3,)))</f>
        <v>0</v>
      </c>
      <c r="AR3923" s="10" t="b">
        <f>IF(AND(I3923="TP",S3923&lt;=300),VLOOKUP(AF3923,TPCalibEq300!$AZ$2:$BB$55,3,),IF(AND(I3923="TDP",S3923&lt;=300),VLOOKUP(AF3923,TPCalibEq300!$AZ$2:$BB$55,3,)))</f>
        <v>0</v>
      </c>
      <c r="AS3923" s="10" t="b">
        <f>IF(AND(I3923="TP",S3923&lt;=500),VLOOKUP(AF3923,TPCalibEq500!$AZ$2:$BB$56,3,),IF(AND(I3923="TDP",S3923&lt;=500),VLOOKUP(AF3923,TPCalibEq500!$AZ$2:$BB$56,3,)))</f>
        <v>0</v>
      </c>
      <c r="AT3923" s="10" t="b">
        <f>IF(AND(I3923="TN",S3923&lt;=2800),VLOOKUP(AF3923,TNCalibEq2500!$AZ$2:$BB$56,3,),IF(AND(I3923="TDN",S3923&lt;=2800),VLOOKUP(AF3923,TNCalibEq2500!$AZ$2:$BB$56,3,)))</f>
        <v>0</v>
      </c>
      <c r="AU3923" s="10" t="str">
        <f>IF(I3923="TP",VLOOKUP(AF3923,TPCalibEqFull!$AZ$2:$BB$56,3),IF(I3923="TDP",VLOOKUP(AF3923,TPCalibEqFull!$AZ$2:$BB$56,3),IF(I3923="TDN",VLOOKUP(AF3923,TNCalibEqFull!$AZ$1:$BB$56,3),IF(I3923="TN",VLOOKUP(AF3923,TNCalibEqFull!$AZ$1:$BB$56,3),FALSE))))</f>
        <v>y=-0.0059x2+68.478x-14.154</v>
      </c>
      <c r="AV3923" s="10" t="str">
        <f t="shared" si="449"/>
        <v>0221 11:52:00-ECP-0-180-2-SW-SPK</v>
      </c>
    </row>
    <row r="3924" spans="1:48" s="10" customFormat="1" x14ac:dyDescent="0.55000000000000004">
      <c r="A3924" s="32">
        <v>44979</v>
      </c>
      <c r="B3924" s="33">
        <v>0.375</v>
      </c>
      <c r="C3924" s="10" t="s">
        <v>70</v>
      </c>
      <c r="D3924" s="10" t="s">
        <v>71</v>
      </c>
      <c r="E3924" s="10" t="s">
        <v>901</v>
      </c>
      <c r="F3924" s="10">
        <v>1</v>
      </c>
      <c r="G3924" s="10" t="s">
        <v>73</v>
      </c>
      <c r="H3924" s="10" t="s">
        <v>207</v>
      </c>
      <c r="I3924" s="10" t="s">
        <v>83</v>
      </c>
      <c r="J3924" s="10">
        <v>200</v>
      </c>
      <c r="K3924" s="12">
        <v>44980</v>
      </c>
      <c r="L3924" s="33">
        <v>0.45179398148148148</v>
      </c>
      <c r="M3924" s="10">
        <v>1</v>
      </c>
      <c r="N3924" s="10" t="s">
        <v>84</v>
      </c>
      <c r="O3924" s="10">
        <v>7.79</v>
      </c>
      <c r="P3924" s="10">
        <v>0.56799999999999995</v>
      </c>
      <c r="Q3924" s="10">
        <v>517</v>
      </c>
      <c r="R3924" s="10" t="s">
        <v>85</v>
      </c>
      <c r="S3924" s="34">
        <f t="shared" si="446"/>
        <v>518.93158381000001</v>
      </c>
      <c r="T3924" s="10" t="s">
        <v>1299</v>
      </c>
      <c r="U3924" s="34">
        <f t="shared" si="447"/>
        <v>103.78631676200001</v>
      </c>
      <c r="V3924" s="31">
        <f>IF(H3924="CHK",VLOOKUP(I3924,QCCHK,3,),IF(H3924="GUP",VLOOKUP(E3924,QCGUP,2,),IF(AND(H3924="ATP",OR(I3924="TN",I3924="TDN",I3924="TNO2-3",I3924="NO2-3")),VLOOKUP(E3924,QCREC_N,2,),IF(AND(H3924="NIC",OR(I3924="TN",I3924="TDN",I3924="TNO2-3",I3924="NO2-3")),VLOOKUP(E3924,QCNIC_N,2,),IF(AND(H3924="UREA",OR(I3924="TN",I3924="TDN",I3924="TNO2-3",I3924="NO2-3")),VLOOKUP(E3924,QCUREA_N,2,),IF(H3924="PER",VLOOKUP(I3924,QCPER,MATCH(E3924,QCACTUAL!$J$25:$AA$25,0),),IF(H3924="SPK",VLOOKUP(I3924,QCSPK,3,),IF(AND(H3924="ATP",OR(I3924="TP",I3924="TDP")),VLOOKUP(E3924,QCATP_P,2,),""))))))))</f>
        <v>500</v>
      </c>
      <c r="W3924" s="31" t="str">
        <f t="shared" si="448"/>
        <v>TRUE</v>
      </c>
      <c r="X3924" s="31" t="str">
        <f t="shared" si="445"/>
        <v>[chk]/[actual]*100</v>
      </c>
      <c r="Y3924" s="10" t="s">
        <v>1285</v>
      </c>
      <c r="AF3924" s="12">
        <v>44980</v>
      </c>
      <c r="AK3924" s="10">
        <f>-0.0059*7.79^2+68.478*7.79-14.154</f>
        <v>518.93158381000001</v>
      </c>
      <c r="AL3924" s="10" t="str">
        <f t="shared" si="443"/>
        <v>FALSE</v>
      </c>
      <c r="AM3924" s="10" t="str">
        <f t="shared" si="443"/>
        <v>FALSE</v>
      </c>
      <c r="AN3924" s="10" t="str">
        <f t="shared" si="443"/>
        <v>FALSE</v>
      </c>
      <c r="AO3924" s="10" t="str">
        <f t="shared" si="444"/>
        <v>FALSE</v>
      </c>
      <c r="AP3924" s="10" t="str">
        <f t="shared" si="444"/>
        <v>y=-0.0059*7.79^2+68.478*7.79-14.154</v>
      </c>
      <c r="AQ3924" s="10" t="b">
        <f>IF(AND(I3924="TP",S3924&lt;=150),VLOOKUP(AF3924,TPCalibEq150!$AZ$2:$BB$55,3,),IF(AND(I3924="TDP",S3924&lt;=150),VLOOKUP(AF3924,TPCalibEq150!$AZ$2:$BB$55,3,)))</f>
        <v>0</v>
      </c>
      <c r="AR3924" s="10" t="b">
        <f>IF(AND(I3924="TP",S3924&lt;=300),VLOOKUP(AF3924,TPCalibEq300!$AZ$2:$BB$55,3,),IF(AND(I3924="TDP",S3924&lt;=300),VLOOKUP(AF3924,TPCalibEq300!$AZ$2:$BB$55,3,)))</f>
        <v>0</v>
      </c>
      <c r="AS3924" s="10" t="b">
        <f>IF(AND(I3924="TP",S3924&lt;=500),VLOOKUP(AF3924,TPCalibEq500!$AZ$2:$BB$56,3,),IF(AND(I3924="TDP",S3924&lt;=500),VLOOKUP(AF3924,TPCalibEq500!$AZ$2:$BB$56,3,)))</f>
        <v>0</v>
      </c>
      <c r="AT3924" s="10" t="b">
        <f>IF(AND(I3924="TN",S3924&lt;=2800),VLOOKUP(AF3924,TNCalibEq2500!$AZ$2:$BB$56,3,),IF(AND(I3924="TDN",S3924&lt;=2800),VLOOKUP(AF3924,TNCalibEq2500!$AZ$2:$BB$56,3,)))</f>
        <v>0</v>
      </c>
      <c r="AU3924" s="10" t="str">
        <f>IF(I3924="TP",VLOOKUP(AF3924,TPCalibEqFull!$AZ$2:$BB$56,3),IF(I3924="TDP",VLOOKUP(AF3924,TPCalibEqFull!$AZ$2:$BB$56,3),IF(I3924="TDN",VLOOKUP(AF3924,TNCalibEqFull!$AZ$1:$BB$56,3),IF(I3924="TN",VLOOKUP(AF3924,TNCalibEqFull!$AZ$1:$BB$56,3),FALSE))))</f>
        <v>y=-0.0059x2+68.478x-14.154</v>
      </c>
      <c r="AV3924" s="10" t="str">
        <f t="shared" si="449"/>
        <v>0222 09:00:00-QAC-STD-D-1-DI-CHK</v>
      </c>
    </row>
    <row r="3925" spans="1:48" s="10" customFormat="1" x14ac:dyDescent="0.55000000000000004">
      <c r="A3925" s="32">
        <v>44978</v>
      </c>
      <c r="B3925" s="33">
        <v>0.49652777777777773</v>
      </c>
      <c r="C3925" s="10" t="s">
        <v>618</v>
      </c>
      <c r="D3925" s="10">
        <v>5</v>
      </c>
      <c r="E3925" s="10">
        <v>180</v>
      </c>
      <c r="F3925" s="10">
        <v>1</v>
      </c>
      <c r="G3925" s="10" t="s">
        <v>231</v>
      </c>
      <c r="H3925" s="10" t="s">
        <v>322</v>
      </c>
      <c r="I3925" s="10" t="s">
        <v>83</v>
      </c>
      <c r="J3925" s="10">
        <v>11</v>
      </c>
      <c r="K3925" s="12">
        <v>44980</v>
      </c>
      <c r="L3925" s="33">
        <v>0.45249999999999996</v>
      </c>
      <c r="M3925" s="10">
        <v>1</v>
      </c>
      <c r="N3925" s="10" t="s">
        <v>84</v>
      </c>
      <c r="O3925" s="10">
        <v>3.98</v>
      </c>
      <c r="P3925" s="10">
        <v>0.28999999999999998</v>
      </c>
      <c r="Q3925" s="10">
        <v>258</v>
      </c>
      <c r="R3925" s="10" t="s">
        <v>85</v>
      </c>
      <c r="S3925" s="34">
        <f t="shared" si="446"/>
        <v>284.62121103999993</v>
      </c>
      <c r="T3925" s="10" t="s">
        <v>1299</v>
      </c>
      <c r="U3925" s="34" t="str">
        <f t="shared" si="447"/>
        <v/>
      </c>
      <c r="V3925" s="31" t="str">
        <f>IF(H3925="CHK",VLOOKUP(I3925,QCCHK,3,),IF(H3925="GUP",VLOOKUP(E3925,QCGUP,2,),IF(AND(H3925="ATP",OR(I3925="TN",I3925="TDN",I3925="TNO2-3",I3925="NO2-3")),VLOOKUP(E3925,QCREC_N,2,),IF(AND(H3925="NIC",OR(I3925="TN",I3925="TDN",I3925="TNO2-3",I3925="NO2-3")),VLOOKUP(E3925,QCNIC_N,2,),IF(AND(H3925="UREA",OR(I3925="TN",I3925="TDN",I3925="TNO2-3",I3925="NO2-3")),VLOOKUP(E3925,QCUREA_N,2,),IF(H3925="PER",VLOOKUP(I3925,QCPER,MATCH(E3925,QCACTUAL!$J$25:$AA$25,0),),IF(H3925="SPK",VLOOKUP(I3925,QCSPK,3,),IF(AND(H3925="ATP",OR(I3925="TP",I3925="TDP")),VLOOKUP(E3925,QCATP_P,2,),""))))))))</f>
        <v/>
      </c>
      <c r="W3925" s="31" t="str">
        <f t="shared" si="448"/>
        <v>TRUE</v>
      </c>
      <c r="X3925" s="31" t="str">
        <f t="shared" si="445"/>
        <v/>
      </c>
      <c r="Y3925" s="10" t="s">
        <v>1285</v>
      </c>
      <c r="AF3925" s="12">
        <v>44980</v>
      </c>
      <c r="AH3925" s="10">
        <f>-5.1889*3.98^2+102.33*3.98-44.163</f>
        <v>280.91614843999997</v>
      </c>
      <c r="AI3925" s="10">
        <f>-1.8824*3.98^2+87.341*3.98-33.178</f>
        <v>284.62121103999993</v>
      </c>
      <c r="AK3925" s="10">
        <f>-0.0059*3.98^2+68.478*3.98-14.154</f>
        <v>258.29498164</v>
      </c>
      <c r="AL3925" s="10" t="str">
        <f t="shared" si="443"/>
        <v>FALSE</v>
      </c>
      <c r="AM3925" s="10" t="str">
        <f t="shared" si="443"/>
        <v>y=-5.1889*3.98^2+102.33*3.98-44.163</v>
      </c>
      <c r="AN3925" s="10" t="str">
        <f t="shared" si="443"/>
        <v>y=-1.8824*3.98^2+87.341*3.98-33.178</v>
      </c>
      <c r="AO3925" s="10" t="str">
        <f t="shared" si="444"/>
        <v>FALSE</v>
      </c>
      <c r="AP3925" s="10" t="str">
        <f t="shared" si="444"/>
        <v>y=-0.0059*3.98^2+68.478*3.98-14.154</v>
      </c>
      <c r="AQ3925" s="10" t="b">
        <f>IF(AND(I3925="TP",S3925&lt;=150),VLOOKUP(AF3925,TPCalibEq150!$AZ$2:$BB$55,3,),IF(AND(I3925="TDP",S3925&lt;=150),VLOOKUP(AF3925,TPCalibEq150!$AZ$2:$BB$55,3,)))</f>
        <v>0</v>
      </c>
      <c r="AR3925" s="10" t="str">
        <f>IF(AND(I3925="TP",S3925&lt;=300),VLOOKUP(AF3925,TPCalibEq300!$AZ$2:$BB$55,3,),IF(AND(I3925="TDP",S3925&lt;=300),VLOOKUP(AF3925,TPCalibEq300!$AZ$2:$BB$55,3,)))</f>
        <v>y=-5.1889x2+102.33x-44.163</v>
      </c>
      <c r="AS3925" s="10" t="str">
        <f>IF(AND(I3925="TP",S3925&lt;=500),VLOOKUP(AF3925,TPCalibEq500!$AZ$2:$BB$56,3,),IF(AND(I3925="TDP",S3925&lt;=500),VLOOKUP(AF3925,TPCalibEq500!$AZ$2:$BB$56,3,)))</f>
        <v>y=-1.8824x2+87.341x-33.178</v>
      </c>
      <c r="AT3925" s="10" t="b">
        <f>IF(AND(I3925="TN",S3925&lt;=2800),VLOOKUP(AF3925,TNCalibEq2500!$AZ$2:$BB$56,3,),IF(AND(I3925="TDN",S3925&lt;=2800),VLOOKUP(AF3925,TNCalibEq2500!$AZ$2:$BB$56,3,)))</f>
        <v>0</v>
      </c>
      <c r="AU3925" s="10" t="str">
        <f>IF(I3925="TP",VLOOKUP(AF3925,TPCalibEqFull!$AZ$2:$BB$56,3),IF(I3925="TDP",VLOOKUP(AF3925,TPCalibEqFull!$AZ$2:$BB$56,3),IF(I3925="TDN",VLOOKUP(AF3925,TNCalibEqFull!$AZ$1:$BB$56,3),IF(I3925="TN",VLOOKUP(AF3925,TNCalibEqFull!$AZ$1:$BB$56,3),FALSE))))</f>
        <v>y=-0.0059x2+68.478x-14.154</v>
      </c>
      <c r="AV3925" s="10" t="str">
        <f t="shared" si="449"/>
        <v>0221 11:55:00-ECP-5-180-1-SW-UKN</v>
      </c>
    </row>
    <row r="3926" spans="1:48" s="10" customFormat="1" x14ac:dyDescent="0.55000000000000004">
      <c r="A3926" s="32">
        <v>44978</v>
      </c>
      <c r="B3926" s="33">
        <v>0.49861111111111112</v>
      </c>
      <c r="C3926" s="10" t="s">
        <v>618</v>
      </c>
      <c r="D3926" s="10">
        <v>10</v>
      </c>
      <c r="E3926" s="10">
        <v>200</v>
      </c>
      <c r="F3926" s="10">
        <v>1</v>
      </c>
      <c r="G3926" s="10" t="s">
        <v>231</v>
      </c>
      <c r="H3926" s="10" t="s">
        <v>322</v>
      </c>
      <c r="I3926" s="10" t="s">
        <v>83</v>
      </c>
      <c r="J3926" s="10">
        <v>12</v>
      </c>
      <c r="K3926" s="12">
        <v>44980</v>
      </c>
      <c r="L3926" s="33">
        <v>0.45318287037037036</v>
      </c>
      <c r="M3926" s="10">
        <v>1</v>
      </c>
      <c r="N3926" s="10" t="s">
        <v>84</v>
      </c>
      <c r="O3926" s="10">
        <v>5.47</v>
      </c>
      <c r="P3926" s="10">
        <v>0.4</v>
      </c>
      <c r="Q3926" s="10">
        <v>359</v>
      </c>
      <c r="R3926" s="10" t="s">
        <v>85</v>
      </c>
      <c r="S3926" s="34">
        <f t="shared" si="446"/>
        <v>388.25416783999992</v>
      </c>
      <c r="T3926" s="10" t="s">
        <v>1299</v>
      </c>
      <c r="U3926" s="34" t="str">
        <f t="shared" si="447"/>
        <v/>
      </c>
      <c r="V3926" s="31" t="str">
        <f>IF(H3926="CHK",VLOOKUP(I3926,QCCHK,3,),IF(H3926="GUP",VLOOKUP(E3926,QCGUP,2,),IF(AND(H3926="ATP",OR(I3926="TN",I3926="TDN",I3926="TNO2-3",I3926="NO2-3")),VLOOKUP(E3926,QCREC_N,2,),IF(AND(H3926="NIC",OR(I3926="TN",I3926="TDN",I3926="TNO2-3",I3926="NO2-3")),VLOOKUP(E3926,QCNIC_N,2,),IF(AND(H3926="UREA",OR(I3926="TN",I3926="TDN",I3926="TNO2-3",I3926="NO2-3")),VLOOKUP(E3926,QCUREA_N,2,),IF(H3926="PER",VLOOKUP(I3926,QCPER,MATCH(E3926,QCACTUAL!$J$25:$AA$25,0),),IF(H3926="SPK",VLOOKUP(I3926,QCSPK,3,),IF(AND(H3926="ATP",OR(I3926="TP",I3926="TDP")),VLOOKUP(E3926,QCATP_P,2,),""))))))))</f>
        <v/>
      </c>
      <c r="W3926" s="31" t="str">
        <f t="shared" si="448"/>
        <v>TRUE</v>
      </c>
      <c r="X3926" s="31" t="str">
        <f t="shared" si="445"/>
        <v/>
      </c>
      <c r="Y3926" s="10" t="s">
        <v>1285</v>
      </c>
      <c r="AF3926" s="12">
        <v>44980</v>
      </c>
      <c r="AI3926" s="10">
        <f>-1.8824*5.47^2+87.341*5.47-33.178</f>
        <v>388.25416783999992</v>
      </c>
      <c r="AK3926" s="10">
        <f>-0.0059*5.47^2+68.478*5.47-14.154</f>
        <v>360.24412668999992</v>
      </c>
      <c r="AL3926" s="10" t="str">
        <f t="shared" si="443"/>
        <v>FALSE</v>
      </c>
      <c r="AM3926" s="10" t="str">
        <f t="shared" si="443"/>
        <v>FALSE</v>
      </c>
      <c r="AN3926" s="10" t="str">
        <f t="shared" si="443"/>
        <v>y=-1.8824*5.47^2+87.341*5.47-33.178</v>
      </c>
      <c r="AO3926" s="10" t="str">
        <f t="shared" si="444"/>
        <v>FALSE</v>
      </c>
      <c r="AP3926" s="10" t="str">
        <f t="shared" si="444"/>
        <v>y=-0.0059*5.47^2+68.478*5.47-14.154</v>
      </c>
      <c r="AQ3926" s="10" t="b">
        <f>IF(AND(I3926="TP",S3926&lt;=150),VLOOKUP(AF3926,TPCalibEq150!$AZ$2:$BB$55,3,),IF(AND(I3926="TDP",S3926&lt;=150),VLOOKUP(AF3926,TPCalibEq150!$AZ$2:$BB$55,3,)))</f>
        <v>0</v>
      </c>
      <c r="AR3926" s="10" t="b">
        <f>IF(AND(I3926="TP",S3926&lt;=300),VLOOKUP(AF3926,TPCalibEq300!$AZ$2:$BB$55,3,),IF(AND(I3926="TDP",S3926&lt;=300),VLOOKUP(AF3926,TPCalibEq300!$AZ$2:$BB$55,3,)))</f>
        <v>0</v>
      </c>
      <c r="AS3926" s="10" t="str">
        <f>IF(AND(I3926="TP",S3926&lt;=500),VLOOKUP(AF3926,TPCalibEq500!$AZ$2:$BB$56,3,),IF(AND(I3926="TDP",S3926&lt;=500),VLOOKUP(AF3926,TPCalibEq500!$AZ$2:$BB$56,3,)))</f>
        <v>y=-1.8824x2+87.341x-33.178</v>
      </c>
      <c r="AT3926" s="10" t="b">
        <f>IF(AND(I3926="TN",S3926&lt;=2800),VLOOKUP(AF3926,TNCalibEq2500!$AZ$2:$BB$56,3,),IF(AND(I3926="TDN",S3926&lt;=2800),VLOOKUP(AF3926,TNCalibEq2500!$AZ$2:$BB$56,3,)))</f>
        <v>0</v>
      </c>
      <c r="AU3926" s="10" t="str">
        <f>IF(I3926="TP",VLOOKUP(AF3926,TPCalibEqFull!$AZ$2:$BB$56,3),IF(I3926="TDP",VLOOKUP(AF3926,TPCalibEqFull!$AZ$2:$BB$56,3),IF(I3926="TDN",VLOOKUP(AF3926,TNCalibEqFull!$AZ$1:$BB$56,3),IF(I3926="TN",VLOOKUP(AF3926,TNCalibEqFull!$AZ$1:$BB$56,3),FALSE))))</f>
        <v>y=-0.0059x2+68.478x-14.154</v>
      </c>
      <c r="AV3926" s="10" t="str">
        <f t="shared" si="449"/>
        <v>0221 11:58:00-ECP-10-200-1-SW-UKN</v>
      </c>
    </row>
    <row r="3927" spans="1:48" s="10" customFormat="1" x14ac:dyDescent="0.55000000000000004">
      <c r="A3927" s="32">
        <v>44978</v>
      </c>
      <c r="B3927" s="33">
        <v>0.50208333333333333</v>
      </c>
      <c r="C3927" s="10" t="s">
        <v>618</v>
      </c>
      <c r="D3927" s="10">
        <v>20</v>
      </c>
      <c r="E3927" s="10" t="s">
        <v>190</v>
      </c>
      <c r="F3927" s="10">
        <v>1</v>
      </c>
      <c r="G3927" s="10" t="s">
        <v>231</v>
      </c>
      <c r="H3927" s="10" t="s">
        <v>322</v>
      </c>
      <c r="I3927" s="10" t="s">
        <v>83</v>
      </c>
      <c r="J3927" s="10">
        <v>13</v>
      </c>
      <c r="K3927" s="12">
        <v>44980</v>
      </c>
      <c r="L3927" s="33">
        <v>0.4538773148148148</v>
      </c>
      <c r="M3927" s="10">
        <v>1</v>
      </c>
      <c r="N3927" s="10" t="s">
        <v>84</v>
      </c>
      <c r="O3927" s="10">
        <v>4.6500000000000004</v>
      </c>
      <c r="P3927" s="10">
        <v>0.33800000000000002</v>
      </c>
      <c r="Q3927" s="10">
        <v>303</v>
      </c>
      <c r="R3927" s="10" t="s">
        <v>85</v>
      </c>
      <c r="S3927" s="34">
        <f t="shared" si="446"/>
        <v>332.25545599999998</v>
      </c>
      <c r="T3927" s="10" t="s">
        <v>1299</v>
      </c>
      <c r="U3927" s="34" t="str">
        <f t="shared" si="447"/>
        <v/>
      </c>
      <c r="V3927" s="31" t="str">
        <f>IF(H3927="CHK",VLOOKUP(I3927,QCCHK,3,),IF(H3927="GUP",VLOOKUP(E3927,QCGUP,2,),IF(AND(H3927="ATP",OR(I3927="TN",I3927="TDN",I3927="TNO2-3",I3927="NO2-3")),VLOOKUP(E3927,QCREC_N,2,),IF(AND(H3927="NIC",OR(I3927="TN",I3927="TDN",I3927="TNO2-3",I3927="NO2-3")),VLOOKUP(E3927,QCNIC_N,2,),IF(AND(H3927="UREA",OR(I3927="TN",I3927="TDN",I3927="TNO2-3",I3927="NO2-3")),VLOOKUP(E3927,QCUREA_N,2,),IF(H3927="PER",VLOOKUP(I3927,QCPER,MATCH(E3927,QCACTUAL!$J$25:$AA$25,0),),IF(H3927="SPK",VLOOKUP(I3927,QCSPK,3,),IF(AND(H3927="ATP",OR(I3927="TP",I3927="TDP")),VLOOKUP(E3927,QCATP_P,2,),""))))))))</f>
        <v/>
      </c>
      <c r="W3927" s="31" t="str">
        <f t="shared" si="448"/>
        <v>TRUE</v>
      </c>
      <c r="X3927" s="31" t="str">
        <f t="shared" si="445"/>
        <v/>
      </c>
      <c r="Y3927" s="10" t="s">
        <v>1285</v>
      </c>
      <c r="AF3927" s="12">
        <v>44980</v>
      </c>
      <c r="AI3927" s="10">
        <f>-1.8824*4.65^2+87.341*4.65-33.178</f>
        <v>332.25545599999998</v>
      </c>
      <c r="AK3927" s="10">
        <f>-0.0059*4.65^2+68.478*4.65-14.154</f>
        <v>304.14112725000001</v>
      </c>
      <c r="AL3927" s="10" t="str">
        <f t="shared" si="443"/>
        <v>FALSE</v>
      </c>
      <c r="AM3927" s="10" t="str">
        <f t="shared" si="443"/>
        <v>FALSE</v>
      </c>
      <c r="AN3927" s="10" t="str">
        <f t="shared" si="443"/>
        <v>y=-1.8824*4.65^2+87.341*4.65-33.178</v>
      </c>
      <c r="AO3927" s="10" t="str">
        <f t="shared" si="444"/>
        <v>FALSE</v>
      </c>
      <c r="AP3927" s="10" t="str">
        <f t="shared" si="444"/>
        <v>y=-0.0059*4.65^2+68.478*4.65-14.154</v>
      </c>
      <c r="AQ3927" s="10" t="b">
        <f>IF(AND(I3927="TP",S3927&lt;=150),VLOOKUP(AF3927,TPCalibEq150!$AZ$2:$BB$55,3,),IF(AND(I3927="TDP",S3927&lt;=150),VLOOKUP(AF3927,TPCalibEq150!$AZ$2:$BB$55,3,)))</f>
        <v>0</v>
      </c>
      <c r="AR3927" s="10" t="b">
        <f>IF(AND(I3927="TP",S3927&lt;=300),VLOOKUP(AF3927,TPCalibEq300!$AZ$2:$BB$55,3,),IF(AND(I3927="TDP",S3927&lt;=300),VLOOKUP(AF3927,TPCalibEq300!$AZ$2:$BB$55,3,)))</f>
        <v>0</v>
      </c>
      <c r="AS3927" s="10" t="str">
        <f>IF(AND(I3927="TP",S3927&lt;=500),VLOOKUP(AF3927,TPCalibEq500!$AZ$2:$BB$56,3,),IF(AND(I3927="TDP",S3927&lt;=500),VLOOKUP(AF3927,TPCalibEq500!$AZ$2:$BB$56,3,)))</f>
        <v>y=-1.8824x2+87.341x-33.178</v>
      </c>
      <c r="AT3927" s="10" t="b">
        <f>IF(AND(I3927="TN",S3927&lt;=2800),VLOOKUP(AF3927,TNCalibEq2500!$AZ$2:$BB$56,3,),IF(AND(I3927="TDN",S3927&lt;=2800),VLOOKUP(AF3927,TNCalibEq2500!$AZ$2:$BB$56,3,)))</f>
        <v>0</v>
      </c>
      <c r="AU3927" s="10" t="str">
        <f>IF(I3927="TP",VLOOKUP(AF3927,TPCalibEqFull!$AZ$2:$BB$56,3),IF(I3927="TDP",VLOOKUP(AF3927,TPCalibEqFull!$AZ$2:$BB$56,3),IF(I3927="TDN",VLOOKUP(AF3927,TNCalibEqFull!$AZ$1:$BB$56,3),IF(I3927="TN",VLOOKUP(AF3927,TNCalibEqFull!$AZ$1:$BB$56,3),FALSE))))</f>
        <v>y=-0.0059x2+68.478x-14.154</v>
      </c>
      <c r="AV3927" s="10" t="str">
        <f t="shared" si="449"/>
        <v>0221 12:03:00-ECP-20-C-1-SW-UKN</v>
      </c>
    </row>
    <row r="3928" spans="1:48" s="10" customFormat="1" x14ac:dyDescent="0.55000000000000004">
      <c r="A3928" s="32">
        <v>44978</v>
      </c>
      <c r="B3928" s="33">
        <v>0.50416666666666665</v>
      </c>
      <c r="C3928" s="10" t="s">
        <v>618</v>
      </c>
      <c r="D3928" s="10">
        <v>29</v>
      </c>
      <c r="E3928" s="10" t="s">
        <v>190</v>
      </c>
      <c r="F3928" s="10">
        <v>1</v>
      </c>
      <c r="G3928" s="10" t="s">
        <v>231</v>
      </c>
      <c r="H3928" s="10" t="s">
        <v>322</v>
      </c>
      <c r="I3928" s="10" t="s">
        <v>83</v>
      </c>
      <c r="J3928" s="10">
        <v>14</v>
      </c>
      <c r="K3928" s="12">
        <v>44980</v>
      </c>
      <c r="L3928" s="33">
        <v>0.45456018518518521</v>
      </c>
      <c r="M3928" s="10">
        <v>1</v>
      </c>
      <c r="N3928" s="10" t="s">
        <v>84</v>
      </c>
      <c r="O3928" s="10">
        <v>5.53</v>
      </c>
      <c r="P3928" s="10">
        <v>0.40400000000000003</v>
      </c>
      <c r="Q3928" s="10">
        <v>363</v>
      </c>
      <c r="R3928" s="10" t="s">
        <v>85</v>
      </c>
      <c r="S3928" s="34">
        <f t="shared" si="446"/>
        <v>392.25224384000001</v>
      </c>
      <c r="T3928" s="10" t="s">
        <v>1299</v>
      </c>
      <c r="U3928" s="34" t="str">
        <f t="shared" si="447"/>
        <v/>
      </c>
      <c r="V3928" s="31" t="str">
        <f>IF(H3928="CHK",VLOOKUP(I3928,QCCHK,3,),IF(H3928="GUP",VLOOKUP(E3928,QCGUP,2,),IF(AND(H3928="ATP",OR(I3928="TN",I3928="TDN",I3928="TNO2-3",I3928="NO2-3")),VLOOKUP(E3928,QCREC_N,2,),IF(AND(H3928="NIC",OR(I3928="TN",I3928="TDN",I3928="TNO2-3",I3928="NO2-3")),VLOOKUP(E3928,QCNIC_N,2,),IF(AND(H3928="UREA",OR(I3928="TN",I3928="TDN",I3928="TNO2-3",I3928="NO2-3")),VLOOKUP(E3928,QCUREA_N,2,),IF(H3928="PER",VLOOKUP(I3928,QCPER,MATCH(E3928,QCACTUAL!$J$25:$AA$25,0),),IF(H3928="SPK",VLOOKUP(I3928,QCSPK,3,),IF(AND(H3928="ATP",OR(I3928="TP",I3928="TDP")),VLOOKUP(E3928,QCATP_P,2,),""))))))))</f>
        <v/>
      </c>
      <c r="W3928" s="31" t="str">
        <f t="shared" si="448"/>
        <v>TRUE</v>
      </c>
      <c r="X3928" s="31" t="str">
        <f t="shared" si="445"/>
        <v/>
      </c>
      <c r="Y3928" s="10" t="s">
        <v>1285</v>
      </c>
      <c r="AF3928" s="12">
        <v>44980</v>
      </c>
      <c r="AI3928" s="10">
        <f>-1.8824*5.53^2+87.341*5.53-33.178</f>
        <v>392.25224384000001</v>
      </c>
      <c r="AK3928" s="10">
        <f>-0.0059*5.53^2+68.478*5.53-14.154</f>
        <v>364.34891268999996</v>
      </c>
      <c r="AL3928" s="10" t="str">
        <f t="shared" si="443"/>
        <v>FALSE</v>
      </c>
      <c r="AM3928" s="10" t="str">
        <f t="shared" si="443"/>
        <v>FALSE</v>
      </c>
      <c r="AN3928" s="10" t="str">
        <f t="shared" si="443"/>
        <v>y=-1.8824*5.53^2+87.341*5.53-33.178</v>
      </c>
      <c r="AO3928" s="10" t="str">
        <f t="shared" si="444"/>
        <v>FALSE</v>
      </c>
      <c r="AP3928" s="10" t="str">
        <f t="shared" si="444"/>
        <v>y=-0.0059*5.53^2+68.478*5.53-14.154</v>
      </c>
      <c r="AQ3928" s="10" t="b">
        <f>IF(AND(I3928="TP",S3928&lt;=150),VLOOKUP(AF3928,TPCalibEq150!$AZ$2:$BB$55,3,),IF(AND(I3928="TDP",S3928&lt;=150),VLOOKUP(AF3928,TPCalibEq150!$AZ$2:$BB$55,3,)))</f>
        <v>0</v>
      </c>
      <c r="AR3928" s="10" t="b">
        <f>IF(AND(I3928="TP",S3928&lt;=300),VLOOKUP(AF3928,TPCalibEq300!$AZ$2:$BB$55,3,),IF(AND(I3928="TDP",S3928&lt;=300),VLOOKUP(AF3928,TPCalibEq300!$AZ$2:$BB$55,3,)))</f>
        <v>0</v>
      </c>
      <c r="AS3928" s="10" t="str">
        <f>IF(AND(I3928="TP",S3928&lt;=500),VLOOKUP(AF3928,TPCalibEq500!$AZ$2:$BB$56,3,),IF(AND(I3928="TDP",S3928&lt;=500),VLOOKUP(AF3928,TPCalibEq500!$AZ$2:$BB$56,3,)))</f>
        <v>y=-1.8824x2+87.341x-33.178</v>
      </c>
      <c r="AT3928" s="10" t="b">
        <f>IF(AND(I3928="TN",S3928&lt;=2800),VLOOKUP(AF3928,TNCalibEq2500!$AZ$2:$BB$56,3,),IF(AND(I3928="TDN",S3928&lt;=2800),VLOOKUP(AF3928,TNCalibEq2500!$AZ$2:$BB$56,3,)))</f>
        <v>0</v>
      </c>
      <c r="AU3928" s="10" t="str">
        <f>IF(I3928="TP",VLOOKUP(AF3928,TPCalibEqFull!$AZ$2:$BB$56,3),IF(I3928="TDP",VLOOKUP(AF3928,TPCalibEqFull!$AZ$2:$BB$56,3),IF(I3928="TDN",VLOOKUP(AF3928,TNCalibEqFull!$AZ$1:$BB$56,3),IF(I3928="TN",VLOOKUP(AF3928,TNCalibEqFull!$AZ$1:$BB$56,3),FALSE))))</f>
        <v>y=-0.0059x2+68.478x-14.154</v>
      </c>
      <c r="AV3928" s="10" t="str">
        <f t="shared" si="449"/>
        <v>0221 12:06:00-ECP-29-C-1-SW-UKN</v>
      </c>
    </row>
    <row r="3929" spans="1:48" s="10" customFormat="1" x14ac:dyDescent="0.55000000000000004">
      <c r="A3929" s="32">
        <v>44978</v>
      </c>
      <c r="B3929" s="33">
        <v>0.50972222222222219</v>
      </c>
      <c r="C3929" s="10" t="s">
        <v>661</v>
      </c>
      <c r="D3929" s="10">
        <v>0</v>
      </c>
      <c r="E3929" s="10">
        <v>170</v>
      </c>
      <c r="F3929" s="10">
        <v>1</v>
      </c>
      <c r="G3929" s="10" t="s">
        <v>231</v>
      </c>
      <c r="H3929" s="10" t="s">
        <v>322</v>
      </c>
      <c r="I3929" s="10" t="s">
        <v>83</v>
      </c>
      <c r="J3929" s="10">
        <v>15</v>
      </c>
      <c r="K3929" s="12">
        <v>44980</v>
      </c>
      <c r="L3929" s="33">
        <v>0.45524305555555555</v>
      </c>
      <c r="M3929" s="10">
        <v>1</v>
      </c>
      <c r="N3929" s="10" t="s">
        <v>84</v>
      </c>
      <c r="O3929" s="10">
        <v>5.0599999999999996</v>
      </c>
      <c r="P3929" s="10">
        <v>0.36699999999999999</v>
      </c>
      <c r="Q3929" s="10">
        <v>331</v>
      </c>
      <c r="R3929" s="10" t="s">
        <v>85</v>
      </c>
      <c r="S3929" s="34">
        <f t="shared" si="446"/>
        <v>360.57124335999993</v>
      </c>
      <c r="T3929" s="10" t="s">
        <v>1299</v>
      </c>
      <c r="U3929" s="34" t="str">
        <f t="shared" si="447"/>
        <v/>
      </c>
      <c r="V3929" s="31" t="str">
        <f>IF(H3929="CHK",VLOOKUP(I3929,QCCHK,3,),IF(H3929="GUP",VLOOKUP(E3929,QCGUP,2,),IF(AND(H3929="ATP",OR(I3929="TN",I3929="TDN",I3929="TNO2-3",I3929="NO2-3")),VLOOKUP(E3929,QCREC_N,2,),IF(AND(H3929="NIC",OR(I3929="TN",I3929="TDN",I3929="TNO2-3",I3929="NO2-3")),VLOOKUP(E3929,QCNIC_N,2,),IF(AND(H3929="UREA",OR(I3929="TN",I3929="TDN",I3929="TNO2-3",I3929="NO2-3")),VLOOKUP(E3929,QCUREA_N,2,),IF(H3929="PER",VLOOKUP(I3929,QCPER,MATCH(E3929,QCACTUAL!$J$25:$AA$25,0),),IF(H3929="SPK",VLOOKUP(I3929,QCSPK,3,),IF(AND(H3929="ATP",OR(I3929="TP",I3929="TDP")),VLOOKUP(E3929,QCATP_P,2,),""))))))))</f>
        <v/>
      </c>
      <c r="W3929" s="31" t="str">
        <f t="shared" si="448"/>
        <v>TRUE</v>
      </c>
      <c r="X3929" s="31" t="str">
        <f t="shared" si="445"/>
        <v/>
      </c>
      <c r="Y3929" s="10" t="s">
        <v>1285</v>
      </c>
      <c r="AF3929" s="12">
        <v>44980</v>
      </c>
      <c r="AI3929" s="10">
        <f>-1.8824*5.06^2+87.341*5.06-33.178</f>
        <v>360.57124335999993</v>
      </c>
      <c r="AK3929" s="10">
        <f>-0.0059*5.06^2+68.478*5.06-14.154</f>
        <v>332.19361875999994</v>
      </c>
      <c r="AL3929" s="10" t="str">
        <f t="shared" si="443"/>
        <v>FALSE</v>
      </c>
      <c r="AM3929" s="10" t="str">
        <f t="shared" si="443"/>
        <v>FALSE</v>
      </c>
      <c r="AN3929" s="10" t="str">
        <f t="shared" si="443"/>
        <v>y=-1.8824*5.06^2+87.341*5.06-33.178</v>
      </c>
      <c r="AO3929" s="10" t="str">
        <f t="shared" si="444"/>
        <v>FALSE</v>
      </c>
      <c r="AP3929" s="10" t="str">
        <f t="shared" si="444"/>
        <v>y=-0.0059*5.06^2+68.478*5.06-14.154</v>
      </c>
      <c r="AQ3929" s="10" t="b">
        <f>IF(AND(I3929="TP",S3929&lt;=150),VLOOKUP(AF3929,TPCalibEq150!$AZ$2:$BB$55,3,),IF(AND(I3929="TDP",S3929&lt;=150),VLOOKUP(AF3929,TPCalibEq150!$AZ$2:$BB$55,3,)))</f>
        <v>0</v>
      </c>
      <c r="AR3929" s="10" t="b">
        <f>IF(AND(I3929="TP",S3929&lt;=300),VLOOKUP(AF3929,TPCalibEq300!$AZ$2:$BB$55,3,),IF(AND(I3929="TDP",S3929&lt;=300),VLOOKUP(AF3929,TPCalibEq300!$AZ$2:$BB$55,3,)))</f>
        <v>0</v>
      </c>
      <c r="AS3929" s="10" t="str">
        <f>IF(AND(I3929="TP",S3929&lt;=500),VLOOKUP(AF3929,TPCalibEq500!$AZ$2:$BB$56,3,),IF(AND(I3929="TDP",S3929&lt;=500),VLOOKUP(AF3929,TPCalibEq500!$AZ$2:$BB$56,3,)))</f>
        <v>y=-1.8824x2+87.341x-33.178</v>
      </c>
      <c r="AT3929" s="10" t="b">
        <f>IF(AND(I3929="TN",S3929&lt;=2800),VLOOKUP(AF3929,TNCalibEq2500!$AZ$2:$BB$56,3,),IF(AND(I3929="TDN",S3929&lt;=2800),VLOOKUP(AF3929,TNCalibEq2500!$AZ$2:$BB$56,3,)))</f>
        <v>0</v>
      </c>
      <c r="AU3929" s="10" t="str">
        <f>IF(I3929="TP",VLOOKUP(AF3929,TPCalibEqFull!$AZ$2:$BB$56,3),IF(I3929="TDP",VLOOKUP(AF3929,TPCalibEqFull!$AZ$2:$BB$56,3),IF(I3929="TDN",VLOOKUP(AF3929,TNCalibEqFull!$AZ$1:$BB$56,3),IF(I3929="TN",VLOOKUP(AF3929,TNCalibEqFull!$AZ$1:$BB$56,3),FALSE))))</f>
        <v>y=-0.0059x2+68.478x-14.154</v>
      </c>
      <c r="AV3929" s="10" t="str">
        <f t="shared" si="449"/>
        <v>0221 12:14:00-ENN-0-170-1-SW-UKN</v>
      </c>
    </row>
    <row r="3930" spans="1:48" s="10" customFormat="1" x14ac:dyDescent="0.55000000000000004">
      <c r="A3930" s="32">
        <v>44978</v>
      </c>
      <c r="B3930" s="33">
        <v>0.51180555555555551</v>
      </c>
      <c r="C3930" s="10" t="s">
        <v>661</v>
      </c>
      <c r="D3930" s="10">
        <v>5</v>
      </c>
      <c r="E3930" s="10">
        <v>160</v>
      </c>
      <c r="F3930" s="10">
        <v>1</v>
      </c>
      <c r="G3930" s="10" t="s">
        <v>231</v>
      </c>
      <c r="H3930" s="10" t="s">
        <v>322</v>
      </c>
      <c r="I3930" s="10" t="s">
        <v>83</v>
      </c>
      <c r="J3930" s="10">
        <v>16</v>
      </c>
      <c r="K3930" s="12">
        <v>44980</v>
      </c>
      <c r="L3930" s="33">
        <v>0.45593750000000005</v>
      </c>
      <c r="M3930" s="10">
        <v>1</v>
      </c>
      <c r="N3930" s="10" t="s">
        <v>84</v>
      </c>
      <c r="O3930" s="10">
        <v>5.45</v>
      </c>
      <c r="P3930" s="10">
        <v>0.39700000000000002</v>
      </c>
      <c r="Q3930" s="10">
        <v>357</v>
      </c>
      <c r="R3930" s="10" t="s">
        <v>85</v>
      </c>
      <c r="S3930" s="34">
        <f t="shared" si="446"/>
        <v>386.91846399999997</v>
      </c>
      <c r="T3930" s="10" t="s">
        <v>1299</v>
      </c>
      <c r="U3930" s="34" t="str">
        <f t="shared" si="447"/>
        <v/>
      </c>
      <c r="V3930" s="31" t="str">
        <f>IF(H3930="CHK",VLOOKUP(I3930,QCCHK,3,),IF(H3930="GUP",VLOOKUP(E3930,QCGUP,2,),IF(AND(H3930="ATP",OR(I3930="TN",I3930="TDN",I3930="TNO2-3",I3930="NO2-3")),VLOOKUP(E3930,QCREC_N,2,),IF(AND(H3930="NIC",OR(I3930="TN",I3930="TDN",I3930="TNO2-3",I3930="NO2-3")),VLOOKUP(E3930,QCNIC_N,2,),IF(AND(H3930="UREA",OR(I3930="TN",I3930="TDN",I3930="TNO2-3",I3930="NO2-3")),VLOOKUP(E3930,QCUREA_N,2,),IF(H3930="PER",VLOOKUP(I3930,QCPER,MATCH(E3930,QCACTUAL!$J$25:$AA$25,0),),IF(H3930="SPK",VLOOKUP(I3930,QCSPK,3,),IF(AND(H3930="ATP",OR(I3930="TP",I3930="TDP")),VLOOKUP(E3930,QCATP_P,2,),""))))))))</f>
        <v/>
      </c>
      <c r="W3930" s="31" t="str">
        <f t="shared" si="448"/>
        <v>TRUE</v>
      </c>
      <c r="X3930" s="31" t="str">
        <f t="shared" si="445"/>
        <v/>
      </c>
      <c r="Y3930" s="10" t="s">
        <v>1285</v>
      </c>
      <c r="AF3930" s="12">
        <v>44980</v>
      </c>
      <c r="AI3930" s="10">
        <f>-1.8824*5.45^2+87.341*5.45-33.178</f>
        <v>386.91846399999997</v>
      </c>
      <c r="AK3930" s="10">
        <f>-0.0059*5.45^2+68.478*5.45-14.154</f>
        <v>358.87585524999997</v>
      </c>
      <c r="AL3930" s="10" t="str">
        <f t="shared" si="443"/>
        <v>FALSE</v>
      </c>
      <c r="AM3930" s="10" t="str">
        <f t="shared" si="443"/>
        <v>FALSE</v>
      </c>
      <c r="AN3930" s="10" t="str">
        <f t="shared" si="443"/>
        <v>y=-1.8824*5.45^2+87.341*5.45-33.178</v>
      </c>
      <c r="AO3930" s="10" t="str">
        <f t="shared" si="444"/>
        <v>FALSE</v>
      </c>
      <c r="AP3930" s="10" t="str">
        <f t="shared" si="444"/>
        <v>y=-0.0059*5.45^2+68.478*5.45-14.154</v>
      </c>
      <c r="AQ3930" s="10" t="b">
        <f>IF(AND(I3930="TP",S3930&lt;=150),VLOOKUP(AF3930,TPCalibEq150!$AZ$2:$BB$55,3,),IF(AND(I3930="TDP",S3930&lt;=150),VLOOKUP(AF3930,TPCalibEq150!$AZ$2:$BB$55,3,)))</f>
        <v>0</v>
      </c>
      <c r="AR3930" s="10" t="b">
        <f>IF(AND(I3930="TP",S3930&lt;=300),VLOOKUP(AF3930,TPCalibEq300!$AZ$2:$BB$55,3,),IF(AND(I3930="TDP",S3930&lt;=300),VLOOKUP(AF3930,TPCalibEq300!$AZ$2:$BB$55,3,)))</f>
        <v>0</v>
      </c>
      <c r="AS3930" s="10" t="str">
        <f>IF(AND(I3930="TP",S3930&lt;=500),VLOOKUP(AF3930,TPCalibEq500!$AZ$2:$BB$56,3,),IF(AND(I3930="TDP",S3930&lt;=500),VLOOKUP(AF3930,TPCalibEq500!$AZ$2:$BB$56,3,)))</f>
        <v>y=-1.8824x2+87.341x-33.178</v>
      </c>
      <c r="AT3930" s="10" t="b">
        <f>IF(AND(I3930="TN",S3930&lt;=2800),VLOOKUP(AF3930,TNCalibEq2500!$AZ$2:$BB$56,3,),IF(AND(I3930="TDN",S3930&lt;=2800),VLOOKUP(AF3930,TNCalibEq2500!$AZ$2:$BB$56,3,)))</f>
        <v>0</v>
      </c>
      <c r="AU3930" s="10" t="str">
        <f>IF(I3930="TP",VLOOKUP(AF3930,TPCalibEqFull!$AZ$2:$BB$56,3),IF(I3930="TDP",VLOOKUP(AF3930,TPCalibEqFull!$AZ$2:$BB$56,3),IF(I3930="TDN",VLOOKUP(AF3930,TNCalibEqFull!$AZ$1:$BB$56,3),IF(I3930="TN",VLOOKUP(AF3930,TNCalibEqFull!$AZ$1:$BB$56,3),FALSE))))</f>
        <v>y=-0.0059x2+68.478x-14.154</v>
      </c>
      <c r="AV3930" s="10" t="str">
        <f t="shared" si="449"/>
        <v>0221 12:17:00-ENN-5-160-1-SW-UKN</v>
      </c>
    </row>
    <row r="3931" spans="1:48" s="10" customFormat="1" x14ac:dyDescent="0.55000000000000004">
      <c r="A3931" s="32">
        <v>44978</v>
      </c>
      <c r="B3931" s="33">
        <v>0.51388888888888895</v>
      </c>
      <c r="C3931" s="10" t="s">
        <v>661</v>
      </c>
      <c r="D3931" s="10">
        <v>10</v>
      </c>
      <c r="E3931" s="10">
        <v>220</v>
      </c>
      <c r="F3931" s="10">
        <v>1</v>
      </c>
      <c r="G3931" s="10" t="s">
        <v>231</v>
      </c>
      <c r="H3931" s="10" t="s">
        <v>322</v>
      </c>
      <c r="I3931" s="10" t="s">
        <v>83</v>
      </c>
      <c r="J3931" s="10">
        <v>17</v>
      </c>
      <c r="K3931" s="12">
        <v>44980</v>
      </c>
      <c r="L3931" s="33">
        <v>0.45664351851851853</v>
      </c>
      <c r="M3931" s="10">
        <v>1</v>
      </c>
      <c r="N3931" s="10" t="s">
        <v>84</v>
      </c>
      <c r="O3931" s="10">
        <v>4.8899999999999997</v>
      </c>
      <c r="P3931" s="10">
        <v>0.35599999999999998</v>
      </c>
      <c r="Q3931" s="10">
        <v>319</v>
      </c>
      <c r="R3931" s="10" t="s">
        <v>85</v>
      </c>
      <c r="S3931" s="34">
        <f t="shared" si="446"/>
        <v>348.90735295999997</v>
      </c>
      <c r="T3931" s="10" t="s">
        <v>1299</v>
      </c>
      <c r="U3931" s="34" t="str">
        <f t="shared" si="447"/>
        <v/>
      </c>
      <c r="V3931" s="31" t="str">
        <f>IF(H3931="CHK",VLOOKUP(I3931,QCCHK,3,),IF(H3931="GUP",VLOOKUP(E3931,QCGUP,2,),IF(AND(H3931="ATP",OR(I3931="TN",I3931="TDN",I3931="TNO2-3",I3931="NO2-3")),VLOOKUP(E3931,QCREC_N,2,),IF(AND(H3931="NIC",OR(I3931="TN",I3931="TDN",I3931="TNO2-3",I3931="NO2-3")),VLOOKUP(E3931,QCNIC_N,2,),IF(AND(H3931="UREA",OR(I3931="TN",I3931="TDN",I3931="TNO2-3",I3931="NO2-3")),VLOOKUP(E3931,QCUREA_N,2,),IF(H3931="PER",VLOOKUP(I3931,QCPER,MATCH(E3931,QCACTUAL!$J$25:$AA$25,0),),IF(H3931="SPK",VLOOKUP(I3931,QCSPK,3,),IF(AND(H3931="ATP",OR(I3931="TP",I3931="TDP")),VLOOKUP(E3931,QCATP_P,2,),""))))))))</f>
        <v/>
      </c>
      <c r="W3931" s="31" t="str">
        <f t="shared" si="448"/>
        <v>TRUE</v>
      </c>
      <c r="X3931" s="31" t="str">
        <f t="shared" si="445"/>
        <v/>
      </c>
      <c r="Y3931" s="10" t="s">
        <v>1285</v>
      </c>
      <c r="AF3931" s="12">
        <v>44980</v>
      </c>
      <c r="AI3931" s="10">
        <f>-1.8824*4.89^2+87.341*4.89-33.178</f>
        <v>348.90735295999997</v>
      </c>
      <c r="AK3931" s="10">
        <f>-0.0059*4.89^2+68.478*4.89-14.154</f>
        <v>320.56233860999993</v>
      </c>
      <c r="AL3931" s="10" t="str">
        <f t="shared" si="443"/>
        <v>FALSE</v>
      </c>
      <c r="AM3931" s="10" t="str">
        <f t="shared" si="443"/>
        <v>FALSE</v>
      </c>
      <c r="AN3931" s="10" t="str">
        <f t="shared" si="443"/>
        <v>y=-1.8824*4.89^2+87.341*4.89-33.178</v>
      </c>
      <c r="AO3931" s="10" t="str">
        <f t="shared" si="444"/>
        <v>FALSE</v>
      </c>
      <c r="AP3931" s="10" t="str">
        <f t="shared" si="444"/>
        <v>y=-0.0059*4.89^2+68.478*4.89-14.154</v>
      </c>
      <c r="AQ3931" s="10" t="b">
        <f>IF(AND(I3931="TP",S3931&lt;=150),VLOOKUP(AF3931,TPCalibEq150!$AZ$2:$BB$55,3,),IF(AND(I3931="TDP",S3931&lt;=150),VLOOKUP(AF3931,TPCalibEq150!$AZ$2:$BB$55,3,)))</f>
        <v>0</v>
      </c>
      <c r="AR3931" s="10" t="b">
        <f>IF(AND(I3931="TP",S3931&lt;=300),VLOOKUP(AF3931,TPCalibEq300!$AZ$2:$BB$55,3,),IF(AND(I3931="TDP",S3931&lt;=300),VLOOKUP(AF3931,TPCalibEq300!$AZ$2:$BB$55,3,)))</f>
        <v>0</v>
      </c>
      <c r="AS3931" s="10" t="str">
        <f>IF(AND(I3931="TP",S3931&lt;=500),VLOOKUP(AF3931,TPCalibEq500!$AZ$2:$BB$56,3,),IF(AND(I3931="TDP",S3931&lt;=500),VLOOKUP(AF3931,TPCalibEq500!$AZ$2:$BB$56,3,)))</f>
        <v>y=-1.8824x2+87.341x-33.178</v>
      </c>
      <c r="AT3931" s="10" t="b">
        <f>IF(AND(I3931="TN",S3931&lt;=2800),VLOOKUP(AF3931,TNCalibEq2500!$AZ$2:$BB$56,3,),IF(AND(I3931="TDN",S3931&lt;=2800),VLOOKUP(AF3931,TNCalibEq2500!$AZ$2:$BB$56,3,)))</f>
        <v>0</v>
      </c>
      <c r="AU3931" s="10" t="str">
        <f>IF(I3931="TP",VLOOKUP(AF3931,TPCalibEqFull!$AZ$2:$BB$56,3),IF(I3931="TDP",VLOOKUP(AF3931,TPCalibEqFull!$AZ$2:$BB$56,3),IF(I3931="TDN",VLOOKUP(AF3931,TNCalibEqFull!$AZ$1:$BB$56,3),IF(I3931="TN",VLOOKUP(AF3931,TNCalibEqFull!$AZ$1:$BB$56,3),FALSE))))</f>
        <v>y=-0.0059x2+68.478x-14.154</v>
      </c>
      <c r="AV3931" s="10" t="str">
        <f t="shared" si="449"/>
        <v>0221 12:20:00-ENN-10-220-1-SW-UKN</v>
      </c>
    </row>
    <row r="3932" spans="1:48" s="10" customFormat="1" x14ac:dyDescent="0.55000000000000004">
      <c r="A3932" s="32">
        <v>44978</v>
      </c>
      <c r="B3932" s="33">
        <v>0.51666666666666672</v>
      </c>
      <c r="C3932" s="10" t="s">
        <v>661</v>
      </c>
      <c r="D3932" s="10">
        <v>20</v>
      </c>
      <c r="E3932" s="10" t="s">
        <v>190</v>
      </c>
      <c r="F3932" s="10">
        <v>1</v>
      </c>
      <c r="G3932" s="10" t="s">
        <v>231</v>
      </c>
      <c r="H3932" s="10" t="s">
        <v>322</v>
      </c>
      <c r="I3932" s="10" t="s">
        <v>83</v>
      </c>
      <c r="J3932" s="10">
        <v>18</v>
      </c>
      <c r="K3932" s="12">
        <v>44980</v>
      </c>
      <c r="L3932" s="33">
        <v>0.45733796296296297</v>
      </c>
      <c r="M3932" s="10">
        <v>1</v>
      </c>
      <c r="N3932" s="10" t="s">
        <v>84</v>
      </c>
      <c r="O3932" s="10">
        <v>5.24</v>
      </c>
      <c r="P3932" s="10">
        <v>0.38300000000000001</v>
      </c>
      <c r="Q3932" s="10">
        <v>343</v>
      </c>
      <c r="R3932" s="10" t="s">
        <v>85</v>
      </c>
      <c r="S3932" s="34">
        <f t="shared" si="446"/>
        <v>372.80265376</v>
      </c>
      <c r="T3932" s="10" t="s">
        <v>1299</v>
      </c>
      <c r="U3932" s="34" t="str">
        <f t="shared" si="447"/>
        <v/>
      </c>
      <c r="V3932" s="31" t="str">
        <f>IF(H3932="CHK",VLOOKUP(I3932,QCCHK,3,),IF(H3932="GUP",VLOOKUP(E3932,QCGUP,2,),IF(AND(H3932="ATP",OR(I3932="TN",I3932="TDN",I3932="TNO2-3",I3932="NO2-3")),VLOOKUP(E3932,QCREC_N,2,),IF(AND(H3932="NIC",OR(I3932="TN",I3932="TDN",I3932="TNO2-3",I3932="NO2-3")),VLOOKUP(E3932,QCNIC_N,2,),IF(AND(H3932="UREA",OR(I3932="TN",I3932="TDN",I3932="TNO2-3",I3932="NO2-3")),VLOOKUP(E3932,QCUREA_N,2,),IF(H3932="PER",VLOOKUP(I3932,QCPER,MATCH(E3932,QCACTUAL!$J$25:$AA$25,0),),IF(H3932="SPK",VLOOKUP(I3932,QCSPK,3,),IF(AND(H3932="ATP",OR(I3932="TP",I3932="TDP")),VLOOKUP(E3932,QCATP_P,2,),""))))))))</f>
        <v/>
      </c>
      <c r="W3932" s="31" t="str">
        <f t="shared" si="448"/>
        <v>TRUE</v>
      </c>
      <c r="X3932" s="31" t="str">
        <f t="shared" si="445"/>
        <v/>
      </c>
      <c r="Y3932" s="10" t="s">
        <v>1285</v>
      </c>
      <c r="AF3932" s="12">
        <v>44980</v>
      </c>
      <c r="AI3932" s="10">
        <f>-1.8824*5.24^2+87.341*5.24-33.178</f>
        <v>372.80265376</v>
      </c>
      <c r="AK3932" s="10">
        <f>-0.0059*5.24^2+68.478*5.24-14.154</f>
        <v>344.50872016</v>
      </c>
      <c r="AL3932" s="10" t="str">
        <f t="shared" si="443"/>
        <v>FALSE</v>
      </c>
      <c r="AM3932" s="10" t="str">
        <f t="shared" si="443"/>
        <v>FALSE</v>
      </c>
      <c r="AN3932" s="10" t="str">
        <f t="shared" si="443"/>
        <v>y=-1.8824*5.24^2+87.341*5.24-33.178</v>
      </c>
      <c r="AO3932" s="10" t="str">
        <f t="shared" si="444"/>
        <v>FALSE</v>
      </c>
      <c r="AP3932" s="10" t="str">
        <f t="shared" si="444"/>
        <v>y=-0.0059*5.24^2+68.478*5.24-14.154</v>
      </c>
      <c r="AQ3932" s="10" t="b">
        <f>IF(AND(I3932="TP",S3932&lt;=150),VLOOKUP(AF3932,TPCalibEq150!$AZ$2:$BB$55,3,),IF(AND(I3932="TDP",S3932&lt;=150),VLOOKUP(AF3932,TPCalibEq150!$AZ$2:$BB$55,3,)))</f>
        <v>0</v>
      </c>
      <c r="AR3932" s="10" t="b">
        <f>IF(AND(I3932="TP",S3932&lt;=300),VLOOKUP(AF3932,TPCalibEq300!$AZ$2:$BB$55,3,),IF(AND(I3932="TDP",S3932&lt;=300),VLOOKUP(AF3932,TPCalibEq300!$AZ$2:$BB$55,3,)))</f>
        <v>0</v>
      </c>
      <c r="AS3932" s="10" t="str">
        <f>IF(AND(I3932="TP",S3932&lt;=500),VLOOKUP(AF3932,TPCalibEq500!$AZ$2:$BB$56,3,),IF(AND(I3932="TDP",S3932&lt;=500),VLOOKUP(AF3932,TPCalibEq500!$AZ$2:$BB$56,3,)))</f>
        <v>y=-1.8824x2+87.341x-33.178</v>
      </c>
      <c r="AT3932" s="10" t="b">
        <f>IF(AND(I3932="TN",S3932&lt;=2800),VLOOKUP(AF3932,TNCalibEq2500!$AZ$2:$BB$56,3,),IF(AND(I3932="TDN",S3932&lt;=2800),VLOOKUP(AF3932,TNCalibEq2500!$AZ$2:$BB$56,3,)))</f>
        <v>0</v>
      </c>
      <c r="AU3932" s="10" t="str">
        <f>IF(I3932="TP",VLOOKUP(AF3932,TPCalibEqFull!$AZ$2:$BB$56,3),IF(I3932="TDP",VLOOKUP(AF3932,TPCalibEqFull!$AZ$2:$BB$56,3),IF(I3932="TDN",VLOOKUP(AF3932,TNCalibEqFull!$AZ$1:$BB$56,3),IF(I3932="TN",VLOOKUP(AF3932,TNCalibEqFull!$AZ$1:$BB$56,3),FALSE))))</f>
        <v>y=-0.0059x2+68.478x-14.154</v>
      </c>
      <c r="AV3932" s="10" t="str">
        <f t="shared" si="449"/>
        <v>0221 12:24:00-ENN-20-C-1-SW-UKN</v>
      </c>
    </row>
    <row r="3933" spans="1:48" s="10" customFormat="1" x14ac:dyDescent="0.55000000000000004">
      <c r="A3933" s="32">
        <v>44978</v>
      </c>
      <c r="B3933" s="33">
        <v>0.51944444444444449</v>
      </c>
      <c r="C3933" s="10" t="s">
        <v>661</v>
      </c>
      <c r="D3933" s="10">
        <v>24</v>
      </c>
      <c r="E3933" s="10" t="s">
        <v>190</v>
      </c>
      <c r="F3933" s="10">
        <v>1</v>
      </c>
      <c r="G3933" s="10" t="s">
        <v>231</v>
      </c>
      <c r="H3933" s="10" t="s">
        <v>322</v>
      </c>
      <c r="I3933" s="10" t="s">
        <v>83</v>
      </c>
      <c r="J3933" s="10">
        <v>19</v>
      </c>
      <c r="K3933" s="12">
        <v>44980</v>
      </c>
      <c r="L3933" s="33">
        <v>0.45803240740740742</v>
      </c>
      <c r="M3933" s="10">
        <v>1</v>
      </c>
      <c r="N3933" s="10" t="s">
        <v>84</v>
      </c>
      <c r="O3933" s="10">
        <v>5.4</v>
      </c>
      <c r="P3933" s="10">
        <v>0.39300000000000002</v>
      </c>
      <c r="Q3933" s="10">
        <v>354</v>
      </c>
      <c r="R3933" s="10" t="s">
        <v>85</v>
      </c>
      <c r="S3933" s="34">
        <f t="shared" si="446"/>
        <v>383.57261599999998</v>
      </c>
      <c r="T3933" s="10" t="s">
        <v>1299</v>
      </c>
      <c r="U3933" s="34" t="str">
        <f t="shared" si="447"/>
        <v/>
      </c>
      <c r="V3933" s="31" t="str">
        <f>IF(H3933="CHK",VLOOKUP(I3933,QCCHK,3,),IF(H3933="GUP",VLOOKUP(E3933,QCGUP,2,),IF(AND(H3933="ATP",OR(I3933="TN",I3933="TDN",I3933="TNO2-3",I3933="NO2-3")),VLOOKUP(E3933,QCREC_N,2,),IF(AND(H3933="NIC",OR(I3933="TN",I3933="TDN",I3933="TNO2-3",I3933="NO2-3")),VLOOKUP(E3933,QCNIC_N,2,),IF(AND(H3933="UREA",OR(I3933="TN",I3933="TDN",I3933="TNO2-3",I3933="NO2-3")),VLOOKUP(E3933,QCUREA_N,2,),IF(H3933="PER",VLOOKUP(I3933,QCPER,MATCH(E3933,QCACTUAL!$J$25:$AA$25,0),),IF(H3933="SPK",VLOOKUP(I3933,QCSPK,3,),IF(AND(H3933="ATP",OR(I3933="TP",I3933="TDP")),VLOOKUP(E3933,QCATP_P,2,),""))))))))</f>
        <v/>
      </c>
      <c r="W3933" s="31" t="str">
        <f t="shared" si="448"/>
        <v>TRUE</v>
      </c>
      <c r="X3933" s="31" t="str">
        <f t="shared" si="445"/>
        <v/>
      </c>
      <c r="Y3933" s="10" t="s">
        <v>1285</v>
      </c>
      <c r="AF3933" s="12">
        <v>44980</v>
      </c>
      <c r="AI3933" s="10">
        <f>-1.8824*5.4^2+87.341*5.4-33.178</f>
        <v>383.57261599999998</v>
      </c>
      <c r="AK3933" s="10">
        <f>-0.0059*5.4^2+68.478*5.4-14.154</f>
        <v>355.45515599999999</v>
      </c>
      <c r="AL3933" s="10" t="str">
        <f t="shared" si="443"/>
        <v>FALSE</v>
      </c>
      <c r="AM3933" s="10" t="str">
        <f t="shared" si="443"/>
        <v>FALSE</v>
      </c>
      <c r="AN3933" s="10" t="str">
        <f t="shared" si="443"/>
        <v>y=-1.8824*5.4^2+87.341*5.4-33.178</v>
      </c>
      <c r="AO3933" s="10" t="str">
        <f t="shared" si="444"/>
        <v>FALSE</v>
      </c>
      <c r="AP3933" s="10" t="str">
        <f t="shared" si="444"/>
        <v>y=-0.0059*5.4^2+68.478*5.4-14.154</v>
      </c>
      <c r="AQ3933" s="10" t="b">
        <f>IF(AND(I3933="TP",S3933&lt;=150),VLOOKUP(AF3933,TPCalibEq150!$AZ$2:$BB$55,3,),IF(AND(I3933="TDP",S3933&lt;=150),VLOOKUP(AF3933,TPCalibEq150!$AZ$2:$BB$55,3,)))</f>
        <v>0</v>
      </c>
      <c r="AR3933" s="10" t="b">
        <f>IF(AND(I3933="TP",S3933&lt;=300),VLOOKUP(AF3933,TPCalibEq300!$AZ$2:$BB$55,3,),IF(AND(I3933="TDP",S3933&lt;=300),VLOOKUP(AF3933,TPCalibEq300!$AZ$2:$BB$55,3,)))</f>
        <v>0</v>
      </c>
      <c r="AS3933" s="10" t="str">
        <f>IF(AND(I3933="TP",S3933&lt;=500),VLOOKUP(AF3933,TPCalibEq500!$AZ$2:$BB$56,3,),IF(AND(I3933="TDP",S3933&lt;=500),VLOOKUP(AF3933,TPCalibEq500!$AZ$2:$BB$56,3,)))</f>
        <v>y=-1.8824x2+87.341x-33.178</v>
      </c>
      <c r="AT3933" s="10" t="b">
        <f>IF(AND(I3933="TN",S3933&lt;=2800),VLOOKUP(AF3933,TNCalibEq2500!$AZ$2:$BB$56,3,),IF(AND(I3933="TDN",S3933&lt;=2800),VLOOKUP(AF3933,TNCalibEq2500!$AZ$2:$BB$56,3,)))</f>
        <v>0</v>
      </c>
      <c r="AU3933" s="10" t="str">
        <f>IF(I3933="TP",VLOOKUP(AF3933,TPCalibEqFull!$AZ$2:$BB$56,3),IF(I3933="TDP",VLOOKUP(AF3933,TPCalibEqFull!$AZ$2:$BB$56,3),IF(I3933="TDN",VLOOKUP(AF3933,TNCalibEqFull!$AZ$1:$BB$56,3),IF(I3933="TN",VLOOKUP(AF3933,TNCalibEqFull!$AZ$1:$BB$56,3),FALSE))))</f>
        <v>y=-0.0059x2+68.478x-14.154</v>
      </c>
      <c r="AV3933" s="10" t="str">
        <f t="shared" si="449"/>
        <v>0221 12:28:00-ENN-24-C-1-SW-UKN</v>
      </c>
    </row>
    <row r="3934" spans="1:48" s="10" customFormat="1" x14ac:dyDescent="0.55000000000000004">
      <c r="A3934" s="32">
        <v>44978</v>
      </c>
      <c r="B3934" s="33">
        <v>0.45069444444444445</v>
      </c>
      <c r="C3934" s="10" t="s">
        <v>646</v>
      </c>
      <c r="D3934" s="10">
        <v>0</v>
      </c>
      <c r="E3934" s="10">
        <v>360</v>
      </c>
      <c r="F3934" s="10">
        <v>1</v>
      </c>
      <c r="G3934" s="10" t="s">
        <v>231</v>
      </c>
      <c r="H3934" s="10" t="s">
        <v>322</v>
      </c>
      <c r="I3934" s="10" t="s">
        <v>83</v>
      </c>
      <c r="J3934" s="10">
        <v>20</v>
      </c>
      <c r="K3934" s="12">
        <v>44980</v>
      </c>
      <c r="L3934" s="33">
        <v>0.45872685185185186</v>
      </c>
      <c r="M3934" s="10">
        <v>1</v>
      </c>
      <c r="N3934" s="10" t="s">
        <v>84</v>
      </c>
      <c r="O3934" s="10">
        <v>3.93</v>
      </c>
      <c r="P3934" s="10">
        <v>0.28499999999999998</v>
      </c>
      <c r="Q3934" s="10">
        <v>254</v>
      </c>
      <c r="R3934" s="10" t="s">
        <v>85</v>
      </c>
      <c r="S3934" s="34">
        <f t="shared" si="446"/>
        <v>280.99865024000002</v>
      </c>
      <c r="T3934" s="10" t="s">
        <v>1299</v>
      </c>
      <c r="U3934" s="34" t="str">
        <f t="shared" si="447"/>
        <v/>
      </c>
      <c r="V3934" s="31" t="str">
        <f>IF(H3934="CHK",VLOOKUP(I3934,QCCHK,3,),IF(H3934="GUP",VLOOKUP(E3934,QCGUP,2,),IF(AND(H3934="ATP",OR(I3934="TN",I3934="TDN",I3934="TNO2-3",I3934="NO2-3")),VLOOKUP(E3934,QCREC_N,2,),IF(AND(H3934="NIC",OR(I3934="TN",I3934="TDN",I3934="TNO2-3",I3934="NO2-3")),VLOOKUP(E3934,QCNIC_N,2,),IF(AND(H3934="UREA",OR(I3934="TN",I3934="TDN",I3934="TNO2-3",I3934="NO2-3")),VLOOKUP(E3934,QCUREA_N,2,),IF(H3934="PER",VLOOKUP(I3934,QCPER,MATCH(E3934,QCACTUAL!$J$25:$AA$25,0),),IF(H3934="SPK",VLOOKUP(I3934,QCSPK,3,),IF(AND(H3934="ATP",OR(I3934="TP",I3934="TDP")),VLOOKUP(E3934,QCATP_P,2,),""))))))))</f>
        <v/>
      </c>
      <c r="W3934" s="31" t="str">
        <f t="shared" si="448"/>
        <v>TRUE</v>
      </c>
      <c r="X3934" s="31" t="str">
        <f t="shared" si="445"/>
        <v/>
      </c>
      <c r="Y3934" s="10" t="s">
        <v>1285</v>
      </c>
      <c r="AF3934" s="12">
        <v>44980</v>
      </c>
      <c r="AH3934" s="10">
        <f>-5.1889*3.93^2+102.33*3.93-44.163</f>
        <v>277.85185838999996</v>
      </c>
      <c r="AI3934" s="10">
        <f>-1.8824*3.93^2+87.341*3.93-33.178</f>
        <v>280.99865024000002</v>
      </c>
      <c r="AK3934" s="10">
        <f>-0.0059*3.93^2+68.478*3.93-14.154</f>
        <v>254.87341508999998</v>
      </c>
      <c r="AL3934" s="10" t="str">
        <f t="shared" si="443"/>
        <v>FALSE</v>
      </c>
      <c r="AM3934" s="10" t="str">
        <f t="shared" si="443"/>
        <v>y=-5.1889*3.93^2+102.33*3.93-44.163</v>
      </c>
      <c r="AN3934" s="10" t="str">
        <f t="shared" si="443"/>
        <v>y=-1.8824*3.93^2+87.341*3.93-33.178</v>
      </c>
      <c r="AO3934" s="10" t="str">
        <f t="shared" si="444"/>
        <v>FALSE</v>
      </c>
      <c r="AP3934" s="10" t="str">
        <f t="shared" si="444"/>
        <v>y=-0.0059*3.93^2+68.478*3.93-14.154</v>
      </c>
      <c r="AQ3934" s="10" t="b">
        <f>IF(AND(I3934="TP",S3934&lt;=150),VLOOKUP(AF3934,TPCalibEq150!$AZ$2:$BB$55,3,),IF(AND(I3934="TDP",S3934&lt;=150),VLOOKUP(AF3934,TPCalibEq150!$AZ$2:$BB$55,3,)))</f>
        <v>0</v>
      </c>
      <c r="AR3934" s="10" t="str">
        <f>IF(AND(I3934="TP",S3934&lt;=300),VLOOKUP(AF3934,TPCalibEq300!$AZ$2:$BB$55,3,),IF(AND(I3934="TDP",S3934&lt;=300),VLOOKUP(AF3934,TPCalibEq300!$AZ$2:$BB$55,3,)))</f>
        <v>y=-5.1889x2+102.33x-44.163</v>
      </c>
      <c r="AS3934" s="10" t="str">
        <f>IF(AND(I3934="TP",S3934&lt;=500),VLOOKUP(AF3934,TPCalibEq500!$AZ$2:$BB$56,3,),IF(AND(I3934="TDP",S3934&lt;=500),VLOOKUP(AF3934,TPCalibEq500!$AZ$2:$BB$56,3,)))</f>
        <v>y=-1.8824x2+87.341x-33.178</v>
      </c>
      <c r="AT3934" s="10" t="b">
        <f>IF(AND(I3934="TN",S3934&lt;=2800),VLOOKUP(AF3934,TNCalibEq2500!$AZ$2:$BB$56,3,),IF(AND(I3934="TDN",S3934&lt;=2800),VLOOKUP(AF3934,TNCalibEq2500!$AZ$2:$BB$56,3,)))</f>
        <v>0</v>
      </c>
      <c r="AU3934" s="10" t="str">
        <f>IF(I3934="TP",VLOOKUP(AF3934,TPCalibEqFull!$AZ$2:$BB$56,3),IF(I3934="TDP",VLOOKUP(AF3934,TPCalibEqFull!$AZ$2:$BB$56,3),IF(I3934="TDN",VLOOKUP(AF3934,TNCalibEqFull!$AZ$1:$BB$56,3),IF(I3934="TN",VLOOKUP(AF3934,TNCalibEqFull!$AZ$1:$BB$56,3),FALSE))))</f>
        <v>y=-0.0059x2+68.478x-14.154</v>
      </c>
      <c r="AV3934" s="10" t="str">
        <f t="shared" si="449"/>
        <v>0221 10:49:00-EMB-0-360-1-SW-UKN</v>
      </c>
    </row>
    <row r="3935" spans="1:48" s="10" customFormat="1" x14ac:dyDescent="0.55000000000000004">
      <c r="A3935" s="32">
        <v>44978</v>
      </c>
      <c r="B3935" s="33">
        <v>0.45069444444444445</v>
      </c>
      <c r="C3935" s="10" t="s">
        <v>646</v>
      </c>
      <c r="D3935" s="10">
        <v>0</v>
      </c>
      <c r="E3935" s="10">
        <v>360</v>
      </c>
      <c r="F3935" s="10">
        <v>1</v>
      </c>
      <c r="G3935" s="10" t="s">
        <v>231</v>
      </c>
      <c r="H3935" s="10" t="s">
        <v>233</v>
      </c>
      <c r="I3935" s="10" t="s">
        <v>83</v>
      </c>
      <c r="J3935" s="10">
        <v>20</v>
      </c>
      <c r="K3935" s="12">
        <v>44980</v>
      </c>
      <c r="L3935" s="33">
        <v>0.45940972222222221</v>
      </c>
      <c r="M3935" s="10">
        <v>1</v>
      </c>
      <c r="N3935" s="10" t="s">
        <v>84</v>
      </c>
      <c r="O3935" s="10">
        <v>3.89</v>
      </c>
      <c r="P3935" s="10">
        <v>0.28399999999999997</v>
      </c>
      <c r="Q3935" s="10">
        <v>251</v>
      </c>
      <c r="R3935" s="10" t="s">
        <v>85</v>
      </c>
      <c r="S3935" s="34">
        <f t="shared" si="446"/>
        <v>278.09382496000001</v>
      </c>
      <c r="T3935" s="10" t="s">
        <v>1299</v>
      </c>
      <c r="U3935" s="34">
        <f t="shared" si="447"/>
        <v>1.0391215796495525</v>
      </c>
      <c r="V3935" s="31" t="str">
        <f>IF(H3935="CHK",VLOOKUP(I3935,QCCHK,3,),IF(H3935="GUP",VLOOKUP(E3935,QCGUP,2,),IF(AND(H3935="ATP",OR(I3935="TN",I3935="TDN",I3935="TNO2-3",I3935="NO2-3")),VLOOKUP(E3935,QCREC_N,2,),IF(AND(H3935="NIC",OR(I3935="TN",I3935="TDN",I3935="TNO2-3",I3935="NO2-3")),VLOOKUP(E3935,QCNIC_N,2,),IF(AND(H3935="UREA",OR(I3935="TN",I3935="TDN",I3935="TNO2-3",I3935="NO2-3")),VLOOKUP(E3935,QCUREA_N,2,),IF(H3935="PER",VLOOKUP(I3935,QCPER,MATCH(E3935,QCACTUAL!$J$25:$AA$25,0),),IF(H3935="SPK",VLOOKUP(I3935,QCSPK,3,),IF(AND(H3935="ATP",OR(I3935="TP",I3935="TDP")),VLOOKUP(E3935,QCATP_P,2,),""))))))))</f>
        <v/>
      </c>
      <c r="W3935" s="31" t="str">
        <f t="shared" si="448"/>
        <v>TRUE</v>
      </c>
      <c r="X3935" s="31" t="str">
        <f t="shared" si="445"/>
        <v>((ABS(rep1-rep2))/((rep1+rep2)/2)*100</v>
      </c>
      <c r="Y3935" s="10" t="s">
        <v>1285</v>
      </c>
      <c r="AF3935" s="12">
        <v>44980</v>
      </c>
      <c r="AH3935" s="10">
        <f>-5.1889*3.89^2+102.33*3.89-44.163</f>
        <v>275.38174630999993</v>
      </c>
      <c r="AI3935" s="10">
        <f>-1.8824*3.89^2+87.341*3.89-33.178</f>
        <v>278.09382496000001</v>
      </c>
      <c r="AK3935" s="10">
        <f>-0.0059*3.89^2+68.478*3.89-14.154</f>
        <v>252.13614060999998</v>
      </c>
      <c r="AL3935" s="10" t="str">
        <f t="shared" si="443"/>
        <v>FALSE</v>
      </c>
      <c r="AM3935" s="10" t="str">
        <f t="shared" si="443"/>
        <v>y=-5.1889*3.89^2+102.33*3.89-44.163</v>
      </c>
      <c r="AN3935" s="10" t="str">
        <f t="shared" si="443"/>
        <v>y=-1.8824*3.89^2+87.341*3.89-33.178</v>
      </c>
      <c r="AO3935" s="10" t="str">
        <f t="shared" si="444"/>
        <v>FALSE</v>
      </c>
      <c r="AP3935" s="10" t="str">
        <f t="shared" si="444"/>
        <v>y=-0.0059*3.89^2+68.478*3.89-14.154</v>
      </c>
      <c r="AQ3935" s="10" t="b">
        <f>IF(AND(I3935="TP",S3935&lt;=150),VLOOKUP(AF3935,TPCalibEq150!$AZ$2:$BB$55,3,),IF(AND(I3935="TDP",S3935&lt;=150),VLOOKUP(AF3935,TPCalibEq150!$AZ$2:$BB$55,3,)))</f>
        <v>0</v>
      </c>
      <c r="AR3935" s="10" t="str">
        <f>IF(AND(I3935="TP",S3935&lt;=300),VLOOKUP(AF3935,TPCalibEq300!$AZ$2:$BB$55,3,),IF(AND(I3935="TDP",S3935&lt;=300),VLOOKUP(AF3935,TPCalibEq300!$AZ$2:$BB$55,3,)))</f>
        <v>y=-5.1889x2+102.33x-44.163</v>
      </c>
      <c r="AS3935" s="10" t="str">
        <f>IF(AND(I3935="TP",S3935&lt;=500),VLOOKUP(AF3935,TPCalibEq500!$AZ$2:$BB$56,3,),IF(AND(I3935="TDP",S3935&lt;=500),VLOOKUP(AF3935,TPCalibEq500!$AZ$2:$BB$56,3,)))</f>
        <v>y=-1.8824x2+87.341x-33.178</v>
      </c>
      <c r="AT3935" s="10" t="b">
        <f>IF(AND(I3935="TN",S3935&lt;=2800),VLOOKUP(AF3935,TNCalibEq2500!$AZ$2:$BB$56,3,),IF(AND(I3935="TDN",S3935&lt;=2800),VLOOKUP(AF3935,TNCalibEq2500!$AZ$2:$BB$56,3,)))</f>
        <v>0</v>
      </c>
      <c r="AU3935" s="10" t="str">
        <f>IF(I3935="TP",VLOOKUP(AF3935,TPCalibEqFull!$AZ$2:$BB$56,3),IF(I3935="TDP",VLOOKUP(AF3935,TPCalibEqFull!$AZ$2:$BB$56,3),IF(I3935="TDN",VLOOKUP(AF3935,TNCalibEqFull!$AZ$1:$BB$56,3),IF(I3935="TN",VLOOKUP(AF3935,TNCalibEqFull!$AZ$1:$BB$56,3),FALSE))))</f>
        <v>y=-0.0059x2+68.478x-14.154</v>
      </c>
      <c r="AV3935" s="10" t="str">
        <f t="shared" si="449"/>
        <v>0221 10:49:00-EMB-0-360-1-SW-DUP</v>
      </c>
    </row>
    <row r="3936" spans="1:48" s="10" customFormat="1" x14ac:dyDescent="0.55000000000000004">
      <c r="A3936" s="32">
        <v>44978</v>
      </c>
      <c r="B3936" s="33">
        <v>0.45069444444444445</v>
      </c>
      <c r="C3936" s="10" t="s">
        <v>646</v>
      </c>
      <c r="D3936" s="10">
        <v>0</v>
      </c>
      <c r="E3936" s="10">
        <v>360</v>
      </c>
      <c r="F3936" s="10">
        <v>1</v>
      </c>
      <c r="G3936" s="10" t="s">
        <v>231</v>
      </c>
      <c r="H3936" s="10" t="s">
        <v>314</v>
      </c>
      <c r="I3936" s="10" t="s">
        <v>83</v>
      </c>
      <c r="J3936" s="10">
        <v>83</v>
      </c>
      <c r="K3936" s="12">
        <v>44980</v>
      </c>
      <c r="L3936" s="33">
        <v>0.4601041666666667</v>
      </c>
      <c r="M3936" s="10">
        <v>1</v>
      </c>
      <c r="N3936" s="10" t="s">
        <v>84</v>
      </c>
      <c r="O3936" s="10">
        <v>19</v>
      </c>
      <c r="P3936" s="10">
        <v>1.36</v>
      </c>
      <c r="Q3936" s="10">
        <v>1280</v>
      </c>
      <c r="R3936" s="10" t="s">
        <v>85</v>
      </c>
      <c r="S3936" s="34">
        <f t="shared" si="446"/>
        <v>1284.7981</v>
      </c>
      <c r="T3936" s="10" t="s">
        <v>1299</v>
      </c>
      <c r="U3936" s="34">
        <f t="shared" si="447"/>
        <v>100.67042750399999</v>
      </c>
      <c r="V3936" s="31">
        <f>IF(H3936="CHK",VLOOKUP(I3936,QCCHK,3,),IF(H3936="GUP",VLOOKUP(E3936,QCGUP,2,),IF(AND(H3936="ATP",OR(I3936="TN",I3936="TDN",I3936="TNO2-3",I3936="NO2-3")),VLOOKUP(E3936,QCREC_N,2,),IF(AND(H3936="NIC",OR(I3936="TN",I3936="TDN",I3936="TNO2-3",I3936="NO2-3")),VLOOKUP(E3936,QCNIC_N,2,),IF(AND(H3936="UREA",OR(I3936="TN",I3936="TDN",I3936="TNO2-3",I3936="NO2-3")),VLOOKUP(E3936,QCUREA_N,2,),IF(H3936="PER",VLOOKUP(I3936,QCPER,MATCH(E3936,QCACTUAL!$J$25:$AA$25,0),),IF(H3936="SPK",VLOOKUP(I3936,QCSPK,3,),IF(AND(H3936="ATP",OR(I3936="TP",I3936="TDP")),VLOOKUP(E3936,QCATP_P,2,),""))))))))</f>
        <v>1000</v>
      </c>
      <c r="W3936" s="31" t="str">
        <f t="shared" si="448"/>
        <v>TRUE</v>
      </c>
      <c r="X3936" s="31" t="str">
        <f t="shared" si="445"/>
        <v>([spikedunkn]-[unkn])/[spike]*100</v>
      </c>
      <c r="Y3936" s="10" t="s">
        <v>1285</v>
      </c>
      <c r="AF3936" s="12">
        <v>44980</v>
      </c>
      <c r="AK3936" s="10">
        <f>-0.0059*19^2+68.478*19-14.154</f>
        <v>1284.7981</v>
      </c>
      <c r="AL3936" s="10" t="str">
        <f t="shared" si="443"/>
        <v>FALSE</v>
      </c>
      <c r="AM3936" s="10" t="str">
        <f t="shared" si="443"/>
        <v>FALSE</v>
      </c>
      <c r="AN3936" s="10" t="str">
        <f t="shared" si="443"/>
        <v>FALSE</v>
      </c>
      <c r="AO3936" s="10" t="str">
        <f t="shared" si="444"/>
        <v>FALSE</v>
      </c>
      <c r="AP3936" s="10" t="str">
        <f t="shared" si="444"/>
        <v>y=-0.0059*19^2+68.478*19-14.154</v>
      </c>
      <c r="AQ3936" s="10" t="b">
        <f>IF(AND(I3936="TP",S3936&lt;=150),VLOOKUP(AF3936,TPCalibEq150!$AZ$2:$BB$55,3,),IF(AND(I3936="TDP",S3936&lt;=150),VLOOKUP(AF3936,TPCalibEq150!$AZ$2:$BB$55,3,)))</f>
        <v>0</v>
      </c>
      <c r="AR3936" s="10" t="b">
        <f>IF(AND(I3936="TP",S3936&lt;=300),VLOOKUP(AF3936,TPCalibEq300!$AZ$2:$BB$55,3,),IF(AND(I3936="TDP",S3936&lt;=300),VLOOKUP(AF3936,TPCalibEq300!$AZ$2:$BB$55,3,)))</f>
        <v>0</v>
      </c>
      <c r="AS3936" s="10" t="b">
        <f>IF(AND(I3936="TP",S3936&lt;=500),VLOOKUP(AF3936,TPCalibEq500!$AZ$2:$BB$56,3,),IF(AND(I3936="TDP",S3936&lt;=500),VLOOKUP(AF3936,TPCalibEq500!$AZ$2:$BB$56,3,)))</f>
        <v>0</v>
      </c>
      <c r="AT3936" s="10" t="b">
        <f>IF(AND(I3936="TN",S3936&lt;=2800),VLOOKUP(AF3936,TNCalibEq2500!$AZ$2:$BB$56,3,),IF(AND(I3936="TDN",S3936&lt;=2800),VLOOKUP(AF3936,TNCalibEq2500!$AZ$2:$BB$56,3,)))</f>
        <v>0</v>
      </c>
      <c r="AU3936" s="10" t="str">
        <f>IF(I3936="TP",VLOOKUP(AF3936,TPCalibEqFull!$AZ$2:$BB$56,3),IF(I3936="TDP",VLOOKUP(AF3936,TPCalibEqFull!$AZ$2:$BB$56,3),IF(I3936="TDN",VLOOKUP(AF3936,TNCalibEqFull!$AZ$1:$BB$56,3),IF(I3936="TN",VLOOKUP(AF3936,TNCalibEqFull!$AZ$1:$BB$56,3),FALSE))))</f>
        <v>y=-0.0059x2+68.478x-14.154</v>
      </c>
      <c r="AV3936" s="10" t="str">
        <f t="shared" si="449"/>
        <v>0221 10:49:00-EMB-0-360-1-SW-SPK</v>
      </c>
    </row>
    <row r="3937" spans="1:48" s="10" customFormat="1" x14ac:dyDescent="0.55000000000000004">
      <c r="A3937" s="32">
        <v>44979</v>
      </c>
      <c r="B3937" s="33">
        <v>0.375</v>
      </c>
      <c r="C3937" s="10" t="s">
        <v>70</v>
      </c>
      <c r="D3937" s="10" t="s">
        <v>71</v>
      </c>
      <c r="E3937" s="10" t="s">
        <v>901</v>
      </c>
      <c r="F3937" s="10">
        <v>1</v>
      </c>
      <c r="G3937" s="10" t="s">
        <v>73</v>
      </c>
      <c r="H3937" s="10" t="s">
        <v>207</v>
      </c>
      <c r="I3937" s="10" t="s">
        <v>83</v>
      </c>
      <c r="J3937" s="10">
        <v>200</v>
      </c>
      <c r="K3937" s="12">
        <v>44980</v>
      </c>
      <c r="L3937" s="33">
        <v>0.46082175925925922</v>
      </c>
      <c r="M3937" s="10">
        <v>1</v>
      </c>
      <c r="N3937" s="10" t="s">
        <v>84</v>
      </c>
      <c r="O3937" s="10">
        <v>7.81</v>
      </c>
      <c r="P3937" s="10">
        <v>0.56799999999999995</v>
      </c>
      <c r="Q3937" s="10">
        <v>518</v>
      </c>
      <c r="R3937" s="10" t="s">
        <v>85</v>
      </c>
      <c r="S3937" s="34">
        <f t="shared" si="446"/>
        <v>520.2993030099999</v>
      </c>
      <c r="T3937" s="10" t="s">
        <v>1299</v>
      </c>
      <c r="U3937" s="34">
        <f t="shared" si="447"/>
        <v>104.05986060199999</v>
      </c>
      <c r="V3937" s="31">
        <f>IF(H3937="CHK",VLOOKUP(I3937,QCCHK,3,),IF(H3937="GUP",VLOOKUP(E3937,QCGUP,2,),IF(AND(H3937="ATP",OR(I3937="TN",I3937="TDN",I3937="TNO2-3",I3937="NO2-3")),VLOOKUP(E3937,QCREC_N,2,),IF(AND(H3937="NIC",OR(I3937="TN",I3937="TDN",I3937="TNO2-3",I3937="NO2-3")),VLOOKUP(E3937,QCNIC_N,2,),IF(AND(H3937="UREA",OR(I3937="TN",I3937="TDN",I3937="TNO2-3",I3937="NO2-3")),VLOOKUP(E3937,QCUREA_N,2,),IF(H3937="PER",VLOOKUP(I3937,QCPER,MATCH(E3937,QCACTUAL!$J$25:$AA$25,0),),IF(H3937="SPK",VLOOKUP(I3937,QCSPK,3,),IF(AND(H3937="ATP",OR(I3937="TP",I3937="TDP")),VLOOKUP(E3937,QCATP_P,2,),""))))))))</f>
        <v>500</v>
      </c>
      <c r="W3937" s="31" t="str">
        <f t="shared" si="448"/>
        <v>TRUE</v>
      </c>
      <c r="X3937" s="31" t="str">
        <f t="shared" si="445"/>
        <v>[chk]/[actual]*100</v>
      </c>
      <c r="Y3937" s="10" t="s">
        <v>1285</v>
      </c>
      <c r="AF3937" s="12">
        <v>44980</v>
      </c>
      <c r="AK3937" s="10">
        <f>-0.0059*7.81^2+68.478*7.81-14.154</f>
        <v>520.2993030099999</v>
      </c>
      <c r="AL3937" s="10" t="str">
        <f t="shared" si="443"/>
        <v>FALSE</v>
      </c>
      <c r="AM3937" s="10" t="str">
        <f t="shared" si="443"/>
        <v>FALSE</v>
      </c>
      <c r="AN3937" s="10" t="str">
        <f t="shared" si="443"/>
        <v>FALSE</v>
      </c>
      <c r="AO3937" s="10" t="str">
        <f t="shared" si="444"/>
        <v>FALSE</v>
      </c>
      <c r="AP3937" s="10" t="str">
        <f t="shared" si="444"/>
        <v>y=-0.0059*7.81^2+68.478*7.81-14.154</v>
      </c>
      <c r="AQ3937" s="10" t="b">
        <f>IF(AND(I3937="TP",S3937&lt;=150),VLOOKUP(AF3937,TPCalibEq150!$AZ$2:$BB$55,3,),IF(AND(I3937="TDP",S3937&lt;=150),VLOOKUP(AF3937,TPCalibEq150!$AZ$2:$BB$55,3,)))</f>
        <v>0</v>
      </c>
      <c r="AR3937" s="10" t="b">
        <f>IF(AND(I3937="TP",S3937&lt;=300),VLOOKUP(AF3937,TPCalibEq300!$AZ$2:$BB$55,3,),IF(AND(I3937="TDP",S3937&lt;=300),VLOOKUP(AF3937,TPCalibEq300!$AZ$2:$BB$55,3,)))</f>
        <v>0</v>
      </c>
      <c r="AS3937" s="10" t="b">
        <f>IF(AND(I3937="TP",S3937&lt;=500),VLOOKUP(AF3937,TPCalibEq500!$AZ$2:$BB$56,3,),IF(AND(I3937="TDP",S3937&lt;=500),VLOOKUP(AF3937,TPCalibEq500!$AZ$2:$BB$56,3,)))</f>
        <v>0</v>
      </c>
      <c r="AT3937" s="10" t="b">
        <f>IF(AND(I3937="TN",S3937&lt;=2800),VLOOKUP(AF3937,TNCalibEq2500!$AZ$2:$BB$56,3,),IF(AND(I3937="TDN",S3937&lt;=2800),VLOOKUP(AF3937,TNCalibEq2500!$AZ$2:$BB$56,3,)))</f>
        <v>0</v>
      </c>
      <c r="AU3937" s="10" t="str">
        <f>IF(I3937="TP",VLOOKUP(AF3937,TPCalibEqFull!$AZ$2:$BB$56,3),IF(I3937="TDP",VLOOKUP(AF3937,TPCalibEqFull!$AZ$2:$BB$56,3),IF(I3937="TDN",VLOOKUP(AF3937,TNCalibEqFull!$AZ$1:$BB$56,3),IF(I3937="TN",VLOOKUP(AF3937,TNCalibEqFull!$AZ$1:$BB$56,3),FALSE))))</f>
        <v>y=-0.0059x2+68.478x-14.154</v>
      </c>
      <c r="AV3937" s="10" t="str">
        <f t="shared" si="449"/>
        <v>0222 09:00:00-QAC-STD-D-1-DI-CHK</v>
      </c>
    </row>
    <row r="3938" spans="1:48" s="10" customFormat="1" x14ac:dyDescent="0.55000000000000004">
      <c r="A3938" s="32">
        <v>44978</v>
      </c>
      <c r="B3938" s="33">
        <v>0.45277777777777778</v>
      </c>
      <c r="C3938" s="10" t="s">
        <v>646</v>
      </c>
      <c r="D3938" s="10">
        <v>5</v>
      </c>
      <c r="E3938" s="10">
        <v>360</v>
      </c>
      <c r="F3938" s="10">
        <v>1</v>
      </c>
      <c r="G3938" s="10" t="s">
        <v>231</v>
      </c>
      <c r="H3938" s="10" t="s">
        <v>322</v>
      </c>
      <c r="I3938" s="10" t="s">
        <v>83</v>
      </c>
      <c r="J3938" s="10">
        <v>21</v>
      </c>
      <c r="K3938" s="12">
        <v>44980</v>
      </c>
      <c r="L3938" s="33">
        <v>0.46151620370370372</v>
      </c>
      <c r="M3938" s="10">
        <v>1</v>
      </c>
      <c r="N3938" s="10" t="s">
        <v>84</v>
      </c>
      <c r="O3938" s="10">
        <v>3.79</v>
      </c>
      <c r="P3938" s="10">
        <v>0.27400000000000002</v>
      </c>
      <c r="Q3938" s="10">
        <v>244</v>
      </c>
      <c r="R3938" s="10" t="s">
        <v>85</v>
      </c>
      <c r="S3938" s="34">
        <f t="shared" si="446"/>
        <v>270.80540815999996</v>
      </c>
      <c r="T3938" s="10" t="s">
        <v>1299</v>
      </c>
      <c r="U3938" s="34" t="str">
        <f t="shared" si="447"/>
        <v/>
      </c>
      <c r="V3938" s="31" t="str">
        <f>IF(H3938="CHK",VLOOKUP(I3938,QCCHK,3,),IF(H3938="GUP",VLOOKUP(E3938,QCGUP,2,),IF(AND(H3938="ATP",OR(I3938="TN",I3938="TDN",I3938="TNO2-3",I3938="NO2-3")),VLOOKUP(E3938,QCREC_N,2,),IF(AND(H3938="NIC",OR(I3938="TN",I3938="TDN",I3938="TNO2-3",I3938="NO2-3")),VLOOKUP(E3938,QCNIC_N,2,),IF(AND(H3938="UREA",OR(I3938="TN",I3938="TDN",I3938="TNO2-3",I3938="NO2-3")),VLOOKUP(E3938,QCUREA_N,2,),IF(H3938="PER",VLOOKUP(I3938,QCPER,MATCH(E3938,QCACTUAL!$J$25:$AA$25,0),),IF(H3938="SPK",VLOOKUP(I3938,QCSPK,3,),IF(AND(H3938="ATP",OR(I3938="TP",I3938="TDP")),VLOOKUP(E3938,QCATP_P,2,),""))))))))</f>
        <v/>
      </c>
      <c r="W3938" s="31" t="str">
        <f t="shared" si="448"/>
        <v>TRUE</v>
      </c>
      <c r="X3938" s="31" t="str">
        <f t="shared" si="445"/>
        <v/>
      </c>
      <c r="Y3938" s="10" t="s">
        <v>1285</v>
      </c>
      <c r="AF3938" s="12">
        <v>44980</v>
      </c>
      <c r="AH3938" s="10">
        <f>-5.1889*3.79^2+102.33*3.79-44.163</f>
        <v>269.13382150999996</v>
      </c>
      <c r="AI3938" s="10">
        <f>-1.8824*3.79^2+87.341*3.79-33.178</f>
        <v>270.80540815999996</v>
      </c>
      <c r="AK3938" s="10">
        <f>-0.0059*3.79^2+68.478*3.79-14.154</f>
        <v>245.29287180999995</v>
      </c>
      <c r="AL3938" s="10" t="str">
        <f t="shared" si="443"/>
        <v>FALSE</v>
      </c>
      <c r="AM3938" s="10" t="str">
        <f t="shared" si="443"/>
        <v>y=-5.1889*3.79^2+102.33*3.79-44.163</v>
      </c>
      <c r="AN3938" s="10" t="str">
        <f t="shared" si="443"/>
        <v>y=-1.8824*3.79^2+87.341*3.79-33.178</v>
      </c>
      <c r="AO3938" s="10" t="str">
        <f t="shared" si="444"/>
        <v>FALSE</v>
      </c>
      <c r="AP3938" s="10" t="str">
        <f t="shared" si="444"/>
        <v>y=-0.0059*3.79^2+68.478*3.79-14.154</v>
      </c>
      <c r="AQ3938" s="10" t="b">
        <f>IF(AND(I3938="TP",S3938&lt;=150),VLOOKUP(AF3938,TPCalibEq150!$AZ$2:$BB$55,3,),IF(AND(I3938="TDP",S3938&lt;=150),VLOOKUP(AF3938,TPCalibEq150!$AZ$2:$BB$55,3,)))</f>
        <v>0</v>
      </c>
      <c r="AR3938" s="10" t="str">
        <f>IF(AND(I3938="TP",S3938&lt;=300),VLOOKUP(AF3938,TPCalibEq300!$AZ$2:$BB$55,3,),IF(AND(I3938="TDP",S3938&lt;=300),VLOOKUP(AF3938,TPCalibEq300!$AZ$2:$BB$55,3,)))</f>
        <v>y=-5.1889x2+102.33x-44.163</v>
      </c>
      <c r="AS3938" s="10" t="str">
        <f>IF(AND(I3938="TP",S3938&lt;=500),VLOOKUP(AF3938,TPCalibEq500!$AZ$2:$BB$56,3,),IF(AND(I3938="TDP",S3938&lt;=500),VLOOKUP(AF3938,TPCalibEq500!$AZ$2:$BB$56,3,)))</f>
        <v>y=-1.8824x2+87.341x-33.178</v>
      </c>
      <c r="AT3938" s="10" t="b">
        <f>IF(AND(I3938="TN",S3938&lt;=2800),VLOOKUP(AF3938,TNCalibEq2500!$AZ$2:$BB$56,3,),IF(AND(I3938="TDN",S3938&lt;=2800),VLOOKUP(AF3938,TNCalibEq2500!$AZ$2:$BB$56,3,)))</f>
        <v>0</v>
      </c>
      <c r="AU3938" s="10" t="str">
        <f>IF(I3938="TP",VLOOKUP(AF3938,TPCalibEqFull!$AZ$2:$BB$56,3),IF(I3938="TDP",VLOOKUP(AF3938,TPCalibEqFull!$AZ$2:$BB$56,3),IF(I3938="TDN",VLOOKUP(AF3938,TNCalibEqFull!$AZ$1:$BB$56,3),IF(I3938="TN",VLOOKUP(AF3938,TNCalibEqFull!$AZ$1:$BB$56,3),FALSE))))</f>
        <v>y=-0.0059x2+68.478x-14.154</v>
      </c>
      <c r="AV3938" s="10" t="str">
        <f t="shared" si="449"/>
        <v>0221 10:52:00-EMB-5-360-1-SW-UKN</v>
      </c>
    </row>
    <row r="3939" spans="1:48" s="10" customFormat="1" x14ac:dyDescent="0.55000000000000004">
      <c r="A3939" s="32">
        <v>44978</v>
      </c>
      <c r="B3939" s="33">
        <v>0.4548611111111111</v>
      </c>
      <c r="C3939" s="10" t="s">
        <v>646</v>
      </c>
      <c r="D3939" s="10">
        <v>10</v>
      </c>
      <c r="E3939" s="10">
        <v>380</v>
      </c>
      <c r="F3939" s="10">
        <v>1</v>
      </c>
      <c r="G3939" s="10" t="s">
        <v>231</v>
      </c>
      <c r="H3939" s="10" t="s">
        <v>322</v>
      </c>
      <c r="I3939" s="10" t="s">
        <v>83</v>
      </c>
      <c r="J3939" s="10">
        <v>22</v>
      </c>
      <c r="K3939" s="12">
        <v>44980</v>
      </c>
      <c r="L3939" s="33">
        <v>0.46222222222222226</v>
      </c>
      <c r="M3939" s="10">
        <v>1</v>
      </c>
      <c r="N3939" s="10" t="s">
        <v>84</v>
      </c>
      <c r="O3939" s="10">
        <v>3.66</v>
      </c>
      <c r="P3939" s="10">
        <v>0.26500000000000001</v>
      </c>
      <c r="Q3939" s="10">
        <v>236</v>
      </c>
      <c r="R3939" s="10" t="s">
        <v>85</v>
      </c>
      <c r="S3939" s="34">
        <f t="shared" si="446"/>
        <v>261.27418255999999</v>
      </c>
      <c r="T3939" s="10" t="s">
        <v>1299</v>
      </c>
      <c r="U3939" s="34" t="str">
        <f t="shared" si="447"/>
        <v/>
      </c>
      <c r="V3939" s="31" t="str">
        <f>IF(H3939="CHK",VLOOKUP(I3939,QCCHK,3,),IF(H3939="GUP",VLOOKUP(E3939,QCGUP,2,),IF(AND(H3939="ATP",OR(I3939="TN",I3939="TDN",I3939="TNO2-3",I3939="NO2-3")),VLOOKUP(E3939,QCREC_N,2,),IF(AND(H3939="NIC",OR(I3939="TN",I3939="TDN",I3939="TNO2-3",I3939="NO2-3")),VLOOKUP(E3939,QCNIC_N,2,),IF(AND(H3939="UREA",OR(I3939="TN",I3939="TDN",I3939="TNO2-3",I3939="NO2-3")),VLOOKUP(E3939,QCUREA_N,2,),IF(H3939="PER",VLOOKUP(I3939,QCPER,MATCH(E3939,QCACTUAL!$J$25:$AA$25,0),),IF(H3939="SPK",VLOOKUP(I3939,QCSPK,3,),IF(AND(H3939="ATP",OR(I3939="TP",I3939="TDP")),VLOOKUP(E3939,QCATP_P,2,),""))))))))</f>
        <v/>
      </c>
      <c r="W3939" s="31" t="str">
        <f t="shared" si="448"/>
        <v>TRUE</v>
      </c>
      <c r="X3939" s="31" t="str">
        <f t="shared" si="445"/>
        <v/>
      </c>
      <c r="Y3939" s="10" t="s">
        <v>1285</v>
      </c>
      <c r="AF3939" s="12">
        <v>44980</v>
      </c>
      <c r="AH3939" s="10">
        <f>-5.1889*3.66^2+102.33*3.66-44.163</f>
        <v>260.85637115999998</v>
      </c>
      <c r="AI3939" s="10">
        <f>-1.8824*3.66^2+87.341*3.66-33.178</f>
        <v>261.27418255999999</v>
      </c>
      <c r="AK3939" s="10">
        <f>-0.0059*3.66^2+68.478*3.66-14.154</f>
        <v>236.39644595999999</v>
      </c>
      <c r="AL3939" s="10" t="str">
        <f t="shared" si="443"/>
        <v>FALSE</v>
      </c>
      <c r="AM3939" s="10" t="str">
        <f t="shared" si="443"/>
        <v>y=-5.1889*3.66^2+102.33*3.66-44.163</v>
      </c>
      <c r="AN3939" s="10" t="str">
        <f t="shared" si="443"/>
        <v>y=-1.8824*3.66^2+87.341*3.66-33.178</v>
      </c>
      <c r="AO3939" s="10" t="str">
        <f t="shared" si="444"/>
        <v>FALSE</v>
      </c>
      <c r="AP3939" s="10" t="str">
        <f t="shared" si="444"/>
        <v>y=-0.0059*3.66^2+68.478*3.66-14.154</v>
      </c>
      <c r="AQ3939" s="10" t="b">
        <f>IF(AND(I3939="TP",S3939&lt;=150),VLOOKUP(AF3939,TPCalibEq150!$AZ$2:$BB$55,3,),IF(AND(I3939="TDP",S3939&lt;=150),VLOOKUP(AF3939,TPCalibEq150!$AZ$2:$BB$55,3,)))</f>
        <v>0</v>
      </c>
      <c r="AR3939" s="10" t="str">
        <f>IF(AND(I3939="TP",S3939&lt;=300),VLOOKUP(AF3939,TPCalibEq300!$AZ$2:$BB$55,3,),IF(AND(I3939="TDP",S3939&lt;=300),VLOOKUP(AF3939,TPCalibEq300!$AZ$2:$BB$55,3,)))</f>
        <v>y=-5.1889x2+102.33x-44.163</v>
      </c>
      <c r="AS3939" s="10" t="str">
        <f>IF(AND(I3939="TP",S3939&lt;=500),VLOOKUP(AF3939,TPCalibEq500!$AZ$2:$BB$56,3,),IF(AND(I3939="TDP",S3939&lt;=500),VLOOKUP(AF3939,TPCalibEq500!$AZ$2:$BB$56,3,)))</f>
        <v>y=-1.8824x2+87.341x-33.178</v>
      </c>
      <c r="AT3939" s="10" t="b">
        <f>IF(AND(I3939="TN",S3939&lt;=2800),VLOOKUP(AF3939,TNCalibEq2500!$AZ$2:$BB$56,3,),IF(AND(I3939="TDN",S3939&lt;=2800),VLOOKUP(AF3939,TNCalibEq2500!$AZ$2:$BB$56,3,)))</f>
        <v>0</v>
      </c>
      <c r="AU3939" s="10" t="str">
        <f>IF(I3939="TP",VLOOKUP(AF3939,TPCalibEqFull!$AZ$2:$BB$56,3),IF(I3939="TDP",VLOOKUP(AF3939,TPCalibEqFull!$AZ$2:$BB$56,3),IF(I3939="TDN",VLOOKUP(AF3939,TNCalibEqFull!$AZ$1:$BB$56,3),IF(I3939="TN",VLOOKUP(AF3939,TNCalibEqFull!$AZ$1:$BB$56,3),FALSE))))</f>
        <v>y=-0.0059x2+68.478x-14.154</v>
      </c>
      <c r="AV3939" s="10" t="str">
        <f t="shared" si="449"/>
        <v>0221 10:55:00-EMB-10-380-1-SW-UKN</v>
      </c>
    </row>
    <row r="3940" spans="1:48" s="10" customFormat="1" x14ac:dyDescent="0.55000000000000004">
      <c r="A3940" s="32">
        <v>44978</v>
      </c>
      <c r="B3940" s="33">
        <v>0.45763888888888887</v>
      </c>
      <c r="C3940" s="10" t="s">
        <v>646</v>
      </c>
      <c r="D3940" s="10">
        <v>20</v>
      </c>
      <c r="E3940" s="10" t="s">
        <v>190</v>
      </c>
      <c r="F3940" s="10">
        <v>1</v>
      </c>
      <c r="G3940" s="10" t="s">
        <v>231</v>
      </c>
      <c r="H3940" s="10" t="s">
        <v>322</v>
      </c>
      <c r="I3940" s="10" t="s">
        <v>83</v>
      </c>
      <c r="J3940" s="10">
        <v>23</v>
      </c>
      <c r="K3940" s="12">
        <v>44980</v>
      </c>
      <c r="L3940" s="33">
        <v>0.46292824074074074</v>
      </c>
      <c r="M3940" s="10">
        <v>1</v>
      </c>
      <c r="N3940" s="10" t="s">
        <v>84</v>
      </c>
      <c r="O3940" s="10">
        <v>3.13</v>
      </c>
      <c r="P3940" s="10">
        <v>0.22600000000000001</v>
      </c>
      <c r="Q3940" s="10">
        <v>200</v>
      </c>
      <c r="R3940" s="10" t="s">
        <v>85</v>
      </c>
      <c r="S3940" s="34">
        <f t="shared" si="446"/>
        <v>225.29476559</v>
      </c>
      <c r="T3940" s="10" t="s">
        <v>1299</v>
      </c>
      <c r="U3940" s="34" t="str">
        <f t="shared" si="447"/>
        <v/>
      </c>
      <c r="V3940" s="31" t="str">
        <f>IF(H3940="CHK",VLOOKUP(I3940,QCCHK,3,),IF(H3940="GUP",VLOOKUP(E3940,QCGUP,2,),IF(AND(H3940="ATP",OR(I3940="TN",I3940="TDN",I3940="TNO2-3",I3940="NO2-3")),VLOOKUP(E3940,QCREC_N,2,),IF(AND(H3940="NIC",OR(I3940="TN",I3940="TDN",I3940="TNO2-3",I3940="NO2-3")),VLOOKUP(E3940,QCNIC_N,2,),IF(AND(H3940="UREA",OR(I3940="TN",I3940="TDN",I3940="TNO2-3",I3940="NO2-3")),VLOOKUP(E3940,QCUREA_N,2,),IF(H3940="PER",VLOOKUP(I3940,QCPER,MATCH(E3940,QCACTUAL!$J$25:$AA$25,0),),IF(H3940="SPK",VLOOKUP(I3940,QCSPK,3,),IF(AND(H3940="ATP",OR(I3940="TP",I3940="TDP")),VLOOKUP(E3940,QCATP_P,2,),""))))))))</f>
        <v/>
      </c>
      <c r="W3940" s="31" t="str">
        <f t="shared" si="448"/>
        <v>TRUE</v>
      </c>
      <c r="X3940" s="31" t="str">
        <f t="shared" si="445"/>
        <v/>
      </c>
      <c r="Y3940" s="10" t="s">
        <v>1285</v>
      </c>
      <c r="AF3940" s="12">
        <v>44980</v>
      </c>
      <c r="AH3940" s="10">
        <f>-5.1889*3.13^2+102.33*3.13-44.163</f>
        <v>225.29476559</v>
      </c>
      <c r="AI3940" s="10">
        <f>-1.8824*3.13^2+87.341*3.13-33.178</f>
        <v>221.75764543999998</v>
      </c>
      <c r="AK3940" s="10">
        <f>-0.0059*3.13^2+68.478*3.13-14.154</f>
        <v>200.12433828999997</v>
      </c>
      <c r="AL3940" s="10" t="str">
        <f t="shared" si="443"/>
        <v>FALSE</v>
      </c>
      <c r="AM3940" s="10" t="str">
        <f t="shared" si="443"/>
        <v>y=-5.1889*3.13^2+102.33*3.13-44.163</v>
      </c>
      <c r="AN3940" s="10" t="str">
        <f t="shared" si="443"/>
        <v>y=-1.8824*3.13^2+87.341*3.13-33.178</v>
      </c>
      <c r="AO3940" s="10" t="str">
        <f t="shared" si="444"/>
        <v>FALSE</v>
      </c>
      <c r="AP3940" s="10" t="str">
        <f t="shared" si="444"/>
        <v>y=-0.0059*3.13^2+68.478*3.13-14.154</v>
      </c>
      <c r="AQ3940" s="10" t="b">
        <f>IF(AND(I3940="TP",S3940&lt;=150),VLOOKUP(AF3940,TPCalibEq150!$AZ$2:$BB$55,3,),IF(AND(I3940="TDP",S3940&lt;=150),VLOOKUP(AF3940,TPCalibEq150!$AZ$2:$BB$55,3,)))</f>
        <v>0</v>
      </c>
      <c r="AR3940" s="10" t="str">
        <f>IF(AND(I3940="TP",S3940&lt;=300),VLOOKUP(AF3940,TPCalibEq300!$AZ$2:$BB$55,3,),IF(AND(I3940="TDP",S3940&lt;=300),VLOOKUP(AF3940,TPCalibEq300!$AZ$2:$BB$55,3,)))</f>
        <v>y=-5.1889x2+102.33x-44.163</v>
      </c>
      <c r="AS3940" s="10" t="str">
        <f>IF(AND(I3940="TP",S3940&lt;=500),VLOOKUP(AF3940,TPCalibEq500!$AZ$2:$BB$56,3,),IF(AND(I3940="TDP",S3940&lt;=500),VLOOKUP(AF3940,TPCalibEq500!$AZ$2:$BB$56,3,)))</f>
        <v>y=-1.8824x2+87.341x-33.178</v>
      </c>
      <c r="AT3940" s="10" t="b">
        <f>IF(AND(I3940="TN",S3940&lt;=2800),VLOOKUP(AF3940,TNCalibEq2500!$AZ$2:$BB$56,3,),IF(AND(I3940="TDN",S3940&lt;=2800),VLOOKUP(AF3940,TNCalibEq2500!$AZ$2:$BB$56,3,)))</f>
        <v>0</v>
      </c>
      <c r="AU3940" s="10" t="str">
        <f>IF(I3940="TP",VLOOKUP(AF3940,TPCalibEqFull!$AZ$2:$BB$56,3),IF(I3940="TDP",VLOOKUP(AF3940,TPCalibEqFull!$AZ$2:$BB$56,3),IF(I3940="TDN",VLOOKUP(AF3940,TNCalibEqFull!$AZ$1:$BB$56,3),IF(I3940="TN",VLOOKUP(AF3940,TNCalibEqFull!$AZ$1:$BB$56,3),FALSE))))</f>
        <v>y=-0.0059x2+68.478x-14.154</v>
      </c>
      <c r="AV3940" s="10" t="str">
        <f t="shared" si="449"/>
        <v>0221 10:59:00-EMB-20-C-1-SW-UKN</v>
      </c>
    </row>
    <row r="3941" spans="1:48" s="10" customFormat="1" x14ac:dyDescent="0.55000000000000004">
      <c r="A3941" s="32">
        <v>44978</v>
      </c>
      <c r="B3941" s="33">
        <v>0.46249999999999997</v>
      </c>
      <c r="C3941" s="10" t="s">
        <v>646</v>
      </c>
      <c r="D3941" s="10">
        <v>60</v>
      </c>
      <c r="E3941" s="10" t="s">
        <v>190</v>
      </c>
      <c r="F3941" s="10">
        <v>1</v>
      </c>
      <c r="G3941" s="10" t="s">
        <v>231</v>
      </c>
      <c r="H3941" s="10" t="s">
        <v>322</v>
      </c>
      <c r="I3941" s="10" t="s">
        <v>83</v>
      </c>
      <c r="J3941" s="10">
        <v>24</v>
      </c>
      <c r="K3941" s="12">
        <v>44980</v>
      </c>
      <c r="L3941" s="33">
        <v>0.46361111111111114</v>
      </c>
      <c r="M3941" s="10">
        <v>1</v>
      </c>
      <c r="N3941" s="10" t="s">
        <v>84</v>
      </c>
      <c r="O3941" s="10">
        <v>3.36</v>
      </c>
      <c r="P3941" s="10">
        <v>0.24099999999999999</v>
      </c>
      <c r="Q3941" s="10">
        <v>215</v>
      </c>
      <c r="R3941" s="10" t="s">
        <v>85</v>
      </c>
      <c r="S3941" s="34">
        <f t="shared" si="446"/>
        <v>241.08519455999999</v>
      </c>
      <c r="T3941" s="10" t="s">
        <v>1299</v>
      </c>
      <c r="U3941" s="34" t="str">
        <f t="shared" si="447"/>
        <v/>
      </c>
      <c r="V3941" s="31" t="str">
        <f>IF(H3941="CHK",VLOOKUP(I3941,QCCHK,3,),IF(H3941="GUP",VLOOKUP(E3941,QCGUP,2,),IF(AND(H3941="ATP",OR(I3941="TN",I3941="TDN",I3941="TNO2-3",I3941="NO2-3")),VLOOKUP(E3941,QCREC_N,2,),IF(AND(H3941="NIC",OR(I3941="TN",I3941="TDN",I3941="TNO2-3",I3941="NO2-3")),VLOOKUP(E3941,QCNIC_N,2,),IF(AND(H3941="UREA",OR(I3941="TN",I3941="TDN",I3941="TNO2-3",I3941="NO2-3")),VLOOKUP(E3941,QCUREA_N,2,),IF(H3941="PER",VLOOKUP(I3941,QCPER,MATCH(E3941,QCACTUAL!$J$25:$AA$25,0),),IF(H3941="SPK",VLOOKUP(I3941,QCSPK,3,),IF(AND(H3941="ATP",OR(I3941="TP",I3941="TDP")),VLOOKUP(E3941,QCATP_P,2,),""))))))))</f>
        <v/>
      </c>
      <c r="W3941" s="31" t="str">
        <f t="shared" si="448"/>
        <v>TRUE</v>
      </c>
      <c r="X3941" s="31" t="str">
        <f t="shared" si="445"/>
        <v/>
      </c>
      <c r="Y3941" s="10" t="s">
        <v>1285</v>
      </c>
      <c r="AF3941" s="12">
        <v>44980</v>
      </c>
      <c r="AH3941" s="10">
        <f>-5.1889*3.36^2+102.33*3.36-44.163</f>
        <v>241.08519455999999</v>
      </c>
      <c r="AI3941" s="10">
        <f>-1.8824*3.36^2+87.341*3.36-33.178</f>
        <v>239.03621695999999</v>
      </c>
      <c r="AK3941" s="10">
        <f>-0.0059*3.36^2+68.478*3.36-14.154</f>
        <v>215.86547135999999</v>
      </c>
      <c r="AL3941" s="10" t="str">
        <f t="shared" si="443"/>
        <v>FALSE</v>
      </c>
      <c r="AM3941" s="10" t="str">
        <f t="shared" si="443"/>
        <v>y=-5.1889*3.36^2+102.33*3.36-44.163</v>
      </c>
      <c r="AN3941" s="10" t="str">
        <f t="shared" si="443"/>
        <v>y=-1.8824*3.36^2+87.341*3.36-33.178</v>
      </c>
      <c r="AO3941" s="10" t="str">
        <f t="shared" si="444"/>
        <v>FALSE</v>
      </c>
      <c r="AP3941" s="10" t="str">
        <f t="shared" si="444"/>
        <v>y=-0.0059*3.36^2+68.478*3.36-14.154</v>
      </c>
      <c r="AQ3941" s="10" t="b">
        <f>IF(AND(I3941="TP",S3941&lt;=150),VLOOKUP(AF3941,TPCalibEq150!$AZ$2:$BB$55,3,),IF(AND(I3941="TDP",S3941&lt;=150),VLOOKUP(AF3941,TPCalibEq150!$AZ$2:$BB$55,3,)))</f>
        <v>0</v>
      </c>
      <c r="AR3941" s="10" t="str">
        <f>IF(AND(I3941="TP",S3941&lt;=300),VLOOKUP(AF3941,TPCalibEq300!$AZ$2:$BB$55,3,),IF(AND(I3941="TDP",S3941&lt;=300),VLOOKUP(AF3941,TPCalibEq300!$AZ$2:$BB$55,3,)))</f>
        <v>y=-5.1889x2+102.33x-44.163</v>
      </c>
      <c r="AS3941" s="10" t="str">
        <f>IF(AND(I3941="TP",S3941&lt;=500),VLOOKUP(AF3941,TPCalibEq500!$AZ$2:$BB$56,3,),IF(AND(I3941="TDP",S3941&lt;=500),VLOOKUP(AF3941,TPCalibEq500!$AZ$2:$BB$56,3,)))</f>
        <v>y=-1.8824x2+87.341x-33.178</v>
      </c>
      <c r="AT3941" s="10" t="b">
        <f>IF(AND(I3941="TN",S3941&lt;=2800),VLOOKUP(AF3941,TNCalibEq2500!$AZ$2:$BB$56,3,),IF(AND(I3941="TDN",S3941&lt;=2800),VLOOKUP(AF3941,TNCalibEq2500!$AZ$2:$BB$56,3,)))</f>
        <v>0</v>
      </c>
      <c r="AU3941" s="10" t="str">
        <f>IF(I3941="TP",VLOOKUP(AF3941,TPCalibEqFull!$AZ$2:$BB$56,3),IF(I3941="TDP",VLOOKUP(AF3941,TPCalibEqFull!$AZ$2:$BB$56,3),IF(I3941="TDN",VLOOKUP(AF3941,TNCalibEqFull!$AZ$1:$BB$56,3),IF(I3941="TN",VLOOKUP(AF3941,TNCalibEqFull!$AZ$1:$BB$56,3),FALSE))))</f>
        <v>y=-0.0059x2+68.478x-14.154</v>
      </c>
      <c r="AV3941" s="10" t="str">
        <f t="shared" si="449"/>
        <v>0221 11:06:00-EMB-60-C-1-SW-UKN</v>
      </c>
    </row>
    <row r="3942" spans="1:48" s="10" customFormat="1" x14ac:dyDescent="0.55000000000000004">
      <c r="A3942" s="32">
        <v>44978</v>
      </c>
      <c r="B3942" s="33">
        <v>0.41319444444444442</v>
      </c>
      <c r="C3942" s="10" t="s">
        <v>287</v>
      </c>
      <c r="D3942" s="10">
        <v>0</v>
      </c>
      <c r="E3942" s="10">
        <v>290</v>
      </c>
      <c r="F3942" s="10">
        <v>1</v>
      </c>
      <c r="G3942" s="10" t="s">
        <v>231</v>
      </c>
      <c r="H3942" s="10" t="s">
        <v>322</v>
      </c>
      <c r="I3942" s="10" t="s">
        <v>83</v>
      </c>
      <c r="J3942" s="10">
        <v>25</v>
      </c>
      <c r="K3942" s="12">
        <v>44980</v>
      </c>
      <c r="L3942" s="33">
        <v>0.46430555555555553</v>
      </c>
      <c r="M3942" s="10">
        <v>1</v>
      </c>
      <c r="N3942" s="10" t="s">
        <v>84</v>
      </c>
      <c r="O3942" s="10">
        <v>2.84</v>
      </c>
      <c r="P3942" s="10">
        <v>0.20399999999999999</v>
      </c>
      <c r="Q3942" s="10">
        <v>180</v>
      </c>
      <c r="R3942" s="10" t="s">
        <v>85</v>
      </c>
      <c r="S3942" s="34">
        <f t="shared" si="446"/>
        <v>204.60260815999999</v>
      </c>
      <c r="T3942" s="10" t="s">
        <v>1299</v>
      </c>
      <c r="U3942" s="34" t="str">
        <f t="shared" si="447"/>
        <v/>
      </c>
      <c r="V3942" s="31" t="str">
        <f>IF(H3942="CHK",VLOOKUP(I3942,QCCHK,3,),IF(H3942="GUP",VLOOKUP(E3942,QCGUP,2,),IF(AND(H3942="ATP",OR(I3942="TN",I3942="TDN",I3942="TNO2-3",I3942="NO2-3")),VLOOKUP(E3942,QCREC_N,2,),IF(AND(H3942="NIC",OR(I3942="TN",I3942="TDN",I3942="TNO2-3",I3942="NO2-3")),VLOOKUP(E3942,QCNIC_N,2,),IF(AND(H3942="UREA",OR(I3942="TN",I3942="TDN",I3942="TNO2-3",I3942="NO2-3")),VLOOKUP(E3942,QCUREA_N,2,),IF(H3942="PER",VLOOKUP(I3942,QCPER,MATCH(E3942,QCACTUAL!$J$25:$AA$25,0),),IF(H3942="SPK",VLOOKUP(I3942,QCSPK,3,),IF(AND(H3942="ATP",OR(I3942="TP",I3942="TDP")),VLOOKUP(E3942,QCATP_P,2,),""))))))))</f>
        <v/>
      </c>
      <c r="W3942" s="31" t="str">
        <f t="shared" si="448"/>
        <v>TRUE</v>
      </c>
      <c r="X3942" s="31" t="str">
        <f t="shared" si="445"/>
        <v/>
      </c>
      <c r="Y3942" s="10" t="s">
        <v>1285</v>
      </c>
      <c r="AF3942" s="12">
        <v>44980</v>
      </c>
      <c r="AH3942" s="10">
        <f>-5.1889*2.84^2+102.33*2.84-44.163</f>
        <v>204.60260815999999</v>
      </c>
      <c r="AI3942" s="10">
        <f>-1.8824*2.84^2+87.341*2.84-33.178</f>
        <v>199.68775455999997</v>
      </c>
      <c r="AK3942" s="10">
        <f>-0.0059*2.84^2+68.478*2.84-14.154</f>
        <v>180.27593295999998</v>
      </c>
      <c r="AL3942" s="10" t="str">
        <f t="shared" si="443"/>
        <v>FALSE</v>
      </c>
      <c r="AM3942" s="10" t="str">
        <f t="shared" si="443"/>
        <v>y=-5.1889*2.84^2+102.33*2.84-44.163</v>
      </c>
      <c r="AN3942" s="10" t="str">
        <f t="shared" si="443"/>
        <v>y=-1.8824*2.84^2+87.341*2.84-33.178</v>
      </c>
      <c r="AO3942" s="10" t="str">
        <f t="shared" si="444"/>
        <v>FALSE</v>
      </c>
      <c r="AP3942" s="10" t="str">
        <f t="shared" si="444"/>
        <v>y=-0.0059*2.84^2+68.478*2.84-14.154</v>
      </c>
      <c r="AQ3942" s="10" t="b">
        <f>IF(AND(I3942="TP",S3942&lt;=150),VLOOKUP(AF3942,TPCalibEq150!$AZ$2:$BB$55,3,),IF(AND(I3942="TDP",S3942&lt;=150),VLOOKUP(AF3942,TPCalibEq150!$AZ$2:$BB$55,3,)))</f>
        <v>0</v>
      </c>
      <c r="AR3942" s="10" t="str">
        <f>IF(AND(I3942="TP",S3942&lt;=300),VLOOKUP(AF3942,TPCalibEq300!$AZ$2:$BB$55,3,),IF(AND(I3942="TDP",S3942&lt;=300),VLOOKUP(AF3942,TPCalibEq300!$AZ$2:$BB$55,3,)))</f>
        <v>y=-5.1889x2+102.33x-44.163</v>
      </c>
      <c r="AS3942" s="10" t="str">
        <f>IF(AND(I3942="TP",S3942&lt;=500),VLOOKUP(AF3942,TPCalibEq500!$AZ$2:$BB$56,3,),IF(AND(I3942="TDP",S3942&lt;=500),VLOOKUP(AF3942,TPCalibEq500!$AZ$2:$BB$56,3,)))</f>
        <v>y=-1.8824x2+87.341x-33.178</v>
      </c>
      <c r="AT3942" s="10" t="b">
        <f>IF(AND(I3942="TN",S3942&lt;=2800),VLOOKUP(AF3942,TNCalibEq2500!$AZ$2:$BB$56,3,),IF(AND(I3942="TDN",S3942&lt;=2800),VLOOKUP(AF3942,TNCalibEq2500!$AZ$2:$BB$56,3,)))</f>
        <v>0</v>
      </c>
      <c r="AU3942" s="10" t="str">
        <f>IF(I3942="TP",VLOOKUP(AF3942,TPCalibEqFull!$AZ$2:$BB$56,3),IF(I3942="TDP",VLOOKUP(AF3942,TPCalibEqFull!$AZ$2:$BB$56,3),IF(I3942="TDN",VLOOKUP(AF3942,TNCalibEqFull!$AZ$1:$BB$56,3),IF(I3942="TN",VLOOKUP(AF3942,TNCalibEqFull!$AZ$1:$BB$56,3),FALSE))))</f>
        <v>y=-0.0059x2+68.478x-14.154</v>
      </c>
      <c r="AV3942" s="10" t="str">
        <f t="shared" si="449"/>
        <v>0221 09:55:00-EFL-0-290-1-SW-UKN</v>
      </c>
    </row>
    <row r="3943" spans="1:48" s="10" customFormat="1" x14ac:dyDescent="0.55000000000000004">
      <c r="A3943" s="32">
        <v>44978</v>
      </c>
      <c r="B3943" s="33">
        <v>0.41597222222222219</v>
      </c>
      <c r="C3943" s="10" t="s">
        <v>287</v>
      </c>
      <c r="D3943" s="10">
        <v>5</v>
      </c>
      <c r="E3943" s="10">
        <v>400</v>
      </c>
      <c r="F3943" s="10">
        <v>1</v>
      </c>
      <c r="G3943" s="10" t="s">
        <v>231</v>
      </c>
      <c r="H3943" s="10" t="s">
        <v>322</v>
      </c>
      <c r="I3943" s="10" t="s">
        <v>83</v>
      </c>
      <c r="J3943" s="10">
        <v>26</v>
      </c>
      <c r="K3943" s="12">
        <v>44980</v>
      </c>
      <c r="L3943" s="33">
        <v>0.46500000000000002</v>
      </c>
      <c r="M3943" s="10">
        <v>1</v>
      </c>
      <c r="N3943" s="10" t="s">
        <v>84</v>
      </c>
      <c r="O3943" s="10">
        <v>2.84</v>
      </c>
      <c r="P3943" s="10">
        <v>0.20499999999999999</v>
      </c>
      <c r="Q3943" s="10">
        <v>180</v>
      </c>
      <c r="R3943" s="10" t="s">
        <v>85</v>
      </c>
      <c r="S3943" s="34">
        <f t="shared" si="446"/>
        <v>204.60260815999999</v>
      </c>
      <c r="T3943" s="10" t="s">
        <v>1299</v>
      </c>
      <c r="U3943" s="34" t="str">
        <f t="shared" si="447"/>
        <v/>
      </c>
      <c r="V3943" s="31" t="str">
        <f>IF(H3943="CHK",VLOOKUP(I3943,QCCHK,3,),IF(H3943="GUP",VLOOKUP(E3943,QCGUP,2,),IF(AND(H3943="ATP",OR(I3943="TN",I3943="TDN",I3943="TNO2-3",I3943="NO2-3")),VLOOKUP(E3943,QCREC_N,2,),IF(AND(H3943="NIC",OR(I3943="TN",I3943="TDN",I3943="TNO2-3",I3943="NO2-3")),VLOOKUP(E3943,QCNIC_N,2,),IF(AND(H3943="UREA",OR(I3943="TN",I3943="TDN",I3943="TNO2-3",I3943="NO2-3")),VLOOKUP(E3943,QCUREA_N,2,),IF(H3943="PER",VLOOKUP(I3943,QCPER,MATCH(E3943,QCACTUAL!$J$25:$AA$25,0),),IF(H3943="SPK",VLOOKUP(I3943,QCSPK,3,),IF(AND(H3943="ATP",OR(I3943="TP",I3943="TDP")),VLOOKUP(E3943,QCATP_P,2,),""))))))))</f>
        <v/>
      </c>
      <c r="W3943" s="31" t="str">
        <f t="shared" si="448"/>
        <v>TRUE</v>
      </c>
      <c r="X3943" s="31" t="str">
        <f t="shared" si="445"/>
        <v/>
      </c>
      <c r="Y3943" s="10" t="s">
        <v>1285</v>
      </c>
      <c r="AF3943" s="12">
        <v>44980</v>
      </c>
      <c r="AH3943" s="10">
        <f>-5.1889*2.84^2+102.33*2.84-44.163</f>
        <v>204.60260815999999</v>
      </c>
      <c r="AI3943" s="10">
        <f>-1.8824*2.84^2+87.341*2.84-33.178</f>
        <v>199.68775455999997</v>
      </c>
      <c r="AK3943" s="10">
        <f>-0.0059*2.84^2+68.478*2.84-14.154</f>
        <v>180.27593295999998</v>
      </c>
      <c r="AL3943" s="10" t="str">
        <f t="shared" si="443"/>
        <v>FALSE</v>
      </c>
      <c r="AM3943" s="10" t="str">
        <f t="shared" si="443"/>
        <v>y=-5.1889*2.84^2+102.33*2.84-44.163</v>
      </c>
      <c r="AN3943" s="10" t="str">
        <f t="shared" si="443"/>
        <v>y=-1.8824*2.84^2+87.341*2.84-33.178</v>
      </c>
      <c r="AO3943" s="10" t="str">
        <f t="shared" si="444"/>
        <v>FALSE</v>
      </c>
      <c r="AP3943" s="10" t="str">
        <f t="shared" si="444"/>
        <v>y=-0.0059*2.84^2+68.478*2.84-14.154</v>
      </c>
      <c r="AQ3943" s="10" t="b">
        <f>IF(AND(I3943="TP",S3943&lt;=150),VLOOKUP(AF3943,TPCalibEq150!$AZ$2:$BB$55,3,),IF(AND(I3943="TDP",S3943&lt;=150),VLOOKUP(AF3943,TPCalibEq150!$AZ$2:$BB$55,3,)))</f>
        <v>0</v>
      </c>
      <c r="AR3943" s="10" t="str">
        <f>IF(AND(I3943="TP",S3943&lt;=300),VLOOKUP(AF3943,TPCalibEq300!$AZ$2:$BB$55,3,),IF(AND(I3943="TDP",S3943&lt;=300),VLOOKUP(AF3943,TPCalibEq300!$AZ$2:$BB$55,3,)))</f>
        <v>y=-5.1889x2+102.33x-44.163</v>
      </c>
      <c r="AS3943" s="10" t="str">
        <f>IF(AND(I3943="TP",S3943&lt;=500),VLOOKUP(AF3943,TPCalibEq500!$AZ$2:$BB$56,3,),IF(AND(I3943="TDP",S3943&lt;=500),VLOOKUP(AF3943,TPCalibEq500!$AZ$2:$BB$56,3,)))</f>
        <v>y=-1.8824x2+87.341x-33.178</v>
      </c>
      <c r="AT3943" s="10" t="b">
        <f>IF(AND(I3943="TN",S3943&lt;=2800),VLOOKUP(AF3943,TNCalibEq2500!$AZ$2:$BB$56,3,),IF(AND(I3943="TDN",S3943&lt;=2800),VLOOKUP(AF3943,TNCalibEq2500!$AZ$2:$BB$56,3,)))</f>
        <v>0</v>
      </c>
      <c r="AU3943" s="10" t="str">
        <f>IF(I3943="TP",VLOOKUP(AF3943,TPCalibEqFull!$AZ$2:$BB$56,3),IF(I3943="TDP",VLOOKUP(AF3943,TPCalibEqFull!$AZ$2:$BB$56,3),IF(I3943="TDN",VLOOKUP(AF3943,TNCalibEqFull!$AZ$1:$BB$56,3),IF(I3943="TN",VLOOKUP(AF3943,TNCalibEqFull!$AZ$1:$BB$56,3),FALSE))))</f>
        <v>y=-0.0059x2+68.478x-14.154</v>
      </c>
      <c r="AV3943" s="10" t="str">
        <f t="shared" si="449"/>
        <v>0221 09:59:00-EFL-5-400-1-SW-UKN</v>
      </c>
    </row>
    <row r="3944" spans="1:48" s="10" customFormat="1" x14ac:dyDescent="0.55000000000000004">
      <c r="A3944" s="32">
        <v>44978</v>
      </c>
      <c r="B3944" s="33">
        <v>0.41805555555555557</v>
      </c>
      <c r="C3944" s="10" t="s">
        <v>287</v>
      </c>
      <c r="D3944" s="10">
        <v>10</v>
      </c>
      <c r="E3944" s="10">
        <v>490</v>
      </c>
      <c r="F3944" s="10">
        <v>1</v>
      </c>
      <c r="G3944" s="10" t="s">
        <v>231</v>
      </c>
      <c r="H3944" s="10" t="s">
        <v>322</v>
      </c>
      <c r="I3944" s="10" t="s">
        <v>83</v>
      </c>
      <c r="J3944" s="10">
        <v>27</v>
      </c>
      <c r="K3944" s="12">
        <v>44980</v>
      </c>
      <c r="L3944" s="33">
        <v>0.46568287037037037</v>
      </c>
      <c r="M3944" s="10">
        <v>1</v>
      </c>
      <c r="N3944" s="10" t="s">
        <v>84</v>
      </c>
      <c r="O3944" s="10">
        <v>3.02</v>
      </c>
      <c r="P3944" s="10">
        <v>0.217</v>
      </c>
      <c r="Q3944" s="10">
        <v>192</v>
      </c>
      <c r="R3944" s="10" t="s">
        <v>85</v>
      </c>
      <c r="S3944" s="34">
        <f t="shared" si="446"/>
        <v>217.54875644000003</v>
      </c>
      <c r="T3944" s="10" t="s">
        <v>1299</v>
      </c>
      <c r="U3944" s="34" t="str">
        <f t="shared" si="447"/>
        <v/>
      </c>
      <c r="V3944" s="31" t="str">
        <f>IF(H3944="CHK",VLOOKUP(I3944,QCCHK,3,),IF(H3944="GUP",VLOOKUP(E3944,QCGUP,2,),IF(AND(H3944="ATP",OR(I3944="TN",I3944="TDN",I3944="TNO2-3",I3944="NO2-3")),VLOOKUP(E3944,QCREC_N,2,),IF(AND(H3944="NIC",OR(I3944="TN",I3944="TDN",I3944="TNO2-3",I3944="NO2-3")),VLOOKUP(E3944,QCNIC_N,2,),IF(AND(H3944="UREA",OR(I3944="TN",I3944="TDN",I3944="TNO2-3",I3944="NO2-3")),VLOOKUP(E3944,QCUREA_N,2,),IF(H3944="PER",VLOOKUP(I3944,QCPER,MATCH(E3944,QCACTUAL!$J$25:$AA$25,0),),IF(H3944="SPK",VLOOKUP(I3944,QCSPK,3,),IF(AND(H3944="ATP",OR(I3944="TP",I3944="TDP")),VLOOKUP(E3944,QCATP_P,2,),""))))))))</f>
        <v/>
      </c>
      <c r="W3944" s="31" t="str">
        <f t="shared" si="448"/>
        <v>TRUE</v>
      </c>
      <c r="X3944" s="31" t="str">
        <f t="shared" si="445"/>
        <v/>
      </c>
      <c r="Y3944" s="10" t="s">
        <v>1285</v>
      </c>
      <c r="AF3944" s="12">
        <v>44980</v>
      </c>
      <c r="AH3944" s="10">
        <f>-5.1889*3.02^2+102.33*3.02-44.163</f>
        <v>217.54875644000003</v>
      </c>
      <c r="AI3944" s="10">
        <f>-1.8824*3.02^2+87.341*3.02-33.178</f>
        <v>213.42357903999999</v>
      </c>
      <c r="AK3944" s="10">
        <f>-0.0059*3.02^2+68.478*3.02-14.154</f>
        <v>192.59574963999998</v>
      </c>
      <c r="AL3944" s="10" t="str">
        <f t="shared" si="443"/>
        <v>FALSE</v>
      </c>
      <c r="AM3944" s="10" t="str">
        <f t="shared" si="443"/>
        <v>y=-5.1889*3.02^2+102.33*3.02-44.163</v>
      </c>
      <c r="AN3944" s="10" t="str">
        <f t="shared" si="443"/>
        <v>y=-1.8824*3.02^2+87.341*3.02-33.178</v>
      </c>
      <c r="AO3944" s="10" t="str">
        <f t="shared" si="444"/>
        <v>FALSE</v>
      </c>
      <c r="AP3944" s="10" t="str">
        <f t="shared" si="444"/>
        <v>y=-0.0059*3.02^2+68.478*3.02-14.154</v>
      </c>
      <c r="AQ3944" s="10" t="b">
        <f>IF(AND(I3944="TP",S3944&lt;=150),VLOOKUP(AF3944,TPCalibEq150!$AZ$2:$BB$55,3,),IF(AND(I3944="TDP",S3944&lt;=150),VLOOKUP(AF3944,TPCalibEq150!$AZ$2:$BB$55,3,)))</f>
        <v>0</v>
      </c>
      <c r="AR3944" s="10" t="str">
        <f>IF(AND(I3944="TP",S3944&lt;=300),VLOOKUP(AF3944,TPCalibEq300!$AZ$2:$BB$55,3,),IF(AND(I3944="TDP",S3944&lt;=300),VLOOKUP(AF3944,TPCalibEq300!$AZ$2:$BB$55,3,)))</f>
        <v>y=-5.1889x2+102.33x-44.163</v>
      </c>
      <c r="AS3944" s="10" t="str">
        <f>IF(AND(I3944="TP",S3944&lt;=500),VLOOKUP(AF3944,TPCalibEq500!$AZ$2:$BB$56,3,),IF(AND(I3944="TDP",S3944&lt;=500),VLOOKUP(AF3944,TPCalibEq500!$AZ$2:$BB$56,3,)))</f>
        <v>y=-1.8824x2+87.341x-33.178</v>
      </c>
      <c r="AT3944" s="10" t="b">
        <f>IF(AND(I3944="TN",S3944&lt;=2800),VLOOKUP(AF3944,TNCalibEq2500!$AZ$2:$BB$56,3,),IF(AND(I3944="TDN",S3944&lt;=2800),VLOOKUP(AF3944,TNCalibEq2500!$AZ$2:$BB$56,3,)))</f>
        <v>0</v>
      </c>
      <c r="AU3944" s="10" t="str">
        <f>IF(I3944="TP",VLOOKUP(AF3944,TPCalibEqFull!$AZ$2:$BB$56,3),IF(I3944="TDP",VLOOKUP(AF3944,TPCalibEqFull!$AZ$2:$BB$56,3),IF(I3944="TDN",VLOOKUP(AF3944,TNCalibEqFull!$AZ$1:$BB$56,3),IF(I3944="TN",VLOOKUP(AF3944,TNCalibEqFull!$AZ$1:$BB$56,3),FALSE))))</f>
        <v>y=-0.0059x2+68.478x-14.154</v>
      </c>
      <c r="AV3944" s="10" t="str">
        <f t="shared" si="449"/>
        <v>0221 10:02:00-EFL-10-490-1-SW-UKN</v>
      </c>
    </row>
    <row r="3945" spans="1:48" s="10" customFormat="1" x14ac:dyDescent="0.55000000000000004">
      <c r="A3945" s="32">
        <v>44978</v>
      </c>
      <c r="B3945" s="33">
        <v>0.42083333333333334</v>
      </c>
      <c r="C3945" s="10" t="s">
        <v>287</v>
      </c>
      <c r="D3945" s="10">
        <v>20</v>
      </c>
      <c r="E3945" s="10">
        <v>280</v>
      </c>
      <c r="F3945" s="10">
        <v>1</v>
      </c>
      <c r="G3945" s="10" t="s">
        <v>231</v>
      </c>
      <c r="H3945" s="10" t="s">
        <v>322</v>
      </c>
      <c r="I3945" s="10" t="s">
        <v>83</v>
      </c>
      <c r="J3945" s="10">
        <v>28</v>
      </c>
      <c r="K3945" s="12">
        <v>44980</v>
      </c>
      <c r="L3945" s="33">
        <v>0.46636574074074072</v>
      </c>
      <c r="M3945" s="10">
        <v>1</v>
      </c>
      <c r="N3945" s="10" t="s">
        <v>84</v>
      </c>
      <c r="O3945" s="10">
        <v>2.83</v>
      </c>
      <c r="P3945" s="10">
        <v>0.20399999999999999</v>
      </c>
      <c r="Q3945" s="10">
        <v>179</v>
      </c>
      <c r="R3945" s="10" t="s">
        <v>85</v>
      </c>
      <c r="S3945" s="34">
        <f t="shared" si="446"/>
        <v>203.87351878999999</v>
      </c>
      <c r="T3945" s="10" t="s">
        <v>1299</v>
      </c>
      <c r="U3945" s="34" t="str">
        <f t="shared" si="447"/>
        <v/>
      </c>
      <c r="V3945" s="31" t="str">
        <f>IF(H3945="CHK",VLOOKUP(I3945,QCCHK,3,),IF(H3945="GUP",VLOOKUP(E3945,QCGUP,2,),IF(AND(H3945="ATP",OR(I3945="TN",I3945="TDN",I3945="TNO2-3",I3945="NO2-3")),VLOOKUP(E3945,QCREC_N,2,),IF(AND(H3945="NIC",OR(I3945="TN",I3945="TDN",I3945="TNO2-3",I3945="NO2-3")),VLOOKUP(E3945,QCNIC_N,2,),IF(AND(H3945="UREA",OR(I3945="TN",I3945="TDN",I3945="TNO2-3",I3945="NO2-3")),VLOOKUP(E3945,QCUREA_N,2,),IF(H3945="PER",VLOOKUP(I3945,QCPER,MATCH(E3945,QCACTUAL!$J$25:$AA$25,0),),IF(H3945="SPK",VLOOKUP(I3945,QCSPK,3,),IF(AND(H3945="ATP",OR(I3945="TP",I3945="TDP")),VLOOKUP(E3945,QCATP_P,2,),""))))))))</f>
        <v/>
      </c>
      <c r="W3945" s="31" t="str">
        <f t="shared" si="448"/>
        <v>TRUE</v>
      </c>
      <c r="X3945" s="31" t="str">
        <f t="shared" si="445"/>
        <v/>
      </c>
      <c r="Y3945" s="10" t="s">
        <v>1285</v>
      </c>
      <c r="AF3945" s="12">
        <v>44980</v>
      </c>
      <c r="AH3945" s="10">
        <f>-5.1889*2.83^2+102.33*2.83-44.163</f>
        <v>203.87351878999999</v>
      </c>
      <c r="AI3945" s="10">
        <f>-1.8824*2.83^2+87.341*2.83-33.178</f>
        <v>198.92107664</v>
      </c>
      <c r="AK3945" s="10">
        <f>-0.0059*2.83^2+68.478*2.83-14.154</f>
        <v>179.59148748999999</v>
      </c>
      <c r="AL3945" s="10" t="str">
        <f t="shared" si="443"/>
        <v>FALSE</v>
      </c>
      <c r="AM3945" s="10" t="str">
        <f t="shared" si="443"/>
        <v>y=-5.1889*2.83^2+102.33*2.83-44.163</v>
      </c>
      <c r="AN3945" s="10" t="str">
        <f t="shared" si="443"/>
        <v>y=-1.8824*2.83^2+87.341*2.83-33.178</v>
      </c>
      <c r="AO3945" s="10" t="str">
        <f t="shared" si="444"/>
        <v>FALSE</v>
      </c>
      <c r="AP3945" s="10" t="str">
        <f t="shared" si="444"/>
        <v>y=-0.0059*2.83^2+68.478*2.83-14.154</v>
      </c>
      <c r="AQ3945" s="10" t="b">
        <f>IF(AND(I3945="TP",S3945&lt;=150),VLOOKUP(AF3945,TPCalibEq150!$AZ$2:$BB$55,3,),IF(AND(I3945="TDP",S3945&lt;=150),VLOOKUP(AF3945,TPCalibEq150!$AZ$2:$BB$55,3,)))</f>
        <v>0</v>
      </c>
      <c r="AR3945" s="10" t="str">
        <f>IF(AND(I3945="TP",S3945&lt;=300),VLOOKUP(AF3945,TPCalibEq300!$AZ$2:$BB$55,3,),IF(AND(I3945="TDP",S3945&lt;=300),VLOOKUP(AF3945,TPCalibEq300!$AZ$2:$BB$55,3,)))</f>
        <v>y=-5.1889x2+102.33x-44.163</v>
      </c>
      <c r="AS3945" s="10" t="str">
        <f>IF(AND(I3945="TP",S3945&lt;=500),VLOOKUP(AF3945,TPCalibEq500!$AZ$2:$BB$56,3,),IF(AND(I3945="TDP",S3945&lt;=500),VLOOKUP(AF3945,TPCalibEq500!$AZ$2:$BB$56,3,)))</f>
        <v>y=-1.8824x2+87.341x-33.178</v>
      </c>
      <c r="AT3945" s="10" t="b">
        <f>IF(AND(I3945="TN",S3945&lt;=2800),VLOOKUP(AF3945,TNCalibEq2500!$AZ$2:$BB$56,3,),IF(AND(I3945="TDN",S3945&lt;=2800),VLOOKUP(AF3945,TNCalibEq2500!$AZ$2:$BB$56,3,)))</f>
        <v>0</v>
      </c>
      <c r="AU3945" s="10" t="str">
        <f>IF(I3945="TP",VLOOKUP(AF3945,TPCalibEqFull!$AZ$2:$BB$56,3),IF(I3945="TDP",VLOOKUP(AF3945,TPCalibEqFull!$AZ$2:$BB$56,3),IF(I3945="TDN",VLOOKUP(AF3945,TNCalibEqFull!$AZ$1:$BB$56,3),IF(I3945="TN",VLOOKUP(AF3945,TNCalibEqFull!$AZ$1:$BB$56,3),FALSE))))</f>
        <v>y=-0.0059x2+68.478x-14.154</v>
      </c>
      <c r="AV3945" s="10" t="str">
        <f t="shared" si="449"/>
        <v>0221 10:06:00-EFL-20-280-1-SW-UKN</v>
      </c>
    </row>
    <row r="3946" spans="1:48" s="10" customFormat="1" x14ac:dyDescent="0.55000000000000004">
      <c r="A3946" s="32">
        <v>44978</v>
      </c>
      <c r="B3946" s="33">
        <v>0.42083333333333334</v>
      </c>
      <c r="C3946" s="10" t="s">
        <v>287</v>
      </c>
      <c r="D3946" s="10">
        <v>20</v>
      </c>
      <c r="E3946" s="10">
        <v>270</v>
      </c>
      <c r="F3946" s="10">
        <v>2</v>
      </c>
      <c r="G3946" s="10" t="s">
        <v>231</v>
      </c>
      <c r="H3946" s="10" t="s">
        <v>322</v>
      </c>
      <c r="I3946" s="10" t="s">
        <v>83</v>
      </c>
      <c r="J3946" s="10">
        <v>29</v>
      </c>
      <c r="K3946" s="12">
        <v>44980</v>
      </c>
      <c r="L3946" s="33">
        <v>0.46706018518518522</v>
      </c>
      <c r="M3946" s="10">
        <v>1</v>
      </c>
      <c r="N3946" s="10" t="s">
        <v>84</v>
      </c>
      <c r="O3946" s="10">
        <v>3.12</v>
      </c>
      <c r="P3946" s="10">
        <v>0.22600000000000001</v>
      </c>
      <c r="Q3946" s="10">
        <v>199</v>
      </c>
      <c r="R3946" s="10" t="s">
        <v>85</v>
      </c>
      <c r="S3946" s="34">
        <f t="shared" si="446"/>
        <v>224.59577184</v>
      </c>
      <c r="T3946" s="10" t="s">
        <v>1299</v>
      </c>
      <c r="U3946" s="34" t="str">
        <f t="shared" si="447"/>
        <v/>
      </c>
      <c r="V3946" s="31" t="str">
        <f>IF(H3946="CHK",VLOOKUP(I3946,QCCHK,3,),IF(H3946="GUP",VLOOKUP(E3946,QCGUP,2,),IF(AND(H3946="ATP",OR(I3946="TN",I3946="TDN",I3946="TNO2-3",I3946="NO2-3")),VLOOKUP(E3946,QCREC_N,2,),IF(AND(H3946="NIC",OR(I3946="TN",I3946="TDN",I3946="TNO2-3",I3946="NO2-3")),VLOOKUP(E3946,QCNIC_N,2,),IF(AND(H3946="UREA",OR(I3946="TN",I3946="TDN",I3946="TNO2-3",I3946="NO2-3")),VLOOKUP(E3946,QCUREA_N,2,),IF(H3946="PER",VLOOKUP(I3946,QCPER,MATCH(E3946,QCACTUAL!$J$25:$AA$25,0),),IF(H3946="SPK",VLOOKUP(I3946,QCSPK,3,),IF(AND(H3946="ATP",OR(I3946="TP",I3946="TDP")),VLOOKUP(E3946,QCATP_P,2,),""))))))))</f>
        <v/>
      </c>
      <c r="W3946" s="31" t="str">
        <f t="shared" si="448"/>
        <v>TRUE</v>
      </c>
      <c r="X3946" s="31" t="str">
        <f t="shared" si="445"/>
        <v/>
      </c>
      <c r="Y3946" s="10" t="s">
        <v>1285</v>
      </c>
      <c r="AF3946" s="12">
        <v>44980</v>
      </c>
      <c r="AH3946" s="10">
        <f>-5.1889*3.12^2+102.33*3.12-44.163</f>
        <v>224.59577184</v>
      </c>
      <c r="AI3946" s="10">
        <f>-1.8824*3.12^2+87.341*3.12-33.178</f>
        <v>221.00188544</v>
      </c>
      <c r="AK3946" s="10">
        <f>-0.0059*3.12^2+68.478*3.12-14.154</f>
        <v>199.43992703999999</v>
      </c>
      <c r="AL3946" s="10" t="str">
        <f t="shared" si="443"/>
        <v>FALSE</v>
      </c>
      <c r="AM3946" s="10" t="str">
        <f t="shared" si="443"/>
        <v>y=-5.1889*3.12^2+102.33*3.12-44.163</v>
      </c>
      <c r="AN3946" s="10" t="str">
        <f t="shared" si="443"/>
        <v>y=-1.8824*3.12^2+87.341*3.12-33.178</v>
      </c>
      <c r="AO3946" s="10" t="str">
        <f t="shared" si="444"/>
        <v>FALSE</v>
      </c>
      <c r="AP3946" s="10" t="str">
        <f t="shared" si="444"/>
        <v>y=-0.0059*3.12^2+68.478*3.12-14.154</v>
      </c>
      <c r="AQ3946" s="10" t="b">
        <f>IF(AND(I3946="TP",S3946&lt;=150),VLOOKUP(AF3946,TPCalibEq150!$AZ$2:$BB$55,3,),IF(AND(I3946="TDP",S3946&lt;=150),VLOOKUP(AF3946,TPCalibEq150!$AZ$2:$BB$55,3,)))</f>
        <v>0</v>
      </c>
      <c r="AR3946" s="10" t="str">
        <f>IF(AND(I3946="TP",S3946&lt;=300),VLOOKUP(AF3946,TPCalibEq300!$AZ$2:$BB$55,3,),IF(AND(I3946="TDP",S3946&lt;=300),VLOOKUP(AF3946,TPCalibEq300!$AZ$2:$BB$55,3,)))</f>
        <v>y=-5.1889x2+102.33x-44.163</v>
      </c>
      <c r="AS3946" s="10" t="str">
        <f>IF(AND(I3946="TP",S3946&lt;=500),VLOOKUP(AF3946,TPCalibEq500!$AZ$2:$BB$56,3,),IF(AND(I3946="TDP",S3946&lt;=500),VLOOKUP(AF3946,TPCalibEq500!$AZ$2:$BB$56,3,)))</f>
        <v>y=-1.8824x2+87.341x-33.178</v>
      </c>
      <c r="AT3946" s="10" t="b">
        <f>IF(AND(I3946="TN",S3946&lt;=2800),VLOOKUP(AF3946,TNCalibEq2500!$AZ$2:$BB$56,3,),IF(AND(I3946="TDN",S3946&lt;=2800),VLOOKUP(AF3946,TNCalibEq2500!$AZ$2:$BB$56,3,)))</f>
        <v>0</v>
      </c>
      <c r="AU3946" s="10" t="str">
        <f>IF(I3946="TP",VLOOKUP(AF3946,TPCalibEqFull!$AZ$2:$BB$56,3),IF(I3946="TDP",VLOOKUP(AF3946,TPCalibEqFull!$AZ$2:$BB$56,3),IF(I3946="TDN",VLOOKUP(AF3946,TNCalibEqFull!$AZ$1:$BB$56,3),IF(I3946="TN",VLOOKUP(AF3946,TNCalibEqFull!$AZ$1:$BB$56,3),FALSE))))</f>
        <v>y=-0.0059x2+68.478x-14.154</v>
      </c>
      <c r="AV3946" s="10" t="str">
        <f t="shared" si="449"/>
        <v>0221 10:06:00-EFL-20-270-2-SW-UKN</v>
      </c>
    </row>
    <row r="3947" spans="1:48" s="10" customFormat="1" x14ac:dyDescent="0.55000000000000004">
      <c r="A3947" s="32">
        <v>44978</v>
      </c>
      <c r="B3947" s="33">
        <v>0.42569444444444443</v>
      </c>
      <c r="C3947" s="10" t="s">
        <v>287</v>
      </c>
      <c r="D3947" s="10">
        <v>45</v>
      </c>
      <c r="E3947" s="10" t="s">
        <v>190</v>
      </c>
      <c r="F3947" s="10">
        <v>1</v>
      </c>
      <c r="G3947" s="10" t="s">
        <v>231</v>
      </c>
      <c r="H3947" s="10" t="s">
        <v>322</v>
      </c>
      <c r="I3947" s="10" t="s">
        <v>83</v>
      </c>
      <c r="J3947" s="10">
        <v>30</v>
      </c>
      <c r="K3947" s="12">
        <v>44980</v>
      </c>
      <c r="L3947" s="33">
        <v>0.46773148148148147</v>
      </c>
      <c r="M3947" s="10">
        <v>1</v>
      </c>
      <c r="N3947" s="10" t="s">
        <v>84</v>
      </c>
      <c r="O3947" s="10">
        <v>2.54</v>
      </c>
      <c r="P3947" s="10">
        <v>0.182</v>
      </c>
      <c r="Q3947" s="10">
        <v>160</v>
      </c>
      <c r="R3947" s="10" t="s">
        <v>85</v>
      </c>
      <c r="S3947" s="34">
        <f t="shared" si="446"/>
        <v>182.27849276000001</v>
      </c>
      <c r="T3947" s="10" t="s">
        <v>1299</v>
      </c>
      <c r="U3947" s="34" t="str">
        <f t="shared" si="447"/>
        <v/>
      </c>
      <c r="V3947" s="31" t="str">
        <f>IF(H3947="CHK",VLOOKUP(I3947,QCCHK,3,),IF(H3947="GUP",VLOOKUP(E3947,QCGUP,2,),IF(AND(H3947="ATP",OR(I3947="TN",I3947="TDN",I3947="TNO2-3",I3947="NO2-3")),VLOOKUP(E3947,QCREC_N,2,),IF(AND(H3947="NIC",OR(I3947="TN",I3947="TDN",I3947="TNO2-3",I3947="NO2-3")),VLOOKUP(E3947,QCNIC_N,2,),IF(AND(H3947="UREA",OR(I3947="TN",I3947="TDN",I3947="TNO2-3",I3947="NO2-3")),VLOOKUP(E3947,QCUREA_N,2,),IF(H3947="PER",VLOOKUP(I3947,QCPER,MATCH(E3947,QCACTUAL!$J$25:$AA$25,0),),IF(H3947="SPK",VLOOKUP(I3947,QCSPK,3,),IF(AND(H3947="ATP",OR(I3947="TP",I3947="TDP")),VLOOKUP(E3947,QCATP_P,2,),""))))))))</f>
        <v/>
      </c>
      <c r="W3947" s="31" t="str">
        <f t="shared" si="448"/>
        <v>TRUE</v>
      </c>
      <c r="X3947" s="31" t="str">
        <f t="shared" si="445"/>
        <v/>
      </c>
      <c r="Y3947" s="10" t="s">
        <v>1285</v>
      </c>
      <c r="AF3947" s="12">
        <v>44980</v>
      </c>
      <c r="AH3947" s="10">
        <f>-5.1889*2.54^2+102.33*2.54-44.163</f>
        <v>182.27849276000001</v>
      </c>
      <c r="AI3947" s="10">
        <f>-1.8824*2.54^2+87.341*2.54-33.178</f>
        <v>176.52364815999999</v>
      </c>
      <c r="AK3947" s="10">
        <f>-0.0059*2.54^2+68.478*2.54-14.154</f>
        <v>159.74205555999998</v>
      </c>
      <c r="AL3947" s="10" t="str">
        <f t="shared" si="443"/>
        <v>FALSE</v>
      </c>
      <c r="AM3947" s="10" t="str">
        <f t="shared" si="443"/>
        <v>y=-5.1889*2.54^2+102.33*2.54-44.163</v>
      </c>
      <c r="AN3947" s="10" t="str">
        <f t="shared" si="443"/>
        <v>y=-1.8824*2.54^2+87.341*2.54-33.178</v>
      </c>
      <c r="AO3947" s="10" t="str">
        <f t="shared" si="444"/>
        <v>FALSE</v>
      </c>
      <c r="AP3947" s="10" t="str">
        <f t="shared" si="444"/>
        <v>y=-0.0059*2.54^2+68.478*2.54-14.154</v>
      </c>
      <c r="AQ3947" s="10" t="b">
        <f>IF(AND(I3947="TP",S3947&lt;=150),VLOOKUP(AF3947,TPCalibEq150!$AZ$2:$BB$55,3,),IF(AND(I3947="TDP",S3947&lt;=150),VLOOKUP(AF3947,TPCalibEq150!$AZ$2:$BB$55,3,)))</f>
        <v>0</v>
      </c>
      <c r="AR3947" s="10" t="str">
        <f>IF(AND(I3947="TP",S3947&lt;=300),VLOOKUP(AF3947,TPCalibEq300!$AZ$2:$BB$55,3,),IF(AND(I3947="TDP",S3947&lt;=300),VLOOKUP(AF3947,TPCalibEq300!$AZ$2:$BB$55,3,)))</f>
        <v>y=-5.1889x2+102.33x-44.163</v>
      </c>
      <c r="AS3947" s="10" t="str">
        <f>IF(AND(I3947="TP",S3947&lt;=500),VLOOKUP(AF3947,TPCalibEq500!$AZ$2:$BB$56,3,),IF(AND(I3947="TDP",S3947&lt;=500),VLOOKUP(AF3947,TPCalibEq500!$AZ$2:$BB$56,3,)))</f>
        <v>y=-1.8824x2+87.341x-33.178</v>
      </c>
      <c r="AT3947" s="10" t="b">
        <f>IF(AND(I3947="TN",S3947&lt;=2800),VLOOKUP(AF3947,TNCalibEq2500!$AZ$2:$BB$56,3,),IF(AND(I3947="TDN",S3947&lt;=2800),VLOOKUP(AF3947,TNCalibEq2500!$AZ$2:$BB$56,3,)))</f>
        <v>0</v>
      </c>
      <c r="AU3947" s="10" t="str">
        <f>IF(I3947="TP",VLOOKUP(AF3947,TPCalibEqFull!$AZ$2:$BB$56,3),IF(I3947="TDP",VLOOKUP(AF3947,TPCalibEqFull!$AZ$2:$BB$56,3),IF(I3947="TDN",VLOOKUP(AF3947,TNCalibEqFull!$AZ$1:$BB$56,3),IF(I3947="TN",VLOOKUP(AF3947,TNCalibEqFull!$AZ$1:$BB$56,3),FALSE))))</f>
        <v>y=-0.0059x2+68.478x-14.154</v>
      </c>
      <c r="AV3947" s="10" t="str">
        <f t="shared" si="449"/>
        <v>0221 10:13:00-EFL-45-C-1-SW-UKN</v>
      </c>
    </row>
    <row r="3948" spans="1:48" s="10" customFormat="1" x14ac:dyDescent="0.55000000000000004">
      <c r="A3948" s="32">
        <v>44978</v>
      </c>
      <c r="B3948" s="33">
        <v>0.42569444444444443</v>
      </c>
      <c r="C3948" s="10" t="s">
        <v>287</v>
      </c>
      <c r="D3948" s="10">
        <v>45</v>
      </c>
      <c r="E3948" s="10" t="s">
        <v>190</v>
      </c>
      <c r="F3948" s="10">
        <v>1</v>
      </c>
      <c r="G3948" s="10" t="s">
        <v>231</v>
      </c>
      <c r="H3948" s="10" t="s">
        <v>233</v>
      </c>
      <c r="I3948" s="10" t="s">
        <v>83</v>
      </c>
      <c r="J3948" s="10">
        <v>30</v>
      </c>
      <c r="K3948" s="12">
        <v>44980</v>
      </c>
      <c r="L3948" s="33">
        <v>0.46842592592592597</v>
      </c>
      <c r="M3948" s="10">
        <v>1</v>
      </c>
      <c r="N3948" s="10" t="s">
        <v>84</v>
      </c>
      <c r="O3948" s="10">
        <v>2.56</v>
      </c>
      <c r="P3948" s="10">
        <v>0.182</v>
      </c>
      <c r="Q3948" s="10">
        <v>161</v>
      </c>
      <c r="R3948" s="10" t="s">
        <v>85</v>
      </c>
      <c r="S3948" s="34">
        <f t="shared" si="446"/>
        <v>183.79582496</v>
      </c>
      <c r="T3948" s="10" t="s">
        <v>1299</v>
      </c>
      <c r="U3948" s="34">
        <f t="shared" si="447"/>
        <v>0.82897495210825656</v>
      </c>
      <c r="V3948" s="31" t="str">
        <f>IF(H3948="CHK",VLOOKUP(I3948,QCCHK,3,),IF(H3948="GUP",VLOOKUP(E3948,QCGUP,2,),IF(AND(H3948="ATP",OR(I3948="TN",I3948="TDN",I3948="TNO2-3",I3948="NO2-3")),VLOOKUP(E3948,QCREC_N,2,),IF(AND(H3948="NIC",OR(I3948="TN",I3948="TDN",I3948="TNO2-3",I3948="NO2-3")),VLOOKUP(E3948,QCNIC_N,2,),IF(AND(H3948="UREA",OR(I3948="TN",I3948="TDN",I3948="TNO2-3",I3948="NO2-3")),VLOOKUP(E3948,QCUREA_N,2,),IF(H3948="PER",VLOOKUP(I3948,QCPER,MATCH(E3948,QCACTUAL!$J$25:$AA$25,0),),IF(H3948="SPK",VLOOKUP(I3948,QCSPK,3,),IF(AND(H3948="ATP",OR(I3948="TP",I3948="TDP")),VLOOKUP(E3948,QCATP_P,2,),""))))))))</f>
        <v/>
      </c>
      <c r="W3948" s="31" t="str">
        <f t="shared" si="448"/>
        <v>TRUE</v>
      </c>
      <c r="X3948" s="31" t="str">
        <f t="shared" si="445"/>
        <v>((ABS(rep1-rep2))/((rep1+rep2)/2)*100</v>
      </c>
      <c r="Y3948" s="10" t="s">
        <v>1285</v>
      </c>
      <c r="AF3948" s="12">
        <v>44980</v>
      </c>
      <c r="AH3948" s="10">
        <f>-5.1889*2.56^2+102.33*2.56-44.163</f>
        <v>183.79582496</v>
      </c>
      <c r="AI3948" s="10">
        <f>-1.8824*2.56^2+87.341*2.56-33.178</f>
        <v>178.07846335999997</v>
      </c>
      <c r="AK3948" s="10">
        <f>-0.0059*2.56^2+68.478*2.56-14.154</f>
        <v>161.11101375999999</v>
      </c>
      <c r="AL3948" s="10" t="str">
        <f t="shared" si="443"/>
        <v>FALSE</v>
      </c>
      <c r="AM3948" s="10" t="str">
        <f t="shared" si="443"/>
        <v>y=-5.1889*2.56^2+102.33*2.56-44.163</v>
      </c>
      <c r="AN3948" s="10" t="str">
        <f t="shared" si="443"/>
        <v>y=-1.8824*2.56^2+87.341*2.56-33.178</v>
      </c>
      <c r="AO3948" s="10" t="str">
        <f t="shared" si="444"/>
        <v>FALSE</v>
      </c>
      <c r="AP3948" s="10" t="str">
        <f t="shared" si="444"/>
        <v>y=-0.0059*2.56^2+68.478*2.56-14.154</v>
      </c>
      <c r="AQ3948" s="10" t="b">
        <f>IF(AND(I3948="TP",S3948&lt;=150),VLOOKUP(AF3948,TPCalibEq150!$AZ$2:$BB$55,3,),IF(AND(I3948="TDP",S3948&lt;=150),VLOOKUP(AF3948,TPCalibEq150!$AZ$2:$BB$55,3,)))</f>
        <v>0</v>
      </c>
      <c r="AR3948" s="10" t="str">
        <f>IF(AND(I3948="TP",S3948&lt;=300),VLOOKUP(AF3948,TPCalibEq300!$AZ$2:$BB$55,3,),IF(AND(I3948="TDP",S3948&lt;=300),VLOOKUP(AF3948,TPCalibEq300!$AZ$2:$BB$55,3,)))</f>
        <v>y=-5.1889x2+102.33x-44.163</v>
      </c>
      <c r="AS3948" s="10" t="str">
        <f>IF(AND(I3948="TP",S3948&lt;=500),VLOOKUP(AF3948,TPCalibEq500!$AZ$2:$BB$56,3,),IF(AND(I3948="TDP",S3948&lt;=500),VLOOKUP(AF3948,TPCalibEq500!$AZ$2:$BB$56,3,)))</f>
        <v>y=-1.8824x2+87.341x-33.178</v>
      </c>
      <c r="AT3948" s="10" t="b">
        <f>IF(AND(I3948="TN",S3948&lt;=2800),VLOOKUP(AF3948,TNCalibEq2500!$AZ$2:$BB$56,3,),IF(AND(I3948="TDN",S3948&lt;=2800),VLOOKUP(AF3948,TNCalibEq2500!$AZ$2:$BB$56,3,)))</f>
        <v>0</v>
      </c>
      <c r="AU3948" s="10" t="str">
        <f>IF(I3948="TP",VLOOKUP(AF3948,TPCalibEqFull!$AZ$2:$BB$56,3),IF(I3948="TDP",VLOOKUP(AF3948,TPCalibEqFull!$AZ$2:$BB$56,3),IF(I3948="TDN",VLOOKUP(AF3948,TNCalibEqFull!$AZ$1:$BB$56,3),IF(I3948="TN",VLOOKUP(AF3948,TNCalibEqFull!$AZ$1:$BB$56,3),FALSE))))</f>
        <v>y=-0.0059x2+68.478x-14.154</v>
      </c>
      <c r="AV3948" s="10" t="str">
        <f t="shared" si="449"/>
        <v>0221 10:13:00-EFL-45-C-1-SW-DUP</v>
      </c>
    </row>
    <row r="3949" spans="1:48" s="10" customFormat="1" x14ac:dyDescent="0.55000000000000004">
      <c r="A3949" s="32">
        <v>44978</v>
      </c>
      <c r="B3949" s="33">
        <v>0.42569444444444443</v>
      </c>
      <c r="C3949" s="10" t="s">
        <v>287</v>
      </c>
      <c r="D3949" s="10">
        <v>45</v>
      </c>
      <c r="E3949" s="10" t="s">
        <v>190</v>
      </c>
      <c r="F3949" s="10">
        <v>1</v>
      </c>
      <c r="G3949" s="10" t="s">
        <v>231</v>
      </c>
      <c r="H3949" s="10" t="s">
        <v>314</v>
      </c>
      <c r="I3949" s="10" t="s">
        <v>83</v>
      </c>
      <c r="J3949" s="10">
        <v>84</v>
      </c>
      <c r="K3949" s="12">
        <v>44980</v>
      </c>
      <c r="L3949" s="33">
        <v>0.46910879629629632</v>
      </c>
      <c r="M3949" s="10">
        <v>1</v>
      </c>
      <c r="N3949" s="10" t="s">
        <v>84</v>
      </c>
      <c r="O3949" s="10">
        <v>17.899999999999999</v>
      </c>
      <c r="P3949" s="10">
        <v>1.27</v>
      </c>
      <c r="Q3949" s="10">
        <v>1200</v>
      </c>
      <c r="R3949" s="10" t="s">
        <v>85</v>
      </c>
      <c r="S3949" s="34">
        <f t="shared" si="446"/>
        <v>1209.7117809999997</v>
      </c>
      <c r="T3949" s="10" t="s">
        <v>1299</v>
      </c>
      <c r="U3949" s="34">
        <f t="shared" si="447"/>
        <v>102.59159560399999</v>
      </c>
      <c r="V3949" s="31">
        <f>IF(H3949="CHK",VLOOKUP(I3949,QCCHK,3,),IF(H3949="GUP",VLOOKUP(E3949,QCGUP,2,),IF(AND(H3949="ATP",OR(I3949="TN",I3949="TDN",I3949="TNO2-3",I3949="NO2-3")),VLOOKUP(E3949,QCREC_N,2,),IF(AND(H3949="NIC",OR(I3949="TN",I3949="TDN",I3949="TNO2-3",I3949="NO2-3")),VLOOKUP(E3949,QCNIC_N,2,),IF(AND(H3949="UREA",OR(I3949="TN",I3949="TDN",I3949="TNO2-3",I3949="NO2-3")),VLOOKUP(E3949,QCUREA_N,2,),IF(H3949="PER",VLOOKUP(I3949,QCPER,MATCH(E3949,QCACTUAL!$J$25:$AA$25,0),),IF(H3949="SPK",VLOOKUP(I3949,QCSPK,3,),IF(AND(H3949="ATP",OR(I3949="TP",I3949="TDP")),VLOOKUP(E3949,QCATP_P,2,),""))))))))</f>
        <v>1000</v>
      </c>
      <c r="W3949" s="31" t="str">
        <f t="shared" si="448"/>
        <v>TRUE</v>
      </c>
      <c r="X3949" s="31" t="str">
        <f t="shared" si="445"/>
        <v>([spikedunkn]-[unkn])/[spike]*100</v>
      </c>
      <c r="Y3949" s="10" t="s">
        <v>1285</v>
      </c>
      <c r="AF3949" s="12">
        <v>44980</v>
      </c>
      <c r="AK3949" s="10">
        <f>-0.0059*17.9^2+68.478*17.9-14.154</f>
        <v>1209.7117809999997</v>
      </c>
      <c r="AL3949" s="10" t="str">
        <f t="shared" si="443"/>
        <v>FALSE</v>
      </c>
      <c r="AM3949" s="10" t="str">
        <f t="shared" si="443"/>
        <v>FALSE</v>
      </c>
      <c r="AN3949" s="10" t="str">
        <f t="shared" si="443"/>
        <v>FALSE</v>
      </c>
      <c r="AO3949" s="10" t="str">
        <f t="shared" si="444"/>
        <v>FALSE</v>
      </c>
      <c r="AP3949" s="10" t="str">
        <f t="shared" si="444"/>
        <v>y=-0.0059*17.9^2+68.478*17.9-14.154</v>
      </c>
      <c r="AQ3949" s="10" t="b">
        <f>IF(AND(I3949="TP",S3949&lt;=150),VLOOKUP(AF3949,TPCalibEq150!$AZ$2:$BB$55,3,),IF(AND(I3949="TDP",S3949&lt;=150),VLOOKUP(AF3949,TPCalibEq150!$AZ$2:$BB$55,3,)))</f>
        <v>0</v>
      </c>
      <c r="AR3949" s="10" t="b">
        <f>IF(AND(I3949="TP",S3949&lt;=300),VLOOKUP(AF3949,TPCalibEq300!$AZ$2:$BB$55,3,),IF(AND(I3949="TDP",S3949&lt;=300),VLOOKUP(AF3949,TPCalibEq300!$AZ$2:$BB$55,3,)))</f>
        <v>0</v>
      </c>
      <c r="AS3949" s="10" t="b">
        <f>IF(AND(I3949="TP",S3949&lt;=500),VLOOKUP(AF3949,TPCalibEq500!$AZ$2:$BB$56,3,),IF(AND(I3949="TDP",S3949&lt;=500),VLOOKUP(AF3949,TPCalibEq500!$AZ$2:$BB$56,3,)))</f>
        <v>0</v>
      </c>
      <c r="AT3949" s="10" t="b">
        <f>IF(AND(I3949="TN",S3949&lt;=2800),VLOOKUP(AF3949,TNCalibEq2500!$AZ$2:$BB$56,3,),IF(AND(I3949="TDN",S3949&lt;=2800),VLOOKUP(AF3949,TNCalibEq2500!$AZ$2:$BB$56,3,)))</f>
        <v>0</v>
      </c>
      <c r="AU3949" s="10" t="str">
        <f>IF(I3949="TP",VLOOKUP(AF3949,TPCalibEqFull!$AZ$2:$BB$56,3),IF(I3949="TDP",VLOOKUP(AF3949,TPCalibEqFull!$AZ$2:$BB$56,3),IF(I3949="TDN",VLOOKUP(AF3949,TNCalibEqFull!$AZ$1:$BB$56,3),IF(I3949="TN",VLOOKUP(AF3949,TNCalibEqFull!$AZ$1:$BB$56,3),FALSE))))</f>
        <v>y=-0.0059x2+68.478x-14.154</v>
      </c>
      <c r="AV3949" s="10" t="str">
        <f t="shared" si="449"/>
        <v>0221 10:13:00-EFL-45-C-1-SW-SPK</v>
      </c>
    </row>
    <row r="3950" spans="1:48" s="10" customFormat="1" x14ac:dyDescent="0.55000000000000004">
      <c r="A3950" s="32">
        <v>44979</v>
      </c>
      <c r="B3950" s="33">
        <v>0.375</v>
      </c>
      <c r="C3950" s="10" t="s">
        <v>70</v>
      </c>
      <c r="D3950" s="10" t="s">
        <v>71</v>
      </c>
      <c r="E3950" s="10" t="s">
        <v>901</v>
      </c>
      <c r="F3950" s="10">
        <v>1</v>
      </c>
      <c r="G3950" s="10" t="s">
        <v>73</v>
      </c>
      <c r="H3950" s="10" t="s">
        <v>207</v>
      </c>
      <c r="I3950" s="10" t="s">
        <v>83</v>
      </c>
      <c r="J3950" s="10">
        <v>201</v>
      </c>
      <c r="K3950" s="12">
        <v>44980</v>
      </c>
      <c r="L3950" s="33">
        <v>0.46982638888888889</v>
      </c>
      <c r="M3950" s="10">
        <v>1</v>
      </c>
      <c r="N3950" s="10" t="s">
        <v>84</v>
      </c>
      <c r="O3950" s="10">
        <v>7.79</v>
      </c>
      <c r="P3950" s="10">
        <v>0.56499999999999995</v>
      </c>
      <c r="Q3950" s="10">
        <v>517</v>
      </c>
      <c r="R3950" s="10" t="s">
        <v>85</v>
      </c>
      <c r="S3950" s="34">
        <f t="shared" si="446"/>
        <v>518.93158381000001</v>
      </c>
      <c r="T3950" s="10" t="s">
        <v>1299</v>
      </c>
      <c r="U3950" s="34">
        <f t="shared" si="447"/>
        <v>103.78631676200001</v>
      </c>
      <c r="V3950" s="31">
        <f>IF(H3950="CHK",VLOOKUP(I3950,QCCHK,3,),IF(H3950="GUP",VLOOKUP(E3950,QCGUP,2,),IF(AND(H3950="ATP",OR(I3950="TN",I3950="TDN",I3950="TNO2-3",I3950="NO2-3")),VLOOKUP(E3950,QCREC_N,2,),IF(AND(H3950="NIC",OR(I3950="TN",I3950="TDN",I3950="TNO2-3",I3950="NO2-3")),VLOOKUP(E3950,QCNIC_N,2,),IF(AND(H3950="UREA",OR(I3950="TN",I3950="TDN",I3950="TNO2-3",I3950="NO2-3")),VLOOKUP(E3950,QCUREA_N,2,),IF(H3950="PER",VLOOKUP(I3950,QCPER,MATCH(E3950,QCACTUAL!$J$25:$AA$25,0),),IF(H3950="SPK",VLOOKUP(I3950,QCSPK,3,),IF(AND(H3950="ATP",OR(I3950="TP",I3950="TDP")),VLOOKUP(E3950,QCATP_P,2,),""))))))))</f>
        <v>500</v>
      </c>
      <c r="W3950" s="31" t="str">
        <f t="shared" si="448"/>
        <v>TRUE</v>
      </c>
      <c r="X3950" s="31" t="str">
        <f t="shared" si="445"/>
        <v>[chk]/[actual]*100</v>
      </c>
      <c r="Y3950" s="10" t="s">
        <v>1285</v>
      </c>
      <c r="AF3950" s="12">
        <v>44980</v>
      </c>
      <c r="AK3950" s="10">
        <f>-0.0059*7.79^2+68.478*7.79-14.154</f>
        <v>518.93158381000001</v>
      </c>
      <c r="AL3950" s="10" t="str">
        <f t="shared" si="443"/>
        <v>FALSE</v>
      </c>
      <c r="AM3950" s="10" t="str">
        <f t="shared" si="443"/>
        <v>FALSE</v>
      </c>
      <c r="AN3950" s="10" t="str">
        <f t="shared" si="443"/>
        <v>FALSE</v>
      </c>
      <c r="AO3950" s="10" t="str">
        <f t="shared" si="444"/>
        <v>FALSE</v>
      </c>
      <c r="AP3950" s="10" t="str">
        <f t="shared" si="444"/>
        <v>y=-0.0059*7.79^2+68.478*7.79-14.154</v>
      </c>
      <c r="AQ3950" s="10" t="b">
        <f>IF(AND(I3950="TP",S3950&lt;=150),VLOOKUP(AF3950,TPCalibEq150!$AZ$2:$BB$55,3,),IF(AND(I3950="TDP",S3950&lt;=150),VLOOKUP(AF3950,TPCalibEq150!$AZ$2:$BB$55,3,)))</f>
        <v>0</v>
      </c>
      <c r="AR3950" s="10" t="b">
        <f>IF(AND(I3950="TP",S3950&lt;=300),VLOOKUP(AF3950,TPCalibEq300!$AZ$2:$BB$55,3,),IF(AND(I3950="TDP",S3950&lt;=300),VLOOKUP(AF3950,TPCalibEq300!$AZ$2:$BB$55,3,)))</f>
        <v>0</v>
      </c>
      <c r="AS3950" s="10" t="b">
        <f>IF(AND(I3950="TP",S3950&lt;=500),VLOOKUP(AF3950,TPCalibEq500!$AZ$2:$BB$56,3,),IF(AND(I3950="TDP",S3950&lt;=500),VLOOKUP(AF3950,TPCalibEq500!$AZ$2:$BB$56,3,)))</f>
        <v>0</v>
      </c>
      <c r="AT3950" s="10" t="b">
        <f>IF(AND(I3950="TN",S3950&lt;=2800),VLOOKUP(AF3950,TNCalibEq2500!$AZ$2:$BB$56,3,),IF(AND(I3950="TDN",S3950&lt;=2800),VLOOKUP(AF3950,TNCalibEq2500!$AZ$2:$BB$56,3,)))</f>
        <v>0</v>
      </c>
      <c r="AU3950" s="10" t="str">
        <f>IF(I3950="TP",VLOOKUP(AF3950,TPCalibEqFull!$AZ$2:$BB$56,3),IF(I3950="TDP",VLOOKUP(AF3950,TPCalibEqFull!$AZ$2:$BB$56,3),IF(I3950="TDN",VLOOKUP(AF3950,TNCalibEqFull!$AZ$1:$BB$56,3),IF(I3950="TN",VLOOKUP(AF3950,TNCalibEqFull!$AZ$1:$BB$56,3),FALSE))))</f>
        <v>y=-0.0059x2+68.478x-14.154</v>
      </c>
      <c r="AV3950" s="10" t="str">
        <f t="shared" si="449"/>
        <v>0222 09:00:00-QAC-STD-D-1-DI-CHK</v>
      </c>
    </row>
    <row r="3951" spans="1:48" s="10" customFormat="1" x14ac:dyDescent="0.55000000000000004">
      <c r="A3951" s="32">
        <v>44978</v>
      </c>
      <c r="B3951" s="33">
        <v>0.38958333333333334</v>
      </c>
      <c r="C3951" s="10" t="s">
        <v>428</v>
      </c>
      <c r="D3951" s="10">
        <v>0</v>
      </c>
      <c r="E3951" s="10">
        <v>480</v>
      </c>
      <c r="F3951" s="10">
        <v>1</v>
      </c>
      <c r="G3951" s="10" t="s">
        <v>231</v>
      </c>
      <c r="H3951" s="10" t="s">
        <v>322</v>
      </c>
      <c r="I3951" s="10" t="s">
        <v>83</v>
      </c>
      <c r="J3951" s="10">
        <v>31</v>
      </c>
      <c r="K3951" s="12">
        <v>44980</v>
      </c>
      <c r="L3951" s="33">
        <v>0.47053240740740737</v>
      </c>
      <c r="M3951" s="10">
        <v>1</v>
      </c>
      <c r="N3951" s="10" t="s">
        <v>84</v>
      </c>
      <c r="O3951" s="10">
        <v>2.4500000000000002</v>
      </c>
      <c r="P3951" s="10">
        <v>0.17599999999999999</v>
      </c>
      <c r="Q3951" s="10">
        <v>154</v>
      </c>
      <c r="R3951" s="10" t="s">
        <v>85</v>
      </c>
      <c r="S3951" s="34">
        <f t="shared" si="446"/>
        <v>175.39912774999999</v>
      </c>
      <c r="T3951" s="10" t="s">
        <v>1299</v>
      </c>
      <c r="U3951" s="34" t="str">
        <f t="shared" si="447"/>
        <v/>
      </c>
      <c r="V3951" s="31" t="str">
        <f>IF(H3951="CHK",VLOOKUP(I3951,QCCHK,3,),IF(H3951="GUP",VLOOKUP(E3951,QCGUP,2,),IF(AND(H3951="ATP",OR(I3951="TN",I3951="TDN",I3951="TNO2-3",I3951="NO2-3")),VLOOKUP(E3951,QCREC_N,2,),IF(AND(H3951="NIC",OR(I3951="TN",I3951="TDN",I3951="TNO2-3",I3951="NO2-3")),VLOOKUP(E3951,QCNIC_N,2,),IF(AND(H3951="UREA",OR(I3951="TN",I3951="TDN",I3951="TNO2-3",I3951="NO2-3")),VLOOKUP(E3951,QCUREA_N,2,),IF(H3951="PER",VLOOKUP(I3951,QCPER,MATCH(E3951,QCACTUAL!$J$25:$AA$25,0),),IF(H3951="SPK",VLOOKUP(I3951,QCSPK,3,),IF(AND(H3951="ATP",OR(I3951="TP",I3951="TDP")),VLOOKUP(E3951,QCATP_P,2,),""))))))))</f>
        <v/>
      </c>
      <c r="W3951" s="31" t="str">
        <f t="shared" si="448"/>
        <v>TRUE</v>
      </c>
      <c r="X3951" s="31" t="str">
        <f t="shared" si="445"/>
        <v/>
      </c>
      <c r="Y3951" s="10" t="s">
        <v>1285</v>
      </c>
      <c r="AF3951" s="12">
        <v>44980</v>
      </c>
      <c r="AH3951" s="10">
        <f>-5.1889*2.45^2+102.33*2.45-44.163</f>
        <v>175.39912774999999</v>
      </c>
      <c r="AI3951" s="10">
        <f>-1.8824*2.45^2+87.341*2.45-33.178</f>
        <v>169.50834400000002</v>
      </c>
      <c r="AK3951" s="10">
        <f>-0.0059*2.45^2+68.478*2.45-14.154</f>
        <v>153.58168524999999</v>
      </c>
      <c r="AL3951" s="10" t="str">
        <f t="shared" si="443"/>
        <v>FALSE</v>
      </c>
      <c r="AM3951" s="10" t="str">
        <f t="shared" si="443"/>
        <v>y=-5.1889*2.45^2+102.33*2.45-44.163</v>
      </c>
      <c r="AN3951" s="10" t="str">
        <f t="shared" si="443"/>
        <v>y=-1.8824*2.45^2+87.341*2.45-33.178</v>
      </c>
      <c r="AO3951" s="10" t="str">
        <f t="shared" si="444"/>
        <v>FALSE</v>
      </c>
      <c r="AP3951" s="10" t="str">
        <f t="shared" si="444"/>
        <v>y=-0.0059*2.45^2+68.478*2.45-14.154</v>
      </c>
      <c r="AQ3951" s="10" t="b">
        <f>IF(AND(I3951="TP",S3951&lt;=150),VLOOKUP(AF3951,TPCalibEq150!$AZ$2:$BB$55,3,),IF(AND(I3951="TDP",S3951&lt;=150),VLOOKUP(AF3951,TPCalibEq150!$AZ$2:$BB$55,3,)))</f>
        <v>0</v>
      </c>
      <c r="AR3951" s="10" t="str">
        <f>IF(AND(I3951="TP",S3951&lt;=300),VLOOKUP(AF3951,TPCalibEq300!$AZ$2:$BB$55,3,),IF(AND(I3951="TDP",S3951&lt;=300),VLOOKUP(AF3951,TPCalibEq300!$AZ$2:$BB$55,3,)))</f>
        <v>y=-5.1889x2+102.33x-44.163</v>
      </c>
      <c r="AS3951" s="10" t="str">
        <f>IF(AND(I3951="TP",S3951&lt;=500),VLOOKUP(AF3951,TPCalibEq500!$AZ$2:$BB$56,3,),IF(AND(I3951="TDP",S3951&lt;=500),VLOOKUP(AF3951,TPCalibEq500!$AZ$2:$BB$56,3,)))</f>
        <v>y=-1.8824x2+87.341x-33.178</v>
      </c>
      <c r="AT3951" s="10" t="b">
        <f>IF(AND(I3951="TN",S3951&lt;=2800),VLOOKUP(AF3951,TNCalibEq2500!$AZ$2:$BB$56,3,),IF(AND(I3951="TDN",S3951&lt;=2800),VLOOKUP(AF3951,TNCalibEq2500!$AZ$2:$BB$56,3,)))</f>
        <v>0</v>
      </c>
      <c r="AU3951" s="10" t="str">
        <f>IF(I3951="TP",VLOOKUP(AF3951,TPCalibEqFull!$AZ$2:$BB$56,3),IF(I3951="TDP",VLOOKUP(AF3951,TPCalibEqFull!$AZ$2:$BB$56,3),IF(I3951="TDN",VLOOKUP(AF3951,TNCalibEqFull!$AZ$1:$BB$56,3),IF(I3951="TN",VLOOKUP(AF3951,TNCalibEqFull!$AZ$1:$BB$56,3),FALSE))))</f>
        <v>y=-0.0059x2+68.478x-14.154</v>
      </c>
      <c r="AV3951" s="10" t="str">
        <f t="shared" si="449"/>
        <v>0221 09:21:00-EOF-0-480-1-SW-UKN</v>
      </c>
    </row>
    <row r="3952" spans="1:48" s="10" customFormat="1" x14ac:dyDescent="0.55000000000000004">
      <c r="A3952" s="32">
        <v>44978</v>
      </c>
      <c r="B3952" s="33">
        <v>0.39166666666666666</v>
      </c>
      <c r="C3952" s="10" t="s">
        <v>428</v>
      </c>
      <c r="D3952" s="10">
        <v>5</v>
      </c>
      <c r="E3952" s="10">
        <v>480</v>
      </c>
      <c r="F3952" s="10">
        <v>1</v>
      </c>
      <c r="G3952" s="10" t="s">
        <v>231</v>
      </c>
      <c r="H3952" s="10" t="s">
        <v>322</v>
      </c>
      <c r="I3952" s="10" t="s">
        <v>83</v>
      </c>
      <c r="J3952" s="10">
        <v>32</v>
      </c>
      <c r="K3952" s="12">
        <v>44980</v>
      </c>
      <c r="L3952" s="33">
        <v>0.47122685185185187</v>
      </c>
      <c r="M3952" s="10">
        <v>1</v>
      </c>
      <c r="N3952" s="10" t="s">
        <v>84</v>
      </c>
      <c r="O3952" s="10">
        <v>2.41</v>
      </c>
      <c r="P3952" s="10">
        <v>0.17299999999999999</v>
      </c>
      <c r="Q3952" s="10">
        <v>151</v>
      </c>
      <c r="R3952" s="10" t="s">
        <v>85</v>
      </c>
      <c r="S3952" s="34">
        <f t="shared" si="446"/>
        <v>172.31464991000001</v>
      </c>
      <c r="T3952" s="10" t="s">
        <v>1299</v>
      </c>
      <c r="U3952" s="34" t="str">
        <f t="shared" si="447"/>
        <v/>
      </c>
      <c r="V3952" s="31" t="str">
        <f>IF(H3952="CHK",VLOOKUP(I3952,QCCHK,3,),IF(H3952="GUP",VLOOKUP(E3952,QCGUP,2,),IF(AND(H3952="ATP",OR(I3952="TN",I3952="TDN",I3952="TNO2-3",I3952="NO2-3")),VLOOKUP(E3952,QCREC_N,2,),IF(AND(H3952="NIC",OR(I3952="TN",I3952="TDN",I3952="TNO2-3",I3952="NO2-3")),VLOOKUP(E3952,QCNIC_N,2,),IF(AND(H3952="UREA",OR(I3952="TN",I3952="TDN",I3952="TNO2-3",I3952="NO2-3")),VLOOKUP(E3952,QCUREA_N,2,),IF(H3952="PER",VLOOKUP(I3952,QCPER,MATCH(E3952,QCACTUAL!$J$25:$AA$25,0),),IF(H3952="SPK",VLOOKUP(I3952,QCSPK,3,),IF(AND(H3952="ATP",OR(I3952="TP",I3952="TDP")),VLOOKUP(E3952,QCATP_P,2,),""))))))))</f>
        <v/>
      </c>
      <c r="W3952" s="31" t="str">
        <f t="shared" si="448"/>
        <v>TRUE</v>
      </c>
      <c r="X3952" s="31" t="str">
        <f t="shared" si="445"/>
        <v/>
      </c>
      <c r="Y3952" s="10" t="s">
        <v>1285</v>
      </c>
      <c r="AF3952" s="12">
        <v>44980</v>
      </c>
      <c r="AH3952" s="10">
        <f>-5.1889*2.41^2+102.33*2.41-44.163</f>
        <v>172.31464991000001</v>
      </c>
      <c r="AI3952" s="10">
        <f>-1.8824*2.41^2+87.341*2.41-33.178</f>
        <v>166.38064255999998</v>
      </c>
      <c r="AK3952" s="10">
        <f>-0.0059*2.41^2+68.478*2.41-14.154</f>
        <v>150.84371221000001</v>
      </c>
      <c r="AL3952" s="10" t="str">
        <f t="shared" ref="AL3952:AN4015" si="450">IF($O3952="", "", IF(AQ3952&lt;&gt;"", SUBSTITUTE(SUBSTITUTE(AQ3952, "x", "*"&amp;$O3952&amp;"^", 1), "x", "*"&amp;$O3952, 1), ""))</f>
        <v>FALSE</v>
      </c>
      <c r="AM3952" s="10" t="str">
        <f t="shared" si="450"/>
        <v>y=-5.1889*2.41^2+102.33*2.41-44.163</v>
      </c>
      <c r="AN3952" s="10" t="str">
        <f t="shared" si="450"/>
        <v>y=-1.8824*2.41^2+87.341*2.41-33.178</v>
      </c>
      <c r="AO3952" s="10" t="str">
        <f t="shared" ref="AO3952:AP4015" si="451">IF($O3952="", "FALSE", IF(AT3952&lt;&gt;"FALSE", SUBSTITUTE(SUBSTITUTE(AT3952, "x", "*"&amp;$O3952&amp;"^", 1), "x", "*"&amp;$O3952, 1), ""))</f>
        <v>FALSE</v>
      </c>
      <c r="AP3952" s="10" t="str">
        <f t="shared" si="451"/>
        <v>y=-0.0059*2.41^2+68.478*2.41-14.154</v>
      </c>
      <c r="AQ3952" s="10" t="b">
        <f>IF(AND(I3952="TP",S3952&lt;=150),VLOOKUP(AF3952,TPCalibEq150!$AZ$2:$BB$55,3,),IF(AND(I3952="TDP",S3952&lt;=150),VLOOKUP(AF3952,TPCalibEq150!$AZ$2:$BB$55,3,)))</f>
        <v>0</v>
      </c>
      <c r="AR3952" s="10" t="str">
        <f>IF(AND(I3952="TP",S3952&lt;=300),VLOOKUP(AF3952,TPCalibEq300!$AZ$2:$BB$55,3,),IF(AND(I3952="TDP",S3952&lt;=300),VLOOKUP(AF3952,TPCalibEq300!$AZ$2:$BB$55,3,)))</f>
        <v>y=-5.1889x2+102.33x-44.163</v>
      </c>
      <c r="AS3952" s="10" t="str">
        <f>IF(AND(I3952="TP",S3952&lt;=500),VLOOKUP(AF3952,TPCalibEq500!$AZ$2:$BB$56,3,),IF(AND(I3952="TDP",S3952&lt;=500),VLOOKUP(AF3952,TPCalibEq500!$AZ$2:$BB$56,3,)))</f>
        <v>y=-1.8824x2+87.341x-33.178</v>
      </c>
      <c r="AT3952" s="10" t="b">
        <f>IF(AND(I3952="TN",S3952&lt;=2800),VLOOKUP(AF3952,TNCalibEq2500!$AZ$2:$BB$56,3,),IF(AND(I3952="TDN",S3952&lt;=2800),VLOOKUP(AF3952,TNCalibEq2500!$AZ$2:$BB$56,3,)))</f>
        <v>0</v>
      </c>
      <c r="AU3952" s="10" t="str">
        <f>IF(I3952="TP",VLOOKUP(AF3952,TPCalibEqFull!$AZ$2:$BB$56,3),IF(I3952="TDP",VLOOKUP(AF3952,TPCalibEqFull!$AZ$2:$BB$56,3),IF(I3952="TDN",VLOOKUP(AF3952,TNCalibEqFull!$AZ$1:$BB$56,3),IF(I3952="TN",VLOOKUP(AF3952,TNCalibEqFull!$AZ$1:$BB$56,3),FALSE))))</f>
        <v>y=-0.0059x2+68.478x-14.154</v>
      </c>
      <c r="AV3952" s="10" t="str">
        <f t="shared" si="449"/>
        <v>0221 09:24:00-EOF-5-480-1-SW-UKN</v>
      </c>
    </row>
    <row r="3953" spans="1:48" s="10" customFormat="1" x14ac:dyDescent="0.55000000000000004">
      <c r="A3953" s="32">
        <v>44978</v>
      </c>
      <c r="B3953" s="33">
        <v>0.39444444444444443</v>
      </c>
      <c r="C3953" s="10" t="s">
        <v>428</v>
      </c>
      <c r="D3953" s="10">
        <v>10</v>
      </c>
      <c r="E3953" s="10">
        <v>490</v>
      </c>
      <c r="F3953" s="10">
        <v>1</v>
      </c>
      <c r="G3953" s="10" t="s">
        <v>231</v>
      </c>
      <c r="H3953" s="10" t="s">
        <v>322</v>
      </c>
      <c r="I3953" s="10" t="s">
        <v>83</v>
      </c>
      <c r="J3953" s="10">
        <v>33</v>
      </c>
      <c r="K3953" s="12">
        <v>44980</v>
      </c>
      <c r="L3953" s="33">
        <v>0.47192129629629626</v>
      </c>
      <c r="M3953" s="10">
        <v>1</v>
      </c>
      <c r="N3953" s="10" t="s">
        <v>84</v>
      </c>
      <c r="O3953" s="10">
        <v>2.35</v>
      </c>
      <c r="P3953" s="10">
        <v>0.16900000000000001</v>
      </c>
      <c r="Q3953" s="10">
        <v>147</v>
      </c>
      <c r="R3953" s="10" t="s">
        <v>85</v>
      </c>
      <c r="S3953" s="34">
        <f t="shared" si="446"/>
        <v>167.65679975</v>
      </c>
      <c r="T3953" s="10" t="s">
        <v>1299</v>
      </c>
      <c r="U3953" s="34" t="str">
        <f t="shared" si="447"/>
        <v/>
      </c>
      <c r="V3953" s="31" t="str">
        <f>IF(H3953="CHK",VLOOKUP(I3953,QCCHK,3,),IF(H3953="GUP",VLOOKUP(E3953,QCGUP,2,),IF(AND(H3953="ATP",OR(I3953="TN",I3953="TDN",I3953="TNO2-3",I3953="NO2-3")),VLOOKUP(E3953,QCREC_N,2,),IF(AND(H3953="NIC",OR(I3953="TN",I3953="TDN",I3953="TNO2-3",I3953="NO2-3")),VLOOKUP(E3953,QCNIC_N,2,),IF(AND(H3953="UREA",OR(I3953="TN",I3953="TDN",I3953="TNO2-3",I3953="NO2-3")),VLOOKUP(E3953,QCUREA_N,2,),IF(H3953="PER",VLOOKUP(I3953,QCPER,MATCH(E3953,QCACTUAL!$J$25:$AA$25,0),),IF(H3953="SPK",VLOOKUP(I3953,QCSPK,3,),IF(AND(H3953="ATP",OR(I3953="TP",I3953="TDP")),VLOOKUP(E3953,QCATP_P,2,),""))))))))</f>
        <v/>
      </c>
      <c r="W3953" s="31" t="str">
        <f t="shared" si="448"/>
        <v>TRUE</v>
      </c>
      <c r="X3953" s="31" t="str">
        <f t="shared" si="445"/>
        <v/>
      </c>
      <c r="Y3953" s="10" t="s">
        <v>1285</v>
      </c>
      <c r="AF3953" s="12">
        <v>44980</v>
      </c>
      <c r="AH3953" s="10">
        <f>-5.1889*2.35^2+102.33*2.35-44.163</f>
        <v>167.65679975</v>
      </c>
      <c r="AI3953" s="10">
        <f>-1.8824*2.35^2+87.341*2.35-33.178</f>
        <v>161.677796</v>
      </c>
      <c r="AK3953" s="10">
        <f>-0.0059*2.35^2+68.478*2.35-14.154</f>
        <v>146.73671725</v>
      </c>
      <c r="AL3953" s="10" t="str">
        <f t="shared" si="450"/>
        <v>FALSE</v>
      </c>
      <c r="AM3953" s="10" t="str">
        <f t="shared" si="450"/>
        <v>y=-5.1889*2.35^2+102.33*2.35-44.163</v>
      </c>
      <c r="AN3953" s="10" t="str">
        <f t="shared" si="450"/>
        <v>y=-1.8824*2.35^2+87.341*2.35-33.178</v>
      </c>
      <c r="AO3953" s="10" t="str">
        <f t="shared" si="451"/>
        <v>FALSE</v>
      </c>
      <c r="AP3953" s="10" t="str">
        <f t="shared" si="451"/>
        <v>y=-0.0059*2.35^2+68.478*2.35-14.154</v>
      </c>
      <c r="AQ3953" s="10" t="b">
        <f>IF(AND(I3953="TP",S3953&lt;=150),VLOOKUP(AF3953,TPCalibEq150!$AZ$2:$BB$55,3,),IF(AND(I3953="TDP",S3953&lt;=150),VLOOKUP(AF3953,TPCalibEq150!$AZ$2:$BB$55,3,)))</f>
        <v>0</v>
      </c>
      <c r="AR3953" s="10" t="str">
        <f>IF(AND(I3953="TP",S3953&lt;=300),VLOOKUP(AF3953,TPCalibEq300!$AZ$2:$BB$55,3,),IF(AND(I3953="TDP",S3953&lt;=300),VLOOKUP(AF3953,TPCalibEq300!$AZ$2:$BB$55,3,)))</f>
        <v>y=-5.1889x2+102.33x-44.163</v>
      </c>
      <c r="AS3953" s="10" t="str">
        <f>IF(AND(I3953="TP",S3953&lt;=500),VLOOKUP(AF3953,TPCalibEq500!$AZ$2:$BB$56,3,),IF(AND(I3953="TDP",S3953&lt;=500),VLOOKUP(AF3953,TPCalibEq500!$AZ$2:$BB$56,3,)))</f>
        <v>y=-1.8824x2+87.341x-33.178</v>
      </c>
      <c r="AT3953" s="10" t="b">
        <f>IF(AND(I3953="TN",S3953&lt;=2800),VLOOKUP(AF3953,TNCalibEq2500!$AZ$2:$BB$56,3,),IF(AND(I3953="TDN",S3953&lt;=2800),VLOOKUP(AF3953,TNCalibEq2500!$AZ$2:$BB$56,3,)))</f>
        <v>0</v>
      </c>
      <c r="AU3953" s="10" t="str">
        <f>IF(I3953="TP",VLOOKUP(AF3953,TPCalibEqFull!$AZ$2:$BB$56,3),IF(I3953="TDP",VLOOKUP(AF3953,TPCalibEqFull!$AZ$2:$BB$56,3),IF(I3953="TDN",VLOOKUP(AF3953,TNCalibEqFull!$AZ$1:$BB$56,3),IF(I3953="TN",VLOOKUP(AF3953,TNCalibEqFull!$AZ$1:$BB$56,3),FALSE))))</f>
        <v>y=-0.0059x2+68.478x-14.154</v>
      </c>
      <c r="AV3953" s="10" t="str">
        <f t="shared" si="449"/>
        <v>0221 09:28:00-EOF-10-490-1-SW-UKN</v>
      </c>
    </row>
    <row r="3954" spans="1:48" s="10" customFormat="1" x14ac:dyDescent="0.55000000000000004">
      <c r="A3954" s="32">
        <v>44978</v>
      </c>
      <c r="B3954" s="33">
        <v>0.39652777777777781</v>
      </c>
      <c r="C3954" s="10" t="s">
        <v>428</v>
      </c>
      <c r="D3954" s="10">
        <v>20</v>
      </c>
      <c r="E3954" s="10" t="s">
        <v>190</v>
      </c>
      <c r="F3954" s="10">
        <v>1</v>
      </c>
      <c r="G3954" s="10" t="s">
        <v>231</v>
      </c>
      <c r="H3954" s="10" t="s">
        <v>322</v>
      </c>
      <c r="I3954" s="10" t="s">
        <v>83</v>
      </c>
      <c r="J3954" s="10">
        <v>34</v>
      </c>
      <c r="K3954" s="12">
        <v>44980</v>
      </c>
      <c r="L3954" s="33">
        <v>0.47262731481481479</v>
      </c>
      <c r="M3954" s="10">
        <v>1</v>
      </c>
      <c r="N3954" s="10" t="s">
        <v>84</v>
      </c>
      <c r="O3954" s="10">
        <v>2.34</v>
      </c>
      <c r="P3954" s="10">
        <v>0.16600000000000001</v>
      </c>
      <c r="Q3954" s="10">
        <v>146</v>
      </c>
      <c r="R3954" s="10" t="s">
        <v>85</v>
      </c>
      <c r="S3954" s="34">
        <f t="shared" si="446"/>
        <v>166.87685915999998</v>
      </c>
      <c r="T3954" s="10" t="s">
        <v>1299</v>
      </c>
      <c r="U3954" s="34" t="str">
        <f t="shared" si="447"/>
        <v/>
      </c>
      <c r="V3954" s="31" t="str">
        <f>IF(H3954="CHK",VLOOKUP(I3954,QCCHK,3,),IF(H3954="GUP",VLOOKUP(E3954,QCGUP,2,),IF(AND(H3954="ATP",OR(I3954="TN",I3954="TDN",I3954="TNO2-3",I3954="NO2-3")),VLOOKUP(E3954,QCREC_N,2,),IF(AND(H3954="NIC",OR(I3954="TN",I3954="TDN",I3954="TNO2-3",I3954="NO2-3")),VLOOKUP(E3954,QCNIC_N,2,),IF(AND(H3954="UREA",OR(I3954="TN",I3954="TDN",I3954="TNO2-3",I3954="NO2-3")),VLOOKUP(E3954,QCUREA_N,2,),IF(H3954="PER",VLOOKUP(I3954,QCPER,MATCH(E3954,QCACTUAL!$J$25:$AA$25,0),),IF(H3954="SPK",VLOOKUP(I3954,QCSPK,3,),IF(AND(H3954="ATP",OR(I3954="TP",I3954="TDP")),VLOOKUP(E3954,QCATP_P,2,),""))))))))</f>
        <v/>
      </c>
      <c r="W3954" s="31" t="str">
        <f t="shared" si="448"/>
        <v>TRUE</v>
      </c>
      <c r="X3954" s="31" t="str">
        <f t="shared" si="445"/>
        <v/>
      </c>
      <c r="Y3954" s="10" t="s">
        <v>1285</v>
      </c>
      <c r="AF3954" s="12">
        <v>44980</v>
      </c>
      <c r="AH3954" s="10">
        <f>-5.1889*2.34^2+102.33*2.34-44.163</f>
        <v>166.87685915999998</v>
      </c>
      <c r="AI3954" s="10">
        <f>-1.8824*2.34^2+87.341*2.34-33.178</f>
        <v>160.89267055999997</v>
      </c>
      <c r="AK3954" s="10">
        <f>-0.0059*2.34^2+68.478*2.34-14.154</f>
        <v>146.05221395999996</v>
      </c>
      <c r="AL3954" s="10" t="str">
        <f t="shared" si="450"/>
        <v>FALSE</v>
      </c>
      <c r="AM3954" s="10" t="str">
        <f t="shared" si="450"/>
        <v>y=-5.1889*2.34^2+102.33*2.34-44.163</v>
      </c>
      <c r="AN3954" s="10" t="str">
        <f t="shared" si="450"/>
        <v>y=-1.8824*2.34^2+87.341*2.34-33.178</v>
      </c>
      <c r="AO3954" s="10" t="str">
        <f t="shared" si="451"/>
        <v>FALSE</v>
      </c>
      <c r="AP3954" s="10" t="str">
        <f t="shared" si="451"/>
        <v>y=-0.0059*2.34^2+68.478*2.34-14.154</v>
      </c>
      <c r="AQ3954" s="10" t="b">
        <f>IF(AND(I3954="TP",S3954&lt;=150),VLOOKUP(AF3954,TPCalibEq150!$AZ$2:$BB$55,3,),IF(AND(I3954="TDP",S3954&lt;=150),VLOOKUP(AF3954,TPCalibEq150!$AZ$2:$BB$55,3,)))</f>
        <v>0</v>
      </c>
      <c r="AR3954" s="10" t="str">
        <f>IF(AND(I3954="TP",S3954&lt;=300),VLOOKUP(AF3954,TPCalibEq300!$AZ$2:$BB$55,3,),IF(AND(I3954="TDP",S3954&lt;=300),VLOOKUP(AF3954,TPCalibEq300!$AZ$2:$BB$55,3,)))</f>
        <v>y=-5.1889x2+102.33x-44.163</v>
      </c>
      <c r="AS3954" s="10" t="str">
        <f>IF(AND(I3954="TP",S3954&lt;=500),VLOOKUP(AF3954,TPCalibEq500!$AZ$2:$BB$56,3,),IF(AND(I3954="TDP",S3954&lt;=500),VLOOKUP(AF3954,TPCalibEq500!$AZ$2:$BB$56,3,)))</f>
        <v>y=-1.8824x2+87.341x-33.178</v>
      </c>
      <c r="AT3954" s="10" t="b">
        <f>IF(AND(I3954="TN",S3954&lt;=2800),VLOOKUP(AF3954,TNCalibEq2500!$AZ$2:$BB$56,3,),IF(AND(I3954="TDN",S3954&lt;=2800),VLOOKUP(AF3954,TNCalibEq2500!$AZ$2:$BB$56,3,)))</f>
        <v>0</v>
      </c>
      <c r="AU3954" s="10" t="str">
        <f>IF(I3954="TP",VLOOKUP(AF3954,TPCalibEqFull!$AZ$2:$BB$56,3),IF(I3954="TDP",VLOOKUP(AF3954,TPCalibEqFull!$AZ$2:$BB$56,3),IF(I3954="TDN",VLOOKUP(AF3954,TNCalibEqFull!$AZ$1:$BB$56,3),IF(I3954="TN",VLOOKUP(AF3954,TNCalibEqFull!$AZ$1:$BB$56,3),FALSE))))</f>
        <v>y=-0.0059x2+68.478x-14.154</v>
      </c>
      <c r="AV3954" s="10" t="str">
        <f t="shared" si="449"/>
        <v>0221 09:31:00-EOF-20-C-1-SW-UKN</v>
      </c>
    </row>
    <row r="3955" spans="1:48" s="10" customFormat="1" x14ac:dyDescent="0.55000000000000004">
      <c r="A3955" s="32">
        <v>44978</v>
      </c>
      <c r="B3955" s="33">
        <v>0.40347222222222223</v>
      </c>
      <c r="C3955" s="10" t="s">
        <v>428</v>
      </c>
      <c r="D3955" s="10">
        <v>97</v>
      </c>
      <c r="E3955" s="10" t="s">
        <v>190</v>
      </c>
      <c r="F3955" s="10">
        <v>1</v>
      </c>
      <c r="G3955" s="10" t="s">
        <v>231</v>
      </c>
      <c r="H3955" s="10" t="s">
        <v>322</v>
      </c>
      <c r="I3955" s="10" t="s">
        <v>83</v>
      </c>
      <c r="J3955" s="10">
        <v>35</v>
      </c>
      <c r="K3955" s="12">
        <v>44980</v>
      </c>
      <c r="L3955" s="33">
        <v>0.47332175925925929</v>
      </c>
      <c r="M3955" s="10">
        <v>1</v>
      </c>
      <c r="N3955" s="10" t="s">
        <v>84</v>
      </c>
      <c r="O3955" s="10">
        <v>2.17</v>
      </c>
      <c r="P3955" s="10">
        <v>0.154</v>
      </c>
      <c r="Q3955" s="10">
        <v>134</v>
      </c>
      <c r="R3955" s="10" t="s">
        <v>85</v>
      </c>
      <c r="S3955" s="34">
        <f t="shared" si="446"/>
        <v>153.45908879000001</v>
      </c>
      <c r="T3955" s="10" t="s">
        <v>1299</v>
      </c>
      <c r="U3955" s="34" t="str">
        <f t="shared" si="447"/>
        <v/>
      </c>
      <c r="V3955" s="31" t="str">
        <f>IF(H3955="CHK",VLOOKUP(I3955,QCCHK,3,),IF(H3955="GUP",VLOOKUP(E3955,QCGUP,2,),IF(AND(H3955="ATP",OR(I3955="TN",I3955="TDN",I3955="TNO2-3",I3955="NO2-3")),VLOOKUP(E3955,QCREC_N,2,),IF(AND(H3955="NIC",OR(I3955="TN",I3955="TDN",I3955="TNO2-3",I3955="NO2-3")),VLOOKUP(E3955,QCNIC_N,2,),IF(AND(H3955="UREA",OR(I3955="TN",I3955="TDN",I3955="TNO2-3",I3955="NO2-3")),VLOOKUP(E3955,QCUREA_N,2,),IF(H3955="PER",VLOOKUP(I3955,QCPER,MATCH(E3955,QCACTUAL!$J$25:$AA$25,0),),IF(H3955="SPK",VLOOKUP(I3955,QCSPK,3,),IF(AND(H3955="ATP",OR(I3955="TP",I3955="TDP")),VLOOKUP(E3955,QCATP_P,2,),""))))))))</f>
        <v/>
      </c>
      <c r="W3955" s="31" t="str">
        <f t="shared" si="448"/>
        <v>TRUE</v>
      </c>
      <c r="X3955" s="31" t="str">
        <f t="shared" si="445"/>
        <v/>
      </c>
      <c r="Y3955" s="10" t="s">
        <v>1285</v>
      </c>
      <c r="AF3955" s="12">
        <v>44980</v>
      </c>
      <c r="AH3955" s="10">
        <f>-5.1889*2.17^2+102.33*2.17-44.163</f>
        <v>153.45908879000001</v>
      </c>
      <c r="AI3955" s="10">
        <f>-1.8824*2.17^2+87.341*2.17-33.178</f>
        <v>147.48793663999999</v>
      </c>
      <c r="AK3955" s="10">
        <f>-0.0059*2.17^2+68.478*2.17-14.154</f>
        <v>134.41547748999997</v>
      </c>
      <c r="AL3955" s="10" t="str">
        <f t="shared" si="450"/>
        <v>FALSE</v>
      </c>
      <c r="AM3955" s="10" t="str">
        <f t="shared" si="450"/>
        <v>y=-5.1889*2.17^2+102.33*2.17-44.163</v>
      </c>
      <c r="AN3955" s="10" t="str">
        <f t="shared" si="450"/>
        <v>y=-1.8824*2.17^2+87.341*2.17-33.178</v>
      </c>
      <c r="AO3955" s="10" t="str">
        <f t="shared" si="451"/>
        <v>FALSE</v>
      </c>
      <c r="AP3955" s="10" t="str">
        <f t="shared" si="451"/>
        <v>y=-0.0059*2.17^2+68.478*2.17-14.154</v>
      </c>
      <c r="AQ3955" s="10" t="b">
        <f>IF(AND(I3955="TP",S3955&lt;=150),VLOOKUP(AF3955,TPCalibEq150!$AZ$2:$BB$55,3,),IF(AND(I3955="TDP",S3955&lt;=150),VLOOKUP(AF3955,TPCalibEq150!$AZ$2:$BB$55,3,)))</f>
        <v>0</v>
      </c>
      <c r="AR3955" s="10" t="str">
        <f>IF(AND(I3955="TP",S3955&lt;=300),VLOOKUP(AF3955,TPCalibEq300!$AZ$2:$BB$55,3,),IF(AND(I3955="TDP",S3955&lt;=300),VLOOKUP(AF3955,TPCalibEq300!$AZ$2:$BB$55,3,)))</f>
        <v>y=-5.1889x2+102.33x-44.163</v>
      </c>
      <c r="AS3955" s="10" t="str">
        <f>IF(AND(I3955="TP",S3955&lt;=500),VLOOKUP(AF3955,TPCalibEq500!$AZ$2:$BB$56,3,),IF(AND(I3955="TDP",S3955&lt;=500),VLOOKUP(AF3955,TPCalibEq500!$AZ$2:$BB$56,3,)))</f>
        <v>y=-1.8824x2+87.341x-33.178</v>
      </c>
      <c r="AT3955" s="10" t="b">
        <f>IF(AND(I3955="TN",S3955&lt;=2800),VLOOKUP(AF3955,TNCalibEq2500!$AZ$2:$BB$56,3,),IF(AND(I3955="TDN",S3955&lt;=2800),VLOOKUP(AF3955,TNCalibEq2500!$AZ$2:$BB$56,3,)))</f>
        <v>0</v>
      </c>
      <c r="AU3955" s="10" t="str">
        <f>IF(I3955="TP",VLOOKUP(AF3955,TPCalibEqFull!$AZ$2:$BB$56,3),IF(I3955="TDP",VLOOKUP(AF3955,TPCalibEqFull!$AZ$2:$BB$56,3),IF(I3955="TDN",VLOOKUP(AF3955,TNCalibEqFull!$AZ$1:$BB$56,3),IF(I3955="TN",VLOOKUP(AF3955,TNCalibEqFull!$AZ$1:$BB$56,3),FALSE))))</f>
        <v>y=-0.0059x2+68.478x-14.154</v>
      </c>
      <c r="AV3955" s="10" t="str">
        <f t="shared" si="449"/>
        <v>0221 09:41:00-EOF-97-C-1-SW-UKN</v>
      </c>
    </row>
    <row r="3956" spans="1:48" s="10" customFormat="1" x14ac:dyDescent="0.55000000000000004">
      <c r="A3956" s="32">
        <v>44978</v>
      </c>
      <c r="B3956" s="33">
        <v>0.43124999999999997</v>
      </c>
      <c r="C3956" s="10" t="s">
        <v>611</v>
      </c>
      <c r="D3956" s="10">
        <v>0</v>
      </c>
      <c r="E3956" s="10">
        <v>260</v>
      </c>
      <c r="F3956" s="10">
        <v>1</v>
      </c>
      <c r="G3956" s="10" t="s">
        <v>231</v>
      </c>
      <c r="H3956" s="10" t="s">
        <v>322</v>
      </c>
      <c r="I3956" s="10" t="s">
        <v>83</v>
      </c>
      <c r="J3956" s="10">
        <v>36</v>
      </c>
      <c r="K3956" s="12">
        <v>44980</v>
      </c>
      <c r="L3956" s="33">
        <v>0.47402777777777777</v>
      </c>
      <c r="M3956" s="10">
        <v>1</v>
      </c>
      <c r="N3956" s="10" t="s">
        <v>84</v>
      </c>
      <c r="O3956" s="10">
        <v>3.05</v>
      </c>
      <c r="P3956" s="10">
        <v>0.217</v>
      </c>
      <c r="Q3956" s="10">
        <v>194</v>
      </c>
      <c r="R3956" s="10" t="s">
        <v>85</v>
      </c>
      <c r="S3956" s="34">
        <f t="shared" si="446"/>
        <v>219.67375774999999</v>
      </c>
      <c r="T3956" s="10" t="s">
        <v>1299</v>
      </c>
      <c r="U3956" s="34" t="str">
        <f t="shared" si="447"/>
        <v/>
      </c>
      <c r="V3956" s="31" t="str">
        <f>IF(H3956="CHK",VLOOKUP(I3956,QCCHK,3,),IF(H3956="GUP",VLOOKUP(E3956,QCGUP,2,),IF(AND(H3956="ATP",OR(I3956="TN",I3956="TDN",I3956="TNO2-3",I3956="NO2-3")),VLOOKUP(E3956,QCREC_N,2,),IF(AND(H3956="NIC",OR(I3956="TN",I3956="TDN",I3956="TNO2-3",I3956="NO2-3")),VLOOKUP(E3956,QCNIC_N,2,),IF(AND(H3956="UREA",OR(I3956="TN",I3956="TDN",I3956="TNO2-3",I3956="NO2-3")),VLOOKUP(E3956,QCUREA_N,2,),IF(H3956="PER",VLOOKUP(I3956,QCPER,MATCH(E3956,QCACTUAL!$J$25:$AA$25,0),),IF(H3956="SPK",VLOOKUP(I3956,QCSPK,3,),IF(AND(H3956="ATP",OR(I3956="TP",I3956="TDP")),VLOOKUP(E3956,QCATP_P,2,),""))))))))</f>
        <v/>
      </c>
      <c r="W3956" s="31" t="str">
        <f t="shared" si="448"/>
        <v>TRUE</v>
      </c>
      <c r="X3956" s="31" t="str">
        <f t="shared" si="445"/>
        <v/>
      </c>
      <c r="Y3956" s="10" t="s">
        <v>1285</v>
      </c>
      <c r="AF3956" s="12">
        <v>44980</v>
      </c>
      <c r="AH3956" s="10">
        <f>-5.1889*3.05^2+102.33*3.05-44.163</f>
        <v>219.67375774999999</v>
      </c>
      <c r="AI3956" s="10">
        <f>-1.8824*3.05^2+87.341*3.05-33.178</f>
        <v>215.70102399999999</v>
      </c>
      <c r="AK3956" s="10">
        <f>-0.0059*3.05^2+68.478*3.05-14.154</f>
        <v>194.64901524999996</v>
      </c>
      <c r="AL3956" s="10" t="str">
        <f t="shared" si="450"/>
        <v>FALSE</v>
      </c>
      <c r="AM3956" s="10" t="str">
        <f t="shared" si="450"/>
        <v>y=-5.1889*3.05^2+102.33*3.05-44.163</v>
      </c>
      <c r="AN3956" s="10" t="str">
        <f t="shared" si="450"/>
        <v>y=-1.8824*3.05^2+87.341*3.05-33.178</v>
      </c>
      <c r="AO3956" s="10" t="str">
        <f t="shared" si="451"/>
        <v>FALSE</v>
      </c>
      <c r="AP3956" s="10" t="str">
        <f t="shared" si="451"/>
        <v>y=-0.0059*3.05^2+68.478*3.05-14.154</v>
      </c>
      <c r="AQ3956" s="10" t="b">
        <f>IF(AND(I3956="TP",S3956&lt;=150),VLOOKUP(AF3956,TPCalibEq150!$AZ$2:$BB$55,3,),IF(AND(I3956="TDP",S3956&lt;=150),VLOOKUP(AF3956,TPCalibEq150!$AZ$2:$BB$55,3,)))</f>
        <v>0</v>
      </c>
      <c r="AR3956" s="10" t="str">
        <f>IF(AND(I3956="TP",S3956&lt;=300),VLOOKUP(AF3956,TPCalibEq300!$AZ$2:$BB$55,3,),IF(AND(I3956="TDP",S3956&lt;=300),VLOOKUP(AF3956,TPCalibEq300!$AZ$2:$BB$55,3,)))</f>
        <v>y=-5.1889x2+102.33x-44.163</v>
      </c>
      <c r="AS3956" s="10" t="str">
        <f>IF(AND(I3956="TP",S3956&lt;=500),VLOOKUP(AF3956,TPCalibEq500!$AZ$2:$BB$56,3,),IF(AND(I3956="TDP",S3956&lt;=500),VLOOKUP(AF3956,TPCalibEq500!$AZ$2:$BB$56,3,)))</f>
        <v>y=-1.8824x2+87.341x-33.178</v>
      </c>
      <c r="AT3956" s="10" t="b">
        <f>IF(AND(I3956="TN",S3956&lt;=2800),VLOOKUP(AF3956,TNCalibEq2500!$AZ$2:$BB$56,3,),IF(AND(I3956="TDN",S3956&lt;=2800),VLOOKUP(AF3956,TNCalibEq2500!$AZ$2:$BB$56,3,)))</f>
        <v>0</v>
      </c>
      <c r="AU3956" s="10" t="str">
        <f>IF(I3956="TP",VLOOKUP(AF3956,TPCalibEqFull!$AZ$2:$BB$56,3),IF(I3956="TDP",VLOOKUP(AF3956,TPCalibEqFull!$AZ$2:$BB$56,3),IF(I3956="TDN",VLOOKUP(AF3956,TNCalibEqFull!$AZ$1:$BB$56,3),IF(I3956="TN",VLOOKUP(AF3956,TNCalibEqFull!$AZ$1:$BB$56,3),FALSE))))</f>
        <v>y=-0.0059x2+68.478x-14.154</v>
      </c>
      <c r="AV3956" s="10" t="str">
        <f t="shared" si="449"/>
        <v>0221 10:21:00-BUO-0-260-1-SW-UKN</v>
      </c>
    </row>
    <row r="3957" spans="1:48" s="10" customFormat="1" x14ac:dyDescent="0.55000000000000004">
      <c r="A3957" s="32">
        <v>44978</v>
      </c>
      <c r="B3957" s="33">
        <v>0.43472222222222223</v>
      </c>
      <c r="C3957" s="10" t="s">
        <v>611</v>
      </c>
      <c r="D3957" s="10">
        <v>5</v>
      </c>
      <c r="E3957" s="10">
        <v>260</v>
      </c>
      <c r="F3957" s="10">
        <v>1</v>
      </c>
      <c r="G3957" s="10" t="s">
        <v>231</v>
      </c>
      <c r="H3957" s="10" t="s">
        <v>322</v>
      </c>
      <c r="I3957" s="10" t="s">
        <v>83</v>
      </c>
      <c r="J3957" s="10">
        <v>37</v>
      </c>
      <c r="K3957" s="12">
        <v>44980</v>
      </c>
      <c r="L3957" s="33">
        <v>0.47472222222222221</v>
      </c>
      <c r="M3957" s="10">
        <v>1</v>
      </c>
      <c r="N3957" s="10" t="s">
        <v>84</v>
      </c>
      <c r="O3957" s="10">
        <v>2.99</v>
      </c>
      <c r="P3957" s="10">
        <v>0.21299999999999999</v>
      </c>
      <c r="Q3957" s="10">
        <v>190</v>
      </c>
      <c r="R3957" s="10" t="s">
        <v>85</v>
      </c>
      <c r="S3957" s="34">
        <f t="shared" si="446"/>
        <v>215.41441510999999</v>
      </c>
      <c r="T3957" s="10" t="s">
        <v>1299</v>
      </c>
      <c r="U3957" s="34" t="str">
        <f t="shared" si="447"/>
        <v/>
      </c>
      <c r="V3957" s="31" t="str">
        <f>IF(H3957="CHK",VLOOKUP(I3957,QCCHK,3,),IF(H3957="GUP",VLOOKUP(E3957,QCGUP,2,),IF(AND(H3957="ATP",OR(I3957="TN",I3957="TDN",I3957="TNO2-3",I3957="NO2-3")),VLOOKUP(E3957,QCREC_N,2,),IF(AND(H3957="NIC",OR(I3957="TN",I3957="TDN",I3957="TNO2-3",I3957="NO2-3")),VLOOKUP(E3957,QCNIC_N,2,),IF(AND(H3957="UREA",OR(I3957="TN",I3957="TDN",I3957="TNO2-3",I3957="NO2-3")),VLOOKUP(E3957,QCUREA_N,2,),IF(H3957="PER",VLOOKUP(I3957,QCPER,MATCH(E3957,QCACTUAL!$J$25:$AA$25,0),),IF(H3957="SPK",VLOOKUP(I3957,QCSPK,3,),IF(AND(H3957="ATP",OR(I3957="TP",I3957="TDP")),VLOOKUP(E3957,QCATP_P,2,),""))))))))</f>
        <v/>
      </c>
      <c r="W3957" s="31" t="str">
        <f t="shared" si="448"/>
        <v>TRUE</v>
      </c>
      <c r="X3957" s="31" t="str">
        <f t="shared" si="445"/>
        <v/>
      </c>
      <c r="Y3957" s="10" t="s">
        <v>1285</v>
      </c>
      <c r="AF3957" s="12">
        <v>44980</v>
      </c>
      <c r="AH3957" s="10">
        <f>-5.1889*2.99^2+102.33*2.99-44.163</f>
        <v>215.41441510999999</v>
      </c>
      <c r="AI3957" s="10">
        <f>-1.8824*2.99^2+87.341*2.99-33.178</f>
        <v>211.14274576</v>
      </c>
      <c r="AK3957" s="10">
        <f>-0.0059*2.99^2+68.478*2.99-14.154</f>
        <v>190.54247341000001</v>
      </c>
      <c r="AL3957" s="10" t="str">
        <f t="shared" si="450"/>
        <v>FALSE</v>
      </c>
      <c r="AM3957" s="10" t="str">
        <f t="shared" si="450"/>
        <v>y=-5.1889*2.99^2+102.33*2.99-44.163</v>
      </c>
      <c r="AN3957" s="10" t="str">
        <f t="shared" si="450"/>
        <v>y=-1.8824*2.99^2+87.341*2.99-33.178</v>
      </c>
      <c r="AO3957" s="10" t="str">
        <f t="shared" si="451"/>
        <v>FALSE</v>
      </c>
      <c r="AP3957" s="10" t="str">
        <f t="shared" si="451"/>
        <v>y=-0.0059*2.99^2+68.478*2.99-14.154</v>
      </c>
      <c r="AQ3957" s="10" t="b">
        <f>IF(AND(I3957="TP",S3957&lt;=150),VLOOKUP(AF3957,TPCalibEq150!$AZ$2:$BB$55,3,),IF(AND(I3957="TDP",S3957&lt;=150),VLOOKUP(AF3957,TPCalibEq150!$AZ$2:$BB$55,3,)))</f>
        <v>0</v>
      </c>
      <c r="AR3957" s="10" t="str">
        <f>IF(AND(I3957="TP",S3957&lt;=300),VLOOKUP(AF3957,TPCalibEq300!$AZ$2:$BB$55,3,),IF(AND(I3957="TDP",S3957&lt;=300),VLOOKUP(AF3957,TPCalibEq300!$AZ$2:$BB$55,3,)))</f>
        <v>y=-5.1889x2+102.33x-44.163</v>
      </c>
      <c r="AS3957" s="10" t="str">
        <f>IF(AND(I3957="TP",S3957&lt;=500),VLOOKUP(AF3957,TPCalibEq500!$AZ$2:$BB$56,3,),IF(AND(I3957="TDP",S3957&lt;=500),VLOOKUP(AF3957,TPCalibEq500!$AZ$2:$BB$56,3,)))</f>
        <v>y=-1.8824x2+87.341x-33.178</v>
      </c>
      <c r="AT3957" s="10" t="b">
        <f>IF(AND(I3957="TN",S3957&lt;=2800),VLOOKUP(AF3957,TNCalibEq2500!$AZ$2:$BB$56,3,),IF(AND(I3957="TDN",S3957&lt;=2800),VLOOKUP(AF3957,TNCalibEq2500!$AZ$2:$BB$56,3,)))</f>
        <v>0</v>
      </c>
      <c r="AU3957" s="10" t="str">
        <f>IF(I3957="TP",VLOOKUP(AF3957,TPCalibEqFull!$AZ$2:$BB$56,3),IF(I3957="TDP",VLOOKUP(AF3957,TPCalibEqFull!$AZ$2:$BB$56,3),IF(I3957="TDN",VLOOKUP(AF3957,TNCalibEqFull!$AZ$1:$BB$56,3),IF(I3957="TN",VLOOKUP(AF3957,TNCalibEqFull!$AZ$1:$BB$56,3),FALSE))))</f>
        <v>y=-0.0059x2+68.478x-14.154</v>
      </c>
      <c r="AV3957" s="10" t="str">
        <f t="shared" si="449"/>
        <v>0221 10:26:00-BUO-5-260-1-SW-UKN</v>
      </c>
    </row>
    <row r="3958" spans="1:48" s="10" customFormat="1" x14ac:dyDescent="0.55000000000000004">
      <c r="A3958" s="32">
        <v>44978</v>
      </c>
      <c r="B3958" s="33">
        <v>0.4368055555555555</v>
      </c>
      <c r="C3958" s="10" t="s">
        <v>611</v>
      </c>
      <c r="D3958" s="10">
        <v>10</v>
      </c>
      <c r="E3958" s="10">
        <v>230</v>
      </c>
      <c r="F3958" s="10">
        <v>1</v>
      </c>
      <c r="G3958" s="10" t="s">
        <v>231</v>
      </c>
      <c r="H3958" s="10" t="s">
        <v>322</v>
      </c>
      <c r="I3958" s="10" t="s">
        <v>83</v>
      </c>
      <c r="J3958" s="10">
        <v>38</v>
      </c>
      <c r="K3958" s="12">
        <v>44980</v>
      </c>
      <c r="L3958" s="33">
        <v>0.47541666666666665</v>
      </c>
      <c r="M3958" s="10">
        <v>1</v>
      </c>
      <c r="N3958" s="10" t="s">
        <v>84</v>
      </c>
      <c r="O3958" s="10">
        <v>3.05</v>
      </c>
      <c r="P3958" s="10">
        <v>0.22</v>
      </c>
      <c r="Q3958" s="10">
        <v>194</v>
      </c>
      <c r="R3958" s="10" t="s">
        <v>85</v>
      </c>
      <c r="S3958" s="34">
        <f t="shared" si="446"/>
        <v>219.67375774999999</v>
      </c>
      <c r="T3958" s="10" t="s">
        <v>1299</v>
      </c>
      <c r="U3958" s="34" t="str">
        <f t="shared" si="447"/>
        <v/>
      </c>
      <c r="V3958" s="31" t="str">
        <f>IF(H3958="CHK",VLOOKUP(I3958,QCCHK,3,),IF(H3958="GUP",VLOOKUP(E3958,QCGUP,2,),IF(AND(H3958="ATP",OR(I3958="TN",I3958="TDN",I3958="TNO2-3",I3958="NO2-3")),VLOOKUP(E3958,QCREC_N,2,),IF(AND(H3958="NIC",OR(I3958="TN",I3958="TDN",I3958="TNO2-3",I3958="NO2-3")),VLOOKUP(E3958,QCNIC_N,2,),IF(AND(H3958="UREA",OR(I3958="TN",I3958="TDN",I3958="TNO2-3",I3958="NO2-3")),VLOOKUP(E3958,QCUREA_N,2,),IF(H3958="PER",VLOOKUP(I3958,QCPER,MATCH(E3958,QCACTUAL!$J$25:$AA$25,0),),IF(H3958="SPK",VLOOKUP(I3958,QCSPK,3,),IF(AND(H3958="ATP",OR(I3958="TP",I3958="TDP")),VLOOKUP(E3958,QCATP_P,2,),""))))))))</f>
        <v/>
      </c>
      <c r="W3958" s="31" t="str">
        <f t="shared" si="448"/>
        <v>TRUE</v>
      </c>
      <c r="X3958" s="31" t="str">
        <f t="shared" si="445"/>
        <v/>
      </c>
      <c r="Y3958" s="10" t="s">
        <v>1285</v>
      </c>
      <c r="AF3958" s="12">
        <v>44980</v>
      </c>
      <c r="AH3958" s="10">
        <f>-5.1889*3.05^2+102.33*3.05-44.163</f>
        <v>219.67375774999999</v>
      </c>
      <c r="AI3958" s="10">
        <f>-1.8824*3.05^2+87.341*3.05-33.178</f>
        <v>215.70102399999999</v>
      </c>
      <c r="AK3958" s="10">
        <f>-0.0059*3.05^2+68.478*3.05-14.154</f>
        <v>194.64901524999996</v>
      </c>
      <c r="AL3958" s="10" t="str">
        <f t="shared" si="450"/>
        <v>FALSE</v>
      </c>
      <c r="AM3958" s="10" t="str">
        <f t="shared" si="450"/>
        <v>y=-5.1889*3.05^2+102.33*3.05-44.163</v>
      </c>
      <c r="AN3958" s="10" t="str">
        <f t="shared" si="450"/>
        <v>y=-1.8824*3.05^2+87.341*3.05-33.178</v>
      </c>
      <c r="AO3958" s="10" t="str">
        <f t="shared" si="451"/>
        <v>FALSE</v>
      </c>
      <c r="AP3958" s="10" t="str">
        <f t="shared" si="451"/>
        <v>y=-0.0059*3.05^2+68.478*3.05-14.154</v>
      </c>
      <c r="AQ3958" s="10" t="b">
        <f>IF(AND(I3958="TP",S3958&lt;=150),VLOOKUP(AF3958,TPCalibEq150!$AZ$2:$BB$55,3,),IF(AND(I3958="TDP",S3958&lt;=150),VLOOKUP(AF3958,TPCalibEq150!$AZ$2:$BB$55,3,)))</f>
        <v>0</v>
      </c>
      <c r="AR3958" s="10" t="str">
        <f>IF(AND(I3958="TP",S3958&lt;=300),VLOOKUP(AF3958,TPCalibEq300!$AZ$2:$BB$55,3,),IF(AND(I3958="TDP",S3958&lt;=300),VLOOKUP(AF3958,TPCalibEq300!$AZ$2:$BB$55,3,)))</f>
        <v>y=-5.1889x2+102.33x-44.163</v>
      </c>
      <c r="AS3958" s="10" t="str">
        <f>IF(AND(I3958="TP",S3958&lt;=500),VLOOKUP(AF3958,TPCalibEq500!$AZ$2:$BB$56,3,),IF(AND(I3958="TDP",S3958&lt;=500),VLOOKUP(AF3958,TPCalibEq500!$AZ$2:$BB$56,3,)))</f>
        <v>y=-1.8824x2+87.341x-33.178</v>
      </c>
      <c r="AT3958" s="10" t="b">
        <f>IF(AND(I3958="TN",S3958&lt;=2800),VLOOKUP(AF3958,TNCalibEq2500!$AZ$2:$BB$56,3,),IF(AND(I3958="TDN",S3958&lt;=2800),VLOOKUP(AF3958,TNCalibEq2500!$AZ$2:$BB$56,3,)))</f>
        <v>0</v>
      </c>
      <c r="AU3958" s="10" t="str">
        <f>IF(I3958="TP",VLOOKUP(AF3958,TPCalibEqFull!$AZ$2:$BB$56,3),IF(I3958="TDP",VLOOKUP(AF3958,TPCalibEqFull!$AZ$2:$BB$56,3),IF(I3958="TDN",VLOOKUP(AF3958,TNCalibEqFull!$AZ$1:$BB$56,3),IF(I3958="TN",VLOOKUP(AF3958,TNCalibEqFull!$AZ$1:$BB$56,3),FALSE))))</f>
        <v>y=-0.0059x2+68.478x-14.154</v>
      </c>
      <c r="AV3958" s="10" t="str">
        <f t="shared" si="449"/>
        <v>0221 10:29:00-BUO-10-230-1-SW-UKN</v>
      </c>
    </row>
    <row r="3959" spans="1:48" s="10" customFormat="1" x14ac:dyDescent="0.55000000000000004">
      <c r="A3959" s="32">
        <v>44978</v>
      </c>
      <c r="B3959" s="33">
        <v>0.43958333333333338</v>
      </c>
      <c r="C3959" s="10" t="s">
        <v>611</v>
      </c>
      <c r="D3959" s="10">
        <v>20</v>
      </c>
      <c r="E3959" s="10" t="s">
        <v>190</v>
      </c>
      <c r="F3959" s="10">
        <v>1</v>
      </c>
      <c r="G3959" s="10" t="s">
        <v>231</v>
      </c>
      <c r="H3959" s="10" t="s">
        <v>322</v>
      </c>
      <c r="I3959" s="10" t="s">
        <v>83</v>
      </c>
      <c r="J3959" s="10">
        <v>39</v>
      </c>
      <c r="K3959" s="12">
        <v>44980</v>
      </c>
      <c r="L3959" s="33">
        <v>0.47609953703703706</v>
      </c>
      <c r="M3959" s="10">
        <v>1</v>
      </c>
      <c r="N3959" s="10" t="s">
        <v>84</v>
      </c>
      <c r="O3959" s="10">
        <v>3.32</v>
      </c>
      <c r="P3959" s="10">
        <v>0.23899999999999999</v>
      </c>
      <c r="Q3959" s="10">
        <v>212</v>
      </c>
      <c r="R3959" s="10" t="s">
        <v>85</v>
      </c>
      <c r="S3959" s="34">
        <f t="shared" si="446"/>
        <v>238.37846863999994</v>
      </c>
      <c r="T3959" s="10" t="s">
        <v>1299</v>
      </c>
      <c r="U3959" s="34" t="str">
        <f t="shared" si="447"/>
        <v/>
      </c>
      <c r="V3959" s="31" t="str">
        <f>IF(H3959="CHK",VLOOKUP(I3959,QCCHK,3,),IF(H3959="GUP",VLOOKUP(E3959,QCGUP,2,),IF(AND(H3959="ATP",OR(I3959="TN",I3959="TDN",I3959="TNO2-3",I3959="NO2-3")),VLOOKUP(E3959,QCREC_N,2,),IF(AND(H3959="NIC",OR(I3959="TN",I3959="TDN",I3959="TNO2-3",I3959="NO2-3")),VLOOKUP(E3959,QCNIC_N,2,),IF(AND(H3959="UREA",OR(I3959="TN",I3959="TDN",I3959="TNO2-3",I3959="NO2-3")),VLOOKUP(E3959,QCUREA_N,2,),IF(H3959="PER",VLOOKUP(I3959,QCPER,MATCH(E3959,QCACTUAL!$J$25:$AA$25,0),),IF(H3959="SPK",VLOOKUP(I3959,QCSPK,3,),IF(AND(H3959="ATP",OR(I3959="TP",I3959="TDP")),VLOOKUP(E3959,QCATP_P,2,),""))))))))</f>
        <v/>
      </c>
      <c r="W3959" s="31" t="str">
        <f t="shared" si="448"/>
        <v>TRUE</v>
      </c>
      <c r="X3959" s="31" t="str">
        <f t="shared" si="445"/>
        <v/>
      </c>
      <c r="Y3959" s="10" t="s">
        <v>1285</v>
      </c>
      <c r="AF3959" s="12">
        <v>44980</v>
      </c>
      <c r="AH3959" s="10">
        <f>-5.1889*3.32^2+102.33*3.32-44.163</f>
        <v>238.37846863999994</v>
      </c>
      <c r="AI3959" s="10">
        <f>-1.8824*3.32^2+87.341*3.32-33.178</f>
        <v>236.04555423999994</v>
      </c>
      <c r="AK3959" s="10">
        <f>-0.0059*3.32^2+68.478*3.32-14.154</f>
        <v>213.12792783999998</v>
      </c>
      <c r="AL3959" s="10" t="str">
        <f t="shared" si="450"/>
        <v>FALSE</v>
      </c>
      <c r="AM3959" s="10" t="str">
        <f t="shared" si="450"/>
        <v>y=-5.1889*3.32^2+102.33*3.32-44.163</v>
      </c>
      <c r="AN3959" s="10" t="str">
        <f t="shared" si="450"/>
        <v>y=-1.8824*3.32^2+87.341*3.32-33.178</v>
      </c>
      <c r="AO3959" s="10" t="str">
        <f t="shared" si="451"/>
        <v>FALSE</v>
      </c>
      <c r="AP3959" s="10" t="str">
        <f t="shared" si="451"/>
        <v>y=-0.0059*3.32^2+68.478*3.32-14.154</v>
      </c>
      <c r="AQ3959" s="10" t="b">
        <f>IF(AND(I3959="TP",S3959&lt;=150),VLOOKUP(AF3959,TPCalibEq150!$AZ$2:$BB$55,3,),IF(AND(I3959="TDP",S3959&lt;=150),VLOOKUP(AF3959,TPCalibEq150!$AZ$2:$BB$55,3,)))</f>
        <v>0</v>
      </c>
      <c r="AR3959" s="10" t="str">
        <f>IF(AND(I3959="TP",S3959&lt;=300),VLOOKUP(AF3959,TPCalibEq300!$AZ$2:$BB$55,3,),IF(AND(I3959="TDP",S3959&lt;=300),VLOOKUP(AF3959,TPCalibEq300!$AZ$2:$BB$55,3,)))</f>
        <v>y=-5.1889x2+102.33x-44.163</v>
      </c>
      <c r="AS3959" s="10" t="str">
        <f>IF(AND(I3959="TP",S3959&lt;=500),VLOOKUP(AF3959,TPCalibEq500!$AZ$2:$BB$56,3,),IF(AND(I3959="TDP",S3959&lt;=500),VLOOKUP(AF3959,TPCalibEq500!$AZ$2:$BB$56,3,)))</f>
        <v>y=-1.8824x2+87.341x-33.178</v>
      </c>
      <c r="AT3959" s="10" t="b">
        <f>IF(AND(I3959="TN",S3959&lt;=2800),VLOOKUP(AF3959,TNCalibEq2500!$AZ$2:$BB$56,3,),IF(AND(I3959="TDN",S3959&lt;=2800),VLOOKUP(AF3959,TNCalibEq2500!$AZ$2:$BB$56,3,)))</f>
        <v>0</v>
      </c>
      <c r="AU3959" s="10" t="str">
        <f>IF(I3959="TP",VLOOKUP(AF3959,TPCalibEqFull!$AZ$2:$BB$56,3),IF(I3959="TDP",VLOOKUP(AF3959,TPCalibEqFull!$AZ$2:$BB$56,3),IF(I3959="TDN",VLOOKUP(AF3959,TNCalibEqFull!$AZ$1:$BB$56,3),IF(I3959="TN",VLOOKUP(AF3959,TNCalibEqFull!$AZ$1:$BB$56,3),FALSE))))</f>
        <v>y=-0.0059x2+68.478x-14.154</v>
      </c>
      <c r="AV3959" s="10" t="str">
        <f t="shared" si="449"/>
        <v>0221 10:33:00-BUO-20-C-1-SW-UKN</v>
      </c>
    </row>
    <row r="3960" spans="1:48" s="10" customFormat="1" x14ac:dyDescent="0.55000000000000004">
      <c r="A3960" s="32">
        <v>44978</v>
      </c>
      <c r="B3960" s="33">
        <v>0.44375000000000003</v>
      </c>
      <c r="C3960" s="10" t="s">
        <v>611</v>
      </c>
      <c r="D3960" s="10">
        <v>48</v>
      </c>
      <c r="E3960" s="10" t="s">
        <v>190</v>
      </c>
      <c r="F3960" s="10">
        <v>1</v>
      </c>
      <c r="G3960" s="10" t="s">
        <v>231</v>
      </c>
      <c r="H3960" s="10" t="s">
        <v>322</v>
      </c>
      <c r="I3960" s="10" t="s">
        <v>83</v>
      </c>
      <c r="J3960" s="10">
        <v>40</v>
      </c>
      <c r="K3960" s="12">
        <v>44980</v>
      </c>
      <c r="L3960" s="33">
        <v>0.4767939814814815</v>
      </c>
      <c r="M3960" s="10">
        <v>1</v>
      </c>
      <c r="N3960" s="10" t="s">
        <v>84</v>
      </c>
      <c r="O3960" s="10">
        <v>2.29</v>
      </c>
      <c r="P3960" s="10">
        <v>0.16400000000000001</v>
      </c>
      <c r="Q3960" s="10">
        <v>143</v>
      </c>
      <c r="R3960" s="10" t="s">
        <v>85</v>
      </c>
      <c r="S3960" s="34">
        <f t="shared" si="446"/>
        <v>162.96158951000001</v>
      </c>
      <c r="T3960" s="10" t="s">
        <v>1299</v>
      </c>
      <c r="U3960" s="34" t="str">
        <f t="shared" si="447"/>
        <v/>
      </c>
      <c r="V3960" s="31" t="str">
        <f>IF(H3960="CHK",VLOOKUP(I3960,QCCHK,3,),IF(H3960="GUP",VLOOKUP(E3960,QCGUP,2,),IF(AND(H3960="ATP",OR(I3960="TN",I3960="TDN",I3960="TNO2-3",I3960="NO2-3")),VLOOKUP(E3960,QCREC_N,2,),IF(AND(H3960="NIC",OR(I3960="TN",I3960="TDN",I3960="TNO2-3",I3960="NO2-3")),VLOOKUP(E3960,QCNIC_N,2,),IF(AND(H3960="UREA",OR(I3960="TN",I3960="TDN",I3960="TNO2-3",I3960="NO2-3")),VLOOKUP(E3960,QCUREA_N,2,),IF(H3960="PER",VLOOKUP(I3960,QCPER,MATCH(E3960,QCACTUAL!$J$25:$AA$25,0),),IF(H3960="SPK",VLOOKUP(I3960,QCSPK,3,),IF(AND(H3960="ATP",OR(I3960="TP",I3960="TDP")),VLOOKUP(E3960,QCATP_P,2,),""))))))))</f>
        <v/>
      </c>
      <c r="W3960" s="31" t="str">
        <f t="shared" si="448"/>
        <v>TRUE</v>
      </c>
      <c r="X3960" s="31" t="str">
        <f t="shared" si="445"/>
        <v/>
      </c>
      <c r="Y3960" s="10" t="s">
        <v>1285</v>
      </c>
      <c r="AF3960" s="12">
        <v>44980</v>
      </c>
      <c r="AH3960" s="10">
        <f>-5.1889*2.29^2+102.33*2.29-44.163</f>
        <v>162.96158951000001</v>
      </c>
      <c r="AI3960" s="10">
        <f>-1.8824*2.29^2+87.341*2.29-33.178</f>
        <v>156.96139615999999</v>
      </c>
      <c r="AK3960" s="10">
        <f>-0.0059*2.29^2+68.478*2.29-14.154</f>
        <v>142.62967981</v>
      </c>
      <c r="AL3960" s="10" t="str">
        <f t="shared" si="450"/>
        <v>FALSE</v>
      </c>
      <c r="AM3960" s="10" t="str">
        <f t="shared" si="450"/>
        <v>y=-5.1889*2.29^2+102.33*2.29-44.163</v>
      </c>
      <c r="AN3960" s="10" t="str">
        <f t="shared" si="450"/>
        <v>y=-1.8824*2.29^2+87.341*2.29-33.178</v>
      </c>
      <c r="AO3960" s="10" t="str">
        <f t="shared" si="451"/>
        <v>FALSE</v>
      </c>
      <c r="AP3960" s="10" t="str">
        <f t="shared" si="451"/>
        <v>y=-0.0059*2.29^2+68.478*2.29-14.154</v>
      </c>
      <c r="AQ3960" s="10" t="b">
        <f>IF(AND(I3960="TP",S3960&lt;=150),VLOOKUP(AF3960,TPCalibEq150!$AZ$2:$BB$55,3,),IF(AND(I3960="TDP",S3960&lt;=150),VLOOKUP(AF3960,TPCalibEq150!$AZ$2:$BB$55,3,)))</f>
        <v>0</v>
      </c>
      <c r="AR3960" s="10" t="str">
        <f>IF(AND(I3960="TP",S3960&lt;=300),VLOOKUP(AF3960,TPCalibEq300!$AZ$2:$BB$55,3,),IF(AND(I3960="TDP",S3960&lt;=300),VLOOKUP(AF3960,TPCalibEq300!$AZ$2:$BB$55,3,)))</f>
        <v>y=-5.1889x2+102.33x-44.163</v>
      </c>
      <c r="AS3960" s="10" t="str">
        <f>IF(AND(I3960="TP",S3960&lt;=500),VLOOKUP(AF3960,TPCalibEq500!$AZ$2:$BB$56,3,),IF(AND(I3960="TDP",S3960&lt;=500),VLOOKUP(AF3960,TPCalibEq500!$AZ$2:$BB$56,3,)))</f>
        <v>y=-1.8824x2+87.341x-33.178</v>
      </c>
      <c r="AT3960" s="10" t="b">
        <f>IF(AND(I3960="TN",S3960&lt;=2800),VLOOKUP(AF3960,TNCalibEq2500!$AZ$2:$BB$56,3,),IF(AND(I3960="TDN",S3960&lt;=2800),VLOOKUP(AF3960,TNCalibEq2500!$AZ$2:$BB$56,3,)))</f>
        <v>0</v>
      </c>
      <c r="AU3960" s="10" t="str">
        <f>IF(I3960="TP",VLOOKUP(AF3960,TPCalibEqFull!$AZ$2:$BB$56,3),IF(I3960="TDP",VLOOKUP(AF3960,TPCalibEqFull!$AZ$2:$BB$56,3),IF(I3960="TDN",VLOOKUP(AF3960,TNCalibEqFull!$AZ$1:$BB$56,3),IF(I3960="TN",VLOOKUP(AF3960,TNCalibEqFull!$AZ$1:$BB$56,3),FALSE))))</f>
        <v>y=-0.0059x2+68.478x-14.154</v>
      </c>
      <c r="AV3960" s="10" t="str">
        <f t="shared" si="449"/>
        <v>0221 10:39:00-BUO-48-C-1-SW-UKN</v>
      </c>
    </row>
    <row r="3961" spans="1:48" s="10" customFormat="1" x14ac:dyDescent="0.55000000000000004">
      <c r="A3961" s="32">
        <v>44978</v>
      </c>
      <c r="B3961" s="33">
        <v>0.44375000000000003</v>
      </c>
      <c r="C3961" s="10" t="s">
        <v>611</v>
      </c>
      <c r="D3961" s="10">
        <v>48</v>
      </c>
      <c r="E3961" s="10" t="s">
        <v>190</v>
      </c>
      <c r="F3961" s="10">
        <v>1</v>
      </c>
      <c r="G3961" s="10" t="s">
        <v>231</v>
      </c>
      <c r="H3961" s="10" t="s">
        <v>233</v>
      </c>
      <c r="I3961" s="10" t="s">
        <v>83</v>
      </c>
      <c r="J3961" s="10">
        <v>40</v>
      </c>
      <c r="K3961" s="12">
        <v>44980</v>
      </c>
      <c r="L3961" s="33">
        <v>0.4774768518518519</v>
      </c>
      <c r="M3961" s="10">
        <v>1</v>
      </c>
      <c r="N3961" s="10" t="s">
        <v>84</v>
      </c>
      <c r="O3961" s="10">
        <v>2.2799999999999998</v>
      </c>
      <c r="P3961" s="10">
        <v>0.16300000000000001</v>
      </c>
      <c r="Q3961" s="10">
        <v>142</v>
      </c>
      <c r="R3961" s="10" t="s">
        <v>85</v>
      </c>
      <c r="S3961" s="34">
        <f t="shared" si="446"/>
        <v>162.17542223999999</v>
      </c>
      <c r="T3961" s="10" t="s">
        <v>1299</v>
      </c>
      <c r="U3961" s="34">
        <f t="shared" si="447"/>
        <v>0.48359137322976353</v>
      </c>
      <c r="V3961" s="31" t="str">
        <f>IF(H3961="CHK",VLOOKUP(I3961,QCCHK,3,),IF(H3961="GUP",VLOOKUP(E3961,QCGUP,2,),IF(AND(H3961="ATP",OR(I3961="TN",I3961="TDN",I3961="TNO2-3",I3961="NO2-3")),VLOOKUP(E3961,QCREC_N,2,),IF(AND(H3961="NIC",OR(I3961="TN",I3961="TDN",I3961="TNO2-3",I3961="NO2-3")),VLOOKUP(E3961,QCNIC_N,2,),IF(AND(H3961="UREA",OR(I3961="TN",I3961="TDN",I3961="TNO2-3",I3961="NO2-3")),VLOOKUP(E3961,QCUREA_N,2,),IF(H3961="PER",VLOOKUP(I3961,QCPER,MATCH(E3961,QCACTUAL!$J$25:$AA$25,0),),IF(H3961="SPK",VLOOKUP(I3961,QCSPK,3,),IF(AND(H3961="ATP",OR(I3961="TP",I3961="TDP")),VLOOKUP(E3961,QCATP_P,2,),""))))))))</f>
        <v/>
      </c>
      <c r="W3961" s="31" t="str">
        <f t="shared" si="448"/>
        <v>TRUE</v>
      </c>
      <c r="X3961" s="31" t="str">
        <f t="shared" si="445"/>
        <v>((ABS(rep1-rep2))/((rep1+rep2)/2)*100</v>
      </c>
      <c r="Y3961" s="10" t="s">
        <v>1285</v>
      </c>
      <c r="AF3961" s="12">
        <v>44980</v>
      </c>
      <c r="AH3961" s="10">
        <f>-5.1889*2.28^2+102.33*2.28-44.163</f>
        <v>162.17542223999999</v>
      </c>
      <c r="AI3961" s="10">
        <f>-1.8824*2.28^2+87.341*2.28-33.178</f>
        <v>156.17401183999999</v>
      </c>
      <c r="AK3961" s="10">
        <f>-0.0059*2.28^2+68.478*2.28-14.154</f>
        <v>141.94516943999997</v>
      </c>
      <c r="AL3961" s="10" t="str">
        <f t="shared" si="450"/>
        <v>FALSE</v>
      </c>
      <c r="AM3961" s="10" t="str">
        <f t="shared" si="450"/>
        <v>y=-5.1889*2.28^2+102.33*2.28-44.163</v>
      </c>
      <c r="AN3961" s="10" t="str">
        <f t="shared" si="450"/>
        <v>y=-1.8824*2.28^2+87.341*2.28-33.178</v>
      </c>
      <c r="AO3961" s="10" t="str">
        <f t="shared" si="451"/>
        <v>FALSE</v>
      </c>
      <c r="AP3961" s="10" t="str">
        <f t="shared" si="451"/>
        <v>y=-0.0059*2.28^2+68.478*2.28-14.154</v>
      </c>
      <c r="AQ3961" s="10" t="b">
        <f>IF(AND(I3961="TP",S3961&lt;=150),VLOOKUP(AF3961,TPCalibEq150!$AZ$2:$BB$55,3,),IF(AND(I3961="TDP",S3961&lt;=150),VLOOKUP(AF3961,TPCalibEq150!$AZ$2:$BB$55,3,)))</f>
        <v>0</v>
      </c>
      <c r="AR3961" s="10" t="str">
        <f>IF(AND(I3961="TP",S3961&lt;=300),VLOOKUP(AF3961,TPCalibEq300!$AZ$2:$BB$55,3,),IF(AND(I3961="TDP",S3961&lt;=300),VLOOKUP(AF3961,TPCalibEq300!$AZ$2:$BB$55,3,)))</f>
        <v>y=-5.1889x2+102.33x-44.163</v>
      </c>
      <c r="AS3961" s="10" t="str">
        <f>IF(AND(I3961="TP",S3961&lt;=500),VLOOKUP(AF3961,TPCalibEq500!$AZ$2:$BB$56,3,),IF(AND(I3961="TDP",S3961&lt;=500),VLOOKUP(AF3961,TPCalibEq500!$AZ$2:$BB$56,3,)))</f>
        <v>y=-1.8824x2+87.341x-33.178</v>
      </c>
      <c r="AT3961" s="10" t="b">
        <f>IF(AND(I3961="TN",S3961&lt;=2800),VLOOKUP(AF3961,TNCalibEq2500!$AZ$2:$BB$56,3,),IF(AND(I3961="TDN",S3961&lt;=2800),VLOOKUP(AF3961,TNCalibEq2500!$AZ$2:$BB$56,3,)))</f>
        <v>0</v>
      </c>
      <c r="AU3961" s="10" t="str">
        <f>IF(I3961="TP",VLOOKUP(AF3961,TPCalibEqFull!$AZ$2:$BB$56,3),IF(I3961="TDP",VLOOKUP(AF3961,TPCalibEqFull!$AZ$2:$BB$56,3),IF(I3961="TDN",VLOOKUP(AF3961,TNCalibEqFull!$AZ$1:$BB$56,3),IF(I3961="TN",VLOOKUP(AF3961,TNCalibEqFull!$AZ$1:$BB$56,3),FALSE))))</f>
        <v>y=-0.0059x2+68.478x-14.154</v>
      </c>
      <c r="AV3961" s="10" t="str">
        <f t="shared" si="449"/>
        <v>0221 10:39:00-BUO-48-C-1-SW-DUP</v>
      </c>
    </row>
    <row r="3962" spans="1:48" s="10" customFormat="1" x14ac:dyDescent="0.55000000000000004">
      <c r="A3962" s="32">
        <v>44978</v>
      </c>
      <c r="B3962" s="33">
        <v>0.44375000000000003</v>
      </c>
      <c r="C3962" s="10" t="s">
        <v>611</v>
      </c>
      <c r="D3962" s="10">
        <v>48</v>
      </c>
      <c r="E3962" s="10" t="s">
        <v>190</v>
      </c>
      <c r="F3962" s="10">
        <v>1</v>
      </c>
      <c r="G3962" s="10" t="s">
        <v>231</v>
      </c>
      <c r="H3962" s="10" t="s">
        <v>314</v>
      </c>
      <c r="I3962" s="10" t="s">
        <v>83</v>
      </c>
      <c r="J3962" s="10">
        <v>85</v>
      </c>
      <c r="K3962" s="12">
        <v>44980</v>
      </c>
      <c r="L3962" s="33">
        <v>0.47817129629629629</v>
      </c>
      <c r="M3962" s="10">
        <v>1</v>
      </c>
      <c r="N3962" s="10" t="s">
        <v>84</v>
      </c>
      <c r="O3962" s="10">
        <v>17.7</v>
      </c>
      <c r="P3962" s="10">
        <v>1.26</v>
      </c>
      <c r="Q3962" s="10">
        <v>1190</v>
      </c>
      <c r="R3962" s="10" t="s">
        <v>85</v>
      </c>
      <c r="S3962" s="34">
        <f t="shared" si="446"/>
        <v>1196.0581889999999</v>
      </c>
      <c r="T3962" s="10" t="s">
        <v>1299</v>
      </c>
      <c r="U3962" s="34">
        <f t="shared" si="447"/>
        <v>103.38827667599999</v>
      </c>
      <c r="V3962" s="31">
        <f>IF(H3962="CHK",VLOOKUP(I3962,QCCHK,3,),IF(H3962="GUP",VLOOKUP(E3962,QCGUP,2,),IF(AND(H3962="ATP",OR(I3962="TN",I3962="TDN",I3962="TNO2-3",I3962="NO2-3")),VLOOKUP(E3962,QCREC_N,2,),IF(AND(H3962="NIC",OR(I3962="TN",I3962="TDN",I3962="TNO2-3",I3962="NO2-3")),VLOOKUP(E3962,QCNIC_N,2,),IF(AND(H3962="UREA",OR(I3962="TN",I3962="TDN",I3962="TNO2-3",I3962="NO2-3")),VLOOKUP(E3962,QCUREA_N,2,),IF(H3962="PER",VLOOKUP(I3962,QCPER,MATCH(E3962,QCACTUAL!$J$25:$AA$25,0),),IF(H3962="SPK",VLOOKUP(I3962,QCSPK,3,),IF(AND(H3962="ATP",OR(I3962="TP",I3962="TDP")),VLOOKUP(E3962,QCATP_P,2,),""))))))))</f>
        <v>1000</v>
      </c>
      <c r="W3962" s="31" t="str">
        <f t="shared" si="448"/>
        <v>TRUE</v>
      </c>
      <c r="X3962" s="31" t="str">
        <f t="shared" si="445"/>
        <v>([spikedunkn]-[unkn])/[spike]*100</v>
      </c>
      <c r="Y3962" s="10" t="s">
        <v>1285</v>
      </c>
      <c r="AF3962" s="12">
        <v>44980</v>
      </c>
      <c r="AK3962" s="10">
        <f>-0.0059*17.7^2+68.478*17.7-14.154</f>
        <v>1196.0581889999999</v>
      </c>
      <c r="AL3962" s="10" t="str">
        <f t="shared" si="450"/>
        <v>FALSE</v>
      </c>
      <c r="AM3962" s="10" t="str">
        <f t="shared" si="450"/>
        <v>FALSE</v>
      </c>
      <c r="AN3962" s="10" t="str">
        <f t="shared" si="450"/>
        <v>FALSE</v>
      </c>
      <c r="AO3962" s="10" t="str">
        <f t="shared" si="451"/>
        <v>FALSE</v>
      </c>
      <c r="AP3962" s="10" t="str">
        <f t="shared" si="451"/>
        <v>y=-0.0059*17.7^2+68.478*17.7-14.154</v>
      </c>
      <c r="AQ3962" s="10" t="b">
        <f>IF(AND(I3962="TP",S3962&lt;=150),VLOOKUP(AF3962,TPCalibEq150!$AZ$2:$BB$55,3,),IF(AND(I3962="TDP",S3962&lt;=150),VLOOKUP(AF3962,TPCalibEq150!$AZ$2:$BB$55,3,)))</f>
        <v>0</v>
      </c>
      <c r="AR3962" s="10" t="b">
        <f>IF(AND(I3962="TP",S3962&lt;=300),VLOOKUP(AF3962,TPCalibEq300!$AZ$2:$BB$55,3,),IF(AND(I3962="TDP",S3962&lt;=300),VLOOKUP(AF3962,TPCalibEq300!$AZ$2:$BB$55,3,)))</f>
        <v>0</v>
      </c>
      <c r="AS3962" s="10" t="b">
        <f>IF(AND(I3962="TP",S3962&lt;=500),VLOOKUP(AF3962,TPCalibEq500!$AZ$2:$BB$56,3,),IF(AND(I3962="TDP",S3962&lt;=500),VLOOKUP(AF3962,TPCalibEq500!$AZ$2:$BB$56,3,)))</f>
        <v>0</v>
      </c>
      <c r="AT3962" s="10" t="b">
        <f>IF(AND(I3962="TN",S3962&lt;=2800),VLOOKUP(AF3962,TNCalibEq2500!$AZ$2:$BB$56,3,),IF(AND(I3962="TDN",S3962&lt;=2800),VLOOKUP(AF3962,TNCalibEq2500!$AZ$2:$BB$56,3,)))</f>
        <v>0</v>
      </c>
      <c r="AU3962" s="10" t="str">
        <f>IF(I3962="TP",VLOOKUP(AF3962,TPCalibEqFull!$AZ$2:$BB$56,3),IF(I3962="TDP",VLOOKUP(AF3962,TPCalibEqFull!$AZ$2:$BB$56,3),IF(I3962="TDN",VLOOKUP(AF3962,TNCalibEqFull!$AZ$1:$BB$56,3),IF(I3962="TN",VLOOKUP(AF3962,TNCalibEqFull!$AZ$1:$BB$56,3),FALSE))))</f>
        <v>y=-0.0059x2+68.478x-14.154</v>
      </c>
      <c r="AV3962" s="10" t="str">
        <f t="shared" si="449"/>
        <v>0221 10:39:00-BUO-48-C-1-SW-SPK</v>
      </c>
    </row>
    <row r="3963" spans="1:48" s="10" customFormat="1" x14ac:dyDescent="0.55000000000000004">
      <c r="A3963" s="32">
        <v>44979</v>
      </c>
      <c r="B3963" s="33">
        <v>0.375</v>
      </c>
      <c r="C3963" s="10" t="s">
        <v>70</v>
      </c>
      <c r="D3963" s="10" t="s">
        <v>71</v>
      </c>
      <c r="E3963" s="10" t="s">
        <v>901</v>
      </c>
      <c r="F3963" s="10">
        <v>1</v>
      </c>
      <c r="G3963" s="10" t="s">
        <v>73</v>
      </c>
      <c r="H3963" s="10" t="s">
        <v>207</v>
      </c>
      <c r="I3963" s="10" t="s">
        <v>83</v>
      </c>
      <c r="J3963" s="10">
        <v>201</v>
      </c>
      <c r="K3963" s="12">
        <v>44980</v>
      </c>
      <c r="L3963" s="33">
        <v>0.47887731481481483</v>
      </c>
      <c r="M3963" s="10">
        <v>1</v>
      </c>
      <c r="N3963" s="10" t="s">
        <v>84</v>
      </c>
      <c r="O3963" s="10">
        <v>7.82</v>
      </c>
      <c r="P3963" s="10">
        <v>0.56599999999999995</v>
      </c>
      <c r="Q3963" s="10">
        <v>518</v>
      </c>
      <c r="R3963" s="10" t="s">
        <v>85</v>
      </c>
      <c r="S3963" s="34">
        <f t="shared" si="446"/>
        <v>520.98316083999987</v>
      </c>
      <c r="T3963" s="10" t="s">
        <v>1299</v>
      </c>
      <c r="U3963" s="34">
        <f t="shared" si="447"/>
        <v>104.19663216799997</v>
      </c>
      <c r="V3963" s="31">
        <f>IF(H3963="CHK",VLOOKUP(I3963,QCCHK,3,),IF(H3963="GUP",VLOOKUP(E3963,QCGUP,2,),IF(AND(H3963="ATP",OR(I3963="TN",I3963="TDN",I3963="TNO2-3",I3963="NO2-3")),VLOOKUP(E3963,QCREC_N,2,),IF(AND(H3963="NIC",OR(I3963="TN",I3963="TDN",I3963="TNO2-3",I3963="NO2-3")),VLOOKUP(E3963,QCNIC_N,2,),IF(AND(H3963="UREA",OR(I3963="TN",I3963="TDN",I3963="TNO2-3",I3963="NO2-3")),VLOOKUP(E3963,QCUREA_N,2,),IF(H3963="PER",VLOOKUP(I3963,QCPER,MATCH(E3963,QCACTUAL!$J$25:$AA$25,0),),IF(H3963="SPK",VLOOKUP(I3963,QCSPK,3,),IF(AND(H3963="ATP",OR(I3963="TP",I3963="TDP")),VLOOKUP(E3963,QCATP_P,2,),""))))))))</f>
        <v>500</v>
      </c>
      <c r="W3963" s="31" t="str">
        <f t="shared" si="448"/>
        <v>TRUE</v>
      </c>
      <c r="X3963" s="31" t="str">
        <f t="shared" si="445"/>
        <v>[chk]/[actual]*100</v>
      </c>
      <c r="Y3963" s="10" t="s">
        <v>1285</v>
      </c>
      <c r="AF3963" s="12">
        <v>44980</v>
      </c>
      <c r="AK3963" s="10">
        <f>-0.0059*7.82^2+68.478*7.82-14.154</f>
        <v>520.98316083999987</v>
      </c>
      <c r="AL3963" s="10" t="str">
        <f t="shared" si="450"/>
        <v>FALSE</v>
      </c>
      <c r="AM3963" s="10" t="str">
        <f t="shared" si="450"/>
        <v>FALSE</v>
      </c>
      <c r="AN3963" s="10" t="str">
        <f t="shared" si="450"/>
        <v>FALSE</v>
      </c>
      <c r="AO3963" s="10" t="str">
        <f t="shared" si="451"/>
        <v>FALSE</v>
      </c>
      <c r="AP3963" s="10" t="str">
        <f t="shared" si="451"/>
        <v>y=-0.0059*7.82^2+68.478*7.82-14.154</v>
      </c>
      <c r="AQ3963" s="10" t="b">
        <f>IF(AND(I3963="TP",S3963&lt;=150),VLOOKUP(AF3963,TPCalibEq150!$AZ$2:$BB$55,3,),IF(AND(I3963="TDP",S3963&lt;=150),VLOOKUP(AF3963,TPCalibEq150!$AZ$2:$BB$55,3,)))</f>
        <v>0</v>
      </c>
      <c r="AR3963" s="10" t="b">
        <f>IF(AND(I3963="TP",S3963&lt;=300),VLOOKUP(AF3963,TPCalibEq300!$AZ$2:$BB$55,3,),IF(AND(I3963="TDP",S3963&lt;=300),VLOOKUP(AF3963,TPCalibEq300!$AZ$2:$BB$55,3,)))</f>
        <v>0</v>
      </c>
      <c r="AS3963" s="10" t="b">
        <f>IF(AND(I3963="TP",S3963&lt;=500),VLOOKUP(AF3963,TPCalibEq500!$AZ$2:$BB$56,3,),IF(AND(I3963="TDP",S3963&lt;=500),VLOOKUP(AF3963,TPCalibEq500!$AZ$2:$BB$56,3,)))</f>
        <v>0</v>
      </c>
      <c r="AT3963" s="10" t="b">
        <f>IF(AND(I3963="TN",S3963&lt;=2800),VLOOKUP(AF3963,TNCalibEq2500!$AZ$2:$BB$56,3,),IF(AND(I3963="TDN",S3963&lt;=2800),VLOOKUP(AF3963,TNCalibEq2500!$AZ$2:$BB$56,3,)))</f>
        <v>0</v>
      </c>
      <c r="AU3963" s="10" t="str">
        <f>IF(I3963="TP",VLOOKUP(AF3963,TPCalibEqFull!$AZ$2:$BB$56,3),IF(I3963="TDP",VLOOKUP(AF3963,TPCalibEqFull!$AZ$2:$BB$56,3),IF(I3963="TDN",VLOOKUP(AF3963,TNCalibEqFull!$AZ$1:$BB$56,3),IF(I3963="TN",VLOOKUP(AF3963,TNCalibEqFull!$AZ$1:$BB$56,3),FALSE))))</f>
        <v>y=-0.0059x2+68.478x-14.154</v>
      </c>
      <c r="AV3963" s="10" t="str">
        <f t="shared" si="449"/>
        <v>0222 09:00:00-QAC-STD-D-1-DI-CHK</v>
      </c>
    </row>
    <row r="3964" spans="1:48" s="10" customFormat="1" x14ac:dyDescent="0.55000000000000004">
      <c r="A3964" s="32">
        <v>44972</v>
      </c>
      <c r="B3964" s="33">
        <v>0.22430555555555556</v>
      </c>
      <c r="C3964" s="10" t="s">
        <v>279</v>
      </c>
      <c r="D3964" s="10">
        <v>0</v>
      </c>
      <c r="E3964" s="10" t="s">
        <v>911</v>
      </c>
      <c r="F3964" s="10">
        <v>1</v>
      </c>
      <c r="G3964" s="10" t="s">
        <v>231</v>
      </c>
      <c r="H3964" s="10" t="s">
        <v>322</v>
      </c>
      <c r="I3964" s="10" t="s">
        <v>266</v>
      </c>
      <c r="J3964" s="10">
        <v>41</v>
      </c>
      <c r="K3964" s="12">
        <v>44980</v>
      </c>
      <c r="L3964" s="33">
        <v>0.47956018518518517</v>
      </c>
      <c r="M3964" s="10">
        <v>1</v>
      </c>
      <c r="N3964" s="10" t="s">
        <v>84</v>
      </c>
      <c r="O3964" s="10">
        <v>2.33</v>
      </c>
      <c r="P3964" s="10">
        <v>0.16600000000000001</v>
      </c>
      <c r="Q3964" s="10">
        <v>146</v>
      </c>
      <c r="R3964" s="10" t="s">
        <v>85</v>
      </c>
      <c r="S3964" s="34">
        <f t="shared" si="446"/>
        <v>166.09588079000002</v>
      </c>
      <c r="T3964" s="10" t="s">
        <v>1299</v>
      </c>
      <c r="U3964" s="34" t="str">
        <f t="shared" si="447"/>
        <v/>
      </c>
      <c r="V3964" s="31" t="str">
        <f>IF(H3964="CHK",VLOOKUP(I3964,QCCHK,3,),IF(H3964="GUP",VLOOKUP(E3964,QCGUP,2,),IF(AND(H3964="ATP",OR(I3964="TN",I3964="TDN",I3964="TNO2-3",I3964="NO2-3")),VLOOKUP(E3964,QCREC_N,2,),IF(AND(H3964="NIC",OR(I3964="TN",I3964="TDN",I3964="TNO2-3",I3964="NO2-3")),VLOOKUP(E3964,QCNIC_N,2,),IF(AND(H3964="UREA",OR(I3964="TN",I3964="TDN",I3964="TNO2-3",I3964="NO2-3")),VLOOKUP(E3964,QCUREA_N,2,),IF(H3964="PER",VLOOKUP(I3964,QCPER,MATCH(E3964,QCACTUAL!$J$25:$AA$25,0),),IF(H3964="SPK",VLOOKUP(I3964,QCSPK,3,),IF(AND(H3964="ATP",OR(I3964="TP",I3964="TDP")),VLOOKUP(E3964,QCATP_P,2,),""))))))))</f>
        <v/>
      </c>
      <c r="W3964" s="31" t="str">
        <f t="shared" si="448"/>
        <v>TRUE</v>
      </c>
      <c r="X3964" s="31" t="str">
        <f t="shared" si="445"/>
        <v/>
      </c>
      <c r="Y3964" s="10" t="s">
        <v>1285</v>
      </c>
      <c r="Z3964" s="10" t="s">
        <v>910</v>
      </c>
      <c r="AF3964" s="12">
        <v>44980</v>
      </c>
      <c r="AH3964" s="10">
        <f>-5.1889*2.33^2+102.33*2.33-44.163</f>
        <v>166.09588079000002</v>
      </c>
      <c r="AI3964" s="10">
        <f>-1.8824*2.33^2+87.341*2.33-33.178</f>
        <v>160.10716864</v>
      </c>
      <c r="AK3964" s="10">
        <f>-0.0059*2.33^2+68.478*2.33-14.154</f>
        <v>145.36770949000001</v>
      </c>
      <c r="AL3964" s="10" t="str">
        <f t="shared" si="450"/>
        <v>FALSE</v>
      </c>
      <c r="AM3964" s="10" t="str">
        <f t="shared" si="450"/>
        <v>y=-5.1889*2.33^2+102.33*2.33-44.163</v>
      </c>
      <c r="AN3964" s="10" t="str">
        <f t="shared" si="450"/>
        <v>y=-1.8824*2.33^2+87.341*2.33-33.178</v>
      </c>
      <c r="AO3964" s="10" t="str">
        <f t="shared" si="451"/>
        <v>FALSE</v>
      </c>
      <c r="AP3964" s="10" t="str">
        <f t="shared" si="451"/>
        <v>y=-0.0059*2.33^2+68.478*2.33-14.154</v>
      </c>
      <c r="AQ3964" s="10" t="b">
        <f>IF(AND(I3964="TP",S3964&lt;=150),VLOOKUP(AF3964,TPCalibEq150!$AZ$2:$BB$55,3,),IF(AND(I3964="TDP",S3964&lt;=150),VLOOKUP(AF3964,TPCalibEq150!$AZ$2:$BB$55,3,)))</f>
        <v>0</v>
      </c>
      <c r="AR3964" s="10" t="str">
        <f>IF(AND(I3964="TP",S3964&lt;=300),VLOOKUP(AF3964,TPCalibEq300!$AZ$2:$BB$55,3,),IF(AND(I3964="TDP",S3964&lt;=300),VLOOKUP(AF3964,TPCalibEq300!$AZ$2:$BB$55,3,)))</f>
        <v>y=-5.1889x2+102.33x-44.163</v>
      </c>
      <c r="AS3964" s="10" t="str">
        <f>IF(AND(I3964="TP",S3964&lt;=500),VLOOKUP(AF3964,TPCalibEq500!$AZ$2:$BB$56,3,),IF(AND(I3964="TDP",S3964&lt;=500),VLOOKUP(AF3964,TPCalibEq500!$AZ$2:$BB$56,3,)))</f>
        <v>y=-1.8824x2+87.341x-33.178</v>
      </c>
      <c r="AT3964" s="10" t="b">
        <f>IF(AND(I3964="TN",S3964&lt;=2800),VLOOKUP(AF3964,TNCalibEq2500!$AZ$2:$BB$56,3,),IF(AND(I3964="TDN",S3964&lt;=2800),VLOOKUP(AF3964,TNCalibEq2500!$AZ$2:$BB$56,3,)))</f>
        <v>0</v>
      </c>
      <c r="AU3964" s="10" t="str">
        <f>IF(I3964="TP",VLOOKUP(AF3964,TPCalibEqFull!$AZ$2:$BB$56,3),IF(I3964="TDP",VLOOKUP(AF3964,TPCalibEqFull!$AZ$2:$BB$56,3),IF(I3964="TDN",VLOOKUP(AF3964,TNCalibEqFull!$AZ$1:$BB$56,3),IF(I3964="TN",VLOOKUP(AF3964,TNCalibEqFull!$AZ$1:$BB$56,3),FALSE))))</f>
        <v>y=-0.0059x2+68.478x-14.154</v>
      </c>
      <c r="AV3964" s="10" t="str">
        <f t="shared" si="449"/>
        <v>0215 05:23:00-EFK-0-FIL-1-SW-UKN</v>
      </c>
    </row>
    <row r="3965" spans="1:48" s="10" customFormat="1" x14ac:dyDescent="0.55000000000000004">
      <c r="A3965" s="32">
        <v>44972</v>
      </c>
      <c r="B3965" s="33">
        <v>0.22777777777777777</v>
      </c>
      <c r="C3965" s="10" t="s">
        <v>333</v>
      </c>
      <c r="D3965" s="10">
        <v>0</v>
      </c>
      <c r="E3965" s="10" t="s">
        <v>911</v>
      </c>
      <c r="F3965" s="10">
        <v>1</v>
      </c>
      <c r="G3965" s="10" t="s">
        <v>231</v>
      </c>
      <c r="H3965" s="10" t="s">
        <v>322</v>
      </c>
      <c r="I3965" s="10" t="s">
        <v>266</v>
      </c>
      <c r="J3965" s="10">
        <v>42</v>
      </c>
      <c r="K3965" s="12">
        <v>44980</v>
      </c>
      <c r="L3965" s="33">
        <v>0.48026620370370371</v>
      </c>
      <c r="M3965" s="10">
        <v>1</v>
      </c>
      <c r="N3965" s="10" t="s">
        <v>84</v>
      </c>
      <c r="O3965" s="10">
        <v>1.06</v>
      </c>
      <c r="P3965" s="10">
        <v>7.3200000000000001E-2</v>
      </c>
      <c r="Q3965" s="10">
        <v>59.4</v>
      </c>
      <c r="R3965" s="10" t="s">
        <v>85</v>
      </c>
      <c r="S3965" s="34">
        <f t="shared" si="446"/>
        <v>59.4</v>
      </c>
      <c r="T3965" s="10" t="s">
        <v>1299</v>
      </c>
      <c r="U3965" s="34" t="str">
        <f t="shared" si="447"/>
        <v/>
      </c>
      <c r="V3965" s="31" t="str">
        <f>IF(H3965="CHK",VLOOKUP(I3965,QCCHK,3,),IF(H3965="GUP",VLOOKUP(E3965,QCGUP,2,),IF(AND(H3965="ATP",OR(I3965="TN",I3965="TDN",I3965="TNO2-3",I3965="NO2-3")),VLOOKUP(E3965,QCREC_N,2,),IF(AND(H3965="NIC",OR(I3965="TN",I3965="TDN",I3965="TNO2-3",I3965="NO2-3")),VLOOKUP(E3965,QCNIC_N,2,),IF(AND(H3965="UREA",OR(I3965="TN",I3965="TDN",I3965="TNO2-3",I3965="NO2-3")),VLOOKUP(E3965,QCUREA_N,2,),IF(H3965="PER",VLOOKUP(I3965,QCPER,MATCH(E3965,QCACTUAL!$J$25:$AA$25,0),),IF(H3965="SPK",VLOOKUP(I3965,QCSPK,3,),IF(AND(H3965="ATP",OR(I3965="TP",I3965="TDP")),VLOOKUP(E3965,QCATP_P,2,),""))))))))</f>
        <v/>
      </c>
      <c r="W3965" s="31" t="str">
        <f t="shared" si="448"/>
        <v>TRUE</v>
      </c>
      <c r="X3965" s="31" t="str">
        <f t="shared" si="445"/>
        <v/>
      </c>
      <c r="Y3965" s="10" t="s">
        <v>1285</v>
      </c>
      <c r="Z3965" s="10" t="s">
        <v>910</v>
      </c>
      <c r="AF3965" s="12">
        <v>44980</v>
      </c>
      <c r="AG3965" s="10">
        <f>-7.042*1.06^2+106.99*1.06-46.227</f>
        <v>59.270008800000006</v>
      </c>
      <c r="AH3965" s="10">
        <f>-5.1889*1.06^2+102.33*1.06-44.163</f>
        <v>58.476551960000009</v>
      </c>
      <c r="AI3965" s="10">
        <f>-1.8824*1.06^2+87.341*1.06-33.178</f>
        <v>57.288395359999996</v>
      </c>
      <c r="AK3965" s="10">
        <f>-0.0059*1.06^2+68.478*1.06-14.154</f>
        <v>58.42605076000001</v>
      </c>
      <c r="AL3965" s="10" t="str">
        <f t="shared" si="450"/>
        <v>y=-7.042*1.06^2+106.99*1.06-46.227</v>
      </c>
      <c r="AM3965" s="10" t="str">
        <f t="shared" si="450"/>
        <v>y=-5.1889*1.06^2+102.33*1.06-44.163</v>
      </c>
      <c r="AN3965" s="10" t="str">
        <f t="shared" si="450"/>
        <v>y=-1.8824*1.06^2+87.341*1.06-33.178</v>
      </c>
      <c r="AO3965" s="10" t="str">
        <f t="shared" si="451"/>
        <v>FALSE</v>
      </c>
      <c r="AP3965" s="10" t="str">
        <f t="shared" si="451"/>
        <v>y=-0.0059*1.06^2+68.478*1.06-14.154</v>
      </c>
      <c r="AQ3965" s="10" t="str">
        <f>IF(AND(I3965="TP",S3965&lt;=150),VLOOKUP(AF3965,TPCalibEq150!$AZ$2:$BB$55,3,),IF(AND(I3965="TDP",S3965&lt;=150),VLOOKUP(AF3965,TPCalibEq150!$AZ$2:$BB$55,3,)))</f>
        <v>y=-7.042x2+106.99x-46.227</v>
      </c>
      <c r="AR3965" s="10" t="str">
        <f>IF(AND(I3965="TP",S3965&lt;=300),VLOOKUP(AF3965,TPCalibEq300!$AZ$2:$BB$55,3,),IF(AND(I3965="TDP",S3965&lt;=300),VLOOKUP(AF3965,TPCalibEq300!$AZ$2:$BB$55,3,)))</f>
        <v>y=-5.1889x2+102.33x-44.163</v>
      </c>
      <c r="AS3965" s="10" t="str">
        <f>IF(AND(I3965="TP",S3965&lt;=500),VLOOKUP(AF3965,TPCalibEq500!$AZ$2:$BB$56,3,),IF(AND(I3965="TDP",S3965&lt;=500),VLOOKUP(AF3965,TPCalibEq500!$AZ$2:$BB$56,3,)))</f>
        <v>y=-1.8824x2+87.341x-33.178</v>
      </c>
      <c r="AT3965" s="10" t="b">
        <f>IF(AND(I3965="TN",S3965&lt;=2800),VLOOKUP(AF3965,TNCalibEq2500!$AZ$2:$BB$56,3,),IF(AND(I3965="TDN",S3965&lt;=2800),VLOOKUP(AF3965,TNCalibEq2500!$AZ$2:$BB$56,3,)))</f>
        <v>0</v>
      </c>
      <c r="AU3965" s="10" t="str">
        <f>IF(I3965="TP",VLOOKUP(AF3965,TPCalibEqFull!$AZ$2:$BB$56,3),IF(I3965="TDP",VLOOKUP(AF3965,TPCalibEqFull!$AZ$2:$BB$56,3),IF(I3965="TDN",VLOOKUP(AF3965,TNCalibEqFull!$AZ$1:$BB$56,3),IF(I3965="TN",VLOOKUP(AF3965,TNCalibEqFull!$AZ$1:$BB$56,3),FALSE))))</f>
        <v>y=-0.0059x2+68.478x-14.154</v>
      </c>
      <c r="AV3965" s="10" t="str">
        <f t="shared" si="449"/>
        <v>0215 05:28:00-HST-0-FIL-1-SW-UKN</v>
      </c>
    </row>
    <row r="3966" spans="1:48" s="10" customFormat="1" x14ac:dyDescent="0.55000000000000004">
      <c r="A3966" s="32">
        <v>44974</v>
      </c>
      <c r="B3966" s="33">
        <v>0.36388888888888887</v>
      </c>
      <c r="C3966" s="10" t="s">
        <v>279</v>
      </c>
      <c r="D3966" s="10">
        <v>0</v>
      </c>
      <c r="E3966" s="10" t="s">
        <v>911</v>
      </c>
      <c r="F3966" s="10">
        <v>1</v>
      </c>
      <c r="G3966" s="10" t="s">
        <v>231</v>
      </c>
      <c r="H3966" s="10" t="s">
        <v>322</v>
      </c>
      <c r="I3966" s="10" t="s">
        <v>266</v>
      </c>
      <c r="J3966" s="10">
        <v>43</v>
      </c>
      <c r="K3966" s="12">
        <v>44980</v>
      </c>
      <c r="L3966" s="33">
        <v>0.48094907407407406</v>
      </c>
      <c r="M3966" s="10">
        <v>1</v>
      </c>
      <c r="N3966" s="10" t="s">
        <v>84</v>
      </c>
      <c r="O3966" s="10">
        <v>1.98</v>
      </c>
      <c r="P3966" s="10">
        <v>0.14099999999999999</v>
      </c>
      <c r="Q3966" s="10">
        <v>122</v>
      </c>
      <c r="R3966" s="10" t="s">
        <v>85</v>
      </c>
      <c r="S3966" s="34">
        <f t="shared" si="446"/>
        <v>138.10783643999997</v>
      </c>
      <c r="T3966" s="10" t="s">
        <v>1299</v>
      </c>
      <c r="U3966" s="34" t="str">
        <f t="shared" si="447"/>
        <v/>
      </c>
      <c r="V3966" s="31" t="str">
        <f>IF(H3966="CHK",VLOOKUP(I3966,QCCHK,3,),IF(H3966="GUP",VLOOKUP(E3966,QCGUP,2,),IF(AND(H3966="ATP",OR(I3966="TN",I3966="TDN",I3966="TNO2-3",I3966="NO2-3")),VLOOKUP(E3966,QCREC_N,2,),IF(AND(H3966="NIC",OR(I3966="TN",I3966="TDN",I3966="TNO2-3",I3966="NO2-3")),VLOOKUP(E3966,QCNIC_N,2,),IF(AND(H3966="UREA",OR(I3966="TN",I3966="TDN",I3966="TNO2-3",I3966="NO2-3")),VLOOKUP(E3966,QCUREA_N,2,),IF(H3966="PER",VLOOKUP(I3966,QCPER,MATCH(E3966,QCACTUAL!$J$25:$AA$25,0),),IF(H3966="SPK",VLOOKUP(I3966,QCSPK,3,),IF(AND(H3966="ATP",OR(I3966="TP",I3966="TDP")),VLOOKUP(E3966,QCATP_P,2,),""))))))))</f>
        <v/>
      </c>
      <c r="W3966" s="31" t="str">
        <f t="shared" si="448"/>
        <v>TRUE</v>
      </c>
      <c r="X3966" s="31" t="str">
        <f t="shared" si="445"/>
        <v/>
      </c>
      <c r="Y3966" s="10" t="s">
        <v>1285</v>
      </c>
      <c r="Z3966" s="10" t="s">
        <v>910</v>
      </c>
      <c r="AF3966" s="12">
        <v>44980</v>
      </c>
      <c r="AG3966" s="10">
        <f>-7.042*1.98^2+106.99*1.98-46.227</f>
        <v>138.00574319999998</v>
      </c>
      <c r="AH3966" s="10">
        <f>-5.1889*1.98^2+102.33*1.98-44.163</f>
        <v>138.10783643999997</v>
      </c>
      <c r="AI3966" s="10">
        <f>-1.8824*1.98^2+87.341*1.98-33.178</f>
        <v>132.37741903999998</v>
      </c>
      <c r="AK3966" s="10">
        <f>-0.0059*1.98^2+68.478*1.98-14.154</f>
        <v>121.40930963999998</v>
      </c>
      <c r="AL3966" s="10" t="str">
        <f t="shared" si="450"/>
        <v>y=-7.042*1.98^2+106.99*1.98-46.227</v>
      </c>
      <c r="AM3966" s="10" t="str">
        <f t="shared" si="450"/>
        <v>y=-5.1889*1.98^2+102.33*1.98-44.163</v>
      </c>
      <c r="AN3966" s="10" t="str">
        <f t="shared" si="450"/>
        <v>y=-1.8824*1.98^2+87.341*1.98-33.178</v>
      </c>
      <c r="AO3966" s="10" t="str">
        <f t="shared" si="451"/>
        <v>FALSE</v>
      </c>
      <c r="AP3966" s="10" t="str">
        <f t="shared" si="451"/>
        <v>y=-0.0059*1.98^2+68.478*1.98-14.154</v>
      </c>
      <c r="AQ3966" s="10" t="str">
        <f>IF(AND(I3966="TP",S3966&lt;=150),VLOOKUP(AF3966,TPCalibEq150!$AZ$2:$BB$55,3,),IF(AND(I3966="TDP",S3966&lt;=150),VLOOKUP(AF3966,TPCalibEq150!$AZ$2:$BB$55,3,)))</f>
        <v>y=-7.042x2+106.99x-46.227</v>
      </c>
      <c r="AR3966" s="10" t="str">
        <f>IF(AND(I3966="TP",S3966&lt;=300),VLOOKUP(AF3966,TPCalibEq300!$AZ$2:$BB$55,3,),IF(AND(I3966="TDP",S3966&lt;=300),VLOOKUP(AF3966,TPCalibEq300!$AZ$2:$BB$55,3,)))</f>
        <v>y=-5.1889x2+102.33x-44.163</v>
      </c>
      <c r="AS3966" s="10" t="str">
        <f>IF(AND(I3966="TP",S3966&lt;=500),VLOOKUP(AF3966,TPCalibEq500!$AZ$2:$BB$56,3,),IF(AND(I3966="TDP",S3966&lt;=500),VLOOKUP(AF3966,TPCalibEq500!$AZ$2:$BB$56,3,)))</f>
        <v>y=-1.8824x2+87.341x-33.178</v>
      </c>
      <c r="AT3966" s="10" t="b">
        <f>IF(AND(I3966="TN",S3966&lt;=2800),VLOOKUP(AF3966,TNCalibEq2500!$AZ$2:$BB$56,3,),IF(AND(I3966="TDN",S3966&lt;=2800),VLOOKUP(AF3966,TNCalibEq2500!$AZ$2:$BB$56,3,)))</f>
        <v>0</v>
      </c>
      <c r="AU3966" s="10" t="str">
        <f>IF(I3966="TP",VLOOKUP(AF3966,TPCalibEqFull!$AZ$2:$BB$56,3),IF(I3966="TDP",VLOOKUP(AF3966,TPCalibEqFull!$AZ$2:$BB$56,3),IF(I3966="TDN",VLOOKUP(AF3966,TNCalibEqFull!$AZ$1:$BB$56,3),IF(I3966="TN",VLOOKUP(AF3966,TNCalibEqFull!$AZ$1:$BB$56,3),FALSE))))</f>
        <v>y=-0.0059x2+68.478x-14.154</v>
      </c>
      <c r="AV3966" s="10" t="str">
        <f t="shared" si="449"/>
        <v>0217 08:44:00-EFK-0-FIL-1-SW-UKN</v>
      </c>
    </row>
    <row r="3967" spans="1:48" s="10" customFormat="1" x14ac:dyDescent="0.55000000000000004">
      <c r="A3967" s="32">
        <v>44974</v>
      </c>
      <c r="B3967" s="33">
        <v>0.35833333333333334</v>
      </c>
      <c r="C3967" s="10" t="s">
        <v>333</v>
      </c>
      <c r="D3967" s="10">
        <v>0</v>
      </c>
      <c r="E3967" s="10" t="s">
        <v>911</v>
      </c>
      <c r="F3967" s="10">
        <v>1</v>
      </c>
      <c r="G3967" s="10" t="s">
        <v>231</v>
      </c>
      <c r="H3967" s="10" t="s">
        <v>322</v>
      </c>
      <c r="I3967" s="10" t="s">
        <v>266</v>
      </c>
      <c r="J3967" s="10">
        <v>44</v>
      </c>
      <c r="K3967" s="12">
        <v>44980</v>
      </c>
      <c r="L3967" s="33">
        <v>0.4816319444444444</v>
      </c>
      <c r="M3967" s="10">
        <v>1</v>
      </c>
      <c r="N3967" s="10" t="s">
        <v>84</v>
      </c>
      <c r="O3967" s="10">
        <v>1.48</v>
      </c>
      <c r="P3967" s="10">
        <v>0.104</v>
      </c>
      <c r="Q3967" s="10">
        <v>87.6</v>
      </c>
      <c r="R3967" s="10" t="s">
        <v>85</v>
      </c>
      <c r="S3967" s="34">
        <f t="shared" si="446"/>
        <v>96.693403199999977</v>
      </c>
      <c r="T3967" s="10" t="s">
        <v>1299</v>
      </c>
      <c r="U3967" s="34" t="str">
        <f t="shared" si="447"/>
        <v/>
      </c>
      <c r="V3967" s="31" t="str">
        <f>IF(H3967="CHK",VLOOKUP(I3967,QCCHK,3,),IF(H3967="GUP",VLOOKUP(E3967,QCGUP,2,),IF(AND(H3967="ATP",OR(I3967="TN",I3967="TDN",I3967="TNO2-3",I3967="NO2-3")),VLOOKUP(E3967,QCREC_N,2,),IF(AND(H3967="NIC",OR(I3967="TN",I3967="TDN",I3967="TNO2-3",I3967="NO2-3")),VLOOKUP(E3967,QCNIC_N,2,),IF(AND(H3967="UREA",OR(I3967="TN",I3967="TDN",I3967="TNO2-3",I3967="NO2-3")),VLOOKUP(E3967,QCUREA_N,2,),IF(H3967="PER",VLOOKUP(I3967,QCPER,MATCH(E3967,QCACTUAL!$J$25:$AA$25,0),),IF(H3967="SPK",VLOOKUP(I3967,QCSPK,3,),IF(AND(H3967="ATP",OR(I3967="TP",I3967="TDP")),VLOOKUP(E3967,QCATP_P,2,),""))))))))</f>
        <v/>
      </c>
      <c r="W3967" s="31" t="str">
        <f t="shared" si="448"/>
        <v>TRUE</v>
      </c>
      <c r="X3967" s="31" t="str">
        <f t="shared" ref="X3967:X4018" si="452">IF(ISNA(VLOOKUP(H3967,QCEQUATIONS,2,)),"",(VLOOKUP(H3967,QCEQUATIONS,2,)))</f>
        <v/>
      </c>
      <c r="Y3967" s="10" t="s">
        <v>1285</v>
      </c>
      <c r="Z3967" s="10" t="s">
        <v>910</v>
      </c>
      <c r="AF3967" s="12">
        <v>44980</v>
      </c>
      <c r="AG3967" s="10">
        <f>-7.042*1.48^2+106.99*1.48-46.227</f>
        <v>96.693403199999977</v>
      </c>
      <c r="AH3967" s="10">
        <f>-5.1889*1.48^2+102.33*1.48-44.163</f>
        <v>95.919633439999998</v>
      </c>
      <c r="AI3967" s="10">
        <f>-1.8824*1.48^2+87.341*1.48-33.178</f>
        <v>91.963471040000002</v>
      </c>
      <c r="AK3967" s="10">
        <f>-0.0059*1.48^2+68.478*1.48-14.154</f>
        <v>87.180516639999993</v>
      </c>
      <c r="AL3967" s="10" t="str">
        <f t="shared" si="450"/>
        <v>y=-7.042*1.48^2+106.99*1.48-46.227</v>
      </c>
      <c r="AM3967" s="10" t="str">
        <f t="shared" si="450"/>
        <v>y=-5.1889*1.48^2+102.33*1.48-44.163</v>
      </c>
      <c r="AN3967" s="10" t="str">
        <f t="shared" si="450"/>
        <v>y=-1.8824*1.48^2+87.341*1.48-33.178</v>
      </c>
      <c r="AO3967" s="10" t="str">
        <f t="shared" si="451"/>
        <v>FALSE</v>
      </c>
      <c r="AP3967" s="10" t="str">
        <f t="shared" si="451"/>
        <v>y=-0.0059*1.48^2+68.478*1.48-14.154</v>
      </c>
      <c r="AQ3967" s="10" t="str">
        <f>IF(AND(I3967="TP",S3967&lt;=150),VLOOKUP(AF3967,TPCalibEq150!$AZ$2:$BB$55,3,),IF(AND(I3967="TDP",S3967&lt;=150),VLOOKUP(AF3967,TPCalibEq150!$AZ$2:$BB$55,3,)))</f>
        <v>y=-7.042x2+106.99x-46.227</v>
      </c>
      <c r="AR3967" s="10" t="str">
        <f>IF(AND(I3967="TP",S3967&lt;=300),VLOOKUP(AF3967,TPCalibEq300!$AZ$2:$BB$55,3,),IF(AND(I3967="TDP",S3967&lt;=300),VLOOKUP(AF3967,TPCalibEq300!$AZ$2:$BB$55,3,)))</f>
        <v>y=-5.1889x2+102.33x-44.163</v>
      </c>
      <c r="AS3967" s="10" t="str">
        <f>IF(AND(I3967="TP",S3967&lt;=500),VLOOKUP(AF3967,TPCalibEq500!$AZ$2:$BB$56,3,),IF(AND(I3967="TDP",S3967&lt;=500),VLOOKUP(AF3967,TPCalibEq500!$AZ$2:$BB$56,3,)))</f>
        <v>y=-1.8824x2+87.341x-33.178</v>
      </c>
      <c r="AT3967" s="10" t="b">
        <f>IF(AND(I3967="TN",S3967&lt;=2800),VLOOKUP(AF3967,TNCalibEq2500!$AZ$2:$BB$56,3,),IF(AND(I3967="TDN",S3967&lt;=2800),VLOOKUP(AF3967,TNCalibEq2500!$AZ$2:$BB$56,3,)))</f>
        <v>0</v>
      </c>
      <c r="AU3967" s="10" t="str">
        <f>IF(I3967="TP",VLOOKUP(AF3967,TPCalibEqFull!$AZ$2:$BB$56,3),IF(I3967="TDP",VLOOKUP(AF3967,TPCalibEqFull!$AZ$2:$BB$56,3),IF(I3967="TDN",VLOOKUP(AF3967,TNCalibEqFull!$AZ$1:$BB$56,3),IF(I3967="TN",VLOOKUP(AF3967,TNCalibEqFull!$AZ$1:$BB$56,3),FALSE))))</f>
        <v>y=-0.0059x2+68.478x-14.154</v>
      </c>
      <c r="AV3967" s="10" t="str">
        <f t="shared" si="449"/>
        <v>0217 08:36:00-HST-0-FIL-1-SW-UKN</v>
      </c>
    </row>
    <row r="3968" spans="1:48" s="10" customFormat="1" x14ac:dyDescent="0.55000000000000004">
      <c r="A3968" s="32">
        <v>44978</v>
      </c>
      <c r="B3968" s="33">
        <v>0.31597222222222221</v>
      </c>
      <c r="C3968" s="10" t="s">
        <v>279</v>
      </c>
      <c r="D3968" s="10">
        <v>0</v>
      </c>
      <c r="E3968" s="10" t="s">
        <v>911</v>
      </c>
      <c r="F3968" s="10">
        <v>1</v>
      </c>
      <c r="G3968" s="10" t="s">
        <v>231</v>
      </c>
      <c r="H3968" s="10" t="s">
        <v>322</v>
      </c>
      <c r="I3968" s="10" t="s">
        <v>266</v>
      </c>
      <c r="J3968" s="10">
        <v>45</v>
      </c>
      <c r="K3968" s="12">
        <v>44980</v>
      </c>
      <c r="L3968" s="33">
        <v>0.4823263888888889</v>
      </c>
      <c r="M3968" s="10">
        <v>1</v>
      </c>
      <c r="N3968" s="10" t="s">
        <v>84</v>
      </c>
      <c r="O3968" s="10">
        <v>2.2200000000000002</v>
      </c>
      <c r="P3968" s="10">
        <v>0.157</v>
      </c>
      <c r="Q3968" s="10">
        <v>138</v>
      </c>
      <c r="R3968" s="10" t="s">
        <v>85</v>
      </c>
      <c r="S3968" s="34">
        <f t="shared" ref="S3968:S4018" si="453">IF(OR(AND(I3968&lt;&gt;"TP", I3968&lt;&gt;"TDP",I3968&lt;&gt;"TN", I3968&lt;&gt;"TDN"),H3968="CAL"), Q3968*M3968, IF(OR(AND(I3968="TN", Q3968&gt;2500), AND(I3968="TDN", Q3968&gt;2500)),MAX(Q3968, AK3968)*M3968, IF(OR(AND(I3968="TN", Q3968&lt;=2500), AND(I3968="TDN", Q3968&lt;=2500)),MAX(Q3968, AJ3968,AK3968)*M3968, IF(OR(AND(I3968="TP",Q3968&gt;500), AND(I3968="TDP", Q3968&gt;500)),MAX(Q3968,AK3968)*M3968,IF(OR(AND(I3968="TP",Q3968&lt;=150), AND(I3968="TDP", Q3968&lt;=150)),MAX(Q3968,AG3968:AI3968,AK3968)*M3968,IF(OR(AND(I3968="TP",Q3968&lt;=300), AND(I3968="TDP", Q3968&lt;=300)),MAX(Q3968,AH3968,AI3968,AK3968)*M3968,IF(OR(AND(I3968="TP",Q3968&lt;=500), AND(I3968="TDP", Q3968&lt;=500)),MAX(Q3968,AI3968,AK3968)*M3968,"")))))))</f>
        <v>157.43662524000001</v>
      </c>
      <c r="T3968" s="10" t="s">
        <v>1299</v>
      </c>
      <c r="U3968" s="34" t="str">
        <f t="shared" si="447"/>
        <v/>
      </c>
      <c r="V3968" s="31" t="str">
        <f>IF(H3968="CHK",VLOOKUP(I3968,QCCHK,3,),IF(H3968="GUP",VLOOKUP(E3968,QCGUP,2,),IF(AND(H3968="ATP",OR(I3968="TN",I3968="TDN",I3968="TNO2-3",I3968="NO2-3")),VLOOKUP(E3968,QCREC_N,2,),IF(AND(H3968="NIC",OR(I3968="TN",I3968="TDN",I3968="TNO2-3",I3968="NO2-3")),VLOOKUP(E3968,QCNIC_N,2,),IF(AND(H3968="UREA",OR(I3968="TN",I3968="TDN",I3968="TNO2-3",I3968="NO2-3")),VLOOKUP(E3968,QCUREA_N,2,),IF(H3968="PER",VLOOKUP(I3968,QCPER,MATCH(E3968,QCACTUAL!$J$25:$AA$25,0),),IF(H3968="SPK",VLOOKUP(I3968,QCSPK,3,),IF(AND(H3968="ATP",OR(I3968="TP",I3968="TDP")),VLOOKUP(E3968,QCATP_P,2,),""))))))))</f>
        <v/>
      </c>
      <c r="W3968" s="31" t="str">
        <f t="shared" si="448"/>
        <v>TRUE</v>
      </c>
      <c r="X3968" s="31" t="str">
        <f t="shared" si="452"/>
        <v/>
      </c>
      <c r="Y3968" s="10" t="s">
        <v>1285</v>
      </c>
      <c r="AF3968" s="12">
        <v>44980</v>
      </c>
      <c r="AH3968" s="10">
        <f>-5.1889*2.22^2+102.33*2.22-44.163</f>
        <v>157.43662524000001</v>
      </c>
      <c r="AI3968" s="10">
        <f>-1.8824*2.22^2+87.341*2.22-33.178</f>
        <v>151.44179983999999</v>
      </c>
      <c r="AK3968" s="10">
        <f>-0.0059*2.22^2+68.478*2.22-14.154</f>
        <v>137.83808244000002</v>
      </c>
      <c r="AL3968" s="10" t="str">
        <f t="shared" si="450"/>
        <v>FALSE</v>
      </c>
      <c r="AM3968" s="10" t="str">
        <f t="shared" si="450"/>
        <v>y=-5.1889*2.22^2+102.33*2.22-44.163</v>
      </c>
      <c r="AN3968" s="10" t="str">
        <f t="shared" si="450"/>
        <v>y=-1.8824*2.22^2+87.341*2.22-33.178</v>
      </c>
      <c r="AO3968" s="10" t="str">
        <f t="shared" si="451"/>
        <v>FALSE</v>
      </c>
      <c r="AP3968" s="10" t="str">
        <f t="shared" si="451"/>
        <v>y=-0.0059*2.22^2+68.478*2.22-14.154</v>
      </c>
      <c r="AQ3968" s="10" t="b">
        <f>IF(AND(I3968="TP",S3968&lt;=150),VLOOKUP(AF3968,TPCalibEq150!$AZ$2:$BB$55,3,),IF(AND(I3968="TDP",S3968&lt;=150),VLOOKUP(AF3968,TPCalibEq150!$AZ$2:$BB$55,3,)))</f>
        <v>0</v>
      </c>
      <c r="AR3968" s="10" t="str">
        <f>IF(AND(I3968="TP",S3968&lt;=300),VLOOKUP(AF3968,TPCalibEq300!$AZ$2:$BB$55,3,),IF(AND(I3968="TDP",S3968&lt;=300),VLOOKUP(AF3968,TPCalibEq300!$AZ$2:$BB$55,3,)))</f>
        <v>y=-5.1889x2+102.33x-44.163</v>
      </c>
      <c r="AS3968" s="10" t="str">
        <f>IF(AND(I3968="TP",S3968&lt;=500),VLOOKUP(AF3968,TPCalibEq500!$AZ$2:$BB$56,3,),IF(AND(I3968="TDP",S3968&lt;=500),VLOOKUP(AF3968,TPCalibEq500!$AZ$2:$BB$56,3,)))</f>
        <v>y=-1.8824x2+87.341x-33.178</v>
      </c>
      <c r="AT3968" s="10" t="b">
        <f>IF(AND(I3968="TN",S3968&lt;=2800),VLOOKUP(AF3968,TNCalibEq2500!$AZ$2:$BB$56,3,),IF(AND(I3968="TDN",S3968&lt;=2800),VLOOKUP(AF3968,TNCalibEq2500!$AZ$2:$BB$56,3,)))</f>
        <v>0</v>
      </c>
      <c r="AU3968" s="10" t="str">
        <f>IF(I3968="TP",VLOOKUP(AF3968,TPCalibEqFull!$AZ$2:$BB$56,3),IF(I3968="TDP",VLOOKUP(AF3968,TPCalibEqFull!$AZ$2:$BB$56,3),IF(I3968="TDN",VLOOKUP(AF3968,TNCalibEqFull!$AZ$1:$BB$56,3),IF(I3968="TN",VLOOKUP(AF3968,TNCalibEqFull!$AZ$1:$BB$56,3),FALSE))))</f>
        <v>y=-0.0059x2+68.478x-14.154</v>
      </c>
      <c r="AV3968" s="10" t="str">
        <f t="shared" si="449"/>
        <v>0221 07:35:00-EFK-0-FIL-1-SW-UKN</v>
      </c>
    </row>
    <row r="3969" spans="1:48" s="10" customFormat="1" x14ac:dyDescent="0.55000000000000004">
      <c r="A3969" s="32">
        <v>44978</v>
      </c>
      <c r="B3969" s="33">
        <v>0.31944444444444448</v>
      </c>
      <c r="C3969" s="10" t="s">
        <v>333</v>
      </c>
      <c r="D3969" s="10">
        <v>0</v>
      </c>
      <c r="E3969" s="10" t="s">
        <v>911</v>
      </c>
      <c r="F3969" s="10">
        <v>1</v>
      </c>
      <c r="G3969" s="10" t="s">
        <v>231</v>
      </c>
      <c r="H3969" s="10" t="s">
        <v>322</v>
      </c>
      <c r="I3969" s="10" t="s">
        <v>266</v>
      </c>
      <c r="J3969" s="10">
        <v>46</v>
      </c>
      <c r="K3969" s="12">
        <v>44980</v>
      </c>
      <c r="L3969" s="33">
        <v>0.48302083333333329</v>
      </c>
      <c r="M3969" s="10">
        <v>1</v>
      </c>
      <c r="N3969" s="10" t="s">
        <v>84</v>
      </c>
      <c r="O3969" s="10">
        <v>1.23</v>
      </c>
      <c r="P3969" s="10">
        <v>8.4900000000000003E-2</v>
      </c>
      <c r="Q3969" s="10">
        <v>70.400000000000006</v>
      </c>
      <c r="R3969" s="10" t="s">
        <v>85</v>
      </c>
      <c r="S3969" s="34">
        <f t="shared" si="453"/>
        <v>74.716858200000019</v>
      </c>
      <c r="T3969" s="10" t="s">
        <v>1299</v>
      </c>
      <c r="U3969" s="34" t="str">
        <f t="shared" si="447"/>
        <v/>
      </c>
      <c r="V3969" s="31" t="str">
        <f>IF(H3969="CHK",VLOOKUP(I3969,QCCHK,3,),IF(H3969="GUP",VLOOKUP(E3969,QCGUP,2,),IF(AND(H3969="ATP",OR(I3969="TN",I3969="TDN",I3969="TNO2-3",I3969="NO2-3")),VLOOKUP(E3969,QCREC_N,2,),IF(AND(H3969="NIC",OR(I3969="TN",I3969="TDN",I3969="TNO2-3",I3969="NO2-3")),VLOOKUP(E3969,QCNIC_N,2,),IF(AND(H3969="UREA",OR(I3969="TN",I3969="TDN",I3969="TNO2-3",I3969="NO2-3")),VLOOKUP(E3969,QCUREA_N,2,),IF(H3969="PER",VLOOKUP(I3969,QCPER,MATCH(E3969,QCACTUAL!$J$25:$AA$25,0),),IF(H3969="SPK",VLOOKUP(I3969,QCSPK,3,),IF(AND(H3969="ATP",OR(I3969="TP",I3969="TDP")),VLOOKUP(E3969,QCATP_P,2,),""))))))))</f>
        <v/>
      </c>
      <c r="W3969" s="31" t="str">
        <f t="shared" si="448"/>
        <v>TRUE</v>
      </c>
      <c r="X3969" s="31" t="str">
        <f t="shared" si="452"/>
        <v/>
      </c>
      <c r="Y3969" s="10" t="s">
        <v>1285</v>
      </c>
      <c r="AF3969" s="12">
        <v>44980</v>
      </c>
      <c r="AG3969" s="10">
        <f>-7.042*1.23^2+106.99*1.23-46.227</f>
        <v>74.716858200000019</v>
      </c>
      <c r="AH3969" s="10">
        <f>-5.1889*1.23^2+102.33*1.23-44.163</f>
        <v>73.85261319</v>
      </c>
      <c r="AI3969" s="10">
        <f>-1.8824*1.23^2+87.341*1.23-33.178</f>
        <v>71.403547040000007</v>
      </c>
      <c r="AK3969" s="10">
        <f>-0.0059*1.23^2+68.478*1.23-14.154</f>
        <v>70.065013889999989</v>
      </c>
      <c r="AL3969" s="10" t="str">
        <f t="shared" si="450"/>
        <v>y=-7.042*1.23^2+106.99*1.23-46.227</v>
      </c>
      <c r="AM3969" s="10" t="str">
        <f t="shared" si="450"/>
        <v>y=-5.1889*1.23^2+102.33*1.23-44.163</v>
      </c>
      <c r="AN3969" s="10" t="str">
        <f t="shared" si="450"/>
        <v>y=-1.8824*1.23^2+87.341*1.23-33.178</v>
      </c>
      <c r="AO3969" s="10" t="str">
        <f t="shared" si="451"/>
        <v>FALSE</v>
      </c>
      <c r="AP3969" s="10" t="str">
        <f t="shared" si="451"/>
        <v>y=-0.0059*1.23^2+68.478*1.23-14.154</v>
      </c>
      <c r="AQ3969" s="10" t="str">
        <f>IF(AND(I3969="TP",S3969&lt;=150),VLOOKUP(AF3969,TPCalibEq150!$AZ$2:$BB$55,3,),IF(AND(I3969="TDP",S3969&lt;=150),VLOOKUP(AF3969,TPCalibEq150!$AZ$2:$BB$55,3,)))</f>
        <v>y=-7.042x2+106.99x-46.227</v>
      </c>
      <c r="AR3969" s="10" t="str">
        <f>IF(AND(I3969="TP",S3969&lt;=300),VLOOKUP(AF3969,TPCalibEq300!$AZ$2:$BB$55,3,),IF(AND(I3969="TDP",S3969&lt;=300),VLOOKUP(AF3969,TPCalibEq300!$AZ$2:$BB$55,3,)))</f>
        <v>y=-5.1889x2+102.33x-44.163</v>
      </c>
      <c r="AS3969" s="10" t="str">
        <f>IF(AND(I3969="TP",S3969&lt;=500),VLOOKUP(AF3969,TPCalibEq500!$AZ$2:$BB$56,3,),IF(AND(I3969="TDP",S3969&lt;=500),VLOOKUP(AF3969,TPCalibEq500!$AZ$2:$BB$56,3,)))</f>
        <v>y=-1.8824x2+87.341x-33.178</v>
      </c>
      <c r="AT3969" s="10" t="b">
        <f>IF(AND(I3969="TN",S3969&lt;=2800),VLOOKUP(AF3969,TNCalibEq2500!$AZ$2:$BB$56,3,),IF(AND(I3969="TDN",S3969&lt;=2800),VLOOKUP(AF3969,TNCalibEq2500!$AZ$2:$BB$56,3,)))</f>
        <v>0</v>
      </c>
      <c r="AU3969" s="10" t="str">
        <f>IF(I3969="TP",VLOOKUP(AF3969,TPCalibEqFull!$AZ$2:$BB$56,3),IF(I3969="TDP",VLOOKUP(AF3969,TPCalibEqFull!$AZ$2:$BB$56,3),IF(I3969="TDN",VLOOKUP(AF3969,TNCalibEqFull!$AZ$1:$BB$56,3),IF(I3969="TN",VLOOKUP(AF3969,TNCalibEqFull!$AZ$1:$BB$56,3),FALSE))))</f>
        <v>y=-0.0059x2+68.478x-14.154</v>
      </c>
      <c r="AV3969" s="10" t="str">
        <f t="shared" si="449"/>
        <v>0221 07:40:00-HST-0-FIL-1-SW-UKN</v>
      </c>
    </row>
    <row r="3970" spans="1:48" s="10" customFormat="1" x14ac:dyDescent="0.55000000000000004">
      <c r="A3970" s="32">
        <v>44978</v>
      </c>
      <c r="B3970" s="33">
        <v>0.31944444444444448</v>
      </c>
      <c r="C3970" s="10" t="s">
        <v>333</v>
      </c>
      <c r="D3970" s="10">
        <v>0</v>
      </c>
      <c r="E3970" s="10" t="s">
        <v>911</v>
      </c>
      <c r="F3970" s="10">
        <v>1</v>
      </c>
      <c r="G3970" s="10" t="s">
        <v>231</v>
      </c>
      <c r="H3970" s="10" t="s">
        <v>233</v>
      </c>
      <c r="I3970" s="10" t="s">
        <v>266</v>
      </c>
      <c r="J3970" s="10">
        <v>46</v>
      </c>
      <c r="K3970" s="12">
        <v>44980</v>
      </c>
      <c r="L3970" s="33">
        <v>0.48373842592592592</v>
      </c>
      <c r="M3970" s="10">
        <v>1</v>
      </c>
      <c r="N3970" s="10" t="s">
        <v>84</v>
      </c>
      <c r="O3970" s="10">
        <v>1.23</v>
      </c>
      <c r="P3970" s="10">
        <v>8.48E-2</v>
      </c>
      <c r="Q3970" s="10">
        <v>70.5</v>
      </c>
      <c r="R3970" s="10" t="s">
        <v>85</v>
      </c>
      <c r="S3970" s="34">
        <f t="shared" si="453"/>
        <v>74.716858200000019</v>
      </c>
      <c r="T3970" s="10" t="s">
        <v>1299</v>
      </c>
      <c r="U3970" s="34">
        <f t="shared" ref="U3970:U4018" si="454">IF(OR(H3970="CHK",H3970="ATP",H3970="GUP",H3970="PER", H3970="NIC", H3970="UREA"),(S3970/V3970*100),IF(H3970="DUP",((ABS(S3970-S3969))/((S3969+S3970)/2))*100,IF(H3970="SPK",((S3970-S3969)/V3970*100),IF(OR(H3970="LAB",H3970="FLD",H3970="ESF"),S3970,""))))</f>
        <v>0</v>
      </c>
      <c r="V3970" s="31" t="str">
        <f>IF(H3970="CHK",VLOOKUP(I3970,QCCHK,3,),IF(H3970="GUP",VLOOKUP(E3970,QCGUP,2,),IF(AND(H3970="ATP",OR(I3970="TN",I3970="TDN",I3970="TNO2-3",I3970="NO2-3")),VLOOKUP(E3970,QCREC_N,2,),IF(AND(H3970="NIC",OR(I3970="TN",I3970="TDN",I3970="TNO2-3",I3970="NO2-3")),VLOOKUP(E3970,QCNIC_N,2,),IF(AND(H3970="UREA",OR(I3970="TN",I3970="TDN",I3970="TNO2-3",I3970="NO2-3")),VLOOKUP(E3970,QCUREA_N,2,),IF(H3970="PER",VLOOKUP(I3970,QCPER,MATCH(E3970,QCACTUAL!$J$25:$AA$25,0),),IF(H3970="SPK",VLOOKUP(I3970,QCSPK,3,),IF(AND(H3970="ATP",OR(I3970="TP",I3970="TDP")),VLOOKUP(E3970,QCATP_P,2,),""))))))))</f>
        <v/>
      </c>
      <c r="W3970" s="31" t="str">
        <f t="shared" ref="W3970:W4018" si="455">IF(AND(OR(H3970="PER",H3970="ATP",H3970="GUP",H3970="CHK",H3970="SPK", H3970="NIC"),OR(U3970&gt;125,U3970&lt;75)),"FALSE",IF(AND(H3970="DUP",OR(U3970&gt;25, U3970&lt;-25)),"FALSE",IF(AND(OR(H3970="LAB",H3970="FLD",H3970="ESF"),U3970&gt;15),"FALSE","TRUE")))</f>
        <v>TRUE</v>
      </c>
      <c r="X3970" s="31" t="str">
        <f t="shared" si="452"/>
        <v>((ABS(rep1-rep2))/((rep1+rep2)/2)*100</v>
      </c>
      <c r="Y3970" s="10" t="s">
        <v>1285</v>
      </c>
      <c r="AF3970" s="12">
        <v>44980</v>
      </c>
      <c r="AG3970" s="10">
        <f>-7.042*1.23^2+106.99*1.23-46.227</f>
        <v>74.716858200000019</v>
      </c>
      <c r="AH3970" s="10">
        <f>-5.1889*1.23^2+102.33*1.23-44.163</f>
        <v>73.85261319</v>
      </c>
      <c r="AI3970" s="10">
        <f>-1.8824*1.23^2+87.341*1.23-33.178</f>
        <v>71.403547040000007</v>
      </c>
      <c r="AK3970" s="10">
        <f>-0.0059*1.23^2+68.478*1.23-14.154</f>
        <v>70.065013889999989</v>
      </c>
      <c r="AL3970" s="10" t="str">
        <f t="shared" si="450"/>
        <v>y=-7.042*1.23^2+106.99*1.23-46.227</v>
      </c>
      <c r="AM3970" s="10" t="str">
        <f t="shared" si="450"/>
        <v>y=-5.1889*1.23^2+102.33*1.23-44.163</v>
      </c>
      <c r="AN3970" s="10" t="str">
        <f t="shared" si="450"/>
        <v>y=-1.8824*1.23^2+87.341*1.23-33.178</v>
      </c>
      <c r="AO3970" s="10" t="str">
        <f t="shared" si="451"/>
        <v>FALSE</v>
      </c>
      <c r="AP3970" s="10" t="str">
        <f t="shared" si="451"/>
        <v>y=-0.0059*1.23^2+68.478*1.23-14.154</v>
      </c>
      <c r="AQ3970" s="10" t="str">
        <f>IF(AND(I3970="TP",S3970&lt;=150),VLOOKUP(AF3970,TPCalibEq150!$AZ$2:$BB$55,3,),IF(AND(I3970="TDP",S3970&lt;=150),VLOOKUP(AF3970,TPCalibEq150!$AZ$2:$BB$55,3,)))</f>
        <v>y=-7.042x2+106.99x-46.227</v>
      </c>
      <c r="AR3970" s="10" t="str">
        <f>IF(AND(I3970="TP",S3970&lt;=300),VLOOKUP(AF3970,TPCalibEq300!$AZ$2:$BB$55,3,),IF(AND(I3970="TDP",S3970&lt;=300),VLOOKUP(AF3970,TPCalibEq300!$AZ$2:$BB$55,3,)))</f>
        <v>y=-5.1889x2+102.33x-44.163</v>
      </c>
      <c r="AS3970" s="10" t="str">
        <f>IF(AND(I3970="TP",S3970&lt;=500),VLOOKUP(AF3970,TPCalibEq500!$AZ$2:$BB$56,3,),IF(AND(I3970="TDP",S3970&lt;=500),VLOOKUP(AF3970,TPCalibEq500!$AZ$2:$BB$56,3,)))</f>
        <v>y=-1.8824x2+87.341x-33.178</v>
      </c>
      <c r="AT3970" s="10" t="b">
        <f>IF(AND(I3970="TN",S3970&lt;=2800),VLOOKUP(AF3970,TNCalibEq2500!$AZ$2:$BB$56,3,),IF(AND(I3970="TDN",S3970&lt;=2800),VLOOKUP(AF3970,TNCalibEq2500!$AZ$2:$BB$56,3,)))</f>
        <v>0</v>
      </c>
      <c r="AU3970" s="10" t="str">
        <f>IF(I3970="TP",VLOOKUP(AF3970,TPCalibEqFull!$AZ$2:$BB$56,3),IF(I3970="TDP",VLOOKUP(AF3970,TPCalibEqFull!$AZ$2:$BB$56,3),IF(I3970="TDN",VLOOKUP(AF3970,TNCalibEqFull!$AZ$1:$BB$56,3),IF(I3970="TN",VLOOKUP(AF3970,TNCalibEqFull!$AZ$1:$BB$56,3),FALSE))))</f>
        <v>y=-0.0059x2+68.478x-14.154</v>
      </c>
      <c r="AV3970" s="10" t="str">
        <f t="shared" ref="AV3970:AV4018" si="456">TEXT(A3970, "MMDD")&amp;" "&amp;TEXT(B3970, "HH:MM:SS")&amp;"-"&amp;C3970&amp;"-"&amp;D3970&amp;"-"&amp;E3970&amp;"-"&amp;F3970&amp;"-"&amp;G3970&amp;"-"&amp;H3970</f>
        <v>0221 07:40:00-HST-0-FIL-1-SW-DUP</v>
      </c>
    </row>
    <row r="3971" spans="1:48" s="10" customFormat="1" x14ac:dyDescent="0.55000000000000004">
      <c r="A3971" s="32">
        <v>44978</v>
      </c>
      <c r="B3971" s="33">
        <v>0.31944444444444448</v>
      </c>
      <c r="C3971" s="10" t="s">
        <v>912</v>
      </c>
      <c r="D3971" s="10">
        <v>0</v>
      </c>
      <c r="E3971" s="10" t="s">
        <v>911</v>
      </c>
      <c r="F3971" s="10">
        <v>1</v>
      </c>
      <c r="G3971" s="10" t="s">
        <v>231</v>
      </c>
      <c r="H3971" s="10" t="s">
        <v>314</v>
      </c>
      <c r="I3971" s="10" t="s">
        <v>266</v>
      </c>
      <c r="J3971" s="10">
        <v>86</v>
      </c>
      <c r="K3971" s="12">
        <v>44980</v>
      </c>
      <c r="L3971" s="33">
        <v>0.48442129629629632</v>
      </c>
      <c r="M3971" s="10">
        <v>1</v>
      </c>
      <c r="N3971" s="10" t="s">
        <v>84</v>
      </c>
      <c r="O3971" s="10">
        <v>17</v>
      </c>
      <c r="P3971" s="10">
        <v>1.21</v>
      </c>
      <c r="Q3971" s="10">
        <v>1140</v>
      </c>
      <c r="R3971" s="10" t="s">
        <v>85</v>
      </c>
      <c r="S3971" s="34">
        <f t="shared" si="453"/>
        <v>1148.2669000000001</v>
      </c>
      <c r="T3971" s="10" t="s">
        <v>1299</v>
      </c>
      <c r="U3971" s="34">
        <f t="shared" si="454"/>
        <v>107.35500418000001</v>
      </c>
      <c r="V3971" s="31">
        <f>IF(H3971="CHK",VLOOKUP(I3971,QCCHK,3,),IF(H3971="GUP",VLOOKUP(E3971,QCGUP,2,),IF(AND(H3971="ATP",OR(I3971="TN",I3971="TDN",I3971="TNO2-3",I3971="NO2-3")),VLOOKUP(E3971,QCREC_N,2,),IF(AND(H3971="NIC",OR(I3971="TN",I3971="TDN",I3971="TNO2-3",I3971="NO2-3")),VLOOKUP(E3971,QCNIC_N,2,),IF(AND(H3971="UREA",OR(I3971="TN",I3971="TDN",I3971="TNO2-3",I3971="NO2-3")),VLOOKUP(E3971,QCUREA_N,2,),IF(H3971="PER",VLOOKUP(I3971,QCPER,MATCH(E3971,QCACTUAL!$J$25:$AA$25,0),),IF(H3971="SPK",VLOOKUP(I3971,QCSPK,3,),IF(AND(H3971="ATP",OR(I3971="TP",I3971="TDP")),VLOOKUP(E3971,QCATP_P,2,),""))))))))</f>
        <v>1000</v>
      </c>
      <c r="W3971" s="31" t="str">
        <f t="shared" si="455"/>
        <v>TRUE</v>
      </c>
      <c r="X3971" s="31" t="str">
        <f t="shared" si="452"/>
        <v>([spikedunkn]-[unkn])/[spike]*100</v>
      </c>
      <c r="Y3971" s="10" t="s">
        <v>1285</v>
      </c>
      <c r="AF3971" s="12">
        <v>44980</v>
      </c>
      <c r="AK3971" s="10">
        <f>-0.0059*17^2+68.478*17-14.154</f>
        <v>1148.2669000000001</v>
      </c>
      <c r="AL3971" s="10" t="str">
        <f t="shared" si="450"/>
        <v>FALSE</v>
      </c>
      <c r="AM3971" s="10" t="str">
        <f t="shared" si="450"/>
        <v>FALSE</v>
      </c>
      <c r="AN3971" s="10" t="str">
        <f t="shared" si="450"/>
        <v>FALSE</v>
      </c>
      <c r="AO3971" s="10" t="str">
        <f t="shared" si="451"/>
        <v>FALSE</v>
      </c>
      <c r="AP3971" s="10" t="str">
        <f t="shared" si="451"/>
        <v>y=-0.0059*17^2+68.478*17-14.154</v>
      </c>
      <c r="AQ3971" s="10" t="b">
        <f>IF(AND(I3971="TP",S3971&lt;=150),VLOOKUP(AF3971,TPCalibEq150!$AZ$2:$BB$55,3,),IF(AND(I3971="TDP",S3971&lt;=150),VLOOKUP(AF3971,TPCalibEq150!$AZ$2:$BB$55,3,)))</f>
        <v>0</v>
      </c>
      <c r="AR3971" s="10" t="b">
        <f>IF(AND(I3971="TP",S3971&lt;=300),VLOOKUP(AF3971,TPCalibEq300!$AZ$2:$BB$55,3,),IF(AND(I3971="TDP",S3971&lt;=300),VLOOKUP(AF3971,TPCalibEq300!$AZ$2:$BB$55,3,)))</f>
        <v>0</v>
      </c>
      <c r="AS3971" s="10" t="b">
        <f>IF(AND(I3971="TP",S3971&lt;=500),VLOOKUP(AF3971,TPCalibEq500!$AZ$2:$BB$56,3,),IF(AND(I3971="TDP",S3971&lt;=500),VLOOKUP(AF3971,TPCalibEq500!$AZ$2:$BB$56,3,)))</f>
        <v>0</v>
      </c>
      <c r="AT3971" s="10" t="b">
        <f>IF(AND(I3971="TN",S3971&lt;=2800),VLOOKUP(AF3971,TNCalibEq2500!$AZ$2:$BB$56,3,),IF(AND(I3971="TDN",S3971&lt;=2800),VLOOKUP(AF3971,TNCalibEq2500!$AZ$2:$BB$56,3,)))</f>
        <v>0</v>
      </c>
      <c r="AU3971" s="10" t="str">
        <f>IF(I3971="TP",VLOOKUP(AF3971,TPCalibEqFull!$AZ$2:$BB$56,3),IF(I3971="TDP",VLOOKUP(AF3971,TPCalibEqFull!$AZ$2:$BB$56,3),IF(I3971="TDN",VLOOKUP(AF3971,TNCalibEqFull!$AZ$1:$BB$56,3),IF(I3971="TN",VLOOKUP(AF3971,TNCalibEqFull!$AZ$1:$BB$56,3),FALSE))))</f>
        <v>y=-0.0059x2+68.478x-14.154</v>
      </c>
      <c r="AV3971" s="10" t="str">
        <f t="shared" si="456"/>
        <v>0221 07:40:00-HST -0-FIL-1-SW-SPK</v>
      </c>
    </row>
    <row r="3972" spans="1:48" s="10" customFormat="1" x14ac:dyDescent="0.55000000000000004">
      <c r="A3972" s="32">
        <v>44979</v>
      </c>
      <c r="B3972" s="33">
        <v>0.375</v>
      </c>
      <c r="C3972" s="10" t="s">
        <v>70</v>
      </c>
      <c r="D3972" s="10" t="s">
        <v>71</v>
      </c>
      <c r="E3972" s="10" t="s">
        <v>901</v>
      </c>
      <c r="F3972" s="10">
        <v>1</v>
      </c>
      <c r="G3972" s="10" t="s">
        <v>73</v>
      </c>
      <c r="H3972" s="10" t="s">
        <v>207</v>
      </c>
      <c r="I3972" s="10" t="s">
        <v>83</v>
      </c>
      <c r="J3972" s="10">
        <v>202</v>
      </c>
      <c r="K3972" s="12">
        <v>44980</v>
      </c>
      <c r="L3972" s="33">
        <v>0.4851273148148148</v>
      </c>
      <c r="M3972" s="10">
        <v>1</v>
      </c>
      <c r="N3972" s="10" t="s">
        <v>84</v>
      </c>
      <c r="O3972" s="10">
        <v>7.84</v>
      </c>
      <c r="P3972" s="10">
        <v>0.56899999999999995</v>
      </c>
      <c r="Q3972" s="10">
        <v>520</v>
      </c>
      <c r="R3972" s="10" t="s">
        <v>85</v>
      </c>
      <c r="S3972" s="34">
        <f t="shared" si="453"/>
        <v>522.35087295999995</v>
      </c>
      <c r="T3972" s="10" t="s">
        <v>1299</v>
      </c>
      <c r="U3972" s="34">
        <f t="shared" si="454"/>
        <v>104.47017459199999</v>
      </c>
      <c r="V3972" s="31">
        <f>IF(H3972="CHK",VLOOKUP(I3972,QCCHK,3,),IF(H3972="GUP",VLOOKUP(E3972,QCGUP,2,),IF(AND(H3972="ATP",OR(I3972="TN",I3972="TDN",I3972="TNO2-3",I3972="NO2-3")),VLOOKUP(E3972,QCREC_N,2,),IF(AND(H3972="NIC",OR(I3972="TN",I3972="TDN",I3972="TNO2-3",I3972="NO2-3")),VLOOKUP(E3972,QCNIC_N,2,),IF(AND(H3972="UREA",OR(I3972="TN",I3972="TDN",I3972="TNO2-3",I3972="NO2-3")),VLOOKUP(E3972,QCUREA_N,2,),IF(H3972="PER",VLOOKUP(I3972,QCPER,MATCH(E3972,QCACTUAL!$J$25:$AA$25,0),),IF(H3972="SPK",VLOOKUP(I3972,QCSPK,3,),IF(AND(H3972="ATP",OR(I3972="TP",I3972="TDP")),VLOOKUP(E3972,QCATP_P,2,),""))))))))</f>
        <v>500</v>
      </c>
      <c r="W3972" s="31" t="str">
        <f t="shared" si="455"/>
        <v>TRUE</v>
      </c>
      <c r="X3972" s="31" t="str">
        <f t="shared" si="452"/>
        <v>[chk]/[actual]*100</v>
      </c>
      <c r="Y3972" s="10" t="s">
        <v>1285</v>
      </c>
      <c r="AF3972" s="12">
        <v>44980</v>
      </c>
      <c r="AK3972" s="10">
        <f>-0.0059*7.84^2+68.478*7.84-14.154</f>
        <v>522.35087295999995</v>
      </c>
      <c r="AL3972" s="10" t="str">
        <f t="shared" si="450"/>
        <v>FALSE</v>
      </c>
      <c r="AM3972" s="10" t="str">
        <f t="shared" si="450"/>
        <v>FALSE</v>
      </c>
      <c r="AN3972" s="10" t="str">
        <f t="shared" si="450"/>
        <v>FALSE</v>
      </c>
      <c r="AO3972" s="10" t="str">
        <f t="shared" si="451"/>
        <v>FALSE</v>
      </c>
      <c r="AP3972" s="10" t="str">
        <f t="shared" si="451"/>
        <v>y=-0.0059*7.84^2+68.478*7.84-14.154</v>
      </c>
      <c r="AQ3972" s="10" t="b">
        <f>IF(AND(I3972="TP",S3972&lt;=150),VLOOKUP(AF3972,TPCalibEq150!$AZ$2:$BB$55,3,),IF(AND(I3972="TDP",S3972&lt;=150),VLOOKUP(AF3972,TPCalibEq150!$AZ$2:$BB$55,3,)))</f>
        <v>0</v>
      </c>
      <c r="AR3972" s="10" t="b">
        <f>IF(AND(I3972="TP",S3972&lt;=300),VLOOKUP(AF3972,TPCalibEq300!$AZ$2:$BB$55,3,),IF(AND(I3972="TDP",S3972&lt;=300),VLOOKUP(AF3972,TPCalibEq300!$AZ$2:$BB$55,3,)))</f>
        <v>0</v>
      </c>
      <c r="AS3972" s="10" t="b">
        <f>IF(AND(I3972="TP",S3972&lt;=500),VLOOKUP(AF3972,TPCalibEq500!$AZ$2:$BB$56,3,),IF(AND(I3972="TDP",S3972&lt;=500),VLOOKUP(AF3972,TPCalibEq500!$AZ$2:$BB$56,3,)))</f>
        <v>0</v>
      </c>
      <c r="AT3972" s="10" t="b">
        <f>IF(AND(I3972="TN",S3972&lt;=2800),VLOOKUP(AF3972,TNCalibEq2500!$AZ$2:$BB$56,3,),IF(AND(I3972="TDN",S3972&lt;=2800),VLOOKUP(AF3972,TNCalibEq2500!$AZ$2:$BB$56,3,)))</f>
        <v>0</v>
      </c>
      <c r="AU3972" s="10" t="str">
        <f>IF(I3972="TP",VLOOKUP(AF3972,TPCalibEqFull!$AZ$2:$BB$56,3),IF(I3972="TDP",VLOOKUP(AF3972,TPCalibEqFull!$AZ$2:$BB$56,3),IF(I3972="TDN",VLOOKUP(AF3972,TNCalibEqFull!$AZ$1:$BB$56,3),IF(I3972="TN",VLOOKUP(AF3972,TNCalibEqFull!$AZ$1:$BB$56,3),FALSE))))</f>
        <v>y=-0.0059x2+68.478x-14.154</v>
      </c>
      <c r="AV3972" s="10" t="str">
        <f t="shared" si="456"/>
        <v>0222 09:00:00-QAC-STD-D-1-DI-CHK</v>
      </c>
    </row>
    <row r="3973" spans="1:48" s="10" customFormat="1" x14ac:dyDescent="0.55000000000000004">
      <c r="A3973" s="32">
        <v>44978</v>
      </c>
      <c r="B3973" s="33">
        <v>0.4777777777777778</v>
      </c>
      <c r="C3973" s="10" t="s">
        <v>431</v>
      </c>
      <c r="D3973" s="10">
        <v>0</v>
      </c>
      <c r="E3973" s="10" t="s">
        <v>911</v>
      </c>
      <c r="F3973" s="10">
        <v>1</v>
      </c>
      <c r="G3973" s="10" t="s">
        <v>231</v>
      </c>
      <c r="H3973" s="10" t="s">
        <v>322</v>
      </c>
      <c r="I3973" s="10" t="s">
        <v>266</v>
      </c>
      <c r="J3973" s="10">
        <v>47</v>
      </c>
      <c r="K3973" s="12">
        <v>44980</v>
      </c>
      <c r="L3973" s="33">
        <v>0.48584490740740738</v>
      </c>
      <c r="M3973" s="10">
        <v>1</v>
      </c>
      <c r="N3973" s="10" t="s">
        <v>84</v>
      </c>
      <c r="O3973" s="10">
        <v>1.67</v>
      </c>
      <c r="P3973" s="10">
        <v>0.11700000000000001</v>
      </c>
      <c r="Q3973" s="10">
        <v>100</v>
      </c>
      <c r="R3973" s="10" t="s">
        <v>85</v>
      </c>
      <c r="S3973" s="34">
        <f t="shared" si="453"/>
        <v>112.80686619999997</v>
      </c>
      <c r="T3973" s="10" t="s">
        <v>1299</v>
      </c>
      <c r="U3973" s="34" t="str">
        <f t="shared" si="454"/>
        <v/>
      </c>
      <c r="V3973" s="31" t="str">
        <f>IF(H3973="CHK",VLOOKUP(I3973,QCCHK,3,),IF(H3973="GUP",VLOOKUP(E3973,QCGUP,2,),IF(AND(H3973="ATP",OR(I3973="TN",I3973="TDN",I3973="TNO2-3",I3973="NO2-3")),VLOOKUP(E3973,QCREC_N,2,),IF(AND(H3973="NIC",OR(I3973="TN",I3973="TDN",I3973="TNO2-3",I3973="NO2-3")),VLOOKUP(E3973,QCNIC_N,2,),IF(AND(H3973="UREA",OR(I3973="TN",I3973="TDN",I3973="TNO2-3",I3973="NO2-3")),VLOOKUP(E3973,QCUREA_N,2,),IF(H3973="PER",VLOOKUP(I3973,QCPER,MATCH(E3973,QCACTUAL!$J$25:$AA$25,0),),IF(H3973="SPK",VLOOKUP(I3973,QCSPK,3,),IF(AND(H3973="ATP",OR(I3973="TP",I3973="TDP")),VLOOKUP(E3973,QCATP_P,2,),""))))))))</f>
        <v/>
      </c>
      <c r="W3973" s="31" t="str">
        <f t="shared" si="455"/>
        <v>TRUE</v>
      </c>
      <c r="X3973" s="31" t="str">
        <f t="shared" si="452"/>
        <v/>
      </c>
      <c r="Y3973" s="10" t="s">
        <v>1285</v>
      </c>
      <c r="AF3973" s="12">
        <v>44980</v>
      </c>
      <c r="AG3973" s="10">
        <f>-7.042*1.67^2+106.99*1.67-46.227</f>
        <v>112.80686619999997</v>
      </c>
      <c r="AH3973" s="10">
        <f>-5.1889*1.67^2+102.33*1.67-44.163</f>
        <v>112.25677678999999</v>
      </c>
      <c r="AI3973" s="10">
        <f>-1.8824*1.67^2+87.341*1.67-33.178</f>
        <v>107.43164464</v>
      </c>
      <c r="AK3973" s="10">
        <f>-0.0059*1.67^2+68.478*1.67-14.154</f>
        <v>100.18780548999999</v>
      </c>
      <c r="AL3973" s="10" t="str">
        <f t="shared" si="450"/>
        <v>y=-7.042*1.67^2+106.99*1.67-46.227</v>
      </c>
      <c r="AM3973" s="10" t="str">
        <f t="shared" si="450"/>
        <v>y=-5.1889*1.67^2+102.33*1.67-44.163</v>
      </c>
      <c r="AN3973" s="10" t="str">
        <f t="shared" si="450"/>
        <v>y=-1.8824*1.67^2+87.341*1.67-33.178</v>
      </c>
      <c r="AO3973" s="10" t="str">
        <f t="shared" si="451"/>
        <v>FALSE</v>
      </c>
      <c r="AP3973" s="10" t="str">
        <f t="shared" si="451"/>
        <v>y=-0.0059*1.67^2+68.478*1.67-14.154</v>
      </c>
      <c r="AQ3973" s="10" t="str">
        <f>IF(AND(I3973="TP",S3973&lt;=150),VLOOKUP(AF3973,TPCalibEq150!$AZ$2:$BB$55,3,),IF(AND(I3973="TDP",S3973&lt;=150),VLOOKUP(AF3973,TPCalibEq150!$AZ$2:$BB$55,3,)))</f>
        <v>y=-7.042x2+106.99x-46.227</v>
      </c>
      <c r="AR3973" s="10" t="str">
        <f>IF(AND(I3973="TP",S3973&lt;=300),VLOOKUP(AF3973,TPCalibEq300!$AZ$2:$BB$55,3,),IF(AND(I3973="TDP",S3973&lt;=300),VLOOKUP(AF3973,TPCalibEq300!$AZ$2:$BB$55,3,)))</f>
        <v>y=-5.1889x2+102.33x-44.163</v>
      </c>
      <c r="AS3973" s="10" t="str">
        <f>IF(AND(I3973="TP",S3973&lt;=500),VLOOKUP(AF3973,TPCalibEq500!$AZ$2:$BB$56,3,),IF(AND(I3973="TDP",S3973&lt;=500),VLOOKUP(AF3973,TPCalibEq500!$AZ$2:$BB$56,3,)))</f>
        <v>y=-1.8824x2+87.341x-33.178</v>
      </c>
      <c r="AT3973" s="10" t="b">
        <f>IF(AND(I3973="TN",S3973&lt;=2800),VLOOKUP(AF3973,TNCalibEq2500!$AZ$2:$BB$56,3,),IF(AND(I3973="TDN",S3973&lt;=2800),VLOOKUP(AF3973,TNCalibEq2500!$AZ$2:$BB$56,3,)))</f>
        <v>0</v>
      </c>
      <c r="AU3973" s="10" t="str">
        <f>IF(I3973="TP",VLOOKUP(AF3973,TPCalibEqFull!$AZ$2:$BB$56,3),IF(I3973="TDP",VLOOKUP(AF3973,TPCalibEqFull!$AZ$2:$BB$56,3),IF(I3973="TDN",VLOOKUP(AF3973,TNCalibEqFull!$AZ$1:$BB$56,3),IF(I3973="TN",VLOOKUP(AF3973,TNCalibEqFull!$AZ$1:$BB$56,3),FALSE))))</f>
        <v>y=-0.0059x2+68.478x-14.154</v>
      </c>
      <c r="AV3973" s="10" t="str">
        <f t="shared" si="456"/>
        <v>0221 11:28:00-EUS-0-FIL-1-SW-UKN</v>
      </c>
    </row>
    <row r="3974" spans="1:48" s="10" customFormat="1" x14ac:dyDescent="0.55000000000000004">
      <c r="A3974" s="32">
        <v>44978</v>
      </c>
      <c r="B3974" s="33">
        <v>0.48055555555555557</v>
      </c>
      <c r="C3974" s="10" t="s">
        <v>431</v>
      </c>
      <c r="D3974" s="10">
        <v>5</v>
      </c>
      <c r="E3974" s="10" t="s">
        <v>911</v>
      </c>
      <c r="F3974" s="10">
        <v>1</v>
      </c>
      <c r="G3974" s="10" t="s">
        <v>231</v>
      </c>
      <c r="H3974" s="10" t="s">
        <v>322</v>
      </c>
      <c r="I3974" s="10" t="s">
        <v>266</v>
      </c>
      <c r="J3974" s="10">
        <v>48</v>
      </c>
      <c r="K3974" s="12">
        <v>44980</v>
      </c>
      <c r="L3974" s="33">
        <v>0.48655092592592591</v>
      </c>
      <c r="M3974" s="10">
        <v>1</v>
      </c>
      <c r="N3974" s="10" t="s">
        <v>84</v>
      </c>
      <c r="O3974" s="10">
        <v>1.77</v>
      </c>
      <c r="P3974" s="10">
        <v>0.124</v>
      </c>
      <c r="Q3974" s="10">
        <v>107</v>
      </c>
      <c r="R3974" s="10" t="s">
        <v>85</v>
      </c>
      <c r="S3974" s="34">
        <f t="shared" si="453"/>
        <v>121.08341819999998</v>
      </c>
      <c r="T3974" s="10" t="s">
        <v>1299</v>
      </c>
      <c r="U3974" s="34" t="str">
        <f t="shared" si="454"/>
        <v/>
      </c>
      <c r="V3974" s="31" t="str">
        <f>IF(H3974="CHK",VLOOKUP(I3974,QCCHK,3,),IF(H3974="GUP",VLOOKUP(E3974,QCGUP,2,),IF(AND(H3974="ATP",OR(I3974="TN",I3974="TDN",I3974="TNO2-3",I3974="NO2-3")),VLOOKUP(E3974,QCREC_N,2,),IF(AND(H3974="NIC",OR(I3974="TN",I3974="TDN",I3974="TNO2-3",I3974="NO2-3")),VLOOKUP(E3974,QCNIC_N,2,),IF(AND(H3974="UREA",OR(I3974="TN",I3974="TDN",I3974="TNO2-3",I3974="NO2-3")),VLOOKUP(E3974,QCUREA_N,2,),IF(H3974="PER",VLOOKUP(I3974,QCPER,MATCH(E3974,QCACTUAL!$J$25:$AA$25,0),),IF(H3974="SPK",VLOOKUP(I3974,QCSPK,3,),IF(AND(H3974="ATP",OR(I3974="TP",I3974="TDP")),VLOOKUP(E3974,QCATP_P,2,),""))))))))</f>
        <v/>
      </c>
      <c r="W3974" s="31" t="str">
        <f t="shared" si="455"/>
        <v>TRUE</v>
      </c>
      <c r="X3974" s="31" t="str">
        <f t="shared" si="452"/>
        <v/>
      </c>
      <c r="Y3974" s="10" t="s">
        <v>1285</v>
      </c>
      <c r="AF3974" s="12">
        <v>44980</v>
      </c>
      <c r="AG3974" s="10">
        <f>-7.042*1.77^2+106.99*1.77-46.227</f>
        <v>121.08341819999998</v>
      </c>
      <c r="AH3974" s="10">
        <f>-5.1889*1.77^2+102.33*1.77-44.163</f>
        <v>120.70479518999998</v>
      </c>
      <c r="AI3974" s="10">
        <f>-1.8824*1.77^2+87.341*1.77-33.178</f>
        <v>115.51819904000001</v>
      </c>
      <c r="AK3974" s="10">
        <f>-0.0059*1.77^2+68.478*1.77-14.154</f>
        <v>107.03357588999999</v>
      </c>
      <c r="AL3974" s="10" t="str">
        <f t="shared" si="450"/>
        <v>y=-7.042*1.77^2+106.99*1.77-46.227</v>
      </c>
      <c r="AM3974" s="10" t="str">
        <f t="shared" si="450"/>
        <v>y=-5.1889*1.77^2+102.33*1.77-44.163</v>
      </c>
      <c r="AN3974" s="10" t="str">
        <f t="shared" si="450"/>
        <v>y=-1.8824*1.77^2+87.341*1.77-33.178</v>
      </c>
      <c r="AO3974" s="10" t="str">
        <f t="shared" si="451"/>
        <v>FALSE</v>
      </c>
      <c r="AP3974" s="10" t="str">
        <f t="shared" si="451"/>
        <v>y=-0.0059*1.77^2+68.478*1.77-14.154</v>
      </c>
      <c r="AQ3974" s="10" t="str">
        <f>IF(AND(I3974="TP",S3974&lt;=150),VLOOKUP(AF3974,TPCalibEq150!$AZ$2:$BB$55,3,),IF(AND(I3974="TDP",S3974&lt;=150),VLOOKUP(AF3974,TPCalibEq150!$AZ$2:$BB$55,3,)))</f>
        <v>y=-7.042x2+106.99x-46.227</v>
      </c>
      <c r="AR3974" s="10" t="str">
        <f>IF(AND(I3974="TP",S3974&lt;=300),VLOOKUP(AF3974,TPCalibEq300!$AZ$2:$BB$55,3,),IF(AND(I3974="TDP",S3974&lt;=300),VLOOKUP(AF3974,TPCalibEq300!$AZ$2:$BB$55,3,)))</f>
        <v>y=-5.1889x2+102.33x-44.163</v>
      </c>
      <c r="AS3974" s="10" t="str">
        <f>IF(AND(I3974="TP",S3974&lt;=500),VLOOKUP(AF3974,TPCalibEq500!$AZ$2:$BB$56,3,),IF(AND(I3974="TDP",S3974&lt;=500),VLOOKUP(AF3974,TPCalibEq500!$AZ$2:$BB$56,3,)))</f>
        <v>y=-1.8824x2+87.341x-33.178</v>
      </c>
      <c r="AT3974" s="10" t="b">
        <f>IF(AND(I3974="TN",S3974&lt;=2800),VLOOKUP(AF3974,TNCalibEq2500!$AZ$2:$BB$56,3,),IF(AND(I3974="TDN",S3974&lt;=2800),VLOOKUP(AF3974,TNCalibEq2500!$AZ$2:$BB$56,3,)))</f>
        <v>0</v>
      </c>
      <c r="AU3974" s="10" t="str">
        <f>IF(I3974="TP",VLOOKUP(AF3974,TPCalibEqFull!$AZ$2:$BB$56,3),IF(I3974="TDP",VLOOKUP(AF3974,TPCalibEqFull!$AZ$2:$BB$56,3),IF(I3974="TDN",VLOOKUP(AF3974,TNCalibEqFull!$AZ$1:$BB$56,3),IF(I3974="TN",VLOOKUP(AF3974,TNCalibEqFull!$AZ$1:$BB$56,3),FALSE))))</f>
        <v>y=-0.0059x2+68.478x-14.154</v>
      </c>
      <c r="AV3974" s="10" t="str">
        <f t="shared" si="456"/>
        <v>0221 11:32:00-EUS-5-FIL-1-SW-UKN</v>
      </c>
    </row>
    <row r="3975" spans="1:48" s="10" customFormat="1" x14ac:dyDescent="0.55000000000000004">
      <c r="A3975" s="32">
        <v>44978</v>
      </c>
      <c r="B3975" s="33">
        <v>0.49444444444444446</v>
      </c>
      <c r="C3975" s="10" t="s">
        <v>618</v>
      </c>
      <c r="D3975" s="10">
        <v>0</v>
      </c>
      <c r="E3975" s="10" t="s">
        <v>911</v>
      </c>
      <c r="F3975" s="10">
        <v>1</v>
      </c>
      <c r="G3975" s="10" t="s">
        <v>231</v>
      </c>
      <c r="H3975" s="10" t="s">
        <v>322</v>
      </c>
      <c r="I3975" s="10" t="s">
        <v>266</v>
      </c>
      <c r="J3975" s="10">
        <v>49</v>
      </c>
      <c r="K3975" s="12">
        <v>44980</v>
      </c>
      <c r="L3975" s="33">
        <v>0.48724537037037036</v>
      </c>
      <c r="M3975" s="10">
        <v>1</v>
      </c>
      <c r="N3975" s="10" t="s">
        <v>84</v>
      </c>
      <c r="O3975" s="10">
        <v>1.88</v>
      </c>
      <c r="P3975" s="10">
        <v>0.13200000000000001</v>
      </c>
      <c r="Q3975" s="10">
        <v>115</v>
      </c>
      <c r="R3975" s="10" t="s">
        <v>85</v>
      </c>
      <c r="S3975" s="34">
        <f t="shared" si="453"/>
        <v>130.02495519999997</v>
      </c>
      <c r="T3975" s="10" t="s">
        <v>1299</v>
      </c>
      <c r="U3975" s="34" t="str">
        <f t="shared" si="454"/>
        <v/>
      </c>
      <c r="V3975" s="31" t="str">
        <f>IF(H3975="CHK",VLOOKUP(I3975,QCCHK,3,),IF(H3975="GUP",VLOOKUP(E3975,QCGUP,2,),IF(AND(H3975="ATP",OR(I3975="TN",I3975="TDN",I3975="TNO2-3",I3975="NO2-3")),VLOOKUP(E3975,QCREC_N,2,),IF(AND(H3975="NIC",OR(I3975="TN",I3975="TDN",I3975="TNO2-3",I3975="NO2-3")),VLOOKUP(E3975,QCNIC_N,2,),IF(AND(H3975="UREA",OR(I3975="TN",I3975="TDN",I3975="TNO2-3",I3975="NO2-3")),VLOOKUP(E3975,QCUREA_N,2,),IF(H3975="PER",VLOOKUP(I3975,QCPER,MATCH(E3975,QCACTUAL!$J$25:$AA$25,0),),IF(H3975="SPK",VLOOKUP(I3975,QCSPK,3,),IF(AND(H3975="ATP",OR(I3975="TP",I3975="TDP")),VLOOKUP(E3975,QCATP_P,2,),""))))))))</f>
        <v/>
      </c>
      <c r="W3975" s="31" t="str">
        <f t="shared" si="455"/>
        <v>TRUE</v>
      </c>
      <c r="X3975" s="31" t="str">
        <f t="shared" si="452"/>
        <v/>
      </c>
      <c r="Y3975" s="10" t="s">
        <v>1285</v>
      </c>
      <c r="AF3975" s="12">
        <v>44980</v>
      </c>
      <c r="AG3975" s="10">
        <f>-7.042*1.88^2+106.99*1.88-46.227</f>
        <v>130.02495519999997</v>
      </c>
      <c r="AH3975" s="10">
        <f>-5.1889*1.88^2+102.33*1.88-44.163</f>
        <v>129.87775183999997</v>
      </c>
      <c r="AI3975" s="10">
        <f>-1.8824*1.88^2+87.341*1.88-33.178</f>
        <v>124.36992544</v>
      </c>
      <c r="AK3975" s="10">
        <f>-0.0059*1.88^2+68.478*1.88-14.154</f>
        <v>114.56378703999997</v>
      </c>
      <c r="AL3975" s="10" t="str">
        <f t="shared" si="450"/>
        <v>y=-7.042*1.88^2+106.99*1.88-46.227</v>
      </c>
      <c r="AM3975" s="10" t="str">
        <f t="shared" si="450"/>
        <v>y=-5.1889*1.88^2+102.33*1.88-44.163</v>
      </c>
      <c r="AN3975" s="10" t="str">
        <f t="shared" si="450"/>
        <v>y=-1.8824*1.88^2+87.341*1.88-33.178</v>
      </c>
      <c r="AO3975" s="10" t="str">
        <f t="shared" si="451"/>
        <v>FALSE</v>
      </c>
      <c r="AP3975" s="10" t="str">
        <f t="shared" si="451"/>
        <v>y=-0.0059*1.88^2+68.478*1.88-14.154</v>
      </c>
      <c r="AQ3975" s="10" t="str">
        <f>IF(AND(I3975="TP",S3975&lt;=150),VLOOKUP(AF3975,TPCalibEq150!$AZ$2:$BB$55,3,),IF(AND(I3975="TDP",S3975&lt;=150),VLOOKUP(AF3975,TPCalibEq150!$AZ$2:$BB$55,3,)))</f>
        <v>y=-7.042x2+106.99x-46.227</v>
      </c>
      <c r="AR3975" s="10" t="str">
        <f>IF(AND(I3975="TP",S3975&lt;=300),VLOOKUP(AF3975,TPCalibEq300!$AZ$2:$BB$55,3,),IF(AND(I3975="TDP",S3975&lt;=300),VLOOKUP(AF3975,TPCalibEq300!$AZ$2:$BB$55,3,)))</f>
        <v>y=-5.1889x2+102.33x-44.163</v>
      </c>
      <c r="AS3975" s="10" t="str">
        <f>IF(AND(I3975="TP",S3975&lt;=500),VLOOKUP(AF3975,TPCalibEq500!$AZ$2:$BB$56,3,),IF(AND(I3975="TDP",S3975&lt;=500),VLOOKUP(AF3975,TPCalibEq500!$AZ$2:$BB$56,3,)))</f>
        <v>y=-1.8824x2+87.341x-33.178</v>
      </c>
      <c r="AT3975" s="10" t="b">
        <f>IF(AND(I3975="TN",S3975&lt;=2800),VLOOKUP(AF3975,TNCalibEq2500!$AZ$2:$BB$56,3,),IF(AND(I3975="TDN",S3975&lt;=2800),VLOOKUP(AF3975,TNCalibEq2500!$AZ$2:$BB$56,3,)))</f>
        <v>0</v>
      </c>
      <c r="AU3975" s="10" t="str">
        <f>IF(I3975="TP",VLOOKUP(AF3975,TPCalibEqFull!$AZ$2:$BB$56,3),IF(I3975="TDP",VLOOKUP(AF3975,TPCalibEqFull!$AZ$2:$BB$56,3),IF(I3975="TDN",VLOOKUP(AF3975,TNCalibEqFull!$AZ$1:$BB$56,3),IF(I3975="TN",VLOOKUP(AF3975,TNCalibEqFull!$AZ$1:$BB$56,3),FALSE))))</f>
        <v>y=-0.0059x2+68.478x-14.154</v>
      </c>
      <c r="AV3975" s="10" t="str">
        <f t="shared" si="456"/>
        <v>0221 11:52:00-ECP-0-FIL-1-SW-UKN</v>
      </c>
    </row>
    <row r="3976" spans="1:48" s="10" customFormat="1" x14ac:dyDescent="0.55000000000000004">
      <c r="A3976" s="32">
        <v>44978</v>
      </c>
      <c r="B3976" s="33">
        <v>0.49444444444444446</v>
      </c>
      <c r="C3976" s="10" t="s">
        <v>618</v>
      </c>
      <c r="D3976" s="10">
        <v>0</v>
      </c>
      <c r="E3976" s="10" t="s">
        <v>911</v>
      </c>
      <c r="F3976" s="10">
        <v>2</v>
      </c>
      <c r="G3976" s="10" t="s">
        <v>231</v>
      </c>
      <c r="H3976" s="10" t="s">
        <v>322</v>
      </c>
      <c r="I3976" s="10" t="s">
        <v>266</v>
      </c>
      <c r="J3976" s="10">
        <v>50</v>
      </c>
      <c r="K3976" s="12">
        <v>44980</v>
      </c>
      <c r="L3976" s="33">
        <v>0.4879398148148148</v>
      </c>
      <c r="M3976" s="10">
        <v>1</v>
      </c>
      <c r="N3976" s="10" t="s">
        <v>84</v>
      </c>
      <c r="O3976" s="10">
        <v>1.83</v>
      </c>
      <c r="P3976" s="10">
        <v>0.129</v>
      </c>
      <c r="Q3976" s="10">
        <v>112</v>
      </c>
      <c r="R3976" s="10" t="s">
        <v>85</v>
      </c>
      <c r="S3976" s="34">
        <f t="shared" si="453"/>
        <v>125.98174619999998</v>
      </c>
      <c r="T3976" s="10" t="s">
        <v>1299</v>
      </c>
      <c r="U3976" s="34" t="str">
        <f t="shared" si="454"/>
        <v/>
      </c>
      <c r="V3976" s="31" t="str">
        <f>IF(H3976="CHK",VLOOKUP(I3976,QCCHK,3,),IF(H3976="GUP",VLOOKUP(E3976,QCGUP,2,),IF(AND(H3976="ATP",OR(I3976="TN",I3976="TDN",I3976="TNO2-3",I3976="NO2-3")),VLOOKUP(E3976,QCREC_N,2,),IF(AND(H3976="NIC",OR(I3976="TN",I3976="TDN",I3976="TNO2-3",I3976="NO2-3")),VLOOKUP(E3976,QCNIC_N,2,),IF(AND(H3976="UREA",OR(I3976="TN",I3976="TDN",I3976="TNO2-3",I3976="NO2-3")),VLOOKUP(E3976,QCUREA_N,2,),IF(H3976="PER",VLOOKUP(I3976,QCPER,MATCH(E3976,QCACTUAL!$J$25:$AA$25,0),),IF(H3976="SPK",VLOOKUP(I3976,QCSPK,3,),IF(AND(H3976="ATP",OR(I3976="TP",I3976="TDP")),VLOOKUP(E3976,QCATP_P,2,),""))))))))</f>
        <v/>
      </c>
      <c r="W3976" s="31" t="str">
        <f t="shared" si="455"/>
        <v>TRUE</v>
      </c>
      <c r="X3976" s="31" t="str">
        <f t="shared" si="452"/>
        <v/>
      </c>
      <c r="Y3976" s="10" t="s">
        <v>1285</v>
      </c>
      <c r="AF3976" s="12">
        <v>44980</v>
      </c>
      <c r="AG3976" s="10">
        <f>-7.042*1.83^2+106.99*1.83-46.227</f>
        <v>125.98174619999998</v>
      </c>
      <c r="AH3976" s="10">
        <f>-5.1889*1.83^2+102.33*1.83-44.163</f>
        <v>125.72379279000002</v>
      </c>
      <c r="AI3976" s="10">
        <f>-1.8824*1.83^2+87.341*1.83-33.178</f>
        <v>120.35206063999999</v>
      </c>
      <c r="AK3976" s="10">
        <f>-0.0059*1.83^2+68.478*1.83-14.154</f>
        <v>111.14098149</v>
      </c>
      <c r="AL3976" s="10" t="str">
        <f t="shared" si="450"/>
        <v>y=-7.042*1.83^2+106.99*1.83-46.227</v>
      </c>
      <c r="AM3976" s="10" t="str">
        <f t="shared" si="450"/>
        <v>y=-5.1889*1.83^2+102.33*1.83-44.163</v>
      </c>
      <c r="AN3976" s="10" t="str">
        <f t="shared" si="450"/>
        <v>y=-1.8824*1.83^2+87.341*1.83-33.178</v>
      </c>
      <c r="AO3976" s="10" t="str">
        <f t="shared" si="451"/>
        <v>FALSE</v>
      </c>
      <c r="AP3976" s="10" t="str">
        <f t="shared" si="451"/>
        <v>y=-0.0059*1.83^2+68.478*1.83-14.154</v>
      </c>
      <c r="AQ3976" s="10" t="str">
        <f>IF(AND(I3976="TP",S3976&lt;=150),VLOOKUP(AF3976,TPCalibEq150!$AZ$2:$BB$55,3,),IF(AND(I3976="TDP",S3976&lt;=150),VLOOKUP(AF3976,TPCalibEq150!$AZ$2:$BB$55,3,)))</f>
        <v>y=-7.042x2+106.99x-46.227</v>
      </c>
      <c r="AR3976" s="10" t="str">
        <f>IF(AND(I3976="TP",S3976&lt;=300),VLOOKUP(AF3976,TPCalibEq300!$AZ$2:$BB$55,3,),IF(AND(I3976="TDP",S3976&lt;=300),VLOOKUP(AF3976,TPCalibEq300!$AZ$2:$BB$55,3,)))</f>
        <v>y=-5.1889x2+102.33x-44.163</v>
      </c>
      <c r="AS3976" s="10" t="str">
        <f>IF(AND(I3976="TP",S3976&lt;=500),VLOOKUP(AF3976,TPCalibEq500!$AZ$2:$BB$56,3,),IF(AND(I3976="TDP",S3976&lt;=500),VLOOKUP(AF3976,TPCalibEq500!$AZ$2:$BB$56,3,)))</f>
        <v>y=-1.8824x2+87.341x-33.178</v>
      </c>
      <c r="AT3976" s="10" t="b">
        <f>IF(AND(I3976="TN",S3976&lt;=2800),VLOOKUP(AF3976,TNCalibEq2500!$AZ$2:$BB$56,3,),IF(AND(I3976="TDN",S3976&lt;=2800),VLOOKUP(AF3976,TNCalibEq2500!$AZ$2:$BB$56,3,)))</f>
        <v>0</v>
      </c>
      <c r="AU3976" s="10" t="str">
        <f>IF(I3976="TP",VLOOKUP(AF3976,TPCalibEqFull!$AZ$2:$BB$56,3),IF(I3976="TDP",VLOOKUP(AF3976,TPCalibEqFull!$AZ$2:$BB$56,3),IF(I3976="TDN",VLOOKUP(AF3976,TNCalibEqFull!$AZ$1:$BB$56,3),IF(I3976="TN",VLOOKUP(AF3976,TNCalibEqFull!$AZ$1:$BB$56,3),FALSE))))</f>
        <v>y=-0.0059x2+68.478x-14.154</v>
      </c>
      <c r="AV3976" s="10" t="str">
        <f t="shared" si="456"/>
        <v>0221 11:52:00-ECP-0-FIL-2-SW-UKN</v>
      </c>
    </row>
    <row r="3977" spans="1:48" s="10" customFormat="1" x14ac:dyDescent="0.55000000000000004">
      <c r="A3977" s="32">
        <v>44978</v>
      </c>
      <c r="B3977" s="33">
        <v>0.49444444444444446</v>
      </c>
      <c r="C3977" s="10" t="s">
        <v>618</v>
      </c>
      <c r="D3977" s="10">
        <v>0</v>
      </c>
      <c r="E3977" s="10" t="s">
        <v>911</v>
      </c>
      <c r="F3977" s="10">
        <v>2</v>
      </c>
      <c r="G3977" s="10" t="s">
        <v>231</v>
      </c>
      <c r="H3977" s="10" t="s">
        <v>233</v>
      </c>
      <c r="I3977" s="10" t="s">
        <v>266</v>
      </c>
      <c r="J3977" s="10">
        <v>50</v>
      </c>
      <c r="K3977" s="12">
        <v>44980</v>
      </c>
      <c r="L3977" s="33">
        <v>0.48864583333333328</v>
      </c>
      <c r="M3977" s="10">
        <v>1</v>
      </c>
      <c r="N3977" s="10" t="s">
        <v>84</v>
      </c>
      <c r="O3977" s="10">
        <v>1.82</v>
      </c>
      <c r="P3977" s="10">
        <v>0.129</v>
      </c>
      <c r="Q3977" s="10">
        <v>111</v>
      </c>
      <c r="R3977" s="10" t="s">
        <v>85</v>
      </c>
      <c r="S3977" s="34">
        <f t="shared" si="453"/>
        <v>125.16887919999999</v>
      </c>
      <c r="T3977" s="10" t="s">
        <v>1299</v>
      </c>
      <c r="U3977" s="34">
        <f t="shared" si="454"/>
        <v>0.64731433473864886</v>
      </c>
      <c r="V3977" s="31" t="str">
        <f>IF(H3977="CHK",VLOOKUP(I3977,QCCHK,3,),IF(H3977="GUP",VLOOKUP(E3977,QCGUP,2,),IF(AND(H3977="ATP",OR(I3977="TN",I3977="TDN",I3977="TNO2-3",I3977="NO2-3")),VLOOKUP(E3977,QCREC_N,2,),IF(AND(H3977="NIC",OR(I3977="TN",I3977="TDN",I3977="TNO2-3",I3977="NO2-3")),VLOOKUP(E3977,QCNIC_N,2,),IF(AND(H3977="UREA",OR(I3977="TN",I3977="TDN",I3977="TNO2-3",I3977="NO2-3")),VLOOKUP(E3977,QCUREA_N,2,),IF(H3977="PER",VLOOKUP(I3977,QCPER,MATCH(E3977,QCACTUAL!$J$25:$AA$25,0),),IF(H3977="SPK",VLOOKUP(I3977,QCSPK,3,),IF(AND(H3977="ATP",OR(I3977="TP",I3977="TDP")),VLOOKUP(E3977,QCATP_P,2,),""))))))))</f>
        <v/>
      </c>
      <c r="W3977" s="31" t="str">
        <f t="shared" si="455"/>
        <v>TRUE</v>
      </c>
      <c r="X3977" s="31" t="str">
        <f t="shared" si="452"/>
        <v>((ABS(rep1-rep2))/((rep1+rep2)/2)*100</v>
      </c>
      <c r="Y3977" s="10" t="s">
        <v>1285</v>
      </c>
      <c r="AF3977" s="12">
        <v>44980</v>
      </c>
      <c r="AG3977" s="10">
        <f>-7.042*1.82^2+106.99*1.82-46.227</f>
        <v>125.16887919999999</v>
      </c>
      <c r="AH3977" s="10">
        <f>-5.1889*1.82^2+102.33*1.82-44.163</f>
        <v>124.88988764</v>
      </c>
      <c r="AI3977" s="10">
        <f>-1.8824*1.82^2+87.341*1.82-33.178</f>
        <v>119.54735823999999</v>
      </c>
      <c r="AK3977" s="10">
        <f>-0.0059*1.82^2+68.478*1.82-14.154</f>
        <v>110.45641684</v>
      </c>
      <c r="AL3977" s="10" t="str">
        <f t="shared" si="450"/>
        <v>y=-7.042*1.82^2+106.99*1.82-46.227</v>
      </c>
      <c r="AM3977" s="10" t="str">
        <f t="shared" si="450"/>
        <v>y=-5.1889*1.82^2+102.33*1.82-44.163</v>
      </c>
      <c r="AN3977" s="10" t="str">
        <f t="shared" si="450"/>
        <v>y=-1.8824*1.82^2+87.341*1.82-33.178</v>
      </c>
      <c r="AO3977" s="10" t="str">
        <f t="shared" si="451"/>
        <v>FALSE</v>
      </c>
      <c r="AP3977" s="10" t="str">
        <f t="shared" si="451"/>
        <v>y=-0.0059*1.82^2+68.478*1.82-14.154</v>
      </c>
      <c r="AQ3977" s="10" t="str">
        <f>IF(AND(I3977="TP",S3977&lt;=150),VLOOKUP(AF3977,TPCalibEq150!$AZ$2:$BB$55,3,),IF(AND(I3977="TDP",S3977&lt;=150),VLOOKUP(AF3977,TPCalibEq150!$AZ$2:$BB$55,3,)))</f>
        <v>y=-7.042x2+106.99x-46.227</v>
      </c>
      <c r="AR3977" s="10" t="str">
        <f>IF(AND(I3977="TP",S3977&lt;=300),VLOOKUP(AF3977,TPCalibEq300!$AZ$2:$BB$55,3,),IF(AND(I3977="TDP",S3977&lt;=300),VLOOKUP(AF3977,TPCalibEq300!$AZ$2:$BB$55,3,)))</f>
        <v>y=-5.1889x2+102.33x-44.163</v>
      </c>
      <c r="AS3977" s="10" t="str">
        <f>IF(AND(I3977="TP",S3977&lt;=500),VLOOKUP(AF3977,TPCalibEq500!$AZ$2:$BB$56,3,),IF(AND(I3977="TDP",S3977&lt;=500),VLOOKUP(AF3977,TPCalibEq500!$AZ$2:$BB$56,3,)))</f>
        <v>y=-1.8824x2+87.341x-33.178</v>
      </c>
      <c r="AT3977" s="10" t="b">
        <f>IF(AND(I3977="TN",S3977&lt;=2800),VLOOKUP(AF3977,TNCalibEq2500!$AZ$2:$BB$56,3,),IF(AND(I3977="TDN",S3977&lt;=2800),VLOOKUP(AF3977,TNCalibEq2500!$AZ$2:$BB$56,3,)))</f>
        <v>0</v>
      </c>
      <c r="AU3977" s="10" t="str">
        <f>IF(I3977="TP",VLOOKUP(AF3977,TPCalibEqFull!$AZ$2:$BB$56,3),IF(I3977="TDP",VLOOKUP(AF3977,TPCalibEqFull!$AZ$2:$BB$56,3),IF(I3977="TDN",VLOOKUP(AF3977,TNCalibEqFull!$AZ$1:$BB$56,3),IF(I3977="TN",VLOOKUP(AF3977,TNCalibEqFull!$AZ$1:$BB$56,3),FALSE))))</f>
        <v>y=-0.0059x2+68.478x-14.154</v>
      </c>
      <c r="AV3977" s="10" t="str">
        <f t="shared" si="456"/>
        <v>0221 11:52:00-ECP-0-FIL-2-SW-DUP</v>
      </c>
    </row>
    <row r="3978" spans="1:48" s="10" customFormat="1" x14ac:dyDescent="0.55000000000000004">
      <c r="A3978" s="32">
        <v>44978</v>
      </c>
      <c r="B3978" s="33">
        <v>0.49444444444444446</v>
      </c>
      <c r="C3978" s="10" t="s">
        <v>618</v>
      </c>
      <c r="D3978" s="10">
        <v>0</v>
      </c>
      <c r="E3978" s="10" t="s">
        <v>911</v>
      </c>
      <c r="F3978" s="10">
        <v>2</v>
      </c>
      <c r="G3978" s="10" t="s">
        <v>231</v>
      </c>
      <c r="H3978" s="10" t="s">
        <v>314</v>
      </c>
      <c r="I3978" s="10" t="s">
        <v>266</v>
      </c>
      <c r="J3978" s="10">
        <v>87</v>
      </c>
      <c r="K3978" s="12">
        <v>44980</v>
      </c>
      <c r="L3978" s="33">
        <v>0.48934027777777778</v>
      </c>
      <c r="M3978" s="10">
        <v>1</v>
      </c>
      <c r="N3978" s="10" t="s">
        <v>84</v>
      </c>
      <c r="O3978" s="10">
        <v>17.5</v>
      </c>
      <c r="P3978" s="10">
        <v>1.24</v>
      </c>
      <c r="Q3978" s="10">
        <v>1180</v>
      </c>
      <c r="R3978" s="10" t="s">
        <v>85</v>
      </c>
      <c r="S3978" s="34">
        <f t="shared" si="453"/>
        <v>1182.404125</v>
      </c>
      <c r="T3978" s="10" t="s">
        <v>1299</v>
      </c>
      <c r="U3978" s="34">
        <f t="shared" si="454"/>
        <v>105.72352458</v>
      </c>
      <c r="V3978" s="31">
        <f>IF(H3978="CHK",VLOOKUP(I3978,QCCHK,3,),IF(H3978="GUP",VLOOKUP(E3978,QCGUP,2,),IF(AND(H3978="ATP",OR(I3978="TN",I3978="TDN",I3978="TNO2-3",I3978="NO2-3")),VLOOKUP(E3978,QCREC_N,2,),IF(AND(H3978="NIC",OR(I3978="TN",I3978="TDN",I3978="TNO2-3",I3978="NO2-3")),VLOOKUP(E3978,QCNIC_N,2,),IF(AND(H3978="UREA",OR(I3978="TN",I3978="TDN",I3978="TNO2-3",I3978="NO2-3")),VLOOKUP(E3978,QCUREA_N,2,),IF(H3978="PER",VLOOKUP(I3978,QCPER,MATCH(E3978,QCACTUAL!$J$25:$AA$25,0),),IF(H3978="SPK",VLOOKUP(I3978,QCSPK,3,),IF(AND(H3978="ATP",OR(I3978="TP",I3978="TDP")),VLOOKUP(E3978,QCATP_P,2,),""))))))))</f>
        <v>1000</v>
      </c>
      <c r="W3978" s="31" t="str">
        <f t="shared" si="455"/>
        <v>TRUE</v>
      </c>
      <c r="X3978" s="31" t="str">
        <f t="shared" si="452"/>
        <v>([spikedunkn]-[unkn])/[spike]*100</v>
      </c>
      <c r="Y3978" s="10" t="s">
        <v>1285</v>
      </c>
      <c r="AF3978" s="12">
        <v>44980</v>
      </c>
      <c r="AK3978" s="10">
        <f>-0.0059*17.5^2+68.478*17.5-14.154</f>
        <v>1182.404125</v>
      </c>
      <c r="AL3978" s="10" t="str">
        <f t="shared" si="450"/>
        <v>FALSE</v>
      </c>
      <c r="AM3978" s="10" t="str">
        <f t="shared" si="450"/>
        <v>FALSE</v>
      </c>
      <c r="AN3978" s="10" t="str">
        <f t="shared" si="450"/>
        <v>FALSE</v>
      </c>
      <c r="AO3978" s="10" t="str">
        <f t="shared" si="451"/>
        <v>FALSE</v>
      </c>
      <c r="AP3978" s="10" t="str">
        <f t="shared" si="451"/>
        <v>y=-0.0059*17.5^2+68.478*17.5-14.154</v>
      </c>
      <c r="AQ3978" s="10" t="b">
        <f>IF(AND(I3978="TP",S3978&lt;=150),VLOOKUP(AF3978,TPCalibEq150!$AZ$2:$BB$55,3,),IF(AND(I3978="TDP",S3978&lt;=150),VLOOKUP(AF3978,TPCalibEq150!$AZ$2:$BB$55,3,)))</f>
        <v>0</v>
      </c>
      <c r="AR3978" s="10" t="b">
        <f>IF(AND(I3978="TP",S3978&lt;=300),VLOOKUP(AF3978,TPCalibEq300!$AZ$2:$BB$55,3,),IF(AND(I3978="TDP",S3978&lt;=300),VLOOKUP(AF3978,TPCalibEq300!$AZ$2:$BB$55,3,)))</f>
        <v>0</v>
      </c>
      <c r="AS3978" s="10" t="b">
        <f>IF(AND(I3978="TP",S3978&lt;=500),VLOOKUP(AF3978,TPCalibEq500!$AZ$2:$BB$56,3,),IF(AND(I3978="TDP",S3978&lt;=500),VLOOKUP(AF3978,TPCalibEq500!$AZ$2:$BB$56,3,)))</f>
        <v>0</v>
      </c>
      <c r="AT3978" s="10" t="b">
        <f>IF(AND(I3978="TN",S3978&lt;=2800),VLOOKUP(AF3978,TNCalibEq2500!$AZ$2:$BB$56,3,),IF(AND(I3978="TDN",S3978&lt;=2800),VLOOKUP(AF3978,TNCalibEq2500!$AZ$2:$BB$56,3,)))</f>
        <v>0</v>
      </c>
      <c r="AU3978" s="10" t="str">
        <f>IF(I3978="TP",VLOOKUP(AF3978,TPCalibEqFull!$AZ$2:$BB$56,3),IF(I3978="TDP",VLOOKUP(AF3978,TPCalibEqFull!$AZ$2:$BB$56,3),IF(I3978="TDN",VLOOKUP(AF3978,TNCalibEqFull!$AZ$1:$BB$56,3),IF(I3978="TN",VLOOKUP(AF3978,TNCalibEqFull!$AZ$1:$BB$56,3),FALSE))))</f>
        <v>y=-0.0059x2+68.478x-14.154</v>
      </c>
      <c r="AV3978" s="10" t="str">
        <f t="shared" si="456"/>
        <v>0221 11:52:00-ECP-0-FIL-2-SW-SPK</v>
      </c>
    </row>
    <row r="3979" spans="1:48" s="10" customFormat="1" x14ac:dyDescent="0.55000000000000004">
      <c r="A3979" s="32">
        <v>44979</v>
      </c>
      <c r="B3979" s="33">
        <v>0.375</v>
      </c>
      <c r="C3979" s="10" t="s">
        <v>70</v>
      </c>
      <c r="D3979" s="10" t="s">
        <v>71</v>
      </c>
      <c r="E3979" s="10" t="s">
        <v>901</v>
      </c>
      <c r="F3979" s="10">
        <v>1</v>
      </c>
      <c r="G3979" s="10" t="s">
        <v>73</v>
      </c>
      <c r="H3979" s="10" t="s">
        <v>207</v>
      </c>
      <c r="I3979" s="10" t="s">
        <v>83</v>
      </c>
      <c r="J3979" s="10">
        <v>202</v>
      </c>
      <c r="K3979" s="12">
        <v>44980</v>
      </c>
      <c r="L3979" s="33">
        <v>0.49003472222222227</v>
      </c>
      <c r="M3979" s="10">
        <v>1</v>
      </c>
      <c r="N3979" s="10" t="s">
        <v>84</v>
      </c>
      <c r="O3979" s="10">
        <v>7.93</v>
      </c>
      <c r="P3979" s="10">
        <v>0.57199999999999995</v>
      </c>
      <c r="Q3979" s="10">
        <v>526</v>
      </c>
      <c r="R3979" s="10" t="s">
        <v>85</v>
      </c>
      <c r="S3979" s="34">
        <f t="shared" si="453"/>
        <v>528.50551909000001</v>
      </c>
      <c r="T3979" s="10" t="s">
        <v>1299</v>
      </c>
      <c r="U3979" s="34">
        <f t="shared" si="454"/>
        <v>105.70110381799999</v>
      </c>
      <c r="V3979" s="31">
        <f>IF(H3979="CHK",VLOOKUP(I3979,QCCHK,3,),IF(H3979="GUP",VLOOKUP(E3979,QCGUP,2,),IF(AND(H3979="ATP",OR(I3979="TN",I3979="TDN",I3979="TNO2-3",I3979="NO2-3")),VLOOKUP(E3979,QCREC_N,2,),IF(AND(H3979="NIC",OR(I3979="TN",I3979="TDN",I3979="TNO2-3",I3979="NO2-3")),VLOOKUP(E3979,QCNIC_N,2,),IF(AND(H3979="UREA",OR(I3979="TN",I3979="TDN",I3979="TNO2-3",I3979="NO2-3")),VLOOKUP(E3979,QCUREA_N,2,),IF(H3979="PER",VLOOKUP(I3979,QCPER,MATCH(E3979,QCACTUAL!$J$25:$AA$25,0),),IF(H3979="SPK",VLOOKUP(I3979,QCSPK,3,),IF(AND(H3979="ATP",OR(I3979="TP",I3979="TDP")),VLOOKUP(E3979,QCATP_P,2,),""))))))))</f>
        <v>500</v>
      </c>
      <c r="W3979" s="31" t="str">
        <f t="shared" si="455"/>
        <v>TRUE</v>
      </c>
      <c r="X3979" s="31" t="str">
        <f t="shared" si="452"/>
        <v>[chk]/[actual]*100</v>
      </c>
      <c r="Y3979" s="10" t="s">
        <v>1285</v>
      </c>
      <c r="AF3979" s="12">
        <v>44980</v>
      </c>
      <c r="AK3979" s="10">
        <f>-0.0059*7.93^2+68.478*7.93-14.154</f>
        <v>528.50551909000001</v>
      </c>
      <c r="AL3979" s="10" t="str">
        <f t="shared" si="450"/>
        <v>FALSE</v>
      </c>
      <c r="AM3979" s="10" t="str">
        <f t="shared" si="450"/>
        <v>FALSE</v>
      </c>
      <c r="AN3979" s="10" t="str">
        <f t="shared" si="450"/>
        <v>FALSE</v>
      </c>
      <c r="AO3979" s="10" t="str">
        <f t="shared" si="451"/>
        <v>FALSE</v>
      </c>
      <c r="AP3979" s="10" t="str">
        <f t="shared" si="451"/>
        <v>y=-0.0059*7.93^2+68.478*7.93-14.154</v>
      </c>
      <c r="AQ3979" s="10" t="b">
        <f>IF(AND(I3979="TP",S3979&lt;=150),VLOOKUP(AF3979,TPCalibEq150!$AZ$2:$BB$55,3,),IF(AND(I3979="TDP",S3979&lt;=150),VLOOKUP(AF3979,TPCalibEq150!$AZ$2:$BB$55,3,)))</f>
        <v>0</v>
      </c>
      <c r="AR3979" s="10" t="b">
        <f>IF(AND(I3979="TP",S3979&lt;=300),VLOOKUP(AF3979,TPCalibEq300!$AZ$2:$BB$55,3,),IF(AND(I3979="TDP",S3979&lt;=300),VLOOKUP(AF3979,TPCalibEq300!$AZ$2:$BB$55,3,)))</f>
        <v>0</v>
      </c>
      <c r="AS3979" s="10" t="b">
        <f>IF(AND(I3979="TP",S3979&lt;=500),VLOOKUP(AF3979,TPCalibEq500!$AZ$2:$BB$56,3,),IF(AND(I3979="TDP",S3979&lt;=500),VLOOKUP(AF3979,TPCalibEq500!$AZ$2:$BB$56,3,)))</f>
        <v>0</v>
      </c>
      <c r="AT3979" s="10" t="b">
        <f>IF(AND(I3979="TN",S3979&lt;=2800),VLOOKUP(AF3979,TNCalibEq2500!$AZ$2:$BB$56,3,),IF(AND(I3979="TDN",S3979&lt;=2800),VLOOKUP(AF3979,TNCalibEq2500!$AZ$2:$BB$56,3,)))</f>
        <v>0</v>
      </c>
      <c r="AU3979" s="10" t="str">
        <f>IF(I3979="TP",VLOOKUP(AF3979,TPCalibEqFull!$AZ$2:$BB$56,3),IF(I3979="TDP",VLOOKUP(AF3979,TPCalibEqFull!$AZ$2:$BB$56,3),IF(I3979="TDN",VLOOKUP(AF3979,TNCalibEqFull!$AZ$1:$BB$56,3),IF(I3979="TN",VLOOKUP(AF3979,TNCalibEqFull!$AZ$1:$BB$56,3),FALSE))))</f>
        <v>y=-0.0059x2+68.478x-14.154</v>
      </c>
      <c r="AV3979" s="10" t="str">
        <f t="shared" si="456"/>
        <v>0222 09:00:00-QAC-STD-D-1-DI-CHK</v>
      </c>
    </row>
    <row r="3980" spans="1:48" s="10" customFormat="1" x14ac:dyDescent="0.55000000000000004">
      <c r="A3980" s="32">
        <v>44978</v>
      </c>
      <c r="B3980" s="33">
        <v>0.49652777777777773</v>
      </c>
      <c r="C3980" s="10" t="s">
        <v>618</v>
      </c>
      <c r="D3980" s="10">
        <v>5</v>
      </c>
      <c r="E3980" s="10" t="s">
        <v>911</v>
      </c>
      <c r="F3980" s="10">
        <v>1</v>
      </c>
      <c r="G3980" s="10" t="s">
        <v>231</v>
      </c>
      <c r="H3980" s="10" t="s">
        <v>322</v>
      </c>
      <c r="I3980" s="10" t="s">
        <v>266</v>
      </c>
      <c r="J3980" s="10">
        <v>51</v>
      </c>
      <c r="K3980" s="12">
        <v>44980</v>
      </c>
      <c r="L3980" s="33">
        <v>0.49074074074074076</v>
      </c>
      <c r="M3980" s="10">
        <v>1</v>
      </c>
      <c r="N3980" s="10" t="s">
        <v>84</v>
      </c>
      <c r="O3980" s="10">
        <v>1.86</v>
      </c>
      <c r="P3980" s="10">
        <v>0.13100000000000001</v>
      </c>
      <c r="Q3980" s="10">
        <v>114</v>
      </c>
      <c r="R3980" s="10" t="s">
        <v>85</v>
      </c>
      <c r="S3980" s="34">
        <f t="shared" si="453"/>
        <v>128.41189679999999</v>
      </c>
      <c r="T3980" s="10" t="s">
        <v>1299</v>
      </c>
      <c r="U3980" s="34" t="str">
        <f t="shared" si="454"/>
        <v/>
      </c>
      <c r="V3980" s="31" t="str">
        <f>IF(H3980="CHK",VLOOKUP(I3980,QCCHK,3,),IF(H3980="GUP",VLOOKUP(E3980,QCGUP,2,),IF(AND(H3980="ATP",OR(I3980="TN",I3980="TDN",I3980="TNO2-3",I3980="NO2-3")),VLOOKUP(E3980,QCREC_N,2,),IF(AND(H3980="NIC",OR(I3980="TN",I3980="TDN",I3980="TNO2-3",I3980="NO2-3")),VLOOKUP(E3980,QCNIC_N,2,),IF(AND(H3980="UREA",OR(I3980="TN",I3980="TDN",I3980="TNO2-3",I3980="NO2-3")),VLOOKUP(E3980,QCUREA_N,2,),IF(H3980="PER",VLOOKUP(I3980,QCPER,MATCH(E3980,QCACTUAL!$J$25:$AA$25,0),),IF(H3980="SPK",VLOOKUP(I3980,QCSPK,3,),IF(AND(H3980="ATP",OR(I3980="TP",I3980="TDP")),VLOOKUP(E3980,QCATP_P,2,),""))))))))</f>
        <v/>
      </c>
      <c r="W3980" s="31" t="str">
        <f t="shared" si="455"/>
        <v>TRUE</v>
      </c>
      <c r="X3980" s="31" t="str">
        <f t="shared" si="452"/>
        <v/>
      </c>
      <c r="Y3980" s="10" t="s">
        <v>1285</v>
      </c>
      <c r="AF3980" s="12">
        <v>44980</v>
      </c>
      <c r="AG3980" s="10">
        <f>-7.042*1.86^2+106.99*1.86-46.227</f>
        <v>128.41189679999999</v>
      </c>
      <c r="AH3980" s="10">
        <f>-5.1889*1.86^2+102.33*1.86-44.163</f>
        <v>128.21928156000001</v>
      </c>
      <c r="AI3980" s="10">
        <f>-1.8824*1.86^2+87.341*1.86-33.178</f>
        <v>122.76390896000001</v>
      </c>
      <c r="AK3980" s="10">
        <f>-0.0059*1.86^2+68.478*1.86-14.154</f>
        <v>113.19466835999999</v>
      </c>
      <c r="AL3980" s="10" t="str">
        <f t="shared" si="450"/>
        <v>y=-7.042*1.86^2+106.99*1.86-46.227</v>
      </c>
      <c r="AM3980" s="10" t="str">
        <f t="shared" si="450"/>
        <v>y=-5.1889*1.86^2+102.33*1.86-44.163</v>
      </c>
      <c r="AN3980" s="10" t="str">
        <f t="shared" si="450"/>
        <v>y=-1.8824*1.86^2+87.341*1.86-33.178</v>
      </c>
      <c r="AO3980" s="10" t="str">
        <f t="shared" si="451"/>
        <v>FALSE</v>
      </c>
      <c r="AP3980" s="10" t="str">
        <f t="shared" si="451"/>
        <v>y=-0.0059*1.86^2+68.478*1.86-14.154</v>
      </c>
      <c r="AQ3980" s="10" t="str">
        <f>IF(AND(I3980="TP",S3980&lt;=150),VLOOKUP(AF3980,TPCalibEq150!$AZ$2:$BB$55,3,),IF(AND(I3980="TDP",S3980&lt;=150),VLOOKUP(AF3980,TPCalibEq150!$AZ$2:$BB$55,3,)))</f>
        <v>y=-7.042x2+106.99x-46.227</v>
      </c>
      <c r="AR3980" s="10" t="str">
        <f>IF(AND(I3980="TP",S3980&lt;=300),VLOOKUP(AF3980,TPCalibEq300!$AZ$2:$BB$55,3,),IF(AND(I3980="TDP",S3980&lt;=300),VLOOKUP(AF3980,TPCalibEq300!$AZ$2:$BB$55,3,)))</f>
        <v>y=-5.1889x2+102.33x-44.163</v>
      </c>
      <c r="AS3980" s="10" t="str">
        <f>IF(AND(I3980="TP",S3980&lt;=500),VLOOKUP(AF3980,TPCalibEq500!$AZ$2:$BB$56,3,),IF(AND(I3980="TDP",S3980&lt;=500),VLOOKUP(AF3980,TPCalibEq500!$AZ$2:$BB$56,3,)))</f>
        <v>y=-1.8824x2+87.341x-33.178</v>
      </c>
      <c r="AT3980" s="10" t="b">
        <f>IF(AND(I3980="TN",S3980&lt;=2800),VLOOKUP(AF3980,TNCalibEq2500!$AZ$2:$BB$56,3,),IF(AND(I3980="TDN",S3980&lt;=2800),VLOOKUP(AF3980,TNCalibEq2500!$AZ$2:$BB$56,3,)))</f>
        <v>0</v>
      </c>
      <c r="AU3980" s="10" t="str">
        <f>IF(I3980="TP",VLOOKUP(AF3980,TPCalibEqFull!$AZ$2:$BB$56,3),IF(I3980="TDP",VLOOKUP(AF3980,TPCalibEqFull!$AZ$2:$BB$56,3),IF(I3980="TDN",VLOOKUP(AF3980,TNCalibEqFull!$AZ$1:$BB$56,3),IF(I3980="TN",VLOOKUP(AF3980,TNCalibEqFull!$AZ$1:$BB$56,3),FALSE))))</f>
        <v>y=-0.0059x2+68.478x-14.154</v>
      </c>
      <c r="AV3980" s="10" t="str">
        <f t="shared" si="456"/>
        <v>0221 11:55:00-ECP-5-FIL-1-SW-UKN</v>
      </c>
    </row>
    <row r="3981" spans="1:48" s="10" customFormat="1" x14ac:dyDescent="0.55000000000000004">
      <c r="A3981" s="32">
        <v>44978</v>
      </c>
      <c r="B3981" s="33">
        <v>0.49861111111111112</v>
      </c>
      <c r="C3981" s="10" t="s">
        <v>618</v>
      </c>
      <c r="D3981" s="10">
        <v>10</v>
      </c>
      <c r="E3981" s="10" t="s">
        <v>911</v>
      </c>
      <c r="F3981" s="10">
        <v>1</v>
      </c>
      <c r="G3981" s="10" t="s">
        <v>231</v>
      </c>
      <c r="H3981" s="10" t="s">
        <v>322</v>
      </c>
      <c r="I3981" s="10" t="s">
        <v>266</v>
      </c>
      <c r="J3981" s="10">
        <v>52</v>
      </c>
      <c r="K3981" s="12">
        <v>44980</v>
      </c>
      <c r="L3981" s="33">
        <v>0.4914351851851852</v>
      </c>
      <c r="M3981" s="10">
        <v>1</v>
      </c>
      <c r="N3981" s="10" t="s">
        <v>84</v>
      </c>
      <c r="O3981" s="10">
        <v>1.9</v>
      </c>
      <c r="P3981" s="10">
        <v>0.13300000000000001</v>
      </c>
      <c r="Q3981" s="10">
        <v>116</v>
      </c>
      <c r="R3981" s="10" t="s">
        <v>85</v>
      </c>
      <c r="S3981" s="34">
        <f t="shared" si="453"/>
        <v>131.63237999999998</v>
      </c>
      <c r="T3981" s="10" t="s">
        <v>1299</v>
      </c>
      <c r="U3981" s="34" t="str">
        <f t="shared" si="454"/>
        <v/>
      </c>
      <c r="V3981" s="31" t="str">
        <f>IF(H3981="CHK",VLOOKUP(I3981,QCCHK,3,),IF(H3981="GUP",VLOOKUP(E3981,QCGUP,2,),IF(AND(H3981="ATP",OR(I3981="TN",I3981="TDN",I3981="TNO2-3",I3981="NO2-3")),VLOOKUP(E3981,QCREC_N,2,),IF(AND(H3981="NIC",OR(I3981="TN",I3981="TDN",I3981="TNO2-3",I3981="NO2-3")),VLOOKUP(E3981,QCNIC_N,2,),IF(AND(H3981="UREA",OR(I3981="TN",I3981="TDN",I3981="TNO2-3",I3981="NO2-3")),VLOOKUP(E3981,QCUREA_N,2,),IF(H3981="PER",VLOOKUP(I3981,QCPER,MATCH(E3981,QCACTUAL!$J$25:$AA$25,0),),IF(H3981="SPK",VLOOKUP(I3981,QCSPK,3,),IF(AND(H3981="ATP",OR(I3981="TP",I3981="TDP")),VLOOKUP(E3981,QCATP_P,2,),""))))))))</f>
        <v/>
      </c>
      <c r="W3981" s="31" t="str">
        <f t="shared" si="455"/>
        <v>TRUE</v>
      </c>
      <c r="X3981" s="31" t="str">
        <f t="shared" si="452"/>
        <v/>
      </c>
      <c r="Y3981" s="10" t="s">
        <v>1285</v>
      </c>
      <c r="AF3981" s="12">
        <v>44980</v>
      </c>
      <c r="AG3981" s="10">
        <f>-7.042*1.9^2+106.99*1.9-46.227</f>
        <v>131.63237999999998</v>
      </c>
      <c r="AH3981" s="10">
        <f>-5.1889*1.9^2+102.33*1.9-44.163</f>
        <v>131.53207099999997</v>
      </c>
      <c r="AI3981" s="10">
        <f>-1.8824*1.9^2+87.341*1.9-33.178</f>
        <v>125.97443599999997</v>
      </c>
      <c r="AK3981" s="10">
        <f>-0.0059*1.9^2+68.478*1.9-14.154</f>
        <v>115.93290099999999</v>
      </c>
      <c r="AL3981" s="10" t="str">
        <f t="shared" si="450"/>
        <v>y=-7.042*1.9^2+106.99*1.9-46.227</v>
      </c>
      <c r="AM3981" s="10" t="str">
        <f t="shared" si="450"/>
        <v>y=-5.1889*1.9^2+102.33*1.9-44.163</v>
      </c>
      <c r="AN3981" s="10" t="str">
        <f t="shared" si="450"/>
        <v>y=-1.8824*1.9^2+87.341*1.9-33.178</v>
      </c>
      <c r="AO3981" s="10" t="str">
        <f t="shared" si="451"/>
        <v>FALSE</v>
      </c>
      <c r="AP3981" s="10" t="str">
        <f t="shared" si="451"/>
        <v>y=-0.0059*1.9^2+68.478*1.9-14.154</v>
      </c>
      <c r="AQ3981" s="10" t="str">
        <f>IF(AND(I3981="TP",S3981&lt;=150),VLOOKUP(AF3981,TPCalibEq150!$AZ$2:$BB$55,3,),IF(AND(I3981="TDP",S3981&lt;=150),VLOOKUP(AF3981,TPCalibEq150!$AZ$2:$BB$55,3,)))</f>
        <v>y=-7.042x2+106.99x-46.227</v>
      </c>
      <c r="AR3981" s="10" t="str">
        <f>IF(AND(I3981="TP",S3981&lt;=300),VLOOKUP(AF3981,TPCalibEq300!$AZ$2:$BB$55,3,),IF(AND(I3981="TDP",S3981&lt;=300),VLOOKUP(AF3981,TPCalibEq300!$AZ$2:$BB$55,3,)))</f>
        <v>y=-5.1889x2+102.33x-44.163</v>
      </c>
      <c r="AS3981" s="10" t="str">
        <f>IF(AND(I3981="TP",S3981&lt;=500),VLOOKUP(AF3981,TPCalibEq500!$AZ$2:$BB$56,3,),IF(AND(I3981="TDP",S3981&lt;=500),VLOOKUP(AF3981,TPCalibEq500!$AZ$2:$BB$56,3,)))</f>
        <v>y=-1.8824x2+87.341x-33.178</v>
      </c>
      <c r="AT3981" s="10" t="b">
        <f>IF(AND(I3981="TN",S3981&lt;=2800),VLOOKUP(AF3981,TNCalibEq2500!$AZ$2:$BB$56,3,),IF(AND(I3981="TDN",S3981&lt;=2800),VLOOKUP(AF3981,TNCalibEq2500!$AZ$2:$BB$56,3,)))</f>
        <v>0</v>
      </c>
      <c r="AU3981" s="10" t="str">
        <f>IF(I3981="TP",VLOOKUP(AF3981,TPCalibEqFull!$AZ$2:$BB$56,3),IF(I3981="TDP",VLOOKUP(AF3981,TPCalibEqFull!$AZ$2:$BB$56,3),IF(I3981="TDN",VLOOKUP(AF3981,TNCalibEqFull!$AZ$1:$BB$56,3),IF(I3981="TN",VLOOKUP(AF3981,TNCalibEqFull!$AZ$1:$BB$56,3),FALSE))))</f>
        <v>y=-0.0059x2+68.478x-14.154</v>
      </c>
      <c r="AV3981" s="10" t="str">
        <f t="shared" si="456"/>
        <v>0221 11:58:00-ECP-10-FIL-1-SW-UKN</v>
      </c>
    </row>
    <row r="3982" spans="1:48" s="10" customFormat="1" x14ac:dyDescent="0.55000000000000004">
      <c r="A3982" s="32">
        <v>44978</v>
      </c>
      <c r="B3982" s="33">
        <v>0.50208333333333333</v>
      </c>
      <c r="C3982" s="10" t="s">
        <v>618</v>
      </c>
      <c r="D3982" s="10">
        <v>20</v>
      </c>
      <c r="E3982" s="10" t="s">
        <v>911</v>
      </c>
      <c r="F3982" s="10">
        <v>1</v>
      </c>
      <c r="G3982" s="10" t="s">
        <v>231</v>
      </c>
      <c r="H3982" s="10" t="s">
        <v>322</v>
      </c>
      <c r="I3982" s="10" t="s">
        <v>266</v>
      </c>
      <c r="J3982" s="10">
        <v>53</v>
      </c>
      <c r="K3982" s="12">
        <v>44980</v>
      </c>
      <c r="L3982" s="33">
        <v>0.49214120370370368</v>
      </c>
      <c r="M3982" s="10">
        <v>1</v>
      </c>
      <c r="N3982" s="10" t="s">
        <v>84</v>
      </c>
      <c r="O3982" s="10">
        <v>1.83</v>
      </c>
      <c r="P3982" s="10">
        <v>0.128</v>
      </c>
      <c r="Q3982" s="10">
        <v>112</v>
      </c>
      <c r="R3982" s="10" t="s">
        <v>85</v>
      </c>
      <c r="S3982" s="34">
        <f t="shared" si="453"/>
        <v>125.98174619999998</v>
      </c>
      <c r="T3982" s="10" t="s">
        <v>1299</v>
      </c>
      <c r="U3982" s="34" t="str">
        <f t="shared" si="454"/>
        <v/>
      </c>
      <c r="V3982" s="31" t="str">
        <f>IF(H3982="CHK",VLOOKUP(I3982,QCCHK,3,),IF(H3982="GUP",VLOOKUP(E3982,QCGUP,2,),IF(AND(H3982="ATP",OR(I3982="TN",I3982="TDN",I3982="TNO2-3",I3982="NO2-3")),VLOOKUP(E3982,QCREC_N,2,),IF(AND(H3982="NIC",OR(I3982="TN",I3982="TDN",I3982="TNO2-3",I3982="NO2-3")),VLOOKUP(E3982,QCNIC_N,2,),IF(AND(H3982="UREA",OR(I3982="TN",I3982="TDN",I3982="TNO2-3",I3982="NO2-3")),VLOOKUP(E3982,QCUREA_N,2,),IF(H3982="PER",VLOOKUP(I3982,QCPER,MATCH(E3982,QCACTUAL!$J$25:$AA$25,0),),IF(H3982="SPK",VLOOKUP(I3982,QCSPK,3,),IF(AND(H3982="ATP",OR(I3982="TP",I3982="TDP")),VLOOKUP(E3982,QCATP_P,2,),""))))))))</f>
        <v/>
      </c>
      <c r="W3982" s="31" t="str">
        <f t="shared" si="455"/>
        <v>TRUE</v>
      </c>
      <c r="X3982" s="31" t="str">
        <f t="shared" si="452"/>
        <v/>
      </c>
      <c r="Y3982" s="10" t="s">
        <v>1285</v>
      </c>
      <c r="AF3982" s="12">
        <v>44980</v>
      </c>
      <c r="AG3982" s="10">
        <f>-7.042*1.83^2+106.99*1.83-46.227</f>
        <v>125.98174619999998</v>
      </c>
      <c r="AH3982" s="10">
        <f>-5.1889*1.83^2+102.33*1.83-44.163</f>
        <v>125.72379279000002</v>
      </c>
      <c r="AI3982" s="10">
        <f>-1.8824*1.83^2+87.341*1.83-33.178</f>
        <v>120.35206063999999</v>
      </c>
      <c r="AK3982" s="10">
        <f>-0.0059*1.83^2+68.478*1.83-14.154</f>
        <v>111.14098149</v>
      </c>
      <c r="AL3982" s="10" t="str">
        <f t="shared" si="450"/>
        <v>y=-7.042*1.83^2+106.99*1.83-46.227</v>
      </c>
      <c r="AM3982" s="10" t="str">
        <f t="shared" si="450"/>
        <v>y=-5.1889*1.83^2+102.33*1.83-44.163</v>
      </c>
      <c r="AN3982" s="10" t="str">
        <f t="shared" si="450"/>
        <v>y=-1.8824*1.83^2+87.341*1.83-33.178</v>
      </c>
      <c r="AO3982" s="10" t="str">
        <f t="shared" si="451"/>
        <v>FALSE</v>
      </c>
      <c r="AP3982" s="10" t="str">
        <f t="shared" si="451"/>
        <v>y=-0.0059*1.83^2+68.478*1.83-14.154</v>
      </c>
      <c r="AQ3982" s="10" t="str">
        <f>IF(AND(I3982="TP",S3982&lt;=150),VLOOKUP(AF3982,TPCalibEq150!$AZ$2:$BB$55,3,),IF(AND(I3982="TDP",S3982&lt;=150),VLOOKUP(AF3982,TPCalibEq150!$AZ$2:$BB$55,3,)))</f>
        <v>y=-7.042x2+106.99x-46.227</v>
      </c>
      <c r="AR3982" s="10" t="str">
        <f>IF(AND(I3982="TP",S3982&lt;=300),VLOOKUP(AF3982,TPCalibEq300!$AZ$2:$BB$55,3,),IF(AND(I3982="TDP",S3982&lt;=300),VLOOKUP(AF3982,TPCalibEq300!$AZ$2:$BB$55,3,)))</f>
        <v>y=-5.1889x2+102.33x-44.163</v>
      </c>
      <c r="AS3982" s="10" t="str">
        <f>IF(AND(I3982="TP",S3982&lt;=500),VLOOKUP(AF3982,TPCalibEq500!$AZ$2:$BB$56,3,),IF(AND(I3982="TDP",S3982&lt;=500),VLOOKUP(AF3982,TPCalibEq500!$AZ$2:$BB$56,3,)))</f>
        <v>y=-1.8824x2+87.341x-33.178</v>
      </c>
      <c r="AT3982" s="10" t="b">
        <f>IF(AND(I3982="TN",S3982&lt;=2800),VLOOKUP(AF3982,TNCalibEq2500!$AZ$2:$BB$56,3,),IF(AND(I3982="TDN",S3982&lt;=2800),VLOOKUP(AF3982,TNCalibEq2500!$AZ$2:$BB$56,3,)))</f>
        <v>0</v>
      </c>
      <c r="AU3982" s="10" t="str">
        <f>IF(I3982="TP",VLOOKUP(AF3982,TPCalibEqFull!$AZ$2:$BB$56,3),IF(I3982="TDP",VLOOKUP(AF3982,TPCalibEqFull!$AZ$2:$BB$56,3),IF(I3982="TDN",VLOOKUP(AF3982,TNCalibEqFull!$AZ$1:$BB$56,3),IF(I3982="TN",VLOOKUP(AF3982,TNCalibEqFull!$AZ$1:$BB$56,3),FALSE))))</f>
        <v>y=-0.0059x2+68.478x-14.154</v>
      </c>
      <c r="AV3982" s="10" t="str">
        <f t="shared" si="456"/>
        <v>0221 12:03:00-ECP-20-FIL-1-SW-UKN</v>
      </c>
    </row>
    <row r="3983" spans="1:48" s="10" customFormat="1" x14ac:dyDescent="0.55000000000000004">
      <c r="A3983" s="32">
        <v>44978</v>
      </c>
      <c r="B3983" s="33">
        <v>0.50416666666666665</v>
      </c>
      <c r="C3983" s="10" t="s">
        <v>618</v>
      </c>
      <c r="D3983" s="10">
        <v>29</v>
      </c>
      <c r="E3983" s="10" t="s">
        <v>911</v>
      </c>
      <c r="F3983" s="10">
        <v>1</v>
      </c>
      <c r="G3983" s="10" t="s">
        <v>231</v>
      </c>
      <c r="H3983" s="10" t="s">
        <v>322</v>
      </c>
      <c r="I3983" s="10" t="s">
        <v>266</v>
      </c>
      <c r="J3983" s="10">
        <v>54</v>
      </c>
      <c r="K3983" s="12">
        <v>44980</v>
      </c>
      <c r="L3983" s="33">
        <v>0.49282407407407408</v>
      </c>
      <c r="M3983" s="10">
        <v>1</v>
      </c>
      <c r="N3983" s="10" t="s">
        <v>84</v>
      </c>
      <c r="O3983" s="10">
        <v>1.86</v>
      </c>
      <c r="P3983" s="10">
        <v>0.13100000000000001</v>
      </c>
      <c r="Q3983" s="10">
        <v>113</v>
      </c>
      <c r="R3983" s="10" t="s">
        <v>85</v>
      </c>
      <c r="S3983" s="34">
        <f t="shared" si="453"/>
        <v>128.41189679999999</v>
      </c>
      <c r="T3983" s="10" t="s">
        <v>1299</v>
      </c>
      <c r="U3983" s="34" t="str">
        <f t="shared" si="454"/>
        <v/>
      </c>
      <c r="V3983" s="31" t="str">
        <f>IF(H3983="CHK",VLOOKUP(I3983,QCCHK,3,),IF(H3983="GUP",VLOOKUP(E3983,QCGUP,2,),IF(AND(H3983="ATP",OR(I3983="TN",I3983="TDN",I3983="TNO2-3",I3983="NO2-3")),VLOOKUP(E3983,QCREC_N,2,),IF(AND(H3983="NIC",OR(I3983="TN",I3983="TDN",I3983="TNO2-3",I3983="NO2-3")),VLOOKUP(E3983,QCNIC_N,2,),IF(AND(H3983="UREA",OR(I3983="TN",I3983="TDN",I3983="TNO2-3",I3983="NO2-3")),VLOOKUP(E3983,QCUREA_N,2,),IF(H3983="PER",VLOOKUP(I3983,QCPER,MATCH(E3983,QCACTUAL!$J$25:$AA$25,0),),IF(H3983="SPK",VLOOKUP(I3983,QCSPK,3,),IF(AND(H3983="ATP",OR(I3983="TP",I3983="TDP")),VLOOKUP(E3983,QCATP_P,2,),""))))))))</f>
        <v/>
      </c>
      <c r="W3983" s="31" t="str">
        <f t="shared" si="455"/>
        <v>TRUE</v>
      </c>
      <c r="X3983" s="31" t="str">
        <f t="shared" si="452"/>
        <v/>
      </c>
      <c r="Y3983" s="10" t="s">
        <v>1285</v>
      </c>
      <c r="AF3983" s="12">
        <v>44980</v>
      </c>
      <c r="AG3983" s="10">
        <f>-7.042*1.86^2+106.99*1.86-46.227</f>
        <v>128.41189679999999</v>
      </c>
      <c r="AH3983" s="10">
        <f>-5.1889*1.86^2+102.33*1.86-44.163</f>
        <v>128.21928156000001</v>
      </c>
      <c r="AI3983" s="10">
        <f>-1.8824*1.86^2+87.341*1.86-33.178</f>
        <v>122.76390896000001</v>
      </c>
      <c r="AK3983" s="10">
        <f>-0.0059*1.86^2+68.478*1.86-14.154</f>
        <v>113.19466835999999</v>
      </c>
      <c r="AL3983" s="10" t="str">
        <f t="shared" si="450"/>
        <v>y=-7.042*1.86^2+106.99*1.86-46.227</v>
      </c>
      <c r="AM3983" s="10" t="str">
        <f t="shared" si="450"/>
        <v>y=-5.1889*1.86^2+102.33*1.86-44.163</v>
      </c>
      <c r="AN3983" s="10" t="str">
        <f t="shared" si="450"/>
        <v>y=-1.8824*1.86^2+87.341*1.86-33.178</v>
      </c>
      <c r="AO3983" s="10" t="str">
        <f t="shared" si="451"/>
        <v>FALSE</v>
      </c>
      <c r="AP3983" s="10" t="str">
        <f t="shared" si="451"/>
        <v>y=-0.0059*1.86^2+68.478*1.86-14.154</v>
      </c>
      <c r="AQ3983" s="10" t="str">
        <f>IF(AND(I3983="TP",S3983&lt;=150),VLOOKUP(AF3983,TPCalibEq150!$AZ$2:$BB$55,3,),IF(AND(I3983="TDP",S3983&lt;=150),VLOOKUP(AF3983,TPCalibEq150!$AZ$2:$BB$55,3,)))</f>
        <v>y=-7.042x2+106.99x-46.227</v>
      </c>
      <c r="AR3983" s="10" t="str">
        <f>IF(AND(I3983="TP",S3983&lt;=300),VLOOKUP(AF3983,TPCalibEq300!$AZ$2:$BB$55,3,),IF(AND(I3983="TDP",S3983&lt;=300),VLOOKUP(AF3983,TPCalibEq300!$AZ$2:$BB$55,3,)))</f>
        <v>y=-5.1889x2+102.33x-44.163</v>
      </c>
      <c r="AS3983" s="10" t="str">
        <f>IF(AND(I3983="TP",S3983&lt;=500),VLOOKUP(AF3983,TPCalibEq500!$AZ$2:$BB$56,3,),IF(AND(I3983="TDP",S3983&lt;=500),VLOOKUP(AF3983,TPCalibEq500!$AZ$2:$BB$56,3,)))</f>
        <v>y=-1.8824x2+87.341x-33.178</v>
      </c>
      <c r="AT3983" s="10" t="b">
        <f>IF(AND(I3983="TN",S3983&lt;=2800),VLOOKUP(AF3983,TNCalibEq2500!$AZ$2:$BB$56,3,),IF(AND(I3983="TDN",S3983&lt;=2800),VLOOKUP(AF3983,TNCalibEq2500!$AZ$2:$BB$56,3,)))</f>
        <v>0</v>
      </c>
      <c r="AU3983" s="10" t="str">
        <f>IF(I3983="TP",VLOOKUP(AF3983,TPCalibEqFull!$AZ$2:$BB$56,3),IF(I3983="TDP",VLOOKUP(AF3983,TPCalibEqFull!$AZ$2:$BB$56,3),IF(I3983="TDN",VLOOKUP(AF3983,TNCalibEqFull!$AZ$1:$BB$56,3),IF(I3983="TN",VLOOKUP(AF3983,TNCalibEqFull!$AZ$1:$BB$56,3),FALSE))))</f>
        <v>y=-0.0059x2+68.478x-14.154</v>
      </c>
      <c r="AV3983" s="10" t="str">
        <f t="shared" si="456"/>
        <v>0221 12:06:00-ECP-29-FIL-1-SW-UKN</v>
      </c>
    </row>
    <row r="3984" spans="1:48" s="10" customFormat="1" x14ac:dyDescent="0.55000000000000004">
      <c r="A3984" s="32">
        <v>44978</v>
      </c>
      <c r="B3984" s="33">
        <v>0.50972222222222219</v>
      </c>
      <c r="C3984" s="10" t="s">
        <v>661</v>
      </c>
      <c r="D3984" s="10">
        <v>0</v>
      </c>
      <c r="E3984" s="10" t="s">
        <v>911</v>
      </c>
      <c r="F3984" s="10">
        <v>1</v>
      </c>
      <c r="G3984" s="10" t="s">
        <v>231</v>
      </c>
      <c r="H3984" s="10" t="s">
        <v>322</v>
      </c>
      <c r="I3984" s="10" t="s">
        <v>266</v>
      </c>
      <c r="J3984" s="10">
        <v>55</v>
      </c>
      <c r="K3984" s="12">
        <v>44980</v>
      </c>
      <c r="L3984" s="33">
        <v>0.49353009259259256</v>
      </c>
      <c r="M3984" s="10">
        <v>1</v>
      </c>
      <c r="N3984" s="10" t="s">
        <v>84</v>
      </c>
      <c r="O3984" s="10">
        <v>1.96</v>
      </c>
      <c r="P3984" s="10">
        <v>0.13800000000000001</v>
      </c>
      <c r="Q3984" s="10">
        <v>120</v>
      </c>
      <c r="R3984" s="10" t="s">
        <v>85</v>
      </c>
      <c r="S3984" s="34">
        <f t="shared" si="453"/>
        <v>136.47012175999998</v>
      </c>
      <c r="T3984" s="10" t="s">
        <v>1299</v>
      </c>
      <c r="U3984" s="34" t="str">
        <f t="shared" si="454"/>
        <v/>
      </c>
      <c r="V3984" s="31" t="str">
        <f>IF(H3984="CHK",VLOOKUP(I3984,QCCHK,3,),IF(H3984="GUP",VLOOKUP(E3984,QCGUP,2,),IF(AND(H3984="ATP",OR(I3984="TN",I3984="TDN",I3984="TNO2-3",I3984="NO2-3")),VLOOKUP(E3984,QCREC_N,2,),IF(AND(H3984="NIC",OR(I3984="TN",I3984="TDN",I3984="TNO2-3",I3984="NO2-3")),VLOOKUP(E3984,QCNIC_N,2,),IF(AND(H3984="UREA",OR(I3984="TN",I3984="TDN",I3984="TNO2-3",I3984="NO2-3")),VLOOKUP(E3984,QCUREA_N,2,),IF(H3984="PER",VLOOKUP(I3984,QCPER,MATCH(E3984,QCACTUAL!$J$25:$AA$25,0),),IF(H3984="SPK",VLOOKUP(I3984,QCSPK,3,),IF(AND(H3984="ATP",OR(I3984="TP",I3984="TDP")),VLOOKUP(E3984,QCATP_P,2,),""))))))))</f>
        <v/>
      </c>
      <c r="W3984" s="31" t="str">
        <f t="shared" si="455"/>
        <v>TRUE</v>
      </c>
      <c r="X3984" s="31" t="str">
        <f t="shared" si="452"/>
        <v/>
      </c>
      <c r="Y3984" s="10" t="s">
        <v>1285</v>
      </c>
      <c r="AF3984" s="12">
        <v>44980</v>
      </c>
      <c r="AG3984" s="10">
        <f>-7.042*1.96^2+106.99*1.96-46.227</f>
        <v>136.42085279999998</v>
      </c>
      <c r="AH3984" s="10">
        <f>-5.1889*1.96^2+102.33*1.96-44.163</f>
        <v>136.47012175999998</v>
      </c>
      <c r="AI3984" s="10">
        <f>-1.8824*1.96^2+87.341*1.96-33.178</f>
        <v>130.77893215999998</v>
      </c>
      <c r="AK3984" s="10">
        <f>-0.0059*1.96^2+68.478*1.96-14.154</f>
        <v>120.04021455999998</v>
      </c>
      <c r="AL3984" s="10" t="str">
        <f t="shared" si="450"/>
        <v>y=-7.042*1.96^2+106.99*1.96-46.227</v>
      </c>
      <c r="AM3984" s="10" t="str">
        <f t="shared" si="450"/>
        <v>y=-5.1889*1.96^2+102.33*1.96-44.163</v>
      </c>
      <c r="AN3984" s="10" t="str">
        <f t="shared" si="450"/>
        <v>y=-1.8824*1.96^2+87.341*1.96-33.178</v>
      </c>
      <c r="AO3984" s="10" t="str">
        <f t="shared" si="451"/>
        <v>FALSE</v>
      </c>
      <c r="AP3984" s="10" t="str">
        <f t="shared" si="451"/>
        <v>y=-0.0059*1.96^2+68.478*1.96-14.154</v>
      </c>
      <c r="AQ3984" s="10" t="str">
        <f>IF(AND(I3984="TP",S3984&lt;=150),VLOOKUP(AF3984,TPCalibEq150!$AZ$2:$BB$55,3,),IF(AND(I3984="TDP",S3984&lt;=150),VLOOKUP(AF3984,TPCalibEq150!$AZ$2:$BB$55,3,)))</f>
        <v>y=-7.042x2+106.99x-46.227</v>
      </c>
      <c r="AR3984" s="10" t="str">
        <f>IF(AND(I3984="TP",S3984&lt;=300),VLOOKUP(AF3984,TPCalibEq300!$AZ$2:$BB$55,3,),IF(AND(I3984="TDP",S3984&lt;=300),VLOOKUP(AF3984,TPCalibEq300!$AZ$2:$BB$55,3,)))</f>
        <v>y=-5.1889x2+102.33x-44.163</v>
      </c>
      <c r="AS3984" s="10" t="str">
        <f>IF(AND(I3984="TP",S3984&lt;=500),VLOOKUP(AF3984,TPCalibEq500!$AZ$2:$BB$56,3,),IF(AND(I3984="TDP",S3984&lt;=500),VLOOKUP(AF3984,TPCalibEq500!$AZ$2:$BB$56,3,)))</f>
        <v>y=-1.8824x2+87.341x-33.178</v>
      </c>
      <c r="AT3984" s="10" t="b">
        <f>IF(AND(I3984="TN",S3984&lt;=2800),VLOOKUP(AF3984,TNCalibEq2500!$AZ$2:$BB$56,3,),IF(AND(I3984="TDN",S3984&lt;=2800),VLOOKUP(AF3984,TNCalibEq2500!$AZ$2:$BB$56,3,)))</f>
        <v>0</v>
      </c>
      <c r="AU3984" s="10" t="str">
        <f>IF(I3984="TP",VLOOKUP(AF3984,TPCalibEqFull!$AZ$2:$BB$56,3),IF(I3984="TDP",VLOOKUP(AF3984,TPCalibEqFull!$AZ$2:$BB$56,3),IF(I3984="TDN",VLOOKUP(AF3984,TNCalibEqFull!$AZ$1:$BB$56,3),IF(I3984="TN",VLOOKUP(AF3984,TNCalibEqFull!$AZ$1:$BB$56,3),FALSE))))</f>
        <v>y=-0.0059x2+68.478x-14.154</v>
      </c>
      <c r="AV3984" s="10" t="str">
        <f t="shared" si="456"/>
        <v>0221 12:14:00-ENN-0-FIL-1-SW-UKN</v>
      </c>
    </row>
    <row r="3985" spans="1:48" s="10" customFormat="1" x14ac:dyDescent="0.55000000000000004">
      <c r="A3985" s="32">
        <v>44978</v>
      </c>
      <c r="B3985" s="33">
        <v>0.51180555555555551</v>
      </c>
      <c r="C3985" s="10" t="s">
        <v>661</v>
      </c>
      <c r="D3985" s="10">
        <v>5</v>
      </c>
      <c r="E3985" s="10" t="s">
        <v>911</v>
      </c>
      <c r="F3985" s="10">
        <v>1</v>
      </c>
      <c r="G3985" s="10" t="s">
        <v>231</v>
      </c>
      <c r="H3985" s="10" t="s">
        <v>322</v>
      </c>
      <c r="I3985" s="10" t="s">
        <v>266</v>
      </c>
      <c r="J3985" s="10">
        <v>56</v>
      </c>
      <c r="K3985" s="12">
        <v>44980</v>
      </c>
      <c r="L3985" s="33">
        <v>0.49421296296296297</v>
      </c>
      <c r="M3985" s="10">
        <v>1</v>
      </c>
      <c r="N3985" s="10" t="s">
        <v>84</v>
      </c>
      <c r="O3985" s="10">
        <v>1.89</v>
      </c>
      <c r="P3985" s="10">
        <v>0.13300000000000001</v>
      </c>
      <c r="Q3985" s="10">
        <v>116</v>
      </c>
      <c r="R3985" s="10" t="s">
        <v>85</v>
      </c>
      <c r="S3985" s="34">
        <f t="shared" si="453"/>
        <v>130.82937179999999</v>
      </c>
      <c r="T3985" s="10" t="s">
        <v>1299</v>
      </c>
      <c r="U3985" s="34" t="str">
        <f t="shared" si="454"/>
        <v/>
      </c>
      <c r="V3985" s="31" t="str">
        <f>IF(H3985="CHK",VLOOKUP(I3985,QCCHK,3,),IF(H3985="GUP",VLOOKUP(E3985,QCGUP,2,),IF(AND(H3985="ATP",OR(I3985="TN",I3985="TDN",I3985="TNO2-3",I3985="NO2-3")),VLOOKUP(E3985,QCREC_N,2,),IF(AND(H3985="NIC",OR(I3985="TN",I3985="TDN",I3985="TNO2-3",I3985="NO2-3")),VLOOKUP(E3985,QCNIC_N,2,),IF(AND(H3985="UREA",OR(I3985="TN",I3985="TDN",I3985="TNO2-3",I3985="NO2-3")),VLOOKUP(E3985,QCUREA_N,2,),IF(H3985="PER",VLOOKUP(I3985,QCPER,MATCH(E3985,QCACTUAL!$J$25:$AA$25,0),),IF(H3985="SPK",VLOOKUP(I3985,QCSPK,3,),IF(AND(H3985="ATP",OR(I3985="TP",I3985="TDP")),VLOOKUP(E3985,QCATP_P,2,),""))))))))</f>
        <v/>
      </c>
      <c r="W3985" s="31" t="str">
        <f t="shared" si="455"/>
        <v>TRUE</v>
      </c>
      <c r="X3985" s="31" t="str">
        <f t="shared" si="452"/>
        <v/>
      </c>
      <c r="Y3985" s="10" t="s">
        <v>1285</v>
      </c>
      <c r="AF3985" s="12">
        <v>44980</v>
      </c>
      <c r="AG3985" s="10">
        <f>-7.042*1.89^2+106.99*1.89-46.227</f>
        <v>130.82937179999999</v>
      </c>
      <c r="AH3985" s="10">
        <f>-5.1889*1.89^2+102.33*1.89-44.163</f>
        <v>130.70543031</v>
      </c>
      <c r="AI3985" s="10">
        <f>-1.8824*1.89^2+87.341*1.89-33.178</f>
        <v>125.17236895999997</v>
      </c>
      <c r="AK3985" s="10">
        <f>-0.0059*1.89^2+68.478*1.89-14.154</f>
        <v>115.24834461</v>
      </c>
      <c r="AL3985" s="10" t="str">
        <f t="shared" si="450"/>
        <v>y=-7.042*1.89^2+106.99*1.89-46.227</v>
      </c>
      <c r="AM3985" s="10" t="str">
        <f t="shared" si="450"/>
        <v>y=-5.1889*1.89^2+102.33*1.89-44.163</v>
      </c>
      <c r="AN3985" s="10" t="str">
        <f t="shared" si="450"/>
        <v>y=-1.8824*1.89^2+87.341*1.89-33.178</v>
      </c>
      <c r="AO3985" s="10" t="str">
        <f t="shared" si="451"/>
        <v>FALSE</v>
      </c>
      <c r="AP3985" s="10" t="str">
        <f t="shared" si="451"/>
        <v>y=-0.0059*1.89^2+68.478*1.89-14.154</v>
      </c>
      <c r="AQ3985" s="10" t="str">
        <f>IF(AND(I3985="TP",S3985&lt;=150),VLOOKUP(AF3985,TPCalibEq150!$AZ$2:$BB$55,3,),IF(AND(I3985="TDP",S3985&lt;=150),VLOOKUP(AF3985,TPCalibEq150!$AZ$2:$BB$55,3,)))</f>
        <v>y=-7.042x2+106.99x-46.227</v>
      </c>
      <c r="AR3985" s="10" t="str">
        <f>IF(AND(I3985="TP",S3985&lt;=300),VLOOKUP(AF3985,TPCalibEq300!$AZ$2:$BB$55,3,),IF(AND(I3985="TDP",S3985&lt;=300),VLOOKUP(AF3985,TPCalibEq300!$AZ$2:$BB$55,3,)))</f>
        <v>y=-5.1889x2+102.33x-44.163</v>
      </c>
      <c r="AS3985" s="10" t="str">
        <f>IF(AND(I3985="TP",S3985&lt;=500),VLOOKUP(AF3985,TPCalibEq500!$AZ$2:$BB$56,3,),IF(AND(I3985="TDP",S3985&lt;=500),VLOOKUP(AF3985,TPCalibEq500!$AZ$2:$BB$56,3,)))</f>
        <v>y=-1.8824x2+87.341x-33.178</v>
      </c>
      <c r="AT3985" s="10" t="b">
        <f>IF(AND(I3985="TN",S3985&lt;=2800),VLOOKUP(AF3985,TNCalibEq2500!$AZ$2:$BB$56,3,),IF(AND(I3985="TDN",S3985&lt;=2800),VLOOKUP(AF3985,TNCalibEq2500!$AZ$2:$BB$56,3,)))</f>
        <v>0</v>
      </c>
      <c r="AU3985" s="10" t="str">
        <f>IF(I3985="TP",VLOOKUP(AF3985,TPCalibEqFull!$AZ$2:$BB$56,3),IF(I3985="TDP",VLOOKUP(AF3985,TPCalibEqFull!$AZ$2:$BB$56,3),IF(I3985="TDN",VLOOKUP(AF3985,TNCalibEqFull!$AZ$1:$BB$56,3),IF(I3985="TN",VLOOKUP(AF3985,TNCalibEqFull!$AZ$1:$BB$56,3),FALSE))))</f>
        <v>y=-0.0059x2+68.478x-14.154</v>
      </c>
      <c r="AV3985" s="10" t="str">
        <f t="shared" si="456"/>
        <v>0221 12:17:00-ENN-5-FIL-1-SW-UKN</v>
      </c>
    </row>
    <row r="3986" spans="1:48" s="10" customFormat="1" x14ac:dyDescent="0.55000000000000004">
      <c r="A3986" s="32">
        <v>44978</v>
      </c>
      <c r="B3986" s="33">
        <v>0.51388888888888895</v>
      </c>
      <c r="C3986" s="10" t="s">
        <v>661</v>
      </c>
      <c r="D3986" s="10">
        <v>10</v>
      </c>
      <c r="E3986" s="10" t="s">
        <v>911</v>
      </c>
      <c r="F3986" s="10">
        <v>1</v>
      </c>
      <c r="G3986" s="10" t="s">
        <v>231</v>
      </c>
      <c r="H3986" s="10" t="s">
        <v>322</v>
      </c>
      <c r="I3986" s="10" t="s">
        <v>266</v>
      </c>
      <c r="J3986" s="10">
        <v>57</v>
      </c>
      <c r="K3986" s="12">
        <v>44980</v>
      </c>
      <c r="L3986" s="33">
        <v>0.49490740740740741</v>
      </c>
      <c r="M3986" s="10">
        <v>1</v>
      </c>
      <c r="N3986" s="10" t="s">
        <v>84</v>
      </c>
      <c r="O3986" s="10">
        <v>1.93</v>
      </c>
      <c r="P3986" s="10">
        <v>0.13600000000000001</v>
      </c>
      <c r="Q3986" s="10">
        <v>119</v>
      </c>
      <c r="R3986" s="10" t="s">
        <v>85</v>
      </c>
      <c r="S3986" s="34">
        <f t="shared" si="453"/>
        <v>134.03295419999998</v>
      </c>
      <c r="T3986" s="10" t="s">
        <v>1299</v>
      </c>
      <c r="U3986" s="34" t="str">
        <f t="shared" si="454"/>
        <v/>
      </c>
      <c r="V3986" s="31" t="str">
        <f>IF(H3986="CHK",VLOOKUP(I3986,QCCHK,3,),IF(H3986="GUP",VLOOKUP(E3986,QCGUP,2,),IF(AND(H3986="ATP",OR(I3986="TN",I3986="TDN",I3986="TNO2-3",I3986="NO2-3")),VLOOKUP(E3986,QCREC_N,2,),IF(AND(H3986="NIC",OR(I3986="TN",I3986="TDN",I3986="TNO2-3",I3986="NO2-3")),VLOOKUP(E3986,QCNIC_N,2,),IF(AND(H3986="UREA",OR(I3986="TN",I3986="TDN",I3986="TNO2-3",I3986="NO2-3")),VLOOKUP(E3986,QCUREA_N,2,),IF(H3986="PER",VLOOKUP(I3986,QCPER,MATCH(E3986,QCACTUAL!$J$25:$AA$25,0),),IF(H3986="SPK",VLOOKUP(I3986,QCSPK,3,),IF(AND(H3986="ATP",OR(I3986="TP",I3986="TDP")),VLOOKUP(E3986,QCATP_P,2,),""))))))))</f>
        <v/>
      </c>
      <c r="W3986" s="31" t="str">
        <f t="shared" si="455"/>
        <v>TRUE</v>
      </c>
      <c r="X3986" s="31" t="str">
        <f t="shared" si="452"/>
        <v/>
      </c>
      <c r="Y3986" s="10" t="s">
        <v>1285</v>
      </c>
      <c r="AF3986" s="12">
        <v>44980</v>
      </c>
      <c r="AG3986" s="10">
        <f>-7.042*1.93^2+106.99*1.93-46.227</f>
        <v>134.03295419999998</v>
      </c>
      <c r="AH3986" s="10">
        <f>-5.1889*1.93^2+102.33*1.93-44.163</f>
        <v>134.00576638999996</v>
      </c>
      <c r="AI3986" s="10">
        <f>-1.8824*1.93^2+87.341*1.93-33.178</f>
        <v>128.37837823999999</v>
      </c>
      <c r="AK3986" s="10">
        <f>-0.0059*1.93^2+68.478*1.93-14.154</f>
        <v>117.98656308999998</v>
      </c>
      <c r="AL3986" s="10" t="str">
        <f t="shared" si="450"/>
        <v>y=-7.042*1.93^2+106.99*1.93-46.227</v>
      </c>
      <c r="AM3986" s="10" t="str">
        <f t="shared" si="450"/>
        <v>y=-5.1889*1.93^2+102.33*1.93-44.163</v>
      </c>
      <c r="AN3986" s="10" t="str">
        <f t="shared" si="450"/>
        <v>y=-1.8824*1.93^2+87.341*1.93-33.178</v>
      </c>
      <c r="AO3986" s="10" t="str">
        <f t="shared" si="451"/>
        <v>FALSE</v>
      </c>
      <c r="AP3986" s="10" t="str">
        <f t="shared" si="451"/>
        <v>y=-0.0059*1.93^2+68.478*1.93-14.154</v>
      </c>
      <c r="AQ3986" s="10" t="str">
        <f>IF(AND(I3986="TP",S3986&lt;=150),VLOOKUP(AF3986,TPCalibEq150!$AZ$2:$BB$55,3,),IF(AND(I3986="TDP",S3986&lt;=150),VLOOKUP(AF3986,TPCalibEq150!$AZ$2:$BB$55,3,)))</f>
        <v>y=-7.042x2+106.99x-46.227</v>
      </c>
      <c r="AR3986" s="10" t="str">
        <f>IF(AND(I3986="TP",S3986&lt;=300),VLOOKUP(AF3986,TPCalibEq300!$AZ$2:$BB$55,3,),IF(AND(I3986="TDP",S3986&lt;=300),VLOOKUP(AF3986,TPCalibEq300!$AZ$2:$BB$55,3,)))</f>
        <v>y=-5.1889x2+102.33x-44.163</v>
      </c>
      <c r="AS3986" s="10" t="str">
        <f>IF(AND(I3986="TP",S3986&lt;=500),VLOOKUP(AF3986,TPCalibEq500!$AZ$2:$BB$56,3,),IF(AND(I3986="TDP",S3986&lt;=500),VLOOKUP(AF3986,TPCalibEq500!$AZ$2:$BB$56,3,)))</f>
        <v>y=-1.8824x2+87.341x-33.178</v>
      </c>
      <c r="AT3986" s="10" t="b">
        <f>IF(AND(I3986="TN",S3986&lt;=2800),VLOOKUP(AF3986,TNCalibEq2500!$AZ$2:$BB$56,3,),IF(AND(I3986="TDN",S3986&lt;=2800),VLOOKUP(AF3986,TNCalibEq2500!$AZ$2:$BB$56,3,)))</f>
        <v>0</v>
      </c>
      <c r="AU3986" s="10" t="str">
        <f>IF(I3986="TP",VLOOKUP(AF3986,TPCalibEqFull!$AZ$2:$BB$56,3),IF(I3986="TDP",VLOOKUP(AF3986,TPCalibEqFull!$AZ$2:$BB$56,3),IF(I3986="TDN",VLOOKUP(AF3986,TNCalibEqFull!$AZ$1:$BB$56,3),IF(I3986="TN",VLOOKUP(AF3986,TNCalibEqFull!$AZ$1:$BB$56,3),FALSE))))</f>
        <v>y=-0.0059x2+68.478x-14.154</v>
      </c>
      <c r="AV3986" s="10" t="str">
        <f t="shared" si="456"/>
        <v>0221 12:20:00-ENN-10-FIL-1-SW-UKN</v>
      </c>
    </row>
    <row r="3987" spans="1:48" s="10" customFormat="1" x14ac:dyDescent="0.55000000000000004">
      <c r="A3987" s="32">
        <v>44978</v>
      </c>
      <c r="B3987" s="33">
        <v>0.51666666666666672</v>
      </c>
      <c r="C3987" s="10" t="s">
        <v>661</v>
      </c>
      <c r="D3987" s="10">
        <v>20</v>
      </c>
      <c r="E3987" s="10" t="s">
        <v>911</v>
      </c>
      <c r="F3987" s="10">
        <v>1</v>
      </c>
      <c r="G3987" s="10" t="s">
        <v>231</v>
      </c>
      <c r="H3987" s="10" t="s">
        <v>322</v>
      </c>
      <c r="I3987" s="10" t="s">
        <v>266</v>
      </c>
      <c r="J3987" s="10">
        <v>58</v>
      </c>
      <c r="K3987" s="12">
        <v>44980</v>
      </c>
      <c r="L3987" s="33">
        <v>0.49560185185185185</v>
      </c>
      <c r="M3987" s="10">
        <v>1</v>
      </c>
      <c r="N3987" s="10" t="s">
        <v>84</v>
      </c>
      <c r="O3987" s="10">
        <v>2.15</v>
      </c>
      <c r="P3987" s="10">
        <v>0.152</v>
      </c>
      <c r="Q3987" s="10">
        <v>133</v>
      </c>
      <c r="R3987" s="10" t="s">
        <v>85</v>
      </c>
      <c r="S3987" s="34">
        <f t="shared" si="453"/>
        <v>151.86080974999999</v>
      </c>
      <c r="T3987" s="10" t="s">
        <v>1299</v>
      </c>
      <c r="U3987" s="34" t="str">
        <f t="shared" si="454"/>
        <v/>
      </c>
      <c r="V3987" s="31" t="str">
        <f>IF(H3987="CHK",VLOOKUP(I3987,QCCHK,3,),IF(H3987="GUP",VLOOKUP(E3987,QCGUP,2,),IF(AND(H3987="ATP",OR(I3987="TN",I3987="TDN",I3987="TNO2-3",I3987="NO2-3")),VLOOKUP(E3987,QCREC_N,2,),IF(AND(H3987="NIC",OR(I3987="TN",I3987="TDN",I3987="TNO2-3",I3987="NO2-3")),VLOOKUP(E3987,QCNIC_N,2,),IF(AND(H3987="UREA",OR(I3987="TN",I3987="TDN",I3987="TNO2-3",I3987="NO2-3")),VLOOKUP(E3987,QCUREA_N,2,),IF(H3987="PER",VLOOKUP(I3987,QCPER,MATCH(E3987,QCACTUAL!$J$25:$AA$25,0),),IF(H3987="SPK",VLOOKUP(I3987,QCSPK,3,),IF(AND(H3987="ATP",OR(I3987="TP",I3987="TDP")),VLOOKUP(E3987,QCATP_P,2,),""))))))))</f>
        <v/>
      </c>
      <c r="W3987" s="31" t="str">
        <f t="shared" si="455"/>
        <v>TRUE</v>
      </c>
      <c r="X3987" s="31" t="str">
        <f t="shared" si="452"/>
        <v/>
      </c>
      <c r="Y3987" s="10" t="s">
        <v>1285</v>
      </c>
      <c r="AF3987" s="12">
        <v>44980</v>
      </c>
      <c r="AH3987" s="10">
        <f>-5.1889*2.15^2+102.33*2.15-44.163</f>
        <v>151.86080974999999</v>
      </c>
      <c r="AI3987" s="10">
        <f>-1.8824*2.15^2+87.341*2.15-33.178</f>
        <v>145.90375599999999</v>
      </c>
      <c r="AK3987" s="10">
        <f>-0.0059*2.15^2+68.478*2.15-14.154</f>
        <v>133.04642724999997</v>
      </c>
      <c r="AL3987" s="10" t="str">
        <f t="shared" si="450"/>
        <v>FALSE</v>
      </c>
      <c r="AM3987" s="10" t="str">
        <f t="shared" si="450"/>
        <v>y=-5.1889*2.15^2+102.33*2.15-44.163</v>
      </c>
      <c r="AN3987" s="10" t="str">
        <f t="shared" si="450"/>
        <v>y=-1.8824*2.15^2+87.341*2.15-33.178</v>
      </c>
      <c r="AO3987" s="10" t="str">
        <f t="shared" si="451"/>
        <v>FALSE</v>
      </c>
      <c r="AP3987" s="10" t="str">
        <f t="shared" si="451"/>
        <v>y=-0.0059*2.15^2+68.478*2.15-14.154</v>
      </c>
      <c r="AQ3987" s="10" t="b">
        <f>IF(AND(I3987="TP",S3987&lt;=150),VLOOKUP(AF3987,TPCalibEq150!$AZ$2:$BB$55,3,),IF(AND(I3987="TDP",S3987&lt;=150),VLOOKUP(AF3987,TPCalibEq150!$AZ$2:$BB$55,3,)))</f>
        <v>0</v>
      </c>
      <c r="AR3987" s="10" t="str">
        <f>IF(AND(I3987="TP",S3987&lt;=300),VLOOKUP(AF3987,TPCalibEq300!$AZ$2:$BB$55,3,),IF(AND(I3987="TDP",S3987&lt;=300),VLOOKUP(AF3987,TPCalibEq300!$AZ$2:$BB$55,3,)))</f>
        <v>y=-5.1889x2+102.33x-44.163</v>
      </c>
      <c r="AS3987" s="10" t="str">
        <f>IF(AND(I3987="TP",S3987&lt;=500),VLOOKUP(AF3987,TPCalibEq500!$AZ$2:$BB$56,3,),IF(AND(I3987="TDP",S3987&lt;=500),VLOOKUP(AF3987,TPCalibEq500!$AZ$2:$BB$56,3,)))</f>
        <v>y=-1.8824x2+87.341x-33.178</v>
      </c>
      <c r="AT3987" s="10" t="b">
        <f>IF(AND(I3987="TN",S3987&lt;=2800),VLOOKUP(AF3987,TNCalibEq2500!$AZ$2:$BB$56,3,),IF(AND(I3987="TDN",S3987&lt;=2800),VLOOKUP(AF3987,TNCalibEq2500!$AZ$2:$BB$56,3,)))</f>
        <v>0</v>
      </c>
      <c r="AU3987" s="10" t="str">
        <f>IF(I3987="TP",VLOOKUP(AF3987,TPCalibEqFull!$AZ$2:$BB$56,3),IF(I3987="TDP",VLOOKUP(AF3987,TPCalibEqFull!$AZ$2:$BB$56,3),IF(I3987="TDN",VLOOKUP(AF3987,TNCalibEqFull!$AZ$1:$BB$56,3),IF(I3987="TN",VLOOKUP(AF3987,TNCalibEqFull!$AZ$1:$BB$56,3),FALSE))))</f>
        <v>y=-0.0059x2+68.478x-14.154</v>
      </c>
      <c r="AV3987" s="10" t="str">
        <f t="shared" si="456"/>
        <v>0221 12:24:00-ENN-20-FIL-1-SW-UKN</v>
      </c>
    </row>
    <row r="3988" spans="1:48" s="10" customFormat="1" x14ac:dyDescent="0.55000000000000004">
      <c r="A3988" s="32">
        <v>44978</v>
      </c>
      <c r="B3988" s="33">
        <v>0.51944444444444449</v>
      </c>
      <c r="C3988" s="10" t="s">
        <v>661</v>
      </c>
      <c r="D3988" s="10">
        <v>24</v>
      </c>
      <c r="E3988" s="10" t="s">
        <v>911</v>
      </c>
      <c r="F3988" s="10">
        <v>1</v>
      </c>
      <c r="G3988" s="10" t="s">
        <v>231</v>
      </c>
      <c r="H3988" s="10" t="s">
        <v>322</v>
      </c>
      <c r="I3988" s="10" t="s">
        <v>266</v>
      </c>
      <c r="J3988" s="10">
        <v>59</v>
      </c>
      <c r="K3988" s="12">
        <v>44980</v>
      </c>
      <c r="L3988" s="33">
        <v>0.49629629629629629</v>
      </c>
      <c r="M3988" s="10">
        <v>1</v>
      </c>
      <c r="N3988" s="10" t="s">
        <v>84</v>
      </c>
      <c r="O3988" s="10">
        <v>1.98</v>
      </c>
      <c r="P3988" s="10">
        <v>0.13900000000000001</v>
      </c>
      <c r="Q3988" s="10">
        <v>122</v>
      </c>
      <c r="R3988" s="10" t="s">
        <v>85</v>
      </c>
      <c r="S3988" s="34">
        <f t="shared" si="453"/>
        <v>138.10783643999997</v>
      </c>
      <c r="T3988" s="10" t="s">
        <v>1299</v>
      </c>
      <c r="U3988" s="34" t="str">
        <f t="shared" si="454"/>
        <v/>
      </c>
      <c r="V3988" s="31" t="str">
        <f>IF(H3988="CHK",VLOOKUP(I3988,QCCHK,3,),IF(H3988="GUP",VLOOKUP(E3988,QCGUP,2,),IF(AND(H3988="ATP",OR(I3988="TN",I3988="TDN",I3988="TNO2-3",I3988="NO2-3")),VLOOKUP(E3988,QCREC_N,2,),IF(AND(H3988="NIC",OR(I3988="TN",I3988="TDN",I3988="TNO2-3",I3988="NO2-3")),VLOOKUP(E3988,QCNIC_N,2,),IF(AND(H3988="UREA",OR(I3988="TN",I3988="TDN",I3988="TNO2-3",I3988="NO2-3")),VLOOKUP(E3988,QCUREA_N,2,),IF(H3988="PER",VLOOKUP(I3988,QCPER,MATCH(E3988,QCACTUAL!$J$25:$AA$25,0),),IF(H3988="SPK",VLOOKUP(I3988,QCSPK,3,),IF(AND(H3988="ATP",OR(I3988="TP",I3988="TDP")),VLOOKUP(E3988,QCATP_P,2,),""))))))))</f>
        <v/>
      </c>
      <c r="W3988" s="31" t="str">
        <f t="shared" si="455"/>
        <v>TRUE</v>
      </c>
      <c r="X3988" s="31" t="str">
        <f t="shared" si="452"/>
        <v/>
      </c>
      <c r="Y3988" s="10" t="s">
        <v>1285</v>
      </c>
      <c r="AF3988" s="12">
        <v>44980</v>
      </c>
      <c r="AG3988" s="10">
        <f>-7.042*1.98^2+106.99*1.98-46.227</f>
        <v>138.00574319999998</v>
      </c>
      <c r="AH3988" s="10">
        <f>-5.1889*1.98^2+102.33*1.98-44.163</f>
        <v>138.10783643999997</v>
      </c>
      <c r="AI3988" s="10">
        <f>-1.8824*1.98^2+87.341*1.98-33.178</f>
        <v>132.37741903999998</v>
      </c>
      <c r="AK3988" s="10">
        <f>-0.0059*1.98^2+68.478*1.98-14.154</f>
        <v>121.40930963999998</v>
      </c>
      <c r="AL3988" s="10" t="str">
        <f t="shared" si="450"/>
        <v>y=-7.042*1.98^2+106.99*1.98-46.227</v>
      </c>
      <c r="AM3988" s="10" t="str">
        <f t="shared" si="450"/>
        <v>y=-5.1889*1.98^2+102.33*1.98-44.163</v>
      </c>
      <c r="AN3988" s="10" t="str">
        <f t="shared" si="450"/>
        <v>y=-1.8824*1.98^2+87.341*1.98-33.178</v>
      </c>
      <c r="AO3988" s="10" t="str">
        <f t="shared" si="451"/>
        <v>FALSE</v>
      </c>
      <c r="AP3988" s="10" t="str">
        <f t="shared" si="451"/>
        <v>y=-0.0059*1.98^2+68.478*1.98-14.154</v>
      </c>
      <c r="AQ3988" s="10" t="str">
        <f>IF(AND(I3988="TP",S3988&lt;=150),VLOOKUP(AF3988,TPCalibEq150!$AZ$2:$BB$55,3,),IF(AND(I3988="TDP",S3988&lt;=150),VLOOKUP(AF3988,TPCalibEq150!$AZ$2:$BB$55,3,)))</f>
        <v>y=-7.042x2+106.99x-46.227</v>
      </c>
      <c r="AR3988" s="10" t="str">
        <f>IF(AND(I3988="TP",S3988&lt;=300),VLOOKUP(AF3988,TPCalibEq300!$AZ$2:$BB$55,3,),IF(AND(I3988="TDP",S3988&lt;=300),VLOOKUP(AF3988,TPCalibEq300!$AZ$2:$BB$55,3,)))</f>
        <v>y=-5.1889x2+102.33x-44.163</v>
      </c>
      <c r="AS3988" s="10" t="str">
        <f>IF(AND(I3988="TP",S3988&lt;=500),VLOOKUP(AF3988,TPCalibEq500!$AZ$2:$BB$56,3,),IF(AND(I3988="TDP",S3988&lt;=500),VLOOKUP(AF3988,TPCalibEq500!$AZ$2:$BB$56,3,)))</f>
        <v>y=-1.8824x2+87.341x-33.178</v>
      </c>
      <c r="AT3988" s="10" t="b">
        <f>IF(AND(I3988="TN",S3988&lt;=2800),VLOOKUP(AF3988,TNCalibEq2500!$AZ$2:$BB$56,3,),IF(AND(I3988="TDN",S3988&lt;=2800),VLOOKUP(AF3988,TNCalibEq2500!$AZ$2:$BB$56,3,)))</f>
        <v>0</v>
      </c>
      <c r="AU3988" s="10" t="str">
        <f>IF(I3988="TP",VLOOKUP(AF3988,TPCalibEqFull!$AZ$2:$BB$56,3),IF(I3988="TDP",VLOOKUP(AF3988,TPCalibEqFull!$AZ$2:$BB$56,3),IF(I3988="TDN",VLOOKUP(AF3988,TNCalibEqFull!$AZ$1:$BB$56,3),IF(I3988="TN",VLOOKUP(AF3988,TNCalibEqFull!$AZ$1:$BB$56,3),FALSE))))</f>
        <v>y=-0.0059x2+68.478x-14.154</v>
      </c>
      <c r="AV3988" s="10" t="str">
        <f t="shared" si="456"/>
        <v>0221 12:28:00-ENN-24-FIL-1-SW-UKN</v>
      </c>
    </row>
    <row r="3989" spans="1:48" s="10" customFormat="1" x14ac:dyDescent="0.55000000000000004">
      <c r="A3989" s="32">
        <v>44978</v>
      </c>
      <c r="B3989" s="33">
        <v>0.45069444444444445</v>
      </c>
      <c r="C3989" s="10" t="s">
        <v>646</v>
      </c>
      <c r="D3989" s="10">
        <v>0</v>
      </c>
      <c r="E3989" s="10" t="s">
        <v>911</v>
      </c>
      <c r="F3989" s="10">
        <v>1</v>
      </c>
      <c r="G3989" s="10" t="s">
        <v>231</v>
      </c>
      <c r="H3989" s="10" t="s">
        <v>322</v>
      </c>
      <c r="I3989" s="10" t="s">
        <v>266</v>
      </c>
      <c r="J3989" s="10">
        <v>60</v>
      </c>
      <c r="K3989" s="12">
        <v>44980</v>
      </c>
      <c r="L3989" s="33">
        <v>0.49699074074074073</v>
      </c>
      <c r="M3989" s="10">
        <v>1</v>
      </c>
      <c r="N3989" s="10" t="s">
        <v>84</v>
      </c>
      <c r="O3989" s="10">
        <v>1.78</v>
      </c>
      <c r="P3989" s="10">
        <v>0.125</v>
      </c>
      <c r="Q3989" s="10">
        <v>108</v>
      </c>
      <c r="R3989" s="10" t="s">
        <v>85</v>
      </c>
      <c r="S3989" s="34">
        <f t="shared" si="453"/>
        <v>121.90332719999998</v>
      </c>
      <c r="T3989" s="10" t="s">
        <v>1299</v>
      </c>
      <c r="U3989" s="34" t="str">
        <f t="shared" si="454"/>
        <v/>
      </c>
      <c r="V3989" s="31" t="str">
        <f>IF(H3989="CHK",VLOOKUP(I3989,QCCHK,3,),IF(H3989="GUP",VLOOKUP(E3989,QCGUP,2,),IF(AND(H3989="ATP",OR(I3989="TN",I3989="TDN",I3989="TNO2-3",I3989="NO2-3")),VLOOKUP(E3989,QCREC_N,2,),IF(AND(H3989="NIC",OR(I3989="TN",I3989="TDN",I3989="TNO2-3",I3989="NO2-3")),VLOOKUP(E3989,QCNIC_N,2,),IF(AND(H3989="UREA",OR(I3989="TN",I3989="TDN",I3989="TNO2-3",I3989="NO2-3")),VLOOKUP(E3989,QCUREA_N,2,),IF(H3989="PER",VLOOKUP(I3989,QCPER,MATCH(E3989,QCACTUAL!$J$25:$AA$25,0),),IF(H3989="SPK",VLOOKUP(I3989,QCSPK,3,),IF(AND(H3989="ATP",OR(I3989="TP",I3989="TDP")),VLOOKUP(E3989,QCATP_P,2,),""))))))))</f>
        <v/>
      </c>
      <c r="W3989" s="31" t="str">
        <f t="shared" si="455"/>
        <v>TRUE</v>
      </c>
      <c r="X3989" s="31" t="str">
        <f t="shared" si="452"/>
        <v/>
      </c>
      <c r="Y3989" s="10" t="s">
        <v>1285</v>
      </c>
      <c r="AF3989" s="12">
        <v>44980</v>
      </c>
      <c r="AG3989" s="10">
        <f>-7.042*1.78^2+106.99*1.78-46.227</f>
        <v>121.90332719999998</v>
      </c>
      <c r="AH3989" s="10">
        <f>-5.1889*1.78^2+102.33*1.78-44.163</f>
        <v>121.54388924000001</v>
      </c>
      <c r="AI3989" s="10">
        <f>-1.8824*1.78^2+87.341*1.78-33.178</f>
        <v>116.32478383999998</v>
      </c>
      <c r="AK3989" s="10">
        <f>-0.0059*1.78^2+68.478*1.78-14.154</f>
        <v>107.71814644</v>
      </c>
      <c r="AL3989" s="10" t="str">
        <f t="shared" si="450"/>
        <v>y=-7.042*1.78^2+106.99*1.78-46.227</v>
      </c>
      <c r="AM3989" s="10" t="str">
        <f t="shared" si="450"/>
        <v>y=-5.1889*1.78^2+102.33*1.78-44.163</v>
      </c>
      <c r="AN3989" s="10" t="str">
        <f t="shared" si="450"/>
        <v>y=-1.8824*1.78^2+87.341*1.78-33.178</v>
      </c>
      <c r="AO3989" s="10" t="str">
        <f t="shared" si="451"/>
        <v>FALSE</v>
      </c>
      <c r="AP3989" s="10" t="str">
        <f t="shared" si="451"/>
        <v>y=-0.0059*1.78^2+68.478*1.78-14.154</v>
      </c>
      <c r="AQ3989" s="10" t="str">
        <f>IF(AND(I3989="TP",S3989&lt;=150),VLOOKUP(AF3989,TPCalibEq150!$AZ$2:$BB$55,3,),IF(AND(I3989="TDP",S3989&lt;=150),VLOOKUP(AF3989,TPCalibEq150!$AZ$2:$BB$55,3,)))</f>
        <v>y=-7.042x2+106.99x-46.227</v>
      </c>
      <c r="AR3989" s="10" t="str">
        <f>IF(AND(I3989="TP",S3989&lt;=300),VLOOKUP(AF3989,TPCalibEq300!$AZ$2:$BB$55,3,),IF(AND(I3989="TDP",S3989&lt;=300),VLOOKUP(AF3989,TPCalibEq300!$AZ$2:$BB$55,3,)))</f>
        <v>y=-5.1889x2+102.33x-44.163</v>
      </c>
      <c r="AS3989" s="10" t="str">
        <f>IF(AND(I3989="TP",S3989&lt;=500),VLOOKUP(AF3989,TPCalibEq500!$AZ$2:$BB$56,3,),IF(AND(I3989="TDP",S3989&lt;=500),VLOOKUP(AF3989,TPCalibEq500!$AZ$2:$BB$56,3,)))</f>
        <v>y=-1.8824x2+87.341x-33.178</v>
      </c>
      <c r="AT3989" s="10" t="b">
        <f>IF(AND(I3989="TN",S3989&lt;=2800),VLOOKUP(AF3989,TNCalibEq2500!$AZ$2:$BB$56,3,),IF(AND(I3989="TDN",S3989&lt;=2800),VLOOKUP(AF3989,TNCalibEq2500!$AZ$2:$BB$56,3,)))</f>
        <v>0</v>
      </c>
      <c r="AU3989" s="10" t="str">
        <f>IF(I3989="TP",VLOOKUP(AF3989,TPCalibEqFull!$AZ$2:$BB$56,3),IF(I3989="TDP",VLOOKUP(AF3989,TPCalibEqFull!$AZ$2:$BB$56,3),IF(I3989="TDN",VLOOKUP(AF3989,TNCalibEqFull!$AZ$1:$BB$56,3),IF(I3989="TN",VLOOKUP(AF3989,TNCalibEqFull!$AZ$1:$BB$56,3),FALSE))))</f>
        <v>y=-0.0059x2+68.478x-14.154</v>
      </c>
      <c r="AV3989" s="10" t="str">
        <f t="shared" si="456"/>
        <v>0221 10:49:00-EMB-0-FIL-1-SW-UKN</v>
      </c>
    </row>
    <row r="3990" spans="1:48" s="10" customFormat="1" x14ac:dyDescent="0.55000000000000004">
      <c r="A3990" s="32">
        <v>44978</v>
      </c>
      <c r="B3990" s="33">
        <v>0.45069444444444445</v>
      </c>
      <c r="C3990" s="10" t="s">
        <v>646</v>
      </c>
      <c r="D3990" s="10">
        <v>0</v>
      </c>
      <c r="E3990" s="10" t="s">
        <v>911</v>
      </c>
      <c r="F3990" s="10">
        <v>1</v>
      </c>
      <c r="G3990" s="10" t="s">
        <v>231</v>
      </c>
      <c r="H3990" s="10" t="s">
        <v>233</v>
      </c>
      <c r="I3990" s="10" t="s">
        <v>266</v>
      </c>
      <c r="J3990" s="10">
        <v>60</v>
      </c>
      <c r="K3990" s="12">
        <v>44980</v>
      </c>
      <c r="L3990" s="33">
        <v>0.49768518518518517</v>
      </c>
      <c r="M3990" s="10">
        <v>1</v>
      </c>
      <c r="N3990" s="10" t="s">
        <v>84</v>
      </c>
      <c r="O3990" s="10">
        <v>1.8</v>
      </c>
      <c r="P3990" s="10">
        <v>0.126</v>
      </c>
      <c r="Q3990" s="10">
        <v>109</v>
      </c>
      <c r="R3990" s="10" t="s">
        <v>85</v>
      </c>
      <c r="S3990" s="34">
        <f t="shared" si="453"/>
        <v>123.53891999999999</v>
      </c>
      <c r="T3990" s="10" t="s">
        <v>1299</v>
      </c>
      <c r="U3990" s="34">
        <f t="shared" si="454"/>
        <v>1.3327720216538272</v>
      </c>
      <c r="V3990" s="31" t="str">
        <f>IF(H3990="CHK",VLOOKUP(I3990,QCCHK,3,),IF(H3990="GUP",VLOOKUP(E3990,QCGUP,2,),IF(AND(H3990="ATP",OR(I3990="TN",I3990="TDN",I3990="TNO2-3",I3990="NO2-3")),VLOOKUP(E3990,QCREC_N,2,),IF(AND(H3990="NIC",OR(I3990="TN",I3990="TDN",I3990="TNO2-3",I3990="NO2-3")),VLOOKUP(E3990,QCNIC_N,2,),IF(AND(H3990="UREA",OR(I3990="TN",I3990="TDN",I3990="TNO2-3",I3990="NO2-3")),VLOOKUP(E3990,QCUREA_N,2,),IF(H3990="PER",VLOOKUP(I3990,QCPER,MATCH(E3990,QCACTUAL!$J$25:$AA$25,0),),IF(H3990="SPK",VLOOKUP(I3990,QCSPK,3,),IF(AND(H3990="ATP",OR(I3990="TP",I3990="TDP")),VLOOKUP(E3990,QCATP_P,2,),""))))))))</f>
        <v/>
      </c>
      <c r="W3990" s="31" t="str">
        <f t="shared" si="455"/>
        <v>TRUE</v>
      </c>
      <c r="X3990" s="31" t="str">
        <f t="shared" si="452"/>
        <v>((ABS(rep1-rep2))/((rep1+rep2)/2)*100</v>
      </c>
      <c r="Y3990" s="10" t="s">
        <v>1285</v>
      </c>
      <c r="AF3990" s="12">
        <v>44980</v>
      </c>
      <c r="AG3990" s="10">
        <f>-7.042*1.8^2+106.99*1.8-46.227</f>
        <v>123.53891999999999</v>
      </c>
      <c r="AH3990" s="10">
        <f>-5.1889*1.8^2+102.33*1.8-44.163</f>
        <v>123.21896399999999</v>
      </c>
      <c r="AI3990" s="10">
        <f>-1.8824*1.8^2+87.341*1.8-33.178</f>
        <v>117.936824</v>
      </c>
      <c r="AK3990" s="10">
        <f>-0.0059*1.8^2+68.478*1.8-14.154</f>
        <v>109.087284</v>
      </c>
      <c r="AL3990" s="10" t="str">
        <f t="shared" si="450"/>
        <v>y=-7.042*1.8^2+106.99*1.8-46.227</v>
      </c>
      <c r="AM3990" s="10" t="str">
        <f t="shared" si="450"/>
        <v>y=-5.1889*1.8^2+102.33*1.8-44.163</v>
      </c>
      <c r="AN3990" s="10" t="str">
        <f t="shared" si="450"/>
        <v>y=-1.8824*1.8^2+87.341*1.8-33.178</v>
      </c>
      <c r="AO3990" s="10" t="str">
        <f t="shared" si="451"/>
        <v>FALSE</v>
      </c>
      <c r="AP3990" s="10" t="str">
        <f t="shared" si="451"/>
        <v>y=-0.0059*1.8^2+68.478*1.8-14.154</v>
      </c>
      <c r="AQ3990" s="10" t="str">
        <f>IF(AND(I3990="TP",S3990&lt;=150),VLOOKUP(AF3990,TPCalibEq150!$AZ$2:$BB$55,3,),IF(AND(I3990="TDP",S3990&lt;=150),VLOOKUP(AF3990,TPCalibEq150!$AZ$2:$BB$55,3,)))</f>
        <v>y=-7.042x2+106.99x-46.227</v>
      </c>
      <c r="AR3990" s="10" t="str">
        <f>IF(AND(I3990="TP",S3990&lt;=300),VLOOKUP(AF3990,TPCalibEq300!$AZ$2:$BB$55,3,),IF(AND(I3990="TDP",S3990&lt;=300),VLOOKUP(AF3990,TPCalibEq300!$AZ$2:$BB$55,3,)))</f>
        <v>y=-5.1889x2+102.33x-44.163</v>
      </c>
      <c r="AS3990" s="10" t="str">
        <f>IF(AND(I3990="TP",S3990&lt;=500),VLOOKUP(AF3990,TPCalibEq500!$AZ$2:$BB$56,3,),IF(AND(I3990="TDP",S3990&lt;=500),VLOOKUP(AF3990,TPCalibEq500!$AZ$2:$BB$56,3,)))</f>
        <v>y=-1.8824x2+87.341x-33.178</v>
      </c>
      <c r="AT3990" s="10" t="b">
        <f>IF(AND(I3990="TN",S3990&lt;=2800),VLOOKUP(AF3990,TNCalibEq2500!$AZ$2:$BB$56,3,),IF(AND(I3990="TDN",S3990&lt;=2800),VLOOKUP(AF3990,TNCalibEq2500!$AZ$2:$BB$56,3,)))</f>
        <v>0</v>
      </c>
      <c r="AU3990" s="10" t="str">
        <f>IF(I3990="TP",VLOOKUP(AF3990,TPCalibEqFull!$AZ$2:$BB$56,3),IF(I3990="TDP",VLOOKUP(AF3990,TPCalibEqFull!$AZ$2:$BB$56,3),IF(I3990="TDN",VLOOKUP(AF3990,TNCalibEqFull!$AZ$1:$BB$56,3),IF(I3990="TN",VLOOKUP(AF3990,TNCalibEqFull!$AZ$1:$BB$56,3),FALSE))))</f>
        <v>y=-0.0059x2+68.478x-14.154</v>
      </c>
      <c r="AV3990" s="10" t="str">
        <f t="shared" si="456"/>
        <v>0221 10:49:00-EMB-0-FIL-1-SW-DUP</v>
      </c>
    </row>
    <row r="3991" spans="1:48" s="10" customFormat="1" x14ac:dyDescent="0.55000000000000004">
      <c r="A3991" s="32">
        <v>44978</v>
      </c>
      <c r="B3991" s="33">
        <v>0.45069444444444445</v>
      </c>
      <c r="C3991" s="10" t="s">
        <v>646</v>
      </c>
      <c r="D3991" s="10">
        <v>0</v>
      </c>
      <c r="E3991" s="10" t="s">
        <v>911</v>
      </c>
      <c r="F3991" s="10">
        <v>1</v>
      </c>
      <c r="G3991" s="10" t="s">
        <v>231</v>
      </c>
      <c r="H3991" s="10" t="s">
        <v>314</v>
      </c>
      <c r="I3991" s="10" t="s">
        <v>266</v>
      </c>
      <c r="J3991" s="10">
        <v>88</v>
      </c>
      <c r="K3991" s="12">
        <v>44980</v>
      </c>
      <c r="L3991" s="33">
        <v>0.49837962962962962</v>
      </c>
      <c r="M3991" s="10">
        <v>1</v>
      </c>
      <c r="N3991" s="10" t="s">
        <v>84</v>
      </c>
      <c r="O3991" s="10">
        <v>17.5</v>
      </c>
      <c r="P3991" s="10">
        <v>1.24</v>
      </c>
      <c r="Q3991" s="10">
        <v>1180</v>
      </c>
      <c r="R3991" s="10" t="s">
        <v>85</v>
      </c>
      <c r="S3991" s="34">
        <f t="shared" si="453"/>
        <v>1182.404125</v>
      </c>
      <c r="T3991" s="10" t="s">
        <v>1299</v>
      </c>
      <c r="U3991" s="34">
        <f t="shared" si="454"/>
        <v>105.8865205</v>
      </c>
      <c r="V3991" s="31">
        <f>IF(H3991="CHK",VLOOKUP(I3991,QCCHK,3,),IF(H3991="GUP",VLOOKUP(E3991,QCGUP,2,),IF(AND(H3991="ATP",OR(I3991="TN",I3991="TDN",I3991="TNO2-3",I3991="NO2-3")),VLOOKUP(E3991,QCREC_N,2,),IF(AND(H3991="NIC",OR(I3991="TN",I3991="TDN",I3991="TNO2-3",I3991="NO2-3")),VLOOKUP(E3991,QCNIC_N,2,),IF(AND(H3991="UREA",OR(I3991="TN",I3991="TDN",I3991="TNO2-3",I3991="NO2-3")),VLOOKUP(E3991,QCUREA_N,2,),IF(H3991="PER",VLOOKUP(I3991,QCPER,MATCH(E3991,QCACTUAL!$J$25:$AA$25,0),),IF(H3991="SPK",VLOOKUP(I3991,QCSPK,3,),IF(AND(H3991="ATP",OR(I3991="TP",I3991="TDP")),VLOOKUP(E3991,QCATP_P,2,),""))))))))</f>
        <v>1000</v>
      </c>
      <c r="W3991" s="31" t="str">
        <f t="shared" si="455"/>
        <v>TRUE</v>
      </c>
      <c r="X3991" s="31" t="str">
        <f t="shared" si="452"/>
        <v>([spikedunkn]-[unkn])/[spike]*100</v>
      </c>
      <c r="Y3991" s="10" t="s">
        <v>1285</v>
      </c>
      <c r="AF3991" s="12">
        <v>44980</v>
      </c>
      <c r="AK3991" s="10">
        <f>-0.0059*17.5^2+68.478*17.5-14.154</f>
        <v>1182.404125</v>
      </c>
      <c r="AL3991" s="10" t="str">
        <f t="shared" si="450"/>
        <v>FALSE</v>
      </c>
      <c r="AM3991" s="10" t="str">
        <f t="shared" si="450"/>
        <v>FALSE</v>
      </c>
      <c r="AN3991" s="10" t="str">
        <f t="shared" si="450"/>
        <v>FALSE</v>
      </c>
      <c r="AO3991" s="10" t="str">
        <f t="shared" si="451"/>
        <v>FALSE</v>
      </c>
      <c r="AP3991" s="10" t="str">
        <f t="shared" si="451"/>
        <v>y=-0.0059*17.5^2+68.478*17.5-14.154</v>
      </c>
      <c r="AQ3991" s="10" t="b">
        <f>IF(AND(I3991="TP",S3991&lt;=150),VLOOKUP(AF3991,TPCalibEq150!$AZ$2:$BB$55,3,),IF(AND(I3991="TDP",S3991&lt;=150),VLOOKUP(AF3991,TPCalibEq150!$AZ$2:$BB$55,3,)))</f>
        <v>0</v>
      </c>
      <c r="AR3991" s="10" t="b">
        <f>IF(AND(I3991="TP",S3991&lt;=300),VLOOKUP(AF3991,TPCalibEq300!$AZ$2:$BB$55,3,),IF(AND(I3991="TDP",S3991&lt;=300),VLOOKUP(AF3991,TPCalibEq300!$AZ$2:$BB$55,3,)))</f>
        <v>0</v>
      </c>
      <c r="AS3991" s="10" t="b">
        <f>IF(AND(I3991="TP",S3991&lt;=500),VLOOKUP(AF3991,TPCalibEq500!$AZ$2:$BB$56,3,),IF(AND(I3991="TDP",S3991&lt;=500),VLOOKUP(AF3991,TPCalibEq500!$AZ$2:$BB$56,3,)))</f>
        <v>0</v>
      </c>
      <c r="AT3991" s="10" t="b">
        <f>IF(AND(I3991="TN",S3991&lt;=2800),VLOOKUP(AF3991,TNCalibEq2500!$AZ$2:$BB$56,3,),IF(AND(I3991="TDN",S3991&lt;=2800),VLOOKUP(AF3991,TNCalibEq2500!$AZ$2:$BB$56,3,)))</f>
        <v>0</v>
      </c>
      <c r="AU3991" s="10" t="str">
        <f>IF(I3991="TP",VLOOKUP(AF3991,TPCalibEqFull!$AZ$2:$BB$56,3),IF(I3991="TDP",VLOOKUP(AF3991,TPCalibEqFull!$AZ$2:$BB$56,3),IF(I3991="TDN",VLOOKUP(AF3991,TNCalibEqFull!$AZ$1:$BB$56,3),IF(I3991="TN",VLOOKUP(AF3991,TNCalibEqFull!$AZ$1:$BB$56,3),FALSE))))</f>
        <v>y=-0.0059x2+68.478x-14.154</v>
      </c>
      <c r="AV3991" s="10" t="str">
        <f t="shared" si="456"/>
        <v>0221 10:49:00-EMB-0-FIL-1-SW-SPK</v>
      </c>
    </row>
    <row r="3992" spans="1:48" s="10" customFormat="1" x14ac:dyDescent="0.55000000000000004">
      <c r="A3992" s="32">
        <v>44979</v>
      </c>
      <c r="B3992" s="33">
        <v>0.375</v>
      </c>
      <c r="C3992" s="10" t="s">
        <v>70</v>
      </c>
      <c r="D3992" s="10" t="s">
        <v>71</v>
      </c>
      <c r="E3992" s="10" t="s">
        <v>901</v>
      </c>
      <c r="F3992" s="10">
        <v>1</v>
      </c>
      <c r="G3992" s="10" t="s">
        <v>73</v>
      </c>
      <c r="H3992" s="10" t="s">
        <v>207</v>
      </c>
      <c r="I3992" s="10" t="s">
        <v>83</v>
      </c>
      <c r="J3992" s="10">
        <v>203</v>
      </c>
      <c r="K3992" s="12">
        <v>44980</v>
      </c>
      <c r="L3992" s="33">
        <v>0.4990856481481481</v>
      </c>
      <c r="M3992" s="10">
        <v>1</v>
      </c>
      <c r="N3992" s="10" t="s">
        <v>84</v>
      </c>
      <c r="O3992" s="10">
        <v>7.83</v>
      </c>
      <c r="P3992" s="10">
        <v>0.56100000000000005</v>
      </c>
      <c r="Q3992" s="10">
        <v>519</v>
      </c>
      <c r="R3992" s="10" t="s">
        <v>85</v>
      </c>
      <c r="S3992" s="34">
        <f t="shared" si="453"/>
        <v>521.66701748999992</v>
      </c>
      <c r="T3992" s="10" t="s">
        <v>1299</v>
      </c>
      <c r="U3992" s="34">
        <f t="shared" si="454"/>
        <v>104.33340349799998</v>
      </c>
      <c r="V3992" s="31">
        <f>IF(H3992="CHK",VLOOKUP(I3992,QCCHK,3,),IF(H3992="GUP",VLOOKUP(E3992,QCGUP,2,),IF(AND(H3992="ATP",OR(I3992="TN",I3992="TDN",I3992="TNO2-3",I3992="NO2-3")),VLOOKUP(E3992,QCREC_N,2,),IF(AND(H3992="NIC",OR(I3992="TN",I3992="TDN",I3992="TNO2-3",I3992="NO2-3")),VLOOKUP(E3992,QCNIC_N,2,),IF(AND(H3992="UREA",OR(I3992="TN",I3992="TDN",I3992="TNO2-3",I3992="NO2-3")),VLOOKUP(E3992,QCUREA_N,2,),IF(H3992="PER",VLOOKUP(I3992,QCPER,MATCH(E3992,QCACTUAL!$J$25:$AA$25,0),),IF(H3992="SPK",VLOOKUP(I3992,QCSPK,3,),IF(AND(H3992="ATP",OR(I3992="TP",I3992="TDP")),VLOOKUP(E3992,QCATP_P,2,),""))))))))</f>
        <v>500</v>
      </c>
      <c r="W3992" s="31" t="str">
        <f t="shared" si="455"/>
        <v>TRUE</v>
      </c>
      <c r="X3992" s="31" t="str">
        <f t="shared" si="452"/>
        <v>[chk]/[actual]*100</v>
      </c>
      <c r="Y3992" s="10" t="s">
        <v>1285</v>
      </c>
      <c r="AF3992" s="12">
        <v>44980</v>
      </c>
      <c r="AK3992" s="10">
        <f>-0.0059*7.83^2+68.478*7.83-14.154</f>
        <v>521.66701748999992</v>
      </c>
      <c r="AL3992" s="10" t="str">
        <f t="shared" si="450"/>
        <v>FALSE</v>
      </c>
      <c r="AM3992" s="10" t="str">
        <f t="shared" si="450"/>
        <v>FALSE</v>
      </c>
      <c r="AN3992" s="10" t="str">
        <f t="shared" si="450"/>
        <v>FALSE</v>
      </c>
      <c r="AO3992" s="10" t="str">
        <f t="shared" si="451"/>
        <v>FALSE</v>
      </c>
      <c r="AP3992" s="10" t="str">
        <f t="shared" si="451"/>
        <v>y=-0.0059*7.83^2+68.478*7.83-14.154</v>
      </c>
      <c r="AQ3992" s="10" t="b">
        <f>IF(AND(I3992="TP",S3992&lt;=150),VLOOKUP(AF3992,TPCalibEq150!$AZ$2:$BB$55,3,),IF(AND(I3992="TDP",S3992&lt;=150),VLOOKUP(AF3992,TPCalibEq150!$AZ$2:$BB$55,3,)))</f>
        <v>0</v>
      </c>
      <c r="AR3992" s="10" t="b">
        <f>IF(AND(I3992="TP",S3992&lt;=300),VLOOKUP(AF3992,TPCalibEq300!$AZ$2:$BB$55,3,),IF(AND(I3992="TDP",S3992&lt;=300),VLOOKUP(AF3992,TPCalibEq300!$AZ$2:$BB$55,3,)))</f>
        <v>0</v>
      </c>
      <c r="AS3992" s="10" t="b">
        <f>IF(AND(I3992="TP",S3992&lt;=500),VLOOKUP(AF3992,TPCalibEq500!$AZ$2:$BB$56,3,),IF(AND(I3992="TDP",S3992&lt;=500),VLOOKUP(AF3992,TPCalibEq500!$AZ$2:$BB$56,3,)))</f>
        <v>0</v>
      </c>
      <c r="AT3992" s="10" t="b">
        <f>IF(AND(I3992="TN",S3992&lt;=2800),VLOOKUP(AF3992,TNCalibEq2500!$AZ$2:$BB$56,3,),IF(AND(I3992="TDN",S3992&lt;=2800),VLOOKUP(AF3992,TNCalibEq2500!$AZ$2:$BB$56,3,)))</f>
        <v>0</v>
      </c>
      <c r="AU3992" s="10" t="str">
        <f>IF(I3992="TP",VLOOKUP(AF3992,TPCalibEqFull!$AZ$2:$BB$56,3),IF(I3992="TDP",VLOOKUP(AF3992,TPCalibEqFull!$AZ$2:$BB$56,3),IF(I3992="TDN",VLOOKUP(AF3992,TNCalibEqFull!$AZ$1:$BB$56,3),IF(I3992="TN",VLOOKUP(AF3992,TNCalibEqFull!$AZ$1:$BB$56,3),FALSE))))</f>
        <v>y=-0.0059x2+68.478x-14.154</v>
      </c>
      <c r="AV3992" s="10" t="str">
        <f t="shared" si="456"/>
        <v>0222 09:00:00-QAC-STD-D-1-DI-CHK</v>
      </c>
    </row>
    <row r="3993" spans="1:48" s="10" customFormat="1" x14ac:dyDescent="0.55000000000000004">
      <c r="A3993" s="32">
        <v>44978</v>
      </c>
      <c r="B3993" s="33">
        <v>0.45277777777777778</v>
      </c>
      <c r="C3993" s="10" t="s">
        <v>646</v>
      </c>
      <c r="D3993" s="10">
        <v>5</v>
      </c>
      <c r="E3993" s="10" t="s">
        <v>911</v>
      </c>
      <c r="F3993" s="10">
        <v>1</v>
      </c>
      <c r="G3993" s="10" t="s">
        <v>231</v>
      </c>
      <c r="H3993" s="10" t="s">
        <v>322</v>
      </c>
      <c r="I3993" s="10" t="s">
        <v>266</v>
      </c>
      <c r="J3993" s="10">
        <v>61</v>
      </c>
      <c r="K3993" s="12">
        <v>44980</v>
      </c>
      <c r="L3993" s="33">
        <v>0.49979166666666663</v>
      </c>
      <c r="M3993" s="10">
        <v>1</v>
      </c>
      <c r="N3993" s="10" t="s">
        <v>84</v>
      </c>
      <c r="O3993" s="10">
        <v>1.79</v>
      </c>
      <c r="P3993" s="10">
        <v>0.126</v>
      </c>
      <c r="Q3993" s="10">
        <v>109</v>
      </c>
      <c r="R3993" s="10" t="s">
        <v>85</v>
      </c>
      <c r="S3993" s="34">
        <f t="shared" si="453"/>
        <v>122.7218278</v>
      </c>
      <c r="T3993" s="10" t="s">
        <v>1299</v>
      </c>
      <c r="U3993" s="34" t="str">
        <f t="shared" si="454"/>
        <v/>
      </c>
      <c r="V3993" s="31" t="str">
        <f>IF(H3993="CHK",VLOOKUP(I3993,QCCHK,3,),IF(H3993="GUP",VLOOKUP(E3993,QCGUP,2,),IF(AND(H3993="ATP",OR(I3993="TN",I3993="TDN",I3993="TNO2-3",I3993="NO2-3")),VLOOKUP(E3993,QCREC_N,2,),IF(AND(H3993="NIC",OR(I3993="TN",I3993="TDN",I3993="TNO2-3",I3993="NO2-3")),VLOOKUP(E3993,QCNIC_N,2,),IF(AND(H3993="UREA",OR(I3993="TN",I3993="TDN",I3993="TNO2-3",I3993="NO2-3")),VLOOKUP(E3993,QCUREA_N,2,),IF(H3993="PER",VLOOKUP(I3993,QCPER,MATCH(E3993,QCACTUAL!$J$25:$AA$25,0),),IF(H3993="SPK",VLOOKUP(I3993,QCSPK,3,),IF(AND(H3993="ATP",OR(I3993="TP",I3993="TDP")),VLOOKUP(E3993,QCATP_P,2,),""))))))))</f>
        <v/>
      </c>
      <c r="W3993" s="31" t="str">
        <f t="shared" si="455"/>
        <v>TRUE</v>
      </c>
      <c r="X3993" s="31" t="str">
        <f t="shared" si="452"/>
        <v/>
      </c>
      <c r="Y3993" s="10" t="s">
        <v>1285</v>
      </c>
      <c r="AF3993" s="12">
        <v>44980</v>
      </c>
      <c r="AG3993" s="10">
        <f>-7.042*1.79^2+106.99*1.79-46.227</f>
        <v>122.7218278</v>
      </c>
      <c r="AH3993" s="10">
        <f>-5.1889*1.79^2+102.33*1.79-44.163</f>
        <v>122.38194551000002</v>
      </c>
      <c r="AI3993" s="10">
        <f>-1.8824*1.79^2+87.341*1.79-33.178</f>
        <v>117.13099215999998</v>
      </c>
      <c r="AK3993" s="10">
        <f>-0.0059*1.79^2+68.478*1.79-14.154</f>
        <v>108.40271580999999</v>
      </c>
      <c r="AL3993" s="10" t="str">
        <f t="shared" si="450"/>
        <v>y=-7.042*1.79^2+106.99*1.79-46.227</v>
      </c>
      <c r="AM3993" s="10" t="str">
        <f t="shared" si="450"/>
        <v>y=-5.1889*1.79^2+102.33*1.79-44.163</v>
      </c>
      <c r="AN3993" s="10" t="str">
        <f t="shared" si="450"/>
        <v>y=-1.8824*1.79^2+87.341*1.79-33.178</v>
      </c>
      <c r="AO3993" s="10" t="str">
        <f t="shared" si="451"/>
        <v>FALSE</v>
      </c>
      <c r="AP3993" s="10" t="str">
        <f t="shared" si="451"/>
        <v>y=-0.0059*1.79^2+68.478*1.79-14.154</v>
      </c>
      <c r="AQ3993" s="10" t="str">
        <f>IF(AND(I3993="TP",S3993&lt;=150),VLOOKUP(AF3993,TPCalibEq150!$AZ$2:$BB$55,3,),IF(AND(I3993="TDP",S3993&lt;=150),VLOOKUP(AF3993,TPCalibEq150!$AZ$2:$BB$55,3,)))</f>
        <v>y=-7.042x2+106.99x-46.227</v>
      </c>
      <c r="AR3993" s="10" t="str">
        <f>IF(AND(I3993="TP",S3993&lt;=300),VLOOKUP(AF3993,TPCalibEq300!$AZ$2:$BB$55,3,),IF(AND(I3993="TDP",S3993&lt;=300),VLOOKUP(AF3993,TPCalibEq300!$AZ$2:$BB$55,3,)))</f>
        <v>y=-5.1889x2+102.33x-44.163</v>
      </c>
      <c r="AS3993" s="10" t="str">
        <f>IF(AND(I3993="TP",S3993&lt;=500),VLOOKUP(AF3993,TPCalibEq500!$AZ$2:$BB$56,3,),IF(AND(I3993="TDP",S3993&lt;=500),VLOOKUP(AF3993,TPCalibEq500!$AZ$2:$BB$56,3,)))</f>
        <v>y=-1.8824x2+87.341x-33.178</v>
      </c>
      <c r="AT3993" s="10" t="b">
        <f>IF(AND(I3993="TN",S3993&lt;=2800),VLOOKUP(AF3993,TNCalibEq2500!$AZ$2:$BB$56,3,),IF(AND(I3993="TDN",S3993&lt;=2800),VLOOKUP(AF3993,TNCalibEq2500!$AZ$2:$BB$56,3,)))</f>
        <v>0</v>
      </c>
      <c r="AU3993" s="10" t="str">
        <f>IF(I3993="TP",VLOOKUP(AF3993,TPCalibEqFull!$AZ$2:$BB$56,3),IF(I3993="TDP",VLOOKUP(AF3993,TPCalibEqFull!$AZ$2:$BB$56,3),IF(I3993="TDN",VLOOKUP(AF3993,TNCalibEqFull!$AZ$1:$BB$56,3),IF(I3993="TN",VLOOKUP(AF3993,TNCalibEqFull!$AZ$1:$BB$56,3),FALSE))))</f>
        <v>y=-0.0059x2+68.478x-14.154</v>
      </c>
      <c r="AV3993" s="10" t="str">
        <f t="shared" si="456"/>
        <v>0221 10:52:00-EMB-5-FIL-1-SW-UKN</v>
      </c>
    </row>
    <row r="3994" spans="1:48" s="10" customFormat="1" x14ac:dyDescent="0.55000000000000004">
      <c r="A3994" s="32">
        <v>44978</v>
      </c>
      <c r="B3994" s="33">
        <v>0.4548611111111111</v>
      </c>
      <c r="C3994" s="10" t="s">
        <v>646</v>
      </c>
      <c r="D3994" s="10">
        <v>10</v>
      </c>
      <c r="E3994" s="10" t="s">
        <v>911</v>
      </c>
      <c r="F3994" s="10">
        <v>1</v>
      </c>
      <c r="G3994" s="10" t="s">
        <v>231</v>
      </c>
      <c r="H3994" s="10" t="s">
        <v>322</v>
      </c>
      <c r="I3994" s="10" t="s">
        <v>266</v>
      </c>
      <c r="J3994" s="10">
        <v>62</v>
      </c>
      <c r="K3994" s="12">
        <v>44980</v>
      </c>
      <c r="L3994" s="33">
        <v>0.50049768518518511</v>
      </c>
      <c r="M3994" s="10">
        <v>1</v>
      </c>
      <c r="N3994" s="10" t="s">
        <v>84</v>
      </c>
      <c r="O3994" s="10">
        <v>1.79</v>
      </c>
      <c r="P3994" s="10">
        <v>0.125</v>
      </c>
      <c r="Q3994" s="10">
        <v>109</v>
      </c>
      <c r="R3994" s="10" t="s">
        <v>85</v>
      </c>
      <c r="S3994" s="34">
        <f t="shared" si="453"/>
        <v>122.7218278</v>
      </c>
      <c r="T3994" s="10" t="s">
        <v>1299</v>
      </c>
      <c r="U3994" s="34" t="str">
        <f t="shared" si="454"/>
        <v/>
      </c>
      <c r="V3994" s="31" t="str">
        <f>IF(H3994="CHK",VLOOKUP(I3994,QCCHK,3,),IF(H3994="GUP",VLOOKUP(E3994,QCGUP,2,),IF(AND(H3994="ATP",OR(I3994="TN",I3994="TDN",I3994="TNO2-3",I3994="NO2-3")),VLOOKUP(E3994,QCREC_N,2,),IF(AND(H3994="NIC",OR(I3994="TN",I3994="TDN",I3994="TNO2-3",I3994="NO2-3")),VLOOKUP(E3994,QCNIC_N,2,),IF(AND(H3994="UREA",OR(I3994="TN",I3994="TDN",I3994="TNO2-3",I3994="NO2-3")),VLOOKUP(E3994,QCUREA_N,2,),IF(H3994="PER",VLOOKUP(I3994,QCPER,MATCH(E3994,QCACTUAL!$J$25:$AA$25,0),),IF(H3994="SPK",VLOOKUP(I3994,QCSPK,3,),IF(AND(H3994="ATP",OR(I3994="TP",I3994="TDP")),VLOOKUP(E3994,QCATP_P,2,),""))))))))</f>
        <v/>
      </c>
      <c r="W3994" s="31" t="str">
        <f t="shared" si="455"/>
        <v>TRUE</v>
      </c>
      <c r="X3994" s="31" t="str">
        <f t="shared" si="452"/>
        <v/>
      </c>
      <c r="Y3994" s="10" t="s">
        <v>1285</v>
      </c>
      <c r="AF3994" s="12">
        <v>44980</v>
      </c>
      <c r="AG3994" s="10">
        <f>-7.042*1.79^2+106.99*1.79-46.227</f>
        <v>122.7218278</v>
      </c>
      <c r="AH3994" s="10">
        <f>-5.1889*1.79^2+102.33*1.79-44.163</f>
        <v>122.38194551000002</v>
      </c>
      <c r="AI3994" s="10">
        <f>-1.8824*1.79^2+87.341*1.79-33.178</f>
        <v>117.13099215999998</v>
      </c>
      <c r="AK3994" s="10">
        <f>-0.0059*1.79^2+68.478*1.79-14.154</f>
        <v>108.40271580999999</v>
      </c>
      <c r="AL3994" s="10" t="str">
        <f t="shared" si="450"/>
        <v>y=-7.042*1.79^2+106.99*1.79-46.227</v>
      </c>
      <c r="AM3994" s="10" t="str">
        <f t="shared" si="450"/>
        <v>y=-5.1889*1.79^2+102.33*1.79-44.163</v>
      </c>
      <c r="AN3994" s="10" t="str">
        <f t="shared" si="450"/>
        <v>y=-1.8824*1.79^2+87.341*1.79-33.178</v>
      </c>
      <c r="AO3994" s="10" t="str">
        <f t="shared" si="451"/>
        <v>FALSE</v>
      </c>
      <c r="AP3994" s="10" t="str">
        <f t="shared" si="451"/>
        <v>y=-0.0059*1.79^2+68.478*1.79-14.154</v>
      </c>
      <c r="AQ3994" s="10" t="str">
        <f>IF(AND(I3994="TP",S3994&lt;=150),VLOOKUP(AF3994,TPCalibEq150!$AZ$2:$BB$55,3,),IF(AND(I3994="TDP",S3994&lt;=150),VLOOKUP(AF3994,TPCalibEq150!$AZ$2:$BB$55,3,)))</f>
        <v>y=-7.042x2+106.99x-46.227</v>
      </c>
      <c r="AR3994" s="10" t="str">
        <f>IF(AND(I3994="TP",S3994&lt;=300),VLOOKUP(AF3994,TPCalibEq300!$AZ$2:$BB$55,3,),IF(AND(I3994="TDP",S3994&lt;=300),VLOOKUP(AF3994,TPCalibEq300!$AZ$2:$BB$55,3,)))</f>
        <v>y=-5.1889x2+102.33x-44.163</v>
      </c>
      <c r="AS3994" s="10" t="str">
        <f>IF(AND(I3994="TP",S3994&lt;=500),VLOOKUP(AF3994,TPCalibEq500!$AZ$2:$BB$56,3,),IF(AND(I3994="TDP",S3994&lt;=500),VLOOKUP(AF3994,TPCalibEq500!$AZ$2:$BB$56,3,)))</f>
        <v>y=-1.8824x2+87.341x-33.178</v>
      </c>
      <c r="AT3994" s="10" t="b">
        <f>IF(AND(I3994="TN",S3994&lt;=2800),VLOOKUP(AF3994,TNCalibEq2500!$AZ$2:$BB$56,3,),IF(AND(I3994="TDN",S3994&lt;=2800),VLOOKUP(AF3994,TNCalibEq2500!$AZ$2:$BB$56,3,)))</f>
        <v>0</v>
      </c>
      <c r="AU3994" s="10" t="str">
        <f>IF(I3994="TP",VLOOKUP(AF3994,TPCalibEqFull!$AZ$2:$BB$56,3),IF(I3994="TDP",VLOOKUP(AF3994,TPCalibEqFull!$AZ$2:$BB$56,3),IF(I3994="TDN",VLOOKUP(AF3994,TNCalibEqFull!$AZ$1:$BB$56,3),IF(I3994="TN",VLOOKUP(AF3994,TNCalibEqFull!$AZ$1:$BB$56,3),FALSE))))</f>
        <v>y=-0.0059x2+68.478x-14.154</v>
      </c>
      <c r="AV3994" s="10" t="str">
        <f t="shared" si="456"/>
        <v>0221 10:55:00-EMB-10-FIL-1-SW-UKN</v>
      </c>
    </row>
    <row r="3995" spans="1:48" s="10" customFormat="1" x14ac:dyDescent="0.55000000000000004">
      <c r="A3995" s="32">
        <v>44978</v>
      </c>
      <c r="B3995" s="33">
        <v>0.45763888888888887</v>
      </c>
      <c r="C3995" s="10" t="s">
        <v>646</v>
      </c>
      <c r="D3995" s="10">
        <v>20</v>
      </c>
      <c r="E3995" s="10" t="s">
        <v>911</v>
      </c>
      <c r="F3995" s="10">
        <v>1</v>
      </c>
      <c r="G3995" s="10" t="s">
        <v>231</v>
      </c>
      <c r="H3995" s="10" t="s">
        <v>322</v>
      </c>
      <c r="I3995" s="10" t="s">
        <v>266</v>
      </c>
      <c r="J3995" s="10">
        <v>63</v>
      </c>
      <c r="K3995" s="12">
        <v>44980</v>
      </c>
      <c r="L3995" s="33">
        <v>0.50119212962962967</v>
      </c>
      <c r="M3995" s="10">
        <v>1</v>
      </c>
      <c r="N3995" s="10" t="s">
        <v>84</v>
      </c>
      <c r="O3995" s="10">
        <v>1.84</v>
      </c>
      <c r="P3995" s="10">
        <v>0.129</v>
      </c>
      <c r="Q3995" s="10">
        <v>112</v>
      </c>
      <c r="R3995" s="10" t="s">
        <v>85</v>
      </c>
      <c r="S3995" s="34">
        <f t="shared" si="453"/>
        <v>126.79320480000001</v>
      </c>
      <c r="T3995" s="10" t="s">
        <v>1299</v>
      </c>
      <c r="U3995" s="34" t="str">
        <f t="shared" si="454"/>
        <v/>
      </c>
      <c r="V3995" s="31" t="str">
        <f>IF(H3995="CHK",VLOOKUP(I3995,QCCHK,3,),IF(H3995="GUP",VLOOKUP(E3995,QCGUP,2,),IF(AND(H3995="ATP",OR(I3995="TN",I3995="TDN",I3995="TNO2-3",I3995="NO2-3")),VLOOKUP(E3995,QCREC_N,2,),IF(AND(H3995="NIC",OR(I3995="TN",I3995="TDN",I3995="TNO2-3",I3995="NO2-3")),VLOOKUP(E3995,QCNIC_N,2,),IF(AND(H3995="UREA",OR(I3995="TN",I3995="TDN",I3995="TNO2-3",I3995="NO2-3")),VLOOKUP(E3995,QCUREA_N,2,),IF(H3995="PER",VLOOKUP(I3995,QCPER,MATCH(E3995,QCACTUAL!$J$25:$AA$25,0),),IF(H3995="SPK",VLOOKUP(I3995,QCSPK,3,),IF(AND(H3995="ATP",OR(I3995="TP",I3995="TDP")),VLOOKUP(E3995,QCATP_P,2,),""))))))))</f>
        <v/>
      </c>
      <c r="W3995" s="31" t="str">
        <f t="shared" si="455"/>
        <v>TRUE</v>
      </c>
      <c r="X3995" s="31" t="str">
        <f t="shared" si="452"/>
        <v/>
      </c>
      <c r="Y3995" s="10" t="s">
        <v>1285</v>
      </c>
      <c r="AF3995" s="12">
        <v>44980</v>
      </c>
      <c r="AG3995" s="10">
        <f>-7.042*1.84^2+106.99*1.84-46.227</f>
        <v>126.79320480000001</v>
      </c>
      <c r="AH3995" s="10">
        <f>-5.1889*1.84^2+102.33*1.84-44.163</f>
        <v>126.55666016000002</v>
      </c>
      <c r="AI3995" s="10">
        <f>-1.8824*1.84^2+87.341*1.84-33.178</f>
        <v>121.15638655999999</v>
      </c>
      <c r="AK3995" s="10">
        <f>-0.0059*1.84^2+68.478*1.84-14.154</f>
        <v>111.82554495999999</v>
      </c>
      <c r="AL3995" s="10" t="str">
        <f t="shared" si="450"/>
        <v>y=-7.042*1.84^2+106.99*1.84-46.227</v>
      </c>
      <c r="AM3995" s="10" t="str">
        <f t="shared" si="450"/>
        <v>y=-5.1889*1.84^2+102.33*1.84-44.163</v>
      </c>
      <c r="AN3995" s="10" t="str">
        <f t="shared" si="450"/>
        <v>y=-1.8824*1.84^2+87.341*1.84-33.178</v>
      </c>
      <c r="AO3995" s="10" t="str">
        <f t="shared" si="451"/>
        <v>FALSE</v>
      </c>
      <c r="AP3995" s="10" t="str">
        <f t="shared" si="451"/>
        <v>y=-0.0059*1.84^2+68.478*1.84-14.154</v>
      </c>
      <c r="AQ3995" s="10" t="str">
        <f>IF(AND(I3995="TP",S3995&lt;=150),VLOOKUP(AF3995,TPCalibEq150!$AZ$2:$BB$55,3,),IF(AND(I3995="TDP",S3995&lt;=150),VLOOKUP(AF3995,TPCalibEq150!$AZ$2:$BB$55,3,)))</f>
        <v>y=-7.042x2+106.99x-46.227</v>
      </c>
      <c r="AR3995" s="10" t="str">
        <f>IF(AND(I3995="TP",S3995&lt;=300),VLOOKUP(AF3995,TPCalibEq300!$AZ$2:$BB$55,3,),IF(AND(I3995="TDP",S3995&lt;=300),VLOOKUP(AF3995,TPCalibEq300!$AZ$2:$BB$55,3,)))</f>
        <v>y=-5.1889x2+102.33x-44.163</v>
      </c>
      <c r="AS3995" s="10" t="str">
        <f>IF(AND(I3995="TP",S3995&lt;=500),VLOOKUP(AF3995,TPCalibEq500!$AZ$2:$BB$56,3,),IF(AND(I3995="TDP",S3995&lt;=500),VLOOKUP(AF3995,TPCalibEq500!$AZ$2:$BB$56,3,)))</f>
        <v>y=-1.8824x2+87.341x-33.178</v>
      </c>
      <c r="AT3995" s="10" t="b">
        <f>IF(AND(I3995="TN",S3995&lt;=2800),VLOOKUP(AF3995,TNCalibEq2500!$AZ$2:$BB$56,3,),IF(AND(I3995="TDN",S3995&lt;=2800),VLOOKUP(AF3995,TNCalibEq2500!$AZ$2:$BB$56,3,)))</f>
        <v>0</v>
      </c>
      <c r="AU3995" s="10" t="str">
        <f>IF(I3995="TP",VLOOKUP(AF3995,TPCalibEqFull!$AZ$2:$BB$56,3),IF(I3995="TDP",VLOOKUP(AF3995,TPCalibEqFull!$AZ$2:$BB$56,3),IF(I3995="TDN",VLOOKUP(AF3995,TNCalibEqFull!$AZ$1:$BB$56,3),IF(I3995="TN",VLOOKUP(AF3995,TNCalibEqFull!$AZ$1:$BB$56,3),FALSE))))</f>
        <v>y=-0.0059x2+68.478x-14.154</v>
      </c>
      <c r="AV3995" s="10" t="str">
        <f t="shared" si="456"/>
        <v>0221 10:59:00-EMB-20-FIL-1-SW-UKN</v>
      </c>
    </row>
    <row r="3996" spans="1:48" s="10" customFormat="1" x14ac:dyDescent="0.55000000000000004">
      <c r="A3996" s="32">
        <v>44978</v>
      </c>
      <c r="B3996" s="33">
        <v>0.46249999999999997</v>
      </c>
      <c r="C3996" s="10" t="s">
        <v>646</v>
      </c>
      <c r="D3996" s="10">
        <v>60</v>
      </c>
      <c r="E3996" s="10" t="s">
        <v>911</v>
      </c>
      <c r="F3996" s="10">
        <v>1</v>
      </c>
      <c r="G3996" s="10" t="s">
        <v>231</v>
      </c>
      <c r="H3996" s="10" t="s">
        <v>322</v>
      </c>
      <c r="I3996" s="10" t="s">
        <v>266</v>
      </c>
      <c r="J3996" s="10">
        <v>64</v>
      </c>
      <c r="K3996" s="12">
        <v>44980</v>
      </c>
      <c r="L3996" s="33">
        <v>0.50189814814814815</v>
      </c>
      <c r="M3996" s="10">
        <v>1</v>
      </c>
      <c r="N3996" s="10" t="s">
        <v>84</v>
      </c>
      <c r="O3996" s="10">
        <v>1.76</v>
      </c>
      <c r="P3996" s="10">
        <v>0.123</v>
      </c>
      <c r="Q3996" s="10">
        <v>107</v>
      </c>
      <c r="R3996" s="10" t="s">
        <v>85</v>
      </c>
      <c r="S3996" s="34">
        <f t="shared" si="453"/>
        <v>120.26210080000001</v>
      </c>
      <c r="T3996" s="10" t="s">
        <v>1299</v>
      </c>
      <c r="U3996" s="34" t="str">
        <f t="shared" si="454"/>
        <v/>
      </c>
      <c r="V3996" s="31" t="str">
        <f>IF(H3996="CHK",VLOOKUP(I3996,QCCHK,3,),IF(H3996="GUP",VLOOKUP(E3996,QCGUP,2,),IF(AND(H3996="ATP",OR(I3996="TN",I3996="TDN",I3996="TNO2-3",I3996="NO2-3")),VLOOKUP(E3996,QCREC_N,2,),IF(AND(H3996="NIC",OR(I3996="TN",I3996="TDN",I3996="TNO2-3",I3996="NO2-3")),VLOOKUP(E3996,QCNIC_N,2,),IF(AND(H3996="UREA",OR(I3996="TN",I3996="TDN",I3996="TNO2-3",I3996="NO2-3")),VLOOKUP(E3996,QCUREA_N,2,),IF(H3996="PER",VLOOKUP(I3996,QCPER,MATCH(E3996,QCACTUAL!$J$25:$AA$25,0),),IF(H3996="SPK",VLOOKUP(I3996,QCSPK,3,),IF(AND(H3996="ATP",OR(I3996="TP",I3996="TDP")),VLOOKUP(E3996,QCATP_P,2,),""))))))))</f>
        <v/>
      </c>
      <c r="W3996" s="31" t="str">
        <f t="shared" si="455"/>
        <v>TRUE</v>
      </c>
      <c r="X3996" s="31" t="str">
        <f t="shared" si="452"/>
        <v/>
      </c>
      <c r="Y3996" s="10" t="s">
        <v>1285</v>
      </c>
      <c r="AF3996" s="12">
        <v>44980</v>
      </c>
      <c r="AG3996" s="10">
        <f>-7.042*1.76^2+106.99*1.76-46.227</f>
        <v>120.26210080000001</v>
      </c>
      <c r="AH3996" s="10">
        <f>-5.1889*1.76^2+102.33*1.76-44.163</f>
        <v>119.86466335999999</v>
      </c>
      <c r="AI3996" s="10">
        <f>-1.8824*1.76^2+87.341*1.76-33.178</f>
        <v>114.71123775999999</v>
      </c>
      <c r="AK3996" s="10">
        <f>-0.0059*1.76^2+68.478*1.76-14.154</f>
        <v>106.34900415999999</v>
      </c>
      <c r="AL3996" s="10" t="str">
        <f t="shared" si="450"/>
        <v>y=-7.042*1.76^2+106.99*1.76-46.227</v>
      </c>
      <c r="AM3996" s="10" t="str">
        <f t="shared" si="450"/>
        <v>y=-5.1889*1.76^2+102.33*1.76-44.163</v>
      </c>
      <c r="AN3996" s="10" t="str">
        <f t="shared" si="450"/>
        <v>y=-1.8824*1.76^2+87.341*1.76-33.178</v>
      </c>
      <c r="AO3996" s="10" t="str">
        <f t="shared" si="451"/>
        <v>FALSE</v>
      </c>
      <c r="AP3996" s="10" t="str">
        <f t="shared" si="451"/>
        <v>y=-0.0059*1.76^2+68.478*1.76-14.154</v>
      </c>
      <c r="AQ3996" s="10" t="str">
        <f>IF(AND(I3996="TP",S3996&lt;=150),VLOOKUP(AF3996,TPCalibEq150!$AZ$2:$BB$55,3,),IF(AND(I3996="TDP",S3996&lt;=150),VLOOKUP(AF3996,TPCalibEq150!$AZ$2:$BB$55,3,)))</f>
        <v>y=-7.042x2+106.99x-46.227</v>
      </c>
      <c r="AR3996" s="10" t="str">
        <f>IF(AND(I3996="TP",S3996&lt;=300),VLOOKUP(AF3996,TPCalibEq300!$AZ$2:$BB$55,3,),IF(AND(I3996="TDP",S3996&lt;=300),VLOOKUP(AF3996,TPCalibEq300!$AZ$2:$BB$55,3,)))</f>
        <v>y=-5.1889x2+102.33x-44.163</v>
      </c>
      <c r="AS3996" s="10" t="str">
        <f>IF(AND(I3996="TP",S3996&lt;=500),VLOOKUP(AF3996,TPCalibEq500!$AZ$2:$BB$56,3,),IF(AND(I3996="TDP",S3996&lt;=500),VLOOKUP(AF3996,TPCalibEq500!$AZ$2:$BB$56,3,)))</f>
        <v>y=-1.8824x2+87.341x-33.178</v>
      </c>
      <c r="AT3996" s="10" t="b">
        <f>IF(AND(I3996="TN",S3996&lt;=2800),VLOOKUP(AF3996,TNCalibEq2500!$AZ$2:$BB$56,3,),IF(AND(I3996="TDN",S3996&lt;=2800),VLOOKUP(AF3996,TNCalibEq2500!$AZ$2:$BB$56,3,)))</f>
        <v>0</v>
      </c>
      <c r="AU3996" s="10" t="str">
        <f>IF(I3996="TP",VLOOKUP(AF3996,TPCalibEqFull!$AZ$2:$BB$56,3),IF(I3996="TDP",VLOOKUP(AF3996,TPCalibEqFull!$AZ$2:$BB$56,3),IF(I3996="TDN",VLOOKUP(AF3996,TNCalibEqFull!$AZ$1:$BB$56,3),IF(I3996="TN",VLOOKUP(AF3996,TNCalibEqFull!$AZ$1:$BB$56,3),FALSE))))</f>
        <v>y=-0.0059x2+68.478x-14.154</v>
      </c>
      <c r="AV3996" s="10" t="str">
        <f t="shared" si="456"/>
        <v>0221 11:06:00-EMB-60-FIL-1-SW-UKN</v>
      </c>
    </row>
    <row r="3997" spans="1:48" s="10" customFormat="1" x14ac:dyDescent="0.55000000000000004">
      <c r="A3997" s="32">
        <v>44978</v>
      </c>
      <c r="B3997" s="33">
        <v>0.41319444444444442</v>
      </c>
      <c r="C3997" s="10" t="s">
        <v>287</v>
      </c>
      <c r="D3997" s="10">
        <v>0</v>
      </c>
      <c r="E3997" s="10" t="s">
        <v>911</v>
      </c>
      <c r="F3997" s="10">
        <v>1</v>
      </c>
      <c r="G3997" s="10" t="s">
        <v>231</v>
      </c>
      <c r="H3997" s="10" t="s">
        <v>322</v>
      </c>
      <c r="I3997" s="10" t="s">
        <v>266</v>
      </c>
      <c r="J3997" s="10">
        <v>65</v>
      </c>
      <c r="K3997" s="12">
        <v>44980</v>
      </c>
      <c r="L3997" s="33">
        <v>0.50259259259259259</v>
      </c>
      <c r="M3997" s="10">
        <v>1</v>
      </c>
      <c r="N3997" s="10" t="s">
        <v>84</v>
      </c>
      <c r="O3997" s="10">
        <v>2.35</v>
      </c>
      <c r="P3997" s="10">
        <v>0.16600000000000001</v>
      </c>
      <c r="Q3997" s="10">
        <v>147</v>
      </c>
      <c r="R3997" s="10" t="s">
        <v>85</v>
      </c>
      <c r="S3997" s="34">
        <f t="shared" si="453"/>
        <v>167.65679975</v>
      </c>
      <c r="T3997" s="10" t="s">
        <v>1299</v>
      </c>
      <c r="U3997" s="34" t="str">
        <f t="shared" si="454"/>
        <v/>
      </c>
      <c r="V3997" s="31" t="str">
        <f>IF(H3997="CHK",VLOOKUP(I3997,QCCHK,3,),IF(H3997="GUP",VLOOKUP(E3997,QCGUP,2,),IF(AND(H3997="ATP",OR(I3997="TN",I3997="TDN",I3997="TNO2-3",I3997="NO2-3")),VLOOKUP(E3997,QCREC_N,2,),IF(AND(H3997="NIC",OR(I3997="TN",I3997="TDN",I3997="TNO2-3",I3997="NO2-3")),VLOOKUP(E3997,QCNIC_N,2,),IF(AND(H3997="UREA",OR(I3997="TN",I3997="TDN",I3997="TNO2-3",I3997="NO2-3")),VLOOKUP(E3997,QCUREA_N,2,),IF(H3997="PER",VLOOKUP(I3997,QCPER,MATCH(E3997,QCACTUAL!$J$25:$AA$25,0),),IF(H3997="SPK",VLOOKUP(I3997,QCSPK,3,),IF(AND(H3997="ATP",OR(I3997="TP",I3997="TDP")),VLOOKUP(E3997,QCATP_P,2,),""))))))))</f>
        <v/>
      </c>
      <c r="W3997" s="31" t="str">
        <f t="shared" si="455"/>
        <v>TRUE</v>
      </c>
      <c r="X3997" s="31" t="str">
        <f t="shared" si="452"/>
        <v/>
      </c>
      <c r="Y3997" s="10" t="s">
        <v>1285</v>
      </c>
      <c r="AF3997" s="12">
        <v>44980</v>
      </c>
      <c r="AH3997" s="10">
        <f>-5.1889*2.35^2+102.33*2.35-44.163</f>
        <v>167.65679975</v>
      </c>
      <c r="AI3997" s="10">
        <f>-1.8824*2.35^2+87.341*2.35-33.178</f>
        <v>161.677796</v>
      </c>
      <c r="AK3997" s="10">
        <f>-0.0059*2.35^2+68.478*2.35-14.154</f>
        <v>146.73671725</v>
      </c>
      <c r="AL3997" s="10" t="str">
        <f t="shared" si="450"/>
        <v>FALSE</v>
      </c>
      <c r="AM3997" s="10" t="str">
        <f t="shared" si="450"/>
        <v>y=-5.1889*2.35^2+102.33*2.35-44.163</v>
      </c>
      <c r="AN3997" s="10" t="str">
        <f t="shared" si="450"/>
        <v>y=-1.8824*2.35^2+87.341*2.35-33.178</v>
      </c>
      <c r="AO3997" s="10" t="str">
        <f t="shared" si="451"/>
        <v>FALSE</v>
      </c>
      <c r="AP3997" s="10" t="str">
        <f t="shared" si="451"/>
        <v>y=-0.0059*2.35^2+68.478*2.35-14.154</v>
      </c>
      <c r="AQ3997" s="10" t="b">
        <f>IF(AND(I3997="TP",S3997&lt;=150),VLOOKUP(AF3997,TPCalibEq150!$AZ$2:$BB$55,3,),IF(AND(I3997="TDP",S3997&lt;=150),VLOOKUP(AF3997,TPCalibEq150!$AZ$2:$BB$55,3,)))</f>
        <v>0</v>
      </c>
      <c r="AR3997" s="10" t="str">
        <f>IF(AND(I3997="TP",S3997&lt;=300),VLOOKUP(AF3997,TPCalibEq300!$AZ$2:$BB$55,3,),IF(AND(I3997="TDP",S3997&lt;=300),VLOOKUP(AF3997,TPCalibEq300!$AZ$2:$BB$55,3,)))</f>
        <v>y=-5.1889x2+102.33x-44.163</v>
      </c>
      <c r="AS3997" s="10" t="str">
        <f>IF(AND(I3997="TP",S3997&lt;=500),VLOOKUP(AF3997,TPCalibEq500!$AZ$2:$BB$56,3,),IF(AND(I3997="TDP",S3997&lt;=500),VLOOKUP(AF3997,TPCalibEq500!$AZ$2:$BB$56,3,)))</f>
        <v>y=-1.8824x2+87.341x-33.178</v>
      </c>
      <c r="AT3997" s="10" t="b">
        <f>IF(AND(I3997="TN",S3997&lt;=2800),VLOOKUP(AF3997,TNCalibEq2500!$AZ$2:$BB$56,3,),IF(AND(I3997="TDN",S3997&lt;=2800),VLOOKUP(AF3997,TNCalibEq2500!$AZ$2:$BB$56,3,)))</f>
        <v>0</v>
      </c>
      <c r="AU3997" s="10" t="str">
        <f>IF(I3997="TP",VLOOKUP(AF3997,TPCalibEqFull!$AZ$2:$BB$56,3),IF(I3997="TDP",VLOOKUP(AF3997,TPCalibEqFull!$AZ$2:$BB$56,3),IF(I3997="TDN",VLOOKUP(AF3997,TNCalibEqFull!$AZ$1:$BB$56,3),IF(I3997="TN",VLOOKUP(AF3997,TNCalibEqFull!$AZ$1:$BB$56,3),FALSE))))</f>
        <v>y=-0.0059x2+68.478x-14.154</v>
      </c>
      <c r="AV3997" s="10" t="str">
        <f t="shared" si="456"/>
        <v>0221 09:55:00-EFL-0-FIL-1-SW-UKN</v>
      </c>
    </row>
    <row r="3998" spans="1:48" s="10" customFormat="1" x14ac:dyDescent="0.55000000000000004">
      <c r="A3998" s="32">
        <v>44978</v>
      </c>
      <c r="B3998" s="33">
        <v>0.41597222222222219</v>
      </c>
      <c r="C3998" s="10" t="s">
        <v>287</v>
      </c>
      <c r="D3998" s="10">
        <v>5</v>
      </c>
      <c r="E3998" s="10" t="s">
        <v>911</v>
      </c>
      <c r="F3998" s="10">
        <v>1</v>
      </c>
      <c r="G3998" s="10" t="s">
        <v>231</v>
      </c>
      <c r="H3998" s="10" t="s">
        <v>322</v>
      </c>
      <c r="I3998" s="10" t="s">
        <v>266</v>
      </c>
      <c r="J3998" s="10">
        <v>66</v>
      </c>
      <c r="K3998" s="12">
        <v>44980</v>
      </c>
      <c r="L3998" s="33">
        <v>0.50329861111111118</v>
      </c>
      <c r="M3998" s="10">
        <v>1</v>
      </c>
      <c r="N3998" s="10" t="s">
        <v>84</v>
      </c>
      <c r="O3998" s="10">
        <v>1.89</v>
      </c>
      <c r="P3998" s="10">
        <v>0.13100000000000001</v>
      </c>
      <c r="Q3998" s="10">
        <v>115</v>
      </c>
      <c r="R3998" s="10" t="s">
        <v>85</v>
      </c>
      <c r="S3998" s="34">
        <f t="shared" si="453"/>
        <v>130.82937179999999</v>
      </c>
      <c r="T3998" s="10" t="s">
        <v>1299</v>
      </c>
      <c r="U3998" s="34" t="str">
        <f t="shared" si="454"/>
        <v/>
      </c>
      <c r="V3998" s="31" t="str">
        <f>IF(H3998="CHK",VLOOKUP(I3998,QCCHK,3,),IF(H3998="GUP",VLOOKUP(E3998,QCGUP,2,),IF(AND(H3998="ATP",OR(I3998="TN",I3998="TDN",I3998="TNO2-3",I3998="NO2-3")),VLOOKUP(E3998,QCREC_N,2,),IF(AND(H3998="NIC",OR(I3998="TN",I3998="TDN",I3998="TNO2-3",I3998="NO2-3")),VLOOKUP(E3998,QCNIC_N,2,),IF(AND(H3998="UREA",OR(I3998="TN",I3998="TDN",I3998="TNO2-3",I3998="NO2-3")),VLOOKUP(E3998,QCUREA_N,2,),IF(H3998="PER",VLOOKUP(I3998,QCPER,MATCH(E3998,QCACTUAL!$J$25:$AA$25,0),),IF(H3998="SPK",VLOOKUP(I3998,QCSPK,3,),IF(AND(H3998="ATP",OR(I3998="TP",I3998="TDP")),VLOOKUP(E3998,QCATP_P,2,),""))))))))</f>
        <v/>
      </c>
      <c r="W3998" s="31" t="str">
        <f t="shared" si="455"/>
        <v>TRUE</v>
      </c>
      <c r="X3998" s="31" t="str">
        <f t="shared" si="452"/>
        <v/>
      </c>
      <c r="Y3998" s="10" t="s">
        <v>1285</v>
      </c>
      <c r="AF3998" s="12">
        <v>44980</v>
      </c>
      <c r="AG3998" s="10">
        <f>-7.042*1.89^2+106.99*1.89-46.227</f>
        <v>130.82937179999999</v>
      </c>
      <c r="AH3998" s="10">
        <f>-5.1889*1.89^2+102.33*1.89-44.163</f>
        <v>130.70543031</v>
      </c>
      <c r="AI3998" s="10">
        <f>-1.8824*1.89^2+87.341*1.89-33.178</f>
        <v>125.17236895999997</v>
      </c>
      <c r="AK3998" s="10">
        <f>-0.0059*1.89^2+68.478*1.89-14.154</f>
        <v>115.24834461</v>
      </c>
      <c r="AL3998" s="10" t="str">
        <f t="shared" si="450"/>
        <v>y=-7.042*1.89^2+106.99*1.89-46.227</v>
      </c>
      <c r="AM3998" s="10" t="str">
        <f t="shared" si="450"/>
        <v>y=-5.1889*1.89^2+102.33*1.89-44.163</v>
      </c>
      <c r="AN3998" s="10" t="str">
        <f t="shared" si="450"/>
        <v>y=-1.8824*1.89^2+87.341*1.89-33.178</v>
      </c>
      <c r="AO3998" s="10" t="str">
        <f t="shared" si="451"/>
        <v>FALSE</v>
      </c>
      <c r="AP3998" s="10" t="str">
        <f t="shared" si="451"/>
        <v>y=-0.0059*1.89^2+68.478*1.89-14.154</v>
      </c>
      <c r="AQ3998" s="10" t="str">
        <f>IF(AND(I3998="TP",S3998&lt;=150),VLOOKUP(AF3998,TPCalibEq150!$AZ$2:$BB$55,3,),IF(AND(I3998="TDP",S3998&lt;=150),VLOOKUP(AF3998,TPCalibEq150!$AZ$2:$BB$55,3,)))</f>
        <v>y=-7.042x2+106.99x-46.227</v>
      </c>
      <c r="AR3998" s="10" t="str">
        <f>IF(AND(I3998="TP",S3998&lt;=300),VLOOKUP(AF3998,TPCalibEq300!$AZ$2:$BB$55,3,),IF(AND(I3998="TDP",S3998&lt;=300),VLOOKUP(AF3998,TPCalibEq300!$AZ$2:$BB$55,3,)))</f>
        <v>y=-5.1889x2+102.33x-44.163</v>
      </c>
      <c r="AS3998" s="10" t="str">
        <f>IF(AND(I3998="TP",S3998&lt;=500),VLOOKUP(AF3998,TPCalibEq500!$AZ$2:$BB$56,3,),IF(AND(I3998="TDP",S3998&lt;=500),VLOOKUP(AF3998,TPCalibEq500!$AZ$2:$BB$56,3,)))</f>
        <v>y=-1.8824x2+87.341x-33.178</v>
      </c>
      <c r="AT3998" s="10" t="b">
        <f>IF(AND(I3998="TN",S3998&lt;=2800),VLOOKUP(AF3998,TNCalibEq2500!$AZ$2:$BB$56,3,),IF(AND(I3998="TDN",S3998&lt;=2800),VLOOKUP(AF3998,TNCalibEq2500!$AZ$2:$BB$56,3,)))</f>
        <v>0</v>
      </c>
      <c r="AU3998" s="10" t="str">
        <f>IF(I3998="TP",VLOOKUP(AF3998,TPCalibEqFull!$AZ$2:$BB$56,3),IF(I3998="TDP",VLOOKUP(AF3998,TPCalibEqFull!$AZ$2:$BB$56,3),IF(I3998="TDN",VLOOKUP(AF3998,TNCalibEqFull!$AZ$1:$BB$56,3),IF(I3998="TN",VLOOKUP(AF3998,TNCalibEqFull!$AZ$1:$BB$56,3),FALSE))))</f>
        <v>y=-0.0059x2+68.478x-14.154</v>
      </c>
      <c r="AV3998" s="10" t="str">
        <f t="shared" si="456"/>
        <v>0221 09:59:00-EFL-5-FIL-1-SW-UKN</v>
      </c>
    </row>
    <row r="3999" spans="1:48" s="10" customFormat="1" x14ac:dyDescent="0.55000000000000004">
      <c r="A3999" s="32">
        <v>44978</v>
      </c>
      <c r="B3999" s="33">
        <v>0.41805555555555557</v>
      </c>
      <c r="C3999" s="10" t="s">
        <v>287</v>
      </c>
      <c r="D3999" s="10">
        <v>10</v>
      </c>
      <c r="E3999" s="10" t="s">
        <v>911</v>
      </c>
      <c r="F3999" s="10">
        <v>1</v>
      </c>
      <c r="G3999" s="10" t="s">
        <v>231</v>
      </c>
      <c r="H3999" s="10" t="s">
        <v>322</v>
      </c>
      <c r="I3999" s="10" t="s">
        <v>266</v>
      </c>
      <c r="J3999" s="10">
        <v>67</v>
      </c>
      <c r="K3999" s="12">
        <v>44980</v>
      </c>
      <c r="L3999" s="33">
        <v>0.50399305555555551</v>
      </c>
      <c r="M3999" s="10">
        <v>1</v>
      </c>
      <c r="N3999" s="10" t="s">
        <v>84</v>
      </c>
      <c r="O3999" s="10">
        <v>2.74</v>
      </c>
      <c r="P3999" s="10">
        <v>0.19400000000000001</v>
      </c>
      <c r="Q3999" s="10">
        <v>173</v>
      </c>
      <c r="R3999" s="10" t="s">
        <v>85</v>
      </c>
      <c r="S3999" s="34">
        <f t="shared" si="453"/>
        <v>197.26501436000001</v>
      </c>
      <c r="T3999" s="10" t="s">
        <v>1299</v>
      </c>
      <c r="U3999" s="34" t="str">
        <f t="shared" si="454"/>
        <v/>
      </c>
      <c r="V3999" s="31" t="str">
        <f>IF(H3999="CHK",VLOOKUP(I3999,QCCHK,3,),IF(H3999="GUP",VLOOKUP(E3999,QCGUP,2,),IF(AND(H3999="ATP",OR(I3999="TN",I3999="TDN",I3999="TNO2-3",I3999="NO2-3")),VLOOKUP(E3999,QCREC_N,2,),IF(AND(H3999="NIC",OR(I3999="TN",I3999="TDN",I3999="TNO2-3",I3999="NO2-3")),VLOOKUP(E3999,QCNIC_N,2,),IF(AND(H3999="UREA",OR(I3999="TN",I3999="TDN",I3999="TNO2-3",I3999="NO2-3")),VLOOKUP(E3999,QCUREA_N,2,),IF(H3999="PER",VLOOKUP(I3999,QCPER,MATCH(E3999,QCACTUAL!$J$25:$AA$25,0),),IF(H3999="SPK",VLOOKUP(I3999,QCSPK,3,),IF(AND(H3999="ATP",OR(I3999="TP",I3999="TDP")),VLOOKUP(E3999,QCATP_P,2,),""))))))))</f>
        <v/>
      </c>
      <c r="W3999" s="31" t="str">
        <f t="shared" si="455"/>
        <v>TRUE</v>
      </c>
      <c r="X3999" s="31" t="str">
        <f t="shared" si="452"/>
        <v/>
      </c>
      <c r="Y3999" s="10" t="s">
        <v>1285</v>
      </c>
      <c r="AF3999" s="12">
        <v>44980</v>
      </c>
      <c r="AH3999" s="10">
        <f>-5.1889*2.74^2+102.33*2.74-44.163</f>
        <v>197.26501436000001</v>
      </c>
      <c r="AI3999" s="10">
        <f>-1.8824*2.74^2+87.341*2.74-33.178</f>
        <v>192.00403376000003</v>
      </c>
      <c r="AK3999" s="10">
        <f>-0.0059*2.74^2+68.478*2.74-14.154</f>
        <v>173.43142516</v>
      </c>
      <c r="AL3999" s="10" t="str">
        <f t="shared" si="450"/>
        <v>FALSE</v>
      </c>
      <c r="AM3999" s="10" t="str">
        <f t="shared" si="450"/>
        <v>y=-5.1889*2.74^2+102.33*2.74-44.163</v>
      </c>
      <c r="AN3999" s="10" t="str">
        <f t="shared" si="450"/>
        <v>y=-1.8824*2.74^2+87.341*2.74-33.178</v>
      </c>
      <c r="AO3999" s="10" t="str">
        <f t="shared" si="451"/>
        <v>FALSE</v>
      </c>
      <c r="AP3999" s="10" t="str">
        <f t="shared" si="451"/>
        <v>y=-0.0059*2.74^2+68.478*2.74-14.154</v>
      </c>
      <c r="AQ3999" s="10" t="b">
        <f>IF(AND(I3999="TP",S3999&lt;=150),VLOOKUP(AF3999,TPCalibEq150!$AZ$2:$BB$55,3,),IF(AND(I3999="TDP",S3999&lt;=150),VLOOKUP(AF3999,TPCalibEq150!$AZ$2:$BB$55,3,)))</f>
        <v>0</v>
      </c>
      <c r="AR3999" s="10" t="str">
        <f>IF(AND(I3999="TP",S3999&lt;=300),VLOOKUP(AF3999,TPCalibEq300!$AZ$2:$BB$55,3,),IF(AND(I3999="TDP",S3999&lt;=300),VLOOKUP(AF3999,TPCalibEq300!$AZ$2:$BB$55,3,)))</f>
        <v>y=-5.1889x2+102.33x-44.163</v>
      </c>
      <c r="AS3999" s="10" t="str">
        <f>IF(AND(I3999="TP",S3999&lt;=500),VLOOKUP(AF3999,TPCalibEq500!$AZ$2:$BB$56,3,),IF(AND(I3999="TDP",S3999&lt;=500),VLOOKUP(AF3999,TPCalibEq500!$AZ$2:$BB$56,3,)))</f>
        <v>y=-1.8824x2+87.341x-33.178</v>
      </c>
      <c r="AT3999" s="10" t="b">
        <f>IF(AND(I3999="TN",S3999&lt;=2800),VLOOKUP(AF3999,TNCalibEq2500!$AZ$2:$BB$56,3,),IF(AND(I3999="TDN",S3999&lt;=2800),VLOOKUP(AF3999,TNCalibEq2500!$AZ$2:$BB$56,3,)))</f>
        <v>0</v>
      </c>
      <c r="AU3999" s="10" t="str">
        <f>IF(I3999="TP",VLOOKUP(AF3999,TPCalibEqFull!$AZ$2:$BB$56,3),IF(I3999="TDP",VLOOKUP(AF3999,TPCalibEqFull!$AZ$2:$BB$56,3),IF(I3999="TDN",VLOOKUP(AF3999,TNCalibEqFull!$AZ$1:$BB$56,3),IF(I3999="TN",VLOOKUP(AF3999,TNCalibEqFull!$AZ$1:$BB$56,3),FALSE))))</f>
        <v>y=-0.0059x2+68.478x-14.154</v>
      </c>
      <c r="AV3999" s="10" t="str">
        <f t="shared" si="456"/>
        <v>0221 10:02:00-EFL-10-FIL-1-SW-UKN</v>
      </c>
    </row>
    <row r="4000" spans="1:48" s="10" customFormat="1" x14ac:dyDescent="0.55000000000000004">
      <c r="A4000" s="32">
        <v>44978</v>
      </c>
      <c r="B4000" s="33">
        <v>0.42083333333333334</v>
      </c>
      <c r="C4000" s="10" t="s">
        <v>287</v>
      </c>
      <c r="D4000" s="10">
        <v>20</v>
      </c>
      <c r="E4000" s="10" t="s">
        <v>911</v>
      </c>
      <c r="F4000" s="10">
        <v>1</v>
      </c>
      <c r="G4000" s="10" t="s">
        <v>231</v>
      </c>
      <c r="H4000" s="10" t="s">
        <v>322</v>
      </c>
      <c r="I4000" s="10" t="s">
        <v>266</v>
      </c>
      <c r="J4000" s="10">
        <v>68</v>
      </c>
      <c r="K4000" s="12">
        <v>44980</v>
      </c>
      <c r="L4000" s="33">
        <v>0.50469907407407411</v>
      </c>
      <c r="M4000" s="10">
        <v>1</v>
      </c>
      <c r="N4000" s="10" t="s">
        <v>84</v>
      </c>
      <c r="O4000" s="10">
        <v>1.81</v>
      </c>
      <c r="P4000" s="10">
        <v>0.127</v>
      </c>
      <c r="Q4000" s="10">
        <v>110</v>
      </c>
      <c r="R4000" s="10" t="s">
        <v>85</v>
      </c>
      <c r="S4000" s="34">
        <f t="shared" si="453"/>
        <v>124.35460379999998</v>
      </c>
      <c r="T4000" s="10" t="s">
        <v>1299</v>
      </c>
      <c r="U4000" s="34" t="str">
        <f t="shared" si="454"/>
        <v/>
      </c>
      <c r="V4000" s="31" t="str">
        <f>IF(H4000="CHK",VLOOKUP(I4000,QCCHK,3,),IF(H4000="GUP",VLOOKUP(E4000,QCGUP,2,),IF(AND(H4000="ATP",OR(I4000="TN",I4000="TDN",I4000="TNO2-3",I4000="NO2-3")),VLOOKUP(E4000,QCREC_N,2,),IF(AND(H4000="NIC",OR(I4000="TN",I4000="TDN",I4000="TNO2-3",I4000="NO2-3")),VLOOKUP(E4000,QCNIC_N,2,),IF(AND(H4000="UREA",OR(I4000="TN",I4000="TDN",I4000="TNO2-3",I4000="NO2-3")),VLOOKUP(E4000,QCUREA_N,2,),IF(H4000="PER",VLOOKUP(I4000,QCPER,MATCH(E4000,QCACTUAL!$J$25:$AA$25,0),),IF(H4000="SPK",VLOOKUP(I4000,QCSPK,3,),IF(AND(H4000="ATP",OR(I4000="TP",I4000="TDP")),VLOOKUP(E4000,QCATP_P,2,),""))))))))</f>
        <v/>
      </c>
      <c r="W4000" s="31" t="str">
        <f t="shared" si="455"/>
        <v>TRUE</v>
      </c>
      <c r="X4000" s="31" t="str">
        <f t="shared" si="452"/>
        <v/>
      </c>
      <c r="Y4000" s="10" t="s">
        <v>1285</v>
      </c>
      <c r="AF4000" s="12">
        <v>44980</v>
      </c>
      <c r="AG4000" s="10">
        <f>-7.042*1.81^2+106.99*1.81-46.227</f>
        <v>124.35460379999998</v>
      </c>
      <c r="AH4000" s="10">
        <f>-5.1889*1.81^2+102.33*1.81-44.163</f>
        <v>124.05494470999999</v>
      </c>
      <c r="AI4000" s="10">
        <f>-1.8824*1.81^2+87.341*1.81-33.178</f>
        <v>118.74227936</v>
      </c>
      <c r="AK4000" s="10">
        <f>-0.0059*1.81^2+68.478*1.81-14.154</f>
        <v>109.77185100999999</v>
      </c>
      <c r="AL4000" s="10" t="str">
        <f t="shared" si="450"/>
        <v>y=-7.042*1.81^2+106.99*1.81-46.227</v>
      </c>
      <c r="AM4000" s="10" t="str">
        <f t="shared" si="450"/>
        <v>y=-5.1889*1.81^2+102.33*1.81-44.163</v>
      </c>
      <c r="AN4000" s="10" t="str">
        <f t="shared" si="450"/>
        <v>y=-1.8824*1.81^2+87.341*1.81-33.178</v>
      </c>
      <c r="AO4000" s="10" t="str">
        <f t="shared" si="451"/>
        <v>FALSE</v>
      </c>
      <c r="AP4000" s="10" t="str">
        <f t="shared" si="451"/>
        <v>y=-0.0059*1.81^2+68.478*1.81-14.154</v>
      </c>
      <c r="AQ4000" s="10" t="str">
        <f>IF(AND(I4000="TP",S4000&lt;=150),VLOOKUP(AF4000,TPCalibEq150!$AZ$2:$BB$55,3,),IF(AND(I4000="TDP",S4000&lt;=150),VLOOKUP(AF4000,TPCalibEq150!$AZ$2:$BB$55,3,)))</f>
        <v>y=-7.042x2+106.99x-46.227</v>
      </c>
      <c r="AR4000" s="10" t="str">
        <f>IF(AND(I4000="TP",S4000&lt;=300),VLOOKUP(AF4000,TPCalibEq300!$AZ$2:$BB$55,3,),IF(AND(I4000="TDP",S4000&lt;=300),VLOOKUP(AF4000,TPCalibEq300!$AZ$2:$BB$55,3,)))</f>
        <v>y=-5.1889x2+102.33x-44.163</v>
      </c>
      <c r="AS4000" s="10" t="str">
        <f>IF(AND(I4000="TP",S4000&lt;=500),VLOOKUP(AF4000,TPCalibEq500!$AZ$2:$BB$56,3,),IF(AND(I4000="TDP",S4000&lt;=500),VLOOKUP(AF4000,TPCalibEq500!$AZ$2:$BB$56,3,)))</f>
        <v>y=-1.8824x2+87.341x-33.178</v>
      </c>
      <c r="AT4000" s="10" t="b">
        <f>IF(AND(I4000="TN",S4000&lt;=2800),VLOOKUP(AF4000,TNCalibEq2500!$AZ$2:$BB$56,3,),IF(AND(I4000="TDN",S4000&lt;=2800),VLOOKUP(AF4000,TNCalibEq2500!$AZ$2:$BB$56,3,)))</f>
        <v>0</v>
      </c>
      <c r="AU4000" s="10" t="str">
        <f>IF(I4000="TP",VLOOKUP(AF4000,TPCalibEqFull!$AZ$2:$BB$56,3),IF(I4000="TDP",VLOOKUP(AF4000,TPCalibEqFull!$AZ$2:$BB$56,3),IF(I4000="TDN",VLOOKUP(AF4000,TNCalibEqFull!$AZ$1:$BB$56,3),IF(I4000="TN",VLOOKUP(AF4000,TNCalibEqFull!$AZ$1:$BB$56,3),FALSE))))</f>
        <v>y=-0.0059x2+68.478x-14.154</v>
      </c>
      <c r="AV4000" s="10" t="str">
        <f t="shared" si="456"/>
        <v>0221 10:06:00-EFL-20-FIL-1-SW-UKN</v>
      </c>
    </row>
    <row r="4001" spans="1:48" s="10" customFormat="1" x14ac:dyDescent="0.55000000000000004">
      <c r="A4001" s="32">
        <v>44978</v>
      </c>
      <c r="B4001" s="33">
        <v>0.42083333333333334</v>
      </c>
      <c r="C4001" s="10" t="s">
        <v>287</v>
      </c>
      <c r="D4001" s="10">
        <v>20</v>
      </c>
      <c r="E4001" s="10" t="s">
        <v>911</v>
      </c>
      <c r="F4001" s="10">
        <v>2</v>
      </c>
      <c r="G4001" s="10" t="s">
        <v>231</v>
      </c>
      <c r="H4001" s="10" t="s">
        <v>322</v>
      </c>
      <c r="I4001" s="10" t="s">
        <v>266</v>
      </c>
      <c r="J4001" s="10">
        <v>69</v>
      </c>
      <c r="K4001" s="12">
        <v>44980</v>
      </c>
      <c r="L4001" s="33">
        <v>0.50539351851851855</v>
      </c>
      <c r="M4001" s="10">
        <v>1</v>
      </c>
      <c r="N4001" s="10" t="s">
        <v>84</v>
      </c>
      <c r="O4001" s="10">
        <v>1.85</v>
      </c>
      <c r="P4001" s="10">
        <v>0.128</v>
      </c>
      <c r="Q4001" s="10">
        <v>113</v>
      </c>
      <c r="R4001" s="10" t="s">
        <v>85</v>
      </c>
      <c r="S4001" s="34">
        <f t="shared" si="453"/>
        <v>127.60325499999999</v>
      </c>
      <c r="T4001" s="10" t="s">
        <v>1299</v>
      </c>
      <c r="U4001" s="34" t="str">
        <f t="shared" si="454"/>
        <v/>
      </c>
      <c r="V4001" s="31" t="str">
        <f>IF(H4001="CHK",VLOOKUP(I4001,QCCHK,3,),IF(H4001="GUP",VLOOKUP(E4001,QCGUP,2,),IF(AND(H4001="ATP",OR(I4001="TN",I4001="TDN",I4001="TNO2-3",I4001="NO2-3")),VLOOKUP(E4001,QCREC_N,2,),IF(AND(H4001="NIC",OR(I4001="TN",I4001="TDN",I4001="TNO2-3",I4001="NO2-3")),VLOOKUP(E4001,QCNIC_N,2,),IF(AND(H4001="UREA",OR(I4001="TN",I4001="TDN",I4001="TNO2-3",I4001="NO2-3")),VLOOKUP(E4001,QCUREA_N,2,),IF(H4001="PER",VLOOKUP(I4001,QCPER,MATCH(E4001,QCACTUAL!$J$25:$AA$25,0),),IF(H4001="SPK",VLOOKUP(I4001,QCSPK,3,),IF(AND(H4001="ATP",OR(I4001="TP",I4001="TDP")),VLOOKUP(E4001,QCATP_P,2,),""))))))))</f>
        <v/>
      </c>
      <c r="W4001" s="31" t="str">
        <f t="shared" si="455"/>
        <v>TRUE</v>
      </c>
      <c r="X4001" s="31" t="str">
        <f t="shared" si="452"/>
        <v/>
      </c>
      <c r="Y4001" s="10" t="s">
        <v>1285</v>
      </c>
      <c r="AF4001" s="12">
        <v>44980</v>
      </c>
      <c r="AG4001" s="10">
        <f>-7.042*1.85^2+106.99*1.85-46.227</f>
        <v>127.60325499999999</v>
      </c>
      <c r="AH4001" s="10">
        <f>-5.1889*1.85^2+102.33*1.85-44.163</f>
        <v>127.38848975000003</v>
      </c>
      <c r="AI4001" s="10">
        <f>-1.8824*1.85^2+87.341*1.85-33.178</f>
        <v>121.96033600000001</v>
      </c>
      <c r="AK4001" s="10">
        <f>-0.0059*1.85^2+68.478*1.85-14.154</f>
        <v>112.51010724999999</v>
      </c>
      <c r="AL4001" s="10" t="str">
        <f t="shared" si="450"/>
        <v>y=-7.042*1.85^2+106.99*1.85-46.227</v>
      </c>
      <c r="AM4001" s="10" t="str">
        <f t="shared" si="450"/>
        <v>y=-5.1889*1.85^2+102.33*1.85-44.163</v>
      </c>
      <c r="AN4001" s="10" t="str">
        <f t="shared" si="450"/>
        <v>y=-1.8824*1.85^2+87.341*1.85-33.178</v>
      </c>
      <c r="AO4001" s="10" t="str">
        <f t="shared" si="451"/>
        <v>FALSE</v>
      </c>
      <c r="AP4001" s="10" t="str">
        <f t="shared" si="451"/>
        <v>y=-0.0059*1.85^2+68.478*1.85-14.154</v>
      </c>
      <c r="AQ4001" s="10" t="str">
        <f>IF(AND(I4001="TP",S4001&lt;=150),VLOOKUP(AF4001,TPCalibEq150!$AZ$2:$BB$55,3,),IF(AND(I4001="TDP",S4001&lt;=150),VLOOKUP(AF4001,TPCalibEq150!$AZ$2:$BB$55,3,)))</f>
        <v>y=-7.042x2+106.99x-46.227</v>
      </c>
      <c r="AR4001" s="10" t="str">
        <f>IF(AND(I4001="TP",S4001&lt;=300),VLOOKUP(AF4001,TPCalibEq300!$AZ$2:$BB$55,3,),IF(AND(I4001="TDP",S4001&lt;=300),VLOOKUP(AF4001,TPCalibEq300!$AZ$2:$BB$55,3,)))</f>
        <v>y=-5.1889x2+102.33x-44.163</v>
      </c>
      <c r="AS4001" s="10" t="str">
        <f>IF(AND(I4001="TP",S4001&lt;=500),VLOOKUP(AF4001,TPCalibEq500!$AZ$2:$BB$56,3,),IF(AND(I4001="TDP",S4001&lt;=500),VLOOKUP(AF4001,TPCalibEq500!$AZ$2:$BB$56,3,)))</f>
        <v>y=-1.8824x2+87.341x-33.178</v>
      </c>
      <c r="AT4001" s="10" t="b">
        <f>IF(AND(I4001="TN",S4001&lt;=2800),VLOOKUP(AF4001,TNCalibEq2500!$AZ$2:$BB$56,3,),IF(AND(I4001="TDN",S4001&lt;=2800),VLOOKUP(AF4001,TNCalibEq2500!$AZ$2:$BB$56,3,)))</f>
        <v>0</v>
      </c>
      <c r="AU4001" s="10" t="str">
        <f>IF(I4001="TP",VLOOKUP(AF4001,TPCalibEqFull!$AZ$2:$BB$56,3),IF(I4001="TDP",VLOOKUP(AF4001,TPCalibEqFull!$AZ$2:$BB$56,3),IF(I4001="TDN",VLOOKUP(AF4001,TNCalibEqFull!$AZ$1:$BB$56,3),IF(I4001="TN",VLOOKUP(AF4001,TNCalibEqFull!$AZ$1:$BB$56,3),FALSE))))</f>
        <v>y=-0.0059x2+68.478x-14.154</v>
      </c>
      <c r="AV4001" s="10" t="str">
        <f t="shared" si="456"/>
        <v>0221 10:06:00-EFL-20-FIL-2-SW-UKN</v>
      </c>
    </row>
    <row r="4002" spans="1:48" s="10" customFormat="1" x14ac:dyDescent="0.55000000000000004">
      <c r="A4002" s="32">
        <v>44978</v>
      </c>
      <c r="B4002" s="33">
        <v>0.42569444444444443</v>
      </c>
      <c r="C4002" s="10" t="s">
        <v>287</v>
      </c>
      <c r="D4002" s="10">
        <v>45</v>
      </c>
      <c r="E4002" s="10" t="s">
        <v>911</v>
      </c>
      <c r="F4002" s="10">
        <v>1</v>
      </c>
      <c r="G4002" s="10" t="s">
        <v>231</v>
      </c>
      <c r="H4002" s="10" t="s">
        <v>322</v>
      </c>
      <c r="I4002" s="10" t="s">
        <v>266</v>
      </c>
      <c r="J4002" s="10">
        <v>70</v>
      </c>
      <c r="K4002" s="12">
        <v>44980</v>
      </c>
      <c r="L4002" s="33">
        <v>0.50607638888888895</v>
      </c>
      <c r="M4002" s="10">
        <v>1</v>
      </c>
      <c r="N4002" s="10" t="s">
        <v>84</v>
      </c>
      <c r="O4002" s="10">
        <v>2.02</v>
      </c>
      <c r="P4002" s="10">
        <v>0.14299999999999999</v>
      </c>
      <c r="Q4002" s="10">
        <v>124</v>
      </c>
      <c r="R4002" s="10" t="s">
        <v>85</v>
      </c>
      <c r="S4002" s="34">
        <f t="shared" si="453"/>
        <v>141.37081244000001</v>
      </c>
      <c r="T4002" s="10" t="s">
        <v>1299</v>
      </c>
      <c r="U4002" s="34" t="str">
        <f t="shared" si="454"/>
        <v/>
      </c>
      <c r="V4002" s="31" t="str">
        <f>IF(H4002="CHK",VLOOKUP(I4002,QCCHK,3,),IF(H4002="GUP",VLOOKUP(E4002,QCGUP,2,),IF(AND(H4002="ATP",OR(I4002="TN",I4002="TDN",I4002="TNO2-3",I4002="NO2-3")),VLOOKUP(E4002,QCREC_N,2,),IF(AND(H4002="NIC",OR(I4002="TN",I4002="TDN",I4002="TNO2-3",I4002="NO2-3")),VLOOKUP(E4002,QCNIC_N,2,),IF(AND(H4002="UREA",OR(I4002="TN",I4002="TDN",I4002="TNO2-3",I4002="NO2-3")),VLOOKUP(E4002,QCUREA_N,2,),IF(H4002="PER",VLOOKUP(I4002,QCPER,MATCH(E4002,QCACTUAL!$J$25:$AA$25,0),),IF(H4002="SPK",VLOOKUP(I4002,QCSPK,3,),IF(AND(H4002="ATP",OR(I4002="TP",I4002="TDP")),VLOOKUP(E4002,QCATP_P,2,),""))))))))</f>
        <v/>
      </c>
      <c r="W4002" s="31" t="str">
        <f t="shared" si="455"/>
        <v>TRUE</v>
      </c>
      <c r="X4002" s="31" t="str">
        <f t="shared" si="452"/>
        <v/>
      </c>
      <c r="Y4002" s="10" t="s">
        <v>1285</v>
      </c>
      <c r="AF4002" s="12">
        <v>44980</v>
      </c>
      <c r="AG4002" s="10">
        <f>-7.042*2.02^2+106.99*2.02-46.227</f>
        <v>141.15862319999999</v>
      </c>
      <c r="AH4002" s="10">
        <f>-5.1889*2.02^2+102.33*2.02-44.163</f>
        <v>141.37081244000001</v>
      </c>
      <c r="AI4002" s="10">
        <f>-1.8824*2.02^2+87.341*2.02-33.178</f>
        <v>135.56987504</v>
      </c>
      <c r="AK4002" s="10">
        <f>-0.0059*2.02^2+68.478*2.02-14.154</f>
        <v>124.14748564000001</v>
      </c>
      <c r="AL4002" s="10" t="str">
        <f t="shared" si="450"/>
        <v>y=-7.042*2.02^2+106.99*2.02-46.227</v>
      </c>
      <c r="AM4002" s="10" t="str">
        <f t="shared" si="450"/>
        <v>y=-5.1889*2.02^2+102.33*2.02-44.163</v>
      </c>
      <c r="AN4002" s="10" t="str">
        <f t="shared" si="450"/>
        <v>y=-1.8824*2.02^2+87.341*2.02-33.178</v>
      </c>
      <c r="AO4002" s="10" t="str">
        <f t="shared" si="451"/>
        <v>FALSE</v>
      </c>
      <c r="AP4002" s="10" t="str">
        <f t="shared" si="451"/>
        <v>y=-0.0059*2.02^2+68.478*2.02-14.154</v>
      </c>
      <c r="AQ4002" s="10" t="str">
        <f>IF(AND(I4002="TP",S4002&lt;=150),VLOOKUP(AF4002,TPCalibEq150!$AZ$2:$BB$55,3,),IF(AND(I4002="TDP",S4002&lt;=150),VLOOKUP(AF4002,TPCalibEq150!$AZ$2:$BB$55,3,)))</f>
        <v>y=-7.042x2+106.99x-46.227</v>
      </c>
      <c r="AR4002" s="10" t="str">
        <f>IF(AND(I4002="TP",S4002&lt;=300),VLOOKUP(AF4002,TPCalibEq300!$AZ$2:$BB$55,3,),IF(AND(I4002="TDP",S4002&lt;=300),VLOOKUP(AF4002,TPCalibEq300!$AZ$2:$BB$55,3,)))</f>
        <v>y=-5.1889x2+102.33x-44.163</v>
      </c>
      <c r="AS4002" s="10" t="str">
        <f>IF(AND(I4002="TP",S4002&lt;=500),VLOOKUP(AF4002,TPCalibEq500!$AZ$2:$BB$56,3,),IF(AND(I4002="TDP",S4002&lt;=500),VLOOKUP(AF4002,TPCalibEq500!$AZ$2:$BB$56,3,)))</f>
        <v>y=-1.8824x2+87.341x-33.178</v>
      </c>
      <c r="AT4002" s="10" t="b">
        <f>IF(AND(I4002="TN",S4002&lt;=2800),VLOOKUP(AF4002,TNCalibEq2500!$AZ$2:$BB$56,3,),IF(AND(I4002="TDN",S4002&lt;=2800),VLOOKUP(AF4002,TNCalibEq2500!$AZ$2:$BB$56,3,)))</f>
        <v>0</v>
      </c>
      <c r="AU4002" s="10" t="str">
        <f>IF(I4002="TP",VLOOKUP(AF4002,TPCalibEqFull!$AZ$2:$BB$56,3),IF(I4002="TDP",VLOOKUP(AF4002,TPCalibEqFull!$AZ$2:$BB$56,3),IF(I4002="TDN",VLOOKUP(AF4002,TNCalibEqFull!$AZ$1:$BB$56,3),IF(I4002="TN",VLOOKUP(AF4002,TNCalibEqFull!$AZ$1:$BB$56,3),FALSE))))</f>
        <v>y=-0.0059x2+68.478x-14.154</v>
      </c>
      <c r="AV4002" s="10" t="str">
        <f t="shared" si="456"/>
        <v>0221 10:13:00-EFL-45-FIL-1-SW-UKN</v>
      </c>
    </row>
    <row r="4003" spans="1:48" s="10" customFormat="1" x14ac:dyDescent="0.55000000000000004">
      <c r="A4003" s="32">
        <v>44978</v>
      </c>
      <c r="B4003" s="33">
        <v>0.42569444444444443</v>
      </c>
      <c r="C4003" s="10" t="s">
        <v>287</v>
      </c>
      <c r="D4003" s="10">
        <v>45</v>
      </c>
      <c r="E4003" s="10" t="s">
        <v>911</v>
      </c>
      <c r="F4003" s="10">
        <v>1</v>
      </c>
      <c r="G4003" s="10" t="s">
        <v>231</v>
      </c>
      <c r="H4003" s="10" t="s">
        <v>233</v>
      </c>
      <c r="I4003" s="10" t="s">
        <v>266</v>
      </c>
      <c r="J4003" s="10">
        <v>70</v>
      </c>
      <c r="K4003" s="12">
        <v>44980</v>
      </c>
      <c r="L4003" s="33">
        <v>0.50677083333333328</v>
      </c>
      <c r="M4003" s="10">
        <v>1</v>
      </c>
      <c r="N4003" s="10" t="s">
        <v>84</v>
      </c>
      <c r="O4003" s="10">
        <v>2.0299999999999998</v>
      </c>
      <c r="P4003" s="10">
        <v>0.14299999999999999</v>
      </c>
      <c r="Q4003" s="10">
        <v>125</v>
      </c>
      <c r="R4003" s="10" t="s">
        <v>85</v>
      </c>
      <c r="S4003" s="34">
        <f t="shared" si="453"/>
        <v>142.18396199</v>
      </c>
      <c r="T4003" s="10" t="s">
        <v>1299</v>
      </c>
      <c r="U4003" s="34">
        <f t="shared" si="454"/>
        <v>0.57353966381598009</v>
      </c>
      <c r="V4003" s="31" t="str">
        <f>IF(H4003="CHK",VLOOKUP(I4003,QCCHK,3,),IF(H4003="GUP",VLOOKUP(E4003,QCGUP,2,),IF(AND(H4003="ATP",OR(I4003="TN",I4003="TDN",I4003="TNO2-3",I4003="NO2-3")),VLOOKUP(E4003,QCREC_N,2,),IF(AND(H4003="NIC",OR(I4003="TN",I4003="TDN",I4003="TNO2-3",I4003="NO2-3")),VLOOKUP(E4003,QCNIC_N,2,),IF(AND(H4003="UREA",OR(I4003="TN",I4003="TDN",I4003="TNO2-3",I4003="NO2-3")),VLOOKUP(E4003,QCUREA_N,2,),IF(H4003="PER",VLOOKUP(I4003,QCPER,MATCH(E4003,QCACTUAL!$J$25:$AA$25,0),),IF(H4003="SPK",VLOOKUP(I4003,QCSPK,3,),IF(AND(H4003="ATP",OR(I4003="TP",I4003="TDP")),VLOOKUP(E4003,QCATP_P,2,),""))))))))</f>
        <v/>
      </c>
      <c r="W4003" s="31" t="str">
        <f t="shared" si="455"/>
        <v>TRUE</v>
      </c>
      <c r="X4003" s="31" t="str">
        <f t="shared" si="452"/>
        <v>((ABS(rep1-rep2))/((rep1+rep2)/2)*100</v>
      </c>
      <c r="Y4003" s="10" t="s">
        <v>1285</v>
      </c>
      <c r="AF4003" s="12">
        <v>44980</v>
      </c>
      <c r="AG4003" s="10">
        <f>-7.042*2.03^2+106.99*2.03-46.227</f>
        <v>141.94332219999995</v>
      </c>
      <c r="AH4003" s="10">
        <f>-5.1889*2.03^2+102.33*2.03-44.163</f>
        <v>142.18396199</v>
      </c>
      <c r="AI4003" s="10">
        <f>-1.8824*2.03^2+87.341*2.03-33.178</f>
        <v>136.36704784</v>
      </c>
      <c r="AK4003" s="10">
        <f>-0.0059*2.03^2+68.478*2.03-14.154</f>
        <v>124.83202668999999</v>
      </c>
      <c r="AL4003" s="10" t="str">
        <f t="shared" si="450"/>
        <v>y=-7.042*2.03^2+106.99*2.03-46.227</v>
      </c>
      <c r="AM4003" s="10" t="str">
        <f t="shared" si="450"/>
        <v>y=-5.1889*2.03^2+102.33*2.03-44.163</v>
      </c>
      <c r="AN4003" s="10" t="str">
        <f t="shared" si="450"/>
        <v>y=-1.8824*2.03^2+87.341*2.03-33.178</v>
      </c>
      <c r="AO4003" s="10" t="str">
        <f t="shared" si="451"/>
        <v>FALSE</v>
      </c>
      <c r="AP4003" s="10" t="str">
        <f t="shared" si="451"/>
        <v>y=-0.0059*2.03^2+68.478*2.03-14.154</v>
      </c>
      <c r="AQ4003" s="10" t="str">
        <f>IF(AND(I4003="TP",S4003&lt;=150),VLOOKUP(AF4003,TPCalibEq150!$AZ$2:$BB$55,3,),IF(AND(I4003="TDP",S4003&lt;=150),VLOOKUP(AF4003,TPCalibEq150!$AZ$2:$BB$55,3,)))</f>
        <v>y=-7.042x2+106.99x-46.227</v>
      </c>
      <c r="AR4003" s="10" t="str">
        <f>IF(AND(I4003="TP",S4003&lt;=300),VLOOKUP(AF4003,TPCalibEq300!$AZ$2:$BB$55,3,),IF(AND(I4003="TDP",S4003&lt;=300),VLOOKUP(AF4003,TPCalibEq300!$AZ$2:$BB$55,3,)))</f>
        <v>y=-5.1889x2+102.33x-44.163</v>
      </c>
      <c r="AS4003" s="10" t="str">
        <f>IF(AND(I4003="TP",S4003&lt;=500),VLOOKUP(AF4003,TPCalibEq500!$AZ$2:$BB$56,3,),IF(AND(I4003="TDP",S4003&lt;=500),VLOOKUP(AF4003,TPCalibEq500!$AZ$2:$BB$56,3,)))</f>
        <v>y=-1.8824x2+87.341x-33.178</v>
      </c>
      <c r="AT4003" s="10" t="b">
        <f>IF(AND(I4003="TN",S4003&lt;=2800),VLOOKUP(AF4003,TNCalibEq2500!$AZ$2:$BB$56,3,),IF(AND(I4003="TDN",S4003&lt;=2800),VLOOKUP(AF4003,TNCalibEq2500!$AZ$2:$BB$56,3,)))</f>
        <v>0</v>
      </c>
      <c r="AU4003" s="10" t="str">
        <f>IF(I4003="TP",VLOOKUP(AF4003,TPCalibEqFull!$AZ$2:$BB$56,3),IF(I4003="TDP",VLOOKUP(AF4003,TPCalibEqFull!$AZ$2:$BB$56,3),IF(I4003="TDN",VLOOKUP(AF4003,TNCalibEqFull!$AZ$1:$BB$56,3),IF(I4003="TN",VLOOKUP(AF4003,TNCalibEqFull!$AZ$1:$BB$56,3),FALSE))))</f>
        <v>y=-0.0059x2+68.478x-14.154</v>
      </c>
      <c r="AV4003" s="10" t="str">
        <f t="shared" si="456"/>
        <v>0221 10:13:00-EFL-45-FIL-1-SW-DUP</v>
      </c>
    </row>
    <row r="4004" spans="1:48" s="10" customFormat="1" x14ac:dyDescent="0.55000000000000004">
      <c r="A4004" s="32">
        <v>44978</v>
      </c>
      <c r="B4004" s="33">
        <v>0.42569444444444443</v>
      </c>
      <c r="C4004" s="10" t="s">
        <v>287</v>
      </c>
      <c r="D4004" s="10">
        <v>45</v>
      </c>
      <c r="E4004" s="10" t="s">
        <v>911</v>
      </c>
      <c r="F4004" s="10">
        <v>1</v>
      </c>
      <c r="G4004" s="10" t="s">
        <v>231</v>
      </c>
      <c r="H4004" s="10" t="s">
        <v>314</v>
      </c>
      <c r="I4004" s="10" t="s">
        <v>266</v>
      </c>
      <c r="J4004" s="10">
        <v>89</v>
      </c>
      <c r="K4004" s="12">
        <v>44980</v>
      </c>
      <c r="L4004" s="33">
        <v>0.50745370370370368</v>
      </c>
      <c r="M4004" s="10">
        <v>1</v>
      </c>
      <c r="N4004" s="10" t="s">
        <v>84</v>
      </c>
      <c r="O4004" s="10">
        <v>17.399999999999999</v>
      </c>
      <c r="P4004" s="10">
        <v>1.23</v>
      </c>
      <c r="Q4004" s="10">
        <v>1170</v>
      </c>
      <c r="R4004" s="10" t="s">
        <v>85</v>
      </c>
      <c r="S4004" s="34">
        <f t="shared" si="453"/>
        <v>1175.5769159999998</v>
      </c>
      <c r="T4004" s="10" t="s">
        <v>1299</v>
      </c>
      <c r="U4004" s="34">
        <f t="shared" si="454"/>
        <v>103.33929540099997</v>
      </c>
      <c r="V4004" s="31">
        <f>IF(H4004="CHK",VLOOKUP(I4004,QCCHK,3,),IF(H4004="GUP",VLOOKUP(E4004,QCGUP,2,),IF(AND(H4004="ATP",OR(I4004="TN",I4004="TDN",I4004="TNO2-3",I4004="NO2-3")),VLOOKUP(E4004,QCREC_N,2,),IF(AND(H4004="NIC",OR(I4004="TN",I4004="TDN",I4004="TNO2-3",I4004="NO2-3")),VLOOKUP(E4004,QCNIC_N,2,),IF(AND(H4004="UREA",OR(I4004="TN",I4004="TDN",I4004="TNO2-3",I4004="NO2-3")),VLOOKUP(E4004,QCUREA_N,2,),IF(H4004="PER",VLOOKUP(I4004,QCPER,MATCH(E4004,QCACTUAL!$J$25:$AA$25,0),),IF(H4004="SPK",VLOOKUP(I4004,QCSPK,3,),IF(AND(H4004="ATP",OR(I4004="TP",I4004="TDP")),VLOOKUP(E4004,QCATP_P,2,),""))))))))</f>
        <v>1000</v>
      </c>
      <c r="W4004" s="31" t="str">
        <f t="shared" si="455"/>
        <v>TRUE</v>
      </c>
      <c r="X4004" s="31" t="str">
        <f t="shared" si="452"/>
        <v>([spikedunkn]-[unkn])/[spike]*100</v>
      </c>
      <c r="Y4004" s="10" t="s">
        <v>1285</v>
      </c>
      <c r="AF4004" s="12">
        <v>44980</v>
      </c>
      <c r="AK4004" s="10">
        <f>-0.0059*17.4^2+68.478*17.4-14.154</f>
        <v>1175.5769159999998</v>
      </c>
      <c r="AL4004" s="10" t="str">
        <f t="shared" si="450"/>
        <v>FALSE</v>
      </c>
      <c r="AM4004" s="10" t="str">
        <f t="shared" si="450"/>
        <v>FALSE</v>
      </c>
      <c r="AN4004" s="10" t="str">
        <f t="shared" si="450"/>
        <v>FALSE</v>
      </c>
      <c r="AO4004" s="10" t="str">
        <f t="shared" si="451"/>
        <v>FALSE</v>
      </c>
      <c r="AP4004" s="10" t="str">
        <f t="shared" si="451"/>
        <v>y=-0.0059*17.4^2+68.478*17.4-14.154</v>
      </c>
      <c r="AQ4004" s="10" t="b">
        <f>IF(AND(I4004="TP",S4004&lt;=150),VLOOKUP(AF4004,TPCalibEq150!$AZ$2:$BB$55,3,),IF(AND(I4004="TDP",S4004&lt;=150),VLOOKUP(AF4004,TPCalibEq150!$AZ$2:$BB$55,3,)))</f>
        <v>0</v>
      </c>
      <c r="AR4004" s="10" t="b">
        <f>IF(AND(I4004="TP",S4004&lt;=300),VLOOKUP(AF4004,TPCalibEq300!$AZ$2:$BB$55,3,),IF(AND(I4004="TDP",S4004&lt;=300),VLOOKUP(AF4004,TPCalibEq300!$AZ$2:$BB$55,3,)))</f>
        <v>0</v>
      </c>
      <c r="AS4004" s="10" t="b">
        <f>IF(AND(I4004="TP",S4004&lt;=500),VLOOKUP(AF4004,TPCalibEq500!$AZ$2:$BB$56,3,),IF(AND(I4004="TDP",S4004&lt;=500),VLOOKUP(AF4004,TPCalibEq500!$AZ$2:$BB$56,3,)))</f>
        <v>0</v>
      </c>
      <c r="AT4004" s="10" t="b">
        <f>IF(AND(I4004="TN",S4004&lt;=2800),VLOOKUP(AF4004,TNCalibEq2500!$AZ$2:$BB$56,3,),IF(AND(I4004="TDN",S4004&lt;=2800),VLOOKUP(AF4004,TNCalibEq2500!$AZ$2:$BB$56,3,)))</f>
        <v>0</v>
      </c>
      <c r="AU4004" s="10" t="str">
        <f>IF(I4004="TP",VLOOKUP(AF4004,TPCalibEqFull!$AZ$2:$BB$56,3),IF(I4004="TDP",VLOOKUP(AF4004,TPCalibEqFull!$AZ$2:$BB$56,3),IF(I4004="TDN",VLOOKUP(AF4004,TNCalibEqFull!$AZ$1:$BB$56,3),IF(I4004="TN",VLOOKUP(AF4004,TNCalibEqFull!$AZ$1:$BB$56,3),FALSE))))</f>
        <v>y=-0.0059x2+68.478x-14.154</v>
      </c>
      <c r="AV4004" s="10" t="str">
        <f t="shared" si="456"/>
        <v>0221 10:13:00-EFL-45-FIL-1-SW-SPK</v>
      </c>
    </row>
    <row r="4005" spans="1:48" s="10" customFormat="1" x14ac:dyDescent="0.55000000000000004">
      <c r="A4005" s="32">
        <v>44979</v>
      </c>
      <c r="B4005" s="33">
        <v>0.375</v>
      </c>
      <c r="C4005" s="10" t="s">
        <v>70</v>
      </c>
      <c r="D4005" s="10" t="s">
        <v>71</v>
      </c>
      <c r="E4005" s="10" t="s">
        <v>901</v>
      </c>
      <c r="F4005" s="10">
        <v>1</v>
      </c>
      <c r="G4005" s="10" t="s">
        <v>73</v>
      </c>
      <c r="H4005" s="10" t="s">
        <v>207</v>
      </c>
      <c r="I4005" s="10" t="s">
        <v>83</v>
      </c>
      <c r="J4005" s="10">
        <v>203</v>
      </c>
      <c r="K4005" s="12">
        <v>44980</v>
      </c>
      <c r="L4005" s="33">
        <v>0.50817129629629632</v>
      </c>
      <c r="M4005" s="10">
        <v>1</v>
      </c>
      <c r="N4005" s="10" t="s">
        <v>84</v>
      </c>
      <c r="O4005" s="10">
        <v>7.83</v>
      </c>
      <c r="P4005" s="10">
        <v>0.56399999999999995</v>
      </c>
      <c r="Q4005" s="10">
        <v>520</v>
      </c>
      <c r="R4005" s="10" t="s">
        <v>85</v>
      </c>
      <c r="S4005" s="34">
        <f t="shared" si="453"/>
        <v>521.66701748999992</v>
      </c>
      <c r="T4005" s="10" t="s">
        <v>1299</v>
      </c>
      <c r="U4005" s="34">
        <f t="shared" si="454"/>
        <v>104.33340349799998</v>
      </c>
      <c r="V4005" s="31">
        <f>IF(H4005="CHK",VLOOKUP(I4005,QCCHK,3,),IF(H4005="GUP",VLOOKUP(E4005,QCGUP,2,),IF(AND(H4005="ATP",OR(I4005="TN",I4005="TDN",I4005="TNO2-3",I4005="NO2-3")),VLOOKUP(E4005,QCREC_N,2,),IF(AND(H4005="NIC",OR(I4005="TN",I4005="TDN",I4005="TNO2-3",I4005="NO2-3")),VLOOKUP(E4005,QCNIC_N,2,),IF(AND(H4005="UREA",OR(I4005="TN",I4005="TDN",I4005="TNO2-3",I4005="NO2-3")),VLOOKUP(E4005,QCUREA_N,2,),IF(H4005="PER",VLOOKUP(I4005,QCPER,MATCH(E4005,QCACTUAL!$J$25:$AA$25,0),),IF(H4005="SPK",VLOOKUP(I4005,QCSPK,3,),IF(AND(H4005="ATP",OR(I4005="TP",I4005="TDP")),VLOOKUP(E4005,QCATP_P,2,),""))))))))</f>
        <v>500</v>
      </c>
      <c r="W4005" s="31" t="str">
        <f t="shared" si="455"/>
        <v>TRUE</v>
      </c>
      <c r="X4005" s="31" t="str">
        <f t="shared" si="452"/>
        <v>[chk]/[actual]*100</v>
      </c>
      <c r="Y4005" s="10" t="s">
        <v>1285</v>
      </c>
      <c r="AF4005" s="12">
        <v>44980</v>
      </c>
      <c r="AK4005" s="10">
        <f>-0.0059*7.83^2+68.478*7.83-14.154</f>
        <v>521.66701748999992</v>
      </c>
      <c r="AL4005" s="10" t="str">
        <f t="shared" si="450"/>
        <v>FALSE</v>
      </c>
      <c r="AM4005" s="10" t="str">
        <f t="shared" si="450"/>
        <v>FALSE</v>
      </c>
      <c r="AN4005" s="10" t="str">
        <f t="shared" si="450"/>
        <v>FALSE</v>
      </c>
      <c r="AO4005" s="10" t="str">
        <f t="shared" si="451"/>
        <v>FALSE</v>
      </c>
      <c r="AP4005" s="10" t="str">
        <f t="shared" si="451"/>
        <v>y=-0.0059*7.83^2+68.478*7.83-14.154</v>
      </c>
      <c r="AQ4005" s="10" t="b">
        <f>IF(AND(I4005="TP",S4005&lt;=150),VLOOKUP(AF4005,TPCalibEq150!$AZ$2:$BB$55,3,),IF(AND(I4005="TDP",S4005&lt;=150),VLOOKUP(AF4005,TPCalibEq150!$AZ$2:$BB$55,3,)))</f>
        <v>0</v>
      </c>
      <c r="AR4005" s="10" t="b">
        <f>IF(AND(I4005="TP",S4005&lt;=300),VLOOKUP(AF4005,TPCalibEq300!$AZ$2:$BB$55,3,),IF(AND(I4005="TDP",S4005&lt;=300),VLOOKUP(AF4005,TPCalibEq300!$AZ$2:$BB$55,3,)))</f>
        <v>0</v>
      </c>
      <c r="AS4005" s="10" t="b">
        <f>IF(AND(I4005="TP",S4005&lt;=500),VLOOKUP(AF4005,TPCalibEq500!$AZ$2:$BB$56,3,),IF(AND(I4005="TDP",S4005&lt;=500),VLOOKUP(AF4005,TPCalibEq500!$AZ$2:$BB$56,3,)))</f>
        <v>0</v>
      </c>
      <c r="AT4005" s="10" t="b">
        <f>IF(AND(I4005="TN",S4005&lt;=2800),VLOOKUP(AF4005,TNCalibEq2500!$AZ$2:$BB$56,3,),IF(AND(I4005="TDN",S4005&lt;=2800),VLOOKUP(AF4005,TNCalibEq2500!$AZ$2:$BB$56,3,)))</f>
        <v>0</v>
      </c>
      <c r="AU4005" s="10" t="str">
        <f>IF(I4005="TP",VLOOKUP(AF4005,TPCalibEqFull!$AZ$2:$BB$56,3),IF(I4005="TDP",VLOOKUP(AF4005,TPCalibEqFull!$AZ$2:$BB$56,3),IF(I4005="TDN",VLOOKUP(AF4005,TNCalibEqFull!$AZ$1:$BB$56,3),IF(I4005="TN",VLOOKUP(AF4005,TNCalibEqFull!$AZ$1:$BB$56,3),FALSE))))</f>
        <v>y=-0.0059x2+68.478x-14.154</v>
      </c>
      <c r="AV4005" s="10" t="str">
        <f t="shared" si="456"/>
        <v>0222 09:00:00-QAC-STD-D-1-DI-CHK</v>
      </c>
    </row>
    <row r="4006" spans="1:48" s="10" customFormat="1" x14ac:dyDescent="0.55000000000000004">
      <c r="A4006" s="32">
        <v>44978</v>
      </c>
      <c r="B4006" s="33">
        <v>0.38958333333333334</v>
      </c>
      <c r="C4006" s="10" t="s">
        <v>428</v>
      </c>
      <c r="D4006" s="10">
        <v>0</v>
      </c>
      <c r="E4006" s="10" t="s">
        <v>911</v>
      </c>
      <c r="F4006" s="10">
        <v>1</v>
      </c>
      <c r="G4006" s="10" t="s">
        <v>231</v>
      </c>
      <c r="H4006" s="10" t="s">
        <v>322</v>
      </c>
      <c r="I4006" s="10" t="s">
        <v>266</v>
      </c>
      <c r="J4006" s="10">
        <v>71</v>
      </c>
      <c r="K4006" s="12">
        <v>44980</v>
      </c>
      <c r="L4006" s="33">
        <v>0.50886574074074076</v>
      </c>
      <c r="M4006" s="10">
        <v>1</v>
      </c>
      <c r="N4006" s="10" t="s">
        <v>84</v>
      </c>
      <c r="O4006" s="10">
        <v>1.82</v>
      </c>
      <c r="P4006" s="10">
        <v>0.128</v>
      </c>
      <c r="Q4006" s="10">
        <v>111</v>
      </c>
      <c r="R4006" s="10" t="s">
        <v>85</v>
      </c>
      <c r="S4006" s="34">
        <f t="shared" si="453"/>
        <v>125.16887919999999</v>
      </c>
      <c r="T4006" s="10" t="s">
        <v>1299</v>
      </c>
      <c r="U4006" s="34" t="str">
        <f t="shared" si="454"/>
        <v/>
      </c>
      <c r="V4006" s="31" t="str">
        <f>IF(H4006="CHK",VLOOKUP(I4006,QCCHK,3,),IF(H4006="GUP",VLOOKUP(E4006,QCGUP,2,),IF(AND(H4006="ATP",OR(I4006="TN",I4006="TDN",I4006="TNO2-3",I4006="NO2-3")),VLOOKUP(E4006,QCREC_N,2,),IF(AND(H4006="NIC",OR(I4006="TN",I4006="TDN",I4006="TNO2-3",I4006="NO2-3")),VLOOKUP(E4006,QCNIC_N,2,),IF(AND(H4006="UREA",OR(I4006="TN",I4006="TDN",I4006="TNO2-3",I4006="NO2-3")),VLOOKUP(E4006,QCUREA_N,2,),IF(H4006="PER",VLOOKUP(I4006,QCPER,MATCH(E4006,QCACTUAL!$J$25:$AA$25,0),),IF(H4006="SPK",VLOOKUP(I4006,QCSPK,3,),IF(AND(H4006="ATP",OR(I4006="TP",I4006="TDP")),VLOOKUP(E4006,QCATP_P,2,),""))))))))</f>
        <v/>
      </c>
      <c r="W4006" s="31" t="str">
        <f t="shared" si="455"/>
        <v>TRUE</v>
      </c>
      <c r="X4006" s="31" t="str">
        <f t="shared" si="452"/>
        <v/>
      </c>
      <c r="Y4006" s="10" t="s">
        <v>1285</v>
      </c>
      <c r="AF4006" s="12">
        <v>44980</v>
      </c>
      <c r="AG4006" s="10">
        <f>-7.042*1.82^2+106.99*1.82-46.227</f>
        <v>125.16887919999999</v>
      </c>
      <c r="AH4006" s="10">
        <f>-5.1889*1.82^2+102.33*1.82-44.163</f>
        <v>124.88988764</v>
      </c>
      <c r="AI4006" s="10">
        <f>-1.8824*1.82^2+87.341*1.82-33.178</f>
        <v>119.54735823999999</v>
      </c>
      <c r="AK4006" s="10">
        <f>-0.0059*1.82^2+68.478*1.82-14.154</f>
        <v>110.45641684</v>
      </c>
      <c r="AL4006" s="10" t="str">
        <f t="shared" si="450"/>
        <v>y=-7.042*1.82^2+106.99*1.82-46.227</v>
      </c>
      <c r="AM4006" s="10" t="str">
        <f t="shared" si="450"/>
        <v>y=-5.1889*1.82^2+102.33*1.82-44.163</v>
      </c>
      <c r="AN4006" s="10" t="str">
        <f t="shared" si="450"/>
        <v>y=-1.8824*1.82^2+87.341*1.82-33.178</v>
      </c>
      <c r="AO4006" s="10" t="str">
        <f t="shared" si="451"/>
        <v>FALSE</v>
      </c>
      <c r="AP4006" s="10" t="str">
        <f t="shared" si="451"/>
        <v>y=-0.0059*1.82^2+68.478*1.82-14.154</v>
      </c>
      <c r="AQ4006" s="10" t="str">
        <f>IF(AND(I4006="TP",S4006&lt;=150),VLOOKUP(AF4006,TPCalibEq150!$AZ$2:$BB$55,3,),IF(AND(I4006="TDP",S4006&lt;=150),VLOOKUP(AF4006,TPCalibEq150!$AZ$2:$BB$55,3,)))</f>
        <v>y=-7.042x2+106.99x-46.227</v>
      </c>
      <c r="AR4006" s="10" t="str">
        <f>IF(AND(I4006="TP",S4006&lt;=300),VLOOKUP(AF4006,TPCalibEq300!$AZ$2:$BB$55,3,),IF(AND(I4006="TDP",S4006&lt;=300),VLOOKUP(AF4006,TPCalibEq300!$AZ$2:$BB$55,3,)))</f>
        <v>y=-5.1889x2+102.33x-44.163</v>
      </c>
      <c r="AS4006" s="10" t="str">
        <f>IF(AND(I4006="TP",S4006&lt;=500),VLOOKUP(AF4006,TPCalibEq500!$AZ$2:$BB$56,3,),IF(AND(I4006="TDP",S4006&lt;=500),VLOOKUP(AF4006,TPCalibEq500!$AZ$2:$BB$56,3,)))</f>
        <v>y=-1.8824x2+87.341x-33.178</v>
      </c>
      <c r="AT4006" s="10" t="b">
        <f>IF(AND(I4006="TN",S4006&lt;=2800),VLOOKUP(AF4006,TNCalibEq2500!$AZ$2:$BB$56,3,),IF(AND(I4006="TDN",S4006&lt;=2800),VLOOKUP(AF4006,TNCalibEq2500!$AZ$2:$BB$56,3,)))</f>
        <v>0</v>
      </c>
      <c r="AU4006" s="10" t="str">
        <f>IF(I4006="TP",VLOOKUP(AF4006,TPCalibEqFull!$AZ$2:$BB$56,3),IF(I4006="TDP",VLOOKUP(AF4006,TPCalibEqFull!$AZ$2:$BB$56,3),IF(I4006="TDN",VLOOKUP(AF4006,TNCalibEqFull!$AZ$1:$BB$56,3),IF(I4006="TN",VLOOKUP(AF4006,TNCalibEqFull!$AZ$1:$BB$56,3),FALSE))))</f>
        <v>y=-0.0059x2+68.478x-14.154</v>
      </c>
      <c r="AV4006" s="10" t="str">
        <f t="shared" si="456"/>
        <v>0221 09:21:00-EOF-0-FIL-1-SW-UKN</v>
      </c>
    </row>
    <row r="4007" spans="1:48" s="10" customFormat="1" x14ac:dyDescent="0.55000000000000004">
      <c r="A4007" s="32">
        <v>44978</v>
      </c>
      <c r="B4007" s="33">
        <v>0.39166666666666666</v>
      </c>
      <c r="C4007" s="10" t="s">
        <v>428</v>
      </c>
      <c r="D4007" s="10">
        <v>5</v>
      </c>
      <c r="E4007" s="10" t="s">
        <v>911</v>
      </c>
      <c r="F4007" s="10">
        <v>1</v>
      </c>
      <c r="G4007" s="10" t="s">
        <v>231</v>
      </c>
      <c r="H4007" s="10" t="s">
        <v>322</v>
      </c>
      <c r="I4007" s="10" t="s">
        <v>266</v>
      </c>
      <c r="J4007" s="10">
        <v>72</v>
      </c>
      <c r="K4007" s="12">
        <v>44980</v>
      </c>
      <c r="L4007" s="33">
        <v>0.5095601851851852</v>
      </c>
      <c r="M4007" s="10">
        <v>1</v>
      </c>
      <c r="N4007" s="10" t="s">
        <v>84</v>
      </c>
      <c r="O4007" s="10">
        <v>1.8</v>
      </c>
      <c r="P4007" s="10">
        <v>0.126</v>
      </c>
      <c r="Q4007" s="10">
        <v>110</v>
      </c>
      <c r="R4007" s="10" t="s">
        <v>85</v>
      </c>
      <c r="S4007" s="34">
        <f t="shared" si="453"/>
        <v>123.53891999999999</v>
      </c>
      <c r="T4007" s="10" t="s">
        <v>1299</v>
      </c>
      <c r="U4007" s="34" t="str">
        <f t="shared" si="454"/>
        <v/>
      </c>
      <c r="V4007" s="31" t="str">
        <f>IF(H4007="CHK",VLOOKUP(I4007,QCCHK,3,),IF(H4007="GUP",VLOOKUP(E4007,QCGUP,2,),IF(AND(H4007="ATP",OR(I4007="TN",I4007="TDN",I4007="TNO2-3",I4007="NO2-3")),VLOOKUP(E4007,QCREC_N,2,),IF(AND(H4007="NIC",OR(I4007="TN",I4007="TDN",I4007="TNO2-3",I4007="NO2-3")),VLOOKUP(E4007,QCNIC_N,2,),IF(AND(H4007="UREA",OR(I4007="TN",I4007="TDN",I4007="TNO2-3",I4007="NO2-3")),VLOOKUP(E4007,QCUREA_N,2,),IF(H4007="PER",VLOOKUP(I4007,QCPER,MATCH(E4007,QCACTUAL!$J$25:$AA$25,0),),IF(H4007="SPK",VLOOKUP(I4007,QCSPK,3,),IF(AND(H4007="ATP",OR(I4007="TP",I4007="TDP")),VLOOKUP(E4007,QCATP_P,2,),""))))))))</f>
        <v/>
      </c>
      <c r="W4007" s="31" t="str">
        <f t="shared" si="455"/>
        <v>TRUE</v>
      </c>
      <c r="X4007" s="31" t="str">
        <f t="shared" si="452"/>
        <v/>
      </c>
      <c r="Y4007" s="10" t="s">
        <v>1285</v>
      </c>
      <c r="AF4007" s="12">
        <v>44980</v>
      </c>
      <c r="AG4007" s="10">
        <f>-7.042*1.8^2+106.99*1.8-46.227</f>
        <v>123.53891999999999</v>
      </c>
      <c r="AH4007" s="10">
        <f>-5.1889*1.8^2+102.33*1.8-44.163</f>
        <v>123.21896399999999</v>
      </c>
      <c r="AI4007" s="10">
        <f>-1.8824*1.8^2+87.341*1.8-33.178</f>
        <v>117.936824</v>
      </c>
      <c r="AK4007" s="10">
        <f>-0.0059*1.8^2+68.478*1.8-14.154</f>
        <v>109.087284</v>
      </c>
      <c r="AL4007" s="10" t="str">
        <f t="shared" si="450"/>
        <v>y=-7.042*1.8^2+106.99*1.8-46.227</v>
      </c>
      <c r="AM4007" s="10" t="str">
        <f t="shared" si="450"/>
        <v>y=-5.1889*1.8^2+102.33*1.8-44.163</v>
      </c>
      <c r="AN4007" s="10" t="str">
        <f t="shared" si="450"/>
        <v>y=-1.8824*1.8^2+87.341*1.8-33.178</v>
      </c>
      <c r="AO4007" s="10" t="str">
        <f t="shared" si="451"/>
        <v>FALSE</v>
      </c>
      <c r="AP4007" s="10" t="str">
        <f t="shared" si="451"/>
        <v>y=-0.0059*1.8^2+68.478*1.8-14.154</v>
      </c>
      <c r="AQ4007" s="10" t="str">
        <f>IF(AND(I4007="TP",S4007&lt;=150),VLOOKUP(AF4007,TPCalibEq150!$AZ$2:$BB$55,3,),IF(AND(I4007="TDP",S4007&lt;=150),VLOOKUP(AF4007,TPCalibEq150!$AZ$2:$BB$55,3,)))</f>
        <v>y=-7.042x2+106.99x-46.227</v>
      </c>
      <c r="AR4007" s="10" t="str">
        <f>IF(AND(I4007="TP",S4007&lt;=300),VLOOKUP(AF4007,TPCalibEq300!$AZ$2:$BB$55,3,),IF(AND(I4007="TDP",S4007&lt;=300),VLOOKUP(AF4007,TPCalibEq300!$AZ$2:$BB$55,3,)))</f>
        <v>y=-5.1889x2+102.33x-44.163</v>
      </c>
      <c r="AS4007" s="10" t="str">
        <f>IF(AND(I4007="TP",S4007&lt;=500),VLOOKUP(AF4007,TPCalibEq500!$AZ$2:$BB$56,3,),IF(AND(I4007="TDP",S4007&lt;=500),VLOOKUP(AF4007,TPCalibEq500!$AZ$2:$BB$56,3,)))</f>
        <v>y=-1.8824x2+87.341x-33.178</v>
      </c>
      <c r="AT4007" s="10" t="b">
        <f>IF(AND(I4007="TN",S4007&lt;=2800),VLOOKUP(AF4007,TNCalibEq2500!$AZ$2:$BB$56,3,),IF(AND(I4007="TDN",S4007&lt;=2800),VLOOKUP(AF4007,TNCalibEq2500!$AZ$2:$BB$56,3,)))</f>
        <v>0</v>
      </c>
      <c r="AU4007" s="10" t="str">
        <f>IF(I4007="TP",VLOOKUP(AF4007,TPCalibEqFull!$AZ$2:$BB$56,3),IF(I4007="TDP",VLOOKUP(AF4007,TPCalibEqFull!$AZ$2:$BB$56,3),IF(I4007="TDN",VLOOKUP(AF4007,TNCalibEqFull!$AZ$1:$BB$56,3),IF(I4007="TN",VLOOKUP(AF4007,TNCalibEqFull!$AZ$1:$BB$56,3),FALSE))))</f>
        <v>y=-0.0059x2+68.478x-14.154</v>
      </c>
      <c r="AV4007" s="10" t="str">
        <f t="shared" si="456"/>
        <v>0221 09:24:00-EOF-5-FIL-1-SW-UKN</v>
      </c>
    </row>
    <row r="4008" spans="1:48" s="10" customFormat="1" x14ac:dyDescent="0.55000000000000004">
      <c r="A4008" s="32">
        <v>44978</v>
      </c>
      <c r="B4008" s="33">
        <v>0.39444444444444443</v>
      </c>
      <c r="C4008" s="10" t="s">
        <v>428</v>
      </c>
      <c r="D4008" s="10">
        <v>10</v>
      </c>
      <c r="E4008" s="10" t="s">
        <v>911</v>
      </c>
      <c r="F4008" s="10">
        <v>1</v>
      </c>
      <c r="G4008" s="10" t="s">
        <v>231</v>
      </c>
      <c r="H4008" s="10" t="s">
        <v>322</v>
      </c>
      <c r="I4008" s="10" t="s">
        <v>266</v>
      </c>
      <c r="J4008" s="10">
        <v>73</v>
      </c>
      <c r="K4008" s="12">
        <v>44980</v>
      </c>
      <c r="L4008" s="33">
        <v>0.51025462962962964</v>
      </c>
      <c r="M4008" s="10">
        <v>1</v>
      </c>
      <c r="N4008" s="10" t="s">
        <v>84</v>
      </c>
      <c r="O4008" s="10">
        <v>1.72</v>
      </c>
      <c r="P4008" s="10">
        <v>0.121</v>
      </c>
      <c r="Q4008" s="10">
        <v>104</v>
      </c>
      <c r="R4008" s="10" t="s">
        <v>85</v>
      </c>
      <c r="S4008" s="34">
        <f t="shared" si="453"/>
        <v>116.9627472</v>
      </c>
      <c r="T4008" s="10" t="s">
        <v>1299</v>
      </c>
      <c r="U4008" s="34" t="str">
        <f t="shared" si="454"/>
        <v/>
      </c>
      <c r="V4008" s="31" t="str">
        <f>IF(H4008="CHK",VLOOKUP(I4008,QCCHK,3,),IF(H4008="GUP",VLOOKUP(E4008,QCGUP,2,),IF(AND(H4008="ATP",OR(I4008="TN",I4008="TDN",I4008="TNO2-3",I4008="NO2-3")),VLOOKUP(E4008,QCREC_N,2,),IF(AND(H4008="NIC",OR(I4008="TN",I4008="TDN",I4008="TNO2-3",I4008="NO2-3")),VLOOKUP(E4008,QCNIC_N,2,),IF(AND(H4008="UREA",OR(I4008="TN",I4008="TDN",I4008="TNO2-3",I4008="NO2-3")),VLOOKUP(E4008,QCUREA_N,2,),IF(H4008="PER",VLOOKUP(I4008,QCPER,MATCH(E4008,QCACTUAL!$J$25:$AA$25,0),),IF(H4008="SPK",VLOOKUP(I4008,QCSPK,3,),IF(AND(H4008="ATP",OR(I4008="TP",I4008="TDP")),VLOOKUP(E4008,QCATP_P,2,),""))))))))</f>
        <v/>
      </c>
      <c r="W4008" s="31" t="str">
        <f t="shared" si="455"/>
        <v>TRUE</v>
      </c>
      <c r="X4008" s="31" t="str">
        <f t="shared" si="452"/>
        <v/>
      </c>
      <c r="Y4008" s="10" t="s">
        <v>1285</v>
      </c>
      <c r="AF4008" s="12">
        <v>44980</v>
      </c>
      <c r="AG4008" s="10">
        <f>-7.042*1.72^2+106.99*1.72-46.227</f>
        <v>116.9627472</v>
      </c>
      <c r="AH4008" s="10">
        <f>-5.1889*1.72^2+102.33*1.72-44.163</f>
        <v>116.49375823999999</v>
      </c>
      <c r="AI4008" s="10">
        <f>-1.8824*1.72^2+87.341*1.72-33.178</f>
        <v>111.47962784000001</v>
      </c>
      <c r="AK4008" s="10">
        <f>-0.0059*1.72^2+68.478*1.72-14.154</f>
        <v>103.61070543999999</v>
      </c>
      <c r="AL4008" s="10" t="str">
        <f t="shared" si="450"/>
        <v>y=-7.042*1.72^2+106.99*1.72-46.227</v>
      </c>
      <c r="AM4008" s="10" t="str">
        <f t="shared" si="450"/>
        <v>y=-5.1889*1.72^2+102.33*1.72-44.163</v>
      </c>
      <c r="AN4008" s="10" t="str">
        <f t="shared" si="450"/>
        <v>y=-1.8824*1.72^2+87.341*1.72-33.178</v>
      </c>
      <c r="AO4008" s="10" t="str">
        <f t="shared" si="451"/>
        <v>FALSE</v>
      </c>
      <c r="AP4008" s="10" t="str">
        <f t="shared" si="451"/>
        <v>y=-0.0059*1.72^2+68.478*1.72-14.154</v>
      </c>
      <c r="AQ4008" s="10" t="str">
        <f>IF(AND(I4008="TP",S4008&lt;=150),VLOOKUP(AF4008,TPCalibEq150!$AZ$2:$BB$55,3,),IF(AND(I4008="TDP",S4008&lt;=150),VLOOKUP(AF4008,TPCalibEq150!$AZ$2:$BB$55,3,)))</f>
        <v>y=-7.042x2+106.99x-46.227</v>
      </c>
      <c r="AR4008" s="10" t="str">
        <f>IF(AND(I4008="TP",S4008&lt;=300),VLOOKUP(AF4008,TPCalibEq300!$AZ$2:$BB$55,3,),IF(AND(I4008="TDP",S4008&lt;=300),VLOOKUP(AF4008,TPCalibEq300!$AZ$2:$BB$55,3,)))</f>
        <v>y=-5.1889x2+102.33x-44.163</v>
      </c>
      <c r="AS4008" s="10" t="str">
        <f>IF(AND(I4008="TP",S4008&lt;=500),VLOOKUP(AF4008,TPCalibEq500!$AZ$2:$BB$56,3,),IF(AND(I4008="TDP",S4008&lt;=500),VLOOKUP(AF4008,TPCalibEq500!$AZ$2:$BB$56,3,)))</f>
        <v>y=-1.8824x2+87.341x-33.178</v>
      </c>
      <c r="AT4008" s="10" t="b">
        <f>IF(AND(I4008="TN",S4008&lt;=2800),VLOOKUP(AF4008,TNCalibEq2500!$AZ$2:$BB$56,3,),IF(AND(I4008="TDN",S4008&lt;=2800),VLOOKUP(AF4008,TNCalibEq2500!$AZ$2:$BB$56,3,)))</f>
        <v>0</v>
      </c>
      <c r="AU4008" s="10" t="str">
        <f>IF(I4008="TP",VLOOKUP(AF4008,TPCalibEqFull!$AZ$2:$BB$56,3),IF(I4008="TDP",VLOOKUP(AF4008,TPCalibEqFull!$AZ$2:$BB$56,3),IF(I4008="TDN",VLOOKUP(AF4008,TNCalibEqFull!$AZ$1:$BB$56,3),IF(I4008="TN",VLOOKUP(AF4008,TNCalibEqFull!$AZ$1:$BB$56,3),FALSE))))</f>
        <v>y=-0.0059x2+68.478x-14.154</v>
      </c>
      <c r="AV4008" s="10" t="str">
        <f t="shared" si="456"/>
        <v>0221 09:28:00-EOF-10-FIL-1-SW-UKN</v>
      </c>
    </row>
    <row r="4009" spans="1:48" s="10" customFormat="1" x14ac:dyDescent="0.55000000000000004">
      <c r="A4009" s="32">
        <v>44978</v>
      </c>
      <c r="B4009" s="33">
        <v>0.39652777777777781</v>
      </c>
      <c r="C4009" s="10" t="s">
        <v>428</v>
      </c>
      <c r="D4009" s="10">
        <v>20</v>
      </c>
      <c r="E4009" s="10" t="s">
        <v>911</v>
      </c>
      <c r="F4009" s="10">
        <v>1</v>
      </c>
      <c r="G4009" s="10" t="s">
        <v>231</v>
      </c>
      <c r="H4009" s="10" t="s">
        <v>322</v>
      </c>
      <c r="I4009" s="10" t="s">
        <v>266</v>
      </c>
      <c r="J4009" s="10">
        <v>74</v>
      </c>
      <c r="K4009" s="12">
        <v>44980</v>
      </c>
      <c r="L4009" s="33">
        <v>0.51094907407407408</v>
      </c>
      <c r="M4009" s="10">
        <v>1</v>
      </c>
      <c r="N4009" s="10" t="s">
        <v>84</v>
      </c>
      <c r="O4009" s="10">
        <v>2.37</v>
      </c>
      <c r="P4009" s="10">
        <v>0.16800000000000001</v>
      </c>
      <c r="Q4009" s="10">
        <v>148</v>
      </c>
      <c r="R4009" s="10" t="s">
        <v>85</v>
      </c>
      <c r="S4009" s="34">
        <f t="shared" si="453"/>
        <v>169.21356758999997</v>
      </c>
      <c r="T4009" s="10" t="s">
        <v>1299</v>
      </c>
      <c r="U4009" s="34" t="str">
        <f t="shared" si="454"/>
        <v/>
      </c>
      <c r="V4009" s="31" t="str">
        <f>IF(H4009="CHK",VLOOKUP(I4009,QCCHK,3,),IF(H4009="GUP",VLOOKUP(E4009,QCGUP,2,),IF(AND(H4009="ATP",OR(I4009="TN",I4009="TDN",I4009="TNO2-3",I4009="NO2-3")),VLOOKUP(E4009,QCREC_N,2,),IF(AND(H4009="NIC",OR(I4009="TN",I4009="TDN",I4009="TNO2-3",I4009="NO2-3")),VLOOKUP(E4009,QCNIC_N,2,),IF(AND(H4009="UREA",OR(I4009="TN",I4009="TDN",I4009="TNO2-3",I4009="NO2-3")),VLOOKUP(E4009,QCUREA_N,2,),IF(H4009="PER",VLOOKUP(I4009,QCPER,MATCH(E4009,QCACTUAL!$J$25:$AA$25,0),),IF(H4009="SPK",VLOOKUP(I4009,QCSPK,3,),IF(AND(H4009="ATP",OR(I4009="TP",I4009="TDP")),VLOOKUP(E4009,QCATP_P,2,),""))))))))</f>
        <v/>
      </c>
      <c r="W4009" s="31" t="str">
        <f t="shared" si="455"/>
        <v>TRUE</v>
      </c>
      <c r="X4009" s="31" t="str">
        <f t="shared" si="452"/>
        <v/>
      </c>
      <c r="Y4009" s="10" t="s">
        <v>1285</v>
      </c>
      <c r="AF4009" s="12">
        <v>44980</v>
      </c>
      <c r="AH4009" s="10">
        <f>-5.1889*2.37^2+102.33*2.37-44.163</f>
        <v>169.21356758999997</v>
      </c>
      <c r="AI4009" s="10">
        <f>-1.8824*2.37^2+87.341*2.37-33.178</f>
        <v>163.24691744</v>
      </c>
      <c r="AK4009" s="10">
        <f>-0.0059*2.37^2+68.478*2.37-14.154</f>
        <v>148.10572028999999</v>
      </c>
      <c r="AL4009" s="10" t="str">
        <f t="shared" si="450"/>
        <v>FALSE</v>
      </c>
      <c r="AM4009" s="10" t="str">
        <f t="shared" si="450"/>
        <v>y=-5.1889*2.37^2+102.33*2.37-44.163</v>
      </c>
      <c r="AN4009" s="10" t="str">
        <f t="shared" si="450"/>
        <v>y=-1.8824*2.37^2+87.341*2.37-33.178</v>
      </c>
      <c r="AO4009" s="10" t="str">
        <f t="shared" si="451"/>
        <v>FALSE</v>
      </c>
      <c r="AP4009" s="10" t="str">
        <f t="shared" si="451"/>
        <v>y=-0.0059*2.37^2+68.478*2.37-14.154</v>
      </c>
      <c r="AQ4009" s="10" t="b">
        <f>IF(AND(I4009="TP",S4009&lt;=150),VLOOKUP(AF4009,TPCalibEq150!$AZ$2:$BB$55,3,),IF(AND(I4009="TDP",S4009&lt;=150),VLOOKUP(AF4009,TPCalibEq150!$AZ$2:$BB$55,3,)))</f>
        <v>0</v>
      </c>
      <c r="AR4009" s="10" t="str">
        <f>IF(AND(I4009="TP",S4009&lt;=300),VLOOKUP(AF4009,TPCalibEq300!$AZ$2:$BB$55,3,),IF(AND(I4009="TDP",S4009&lt;=300),VLOOKUP(AF4009,TPCalibEq300!$AZ$2:$BB$55,3,)))</f>
        <v>y=-5.1889x2+102.33x-44.163</v>
      </c>
      <c r="AS4009" s="10" t="str">
        <f>IF(AND(I4009="TP",S4009&lt;=500),VLOOKUP(AF4009,TPCalibEq500!$AZ$2:$BB$56,3,),IF(AND(I4009="TDP",S4009&lt;=500),VLOOKUP(AF4009,TPCalibEq500!$AZ$2:$BB$56,3,)))</f>
        <v>y=-1.8824x2+87.341x-33.178</v>
      </c>
      <c r="AT4009" s="10" t="b">
        <f>IF(AND(I4009="TN",S4009&lt;=2800),VLOOKUP(AF4009,TNCalibEq2500!$AZ$2:$BB$56,3,),IF(AND(I4009="TDN",S4009&lt;=2800),VLOOKUP(AF4009,TNCalibEq2500!$AZ$2:$BB$56,3,)))</f>
        <v>0</v>
      </c>
      <c r="AU4009" s="10" t="str">
        <f>IF(I4009="TP",VLOOKUP(AF4009,TPCalibEqFull!$AZ$2:$BB$56,3),IF(I4009="TDP",VLOOKUP(AF4009,TPCalibEqFull!$AZ$2:$BB$56,3),IF(I4009="TDN",VLOOKUP(AF4009,TNCalibEqFull!$AZ$1:$BB$56,3),IF(I4009="TN",VLOOKUP(AF4009,TNCalibEqFull!$AZ$1:$BB$56,3),FALSE))))</f>
        <v>y=-0.0059x2+68.478x-14.154</v>
      </c>
      <c r="AV4009" s="10" t="str">
        <f t="shared" si="456"/>
        <v>0221 09:31:00-EOF-20-FIL-1-SW-UKN</v>
      </c>
    </row>
    <row r="4010" spans="1:48" s="10" customFormat="1" x14ac:dyDescent="0.55000000000000004">
      <c r="A4010" s="32">
        <v>44978</v>
      </c>
      <c r="B4010" s="33">
        <v>0.40347222222222223</v>
      </c>
      <c r="C4010" s="10" t="s">
        <v>428</v>
      </c>
      <c r="D4010" s="10">
        <v>97</v>
      </c>
      <c r="E4010" s="10" t="s">
        <v>911</v>
      </c>
      <c r="F4010" s="10">
        <v>1</v>
      </c>
      <c r="G4010" s="10" t="s">
        <v>231</v>
      </c>
      <c r="H4010" s="10" t="s">
        <v>322</v>
      </c>
      <c r="I4010" s="10" t="s">
        <v>266</v>
      </c>
      <c r="J4010" s="10">
        <v>75</v>
      </c>
      <c r="K4010" s="12">
        <v>44980</v>
      </c>
      <c r="L4010" s="33">
        <v>0.51164351851851853</v>
      </c>
      <c r="M4010" s="10">
        <v>1</v>
      </c>
      <c r="N4010" s="10" t="s">
        <v>84</v>
      </c>
      <c r="O4010" s="10">
        <v>1.7</v>
      </c>
      <c r="P4010" s="10">
        <v>0.11799999999999999</v>
      </c>
      <c r="Q4010" s="10">
        <v>103</v>
      </c>
      <c r="R4010" s="10" t="s">
        <v>85</v>
      </c>
      <c r="S4010" s="34">
        <f t="shared" si="453"/>
        <v>115.30461999999997</v>
      </c>
      <c r="T4010" s="10" t="s">
        <v>1299</v>
      </c>
      <c r="U4010" s="34" t="str">
        <f t="shared" si="454"/>
        <v/>
      </c>
      <c r="V4010" s="31" t="str">
        <f>IF(H4010="CHK",VLOOKUP(I4010,QCCHK,3,),IF(H4010="GUP",VLOOKUP(E4010,QCGUP,2,),IF(AND(H4010="ATP",OR(I4010="TN",I4010="TDN",I4010="TNO2-3",I4010="NO2-3")),VLOOKUP(E4010,QCREC_N,2,),IF(AND(H4010="NIC",OR(I4010="TN",I4010="TDN",I4010="TNO2-3",I4010="NO2-3")),VLOOKUP(E4010,QCNIC_N,2,),IF(AND(H4010="UREA",OR(I4010="TN",I4010="TDN",I4010="TNO2-3",I4010="NO2-3")),VLOOKUP(E4010,QCUREA_N,2,),IF(H4010="PER",VLOOKUP(I4010,QCPER,MATCH(E4010,QCACTUAL!$J$25:$AA$25,0),),IF(H4010="SPK",VLOOKUP(I4010,QCSPK,3,),IF(AND(H4010="ATP",OR(I4010="TP",I4010="TDP")),VLOOKUP(E4010,QCATP_P,2,),""))))))))</f>
        <v/>
      </c>
      <c r="W4010" s="31" t="str">
        <f t="shared" si="455"/>
        <v>TRUE</v>
      </c>
      <c r="X4010" s="31" t="str">
        <f t="shared" si="452"/>
        <v/>
      </c>
      <c r="Y4010" s="10" t="s">
        <v>1285</v>
      </c>
      <c r="AF4010" s="12">
        <v>44980</v>
      </c>
      <c r="AG4010" s="10">
        <f>-7.042*1.7^2+106.99*1.7-46.227</f>
        <v>115.30461999999997</v>
      </c>
      <c r="AH4010" s="10">
        <f>-5.1889*1.7^2+102.33*1.7-44.163</f>
        <v>114.80207899999998</v>
      </c>
      <c r="AI4010" s="10">
        <f>-1.8824*1.7^2+87.341*1.7-33.178</f>
        <v>109.86156399999999</v>
      </c>
      <c r="AK4010" s="10">
        <f>-0.0059*1.7^2+68.478*1.7-14.154</f>
        <v>102.24154899999999</v>
      </c>
      <c r="AL4010" s="10" t="str">
        <f t="shared" si="450"/>
        <v>y=-7.042*1.7^2+106.99*1.7-46.227</v>
      </c>
      <c r="AM4010" s="10" t="str">
        <f t="shared" si="450"/>
        <v>y=-5.1889*1.7^2+102.33*1.7-44.163</v>
      </c>
      <c r="AN4010" s="10" t="str">
        <f t="shared" si="450"/>
        <v>y=-1.8824*1.7^2+87.341*1.7-33.178</v>
      </c>
      <c r="AO4010" s="10" t="str">
        <f t="shared" si="451"/>
        <v>FALSE</v>
      </c>
      <c r="AP4010" s="10" t="str">
        <f t="shared" si="451"/>
        <v>y=-0.0059*1.7^2+68.478*1.7-14.154</v>
      </c>
      <c r="AQ4010" s="10" t="str">
        <f>IF(AND(I4010="TP",S4010&lt;=150),VLOOKUP(AF4010,TPCalibEq150!$AZ$2:$BB$55,3,),IF(AND(I4010="TDP",S4010&lt;=150),VLOOKUP(AF4010,TPCalibEq150!$AZ$2:$BB$55,3,)))</f>
        <v>y=-7.042x2+106.99x-46.227</v>
      </c>
      <c r="AR4010" s="10" t="str">
        <f>IF(AND(I4010="TP",S4010&lt;=300),VLOOKUP(AF4010,TPCalibEq300!$AZ$2:$BB$55,3,),IF(AND(I4010="TDP",S4010&lt;=300),VLOOKUP(AF4010,TPCalibEq300!$AZ$2:$BB$55,3,)))</f>
        <v>y=-5.1889x2+102.33x-44.163</v>
      </c>
      <c r="AS4010" s="10" t="str">
        <f>IF(AND(I4010="TP",S4010&lt;=500),VLOOKUP(AF4010,TPCalibEq500!$AZ$2:$BB$56,3,),IF(AND(I4010="TDP",S4010&lt;=500),VLOOKUP(AF4010,TPCalibEq500!$AZ$2:$BB$56,3,)))</f>
        <v>y=-1.8824x2+87.341x-33.178</v>
      </c>
      <c r="AT4010" s="10" t="b">
        <f>IF(AND(I4010="TN",S4010&lt;=2800),VLOOKUP(AF4010,TNCalibEq2500!$AZ$2:$BB$56,3,),IF(AND(I4010="TDN",S4010&lt;=2800),VLOOKUP(AF4010,TNCalibEq2500!$AZ$2:$BB$56,3,)))</f>
        <v>0</v>
      </c>
      <c r="AU4010" s="10" t="str">
        <f>IF(I4010="TP",VLOOKUP(AF4010,TPCalibEqFull!$AZ$2:$BB$56,3),IF(I4010="TDP",VLOOKUP(AF4010,TPCalibEqFull!$AZ$2:$BB$56,3),IF(I4010="TDN",VLOOKUP(AF4010,TNCalibEqFull!$AZ$1:$BB$56,3),IF(I4010="TN",VLOOKUP(AF4010,TNCalibEqFull!$AZ$1:$BB$56,3),FALSE))))</f>
        <v>y=-0.0059x2+68.478x-14.154</v>
      </c>
      <c r="AV4010" s="10" t="str">
        <f t="shared" si="456"/>
        <v>0221 09:41:00-EOF-97-FIL-1-SW-UKN</v>
      </c>
    </row>
    <row r="4011" spans="1:48" s="10" customFormat="1" x14ac:dyDescent="0.55000000000000004">
      <c r="A4011" s="32">
        <v>44978</v>
      </c>
      <c r="B4011" s="33">
        <v>0.43124999999999997</v>
      </c>
      <c r="C4011" s="10" t="s">
        <v>611</v>
      </c>
      <c r="D4011" s="10">
        <v>0</v>
      </c>
      <c r="E4011" s="10" t="s">
        <v>911</v>
      </c>
      <c r="F4011" s="10">
        <v>1</v>
      </c>
      <c r="G4011" s="10" t="s">
        <v>231</v>
      </c>
      <c r="H4011" s="10" t="s">
        <v>322</v>
      </c>
      <c r="I4011" s="10" t="s">
        <v>266</v>
      </c>
      <c r="J4011" s="10">
        <v>76</v>
      </c>
      <c r="K4011" s="12">
        <v>44980</v>
      </c>
      <c r="L4011" s="33">
        <v>0.51234953703703701</v>
      </c>
      <c r="M4011" s="10">
        <v>1</v>
      </c>
      <c r="N4011" s="10" t="s">
        <v>84</v>
      </c>
      <c r="O4011" s="10">
        <v>1.93</v>
      </c>
      <c r="P4011" s="10">
        <v>0.13400000000000001</v>
      </c>
      <c r="Q4011" s="10">
        <v>118</v>
      </c>
      <c r="R4011" s="10" t="s">
        <v>85</v>
      </c>
      <c r="S4011" s="34">
        <f t="shared" si="453"/>
        <v>134.03295419999998</v>
      </c>
      <c r="T4011" s="10" t="s">
        <v>1299</v>
      </c>
      <c r="U4011" s="34" t="str">
        <f t="shared" si="454"/>
        <v/>
      </c>
      <c r="V4011" s="31" t="str">
        <f>IF(H4011="CHK",VLOOKUP(I4011,QCCHK,3,),IF(H4011="GUP",VLOOKUP(E4011,QCGUP,2,),IF(AND(H4011="ATP",OR(I4011="TN",I4011="TDN",I4011="TNO2-3",I4011="NO2-3")),VLOOKUP(E4011,QCREC_N,2,),IF(AND(H4011="NIC",OR(I4011="TN",I4011="TDN",I4011="TNO2-3",I4011="NO2-3")),VLOOKUP(E4011,QCNIC_N,2,),IF(AND(H4011="UREA",OR(I4011="TN",I4011="TDN",I4011="TNO2-3",I4011="NO2-3")),VLOOKUP(E4011,QCUREA_N,2,),IF(H4011="PER",VLOOKUP(I4011,QCPER,MATCH(E4011,QCACTUAL!$J$25:$AA$25,0),),IF(H4011="SPK",VLOOKUP(I4011,QCSPK,3,),IF(AND(H4011="ATP",OR(I4011="TP",I4011="TDP")),VLOOKUP(E4011,QCATP_P,2,),""))))))))</f>
        <v/>
      </c>
      <c r="W4011" s="31" t="str">
        <f t="shared" si="455"/>
        <v>TRUE</v>
      </c>
      <c r="X4011" s="31" t="str">
        <f t="shared" si="452"/>
        <v/>
      </c>
      <c r="Y4011" s="10" t="s">
        <v>1285</v>
      </c>
      <c r="AF4011" s="12">
        <v>44980</v>
      </c>
      <c r="AG4011" s="10">
        <f>-7.042*1.93^2+106.99*1.93-46.227</f>
        <v>134.03295419999998</v>
      </c>
      <c r="AH4011" s="10">
        <f>-5.1889*1.93^2+102.33*1.93-44.163</f>
        <v>134.00576638999996</v>
      </c>
      <c r="AI4011" s="10">
        <f>-1.8824*1.93^2+87.341*1.93-33.178</f>
        <v>128.37837823999999</v>
      </c>
      <c r="AK4011" s="10">
        <f>-0.0059*1.93^2+68.478*1.93-14.154</f>
        <v>117.98656308999998</v>
      </c>
      <c r="AL4011" s="10" t="str">
        <f t="shared" si="450"/>
        <v>y=-7.042*1.93^2+106.99*1.93-46.227</v>
      </c>
      <c r="AM4011" s="10" t="str">
        <f t="shared" si="450"/>
        <v>y=-5.1889*1.93^2+102.33*1.93-44.163</v>
      </c>
      <c r="AN4011" s="10" t="str">
        <f t="shared" si="450"/>
        <v>y=-1.8824*1.93^2+87.341*1.93-33.178</v>
      </c>
      <c r="AO4011" s="10" t="str">
        <f t="shared" si="451"/>
        <v>FALSE</v>
      </c>
      <c r="AP4011" s="10" t="str">
        <f t="shared" si="451"/>
        <v>y=-0.0059*1.93^2+68.478*1.93-14.154</v>
      </c>
      <c r="AQ4011" s="10" t="str">
        <f>IF(AND(I4011="TP",S4011&lt;=150),VLOOKUP(AF4011,TPCalibEq150!$AZ$2:$BB$55,3,),IF(AND(I4011="TDP",S4011&lt;=150),VLOOKUP(AF4011,TPCalibEq150!$AZ$2:$BB$55,3,)))</f>
        <v>y=-7.042x2+106.99x-46.227</v>
      </c>
      <c r="AR4011" s="10" t="str">
        <f>IF(AND(I4011="TP",S4011&lt;=300),VLOOKUP(AF4011,TPCalibEq300!$AZ$2:$BB$55,3,),IF(AND(I4011="TDP",S4011&lt;=300),VLOOKUP(AF4011,TPCalibEq300!$AZ$2:$BB$55,3,)))</f>
        <v>y=-5.1889x2+102.33x-44.163</v>
      </c>
      <c r="AS4011" s="10" t="str">
        <f>IF(AND(I4011="TP",S4011&lt;=500),VLOOKUP(AF4011,TPCalibEq500!$AZ$2:$BB$56,3,),IF(AND(I4011="TDP",S4011&lt;=500),VLOOKUP(AF4011,TPCalibEq500!$AZ$2:$BB$56,3,)))</f>
        <v>y=-1.8824x2+87.341x-33.178</v>
      </c>
      <c r="AT4011" s="10" t="b">
        <f>IF(AND(I4011="TN",S4011&lt;=2800),VLOOKUP(AF4011,TNCalibEq2500!$AZ$2:$BB$56,3,),IF(AND(I4011="TDN",S4011&lt;=2800),VLOOKUP(AF4011,TNCalibEq2500!$AZ$2:$BB$56,3,)))</f>
        <v>0</v>
      </c>
      <c r="AU4011" s="10" t="str">
        <f>IF(I4011="TP",VLOOKUP(AF4011,TPCalibEqFull!$AZ$2:$BB$56,3),IF(I4011="TDP",VLOOKUP(AF4011,TPCalibEqFull!$AZ$2:$BB$56,3),IF(I4011="TDN",VLOOKUP(AF4011,TNCalibEqFull!$AZ$1:$BB$56,3),IF(I4011="TN",VLOOKUP(AF4011,TNCalibEqFull!$AZ$1:$BB$56,3),FALSE))))</f>
        <v>y=-0.0059x2+68.478x-14.154</v>
      </c>
      <c r="AV4011" s="10" t="str">
        <f t="shared" si="456"/>
        <v>0221 10:21:00-BUO-0-FIL-1-SW-UKN</v>
      </c>
    </row>
    <row r="4012" spans="1:48" s="10" customFormat="1" x14ac:dyDescent="0.55000000000000004">
      <c r="A4012" s="32">
        <v>44978</v>
      </c>
      <c r="B4012" s="33">
        <v>0.43472222222222223</v>
      </c>
      <c r="C4012" s="10" t="s">
        <v>611</v>
      </c>
      <c r="D4012" s="10">
        <v>5</v>
      </c>
      <c r="E4012" s="10" t="s">
        <v>911</v>
      </c>
      <c r="F4012" s="10">
        <v>1</v>
      </c>
      <c r="G4012" s="10" t="s">
        <v>231</v>
      </c>
      <c r="H4012" s="10" t="s">
        <v>322</v>
      </c>
      <c r="I4012" s="10" t="s">
        <v>266</v>
      </c>
      <c r="J4012" s="10">
        <v>77</v>
      </c>
      <c r="K4012" s="12">
        <v>44980</v>
      </c>
      <c r="L4012" s="33">
        <v>0.51304398148148145</v>
      </c>
      <c r="M4012" s="10">
        <v>1</v>
      </c>
      <c r="N4012" s="10" t="s">
        <v>84</v>
      </c>
      <c r="O4012" s="10">
        <v>2.31</v>
      </c>
      <c r="P4012" s="10">
        <v>0.16400000000000001</v>
      </c>
      <c r="Q4012" s="10">
        <v>144</v>
      </c>
      <c r="R4012" s="10" t="s">
        <v>85</v>
      </c>
      <c r="S4012" s="34">
        <f t="shared" si="453"/>
        <v>164.53081071000003</v>
      </c>
      <c r="T4012" s="10" t="s">
        <v>1299</v>
      </c>
      <c r="U4012" s="34" t="str">
        <f t="shared" si="454"/>
        <v/>
      </c>
      <c r="V4012" s="31" t="str">
        <f>IF(H4012="CHK",VLOOKUP(I4012,QCCHK,3,),IF(H4012="GUP",VLOOKUP(E4012,QCGUP,2,),IF(AND(H4012="ATP",OR(I4012="TN",I4012="TDN",I4012="TNO2-3",I4012="NO2-3")),VLOOKUP(E4012,QCREC_N,2,),IF(AND(H4012="NIC",OR(I4012="TN",I4012="TDN",I4012="TNO2-3",I4012="NO2-3")),VLOOKUP(E4012,QCNIC_N,2,),IF(AND(H4012="UREA",OR(I4012="TN",I4012="TDN",I4012="TNO2-3",I4012="NO2-3")),VLOOKUP(E4012,QCUREA_N,2,),IF(H4012="PER",VLOOKUP(I4012,QCPER,MATCH(E4012,QCACTUAL!$J$25:$AA$25,0),),IF(H4012="SPK",VLOOKUP(I4012,QCSPK,3,),IF(AND(H4012="ATP",OR(I4012="TP",I4012="TDP")),VLOOKUP(E4012,QCATP_P,2,),""))))))))</f>
        <v/>
      </c>
      <c r="W4012" s="31" t="str">
        <f t="shared" si="455"/>
        <v>TRUE</v>
      </c>
      <c r="X4012" s="31" t="str">
        <f t="shared" si="452"/>
        <v/>
      </c>
      <c r="Y4012" s="10" t="s">
        <v>1285</v>
      </c>
      <c r="AF4012" s="12">
        <v>44980</v>
      </c>
      <c r="AH4012" s="10">
        <f>-5.1889*2.31^2+102.33*2.31-44.163</f>
        <v>164.53081071000003</v>
      </c>
      <c r="AI4012" s="10">
        <f>-1.8824*2.31^2+87.341*2.31-33.178</f>
        <v>158.53503535999999</v>
      </c>
      <c r="AK4012" s="10">
        <f>-0.0059*2.31^2+68.478*2.31-14.154</f>
        <v>143.99869701</v>
      </c>
      <c r="AL4012" s="10" t="str">
        <f t="shared" si="450"/>
        <v>FALSE</v>
      </c>
      <c r="AM4012" s="10" t="str">
        <f t="shared" si="450"/>
        <v>y=-5.1889*2.31^2+102.33*2.31-44.163</v>
      </c>
      <c r="AN4012" s="10" t="str">
        <f t="shared" si="450"/>
        <v>y=-1.8824*2.31^2+87.341*2.31-33.178</v>
      </c>
      <c r="AO4012" s="10" t="str">
        <f t="shared" si="451"/>
        <v>FALSE</v>
      </c>
      <c r="AP4012" s="10" t="str">
        <f t="shared" si="451"/>
        <v>y=-0.0059*2.31^2+68.478*2.31-14.154</v>
      </c>
      <c r="AQ4012" s="10" t="b">
        <f>IF(AND(I4012="TP",S4012&lt;=150),VLOOKUP(AF4012,TPCalibEq150!$AZ$2:$BB$55,3,),IF(AND(I4012="TDP",S4012&lt;=150),VLOOKUP(AF4012,TPCalibEq150!$AZ$2:$BB$55,3,)))</f>
        <v>0</v>
      </c>
      <c r="AR4012" s="10" t="str">
        <f>IF(AND(I4012="TP",S4012&lt;=300),VLOOKUP(AF4012,TPCalibEq300!$AZ$2:$BB$55,3,),IF(AND(I4012="TDP",S4012&lt;=300),VLOOKUP(AF4012,TPCalibEq300!$AZ$2:$BB$55,3,)))</f>
        <v>y=-5.1889x2+102.33x-44.163</v>
      </c>
      <c r="AS4012" s="10" t="str">
        <f>IF(AND(I4012="TP",S4012&lt;=500),VLOOKUP(AF4012,TPCalibEq500!$AZ$2:$BB$56,3,),IF(AND(I4012="TDP",S4012&lt;=500),VLOOKUP(AF4012,TPCalibEq500!$AZ$2:$BB$56,3,)))</f>
        <v>y=-1.8824x2+87.341x-33.178</v>
      </c>
      <c r="AT4012" s="10" t="b">
        <f>IF(AND(I4012="TN",S4012&lt;=2800),VLOOKUP(AF4012,TNCalibEq2500!$AZ$2:$BB$56,3,),IF(AND(I4012="TDN",S4012&lt;=2800),VLOOKUP(AF4012,TNCalibEq2500!$AZ$2:$BB$56,3,)))</f>
        <v>0</v>
      </c>
      <c r="AU4012" s="10" t="str">
        <f>IF(I4012="TP",VLOOKUP(AF4012,TPCalibEqFull!$AZ$2:$BB$56,3),IF(I4012="TDP",VLOOKUP(AF4012,TPCalibEqFull!$AZ$2:$BB$56,3),IF(I4012="TDN",VLOOKUP(AF4012,TNCalibEqFull!$AZ$1:$BB$56,3),IF(I4012="TN",VLOOKUP(AF4012,TNCalibEqFull!$AZ$1:$BB$56,3),FALSE))))</f>
        <v>y=-0.0059x2+68.478x-14.154</v>
      </c>
      <c r="AV4012" s="10" t="str">
        <f t="shared" si="456"/>
        <v>0221 10:26:00-BUO-5-FIL-1-SW-UKN</v>
      </c>
    </row>
    <row r="4013" spans="1:48" s="10" customFormat="1" x14ac:dyDescent="0.55000000000000004">
      <c r="A4013" s="32">
        <v>44978</v>
      </c>
      <c r="B4013" s="33">
        <v>0.4368055555555555</v>
      </c>
      <c r="C4013" s="10" t="s">
        <v>611</v>
      </c>
      <c r="D4013" s="10">
        <v>10</v>
      </c>
      <c r="E4013" s="10" t="s">
        <v>911</v>
      </c>
      <c r="F4013" s="10">
        <v>1</v>
      </c>
      <c r="G4013" s="10" t="s">
        <v>231</v>
      </c>
      <c r="H4013" s="10" t="s">
        <v>322</v>
      </c>
      <c r="I4013" s="10" t="s">
        <v>266</v>
      </c>
      <c r="J4013" s="10">
        <v>78</v>
      </c>
      <c r="K4013" s="12">
        <v>44980</v>
      </c>
      <c r="L4013" s="33">
        <v>0.51376157407407408</v>
      </c>
      <c r="M4013" s="10">
        <v>1</v>
      </c>
      <c r="N4013" s="10" t="s">
        <v>84</v>
      </c>
      <c r="O4013" s="10">
        <v>2.29</v>
      </c>
      <c r="P4013" s="10">
        <v>0.16</v>
      </c>
      <c r="Q4013" s="10">
        <v>142</v>
      </c>
      <c r="R4013" s="10" t="s">
        <v>85</v>
      </c>
      <c r="S4013" s="34">
        <f t="shared" si="453"/>
        <v>162.96158951000001</v>
      </c>
      <c r="T4013" s="10" t="s">
        <v>1299</v>
      </c>
      <c r="U4013" s="34" t="str">
        <f t="shared" si="454"/>
        <v/>
      </c>
      <c r="V4013" s="31" t="str">
        <f>IF(H4013="CHK",VLOOKUP(I4013,QCCHK,3,),IF(H4013="GUP",VLOOKUP(E4013,QCGUP,2,),IF(AND(H4013="ATP",OR(I4013="TN",I4013="TDN",I4013="TNO2-3",I4013="NO2-3")),VLOOKUP(E4013,QCREC_N,2,),IF(AND(H4013="NIC",OR(I4013="TN",I4013="TDN",I4013="TNO2-3",I4013="NO2-3")),VLOOKUP(E4013,QCNIC_N,2,),IF(AND(H4013="UREA",OR(I4013="TN",I4013="TDN",I4013="TNO2-3",I4013="NO2-3")),VLOOKUP(E4013,QCUREA_N,2,),IF(H4013="PER",VLOOKUP(I4013,QCPER,MATCH(E4013,QCACTUAL!$J$25:$AA$25,0),),IF(H4013="SPK",VLOOKUP(I4013,QCSPK,3,),IF(AND(H4013="ATP",OR(I4013="TP",I4013="TDP")),VLOOKUP(E4013,QCATP_P,2,),""))))))))</f>
        <v/>
      </c>
      <c r="W4013" s="31" t="str">
        <f t="shared" si="455"/>
        <v>TRUE</v>
      </c>
      <c r="X4013" s="31" t="str">
        <f t="shared" si="452"/>
        <v/>
      </c>
      <c r="Y4013" s="10" t="s">
        <v>1285</v>
      </c>
      <c r="AF4013" s="12">
        <v>44980</v>
      </c>
      <c r="AH4013" s="10">
        <f>-5.1889*2.29^2+102.33*2.29-44.163</f>
        <v>162.96158951000001</v>
      </c>
      <c r="AI4013" s="10">
        <f>-1.8824*2.29^2+87.341*2.29-33.178</f>
        <v>156.96139615999999</v>
      </c>
      <c r="AK4013" s="10">
        <f>-0.0059*2.29^2+68.478*2.29-14.154</f>
        <v>142.62967981</v>
      </c>
      <c r="AL4013" s="10" t="str">
        <f t="shared" si="450"/>
        <v>FALSE</v>
      </c>
      <c r="AM4013" s="10" t="str">
        <f t="shared" si="450"/>
        <v>y=-5.1889*2.29^2+102.33*2.29-44.163</v>
      </c>
      <c r="AN4013" s="10" t="str">
        <f t="shared" si="450"/>
        <v>y=-1.8824*2.29^2+87.341*2.29-33.178</v>
      </c>
      <c r="AO4013" s="10" t="str">
        <f t="shared" si="451"/>
        <v>FALSE</v>
      </c>
      <c r="AP4013" s="10" t="str">
        <f t="shared" si="451"/>
        <v>y=-0.0059*2.29^2+68.478*2.29-14.154</v>
      </c>
      <c r="AQ4013" s="10" t="b">
        <f>IF(AND(I4013="TP",S4013&lt;=150),VLOOKUP(AF4013,TPCalibEq150!$AZ$2:$BB$55,3,),IF(AND(I4013="TDP",S4013&lt;=150),VLOOKUP(AF4013,TPCalibEq150!$AZ$2:$BB$55,3,)))</f>
        <v>0</v>
      </c>
      <c r="AR4013" s="10" t="str">
        <f>IF(AND(I4013="TP",S4013&lt;=300),VLOOKUP(AF4013,TPCalibEq300!$AZ$2:$BB$55,3,),IF(AND(I4013="TDP",S4013&lt;=300),VLOOKUP(AF4013,TPCalibEq300!$AZ$2:$BB$55,3,)))</f>
        <v>y=-5.1889x2+102.33x-44.163</v>
      </c>
      <c r="AS4013" s="10" t="str">
        <f>IF(AND(I4013="TP",S4013&lt;=500),VLOOKUP(AF4013,TPCalibEq500!$AZ$2:$BB$56,3,),IF(AND(I4013="TDP",S4013&lt;=500),VLOOKUP(AF4013,TPCalibEq500!$AZ$2:$BB$56,3,)))</f>
        <v>y=-1.8824x2+87.341x-33.178</v>
      </c>
      <c r="AT4013" s="10" t="b">
        <f>IF(AND(I4013="TN",S4013&lt;=2800),VLOOKUP(AF4013,TNCalibEq2500!$AZ$2:$BB$56,3,),IF(AND(I4013="TDN",S4013&lt;=2800),VLOOKUP(AF4013,TNCalibEq2500!$AZ$2:$BB$56,3,)))</f>
        <v>0</v>
      </c>
      <c r="AU4013" s="10" t="str">
        <f>IF(I4013="TP",VLOOKUP(AF4013,TPCalibEqFull!$AZ$2:$BB$56,3),IF(I4013="TDP",VLOOKUP(AF4013,TPCalibEqFull!$AZ$2:$BB$56,3),IF(I4013="TDN",VLOOKUP(AF4013,TNCalibEqFull!$AZ$1:$BB$56,3),IF(I4013="TN",VLOOKUP(AF4013,TNCalibEqFull!$AZ$1:$BB$56,3),FALSE))))</f>
        <v>y=-0.0059x2+68.478x-14.154</v>
      </c>
      <c r="AV4013" s="10" t="str">
        <f t="shared" si="456"/>
        <v>0221 10:29:00-BUO-10-FIL-1-SW-UKN</v>
      </c>
    </row>
    <row r="4014" spans="1:48" s="10" customFormat="1" x14ac:dyDescent="0.55000000000000004">
      <c r="A4014" s="32">
        <v>44978</v>
      </c>
      <c r="B4014" s="33">
        <v>0.43958333333333338</v>
      </c>
      <c r="C4014" s="10" t="s">
        <v>611</v>
      </c>
      <c r="D4014" s="10">
        <v>20</v>
      </c>
      <c r="E4014" s="10" t="s">
        <v>911</v>
      </c>
      <c r="F4014" s="10">
        <v>1</v>
      </c>
      <c r="G4014" s="10" t="s">
        <v>231</v>
      </c>
      <c r="H4014" s="10" t="s">
        <v>322</v>
      </c>
      <c r="I4014" s="10" t="s">
        <v>266</v>
      </c>
      <c r="J4014" s="10">
        <v>79</v>
      </c>
      <c r="K4014" s="12">
        <v>44980</v>
      </c>
      <c r="L4014" s="33">
        <v>0.51445601851851852</v>
      </c>
      <c r="M4014" s="10">
        <v>1</v>
      </c>
      <c r="N4014" s="10" t="s">
        <v>84</v>
      </c>
      <c r="O4014" s="10">
        <v>1.89</v>
      </c>
      <c r="P4014" s="10">
        <v>0.13200000000000001</v>
      </c>
      <c r="Q4014" s="10">
        <v>115</v>
      </c>
      <c r="R4014" s="10" t="s">
        <v>85</v>
      </c>
      <c r="S4014" s="34">
        <f t="shared" si="453"/>
        <v>130.82937179999999</v>
      </c>
      <c r="T4014" s="10" t="s">
        <v>1299</v>
      </c>
      <c r="U4014" s="34" t="str">
        <f t="shared" si="454"/>
        <v/>
      </c>
      <c r="V4014" s="31" t="str">
        <f>IF(H4014="CHK",VLOOKUP(I4014,QCCHK,3,),IF(H4014="GUP",VLOOKUP(E4014,QCGUP,2,),IF(AND(H4014="ATP",OR(I4014="TN",I4014="TDN",I4014="TNO2-3",I4014="NO2-3")),VLOOKUP(E4014,QCREC_N,2,),IF(AND(H4014="NIC",OR(I4014="TN",I4014="TDN",I4014="TNO2-3",I4014="NO2-3")),VLOOKUP(E4014,QCNIC_N,2,),IF(AND(H4014="UREA",OR(I4014="TN",I4014="TDN",I4014="TNO2-3",I4014="NO2-3")),VLOOKUP(E4014,QCUREA_N,2,),IF(H4014="PER",VLOOKUP(I4014,QCPER,MATCH(E4014,QCACTUAL!$J$25:$AA$25,0),),IF(H4014="SPK",VLOOKUP(I4014,QCSPK,3,),IF(AND(H4014="ATP",OR(I4014="TP",I4014="TDP")),VLOOKUP(E4014,QCATP_P,2,),""))))))))</f>
        <v/>
      </c>
      <c r="W4014" s="31" t="str">
        <f t="shared" si="455"/>
        <v>TRUE</v>
      </c>
      <c r="X4014" s="31" t="str">
        <f t="shared" si="452"/>
        <v/>
      </c>
      <c r="Y4014" s="10" t="s">
        <v>1285</v>
      </c>
      <c r="AF4014" s="12">
        <v>44980</v>
      </c>
      <c r="AG4014" s="10">
        <f>-7.042*1.89^2+106.99*1.89-46.227</f>
        <v>130.82937179999999</v>
      </c>
      <c r="AH4014" s="10">
        <f>-5.1889*1.89^2+102.33*1.89-44.163</f>
        <v>130.70543031</v>
      </c>
      <c r="AI4014" s="10">
        <f>-1.8824*1.89^2+87.341*1.89-33.178</f>
        <v>125.17236895999997</v>
      </c>
      <c r="AK4014" s="10">
        <f>-0.0059*1.89^2+68.478*1.89-14.154</f>
        <v>115.24834461</v>
      </c>
      <c r="AL4014" s="10" t="str">
        <f t="shared" si="450"/>
        <v>y=-7.042*1.89^2+106.99*1.89-46.227</v>
      </c>
      <c r="AM4014" s="10" t="str">
        <f t="shared" si="450"/>
        <v>y=-5.1889*1.89^2+102.33*1.89-44.163</v>
      </c>
      <c r="AN4014" s="10" t="str">
        <f t="shared" si="450"/>
        <v>y=-1.8824*1.89^2+87.341*1.89-33.178</v>
      </c>
      <c r="AO4014" s="10" t="str">
        <f t="shared" si="451"/>
        <v>FALSE</v>
      </c>
      <c r="AP4014" s="10" t="str">
        <f t="shared" si="451"/>
        <v>y=-0.0059*1.89^2+68.478*1.89-14.154</v>
      </c>
      <c r="AQ4014" s="10" t="str">
        <f>IF(AND(I4014="TP",S4014&lt;=150),VLOOKUP(AF4014,TPCalibEq150!$AZ$2:$BB$55,3,),IF(AND(I4014="TDP",S4014&lt;=150),VLOOKUP(AF4014,TPCalibEq150!$AZ$2:$BB$55,3,)))</f>
        <v>y=-7.042x2+106.99x-46.227</v>
      </c>
      <c r="AR4014" s="10" t="str">
        <f>IF(AND(I4014="TP",S4014&lt;=300),VLOOKUP(AF4014,TPCalibEq300!$AZ$2:$BB$55,3,),IF(AND(I4014="TDP",S4014&lt;=300),VLOOKUP(AF4014,TPCalibEq300!$AZ$2:$BB$55,3,)))</f>
        <v>y=-5.1889x2+102.33x-44.163</v>
      </c>
      <c r="AS4014" s="10" t="str">
        <f>IF(AND(I4014="TP",S4014&lt;=500),VLOOKUP(AF4014,TPCalibEq500!$AZ$2:$BB$56,3,),IF(AND(I4014="TDP",S4014&lt;=500),VLOOKUP(AF4014,TPCalibEq500!$AZ$2:$BB$56,3,)))</f>
        <v>y=-1.8824x2+87.341x-33.178</v>
      </c>
      <c r="AT4014" s="10" t="b">
        <f>IF(AND(I4014="TN",S4014&lt;=2800),VLOOKUP(AF4014,TNCalibEq2500!$AZ$2:$BB$56,3,),IF(AND(I4014="TDN",S4014&lt;=2800),VLOOKUP(AF4014,TNCalibEq2500!$AZ$2:$BB$56,3,)))</f>
        <v>0</v>
      </c>
      <c r="AU4014" s="10" t="str">
        <f>IF(I4014="TP",VLOOKUP(AF4014,TPCalibEqFull!$AZ$2:$BB$56,3),IF(I4014="TDP",VLOOKUP(AF4014,TPCalibEqFull!$AZ$2:$BB$56,3),IF(I4014="TDN",VLOOKUP(AF4014,TNCalibEqFull!$AZ$1:$BB$56,3),IF(I4014="TN",VLOOKUP(AF4014,TNCalibEqFull!$AZ$1:$BB$56,3),FALSE))))</f>
        <v>y=-0.0059x2+68.478x-14.154</v>
      </c>
      <c r="AV4014" s="10" t="str">
        <f t="shared" si="456"/>
        <v>0221 10:33:00-BUO-20-FIL-1-SW-UKN</v>
      </c>
    </row>
    <row r="4015" spans="1:48" s="10" customFormat="1" x14ac:dyDescent="0.55000000000000004">
      <c r="A4015" s="32">
        <v>44978</v>
      </c>
      <c r="B4015" s="33">
        <v>0.44375000000000003</v>
      </c>
      <c r="C4015" s="10" t="s">
        <v>611</v>
      </c>
      <c r="D4015" s="10">
        <v>48</v>
      </c>
      <c r="E4015" s="10" t="s">
        <v>911</v>
      </c>
      <c r="F4015" s="10">
        <v>1</v>
      </c>
      <c r="G4015" s="10" t="s">
        <v>231</v>
      </c>
      <c r="H4015" s="10" t="s">
        <v>322</v>
      </c>
      <c r="I4015" s="10" t="s">
        <v>266</v>
      </c>
      <c r="J4015" s="10">
        <v>80</v>
      </c>
      <c r="K4015" s="12">
        <v>44980</v>
      </c>
      <c r="L4015" s="33">
        <v>0.515162037037037</v>
      </c>
      <c r="M4015" s="10">
        <v>1</v>
      </c>
      <c r="N4015" s="10" t="s">
        <v>84</v>
      </c>
      <c r="O4015" s="10">
        <v>1.79</v>
      </c>
      <c r="P4015" s="10">
        <v>0.125</v>
      </c>
      <c r="Q4015" s="10">
        <v>109</v>
      </c>
      <c r="R4015" s="10" t="s">
        <v>85</v>
      </c>
      <c r="S4015" s="34">
        <f t="shared" si="453"/>
        <v>122.7218278</v>
      </c>
      <c r="T4015" s="10" t="s">
        <v>1299</v>
      </c>
      <c r="U4015" s="34" t="str">
        <f t="shared" si="454"/>
        <v/>
      </c>
      <c r="V4015" s="31" t="str">
        <f>IF(H4015="CHK",VLOOKUP(I4015,QCCHK,3,),IF(H4015="GUP",VLOOKUP(E4015,QCGUP,2,),IF(AND(H4015="ATP",OR(I4015="TN",I4015="TDN",I4015="TNO2-3",I4015="NO2-3")),VLOOKUP(E4015,QCREC_N,2,),IF(AND(H4015="NIC",OR(I4015="TN",I4015="TDN",I4015="TNO2-3",I4015="NO2-3")),VLOOKUP(E4015,QCNIC_N,2,),IF(AND(H4015="UREA",OR(I4015="TN",I4015="TDN",I4015="TNO2-3",I4015="NO2-3")),VLOOKUP(E4015,QCUREA_N,2,),IF(H4015="PER",VLOOKUP(I4015,QCPER,MATCH(E4015,QCACTUAL!$J$25:$AA$25,0),),IF(H4015="SPK",VLOOKUP(I4015,QCSPK,3,),IF(AND(H4015="ATP",OR(I4015="TP",I4015="TDP")),VLOOKUP(E4015,QCATP_P,2,),""))))))))</f>
        <v/>
      </c>
      <c r="W4015" s="31" t="str">
        <f t="shared" si="455"/>
        <v>TRUE</v>
      </c>
      <c r="X4015" s="31" t="str">
        <f t="shared" si="452"/>
        <v/>
      </c>
      <c r="Y4015" s="10" t="s">
        <v>1285</v>
      </c>
      <c r="AF4015" s="12">
        <v>44980</v>
      </c>
      <c r="AG4015" s="10">
        <f>-7.042*1.79^2+106.99*1.79-46.227</f>
        <v>122.7218278</v>
      </c>
      <c r="AH4015" s="10">
        <f>-5.1889*1.79^2+102.33*1.79-44.163</f>
        <v>122.38194551000002</v>
      </c>
      <c r="AI4015" s="10">
        <f>-1.8824*1.79^2+87.341*1.79-33.178</f>
        <v>117.13099215999998</v>
      </c>
      <c r="AK4015" s="10">
        <f>-0.0059*1.79^2+68.478*1.79-14.154</f>
        <v>108.40271580999999</v>
      </c>
      <c r="AL4015" s="10" t="str">
        <f t="shared" si="450"/>
        <v>y=-7.042*1.79^2+106.99*1.79-46.227</v>
      </c>
      <c r="AM4015" s="10" t="str">
        <f t="shared" si="450"/>
        <v>y=-5.1889*1.79^2+102.33*1.79-44.163</v>
      </c>
      <c r="AN4015" s="10" t="str">
        <f t="shared" si="450"/>
        <v>y=-1.8824*1.79^2+87.341*1.79-33.178</v>
      </c>
      <c r="AO4015" s="10" t="str">
        <f t="shared" si="451"/>
        <v>FALSE</v>
      </c>
      <c r="AP4015" s="10" t="str">
        <f t="shared" si="451"/>
        <v>y=-0.0059*1.79^2+68.478*1.79-14.154</v>
      </c>
      <c r="AQ4015" s="10" t="str">
        <f>IF(AND(I4015="TP",S4015&lt;=150),VLOOKUP(AF4015,TPCalibEq150!$AZ$2:$BB$55,3,),IF(AND(I4015="TDP",S4015&lt;=150),VLOOKUP(AF4015,TPCalibEq150!$AZ$2:$BB$55,3,)))</f>
        <v>y=-7.042x2+106.99x-46.227</v>
      </c>
      <c r="AR4015" s="10" t="str">
        <f>IF(AND(I4015="TP",S4015&lt;=300),VLOOKUP(AF4015,TPCalibEq300!$AZ$2:$BB$55,3,),IF(AND(I4015="TDP",S4015&lt;=300),VLOOKUP(AF4015,TPCalibEq300!$AZ$2:$BB$55,3,)))</f>
        <v>y=-5.1889x2+102.33x-44.163</v>
      </c>
      <c r="AS4015" s="10" t="str">
        <f>IF(AND(I4015="TP",S4015&lt;=500),VLOOKUP(AF4015,TPCalibEq500!$AZ$2:$BB$56,3,),IF(AND(I4015="TDP",S4015&lt;=500),VLOOKUP(AF4015,TPCalibEq500!$AZ$2:$BB$56,3,)))</f>
        <v>y=-1.8824x2+87.341x-33.178</v>
      </c>
      <c r="AT4015" s="10" t="b">
        <f>IF(AND(I4015="TN",S4015&lt;=2800),VLOOKUP(AF4015,TNCalibEq2500!$AZ$2:$BB$56,3,),IF(AND(I4015="TDN",S4015&lt;=2800),VLOOKUP(AF4015,TNCalibEq2500!$AZ$2:$BB$56,3,)))</f>
        <v>0</v>
      </c>
      <c r="AU4015" s="10" t="str">
        <f>IF(I4015="TP",VLOOKUP(AF4015,TPCalibEqFull!$AZ$2:$BB$56,3),IF(I4015="TDP",VLOOKUP(AF4015,TPCalibEqFull!$AZ$2:$BB$56,3),IF(I4015="TDN",VLOOKUP(AF4015,TNCalibEqFull!$AZ$1:$BB$56,3),IF(I4015="TN",VLOOKUP(AF4015,TNCalibEqFull!$AZ$1:$BB$56,3),FALSE))))</f>
        <v>y=-0.0059x2+68.478x-14.154</v>
      </c>
      <c r="AV4015" s="10" t="str">
        <f t="shared" si="456"/>
        <v>0221 10:39:00-BUO-48-FIL-1-SW-UKN</v>
      </c>
    </row>
    <row r="4016" spans="1:48" s="10" customFormat="1" x14ac:dyDescent="0.55000000000000004">
      <c r="A4016" s="32">
        <v>44978</v>
      </c>
      <c r="B4016" s="33">
        <v>0.44375000000000003</v>
      </c>
      <c r="C4016" s="10" t="s">
        <v>611</v>
      </c>
      <c r="D4016" s="10">
        <v>48</v>
      </c>
      <c r="E4016" s="10" t="s">
        <v>911</v>
      </c>
      <c r="F4016" s="10">
        <v>1</v>
      </c>
      <c r="G4016" s="10" t="s">
        <v>231</v>
      </c>
      <c r="H4016" s="10" t="s">
        <v>233</v>
      </c>
      <c r="I4016" s="10" t="s">
        <v>266</v>
      </c>
      <c r="J4016" s="10">
        <v>80</v>
      </c>
      <c r="K4016" s="12">
        <v>44980</v>
      </c>
      <c r="L4016" s="33">
        <v>0.51585648148148155</v>
      </c>
      <c r="M4016" s="10">
        <v>1</v>
      </c>
      <c r="N4016" s="10" t="s">
        <v>84</v>
      </c>
      <c r="O4016" s="10">
        <v>1.78</v>
      </c>
      <c r="P4016" s="10">
        <v>0.125</v>
      </c>
      <c r="Q4016" s="10">
        <v>108</v>
      </c>
      <c r="R4016" s="10" t="s">
        <v>85</v>
      </c>
      <c r="S4016" s="34">
        <f t="shared" si="453"/>
        <v>121.90332719999998</v>
      </c>
      <c r="T4016" s="10" t="s">
        <v>1299</v>
      </c>
      <c r="U4016" s="34">
        <f t="shared" si="454"/>
        <v>0.66918759847082898</v>
      </c>
      <c r="V4016" s="31" t="str">
        <f>IF(H4016="CHK",VLOOKUP(I4016,QCCHK,3,),IF(H4016="GUP",VLOOKUP(E4016,QCGUP,2,),IF(AND(H4016="ATP",OR(I4016="TN",I4016="TDN",I4016="TNO2-3",I4016="NO2-3")),VLOOKUP(E4016,QCREC_N,2,),IF(AND(H4016="NIC",OR(I4016="TN",I4016="TDN",I4016="TNO2-3",I4016="NO2-3")),VLOOKUP(E4016,QCNIC_N,2,),IF(AND(H4016="UREA",OR(I4016="TN",I4016="TDN",I4016="TNO2-3",I4016="NO2-3")),VLOOKUP(E4016,QCUREA_N,2,),IF(H4016="PER",VLOOKUP(I4016,QCPER,MATCH(E4016,QCACTUAL!$J$25:$AA$25,0),),IF(H4016="SPK",VLOOKUP(I4016,QCSPK,3,),IF(AND(H4016="ATP",OR(I4016="TP",I4016="TDP")),VLOOKUP(E4016,QCATP_P,2,),""))))))))</f>
        <v/>
      </c>
      <c r="W4016" s="31" t="str">
        <f t="shared" si="455"/>
        <v>TRUE</v>
      </c>
      <c r="X4016" s="31" t="str">
        <f t="shared" si="452"/>
        <v>((ABS(rep1-rep2))/((rep1+rep2)/2)*100</v>
      </c>
      <c r="Y4016" s="10" t="s">
        <v>1285</v>
      </c>
      <c r="AF4016" s="12">
        <v>44980</v>
      </c>
      <c r="AG4016" s="10">
        <f>-7.042*1.78^2+106.99*1.78-46.227</f>
        <v>121.90332719999998</v>
      </c>
      <c r="AH4016" s="10">
        <f>-5.1889*1.78^2+102.33*1.78-44.163</f>
        <v>121.54388924000001</v>
      </c>
      <c r="AI4016" s="10">
        <f>-1.8824*1.78^2+87.341*1.78-33.178</f>
        <v>116.32478383999998</v>
      </c>
      <c r="AK4016" s="10">
        <f>-0.0059*1.78^2+68.478*1.78-14.154</f>
        <v>107.71814644</v>
      </c>
      <c r="AL4016" s="10" t="str">
        <f t="shared" ref="AL4016:AN4018" si="457">IF($O4016="", "", IF(AQ4016&lt;&gt;"", SUBSTITUTE(SUBSTITUTE(AQ4016, "x", "*"&amp;$O4016&amp;"^", 1), "x", "*"&amp;$O4016, 1), ""))</f>
        <v>y=-7.042*1.78^2+106.99*1.78-46.227</v>
      </c>
      <c r="AM4016" s="10" t="str">
        <f t="shared" si="457"/>
        <v>y=-5.1889*1.78^2+102.33*1.78-44.163</v>
      </c>
      <c r="AN4016" s="10" t="str">
        <f t="shared" si="457"/>
        <v>y=-1.8824*1.78^2+87.341*1.78-33.178</v>
      </c>
      <c r="AO4016" s="10" t="str">
        <f t="shared" ref="AO4016:AP4018" si="458">IF($O4016="", "FALSE", IF(AT4016&lt;&gt;"FALSE", SUBSTITUTE(SUBSTITUTE(AT4016, "x", "*"&amp;$O4016&amp;"^", 1), "x", "*"&amp;$O4016, 1), ""))</f>
        <v>FALSE</v>
      </c>
      <c r="AP4016" s="10" t="str">
        <f t="shared" si="458"/>
        <v>y=-0.0059*1.78^2+68.478*1.78-14.154</v>
      </c>
      <c r="AQ4016" s="10" t="str">
        <f>IF(AND(I4016="TP",S4016&lt;=150),VLOOKUP(AF4016,TPCalibEq150!$AZ$2:$BB$55,3,),IF(AND(I4016="TDP",S4016&lt;=150),VLOOKUP(AF4016,TPCalibEq150!$AZ$2:$BB$55,3,)))</f>
        <v>y=-7.042x2+106.99x-46.227</v>
      </c>
      <c r="AR4016" s="10" t="str">
        <f>IF(AND(I4016="TP",S4016&lt;=300),VLOOKUP(AF4016,TPCalibEq300!$AZ$2:$BB$55,3,),IF(AND(I4016="TDP",S4016&lt;=300),VLOOKUP(AF4016,TPCalibEq300!$AZ$2:$BB$55,3,)))</f>
        <v>y=-5.1889x2+102.33x-44.163</v>
      </c>
      <c r="AS4016" s="10" t="str">
        <f>IF(AND(I4016="TP",S4016&lt;=500),VLOOKUP(AF4016,TPCalibEq500!$AZ$2:$BB$56,3,),IF(AND(I4016="TDP",S4016&lt;=500),VLOOKUP(AF4016,TPCalibEq500!$AZ$2:$BB$56,3,)))</f>
        <v>y=-1.8824x2+87.341x-33.178</v>
      </c>
      <c r="AT4016" s="10" t="b">
        <f>IF(AND(I4016="TN",S4016&lt;=2800),VLOOKUP(AF4016,TNCalibEq2500!$AZ$2:$BB$56,3,),IF(AND(I4016="TDN",S4016&lt;=2800),VLOOKUP(AF4016,TNCalibEq2500!$AZ$2:$BB$56,3,)))</f>
        <v>0</v>
      </c>
      <c r="AU4016" s="10" t="str">
        <f>IF(I4016="TP",VLOOKUP(AF4016,TPCalibEqFull!$AZ$2:$BB$56,3),IF(I4016="TDP",VLOOKUP(AF4016,TPCalibEqFull!$AZ$2:$BB$56,3),IF(I4016="TDN",VLOOKUP(AF4016,TNCalibEqFull!$AZ$1:$BB$56,3),IF(I4016="TN",VLOOKUP(AF4016,TNCalibEqFull!$AZ$1:$BB$56,3),FALSE))))</f>
        <v>y=-0.0059x2+68.478x-14.154</v>
      </c>
      <c r="AV4016" s="10" t="str">
        <f t="shared" si="456"/>
        <v>0221 10:39:00-BUO-48-FIL-1-SW-DUP</v>
      </c>
    </row>
    <row r="4017" spans="1:48" s="10" customFormat="1" x14ac:dyDescent="0.55000000000000004">
      <c r="A4017" s="32">
        <v>44978</v>
      </c>
      <c r="B4017" s="33">
        <v>0.44375000000000003</v>
      </c>
      <c r="C4017" s="10" t="s">
        <v>611</v>
      </c>
      <c r="D4017" s="10">
        <v>48</v>
      </c>
      <c r="E4017" s="10" t="s">
        <v>911</v>
      </c>
      <c r="F4017" s="10">
        <v>1</v>
      </c>
      <c r="G4017" s="10" t="s">
        <v>231</v>
      </c>
      <c r="H4017" s="10" t="s">
        <v>314</v>
      </c>
      <c r="I4017" s="10" t="s">
        <v>266</v>
      </c>
      <c r="J4017" s="10">
        <v>90</v>
      </c>
      <c r="K4017" s="12">
        <v>44980</v>
      </c>
      <c r="L4017" s="33">
        <v>0.51656250000000004</v>
      </c>
      <c r="M4017" s="10">
        <v>1</v>
      </c>
      <c r="N4017" s="10" t="s">
        <v>84</v>
      </c>
      <c r="O4017" s="10">
        <v>17.8</v>
      </c>
      <c r="P4017" s="10">
        <v>1.26</v>
      </c>
      <c r="Q4017" s="10">
        <v>1200</v>
      </c>
      <c r="R4017" s="10" t="s">
        <v>85</v>
      </c>
      <c r="S4017" s="34">
        <f t="shared" si="453"/>
        <v>1202.8850440000001</v>
      </c>
      <c r="T4017" s="10" t="s">
        <v>1299</v>
      </c>
      <c r="U4017" s="34">
        <f t="shared" si="454"/>
        <v>108.09817168000002</v>
      </c>
      <c r="V4017" s="31">
        <f>IF(H4017="CHK",VLOOKUP(I4017,QCCHK,3,),IF(H4017="GUP",VLOOKUP(E4017,QCGUP,2,),IF(AND(H4017="ATP",OR(I4017="TN",I4017="TDN",I4017="TNO2-3",I4017="NO2-3")),VLOOKUP(E4017,QCREC_N,2,),IF(AND(H4017="NIC",OR(I4017="TN",I4017="TDN",I4017="TNO2-3",I4017="NO2-3")),VLOOKUP(E4017,QCNIC_N,2,),IF(AND(H4017="UREA",OR(I4017="TN",I4017="TDN",I4017="TNO2-3",I4017="NO2-3")),VLOOKUP(E4017,QCUREA_N,2,),IF(H4017="PER",VLOOKUP(I4017,QCPER,MATCH(E4017,QCACTUAL!$J$25:$AA$25,0),),IF(H4017="SPK",VLOOKUP(I4017,QCSPK,3,),IF(AND(H4017="ATP",OR(I4017="TP",I4017="TDP")),VLOOKUP(E4017,QCATP_P,2,),""))))))))</f>
        <v>1000</v>
      </c>
      <c r="W4017" s="31" t="str">
        <f t="shared" si="455"/>
        <v>TRUE</v>
      </c>
      <c r="X4017" s="31" t="str">
        <f t="shared" si="452"/>
        <v>([spikedunkn]-[unkn])/[spike]*100</v>
      </c>
      <c r="Y4017" s="10" t="s">
        <v>1285</v>
      </c>
      <c r="AF4017" s="12">
        <v>44980</v>
      </c>
      <c r="AK4017" s="10">
        <f>-0.0059*17.8^2+68.478*17.8-14.154</f>
        <v>1202.8850440000001</v>
      </c>
      <c r="AL4017" s="10" t="str">
        <f t="shared" si="457"/>
        <v>FALSE</v>
      </c>
      <c r="AM4017" s="10" t="str">
        <f t="shared" si="457"/>
        <v>FALSE</v>
      </c>
      <c r="AN4017" s="10" t="str">
        <f t="shared" si="457"/>
        <v>FALSE</v>
      </c>
      <c r="AO4017" s="10" t="str">
        <f t="shared" si="458"/>
        <v>FALSE</v>
      </c>
      <c r="AP4017" s="10" t="str">
        <f t="shared" si="458"/>
        <v>y=-0.0059*17.8^2+68.478*17.8-14.154</v>
      </c>
      <c r="AQ4017" s="10" t="b">
        <f>IF(AND(I4017="TP",S4017&lt;=150),VLOOKUP(AF4017,TPCalibEq150!$AZ$2:$BB$55,3,),IF(AND(I4017="TDP",S4017&lt;=150),VLOOKUP(AF4017,TPCalibEq150!$AZ$2:$BB$55,3,)))</f>
        <v>0</v>
      </c>
      <c r="AR4017" s="10" t="b">
        <f>IF(AND(I4017="TP",S4017&lt;=300),VLOOKUP(AF4017,TPCalibEq300!$AZ$2:$BB$55,3,),IF(AND(I4017="TDP",S4017&lt;=300),VLOOKUP(AF4017,TPCalibEq300!$AZ$2:$BB$55,3,)))</f>
        <v>0</v>
      </c>
      <c r="AS4017" s="10" t="b">
        <f>IF(AND(I4017="TP",S4017&lt;=500),VLOOKUP(AF4017,TPCalibEq500!$AZ$2:$BB$56,3,),IF(AND(I4017="TDP",S4017&lt;=500),VLOOKUP(AF4017,TPCalibEq500!$AZ$2:$BB$56,3,)))</f>
        <v>0</v>
      </c>
      <c r="AT4017" s="10" t="b">
        <f>IF(AND(I4017="TN",S4017&lt;=2800),VLOOKUP(AF4017,TNCalibEq2500!$AZ$2:$BB$56,3,),IF(AND(I4017="TDN",S4017&lt;=2800),VLOOKUP(AF4017,TNCalibEq2500!$AZ$2:$BB$56,3,)))</f>
        <v>0</v>
      </c>
      <c r="AU4017" s="10" t="str">
        <f>IF(I4017="TP",VLOOKUP(AF4017,TPCalibEqFull!$AZ$2:$BB$56,3),IF(I4017="TDP",VLOOKUP(AF4017,TPCalibEqFull!$AZ$2:$BB$56,3),IF(I4017="TDN",VLOOKUP(AF4017,TNCalibEqFull!$AZ$1:$BB$56,3),IF(I4017="TN",VLOOKUP(AF4017,TNCalibEqFull!$AZ$1:$BB$56,3),FALSE))))</f>
        <v>y=-0.0059x2+68.478x-14.154</v>
      </c>
      <c r="AV4017" s="10" t="str">
        <f t="shared" si="456"/>
        <v>0221 10:39:00-BUO-48-FIL-1-SW-SPK</v>
      </c>
    </row>
    <row r="4018" spans="1:48" s="10" customFormat="1" x14ac:dyDescent="0.55000000000000004">
      <c r="A4018" s="32">
        <v>44979</v>
      </c>
      <c r="B4018" s="33">
        <v>0.375</v>
      </c>
      <c r="C4018" s="10" t="s">
        <v>70</v>
      </c>
      <c r="D4018" s="10" t="s">
        <v>71</v>
      </c>
      <c r="E4018" s="10" t="s">
        <v>901</v>
      </c>
      <c r="F4018" s="10">
        <v>1</v>
      </c>
      <c r="G4018" s="10" t="s">
        <v>73</v>
      </c>
      <c r="H4018" s="10" t="s">
        <v>207</v>
      </c>
      <c r="I4018" s="10" t="s">
        <v>83</v>
      </c>
      <c r="J4018" s="10">
        <v>199</v>
      </c>
      <c r="K4018" s="12">
        <v>44980</v>
      </c>
      <c r="L4018" s="33">
        <v>0.51725694444444448</v>
      </c>
      <c r="M4018" s="10">
        <v>1</v>
      </c>
      <c r="N4018" s="10" t="s">
        <v>84</v>
      </c>
      <c r="O4018" s="10">
        <v>7.9</v>
      </c>
      <c r="P4018" s="10">
        <v>0.56599999999999995</v>
      </c>
      <c r="Q4018" s="10">
        <v>524</v>
      </c>
      <c r="R4018" s="10" t="s">
        <v>85</v>
      </c>
      <c r="S4018" s="34">
        <f t="shared" si="453"/>
        <v>526.453981</v>
      </c>
      <c r="T4018" s="10" t="s">
        <v>1299</v>
      </c>
      <c r="U4018" s="34">
        <f t="shared" si="454"/>
        <v>105.29079619999999</v>
      </c>
      <c r="V4018" s="31">
        <f>IF(H4018="CHK",VLOOKUP(I4018,QCCHK,3,),IF(H4018="GUP",VLOOKUP(E4018,QCGUP,2,),IF(AND(H4018="ATP",OR(I4018="TN",I4018="TDN",I4018="TNO2-3",I4018="NO2-3")),VLOOKUP(E4018,QCREC_N,2,),IF(AND(H4018="NIC",OR(I4018="TN",I4018="TDN",I4018="TNO2-3",I4018="NO2-3")),VLOOKUP(E4018,QCNIC_N,2,),IF(AND(H4018="UREA",OR(I4018="TN",I4018="TDN",I4018="TNO2-3",I4018="NO2-3")),VLOOKUP(E4018,QCUREA_N,2,),IF(H4018="PER",VLOOKUP(I4018,QCPER,MATCH(E4018,QCACTUAL!$J$25:$AA$25,0),),IF(H4018="SPK",VLOOKUP(I4018,QCSPK,3,),IF(AND(H4018="ATP",OR(I4018="TP",I4018="TDP")),VLOOKUP(E4018,QCATP_P,2,),""))))))))</f>
        <v>500</v>
      </c>
      <c r="W4018" s="31" t="str">
        <f t="shared" si="455"/>
        <v>TRUE</v>
      </c>
      <c r="X4018" s="31" t="str">
        <f t="shared" si="452"/>
        <v>[chk]/[actual]*100</v>
      </c>
      <c r="Y4018" s="10" t="s">
        <v>1285</v>
      </c>
      <c r="AF4018" s="12">
        <v>44980</v>
      </c>
      <c r="AK4018" s="10">
        <f>-0.0059*7.9^2+68.478*7.9-14.154</f>
        <v>526.453981</v>
      </c>
      <c r="AL4018" s="10" t="str">
        <f t="shared" si="457"/>
        <v>FALSE</v>
      </c>
      <c r="AM4018" s="10" t="str">
        <f t="shared" si="457"/>
        <v>FALSE</v>
      </c>
      <c r="AN4018" s="10" t="str">
        <f t="shared" si="457"/>
        <v>FALSE</v>
      </c>
      <c r="AO4018" s="10" t="str">
        <f t="shared" si="458"/>
        <v>FALSE</v>
      </c>
      <c r="AP4018" s="10" t="str">
        <f t="shared" si="458"/>
        <v>y=-0.0059*7.9^2+68.478*7.9-14.154</v>
      </c>
      <c r="AQ4018" s="10" t="b">
        <f>IF(AND(I4018="TP",S4018&lt;=150),VLOOKUP(AF4018,TPCalibEq150!$AZ$2:$BB$55,3,),IF(AND(I4018="TDP",S4018&lt;=150),VLOOKUP(AF4018,TPCalibEq150!$AZ$2:$BB$55,3,)))</f>
        <v>0</v>
      </c>
      <c r="AR4018" s="10" t="b">
        <f>IF(AND(I4018="TP",S4018&lt;=300),VLOOKUP(AF4018,TPCalibEq300!$AZ$2:$BB$55,3,),IF(AND(I4018="TDP",S4018&lt;=300),VLOOKUP(AF4018,TPCalibEq300!$AZ$2:$BB$55,3,)))</f>
        <v>0</v>
      </c>
      <c r="AS4018" s="10" t="b">
        <f>IF(AND(I4018="TP",S4018&lt;=500),VLOOKUP(AF4018,TPCalibEq500!$AZ$2:$BB$56,3,),IF(AND(I4018="TDP",S4018&lt;=500),VLOOKUP(AF4018,TPCalibEq500!$AZ$2:$BB$56,3,)))</f>
        <v>0</v>
      </c>
      <c r="AT4018" s="10" t="b">
        <f>IF(AND(I4018="TN",S4018&lt;=2800),VLOOKUP(AF4018,TNCalibEq2500!$AZ$2:$BB$56,3,),IF(AND(I4018="TDN",S4018&lt;=2800),VLOOKUP(AF4018,TNCalibEq2500!$AZ$2:$BB$56,3,)))</f>
        <v>0</v>
      </c>
      <c r="AU4018" s="10" t="str">
        <f>IF(I4018="TP",VLOOKUP(AF4018,TPCalibEqFull!$AZ$2:$BB$56,3),IF(I4018="TDP",VLOOKUP(AF4018,TPCalibEqFull!$AZ$2:$BB$56,3),IF(I4018="TDN",VLOOKUP(AF4018,TNCalibEqFull!$AZ$1:$BB$56,3),IF(I4018="TN",VLOOKUP(AF4018,TNCalibEqFull!$AZ$1:$BB$56,3),FALSE))))</f>
        <v>y=-0.0059x2+68.478x-14.154</v>
      </c>
      <c r="AV4018" s="10" t="str">
        <f t="shared" si="456"/>
        <v>0222 09:00:00-QAC-STD-D-1-DI-CHK</v>
      </c>
    </row>
  </sheetData>
  <autoFilter ref="A2:AV2" xr:uid="{98159604-9792-4F42-B495-F81747599226}"/>
  <phoneticPr fontId="17" type="noConversion"/>
  <conditionalFormatting sqref="AG1:AK2 AF2 AL2:AU2">
    <cfRule type="cellIs" dxfId="12" priority="1" operator="lessThan">
      <formula>0</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0A374-45CE-4618-9887-48B56E91CE5B}">
  <dimension ref="A1:BD41"/>
  <sheetViews>
    <sheetView topLeftCell="AO1" workbookViewId="0">
      <selection activeCell="AU14" sqref="AU14"/>
    </sheetView>
  </sheetViews>
  <sheetFormatPr defaultRowHeight="14.4" x14ac:dyDescent="0.55000000000000004"/>
  <cols>
    <col min="2" max="2" width="10.3125" bestFit="1" customWidth="1"/>
    <col min="11" max="11" width="9.41796875" bestFit="1" customWidth="1"/>
    <col min="12" max="12" width="11.1015625" bestFit="1" customWidth="1"/>
    <col min="21" max="21" width="11" bestFit="1" customWidth="1"/>
    <col min="22" max="22" width="12" bestFit="1" customWidth="1"/>
    <col min="31" max="31" width="53.41796875" customWidth="1"/>
    <col min="42" max="42" width="9.41796875" bestFit="1" customWidth="1"/>
    <col min="52" max="52" width="11" bestFit="1" customWidth="1"/>
  </cols>
  <sheetData>
    <row r="1" spans="1:56" ht="100.8" x14ac:dyDescent="0.55000000000000004">
      <c r="A1" s="17" t="s">
        <v>0</v>
      </c>
      <c r="B1" s="35" t="s">
        <v>23</v>
      </c>
      <c r="C1" s="19" t="s">
        <v>24</v>
      </c>
      <c r="D1" s="19" t="s">
        <v>25</v>
      </c>
      <c r="E1" s="19" t="s">
        <v>26</v>
      </c>
      <c r="F1" s="19" t="s">
        <v>27</v>
      </c>
      <c r="G1" s="19" t="s">
        <v>28</v>
      </c>
      <c r="H1" s="19" t="s">
        <v>29</v>
      </c>
      <c r="I1" s="19" t="s">
        <v>30</v>
      </c>
      <c r="J1" s="19" t="s">
        <v>31</v>
      </c>
      <c r="K1" s="20" t="s">
        <v>32</v>
      </c>
      <c r="L1" s="21" t="s">
        <v>33</v>
      </c>
      <c r="M1" s="22" t="s">
        <v>34</v>
      </c>
      <c r="N1" s="19" t="s">
        <v>35</v>
      </c>
      <c r="O1" s="23" t="s">
        <v>36</v>
      </c>
      <c r="P1" s="23" t="s">
        <v>37</v>
      </c>
      <c r="Q1" s="24" t="s">
        <v>38</v>
      </c>
      <c r="R1" s="19" t="s">
        <v>39</v>
      </c>
      <c r="S1" s="36" t="s">
        <v>40</v>
      </c>
      <c r="T1" s="19" t="s">
        <v>46</v>
      </c>
      <c r="U1" s="20" t="s">
        <v>79</v>
      </c>
      <c r="V1" s="9" t="s">
        <v>80</v>
      </c>
      <c r="W1" s="3" t="s">
        <v>81</v>
      </c>
      <c r="AF1" s="37" t="s">
        <v>0</v>
      </c>
      <c r="AG1" s="35" t="s">
        <v>23</v>
      </c>
      <c r="AH1" s="38" t="s">
        <v>24</v>
      </c>
      <c r="AI1" s="38" t="s">
        <v>25</v>
      </c>
      <c r="AJ1" s="38" t="s">
        <v>26</v>
      </c>
      <c r="AK1" s="38" t="s">
        <v>27</v>
      </c>
      <c r="AL1" s="38" t="s">
        <v>28</v>
      </c>
      <c r="AM1" s="38" t="s">
        <v>29</v>
      </c>
      <c r="AN1" s="38" t="s">
        <v>30</v>
      </c>
      <c r="AO1" s="38" t="s">
        <v>31</v>
      </c>
      <c r="AP1" s="39" t="s">
        <v>32</v>
      </c>
      <c r="AQ1" s="40" t="s">
        <v>33</v>
      </c>
      <c r="AR1" s="22" t="s">
        <v>34</v>
      </c>
      <c r="AS1" s="38" t="s">
        <v>35</v>
      </c>
      <c r="AT1" s="41" t="s">
        <v>36</v>
      </c>
      <c r="AU1" s="41" t="s">
        <v>37</v>
      </c>
      <c r="AV1" s="42" t="s">
        <v>38</v>
      </c>
      <c r="AW1" s="38" t="s">
        <v>39</v>
      </c>
      <c r="AX1" s="43" t="s">
        <v>40</v>
      </c>
      <c r="AY1" s="38" t="s">
        <v>46</v>
      </c>
      <c r="AZ1" s="39" t="s">
        <v>82</v>
      </c>
      <c r="BA1" s="44" t="s">
        <v>80</v>
      </c>
      <c r="BB1" s="44" t="s">
        <v>81</v>
      </c>
    </row>
    <row r="2" spans="1:56" x14ac:dyDescent="0.55000000000000004">
      <c r="A2" s="119">
        <v>44930</v>
      </c>
      <c r="B2" s="120">
        <v>0.375</v>
      </c>
      <c r="C2" s="121" t="s">
        <v>70</v>
      </c>
      <c r="D2" s="121" t="s">
        <v>71</v>
      </c>
      <c r="E2" s="121" t="s">
        <v>925</v>
      </c>
      <c r="F2" s="121">
        <v>1</v>
      </c>
      <c r="G2" s="121" t="s">
        <v>73</v>
      </c>
      <c r="H2" s="121" t="s">
        <v>74</v>
      </c>
      <c r="I2" s="121" t="s">
        <v>83</v>
      </c>
      <c r="J2" s="121">
        <v>189</v>
      </c>
      <c r="K2" s="122">
        <v>44930</v>
      </c>
      <c r="L2" s="120">
        <v>0.54238425925925926</v>
      </c>
      <c r="M2" s="121">
        <v>1</v>
      </c>
      <c r="N2" s="121" t="s">
        <v>84</v>
      </c>
      <c r="O2" s="121">
        <v>0.50800000000000001</v>
      </c>
      <c r="P2" s="121">
        <v>3.4599999999999999E-2</v>
      </c>
      <c r="Q2" s="121">
        <v>0</v>
      </c>
      <c r="R2" s="121" t="s">
        <v>85</v>
      </c>
      <c r="S2" s="123">
        <f t="shared" ref="S2:S41" si="0">IF(OR(AND(I2&lt;&gt;"TP", I2&lt;&gt;"TDP",I2&lt;&gt;"TN", I2&lt;&gt;"TDN"),H2="CAL"), Q2*M2, IF(OR(AND(I2="TN", Q2&gt;2500), AND(I2="TDN", Q2&gt;2500)),MAX(Q2, AK2)*M2, IF(OR(AND(I2="TN", Q2&lt;=2500), AND(I2="TDN", Q2&lt;=2500)),MAX(Q2, AJ2,AK2)*M2, IF(OR(AND(I2="TP",Q2&gt;500), AND(I2="TDP", Q2&gt;500)),MAX(Q2,AK2)*M2,IF(OR(AND(I2="TP",Q2&lt;=150), AND(I2="TDP", Q2&lt;=150)),MAX(Q2,AG2:AI2,AK2)*M2,IF(OR(AND(I2="TP",Q2&lt;=300), AND(I2="TDP", Q2&lt;=300)),MAX(Q2,AH2,AI2,AK2)*M2,IF(OR(AND(I2="TP",Q2&lt;=500), AND(I2="TDP", Q2&lt;=500)),MAX(Q2,AI2,AK2)*M2,"")))))))</f>
        <v>0</v>
      </c>
      <c r="T2" s="10" t="s">
        <v>970</v>
      </c>
      <c r="U2" s="45">
        <v>44930</v>
      </c>
      <c r="V2">
        <f>-8.4348*O2^2+102.96*O2-48.008</f>
        <v>2.1189617727999988</v>
      </c>
      <c r="W2" t="s">
        <v>1014</v>
      </c>
      <c r="AF2" s="119">
        <v>44930</v>
      </c>
      <c r="AG2" s="120">
        <v>0.375</v>
      </c>
      <c r="AH2" s="121" t="s">
        <v>70</v>
      </c>
      <c r="AI2" s="121" t="s">
        <v>71</v>
      </c>
      <c r="AJ2" s="121" t="s">
        <v>930</v>
      </c>
      <c r="AK2" s="121">
        <v>1</v>
      </c>
      <c r="AL2" s="121" t="s">
        <v>73</v>
      </c>
      <c r="AM2" s="121" t="s">
        <v>74</v>
      </c>
      <c r="AN2" s="121" t="s">
        <v>83</v>
      </c>
      <c r="AO2" s="121">
        <v>194</v>
      </c>
      <c r="AP2" s="122">
        <v>44930</v>
      </c>
      <c r="AQ2" s="120">
        <v>0.54592592592592593</v>
      </c>
      <c r="AR2" s="121">
        <v>1</v>
      </c>
      <c r="AS2" s="121" t="s">
        <v>84</v>
      </c>
      <c r="AT2" s="121">
        <v>2.39</v>
      </c>
      <c r="AU2" s="121">
        <v>0.16900000000000001</v>
      </c>
      <c r="AV2" s="121">
        <v>150</v>
      </c>
      <c r="AW2" s="121" t="s">
        <v>85</v>
      </c>
      <c r="AX2" s="123">
        <f t="shared" ref="AX2:AX8" si="1">IF(OR(AND(AN2&lt;&gt;"TP", AN2&lt;&gt;"TDP",AN2&lt;&gt;"TN", AN2&lt;&gt;"TDN"),AM2="CAL"), AV2*AR2, IF(OR(AND(AN2="TN", AV2&gt;2500), AND(AN2="TDN", AV2&gt;2500)),MAX(AV2, BP2)*AR2, IF(OR(AND(AN2="TN", AV2&lt;=2500), AND(AN2="TDN", AV2&lt;=2500)),MAX(AV2, BO2,BP2)*AR2, IF(OR(AND(AN2="TP",AV2&gt;500), AND(AN2="TDP", AV2&gt;500)),MAX(AV2,BP2)*AR2,IF(OR(AND(AN2="TP",AV2&lt;=150), AND(AN2="TDP", AV2&lt;=150)),MAX(AV2,BL2:BN2,BP2)*AR2,IF(OR(AND(AN2="TP",AV2&lt;=300), AND(AN2="TDP", AV2&lt;=300)),MAX(AV2,BM2,BN2,BP2)*AR2,IF(OR(AND(AN2="TP",AV2&lt;=500), AND(AN2="TDP", AV2&lt;=500)),MAX(AV2,BN2,BP2)*AR2,"")))))))</f>
        <v>150</v>
      </c>
      <c r="AY2" s="10" t="s">
        <v>970</v>
      </c>
      <c r="AZ2" s="45">
        <v>44930</v>
      </c>
      <c r="BA2">
        <f t="shared" ref="BA2" si="2">-8.4348*AT2^2+102.96*AT2-48.008</f>
        <v>149.88597891999999</v>
      </c>
      <c r="BB2" t="s">
        <v>1019</v>
      </c>
    </row>
    <row r="3" spans="1:56" x14ac:dyDescent="0.55000000000000004">
      <c r="A3" s="119">
        <v>44930</v>
      </c>
      <c r="B3" s="120">
        <v>0.375</v>
      </c>
      <c r="C3" s="121" t="s">
        <v>70</v>
      </c>
      <c r="D3" s="121" t="s">
        <v>71</v>
      </c>
      <c r="E3" s="121" t="s">
        <v>926</v>
      </c>
      <c r="F3" s="121">
        <v>1</v>
      </c>
      <c r="G3" s="121" t="s">
        <v>73</v>
      </c>
      <c r="H3" s="121" t="s">
        <v>74</v>
      </c>
      <c r="I3" s="121" t="s">
        <v>83</v>
      </c>
      <c r="J3" s="121">
        <v>190</v>
      </c>
      <c r="K3" s="122">
        <v>44930</v>
      </c>
      <c r="L3" s="120">
        <v>0.54309027777777774</v>
      </c>
      <c r="M3" s="121">
        <v>1</v>
      </c>
      <c r="N3" s="121" t="s">
        <v>84</v>
      </c>
      <c r="O3" s="121">
        <v>0.52900000000000003</v>
      </c>
      <c r="P3" s="121">
        <v>3.5799999999999998E-2</v>
      </c>
      <c r="Q3" s="121">
        <v>5</v>
      </c>
      <c r="R3" s="121" t="s">
        <v>85</v>
      </c>
      <c r="S3" s="123">
        <f t="shared" si="0"/>
        <v>5</v>
      </c>
      <c r="T3" s="10" t="s">
        <v>970</v>
      </c>
      <c r="U3" s="45">
        <v>44930</v>
      </c>
      <c r="V3">
        <f t="shared" ref="V3:V7" si="3">-8.4348*O3^2+102.96*O3-48.008</f>
        <v>4.0974371331999961</v>
      </c>
      <c r="W3" t="s">
        <v>1015</v>
      </c>
      <c r="AF3" s="124">
        <v>44937</v>
      </c>
      <c r="AG3" s="125">
        <v>0.375</v>
      </c>
      <c r="AH3" s="31" t="s">
        <v>70</v>
      </c>
      <c r="AI3" s="31" t="s">
        <v>71</v>
      </c>
      <c r="AJ3" s="31" t="s">
        <v>930</v>
      </c>
      <c r="AK3" s="31">
        <v>1</v>
      </c>
      <c r="AL3" s="31" t="s">
        <v>73</v>
      </c>
      <c r="AM3" s="31" t="s">
        <v>74</v>
      </c>
      <c r="AN3" s="31" t="s">
        <v>83</v>
      </c>
      <c r="AO3" s="31">
        <v>194</v>
      </c>
      <c r="AP3" s="126">
        <v>44937</v>
      </c>
      <c r="AQ3" s="125">
        <v>0.58664351851851848</v>
      </c>
      <c r="AR3" s="31">
        <v>1</v>
      </c>
      <c r="AS3" s="31" t="s">
        <v>84</v>
      </c>
      <c r="AT3" s="31">
        <v>2.35</v>
      </c>
      <c r="AU3" s="31">
        <v>0.16700000000000001</v>
      </c>
      <c r="AV3" s="31">
        <v>150</v>
      </c>
      <c r="AW3" s="31" t="s">
        <v>85</v>
      </c>
      <c r="AX3" s="34">
        <f t="shared" si="1"/>
        <v>150</v>
      </c>
      <c r="AY3" s="31" t="s">
        <v>1021</v>
      </c>
      <c r="AZ3" s="127">
        <v>44937</v>
      </c>
      <c r="BA3" s="128">
        <f t="shared" ref="BA3" si="4">-1.7779*AT3^2+83.185*AT3-35.938</f>
        <v>149.72829725000003</v>
      </c>
      <c r="BB3" s="128" t="s">
        <v>1039</v>
      </c>
      <c r="BC3" s="128"/>
      <c r="BD3" s="128"/>
    </row>
    <row r="4" spans="1:56" x14ac:dyDescent="0.55000000000000004">
      <c r="A4" s="119">
        <v>44930</v>
      </c>
      <c r="B4" s="120">
        <v>0.375</v>
      </c>
      <c r="C4" s="121" t="s">
        <v>70</v>
      </c>
      <c r="D4" s="121" t="s">
        <v>71</v>
      </c>
      <c r="E4" s="121" t="s">
        <v>927</v>
      </c>
      <c r="F4" s="121">
        <v>1</v>
      </c>
      <c r="G4" s="121" t="s">
        <v>73</v>
      </c>
      <c r="H4" s="121" t="s">
        <v>74</v>
      </c>
      <c r="I4" s="121" t="s">
        <v>83</v>
      </c>
      <c r="J4" s="121">
        <v>191</v>
      </c>
      <c r="K4" s="122">
        <v>44930</v>
      </c>
      <c r="L4" s="120">
        <v>0.54379629629629633</v>
      </c>
      <c r="M4" s="121">
        <v>1</v>
      </c>
      <c r="N4" s="121" t="s">
        <v>84</v>
      </c>
      <c r="O4" s="121">
        <v>0.64400000000000002</v>
      </c>
      <c r="P4" s="121">
        <v>4.41E-2</v>
      </c>
      <c r="Q4" s="121">
        <v>15</v>
      </c>
      <c r="R4" s="121" t="s">
        <v>85</v>
      </c>
      <c r="S4" s="123">
        <f t="shared" si="0"/>
        <v>15</v>
      </c>
      <c r="T4" s="10" t="s">
        <v>970</v>
      </c>
      <c r="U4" s="45">
        <v>44930</v>
      </c>
      <c r="V4">
        <f t="shared" si="3"/>
        <v>14.800024787200002</v>
      </c>
      <c r="W4" t="s">
        <v>1016</v>
      </c>
      <c r="AF4" s="119">
        <v>44950</v>
      </c>
      <c r="AG4" s="120">
        <v>0.375</v>
      </c>
      <c r="AH4" s="121" t="s">
        <v>70</v>
      </c>
      <c r="AI4" s="121" t="s">
        <v>71</v>
      </c>
      <c r="AJ4" s="121" t="s">
        <v>930</v>
      </c>
      <c r="AK4" s="121">
        <v>1</v>
      </c>
      <c r="AL4" s="121" t="s">
        <v>73</v>
      </c>
      <c r="AM4" s="121" t="s">
        <v>74</v>
      </c>
      <c r="AN4" s="121" t="s">
        <v>83</v>
      </c>
      <c r="AO4" s="121">
        <v>194</v>
      </c>
      <c r="AP4" s="122">
        <v>44950</v>
      </c>
      <c r="AQ4" s="120">
        <v>0.53326388888888887</v>
      </c>
      <c r="AR4" s="121">
        <v>1</v>
      </c>
      <c r="AS4" s="121" t="s">
        <v>84</v>
      </c>
      <c r="AT4" s="121">
        <v>2.37</v>
      </c>
      <c r="AU4" s="121">
        <v>0.16900000000000001</v>
      </c>
      <c r="AV4" s="121">
        <v>150</v>
      </c>
      <c r="AW4" s="121" t="s">
        <v>85</v>
      </c>
      <c r="AX4" s="123">
        <f t="shared" si="1"/>
        <v>150</v>
      </c>
      <c r="AY4" s="10" t="s">
        <v>1071</v>
      </c>
      <c r="AZ4" s="45">
        <v>44950</v>
      </c>
      <c r="BA4" s="129">
        <f t="shared" ref="BA4" si="5">-5.8068*AT4^2+97.248*AT4-48.038</f>
        <v>149.82354508000003</v>
      </c>
      <c r="BB4" s="129" t="s">
        <v>1091</v>
      </c>
    </row>
    <row r="5" spans="1:56" x14ac:dyDescent="0.55000000000000004">
      <c r="A5" s="119">
        <v>44930</v>
      </c>
      <c r="B5" s="120">
        <v>0.375</v>
      </c>
      <c r="C5" s="121" t="s">
        <v>70</v>
      </c>
      <c r="D5" s="121" t="s">
        <v>71</v>
      </c>
      <c r="E5" s="121" t="s">
        <v>928</v>
      </c>
      <c r="F5" s="121">
        <v>1</v>
      </c>
      <c r="G5" s="121" t="s">
        <v>73</v>
      </c>
      <c r="H5" s="121" t="s">
        <v>74</v>
      </c>
      <c r="I5" s="121" t="s">
        <v>83</v>
      </c>
      <c r="J5" s="121">
        <v>192</v>
      </c>
      <c r="K5" s="122">
        <v>44930</v>
      </c>
      <c r="L5" s="120">
        <v>0.54451388888888885</v>
      </c>
      <c r="M5" s="121">
        <v>1</v>
      </c>
      <c r="N5" s="121" t="s">
        <v>84</v>
      </c>
      <c r="O5" s="121">
        <v>0.68400000000000005</v>
      </c>
      <c r="P5" s="121">
        <v>4.6399999999999997E-2</v>
      </c>
      <c r="Q5" s="121">
        <v>20</v>
      </c>
      <c r="R5" s="121" t="s">
        <v>85</v>
      </c>
      <c r="S5" s="123">
        <f t="shared" si="0"/>
        <v>20</v>
      </c>
      <c r="T5" s="10" t="s">
        <v>970</v>
      </c>
      <c r="U5" s="45">
        <v>44930</v>
      </c>
      <c r="V5">
        <f t="shared" si="3"/>
        <v>18.47036821119999</v>
      </c>
      <c r="W5" t="s">
        <v>1017</v>
      </c>
      <c r="AF5" s="124">
        <v>44958</v>
      </c>
      <c r="AG5" s="125">
        <v>0.375</v>
      </c>
      <c r="AH5" s="31" t="s">
        <v>70</v>
      </c>
      <c r="AI5" s="31" t="s">
        <v>71</v>
      </c>
      <c r="AJ5" s="31" t="s">
        <v>930</v>
      </c>
      <c r="AK5" s="31">
        <v>1</v>
      </c>
      <c r="AL5" s="31" t="s">
        <v>73</v>
      </c>
      <c r="AM5" s="31" t="s">
        <v>74</v>
      </c>
      <c r="AN5" s="31" t="s">
        <v>83</v>
      </c>
      <c r="AO5" s="31">
        <v>194</v>
      </c>
      <c r="AP5" s="126">
        <v>44958</v>
      </c>
      <c r="AQ5" s="125">
        <v>0.57947916666666666</v>
      </c>
      <c r="AR5" s="31">
        <v>1</v>
      </c>
      <c r="AS5" s="31" t="s">
        <v>84</v>
      </c>
      <c r="AT5" s="31">
        <v>2.4900000000000002</v>
      </c>
      <c r="AU5" s="31">
        <v>0.17299999999999999</v>
      </c>
      <c r="AV5" s="31">
        <v>150</v>
      </c>
      <c r="AW5" s="31" t="s">
        <v>85</v>
      </c>
      <c r="AX5" s="34">
        <f t="shared" si="1"/>
        <v>150</v>
      </c>
      <c r="AY5" s="31" t="s">
        <v>1126</v>
      </c>
      <c r="AZ5" s="127">
        <v>44958</v>
      </c>
      <c r="BA5" s="128">
        <f t="shared" ref="BA5" si="6">-20.903*AT5^2+141.62*AT5-73.036</f>
        <v>149.99710970000007</v>
      </c>
      <c r="BB5" s="128" t="s">
        <v>1142</v>
      </c>
    </row>
    <row r="6" spans="1:56" x14ac:dyDescent="0.55000000000000004">
      <c r="A6" s="119">
        <v>44930</v>
      </c>
      <c r="B6" s="120">
        <v>0.375</v>
      </c>
      <c r="C6" s="121" t="s">
        <v>70</v>
      </c>
      <c r="D6" s="121" t="s">
        <v>71</v>
      </c>
      <c r="E6" s="121" t="s">
        <v>929</v>
      </c>
      <c r="F6" s="121">
        <v>1</v>
      </c>
      <c r="G6" s="121" t="s">
        <v>73</v>
      </c>
      <c r="H6" s="121" t="s">
        <v>74</v>
      </c>
      <c r="I6" s="121" t="s">
        <v>83</v>
      </c>
      <c r="J6" s="121">
        <v>193</v>
      </c>
      <c r="K6" s="122">
        <v>44930</v>
      </c>
      <c r="L6" s="120">
        <v>0.54520833333333341</v>
      </c>
      <c r="M6" s="121">
        <v>1</v>
      </c>
      <c r="N6" s="121" t="s">
        <v>84</v>
      </c>
      <c r="O6" s="121">
        <v>1.35</v>
      </c>
      <c r="P6" s="121">
        <v>9.4100000000000003E-2</v>
      </c>
      <c r="Q6" s="121">
        <v>75</v>
      </c>
      <c r="R6" s="121" t="s">
        <v>85</v>
      </c>
      <c r="S6" s="123">
        <f t="shared" si="0"/>
        <v>75</v>
      </c>
      <c r="T6" s="10" t="s">
        <v>970</v>
      </c>
      <c r="U6" s="45">
        <v>44930</v>
      </c>
      <c r="V6">
        <f t="shared" si="3"/>
        <v>75.615577000000002</v>
      </c>
      <c r="W6" t="s">
        <v>1018</v>
      </c>
      <c r="AF6" s="32">
        <v>44966</v>
      </c>
      <c r="AG6" s="33">
        <v>0.375</v>
      </c>
      <c r="AH6" s="10" t="s">
        <v>70</v>
      </c>
      <c r="AI6" s="10" t="s">
        <v>71</v>
      </c>
      <c r="AJ6" s="10" t="s">
        <v>930</v>
      </c>
      <c r="AK6" s="10">
        <v>1</v>
      </c>
      <c r="AL6" s="10" t="s">
        <v>73</v>
      </c>
      <c r="AM6" s="10" t="s">
        <v>74</v>
      </c>
      <c r="AN6" s="10" t="s">
        <v>83</v>
      </c>
      <c r="AO6" s="10">
        <v>194</v>
      </c>
      <c r="AP6" s="12">
        <v>44966</v>
      </c>
      <c r="AQ6" s="33">
        <v>0.55744212962962958</v>
      </c>
      <c r="AR6" s="10">
        <v>1</v>
      </c>
      <c r="AS6" s="10" t="s">
        <v>84</v>
      </c>
      <c r="AT6" s="10">
        <v>2.35</v>
      </c>
      <c r="AU6" s="10">
        <v>0.16600000000000001</v>
      </c>
      <c r="AV6" s="10">
        <v>150</v>
      </c>
      <c r="AW6" s="10" t="s">
        <v>85</v>
      </c>
      <c r="AX6" s="123">
        <f t="shared" si="1"/>
        <v>150</v>
      </c>
      <c r="AY6" s="10" t="s">
        <v>1188</v>
      </c>
      <c r="AZ6" s="45">
        <v>44966</v>
      </c>
      <c r="BA6" s="129">
        <f t="shared" ref="BA6" si="7">-11.204*AT6^2+113.68*AT6-55.283</f>
        <v>149.99090999999999</v>
      </c>
      <c r="BB6" s="129" t="s">
        <v>1204</v>
      </c>
    </row>
    <row r="7" spans="1:56" x14ac:dyDescent="0.55000000000000004">
      <c r="A7" s="119">
        <v>44930</v>
      </c>
      <c r="B7" s="120">
        <v>0.375</v>
      </c>
      <c r="C7" s="121" t="s">
        <v>70</v>
      </c>
      <c r="D7" s="121" t="s">
        <v>71</v>
      </c>
      <c r="E7" s="121" t="s">
        <v>930</v>
      </c>
      <c r="F7" s="121">
        <v>1</v>
      </c>
      <c r="G7" s="121" t="s">
        <v>73</v>
      </c>
      <c r="H7" s="121" t="s">
        <v>74</v>
      </c>
      <c r="I7" s="121" t="s">
        <v>83</v>
      </c>
      <c r="J7" s="121">
        <v>194</v>
      </c>
      <c r="K7" s="122">
        <v>44930</v>
      </c>
      <c r="L7" s="120">
        <v>0.54592592592592593</v>
      </c>
      <c r="M7" s="121">
        <v>1</v>
      </c>
      <c r="N7" s="121" t="s">
        <v>84</v>
      </c>
      <c r="O7" s="121">
        <v>2.39</v>
      </c>
      <c r="P7" s="121">
        <v>0.16900000000000001</v>
      </c>
      <c r="Q7" s="121">
        <v>150</v>
      </c>
      <c r="R7" s="121" t="s">
        <v>85</v>
      </c>
      <c r="S7" s="123">
        <f t="shared" si="0"/>
        <v>150</v>
      </c>
      <c r="T7" s="10" t="s">
        <v>970</v>
      </c>
      <c r="U7" s="45">
        <v>44930</v>
      </c>
      <c r="V7">
        <f t="shared" si="3"/>
        <v>149.88597891999999</v>
      </c>
      <c r="W7" t="s">
        <v>1019</v>
      </c>
      <c r="AF7" s="124">
        <v>44972</v>
      </c>
      <c r="AG7" s="125">
        <v>0.375</v>
      </c>
      <c r="AH7" s="31" t="s">
        <v>70</v>
      </c>
      <c r="AI7" s="31" t="s">
        <v>71</v>
      </c>
      <c r="AJ7" s="31" t="s">
        <v>930</v>
      </c>
      <c r="AK7" s="31">
        <v>1</v>
      </c>
      <c r="AL7" s="31" t="s">
        <v>73</v>
      </c>
      <c r="AM7" s="31" t="s">
        <v>74</v>
      </c>
      <c r="AN7" s="31" t="s">
        <v>83</v>
      </c>
      <c r="AO7" s="31">
        <v>194</v>
      </c>
      <c r="AP7" s="126">
        <v>44972</v>
      </c>
      <c r="AQ7" s="125">
        <v>0.55324074074074081</v>
      </c>
      <c r="AR7" s="31">
        <v>1</v>
      </c>
      <c r="AS7" s="31" t="s">
        <v>84</v>
      </c>
      <c r="AT7" s="31">
        <v>2.34</v>
      </c>
      <c r="AU7" s="31">
        <v>0.16700000000000001</v>
      </c>
      <c r="AV7" s="31">
        <v>150</v>
      </c>
      <c r="AW7" s="31" t="s">
        <v>85</v>
      </c>
      <c r="AX7" s="34">
        <f t="shared" si="1"/>
        <v>150</v>
      </c>
      <c r="AY7" s="128" t="s">
        <v>1232</v>
      </c>
      <c r="AZ7" s="127">
        <v>44972</v>
      </c>
      <c r="BA7" s="128">
        <f t="shared" ref="BA7" si="8">-8.1564*AT7^2+103.56*AT7-47.896</f>
        <v>149.77321616</v>
      </c>
      <c r="BB7" s="128" t="s">
        <v>1250</v>
      </c>
    </row>
    <row r="8" spans="1:56" x14ac:dyDescent="0.55000000000000004">
      <c r="A8" s="124">
        <v>44937</v>
      </c>
      <c r="B8" s="125">
        <v>0.375</v>
      </c>
      <c r="C8" s="31" t="s">
        <v>70</v>
      </c>
      <c r="D8" s="31" t="s">
        <v>71</v>
      </c>
      <c r="E8" s="31" t="s">
        <v>925</v>
      </c>
      <c r="F8" s="31">
        <v>1</v>
      </c>
      <c r="G8" s="31" t="s">
        <v>73</v>
      </c>
      <c r="H8" s="31" t="s">
        <v>74</v>
      </c>
      <c r="I8" s="31" t="s">
        <v>83</v>
      </c>
      <c r="J8" s="31">
        <v>189</v>
      </c>
      <c r="K8" s="126">
        <v>44937</v>
      </c>
      <c r="L8" s="125">
        <v>0.58310185185185182</v>
      </c>
      <c r="M8" s="31">
        <v>1</v>
      </c>
      <c r="N8" s="31" t="s">
        <v>84</v>
      </c>
      <c r="O8" s="31">
        <v>0.46899999999999997</v>
      </c>
      <c r="P8" s="31">
        <v>3.1899999999999998E-2</v>
      </c>
      <c r="Q8" s="31">
        <v>0</v>
      </c>
      <c r="R8" s="31" t="s">
        <v>85</v>
      </c>
      <c r="S8" s="34">
        <f t="shared" si="0"/>
        <v>0</v>
      </c>
      <c r="T8" s="31" t="s">
        <v>1021</v>
      </c>
      <c r="U8" s="127">
        <v>44937</v>
      </c>
      <c r="V8" s="128">
        <f>-1.7779*O8^2+83.185*O8-35.938</f>
        <v>2.6846963380999966</v>
      </c>
      <c r="W8" s="128" t="s">
        <v>1039</v>
      </c>
      <c r="X8" s="128"/>
      <c r="Y8" s="128"/>
      <c r="AF8" s="32">
        <v>44979</v>
      </c>
      <c r="AG8" s="33">
        <v>0.375</v>
      </c>
      <c r="AH8" s="10" t="s">
        <v>70</v>
      </c>
      <c r="AI8" s="10" t="s">
        <v>71</v>
      </c>
      <c r="AJ8" s="10" t="s">
        <v>930</v>
      </c>
      <c r="AK8" s="10">
        <v>1</v>
      </c>
      <c r="AL8" s="10" t="s">
        <v>73</v>
      </c>
      <c r="AM8" s="10" t="s">
        <v>74</v>
      </c>
      <c r="AN8" s="10" t="s">
        <v>83</v>
      </c>
      <c r="AO8" s="10">
        <v>194</v>
      </c>
      <c r="AP8" s="12">
        <v>44980</v>
      </c>
      <c r="AQ8" s="33">
        <v>0.42717592592592596</v>
      </c>
      <c r="AR8" s="10">
        <v>1</v>
      </c>
      <c r="AS8" s="10" t="s">
        <v>84</v>
      </c>
      <c r="AT8" s="10">
        <v>2.13</v>
      </c>
      <c r="AU8" s="10">
        <v>0.152</v>
      </c>
      <c r="AV8" s="10">
        <v>150</v>
      </c>
      <c r="AW8" s="10" t="s">
        <v>85</v>
      </c>
      <c r="AX8" s="123">
        <f t="shared" si="1"/>
        <v>150</v>
      </c>
      <c r="AY8" s="10" t="s">
        <v>1285</v>
      </c>
      <c r="AZ8" s="45">
        <v>44980</v>
      </c>
      <c r="BA8" s="129">
        <f t="shared" ref="BA8" si="9">-7.042*AT8^2+106.99*AT8-46.227</f>
        <v>149.71285019999996</v>
      </c>
      <c r="BB8" s="129" t="s">
        <v>1303</v>
      </c>
    </row>
    <row r="9" spans="1:56" x14ac:dyDescent="0.55000000000000004">
      <c r="A9" s="124">
        <v>44937</v>
      </c>
      <c r="B9" s="125">
        <v>0.375</v>
      </c>
      <c r="C9" s="31" t="s">
        <v>70</v>
      </c>
      <c r="D9" s="31" t="s">
        <v>71</v>
      </c>
      <c r="E9" s="31" t="s">
        <v>926</v>
      </c>
      <c r="F9" s="31">
        <v>1</v>
      </c>
      <c r="G9" s="31" t="s">
        <v>73</v>
      </c>
      <c r="H9" s="31" t="s">
        <v>74</v>
      </c>
      <c r="I9" s="31" t="s">
        <v>83</v>
      </c>
      <c r="J9" s="31">
        <v>190</v>
      </c>
      <c r="K9" s="126">
        <v>44937</v>
      </c>
      <c r="L9" s="125">
        <v>0.5838078703703703</v>
      </c>
      <c r="M9" s="31">
        <v>1</v>
      </c>
      <c r="N9" s="31" t="s">
        <v>84</v>
      </c>
      <c r="O9" s="31">
        <v>0.50800000000000001</v>
      </c>
      <c r="P9" s="31">
        <v>3.49E-2</v>
      </c>
      <c r="Q9" s="31">
        <v>5</v>
      </c>
      <c r="R9" s="31" t="s">
        <v>85</v>
      </c>
      <c r="S9" s="34">
        <f t="shared" si="0"/>
        <v>5</v>
      </c>
      <c r="T9" s="31" t="s">
        <v>1021</v>
      </c>
      <c r="U9" s="127">
        <v>44937</v>
      </c>
      <c r="V9" s="128">
        <f t="shared" ref="V9:V13" si="10">-1.7779*O9^2+83.185*O9-35.938</f>
        <v>5.8611680144000005</v>
      </c>
      <c r="W9" s="128" t="s">
        <v>1039</v>
      </c>
      <c r="X9" s="128"/>
      <c r="Y9" s="128"/>
    </row>
    <row r="10" spans="1:56" x14ac:dyDescent="0.55000000000000004">
      <c r="A10" s="124">
        <v>44937</v>
      </c>
      <c r="B10" s="125">
        <v>0.375</v>
      </c>
      <c r="C10" s="31" t="s">
        <v>70</v>
      </c>
      <c r="D10" s="31" t="s">
        <v>71</v>
      </c>
      <c r="E10" s="31" t="s">
        <v>927</v>
      </c>
      <c r="F10" s="31">
        <v>1</v>
      </c>
      <c r="G10" s="31" t="s">
        <v>73</v>
      </c>
      <c r="H10" s="31" t="s">
        <v>74</v>
      </c>
      <c r="I10" s="31" t="s">
        <v>83</v>
      </c>
      <c r="J10" s="31">
        <v>191</v>
      </c>
      <c r="K10" s="126">
        <v>44937</v>
      </c>
      <c r="L10" s="125">
        <v>0.58451388888888889</v>
      </c>
      <c r="M10" s="31">
        <v>1</v>
      </c>
      <c r="N10" s="31" t="s">
        <v>84</v>
      </c>
      <c r="O10" s="31">
        <v>0.58899999999999997</v>
      </c>
      <c r="P10" s="31">
        <v>4.0800000000000003E-2</v>
      </c>
      <c r="Q10" s="31">
        <v>15</v>
      </c>
      <c r="R10" s="31" t="s">
        <v>85</v>
      </c>
      <c r="S10" s="34">
        <f t="shared" si="0"/>
        <v>15</v>
      </c>
      <c r="T10" s="31" t="s">
        <v>1021</v>
      </c>
      <c r="U10" s="127">
        <v>44937</v>
      </c>
      <c r="V10" s="128">
        <f t="shared" si="10"/>
        <v>12.441174154099997</v>
      </c>
      <c r="W10" s="128" t="s">
        <v>1039</v>
      </c>
      <c r="X10" s="128"/>
      <c r="Y10" s="128"/>
    </row>
    <row r="11" spans="1:56" x14ac:dyDescent="0.55000000000000004">
      <c r="A11" s="124">
        <v>44937</v>
      </c>
      <c r="B11" s="125">
        <v>0.375</v>
      </c>
      <c r="C11" s="31" t="s">
        <v>70</v>
      </c>
      <c r="D11" s="31" t="s">
        <v>71</v>
      </c>
      <c r="E11" s="31" t="s">
        <v>928</v>
      </c>
      <c r="F11" s="31">
        <v>1</v>
      </c>
      <c r="G11" s="31" t="s">
        <v>73</v>
      </c>
      <c r="H11" s="31" t="s">
        <v>74</v>
      </c>
      <c r="I11" s="31" t="s">
        <v>83</v>
      </c>
      <c r="J11" s="31">
        <v>192</v>
      </c>
      <c r="K11" s="126">
        <v>44937</v>
      </c>
      <c r="L11" s="125">
        <v>0.58523148148148152</v>
      </c>
      <c r="M11" s="31">
        <v>1</v>
      </c>
      <c r="N11" s="31" t="s">
        <v>84</v>
      </c>
      <c r="O11" s="31">
        <v>0.65800000000000003</v>
      </c>
      <c r="P11" s="31">
        <v>4.5400000000000003E-2</v>
      </c>
      <c r="Q11" s="31">
        <v>20</v>
      </c>
      <c r="R11" s="31" t="s">
        <v>85</v>
      </c>
      <c r="S11" s="34">
        <f t="shared" si="0"/>
        <v>20</v>
      </c>
      <c r="T11" s="31" t="s">
        <v>1021</v>
      </c>
      <c r="U11" s="127">
        <v>44937</v>
      </c>
      <c r="V11" s="128">
        <f t="shared" si="10"/>
        <v>18.027963304400004</v>
      </c>
      <c r="W11" s="128" t="s">
        <v>1039</v>
      </c>
      <c r="X11" s="128"/>
      <c r="Y11" s="128"/>
    </row>
    <row r="12" spans="1:56" x14ac:dyDescent="0.55000000000000004">
      <c r="A12" s="124">
        <v>44937</v>
      </c>
      <c r="B12" s="125">
        <v>0.375</v>
      </c>
      <c r="C12" s="31" t="s">
        <v>70</v>
      </c>
      <c r="D12" s="31" t="s">
        <v>71</v>
      </c>
      <c r="E12" s="31" t="s">
        <v>929</v>
      </c>
      <c r="F12" s="31">
        <v>1</v>
      </c>
      <c r="G12" s="31" t="s">
        <v>73</v>
      </c>
      <c r="H12" s="31" t="s">
        <v>74</v>
      </c>
      <c r="I12" s="31" t="s">
        <v>83</v>
      </c>
      <c r="J12" s="31">
        <v>193</v>
      </c>
      <c r="K12" s="126">
        <v>44937</v>
      </c>
      <c r="L12" s="125">
        <v>0.5859375</v>
      </c>
      <c r="M12" s="31">
        <v>1</v>
      </c>
      <c r="N12" s="31" t="s">
        <v>84</v>
      </c>
      <c r="O12" s="31">
        <v>1.39</v>
      </c>
      <c r="P12" s="31">
        <v>9.69E-2</v>
      </c>
      <c r="Q12" s="31">
        <v>75</v>
      </c>
      <c r="R12" s="31" t="s">
        <v>85</v>
      </c>
      <c r="S12" s="34">
        <f t="shared" si="0"/>
        <v>75</v>
      </c>
      <c r="T12" s="31" t="s">
        <v>1021</v>
      </c>
      <c r="U12" s="127">
        <v>44937</v>
      </c>
      <c r="V12" s="128">
        <f t="shared" si="10"/>
        <v>76.25406941</v>
      </c>
      <c r="W12" s="128" t="s">
        <v>1039</v>
      </c>
      <c r="X12" s="128"/>
      <c r="Y12" s="128"/>
    </row>
    <row r="13" spans="1:56" x14ac:dyDescent="0.55000000000000004">
      <c r="A13" s="124">
        <v>44937</v>
      </c>
      <c r="B13" s="125">
        <v>0.375</v>
      </c>
      <c r="C13" s="31" t="s">
        <v>70</v>
      </c>
      <c r="D13" s="31" t="s">
        <v>71</v>
      </c>
      <c r="E13" s="31" t="s">
        <v>930</v>
      </c>
      <c r="F13" s="31">
        <v>1</v>
      </c>
      <c r="G13" s="31" t="s">
        <v>73</v>
      </c>
      <c r="H13" s="31" t="s">
        <v>74</v>
      </c>
      <c r="I13" s="31" t="s">
        <v>83</v>
      </c>
      <c r="J13" s="31">
        <v>194</v>
      </c>
      <c r="K13" s="126">
        <v>44937</v>
      </c>
      <c r="L13" s="125">
        <v>0.58664351851851848</v>
      </c>
      <c r="M13" s="31">
        <v>1</v>
      </c>
      <c r="N13" s="31" t="s">
        <v>84</v>
      </c>
      <c r="O13" s="31">
        <v>2.35</v>
      </c>
      <c r="P13" s="31">
        <v>0.16700000000000001</v>
      </c>
      <c r="Q13" s="31">
        <v>150</v>
      </c>
      <c r="R13" s="31" t="s">
        <v>85</v>
      </c>
      <c r="S13" s="34">
        <f t="shared" si="0"/>
        <v>150</v>
      </c>
      <c r="T13" s="31" t="s">
        <v>1021</v>
      </c>
      <c r="U13" s="127">
        <v>44937</v>
      </c>
      <c r="V13" s="128">
        <f t="shared" si="10"/>
        <v>149.72829725000003</v>
      </c>
      <c r="W13" s="128" t="s">
        <v>1039</v>
      </c>
      <c r="X13" s="128"/>
      <c r="Y13" s="128"/>
    </row>
    <row r="14" spans="1:56" x14ac:dyDescent="0.55000000000000004">
      <c r="A14" s="119">
        <v>44950</v>
      </c>
      <c r="B14" s="120">
        <v>0.375</v>
      </c>
      <c r="C14" s="121" t="s">
        <v>70</v>
      </c>
      <c r="D14" s="121" t="s">
        <v>71</v>
      </c>
      <c r="E14" s="121" t="s">
        <v>925</v>
      </c>
      <c r="F14" s="121">
        <v>1</v>
      </c>
      <c r="G14" s="121" t="s">
        <v>73</v>
      </c>
      <c r="H14" s="121" t="s">
        <v>74</v>
      </c>
      <c r="I14" s="121" t="s">
        <v>83</v>
      </c>
      <c r="J14" s="121">
        <v>189</v>
      </c>
      <c r="K14" s="122">
        <v>44950</v>
      </c>
      <c r="L14" s="120">
        <v>0.52972222222222221</v>
      </c>
      <c r="M14" s="121">
        <v>1</v>
      </c>
      <c r="N14" s="121" t="s">
        <v>84</v>
      </c>
      <c r="O14" s="121">
        <v>0.55200000000000005</v>
      </c>
      <c r="P14" s="121">
        <v>3.6799999999999999E-2</v>
      </c>
      <c r="Q14" s="121">
        <v>0</v>
      </c>
      <c r="R14" s="121" t="s">
        <v>85</v>
      </c>
      <c r="S14" s="123">
        <f t="shared" si="0"/>
        <v>0</v>
      </c>
      <c r="T14" s="10" t="s">
        <v>1071</v>
      </c>
      <c r="U14" s="45">
        <v>44950</v>
      </c>
      <c r="V14" s="129">
        <f>-5.8068*O14^2+97.248*O14-48.038</f>
        <v>3.8735408128000088</v>
      </c>
      <c r="W14" s="129" t="s">
        <v>1091</v>
      </c>
    </row>
    <row r="15" spans="1:56" x14ac:dyDescent="0.55000000000000004">
      <c r="A15" s="119">
        <v>44950</v>
      </c>
      <c r="B15" s="120">
        <v>0.375</v>
      </c>
      <c r="C15" s="121" t="s">
        <v>70</v>
      </c>
      <c r="D15" s="121" t="s">
        <v>71</v>
      </c>
      <c r="E15" s="121" t="s">
        <v>926</v>
      </c>
      <c r="F15" s="121">
        <v>1</v>
      </c>
      <c r="G15" s="121" t="s">
        <v>73</v>
      </c>
      <c r="H15" s="121" t="s">
        <v>74</v>
      </c>
      <c r="I15" s="121" t="s">
        <v>83</v>
      </c>
      <c r="J15" s="121">
        <v>190</v>
      </c>
      <c r="K15" s="122">
        <v>44950</v>
      </c>
      <c r="L15" s="120">
        <v>0.53043981481481484</v>
      </c>
      <c r="M15" s="121">
        <v>1</v>
      </c>
      <c r="N15" s="121" t="s">
        <v>84</v>
      </c>
      <c r="O15" s="121">
        <v>0.55400000000000005</v>
      </c>
      <c r="P15" s="121">
        <v>3.7199999999999997E-2</v>
      </c>
      <c r="Q15" s="121">
        <v>5</v>
      </c>
      <c r="R15" s="121" t="s">
        <v>85</v>
      </c>
      <c r="S15" s="123">
        <f t="shared" si="0"/>
        <v>5</v>
      </c>
      <c r="T15" s="10" t="s">
        <v>1071</v>
      </c>
      <c r="U15" s="45">
        <v>44950</v>
      </c>
      <c r="V15" s="129">
        <f t="shared" ref="V15:V19" si="11">-5.8068*O15^2+97.248*O15-48.038</f>
        <v>4.0551921712000052</v>
      </c>
      <c r="W15" s="129" t="s">
        <v>1091</v>
      </c>
    </row>
    <row r="16" spans="1:56" x14ac:dyDescent="0.55000000000000004">
      <c r="A16" s="119">
        <v>44950</v>
      </c>
      <c r="B16" s="120">
        <v>0.375</v>
      </c>
      <c r="C16" s="121" t="s">
        <v>70</v>
      </c>
      <c r="D16" s="121" t="s">
        <v>71</v>
      </c>
      <c r="E16" s="121" t="s">
        <v>927</v>
      </c>
      <c r="F16" s="121">
        <v>1</v>
      </c>
      <c r="G16" s="121" t="s">
        <v>73</v>
      </c>
      <c r="H16" s="121" t="s">
        <v>74</v>
      </c>
      <c r="I16" s="121" t="s">
        <v>83</v>
      </c>
      <c r="J16" s="121">
        <v>191</v>
      </c>
      <c r="K16" s="122">
        <v>44950</v>
      </c>
      <c r="L16" s="120">
        <v>0.53113425925925928</v>
      </c>
      <c r="M16" s="121">
        <v>1</v>
      </c>
      <c r="N16" s="121" t="s">
        <v>84</v>
      </c>
      <c r="O16" s="121">
        <v>0.64900000000000002</v>
      </c>
      <c r="P16" s="121">
        <v>4.3400000000000001E-2</v>
      </c>
      <c r="Q16" s="121">
        <v>15</v>
      </c>
      <c r="R16" s="121" t="s">
        <v>85</v>
      </c>
      <c r="S16" s="123">
        <f t="shared" si="0"/>
        <v>15</v>
      </c>
      <c r="T16" s="10" t="s">
        <v>1071</v>
      </c>
      <c r="U16" s="45">
        <v>44950</v>
      </c>
      <c r="V16" s="129">
        <f t="shared" si="11"/>
        <v>12.63012203320001</v>
      </c>
      <c r="W16" s="129" t="s">
        <v>1091</v>
      </c>
    </row>
    <row r="17" spans="1:25" x14ac:dyDescent="0.55000000000000004">
      <c r="A17" s="119">
        <v>44950</v>
      </c>
      <c r="B17" s="120">
        <v>0.375</v>
      </c>
      <c r="C17" s="121" t="s">
        <v>70</v>
      </c>
      <c r="D17" s="121" t="s">
        <v>71</v>
      </c>
      <c r="E17" s="121" t="s">
        <v>928</v>
      </c>
      <c r="F17" s="121">
        <v>1</v>
      </c>
      <c r="G17" s="121" t="s">
        <v>73</v>
      </c>
      <c r="H17" s="121" t="s">
        <v>74</v>
      </c>
      <c r="I17" s="121" t="s">
        <v>83</v>
      </c>
      <c r="J17" s="121">
        <v>192</v>
      </c>
      <c r="K17" s="122">
        <v>44950</v>
      </c>
      <c r="L17" s="120">
        <v>0.53185185185185191</v>
      </c>
      <c r="M17" s="121">
        <v>1</v>
      </c>
      <c r="N17" s="121" t="s">
        <v>84</v>
      </c>
      <c r="O17" s="121">
        <v>0.71699999999999997</v>
      </c>
      <c r="P17" s="121">
        <v>4.8500000000000001E-2</v>
      </c>
      <c r="Q17" s="121">
        <v>20</v>
      </c>
      <c r="R17" s="121" t="s">
        <v>85</v>
      </c>
      <c r="S17" s="123">
        <f t="shared" si="0"/>
        <v>20</v>
      </c>
      <c r="T17" s="10" t="s">
        <v>1071</v>
      </c>
      <c r="U17" s="45">
        <v>44950</v>
      </c>
      <c r="V17" s="129">
        <f t="shared" si="11"/>
        <v>18.703603994800005</v>
      </c>
      <c r="W17" s="129" t="s">
        <v>1091</v>
      </c>
    </row>
    <row r="18" spans="1:25" x14ac:dyDescent="0.55000000000000004">
      <c r="A18" s="119">
        <v>44950</v>
      </c>
      <c r="B18" s="120">
        <v>0.375</v>
      </c>
      <c r="C18" s="121" t="s">
        <v>70</v>
      </c>
      <c r="D18" s="121" t="s">
        <v>71</v>
      </c>
      <c r="E18" s="121" t="s">
        <v>929</v>
      </c>
      <c r="F18" s="121">
        <v>1</v>
      </c>
      <c r="G18" s="121" t="s">
        <v>73</v>
      </c>
      <c r="H18" s="121" t="s">
        <v>74</v>
      </c>
      <c r="I18" s="121" t="s">
        <v>83</v>
      </c>
      <c r="J18" s="121">
        <v>193</v>
      </c>
      <c r="K18" s="122">
        <v>44950</v>
      </c>
      <c r="L18" s="120">
        <v>0.53254629629629624</v>
      </c>
      <c r="M18" s="121">
        <v>1</v>
      </c>
      <c r="N18" s="121" t="s">
        <v>84</v>
      </c>
      <c r="O18" s="121">
        <v>1.39</v>
      </c>
      <c r="P18" s="121">
        <v>9.6100000000000005E-2</v>
      </c>
      <c r="Q18" s="121">
        <v>75</v>
      </c>
      <c r="R18" s="121" t="s">
        <v>85</v>
      </c>
      <c r="S18" s="123">
        <f t="shared" si="0"/>
        <v>75</v>
      </c>
      <c r="T18" s="10" t="s">
        <v>1071</v>
      </c>
      <c r="U18" s="45">
        <v>44950</v>
      </c>
      <c r="V18" s="129">
        <f t="shared" si="11"/>
        <v>75.917401720000015</v>
      </c>
      <c r="W18" s="129" t="s">
        <v>1091</v>
      </c>
    </row>
    <row r="19" spans="1:25" x14ac:dyDescent="0.55000000000000004">
      <c r="A19" s="119">
        <v>44950</v>
      </c>
      <c r="B19" s="120">
        <v>0.375</v>
      </c>
      <c r="C19" s="121" t="s">
        <v>70</v>
      </c>
      <c r="D19" s="121" t="s">
        <v>71</v>
      </c>
      <c r="E19" s="121" t="s">
        <v>930</v>
      </c>
      <c r="F19" s="121">
        <v>1</v>
      </c>
      <c r="G19" s="121" t="s">
        <v>73</v>
      </c>
      <c r="H19" s="121" t="s">
        <v>74</v>
      </c>
      <c r="I19" s="121" t="s">
        <v>83</v>
      </c>
      <c r="J19" s="121">
        <v>194</v>
      </c>
      <c r="K19" s="122">
        <v>44950</v>
      </c>
      <c r="L19" s="120">
        <v>0.53326388888888887</v>
      </c>
      <c r="M19" s="121">
        <v>1</v>
      </c>
      <c r="N19" s="121" t="s">
        <v>84</v>
      </c>
      <c r="O19" s="121">
        <v>2.37</v>
      </c>
      <c r="P19" s="121">
        <v>0.16900000000000001</v>
      </c>
      <c r="Q19" s="121">
        <v>150</v>
      </c>
      <c r="R19" s="121" t="s">
        <v>85</v>
      </c>
      <c r="S19" s="123">
        <f t="shared" si="0"/>
        <v>150</v>
      </c>
      <c r="T19" s="10" t="s">
        <v>1071</v>
      </c>
      <c r="U19" s="45">
        <v>44950</v>
      </c>
      <c r="V19" s="129">
        <f t="shared" si="11"/>
        <v>149.82354508000003</v>
      </c>
      <c r="W19" s="129" t="s">
        <v>1091</v>
      </c>
    </row>
    <row r="20" spans="1:25" x14ac:dyDescent="0.55000000000000004">
      <c r="A20" s="124">
        <v>44958</v>
      </c>
      <c r="B20" s="125">
        <v>0.375</v>
      </c>
      <c r="C20" s="31" t="s">
        <v>70</v>
      </c>
      <c r="D20" s="31" t="s">
        <v>71</v>
      </c>
      <c r="E20" s="31" t="s">
        <v>925</v>
      </c>
      <c r="F20" s="31">
        <v>1</v>
      </c>
      <c r="G20" s="31" t="s">
        <v>73</v>
      </c>
      <c r="H20" s="31" t="s">
        <v>74</v>
      </c>
      <c r="I20" s="31" t="s">
        <v>83</v>
      </c>
      <c r="J20" s="31">
        <v>189</v>
      </c>
      <c r="K20" s="126">
        <v>44958</v>
      </c>
      <c r="L20" s="125">
        <v>0.57594907407407414</v>
      </c>
      <c r="M20" s="31">
        <v>1</v>
      </c>
      <c r="N20" s="31" t="s">
        <v>84</v>
      </c>
      <c r="O20" s="31">
        <v>0.57399999999999995</v>
      </c>
      <c r="P20" s="31">
        <v>3.7699999999999997E-2</v>
      </c>
      <c r="Q20" s="31">
        <v>0</v>
      </c>
      <c r="R20" s="31" t="s">
        <v>85</v>
      </c>
      <c r="S20" s="34">
        <f t="shared" si="0"/>
        <v>0</v>
      </c>
      <c r="T20" s="31" t="s">
        <v>1126</v>
      </c>
      <c r="U20" s="127">
        <v>44958</v>
      </c>
      <c r="V20" s="128">
        <f>-20.903*O20^2+141.62*O20-73.036</f>
        <v>1.3668431720000029</v>
      </c>
      <c r="W20" s="128" t="s">
        <v>1142</v>
      </c>
      <c r="X20" s="128"/>
      <c r="Y20" s="128"/>
    </row>
    <row r="21" spans="1:25" x14ac:dyDescent="0.55000000000000004">
      <c r="A21" s="124">
        <v>44958</v>
      </c>
      <c r="B21" s="125">
        <v>0.375</v>
      </c>
      <c r="C21" s="31" t="s">
        <v>70</v>
      </c>
      <c r="D21" s="31" t="s">
        <v>71</v>
      </c>
      <c r="E21" s="31" t="s">
        <v>926</v>
      </c>
      <c r="F21" s="31">
        <v>1</v>
      </c>
      <c r="G21" s="31" t="s">
        <v>73</v>
      </c>
      <c r="H21" s="31" t="s">
        <v>74</v>
      </c>
      <c r="I21" s="31" t="s">
        <v>83</v>
      </c>
      <c r="J21" s="31">
        <v>190</v>
      </c>
      <c r="K21" s="126">
        <v>44958</v>
      </c>
      <c r="L21" s="125">
        <v>0.57665509259259262</v>
      </c>
      <c r="M21" s="31">
        <v>1</v>
      </c>
      <c r="N21" s="31" t="s">
        <v>84</v>
      </c>
      <c r="O21" s="31">
        <v>0.59699999999999998</v>
      </c>
      <c r="P21" s="31">
        <v>3.8899999999999997E-2</v>
      </c>
      <c r="Q21" s="31">
        <v>5</v>
      </c>
      <c r="R21" s="31" t="s">
        <v>85</v>
      </c>
      <c r="S21" s="34">
        <f t="shared" si="0"/>
        <v>5</v>
      </c>
      <c r="T21" s="31" t="s">
        <v>1126</v>
      </c>
      <c r="U21" s="127">
        <v>44958</v>
      </c>
      <c r="V21" s="128">
        <f t="shared" ref="V21:V24" si="12">-20.903*O21^2+141.62*O21-73.036</f>
        <v>4.0611226729999998</v>
      </c>
      <c r="W21" s="128" t="s">
        <v>1142</v>
      </c>
      <c r="X21" s="128"/>
      <c r="Y21" s="128"/>
    </row>
    <row r="22" spans="1:25" x14ac:dyDescent="0.55000000000000004">
      <c r="A22" s="124">
        <v>44958</v>
      </c>
      <c r="B22" s="125">
        <v>0.375</v>
      </c>
      <c r="C22" s="31" t="s">
        <v>70</v>
      </c>
      <c r="D22" s="31" t="s">
        <v>71</v>
      </c>
      <c r="E22" s="31" t="s">
        <v>927</v>
      </c>
      <c r="F22" s="31">
        <v>1</v>
      </c>
      <c r="G22" s="31" t="s">
        <v>73</v>
      </c>
      <c r="H22" s="31" t="s">
        <v>74</v>
      </c>
      <c r="I22" s="31" t="s">
        <v>83</v>
      </c>
      <c r="J22" s="31">
        <v>191</v>
      </c>
      <c r="K22" s="126">
        <v>44958</v>
      </c>
      <c r="L22" s="125">
        <v>0.5773611111111111</v>
      </c>
      <c r="M22" s="31">
        <v>1</v>
      </c>
      <c r="N22" s="31" t="s">
        <v>84</v>
      </c>
      <c r="O22" s="31">
        <v>0.67900000000000005</v>
      </c>
      <c r="P22" s="31">
        <v>4.4499999999999998E-2</v>
      </c>
      <c r="Q22" s="31">
        <v>15</v>
      </c>
      <c r="R22" s="31" t="s">
        <v>85</v>
      </c>
      <c r="S22" s="34">
        <f t="shared" si="0"/>
        <v>15</v>
      </c>
      <c r="T22" s="31" t="s">
        <v>1126</v>
      </c>
      <c r="U22" s="127">
        <v>44958</v>
      </c>
      <c r="V22" s="128">
        <f t="shared" si="12"/>
        <v>13.486839977000002</v>
      </c>
      <c r="W22" s="128" t="s">
        <v>1142</v>
      </c>
      <c r="X22" s="128"/>
      <c r="Y22" s="128"/>
    </row>
    <row r="23" spans="1:25" x14ac:dyDescent="0.55000000000000004">
      <c r="A23" s="124">
        <v>44958</v>
      </c>
      <c r="B23" s="125">
        <v>0.375</v>
      </c>
      <c r="C23" s="31" t="s">
        <v>70</v>
      </c>
      <c r="D23" s="31" t="s">
        <v>71</v>
      </c>
      <c r="E23" s="31" t="s">
        <v>928</v>
      </c>
      <c r="F23" s="31">
        <v>1</v>
      </c>
      <c r="G23" s="31" t="s">
        <v>73</v>
      </c>
      <c r="H23" s="31" t="s">
        <v>74</v>
      </c>
      <c r="I23" s="31" t="s">
        <v>83</v>
      </c>
      <c r="J23" s="31">
        <v>192</v>
      </c>
      <c r="K23" s="126">
        <v>44958</v>
      </c>
      <c r="L23" s="125">
        <v>0.57806712962962969</v>
      </c>
      <c r="M23" s="31">
        <v>1</v>
      </c>
      <c r="N23" s="31" t="s">
        <v>84</v>
      </c>
      <c r="O23" s="31">
        <v>0.747</v>
      </c>
      <c r="P23" s="31">
        <v>4.8899999999999999E-2</v>
      </c>
      <c r="Q23" s="31">
        <v>20</v>
      </c>
      <c r="R23" s="31" t="s">
        <v>85</v>
      </c>
      <c r="S23" s="34">
        <f t="shared" si="0"/>
        <v>20</v>
      </c>
      <c r="T23" s="31" t="s">
        <v>1126</v>
      </c>
      <c r="U23" s="127">
        <v>44958</v>
      </c>
      <c r="V23" s="128">
        <f t="shared" si="12"/>
        <v>21.090077873000013</v>
      </c>
      <c r="W23" s="128" t="s">
        <v>1142</v>
      </c>
      <c r="X23" s="128"/>
      <c r="Y23" s="128"/>
    </row>
    <row r="24" spans="1:25" x14ac:dyDescent="0.55000000000000004">
      <c r="A24" s="124">
        <v>44958</v>
      </c>
      <c r="B24" s="125">
        <v>0.375</v>
      </c>
      <c r="C24" s="31" t="s">
        <v>70</v>
      </c>
      <c r="D24" s="31" t="s">
        <v>71</v>
      </c>
      <c r="E24" s="31" t="s">
        <v>930</v>
      </c>
      <c r="F24" s="31">
        <v>1</v>
      </c>
      <c r="G24" s="31" t="s">
        <v>73</v>
      </c>
      <c r="H24" s="31" t="s">
        <v>74</v>
      </c>
      <c r="I24" s="31" t="s">
        <v>83</v>
      </c>
      <c r="J24" s="31">
        <v>194</v>
      </c>
      <c r="K24" s="126">
        <v>44958</v>
      </c>
      <c r="L24" s="125">
        <v>0.57947916666666666</v>
      </c>
      <c r="M24" s="31">
        <v>1</v>
      </c>
      <c r="N24" s="31" t="s">
        <v>84</v>
      </c>
      <c r="O24" s="31">
        <v>2.4900000000000002</v>
      </c>
      <c r="P24" s="31">
        <v>0.17299999999999999</v>
      </c>
      <c r="Q24" s="31">
        <v>150</v>
      </c>
      <c r="R24" s="31" t="s">
        <v>85</v>
      </c>
      <c r="S24" s="34">
        <f t="shared" si="0"/>
        <v>150</v>
      </c>
      <c r="T24" s="31" t="s">
        <v>1126</v>
      </c>
      <c r="U24" s="127">
        <v>44958</v>
      </c>
      <c r="V24" s="128">
        <f t="shared" si="12"/>
        <v>149.99710970000007</v>
      </c>
      <c r="W24" s="128" t="s">
        <v>1142</v>
      </c>
      <c r="X24" s="128"/>
      <c r="Y24" s="128"/>
    </row>
    <row r="25" spans="1:25" x14ac:dyDescent="0.55000000000000004">
      <c r="A25" s="32">
        <v>44966</v>
      </c>
      <c r="B25" s="33">
        <v>0.375</v>
      </c>
      <c r="C25" s="10" t="s">
        <v>70</v>
      </c>
      <c r="D25" s="10" t="s">
        <v>71</v>
      </c>
      <c r="E25" s="10" t="s">
        <v>925</v>
      </c>
      <c r="F25" s="10">
        <v>1</v>
      </c>
      <c r="G25" s="10" t="s">
        <v>73</v>
      </c>
      <c r="H25" s="10" t="s">
        <v>74</v>
      </c>
      <c r="I25" s="10" t="s">
        <v>83</v>
      </c>
      <c r="J25" s="10">
        <v>189</v>
      </c>
      <c r="K25" s="12">
        <v>44966</v>
      </c>
      <c r="L25" s="33">
        <v>0.5539236111111111</v>
      </c>
      <c r="M25" s="10">
        <v>1</v>
      </c>
      <c r="N25" s="10" t="s">
        <v>84</v>
      </c>
      <c r="O25" s="10">
        <v>0.53300000000000003</v>
      </c>
      <c r="P25" s="10">
        <v>3.4799999999999998E-2</v>
      </c>
      <c r="Q25" s="10">
        <v>0</v>
      </c>
      <c r="R25" s="10" t="s">
        <v>85</v>
      </c>
      <c r="S25" s="123">
        <f t="shared" si="0"/>
        <v>0</v>
      </c>
      <c r="T25" s="10" t="s">
        <v>1188</v>
      </c>
      <c r="U25" s="45">
        <v>44966</v>
      </c>
      <c r="V25" s="129">
        <f>-11.204*O25^2+113.68*O25-55.283</f>
        <v>2.1255068440000002</v>
      </c>
      <c r="W25" s="129" t="s">
        <v>1204</v>
      </c>
    </row>
    <row r="26" spans="1:25" x14ac:dyDescent="0.55000000000000004">
      <c r="A26" s="32">
        <v>44966</v>
      </c>
      <c r="B26" s="33">
        <v>0.375</v>
      </c>
      <c r="C26" s="10" t="s">
        <v>70</v>
      </c>
      <c r="D26" s="10" t="s">
        <v>71</v>
      </c>
      <c r="E26" s="10" t="s">
        <v>926</v>
      </c>
      <c r="F26" s="10">
        <v>1</v>
      </c>
      <c r="G26" s="10" t="s">
        <v>73</v>
      </c>
      <c r="H26" s="10" t="s">
        <v>74</v>
      </c>
      <c r="I26" s="10" t="s">
        <v>83</v>
      </c>
      <c r="J26" s="10">
        <v>190</v>
      </c>
      <c r="K26" s="12">
        <v>44966</v>
      </c>
      <c r="L26" s="33">
        <v>0.55462962962962969</v>
      </c>
      <c r="M26" s="10">
        <v>1</v>
      </c>
      <c r="N26" s="10" t="s">
        <v>84</v>
      </c>
      <c r="O26" s="10">
        <v>0.56799999999999995</v>
      </c>
      <c r="P26" s="10">
        <v>3.7400000000000003E-2</v>
      </c>
      <c r="Q26" s="10">
        <v>5</v>
      </c>
      <c r="R26" s="10" t="s">
        <v>85</v>
      </c>
      <c r="S26" s="123">
        <f t="shared" si="0"/>
        <v>5</v>
      </c>
      <c r="T26" s="10" t="s">
        <v>1188</v>
      </c>
      <c r="U26" s="45">
        <v>44966</v>
      </c>
      <c r="V26" s="129">
        <f t="shared" ref="V26:V29" si="13">-11.204*O26^2+113.68*O26-55.283</f>
        <v>5.6725607039999986</v>
      </c>
      <c r="W26" s="129" t="s">
        <v>1204</v>
      </c>
    </row>
    <row r="27" spans="1:25" x14ac:dyDescent="0.55000000000000004">
      <c r="A27" s="32">
        <v>44966</v>
      </c>
      <c r="B27" s="33">
        <v>0.375</v>
      </c>
      <c r="C27" s="10" t="s">
        <v>70</v>
      </c>
      <c r="D27" s="10" t="s">
        <v>71</v>
      </c>
      <c r="E27" s="10" t="s">
        <v>927</v>
      </c>
      <c r="F27" s="10">
        <v>1</v>
      </c>
      <c r="G27" s="10" t="s">
        <v>73</v>
      </c>
      <c r="H27" s="10" t="s">
        <v>74</v>
      </c>
      <c r="I27" s="10" t="s">
        <v>83</v>
      </c>
      <c r="J27" s="10">
        <v>191</v>
      </c>
      <c r="K27" s="12">
        <v>44966</v>
      </c>
      <c r="L27" s="33">
        <v>0.55532407407407403</v>
      </c>
      <c r="M27" s="10">
        <v>1</v>
      </c>
      <c r="N27" s="10" t="s">
        <v>84</v>
      </c>
      <c r="O27" s="10">
        <v>0.61399999999999999</v>
      </c>
      <c r="P27" s="10">
        <v>4.0500000000000001E-2</v>
      </c>
      <c r="Q27" s="10">
        <v>15</v>
      </c>
      <c r="R27" s="10" t="s">
        <v>85</v>
      </c>
      <c r="S27" s="123">
        <f t="shared" si="0"/>
        <v>15</v>
      </c>
      <c r="T27" s="10" t="s">
        <v>1188</v>
      </c>
      <c r="U27" s="45">
        <v>44966</v>
      </c>
      <c r="V27" s="129">
        <f t="shared" si="13"/>
        <v>10.292656816000004</v>
      </c>
      <c r="W27" s="129" t="s">
        <v>1204</v>
      </c>
    </row>
    <row r="28" spans="1:25" x14ac:dyDescent="0.55000000000000004">
      <c r="A28" s="32">
        <v>44966</v>
      </c>
      <c r="B28" s="33">
        <v>0.375</v>
      </c>
      <c r="C28" s="10" t="s">
        <v>70</v>
      </c>
      <c r="D28" s="10" t="s">
        <v>71</v>
      </c>
      <c r="E28" s="10" t="s">
        <v>928</v>
      </c>
      <c r="F28" s="10">
        <v>1</v>
      </c>
      <c r="G28" s="10" t="s">
        <v>73</v>
      </c>
      <c r="H28" s="10" t="s">
        <v>74</v>
      </c>
      <c r="I28" s="10" t="s">
        <v>83</v>
      </c>
      <c r="J28" s="10">
        <v>192</v>
      </c>
      <c r="K28" s="12">
        <v>44966</v>
      </c>
      <c r="L28" s="33">
        <v>0.55604166666666666</v>
      </c>
      <c r="M28" s="10">
        <v>1</v>
      </c>
      <c r="N28" s="10" t="s">
        <v>84</v>
      </c>
      <c r="O28" s="10">
        <v>0.73199999999999998</v>
      </c>
      <c r="P28" s="10">
        <v>4.87E-2</v>
      </c>
      <c r="Q28" s="10">
        <v>20</v>
      </c>
      <c r="R28" s="10" t="s">
        <v>85</v>
      </c>
      <c r="S28" s="123">
        <f t="shared" si="0"/>
        <v>20</v>
      </c>
      <c r="T28" s="10" t="s">
        <v>1188</v>
      </c>
      <c r="U28" s="45">
        <v>44966</v>
      </c>
      <c r="V28" s="129">
        <f t="shared" si="13"/>
        <v>21.927387904000014</v>
      </c>
      <c r="W28" s="129" t="s">
        <v>1204</v>
      </c>
    </row>
    <row r="29" spans="1:25" x14ac:dyDescent="0.55000000000000004">
      <c r="A29" s="32">
        <v>44966</v>
      </c>
      <c r="B29" s="33">
        <v>0.375</v>
      </c>
      <c r="C29" s="10" t="s">
        <v>70</v>
      </c>
      <c r="D29" s="10" t="s">
        <v>71</v>
      </c>
      <c r="E29" s="10" t="s">
        <v>930</v>
      </c>
      <c r="F29" s="10">
        <v>1</v>
      </c>
      <c r="G29" s="10" t="s">
        <v>73</v>
      </c>
      <c r="H29" s="10" t="s">
        <v>74</v>
      </c>
      <c r="I29" s="10" t="s">
        <v>83</v>
      </c>
      <c r="J29" s="10">
        <v>194</v>
      </c>
      <c r="K29" s="12">
        <v>44966</v>
      </c>
      <c r="L29" s="33">
        <v>0.55744212962962958</v>
      </c>
      <c r="M29" s="10">
        <v>1</v>
      </c>
      <c r="N29" s="10" t="s">
        <v>84</v>
      </c>
      <c r="O29" s="10">
        <v>2.35</v>
      </c>
      <c r="P29" s="10">
        <v>0.16600000000000001</v>
      </c>
      <c r="Q29" s="10">
        <v>150</v>
      </c>
      <c r="R29" s="10" t="s">
        <v>85</v>
      </c>
      <c r="S29" s="123">
        <f t="shared" si="0"/>
        <v>150</v>
      </c>
      <c r="T29" s="10" t="s">
        <v>1188</v>
      </c>
      <c r="U29" s="45">
        <v>44966</v>
      </c>
      <c r="V29" s="129">
        <f t="shared" si="13"/>
        <v>149.99090999999999</v>
      </c>
      <c r="W29" s="129" t="s">
        <v>1204</v>
      </c>
    </row>
    <row r="30" spans="1:25" x14ac:dyDescent="0.55000000000000004">
      <c r="A30" s="124">
        <v>44972</v>
      </c>
      <c r="B30" s="125">
        <v>0.375</v>
      </c>
      <c r="C30" s="31" t="s">
        <v>70</v>
      </c>
      <c r="D30" s="31" t="s">
        <v>71</v>
      </c>
      <c r="E30" s="31" t="s">
        <v>925</v>
      </c>
      <c r="F30" s="31">
        <v>1</v>
      </c>
      <c r="G30" s="31" t="s">
        <v>73</v>
      </c>
      <c r="H30" s="31" t="s">
        <v>74</v>
      </c>
      <c r="I30" s="31" t="s">
        <v>83</v>
      </c>
      <c r="J30" s="31">
        <v>189</v>
      </c>
      <c r="K30" s="126">
        <v>44972</v>
      </c>
      <c r="L30" s="125">
        <v>0.54971064814814818</v>
      </c>
      <c r="M30" s="31">
        <v>1</v>
      </c>
      <c r="N30" s="31" t="s">
        <v>84</v>
      </c>
      <c r="O30" s="31">
        <v>0.51700000000000002</v>
      </c>
      <c r="P30" s="31">
        <v>3.4700000000000002E-2</v>
      </c>
      <c r="Q30" s="31">
        <v>0</v>
      </c>
      <c r="R30" s="31" t="s">
        <v>85</v>
      </c>
      <c r="S30" s="34">
        <f t="shared" si="0"/>
        <v>0</v>
      </c>
      <c r="T30" s="128" t="s">
        <v>1232</v>
      </c>
      <c r="U30" s="127">
        <v>44972</v>
      </c>
      <c r="V30" s="128">
        <f>-8.1564*O30^2+103.56*O30-47.896</f>
        <v>3.4644040004000018</v>
      </c>
      <c r="W30" s="128" t="s">
        <v>1250</v>
      </c>
      <c r="X30" s="128"/>
      <c r="Y30" s="128"/>
    </row>
    <row r="31" spans="1:25" x14ac:dyDescent="0.55000000000000004">
      <c r="A31" s="124">
        <v>44972</v>
      </c>
      <c r="B31" s="125">
        <v>0.375</v>
      </c>
      <c r="C31" s="31" t="s">
        <v>70</v>
      </c>
      <c r="D31" s="31" t="s">
        <v>71</v>
      </c>
      <c r="E31" s="31" t="s">
        <v>926</v>
      </c>
      <c r="F31" s="31">
        <v>1</v>
      </c>
      <c r="G31" s="31" t="s">
        <v>73</v>
      </c>
      <c r="H31" s="31" t="s">
        <v>74</v>
      </c>
      <c r="I31" s="31" t="s">
        <v>83</v>
      </c>
      <c r="J31" s="31">
        <v>190</v>
      </c>
      <c r="K31" s="126">
        <v>44972</v>
      </c>
      <c r="L31" s="125">
        <v>0.55041666666666667</v>
      </c>
      <c r="M31" s="31">
        <v>1</v>
      </c>
      <c r="N31" s="31" t="s">
        <v>84</v>
      </c>
      <c r="O31" s="31">
        <v>0.53400000000000003</v>
      </c>
      <c r="P31" s="31">
        <v>3.61E-2</v>
      </c>
      <c r="Q31" s="31">
        <v>5</v>
      </c>
      <c r="R31" s="31" t="s">
        <v>85</v>
      </c>
      <c r="S31" s="34">
        <f t="shared" si="0"/>
        <v>5</v>
      </c>
      <c r="T31" s="128" t="s">
        <v>1232</v>
      </c>
      <c r="U31" s="127">
        <v>44972</v>
      </c>
      <c r="V31" s="128">
        <f t="shared" ref="V31:V35" si="14">-8.1564*O31^2+103.56*O31-47.896</f>
        <v>5.0791936016000037</v>
      </c>
      <c r="W31" s="128" t="s">
        <v>1250</v>
      </c>
      <c r="X31" s="128"/>
      <c r="Y31" s="128"/>
    </row>
    <row r="32" spans="1:25" x14ac:dyDescent="0.55000000000000004">
      <c r="A32" s="124">
        <v>44972</v>
      </c>
      <c r="B32" s="125">
        <v>0.375</v>
      </c>
      <c r="C32" s="31" t="s">
        <v>70</v>
      </c>
      <c r="D32" s="31" t="s">
        <v>71</v>
      </c>
      <c r="E32" s="31" t="s">
        <v>927</v>
      </c>
      <c r="F32" s="31">
        <v>1</v>
      </c>
      <c r="G32" s="31" t="s">
        <v>73</v>
      </c>
      <c r="H32" s="31" t="s">
        <v>74</v>
      </c>
      <c r="I32" s="31" t="s">
        <v>83</v>
      </c>
      <c r="J32" s="31">
        <v>191</v>
      </c>
      <c r="K32" s="126">
        <v>44972</v>
      </c>
      <c r="L32" s="125">
        <v>0.55112268518518526</v>
      </c>
      <c r="M32" s="31">
        <v>1</v>
      </c>
      <c r="N32" s="31" t="s">
        <v>84</v>
      </c>
      <c r="O32" s="31">
        <v>0.63200000000000001</v>
      </c>
      <c r="P32" s="31">
        <v>4.3099999999999999E-2</v>
      </c>
      <c r="Q32" s="31">
        <v>15</v>
      </c>
      <c r="R32" s="31" t="s">
        <v>85</v>
      </c>
      <c r="S32" s="34">
        <f t="shared" si="0"/>
        <v>15</v>
      </c>
      <c r="T32" s="128" t="s">
        <v>1232</v>
      </c>
      <c r="U32" s="127">
        <v>44972</v>
      </c>
      <c r="V32" s="128">
        <f t="shared" si="14"/>
        <v>14.296058086400002</v>
      </c>
      <c r="W32" s="128" t="s">
        <v>1250</v>
      </c>
      <c r="X32" s="128"/>
      <c r="Y32" s="128"/>
    </row>
    <row r="33" spans="1:25" x14ac:dyDescent="0.55000000000000004">
      <c r="A33" s="124">
        <v>44972</v>
      </c>
      <c r="B33" s="125">
        <v>0.375</v>
      </c>
      <c r="C33" s="31" t="s">
        <v>70</v>
      </c>
      <c r="D33" s="31" t="s">
        <v>71</v>
      </c>
      <c r="E33" s="31" t="s">
        <v>928</v>
      </c>
      <c r="F33" s="31">
        <v>1</v>
      </c>
      <c r="G33" s="31" t="s">
        <v>73</v>
      </c>
      <c r="H33" s="31" t="s">
        <v>74</v>
      </c>
      <c r="I33" s="31" t="s">
        <v>83</v>
      </c>
      <c r="J33" s="31">
        <v>192</v>
      </c>
      <c r="K33" s="126">
        <v>44972</v>
      </c>
      <c r="L33" s="125">
        <v>0.55182870370370374</v>
      </c>
      <c r="M33" s="31">
        <v>1</v>
      </c>
      <c r="N33" s="31" t="s">
        <v>84</v>
      </c>
      <c r="O33" s="31">
        <v>0.65200000000000002</v>
      </c>
      <c r="P33" s="31">
        <v>4.5199999999999997E-2</v>
      </c>
      <c r="Q33" s="31">
        <v>20</v>
      </c>
      <c r="R33" s="31" t="s">
        <v>85</v>
      </c>
      <c r="S33" s="34">
        <f t="shared" si="0"/>
        <v>20</v>
      </c>
      <c r="T33" s="128" t="s">
        <v>1232</v>
      </c>
      <c r="U33" s="127">
        <v>44972</v>
      </c>
      <c r="V33" s="128">
        <f t="shared" si="14"/>
        <v>16.15780173440001</v>
      </c>
      <c r="W33" s="128" t="s">
        <v>1250</v>
      </c>
      <c r="X33" s="128"/>
      <c r="Y33" s="128"/>
    </row>
    <row r="34" spans="1:25" x14ac:dyDescent="0.55000000000000004">
      <c r="A34" s="124">
        <v>44972</v>
      </c>
      <c r="B34" s="125">
        <v>0.375</v>
      </c>
      <c r="C34" s="31" t="s">
        <v>70</v>
      </c>
      <c r="D34" s="31" t="s">
        <v>71</v>
      </c>
      <c r="E34" s="31" t="s">
        <v>929</v>
      </c>
      <c r="F34" s="31">
        <v>1</v>
      </c>
      <c r="G34" s="31" t="s">
        <v>73</v>
      </c>
      <c r="H34" s="31" t="s">
        <v>74</v>
      </c>
      <c r="I34" s="31" t="s">
        <v>83</v>
      </c>
      <c r="J34" s="31">
        <v>193</v>
      </c>
      <c r="K34" s="126">
        <v>44972</v>
      </c>
      <c r="L34" s="125">
        <v>0.55252314814814818</v>
      </c>
      <c r="M34" s="31">
        <v>1</v>
      </c>
      <c r="N34" s="31" t="s">
        <v>84</v>
      </c>
      <c r="O34" s="31">
        <v>1.34</v>
      </c>
      <c r="P34" s="31">
        <v>9.4299999999999995E-2</v>
      </c>
      <c r="Q34" s="31">
        <v>75</v>
      </c>
      <c r="R34" s="31" t="s">
        <v>85</v>
      </c>
      <c r="S34" s="34">
        <f t="shared" si="0"/>
        <v>75</v>
      </c>
      <c r="T34" s="128" t="s">
        <v>1232</v>
      </c>
      <c r="U34" s="127">
        <v>44972</v>
      </c>
      <c r="V34" s="128">
        <f t="shared" si="14"/>
        <v>76.228768160000016</v>
      </c>
      <c r="W34" s="128" t="s">
        <v>1250</v>
      </c>
      <c r="X34" s="128"/>
      <c r="Y34" s="128"/>
    </row>
    <row r="35" spans="1:25" x14ac:dyDescent="0.55000000000000004">
      <c r="A35" s="124">
        <v>44972</v>
      </c>
      <c r="B35" s="125">
        <v>0.375</v>
      </c>
      <c r="C35" s="31" t="s">
        <v>70</v>
      </c>
      <c r="D35" s="31" t="s">
        <v>71</v>
      </c>
      <c r="E35" s="31" t="s">
        <v>930</v>
      </c>
      <c r="F35" s="31">
        <v>1</v>
      </c>
      <c r="G35" s="31" t="s">
        <v>73</v>
      </c>
      <c r="H35" s="31" t="s">
        <v>74</v>
      </c>
      <c r="I35" s="31" t="s">
        <v>83</v>
      </c>
      <c r="J35" s="31">
        <v>194</v>
      </c>
      <c r="K35" s="126">
        <v>44972</v>
      </c>
      <c r="L35" s="125">
        <v>0.55324074074074081</v>
      </c>
      <c r="M35" s="31">
        <v>1</v>
      </c>
      <c r="N35" s="31" t="s">
        <v>84</v>
      </c>
      <c r="O35" s="31">
        <v>2.34</v>
      </c>
      <c r="P35" s="31">
        <v>0.16700000000000001</v>
      </c>
      <c r="Q35" s="31">
        <v>150</v>
      </c>
      <c r="R35" s="31" t="s">
        <v>85</v>
      </c>
      <c r="S35" s="34">
        <f t="shared" si="0"/>
        <v>150</v>
      </c>
      <c r="T35" s="128" t="s">
        <v>1232</v>
      </c>
      <c r="U35" s="127">
        <v>44972</v>
      </c>
      <c r="V35" s="128">
        <f t="shared" si="14"/>
        <v>149.77321616</v>
      </c>
      <c r="W35" s="128" t="s">
        <v>1250</v>
      </c>
      <c r="X35" s="128"/>
      <c r="Y35" s="128"/>
    </row>
    <row r="36" spans="1:25" x14ac:dyDescent="0.55000000000000004">
      <c r="A36" s="32">
        <v>44979</v>
      </c>
      <c r="B36" s="33">
        <v>0.375</v>
      </c>
      <c r="C36" s="10" t="s">
        <v>70</v>
      </c>
      <c r="D36" s="10" t="s">
        <v>71</v>
      </c>
      <c r="E36" s="10" t="s">
        <v>925</v>
      </c>
      <c r="F36" s="10">
        <v>1</v>
      </c>
      <c r="G36" s="10" t="s">
        <v>73</v>
      </c>
      <c r="H36" s="10" t="s">
        <v>74</v>
      </c>
      <c r="I36" s="10" t="s">
        <v>83</v>
      </c>
      <c r="J36" s="10">
        <v>189</v>
      </c>
      <c r="K36" s="12">
        <v>44980</v>
      </c>
      <c r="L36" s="33">
        <v>0.42363425925925924</v>
      </c>
      <c r="M36" s="10">
        <v>1</v>
      </c>
      <c r="N36" s="10" t="s">
        <v>84</v>
      </c>
      <c r="O36" s="10">
        <v>0.48699999999999999</v>
      </c>
      <c r="P36" s="10">
        <v>3.3399999999999999E-2</v>
      </c>
      <c r="Q36" s="10">
        <v>0</v>
      </c>
      <c r="R36" s="10" t="s">
        <v>85</v>
      </c>
      <c r="S36" s="123">
        <f t="shared" si="0"/>
        <v>0</v>
      </c>
      <c r="T36" s="10" t="s">
        <v>1285</v>
      </c>
      <c r="U36" s="45">
        <v>44980</v>
      </c>
      <c r="V36" s="129">
        <f>-7.042*O36^2+106.99*O36-46.227</f>
        <v>4.2069859019999996</v>
      </c>
      <c r="W36" s="129" t="s">
        <v>1303</v>
      </c>
    </row>
    <row r="37" spans="1:25" x14ac:dyDescent="0.55000000000000004">
      <c r="A37" s="32">
        <v>44979</v>
      </c>
      <c r="B37" s="33">
        <v>0.375</v>
      </c>
      <c r="C37" s="10" t="s">
        <v>70</v>
      </c>
      <c r="D37" s="10" t="s">
        <v>71</v>
      </c>
      <c r="E37" s="10" t="s">
        <v>926</v>
      </c>
      <c r="F37" s="10">
        <v>1</v>
      </c>
      <c r="G37" s="10" t="s">
        <v>73</v>
      </c>
      <c r="H37" s="10" t="s">
        <v>74</v>
      </c>
      <c r="I37" s="10" t="s">
        <v>83</v>
      </c>
      <c r="J37" s="10">
        <v>190</v>
      </c>
      <c r="K37" s="12">
        <v>44980</v>
      </c>
      <c r="L37" s="33">
        <v>0.42434027777777777</v>
      </c>
      <c r="M37" s="10">
        <v>1</v>
      </c>
      <c r="N37" s="10" t="s">
        <v>84</v>
      </c>
      <c r="O37" s="10">
        <v>0.504</v>
      </c>
      <c r="P37" s="10">
        <v>3.4599999999999999E-2</v>
      </c>
      <c r="Q37" s="10">
        <v>5</v>
      </c>
      <c r="R37" s="10" t="s">
        <v>85</v>
      </c>
      <c r="S37" s="123">
        <f t="shared" si="0"/>
        <v>5</v>
      </c>
      <c r="T37" s="10" t="s">
        <v>1285</v>
      </c>
      <c r="U37" s="45">
        <v>44980</v>
      </c>
      <c r="V37" s="129">
        <f t="shared" ref="V37:V41" si="15">-7.042*O37^2+106.99*O37-46.227</f>
        <v>5.907179327999998</v>
      </c>
      <c r="W37" s="129" t="s">
        <v>1303</v>
      </c>
    </row>
    <row r="38" spans="1:25" x14ac:dyDescent="0.55000000000000004">
      <c r="A38" s="32">
        <v>44979</v>
      </c>
      <c r="B38" s="33">
        <v>0.375</v>
      </c>
      <c r="C38" s="10" t="s">
        <v>70</v>
      </c>
      <c r="D38" s="10" t="s">
        <v>71</v>
      </c>
      <c r="E38" s="10" t="s">
        <v>927</v>
      </c>
      <c r="F38" s="10">
        <v>1</v>
      </c>
      <c r="G38" s="10" t="s">
        <v>73</v>
      </c>
      <c r="H38" s="10" t="s">
        <v>74</v>
      </c>
      <c r="I38" s="10" t="s">
        <v>83</v>
      </c>
      <c r="J38" s="10">
        <v>191</v>
      </c>
      <c r="K38" s="12">
        <v>44980</v>
      </c>
      <c r="L38" s="33">
        <v>0.42505787037037041</v>
      </c>
      <c r="M38" s="10">
        <v>1</v>
      </c>
      <c r="N38" s="10" t="s">
        <v>84</v>
      </c>
      <c r="O38" s="10">
        <v>0.57299999999999995</v>
      </c>
      <c r="P38" s="10">
        <v>3.9E-2</v>
      </c>
      <c r="Q38" s="10">
        <v>15</v>
      </c>
      <c r="R38" s="10" t="s">
        <v>85</v>
      </c>
      <c r="S38" s="123">
        <f t="shared" si="0"/>
        <v>15</v>
      </c>
      <c r="T38" s="10" t="s">
        <v>1285</v>
      </c>
      <c r="U38" s="45">
        <v>44980</v>
      </c>
      <c r="V38" s="129">
        <f t="shared" si="15"/>
        <v>12.766177182</v>
      </c>
      <c r="W38" s="129" t="s">
        <v>1303</v>
      </c>
    </row>
    <row r="39" spans="1:25" x14ac:dyDescent="0.55000000000000004">
      <c r="A39" s="32">
        <v>44979</v>
      </c>
      <c r="B39" s="33">
        <v>0.375</v>
      </c>
      <c r="C39" s="10" t="s">
        <v>70</v>
      </c>
      <c r="D39" s="10" t="s">
        <v>71</v>
      </c>
      <c r="E39" s="10" t="s">
        <v>928</v>
      </c>
      <c r="F39" s="10">
        <v>1</v>
      </c>
      <c r="G39" s="10" t="s">
        <v>73</v>
      </c>
      <c r="H39" s="10" t="s">
        <v>74</v>
      </c>
      <c r="I39" s="10" t="s">
        <v>83</v>
      </c>
      <c r="J39" s="10">
        <v>192</v>
      </c>
      <c r="K39" s="12">
        <v>44980</v>
      </c>
      <c r="L39" s="33">
        <v>0.42576388888888889</v>
      </c>
      <c r="M39" s="10">
        <v>1</v>
      </c>
      <c r="N39" s="10" t="s">
        <v>84</v>
      </c>
      <c r="O39" s="10">
        <v>0.60499999999999998</v>
      </c>
      <c r="P39" s="10">
        <v>4.1200000000000001E-2</v>
      </c>
      <c r="Q39" s="10">
        <v>20</v>
      </c>
      <c r="R39" s="10" t="s">
        <v>85</v>
      </c>
      <c r="S39" s="123">
        <f t="shared" si="0"/>
        <v>20</v>
      </c>
      <c r="T39" s="10" t="s">
        <v>1285</v>
      </c>
      <c r="U39" s="45">
        <v>44980</v>
      </c>
      <c r="V39" s="129">
        <f t="shared" si="15"/>
        <v>15.924401950000004</v>
      </c>
      <c r="W39" s="129" t="s">
        <v>1303</v>
      </c>
    </row>
    <row r="40" spans="1:25" x14ac:dyDescent="0.55000000000000004">
      <c r="A40" s="32">
        <v>44979</v>
      </c>
      <c r="B40" s="33">
        <v>0.375</v>
      </c>
      <c r="C40" s="10" t="s">
        <v>70</v>
      </c>
      <c r="D40" s="10" t="s">
        <v>71</v>
      </c>
      <c r="E40" s="10" t="s">
        <v>929</v>
      </c>
      <c r="F40" s="10">
        <v>1</v>
      </c>
      <c r="G40" s="10" t="s">
        <v>73</v>
      </c>
      <c r="H40" s="10" t="s">
        <v>74</v>
      </c>
      <c r="I40" s="10" t="s">
        <v>83</v>
      </c>
      <c r="J40" s="10">
        <v>193</v>
      </c>
      <c r="K40" s="12">
        <v>44980</v>
      </c>
      <c r="L40" s="33">
        <v>0.42646990740740742</v>
      </c>
      <c r="M40" s="10">
        <v>1</v>
      </c>
      <c r="N40" s="10" t="s">
        <v>84</v>
      </c>
      <c r="O40" s="10">
        <v>1.25</v>
      </c>
      <c r="P40" s="10">
        <v>8.8200000000000001E-2</v>
      </c>
      <c r="Q40" s="10">
        <v>75</v>
      </c>
      <c r="R40" s="10" t="s">
        <v>85</v>
      </c>
      <c r="S40" s="123">
        <f t="shared" si="0"/>
        <v>75</v>
      </c>
      <c r="T40" s="10" t="s">
        <v>1285</v>
      </c>
      <c r="U40" s="45">
        <v>44980</v>
      </c>
      <c r="V40" s="129">
        <f t="shared" si="15"/>
        <v>76.507374999999996</v>
      </c>
      <c r="W40" s="129" t="s">
        <v>1303</v>
      </c>
    </row>
    <row r="41" spans="1:25" x14ac:dyDescent="0.55000000000000004">
      <c r="A41" s="32">
        <v>44979</v>
      </c>
      <c r="B41" s="33">
        <v>0.375</v>
      </c>
      <c r="C41" s="10" t="s">
        <v>70</v>
      </c>
      <c r="D41" s="10" t="s">
        <v>71</v>
      </c>
      <c r="E41" s="10" t="s">
        <v>930</v>
      </c>
      <c r="F41" s="10">
        <v>1</v>
      </c>
      <c r="G41" s="10" t="s">
        <v>73</v>
      </c>
      <c r="H41" s="10" t="s">
        <v>74</v>
      </c>
      <c r="I41" s="10" t="s">
        <v>83</v>
      </c>
      <c r="J41" s="10">
        <v>194</v>
      </c>
      <c r="K41" s="12">
        <v>44980</v>
      </c>
      <c r="L41" s="33">
        <v>0.42717592592592596</v>
      </c>
      <c r="M41" s="10">
        <v>1</v>
      </c>
      <c r="N41" s="10" t="s">
        <v>84</v>
      </c>
      <c r="O41" s="10">
        <v>2.13</v>
      </c>
      <c r="P41" s="10">
        <v>0.152</v>
      </c>
      <c r="Q41" s="10">
        <v>150</v>
      </c>
      <c r="R41" s="10" t="s">
        <v>85</v>
      </c>
      <c r="S41" s="123">
        <f t="shared" si="0"/>
        <v>150</v>
      </c>
      <c r="T41" s="10" t="s">
        <v>1285</v>
      </c>
      <c r="U41" s="45">
        <v>44980</v>
      </c>
      <c r="V41" s="129">
        <f t="shared" si="15"/>
        <v>149.71285019999996</v>
      </c>
      <c r="W41" s="129" t="s">
        <v>1303</v>
      </c>
    </row>
  </sheetData>
  <phoneticPr fontId="17" type="noConversion"/>
  <conditionalFormatting sqref="AZ1">
    <cfRule type="cellIs" dxfId="11" priority="1" operator="lessThan">
      <formula>0</formula>
    </cfRule>
  </conditionalFormatting>
  <conditionalFormatting sqref="U1">
    <cfRule type="cellIs" dxfId="10" priority="2" operator="lessThan">
      <formula>0</formula>
    </cfRule>
  </conditionalFormatting>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B6AB3-A56A-494C-A10C-199C28C79431}">
  <dimension ref="A1:BB48"/>
  <sheetViews>
    <sheetView topLeftCell="A19" zoomScale="89" zoomScaleNormal="89" workbookViewId="0">
      <selection activeCell="A42" sqref="A42:Y47"/>
    </sheetView>
  </sheetViews>
  <sheetFormatPr defaultRowHeight="14.4" x14ac:dyDescent="0.55000000000000004"/>
  <cols>
    <col min="2" max="2" width="10.3125" bestFit="1" customWidth="1"/>
    <col min="11" max="11" width="9.41796875" bestFit="1" customWidth="1"/>
    <col min="12" max="12" width="11.1015625" bestFit="1" customWidth="1"/>
    <col min="21" max="21" width="11" bestFit="1" customWidth="1"/>
    <col min="22" max="22" width="12" bestFit="1" customWidth="1"/>
    <col min="33" max="33" width="10.3125" bestFit="1" customWidth="1"/>
    <col min="42" max="42" width="9.89453125" bestFit="1" customWidth="1"/>
    <col min="52" max="52" width="9.89453125" bestFit="1" customWidth="1"/>
  </cols>
  <sheetData>
    <row r="1" spans="1:54" ht="100.8" x14ac:dyDescent="0.55000000000000004">
      <c r="A1" s="17" t="s">
        <v>0</v>
      </c>
      <c r="B1" s="35" t="s">
        <v>23</v>
      </c>
      <c r="C1" s="19" t="s">
        <v>24</v>
      </c>
      <c r="D1" s="19" t="s">
        <v>25</v>
      </c>
      <c r="E1" s="19" t="s">
        <v>26</v>
      </c>
      <c r="F1" s="19" t="s">
        <v>27</v>
      </c>
      <c r="G1" s="19" t="s">
        <v>28</v>
      </c>
      <c r="H1" s="19" t="s">
        <v>29</v>
      </c>
      <c r="I1" s="19" t="s">
        <v>30</v>
      </c>
      <c r="J1" s="19" t="s">
        <v>31</v>
      </c>
      <c r="K1" s="20" t="s">
        <v>32</v>
      </c>
      <c r="L1" s="21" t="s">
        <v>33</v>
      </c>
      <c r="M1" s="22" t="s">
        <v>34</v>
      </c>
      <c r="N1" s="19" t="s">
        <v>35</v>
      </c>
      <c r="O1" s="23" t="s">
        <v>36</v>
      </c>
      <c r="P1" s="23" t="s">
        <v>37</v>
      </c>
      <c r="Q1" s="24" t="s">
        <v>38</v>
      </c>
      <c r="R1" s="19" t="s">
        <v>39</v>
      </c>
      <c r="S1" s="36" t="s">
        <v>40</v>
      </c>
      <c r="T1" s="19" t="s">
        <v>46</v>
      </c>
      <c r="U1" s="20" t="s">
        <v>79</v>
      </c>
      <c r="V1" s="9" t="s">
        <v>80</v>
      </c>
      <c r="W1" s="3" t="s">
        <v>81</v>
      </c>
      <c r="AF1" s="37" t="s">
        <v>0</v>
      </c>
      <c r="AG1" s="35" t="s">
        <v>23</v>
      </c>
      <c r="AH1" s="38" t="s">
        <v>24</v>
      </c>
      <c r="AI1" s="38" t="s">
        <v>25</v>
      </c>
      <c r="AJ1" s="38" t="s">
        <v>26</v>
      </c>
      <c r="AK1" s="38" t="s">
        <v>27</v>
      </c>
      <c r="AL1" s="38" t="s">
        <v>28</v>
      </c>
      <c r="AM1" s="38" t="s">
        <v>29</v>
      </c>
      <c r="AN1" s="38" t="s">
        <v>30</v>
      </c>
      <c r="AO1" s="38" t="s">
        <v>31</v>
      </c>
      <c r="AP1" s="39" t="s">
        <v>32</v>
      </c>
      <c r="AQ1" s="40" t="s">
        <v>33</v>
      </c>
      <c r="AR1" s="22" t="s">
        <v>34</v>
      </c>
      <c r="AS1" s="38" t="s">
        <v>35</v>
      </c>
      <c r="AT1" s="41" t="s">
        <v>36</v>
      </c>
      <c r="AU1" s="41" t="s">
        <v>37</v>
      </c>
      <c r="AV1" s="42" t="s">
        <v>38</v>
      </c>
      <c r="AW1" s="38" t="s">
        <v>39</v>
      </c>
      <c r="AX1" s="43" t="s">
        <v>40</v>
      </c>
      <c r="AY1" s="38" t="s">
        <v>46</v>
      </c>
      <c r="AZ1" s="39" t="s">
        <v>82</v>
      </c>
      <c r="BA1" s="44" t="s">
        <v>80</v>
      </c>
      <c r="BB1" s="44" t="s">
        <v>81</v>
      </c>
    </row>
    <row r="2" spans="1:54" x14ac:dyDescent="0.55000000000000004">
      <c r="A2" s="119">
        <v>44930</v>
      </c>
      <c r="B2" s="120">
        <v>0.375</v>
      </c>
      <c r="C2" s="121" t="s">
        <v>70</v>
      </c>
      <c r="D2" s="121" t="s">
        <v>71</v>
      </c>
      <c r="E2" s="121" t="s">
        <v>925</v>
      </c>
      <c r="F2" s="121">
        <v>1</v>
      </c>
      <c r="G2" s="121" t="s">
        <v>73</v>
      </c>
      <c r="H2" s="121" t="s">
        <v>74</v>
      </c>
      <c r="I2" s="121" t="s">
        <v>83</v>
      </c>
      <c r="J2" s="121">
        <v>189</v>
      </c>
      <c r="K2" s="122">
        <v>44930</v>
      </c>
      <c r="L2" s="120">
        <v>0.54238425925925926</v>
      </c>
      <c r="M2" s="121">
        <v>1</v>
      </c>
      <c r="N2" s="121" t="s">
        <v>84</v>
      </c>
      <c r="O2" s="121">
        <v>0.50800000000000001</v>
      </c>
      <c r="P2" s="121">
        <v>3.4599999999999999E-2</v>
      </c>
      <c r="Q2" s="121">
        <v>0</v>
      </c>
      <c r="R2" s="121" t="s">
        <v>85</v>
      </c>
      <c r="S2" s="123">
        <f t="shared" ref="S2:S48" si="0">IF(OR(AND(I2&lt;&gt;"TP", I2&lt;&gt;"TDP",I2&lt;&gt;"TN", I2&lt;&gt;"TDN"),H2="CAL"), Q2*M2, IF(OR(AND(I2="TN", Q2&gt;2500), AND(I2="TDN", Q2&gt;2500)),MAX(Q2, AK2)*M2, IF(OR(AND(I2="TN", Q2&lt;=2500), AND(I2="TDN", Q2&lt;=2500)),MAX(Q2, AJ2,AK2)*M2, IF(OR(AND(I2="TP",Q2&gt;500), AND(I2="TDP", Q2&gt;500)),MAX(Q2,AK2)*M2,IF(OR(AND(I2="TP",Q2&lt;=150), AND(I2="TDP", Q2&lt;=150)),MAX(Q2,AG2:AI2,AK2)*M2,IF(OR(AND(I2="TP",Q2&lt;=300), AND(I2="TDP", Q2&lt;=300)),MAX(Q2,AH2,AI2,AK2)*M2,IF(OR(AND(I2="TP",Q2&lt;=500), AND(I2="TDP", Q2&lt;=500)),MAX(Q2,AI2,AK2)*M2,"")))))))</f>
        <v>0</v>
      </c>
      <c r="T2" s="10" t="s">
        <v>970</v>
      </c>
      <c r="U2" s="45">
        <v>44930</v>
      </c>
      <c r="V2">
        <f>-2.6941*O2^2+86.956*O2-40.231</f>
        <v>3.2473977775999998</v>
      </c>
      <c r="W2" t="s">
        <v>987</v>
      </c>
      <c r="AF2" s="119">
        <v>44930</v>
      </c>
      <c r="AG2" s="120">
        <v>0.375</v>
      </c>
      <c r="AH2" s="121" t="s">
        <v>70</v>
      </c>
      <c r="AI2" s="121" t="s">
        <v>71</v>
      </c>
      <c r="AJ2" s="121" t="s">
        <v>931</v>
      </c>
      <c r="AK2" s="121">
        <v>1</v>
      </c>
      <c r="AL2" s="121" t="s">
        <v>73</v>
      </c>
      <c r="AM2" s="121" t="s">
        <v>74</v>
      </c>
      <c r="AN2" s="121" t="s">
        <v>83</v>
      </c>
      <c r="AO2" s="121">
        <v>195</v>
      </c>
      <c r="AP2" s="122">
        <v>44930</v>
      </c>
      <c r="AQ2" s="120">
        <v>0.54663194444444441</v>
      </c>
      <c r="AR2" s="121">
        <v>1</v>
      </c>
      <c r="AS2" s="121" t="s">
        <v>84</v>
      </c>
      <c r="AT2" s="121">
        <v>4.55</v>
      </c>
      <c r="AU2" s="121">
        <v>0.32500000000000001</v>
      </c>
      <c r="AV2" s="121">
        <v>300</v>
      </c>
      <c r="AW2" s="121" t="s">
        <v>85</v>
      </c>
      <c r="AX2" s="123">
        <f t="shared" ref="AX2:AX8" si="1">IF(OR(AND(AN2&lt;&gt;"TP", AN2&lt;&gt;"TDP",AN2&lt;&gt;"TN", AN2&lt;&gt;"TDN"),AM2="CAL"), AV2*AR2, IF(OR(AND(AN2="TN", AV2&gt;2500), AND(AN2="TDN", AV2&gt;2500)),MAX(AV2, BP2)*AR2, IF(OR(AND(AN2="TN", AV2&lt;=2500), AND(AN2="TDN", AV2&lt;=2500)),MAX(AV2, BO2,BP2)*AR2, IF(OR(AND(AN2="TP",AV2&gt;500), AND(AN2="TDP", AV2&gt;500)),MAX(AV2,BP2)*AR2,IF(OR(AND(AN2="TP",AV2&lt;=150), AND(AN2="TDP", AV2&lt;=150)),MAX(AV2,BL2:BN2,BP2)*AR2,IF(OR(AND(AN2="TP",AV2&lt;=300), AND(AN2="TDP", AV2&lt;=300)),MAX(AV2,BM2,BN2,BP2)*AR2,IF(OR(AND(AN2="TP",AV2&lt;=500), AND(AN2="TDP", AV2&lt;=500)),MAX(AV2,BN2,BP2)*AR2,"")))))))</f>
        <v>300</v>
      </c>
      <c r="AY2" s="10" t="s">
        <v>970</v>
      </c>
      <c r="AZ2" s="45">
        <v>44930</v>
      </c>
      <c r="BA2">
        <f t="shared" ref="BA2" si="2">-2.6941*AT2^2+86.956*AT2-40.231</f>
        <v>299.64419475</v>
      </c>
      <c r="BB2" t="s">
        <v>987</v>
      </c>
    </row>
    <row r="3" spans="1:54" x14ac:dyDescent="0.55000000000000004">
      <c r="A3" s="119">
        <v>44930</v>
      </c>
      <c r="B3" s="120">
        <v>0.375</v>
      </c>
      <c r="C3" s="121" t="s">
        <v>70</v>
      </c>
      <c r="D3" s="121" t="s">
        <v>71</v>
      </c>
      <c r="E3" s="121" t="s">
        <v>926</v>
      </c>
      <c r="F3" s="121">
        <v>1</v>
      </c>
      <c r="G3" s="121" t="s">
        <v>73</v>
      </c>
      <c r="H3" s="121" t="s">
        <v>74</v>
      </c>
      <c r="I3" s="121" t="s">
        <v>83</v>
      </c>
      <c r="J3" s="121">
        <v>190</v>
      </c>
      <c r="K3" s="122">
        <v>44930</v>
      </c>
      <c r="L3" s="120">
        <v>0.54309027777777774</v>
      </c>
      <c r="M3" s="121">
        <v>1</v>
      </c>
      <c r="N3" s="121" t="s">
        <v>84</v>
      </c>
      <c r="O3" s="121">
        <v>0.52900000000000003</v>
      </c>
      <c r="P3" s="121">
        <v>3.5799999999999998E-2</v>
      </c>
      <c r="Q3" s="121">
        <v>5</v>
      </c>
      <c r="R3" s="121" t="s">
        <v>85</v>
      </c>
      <c r="S3" s="123">
        <f t="shared" si="0"/>
        <v>5</v>
      </c>
      <c r="T3" s="10" t="s">
        <v>970</v>
      </c>
      <c r="U3" s="45">
        <v>44930</v>
      </c>
      <c r="V3">
        <f t="shared" ref="V3:V8" si="3">-2.6941*O3^2+86.956*O3-40.231</f>
        <v>5.0148043618999978</v>
      </c>
      <c r="W3" t="s">
        <v>987</v>
      </c>
      <c r="AF3" s="124">
        <v>44937</v>
      </c>
      <c r="AG3" s="125">
        <v>0.375</v>
      </c>
      <c r="AH3" s="31" t="s">
        <v>70</v>
      </c>
      <c r="AI3" s="31" t="s">
        <v>71</v>
      </c>
      <c r="AJ3" s="31" t="s">
        <v>931</v>
      </c>
      <c r="AK3" s="31">
        <v>1</v>
      </c>
      <c r="AL3" s="31" t="s">
        <v>73</v>
      </c>
      <c r="AM3" s="31" t="s">
        <v>74</v>
      </c>
      <c r="AN3" s="31" t="s">
        <v>83</v>
      </c>
      <c r="AO3" s="31">
        <v>195</v>
      </c>
      <c r="AP3" s="126">
        <v>44937</v>
      </c>
      <c r="AQ3" s="125">
        <v>0.58734953703703707</v>
      </c>
      <c r="AR3" s="31">
        <v>1</v>
      </c>
      <c r="AS3" s="31" t="s">
        <v>84</v>
      </c>
      <c r="AT3" s="31">
        <v>4.63</v>
      </c>
      <c r="AU3" s="31">
        <v>0.33700000000000002</v>
      </c>
      <c r="AV3" s="31">
        <v>300</v>
      </c>
      <c r="AW3" s="31" t="s">
        <v>85</v>
      </c>
      <c r="AX3" s="34">
        <f t="shared" si="1"/>
        <v>300</v>
      </c>
      <c r="AY3" s="31" t="s">
        <v>1021</v>
      </c>
      <c r="AZ3" s="127">
        <v>44937</v>
      </c>
      <c r="BA3" s="128">
        <f t="shared" ref="BA3" si="4">-2.8628*AT3^2+86.116*AT3-37.286</f>
        <v>300.06152268</v>
      </c>
      <c r="BB3" s="128" t="s">
        <v>1038</v>
      </c>
    </row>
    <row r="4" spans="1:54" x14ac:dyDescent="0.55000000000000004">
      <c r="A4" s="119">
        <v>44930</v>
      </c>
      <c r="B4" s="120">
        <v>0.375</v>
      </c>
      <c r="C4" s="121" t="s">
        <v>70</v>
      </c>
      <c r="D4" s="121" t="s">
        <v>71</v>
      </c>
      <c r="E4" s="121" t="s">
        <v>927</v>
      </c>
      <c r="F4" s="121">
        <v>1</v>
      </c>
      <c r="G4" s="121" t="s">
        <v>73</v>
      </c>
      <c r="H4" s="121" t="s">
        <v>74</v>
      </c>
      <c r="I4" s="121" t="s">
        <v>83</v>
      </c>
      <c r="J4" s="121">
        <v>191</v>
      </c>
      <c r="K4" s="122">
        <v>44930</v>
      </c>
      <c r="L4" s="120">
        <v>0.54379629629629633</v>
      </c>
      <c r="M4" s="121">
        <v>1</v>
      </c>
      <c r="N4" s="121" t="s">
        <v>84</v>
      </c>
      <c r="O4" s="121">
        <v>0.64400000000000002</v>
      </c>
      <c r="P4" s="121">
        <v>4.41E-2</v>
      </c>
      <c r="Q4" s="121">
        <v>15</v>
      </c>
      <c r="R4" s="121" t="s">
        <v>85</v>
      </c>
      <c r="S4" s="123">
        <f t="shared" si="0"/>
        <v>15</v>
      </c>
      <c r="T4" s="10" t="s">
        <v>970</v>
      </c>
      <c r="U4" s="45">
        <v>44930</v>
      </c>
      <c r="V4">
        <f t="shared" si="3"/>
        <v>14.651323742400002</v>
      </c>
      <c r="W4" t="s">
        <v>987</v>
      </c>
      <c r="AF4" s="119">
        <v>44950</v>
      </c>
      <c r="AG4" s="120">
        <v>0.375</v>
      </c>
      <c r="AH4" s="121" t="s">
        <v>70</v>
      </c>
      <c r="AI4" s="121" t="s">
        <v>71</v>
      </c>
      <c r="AJ4" s="121" t="s">
        <v>931</v>
      </c>
      <c r="AK4" s="121">
        <v>1</v>
      </c>
      <c r="AL4" s="121" t="s">
        <v>73</v>
      </c>
      <c r="AM4" s="121" t="s">
        <v>74</v>
      </c>
      <c r="AN4" s="121" t="s">
        <v>83</v>
      </c>
      <c r="AO4" s="121">
        <v>195</v>
      </c>
      <c r="AP4" s="122">
        <v>44950</v>
      </c>
      <c r="AQ4" s="120">
        <v>0.53396990740740746</v>
      </c>
      <c r="AR4" s="121">
        <v>1</v>
      </c>
      <c r="AS4" s="121" t="s">
        <v>84</v>
      </c>
      <c r="AT4" s="121">
        <v>4.54</v>
      </c>
      <c r="AU4" s="121">
        <v>0.32700000000000001</v>
      </c>
      <c r="AV4" s="121">
        <v>300</v>
      </c>
      <c r="AW4" s="121" t="s">
        <v>85</v>
      </c>
      <c r="AX4" s="123">
        <f t="shared" si="1"/>
        <v>300</v>
      </c>
      <c r="AY4" s="10" t="s">
        <v>1071</v>
      </c>
      <c r="AZ4" s="45">
        <v>44950</v>
      </c>
      <c r="BA4" s="129">
        <f t="shared" ref="BA4" si="5">-3.008*AT4^2+89.421*AT4-44.125</f>
        <v>299.84664720000006</v>
      </c>
      <c r="BB4" s="129" t="s">
        <v>1090</v>
      </c>
    </row>
    <row r="5" spans="1:54" x14ac:dyDescent="0.55000000000000004">
      <c r="A5" s="119">
        <v>44930</v>
      </c>
      <c r="B5" s="120">
        <v>0.375</v>
      </c>
      <c r="C5" s="121" t="s">
        <v>70</v>
      </c>
      <c r="D5" s="121" t="s">
        <v>71</v>
      </c>
      <c r="E5" s="121" t="s">
        <v>928</v>
      </c>
      <c r="F5" s="121">
        <v>1</v>
      </c>
      <c r="G5" s="121" t="s">
        <v>73</v>
      </c>
      <c r="H5" s="121" t="s">
        <v>74</v>
      </c>
      <c r="I5" s="121" t="s">
        <v>83</v>
      </c>
      <c r="J5" s="121">
        <v>192</v>
      </c>
      <c r="K5" s="122">
        <v>44930</v>
      </c>
      <c r="L5" s="120">
        <v>0.54451388888888885</v>
      </c>
      <c r="M5" s="121">
        <v>1</v>
      </c>
      <c r="N5" s="121" t="s">
        <v>84</v>
      </c>
      <c r="O5" s="121">
        <v>0.68400000000000005</v>
      </c>
      <c r="P5" s="121">
        <v>4.6399999999999997E-2</v>
      </c>
      <c r="Q5" s="121">
        <v>20</v>
      </c>
      <c r="R5" s="121" t="s">
        <v>85</v>
      </c>
      <c r="S5" s="123">
        <f t="shared" si="0"/>
        <v>20</v>
      </c>
      <c r="T5" s="10" t="s">
        <v>970</v>
      </c>
      <c r="U5" s="45">
        <v>44930</v>
      </c>
      <c r="V5">
        <f t="shared" si="3"/>
        <v>17.98645315040001</v>
      </c>
      <c r="W5" t="s">
        <v>987</v>
      </c>
      <c r="AF5" s="124">
        <v>44958</v>
      </c>
      <c r="AG5" s="125">
        <v>0.375</v>
      </c>
      <c r="AH5" s="31" t="s">
        <v>70</v>
      </c>
      <c r="AI5" s="31" t="s">
        <v>71</v>
      </c>
      <c r="AJ5" s="31" t="s">
        <v>931</v>
      </c>
      <c r="AK5" s="31">
        <v>1</v>
      </c>
      <c r="AL5" s="31" t="s">
        <v>73</v>
      </c>
      <c r="AM5" s="31" t="s">
        <v>74</v>
      </c>
      <c r="AN5" s="31" t="s">
        <v>83</v>
      </c>
      <c r="AO5" s="31">
        <v>195</v>
      </c>
      <c r="AP5" s="126">
        <v>44958</v>
      </c>
      <c r="AQ5" s="125">
        <v>0.58019675925925929</v>
      </c>
      <c r="AR5" s="31">
        <v>1</v>
      </c>
      <c r="AS5" s="31" t="s">
        <v>84</v>
      </c>
      <c r="AT5" s="31">
        <v>4.59</v>
      </c>
      <c r="AU5" s="31">
        <v>0.32700000000000001</v>
      </c>
      <c r="AV5" s="31">
        <v>300</v>
      </c>
      <c r="AW5" s="31" t="s">
        <v>85</v>
      </c>
      <c r="AX5" s="34">
        <f t="shared" si="1"/>
        <v>300</v>
      </c>
      <c r="AY5" s="31" t="s">
        <v>1126</v>
      </c>
      <c r="AZ5" s="127">
        <v>44958</v>
      </c>
      <c r="BA5" s="128">
        <f t="shared" ref="BA5" si="6">-1.3807*AT5^2+80.818*AT5-42.013</f>
        <v>299.85289433000003</v>
      </c>
      <c r="BB5" s="128" t="s">
        <v>1143</v>
      </c>
    </row>
    <row r="6" spans="1:54" x14ac:dyDescent="0.55000000000000004">
      <c r="A6" s="119">
        <v>44930</v>
      </c>
      <c r="B6" s="120">
        <v>0.375</v>
      </c>
      <c r="C6" s="121" t="s">
        <v>70</v>
      </c>
      <c r="D6" s="121" t="s">
        <v>71</v>
      </c>
      <c r="E6" s="121" t="s">
        <v>929</v>
      </c>
      <c r="F6" s="121">
        <v>1</v>
      </c>
      <c r="G6" s="121" t="s">
        <v>73</v>
      </c>
      <c r="H6" s="121" t="s">
        <v>74</v>
      </c>
      <c r="I6" s="121" t="s">
        <v>83</v>
      </c>
      <c r="J6" s="121">
        <v>193</v>
      </c>
      <c r="K6" s="122">
        <v>44930</v>
      </c>
      <c r="L6" s="120">
        <v>0.54520833333333341</v>
      </c>
      <c r="M6" s="121">
        <v>1</v>
      </c>
      <c r="N6" s="121" t="s">
        <v>84</v>
      </c>
      <c r="O6" s="121">
        <v>1.35</v>
      </c>
      <c r="P6" s="121">
        <v>9.4100000000000003E-2</v>
      </c>
      <c r="Q6" s="121">
        <v>75</v>
      </c>
      <c r="R6" s="121" t="s">
        <v>85</v>
      </c>
      <c r="S6" s="123">
        <f t="shared" si="0"/>
        <v>75</v>
      </c>
      <c r="T6" s="10" t="s">
        <v>970</v>
      </c>
      <c r="U6" s="45">
        <v>44930</v>
      </c>
      <c r="V6">
        <f t="shared" si="3"/>
        <v>72.249602750000008</v>
      </c>
      <c r="W6" t="s">
        <v>987</v>
      </c>
      <c r="AF6" s="32">
        <v>44966</v>
      </c>
      <c r="AG6" s="33">
        <v>0.375</v>
      </c>
      <c r="AH6" s="10" t="s">
        <v>70</v>
      </c>
      <c r="AI6" s="10" t="s">
        <v>71</v>
      </c>
      <c r="AJ6" s="10" t="s">
        <v>931</v>
      </c>
      <c r="AK6" s="10">
        <v>1</v>
      </c>
      <c r="AL6" s="10" t="s">
        <v>73</v>
      </c>
      <c r="AM6" s="10" t="s">
        <v>74</v>
      </c>
      <c r="AN6" s="10" t="s">
        <v>83</v>
      </c>
      <c r="AO6" s="10">
        <v>195</v>
      </c>
      <c r="AP6" s="12">
        <v>44966</v>
      </c>
      <c r="AQ6" s="33">
        <v>0.55815972222222221</v>
      </c>
      <c r="AR6" s="10">
        <v>1</v>
      </c>
      <c r="AS6" s="10" t="s">
        <v>84</v>
      </c>
      <c r="AT6" s="10">
        <v>4.51</v>
      </c>
      <c r="AU6" s="10">
        <v>0.32700000000000001</v>
      </c>
      <c r="AV6" s="10">
        <v>300</v>
      </c>
      <c r="AW6" s="10" t="s">
        <v>85</v>
      </c>
      <c r="AX6" s="123">
        <f t="shared" si="1"/>
        <v>300</v>
      </c>
      <c r="AY6" s="10" t="s">
        <v>1188</v>
      </c>
      <c r="AZ6" s="45">
        <v>44966</v>
      </c>
      <c r="BA6" s="129">
        <f t="shared" ref="BA6" si="7">-2.9408*AT6^2+89.45*AT6-43.664</f>
        <v>299.93933391999997</v>
      </c>
      <c r="BB6" s="129" t="s">
        <v>1203</v>
      </c>
    </row>
    <row r="7" spans="1:54" x14ac:dyDescent="0.55000000000000004">
      <c r="A7" s="119">
        <v>44930</v>
      </c>
      <c r="B7" s="120">
        <v>0.375</v>
      </c>
      <c r="C7" s="121" t="s">
        <v>70</v>
      </c>
      <c r="D7" s="121" t="s">
        <v>71</v>
      </c>
      <c r="E7" s="121" t="s">
        <v>930</v>
      </c>
      <c r="F7" s="121">
        <v>1</v>
      </c>
      <c r="G7" s="121" t="s">
        <v>73</v>
      </c>
      <c r="H7" s="121" t="s">
        <v>74</v>
      </c>
      <c r="I7" s="121" t="s">
        <v>83</v>
      </c>
      <c r="J7" s="121">
        <v>194</v>
      </c>
      <c r="K7" s="122">
        <v>44930</v>
      </c>
      <c r="L7" s="120">
        <v>0.54592592592592593</v>
      </c>
      <c r="M7" s="121">
        <v>1</v>
      </c>
      <c r="N7" s="121" t="s">
        <v>84</v>
      </c>
      <c r="O7" s="121">
        <v>2.39</v>
      </c>
      <c r="P7" s="121">
        <v>0.16900000000000001</v>
      </c>
      <c r="Q7" s="121">
        <v>150</v>
      </c>
      <c r="R7" s="121" t="s">
        <v>85</v>
      </c>
      <c r="S7" s="123">
        <f t="shared" si="0"/>
        <v>150</v>
      </c>
      <c r="T7" s="10" t="s">
        <v>970</v>
      </c>
      <c r="U7" s="45">
        <v>44930</v>
      </c>
      <c r="V7">
        <f t="shared" si="3"/>
        <v>152.20487139000002</v>
      </c>
      <c r="W7" t="s">
        <v>987</v>
      </c>
      <c r="AF7" s="124">
        <v>44972</v>
      </c>
      <c r="AG7" s="125">
        <v>0.375</v>
      </c>
      <c r="AH7" s="31" t="s">
        <v>70</v>
      </c>
      <c r="AI7" s="31" t="s">
        <v>71</v>
      </c>
      <c r="AJ7" s="31" t="s">
        <v>931</v>
      </c>
      <c r="AK7" s="31">
        <v>1</v>
      </c>
      <c r="AL7" s="31" t="s">
        <v>73</v>
      </c>
      <c r="AM7" s="31" t="s">
        <v>74</v>
      </c>
      <c r="AN7" s="31" t="s">
        <v>83</v>
      </c>
      <c r="AO7" s="31">
        <v>195</v>
      </c>
      <c r="AP7" s="126">
        <v>44972</v>
      </c>
      <c r="AQ7" s="125">
        <v>0.55393518518518514</v>
      </c>
      <c r="AR7" s="31">
        <v>1</v>
      </c>
      <c r="AS7" s="31" t="s">
        <v>84</v>
      </c>
      <c r="AT7" s="31">
        <v>4.55</v>
      </c>
      <c r="AU7" s="31">
        <v>0.33100000000000002</v>
      </c>
      <c r="AV7" s="31">
        <v>300</v>
      </c>
      <c r="AW7" s="31" t="s">
        <v>85</v>
      </c>
      <c r="AX7" s="34">
        <f t="shared" si="1"/>
        <v>300</v>
      </c>
      <c r="AY7" s="128" t="s">
        <v>1232</v>
      </c>
      <c r="AZ7" s="127">
        <v>44972</v>
      </c>
      <c r="BA7" s="128">
        <f t="shared" ref="BA7" si="8">-3.4074*AT7^2+90.534*AT7-41.641</f>
        <v>299.74700150000001</v>
      </c>
      <c r="BB7" s="128" t="s">
        <v>1249</v>
      </c>
    </row>
    <row r="8" spans="1:54" x14ac:dyDescent="0.55000000000000004">
      <c r="A8" s="119">
        <v>44930</v>
      </c>
      <c r="B8" s="120">
        <v>0.375</v>
      </c>
      <c r="C8" s="121" t="s">
        <v>70</v>
      </c>
      <c r="D8" s="121" t="s">
        <v>71</v>
      </c>
      <c r="E8" s="121" t="s">
        <v>931</v>
      </c>
      <c r="F8" s="121">
        <v>1</v>
      </c>
      <c r="G8" s="121" t="s">
        <v>73</v>
      </c>
      <c r="H8" s="121" t="s">
        <v>74</v>
      </c>
      <c r="I8" s="121" t="s">
        <v>83</v>
      </c>
      <c r="J8" s="121">
        <v>195</v>
      </c>
      <c r="K8" s="122">
        <v>44930</v>
      </c>
      <c r="L8" s="120">
        <v>0.54663194444444441</v>
      </c>
      <c r="M8" s="121">
        <v>1</v>
      </c>
      <c r="N8" s="121" t="s">
        <v>84</v>
      </c>
      <c r="O8" s="121">
        <v>4.55</v>
      </c>
      <c r="P8" s="121">
        <v>0.32500000000000001</v>
      </c>
      <c r="Q8" s="121">
        <v>300</v>
      </c>
      <c r="R8" s="121" t="s">
        <v>85</v>
      </c>
      <c r="S8" s="123">
        <f t="shared" si="0"/>
        <v>300</v>
      </c>
      <c r="T8" s="10" t="s">
        <v>970</v>
      </c>
      <c r="U8" s="45">
        <v>44930</v>
      </c>
      <c r="V8">
        <f t="shared" si="3"/>
        <v>299.64419475</v>
      </c>
      <c r="W8" t="s">
        <v>987</v>
      </c>
      <c r="AF8" s="32">
        <v>44979</v>
      </c>
      <c r="AG8" s="33">
        <v>0.375</v>
      </c>
      <c r="AH8" s="10" t="s">
        <v>70</v>
      </c>
      <c r="AI8" s="10" t="s">
        <v>71</v>
      </c>
      <c r="AJ8" s="10" t="s">
        <v>931</v>
      </c>
      <c r="AK8" s="10">
        <v>1</v>
      </c>
      <c r="AL8" s="10" t="s">
        <v>73</v>
      </c>
      <c r="AM8" s="10" t="s">
        <v>74</v>
      </c>
      <c r="AN8" s="10" t="s">
        <v>83</v>
      </c>
      <c r="AO8" s="10">
        <v>195</v>
      </c>
      <c r="AP8" s="12">
        <v>44980</v>
      </c>
      <c r="AQ8" s="33">
        <v>0.42788194444444444</v>
      </c>
      <c r="AR8" s="10">
        <v>1</v>
      </c>
      <c r="AS8" s="10" t="s">
        <v>84</v>
      </c>
      <c r="AT8" s="10">
        <v>4.3</v>
      </c>
      <c r="AU8" s="10">
        <v>0.314</v>
      </c>
      <c r="AV8" s="10">
        <v>300</v>
      </c>
      <c r="AW8" s="10" t="s">
        <v>85</v>
      </c>
      <c r="AX8" s="123">
        <f t="shared" si="1"/>
        <v>300</v>
      </c>
      <c r="AY8" s="10" t="s">
        <v>1285</v>
      </c>
      <c r="AZ8" s="45">
        <v>44980</v>
      </c>
      <c r="BA8" s="129">
        <f t="shared" ref="BA8" si="9">-5.1889*AT8^2+102.33*AT8-44.163</f>
        <v>299.91323899999998</v>
      </c>
      <c r="BB8" s="129" t="s">
        <v>1302</v>
      </c>
    </row>
    <row r="9" spans="1:54" x14ac:dyDescent="0.55000000000000004">
      <c r="A9" s="124">
        <v>44937</v>
      </c>
      <c r="B9" s="125">
        <v>0.375</v>
      </c>
      <c r="C9" s="31" t="s">
        <v>70</v>
      </c>
      <c r="D9" s="31" t="s">
        <v>71</v>
      </c>
      <c r="E9" s="31" t="s">
        <v>925</v>
      </c>
      <c r="F9" s="31">
        <v>1</v>
      </c>
      <c r="G9" s="31" t="s">
        <v>73</v>
      </c>
      <c r="H9" s="31" t="s">
        <v>74</v>
      </c>
      <c r="I9" s="31" t="s">
        <v>83</v>
      </c>
      <c r="J9" s="31">
        <v>189</v>
      </c>
      <c r="K9" s="126">
        <v>44937</v>
      </c>
      <c r="L9" s="125">
        <v>0.58310185185185182</v>
      </c>
      <c r="M9" s="31">
        <v>1</v>
      </c>
      <c r="N9" s="31" t="s">
        <v>84</v>
      </c>
      <c r="O9" s="31">
        <v>0.46899999999999997</v>
      </c>
      <c r="P9" s="31">
        <v>3.1899999999999998E-2</v>
      </c>
      <c r="Q9" s="31">
        <v>0</v>
      </c>
      <c r="R9" s="31" t="s">
        <v>85</v>
      </c>
      <c r="S9" s="34">
        <f t="shared" si="0"/>
        <v>0</v>
      </c>
      <c r="T9" s="31" t="s">
        <v>1021</v>
      </c>
      <c r="U9" s="127">
        <v>44937</v>
      </c>
      <c r="V9" s="128">
        <f>-2.8628*O9^2+86.116*O9-37.286</f>
        <v>2.4726996491999955</v>
      </c>
      <c r="W9" s="128" t="s">
        <v>1038</v>
      </c>
      <c r="X9" s="128"/>
      <c r="Y9" s="128"/>
    </row>
    <row r="10" spans="1:54" x14ac:dyDescent="0.55000000000000004">
      <c r="A10" s="124">
        <v>44937</v>
      </c>
      <c r="B10" s="125">
        <v>0.375</v>
      </c>
      <c r="C10" s="31" t="s">
        <v>70</v>
      </c>
      <c r="D10" s="31" t="s">
        <v>71</v>
      </c>
      <c r="E10" s="31" t="s">
        <v>926</v>
      </c>
      <c r="F10" s="31">
        <v>1</v>
      </c>
      <c r="G10" s="31" t="s">
        <v>73</v>
      </c>
      <c r="H10" s="31" t="s">
        <v>74</v>
      </c>
      <c r="I10" s="31" t="s">
        <v>83</v>
      </c>
      <c r="J10" s="31">
        <v>190</v>
      </c>
      <c r="K10" s="126">
        <v>44937</v>
      </c>
      <c r="L10" s="125">
        <v>0.5838078703703703</v>
      </c>
      <c r="M10" s="31">
        <v>1</v>
      </c>
      <c r="N10" s="31" t="s">
        <v>84</v>
      </c>
      <c r="O10" s="31">
        <v>0.50800000000000001</v>
      </c>
      <c r="P10" s="31">
        <v>3.49E-2</v>
      </c>
      <c r="Q10" s="31">
        <v>5</v>
      </c>
      <c r="R10" s="31" t="s">
        <v>85</v>
      </c>
      <c r="S10" s="34">
        <f t="shared" si="0"/>
        <v>5</v>
      </c>
      <c r="T10" s="31" t="s">
        <v>1021</v>
      </c>
      <c r="U10" s="127">
        <v>44937</v>
      </c>
      <c r="V10" s="128">
        <f t="shared" ref="V10:V15" si="10">-2.8628*O10^2+86.116*O10-37.286</f>
        <v>5.722142380799994</v>
      </c>
      <c r="W10" s="128" t="s">
        <v>1038</v>
      </c>
      <c r="X10" s="128"/>
      <c r="Y10" s="128"/>
    </row>
    <row r="11" spans="1:54" x14ac:dyDescent="0.55000000000000004">
      <c r="A11" s="124">
        <v>44937</v>
      </c>
      <c r="B11" s="125">
        <v>0.375</v>
      </c>
      <c r="C11" s="31" t="s">
        <v>70</v>
      </c>
      <c r="D11" s="31" t="s">
        <v>71</v>
      </c>
      <c r="E11" s="31" t="s">
        <v>927</v>
      </c>
      <c r="F11" s="31">
        <v>1</v>
      </c>
      <c r="G11" s="31" t="s">
        <v>73</v>
      </c>
      <c r="H11" s="31" t="s">
        <v>74</v>
      </c>
      <c r="I11" s="31" t="s">
        <v>83</v>
      </c>
      <c r="J11" s="31">
        <v>191</v>
      </c>
      <c r="K11" s="126">
        <v>44937</v>
      </c>
      <c r="L11" s="125">
        <v>0.58451388888888889</v>
      </c>
      <c r="M11" s="31">
        <v>1</v>
      </c>
      <c r="N11" s="31" t="s">
        <v>84</v>
      </c>
      <c r="O11" s="31">
        <v>0.58899999999999997</v>
      </c>
      <c r="P11" s="31">
        <v>4.0800000000000003E-2</v>
      </c>
      <c r="Q11" s="31">
        <v>15</v>
      </c>
      <c r="R11" s="31" t="s">
        <v>85</v>
      </c>
      <c r="S11" s="34">
        <f t="shared" si="0"/>
        <v>15</v>
      </c>
      <c r="T11" s="31" t="s">
        <v>1021</v>
      </c>
      <c r="U11" s="127">
        <v>44937</v>
      </c>
      <c r="V11" s="128">
        <f t="shared" si="10"/>
        <v>12.443158561200001</v>
      </c>
      <c r="W11" s="128" t="s">
        <v>1038</v>
      </c>
      <c r="X11" s="128"/>
      <c r="Y11" s="128"/>
    </row>
    <row r="12" spans="1:54" x14ac:dyDescent="0.55000000000000004">
      <c r="A12" s="124">
        <v>44937</v>
      </c>
      <c r="B12" s="125">
        <v>0.375</v>
      </c>
      <c r="C12" s="31" t="s">
        <v>70</v>
      </c>
      <c r="D12" s="31" t="s">
        <v>71</v>
      </c>
      <c r="E12" s="31" t="s">
        <v>928</v>
      </c>
      <c r="F12" s="31">
        <v>1</v>
      </c>
      <c r="G12" s="31" t="s">
        <v>73</v>
      </c>
      <c r="H12" s="31" t="s">
        <v>74</v>
      </c>
      <c r="I12" s="31" t="s">
        <v>83</v>
      </c>
      <c r="J12" s="31">
        <v>192</v>
      </c>
      <c r="K12" s="126">
        <v>44937</v>
      </c>
      <c r="L12" s="125">
        <v>0.58523148148148152</v>
      </c>
      <c r="M12" s="31">
        <v>1</v>
      </c>
      <c r="N12" s="31" t="s">
        <v>84</v>
      </c>
      <c r="O12" s="31">
        <v>0.65800000000000003</v>
      </c>
      <c r="P12" s="31">
        <v>4.5400000000000003E-2</v>
      </c>
      <c r="Q12" s="31">
        <v>20</v>
      </c>
      <c r="R12" s="31" t="s">
        <v>85</v>
      </c>
      <c r="S12" s="34">
        <f t="shared" si="0"/>
        <v>20</v>
      </c>
      <c r="T12" s="31" t="s">
        <v>1021</v>
      </c>
      <c r="U12" s="127">
        <v>44937</v>
      </c>
      <c r="V12" s="128">
        <f t="shared" si="10"/>
        <v>18.138838660800005</v>
      </c>
      <c r="W12" s="128" t="s">
        <v>1038</v>
      </c>
      <c r="X12" s="128"/>
      <c r="Y12" s="128"/>
    </row>
    <row r="13" spans="1:54" x14ac:dyDescent="0.55000000000000004">
      <c r="A13" s="124">
        <v>44937</v>
      </c>
      <c r="B13" s="125">
        <v>0.375</v>
      </c>
      <c r="C13" s="31" t="s">
        <v>70</v>
      </c>
      <c r="D13" s="31" t="s">
        <v>71</v>
      </c>
      <c r="E13" s="31" t="s">
        <v>929</v>
      </c>
      <c r="F13" s="31">
        <v>1</v>
      </c>
      <c r="G13" s="31" t="s">
        <v>73</v>
      </c>
      <c r="H13" s="31" t="s">
        <v>74</v>
      </c>
      <c r="I13" s="31" t="s">
        <v>83</v>
      </c>
      <c r="J13" s="31">
        <v>193</v>
      </c>
      <c r="K13" s="126">
        <v>44937</v>
      </c>
      <c r="L13" s="125">
        <v>0.5859375</v>
      </c>
      <c r="M13" s="31">
        <v>1</v>
      </c>
      <c r="N13" s="31" t="s">
        <v>84</v>
      </c>
      <c r="O13" s="31">
        <v>1.39</v>
      </c>
      <c r="P13" s="31">
        <v>9.69E-2</v>
      </c>
      <c r="Q13" s="31">
        <v>75</v>
      </c>
      <c r="R13" s="31" t="s">
        <v>85</v>
      </c>
      <c r="S13" s="34">
        <f t="shared" si="0"/>
        <v>75</v>
      </c>
      <c r="T13" s="31" t="s">
        <v>1021</v>
      </c>
      <c r="U13" s="127">
        <v>44937</v>
      </c>
      <c r="V13" s="128">
        <f t="shared" si="10"/>
        <v>76.884024119999978</v>
      </c>
      <c r="W13" s="128" t="s">
        <v>1038</v>
      </c>
      <c r="X13" s="128"/>
      <c r="Y13" s="128"/>
    </row>
    <row r="14" spans="1:54" x14ac:dyDescent="0.55000000000000004">
      <c r="A14" s="124">
        <v>44937</v>
      </c>
      <c r="B14" s="125">
        <v>0.375</v>
      </c>
      <c r="C14" s="31" t="s">
        <v>70</v>
      </c>
      <c r="D14" s="31" t="s">
        <v>71</v>
      </c>
      <c r="E14" s="31" t="s">
        <v>930</v>
      </c>
      <c r="F14" s="31">
        <v>1</v>
      </c>
      <c r="G14" s="31" t="s">
        <v>73</v>
      </c>
      <c r="H14" s="31" t="s">
        <v>74</v>
      </c>
      <c r="I14" s="31" t="s">
        <v>83</v>
      </c>
      <c r="J14" s="31">
        <v>194</v>
      </c>
      <c r="K14" s="126">
        <v>44937</v>
      </c>
      <c r="L14" s="125">
        <v>0.58664351851851848</v>
      </c>
      <c r="M14" s="31">
        <v>1</v>
      </c>
      <c r="N14" s="31" t="s">
        <v>84</v>
      </c>
      <c r="O14" s="31">
        <v>2.35</v>
      </c>
      <c r="P14" s="31">
        <v>0.16700000000000001</v>
      </c>
      <c r="Q14" s="31">
        <v>150</v>
      </c>
      <c r="R14" s="31" t="s">
        <v>85</v>
      </c>
      <c r="S14" s="34">
        <f t="shared" si="0"/>
        <v>150</v>
      </c>
      <c r="T14" s="31" t="s">
        <v>1021</v>
      </c>
      <c r="U14" s="127">
        <v>44937</v>
      </c>
      <c r="V14" s="128">
        <f t="shared" si="10"/>
        <v>149.27678700000001</v>
      </c>
      <c r="W14" s="128" t="s">
        <v>1038</v>
      </c>
      <c r="X14" s="128"/>
      <c r="Y14" s="128"/>
    </row>
    <row r="15" spans="1:54" x14ac:dyDescent="0.55000000000000004">
      <c r="A15" s="124">
        <v>44937</v>
      </c>
      <c r="B15" s="125">
        <v>0.375</v>
      </c>
      <c r="C15" s="31" t="s">
        <v>70</v>
      </c>
      <c r="D15" s="31" t="s">
        <v>71</v>
      </c>
      <c r="E15" s="31" t="s">
        <v>931</v>
      </c>
      <c r="F15" s="31">
        <v>1</v>
      </c>
      <c r="G15" s="31" t="s">
        <v>73</v>
      </c>
      <c r="H15" s="31" t="s">
        <v>74</v>
      </c>
      <c r="I15" s="31" t="s">
        <v>83</v>
      </c>
      <c r="J15" s="31">
        <v>195</v>
      </c>
      <c r="K15" s="126">
        <v>44937</v>
      </c>
      <c r="L15" s="125">
        <v>0.58734953703703707</v>
      </c>
      <c r="M15" s="31">
        <v>1</v>
      </c>
      <c r="N15" s="31" t="s">
        <v>84</v>
      </c>
      <c r="O15" s="31">
        <v>4.63</v>
      </c>
      <c r="P15" s="31">
        <v>0.33700000000000002</v>
      </c>
      <c r="Q15" s="31">
        <v>300</v>
      </c>
      <c r="R15" s="31" t="s">
        <v>85</v>
      </c>
      <c r="S15" s="34">
        <f t="shared" si="0"/>
        <v>300</v>
      </c>
      <c r="T15" s="31" t="s">
        <v>1021</v>
      </c>
      <c r="U15" s="127">
        <v>44937</v>
      </c>
      <c r="V15" s="128">
        <f t="shared" si="10"/>
        <v>300.06152268</v>
      </c>
      <c r="W15" s="128" t="s">
        <v>1038</v>
      </c>
      <c r="X15" s="128"/>
      <c r="Y15" s="128"/>
    </row>
    <row r="16" spans="1:54" x14ac:dyDescent="0.55000000000000004">
      <c r="A16" s="119">
        <v>44950</v>
      </c>
      <c r="B16" s="120">
        <v>0.375</v>
      </c>
      <c r="C16" s="121" t="s">
        <v>70</v>
      </c>
      <c r="D16" s="121" t="s">
        <v>71</v>
      </c>
      <c r="E16" s="121" t="s">
        <v>925</v>
      </c>
      <c r="F16" s="121">
        <v>1</v>
      </c>
      <c r="G16" s="121" t="s">
        <v>73</v>
      </c>
      <c r="H16" s="121" t="s">
        <v>74</v>
      </c>
      <c r="I16" s="121" t="s">
        <v>83</v>
      </c>
      <c r="J16" s="121">
        <v>189</v>
      </c>
      <c r="K16" s="122">
        <v>44950</v>
      </c>
      <c r="L16" s="120">
        <v>0.52972222222222221</v>
      </c>
      <c r="M16" s="121">
        <v>1</v>
      </c>
      <c r="N16" s="121" t="s">
        <v>84</v>
      </c>
      <c r="O16" s="121">
        <v>0.55200000000000005</v>
      </c>
      <c r="P16" s="121">
        <v>3.6799999999999999E-2</v>
      </c>
      <c r="Q16" s="121">
        <v>0</v>
      </c>
      <c r="R16" s="121" t="s">
        <v>85</v>
      </c>
      <c r="S16" s="123">
        <f t="shared" si="0"/>
        <v>0</v>
      </c>
      <c r="T16" s="10" t="s">
        <v>1071</v>
      </c>
      <c r="U16" s="45">
        <v>44950</v>
      </c>
      <c r="V16" s="129">
        <f>-3.008*O16^2+89.421*O16-44.125</f>
        <v>4.3188423680000056</v>
      </c>
      <c r="W16" s="129" t="s">
        <v>1090</v>
      </c>
    </row>
    <row r="17" spans="1:25" x14ac:dyDescent="0.55000000000000004">
      <c r="A17" s="119">
        <v>44950</v>
      </c>
      <c r="B17" s="120">
        <v>0.375</v>
      </c>
      <c r="C17" s="121" t="s">
        <v>70</v>
      </c>
      <c r="D17" s="121" t="s">
        <v>71</v>
      </c>
      <c r="E17" s="121" t="s">
        <v>926</v>
      </c>
      <c r="F17" s="121">
        <v>1</v>
      </c>
      <c r="G17" s="121" t="s">
        <v>73</v>
      </c>
      <c r="H17" s="121" t="s">
        <v>74</v>
      </c>
      <c r="I17" s="121" t="s">
        <v>83</v>
      </c>
      <c r="J17" s="121">
        <v>190</v>
      </c>
      <c r="K17" s="122">
        <v>44950</v>
      </c>
      <c r="L17" s="120">
        <v>0.53043981481481484</v>
      </c>
      <c r="M17" s="121">
        <v>1</v>
      </c>
      <c r="N17" s="121" t="s">
        <v>84</v>
      </c>
      <c r="O17" s="121">
        <v>0.55400000000000005</v>
      </c>
      <c r="P17" s="121">
        <v>3.7199999999999997E-2</v>
      </c>
      <c r="Q17" s="121">
        <v>5</v>
      </c>
      <c r="R17" s="121" t="s">
        <v>85</v>
      </c>
      <c r="S17" s="123">
        <f t="shared" si="0"/>
        <v>5</v>
      </c>
      <c r="T17" s="10" t="s">
        <v>1071</v>
      </c>
      <c r="U17" s="45">
        <v>44950</v>
      </c>
      <c r="V17" s="129">
        <f t="shared" ref="V17:V22" si="11">-3.008*O17^2+89.421*O17-44.125</f>
        <v>4.4910306720000079</v>
      </c>
      <c r="W17" s="129" t="s">
        <v>1090</v>
      </c>
    </row>
    <row r="18" spans="1:25" x14ac:dyDescent="0.55000000000000004">
      <c r="A18" s="119">
        <v>44950</v>
      </c>
      <c r="B18" s="120">
        <v>0.375</v>
      </c>
      <c r="C18" s="121" t="s">
        <v>70</v>
      </c>
      <c r="D18" s="121" t="s">
        <v>71</v>
      </c>
      <c r="E18" s="121" t="s">
        <v>927</v>
      </c>
      <c r="F18" s="121">
        <v>1</v>
      </c>
      <c r="G18" s="121" t="s">
        <v>73</v>
      </c>
      <c r="H18" s="121" t="s">
        <v>74</v>
      </c>
      <c r="I18" s="121" t="s">
        <v>83</v>
      </c>
      <c r="J18" s="121">
        <v>191</v>
      </c>
      <c r="K18" s="122">
        <v>44950</v>
      </c>
      <c r="L18" s="120">
        <v>0.53113425925925928</v>
      </c>
      <c r="M18" s="121">
        <v>1</v>
      </c>
      <c r="N18" s="121" t="s">
        <v>84</v>
      </c>
      <c r="O18" s="121">
        <v>0.64900000000000002</v>
      </c>
      <c r="P18" s="121">
        <v>4.3400000000000001E-2</v>
      </c>
      <c r="Q18" s="121">
        <v>15</v>
      </c>
      <c r="R18" s="121" t="s">
        <v>85</v>
      </c>
      <c r="S18" s="123">
        <f t="shared" si="0"/>
        <v>15</v>
      </c>
      <c r="T18" s="10" t="s">
        <v>1071</v>
      </c>
      <c r="U18" s="45">
        <v>44950</v>
      </c>
      <c r="V18" s="129">
        <f t="shared" si="11"/>
        <v>12.642256392</v>
      </c>
      <c r="W18" s="129" t="s">
        <v>1090</v>
      </c>
    </row>
    <row r="19" spans="1:25" x14ac:dyDescent="0.55000000000000004">
      <c r="A19" s="119">
        <v>44950</v>
      </c>
      <c r="B19" s="120">
        <v>0.375</v>
      </c>
      <c r="C19" s="121" t="s">
        <v>70</v>
      </c>
      <c r="D19" s="121" t="s">
        <v>71</v>
      </c>
      <c r="E19" s="121" t="s">
        <v>928</v>
      </c>
      <c r="F19" s="121">
        <v>1</v>
      </c>
      <c r="G19" s="121" t="s">
        <v>73</v>
      </c>
      <c r="H19" s="121" t="s">
        <v>74</v>
      </c>
      <c r="I19" s="121" t="s">
        <v>83</v>
      </c>
      <c r="J19" s="121">
        <v>192</v>
      </c>
      <c r="K19" s="122">
        <v>44950</v>
      </c>
      <c r="L19" s="120">
        <v>0.53185185185185191</v>
      </c>
      <c r="M19" s="121">
        <v>1</v>
      </c>
      <c r="N19" s="121" t="s">
        <v>84</v>
      </c>
      <c r="O19" s="121">
        <v>0.71699999999999997</v>
      </c>
      <c r="P19" s="121">
        <v>4.8500000000000001E-2</v>
      </c>
      <c r="Q19" s="121">
        <v>20</v>
      </c>
      <c r="R19" s="121" t="s">
        <v>85</v>
      </c>
      <c r="S19" s="123">
        <f t="shared" si="0"/>
        <v>20</v>
      </c>
      <c r="T19" s="10" t="s">
        <v>1071</v>
      </c>
      <c r="U19" s="45">
        <v>44950</v>
      </c>
      <c r="V19" s="129">
        <f t="shared" si="11"/>
        <v>18.443477288000004</v>
      </c>
      <c r="W19" s="129" t="s">
        <v>1090</v>
      </c>
    </row>
    <row r="20" spans="1:25" x14ac:dyDescent="0.55000000000000004">
      <c r="A20" s="119">
        <v>44950</v>
      </c>
      <c r="B20" s="120">
        <v>0.375</v>
      </c>
      <c r="C20" s="121" t="s">
        <v>70</v>
      </c>
      <c r="D20" s="121" t="s">
        <v>71</v>
      </c>
      <c r="E20" s="121" t="s">
        <v>929</v>
      </c>
      <c r="F20" s="121">
        <v>1</v>
      </c>
      <c r="G20" s="121" t="s">
        <v>73</v>
      </c>
      <c r="H20" s="121" t="s">
        <v>74</v>
      </c>
      <c r="I20" s="121" t="s">
        <v>83</v>
      </c>
      <c r="J20" s="121">
        <v>193</v>
      </c>
      <c r="K20" s="122">
        <v>44950</v>
      </c>
      <c r="L20" s="120">
        <v>0.53254629629629624</v>
      </c>
      <c r="M20" s="121">
        <v>1</v>
      </c>
      <c r="N20" s="121" t="s">
        <v>84</v>
      </c>
      <c r="O20" s="121">
        <v>1.39</v>
      </c>
      <c r="P20" s="121">
        <v>9.6100000000000005E-2</v>
      </c>
      <c r="Q20" s="121">
        <v>75</v>
      </c>
      <c r="R20" s="121" t="s">
        <v>85</v>
      </c>
      <c r="S20" s="123">
        <f t="shared" si="0"/>
        <v>75</v>
      </c>
      <c r="T20" s="10" t="s">
        <v>1071</v>
      </c>
      <c r="U20" s="45">
        <v>44950</v>
      </c>
      <c r="V20" s="129">
        <f t="shared" si="11"/>
        <v>74.358433200000007</v>
      </c>
      <c r="W20" s="129" t="s">
        <v>1090</v>
      </c>
    </row>
    <row r="21" spans="1:25" x14ac:dyDescent="0.55000000000000004">
      <c r="A21" s="119">
        <v>44950</v>
      </c>
      <c r="B21" s="120">
        <v>0.375</v>
      </c>
      <c r="C21" s="121" t="s">
        <v>70</v>
      </c>
      <c r="D21" s="121" t="s">
        <v>71</v>
      </c>
      <c r="E21" s="121" t="s">
        <v>930</v>
      </c>
      <c r="F21" s="121">
        <v>1</v>
      </c>
      <c r="G21" s="121" t="s">
        <v>73</v>
      </c>
      <c r="H21" s="121" t="s">
        <v>74</v>
      </c>
      <c r="I21" s="121" t="s">
        <v>83</v>
      </c>
      <c r="J21" s="121">
        <v>194</v>
      </c>
      <c r="K21" s="122">
        <v>44950</v>
      </c>
      <c r="L21" s="120">
        <v>0.53326388888888887</v>
      </c>
      <c r="M21" s="121">
        <v>1</v>
      </c>
      <c r="N21" s="121" t="s">
        <v>84</v>
      </c>
      <c r="O21" s="121">
        <v>2.37</v>
      </c>
      <c r="P21" s="121">
        <v>0.16900000000000001</v>
      </c>
      <c r="Q21" s="121">
        <v>150</v>
      </c>
      <c r="R21" s="121" t="s">
        <v>85</v>
      </c>
      <c r="S21" s="123">
        <f t="shared" si="0"/>
        <v>150</v>
      </c>
      <c r="T21" s="10" t="s">
        <v>1071</v>
      </c>
      <c r="U21" s="45">
        <v>44950</v>
      </c>
      <c r="V21" s="129">
        <f t="shared" si="11"/>
        <v>150.90713480000005</v>
      </c>
      <c r="W21" s="129" t="s">
        <v>1090</v>
      </c>
    </row>
    <row r="22" spans="1:25" x14ac:dyDescent="0.55000000000000004">
      <c r="A22" s="119">
        <v>44950</v>
      </c>
      <c r="B22" s="120">
        <v>0.375</v>
      </c>
      <c r="C22" s="121" t="s">
        <v>70</v>
      </c>
      <c r="D22" s="121" t="s">
        <v>71</v>
      </c>
      <c r="E22" s="121" t="s">
        <v>931</v>
      </c>
      <c r="F22" s="121">
        <v>1</v>
      </c>
      <c r="G22" s="121" t="s">
        <v>73</v>
      </c>
      <c r="H22" s="121" t="s">
        <v>74</v>
      </c>
      <c r="I22" s="121" t="s">
        <v>83</v>
      </c>
      <c r="J22" s="121">
        <v>195</v>
      </c>
      <c r="K22" s="122">
        <v>44950</v>
      </c>
      <c r="L22" s="120">
        <v>0.53396990740740746</v>
      </c>
      <c r="M22" s="121">
        <v>1</v>
      </c>
      <c r="N22" s="121" t="s">
        <v>84</v>
      </c>
      <c r="O22" s="121">
        <v>4.54</v>
      </c>
      <c r="P22" s="121">
        <v>0.32700000000000001</v>
      </c>
      <c r="Q22" s="121">
        <v>300</v>
      </c>
      <c r="R22" s="121" t="s">
        <v>85</v>
      </c>
      <c r="S22" s="123">
        <f t="shared" si="0"/>
        <v>300</v>
      </c>
      <c r="T22" s="10" t="s">
        <v>1071</v>
      </c>
      <c r="U22" s="45">
        <v>44950</v>
      </c>
      <c r="V22" s="129">
        <f t="shared" si="11"/>
        <v>299.84664720000006</v>
      </c>
      <c r="W22" s="129" t="s">
        <v>1090</v>
      </c>
    </row>
    <row r="23" spans="1:25" x14ac:dyDescent="0.55000000000000004">
      <c r="A23" s="124">
        <v>44958</v>
      </c>
      <c r="B23" s="125">
        <v>0.375</v>
      </c>
      <c r="C23" s="31" t="s">
        <v>70</v>
      </c>
      <c r="D23" s="31" t="s">
        <v>71</v>
      </c>
      <c r="E23" s="31" t="s">
        <v>925</v>
      </c>
      <c r="F23" s="31">
        <v>1</v>
      </c>
      <c r="G23" s="31" t="s">
        <v>73</v>
      </c>
      <c r="H23" s="31" t="s">
        <v>74</v>
      </c>
      <c r="I23" s="31" t="s">
        <v>83</v>
      </c>
      <c r="J23" s="31">
        <v>189</v>
      </c>
      <c r="K23" s="126">
        <v>44958</v>
      </c>
      <c r="L23" s="125">
        <v>0.57594907407407414</v>
      </c>
      <c r="M23" s="31">
        <v>1</v>
      </c>
      <c r="N23" s="31" t="s">
        <v>84</v>
      </c>
      <c r="O23" s="31">
        <v>0.57399999999999995</v>
      </c>
      <c r="P23" s="31">
        <v>3.7699999999999997E-2</v>
      </c>
      <c r="Q23" s="31">
        <v>0</v>
      </c>
      <c r="R23" s="31" t="s">
        <v>85</v>
      </c>
      <c r="S23" s="34">
        <f t="shared" si="0"/>
        <v>0</v>
      </c>
      <c r="T23" s="31" t="s">
        <v>1126</v>
      </c>
      <c r="U23" s="127">
        <v>44958</v>
      </c>
      <c r="V23" s="128">
        <f>-1.3807*O23^2+80.818*O23-42.013</f>
        <v>3.921624486799999</v>
      </c>
      <c r="W23" s="128" t="s">
        <v>1143</v>
      </c>
      <c r="X23" s="128"/>
      <c r="Y23" s="128"/>
    </row>
    <row r="24" spans="1:25" x14ac:dyDescent="0.55000000000000004">
      <c r="A24" s="124">
        <v>44958</v>
      </c>
      <c r="B24" s="125">
        <v>0.375</v>
      </c>
      <c r="C24" s="31" t="s">
        <v>70</v>
      </c>
      <c r="D24" s="31" t="s">
        <v>71</v>
      </c>
      <c r="E24" s="31" t="s">
        <v>926</v>
      </c>
      <c r="F24" s="31">
        <v>1</v>
      </c>
      <c r="G24" s="31" t="s">
        <v>73</v>
      </c>
      <c r="H24" s="31" t="s">
        <v>74</v>
      </c>
      <c r="I24" s="31" t="s">
        <v>83</v>
      </c>
      <c r="J24" s="31">
        <v>190</v>
      </c>
      <c r="K24" s="126">
        <v>44958</v>
      </c>
      <c r="L24" s="125">
        <v>0.57665509259259262</v>
      </c>
      <c r="M24" s="31">
        <v>1</v>
      </c>
      <c r="N24" s="31" t="s">
        <v>84</v>
      </c>
      <c r="O24" s="31">
        <v>0.59699999999999998</v>
      </c>
      <c r="P24" s="31">
        <v>3.8899999999999997E-2</v>
      </c>
      <c r="Q24" s="31">
        <v>5</v>
      </c>
      <c r="R24" s="31" t="s">
        <v>85</v>
      </c>
      <c r="S24" s="34">
        <f t="shared" si="0"/>
        <v>5</v>
      </c>
      <c r="T24" s="31" t="s">
        <v>1126</v>
      </c>
      <c r="U24" s="127">
        <v>44958</v>
      </c>
      <c r="V24" s="128">
        <f t="shared" ref="V24:V28" si="12">-1.3807*O24^2+80.818*O24-42.013</f>
        <v>5.7432520937000007</v>
      </c>
      <c r="W24" s="128" t="s">
        <v>1143</v>
      </c>
      <c r="X24" s="128"/>
      <c r="Y24" s="128"/>
    </row>
    <row r="25" spans="1:25" x14ac:dyDescent="0.55000000000000004">
      <c r="A25" s="124">
        <v>44958</v>
      </c>
      <c r="B25" s="125">
        <v>0.375</v>
      </c>
      <c r="C25" s="31" t="s">
        <v>70</v>
      </c>
      <c r="D25" s="31" t="s">
        <v>71</v>
      </c>
      <c r="E25" s="31" t="s">
        <v>927</v>
      </c>
      <c r="F25" s="31">
        <v>1</v>
      </c>
      <c r="G25" s="31" t="s">
        <v>73</v>
      </c>
      <c r="H25" s="31" t="s">
        <v>74</v>
      </c>
      <c r="I25" s="31" t="s">
        <v>83</v>
      </c>
      <c r="J25" s="31">
        <v>191</v>
      </c>
      <c r="K25" s="126">
        <v>44958</v>
      </c>
      <c r="L25" s="125">
        <v>0.5773611111111111</v>
      </c>
      <c r="M25" s="31">
        <v>1</v>
      </c>
      <c r="N25" s="31" t="s">
        <v>84</v>
      </c>
      <c r="O25" s="31">
        <v>0.67900000000000005</v>
      </c>
      <c r="P25" s="31">
        <v>4.4499999999999998E-2</v>
      </c>
      <c r="Q25" s="31">
        <v>15</v>
      </c>
      <c r="R25" s="31" t="s">
        <v>85</v>
      </c>
      <c r="S25" s="34">
        <f t="shared" si="0"/>
        <v>15</v>
      </c>
      <c r="T25" s="31" t="s">
        <v>1126</v>
      </c>
      <c r="U25" s="127">
        <v>44958</v>
      </c>
      <c r="V25" s="128">
        <f t="shared" si="12"/>
        <v>12.225862691300001</v>
      </c>
      <c r="W25" s="128" t="s">
        <v>1143</v>
      </c>
      <c r="X25" s="128"/>
      <c r="Y25" s="128"/>
    </row>
    <row r="26" spans="1:25" x14ac:dyDescent="0.55000000000000004">
      <c r="A26" s="124">
        <v>44958</v>
      </c>
      <c r="B26" s="125">
        <v>0.375</v>
      </c>
      <c r="C26" s="31" t="s">
        <v>70</v>
      </c>
      <c r="D26" s="31" t="s">
        <v>71</v>
      </c>
      <c r="E26" s="31" t="s">
        <v>928</v>
      </c>
      <c r="F26" s="31">
        <v>1</v>
      </c>
      <c r="G26" s="31" t="s">
        <v>73</v>
      </c>
      <c r="H26" s="31" t="s">
        <v>74</v>
      </c>
      <c r="I26" s="31" t="s">
        <v>83</v>
      </c>
      <c r="J26" s="31">
        <v>192</v>
      </c>
      <c r="K26" s="126">
        <v>44958</v>
      </c>
      <c r="L26" s="125">
        <v>0.57806712962962969</v>
      </c>
      <c r="M26" s="31">
        <v>1</v>
      </c>
      <c r="N26" s="31" t="s">
        <v>84</v>
      </c>
      <c r="O26" s="31">
        <v>0.747</v>
      </c>
      <c r="P26" s="31">
        <v>4.8899999999999999E-2</v>
      </c>
      <c r="Q26" s="31">
        <v>20</v>
      </c>
      <c r="R26" s="31" t="s">
        <v>85</v>
      </c>
      <c r="S26" s="34">
        <f t="shared" si="0"/>
        <v>20</v>
      </c>
      <c r="T26" s="31" t="s">
        <v>1126</v>
      </c>
      <c r="U26" s="127">
        <v>44958</v>
      </c>
      <c r="V26" s="128">
        <f t="shared" si="12"/>
        <v>17.587602973700001</v>
      </c>
      <c r="W26" s="128" t="s">
        <v>1143</v>
      </c>
      <c r="X26" s="128"/>
      <c r="Y26" s="128"/>
    </row>
    <row r="27" spans="1:25" x14ac:dyDescent="0.55000000000000004">
      <c r="A27" s="124">
        <v>44958</v>
      </c>
      <c r="B27" s="125">
        <v>0.375</v>
      </c>
      <c r="C27" s="31" t="s">
        <v>70</v>
      </c>
      <c r="D27" s="31" t="s">
        <v>71</v>
      </c>
      <c r="E27" s="31" t="s">
        <v>930</v>
      </c>
      <c r="F27" s="31">
        <v>1</v>
      </c>
      <c r="G27" s="31" t="s">
        <v>73</v>
      </c>
      <c r="H27" s="31" t="s">
        <v>74</v>
      </c>
      <c r="I27" s="31" t="s">
        <v>83</v>
      </c>
      <c r="J27" s="31">
        <v>194</v>
      </c>
      <c r="K27" s="126">
        <v>44958</v>
      </c>
      <c r="L27" s="125">
        <v>0.57947916666666666</v>
      </c>
      <c r="M27" s="31">
        <v>1</v>
      </c>
      <c r="N27" s="31" t="s">
        <v>84</v>
      </c>
      <c r="O27" s="31">
        <v>2.4900000000000002</v>
      </c>
      <c r="P27" s="31">
        <v>0.17299999999999999</v>
      </c>
      <c r="Q27" s="31">
        <v>150</v>
      </c>
      <c r="R27" s="31" t="s">
        <v>85</v>
      </c>
      <c r="S27" s="34">
        <f t="shared" si="0"/>
        <v>150</v>
      </c>
      <c r="T27" s="31" t="s">
        <v>1126</v>
      </c>
      <c r="U27" s="127">
        <v>44958</v>
      </c>
      <c r="V27" s="128">
        <f t="shared" si="12"/>
        <v>150.66334193000003</v>
      </c>
      <c r="W27" s="128" t="s">
        <v>1143</v>
      </c>
      <c r="X27" s="128"/>
      <c r="Y27" s="128"/>
    </row>
    <row r="28" spans="1:25" x14ac:dyDescent="0.55000000000000004">
      <c r="A28" s="124">
        <v>44958</v>
      </c>
      <c r="B28" s="125">
        <v>0.375</v>
      </c>
      <c r="C28" s="31" t="s">
        <v>70</v>
      </c>
      <c r="D28" s="31" t="s">
        <v>71</v>
      </c>
      <c r="E28" s="31" t="s">
        <v>931</v>
      </c>
      <c r="F28" s="31">
        <v>1</v>
      </c>
      <c r="G28" s="31" t="s">
        <v>73</v>
      </c>
      <c r="H28" s="31" t="s">
        <v>74</v>
      </c>
      <c r="I28" s="31" t="s">
        <v>83</v>
      </c>
      <c r="J28" s="31">
        <v>195</v>
      </c>
      <c r="K28" s="126">
        <v>44958</v>
      </c>
      <c r="L28" s="125">
        <v>0.58019675925925929</v>
      </c>
      <c r="M28" s="31">
        <v>1</v>
      </c>
      <c r="N28" s="31" t="s">
        <v>84</v>
      </c>
      <c r="O28" s="31">
        <v>4.59</v>
      </c>
      <c r="P28" s="31">
        <v>0.32700000000000001</v>
      </c>
      <c r="Q28" s="31">
        <v>300</v>
      </c>
      <c r="R28" s="31" t="s">
        <v>85</v>
      </c>
      <c r="S28" s="34">
        <f t="shared" si="0"/>
        <v>300</v>
      </c>
      <c r="T28" s="31" t="s">
        <v>1126</v>
      </c>
      <c r="U28" s="127">
        <v>44958</v>
      </c>
      <c r="V28" s="128">
        <f t="shared" si="12"/>
        <v>299.85289433000003</v>
      </c>
      <c r="W28" s="128" t="s">
        <v>1143</v>
      </c>
      <c r="X28" s="128"/>
      <c r="Y28" s="128"/>
    </row>
    <row r="29" spans="1:25" x14ac:dyDescent="0.55000000000000004">
      <c r="A29" s="32">
        <v>44966</v>
      </c>
      <c r="B29" s="33">
        <v>0.375</v>
      </c>
      <c r="C29" s="10" t="s">
        <v>70</v>
      </c>
      <c r="D29" s="10" t="s">
        <v>71</v>
      </c>
      <c r="E29" s="10" t="s">
        <v>925</v>
      </c>
      <c r="F29" s="10">
        <v>1</v>
      </c>
      <c r="G29" s="10" t="s">
        <v>73</v>
      </c>
      <c r="H29" s="10" t="s">
        <v>74</v>
      </c>
      <c r="I29" s="10" t="s">
        <v>83</v>
      </c>
      <c r="J29" s="10">
        <v>189</v>
      </c>
      <c r="K29" s="12">
        <v>44966</v>
      </c>
      <c r="L29" s="33">
        <v>0.5539236111111111</v>
      </c>
      <c r="M29" s="10">
        <v>1</v>
      </c>
      <c r="N29" s="10" t="s">
        <v>84</v>
      </c>
      <c r="O29" s="10">
        <v>0.53300000000000003</v>
      </c>
      <c r="P29" s="10">
        <v>3.4799999999999998E-2</v>
      </c>
      <c r="Q29" s="10">
        <v>0</v>
      </c>
      <c r="R29" s="10" t="s">
        <v>85</v>
      </c>
      <c r="S29" s="123">
        <f t="shared" si="0"/>
        <v>0</v>
      </c>
      <c r="T29" s="10" t="s">
        <v>1188</v>
      </c>
      <c r="U29" s="45">
        <v>44966</v>
      </c>
      <c r="V29" s="129">
        <f>-2.9408*O29^2+89.45*O29-43.664</f>
        <v>3.1774010688000018</v>
      </c>
      <c r="W29" s="129" t="s">
        <v>1203</v>
      </c>
    </row>
    <row r="30" spans="1:25" x14ac:dyDescent="0.55000000000000004">
      <c r="A30" s="32">
        <v>44966</v>
      </c>
      <c r="B30" s="33">
        <v>0.375</v>
      </c>
      <c r="C30" s="10" t="s">
        <v>70</v>
      </c>
      <c r="D30" s="10" t="s">
        <v>71</v>
      </c>
      <c r="E30" s="10" t="s">
        <v>926</v>
      </c>
      <c r="F30" s="10">
        <v>1</v>
      </c>
      <c r="G30" s="10" t="s">
        <v>73</v>
      </c>
      <c r="H30" s="10" t="s">
        <v>74</v>
      </c>
      <c r="I30" s="10" t="s">
        <v>83</v>
      </c>
      <c r="J30" s="10">
        <v>190</v>
      </c>
      <c r="K30" s="12">
        <v>44966</v>
      </c>
      <c r="L30" s="33">
        <v>0.55462962962962969</v>
      </c>
      <c r="M30" s="10">
        <v>1</v>
      </c>
      <c r="N30" s="10" t="s">
        <v>84</v>
      </c>
      <c r="O30" s="10">
        <v>0.56799999999999995</v>
      </c>
      <c r="P30" s="10">
        <v>3.7400000000000003E-2</v>
      </c>
      <c r="Q30" s="10">
        <v>5</v>
      </c>
      <c r="R30" s="10" t="s">
        <v>85</v>
      </c>
      <c r="S30" s="123">
        <f t="shared" si="0"/>
        <v>5</v>
      </c>
      <c r="T30" s="10" t="s">
        <v>1188</v>
      </c>
      <c r="U30" s="45">
        <v>44966</v>
      </c>
      <c r="V30" s="129">
        <f t="shared" ref="V30:V34" si="13">-2.9408*O30^2+89.45*O30-43.664</f>
        <v>6.1948273407999892</v>
      </c>
      <c r="W30" s="129" t="s">
        <v>1203</v>
      </c>
    </row>
    <row r="31" spans="1:25" x14ac:dyDescent="0.55000000000000004">
      <c r="A31" s="32">
        <v>44966</v>
      </c>
      <c r="B31" s="33">
        <v>0.375</v>
      </c>
      <c r="C31" s="10" t="s">
        <v>70</v>
      </c>
      <c r="D31" s="10" t="s">
        <v>71</v>
      </c>
      <c r="E31" s="10" t="s">
        <v>927</v>
      </c>
      <c r="F31" s="10">
        <v>1</v>
      </c>
      <c r="G31" s="10" t="s">
        <v>73</v>
      </c>
      <c r="H31" s="10" t="s">
        <v>74</v>
      </c>
      <c r="I31" s="10" t="s">
        <v>83</v>
      </c>
      <c r="J31" s="10">
        <v>191</v>
      </c>
      <c r="K31" s="12">
        <v>44966</v>
      </c>
      <c r="L31" s="33">
        <v>0.55532407407407403</v>
      </c>
      <c r="M31" s="10">
        <v>1</v>
      </c>
      <c r="N31" s="10" t="s">
        <v>84</v>
      </c>
      <c r="O31" s="10">
        <v>0.61399999999999999</v>
      </c>
      <c r="P31" s="10">
        <v>4.0500000000000001E-2</v>
      </c>
      <c r="Q31" s="10">
        <v>15</v>
      </c>
      <c r="R31" s="10" t="s">
        <v>85</v>
      </c>
      <c r="S31" s="123">
        <f t="shared" si="0"/>
        <v>15</v>
      </c>
      <c r="T31" s="10" t="s">
        <v>1188</v>
      </c>
      <c r="U31" s="45">
        <v>44966</v>
      </c>
      <c r="V31" s="129">
        <f t="shared" si="13"/>
        <v>10.149630163200001</v>
      </c>
      <c r="W31" s="129" t="s">
        <v>1203</v>
      </c>
    </row>
    <row r="32" spans="1:25" x14ac:dyDescent="0.55000000000000004">
      <c r="A32" s="32">
        <v>44966</v>
      </c>
      <c r="B32" s="33">
        <v>0.375</v>
      </c>
      <c r="C32" s="10" t="s">
        <v>70</v>
      </c>
      <c r="D32" s="10" t="s">
        <v>71</v>
      </c>
      <c r="E32" s="10" t="s">
        <v>928</v>
      </c>
      <c r="F32" s="10">
        <v>1</v>
      </c>
      <c r="G32" s="10" t="s">
        <v>73</v>
      </c>
      <c r="H32" s="10" t="s">
        <v>74</v>
      </c>
      <c r="I32" s="10" t="s">
        <v>83</v>
      </c>
      <c r="J32" s="10">
        <v>192</v>
      </c>
      <c r="K32" s="12">
        <v>44966</v>
      </c>
      <c r="L32" s="33">
        <v>0.55604166666666666</v>
      </c>
      <c r="M32" s="10">
        <v>1</v>
      </c>
      <c r="N32" s="10" t="s">
        <v>84</v>
      </c>
      <c r="O32" s="10">
        <v>0.73199999999999998</v>
      </c>
      <c r="P32" s="10">
        <v>4.87E-2</v>
      </c>
      <c r="Q32" s="10">
        <v>20</v>
      </c>
      <c r="R32" s="10" t="s">
        <v>85</v>
      </c>
      <c r="S32" s="123">
        <f t="shared" si="0"/>
        <v>20</v>
      </c>
      <c r="T32" s="10" t="s">
        <v>1188</v>
      </c>
      <c r="U32" s="45">
        <v>44966</v>
      </c>
      <c r="V32" s="129">
        <f t="shared" si="13"/>
        <v>20.237648780800001</v>
      </c>
      <c r="W32" s="129" t="s">
        <v>1203</v>
      </c>
    </row>
    <row r="33" spans="1:25" x14ac:dyDescent="0.55000000000000004">
      <c r="A33" s="32">
        <v>44966</v>
      </c>
      <c r="B33" s="33">
        <v>0.375</v>
      </c>
      <c r="C33" s="10" t="s">
        <v>70</v>
      </c>
      <c r="D33" s="10" t="s">
        <v>71</v>
      </c>
      <c r="E33" s="10" t="s">
        <v>930</v>
      </c>
      <c r="F33" s="10">
        <v>1</v>
      </c>
      <c r="G33" s="10" t="s">
        <v>73</v>
      </c>
      <c r="H33" s="10" t="s">
        <v>74</v>
      </c>
      <c r="I33" s="10" t="s">
        <v>83</v>
      </c>
      <c r="J33" s="10">
        <v>194</v>
      </c>
      <c r="K33" s="12">
        <v>44966</v>
      </c>
      <c r="L33" s="33">
        <v>0.55744212962962958</v>
      </c>
      <c r="M33" s="10">
        <v>1</v>
      </c>
      <c r="N33" s="10" t="s">
        <v>84</v>
      </c>
      <c r="O33" s="10">
        <v>2.35</v>
      </c>
      <c r="P33" s="10">
        <v>0.16600000000000001</v>
      </c>
      <c r="Q33" s="10">
        <v>150</v>
      </c>
      <c r="R33" s="10" t="s">
        <v>85</v>
      </c>
      <c r="S33" s="123">
        <f t="shared" si="0"/>
        <v>150</v>
      </c>
      <c r="T33" s="10" t="s">
        <v>1188</v>
      </c>
      <c r="U33" s="45">
        <v>44966</v>
      </c>
      <c r="V33" s="129">
        <f t="shared" si="13"/>
        <v>150.302932</v>
      </c>
      <c r="W33" s="129" t="s">
        <v>1203</v>
      </c>
    </row>
    <row r="34" spans="1:25" x14ac:dyDescent="0.55000000000000004">
      <c r="A34" s="32">
        <v>44966</v>
      </c>
      <c r="B34" s="33">
        <v>0.375</v>
      </c>
      <c r="C34" s="10" t="s">
        <v>70</v>
      </c>
      <c r="D34" s="10" t="s">
        <v>71</v>
      </c>
      <c r="E34" s="10" t="s">
        <v>931</v>
      </c>
      <c r="F34" s="10">
        <v>1</v>
      </c>
      <c r="G34" s="10" t="s">
        <v>73</v>
      </c>
      <c r="H34" s="10" t="s">
        <v>74</v>
      </c>
      <c r="I34" s="10" t="s">
        <v>83</v>
      </c>
      <c r="J34" s="10">
        <v>195</v>
      </c>
      <c r="K34" s="12">
        <v>44966</v>
      </c>
      <c r="L34" s="33">
        <v>0.55815972222222221</v>
      </c>
      <c r="M34" s="10">
        <v>1</v>
      </c>
      <c r="N34" s="10" t="s">
        <v>84</v>
      </c>
      <c r="O34" s="10">
        <v>4.51</v>
      </c>
      <c r="P34" s="10">
        <v>0.32700000000000001</v>
      </c>
      <c r="Q34" s="10">
        <v>300</v>
      </c>
      <c r="R34" s="10" t="s">
        <v>85</v>
      </c>
      <c r="S34" s="123">
        <f t="shared" si="0"/>
        <v>300</v>
      </c>
      <c r="T34" s="10" t="s">
        <v>1188</v>
      </c>
      <c r="U34" s="45">
        <v>44966</v>
      </c>
      <c r="V34" s="129">
        <f t="shared" si="13"/>
        <v>299.93933391999997</v>
      </c>
      <c r="W34" s="129" t="s">
        <v>1203</v>
      </c>
    </row>
    <row r="35" spans="1:25" x14ac:dyDescent="0.55000000000000004">
      <c r="A35" s="124">
        <v>44972</v>
      </c>
      <c r="B35" s="125">
        <v>0.375</v>
      </c>
      <c r="C35" s="31" t="s">
        <v>70</v>
      </c>
      <c r="D35" s="31" t="s">
        <v>71</v>
      </c>
      <c r="E35" s="31" t="s">
        <v>925</v>
      </c>
      <c r="F35" s="31">
        <v>1</v>
      </c>
      <c r="G35" s="31" t="s">
        <v>73</v>
      </c>
      <c r="H35" s="31" t="s">
        <v>74</v>
      </c>
      <c r="I35" s="31" t="s">
        <v>83</v>
      </c>
      <c r="J35" s="31">
        <v>189</v>
      </c>
      <c r="K35" s="126">
        <v>44972</v>
      </c>
      <c r="L35" s="125">
        <v>0.54971064814814818</v>
      </c>
      <c r="M35" s="31">
        <v>1</v>
      </c>
      <c r="N35" s="31" t="s">
        <v>84</v>
      </c>
      <c r="O35" s="31">
        <v>0.51700000000000002</v>
      </c>
      <c r="P35" s="31">
        <v>3.4700000000000002E-2</v>
      </c>
      <c r="Q35" s="31">
        <v>0</v>
      </c>
      <c r="R35" s="31" t="s">
        <v>85</v>
      </c>
      <c r="S35" s="34">
        <f t="shared" si="0"/>
        <v>0</v>
      </c>
      <c r="T35" s="128" t="s">
        <v>1232</v>
      </c>
      <c r="U35" s="127">
        <v>44972</v>
      </c>
      <c r="V35" s="128">
        <f>-3.4074*O35^2+90.534*O35-41.641</f>
        <v>4.2543174614000066</v>
      </c>
      <c r="W35" s="128" t="s">
        <v>1249</v>
      </c>
      <c r="X35" s="128"/>
      <c r="Y35" s="128"/>
    </row>
    <row r="36" spans="1:25" x14ac:dyDescent="0.55000000000000004">
      <c r="A36" s="124">
        <v>44972</v>
      </c>
      <c r="B36" s="125">
        <v>0.375</v>
      </c>
      <c r="C36" s="31" t="s">
        <v>70</v>
      </c>
      <c r="D36" s="31" t="s">
        <v>71</v>
      </c>
      <c r="E36" s="31" t="s">
        <v>926</v>
      </c>
      <c r="F36" s="31">
        <v>1</v>
      </c>
      <c r="G36" s="31" t="s">
        <v>73</v>
      </c>
      <c r="H36" s="31" t="s">
        <v>74</v>
      </c>
      <c r="I36" s="31" t="s">
        <v>83</v>
      </c>
      <c r="J36" s="31">
        <v>190</v>
      </c>
      <c r="K36" s="126">
        <v>44972</v>
      </c>
      <c r="L36" s="125">
        <v>0.55041666666666667</v>
      </c>
      <c r="M36" s="31">
        <v>1</v>
      </c>
      <c r="N36" s="31" t="s">
        <v>84</v>
      </c>
      <c r="O36" s="31">
        <v>0.53400000000000003</v>
      </c>
      <c r="P36" s="31">
        <v>3.61E-2</v>
      </c>
      <c r="Q36" s="31">
        <v>5</v>
      </c>
      <c r="R36" s="31" t="s">
        <v>85</v>
      </c>
      <c r="S36" s="34">
        <f t="shared" si="0"/>
        <v>5</v>
      </c>
      <c r="T36" s="128" t="s">
        <v>1232</v>
      </c>
      <c r="U36" s="127">
        <v>44972</v>
      </c>
      <c r="V36" s="128">
        <f t="shared" ref="V36:V41" si="14">-3.4074*O36^2+90.534*O36-41.641</f>
        <v>5.7325154456000078</v>
      </c>
      <c r="W36" s="128" t="s">
        <v>1249</v>
      </c>
      <c r="X36" s="128"/>
      <c r="Y36" s="128"/>
    </row>
    <row r="37" spans="1:25" x14ac:dyDescent="0.55000000000000004">
      <c r="A37" s="124">
        <v>44972</v>
      </c>
      <c r="B37" s="125">
        <v>0.375</v>
      </c>
      <c r="C37" s="31" t="s">
        <v>70</v>
      </c>
      <c r="D37" s="31" t="s">
        <v>71</v>
      </c>
      <c r="E37" s="31" t="s">
        <v>927</v>
      </c>
      <c r="F37" s="31">
        <v>1</v>
      </c>
      <c r="G37" s="31" t="s">
        <v>73</v>
      </c>
      <c r="H37" s="31" t="s">
        <v>74</v>
      </c>
      <c r="I37" s="31" t="s">
        <v>83</v>
      </c>
      <c r="J37" s="31">
        <v>191</v>
      </c>
      <c r="K37" s="126">
        <v>44972</v>
      </c>
      <c r="L37" s="125">
        <v>0.55112268518518526</v>
      </c>
      <c r="M37" s="31">
        <v>1</v>
      </c>
      <c r="N37" s="31" t="s">
        <v>84</v>
      </c>
      <c r="O37" s="31">
        <v>0.63200000000000001</v>
      </c>
      <c r="P37" s="31">
        <v>4.3099999999999999E-2</v>
      </c>
      <c r="Q37" s="31">
        <v>15</v>
      </c>
      <c r="R37" s="31" t="s">
        <v>85</v>
      </c>
      <c r="S37" s="34">
        <f t="shared" si="0"/>
        <v>15</v>
      </c>
      <c r="T37" s="128" t="s">
        <v>1232</v>
      </c>
      <c r="U37" s="127">
        <v>44972</v>
      </c>
      <c r="V37" s="128">
        <f t="shared" si="14"/>
        <v>14.215490662400008</v>
      </c>
      <c r="W37" s="128" t="s">
        <v>1249</v>
      </c>
      <c r="X37" s="128"/>
      <c r="Y37" s="128"/>
    </row>
    <row r="38" spans="1:25" x14ac:dyDescent="0.55000000000000004">
      <c r="A38" s="124">
        <v>44972</v>
      </c>
      <c r="B38" s="125">
        <v>0.375</v>
      </c>
      <c r="C38" s="31" t="s">
        <v>70</v>
      </c>
      <c r="D38" s="31" t="s">
        <v>71</v>
      </c>
      <c r="E38" s="31" t="s">
        <v>928</v>
      </c>
      <c r="F38" s="31">
        <v>1</v>
      </c>
      <c r="G38" s="31" t="s">
        <v>73</v>
      </c>
      <c r="H38" s="31" t="s">
        <v>74</v>
      </c>
      <c r="I38" s="31" t="s">
        <v>83</v>
      </c>
      <c r="J38" s="31">
        <v>192</v>
      </c>
      <c r="K38" s="126">
        <v>44972</v>
      </c>
      <c r="L38" s="125">
        <v>0.55182870370370374</v>
      </c>
      <c r="M38" s="31">
        <v>1</v>
      </c>
      <c r="N38" s="31" t="s">
        <v>84</v>
      </c>
      <c r="O38" s="31">
        <v>0.65200000000000002</v>
      </c>
      <c r="P38" s="31">
        <v>4.5199999999999997E-2</v>
      </c>
      <c r="Q38" s="31">
        <v>20</v>
      </c>
      <c r="R38" s="31" t="s">
        <v>85</v>
      </c>
      <c r="S38" s="34">
        <f t="shared" si="0"/>
        <v>20</v>
      </c>
      <c r="T38" s="128" t="s">
        <v>1232</v>
      </c>
      <c r="U38" s="127">
        <v>44972</v>
      </c>
      <c r="V38" s="128">
        <f t="shared" si="14"/>
        <v>15.938668630400009</v>
      </c>
      <c r="W38" s="128" t="s">
        <v>1249</v>
      </c>
      <c r="X38" s="128"/>
      <c r="Y38" s="128"/>
    </row>
    <row r="39" spans="1:25" x14ac:dyDescent="0.55000000000000004">
      <c r="A39" s="124">
        <v>44972</v>
      </c>
      <c r="B39" s="125">
        <v>0.375</v>
      </c>
      <c r="C39" s="31" t="s">
        <v>70</v>
      </c>
      <c r="D39" s="31" t="s">
        <v>71</v>
      </c>
      <c r="E39" s="31" t="s">
        <v>929</v>
      </c>
      <c r="F39" s="31">
        <v>1</v>
      </c>
      <c r="G39" s="31" t="s">
        <v>73</v>
      </c>
      <c r="H39" s="31" t="s">
        <v>74</v>
      </c>
      <c r="I39" s="31" t="s">
        <v>83</v>
      </c>
      <c r="J39" s="31">
        <v>193</v>
      </c>
      <c r="K39" s="126">
        <v>44972</v>
      </c>
      <c r="L39" s="125">
        <v>0.55252314814814818</v>
      </c>
      <c r="M39" s="31">
        <v>1</v>
      </c>
      <c r="N39" s="31" t="s">
        <v>84</v>
      </c>
      <c r="O39" s="31">
        <v>1.34</v>
      </c>
      <c r="P39" s="31">
        <v>9.4299999999999995E-2</v>
      </c>
      <c r="Q39" s="31">
        <v>75</v>
      </c>
      <c r="R39" s="31" t="s">
        <v>85</v>
      </c>
      <c r="S39" s="34">
        <f t="shared" si="0"/>
        <v>75</v>
      </c>
      <c r="T39" s="128" t="s">
        <v>1232</v>
      </c>
      <c r="U39" s="127">
        <v>44972</v>
      </c>
      <c r="V39" s="128">
        <f t="shared" si="14"/>
        <v>73.556232560000012</v>
      </c>
      <c r="W39" s="128" t="s">
        <v>1249</v>
      </c>
      <c r="X39" s="128"/>
      <c r="Y39" s="128"/>
    </row>
    <row r="40" spans="1:25" x14ac:dyDescent="0.55000000000000004">
      <c r="A40" s="124">
        <v>44972</v>
      </c>
      <c r="B40" s="125">
        <v>0.375</v>
      </c>
      <c r="C40" s="31" t="s">
        <v>70</v>
      </c>
      <c r="D40" s="31" t="s">
        <v>71</v>
      </c>
      <c r="E40" s="31" t="s">
        <v>930</v>
      </c>
      <c r="F40" s="31">
        <v>1</v>
      </c>
      <c r="G40" s="31" t="s">
        <v>73</v>
      </c>
      <c r="H40" s="31" t="s">
        <v>74</v>
      </c>
      <c r="I40" s="31" t="s">
        <v>83</v>
      </c>
      <c r="J40" s="31">
        <v>194</v>
      </c>
      <c r="K40" s="126">
        <v>44972</v>
      </c>
      <c r="L40" s="125">
        <v>0.55324074074074081</v>
      </c>
      <c r="M40" s="31">
        <v>1</v>
      </c>
      <c r="N40" s="31" t="s">
        <v>84</v>
      </c>
      <c r="O40" s="31">
        <v>2.34</v>
      </c>
      <c r="P40" s="31">
        <v>0.16700000000000001</v>
      </c>
      <c r="Q40" s="31">
        <v>150</v>
      </c>
      <c r="R40" s="31" t="s">
        <v>85</v>
      </c>
      <c r="S40" s="34">
        <f t="shared" si="0"/>
        <v>150</v>
      </c>
      <c r="T40" s="128" t="s">
        <v>1232</v>
      </c>
      <c r="U40" s="127">
        <v>44972</v>
      </c>
      <c r="V40" s="128">
        <f t="shared" si="14"/>
        <v>151.55100056000001</v>
      </c>
      <c r="W40" s="128" t="s">
        <v>1249</v>
      </c>
      <c r="X40" s="128"/>
      <c r="Y40" s="128"/>
    </row>
    <row r="41" spans="1:25" x14ac:dyDescent="0.55000000000000004">
      <c r="A41" s="124">
        <v>44972</v>
      </c>
      <c r="B41" s="125">
        <v>0.375</v>
      </c>
      <c r="C41" s="31" t="s">
        <v>70</v>
      </c>
      <c r="D41" s="31" t="s">
        <v>71</v>
      </c>
      <c r="E41" s="31" t="s">
        <v>931</v>
      </c>
      <c r="F41" s="31">
        <v>1</v>
      </c>
      <c r="G41" s="31" t="s">
        <v>73</v>
      </c>
      <c r="H41" s="31" t="s">
        <v>74</v>
      </c>
      <c r="I41" s="31" t="s">
        <v>83</v>
      </c>
      <c r="J41" s="31">
        <v>195</v>
      </c>
      <c r="K41" s="126">
        <v>44972</v>
      </c>
      <c r="L41" s="125">
        <v>0.55393518518518514</v>
      </c>
      <c r="M41" s="31">
        <v>1</v>
      </c>
      <c r="N41" s="31" t="s">
        <v>84</v>
      </c>
      <c r="O41" s="31">
        <v>4.55</v>
      </c>
      <c r="P41" s="31">
        <v>0.33100000000000002</v>
      </c>
      <c r="Q41" s="31">
        <v>300</v>
      </c>
      <c r="R41" s="31" t="s">
        <v>85</v>
      </c>
      <c r="S41" s="34">
        <f t="shared" si="0"/>
        <v>300</v>
      </c>
      <c r="T41" s="128" t="s">
        <v>1232</v>
      </c>
      <c r="U41" s="127">
        <v>44972</v>
      </c>
      <c r="V41" s="128">
        <f t="shared" si="14"/>
        <v>299.74700150000001</v>
      </c>
      <c r="W41" s="128" t="s">
        <v>1249</v>
      </c>
      <c r="X41" s="128"/>
      <c r="Y41" s="128"/>
    </row>
    <row r="42" spans="1:25" x14ac:dyDescent="0.55000000000000004">
      <c r="A42" s="32">
        <v>44979</v>
      </c>
      <c r="B42" s="33">
        <v>0.375</v>
      </c>
      <c r="C42" s="10" t="s">
        <v>70</v>
      </c>
      <c r="D42" s="10" t="s">
        <v>71</v>
      </c>
      <c r="E42" s="10" t="s">
        <v>925</v>
      </c>
      <c r="F42" s="10">
        <v>1</v>
      </c>
      <c r="G42" s="10" t="s">
        <v>73</v>
      </c>
      <c r="H42" s="10" t="s">
        <v>74</v>
      </c>
      <c r="I42" s="10" t="s">
        <v>83</v>
      </c>
      <c r="J42" s="10">
        <v>189</v>
      </c>
      <c r="K42" s="12">
        <v>44980</v>
      </c>
      <c r="L42" s="33">
        <v>0.42363425925925924</v>
      </c>
      <c r="M42" s="10">
        <v>1</v>
      </c>
      <c r="N42" s="10" t="s">
        <v>84</v>
      </c>
      <c r="O42" s="10">
        <v>0.48699999999999999</v>
      </c>
      <c r="P42" s="10">
        <v>3.3399999999999999E-2</v>
      </c>
      <c r="Q42" s="10">
        <v>0</v>
      </c>
      <c r="R42" s="10" t="s">
        <v>85</v>
      </c>
      <c r="S42" s="123">
        <f t="shared" si="0"/>
        <v>0</v>
      </c>
      <c r="T42" s="10" t="s">
        <v>1285</v>
      </c>
      <c r="U42" s="45">
        <v>44980</v>
      </c>
      <c r="V42" s="129">
        <f>-5.1889*O42^2+102.33*O42-44.163</f>
        <v>4.4410637759000053</v>
      </c>
      <c r="W42" s="129" t="s">
        <v>1302</v>
      </c>
    </row>
    <row r="43" spans="1:25" x14ac:dyDescent="0.55000000000000004">
      <c r="A43" s="32">
        <v>44979</v>
      </c>
      <c r="B43" s="33">
        <v>0.375</v>
      </c>
      <c r="C43" s="10" t="s">
        <v>70</v>
      </c>
      <c r="D43" s="10" t="s">
        <v>71</v>
      </c>
      <c r="E43" s="10" t="s">
        <v>926</v>
      </c>
      <c r="F43" s="10">
        <v>1</v>
      </c>
      <c r="G43" s="10" t="s">
        <v>73</v>
      </c>
      <c r="H43" s="10" t="s">
        <v>74</v>
      </c>
      <c r="I43" s="10" t="s">
        <v>83</v>
      </c>
      <c r="J43" s="10">
        <v>190</v>
      </c>
      <c r="K43" s="12">
        <v>44980</v>
      </c>
      <c r="L43" s="33">
        <v>0.42434027777777777</v>
      </c>
      <c r="M43" s="10">
        <v>1</v>
      </c>
      <c r="N43" s="10" t="s">
        <v>84</v>
      </c>
      <c r="O43" s="10">
        <v>0.504</v>
      </c>
      <c r="P43" s="10">
        <v>3.4599999999999999E-2</v>
      </c>
      <c r="Q43" s="10">
        <v>5</v>
      </c>
      <c r="R43" s="10" t="s">
        <v>85</v>
      </c>
      <c r="S43" s="123">
        <f t="shared" si="0"/>
        <v>5</v>
      </c>
      <c r="T43" s="10" t="s">
        <v>1285</v>
      </c>
      <c r="U43" s="45">
        <v>44980</v>
      </c>
      <c r="V43" s="129">
        <f t="shared" ref="V43:V48" si="15">-5.1889*O43^2+102.33*O43-44.163</f>
        <v>6.0932563776000066</v>
      </c>
      <c r="W43" s="129" t="s">
        <v>1302</v>
      </c>
    </row>
    <row r="44" spans="1:25" x14ac:dyDescent="0.55000000000000004">
      <c r="A44" s="32">
        <v>44979</v>
      </c>
      <c r="B44" s="33">
        <v>0.375</v>
      </c>
      <c r="C44" s="10" t="s">
        <v>70</v>
      </c>
      <c r="D44" s="10" t="s">
        <v>71</v>
      </c>
      <c r="E44" s="10" t="s">
        <v>927</v>
      </c>
      <c r="F44" s="10">
        <v>1</v>
      </c>
      <c r="G44" s="10" t="s">
        <v>73</v>
      </c>
      <c r="H44" s="10" t="s">
        <v>74</v>
      </c>
      <c r="I44" s="10" t="s">
        <v>83</v>
      </c>
      <c r="J44" s="10">
        <v>191</v>
      </c>
      <c r="K44" s="12">
        <v>44980</v>
      </c>
      <c r="L44" s="33">
        <v>0.42505787037037041</v>
      </c>
      <c r="M44" s="10">
        <v>1</v>
      </c>
      <c r="N44" s="10" t="s">
        <v>84</v>
      </c>
      <c r="O44" s="10">
        <v>0.57299999999999995</v>
      </c>
      <c r="P44" s="10">
        <v>3.9E-2</v>
      </c>
      <c r="Q44" s="10">
        <v>15</v>
      </c>
      <c r="R44" s="10" t="s">
        <v>85</v>
      </c>
      <c r="S44" s="123">
        <f t="shared" si="0"/>
        <v>15</v>
      </c>
      <c r="T44" s="10" t="s">
        <v>1285</v>
      </c>
      <c r="U44" s="45">
        <v>44980</v>
      </c>
      <c r="V44" s="129">
        <f t="shared" si="15"/>
        <v>12.768423651899994</v>
      </c>
      <c r="W44" s="129" t="s">
        <v>1302</v>
      </c>
    </row>
    <row r="45" spans="1:25" x14ac:dyDescent="0.55000000000000004">
      <c r="A45" s="32">
        <v>44979</v>
      </c>
      <c r="B45" s="33">
        <v>0.375</v>
      </c>
      <c r="C45" s="10" t="s">
        <v>70</v>
      </c>
      <c r="D45" s="10" t="s">
        <v>71</v>
      </c>
      <c r="E45" s="10" t="s">
        <v>928</v>
      </c>
      <c r="F45" s="10">
        <v>1</v>
      </c>
      <c r="G45" s="10" t="s">
        <v>73</v>
      </c>
      <c r="H45" s="10" t="s">
        <v>74</v>
      </c>
      <c r="I45" s="10" t="s">
        <v>83</v>
      </c>
      <c r="J45" s="10">
        <v>192</v>
      </c>
      <c r="K45" s="12">
        <v>44980</v>
      </c>
      <c r="L45" s="33">
        <v>0.42576388888888889</v>
      </c>
      <c r="M45" s="10">
        <v>1</v>
      </c>
      <c r="N45" s="10" t="s">
        <v>84</v>
      </c>
      <c r="O45" s="10">
        <v>0.60499999999999998</v>
      </c>
      <c r="P45" s="10">
        <v>4.1200000000000001E-2</v>
      </c>
      <c r="Q45" s="10">
        <v>20</v>
      </c>
      <c r="R45" s="10" t="s">
        <v>85</v>
      </c>
      <c r="S45" s="123">
        <f t="shared" si="0"/>
        <v>20</v>
      </c>
      <c r="T45" s="10" t="s">
        <v>1285</v>
      </c>
      <c r="U45" s="45">
        <v>44980</v>
      </c>
      <c r="V45" s="129">
        <f t="shared" si="15"/>
        <v>15.847382877500003</v>
      </c>
      <c r="W45" s="129" t="s">
        <v>1302</v>
      </c>
    </row>
    <row r="46" spans="1:25" x14ac:dyDescent="0.55000000000000004">
      <c r="A46" s="32">
        <v>44979</v>
      </c>
      <c r="B46" s="33">
        <v>0.375</v>
      </c>
      <c r="C46" s="10" t="s">
        <v>70</v>
      </c>
      <c r="D46" s="10" t="s">
        <v>71</v>
      </c>
      <c r="E46" s="10" t="s">
        <v>929</v>
      </c>
      <c r="F46" s="10">
        <v>1</v>
      </c>
      <c r="G46" s="10" t="s">
        <v>73</v>
      </c>
      <c r="H46" s="10" t="s">
        <v>74</v>
      </c>
      <c r="I46" s="10" t="s">
        <v>83</v>
      </c>
      <c r="J46" s="10">
        <v>193</v>
      </c>
      <c r="K46" s="12">
        <v>44980</v>
      </c>
      <c r="L46" s="33">
        <v>0.42646990740740742</v>
      </c>
      <c r="M46" s="10">
        <v>1</v>
      </c>
      <c r="N46" s="10" t="s">
        <v>84</v>
      </c>
      <c r="O46" s="10">
        <v>1.25</v>
      </c>
      <c r="P46" s="10">
        <v>8.8200000000000001E-2</v>
      </c>
      <c r="Q46" s="10">
        <v>75</v>
      </c>
      <c r="R46" s="10" t="s">
        <v>85</v>
      </c>
      <c r="S46" s="123">
        <f t="shared" si="0"/>
        <v>75</v>
      </c>
      <c r="T46" s="10" t="s">
        <v>1285</v>
      </c>
      <c r="U46" s="45">
        <v>44980</v>
      </c>
      <c r="V46" s="129">
        <f t="shared" si="15"/>
        <v>75.641843749999992</v>
      </c>
      <c r="W46" s="129" t="s">
        <v>1302</v>
      </c>
    </row>
    <row r="47" spans="1:25" x14ac:dyDescent="0.55000000000000004">
      <c r="A47" s="32">
        <v>44979</v>
      </c>
      <c r="B47" s="33">
        <v>0.375</v>
      </c>
      <c r="C47" s="10" t="s">
        <v>70</v>
      </c>
      <c r="D47" s="10" t="s">
        <v>71</v>
      </c>
      <c r="E47" s="10" t="s">
        <v>930</v>
      </c>
      <c r="F47" s="10">
        <v>1</v>
      </c>
      <c r="G47" s="10" t="s">
        <v>73</v>
      </c>
      <c r="H47" s="10" t="s">
        <v>74</v>
      </c>
      <c r="I47" s="10" t="s">
        <v>83</v>
      </c>
      <c r="J47" s="10">
        <v>194</v>
      </c>
      <c r="K47" s="12">
        <v>44980</v>
      </c>
      <c r="L47" s="33">
        <v>0.42717592592592596</v>
      </c>
      <c r="M47" s="10">
        <v>1</v>
      </c>
      <c r="N47" s="10" t="s">
        <v>84</v>
      </c>
      <c r="O47" s="10">
        <v>2.13</v>
      </c>
      <c r="P47" s="10">
        <v>0.152</v>
      </c>
      <c r="Q47" s="10">
        <v>150</v>
      </c>
      <c r="R47" s="10" t="s">
        <v>85</v>
      </c>
      <c r="S47" s="123">
        <f t="shared" si="0"/>
        <v>150</v>
      </c>
      <c r="T47" s="10" t="s">
        <v>1285</v>
      </c>
      <c r="U47" s="45">
        <v>44980</v>
      </c>
      <c r="V47" s="129">
        <f t="shared" si="15"/>
        <v>150.25837959</v>
      </c>
      <c r="W47" s="129" t="s">
        <v>1302</v>
      </c>
    </row>
    <row r="48" spans="1:25" x14ac:dyDescent="0.55000000000000004">
      <c r="A48" s="32">
        <v>44979</v>
      </c>
      <c r="B48" s="33">
        <v>0.375</v>
      </c>
      <c r="C48" s="10" t="s">
        <v>70</v>
      </c>
      <c r="D48" s="10" t="s">
        <v>71</v>
      </c>
      <c r="E48" s="10" t="s">
        <v>931</v>
      </c>
      <c r="F48" s="10">
        <v>1</v>
      </c>
      <c r="G48" s="10" t="s">
        <v>73</v>
      </c>
      <c r="H48" s="10" t="s">
        <v>74</v>
      </c>
      <c r="I48" s="10" t="s">
        <v>83</v>
      </c>
      <c r="J48" s="10">
        <v>195</v>
      </c>
      <c r="K48" s="12">
        <v>44980</v>
      </c>
      <c r="L48" s="33">
        <v>0.42788194444444444</v>
      </c>
      <c r="M48" s="10">
        <v>1</v>
      </c>
      <c r="N48" s="10" t="s">
        <v>84</v>
      </c>
      <c r="O48" s="10">
        <v>4.3</v>
      </c>
      <c r="P48" s="10">
        <v>0.314</v>
      </c>
      <c r="Q48" s="10">
        <v>300</v>
      </c>
      <c r="R48" s="10" t="s">
        <v>85</v>
      </c>
      <c r="S48" s="123">
        <f t="shared" si="0"/>
        <v>300</v>
      </c>
      <c r="T48" s="10" t="s">
        <v>1285</v>
      </c>
      <c r="U48" s="45">
        <v>44980</v>
      </c>
      <c r="V48" s="129">
        <f t="shared" si="15"/>
        <v>299.91323899999998</v>
      </c>
      <c r="W48" s="129" t="s">
        <v>1302</v>
      </c>
    </row>
  </sheetData>
  <phoneticPr fontId="17" type="noConversion"/>
  <conditionalFormatting sqref="AZ1">
    <cfRule type="cellIs" dxfId="9" priority="1" operator="lessThan">
      <formula>0</formula>
    </cfRule>
  </conditionalFormatting>
  <conditionalFormatting sqref="U1">
    <cfRule type="cellIs" dxfId="8" priority="2" operator="lessThan">
      <formula>0</formula>
    </cfRule>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9E61-4FE8-46FD-A361-07E7E53B13EE}">
  <dimension ref="A1:BD91"/>
  <sheetViews>
    <sheetView topLeftCell="A59" zoomScale="80" zoomScaleNormal="80" workbookViewId="0">
      <selection activeCell="A84" sqref="A84:Y90"/>
    </sheetView>
  </sheetViews>
  <sheetFormatPr defaultRowHeight="14.4" x14ac:dyDescent="0.55000000000000004"/>
  <cols>
    <col min="1" max="1" width="9.3125" bestFit="1" customWidth="1"/>
    <col min="2" max="2" width="10.5234375" bestFit="1" customWidth="1"/>
    <col min="11" max="11" width="9.68359375" bestFit="1" customWidth="1"/>
    <col min="12" max="12" width="11.5234375" bestFit="1" customWidth="1"/>
    <col min="21" max="21" width="9.68359375" bestFit="1" customWidth="1"/>
    <col min="22" max="22" width="12" bestFit="1" customWidth="1"/>
    <col min="32" max="32" width="9.3125" bestFit="1" customWidth="1"/>
    <col min="33" max="33" width="10.5234375" bestFit="1" customWidth="1"/>
    <col min="42" max="42" width="9.68359375" bestFit="1" customWidth="1"/>
    <col min="43" max="43" width="11.5234375" bestFit="1" customWidth="1"/>
    <col min="52" max="52" width="9.89453125" bestFit="1" customWidth="1"/>
  </cols>
  <sheetData>
    <row r="1" spans="1:56" ht="100.8" x14ac:dyDescent="0.55000000000000004">
      <c r="A1" s="17" t="s">
        <v>0</v>
      </c>
      <c r="B1" s="35" t="s">
        <v>23</v>
      </c>
      <c r="C1" s="19" t="s">
        <v>24</v>
      </c>
      <c r="D1" s="19" t="s">
        <v>25</v>
      </c>
      <c r="E1" s="19" t="s">
        <v>26</v>
      </c>
      <c r="F1" s="19" t="s">
        <v>27</v>
      </c>
      <c r="G1" s="19" t="s">
        <v>28</v>
      </c>
      <c r="H1" s="19" t="s">
        <v>29</v>
      </c>
      <c r="I1" s="19" t="s">
        <v>30</v>
      </c>
      <c r="J1" s="19" t="s">
        <v>31</v>
      </c>
      <c r="K1" s="20" t="s">
        <v>32</v>
      </c>
      <c r="L1" s="21" t="s">
        <v>33</v>
      </c>
      <c r="M1" s="22" t="s">
        <v>34</v>
      </c>
      <c r="N1" s="19" t="s">
        <v>35</v>
      </c>
      <c r="O1" s="23" t="s">
        <v>36</v>
      </c>
      <c r="P1" s="23" t="s">
        <v>37</v>
      </c>
      <c r="Q1" s="24" t="s">
        <v>38</v>
      </c>
      <c r="R1" s="19" t="s">
        <v>39</v>
      </c>
      <c r="S1" s="36" t="s">
        <v>40</v>
      </c>
      <c r="T1" s="19" t="s">
        <v>46</v>
      </c>
      <c r="U1" s="20" t="s">
        <v>79</v>
      </c>
      <c r="V1" s="9" t="s">
        <v>80</v>
      </c>
      <c r="W1" s="3" t="s">
        <v>81</v>
      </c>
      <c r="AF1" s="37" t="s">
        <v>0</v>
      </c>
      <c r="AG1" s="35" t="s">
        <v>23</v>
      </c>
      <c r="AH1" s="38" t="s">
        <v>24</v>
      </c>
      <c r="AI1" s="38" t="s">
        <v>25</v>
      </c>
      <c r="AJ1" s="38" t="s">
        <v>26</v>
      </c>
      <c r="AK1" s="38" t="s">
        <v>27</v>
      </c>
      <c r="AL1" s="38" t="s">
        <v>28</v>
      </c>
      <c r="AM1" s="38" t="s">
        <v>29</v>
      </c>
      <c r="AN1" s="38" t="s">
        <v>30</v>
      </c>
      <c r="AO1" s="38" t="s">
        <v>31</v>
      </c>
      <c r="AP1" s="39" t="s">
        <v>32</v>
      </c>
      <c r="AQ1" s="40" t="s">
        <v>33</v>
      </c>
      <c r="AR1" s="22" t="s">
        <v>34</v>
      </c>
      <c r="AS1" s="38" t="s">
        <v>35</v>
      </c>
      <c r="AT1" s="41" t="s">
        <v>36</v>
      </c>
      <c r="AU1" s="41" t="s">
        <v>37</v>
      </c>
      <c r="AV1" s="42" t="s">
        <v>38</v>
      </c>
      <c r="AW1" s="38" t="s">
        <v>39</v>
      </c>
      <c r="AX1" s="43" t="s">
        <v>40</v>
      </c>
      <c r="AY1" s="38" t="s">
        <v>46</v>
      </c>
      <c r="AZ1" s="39" t="s">
        <v>82</v>
      </c>
      <c r="BA1" s="44" t="s">
        <v>80</v>
      </c>
      <c r="BB1" s="44" t="s">
        <v>81</v>
      </c>
    </row>
    <row r="2" spans="1:56" x14ac:dyDescent="0.55000000000000004">
      <c r="A2" s="119">
        <v>44930</v>
      </c>
      <c r="B2" s="120">
        <v>0.375</v>
      </c>
      <c r="C2" s="121" t="s">
        <v>70</v>
      </c>
      <c r="D2" s="121" t="s">
        <v>71</v>
      </c>
      <c r="E2" s="121" t="s">
        <v>917</v>
      </c>
      <c r="F2" s="121">
        <v>1</v>
      </c>
      <c r="G2" s="121" t="s">
        <v>73</v>
      </c>
      <c r="H2" s="121" t="s">
        <v>74</v>
      </c>
      <c r="I2" s="121" t="s">
        <v>83</v>
      </c>
      <c r="J2" s="121">
        <v>181</v>
      </c>
      <c r="K2" s="122">
        <v>44930</v>
      </c>
      <c r="L2" s="120">
        <v>0.53673611111111108</v>
      </c>
      <c r="M2" s="121">
        <v>1</v>
      </c>
      <c r="N2" s="121" t="s">
        <v>84</v>
      </c>
      <c r="O2" s="121">
        <v>0.47699999999999998</v>
      </c>
      <c r="P2" s="121">
        <v>3.3099999999999997E-2</v>
      </c>
      <c r="Q2" s="121">
        <v>0</v>
      </c>
      <c r="R2" s="121" t="s">
        <v>85</v>
      </c>
      <c r="S2" s="123">
        <f t="shared" ref="S2:S64" si="0">IF(OR(AND(I2&lt;&gt;"TP", I2&lt;&gt;"TDP",I2&lt;&gt;"TN", I2&lt;&gt;"TDN"),H2="CAL"), Q2*M2, IF(OR(AND(I2="TN", Q2&gt;2500), AND(I2="TDN", Q2&gt;2500)),MAX(Q2, AK2)*M2, IF(OR(AND(I2="TN", Q2&lt;=2500), AND(I2="TDN", Q2&lt;=2500)),MAX(Q2, AJ2,AK2)*M2, IF(OR(AND(I2="TP",Q2&gt;500), AND(I2="TDP", Q2&gt;500)),MAX(Q2,AK2)*M2,IF(OR(AND(I2="TP",Q2&lt;=150), AND(I2="TDP", Q2&lt;=150)),MAX(Q2,AG2:AI2,AK2)*M2,IF(OR(AND(I2="TP",Q2&lt;=300), AND(I2="TDP", Q2&lt;=300)),MAX(Q2,AH2,AI2,AK2)*M2,IF(OR(AND(I2="TP",Q2&lt;=500), AND(I2="TDP", Q2&lt;=500)),MAX(Q2,AI2,AK2)*M2,"")))))))</f>
        <v>0</v>
      </c>
      <c r="T2" s="10" t="s">
        <v>970</v>
      </c>
      <c r="U2" s="45">
        <v>44930</v>
      </c>
      <c r="V2">
        <f>-1.1451*O2^2+77.605*O2-34.739</f>
        <v>2.0180415421000006</v>
      </c>
      <c r="W2" t="s">
        <v>986</v>
      </c>
      <c r="AF2" s="119">
        <v>44930</v>
      </c>
      <c r="AG2" s="120">
        <v>0.375</v>
      </c>
      <c r="AH2" s="121" t="s">
        <v>70</v>
      </c>
      <c r="AI2" s="121" t="s">
        <v>71</v>
      </c>
      <c r="AJ2" s="121" t="s">
        <v>932</v>
      </c>
      <c r="AK2" s="121">
        <v>1</v>
      </c>
      <c r="AL2" s="121" t="s">
        <v>73</v>
      </c>
      <c r="AM2" s="121" t="s">
        <v>74</v>
      </c>
      <c r="AN2" s="121" t="s">
        <v>83</v>
      </c>
      <c r="AO2" s="121">
        <v>196</v>
      </c>
      <c r="AP2" s="122">
        <v>44930</v>
      </c>
      <c r="AQ2" s="120">
        <v>0.54732638888888896</v>
      </c>
      <c r="AR2" s="121">
        <v>1</v>
      </c>
      <c r="AS2" s="121" t="s">
        <v>84</v>
      </c>
      <c r="AT2" s="121">
        <v>7.5</v>
      </c>
      <c r="AU2" s="121">
        <v>0.54200000000000004</v>
      </c>
      <c r="AV2" s="121">
        <v>500</v>
      </c>
      <c r="AW2" s="121" t="s">
        <v>85</v>
      </c>
      <c r="AX2" s="123">
        <f t="shared" ref="AX2:AX8" si="1">IF(OR(AND(AN2&lt;&gt;"TP", AN2&lt;&gt;"TDP",AN2&lt;&gt;"TN", AN2&lt;&gt;"TDN"),AM2="CAL"), AV2*AR2, IF(OR(AND(AN2="TN", AV2&gt;2500), AND(AN2="TDN", AV2&gt;2500)),MAX(AV2, BP2)*AR2, IF(OR(AND(AN2="TN", AV2&lt;=2500), AND(AN2="TDN", AV2&lt;=2500)),MAX(AV2, BO2,BP2)*AR2, IF(OR(AND(AN2="TP",AV2&gt;500), AND(AN2="TDP", AV2&gt;500)),MAX(AV2,BP2)*AR2,IF(OR(AND(AN2="TP",AV2&lt;=150), AND(AN2="TDP", AV2&lt;=150)),MAX(AV2,BL2:BN2,BP2)*AR2,IF(OR(AND(AN2="TP",AV2&lt;=300), AND(AN2="TDP", AV2&lt;=300)),MAX(AV2,BM2,BN2,BP2)*AR2,IF(OR(AND(AN2="TP",AV2&lt;=500), AND(AN2="TDP", AV2&lt;=500)),MAX(AV2,BN2,BP2)*AR2,"")))))))</f>
        <v>500</v>
      </c>
      <c r="AY2" s="10" t="s">
        <v>970</v>
      </c>
      <c r="AZ2" s="45">
        <v>44930</v>
      </c>
      <c r="BA2">
        <f t="shared" ref="BA2" si="2">-1.1451*AT2^2+77.605*AT2-34.739</f>
        <v>482.88662500000004</v>
      </c>
      <c r="BB2" t="s">
        <v>986</v>
      </c>
    </row>
    <row r="3" spans="1:56" x14ac:dyDescent="0.55000000000000004">
      <c r="A3" s="119">
        <v>44930</v>
      </c>
      <c r="B3" s="120">
        <v>0.375</v>
      </c>
      <c r="C3" s="121" t="s">
        <v>70</v>
      </c>
      <c r="D3" s="121" t="s">
        <v>71</v>
      </c>
      <c r="E3" s="121" t="s">
        <v>918</v>
      </c>
      <c r="F3" s="121">
        <v>1</v>
      </c>
      <c r="G3" s="121" t="s">
        <v>73</v>
      </c>
      <c r="H3" s="121" t="s">
        <v>74</v>
      </c>
      <c r="I3" s="121" t="s">
        <v>83</v>
      </c>
      <c r="J3" s="121">
        <v>182</v>
      </c>
      <c r="K3" s="122">
        <v>44930</v>
      </c>
      <c r="L3" s="120">
        <v>0.53744212962962956</v>
      </c>
      <c r="M3" s="121">
        <v>1</v>
      </c>
      <c r="N3" s="121" t="s">
        <v>84</v>
      </c>
      <c r="O3" s="121">
        <v>0.60699999999999998</v>
      </c>
      <c r="P3" s="121">
        <v>4.1300000000000003E-2</v>
      </c>
      <c r="Q3" s="121">
        <v>12</v>
      </c>
      <c r="R3" s="121" t="s">
        <v>85</v>
      </c>
      <c r="S3" s="123">
        <f t="shared" si="0"/>
        <v>12</v>
      </c>
      <c r="T3" s="10" t="s">
        <v>970</v>
      </c>
      <c r="U3" s="45">
        <v>44930</v>
      </c>
      <c r="V3">
        <f t="shared" ref="V3:V14" si="3">-1.1451*O3^2+77.605*O3-34.739</f>
        <v>11.945324050099998</v>
      </c>
      <c r="W3" t="s">
        <v>986</v>
      </c>
      <c r="AF3" s="124">
        <v>44937</v>
      </c>
      <c r="AG3" s="125">
        <v>0.375</v>
      </c>
      <c r="AH3" s="31" t="s">
        <v>70</v>
      </c>
      <c r="AI3" s="31" t="s">
        <v>71</v>
      </c>
      <c r="AJ3" s="31" t="s">
        <v>932</v>
      </c>
      <c r="AK3" s="31">
        <v>1</v>
      </c>
      <c r="AL3" s="31" t="s">
        <v>73</v>
      </c>
      <c r="AM3" s="31" t="s">
        <v>74</v>
      </c>
      <c r="AN3" s="31" t="s">
        <v>83</v>
      </c>
      <c r="AO3" s="31">
        <v>196</v>
      </c>
      <c r="AP3" s="126">
        <v>44937</v>
      </c>
      <c r="AQ3" s="125">
        <v>0.58805555555555555</v>
      </c>
      <c r="AR3" s="31">
        <v>1</v>
      </c>
      <c r="AS3" s="31" t="s">
        <v>84</v>
      </c>
      <c r="AT3" s="31">
        <v>7.48</v>
      </c>
      <c r="AU3" s="31">
        <v>0.54</v>
      </c>
      <c r="AV3" s="31">
        <v>500</v>
      </c>
      <c r="AW3" s="31" t="s">
        <v>85</v>
      </c>
      <c r="AX3" s="34">
        <f t="shared" si="1"/>
        <v>500</v>
      </c>
      <c r="AY3" s="31" t="s">
        <v>1021</v>
      </c>
      <c r="AZ3" s="127">
        <v>44937</v>
      </c>
      <c r="BA3" s="128">
        <f t="shared" ref="BA3" si="4">-0.232*AT3^2+72.802*AT3-30.279</f>
        <v>501.29946720000009</v>
      </c>
      <c r="BB3" s="128" t="s">
        <v>1037</v>
      </c>
      <c r="BC3" s="128"/>
      <c r="BD3" s="128"/>
    </row>
    <row r="4" spans="1:56" x14ac:dyDescent="0.55000000000000004">
      <c r="A4" s="119">
        <v>44930</v>
      </c>
      <c r="B4" s="120">
        <v>0.375</v>
      </c>
      <c r="C4" s="121" t="s">
        <v>70</v>
      </c>
      <c r="D4" s="121" t="s">
        <v>71</v>
      </c>
      <c r="E4" s="121" t="s">
        <v>919</v>
      </c>
      <c r="F4" s="121">
        <v>1</v>
      </c>
      <c r="G4" s="121" t="s">
        <v>73</v>
      </c>
      <c r="H4" s="121" t="s">
        <v>74</v>
      </c>
      <c r="I4" s="121" t="s">
        <v>83</v>
      </c>
      <c r="J4" s="121">
        <v>183</v>
      </c>
      <c r="K4" s="122">
        <v>44930</v>
      </c>
      <c r="L4" s="120">
        <v>0.53815972222222219</v>
      </c>
      <c r="M4" s="121">
        <v>1</v>
      </c>
      <c r="N4" s="121" t="s">
        <v>84</v>
      </c>
      <c r="O4" s="121">
        <v>1.08</v>
      </c>
      <c r="P4" s="121">
        <v>7.5999999999999998E-2</v>
      </c>
      <c r="Q4" s="121">
        <v>50</v>
      </c>
      <c r="R4" s="121" t="s">
        <v>85</v>
      </c>
      <c r="S4" s="123">
        <f t="shared" si="0"/>
        <v>50</v>
      </c>
      <c r="T4" s="10" t="s">
        <v>970</v>
      </c>
      <c r="U4" s="45">
        <v>44930</v>
      </c>
      <c r="V4">
        <f t="shared" si="3"/>
        <v>47.73875536000002</v>
      </c>
      <c r="W4" t="s">
        <v>986</v>
      </c>
      <c r="AF4" s="119">
        <v>44950</v>
      </c>
      <c r="AG4" s="120">
        <v>0.375</v>
      </c>
      <c r="AH4" s="121" t="s">
        <v>70</v>
      </c>
      <c r="AI4" s="121" t="s">
        <v>71</v>
      </c>
      <c r="AJ4" s="121" t="s">
        <v>932</v>
      </c>
      <c r="AK4" s="121">
        <v>1</v>
      </c>
      <c r="AL4" s="121" t="s">
        <v>73</v>
      </c>
      <c r="AM4" s="121" t="s">
        <v>74</v>
      </c>
      <c r="AN4" s="121" t="s">
        <v>83</v>
      </c>
      <c r="AO4" s="121">
        <v>196</v>
      </c>
      <c r="AP4" s="122">
        <v>44950</v>
      </c>
      <c r="AQ4" s="120">
        <v>0.53467592592592594</v>
      </c>
      <c r="AR4" s="121">
        <v>1</v>
      </c>
      <c r="AS4" s="121" t="s">
        <v>84</v>
      </c>
      <c r="AT4" s="121">
        <v>7.56</v>
      </c>
      <c r="AU4" s="121">
        <v>0.55200000000000005</v>
      </c>
      <c r="AV4" s="121">
        <v>500</v>
      </c>
      <c r="AW4" s="121" t="s">
        <v>85</v>
      </c>
      <c r="AX4" s="123">
        <f t="shared" si="1"/>
        <v>500</v>
      </c>
      <c r="AY4" s="10" t="s">
        <v>1071</v>
      </c>
      <c r="AZ4" s="45">
        <v>44950</v>
      </c>
      <c r="BA4" s="129">
        <f t="shared" ref="BA4" si="5">2.2125*AT4^2+32.759*AT4-8.5751</f>
        <v>365.53527999999994</v>
      </c>
      <c r="BB4" s="129" t="s">
        <v>1089</v>
      </c>
    </row>
    <row r="5" spans="1:56" x14ac:dyDescent="0.55000000000000004">
      <c r="A5" s="119">
        <v>44930</v>
      </c>
      <c r="B5" s="120">
        <v>0.375</v>
      </c>
      <c r="C5" s="121" t="s">
        <v>70</v>
      </c>
      <c r="D5" s="121" t="s">
        <v>71</v>
      </c>
      <c r="E5" s="121" t="s">
        <v>920</v>
      </c>
      <c r="F5" s="121">
        <v>1</v>
      </c>
      <c r="G5" s="121" t="s">
        <v>73</v>
      </c>
      <c r="H5" s="121" t="s">
        <v>74</v>
      </c>
      <c r="I5" s="121" t="s">
        <v>83</v>
      </c>
      <c r="J5" s="121">
        <v>184</v>
      </c>
      <c r="K5" s="122">
        <v>44930</v>
      </c>
      <c r="L5" s="120">
        <v>0.53885416666666663</v>
      </c>
      <c r="M5" s="121">
        <v>1</v>
      </c>
      <c r="N5" s="121" t="s">
        <v>84</v>
      </c>
      <c r="O5" s="121">
        <v>3.44</v>
      </c>
      <c r="P5" s="121">
        <v>0.245</v>
      </c>
      <c r="Q5" s="121">
        <v>200</v>
      </c>
      <c r="R5" s="121" t="s">
        <v>85</v>
      </c>
      <c r="S5" s="123">
        <f t="shared" si="0"/>
        <v>200</v>
      </c>
      <c r="T5" s="10" t="s">
        <v>970</v>
      </c>
      <c r="U5" s="45">
        <v>44930</v>
      </c>
      <c r="V5">
        <f t="shared" si="3"/>
        <v>218.67154464000001</v>
      </c>
      <c r="W5" t="s">
        <v>986</v>
      </c>
      <c r="AF5" s="124">
        <v>44958</v>
      </c>
      <c r="AG5" s="125">
        <v>0.375</v>
      </c>
      <c r="AH5" s="31" t="s">
        <v>70</v>
      </c>
      <c r="AI5" s="31" t="s">
        <v>71</v>
      </c>
      <c r="AJ5" s="31" t="s">
        <v>932</v>
      </c>
      <c r="AK5" s="31">
        <v>1</v>
      </c>
      <c r="AL5" s="31" t="s">
        <v>73</v>
      </c>
      <c r="AM5" s="31" t="s">
        <v>74</v>
      </c>
      <c r="AN5" s="31" t="s">
        <v>83</v>
      </c>
      <c r="AO5" s="31">
        <v>196</v>
      </c>
      <c r="AP5" s="126">
        <v>44958</v>
      </c>
      <c r="AQ5" s="125">
        <v>0.58090277777777777</v>
      </c>
      <c r="AR5" s="31">
        <v>1</v>
      </c>
      <c r="AS5" s="31" t="s">
        <v>84</v>
      </c>
      <c r="AT5" s="31">
        <v>7.66</v>
      </c>
      <c r="AU5" s="31">
        <v>0.54500000000000004</v>
      </c>
      <c r="AV5" s="31">
        <v>500</v>
      </c>
      <c r="AW5" s="31" t="s">
        <v>85</v>
      </c>
      <c r="AX5" s="34">
        <f t="shared" si="1"/>
        <v>500</v>
      </c>
      <c r="AY5" s="31" t="s">
        <v>1126</v>
      </c>
      <c r="AZ5" s="127">
        <v>44958</v>
      </c>
      <c r="BA5" s="128">
        <f t="shared" ref="BA5" si="6">0.6312*AT5^2+63.45*AT5-30.993</f>
        <v>492.07003872000001</v>
      </c>
      <c r="BB5" s="128" t="s">
        <v>1141</v>
      </c>
      <c r="BC5" s="128"/>
    </row>
    <row r="6" spans="1:56" x14ac:dyDescent="0.55000000000000004">
      <c r="A6" s="119">
        <v>44930</v>
      </c>
      <c r="B6" s="120">
        <v>0.375</v>
      </c>
      <c r="C6" s="121" t="s">
        <v>70</v>
      </c>
      <c r="D6" s="121" t="s">
        <v>71</v>
      </c>
      <c r="E6" s="121" t="s">
        <v>921</v>
      </c>
      <c r="F6" s="121">
        <v>1</v>
      </c>
      <c r="G6" s="121" t="s">
        <v>73</v>
      </c>
      <c r="H6" s="121" t="s">
        <v>74</v>
      </c>
      <c r="I6" s="121" t="s">
        <v>83</v>
      </c>
      <c r="J6" s="121">
        <v>185</v>
      </c>
      <c r="K6" s="122">
        <v>44930</v>
      </c>
      <c r="L6" s="120">
        <v>0.53956018518518511</v>
      </c>
      <c r="M6" s="121">
        <v>1</v>
      </c>
      <c r="N6" s="121" t="s">
        <v>84</v>
      </c>
      <c r="O6" s="121">
        <v>8.02</v>
      </c>
      <c r="P6" s="121">
        <v>0.57899999999999996</v>
      </c>
      <c r="Q6" s="121">
        <v>500</v>
      </c>
      <c r="R6" s="121" t="s">
        <v>85</v>
      </c>
      <c r="S6" s="123">
        <f t="shared" si="0"/>
        <v>500</v>
      </c>
      <c r="T6" s="10" t="s">
        <v>970</v>
      </c>
      <c r="U6" s="45">
        <v>44930</v>
      </c>
      <c r="V6">
        <f t="shared" si="3"/>
        <v>513.99980995999999</v>
      </c>
      <c r="W6" t="s">
        <v>986</v>
      </c>
      <c r="AF6" s="32">
        <v>44966</v>
      </c>
      <c r="AG6" s="33">
        <v>0.375</v>
      </c>
      <c r="AH6" s="10" t="s">
        <v>70</v>
      </c>
      <c r="AI6" s="10" t="s">
        <v>71</v>
      </c>
      <c r="AJ6" s="10" t="s">
        <v>932</v>
      </c>
      <c r="AK6" s="10">
        <v>1</v>
      </c>
      <c r="AL6" s="10" t="s">
        <v>73</v>
      </c>
      <c r="AM6" s="10" t="s">
        <v>74</v>
      </c>
      <c r="AN6" s="10" t="s">
        <v>83</v>
      </c>
      <c r="AO6" s="10">
        <v>196</v>
      </c>
      <c r="AP6" s="12">
        <v>44966</v>
      </c>
      <c r="AQ6" s="33">
        <v>0.5588657407407408</v>
      </c>
      <c r="AR6" s="10">
        <v>1</v>
      </c>
      <c r="AS6" s="10" t="s">
        <v>84</v>
      </c>
      <c r="AT6" s="10">
        <v>7.54</v>
      </c>
      <c r="AU6" s="10">
        <v>0.54800000000000004</v>
      </c>
      <c r="AV6" s="10">
        <v>500</v>
      </c>
      <c r="AW6" s="10" t="s">
        <v>85</v>
      </c>
      <c r="AX6" s="123">
        <f t="shared" si="1"/>
        <v>500</v>
      </c>
      <c r="AY6" s="10" t="s">
        <v>1188</v>
      </c>
      <c r="AZ6" s="45">
        <v>44966</v>
      </c>
      <c r="BA6" s="129">
        <f t="shared" ref="BA6" si="7">-1.7314*AT6^2+83.401*AT6-37.87</f>
        <v>492.54067975999999</v>
      </c>
      <c r="BB6" s="129" t="s">
        <v>1202</v>
      </c>
    </row>
    <row r="7" spans="1:56" x14ac:dyDescent="0.55000000000000004">
      <c r="A7" s="119">
        <v>44930</v>
      </c>
      <c r="B7" s="120">
        <v>0.375</v>
      </c>
      <c r="C7" s="121" t="s">
        <v>70</v>
      </c>
      <c r="D7" s="121" t="s">
        <v>71</v>
      </c>
      <c r="E7" s="121" t="s">
        <v>925</v>
      </c>
      <c r="F7" s="121">
        <v>1</v>
      </c>
      <c r="G7" s="121" t="s">
        <v>73</v>
      </c>
      <c r="H7" s="121" t="s">
        <v>74</v>
      </c>
      <c r="I7" s="121" t="s">
        <v>83</v>
      </c>
      <c r="J7" s="121">
        <v>189</v>
      </c>
      <c r="K7" s="122">
        <v>44930</v>
      </c>
      <c r="L7" s="120">
        <v>0.54238425925925926</v>
      </c>
      <c r="M7" s="121">
        <v>1</v>
      </c>
      <c r="N7" s="121" t="s">
        <v>84</v>
      </c>
      <c r="O7" s="121">
        <v>0.50800000000000001</v>
      </c>
      <c r="P7" s="121">
        <v>3.4599999999999999E-2</v>
      </c>
      <c r="Q7" s="121">
        <v>0</v>
      </c>
      <c r="R7" s="121" t="s">
        <v>85</v>
      </c>
      <c r="S7" s="123">
        <f t="shared" si="0"/>
        <v>0</v>
      </c>
      <c r="T7" s="10" t="s">
        <v>970</v>
      </c>
      <c r="U7" s="45">
        <v>44930</v>
      </c>
      <c r="V7">
        <f t="shared" si="3"/>
        <v>4.3888309136000032</v>
      </c>
      <c r="W7" t="s">
        <v>986</v>
      </c>
      <c r="AF7" s="124">
        <v>44972</v>
      </c>
      <c r="AG7" s="125">
        <v>0.375</v>
      </c>
      <c r="AH7" s="31" t="s">
        <v>70</v>
      </c>
      <c r="AI7" s="31" t="s">
        <v>71</v>
      </c>
      <c r="AJ7" s="31" t="s">
        <v>932</v>
      </c>
      <c r="AK7" s="31">
        <v>1</v>
      </c>
      <c r="AL7" s="31" t="s">
        <v>73</v>
      </c>
      <c r="AM7" s="31" t="s">
        <v>74</v>
      </c>
      <c r="AN7" s="31" t="s">
        <v>83</v>
      </c>
      <c r="AO7" s="31">
        <v>196</v>
      </c>
      <c r="AP7" s="126">
        <v>44972</v>
      </c>
      <c r="AQ7" s="125">
        <v>0.55464120370370373</v>
      </c>
      <c r="AR7" s="31">
        <v>1</v>
      </c>
      <c r="AS7" s="31" t="s">
        <v>84</v>
      </c>
      <c r="AT7" s="31">
        <v>7.51</v>
      </c>
      <c r="AU7" s="31">
        <v>0.54700000000000004</v>
      </c>
      <c r="AV7" s="31">
        <v>500</v>
      </c>
      <c r="AW7" s="31" t="s">
        <v>85</v>
      </c>
      <c r="AX7" s="34">
        <f t="shared" si="1"/>
        <v>500</v>
      </c>
      <c r="AY7" s="128" t="s">
        <v>1232</v>
      </c>
      <c r="AZ7" s="127">
        <v>44972</v>
      </c>
      <c r="BA7" s="128">
        <f t="shared" ref="BA7" si="8">-1.4395*AT7^2+80.835*AT7-35.016</f>
        <v>490.86690604999995</v>
      </c>
      <c r="BB7" s="128" t="s">
        <v>1248</v>
      </c>
    </row>
    <row r="8" spans="1:56" x14ac:dyDescent="0.55000000000000004">
      <c r="A8" s="119">
        <v>44930</v>
      </c>
      <c r="B8" s="120">
        <v>0.375</v>
      </c>
      <c r="C8" s="121" t="s">
        <v>70</v>
      </c>
      <c r="D8" s="121" t="s">
        <v>71</v>
      </c>
      <c r="E8" s="121" t="s">
        <v>926</v>
      </c>
      <c r="F8" s="121">
        <v>1</v>
      </c>
      <c r="G8" s="121" t="s">
        <v>73</v>
      </c>
      <c r="H8" s="121" t="s">
        <v>74</v>
      </c>
      <c r="I8" s="121" t="s">
        <v>83</v>
      </c>
      <c r="J8" s="121">
        <v>190</v>
      </c>
      <c r="K8" s="122">
        <v>44930</v>
      </c>
      <c r="L8" s="120">
        <v>0.54309027777777774</v>
      </c>
      <c r="M8" s="121">
        <v>1</v>
      </c>
      <c r="N8" s="121" t="s">
        <v>84</v>
      </c>
      <c r="O8" s="121">
        <v>0.52900000000000003</v>
      </c>
      <c r="P8" s="121">
        <v>3.5799999999999998E-2</v>
      </c>
      <c r="Q8" s="121">
        <v>5</v>
      </c>
      <c r="R8" s="121" t="s">
        <v>85</v>
      </c>
      <c r="S8" s="123">
        <f t="shared" si="0"/>
        <v>5</v>
      </c>
      <c r="T8" s="10" t="s">
        <v>970</v>
      </c>
      <c r="U8" s="45">
        <v>44930</v>
      </c>
      <c r="V8">
        <f t="shared" si="3"/>
        <v>5.9935990709000038</v>
      </c>
      <c r="W8" t="s">
        <v>986</v>
      </c>
      <c r="AF8" s="32">
        <v>44979</v>
      </c>
      <c r="AG8" s="33">
        <v>0.375</v>
      </c>
      <c r="AH8" s="10" t="s">
        <v>70</v>
      </c>
      <c r="AI8" s="10" t="s">
        <v>71</v>
      </c>
      <c r="AJ8" s="10" t="s">
        <v>932</v>
      </c>
      <c r="AK8" s="10">
        <v>1</v>
      </c>
      <c r="AL8" s="10" t="s">
        <v>73</v>
      </c>
      <c r="AM8" s="10" t="s">
        <v>74</v>
      </c>
      <c r="AN8" s="10" t="s">
        <v>83</v>
      </c>
      <c r="AO8" s="10">
        <v>196</v>
      </c>
      <c r="AP8" s="12">
        <v>44980</v>
      </c>
      <c r="AQ8" s="33">
        <v>0.42859953703703701</v>
      </c>
      <c r="AR8" s="10">
        <v>1</v>
      </c>
      <c r="AS8" s="10" t="s">
        <v>84</v>
      </c>
      <c r="AT8" s="10">
        <v>7.02</v>
      </c>
      <c r="AU8" s="10">
        <v>0.51900000000000002</v>
      </c>
      <c r="AV8" s="10">
        <v>500</v>
      </c>
      <c r="AW8" s="10" t="s">
        <v>85</v>
      </c>
      <c r="AX8" s="123">
        <f t="shared" si="1"/>
        <v>500</v>
      </c>
      <c r="AY8" s="10" t="s">
        <v>1285</v>
      </c>
      <c r="AZ8" s="45">
        <v>44980</v>
      </c>
      <c r="BA8" s="129">
        <f t="shared" ref="BA8" si="9">-1.8824*AT8^2+87.341*AT8-33.178</f>
        <v>487.19039503999988</v>
      </c>
      <c r="BB8" s="129" t="s">
        <v>1301</v>
      </c>
    </row>
    <row r="9" spans="1:56" x14ac:dyDescent="0.55000000000000004">
      <c r="A9" s="119">
        <v>44930</v>
      </c>
      <c r="B9" s="120">
        <v>0.375</v>
      </c>
      <c r="C9" s="121" t="s">
        <v>70</v>
      </c>
      <c r="D9" s="121" t="s">
        <v>71</v>
      </c>
      <c r="E9" s="121" t="s">
        <v>927</v>
      </c>
      <c r="F9" s="121">
        <v>1</v>
      </c>
      <c r="G9" s="121" t="s">
        <v>73</v>
      </c>
      <c r="H9" s="121" t="s">
        <v>74</v>
      </c>
      <c r="I9" s="121" t="s">
        <v>83</v>
      </c>
      <c r="J9" s="121">
        <v>191</v>
      </c>
      <c r="K9" s="122">
        <v>44930</v>
      </c>
      <c r="L9" s="120">
        <v>0.54379629629629633</v>
      </c>
      <c r="M9" s="121">
        <v>1</v>
      </c>
      <c r="N9" s="121" t="s">
        <v>84</v>
      </c>
      <c r="O9" s="121">
        <v>0.64400000000000002</v>
      </c>
      <c r="P9" s="121">
        <v>4.41E-2</v>
      </c>
      <c r="Q9" s="121">
        <v>15</v>
      </c>
      <c r="R9" s="121" t="s">
        <v>85</v>
      </c>
      <c r="S9" s="123">
        <f t="shared" si="0"/>
        <v>15</v>
      </c>
      <c r="T9" s="10" t="s">
        <v>970</v>
      </c>
      <c r="U9" s="45">
        <v>44930</v>
      </c>
      <c r="V9">
        <f t="shared" si="3"/>
        <v>14.763705806400004</v>
      </c>
      <c r="W9" t="s">
        <v>986</v>
      </c>
    </row>
    <row r="10" spans="1:56" x14ac:dyDescent="0.55000000000000004">
      <c r="A10" s="119">
        <v>44930</v>
      </c>
      <c r="B10" s="120">
        <v>0.375</v>
      </c>
      <c r="C10" s="121" t="s">
        <v>70</v>
      </c>
      <c r="D10" s="121" t="s">
        <v>71</v>
      </c>
      <c r="E10" s="121" t="s">
        <v>928</v>
      </c>
      <c r="F10" s="121">
        <v>1</v>
      </c>
      <c r="G10" s="121" t="s">
        <v>73</v>
      </c>
      <c r="H10" s="121" t="s">
        <v>74</v>
      </c>
      <c r="I10" s="121" t="s">
        <v>83</v>
      </c>
      <c r="J10" s="121">
        <v>192</v>
      </c>
      <c r="K10" s="122">
        <v>44930</v>
      </c>
      <c r="L10" s="120">
        <v>0.54451388888888885</v>
      </c>
      <c r="M10" s="121">
        <v>1</v>
      </c>
      <c r="N10" s="121" t="s">
        <v>84</v>
      </c>
      <c r="O10" s="121">
        <v>0.68400000000000005</v>
      </c>
      <c r="P10" s="121">
        <v>4.6399999999999997E-2</v>
      </c>
      <c r="Q10" s="121">
        <v>20</v>
      </c>
      <c r="R10" s="121" t="s">
        <v>85</v>
      </c>
      <c r="S10" s="123">
        <f t="shared" si="0"/>
        <v>20</v>
      </c>
      <c r="T10" s="10" t="s">
        <v>970</v>
      </c>
      <c r="U10" s="45">
        <v>44930</v>
      </c>
      <c r="V10">
        <f t="shared" si="3"/>
        <v>17.807078094400012</v>
      </c>
      <c r="W10" t="s">
        <v>986</v>
      </c>
    </row>
    <row r="11" spans="1:56" x14ac:dyDescent="0.55000000000000004">
      <c r="A11" s="119">
        <v>44930</v>
      </c>
      <c r="B11" s="120">
        <v>0.375</v>
      </c>
      <c r="C11" s="121" t="s">
        <v>70</v>
      </c>
      <c r="D11" s="121" t="s">
        <v>71</v>
      </c>
      <c r="E11" s="121" t="s">
        <v>929</v>
      </c>
      <c r="F11" s="121">
        <v>1</v>
      </c>
      <c r="G11" s="121" t="s">
        <v>73</v>
      </c>
      <c r="H11" s="121" t="s">
        <v>74</v>
      </c>
      <c r="I11" s="121" t="s">
        <v>83</v>
      </c>
      <c r="J11" s="121">
        <v>193</v>
      </c>
      <c r="K11" s="122">
        <v>44930</v>
      </c>
      <c r="L11" s="120">
        <v>0.54520833333333341</v>
      </c>
      <c r="M11" s="121">
        <v>1</v>
      </c>
      <c r="N11" s="121" t="s">
        <v>84</v>
      </c>
      <c r="O11" s="121">
        <v>1.35</v>
      </c>
      <c r="P11" s="121">
        <v>9.4100000000000003E-2</v>
      </c>
      <c r="Q11" s="121">
        <v>75</v>
      </c>
      <c r="R11" s="121" t="s">
        <v>85</v>
      </c>
      <c r="S11" s="123">
        <f t="shared" si="0"/>
        <v>75</v>
      </c>
      <c r="T11" s="10" t="s">
        <v>970</v>
      </c>
      <c r="U11" s="45">
        <v>44930</v>
      </c>
      <c r="V11">
        <f t="shared" si="3"/>
        <v>67.940805250000011</v>
      </c>
      <c r="W11" t="s">
        <v>986</v>
      </c>
    </row>
    <row r="12" spans="1:56" x14ac:dyDescent="0.55000000000000004">
      <c r="A12" s="119">
        <v>44930</v>
      </c>
      <c r="B12" s="120">
        <v>0.375</v>
      </c>
      <c r="C12" s="121" t="s">
        <v>70</v>
      </c>
      <c r="D12" s="121" t="s">
        <v>71</v>
      </c>
      <c r="E12" s="121" t="s">
        <v>930</v>
      </c>
      <c r="F12" s="121">
        <v>1</v>
      </c>
      <c r="G12" s="121" t="s">
        <v>73</v>
      </c>
      <c r="H12" s="121" t="s">
        <v>74</v>
      </c>
      <c r="I12" s="121" t="s">
        <v>83</v>
      </c>
      <c r="J12" s="121">
        <v>194</v>
      </c>
      <c r="K12" s="122">
        <v>44930</v>
      </c>
      <c r="L12" s="120">
        <v>0.54592592592592593</v>
      </c>
      <c r="M12" s="121">
        <v>1</v>
      </c>
      <c r="N12" s="121" t="s">
        <v>84</v>
      </c>
      <c r="O12" s="121">
        <v>2.39</v>
      </c>
      <c r="P12" s="121">
        <v>0.16900000000000001</v>
      </c>
      <c r="Q12" s="121">
        <v>150</v>
      </c>
      <c r="R12" s="121" t="s">
        <v>85</v>
      </c>
      <c r="S12" s="123">
        <f t="shared" si="0"/>
        <v>150</v>
      </c>
      <c r="T12" s="10" t="s">
        <v>970</v>
      </c>
      <c r="U12" s="45">
        <v>44930</v>
      </c>
      <c r="V12">
        <f t="shared" si="3"/>
        <v>144.19602429</v>
      </c>
      <c r="W12" t="s">
        <v>986</v>
      </c>
    </row>
    <row r="13" spans="1:56" x14ac:dyDescent="0.55000000000000004">
      <c r="A13" s="119">
        <v>44930</v>
      </c>
      <c r="B13" s="120">
        <v>0.375</v>
      </c>
      <c r="C13" s="121" t="s">
        <v>70</v>
      </c>
      <c r="D13" s="121" t="s">
        <v>71</v>
      </c>
      <c r="E13" s="121" t="s">
        <v>931</v>
      </c>
      <c r="F13" s="121">
        <v>1</v>
      </c>
      <c r="G13" s="121" t="s">
        <v>73</v>
      </c>
      <c r="H13" s="121" t="s">
        <v>74</v>
      </c>
      <c r="I13" s="121" t="s">
        <v>83</v>
      </c>
      <c r="J13" s="121">
        <v>195</v>
      </c>
      <c r="K13" s="122">
        <v>44930</v>
      </c>
      <c r="L13" s="120">
        <v>0.54663194444444441</v>
      </c>
      <c r="M13" s="121">
        <v>1</v>
      </c>
      <c r="N13" s="121" t="s">
        <v>84</v>
      </c>
      <c r="O13" s="121">
        <v>4.55</v>
      </c>
      <c r="P13" s="121">
        <v>0.32500000000000001</v>
      </c>
      <c r="Q13" s="121">
        <v>300</v>
      </c>
      <c r="R13" s="121" t="s">
        <v>85</v>
      </c>
      <c r="S13" s="123">
        <f t="shared" si="0"/>
        <v>300</v>
      </c>
      <c r="T13" s="10" t="s">
        <v>970</v>
      </c>
      <c r="U13" s="45">
        <v>44930</v>
      </c>
      <c r="V13">
        <f t="shared" si="3"/>
        <v>294.65731725000006</v>
      </c>
      <c r="W13" t="s">
        <v>986</v>
      </c>
    </row>
    <row r="14" spans="1:56" x14ac:dyDescent="0.55000000000000004">
      <c r="A14" s="119">
        <v>44930</v>
      </c>
      <c r="B14" s="120">
        <v>0.375</v>
      </c>
      <c r="C14" s="121" t="s">
        <v>70</v>
      </c>
      <c r="D14" s="121" t="s">
        <v>71</v>
      </c>
      <c r="E14" s="121" t="s">
        <v>932</v>
      </c>
      <c r="F14" s="121">
        <v>1</v>
      </c>
      <c r="G14" s="121" t="s">
        <v>73</v>
      </c>
      <c r="H14" s="121" t="s">
        <v>74</v>
      </c>
      <c r="I14" s="121" t="s">
        <v>83</v>
      </c>
      <c r="J14" s="121">
        <v>196</v>
      </c>
      <c r="K14" s="122">
        <v>44930</v>
      </c>
      <c r="L14" s="120">
        <v>0.54732638888888896</v>
      </c>
      <c r="M14" s="121">
        <v>1</v>
      </c>
      <c r="N14" s="121" t="s">
        <v>84</v>
      </c>
      <c r="O14" s="121">
        <v>7.5</v>
      </c>
      <c r="P14" s="121">
        <v>0.54200000000000004</v>
      </c>
      <c r="Q14" s="121">
        <v>500</v>
      </c>
      <c r="R14" s="121" t="s">
        <v>85</v>
      </c>
      <c r="S14" s="123">
        <f t="shared" si="0"/>
        <v>500</v>
      </c>
      <c r="T14" s="10" t="s">
        <v>970</v>
      </c>
      <c r="U14" s="45">
        <v>44930</v>
      </c>
      <c r="V14">
        <f t="shared" si="3"/>
        <v>482.88662500000004</v>
      </c>
      <c r="W14" t="s">
        <v>986</v>
      </c>
    </row>
    <row r="15" spans="1:56" x14ac:dyDescent="0.55000000000000004">
      <c r="A15" s="124">
        <v>44937</v>
      </c>
      <c r="B15" s="125">
        <v>0.375</v>
      </c>
      <c r="C15" s="31" t="s">
        <v>70</v>
      </c>
      <c r="D15" s="31" t="s">
        <v>71</v>
      </c>
      <c r="E15" s="31" t="s">
        <v>917</v>
      </c>
      <c r="F15" s="31">
        <v>1</v>
      </c>
      <c r="G15" s="31" t="s">
        <v>73</v>
      </c>
      <c r="H15" s="31" t="s">
        <v>74</v>
      </c>
      <c r="I15" s="31" t="s">
        <v>83</v>
      </c>
      <c r="J15" s="31">
        <v>181</v>
      </c>
      <c r="K15" s="126">
        <v>44937</v>
      </c>
      <c r="L15" s="125">
        <v>0.5774421296296296</v>
      </c>
      <c r="M15" s="31">
        <v>1</v>
      </c>
      <c r="N15" s="31" t="s">
        <v>84</v>
      </c>
      <c r="O15" s="31">
        <v>0.54100000000000004</v>
      </c>
      <c r="P15" s="31">
        <v>4.0599999999999997E-2</v>
      </c>
      <c r="Q15" s="31">
        <v>0</v>
      </c>
      <c r="R15" s="31" t="s">
        <v>85</v>
      </c>
      <c r="S15" s="34">
        <f t="shared" si="0"/>
        <v>0</v>
      </c>
      <c r="T15" s="31" t="s">
        <v>1021</v>
      </c>
      <c r="U15" s="127">
        <v>44937</v>
      </c>
      <c r="V15" s="128">
        <f>-0.232*O15^2+72.802*O15-30.279</f>
        <v>9.0389800080000064</v>
      </c>
      <c r="W15" s="128" t="s">
        <v>1037</v>
      </c>
      <c r="X15" s="128"/>
      <c r="Y15" s="128"/>
    </row>
    <row r="16" spans="1:56" x14ac:dyDescent="0.55000000000000004">
      <c r="A16" s="124">
        <v>44937</v>
      </c>
      <c r="B16" s="125">
        <v>0.375</v>
      </c>
      <c r="C16" s="31" t="s">
        <v>70</v>
      </c>
      <c r="D16" s="31" t="s">
        <v>71</v>
      </c>
      <c r="E16" s="31" t="s">
        <v>918</v>
      </c>
      <c r="F16" s="31">
        <v>1</v>
      </c>
      <c r="G16" s="31" t="s">
        <v>73</v>
      </c>
      <c r="H16" s="31" t="s">
        <v>74</v>
      </c>
      <c r="I16" s="31" t="s">
        <v>83</v>
      </c>
      <c r="J16" s="31">
        <v>182</v>
      </c>
      <c r="K16" s="126">
        <v>44937</v>
      </c>
      <c r="L16" s="125">
        <v>0.57814814814814819</v>
      </c>
      <c r="M16" s="31">
        <v>1</v>
      </c>
      <c r="N16" s="31" t="s">
        <v>84</v>
      </c>
      <c r="O16" s="31">
        <v>0.56799999999999995</v>
      </c>
      <c r="P16" s="31">
        <v>3.9300000000000002E-2</v>
      </c>
      <c r="Q16" s="31">
        <v>12</v>
      </c>
      <c r="R16" s="31" t="s">
        <v>85</v>
      </c>
      <c r="S16" s="34">
        <f t="shared" si="0"/>
        <v>12</v>
      </c>
      <c r="T16" s="31" t="s">
        <v>1021</v>
      </c>
      <c r="U16" s="127">
        <v>44937</v>
      </c>
      <c r="V16" s="128">
        <f t="shared" ref="V16:V27" si="10">-0.232*O16^2+72.802*O16-30.279</f>
        <v>10.997687232000001</v>
      </c>
      <c r="W16" s="128" t="s">
        <v>1037</v>
      </c>
      <c r="X16" s="128"/>
      <c r="Y16" s="128"/>
    </row>
    <row r="17" spans="1:25" x14ac:dyDescent="0.55000000000000004">
      <c r="A17" s="124">
        <v>44937</v>
      </c>
      <c r="B17" s="125">
        <v>0.375</v>
      </c>
      <c r="C17" s="31" t="s">
        <v>70</v>
      </c>
      <c r="D17" s="31" t="s">
        <v>71</v>
      </c>
      <c r="E17" s="31" t="s">
        <v>919</v>
      </c>
      <c r="F17" s="31">
        <v>1</v>
      </c>
      <c r="G17" s="31" t="s">
        <v>73</v>
      </c>
      <c r="H17" s="31" t="s">
        <v>74</v>
      </c>
      <c r="I17" s="31" t="s">
        <v>83</v>
      </c>
      <c r="J17" s="31">
        <v>183</v>
      </c>
      <c r="K17" s="126">
        <v>44937</v>
      </c>
      <c r="L17" s="125">
        <v>0.57885416666666667</v>
      </c>
      <c r="M17" s="31">
        <v>1</v>
      </c>
      <c r="N17" s="31" t="s">
        <v>84</v>
      </c>
      <c r="O17" s="31">
        <v>1.05</v>
      </c>
      <c r="P17" s="31">
        <v>7.3899999999999993E-2</v>
      </c>
      <c r="Q17" s="31">
        <v>50</v>
      </c>
      <c r="R17" s="31" t="s">
        <v>85</v>
      </c>
      <c r="S17" s="34">
        <f t="shared" si="0"/>
        <v>50</v>
      </c>
      <c r="T17" s="31" t="s">
        <v>1021</v>
      </c>
      <c r="U17" s="127">
        <v>44937</v>
      </c>
      <c r="V17" s="128">
        <f t="shared" si="10"/>
        <v>45.907320000000013</v>
      </c>
      <c r="W17" s="128" t="s">
        <v>1037</v>
      </c>
      <c r="X17" s="128"/>
      <c r="Y17" s="128"/>
    </row>
    <row r="18" spans="1:25" x14ac:dyDescent="0.55000000000000004">
      <c r="A18" s="124">
        <v>44937</v>
      </c>
      <c r="B18" s="125">
        <v>0.375</v>
      </c>
      <c r="C18" s="31" t="s">
        <v>70</v>
      </c>
      <c r="D18" s="31" t="s">
        <v>71</v>
      </c>
      <c r="E18" s="31" t="s">
        <v>920</v>
      </c>
      <c r="F18" s="31">
        <v>1</v>
      </c>
      <c r="G18" s="31" t="s">
        <v>73</v>
      </c>
      <c r="H18" s="31" t="s">
        <v>74</v>
      </c>
      <c r="I18" s="31" t="s">
        <v>83</v>
      </c>
      <c r="J18" s="31">
        <v>184</v>
      </c>
      <c r="K18" s="126">
        <v>44937</v>
      </c>
      <c r="L18" s="125">
        <v>0.57956018518518515</v>
      </c>
      <c r="M18" s="31">
        <v>1</v>
      </c>
      <c r="N18" s="31" t="s">
        <v>84</v>
      </c>
      <c r="O18" s="31">
        <v>3.34</v>
      </c>
      <c r="P18" s="31">
        <v>0.23899999999999999</v>
      </c>
      <c r="Q18" s="31">
        <v>200</v>
      </c>
      <c r="R18" s="31" t="s">
        <v>85</v>
      </c>
      <c r="S18" s="34">
        <f t="shared" si="0"/>
        <v>200</v>
      </c>
      <c r="T18" s="31" t="s">
        <v>1021</v>
      </c>
      <c r="U18" s="127">
        <v>44937</v>
      </c>
      <c r="V18" s="128">
        <f t="shared" si="10"/>
        <v>210.29158080000002</v>
      </c>
      <c r="W18" s="128" t="s">
        <v>1037</v>
      </c>
      <c r="X18" s="128"/>
      <c r="Y18" s="128"/>
    </row>
    <row r="19" spans="1:25" x14ac:dyDescent="0.55000000000000004">
      <c r="A19" s="124">
        <v>44937</v>
      </c>
      <c r="B19" s="125">
        <v>0.375</v>
      </c>
      <c r="C19" s="31" t="s">
        <v>70</v>
      </c>
      <c r="D19" s="31" t="s">
        <v>71</v>
      </c>
      <c r="E19" s="31" t="s">
        <v>921</v>
      </c>
      <c r="F19" s="31">
        <v>1</v>
      </c>
      <c r="G19" s="31" t="s">
        <v>73</v>
      </c>
      <c r="H19" s="31" t="s">
        <v>74</v>
      </c>
      <c r="I19" s="31" t="s">
        <v>83</v>
      </c>
      <c r="J19" s="31">
        <v>185</v>
      </c>
      <c r="K19" s="126">
        <v>44937</v>
      </c>
      <c r="L19" s="125">
        <v>0.5802546296296297</v>
      </c>
      <c r="M19" s="31">
        <v>1</v>
      </c>
      <c r="N19" s="31" t="s">
        <v>84</v>
      </c>
      <c r="O19" s="31">
        <v>7.42</v>
      </c>
      <c r="P19" s="31">
        <v>0.53400000000000003</v>
      </c>
      <c r="Q19" s="31">
        <v>500</v>
      </c>
      <c r="R19" s="31" t="s">
        <v>85</v>
      </c>
      <c r="S19" s="34">
        <f t="shared" si="0"/>
        <v>500</v>
      </c>
      <c r="T19" s="31" t="s">
        <v>1021</v>
      </c>
      <c r="U19" s="127">
        <v>44937</v>
      </c>
      <c r="V19" s="128">
        <f t="shared" si="10"/>
        <v>497.13875520000011</v>
      </c>
      <c r="W19" s="128" t="s">
        <v>1037</v>
      </c>
      <c r="X19" s="128"/>
      <c r="Y19" s="128"/>
    </row>
    <row r="20" spans="1:25" x14ac:dyDescent="0.55000000000000004">
      <c r="A20" s="124">
        <v>44937</v>
      </c>
      <c r="B20" s="125">
        <v>0.375</v>
      </c>
      <c r="C20" s="31" t="s">
        <v>70</v>
      </c>
      <c r="D20" s="31" t="s">
        <v>71</v>
      </c>
      <c r="E20" s="31" t="s">
        <v>925</v>
      </c>
      <c r="F20" s="31">
        <v>1</v>
      </c>
      <c r="G20" s="31" t="s">
        <v>73</v>
      </c>
      <c r="H20" s="31" t="s">
        <v>74</v>
      </c>
      <c r="I20" s="31" t="s">
        <v>83</v>
      </c>
      <c r="J20" s="31">
        <v>189</v>
      </c>
      <c r="K20" s="126">
        <v>44937</v>
      </c>
      <c r="L20" s="125">
        <v>0.58310185185185182</v>
      </c>
      <c r="M20" s="31">
        <v>1</v>
      </c>
      <c r="N20" s="31" t="s">
        <v>84</v>
      </c>
      <c r="O20" s="31">
        <v>0.46899999999999997</v>
      </c>
      <c r="P20" s="31">
        <v>3.1899999999999998E-2</v>
      </c>
      <c r="Q20" s="31">
        <v>0</v>
      </c>
      <c r="R20" s="31" t="s">
        <v>85</v>
      </c>
      <c r="S20" s="34">
        <f t="shared" si="0"/>
        <v>0</v>
      </c>
      <c r="T20" s="31" t="s">
        <v>1021</v>
      </c>
      <c r="U20" s="127">
        <v>44937</v>
      </c>
      <c r="V20" s="128">
        <f t="shared" si="10"/>
        <v>3.8141070480000003</v>
      </c>
      <c r="W20" s="128" t="s">
        <v>1037</v>
      </c>
      <c r="X20" s="128"/>
      <c r="Y20" s="128"/>
    </row>
    <row r="21" spans="1:25" x14ac:dyDescent="0.55000000000000004">
      <c r="A21" s="124">
        <v>44937</v>
      </c>
      <c r="B21" s="125">
        <v>0.375</v>
      </c>
      <c r="C21" s="31" t="s">
        <v>70</v>
      </c>
      <c r="D21" s="31" t="s">
        <v>71</v>
      </c>
      <c r="E21" s="31" t="s">
        <v>926</v>
      </c>
      <c r="F21" s="31">
        <v>1</v>
      </c>
      <c r="G21" s="31" t="s">
        <v>73</v>
      </c>
      <c r="H21" s="31" t="s">
        <v>74</v>
      </c>
      <c r="I21" s="31" t="s">
        <v>83</v>
      </c>
      <c r="J21" s="31">
        <v>190</v>
      </c>
      <c r="K21" s="126">
        <v>44937</v>
      </c>
      <c r="L21" s="125">
        <v>0.5838078703703703</v>
      </c>
      <c r="M21" s="31">
        <v>1</v>
      </c>
      <c r="N21" s="31" t="s">
        <v>84</v>
      </c>
      <c r="O21" s="31">
        <v>0.50800000000000001</v>
      </c>
      <c r="P21" s="31">
        <v>3.49E-2</v>
      </c>
      <c r="Q21" s="31">
        <v>5</v>
      </c>
      <c r="R21" s="31" t="s">
        <v>85</v>
      </c>
      <c r="S21" s="34">
        <f t="shared" si="0"/>
        <v>5</v>
      </c>
      <c r="T21" s="31" t="s">
        <v>1021</v>
      </c>
      <c r="U21" s="127">
        <v>44937</v>
      </c>
      <c r="V21" s="128">
        <f t="shared" si="10"/>
        <v>6.6445451520000027</v>
      </c>
      <c r="W21" s="128" t="s">
        <v>1037</v>
      </c>
      <c r="X21" s="128"/>
      <c r="Y21" s="128"/>
    </row>
    <row r="22" spans="1:25" x14ac:dyDescent="0.55000000000000004">
      <c r="A22" s="124">
        <v>44937</v>
      </c>
      <c r="B22" s="125">
        <v>0.375</v>
      </c>
      <c r="C22" s="31" t="s">
        <v>70</v>
      </c>
      <c r="D22" s="31" t="s">
        <v>71</v>
      </c>
      <c r="E22" s="31" t="s">
        <v>927</v>
      </c>
      <c r="F22" s="31">
        <v>1</v>
      </c>
      <c r="G22" s="31" t="s">
        <v>73</v>
      </c>
      <c r="H22" s="31" t="s">
        <v>74</v>
      </c>
      <c r="I22" s="31" t="s">
        <v>83</v>
      </c>
      <c r="J22" s="31">
        <v>191</v>
      </c>
      <c r="K22" s="126">
        <v>44937</v>
      </c>
      <c r="L22" s="125">
        <v>0.58451388888888889</v>
      </c>
      <c r="M22" s="31">
        <v>1</v>
      </c>
      <c r="N22" s="31" t="s">
        <v>84</v>
      </c>
      <c r="O22" s="31">
        <v>0.58899999999999997</v>
      </c>
      <c r="P22" s="31">
        <v>4.0800000000000003E-2</v>
      </c>
      <c r="Q22" s="31">
        <v>15</v>
      </c>
      <c r="R22" s="31" t="s">
        <v>85</v>
      </c>
      <c r="S22" s="34">
        <f t="shared" si="0"/>
        <v>15</v>
      </c>
      <c r="T22" s="31" t="s">
        <v>1021</v>
      </c>
      <c r="U22" s="127">
        <v>44937</v>
      </c>
      <c r="V22" s="128">
        <f t="shared" si="10"/>
        <v>12.520892327999999</v>
      </c>
      <c r="W22" s="128" t="s">
        <v>1037</v>
      </c>
      <c r="X22" s="128"/>
      <c r="Y22" s="128"/>
    </row>
    <row r="23" spans="1:25" x14ac:dyDescent="0.55000000000000004">
      <c r="A23" s="124">
        <v>44937</v>
      </c>
      <c r="B23" s="125">
        <v>0.375</v>
      </c>
      <c r="C23" s="31" t="s">
        <v>70</v>
      </c>
      <c r="D23" s="31" t="s">
        <v>71</v>
      </c>
      <c r="E23" s="31" t="s">
        <v>928</v>
      </c>
      <c r="F23" s="31">
        <v>1</v>
      </c>
      <c r="G23" s="31" t="s">
        <v>73</v>
      </c>
      <c r="H23" s="31" t="s">
        <v>74</v>
      </c>
      <c r="I23" s="31" t="s">
        <v>83</v>
      </c>
      <c r="J23" s="31">
        <v>192</v>
      </c>
      <c r="K23" s="126">
        <v>44937</v>
      </c>
      <c r="L23" s="125">
        <v>0.58523148148148152</v>
      </c>
      <c r="M23" s="31">
        <v>1</v>
      </c>
      <c r="N23" s="31" t="s">
        <v>84</v>
      </c>
      <c r="O23" s="31">
        <v>0.65800000000000003</v>
      </c>
      <c r="P23" s="31">
        <v>4.5400000000000003E-2</v>
      </c>
      <c r="Q23" s="31">
        <v>20</v>
      </c>
      <c r="R23" s="31" t="s">
        <v>85</v>
      </c>
      <c r="S23" s="34">
        <f t="shared" si="0"/>
        <v>20</v>
      </c>
      <c r="T23" s="31" t="s">
        <v>1021</v>
      </c>
      <c r="U23" s="127">
        <v>44937</v>
      </c>
      <c r="V23" s="128">
        <f t="shared" si="10"/>
        <v>17.524268352000011</v>
      </c>
      <c r="W23" s="128" t="s">
        <v>1037</v>
      </c>
      <c r="X23" s="128"/>
      <c r="Y23" s="128"/>
    </row>
    <row r="24" spans="1:25" x14ac:dyDescent="0.55000000000000004">
      <c r="A24" s="124">
        <v>44937</v>
      </c>
      <c r="B24" s="125">
        <v>0.375</v>
      </c>
      <c r="C24" s="31" t="s">
        <v>70</v>
      </c>
      <c r="D24" s="31" t="s">
        <v>71</v>
      </c>
      <c r="E24" s="31" t="s">
        <v>929</v>
      </c>
      <c r="F24" s="31">
        <v>1</v>
      </c>
      <c r="G24" s="31" t="s">
        <v>73</v>
      </c>
      <c r="H24" s="31" t="s">
        <v>74</v>
      </c>
      <c r="I24" s="31" t="s">
        <v>83</v>
      </c>
      <c r="J24" s="31">
        <v>193</v>
      </c>
      <c r="K24" s="126">
        <v>44937</v>
      </c>
      <c r="L24" s="125">
        <v>0.5859375</v>
      </c>
      <c r="M24" s="31">
        <v>1</v>
      </c>
      <c r="N24" s="31" t="s">
        <v>84</v>
      </c>
      <c r="O24" s="31">
        <v>1.39</v>
      </c>
      <c r="P24" s="31">
        <v>9.69E-2</v>
      </c>
      <c r="Q24" s="31">
        <v>75</v>
      </c>
      <c r="R24" s="31" t="s">
        <v>85</v>
      </c>
      <c r="S24" s="34">
        <f t="shared" si="0"/>
        <v>75</v>
      </c>
      <c r="T24" s="31" t="s">
        <v>1021</v>
      </c>
      <c r="U24" s="127">
        <v>44937</v>
      </c>
      <c r="V24" s="128">
        <f t="shared" si="10"/>
        <v>70.467532800000015</v>
      </c>
      <c r="W24" s="128" t="s">
        <v>1037</v>
      </c>
      <c r="X24" s="128"/>
      <c r="Y24" s="128"/>
    </row>
    <row r="25" spans="1:25" x14ac:dyDescent="0.55000000000000004">
      <c r="A25" s="124">
        <v>44937</v>
      </c>
      <c r="B25" s="125">
        <v>0.375</v>
      </c>
      <c r="C25" s="31" t="s">
        <v>70</v>
      </c>
      <c r="D25" s="31" t="s">
        <v>71</v>
      </c>
      <c r="E25" s="31" t="s">
        <v>930</v>
      </c>
      <c r="F25" s="31">
        <v>1</v>
      </c>
      <c r="G25" s="31" t="s">
        <v>73</v>
      </c>
      <c r="H25" s="31" t="s">
        <v>74</v>
      </c>
      <c r="I25" s="31" t="s">
        <v>83</v>
      </c>
      <c r="J25" s="31">
        <v>194</v>
      </c>
      <c r="K25" s="126">
        <v>44937</v>
      </c>
      <c r="L25" s="125">
        <v>0.58664351851851848</v>
      </c>
      <c r="M25" s="31">
        <v>1</v>
      </c>
      <c r="N25" s="31" t="s">
        <v>84</v>
      </c>
      <c r="O25" s="31">
        <v>2.35</v>
      </c>
      <c r="P25" s="31">
        <v>0.16700000000000001</v>
      </c>
      <c r="Q25" s="31">
        <v>150</v>
      </c>
      <c r="R25" s="31" t="s">
        <v>85</v>
      </c>
      <c r="S25" s="34">
        <f t="shared" si="0"/>
        <v>150</v>
      </c>
      <c r="T25" s="31" t="s">
        <v>1021</v>
      </c>
      <c r="U25" s="127">
        <v>44937</v>
      </c>
      <c r="V25" s="128">
        <f t="shared" si="10"/>
        <v>139.52448000000004</v>
      </c>
      <c r="W25" s="128" t="s">
        <v>1037</v>
      </c>
      <c r="X25" s="128"/>
      <c r="Y25" s="128"/>
    </row>
    <row r="26" spans="1:25" x14ac:dyDescent="0.55000000000000004">
      <c r="A26" s="124">
        <v>44937</v>
      </c>
      <c r="B26" s="125">
        <v>0.375</v>
      </c>
      <c r="C26" s="31" t="s">
        <v>70</v>
      </c>
      <c r="D26" s="31" t="s">
        <v>71</v>
      </c>
      <c r="E26" s="31" t="s">
        <v>931</v>
      </c>
      <c r="F26" s="31">
        <v>1</v>
      </c>
      <c r="G26" s="31" t="s">
        <v>73</v>
      </c>
      <c r="H26" s="31" t="s">
        <v>74</v>
      </c>
      <c r="I26" s="31" t="s">
        <v>83</v>
      </c>
      <c r="J26" s="31">
        <v>195</v>
      </c>
      <c r="K26" s="126">
        <v>44937</v>
      </c>
      <c r="L26" s="125">
        <v>0.58734953703703707</v>
      </c>
      <c r="M26" s="31">
        <v>1</v>
      </c>
      <c r="N26" s="31" t="s">
        <v>84</v>
      </c>
      <c r="O26" s="31">
        <v>4.63</v>
      </c>
      <c r="P26" s="31">
        <v>0.33700000000000002</v>
      </c>
      <c r="Q26" s="31">
        <v>300</v>
      </c>
      <c r="R26" s="31" t="s">
        <v>85</v>
      </c>
      <c r="S26" s="34">
        <f t="shared" si="0"/>
        <v>300</v>
      </c>
      <c r="T26" s="31" t="s">
        <v>1021</v>
      </c>
      <c r="U26" s="127">
        <v>44937</v>
      </c>
      <c r="V26" s="128">
        <f t="shared" si="10"/>
        <v>301.82089919999999</v>
      </c>
      <c r="W26" s="128" t="s">
        <v>1037</v>
      </c>
      <c r="X26" s="128"/>
      <c r="Y26" s="128"/>
    </row>
    <row r="27" spans="1:25" x14ac:dyDescent="0.55000000000000004">
      <c r="A27" s="124">
        <v>44937</v>
      </c>
      <c r="B27" s="125">
        <v>0.375</v>
      </c>
      <c r="C27" s="31" t="s">
        <v>70</v>
      </c>
      <c r="D27" s="31" t="s">
        <v>71</v>
      </c>
      <c r="E27" s="31" t="s">
        <v>932</v>
      </c>
      <c r="F27" s="31">
        <v>1</v>
      </c>
      <c r="G27" s="31" t="s">
        <v>73</v>
      </c>
      <c r="H27" s="31" t="s">
        <v>74</v>
      </c>
      <c r="I27" s="31" t="s">
        <v>83</v>
      </c>
      <c r="J27" s="31">
        <v>196</v>
      </c>
      <c r="K27" s="126">
        <v>44937</v>
      </c>
      <c r="L27" s="125">
        <v>0.58805555555555555</v>
      </c>
      <c r="M27" s="31">
        <v>1</v>
      </c>
      <c r="N27" s="31" t="s">
        <v>84</v>
      </c>
      <c r="O27" s="31">
        <v>7.48</v>
      </c>
      <c r="P27" s="31">
        <v>0.54</v>
      </c>
      <c r="Q27" s="31">
        <v>500</v>
      </c>
      <c r="R27" s="31" t="s">
        <v>85</v>
      </c>
      <c r="S27" s="34">
        <f t="shared" si="0"/>
        <v>500</v>
      </c>
      <c r="T27" s="31" t="s">
        <v>1021</v>
      </c>
      <c r="U27" s="127">
        <v>44937</v>
      </c>
      <c r="V27" s="128">
        <f t="shared" si="10"/>
        <v>501.29946720000009</v>
      </c>
      <c r="W27" s="128" t="s">
        <v>1037</v>
      </c>
      <c r="X27" s="128"/>
      <c r="Y27" s="128"/>
    </row>
    <row r="28" spans="1:25" x14ac:dyDescent="0.55000000000000004">
      <c r="A28" s="119">
        <v>44950</v>
      </c>
      <c r="B28" s="120">
        <v>0.375</v>
      </c>
      <c r="C28" s="121" t="s">
        <v>70</v>
      </c>
      <c r="D28" s="121" t="s">
        <v>71</v>
      </c>
      <c r="E28" s="121" t="s">
        <v>917</v>
      </c>
      <c r="F28" s="121">
        <v>1</v>
      </c>
      <c r="G28" s="121" t="s">
        <v>73</v>
      </c>
      <c r="H28" s="121" t="s">
        <v>74</v>
      </c>
      <c r="I28" s="121" t="s">
        <v>83</v>
      </c>
      <c r="J28" s="121">
        <v>181</v>
      </c>
      <c r="K28" s="122">
        <v>44950</v>
      </c>
      <c r="L28" s="120">
        <v>0.52407407407407403</v>
      </c>
      <c r="M28" s="121">
        <v>1</v>
      </c>
      <c r="N28" s="121" t="s">
        <v>84</v>
      </c>
      <c r="O28" s="121">
        <v>0.439</v>
      </c>
      <c r="P28" s="121">
        <v>2.92E-2</v>
      </c>
      <c r="Q28" s="121">
        <v>0</v>
      </c>
      <c r="R28" s="121" t="s">
        <v>85</v>
      </c>
      <c r="S28" s="123">
        <f t="shared" si="0"/>
        <v>0</v>
      </c>
      <c r="T28" s="10" t="s">
        <v>1071</v>
      </c>
      <c r="U28" s="45">
        <v>44950</v>
      </c>
      <c r="V28" s="129">
        <f>2.2125*O28^2+32.759*O28-8.5751</f>
        <v>6.2324962124999992</v>
      </c>
      <c r="W28" s="129" t="s">
        <v>1089</v>
      </c>
    </row>
    <row r="29" spans="1:25" x14ac:dyDescent="0.55000000000000004">
      <c r="A29" s="119">
        <v>44950</v>
      </c>
      <c r="B29" s="120">
        <v>0.375</v>
      </c>
      <c r="C29" s="121" t="s">
        <v>70</v>
      </c>
      <c r="D29" s="121" t="s">
        <v>71</v>
      </c>
      <c r="E29" s="121" t="s">
        <v>918</v>
      </c>
      <c r="F29" s="121">
        <v>1</v>
      </c>
      <c r="G29" s="121" t="s">
        <v>73</v>
      </c>
      <c r="H29" s="121" t="s">
        <v>74</v>
      </c>
      <c r="I29" s="121" t="s">
        <v>83</v>
      </c>
      <c r="J29" s="121">
        <v>182</v>
      </c>
      <c r="K29" s="122">
        <v>44950</v>
      </c>
      <c r="L29" s="120">
        <v>0.52478009259259262</v>
      </c>
      <c r="M29" s="121">
        <v>1</v>
      </c>
      <c r="N29" s="121" t="s">
        <v>84</v>
      </c>
      <c r="O29" s="121">
        <v>4.62</v>
      </c>
      <c r="P29" s="121">
        <v>0.33</v>
      </c>
      <c r="Q29" s="121">
        <v>12</v>
      </c>
      <c r="R29" s="121" t="s">
        <v>85</v>
      </c>
      <c r="S29" s="123">
        <f t="shared" si="0"/>
        <v>12</v>
      </c>
      <c r="T29" s="10" t="s">
        <v>1071</v>
      </c>
      <c r="U29" s="45">
        <v>44950</v>
      </c>
      <c r="V29" s="129">
        <f t="shared" ref="V29:V40" si="11">2.2125*O29^2+32.759*O29-8.5751</f>
        <v>189.99596500000004</v>
      </c>
      <c r="W29" s="129" t="s">
        <v>1089</v>
      </c>
    </row>
    <row r="30" spans="1:25" x14ac:dyDescent="0.55000000000000004">
      <c r="A30" s="119">
        <v>44950</v>
      </c>
      <c r="B30" s="120">
        <v>0.375</v>
      </c>
      <c r="C30" s="121" t="s">
        <v>70</v>
      </c>
      <c r="D30" s="121" t="s">
        <v>71</v>
      </c>
      <c r="E30" s="121" t="s">
        <v>919</v>
      </c>
      <c r="F30" s="121">
        <v>1</v>
      </c>
      <c r="G30" s="121" t="s">
        <v>73</v>
      </c>
      <c r="H30" s="121" t="s">
        <v>74</v>
      </c>
      <c r="I30" s="121" t="s">
        <v>83</v>
      </c>
      <c r="J30" s="121">
        <v>183</v>
      </c>
      <c r="K30" s="122">
        <v>44950</v>
      </c>
      <c r="L30" s="120">
        <v>0.5254861111111111</v>
      </c>
      <c r="M30" s="121">
        <v>1</v>
      </c>
      <c r="N30" s="121" t="s">
        <v>84</v>
      </c>
      <c r="O30" s="121">
        <v>3.37</v>
      </c>
      <c r="P30" s="121">
        <v>0.24</v>
      </c>
      <c r="Q30" s="121">
        <v>50</v>
      </c>
      <c r="R30" s="121" t="s">
        <v>85</v>
      </c>
      <c r="S30" s="123">
        <f t="shared" si="0"/>
        <v>50</v>
      </c>
      <c r="T30" s="10" t="s">
        <v>1071</v>
      </c>
      <c r="U30" s="45">
        <v>44950</v>
      </c>
      <c r="V30" s="129">
        <f t="shared" si="11"/>
        <v>126.94987124999999</v>
      </c>
      <c r="W30" s="129" t="s">
        <v>1089</v>
      </c>
    </row>
    <row r="31" spans="1:25" x14ac:dyDescent="0.55000000000000004">
      <c r="A31" s="119">
        <v>44950</v>
      </c>
      <c r="B31" s="120">
        <v>0.375</v>
      </c>
      <c r="C31" s="121" t="s">
        <v>70</v>
      </c>
      <c r="D31" s="121" t="s">
        <v>71</v>
      </c>
      <c r="E31" s="121" t="s">
        <v>920</v>
      </c>
      <c r="F31" s="121">
        <v>1</v>
      </c>
      <c r="G31" s="121" t="s">
        <v>73</v>
      </c>
      <c r="H31" s="121" t="s">
        <v>74</v>
      </c>
      <c r="I31" s="121" t="s">
        <v>83</v>
      </c>
      <c r="J31" s="121">
        <v>184</v>
      </c>
      <c r="K31" s="122">
        <v>44950</v>
      </c>
      <c r="L31" s="120">
        <v>0.52619212962962958</v>
      </c>
      <c r="M31" s="121">
        <v>1</v>
      </c>
      <c r="N31" s="121" t="s">
        <v>84</v>
      </c>
      <c r="O31" s="121">
        <v>5.38</v>
      </c>
      <c r="P31" s="121">
        <v>0.39100000000000001</v>
      </c>
      <c r="Q31" s="121">
        <v>200</v>
      </c>
      <c r="R31" s="121" t="s">
        <v>85</v>
      </c>
      <c r="S31" s="123">
        <f t="shared" si="0"/>
        <v>200</v>
      </c>
      <c r="T31" s="10" t="s">
        <v>1071</v>
      </c>
      <c r="U31" s="45">
        <v>44950</v>
      </c>
      <c r="V31" s="129">
        <f t="shared" si="11"/>
        <v>231.70780499999998</v>
      </c>
      <c r="W31" s="129" t="s">
        <v>1089</v>
      </c>
    </row>
    <row r="32" spans="1:25" x14ac:dyDescent="0.55000000000000004">
      <c r="A32" s="119">
        <v>44950</v>
      </c>
      <c r="B32" s="120">
        <v>0.375</v>
      </c>
      <c r="C32" s="121" t="s">
        <v>70</v>
      </c>
      <c r="D32" s="121" t="s">
        <v>71</v>
      </c>
      <c r="E32" s="121" t="s">
        <v>921</v>
      </c>
      <c r="F32" s="121">
        <v>1</v>
      </c>
      <c r="G32" s="121" t="s">
        <v>73</v>
      </c>
      <c r="H32" s="121" t="s">
        <v>74</v>
      </c>
      <c r="I32" s="121" t="s">
        <v>83</v>
      </c>
      <c r="J32" s="121">
        <v>185</v>
      </c>
      <c r="K32" s="122">
        <v>44950</v>
      </c>
      <c r="L32" s="120">
        <v>0.52689814814814817</v>
      </c>
      <c r="M32" s="121">
        <v>1</v>
      </c>
      <c r="N32" s="121" t="s">
        <v>84</v>
      </c>
      <c r="O32" s="121">
        <v>10.1</v>
      </c>
      <c r="P32" s="121">
        <v>0.73099999999999998</v>
      </c>
      <c r="Q32" s="121">
        <v>500</v>
      </c>
      <c r="R32" s="121" t="s">
        <v>85</v>
      </c>
      <c r="S32" s="123">
        <f t="shared" si="0"/>
        <v>500</v>
      </c>
      <c r="T32" s="10" t="s">
        <v>1071</v>
      </c>
      <c r="U32" s="45">
        <v>44950</v>
      </c>
      <c r="V32" s="129">
        <f t="shared" si="11"/>
        <v>547.9879249999999</v>
      </c>
      <c r="W32" s="129" t="s">
        <v>1089</v>
      </c>
    </row>
    <row r="33" spans="1:25" x14ac:dyDescent="0.55000000000000004">
      <c r="A33" s="119">
        <v>44950</v>
      </c>
      <c r="B33" s="120">
        <v>0.375</v>
      </c>
      <c r="C33" s="121" t="s">
        <v>70</v>
      </c>
      <c r="D33" s="121" t="s">
        <v>71</v>
      </c>
      <c r="E33" s="121" t="s">
        <v>925</v>
      </c>
      <c r="F33" s="121">
        <v>1</v>
      </c>
      <c r="G33" s="121" t="s">
        <v>73</v>
      </c>
      <c r="H33" s="121" t="s">
        <v>74</v>
      </c>
      <c r="I33" s="121" t="s">
        <v>83</v>
      </c>
      <c r="J33" s="121">
        <v>189</v>
      </c>
      <c r="K33" s="122">
        <v>44950</v>
      </c>
      <c r="L33" s="120">
        <v>0.52972222222222221</v>
      </c>
      <c r="M33" s="121">
        <v>1</v>
      </c>
      <c r="N33" s="121" t="s">
        <v>84</v>
      </c>
      <c r="O33" s="121">
        <v>0.55200000000000005</v>
      </c>
      <c r="P33" s="121">
        <v>3.6799999999999999E-2</v>
      </c>
      <c r="Q33" s="121">
        <v>0</v>
      </c>
      <c r="R33" s="121" t="s">
        <v>85</v>
      </c>
      <c r="S33" s="123">
        <f t="shared" si="0"/>
        <v>0</v>
      </c>
      <c r="T33" s="10" t="s">
        <v>1071</v>
      </c>
      <c r="U33" s="45">
        <v>44950</v>
      </c>
      <c r="V33" s="129">
        <f t="shared" si="11"/>
        <v>10.182025600000001</v>
      </c>
      <c r="W33" s="129" t="s">
        <v>1089</v>
      </c>
    </row>
    <row r="34" spans="1:25" x14ac:dyDescent="0.55000000000000004">
      <c r="A34" s="119">
        <v>44950</v>
      </c>
      <c r="B34" s="120">
        <v>0.375</v>
      </c>
      <c r="C34" s="121" t="s">
        <v>70</v>
      </c>
      <c r="D34" s="121" t="s">
        <v>71</v>
      </c>
      <c r="E34" s="121" t="s">
        <v>926</v>
      </c>
      <c r="F34" s="121">
        <v>1</v>
      </c>
      <c r="G34" s="121" t="s">
        <v>73</v>
      </c>
      <c r="H34" s="121" t="s">
        <v>74</v>
      </c>
      <c r="I34" s="121" t="s">
        <v>83</v>
      </c>
      <c r="J34" s="121">
        <v>190</v>
      </c>
      <c r="K34" s="122">
        <v>44950</v>
      </c>
      <c r="L34" s="120">
        <v>0.53043981481481484</v>
      </c>
      <c r="M34" s="121">
        <v>1</v>
      </c>
      <c r="N34" s="121" t="s">
        <v>84</v>
      </c>
      <c r="O34" s="121">
        <v>0.55400000000000005</v>
      </c>
      <c r="P34" s="121">
        <v>3.7199999999999997E-2</v>
      </c>
      <c r="Q34" s="121">
        <v>5</v>
      </c>
      <c r="R34" s="121" t="s">
        <v>85</v>
      </c>
      <c r="S34" s="123">
        <f t="shared" si="0"/>
        <v>5</v>
      </c>
      <c r="T34" s="10" t="s">
        <v>1071</v>
      </c>
      <c r="U34" s="45">
        <v>44950</v>
      </c>
      <c r="V34" s="129">
        <f t="shared" si="11"/>
        <v>10.252437650000003</v>
      </c>
      <c r="W34" s="129" t="s">
        <v>1089</v>
      </c>
    </row>
    <row r="35" spans="1:25" x14ac:dyDescent="0.55000000000000004">
      <c r="A35" s="119">
        <v>44950</v>
      </c>
      <c r="B35" s="120">
        <v>0.375</v>
      </c>
      <c r="C35" s="121" t="s">
        <v>70</v>
      </c>
      <c r="D35" s="121" t="s">
        <v>71</v>
      </c>
      <c r="E35" s="121" t="s">
        <v>927</v>
      </c>
      <c r="F35" s="121">
        <v>1</v>
      </c>
      <c r="G35" s="121" t="s">
        <v>73</v>
      </c>
      <c r="H35" s="121" t="s">
        <v>74</v>
      </c>
      <c r="I35" s="121" t="s">
        <v>83</v>
      </c>
      <c r="J35" s="121">
        <v>191</v>
      </c>
      <c r="K35" s="122">
        <v>44950</v>
      </c>
      <c r="L35" s="120">
        <v>0.53113425925925928</v>
      </c>
      <c r="M35" s="121">
        <v>1</v>
      </c>
      <c r="N35" s="121" t="s">
        <v>84</v>
      </c>
      <c r="O35" s="121">
        <v>0.64900000000000002</v>
      </c>
      <c r="P35" s="121">
        <v>4.3400000000000001E-2</v>
      </c>
      <c r="Q35" s="121">
        <v>15</v>
      </c>
      <c r="R35" s="121" t="s">
        <v>85</v>
      </c>
      <c r="S35" s="123">
        <f t="shared" si="0"/>
        <v>15</v>
      </c>
      <c r="T35" s="10" t="s">
        <v>1071</v>
      </c>
      <c r="U35" s="45">
        <v>44950</v>
      </c>
      <c r="V35" s="129">
        <f t="shared" si="11"/>
        <v>13.617398212500001</v>
      </c>
      <c r="W35" s="129" t="s">
        <v>1089</v>
      </c>
    </row>
    <row r="36" spans="1:25" x14ac:dyDescent="0.55000000000000004">
      <c r="A36" s="119">
        <v>44950</v>
      </c>
      <c r="B36" s="120">
        <v>0.375</v>
      </c>
      <c r="C36" s="121" t="s">
        <v>70</v>
      </c>
      <c r="D36" s="121" t="s">
        <v>71</v>
      </c>
      <c r="E36" s="121" t="s">
        <v>928</v>
      </c>
      <c r="F36" s="121">
        <v>1</v>
      </c>
      <c r="G36" s="121" t="s">
        <v>73</v>
      </c>
      <c r="H36" s="121" t="s">
        <v>74</v>
      </c>
      <c r="I36" s="121" t="s">
        <v>83</v>
      </c>
      <c r="J36" s="121">
        <v>192</v>
      </c>
      <c r="K36" s="122">
        <v>44950</v>
      </c>
      <c r="L36" s="120">
        <v>0.53185185185185191</v>
      </c>
      <c r="M36" s="121">
        <v>1</v>
      </c>
      <c r="N36" s="121" t="s">
        <v>84</v>
      </c>
      <c r="O36" s="121">
        <v>0.71699999999999997</v>
      </c>
      <c r="P36" s="121">
        <v>4.8500000000000001E-2</v>
      </c>
      <c r="Q36" s="121">
        <v>20</v>
      </c>
      <c r="R36" s="121" t="s">
        <v>85</v>
      </c>
      <c r="S36" s="123">
        <f t="shared" si="0"/>
        <v>20</v>
      </c>
      <c r="T36" s="10" t="s">
        <v>1071</v>
      </c>
      <c r="U36" s="45">
        <v>44950</v>
      </c>
      <c r="V36" s="129">
        <f t="shared" si="11"/>
        <v>16.050524912499995</v>
      </c>
      <c r="W36" s="129" t="s">
        <v>1089</v>
      </c>
    </row>
    <row r="37" spans="1:25" x14ac:dyDescent="0.55000000000000004">
      <c r="A37" s="119">
        <v>44950</v>
      </c>
      <c r="B37" s="120">
        <v>0.375</v>
      </c>
      <c r="C37" s="121" t="s">
        <v>70</v>
      </c>
      <c r="D37" s="121" t="s">
        <v>71</v>
      </c>
      <c r="E37" s="121" t="s">
        <v>929</v>
      </c>
      <c r="F37" s="121">
        <v>1</v>
      </c>
      <c r="G37" s="121" t="s">
        <v>73</v>
      </c>
      <c r="H37" s="121" t="s">
        <v>74</v>
      </c>
      <c r="I37" s="121" t="s">
        <v>83</v>
      </c>
      <c r="J37" s="121">
        <v>193</v>
      </c>
      <c r="K37" s="122">
        <v>44950</v>
      </c>
      <c r="L37" s="120">
        <v>0.53254629629629624</v>
      </c>
      <c r="M37" s="121">
        <v>1</v>
      </c>
      <c r="N37" s="121" t="s">
        <v>84</v>
      </c>
      <c r="O37" s="121">
        <v>1.39</v>
      </c>
      <c r="P37" s="121">
        <v>9.6100000000000005E-2</v>
      </c>
      <c r="Q37" s="121">
        <v>75</v>
      </c>
      <c r="R37" s="121" t="s">
        <v>85</v>
      </c>
      <c r="S37" s="123">
        <f t="shared" si="0"/>
        <v>75</v>
      </c>
      <c r="T37" s="10" t="s">
        <v>1071</v>
      </c>
      <c r="U37" s="45">
        <v>44950</v>
      </c>
      <c r="V37" s="129">
        <f t="shared" si="11"/>
        <v>41.234681250000001</v>
      </c>
      <c r="W37" s="129" t="s">
        <v>1089</v>
      </c>
    </row>
    <row r="38" spans="1:25" x14ac:dyDescent="0.55000000000000004">
      <c r="A38" s="119">
        <v>44950</v>
      </c>
      <c r="B38" s="120">
        <v>0.375</v>
      </c>
      <c r="C38" s="121" t="s">
        <v>70</v>
      </c>
      <c r="D38" s="121" t="s">
        <v>71</v>
      </c>
      <c r="E38" s="121" t="s">
        <v>930</v>
      </c>
      <c r="F38" s="121">
        <v>1</v>
      </c>
      <c r="G38" s="121" t="s">
        <v>73</v>
      </c>
      <c r="H38" s="121" t="s">
        <v>74</v>
      </c>
      <c r="I38" s="121" t="s">
        <v>83</v>
      </c>
      <c r="J38" s="121">
        <v>194</v>
      </c>
      <c r="K38" s="122">
        <v>44950</v>
      </c>
      <c r="L38" s="120">
        <v>0.53326388888888887</v>
      </c>
      <c r="M38" s="121">
        <v>1</v>
      </c>
      <c r="N38" s="121" t="s">
        <v>84</v>
      </c>
      <c r="O38" s="121">
        <v>2.37</v>
      </c>
      <c r="P38" s="121">
        <v>0.16900000000000001</v>
      </c>
      <c r="Q38" s="121">
        <v>150</v>
      </c>
      <c r="R38" s="121" t="s">
        <v>85</v>
      </c>
      <c r="S38" s="123">
        <f t="shared" si="0"/>
        <v>150</v>
      </c>
      <c r="T38" s="10" t="s">
        <v>1071</v>
      </c>
      <c r="U38" s="45">
        <v>44950</v>
      </c>
      <c r="V38" s="129">
        <f t="shared" si="11"/>
        <v>81.491121249999992</v>
      </c>
      <c r="W38" s="129" t="s">
        <v>1089</v>
      </c>
    </row>
    <row r="39" spans="1:25" x14ac:dyDescent="0.55000000000000004">
      <c r="A39" s="119">
        <v>44950</v>
      </c>
      <c r="B39" s="120">
        <v>0.375</v>
      </c>
      <c r="C39" s="121" t="s">
        <v>70</v>
      </c>
      <c r="D39" s="121" t="s">
        <v>71</v>
      </c>
      <c r="E39" s="121" t="s">
        <v>931</v>
      </c>
      <c r="F39" s="121">
        <v>1</v>
      </c>
      <c r="G39" s="121" t="s">
        <v>73</v>
      </c>
      <c r="H39" s="121" t="s">
        <v>74</v>
      </c>
      <c r="I39" s="121" t="s">
        <v>83</v>
      </c>
      <c r="J39" s="121">
        <v>195</v>
      </c>
      <c r="K39" s="122">
        <v>44950</v>
      </c>
      <c r="L39" s="120">
        <v>0.53396990740740746</v>
      </c>
      <c r="M39" s="121">
        <v>1</v>
      </c>
      <c r="N39" s="121" t="s">
        <v>84</v>
      </c>
      <c r="O39" s="121">
        <v>4.54</v>
      </c>
      <c r="P39" s="121">
        <v>0.32700000000000001</v>
      </c>
      <c r="Q39" s="121">
        <v>300</v>
      </c>
      <c r="R39" s="121" t="s">
        <v>85</v>
      </c>
      <c r="S39" s="123">
        <f t="shared" si="0"/>
        <v>300</v>
      </c>
      <c r="T39" s="10" t="s">
        <v>1071</v>
      </c>
      <c r="U39" s="45">
        <v>44950</v>
      </c>
      <c r="V39" s="129">
        <f t="shared" si="11"/>
        <v>185.75392500000001</v>
      </c>
      <c r="W39" s="129" t="s">
        <v>1089</v>
      </c>
    </row>
    <row r="40" spans="1:25" x14ac:dyDescent="0.55000000000000004">
      <c r="A40" s="119">
        <v>44950</v>
      </c>
      <c r="B40" s="120">
        <v>0.375</v>
      </c>
      <c r="C40" s="121" t="s">
        <v>70</v>
      </c>
      <c r="D40" s="121" t="s">
        <v>71</v>
      </c>
      <c r="E40" s="121" t="s">
        <v>932</v>
      </c>
      <c r="F40" s="121">
        <v>1</v>
      </c>
      <c r="G40" s="121" t="s">
        <v>73</v>
      </c>
      <c r="H40" s="121" t="s">
        <v>74</v>
      </c>
      <c r="I40" s="121" t="s">
        <v>83</v>
      </c>
      <c r="J40" s="121">
        <v>196</v>
      </c>
      <c r="K40" s="122">
        <v>44950</v>
      </c>
      <c r="L40" s="120">
        <v>0.53467592592592594</v>
      </c>
      <c r="M40" s="121">
        <v>1</v>
      </c>
      <c r="N40" s="121" t="s">
        <v>84</v>
      </c>
      <c r="O40" s="121">
        <v>7.56</v>
      </c>
      <c r="P40" s="121">
        <v>0.55200000000000005</v>
      </c>
      <c r="Q40" s="121">
        <v>500</v>
      </c>
      <c r="R40" s="121" t="s">
        <v>85</v>
      </c>
      <c r="S40" s="123">
        <f t="shared" si="0"/>
        <v>500</v>
      </c>
      <c r="T40" s="10" t="s">
        <v>1071</v>
      </c>
      <c r="U40" s="45">
        <v>44950</v>
      </c>
      <c r="V40" s="129">
        <f t="shared" si="11"/>
        <v>365.53527999999994</v>
      </c>
      <c r="W40" s="129" t="s">
        <v>1089</v>
      </c>
    </row>
    <row r="41" spans="1:25" x14ac:dyDescent="0.55000000000000004">
      <c r="A41" s="124">
        <v>44958</v>
      </c>
      <c r="B41" s="125">
        <v>0.375</v>
      </c>
      <c r="C41" s="31" t="s">
        <v>70</v>
      </c>
      <c r="D41" s="31" t="s">
        <v>71</v>
      </c>
      <c r="E41" s="31" t="s">
        <v>917</v>
      </c>
      <c r="F41" s="31">
        <v>1</v>
      </c>
      <c r="G41" s="31" t="s">
        <v>73</v>
      </c>
      <c r="H41" s="31" t="s">
        <v>74</v>
      </c>
      <c r="I41" s="31" t="s">
        <v>83</v>
      </c>
      <c r="J41" s="31">
        <v>181</v>
      </c>
      <c r="K41" s="126">
        <v>44958</v>
      </c>
      <c r="L41" s="125">
        <v>0.57030092592592596</v>
      </c>
      <c r="M41" s="31">
        <v>1</v>
      </c>
      <c r="N41" s="31" t="s">
        <v>84</v>
      </c>
      <c r="O41" s="31">
        <v>0.439</v>
      </c>
      <c r="P41" s="31">
        <v>2.9000000000000001E-2</v>
      </c>
      <c r="Q41" s="31">
        <v>0</v>
      </c>
      <c r="R41" s="31" t="s">
        <v>85</v>
      </c>
      <c r="S41" s="34">
        <f t="shared" si="0"/>
        <v>0</v>
      </c>
      <c r="T41" s="31" t="s">
        <v>1126</v>
      </c>
      <c r="U41" s="127">
        <v>44958</v>
      </c>
      <c r="V41" s="128">
        <f>0.6312*O41^2+63.45*O41-30.993</f>
        <v>-3.0168045047999996</v>
      </c>
      <c r="W41" s="128" t="s">
        <v>1141</v>
      </c>
      <c r="X41" s="128"/>
      <c r="Y41" s="128"/>
    </row>
    <row r="42" spans="1:25" x14ac:dyDescent="0.55000000000000004">
      <c r="A42" s="124">
        <v>44958</v>
      </c>
      <c r="B42" s="125">
        <v>0.375</v>
      </c>
      <c r="C42" s="31" t="s">
        <v>70</v>
      </c>
      <c r="D42" s="31" t="s">
        <v>71</v>
      </c>
      <c r="E42" s="31" t="s">
        <v>918</v>
      </c>
      <c r="F42" s="31">
        <v>1</v>
      </c>
      <c r="G42" s="31" t="s">
        <v>73</v>
      </c>
      <c r="H42" s="31" t="s">
        <v>74</v>
      </c>
      <c r="I42" s="31" t="s">
        <v>83</v>
      </c>
      <c r="J42" s="31">
        <v>182</v>
      </c>
      <c r="K42" s="126">
        <v>44958</v>
      </c>
      <c r="L42" s="125">
        <v>0.5709953703703704</v>
      </c>
      <c r="M42" s="31">
        <v>1</v>
      </c>
      <c r="N42" s="31" t="s">
        <v>84</v>
      </c>
      <c r="O42" s="31">
        <v>0.60899999999999999</v>
      </c>
      <c r="P42" s="31">
        <v>4.1000000000000002E-2</v>
      </c>
      <c r="Q42" s="31">
        <v>12</v>
      </c>
      <c r="R42" s="31" t="s">
        <v>85</v>
      </c>
      <c r="S42" s="34">
        <f t="shared" si="0"/>
        <v>12</v>
      </c>
      <c r="T42" s="31" t="s">
        <v>1126</v>
      </c>
      <c r="U42" s="127">
        <v>44958</v>
      </c>
      <c r="V42" s="128">
        <f t="shared" ref="V42:V53" si="12">0.6312*O42^2+63.45*O42-30.993</f>
        <v>7.8821500871999994</v>
      </c>
      <c r="W42" s="128" t="s">
        <v>1141</v>
      </c>
      <c r="X42" s="128"/>
      <c r="Y42" s="128"/>
    </row>
    <row r="43" spans="1:25" x14ac:dyDescent="0.55000000000000004">
      <c r="A43" s="124">
        <v>44958</v>
      </c>
      <c r="B43" s="125">
        <v>0.375</v>
      </c>
      <c r="C43" s="31" t="s">
        <v>70</v>
      </c>
      <c r="D43" s="31" t="s">
        <v>71</v>
      </c>
      <c r="E43" s="31" t="s">
        <v>919</v>
      </c>
      <c r="F43" s="31">
        <v>1</v>
      </c>
      <c r="G43" s="31" t="s">
        <v>73</v>
      </c>
      <c r="H43" s="31" t="s">
        <v>74</v>
      </c>
      <c r="I43" s="31" t="s">
        <v>83</v>
      </c>
      <c r="J43" s="31">
        <v>183</v>
      </c>
      <c r="K43" s="126">
        <v>44958</v>
      </c>
      <c r="L43" s="125">
        <v>0.57170138888888888</v>
      </c>
      <c r="M43" s="31">
        <v>1</v>
      </c>
      <c r="N43" s="31" t="s">
        <v>84</v>
      </c>
      <c r="O43" s="31">
        <v>1.0900000000000001</v>
      </c>
      <c r="P43" s="31">
        <v>7.4200000000000002E-2</v>
      </c>
      <c r="Q43" s="31">
        <v>50</v>
      </c>
      <c r="R43" s="31" t="s">
        <v>85</v>
      </c>
      <c r="S43" s="34">
        <f t="shared" si="0"/>
        <v>50</v>
      </c>
      <c r="T43" s="31" t="s">
        <v>1126</v>
      </c>
      <c r="U43" s="127">
        <v>44958</v>
      </c>
      <c r="V43" s="128">
        <f t="shared" si="12"/>
        <v>38.917428720000018</v>
      </c>
      <c r="W43" s="128" t="s">
        <v>1141</v>
      </c>
      <c r="X43" s="128"/>
      <c r="Y43" s="128"/>
    </row>
    <row r="44" spans="1:25" x14ac:dyDescent="0.55000000000000004">
      <c r="A44" s="124">
        <v>44958</v>
      </c>
      <c r="B44" s="125">
        <v>0.375</v>
      </c>
      <c r="C44" s="31" t="s">
        <v>70</v>
      </c>
      <c r="D44" s="31" t="s">
        <v>71</v>
      </c>
      <c r="E44" s="31" t="s">
        <v>920</v>
      </c>
      <c r="F44" s="31">
        <v>1</v>
      </c>
      <c r="G44" s="31" t="s">
        <v>73</v>
      </c>
      <c r="H44" s="31" t="s">
        <v>74</v>
      </c>
      <c r="I44" s="31" t="s">
        <v>83</v>
      </c>
      <c r="J44" s="31">
        <v>184</v>
      </c>
      <c r="K44" s="126">
        <v>44958</v>
      </c>
      <c r="L44" s="125">
        <v>0.57240740740740736</v>
      </c>
      <c r="M44" s="31">
        <v>1</v>
      </c>
      <c r="N44" s="31" t="s">
        <v>84</v>
      </c>
      <c r="O44" s="31">
        <v>3.36</v>
      </c>
      <c r="P44" s="31">
        <v>0.23200000000000001</v>
      </c>
      <c r="Q44" s="31">
        <v>200</v>
      </c>
      <c r="R44" s="31" t="s">
        <v>85</v>
      </c>
      <c r="S44" s="34">
        <f t="shared" si="0"/>
        <v>200</v>
      </c>
      <c r="T44" s="31" t="s">
        <v>1126</v>
      </c>
      <c r="U44" s="127">
        <v>44958</v>
      </c>
      <c r="V44" s="128">
        <f t="shared" si="12"/>
        <v>189.32499552000002</v>
      </c>
      <c r="W44" s="128" t="s">
        <v>1141</v>
      </c>
      <c r="X44" s="128"/>
      <c r="Y44" s="128"/>
    </row>
    <row r="45" spans="1:25" x14ac:dyDescent="0.55000000000000004">
      <c r="A45" s="124">
        <v>44958</v>
      </c>
      <c r="B45" s="125">
        <v>0.375</v>
      </c>
      <c r="C45" s="31" t="s">
        <v>70</v>
      </c>
      <c r="D45" s="31" t="s">
        <v>71</v>
      </c>
      <c r="E45" s="31" t="s">
        <v>921</v>
      </c>
      <c r="F45" s="31">
        <v>1</v>
      </c>
      <c r="G45" s="31" t="s">
        <v>73</v>
      </c>
      <c r="H45" s="31" t="s">
        <v>74</v>
      </c>
      <c r="I45" s="31" t="s">
        <v>83</v>
      </c>
      <c r="J45" s="31">
        <v>185</v>
      </c>
      <c r="K45" s="126">
        <v>44958</v>
      </c>
      <c r="L45" s="125">
        <v>0.57311342592592596</v>
      </c>
      <c r="M45" s="31">
        <v>1</v>
      </c>
      <c r="N45" s="31" t="s">
        <v>84</v>
      </c>
      <c r="O45" s="31">
        <v>7.94</v>
      </c>
      <c r="P45" s="31">
        <v>0.56599999999999995</v>
      </c>
      <c r="Q45" s="31">
        <v>500</v>
      </c>
      <c r="R45" s="31" t="s">
        <v>85</v>
      </c>
      <c r="S45" s="34">
        <f t="shared" si="0"/>
        <v>500</v>
      </c>
      <c r="T45" s="31" t="s">
        <v>1126</v>
      </c>
      <c r="U45" s="127">
        <v>44958</v>
      </c>
      <c r="V45" s="128">
        <f t="shared" si="12"/>
        <v>512.59312032000003</v>
      </c>
      <c r="W45" s="128" t="s">
        <v>1141</v>
      </c>
      <c r="X45" s="128"/>
      <c r="Y45" s="128"/>
    </row>
    <row r="46" spans="1:25" x14ac:dyDescent="0.55000000000000004">
      <c r="A46" s="124">
        <v>44958</v>
      </c>
      <c r="B46" s="125">
        <v>0.375</v>
      </c>
      <c r="C46" s="31" t="s">
        <v>70</v>
      </c>
      <c r="D46" s="31" t="s">
        <v>71</v>
      </c>
      <c r="E46" s="31" t="s">
        <v>925</v>
      </c>
      <c r="F46" s="31">
        <v>1</v>
      </c>
      <c r="G46" s="31" t="s">
        <v>73</v>
      </c>
      <c r="H46" s="31" t="s">
        <v>74</v>
      </c>
      <c r="I46" s="31" t="s">
        <v>83</v>
      </c>
      <c r="J46" s="31">
        <v>189</v>
      </c>
      <c r="K46" s="126">
        <v>44958</v>
      </c>
      <c r="L46" s="125">
        <v>0.57594907407407414</v>
      </c>
      <c r="M46" s="31">
        <v>1</v>
      </c>
      <c r="N46" s="31" t="s">
        <v>84</v>
      </c>
      <c r="O46" s="31">
        <v>0.57399999999999995</v>
      </c>
      <c r="P46" s="31">
        <v>3.7699999999999997E-2</v>
      </c>
      <c r="Q46" s="31">
        <v>0</v>
      </c>
      <c r="R46" s="31" t="s">
        <v>85</v>
      </c>
      <c r="S46" s="34">
        <f t="shared" si="0"/>
        <v>0</v>
      </c>
      <c r="T46" s="31" t="s">
        <v>1126</v>
      </c>
      <c r="U46" s="127">
        <v>44958</v>
      </c>
      <c r="V46" s="128">
        <f t="shared" si="12"/>
        <v>5.6352652511999999</v>
      </c>
      <c r="W46" s="128" t="s">
        <v>1141</v>
      </c>
      <c r="X46" s="128"/>
      <c r="Y46" s="128"/>
    </row>
    <row r="47" spans="1:25" x14ac:dyDescent="0.55000000000000004">
      <c r="A47" s="124">
        <v>44958</v>
      </c>
      <c r="B47" s="125">
        <v>0.375</v>
      </c>
      <c r="C47" s="31" t="s">
        <v>70</v>
      </c>
      <c r="D47" s="31" t="s">
        <v>71</v>
      </c>
      <c r="E47" s="31" t="s">
        <v>926</v>
      </c>
      <c r="F47" s="31">
        <v>1</v>
      </c>
      <c r="G47" s="31" t="s">
        <v>73</v>
      </c>
      <c r="H47" s="31" t="s">
        <v>74</v>
      </c>
      <c r="I47" s="31" t="s">
        <v>83</v>
      </c>
      <c r="J47" s="31">
        <v>190</v>
      </c>
      <c r="K47" s="126">
        <v>44958</v>
      </c>
      <c r="L47" s="125">
        <v>0.57665509259259262</v>
      </c>
      <c r="M47" s="31">
        <v>1</v>
      </c>
      <c r="N47" s="31" t="s">
        <v>84</v>
      </c>
      <c r="O47" s="31">
        <v>0.59699999999999998</v>
      </c>
      <c r="P47" s="31">
        <v>3.8899999999999997E-2</v>
      </c>
      <c r="Q47" s="31">
        <v>5</v>
      </c>
      <c r="R47" s="31" t="s">
        <v>85</v>
      </c>
      <c r="S47" s="34">
        <f t="shared" si="0"/>
        <v>5</v>
      </c>
      <c r="T47" s="31" t="s">
        <v>1126</v>
      </c>
      <c r="U47" s="127">
        <v>44958</v>
      </c>
      <c r="V47" s="128">
        <f t="shared" si="12"/>
        <v>7.1116153607999983</v>
      </c>
      <c r="W47" s="128" t="s">
        <v>1141</v>
      </c>
      <c r="X47" s="128"/>
      <c r="Y47" s="128"/>
    </row>
    <row r="48" spans="1:25" x14ac:dyDescent="0.55000000000000004">
      <c r="A48" s="124">
        <v>44958</v>
      </c>
      <c r="B48" s="125">
        <v>0.375</v>
      </c>
      <c r="C48" s="31" t="s">
        <v>70</v>
      </c>
      <c r="D48" s="31" t="s">
        <v>71</v>
      </c>
      <c r="E48" s="31" t="s">
        <v>927</v>
      </c>
      <c r="F48" s="31">
        <v>1</v>
      </c>
      <c r="G48" s="31" t="s">
        <v>73</v>
      </c>
      <c r="H48" s="31" t="s">
        <v>74</v>
      </c>
      <c r="I48" s="31" t="s">
        <v>83</v>
      </c>
      <c r="J48" s="31">
        <v>191</v>
      </c>
      <c r="K48" s="126">
        <v>44958</v>
      </c>
      <c r="L48" s="125">
        <v>0.5773611111111111</v>
      </c>
      <c r="M48" s="31">
        <v>1</v>
      </c>
      <c r="N48" s="31" t="s">
        <v>84</v>
      </c>
      <c r="O48" s="31">
        <v>0.67900000000000005</v>
      </c>
      <c r="P48" s="31">
        <v>4.4499999999999998E-2</v>
      </c>
      <c r="Q48" s="31">
        <v>15</v>
      </c>
      <c r="R48" s="31" t="s">
        <v>85</v>
      </c>
      <c r="S48" s="34">
        <f t="shared" si="0"/>
        <v>15</v>
      </c>
      <c r="T48" s="31" t="s">
        <v>1126</v>
      </c>
      <c r="U48" s="127">
        <v>44958</v>
      </c>
      <c r="V48" s="128">
        <f t="shared" si="12"/>
        <v>12.380559079200008</v>
      </c>
      <c r="W48" s="128" t="s">
        <v>1141</v>
      </c>
      <c r="X48" s="128"/>
      <c r="Y48" s="128"/>
    </row>
    <row r="49" spans="1:25" x14ac:dyDescent="0.55000000000000004">
      <c r="A49" s="124">
        <v>44958</v>
      </c>
      <c r="B49" s="125">
        <v>0.375</v>
      </c>
      <c r="C49" s="31" t="s">
        <v>70</v>
      </c>
      <c r="D49" s="31" t="s">
        <v>71</v>
      </c>
      <c r="E49" s="31" t="s">
        <v>928</v>
      </c>
      <c r="F49" s="31">
        <v>1</v>
      </c>
      <c r="G49" s="31" t="s">
        <v>73</v>
      </c>
      <c r="H49" s="31" t="s">
        <v>74</v>
      </c>
      <c r="I49" s="31" t="s">
        <v>83</v>
      </c>
      <c r="J49" s="31">
        <v>192</v>
      </c>
      <c r="K49" s="126">
        <v>44958</v>
      </c>
      <c r="L49" s="125">
        <v>0.57806712962962969</v>
      </c>
      <c r="M49" s="31">
        <v>1</v>
      </c>
      <c r="N49" s="31" t="s">
        <v>84</v>
      </c>
      <c r="O49" s="31">
        <v>0.747</v>
      </c>
      <c r="P49" s="31">
        <v>4.8899999999999999E-2</v>
      </c>
      <c r="Q49" s="31">
        <v>20</v>
      </c>
      <c r="R49" s="31" t="s">
        <v>85</v>
      </c>
      <c r="S49" s="34">
        <f t="shared" si="0"/>
        <v>20</v>
      </c>
      <c r="T49" s="31" t="s">
        <v>1126</v>
      </c>
      <c r="U49" s="127">
        <v>44958</v>
      </c>
      <c r="V49" s="128">
        <f t="shared" si="12"/>
        <v>16.756365280800008</v>
      </c>
      <c r="W49" s="128" t="s">
        <v>1141</v>
      </c>
      <c r="X49" s="128"/>
      <c r="Y49" s="128"/>
    </row>
    <row r="50" spans="1:25" x14ac:dyDescent="0.55000000000000004">
      <c r="A50" s="124">
        <v>44958</v>
      </c>
      <c r="B50" s="125">
        <v>0.375</v>
      </c>
      <c r="C50" s="31" t="s">
        <v>70</v>
      </c>
      <c r="D50" s="31" t="s">
        <v>71</v>
      </c>
      <c r="E50" s="31" t="s">
        <v>929</v>
      </c>
      <c r="F50" s="31">
        <v>1</v>
      </c>
      <c r="G50" s="31" t="s">
        <v>73</v>
      </c>
      <c r="H50" s="31" t="s">
        <v>74</v>
      </c>
      <c r="I50" s="31" t="s">
        <v>83</v>
      </c>
      <c r="J50" s="31">
        <v>193</v>
      </c>
      <c r="K50" s="126">
        <v>44958</v>
      </c>
      <c r="L50" s="125">
        <v>0.57877314814814818</v>
      </c>
      <c r="M50" s="31">
        <v>1</v>
      </c>
      <c r="N50" s="31" t="s">
        <v>84</v>
      </c>
      <c r="O50" s="31">
        <v>2.67</v>
      </c>
      <c r="P50" s="31">
        <v>0.186</v>
      </c>
      <c r="Q50" s="31">
        <v>75</v>
      </c>
      <c r="R50" s="31" t="s">
        <v>85</v>
      </c>
      <c r="S50" s="34">
        <f t="shared" si="0"/>
        <v>75</v>
      </c>
      <c r="T50" s="31" t="s">
        <v>1126</v>
      </c>
      <c r="U50" s="127">
        <v>44958</v>
      </c>
      <c r="V50" s="128">
        <f t="shared" si="12"/>
        <v>142.91826168</v>
      </c>
      <c r="W50" s="128" t="s">
        <v>1141</v>
      </c>
      <c r="X50" s="128"/>
      <c r="Y50" s="128"/>
    </row>
    <row r="51" spans="1:25" x14ac:dyDescent="0.55000000000000004">
      <c r="A51" s="124">
        <v>44958</v>
      </c>
      <c r="B51" s="125">
        <v>0.375</v>
      </c>
      <c r="C51" s="31" t="s">
        <v>70</v>
      </c>
      <c r="D51" s="31" t="s">
        <v>71</v>
      </c>
      <c r="E51" s="31" t="s">
        <v>930</v>
      </c>
      <c r="F51" s="31">
        <v>1</v>
      </c>
      <c r="G51" s="31" t="s">
        <v>73</v>
      </c>
      <c r="H51" s="31" t="s">
        <v>74</v>
      </c>
      <c r="I51" s="31" t="s">
        <v>83</v>
      </c>
      <c r="J51" s="31">
        <v>194</v>
      </c>
      <c r="K51" s="126">
        <v>44958</v>
      </c>
      <c r="L51" s="125">
        <v>0.57947916666666666</v>
      </c>
      <c r="M51" s="31">
        <v>1</v>
      </c>
      <c r="N51" s="31" t="s">
        <v>84</v>
      </c>
      <c r="O51" s="31">
        <v>2.4900000000000002</v>
      </c>
      <c r="P51" s="31">
        <v>0.17299999999999999</v>
      </c>
      <c r="Q51" s="31">
        <v>150</v>
      </c>
      <c r="R51" s="31" t="s">
        <v>85</v>
      </c>
      <c r="S51" s="34">
        <f t="shared" si="0"/>
        <v>150</v>
      </c>
      <c r="T51" s="31" t="s">
        <v>1126</v>
      </c>
      <c r="U51" s="127">
        <v>44958</v>
      </c>
      <c r="V51" s="128">
        <f t="shared" si="12"/>
        <v>130.91100312000003</v>
      </c>
      <c r="W51" s="128" t="s">
        <v>1141</v>
      </c>
      <c r="X51" s="128"/>
      <c r="Y51" s="128"/>
    </row>
    <row r="52" spans="1:25" x14ac:dyDescent="0.55000000000000004">
      <c r="A52" s="124">
        <v>44958</v>
      </c>
      <c r="B52" s="125">
        <v>0.375</v>
      </c>
      <c r="C52" s="31" t="s">
        <v>70</v>
      </c>
      <c r="D52" s="31" t="s">
        <v>71</v>
      </c>
      <c r="E52" s="31" t="s">
        <v>931</v>
      </c>
      <c r="F52" s="31">
        <v>1</v>
      </c>
      <c r="G52" s="31" t="s">
        <v>73</v>
      </c>
      <c r="H52" s="31" t="s">
        <v>74</v>
      </c>
      <c r="I52" s="31" t="s">
        <v>83</v>
      </c>
      <c r="J52" s="31">
        <v>195</v>
      </c>
      <c r="K52" s="126">
        <v>44958</v>
      </c>
      <c r="L52" s="125">
        <v>0.58019675925925929</v>
      </c>
      <c r="M52" s="31">
        <v>1</v>
      </c>
      <c r="N52" s="31" t="s">
        <v>84</v>
      </c>
      <c r="O52" s="31">
        <v>4.59</v>
      </c>
      <c r="P52" s="31">
        <v>0.32700000000000001</v>
      </c>
      <c r="Q52" s="31">
        <v>300</v>
      </c>
      <c r="R52" s="31" t="s">
        <v>85</v>
      </c>
      <c r="S52" s="34">
        <f t="shared" si="0"/>
        <v>300</v>
      </c>
      <c r="T52" s="31" t="s">
        <v>1126</v>
      </c>
      <c r="U52" s="127">
        <v>44958</v>
      </c>
      <c r="V52" s="128">
        <f t="shared" si="12"/>
        <v>273.54068472</v>
      </c>
      <c r="W52" s="128" t="s">
        <v>1141</v>
      </c>
      <c r="X52" s="128"/>
      <c r="Y52" s="128"/>
    </row>
    <row r="53" spans="1:25" x14ac:dyDescent="0.55000000000000004">
      <c r="A53" s="124">
        <v>44958</v>
      </c>
      <c r="B53" s="125">
        <v>0.375</v>
      </c>
      <c r="C53" s="31" t="s">
        <v>70</v>
      </c>
      <c r="D53" s="31" t="s">
        <v>71</v>
      </c>
      <c r="E53" s="31" t="s">
        <v>932</v>
      </c>
      <c r="F53" s="31">
        <v>1</v>
      </c>
      <c r="G53" s="31" t="s">
        <v>73</v>
      </c>
      <c r="H53" s="31" t="s">
        <v>74</v>
      </c>
      <c r="I53" s="31" t="s">
        <v>83</v>
      </c>
      <c r="J53" s="31">
        <v>196</v>
      </c>
      <c r="K53" s="126">
        <v>44958</v>
      </c>
      <c r="L53" s="125">
        <v>0.58090277777777777</v>
      </c>
      <c r="M53" s="31">
        <v>1</v>
      </c>
      <c r="N53" s="31" t="s">
        <v>84</v>
      </c>
      <c r="O53" s="31">
        <v>7.66</v>
      </c>
      <c r="P53" s="31">
        <v>0.54500000000000004</v>
      </c>
      <c r="Q53" s="31">
        <v>500</v>
      </c>
      <c r="R53" s="31" t="s">
        <v>85</v>
      </c>
      <c r="S53" s="34">
        <f t="shared" si="0"/>
        <v>500</v>
      </c>
      <c r="T53" s="31" t="s">
        <v>1126</v>
      </c>
      <c r="U53" s="127">
        <v>44958</v>
      </c>
      <c r="V53" s="128">
        <f t="shared" si="12"/>
        <v>492.07003872000001</v>
      </c>
      <c r="W53" s="128" t="s">
        <v>1141</v>
      </c>
      <c r="X53" s="128"/>
      <c r="Y53" s="128"/>
    </row>
    <row r="54" spans="1:25" x14ac:dyDescent="0.55000000000000004">
      <c r="A54" s="32">
        <v>44966</v>
      </c>
      <c r="B54" s="33">
        <v>0.375</v>
      </c>
      <c r="C54" s="10" t="s">
        <v>70</v>
      </c>
      <c r="D54" s="10" t="s">
        <v>71</v>
      </c>
      <c r="E54" s="10" t="s">
        <v>917</v>
      </c>
      <c r="F54" s="10">
        <v>1</v>
      </c>
      <c r="G54" s="10" t="s">
        <v>73</v>
      </c>
      <c r="H54" s="10" t="s">
        <v>74</v>
      </c>
      <c r="I54" s="10" t="s">
        <v>83</v>
      </c>
      <c r="J54" s="10">
        <v>181</v>
      </c>
      <c r="K54" s="12">
        <v>44966</v>
      </c>
      <c r="L54" s="33">
        <v>0.5482407407407407</v>
      </c>
      <c r="M54" s="10">
        <v>1</v>
      </c>
      <c r="N54" s="10" t="s">
        <v>84</v>
      </c>
      <c r="O54" s="10">
        <v>0.433</v>
      </c>
      <c r="P54" s="10">
        <v>2.92E-2</v>
      </c>
      <c r="Q54" s="10">
        <v>0</v>
      </c>
      <c r="R54" s="10" t="s">
        <v>85</v>
      </c>
      <c r="S54" s="123">
        <f t="shared" si="0"/>
        <v>0</v>
      </c>
      <c r="T54" s="10" t="s">
        <v>1188</v>
      </c>
      <c r="U54" s="45">
        <v>44966</v>
      </c>
      <c r="V54" s="129">
        <f>-1.7314*O54^2+83.401*O54-37.87</f>
        <v>-2.0819854546000016</v>
      </c>
      <c r="W54" s="129" t="s">
        <v>1202</v>
      </c>
    </row>
    <row r="55" spans="1:25" x14ac:dyDescent="0.55000000000000004">
      <c r="A55" s="32">
        <v>44966</v>
      </c>
      <c r="B55" s="33">
        <v>0.375</v>
      </c>
      <c r="C55" s="10" t="s">
        <v>70</v>
      </c>
      <c r="D55" s="10" t="s">
        <v>71</v>
      </c>
      <c r="E55" s="10" t="s">
        <v>918</v>
      </c>
      <c r="F55" s="10">
        <v>1</v>
      </c>
      <c r="G55" s="10" t="s">
        <v>73</v>
      </c>
      <c r="H55" s="10" t="s">
        <v>74</v>
      </c>
      <c r="I55" s="10" t="s">
        <v>83</v>
      </c>
      <c r="J55" s="10">
        <v>182</v>
      </c>
      <c r="K55" s="12">
        <v>44966</v>
      </c>
      <c r="L55" s="33">
        <v>0.54894675925925929</v>
      </c>
      <c r="M55" s="10">
        <v>1</v>
      </c>
      <c r="N55" s="10" t="s">
        <v>84</v>
      </c>
      <c r="O55" s="10">
        <v>0.55500000000000005</v>
      </c>
      <c r="P55" s="10">
        <v>3.78E-2</v>
      </c>
      <c r="Q55" s="10">
        <v>12</v>
      </c>
      <c r="R55" s="10" t="s">
        <v>85</v>
      </c>
      <c r="S55" s="123">
        <f t="shared" si="0"/>
        <v>12</v>
      </c>
      <c r="T55" s="10" t="s">
        <v>1188</v>
      </c>
      <c r="U55" s="45">
        <v>44966</v>
      </c>
      <c r="V55" s="129">
        <f t="shared" ref="V55:V65" si="13">-1.7314*O55^2+83.401*O55-37.87</f>
        <v>7.884240515000009</v>
      </c>
      <c r="W55" s="129" t="s">
        <v>1202</v>
      </c>
    </row>
    <row r="56" spans="1:25" x14ac:dyDescent="0.55000000000000004">
      <c r="A56" s="32">
        <v>44966</v>
      </c>
      <c r="B56" s="33">
        <v>0.375</v>
      </c>
      <c r="C56" s="10" t="s">
        <v>70</v>
      </c>
      <c r="D56" s="10" t="s">
        <v>71</v>
      </c>
      <c r="E56" s="10" t="s">
        <v>919</v>
      </c>
      <c r="F56" s="10">
        <v>1</v>
      </c>
      <c r="G56" s="10" t="s">
        <v>73</v>
      </c>
      <c r="H56" s="10" t="s">
        <v>74</v>
      </c>
      <c r="I56" s="10" t="s">
        <v>83</v>
      </c>
      <c r="J56" s="10">
        <v>183</v>
      </c>
      <c r="K56" s="12">
        <v>44966</v>
      </c>
      <c r="L56" s="33">
        <v>0.54965277777777777</v>
      </c>
      <c r="M56" s="10">
        <v>1</v>
      </c>
      <c r="N56" s="10" t="s">
        <v>84</v>
      </c>
      <c r="O56" s="10">
        <v>1.03</v>
      </c>
      <c r="P56" s="10">
        <v>7.1199999999999999E-2</v>
      </c>
      <c r="Q56" s="10">
        <v>50</v>
      </c>
      <c r="R56" s="10" t="s">
        <v>85</v>
      </c>
      <c r="S56" s="123">
        <f t="shared" si="0"/>
        <v>50</v>
      </c>
      <c r="T56" s="10" t="s">
        <v>1188</v>
      </c>
      <c r="U56" s="45">
        <v>44966</v>
      </c>
      <c r="V56" s="129">
        <f t="shared" si="13"/>
        <v>46.196187740000006</v>
      </c>
      <c r="W56" s="129" t="s">
        <v>1202</v>
      </c>
    </row>
    <row r="57" spans="1:25" x14ac:dyDescent="0.55000000000000004">
      <c r="A57" s="32">
        <v>44966</v>
      </c>
      <c r="B57" s="33">
        <v>0.375</v>
      </c>
      <c r="C57" s="10" t="s">
        <v>70</v>
      </c>
      <c r="D57" s="10" t="s">
        <v>71</v>
      </c>
      <c r="E57" s="10" t="s">
        <v>920</v>
      </c>
      <c r="F57" s="10">
        <v>1</v>
      </c>
      <c r="G57" s="10" t="s">
        <v>73</v>
      </c>
      <c r="H57" s="10" t="s">
        <v>74</v>
      </c>
      <c r="I57" s="10" t="s">
        <v>83</v>
      </c>
      <c r="J57" s="10">
        <v>184</v>
      </c>
      <c r="K57" s="12">
        <v>44966</v>
      </c>
      <c r="L57" s="33">
        <v>0.5503703703703704</v>
      </c>
      <c r="M57" s="10">
        <v>1</v>
      </c>
      <c r="N57" s="10" t="s">
        <v>84</v>
      </c>
      <c r="O57" s="10">
        <v>3.04</v>
      </c>
      <c r="P57" s="10">
        <v>0.219</v>
      </c>
      <c r="Q57" s="10">
        <v>200</v>
      </c>
      <c r="R57" s="10" t="s">
        <v>85</v>
      </c>
      <c r="S57" s="123">
        <f t="shared" si="0"/>
        <v>200</v>
      </c>
      <c r="T57" s="10" t="s">
        <v>1188</v>
      </c>
      <c r="U57" s="45">
        <v>44966</v>
      </c>
      <c r="V57" s="129">
        <f t="shared" si="13"/>
        <v>199.66813375999999</v>
      </c>
      <c r="W57" s="129" t="s">
        <v>1202</v>
      </c>
    </row>
    <row r="58" spans="1:25" x14ac:dyDescent="0.55000000000000004">
      <c r="A58" s="32">
        <v>44966</v>
      </c>
      <c r="B58" s="33">
        <v>0.375</v>
      </c>
      <c r="C58" s="10" t="s">
        <v>70</v>
      </c>
      <c r="D58" s="10" t="s">
        <v>71</v>
      </c>
      <c r="E58" s="10" t="s">
        <v>921</v>
      </c>
      <c r="F58" s="10">
        <v>1</v>
      </c>
      <c r="G58" s="10" t="s">
        <v>73</v>
      </c>
      <c r="H58" s="10" t="s">
        <v>74</v>
      </c>
      <c r="I58" s="10" t="s">
        <v>83</v>
      </c>
      <c r="J58" s="10">
        <v>185</v>
      </c>
      <c r="K58" s="12">
        <v>44966</v>
      </c>
      <c r="L58" s="33">
        <v>0.55107638888888888</v>
      </c>
      <c r="M58" s="10">
        <v>1</v>
      </c>
      <c r="N58" s="10" t="s">
        <v>84</v>
      </c>
      <c r="O58" s="10">
        <v>7.78</v>
      </c>
      <c r="P58" s="10">
        <v>0.56699999999999995</v>
      </c>
      <c r="Q58" s="10">
        <v>500</v>
      </c>
      <c r="R58" s="10" t="s">
        <v>85</v>
      </c>
      <c r="S58" s="123">
        <f t="shared" si="0"/>
        <v>500</v>
      </c>
      <c r="T58" s="10" t="s">
        <v>1188</v>
      </c>
      <c r="U58" s="45">
        <v>44966</v>
      </c>
      <c r="V58" s="129">
        <f t="shared" si="13"/>
        <v>506.19090824</v>
      </c>
      <c r="W58" s="129" t="s">
        <v>1202</v>
      </c>
    </row>
    <row r="59" spans="1:25" x14ac:dyDescent="0.55000000000000004">
      <c r="A59" s="32">
        <v>44966</v>
      </c>
      <c r="B59" s="33">
        <v>0.375</v>
      </c>
      <c r="C59" s="10" t="s">
        <v>70</v>
      </c>
      <c r="D59" s="10" t="s">
        <v>71</v>
      </c>
      <c r="E59" s="10" t="s">
        <v>925</v>
      </c>
      <c r="F59" s="10">
        <v>1</v>
      </c>
      <c r="G59" s="10" t="s">
        <v>73</v>
      </c>
      <c r="H59" s="10" t="s">
        <v>74</v>
      </c>
      <c r="I59" s="10" t="s">
        <v>83</v>
      </c>
      <c r="J59" s="10">
        <v>189</v>
      </c>
      <c r="K59" s="12">
        <v>44966</v>
      </c>
      <c r="L59" s="33">
        <v>0.5539236111111111</v>
      </c>
      <c r="M59" s="10">
        <v>1</v>
      </c>
      <c r="N59" s="10" t="s">
        <v>84</v>
      </c>
      <c r="O59" s="10">
        <v>0.53300000000000003</v>
      </c>
      <c r="P59" s="10">
        <v>3.4799999999999998E-2</v>
      </c>
      <c r="Q59" s="10">
        <v>0</v>
      </c>
      <c r="R59" s="10" t="s">
        <v>85</v>
      </c>
      <c r="S59" s="123">
        <f t="shared" si="0"/>
        <v>0</v>
      </c>
      <c r="T59" s="10" t="s">
        <v>1188</v>
      </c>
      <c r="U59" s="45">
        <v>44966</v>
      </c>
      <c r="V59" s="129">
        <f t="shared" si="13"/>
        <v>6.0908613054000043</v>
      </c>
      <c r="W59" s="129" t="s">
        <v>1202</v>
      </c>
    </row>
    <row r="60" spans="1:25" x14ac:dyDescent="0.55000000000000004">
      <c r="A60" s="32">
        <v>44966</v>
      </c>
      <c r="B60" s="33">
        <v>0.375</v>
      </c>
      <c r="C60" s="10" t="s">
        <v>70</v>
      </c>
      <c r="D60" s="10" t="s">
        <v>71</v>
      </c>
      <c r="E60" s="10" t="s">
        <v>926</v>
      </c>
      <c r="F60" s="10">
        <v>1</v>
      </c>
      <c r="G60" s="10" t="s">
        <v>73</v>
      </c>
      <c r="H60" s="10" t="s">
        <v>74</v>
      </c>
      <c r="I60" s="10" t="s">
        <v>83</v>
      </c>
      <c r="J60" s="10">
        <v>190</v>
      </c>
      <c r="K60" s="12">
        <v>44966</v>
      </c>
      <c r="L60" s="33">
        <v>0.55462962962962969</v>
      </c>
      <c r="M60" s="10">
        <v>1</v>
      </c>
      <c r="N60" s="10" t="s">
        <v>84</v>
      </c>
      <c r="O60" s="10">
        <v>0.56799999999999995</v>
      </c>
      <c r="P60" s="10">
        <v>3.7400000000000003E-2</v>
      </c>
      <c r="Q60" s="10">
        <v>5</v>
      </c>
      <c r="R60" s="10" t="s">
        <v>85</v>
      </c>
      <c r="S60" s="123">
        <f t="shared" si="0"/>
        <v>5</v>
      </c>
      <c r="T60" s="10" t="s">
        <v>1188</v>
      </c>
      <c r="U60" s="45">
        <v>44966</v>
      </c>
      <c r="V60" s="129">
        <f t="shared" si="13"/>
        <v>8.9431768063999968</v>
      </c>
      <c r="W60" s="129" t="s">
        <v>1202</v>
      </c>
    </row>
    <row r="61" spans="1:25" x14ac:dyDescent="0.55000000000000004">
      <c r="A61" s="32">
        <v>44966</v>
      </c>
      <c r="B61" s="33">
        <v>0.375</v>
      </c>
      <c r="C61" s="10" t="s">
        <v>70</v>
      </c>
      <c r="D61" s="10" t="s">
        <v>71</v>
      </c>
      <c r="E61" s="10" t="s">
        <v>927</v>
      </c>
      <c r="F61" s="10">
        <v>1</v>
      </c>
      <c r="G61" s="10" t="s">
        <v>73</v>
      </c>
      <c r="H61" s="10" t="s">
        <v>74</v>
      </c>
      <c r="I61" s="10" t="s">
        <v>83</v>
      </c>
      <c r="J61" s="10">
        <v>191</v>
      </c>
      <c r="K61" s="12">
        <v>44966</v>
      </c>
      <c r="L61" s="33">
        <v>0.55532407407407403</v>
      </c>
      <c r="M61" s="10">
        <v>1</v>
      </c>
      <c r="N61" s="10" t="s">
        <v>84</v>
      </c>
      <c r="O61" s="10">
        <v>0.61399999999999999</v>
      </c>
      <c r="P61" s="10">
        <v>4.0500000000000001E-2</v>
      </c>
      <c r="Q61" s="10">
        <v>15</v>
      </c>
      <c r="R61" s="10" t="s">
        <v>85</v>
      </c>
      <c r="S61" s="123">
        <f t="shared" si="0"/>
        <v>15</v>
      </c>
      <c r="T61" s="10" t="s">
        <v>1188</v>
      </c>
      <c r="U61" s="45">
        <v>44966</v>
      </c>
      <c r="V61" s="129">
        <f t="shared" si="13"/>
        <v>12.685483125600001</v>
      </c>
      <c r="W61" s="129" t="s">
        <v>1202</v>
      </c>
    </row>
    <row r="62" spans="1:25" x14ac:dyDescent="0.55000000000000004">
      <c r="A62" s="32">
        <v>44966</v>
      </c>
      <c r="B62" s="33">
        <v>0.375</v>
      </c>
      <c r="C62" s="10" t="s">
        <v>70</v>
      </c>
      <c r="D62" s="10" t="s">
        <v>71</v>
      </c>
      <c r="E62" s="10" t="s">
        <v>928</v>
      </c>
      <c r="F62" s="10">
        <v>1</v>
      </c>
      <c r="G62" s="10" t="s">
        <v>73</v>
      </c>
      <c r="H62" s="10" t="s">
        <v>74</v>
      </c>
      <c r="I62" s="10" t="s">
        <v>83</v>
      </c>
      <c r="J62" s="10">
        <v>192</v>
      </c>
      <c r="K62" s="12">
        <v>44966</v>
      </c>
      <c r="L62" s="33">
        <v>0.55604166666666666</v>
      </c>
      <c r="M62" s="10">
        <v>1</v>
      </c>
      <c r="N62" s="10" t="s">
        <v>84</v>
      </c>
      <c r="O62" s="10">
        <v>0.73199999999999998</v>
      </c>
      <c r="P62" s="10">
        <v>4.87E-2</v>
      </c>
      <c r="Q62" s="10">
        <v>20</v>
      </c>
      <c r="R62" s="10" t="s">
        <v>85</v>
      </c>
      <c r="S62" s="123">
        <f t="shared" si="0"/>
        <v>20</v>
      </c>
      <c r="T62" s="10" t="s">
        <v>1188</v>
      </c>
      <c r="U62" s="45">
        <v>44966</v>
      </c>
      <c r="V62" s="129">
        <f t="shared" si="13"/>
        <v>22.251806326400001</v>
      </c>
      <c r="W62" s="129" t="s">
        <v>1202</v>
      </c>
    </row>
    <row r="63" spans="1:25" x14ac:dyDescent="0.55000000000000004">
      <c r="A63" s="32">
        <v>44966</v>
      </c>
      <c r="B63" s="33">
        <v>0.375</v>
      </c>
      <c r="C63" s="10" t="s">
        <v>70</v>
      </c>
      <c r="D63" s="10" t="s">
        <v>71</v>
      </c>
      <c r="E63" s="10" t="s">
        <v>930</v>
      </c>
      <c r="F63" s="10">
        <v>1</v>
      </c>
      <c r="G63" s="10" t="s">
        <v>73</v>
      </c>
      <c r="H63" s="10" t="s">
        <v>74</v>
      </c>
      <c r="I63" s="10" t="s">
        <v>83</v>
      </c>
      <c r="J63" s="10">
        <v>194</v>
      </c>
      <c r="K63" s="12">
        <v>44966</v>
      </c>
      <c r="L63" s="33">
        <v>0.55744212962962958</v>
      </c>
      <c r="M63" s="10">
        <v>1</v>
      </c>
      <c r="N63" s="10" t="s">
        <v>84</v>
      </c>
      <c r="O63" s="10">
        <v>2.35</v>
      </c>
      <c r="P63" s="10">
        <v>0.16600000000000001</v>
      </c>
      <c r="Q63" s="10">
        <v>150</v>
      </c>
      <c r="R63" s="10" t="s">
        <v>85</v>
      </c>
      <c r="S63" s="123">
        <f t="shared" si="0"/>
        <v>150</v>
      </c>
      <c r="T63" s="10" t="s">
        <v>1188</v>
      </c>
      <c r="U63" s="45">
        <v>44966</v>
      </c>
      <c r="V63" s="129">
        <f t="shared" si="13"/>
        <v>148.56069349999999</v>
      </c>
      <c r="W63" s="129" t="s">
        <v>1202</v>
      </c>
    </row>
    <row r="64" spans="1:25" x14ac:dyDescent="0.55000000000000004">
      <c r="A64" s="32">
        <v>44966</v>
      </c>
      <c r="B64" s="33">
        <v>0.375</v>
      </c>
      <c r="C64" s="10" t="s">
        <v>70</v>
      </c>
      <c r="D64" s="10" t="s">
        <v>71</v>
      </c>
      <c r="E64" s="10" t="s">
        <v>931</v>
      </c>
      <c r="F64" s="10">
        <v>1</v>
      </c>
      <c r="G64" s="10" t="s">
        <v>73</v>
      </c>
      <c r="H64" s="10" t="s">
        <v>74</v>
      </c>
      <c r="I64" s="10" t="s">
        <v>83</v>
      </c>
      <c r="J64" s="10">
        <v>195</v>
      </c>
      <c r="K64" s="12">
        <v>44966</v>
      </c>
      <c r="L64" s="33">
        <v>0.55815972222222221</v>
      </c>
      <c r="M64" s="10">
        <v>1</v>
      </c>
      <c r="N64" s="10" t="s">
        <v>84</v>
      </c>
      <c r="O64" s="10">
        <v>4.51</v>
      </c>
      <c r="P64" s="10">
        <v>0.32700000000000001</v>
      </c>
      <c r="Q64" s="10">
        <v>300</v>
      </c>
      <c r="R64" s="10" t="s">
        <v>85</v>
      </c>
      <c r="S64" s="123">
        <f t="shared" si="0"/>
        <v>300</v>
      </c>
      <c r="T64" s="10" t="s">
        <v>1188</v>
      </c>
      <c r="U64" s="45">
        <v>44966</v>
      </c>
      <c r="V64" s="129">
        <f t="shared" si="13"/>
        <v>303.05166085999991</v>
      </c>
      <c r="W64" s="129" t="s">
        <v>1202</v>
      </c>
    </row>
    <row r="65" spans="1:25" x14ac:dyDescent="0.55000000000000004">
      <c r="A65" s="32">
        <v>44966</v>
      </c>
      <c r="B65" s="33">
        <v>0.375</v>
      </c>
      <c r="C65" s="10" t="s">
        <v>70</v>
      </c>
      <c r="D65" s="10" t="s">
        <v>71</v>
      </c>
      <c r="E65" s="10" t="s">
        <v>932</v>
      </c>
      <c r="F65" s="10">
        <v>1</v>
      </c>
      <c r="G65" s="10" t="s">
        <v>73</v>
      </c>
      <c r="H65" s="10" t="s">
        <v>74</v>
      </c>
      <c r="I65" s="10" t="s">
        <v>83</v>
      </c>
      <c r="J65" s="10">
        <v>196</v>
      </c>
      <c r="K65" s="12">
        <v>44966</v>
      </c>
      <c r="L65" s="33">
        <v>0.5588657407407408</v>
      </c>
      <c r="M65" s="10">
        <v>1</v>
      </c>
      <c r="N65" s="10" t="s">
        <v>84</v>
      </c>
      <c r="O65" s="10">
        <v>7.54</v>
      </c>
      <c r="P65" s="10">
        <v>0.54800000000000004</v>
      </c>
      <c r="Q65" s="10">
        <v>500</v>
      </c>
      <c r="R65" s="10" t="s">
        <v>85</v>
      </c>
      <c r="S65" s="123">
        <f t="shared" ref="S65:S91" si="14">IF(OR(AND(I65&lt;&gt;"TP", I65&lt;&gt;"TDP",I65&lt;&gt;"TN", I65&lt;&gt;"TDN"),H65="CAL"), Q65*M65, IF(OR(AND(I65="TN", Q65&gt;2500), AND(I65="TDN", Q65&gt;2500)),MAX(Q65, AK65)*M65, IF(OR(AND(I65="TN", Q65&lt;=2500), AND(I65="TDN", Q65&lt;=2500)),MAX(Q65, AJ65,AK65)*M65, IF(OR(AND(I65="TP",Q65&gt;500), AND(I65="TDP", Q65&gt;500)),MAX(Q65,AK65)*M65,IF(OR(AND(I65="TP",Q65&lt;=150), AND(I65="TDP", Q65&lt;=150)),MAX(Q65,AG65:AI65,AK65)*M65,IF(OR(AND(I65="TP",Q65&lt;=300), AND(I65="TDP", Q65&lt;=300)),MAX(Q65,AH65,AI65,AK65)*M65,IF(OR(AND(I65="TP",Q65&lt;=500), AND(I65="TDP", Q65&lt;=500)),MAX(Q65,AI65,AK65)*M65,"")))))))</f>
        <v>500</v>
      </c>
      <c r="T65" s="10" t="s">
        <v>1188</v>
      </c>
      <c r="U65" s="45">
        <v>44966</v>
      </c>
      <c r="V65" s="129">
        <f t="shared" si="13"/>
        <v>492.54067975999999</v>
      </c>
      <c r="W65" s="129" t="s">
        <v>1202</v>
      </c>
    </row>
    <row r="66" spans="1:25" x14ac:dyDescent="0.55000000000000004">
      <c r="A66" s="124">
        <v>44972</v>
      </c>
      <c r="B66" s="125">
        <v>0.375</v>
      </c>
      <c r="C66" s="31" t="s">
        <v>70</v>
      </c>
      <c r="D66" s="31" t="s">
        <v>71</v>
      </c>
      <c r="E66" s="31" t="s">
        <v>917</v>
      </c>
      <c r="F66" s="31">
        <v>1</v>
      </c>
      <c r="G66" s="31" t="s">
        <v>73</v>
      </c>
      <c r="H66" s="31" t="s">
        <v>74</v>
      </c>
      <c r="I66" s="31" t="s">
        <v>83</v>
      </c>
      <c r="J66" s="31">
        <v>181</v>
      </c>
      <c r="K66" s="126">
        <v>44972</v>
      </c>
      <c r="L66" s="125">
        <v>0.54408564814814808</v>
      </c>
      <c r="M66" s="31">
        <v>1</v>
      </c>
      <c r="N66" s="31" t="s">
        <v>84</v>
      </c>
      <c r="O66" s="31">
        <v>0.43</v>
      </c>
      <c r="P66" s="31">
        <v>3.0599999999999999E-2</v>
      </c>
      <c r="Q66" s="31">
        <v>0</v>
      </c>
      <c r="R66" s="31" t="s">
        <v>85</v>
      </c>
      <c r="S66" s="34">
        <f t="shared" si="14"/>
        <v>0</v>
      </c>
      <c r="T66" s="128" t="s">
        <v>1232</v>
      </c>
      <c r="U66" s="127">
        <v>44972</v>
      </c>
      <c r="V66" s="128">
        <f>-1.4395*O66^2+80.835*O66-35.016</f>
        <v>-0.52311355000000503</v>
      </c>
      <c r="W66" s="128" t="s">
        <v>1248</v>
      </c>
      <c r="X66" s="128"/>
      <c r="Y66" s="128"/>
    </row>
    <row r="67" spans="1:25" x14ac:dyDescent="0.55000000000000004">
      <c r="A67" s="124">
        <v>44972</v>
      </c>
      <c r="B67" s="125">
        <v>0.375</v>
      </c>
      <c r="C67" s="31" t="s">
        <v>70</v>
      </c>
      <c r="D67" s="31" t="s">
        <v>71</v>
      </c>
      <c r="E67" s="31" t="s">
        <v>918</v>
      </c>
      <c r="F67" s="31">
        <v>1</v>
      </c>
      <c r="G67" s="31" t="s">
        <v>73</v>
      </c>
      <c r="H67" s="31" t="s">
        <v>74</v>
      </c>
      <c r="I67" s="31" t="s">
        <v>83</v>
      </c>
      <c r="J67" s="31">
        <v>182</v>
      </c>
      <c r="K67" s="126">
        <v>44972</v>
      </c>
      <c r="L67" s="125">
        <v>0.54479166666666667</v>
      </c>
      <c r="M67" s="31">
        <v>1</v>
      </c>
      <c r="N67" s="31" t="s">
        <v>84</v>
      </c>
      <c r="O67" s="31">
        <v>0.56899999999999995</v>
      </c>
      <c r="P67" s="31">
        <v>4.0599999999999997E-2</v>
      </c>
      <c r="Q67" s="31">
        <v>12</v>
      </c>
      <c r="R67" s="31" t="s">
        <v>85</v>
      </c>
      <c r="S67" s="34">
        <f t="shared" si="14"/>
        <v>12</v>
      </c>
      <c r="T67" s="128" t="s">
        <v>1232</v>
      </c>
      <c r="U67" s="127">
        <v>44972</v>
      </c>
      <c r="V67" s="128">
        <f t="shared" ref="V67:V78" si="15">-1.4395*O67^2+80.835*O67-35.016</f>
        <v>10.513061040499991</v>
      </c>
      <c r="W67" s="128" t="s">
        <v>1248</v>
      </c>
      <c r="X67" s="128"/>
      <c r="Y67" s="128"/>
    </row>
    <row r="68" spans="1:25" x14ac:dyDescent="0.55000000000000004">
      <c r="A68" s="124">
        <v>44972</v>
      </c>
      <c r="B68" s="125">
        <v>0.375</v>
      </c>
      <c r="C68" s="31" t="s">
        <v>70</v>
      </c>
      <c r="D68" s="31" t="s">
        <v>71</v>
      </c>
      <c r="E68" s="31" t="s">
        <v>919</v>
      </c>
      <c r="F68" s="31">
        <v>1</v>
      </c>
      <c r="G68" s="31" t="s">
        <v>73</v>
      </c>
      <c r="H68" s="31" t="s">
        <v>74</v>
      </c>
      <c r="I68" s="31" t="s">
        <v>83</v>
      </c>
      <c r="J68" s="31">
        <v>183</v>
      </c>
      <c r="K68" s="126">
        <v>44972</v>
      </c>
      <c r="L68" s="125">
        <v>0.54548611111111112</v>
      </c>
      <c r="M68" s="31">
        <v>1</v>
      </c>
      <c r="N68" s="31" t="s">
        <v>84</v>
      </c>
      <c r="O68" s="31">
        <v>1.05</v>
      </c>
      <c r="P68" s="31">
        <v>7.4300000000000005E-2</v>
      </c>
      <c r="Q68" s="31">
        <v>50</v>
      </c>
      <c r="R68" s="31" t="s">
        <v>85</v>
      </c>
      <c r="S68" s="34">
        <f t="shared" si="14"/>
        <v>50</v>
      </c>
      <c r="T68" s="128" t="s">
        <v>1232</v>
      </c>
      <c r="U68" s="127">
        <v>44972</v>
      </c>
      <c r="V68" s="128">
        <f t="shared" si="15"/>
        <v>48.273701250000009</v>
      </c>
      <c r="W68" s="128" t="s">
        <v>1248</v>
      </c>
      <c r="X68" s="128"/>
      <c r="Y68" s="128"/>
    </row>
    <row r="69" spans="1:25" x14ac:dyDescent="0.55000000000000004">
      <c r="A69" s="124">
        <v>44972</v>
      </c>
      <c r="B69" s="125">
        <v>0.375</v>
      </c>
      <c r="C69" s="31" t="s">
        <v>70</v>
      </c>
      <c r="D69" s="31" t="s">
        <v>71</v>
      </c>
      <c r="E69" s="31" t="s">
        <v>920</v>
      </c>
      <c r="F69" s="31">
        <v>1</v>
      </c>
      <c r="G69" s="31" t="s">
        <v>73</v>
      </c>
      <c r="H69" s="31" t="s">
        <v>74</v>
      </c>
      <c r="I69" s="31" t="s">
        <v>83</v>
      </c>
      <c r="J69" s="31">
        <v>184</v>
      </c>
      <c r="K69" s="126">
        <v>44972</v>
      </c>
      <c r="L69" s="125">
        <v>0.5461921296296296</v>
      </c>
      <c r="M69" s="31">
        <v>1</v>
      </c>
      <c r="N69" s="31" t="s">
        <v>84</v>
      </c>
      <c r="O69" s="31">
        <v>3.13</v>
      </c>
      <c r="P69" s="31">
        <v>0.22800000000000001</v>
      </c>
      <c r="Q69" s="31">
        <v>200</v>
      </c>
      <c r="R69" s="31" t="s">
        <v>85</v>
      </c>
      <c r="S69" s="34">
        <f t="shared" si="14"/>
        <v>200</v>
      </c>
      <c r="T69" s="128" t="s">
        <v>1232</v>
      </c>
      <c r="U69" s="127">
        <v>44972</v>
      </c>
      <c r="V69" s="128">
        <f t="shared" si="15"/>
        <v>203.89491244999999</v>
      </c>
      <c r="W69" s="128" t="s">
        <v>1248</v>
      </c>
      <c r="X69" s="128"/>
      <c r="Y69" s="128"/>
    </row>
    <row r="70" spans="1:25" x14ac:dyDescent="0.55000000000000004">
      <c r="A70" s="124">
        <v>44972</v>
      </c>
      <c r="B70" s="125">
        <v>0.375</v>
      </c>
      <c r="C70" s="31" t="s">
        <v>70</v>
      </c>
      <c r="D70" s="31" t="s">
        <v>71</v>
      </c>
      <c r="E70" s="31" t="s">
        <v>921</v>
      </c>
      <c r="F70" s="31">
        <v>1</v>
      </c>
      <c r="G70" s="31" t="s">
        <v>73</v>
      </c>
      <c r="H70" s="31" t="s">
        <v>74</v>
      </c>
      <c r="I70" s="31" t="s">
        <v>83</v>
      </c>
      <c r="J70" s="31">
        <v>185</v>
      </c>
      <c r="K70" s="126">
        <v>44972</v>
      </c>
      <c r="L70" s="125">
        <v>0.54689814814814819</v>
      </c>
      <c r="M70" s="31">
        <v>1</v>
      </c>
      <c r="N70" s="31" t="s">
        <v>84</v>
      </c>
      <c r="O70" s="31">
        <v>7.79</v>
      </c>
      <c r="P70" s="31">
        <v>0.56999999999999995</v>
      </c>
      <c r="Q70" s="31">
        <v>500</v>
      </c>
      <c r="R70" s="31" t="s">
        <v>85</v>
      </c>
      <c r="S70" s="34">
        <f t="shared" si="14"/>
        <v>500</v>
      </c>
      <c r="T70" s="128" t="s">
        <v>1232</v>
      </c>
      <c r="U70" s="127">
        <v>44972</v>
      </c>
      <c r="V70" s="128">
        <f t="shared" si="15"/>
        <v>507.33388804999987</v>
      </c>
      <c r="W70" s="128" t="s">
        <v>1248</v>
      </c>
      <c r="X70" s="128"/>
      <c r="Y70" s="128"/>
    </row>
    <row r="71" spans="1:25" x14ac:dyDescent="0.55000000000000004">
      <c r="A71" s="124">
        <v>44972</v>
      </c>
      <c r="B71" s="125">
        <v>0.375</v>
      </c>
      <c r="C71" s="31" t="s">
        <v>70</v>
      </c>
      <c r="D71" s="31" t="s">
        <v>71</v>
      </c>
      <c r="E71" s="31" t="s">
        <v>925</v>
      </c>
      <c r="F71" s="31">
        <v>1</v>
      </c>
      <c r="G71" s="31" t="s">
        <v>73</v>
      </c>
      <c r="H71" s="31" t="s">
        <v>74</v>
      </c>
      <c r="I71" s="31" t="s">
        <v>83</v>
      </c>
      <c r="J71" s="31">
        <v>189</v>
      </c>
      <c r="K71" s="126">
        <v>44972</v>
      </c>
      <c r="L71" s="125">
        <v>0.54971064814814818</v>
      </c>
      <c r="M71" s="31">
        <v>1</v>
      </c>
      <c r="N71" s="31" t="s">
        <v>84</v>
      </c>
      <c r="O71" s="31">
        <v>0.51700000000000002</v>
      </c>
      <c r="P71" s="31">
        <v>3.4700000000000002E-2</v>
      </c>
      <c r="Q71" s="31">
        <v>0</v>
      </c>
      <c r="R71" s="31" t="s">
        <v>85</v>
      </c>
      <c r="S71" s="34">
        <f t="shared" si="14"/>
        <v>0</v>
      </c>
      <c r="T71" s="128" t="s">
        <v>1232</v>
      </c>
      <c r="U71" s="127">
        <v>44972</v>
      </c>
      <c r="V71" s="128">
        <f t="shared" si="15"/>
        <v>6.3909324844999986</v>
      </c>
      <c r="W71" s="128" t="s">
        <v>1248</v>
      </c>
      <c r="X71" s="128"/>
      <c r="Y71" s="128"/>
    </row>
    <row r="72" spans="1:25" x14ac:dyDescent="0.55000000000000004">
      <c r="A72" s="124">
        <v>44972</v>
      </c>
      <c r="B72" s="125">
        <v>0.375</v>
      </c>
      <c r="C72" s="31" t="s">
        <v>70</v>
      </c>
      <c r="D72" s="31" t="s">
        <v>71</v>
      </c>
      <c r="E72" s="31" t="s">
        <v>926</v>
      </c>
      <c r="F72" s="31">
        <v>1</v>
      </c>
      <c r="G72" s="31" t="s">
        <v>73</v>
      </c>
      <c r="H72" s="31" t="s">
        <v>74</v>
      </c>
      <c r="I72" s="31" t="s">
        <v>83</v>
      </c>
      <c r="J72" s="31">
        <v>190</v>
      </c>
      <c r="K72" s="126">
        <v>44972</v>
      </c>
      <c r="L72" s="125">
        <v>0.55041666666666667</v>
      </c>
      <c r="M72" s="31">
        <v>1</v>
      </c>
      <c r="N72" s="31" t="s">
        <v>84</v>
      </c>
      <c r="O72" s="31">
        <v>0.53400000000000003</v>
      </c>
      <c r="P72" s="31">
        <v>3.61E-2</v>
      </c>
      <c r="Q72" s="31">
        <v>5</v>
      </c>
      <c r="R72" s="31" t="s">
        <v>85</v>
      </c>
      <c r="S72" s="34">
        <f t="shared" si="14"/>
        <v>5</v>
      </c>
      <c r="T72" s="128" t="s">
        <v>1232</v>
      </c>
      <c r="U72" s="127">
        <v>44972</v>
      </c>
      <c r="V72" s="128">
        <f t="shared" si="15"/>
        <v>7.7394079379999994</v>
      </c>
      <c r="W72" s="128" t="s">
        <v>1248</v>
      </c>
      <c r="X72" s="128"/>
      <c r="Y72" s="128"/>
    </row>
    <row r="73" spans="1:25" x14ac:dyDescent="0.55000000000000004">
      <c r="A73" s="124">
        <v>44972</v>
      </c>
      <c r="B73" s="125">
        <v>0.375</v>
      </c>
      <c r="C73" s="31" t="s">
        <v>70</v>
      </c>
      <c r="D73" s="31" t="s">
        <v>71</v>
      </c>
      <c r="E73" s="31" t="s">
        <v>927</v>
      </c>
      <c r="F73" s="31">
        <v>1</v>
      </c>
      <c r="G73" s="31" t="s">
        <v>73</v>
      </c>
      <c r="H73" s="31" t="s">
        <v>74</v>
      </c>
      <c r="I73" s="31" t="s">
        <v>83</v>
      </c>
      <c r="J73" s="31">
        <v>191</v>
      </c>
      <c r="K73" s="126">
        <v>44972</v>
      </c>
      <c r="L73" s="125">
        <v>0.55112268518518526</v>
      </c>
      <c r="M73" s="31">
        <v>1</v>
      </c>
      <c r="N73" s="31" t="s">
        <v>84</v>
      </c>
      <c r="O73" s="31">
        <v>0.63200000000000001</v>
      </c>
      <c r="P73" s="31">
        <v>4.3099999999999999E-2</v>
      </c>
      <c r="Q73" s="31">
        <v>15</v>
      </c>
      <c r="R73" s="31" t="s">
        <v>85</v>
      </c>
      <c r="S73" s="34">
        <f t="shared" si="14"/>
        <v>15</v>
      </c>
      <c r="T73" s="128" t="s">
        <v>1232</v>
      </c>
      <c r="U73" s="127">
        <v>44972</v>
      </c>
      <c r="V73" s="128">
        <f t="shared" si="15"/>
        <v>15.496749152</v>
      </c>
      <c r="W73" s="128" t="s">
        <v>1248</v>
      </c>
      <c r="X73" s="128"/>
      <c r="Y73" s="128"/>
    </row>
    <row r="74" spans="1:25" x14ac:dyDescent="0.55000000000000004">
      <c r="A74" s="124">
        <v>44972</v>
      </c>
      <c r="B74" s="125">
        <v>0.375</v>
      </c>
      <c r="C74" s="31" t="s">
        <v>70</v>
      </c>
      <c r="D74" s="31" t="s">
        <v>71</v>
      </c>
      <c r="E74" s="31" t="s">
        <v>928</v>
      </c>
      <c r="F74" s="31">
        <v>1</v>
      </c>
      <c r="G74" s="31" t="s">
        <v>73</v>
      </c>
      <c r="H74" s="31" t="s">
        <v>74</v>
      </c>
      <c r="I74" s="31" t="s">
        <v>83</v>
      </c>
      <c r="J74" s="31">
        <v>192</v>
      </c>
      <c r="K74" s="126">
        <v>44972</v>
      </c>
      <c r="L74" s="125">
        <v>0.55182870370370374</v>
      </c>
      <c r="M74" s="31">
        <v>1</v>
      </c>
      <c r="N74" s="31" t="s">
        <v>84</v>
      </c>
      <c r="O74" s="31">
        <v>0.65200000000000002</v>
      </c>
      <c r="P74" s="31">
        <v>4.5199999999999997E-2</v>
      </c>
      <c r="Q74" s="31">
        <v>20</v>
      </c>
      <c r="R74" s="31" t="s">
        <v>85</v>
      </c>
      <c r="S74" s="34">
        <f t="shared" si="14"/>
        <v>20</v>
      </c>
      <c r="T74" s="128" t="s">
        <v>1232</v>
      </c>
      <c r="U74" s="127">
        <v>44972</v>
      </c>
      <c r="V74" s="128">
        <f t="shared" si="15"/>
        <v>17.076482792</v>
      </c>
      <c r="W74" s="128" t="s">
        <v>1248</v>
      </c>
      <c r="X74" s="128"/>
      <c r="Y74" s="128"/>
    </row>
    <row r="75" spans="1:25" x14ac:dyDescent="0.55000000000000004">
      <c r="A75" s="124">
        <v>44972</v>
      </c>
      <c r="B75" s="125">
        <v>0.375</v>
      </c>
      <c r="C75" s="31" t="s">
        <v>70</v>
      </c>
      <c r="D75" s="31" t="s">
        <v>71</v>
      </c>
      <c r="E75" s="31" t="s">
        <v>929</v>
      </c>
      <c r="F75" s="31">
        <v>1</v>
      </c>
      <c r="G75" s="31" t="s">
        <v>73</v>
      </c>
      <c r="H75" s="31" t="s">
        <v>74</v>
      </c>
      <c r="I75" s="31" t="s">
        <v>83</v>
      </c>
      <c r="J75" s="31">
        <v>193</v>
      </c>
      <c r="K75" s="126">
        <v>44972</v>
      </c>
      <c r="L75" s="125">
        <v>0.55252314814814818</v>
      </c>
      <c r="M75" s="31">
        <v>1</v>
      </c>
      <c r="N75" s="31" t="s">
        <v>84</v>
      </c>
      <c r="O75" s="31">
        <v>1.34</v>
      </c>
      <c r="P75" s="31">
        <v>9.4299999999999995E-2</v>
      </c>
      <c r="Q75" s="31">
        <v>75</v>
      </c>
      <c r="R75" s="31" t="s">
        <v>85</v>
      </c>
      <c r="S75" s="34">
        <f t="shared" si="14"/>
        <v>75</v>
      </c>
      <c r="T75" s="128" t="s">
        <v>1232</v>
      </c>
      <c r="U75" s="127">
        <v>44972</v>
      </c>
      <c r="V75" s="128">
        <f t="shared" si="15"/>
        <v>70.718133800000004</v>
      </c>
      <c r="W75" s="128" t="s">
        <v>1248</v>
      </c>
      <c r="X75" s="128"/>
      <c r="Y75" s="128"/>
    </row>
    <row r="76" spans="1:25" x14ac:dyDescent="0.55000000000000004">
      <c r="A76" s="124">
        <v>44972</v>
      </c>
      <c r="B76" s="125">
        <v>0.375</v>
      </c>
      <c r="C76" s="31" t="s">
        <v>70</v>
      </c>
      <c r="D76" s="31" t="s">
        <v>71</v>
      </c>
      <c r="E76" s="31" t="s">
        <v>930</v>
      </c>
      <c r="F76" s="31">
        <v>1</v>
      </c>
      <c r="G76" s="31" t="s">
        <v>73</v>
      </c>
      <c r="H76" s="31" t="s">
        <v>74</v>
      </c>
      <c r="I76" s="31" t="s">
        <v>83</v>
      </c>
      <c r="J76" s="31">
        <v>194</v>
      </c>
      <c r="K76" s="126">
        <v>44972</v>
      </c>
      <c r="L76" s="125">
        <v>0.55324074074074081</v>
      </c>
      <c r="M76" s="31">
        <v>1</v>
      </c>
      <c r="N76" s="31" t="s">
        <v>84</v>
      </c>
      <c r="O76" s="31">
        <v>2.34</v>
      </c>
      <c r="P76" s="31">
        <v>0.16700000000000001</v>
      </c>
      <c r="Q76" s="31">
        <v>150</v>
      </c>
      <c r="R76" s="31" t="s">
        <v>85</v>
      </c>
      <c r="S76" s="34">
        <f t="shared" si="14"/>
        <v>150</v>
      </c>
      <c r="T76" s="128" t="s">
        <v>1232</v>
      </c>
      <c r="U76" s="127">
        <v>44972</v>
      </c>
      <c r="V76" s="128">
        <f t="shared" si="15"/>
        <v>146.25577379999999</v>
      </c>
      <c r="W76" s="128" t="s">
        <v>1248</v>
      </c>
      <c r="X76" s="128"/>
      <c r="Y76" s="128"/>
    </row>
    <row r="77" spans="1:25" x14ac:dyDescent="0.55000000000000004">
      <c r="A77" s="124">
        <v>44972</v>
      </c>
      <c r="B77" s="125">
        <v>0.375</v>
      </c>
      <c r="C77" s="31" t="s">
        <v>70</v>
      </c>
      <c r="D77" s="31" t="s">
        <v>71</v>
      </c>
      <c r="E77" s="31" t="s">
        <v>931</v>
      </c>
      <c r="F77" s="31">
        <v>1</v>
      </c>
      <c r="G77" s="31" t="s">
        <v>73</v>
      </c>
      <c r="H77" s="31" t="s">
        <v>74</v>
      </c>
      <c r="I77" s="31" t="s">
        <v>83</v>
      </c>
      <c r="J77" s="31">
        <v>195</v>
      </c>
      <c r="K77" s="126">
        <v>44972</v>
      </c>
      <c r="L77" s="125">
        <v>0.55393518518518514</v>
      </c>
      <c r="M77" s="31">
        <v>1</v>
      </c>
      <c r="N77" s="31" t="s">
        <v>84</v>
      </c>
      <c r="O77" s="31">
        <v>4.55</v>
      </c>
      <c r="P77" s="31">
        <v>0.33100000000000002</v>
      </c>
      <c r="Q77" s="31">
        <v>300</v>
      </c>
      <c r="R77" s="31" t="s">
        <v>85</v>
      </c>
      <c r="S77" s="34">
        <f t="shared" si="14"/>
        <v>300</v>
      </c>
      <c r="T77" s="128" t="s">
        <v>1232</v>
      </c>
      <c r="U77" s="127">
        <v>44972</v>
      </c>
      <c r="V77" s="128">
        <f t="shared" si="15"/>
        <v>302.98200124999994</v>
      </c>
      <c r="W77" s="128" t="s">
        <v>1248</v>
      </c>
      <c r="X77" s="128"/>
      <c r="Y77" s="128"/>
    </row>
    <row r="78" spans="1:25" x14ac:dyDescent="0.55000000000000004">
      <c r="A78" s="124">
        <v>44972</v>
      </c>
      <c r="B78" s="125">
        <v>0.375</v>
      </c>
      <c r="C78" s="31" t="s">
        <v>70</v>
      </c>
      <c r="D78" s="31" t="s">
        <v>71</v>
      </c>
      <c r="E78" s="31" t="s">
        <v>932</v>
      </c>
      <c r="F78" s="31">
        <v>1</v>
      </c>
      <c r="G78" s="31" t="s">
        <v>73</v>
      </c>
      <c r="H78" s="31" t="s">
        <v>74</v>
      </c>
      <c r="I78" s="31" t="s">
        <v>83</v>
      </c>
      <c r="J78" s="31">
        <v>196</v>
      </c>
      <c r="K78" s="126">
        <v>44972</v>
      </c>
      <c r="L78" s="125">
        <v>0.55464120370370373</v>
      </c>
      <c r="M78" s="31">
        <v>1</v>
      </c>
      <c r="N78" s="31" t="s">
        <v>84</v>
      </c>
      <c r="O78" s="31">
        <v>7.51</v>
      </c>
      <c r="P78" s="31">
        <v>0.54700000000000004</v>
      </c>
      <c r="Q78" s="31">
        <v>500</v>
      </c>
      <c r="R78" s="31" t="s">
        <v>85</v>
      </c>
      <c r="S78" s="34">
        <f t="shared" si="14"/>
        <v>500</v>
      </c>
      <c r="T78" s="128" t="s">
        <v>1232</v>
      </c>
      <c r="U78" s="127">
        <v>44972</v>
      </c>
      <c r="V78" s="128">
        <f t="shared" si="15"/>
        <v>490.86690604999995</v>
      </c>
      <c r="W78" s="128" t="s">
        <v>1248</v>
      </c>
      <c r="X78" s="128"/>
      <c r="Y78" s="128"/>
    </row>
    <row r="79" spans="1:25" x14ac:dyDescent="0.55000000000000004">
      <c r="A79" s="32">
        <v>44979</v>
      </c>
      <c r="B79" s="33">
        <v>0.375</v>
      </c>
      <c r="C79" s="10" t="s">
        <v>70</v>
      </c>
      <c r="D79" s="10" t="s">
        <v>71</v>
      </c>
      <c r="E79" s="10" t="s">
        <v>917</v>
      </c>
      <c r="F79" s="10">
        <v>1</v>
      </c>
      <c r="G79" s="10" t="s">
        <v>73</v>
      </c>
      <c r="H79" s="10" t="s">
        <v>74</v>
      </c>
      <c r="I79" s="10" t="s">
        <v>83</v>
      </c>
      <c r="J79" s="10">
        <v>181</v>
      </c>
      <c r="K79" s="12">
        <v>44980</v>
      </c>
      <c r="L79" s="33">
        <v>0.41797453703703707</v>
      </c>
      <c r="M79" s="10">
        <v>1</v>
      </c>
      <c r="N79" s="10" t="s">
        <v>84</v>
      </c>
      <c r="O79" s="10">
        <v>0.33800000000000002</v>
      </c>
      <c r="P79" s="10">
        <v>2.3400000000000001E-2</v>
      </c>
      <c r="Q79" s="10">
        <v>0</v>
      </c>
      <c r="R79" s="10" t="s">
        <v>85</v>
      </c>
      <c r="S79" s="123">
        <f t="shared" si="14"/>
        <v>0</v>
      </c>
      <c r="T79" s="10" t="s">
        <v>1285</v>
      </c>
      <c r="U79" s="45">
        <v>44980</v>
      </c>
      <c r="V79" s="129">
        <f>-1.8824*O79^2+87.341*O79-33.178</f>
        <v>-3.8717949055999981</v>
      </c>
      <c r="W79" s="129" t="s">
        <v>1301</v>
      </c>
    </row>
    <row r="80" spans="1:25" x14ac:dyDescent="0.55000000000000004">
      <c r="A80" s="32">
        <v>44979</v>
      </c>
      <c r="B80" s="33">
        <v>0.375</v>
      </c>
      <c r="C80" s="10" t="s">
        <v>70</v>
      </c>
      <c r="D80" s="10" t="s">
        <v>71</v>
      </c>
      <c r="E80" s="10" t="s">
        <v>918</v>
      </c>
      <c r="F80" s="10">
        <v>1</v>
      </c>
      <c r="G80" s="10" t="s">
        <v>73</v>
      </c>
      <c r="H80" s="10" t="s">
        <v>74</v>
      </c>
      <c r="I80" s="10" t="s">
        <v>83</v>
      </c>
      <c r="J80" s="10">
        <v>182</v>
      </c>
      <c r="K80" s="12">
        <v>44980</v>
      </c>
      <c r="L80" s="33">
        <v>0.41868055555555556</v>
      </c>
      <c r="M80" s="10">
        <v>1</v>
      </c>
      <c r="N80" s="10" t="s">
        <v>84</v>
      </c>
      <c r="O80" s="10">
        <v>0.47399999999999998</v>
      </c>
      <c r="P80" s="10">
        <v>3.3599999999999998E-2</v>
      </c>
      <c r="Q80" s="10">
        <v>12</v>
      </c>
      <c r="R80" s="10" t="s">
        <v>85</v>
      </c>
      <c r="S80" s="123">
        <f t="shared" si="14"/>
        <v>12</v>
      </c>
      <c r="T80" s="10" t="s">
        <v>1285</v>
      </c>
      <c r="U80" s="45">
        <v>44980</v>
      </c>
      <c r="V80" s="129">
        <f t="shared" ref="V80:V91" si="16">-1.8824*O80^2+87.341*O80-33.178</f>
        <v>7.7987038975999923</v>
      </c>
      <c r="W80" s="129" t="s">
        <v>1301</v>
      </c>
    </row>
    <row r="81" spans="1:23" x14ac:dyDescent="0.55000000000000004">
      <c r="A81" s="32">
        <v>44979</v>
      </c>
      <c r="B81" s="33">
        <v>0.375</v>
      </c>
      <c r="C81" s="10" t="s">
        <v>70</v>
      </c>
      <c r="D81" s="10" t="s">
        <v>71</v>
      </c>
      <c r="E81" s="10" t="s">
        <v>919</v>
      </c>
      <c r="F81" s="10">
        <v>1</v>
      </c>
      <c r="G81" s="10" t="s">
        <v>73</v>
      </c>
      <c r="H81" s="10" t="s">
        <v>74</v>
      </c>
      <c r="I81" s="10" t="s">
        <v>83</v>
      </c>
      <c r="J81" s="10">
        <v>183</v>
      </c>
      <c r="K81" s="12">
        <v>44980</v>
      </c>
      <c r="L81" s="33">
        <v>0.41938657407407409</v>
      </c>
      <c r="M81" s="10">
        <v>1</v>
      </c>
      <c r="N81" s="10" t="s">
        <v>84</v>
      </c>
      <c r="O81" s="10">
        <v>0.93100000000000005</v>
      </c>
      <c r="P81" s="10">
        <v>6.6500000000000004E-2</v>
      </c>
      <c r="Q81" s="10">
        <v>50</v>
      </c>
      <c r="R81" s="10" t="s">
        <v>85</v>
      </c>
      <c r="S81" s="123">
        <f t="shared" si="14"/>
        <v>50</v>
      </c>
      <c r="T81" s="10" t="s">
        <v>1285</v>
      </c>
      <c r="U81" s="45">
        <v>44980</v>
      </c>
      <c r="V81" s="129">
        <f t="shared" si="16"/>
        <v>46.504880093599994</v>
      </c>
      <c r="W81" s="129" t="s">
        <v>1301</v>
      </c>
    </row>
    <row r="82" spans="1:23" x14ac:dyDescent="0.55000000000000004">
      <c r="A82" s="32">
        <v>44979</v>
      </c>
      <c r="B82" s="33">
        <v>0.375</v>
      </c>
      <c r="C82" s="10" t="s">
        <v>70</v>
      </c>
      <c r="D82" s="10" t="s">
        <v>71</v>
      </c>
      <c r="E82" s="10" t="s">
        <v>920</v>
      </c>
      <c r="F82" s="10">
        <v>1</v>
      </c>
      <c r="G82" s="10" t="s">
        <v>73</v>
      </c>
      <c r="H82" s="10" t="s">
        <v>74</v>
      </c>
      <c r="I82" s="10" t="s">
        <v>83</v>
      </c>
      <c r="J82" s="10">
        <v>184</v>
      </c>
      <c r="K82" s="12">
        <v>44980</v>
      </c>
      <c r="L82" s="33">
        <v>0.42009259259259263</v>
      </c>
      <c r="M82" s="10">
        <v>1</v>
      </c>
      <c r="N82" s="10" t="s">
        <v>84</v>
      </c>
      <c r="O82" s="10">
        <v>2.85</v>
      </c>
      <c r="P82" s="10">
        <v>0.20699999999999999</v>
      </c>
      <c r="Q82" s="10">
        <v>200</v>
      </c>
      <c r="R82" s="10" t="s">
        <v>85</v>
      </c>
      <c r="S82" s="123">
        <f t="shared" si="14"/>
        <v>200</v>
      </c>
      <c r="T82" s="10" t="s">
        <v>1285</v>
      </c>
      <c r="U82" s="45">
        <v>44980</v>
      </c>
      <c r="V82" s="129">
        <f t="shared" si="16"/>
        <v>200.45405599999998</v>
      </c>
      <c r="W82" s="129" t="s">
        <v>1301</v>
      </c>
    </row>
    <row r="83" spans="1:23" x14ac:dyDescent="0.55000000000000004">
      <c r="A83" s="32">
        <v>44979</v>
      </c>
      <c r="B83" s="33">
        <v>0.375</v>
      </c>
      <c r="C83" s="10" t="s">
        <v>70</v>
      </c>
      <c r="D83" s="10" t="s">
        <v>71</v>
      </c>
      <c r="E83" s="10" t="s">
        <v>921</v>
      </c>
      <c r="F83" s="10">
        <v>1</v>
      </c>
      <c r="G83" s="10" t="s">
        <v>73</v>
      </c>
      <c r="H83" s="10" t="s">
        <v>74</v>
      </c>
      <c r="I83" s="10" t="s">
        <v>83</v>
      </c>
      <c r="J83" s="10">
        <v>185</v>
      </c>
      <c r="K83" s="12">
        <v>44980</v>
      </c>
      <c r="L83" s="33">
        <v>0.42079861111111111</v>
      </c>
      <c r="M83" s="10">
        <v>1</v>
      </c>
      <c r="N83" s="10" t="s">
        <v>84</v>
      </c>
      <c r="O83" s="10">
        <v>7.39</v>
      </c>
      <c r="P83" s="10">
        <v>0.54500000000000004</v>
      </c>
      <c r="Q83" s="10">
        <v>500</v>
      </c>
      <c r="R83" s="10" t="s">
        <v>85</v>
      </c>
      <c r="S83" s="123">
        <f t="shared" si="14"/>
        <v>500</v>
      </c>
      <c r="T83" s="10" t="s">
        <v>1285</v>
      </c>
      <c r="U83" s="45">
        <v>44980</v>
      </c>
      <c r="V83" s="129">
        <f t="shared" si="16"/>
        <v>509.47017296000001</v>
      </c>
      <c r="W83" s="129" t="s">
        <v>1301</v>
      </c>
    </row>
    <row r="84" spans="1:23" x14ac:dyDescent="0.55000000000000004">
      <c r="A84" s="32">
        <v>44979</v>
      </c>
      <c r="B84" s="33">
        <v>0.375</v>
      </c>
      <c r="C84" s="10" t="s">
        <v>70</v>
      </c>
      <c r="D84" s="10" t="s">
        <v>71</v>
      </c>
      <c r="E84" s="10" t="s">
        <v>925</v>
      </c>
      <c r="F84" s="10">
        <v>1</v>
      </c>
      <c r="G84" s="10" t="s">
        <v>73</v>
      </c>
      <c r="H84" s="10" t="s">
        <v>74</v>
      </c>
      <c r="I84" s="10" t="s">
        <v>83</v>
      </c>
      <c r="J84" s="10">
        <v>189</v>
      </c>
      <c r="K84" s="12">
        <v>44980</v>
      </c>
      <c r="L84" s="33">
        <v>0.42363425925925924</v>
      </c>
      <c r="M84" s="10">
        <v>1</v>
      </c>
      <c r="N84" s="10" t="s">
        <v>84</v>
      </c>
      <c r="O84" s="10">
        <v>0.48699999999999999</v>
      </c>
      <c r="P84" s="10">
        <v>3.3399999999999999E-2</v>
      </c>
      <c r="Q84" s="10">
        <v>0</v>
      </c>
      <c r="R84" s="10" t="s">
        <v>85</v>
      </c>
      <c r="S84" s="123">
        <f t="shared" si="14"/>
        <v>0</v>
      </c>
      <c r="T84" s="10" t="s">
        <v>1285</v>
      </c>
      <c r="U84" s="45">
        <v>44980</v>
      </c>
      <c r="V84" s="129">
        <f t="shared" si="16"/>
        <v>8.9106200744000006</v>
      </c>
      <c r="W84" s="129" t="s">
        <v>1301</v>
      </c>
    </row>
    <row r="85" spans="1:23" x14ac:dyDescent="0.55000000000000004">
      <c r="A85" s="32">
        <v>44979</v>
      </c>
      <c r="B85" s="33">
        <v>0.375</v>
      </c>
      <c r="C85" s="10" t="s">
        <v>70</v>
      </c>
      <c r="D85" s="10" t="s">
        <v>71</v>
      </c>
      <c r="E85" s="10" t="s">
        <v>926</v>
      </c>
      <c r="F85" s="10">
        <v>1</v>
      </c>
      <c r="G85" s="10" t="s">
        <v>73</v>
      </c>
      <c r="H85" s="10" t="s">
        <v>74</v>
      </c>
      <c r="I85" s="10" t="s">
        <v>83</v>
      </c>
      <c r="J85" s="10">
        <v>190</v>
      </c>
      <c r="K85" s="12">
        <v>44980</v>
      </c>
      <c r="L85" s="33">
        <v>0.42434027777777777</v>
      </c>
      <c r="M85" s="10">
        <v>1</v>
      </c>
      <c r="N85" s="10" t="s">
        <v>84</v>
      </c>
      <c r="O85" s="10">
        <v>0.504</v>
      </c>
      <c r="P85" s="10">
        <v>3.4599999999999999E-2</v>
      </c>
      <c r="Q85" s="10">
        <v>5</v>
      </c>
      <c r="R85" s="10" t="s">
        <v>85</v>
      </c>
      <c r="S85" s="123">
        <f t="shared" si="14"/>
        <v>5</v>
      </c>
      <c r="T85" s="10" t="s">
        <v>1285</v>
      </c>
      <c r="U85" s="45">
        <v>44980</v>
      </c>
      <c r="V85" s="129">
        <f t="shared" si="16"/>
        <v>10.3637042816</v>
      </c>
      <c r="W85" s="129" t="s">
        <v>1301</v>
      </c>
    </row>
    <row r="86" spans="1:23" x14ac:dyDescent="0.55000000000000004">
      <c r="A86" s="32">
        <v>44979</v>
      </c>
      <c r="B86" s="33">
        <v>0.375</v>
      </c>
      <c r="C86" s="10" t="s">
        <v>70</v>
      </c>
      <c r="D86" s="10" t="s">
        <v>71</v>
      </c>
      <c r="E86" s="10" t="s">
        <v>927</v>
      </c>
      <c r="F86" s="10">
        <v>1</v>
      </c>
      <c r="G86" s="10" t="s">
        <v>73</v>
      </c>
      <c r="H86" s="10" t="s">
        <v>74</v>
      </c>
      <c r="I86" s="10" t="s">
        <v>83</v>
      </c>
      <c r="J86" s="10">
        <v>191</v>
      </c>
      <c r="K86" s="12">
        <v>44980</v>
      </c>
      <c r="L86" s="33">
        <v>0.42505787037037041</v>
      </c>
      <c r="M86" s="10">
        <v>1</v>
      </c>
      <c r="N86" s="10" t="s">
        <v>84</v>
      </c>
      <c r="O86" s="10">
        <v>0.57299999999999995</v>
      </c>
      <c r="P86" s="10">
        <v>3.9E-2</v>
      </c>
      <c r="Q86" s="10">
        <v>15</v>
      </c>
      <c r="R86" s="10" t="s">
        <v>85</v>
      </c>
      <c r="S86" s="123">
        <f t="shared" si="14"/>
        <v>15</v>
      </c>
      <c r="T86" s="10" t="s">
        <v>1285</v>
      </c>
      <c r="U86" s="45">
        <v>44980</v>
      </c>
      <c r="V86" s="129">
        <f t="shared" si="16"/>
        <v>16.250346490399998</v>
      </c>
      <c r="W86" s="129" t="s">
        <v>1301</v>
      </c>
    </row>
    <row r="87" spans="1:23" x14ac:dyDescent="0.55000000000000004">
      <c r="A87" s="32">
        <v>44979</v>
      </c>
      <c r="B87" s="33">
        <v>0.375</v>
      </c>
      <c r="C87" s="10" t="s">
        <v>70</v>
      </c>
      <c r="D87" s="10" t="s">
        <v>71</v>
      </c>
      <c r="E87" s="10" t="s">
        <v>928</v>
      </c>
      <c r="F87" s="10">
        <v>1</v>
      </c>
      <c r="G87" s="10" t="s">
        <v>73</v>
      </c>
      <c r="H87" s="10" t="s">
        <v>74</v>
      </c>
      <c r="I87" s="10" t="s">
        <v>83</v>
      </c>
      <c r="J87" s="10">
        <v>192</v>
      </c>
      <c r="K87" s="12">
        <v>44980</v>
      </c>
      <c r="L87" s="33">
        <v>0.42576388888888889</v>
      </c>
      <c r="M87" s="10">
        <v>1</v>
      </c>
      <c r="N87" s="10" t="s">
        <v>84</v>
      </c>
      <c r="O87" s="10">
        <v>0.60499999999999998</v>
      </c>
      <c r="P87" s="10">
        <v>4.1200000000000001E-2</v>
      </c>
      <c r="Q87" s="10">
        <v>20</v>
      </c>
      <c r="R87" s="10" t="s">
        <v>85</v>
      </c>
      <c r="S87" s="123">
        <f t="shared" si="14"/>
        <v>20</v>
      </c>
      <c r="T87" s="10" t="s">
        <v>1285</v>
      </c>
      <c r="U87" s="45">
        <v>44980</v>
      </c>
      <c r="V87" s="129">
        <f t="shared" si="16"/>
        <v>18.974299539999997</v>
      </c>
      <c r="W87" s="129" t="s">
        <v>1301</v>
      </c>
    </row>
    <row r="88" spans="1:23" x14ac:dyDescent="0.55000000000000004">
      <c r="A88" s="32">
        <v>44979</v>
      </c>
      <c r="B88" s="33">
        <v>0.375</v>
      </c>
      <c r="C88" s="10" t="s">
        <v>70</v>
      </c>
      <c r="D88" s="10" t="s">
        <v>71</v>
      </c>
      <c r="E88" s="10" t="s">
        <v>929</v>
      </c>
      <c r="F88" s="10">
        <v>1</v>
      </c>
      <c r="G88" s="10" t="s">
        <v>73</v>
      </c>
      <c r="H88" s="10" t="s">
        <v>74</v>
      </c>
      <c r="I88" s="10" t="s">
        <v>83</v>
      </c>
      <c r="J88" s="10">
        <v>193</v>
      </c>
      <c r="K88" s="12">
        <v>44980</v>
      </c>
      <c r="L88" s="33">
        <v>0.42646990740740742</v>
      </c>
      <c r="M88" s="10">
        <v>1</v>
      </c>
      <c r="N88" s="10" t="s">
        <v>84</v>
      </c>
      <c r="O88" s="10">
        <v>1.25</v>
      </c>
      <c r="P88" s="10">
        <v>8.8200000000000001E-2</v>
      </c>
      <c r="Q88" s="10">
        <v>75</v>
      </c>
      <c r="R88" s="10" t="s">
        <v>85</v>
      </c>
      <c r="S88" s="123">
        <f t="shared" si="14"/>
        <v>75</v>
      </c>
      <c r="T88" s="10" t="s">
        <v>1285</v>
      </c>
      <c r="U88" s="45">
        <v>44980</v>
      </c>
      <c r="V88" s="129">
        <f t="shared" si="16"/>
        <v>73.057000000000002</v>
      </c>
      <c r="W88" s="129" t="s">
        <v>1301</v>
      </c>
    </row>
    <row r="89" spans="1:23" x14ac:dyDescent="0.55000000000000004">
      <c r="A89" s="32">
        <v>44979</v>
      </c>
      <c r="B89" s="33">
        <v>0.375</v>
      </c>
      <c r="C89" s="10" t="s">
        <v>70</v>
      </c>
      <c r="D89" s="10" t="s">
        <v>71</v>
      </c>
      <c r="E89" s="10" t="s">
        <v>930</v>
      </c>
      <c r="F89" s="10">
        <v>1</v>
      </c>
      <c r="G89" s="10" t="s">
        <v>73</v>
      </c>
      <c r="H89" s="10" t="s">
        <v>74</v>
      </c>
      <c r="I89" s="10" t="s">
        <v>83</v>
      </c>
      <c r="J89" s="10">
        <v>194</v>
      </c>
      <c r="K89" s="12">
        <v>44980</v>
      </c>
      <c r="L89" s="33">
        <v>0.42717592592592596</v>
      </c>
      <c r="M89" s="10">
        <v>1</v>
      </c>
      <c r="N89" s="10" t="s">
        <v>84</v>
      </c>
      <c r="O89" s="10">
        <v>2.13</v>
      </c>
      <c r="P89" s="10">
        <v>0.152</v>
      </c>
      <c r="Q89" s="10">
        <v>150</v>
      </c>
      <c r="R89" s="10" t="s">
        <v>85</v>
      </c>
      <c r="S89" s="123">
        <f t="shared" si="14"/>
        <v>150</v>
      </c>
      <c r="T89" s="10" t="s">
        <v>1285</v>
      </c>
      <c r="U89" s="45">
        <v>44980</v>
      </c>
      <c r="V89" s="129">
        <f t="shared" si="16"/>
        <v>144.31806943999996</v>
      </c>
      <c r="W89" s="129" t="s">
        <v>1301</v>
      </c>
    </row>
    <row r="90" spans="1:23" x14ac:dyDescent="0.55000000000000004">
      <c r="A90" s="32">
        <v>44979</v>
      </c>
      <c r="B90" s="33">
        <v>0.375</v>
      </c>
      <c r="C90" s="10" t="s">
        <v>70</v>
      </c>
      <c r="D90" s="10" t="s">
        <v>71</v>
      </c>
      <c r="E90" s="10" t="s">
        <v>931</v>
      </c>
      <c r="F90" s="10">
        <v>1</v>
      </c>
      <c r="G90" s="10" t="s">
        <v>73</v>
      </c>
      <c r="H90" s="10" t="s">
        <v>74</v>
      </c>
      <c r="I90" s="10" t="s">
        <v>83</v>
      </c>
      <c r="J90" s="10">
        <v>195</v>
      </c>
      <c r="K90" s="12">
        <v>44980</v>
      </c>
      <c r="L90" s="33">
        <v>0.42788194444444444</v>
      </c>
      <c r="M90" s="10">
        <v>1</v>
      </c>
      <c r="N90" s="10" t="s">
        <v>84</v>
      </c>
      <c r="O90" s="10">
        <v>4.3</v>
      </c>
      <c r="P90" s="10">
        <v>0.314</v>
      </c>
      <c r="Q90" s="10">
        <v>300</v>
      </c>
      <c r="R90" s="10" t="s">
        <v>85</v>
      </c>
      <c r="S90" s="123">
        <f t="shared" si="14"/>
        <v>300</v>
      </c>
      <c r="T90" s="10" t="s">
        <v>1285</v>
      </c>
      <c r="U90" s="45">
        <v>44980</v>
      </c>
      <c r="V90" s="129">
        <f t="shared" si="16"/>
        <v>307.58272399999998</v>
      </c>
      <c r="W90" s="129" t="s">
        <v>1301</v>
      </c>
    </row>
    <row r="91" spans="1:23" x14ac:dyDescent="0.55000000000000004">
      <c r="A91" s="32">
        <v>44979</v>
      </c>
      <c r="B91" s="33">
        <v>0.375</v>
      </c>
      <c r="C91" s="10" t="s">
        <v>70</v>
      </c>
      <c r="D91" s="10" t="s">
        <v>71</v>
      </c>
      <c r="E91" s="10" t="s">
        <v>932</v>
      </c>
      <c r="F91" s="10">
        <v>1</v>
      </c>
      <c r="G91" s="10" t="s">
        <v>73</v>
      </c>
      <c r="H91" s="10" t="s">
        <v>74</v>
      </c>
      <c r="I91" s="10" t="s">
        <v>83</v>
      </c>
      <c r="J91" s="10">
        <v>196</v>
      </c>
      <c r="K91" s="12">
        <v>44980</v>
      </c>
      <c r="L91" s="33">
        <v>0.42859953703703701</v>
      </c>
      <c r="M91" s="10">
        <v>1</v>
      </c>
      <c r="N91" s="10" t="s">
        <v>84</v>
      </c>
      <c r="O91" s="10">
        <v>7.02</v>
      </c>
      <c r="P91" s="10">
        <v>0.51900000000000002</v>
      </c>
      <c r="Q91" s="10">
        <v>500</v>
      </c>
      <c r="R91" s="10" t="s">
        <v>85</v>
      </c>
      <c r="S91" s="123">
        <f t="shared" si="14"/>
        <v>500</v>
      </c>
      <c r="T91" s="10" t="s">
        <v>1285</v>
      </c>
      <c r="U91" s="45">
        <v>44980</v>
      </c>
      <c r="V91" s="129">
        <f t="shared" si="16"/>
        <v>487.19039503999988</v>
      </c>
      <c r="W91" s="129" t="s">
        <v>1301</v>
      </c>
    </row>
  </sheetData>
  <phoneticPr fontId="17" type="noConversion"/>
  <conditionalFormatting sqref="AZ1">
    <cfRule type="cellIs" dxfId="7" priority="1" operator="lessThan">
      <formula>0</formula>
    </cfRule>
  </conditionalFormatting>
  <conditionalFormatting sqref="U1">
    <cfRule type="cellIs" dxfId="6" priority="2" operator="lessThan">
      <formula>0</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9E000-B410-4F03-9E65-BFA338B61E5C}">
  <dimension ref="A1:BB112"/>
  <sheetViews>
    <sheetView topLeftCell="A87" zoomScale="82" zoomScaleNormal="82" workbookViewId="0">
      <selection activeCell="A105" sqref="A105:W112"/>
    </sheetView>
  </sheetViews>
  <sheetFormatPr defaultRowHeight="14.4" x14ac:dyDescent="0.55000000000000004"/>
  <cols>
    <col min="1" max="1" width="11.41796875" bestFit="1" customWidth="1"/>
    <col min="2" max="2" width="12.5234375" bestFit="1" customWidth="1"/>
    <col min="11" max="11" width="11.41796875" bestFit="1" customWidth="1"/>
    <col min="12" max="12" width="13.3125" bestFit="1" customWidth="1"/>
    <col min="21" max="21" width="11.41796875" bestFit="1" customWidth="1"/>
    <col min="22" max="22" width="12" bestFit="1" customWidth="1"/>
    <col min="23" max="23" width="24.41796875" bestFit="1" customWidth="1"/>
    <col min="32" max="32" width="26.5234375" customWidth="1"/>
    <col min="33" max="33" width="10.3125" bestFit="1" customWidth="1"/>
    <col min="42" max="42" width="18" customWidth="1"/>
    <col min="43" max="43" width="11.68359375" bestFit="1" customWidth="1"/>
    <col min="52" max="52" width="13" customWidth="1"/>
  </cols>
  <sheetData>
    <row r="1" spans="1:54" ht="100.8" x14ac:dyDescent="0.55000000000000004">
      <c r="A1" s="17" t="s">
        <v>0</v>
      </c>
      <c r="B1" s="35" t="s">
        <v>23</v>
      </c>
      <c r="C1" s="19" t="s">
        <v>24</v>
      </c>
      <c r="D1" s="19" t="s">
        <v>25</v>
      </c>
      <c r="E1" s="19" t="s">
        <v>26</v>
      </c>
      <c r="F1" s="19" t="s">
        <v>27</v>
      </c>
      <c r="G1" s="19" t="s">
        <v>28</v>
      </c>
      <c r="H1" s="19" t="s">
        <v>29</v>
      </c>
      <c r="I1" s="19" t="s">
        <v>30</v>
      </c>
      <c r="J1" s="19" t="s">
        <v>31</v>
      </c>
      <c r="K1" s="20" t="s">
        <v>32</v>
      </c>
      <c r="L1" s="21" t="s">
        <v>33</v>
      </c>
      <c r="M1" s="22" t="s">
        <v>34</v>
      </c>
      <c r="N1" s="19" t="s">
        <v>35</v>
      </c>
      <c r="O1" s="23" t="s">
        <v>36</v>
      </c>
      <c r="P1" s="23" t="s">
        <v>37</v>
      </c>
      <c r="Q1" s="24" t="s">
        <v>38</v>
      </c>
      <c r="R1" s="19" t="s">
        <v>39</v>
      </c>
      <c r="S1" s="36" t="s">
        <v>40</v>
      </c>
      <c r="T1" s="19" t="s">
        <v>46</v>
      </c>
      <c r="U1" s="20" t="s">
        <v>79</v>
      </c>
      <c r="V1" s="9" t="s">
        <v>80</v>
      </c>
      <c r="W1" s="3" t="s">
        <v>81</v>
      </c>
      <c r="AF1" s="37" t="s">
        <v>0</v>
      </c>
      <c r="AG1" s="35" t="s">
        <v>23</v>
      </c>
      <c r="AH1" s="38" t="s">
        <v>24</v>
      </c>
      <c r="AI1" s="38" t="s">
        <v>25</v>
      </c>
      <c r="AJ1" s="38" t="s">
        <v>26</v>
      </c>
      <c r="AK1" s="38" t="s">
        <v>27</v>
      </c>
      <c r="AL1" s="38" t="s">
        <v>28</v>
      </c>
      <c r="AM1" s="38" t="s">
        <v>29</v>
      </c>
      <c r="AN1" s="38" t="s">
        <v>30</v>
      </c>
      <c r="AO1" s="38" t="s">
        <v>31</v>
      </c>
      <c r="AP1" s="39" t="s">
        <v>32</v>
      </c>
      <c r="AQ1" s="40" t="s">
        <v>33</v>
      </c>
      <c r="AR1" s="22" t="s">
        <v>34</v>
      </c>
      <c r="AS1" s="38" t="s">
        <v>35</v>
      </c>
      <c r="AT1" s="41" t="s">
        <v>36</v>
      </c>
      <c r="AU1" s="41" t="s">
        <v>37</v>
      </c>
      <c r="AV1" s="42" t="s">
        <v>38</v>
      </c>
      <c r="AW1" s="38" t="s">
        <v>39</v>
      </c>
      <c r="AX1" s="43" t="s">
        <v>40</v>
      </c>
      <c r="AY1" s="38" t="s">
        <v>46</v>
      </c>
      <c r="AZ1" s="39" t="s">
        <v>82</v>
      </c>
      <c r="BA1" s="44" t="s">
        <v>80</v>
      </c>
      <c r="BB1" s="44" t="s">
        <v>81</v>
      </c>
    </row>
    <row r="2" spans="1:54" x14ac:dyDescent="0.55000000000000004">
      <c r="A2" s="119">
        <v>44930</v>
      </c>
      <c r="B2" s="120">
        <v>0.375</v>
      </c>
      <c r="C2" s="121" t="s">
        <v>70</v>
      </c>
      <c r="D2" s="121" t="s">
        <v>71</v>
      </c>
      <c r="E2" s="121" t="s">
        <v>917</v>
      </c>
      <c r="F2" s="121">
        <v>1</v>
      </c>
      <c r="G2" s="121" t="s">
        <v>73</v>
      </c>
      <c r="H2" s="121" t="s">
        <v>74</v>
      </c>
      <c r="I2" s="121" t="s">
        <v>83</v>
      </c>
      <c r="J2" s="121">
        <v>181</v>
      </c>
      <c r="K2" s="122">
        <v>44930</v>
      </c>
      <c r="L2" s="120">
        <v>0.53673611111111108</v>
      </c>
      <c r="M2" s="121">
        <v>1</v>
      </c>
      <c r="N2" s="121" t="s">
        <v>84</v>
      </c>
      <c r="O2" s="121">
        <v>0.47699999999999998</v>
      </c>
      <c r="P2" s="121">
        <v>3.3099999999999997E-2</v>
      </c>
      <c r="Q2" s="121">
        <v>0</v>
      </c>
      <c r="R2" s="121" t="s">
        <v>85</v>
      </c>
      <c r="S2" s="123">
        <f t="shared" ref="S2:S65" si="0">IF(OR(AND(I2&lt;&gt;"TP", I2&lt;&gt;"TDP",I2&lt;&gt;"TN", I2&lt;&gt;"TDN"),H2="CAL"), Q2*M2, IF(OR(AND(I2="TN", Q2&gt;2500), AND(I2="TDN", Q2&gt;2500)),MAX(Q2, AK2)*M2, IF(OR(AND(I2="TN", Q2&lt;=2500), AND(I2="TDN", Q2&lt;=2500)),MAX(Q2, AJ2,AK2)*M2, IF(OR(AND(I2="TP",Q2&gt;500), AND(I2="TDP", Q2&gt;500)),MAX(Q2,AK2)*M2,IF(OR(AND(I2="TP",Q2&lt;=150), AND(I2="TDP", Q2&lt;=150)),MAX(Q2,AG2:AI2,AK2)*M2,IF(OR(AND(I2="TP",Q2&lt;=300), AND(I2="TDP", Q2&lt;=300)),MAX(Q2,AH2,AI2,AK2)*M2,IF(OR(AND(I2="TP",Q2&lt;=500), AND(I2="TDP", Q2&lt;=500)),MAX(Q2,AI2,AK2)*M2,"")))))))</f>
        <v>0</v>
      </c>
      <c r="T2" s="10" t="s">
        <v>970</v>
      </c>
      <c r="U2" s="45">
        <v>44930</v>
      </c>
      <c r="V2">
        <f>-0.0423*O2^2+66.444*O2-22.986</f>
        <v>8.6981635232999999</v>
      </c>
      <c r="W2" t="s">
        <v>985</v>
      </c>
      <c r="AF2" s="119">
        <v>44930</v>
      </c>
      <c r="AG2" s="120">
        <v>0.375</v>
      </c>
      <c r="AH2" s="121" t="s">
        <v>70</v>
      </c>
      <c r="AI2" s="121" t="s">
        <v>71</v>
      </c>
      <c r="AJ2" s="121" t="s">
        <v>924</v>
      </c>
      <c r="AK2" s="121">
        <v>1</v>
      </c>
      <c r="AL2" s="121" t="s">
        <v>73</v>
      </c>
      <c r="AM2" s="121" t="s">
        <v>74</v>
      </c>
      <c r="AN2" s="121" t="s">
        <v>83</v>
      </c>
      <c r="AO2" s="121">
        <v>188</v>
      </c>
      <c r="AP2" s="122">
        <v>44930</v>
      </c>
      <c r="AQ2" s="120">
        <v>0.54167824074074067</v>
      </c>
      <c r="AR2" s="121">
        <v>1</v>
      </c>
      <c r="AS2" s="121" t="s">
        <v>84</v>
      </c>
      <c r="AT2" s="121">
        <v>31</v>
      </c>
      <c r="AU2" s="121">
        <v>2.15</v>
      </c>
      <c r="AV2" s="121">
        <v>2000</v>
      </c>
      <c r="AW2" s="121" t="s">
        <v>85</v>
      </c>
      <c r="AX2" s="123">
        <f t="shared" ref="AX2:AX8" si="1">IF(OR(AND(AN2&lt;&gt;"TP", AN2&lt;&gt;"TDP",AN2&lt;&gt;"TN", AN2&lt;&gt;"TDN"),AM2="CAL"), AV2*AR2, IF(OR(AND(AN2="TN", AV2&gt;2500), AND(AN2="TDN", AV2&gt;2500)),MAX(AV2, BP2)*AR2, IF(OR(AND(AN2="TN", AV2&lt;=2500), AND(AN2="TDN", AV2&lt;=2500)),MAX(AV2, BO2,BP2)*AR2, IF(OR(AND(AN2="TP",AV2&gt;500), AND(AN2="TDP", AV2&gt;500)),MAX(AV2,BP2)*AR2,IF(OR(AND(AN2="TP",AV2&lt;=150), AND(AN2="TDP", AV2&lt;=150)),MAX(AV2,BL2:BN2,BP2)*AR2,IF(OR(AND(AN2="TP",AV2&lt;=300), AND(AN2="TDP", AV2&lt;=300)),MAX(AV2,BM2,BN2,BP2)*AR2,IF(OR(AND(AN2="TP",AV2&lt;=500), AND(AN2="TDP", AV2&lt;=500)),MAX(AV2,BN2,BP2)*AR2,"")))))))</f>
        <v>2000</v>
      </c>
      <c r="AY2" s="10" t="s">
        <v>970</v>
      </c>
      <c r="AZ2" s="45">
        <v>44930</v>
      </c>
      <c r="BA2">
        <f t="shared" ref="BA2" si="2">-0.0423*AT2^2+66.444*AT2-22.986</f>
        <v>1996.1277</v>
      </c>
      <c r="BB2" t="s">
        <v>985</v>
      </c>
    </row>
    <row r="3" spans="1:54" x14ac:dyDescent="0.55000000000000004">
      <c r="A3" s="119">
        <v>44930</v>
      </c>
      <c r="B3" s="120">
        <v>0.375</v>
      </c>
      <c r="C3" s="121" t="s">
        <v>70</v>
      </c>
      <c r="D3" s="121" t="s">
        <v>71</v>
      </c>
      <c r="E3" s="121" t="s">
        <v>918</v>
      </c>
      <c r="F3" s="121">
        <v>1</v>
      </c>
      <c r="G3" s="121" t="s">
        <v>73</v>
      </c>
      <c r="H3" s="121" t="s">
        <v>74</v>
      </c>
      <c r="I3" s="121" t="s">
        <v>83</v>
      </c>
      <c r="J3" s="121">
        <v>182</v>
      </c>
      <c r="K3" s="122">
        <v>44930</v>
      </c>
      <c r="L3" s="120">
        <v>0.53744212962962956</v>
      </c>
      <c r="M3" s="121">
        <v>1</v>
      </c>
      <c r="N3" s="121" t="s">
        <v>84</v>
      </c>
      <c r="O3" s="121">
        <v>0.60699999999999998</v>
      </c>
      <c r="P3" s="121">
        <v>4.1300000000000003E-2</v>
      </c>
      <c r="Q3" s="121">
        <v>12</v>
      </c>
      <c r="R3" s="121" t="s">
        <v>85</v>
      </c>
      <c r="S3" s="123">
        <f t="shared" si="0"/>
        <v>12</v>
      </c>
      <c r="T3" s="10" t="s">
        <v>970</v>
      </c>
      <c r="U3" s="45">
        <v>44930</v>
      </c>
      <c r="V3">
        <f t="shared" ref="V3:V17" si="3">-0.0423*O3^2+66.444*O3-22.986</f>
        <v>17.329922607300002</v>
      </c>
      <c r="W3" t="s">
        <v>985</v>
      </c>
      <c r="AF3" s="124">
        <v>44937</v>
      </c>
      <c r="AG3" s="125">
        <v>0.375</v>
      </c>
      <c r="AH3" s="31" t="s">
        <v>70</v>
      </c>
      <c r="AI3" s="31" t="s">
        <v>71</v>
      </c>
      <c r="AJ3" s="31" t="s">
        <v>932</v>
      </c>
      <c r="AK3" s="31">
        <v>1</v>
      </c>
      <c r="AL3" s="31" t="s">
        <v>73</v>
      </c>
      <c r="AM3" s="31" t="s">
        <v>74</v>
      </c>
      <c r="AN3" s="31" t="s">
        <v>83</v>
      </c>
      <c r="AO3" s="31">
        <v>196</v>
      </c>
      <c r="AP3" s="126">
        <v>44937</v>
      </c>
      <c r="AQ3" s="125">
        <v>0.58805555555555555</v>
      </c>
      <c r="AR3" s="31">
        <v>1</v>
      </c>
      <c r="AS3" s="31" t="s">
        <v>84</v>
      </c>
      <c r="AT3" s="31">
        <v>7.48</v>
      </c>
      <c r="AU3" s="31">
        <v>0.54</v>
      </c>
      <c r="AV3" s="31">
        <v>500</v>
      </c>
      <c r="AW3" s="31" t="s">
        <v>85</v>
      </c>
      <c r="AX3" s="34">
        <f t="shared" si="1"/>
        <v>500</v>
      </c>
      <c r="AY3" s="31" t="s">
        <v>1021</v>
      </c>
      <c r="AZ3" s="127">
        <v>44937</v>
      </c>
      <c r="BA3" s="128">
        <f t="shared" ref="BA3" si="4">0*AT3^2+67.076*AT3-21.654</f>
        <v>480.07447999999999</v>
      </c>
      <c r="BB3" s="128" t="s">
        <v>1036</v>
      </c>
    </row>
    <row r="4" spans="1:54" x14ac:dyDescent="0.55000000000000004">
      <c r="A4" s="119">
        <v>44930</v>
      </c>
      <c r="B4" s="120">
        <v>0.375</v>
      </c>
      <c r="C4" s="121" t="s">
        <v>70</v>
      </c>
      <c r="D4" s="121" t="s">
        <v>71</v>
      </c>
      <c r="E4" s="121" t="s">
        <v>919</v>
      </c>
      <c r="F4" s="121">
        <v>1</v>
      </c>
      <c r="G4" s="121" t="s">
        <v>73</v>
      </c>
      <c r="H4" s="121" t="s">
        <v>74</v>
      </c>
      <c r="I4" s="121" t="s">
        <v>83</v>
      </c>
      <c r="J4" s="121">
        <v>183</v>
      </c>
      <c r="K4" s="122">
        <v>44930</v>
      </c>
      <c r="L4" s="120">
        <v>0.53815972222222219</v>
      </c>
      <c r="M4" s="121">
        <v>1</v>
      </c>
      <c r="N4" s="121" t="s">
        <v>84</v>
      </c>
      <c r="O4" s="121">
        <v>1.08</v>
      </c>
      <c r="P4" s="121">
        <v>7.5999999999999998E-2</v>
      </c>
      <c r="Q4" s="121">
        <v>50</v>
      </c>
      <c r="R4" s="121" t="s">
        <v>85</v>
      </c>
      <c r="S4" s="123">
        <f t="shared" si="0"/>
        <v>50</v>
      </c>
      <c r="T4" s="10" t="s">
        <v>970</v>
      </c>
      <c r="U4" s="45">
        <v>44930</v>
      </c>
      <c r="V4">
        <f t="shared" si="3"/>
        <v>48.72418128000001</v>
      </c>
      <c r="W4" t="s">
        <v>985</v>
      </c>
      <c r="AF4" s="119">
        <v>44950</v>
      </c>
      <c r="AG4" s="120">
        <v>0.375</v>
      </c>
      <c r="AH4" s="121" t="s">
        <v>70</v>
      </c>
      <c r="AI4" s="121" t="s">
        <v>71</v>
      </c>
      <c r="AJ4" s="121" t="s">
        <v>924</v>
      </c>
      <c r="AK4" s="121">
        <v>1</v>
      </c>
      <c r="AL4" s="121" t="s">
        <v>73</v>
      </c>
      <c r="AM4" s="121" t="s">
        <v>74</v>
      </c>
      <c r="AN4" s="121" t="s">
        <v>83</v>
      </c>
      <c r="AO4" s="121">
        <v>188</v>
      </c>
      <c r="AP4" s="122">
        <v>44950</v>
      </c>
      <c r="AQ4" s="120">
        <v>0.52901620370370372</v>
      </c>
      <c r="AR4" s="121">
        <v>1</v>
      </c>
      <c r="AS4" s="121" t="s">
        <v>84</v>
      </c>
      <c r="AT4" s="121">
        <v>32</v>
      </c>
      <c r="AU4" s="121">
        <v>2.2599999999999998</v>
      </c>
      <c r="AV4" s="121">
        <v>2000</v>
      </c>
      <c r="AW4" s="121" t="s">
        <v>85</v>
      </c>
      <c r="AX4" s="123">
        <f t="shared" si="1"/>
        <v>2000</v>
      </c>
      <c r="AY4" s="10" t="s">
        <v>1071</v>
      </c>
      <c r="AZ4" s="45">
        <v>44950</v>
      </c>
      <c r="BA4" s="129">
        <f t="shared" ref="BA4" si="5">0.5642*AT4^2+45.477*AT4-20.207</f>
        <v>2012.7977999999998</v>
      </c>
      <c r="BB4" s="128" t="s">
        <v>1088</v>
      </c>
    </row>
    <row r="5" spans="1:54" x14ac:dyDescent="0.55000000000000004">
      <c r="A5" s="119">
        <v>44930</v>
      </c>
      <c r="B5" s="120">
        <v>0.375</v>
      </c>
      <c r="C5" s="121" t="s">
        <v>70</v>
      </c>
      <c r="D5" s="121" t="s">
        <v>71</v>
      </c>
      <c r="E5" s="121" t="s">
        <v>920</v>
      </c>
      <c r="F5" s="121">
        <v>1</v>
      </c>
      <c r="G5" s="121" t="s">
        <v>73</v>
      </c>
      <c r="H5" s="121" t="s">
        <v>74</v>
      </c>
      <c r="I5" s="121" t="s">
        <v>83</v>
      </c>
      <c r="J5" s="121">
        <v>184</v>
      </c>
      <c r="K5" s="122">
        <v>44930</v>
      </c>
      <c r="L5" s="120">
        <v>0.53885416666666663</v>
      </c>
      <c r="M5" s="121">
        <v>1</v>
      </c>
      <c r="N5" s="121" t="s">
        <v>84</v>
      </c>
      <c r="O5" s="121">
        <v>3.44</v>
      </c>
      <c r="P5" s="121">
        <v>0.245</v>
      </c>
      <c r="Q5" s="121">
        <v>200</v>
      </c>
      <c r="R5" s="121" t="s">
        <v>85</v>
      </c>
      <c r="S5" s="123">
        <f t="shared" si="0"/>
        <v>200</v>
      </c>
      <c r="T5" s="10" t="s">
        <v>970</v>
      </c>
      <c r="U5" s="45">
        <v>44930</v>
      </c>
      <c r="V5">
        <f t="shared" si="3"/>
        <v>205.08079872000002</v>
      </c>
      <c r="W5" t="s">
        <v>985</v>
      </c>
      <c r="AF5" s="124">
        <v>44958</v>
      </c>
      <c r="AG5" s="125">
        <v>0.375</v>
      </c>
      <c r="AH5" s="31" t="s">
        <v>70</v>
      </c>
      <c r="AI5" s="31" t="s">
        <v>71</v>
      </c>
      <c r="AJ5" s="31" t="s">
        <v>924</v>
      </c>
      <c r="AK5" s="31">
        <v>1</v>
      </c>
      <c r="AL5" s="31" t="s">
        <v>73</v>
      </c>
      <c r="AM5" s="31" t="s">
        <v>74</v>
      </c>
      <c r="AN5" s="31" t="s">
        <v>83</v>
      </c>
      <c r="AO5" s="31">
        <v>188</v>
      </c>
      <c r="AP5" s="126">
        <v>44958</v>
      </c>
      <c r="AQ5" s="125">
        <v>0.57523148148148151</v>
      </c>
      <c r="AR5" s="31">
        <v>1</v>
      </c>
      <c r="AS5" s="31" t="s">
        <v>84</v>
      </c>
      <c r="AT5" s="31">
        <v>30</v>
      </c>
      <c r="AU5" s="31">
        <v>2.08</v>
      </c>
      <c r="AV5" s="31">
        <v>2000</v>
      </c>
      <c r="AW5" s="31" t="s">
        <v>85</v>
      </c>
      <c r="AX5" s="34">
        <f t="shared" si="1"/>
        <v>2000</v>
      </c>
      <c r="AY5" s="31" t="s">
        <v>1126</v>
      </c>
      <c r="AZ5" s="127">
        <v>44958</v>
      </c>
      <c r="BA5" s="128">
        <f t="shared" ref="BA5" si="6">0.0239*AT5^2+66.574*AT5-31.913</f>
        <v>1986.817</v>
      </c>
      <c r="BB5" s="128" t="s">
        <v>1140</v>
      </c>
    </row>
    <row r="6" spans="1:54" x14ac:dyDescent="0.55000000000000004">
      <c r="A6" s="119">
        <v>44930</v>
      </c>
      <c r="B6" s="120">
        <v>0.375</v>
      </c>
      <c r="C6" s="121" t="s">
        <v>70</v>
      </c>
      <c r="D6" s="121" t="s">
        <v>71</v>
      </c>
      <c r="E6" s="121" t="s">
        <v>921</v>
      </c>
      <c r="F6" s="121">
        <v>1</v>
      </c>
      <c r="G6" s="121" t="s">
        <v>73</v>
      </c>
      <c r="H6" s="121" t="s">
        <v>74</v>
      </c>
      <c r="I6" s="121" t="s">
        <v>83</v>
      </c>
      <c r="J6" s="121">
        <v>185</v>
      </c>
      <c r="K6" s="122">
        <v>44930</v>
      </c>
      <c r="L6" s="120">
        <v>0.53956018518518511</v>
      </c>
      <c r="M6" s="121">
        <v>1</v>
      </c>
      <c r="N6" s="121" t="s">
        <v>84</v>
      </c>
      <c r="O6" s="121">
        <v>8.02</v>
      </c>
      <c r="P6" s="121">
        <v>0.57899999999999996</v>
      </c>
      <c r="Q6" s="121">
        <v>500</v>
      </c>
      <c r="R6" s="121" t="s">
        <v>85</v>
      </c>
      <c r="S6" s="123">
        <f t="shared" si="0"/>
        <v>500</v>
      </c>
      <c r="T6" s="10" t="s">
        <v>970</v>
      </c>
      <c r="U6" s="45">
        <v>44930</v>
      </c>
      <c r="V6">
        <f t="shared" si="3"/>
        <v>507.17412708000006</v>
      </c>
      <c r="W6" t="s">
        <v>985</v>
      </c>
      <c r="AF6" s="32">
        <v>44966</v>
      </c>
      <c r="AG6" s="33">
        <v>0.375</v>
      </c>
      <c r="AH6" s="10" t="s">
        <v>70</v>
      </c>
      <c r="AI6" s="10" t="s">
        <v>71</v>
      </c>
      <c r="AJ6" s="10" t="s">
        <v>932</v>
      </c>
      <c r="AK6" s="10">
        <v>1</v>
      </c>
      <c r="AL6" s="10" t="s">
        <v>73</v>
      </c>
      <c r="AM6" s="10" t="s">
        <v>74</v>
      </c>
      <c r="AN6" s="10" t="s">
        <v>83</v>
      </c>
      <c r="AO6" s="10">
        <v>196</v>
      </c>
      <c r="AP6" s="12">
        <v>44966</v>
      </c>
      <c r="AQ6" s="33">
        <v>0.5588657407407408</v>
      </c>
      <c r="AR6" s="10">
        <v>1</v>
      </c>
      <c r="AS6" s="10" t="s">
        <v>84</v>
      </c>
      <c r="AT6" s="10">
        <v>7.54</v>
      </c>
      <c r="AU6" s="10">
        <v>0.54800000000000004</v>
      </c>
      <c r="AV6" s="10">
        <v>500</v>
      </c>
      <c r="AW6" s="10" t="s">
        <v>85</v>
      </c>
      <c r="AX6" s="123">
        <f t="shared" si="1"/>
        <v>500</v>
      </c>
      <c r="AY6" s="10" t="s">
        <v>1188</v>
      </c>
      <c r="AZ6" s="45">
        <v>44966</v>
      </c>
      <c r="BA6" s="129">
        <f t="shared" ref="BA6" si="7">0.1051*AT6^2+65.423*AT6-19.469</f>
        <v>479.79552316000002</v>
      </c>
      <c r="BB6" s="129" t="s">
        <v>1205</v>
      </c>
    </row>
    <row r="7" spans="1:54" x14ac:dyDescent="0.55000000000000004">
      <c r="A7" s="119">
        <v>44930</v>
      </c>
      <c r="B7" s="120">
        <v>0.375</v>
      </c>
      <c r="C7" s="121" t="s">
        <v>70</v>
      </c>
      <c r="D7" s="121" t="s">
        <v>71</v>
      </c>
      <c r="E7" s="121" t="s">
        <v>922</v>
      </c>
      <c r="F7" s="121">
        <v>1</v>
      </c>
      <c r="G7" s="121" t="s">
        <v>73</v>
      </c>
      <c r="H7" s="121" t="s">
        <v>74</v>
      </c>
      <c r="I7" s="121" t="s">
        <v>83</v>
      </c>
      <c r="J7" s="121">
        <v>186</v>
      </c>
      <c r="K7" s="122">
        <v>44930</v>
      </c>
      <c r="L7" s="120">
        <v>0.54026620370370371</v>
      </c>
      <c r="M7" s="121">
        <v>1</v>
      </c>
      <c r="N7" s="121" t="s">
        <v>84</v>
      </c>
      <c r="O7" s="121">
        <v>16</v>
      </c>
      <c r="P7" s="121">
        <v>1.1399999999999999</v>
      </c>
      <c r="Q7" s="121">
        <v>1000</v>
      </c>
      <c r="R7" s="121" t="s">
        <v>85</v>
      </c>
      <c r="S7" s="123">
        <f t="shared" si="0"/>
        <v>1000</v>
      </c>
      <c r="T7" s="10" t="s">
        <v>970</v>
      </c>
      <c r="U7" s="45">
        <v>44930</v>
      </c>
      <c r="V7">
        <f t="shared" si="3"/>
        <v>1029.2891999999999</v>
      </c>
      <c r="W7" t="s">
        <v>985</v>
      </c>
      <c r="AF7" s="124">
        <v>44972</v>
      </c>
      <c r="AG7" s="125">
        <v>0.375</v>
      </c>
      <c r="AH7" s="31" t="s">
        <v>70</v>
      </c>
      <c r="AI7" s="31" t="s">
        <v>71</v>
      </c>
      <c r="AJ7" s="31" t="s">
        <v>924</v>
      </c>
      <c r="AK7" s="31">
        <v>1</v>
      </c>
      <c r="AL7" s="31" t="s">
        <v>73</v>
      </c>
      <c r="AM7" s="31" t="s">
        <v>74</v>
      </c>
      <c r="AN7" s="31" t="s">
        <v>83</v>
      </c>
      <c r="AO7" s="31">
        <v>188</v>
      </c>
      <c r="AP7" s="126">
        <v>44972</v>
      </c>
      <c r="AQ7" s="125">
        <v>0.54901620370370374</v>
      </c>
      <c r="AR7" s="31">
        <v>1</v>
      </c>
      <c r="AS7" s="31" t="s">
        <v>84</v>
      </c>
      <c r="AT7" s="31">
        <v>30.2</v>
      </c>
      <c r="AU7" s="31">
        <v>2.13</v>
      </c>
      <c r="AV7" s="31">
        <v>2000</v>
      </c>
      <c r="AW7" s="31" t="s">
        <v>85</v>
      </c>
      <c r="AX7" s="34">
        <f t="shared" si="1"/>
        <v>2000</v>
      </c>
      <c r="AY7" s="128" t="s">
        <v>1232</v>
      </c>
      <c r="AZ7" s="127">
        <v>44972</v>
      </c>
      <c r="BA7" s="128">
        <f t="shared" ref="BA7" si="8">-0.0466*AT7^2+68.24*AT7-22.954</f>
        <v>1995.392936</v>
      </c>
      <c r="BB7" s="128" t="s">
        <v>1247</v>
      </c>
    </row>
    <row r="8" spans="1:54" x14ac:dyDescent="0.55000000000000004">
      <c r="A8" s="119">
        <v>44930</v>
      </c>
      <c r="B8" s="120">
        <v>0.375</v>
      </c>
      <c r="C8" s="121" t="s">
        <v>70</v>
      </c>
      <c r="D8" s="121" t="s">
        <v>71</v>
      </c>
      <c r="E8" s="121" t="s">
        <v>923</v>
      </c>
      <c r="F8" s="121">
        <v>1</v>
      </c>
      <c r="G8" s="121" t="s">
        <v>73</v>
      </c>
      <c r="H8" s="121" t="s">
        <v>74</v>
      </c>
      <c r="I8" s="121" t="s">
        <v>83</v>
      </c>
      <c r="J8" s="121">
        <v>187</v>
      </c>
      <c r="K8" s="122">
        <v>44930</v>
      </c>
      <c r="L8" s="120">
        <v>0.54097222222222219</v>
      </c>
      <c r="M8" s="121">
        <v>1</v>
      </c>
      <c r="N8" s="121" t="s">
        <v>84</v>
      </c>
      <c r="O8" s="121">
        <v>23.2</v>
      </c>
      <c r="P8" s="121">
        <v>1.59</v>
      </c>
      <c r="Q8" s="121">
        <v>1500</v>
      </c>
      <c r="R8" s="121" t="s">
        <v>85</v>
      </c>
      <c r="S8" s="123">
        <f t="shared" si="0"/>
        <v>1500</v>
      </c>
      <c r="T8" s="10" t="s">
        <v>970</v>
      </c>
      <c r="U8" s="45">
        <v>44930</v>
      </c>
      <c r="V8">
        <f t="shared" si="3"/>
        <v>1495.7472479999999</v>
      </c>
      <c r="W8" t="s">
        <v>985</v>
      </c>
      <c r="AF8" s="32">
        <v>44979</v>
      </c>
      <c r="AG8" s="33">
        <v>0.375</v>
      </c>
      <c r="AH8" s="10" t="s">
        <v>70</v>
      </c>
      <c r="AI8" s="10" t="s">
        <v>71</v>
      </c>
      <c r="AJ8" s="10" t="s">
        <v>924</v>
      </c>
      <c r="AK8" s="10">
        <v>1</v>
      </c>
      <c r="AL8" s="10" t="s">
        <v>73</v>
      </c>
      <c r="AM8" s="10" t="s">
        <v>74</v>
      </c>
      <c r="AN8" s="10" t="s">
        <v>83</v>
      </c>
      <c r="AO8" s="10">
        <v>188</v>
      </c>
      <c r="AP8" s="12">
        <v>44980</v>
      </c>
      <c r="AQ8" s="33">
        <v>0.4229282407407407</v>
      </c>
      <c r="AR8" s="10">
        <v>1</v>
      </c>
      <c r="AS8" s="10" t="s">
        <v>84</v>
      </c>
      <c r="AT8" s="10">
        <v>29.2</v>
      </c>
      <c r="AU8" s="10">
        <v>2.09</v>
      </c>
      <c r="AV8" s="10">
        <v>2000</v>
      </c>
      <c r="AW8" s="10" t="s">
        <v>85</v>
      </c>
      <c r="AX8" s="123">
        <f t="shared" si="1"/>
        <v>2000</v>
      </c>
      <c r="AY8" s="10" t="s">
        <v>1285</v>
      </c>
      <c r="AZ8" s="45">
        <v>44980</v>
      </c>
      <c r="BA8" s="129">
        <f t="shared" ref="BA8" si="9">-0.0059*AT8^2+68.478*AT8-14.154</f>
        <v>1980.3730239999998</v>
      </c>
      <c r="BB8" s="129" t="s">
        <v>1300</v>
      </c>
    </row>
    <row r="9" spans="1:54" x14ac:dyDescent="0.55000000000000004">
      <c r="A9" s="119">
        <v>44930</v>
      </c>
      <c r="B9" s="120">
        <v>0.375</v>
      </c>
      <c r="C9" s="121" t="s">
        <v>70</v>
      </c>
      <c r="D9" s="121" t="s">
        <v>71</v>
      </c>
      <c r="E9" s="121" t="s">
        <v>924</v>
      </c>
      <c r="F9" s="121">
        <v>1</v>
      </c>
      <c r="G9" s="121" t="s">
        <v>73</v>
      </c>
      <c r="H9" s="121" t="s">
        <v>74</v>
      </c>
      <c r="I9" s="121" t="s">
        <v>83</v>
      </c>
      <c r="J9" s="121">
        <v>188</v>
      </c>
      <c r="K9" s="122">
        <v>44930</v>
      </c>
      <c r="L9" s="120">
        <v>0.54167824074074067</v>
      </c>
      <c r="M9" s="121">
        <v>1</v>
      </c>
      <c r="N9" s="121" t="s">
        <v>84</v>
      </c>
      <c r="O9" s="121">
        <v>31</v>
      </c>
      <c r="P9" s="121">
        <v>2.15</v>
      </c>
      <c r="Q9" s="121">
        <v>2000</v>
      </c>
      <c r="R9" s="121" t="s">
        <v>85</v>
      </c>
      <c r="S9" s="123">
        <f t="shared" si="0"/>
        <v>2000</v>
      </c>
      <c r="T9" s="10" t="s">
        <v>970</v>
      </c>
      <c r="U9" s="45">
        <v>44930</v>
      </c>
      <c r="V9">
        <f t="shared" si="3"/>
        <v>1996.1277</v>
      </c>
      <c r="W9" t="s">
        <v>985</v>
      </c>
    </row>
    <row r="10" spans="1:54" x14ac:dyDescent="0.55000000000000004">
      <c r="A10" s="119">
        <v>44930</v>
      </c>
      <c r="B10" s="120">
        <v>0.375</v>
      </c>
      <c r="C10" s="121" t="s">
        <v>70</v>
      </c>
      <c r="D10" s="121" t="s">
        <v>71</v>
      </c>
      <c r="E10" s="121" t="s">
        <v>925</v>
      </c>
      <c r="F10" s="121">
        <v>1</v>
      </c>
      <c r="G10" s="121" t="s">
        <v>73</v>
      </c>
      <c r="H10" s="121" t="s">
        <v>74</v>
      </c>
      <c r="I10" s="121" t="s">
        <v>83</v>
      </c>
      <c r="J10" s="121">
        <v>189</v>
      </c>
      <c r="K10" s="122">
        <v>44930</v>
      </c>
      <c r="L10" s="120">
        <v>0.54238425925925926</v>
      </c>
      <c r="M10" s="121">
        <v>1</v>
      </c>
      <c r="N10" s="121" t="s">
        <v>84</v>
      </c>
      <c r="O10" s="121">
        <v>0.50800000000000001</v>
      </c>
      <c r="P10" s="121">
        <v>3.4599999999999999E-2</v>
      </c>
      <c r="Q10" s="121">
        <v>0</v>
      </c>
      <c r="R10" s="121" t="s">
        <v>85</v>
      </c>
      <c r="S10" s="123">
        <f t="shared" si="0"/>
        <v>0</v>
      </c>
      <c r="T10" s="10" t="s">
        <v>970</v>
      </c>
      <c r="U10" s="45">
        <v>44930</v>
      </c>
      <c r="V10">
        <f t="shared" si="3"/>
        <v>10.756635892799995</v>
      </c>
      <c r="W10" t="s">
        <v>985</v>
      </c>
    </row>
    <row r="11" spans="1:54" x14ac:dyDescent="0.55000000000000004">
      <c r="A11" s="119">
        <v>44930</v>
      </c>
      <c r="B11" s="120">
        <v>0.375</v>
      </c>
      <c r="C11" s="121" t="s">
        <v>70</v>
      </c>
      <c r="D11" s="121" t="s">
        <v>71</v>
      </c>
      <c r="E11" s="121" t="s">
        <v>926</v>
      </c>
      <c r="F11" s="121">
        <v>1</v>
      </c>
      <c r="G11" s="121" t="s">
        <v>73</v>
      </c>
      <c r="H11" s="121" t="s">
        <v>74</v>
      </c>
      <c r="I11" s="121" t="s">
        <v>83</v>
      </c>
      <c r="J11" s="121">
        <v>190</v>
      </c>
      <c r="K11" s="122">
        <v>44930</v>
      </c>
      <c r="L11" s="120">
        <v>0.54309027777777774</v>
      </c>
      <c r="M11" s="121">
        <v>1</v>
      </c>
      <c r="N11" s="121" t="s">
        <v>84</v>
      </c>
      <c r="O11" s="121">
        <v>0.52900000000000003</v>
      </c>
      <c r="P11" s="121">
        <v>3.5799999999999998E-2</v>
      </c>
      <c r="Q11" s="121">
        <v>5</v>
      </c>
      <c r="R11" s="121" t="s">
        <v>85</v>
      </c>
      <c r="S11" s="123">
        <f t="shared" si="0"/>
        <v>5</v>
      </c>
      <c r="T11" s="10" t="s">
        <v>970</v>
      </c>
      <c r="U11" s="45">
        <v>44930</v>
      </c>
      <c r="V11">
        <f t="shared" si="3"/>
        <v>12.151038725700001</v>
      </c>
      <c r="W11" t="s">
        <v>985</v>
      </c>
    </row>
    <row r="12" spans="1:54" x14ac:dyDescent="0.55000000000000004">
      <c r="A12" s="119">
        <v>44930</v>
      </c>
      <c r="B12" s="120">
        <v>0.375</v>
      </c>
      <c r="C12" s="121" t="s">
        <v>70</v>
      </c>
      <c r="D12" s="121" t="s">
        <v>71</v>
      </c>
      <c r="E12" s="121" t="s">
        <v>927</v>
      </c>
      <c r="F12" s="121">
        <v>1</v>
      </c>
      <c r="G12" s="121" t="s">
        <v>73</v>
      </c>
      <c r="H12" s="121" t="s">
        <v>74</v>
      </c>
      <c r="I12" s="121" t="s">
        <v>83</v>
      </c>
      <c r="J12" s="121">
        <v>191</v>
      </c>
      <c r="K12" s="122">
        <v>44930</v>
      </c>
      <c r="L12" s="120">
        <v>0.54379629629629633</v>
      </c>
      <c r="M12" s="121">
        <v>1</v>
      </c>
      <c r="N12" s="121" t="s">
        <v>84</v>
      </c>
      <c r="O12" s="121">
        <v>0.64400000000000002</v>
      </c>
      <c r="P12" s="121">
        <v>4.41E-2</v>
      </c>
      <c r="Q12" s="121">
        <v>15</v>
      </c>
      <c r="R12" s="121" t="s">
        <v>85</v>
      </c>
      <c r="S12" s="123">
        <f t="shared" si="0"/>
        <v>15</v>
      </c>
      <c r="T12" s="10" t="s">
        <v>970</v>
      </c>
      <c r="U12" s="45">
        <v>44930</v>
      </c>
      <c r="V12">
        <f t="shared" si="3"/>
        <v>19.786392667200001</v>
      </c>
      <c r="W12" t="s">
        <v>985</v>
      </c>
    </row>
    <row r="13" spans="1:54" x14ac:dyDescent="0.55000000000000004">
      <c r="A13" s="119">
        <v>44930</v>
      </c>
      <c r="B13" s="120">
        <v>0.375</v>
      </c>
      <c r="C13" s="121" t="s">
        <v>70</v>
      </c>
      <c r="D13" s="121" t="s">
        <v>71</v>
      </c>
      <c r="E13" s="121" t="s">
        <v>928</v>
      </c>
      <c r="F13" s="121">
        <v>1</v>
      </c>
      <c r="G13" s="121" t="s">
        <v>73</v>
      </c>
      <c r="H13" s="121" t="s">
        <v>74</v>
      </c>
      <c r="I13" s="121" t="s">
        <v>83</v>
      </c>
      <c r="J13" s="121">
        <v>192</v>
      </c>
      <c r="K13" s="122">
        <v>44930</v>
      </c>
      <c r="L13" s="120">
        <v>0.54451388888888885</v>
      </c>
      <c r="M13" s="121">
        <v>1</v>
      </c>
      <c r="N13" s="121" t="s">
        <v>84</v>
      </c>
      <c r="O13" s="121">
        <v>0.68400000000000005</v>
      </c>
      <c r="P13" s="121">
        <v>4.6399999999999997E-2</v>
      </c>
      <c r="Q13" s="121">
        <v>20</v>
      </c>
      <c r="R13" s="121" t="s">
        <v>85</v>
      </c>
      <c r="S13" s="123">
        <f t="shared" si="0"/>
        <v>20</v>
      </c>
      <c r="T13" s="10" t="s">
        <v>970</v>
      </c>
      <c r="U13" s="45">
        <v>44930</v>
      </c>
      <c r="V13">
        <f t="shared" si="3"/>
        <v>22.441905691200009</v>
      </c>
      <c r="W13" t="s">
        <v>985</v>
      </c>
    </row>
    <row r="14" spans="1:54" x14ac:dyDescent="0.55000000000000004">
      <c r="A14" s="119">
        <v>44930</v>
      </c>
      <c r="B14" s="120">
        <v>0.375</v>
      </c>
      <c r="C14" s="121" t="s">
        <v>70</v>
      </c>
      <c r="D14" s="121" t="s">
        <v>71</v>
      </c>
      <c r="E14" s="121" t="s">
        <v>929</v>
      </c>
      <c r="F14" s="121">
        <v>1</v>
      </c>
      <c r="G14" s="121" t="s">
        <v>73</v>
      </c>
      <c r="H14" s="121" t="s">
        <v>74</v>
      </c>
      <c r="I14" s="121" t="s">
        <v>83</v>
      </c>
      <c r="J14" s="121">
        <v>193</v>
      </c>
      <c r="K14" s="122">
        <v>44930</v>
      </c>
      <c r="L14" s="120">
        <v>0.54520833333333341</v>
      </c>
      <c r="M14" s="121">
        <v>1</v>
      </c>
      <c r="N14" s="121" t="s">
        <v>84</v>
      </c>
      <c r="O14" s="121">
        <v>1.35</v>
      </c>
      <c r="P14" s="121">
        <v>9.4100000000000003E-2</v>
      </c>
      <c r="Q14" s="121">
        <v>75</v>
      </c>
      <c r="R14" s="121" t="s">
        <v>85</v>
      </c>
      <c r="S14" s="123">
        <f t="shared" si="0"/>
        <v>75</v>
      </c>
      <c r="T14" s="10" t="s">
        <v>970</v>
      </c>
      <c r="U14" s="45">
        <v>44930</v>
      </c>
      <c r="V14">
        <f t="shared" si="3"/>
        <v>66.636308250000013</v>
      </c>
      <c r="W14" t="s">
        <v>985</v>
      </c>
    </row>
    <row r="15" spans="1:54" x14ac:dyDescent="0.55000000000000004">
      <c r="A15" s="119">
        <v>44930</v>
      </c>
      <c r="B15" s="120">
        <v>0.375</v>
      </c>
      <c r="C15" s="121" t="s">
        <v>70</v>
      </c>
      <c r="D15" s="121" t="s">
        <v>71</v>
      </c>
      <c r="E15" s="121" t="s">
        <v>930</v>
      </c>
      <c r="F15" s="121">
        <v>1</v>
      </c>
      <c r="G15" s="121" t="s">
        <v>73</v>
      </c>
      <c r="H15" s="121" t="s">
        <v>74</v>
      </c>
      <c r="I15" s="121" t="s">
        <v>83</v>
      </c>
      <c r="J15" s="121">
        <v>194</v>
      </c>
      <c r="K15" s="122">
        <v>44930</v>
      </c>
      <c r="L15" s="120">
        <v>0.54592592592592593</v>
      </c>
      <c r="M15" s="121">
        <v>1</v>
      </c>
      <c r="N15" s="121" t="s">
        <v>84</v>
      </c>
      <c r="O15" s="121">
        <v>2.39</v>
      </c>
      <c r="P15" s="121">
        <v>0.16900000000000001</v>
      </c>
      <c r="Q15" s="121">
        <v>150</v>
      </c>
      <c r="R15" s="121" t="s">
        <v>85</v>
      </c>
      <c r="S15" s="123">
        <f t="shared" si="0"/>
        <v>150</v>
      </c>
      <c r="T15" s="10" t="s">
        <v>970</v>
      </c>
      <c r="U15" s="45">
        <v>44930</v>
      </c>
      <c r="V15">
        <f t="shared" si="3"/>
        <v>135.57353817000001</v>
      </c>
      <c r="W15" t="s">
        <v>985</v>
      </c>
    </row>
    <row r="16" spans="1:54" x14ac:dyDescent="0.55000000000000004">
      <c r="A16" s="119">
        <v>44930</v>
      </c>
      <c r="B16" s="120">
        <v>0.375</v>
      </c>
      <c r="C16" s="121" t="s">
        <v>70</v>
      </c>
      <c r="D16" s="121" t="s">
        <v>71</v>
      </c>
      <c r="E16" s="121" t="s">
        <v>931</v>
      </c>
      <c r="F16" s="121">
        <v>1</v>
      </c>
      <c r="G16" s="121" t="s">
        <v>73</v>
      </c>
      <c r="H16" s="121" t="s">
        <v>74</v>
      </c>
      <c r="I16" s="121" t="s">
        <v>83</v>
      </c>
      <c r="J16" s="121">
        <v>195</v>
      </c>
      <c r="K16" s="122">
        <v>44930</v>
      </c>
      <c r="L16" s="120">
        <v>0.54663194444444441</v>
      </c>
      <c r="M16" s="121">
        <v>1</v>
      </c>
      <c r="N16" s="121" t="s">
        <v>84</v>
      </c>
      <c r="O16" s="121">
        <v>4.55</v>
      </c>
      <c r="P16" s="121">
        <v>0.32500000000000001</v>
      </c>
      <c r="Q16" s="121">
        <v>300</v>
      </c>
      <c r="R16" s="121" t="s">
        <v>85</v>
      </c>
      <c r="S16" s="123">
        <f t="shared" si="0"/>
        <v>300</v>
      </c>
      <c r="T16" s="10" t="s">
        <v>970</v>
      </c>
      <c r="U16" s="45">
        <v>44930</v>
      </c>
      <c r="V16">
        <f t="shared" si="3"/>
        <v>278.45848425000003</v>
      </c>
      <c r="W16" t="s">
        <v>985</v>
      </c>
    </row>
    <row r="17" spans="1:23" x14ac:dyDescent="0.55000000000000004">
      <c r="A17" s="119">
        <v>44930</v>
      </c>
      <c r="B17" s="120">
        <v>0.375</v>
      </c>
      <c r="C17" s="121" t="s">
        <v>70</v>
      </c>
      <c r="D17" s="121" t="s">
        <v>71</v>
      </c>
      <c r="E17" s="121" t="s">
        <v>932</v>
      </c>
      <c r="F17" s="121">
        <v>1</v>
      </c>
      <c r="G17" s="121" t="s">
        <v>73</v>
      </c>
      <c r="H17" s="121" t="s">
        <v>74</v>
      </c>
      <c r="I17" s="121" t="s">
        <v>83</v>
      </c>
      <c r="J17" s="121">
        <v>196</v>
      </c>
      <c r="K17" s="122">
        <v>44930</v>
      </c>
      <c r="L17" s="120">
        <v>0.54732638888888896</v>
      </c>
      <c r="M17" s="121">
        <v>1</v>
      </c>
      <c r="N17" s="121" t="s">
        <v>84</v>
      </c>
      <c r="O17" s="121">
        <v>7.5</v>
      </c>
      <c r="P17" s="121">
        <v>0.54200000000000004</v>
      </c>
      <c r="Q17" s="121">
        <v>500</v>
      </c>
      <c r="R17" s="121" t="s">
        <v>85</v>
      </c>
      <c r="S17" s="123">
        <f t="shared" si="0"/>
        <v>500</v>
      </c>
      <c r="T17" s="10" t="s">
        <v>970</v>
      </c>
      <c r="U17" s="45">
        <v>44930</v>
      </c>
      <c r="V17">
        <f t="shared" si="3"/>
        <v>472.96462500000007</v>
      </c>
      <c r="W17" t="s">
        <v>985</v>
      </c>
    </row>
    <row r="18" spans="1:23" x14ac:dyDescent="0.55000000000000004">
      <c r="A18" s="124">
        <v>44937</v>
      </c>
      <c r="B18" s="125">
        <v>0.375</v>
      </c>
      <c r="C18" s="31" t="s">
        <v>70</v>
      </c>
      <c r="D18" s="31" t="s">
        <v>71</v>
      </c>
      <c r="E18" s="31" t="s">
        <v>917</v>
      </c>
      <c r="F18" s="31">
        <v>1</v>
      </c>
      <c r="G18" s="31" t="s">
        <v>73</v>
      </c>
      <c r="H18" s="31" t="s">
        <v>74</v>
      </c>
      <c r="I18" s="31" t="s">
        <v>83</v>
      </c>
      <c r="J18" s="31">
        <v>181</v>
      </c>
      <c r="K18" s="126">
        <v>44937</v>
      </c>
      <c r="L18" s="125">
        <v>0.5774421296296296</v>
      </c>
      <c r="M18" s="31">
        <v>1</v>
      </c>
      <c r="N18" s="31" t="s">
        <v>84</v>
      </c>
      <c r="O18" s="31">
        <v>0.54100000000000004</v>
      </c>
      <c r="P18" s="31">
        <v>4.0599999999999997E-2</v>
      </c>
      <c r="Q18" s="31">
        <v>0</v>
      </c>
      <c r="R18" s="31" t="s">
        <v>85</v>
      </c>
      <c r="S18" s="34">
        <f t="shared" si="0"/>
        <v>0</v>
      </c>
      <c r="T18" s="31" t="s">
        <v>1021</v>
      </c>
      <c r="U18" s="127">
        <v>44937</v>
      </c>
      <c r="V18" s="128">
        <f>0*O18^2+67.076*O18-21.654</f>
        <v>14.634116000000002</v>
      </c>
      <c r="W18" s="128" t="s">
        <v>1036</v>
      </c>
    </row>
    <row r="19" spans="1:23" x14ac:dyDescent="0.55000000000000004">
      <c r="A19" s="124">
        <v>44937</v>
      </c>
      <c r="B19" s="125">
        <v>0.375</v>
      </c>
      <c r="C19" s="31" t="s">
        <v>70</v>
      </c>
      <c r="D19" s="31" t="s">
        <v>71</v>
      </c>
      <c r="E19" s="31" t="s">
        <v>918</v>
      </c>
      <c r="F19" s="31">
        <v>1</v>
      </c>
      <c r="G19" s="31" t="s">
        <v>73</v>
      </c>
      <c r="H19" s="31" t="s">
        <v>74</v>
      </c>
      <c r="I19" s="31" t="s">
        <v>83</v>
      </c>
      <c r="J19" s="31">
        <v>182</v>
      </c>
      <c r="K19" s="126">
        <v>44937</v>
      </c>
      <c r="L19" s="125">
        <v>0.57814814814814819</v>
      </c>
      <c r="M19" s="31">
        <v>1</v>
      </c>
      <c r="N19" s="31" t="s">
        <v>84</v>
      </c>
      <c r="O19" s="31">
        <v>0.56799999999999995</v>
      </c>
      <c r="P19" s="31">
        <v>3.9300000000000002E-2</v>
      </c>
      <c r="Q19" s="31">
        <v>12</v>
      </c>
      <c r="R19" s="31" t="s">
        <v>85</v>
      </c>
      <c r="S19" s="34">
        <f t="shared" si="0"/>
        <v>12</v>
      </c>
      <c r="T19" s="31" t="s">
        <v>1021</v>
      </c>
      <c r="U19" s="127">
        <v>44937</v>
      </c>
      <c r="V19" s="128">
        <f t="shared" ref="V19:V33" si="10">0*O19^2+67.076*O19-21.654</f>
        <v>16.445167999999992</v>
      </c>
      <c r="W19" s="128" t="s">
        <v>1036</v>
      </c>
    </row>
    <row r="20" spans="1:23" x14ac:dyDescent="0.55000000000000004">
      <c r="A20" s="124">
        <v>44937</v>
      </c>
      <c r="B20" s="125">
        <v>0.375</v>
      </c>
      <c r="C20" s="31" t="s">
        <v>70</v>
      </c>
      <c r="D20" s="31" t="s">
        <v>71</v>
      </c>
      <c r="E20" s="31" t="s">
        <v>919</v>
      </c>
      <c r="F20" s="31">
        <v>1</v>
      </c>
      <c r="G20" s="31" t="s">
        <v>73</v>
      </c>
      <c r="H20" s="31" t="s">
        <v>74</v>
      </c>
      <c r="I20" s="31" t="s">
        <v>83</v>
      </c>
      <c r="J20" s="31">
        <v>183</v>
      </c>
      <c r="K20" s="126">
        <v>44937</v>
      </c>
      <c r="L20" s="125">
        <v>0.57885416666666667</v>
      </c>
      <c r="M20" s="31">
        <v>1</v>
      </c>
      <c r="N20" s="31" t="s">
        <v>84</v>
      </c>
      <c r="O20" s="31">
        <v>1.05</v>
      </c>
      <c r="P20" s="31">
        <v>7.3899999999999993E-2</v>
      </c>
      <c r="Q20" s="31">
        <v>50</v>
      </c>
      <c r="R20" s="31" t="s">
        <v>85</v>
      </c>
      <c r="S20" s="34">
        <f t="shared" si="0"/>
        <v>50</v>
      </c>
      <c r="T20" s="31" t="s">
        <v>1021</v>
      </c>
      <c r="U20" s="127">
        <v>44937</v>
      </c>
      <c r="V20" s="128">
        <f t="shared" si="10"/>
        <v>48.775800000000004</v>
      </c>
      <c r="W20" s="128" t="s">
        <v>1036</v>
      </c>
    </row>
    <row r="21" spans="1:23" x14ac:dyDescent="0.55000000000000004">
      <c r="A21" s="124">
        <v>44937</v>
      </c>
      <c r="B21" s="125">
        <v>0.375</v>
      </c>
      <c r="C21" s="31" t="s">
        <v>70</v>
      </c>
      <c r="D21" s="31" t="s">
        <v>71</v>
      </c>
      <c r="E21" s="31" t="s">
        <v>920</v>
      </c>
      <c r="F21" s="31">
        <v>1</v>
      </c>
      <c r="G21" s="31" t="s">
        <v>73</v>
      </c>
      <c r="H21" s="31" t="s">
        <v>74</v>
      </c>
      <c r="I21" s="31" t="s">
        <v>83</v>
      </c>
      <c r="J21" s="31">
        <v>184</v>
      </c>
      <c r="K21" s="126">
        <v>44937</v>
      </c>
      <c r="L21" s="125">
        <v>0.57956018518518515</v>
      </c>
      <c r="M21" s="31">
        <v>1</v>
      </c>
      <c r="N21" s="31" t="s">
        <v>84</v>
      </c>
      <c r="O21" s="31">
        <v>3.34</v>
      </c>
      <c r="P21" s="31">
        <v>0.23899999999999999</v>
      </c>
      <c r="Q21" s="31">
        <v>200</v>
      </c>
      <c r="R21" s="31" t="s">
        <v>85</v>
      </c>
      <c r="S21" s="34">
        <f t="shared" si="0"/>
        <v>200</v>
      </c>
      <c r="T21" s="31" t="s">
        <v>1021</v>
      </c>
      <c r="U21" s="127">
        <v>44937</v>
      </c>
      <c r="V21" s="128">
        <f t="shared" si="10"/>
        <v>202.37983999999997</v>
      </c>
      <c r="W21" s="128" t="s">
        <v>1036</v>
      </c>
    </row>
    <row r="22" spans="1:23" x14ac:dyDescent="0.55000000000000004">
      <c r="A22" s="124">
        <v>44937</v>
      </c>
      <c r="B22" s="125">
        <v>0.375</v>
      </c>
      <c r="C22" s="31" t="s">
        <v>70</v>
      </c>
      <c r="D22" s="31" t="s">
        <v>71</v>
      </c>
      <c r="E22" s="31" t="s">
        <v>921</v>
      </c>
      <c r="F22" s="31">
        <v>1</v>
      </c>
      <c r="G22" s="31" t="s">
        <v>73</v>
      </c>
      <c r="H22" s="31" t="s">
        <v>74</v>
      </c>
      <c r="I22" s="31" t="s">
        <v>83</v>
      </c>
      <c r="J22" s="31">
        <v>185</v>
      </c>
      <c r="K22" s="126">
        <v>44937</v>
      </c>
      <c r="L22" s="125">
        <v>0.5802546296296297</v>
      </c>
      <c r="M22" s="31">
        <v>1</v>
      </c>
      <c r="N22" s="31" t="s">
        <v>84</v>
      </c>
      <c r="O22" s="31">
        <v>7.42</v>
      </c>
      <c r="P22" s="31">
        <v>0.53400000000000003</v>
      </c>
      <c r="Q22" s="31">
        <v>500</v>
      </c>
      <c r="R22" s="31" t="s">
        <v>85</v>
      </c>
      <c r="S22" s="34">
        <f t="shared" si="0"/>
        <v>500</v>
      </c>
      <c r="T22" s="31" t="s">
        <v>1021</v>
      </c>
      <c r="U22" s="127">
        <v>44937</v>
      </c>
      <c r="V22" s="128">
        <f t="shared" si="10"/>
        <v>476.04991999999993</v>
      </c>
      <c r="W22" s="128" t="s">
        <v>1036</v>
      </c>
    </row>
    <row r="23" spans="1:23" x14ac:dyDescent="0.55000000000000004">
      <c r="A23" s="124">
        <v>44937</v>
      </c>
      <c r="B23" s="125">
        <v>0.375</v>
      </c>
      <c r="C23" s="31" t="s">
        <v>70</v>
      </c>
      <c r="D23" s="31" t="s">
        <v>71</v>
      </c>
      <c r="E23" s="31" t="s">
        <v>922</v>
      </c>
      <c r="F23" s="31">
        <v>1</v>
      </c>
      <c r="G23" s="31" t="s">
        <v>73</v>
      </c>
      <c r="H23" s="31" t="s">
        <v>74</v>
      </c>
      <c r="I23" s="31" t="s">
        <v>83</v>
      </c>
      <c r="J23" s="31">
        <v>186</v>
      </c>
      <c r="K23" s="126">
        <v>44937</v>
      </c>
      <c r="L23" s="125">
        <v>0.58097222222222222</v>
      </c>
      <c r="M23" s="31">
        <v>1</v>
      </c>
      <c r="N23" s="31" t="s">
        <v>84</v>
      </c>
      <c r="O23" s="31">
        <v>15.6</v>
      </c>
      <c r="P23" s="31">
        <v>1.1200000000000001</v>
      </c>
      <c r="Q23" s="31">
        <v>1000</v>
      </c>
      <c r="R23" s="31" t="s">
        <v>85</v>
      </c>
      <c r="S23" s="34">
        <f t="shared" si="0"/>
        <v>1000</v>
      </c>
      <c r="T23" s="31" t="s">
        <v>1021</v>
      </c>
      <c r="U23" s="127">
        <v>44937</v>
      </c>
      <c r="V23" s="128">
        <f t="shared" si="10"/>
        <v>1024.7315999999998</v>
      </c>
      <c r="W23" s="128" t="s">
        <v>1036</v>
      </c>
    </row>
    <row r="24" spans="1:23" x14ac:dyDescent="0.55000000000000004">
      <c r="A24" s="124">
        <v>44937</v>
      </c>
      <c r="B24" s="125">
        <v>0.375</v>
      </c>
      <c r="C24" s="31" t="s">
        <v>70</v>
      </c>
      <c r="D24" s="31" t="s">
        <v>71</v>
      </c>
      <c r="E24" s="31" t="s">
        <v>923</v>
      </c>
      <c r="F24" s="31">
        <v>1</v>
      </c>
      <c r="G24" s="31" t="s">
        <v>73</v>
      </c>
      <c r="H24" s="31" t="s">
        <v>74</v>
      </c>
      <c r="I24" s="31" t="s">
        <v>83</v>
      </c>
      <c r="J24" s="31">
        <v>187</v>
      </c>
      <c r="K24" s="126">
        <v>44937</v>
      </c>
      <c r="L24" s="125">
        <v>0.5816782407407407</v>
      </c>
      <c r="M24" s="31">
        <v>1</v>
      </c>
      <c r="N24" s="31" t="s">
        <v>84</v>
      </c>
      <c r="O24" s="31">
        <v>23</v>
      </c>
      <c r="P24" s="31">
        <v>1.63</v>
      </c>
      <c r="Q24" s="31">
        <v>1500</v>
      </c>
      <c r="R24" s="31" t="s">
        <v>85</v>
      </c>
      <c r="S24" s="34">
        <f t="shared" si="0"/>
        <v>1500</v>
      </c>
      <c r="T24" s="31" t="s">
        <v>1021</v>
      </c>
      <c r="U24" s="127">
        <v>44937</v>
      </c>
      <c r="V24" s="128">
        <f t="shared" si="10"/>
        <v>1521.0939999999998</v>
      </c>
      <c r="W24" s="128" t="s">
        <v>1036</v>
      </c>
    </row>
    <row r="25" spans="1:23" x14ac:dyDescent="0.55000000000000004">
      <c r="A25" s="124">
        <v>44937</v>
      </c>
      <c r="B25" s="125">
        <v>0.375</v>
      </c>
      <c r="C25" s="31" t="s">
        <v>70</v>
      </c>
      <c r="D25" s="31" t="s">
        <v>71</v>
      </c>
      <c r="E25" s="31" t="s">
        <v>924</v>
      </c>
      <c r="F25" s="31">
        <v>1</v>
      </c>
      <c r="G25" s="31" t="s">
        <v>73</v>
      </c>
      <c r="H25" s="31" t="s">
        <v>74</v>
      </c>
      <c r="I25" s="31" t="s">
        <v>83</v>
      </c>
      <c r="J25" s="31">
        <v>188</v>
      </c>
      <c r="K25" s="126">
        <v>44937</v>
      </c>
      <c r="L25" s="125">
        <v>0.58239583333333333</v>
      </c>
      <c r="M25" s="31">
        <v>1</v>
      </c>
      <c r="N25" s="31" t="s">
        <v>84</v>
      </c>
      <c r="O25" s="31">
        <v>29.9</v>
      </c>
      <c r="P25" s="31">
        <v>2.1</v>
      </c>
      <c r="Q25" s="31">
        <v>2000</v>
      </c>
      <c r="R25" s="31" t="s">
        <v>85</v>
      </c>
      <c r="S25" s="34">
        <f t="shared" si="0"/>
        <v>2000</v>
      </c>
      <c r="T25" s="31" t="s">
        <v>1021</v>
      </c>
      <c r="U25" s="127">
        <v>44937</v>
      </c>
      <c r="V25" s="128">
        <f t="shared" si="10"/>
        <v>1983.9183999999998</v>
      </c>
      <c r="W25" s="128" t="s">
        <v>1036</v>
      </c>
    </row>
    <row r="26" spans="1:23" x14ac:dyDescent="0.55000000000000004">
      <c r="A26" s="124">
        <v>44937</v>
      </c>
      <c r="B26" s="125">
        <v>0.375</v>
      </c>
      <c r="C26" s="31" t="s">
        <v>70</v>
      </c>
      <c r="D26" s="31" t="s">
        <v>71</v>
      </c>
      <c r="E26" s="31" t="s">
        <v>925</v>
      </c>
      <c r="F26" s="31">
        <v>1</v>
      </c>
      <c r="G26" s="31" t="s">
        <v>73</v>
      </c>
      <c r="H26" s="31" t="s">
        <v>74</v>
      </c>
      <c r="I26" s="31" t="s">
        <v>83</v>
      </c>
      <c r="J26" s="31">
        <v>189</v>
      </c>
      <c r="K26" s="126">
        <v>44937</v>
      </c>
      <c r="L26" s="125">
        <v>0.58310185185185182</v>
      </c>
      <c r="M26" s="31">
        <v>1</v>
      </c>
      <c r="N26" s="31" t="s">
        <v>84</v>
      </c>
      <c r="O26" s="31">
        <v>0.46899999999999997</v>
      </c>
      <c r="P26" s="31">
        <v>3.1899999999999998E-2</v>
      </c>
      <c r="Q26" s="31">
        <v>0</v>
      </c>
      <c r="R26" s="31" t="s">
        <v>85</v>
      </c>
      <c r="S26" s="34">
        <f t="shared" si="0"/>
        <v>0</v>
      </c>
      <c r="T26" s="31" t="s">
        <v>1021</v>
      </c>
      <c r="U26" s="127">
        <v>44937</v>
      </c>
      <c r="V26" s="128">
        <f t="shared" si="10"/>
        <v>9.8046439999999961</v>
      </c>
      <c r="W26" s="128" t="s">
        <v>1036</v>
      </c>
    </row>
    <row r="27" spans="1:23" x14ac:dyDescent="0.55000000000000004">
      <c r="A27" s="124">
        <v>44937</v>
      </c>
      <c r="B27" s="125">
        <v>0.375</v>
      </c>
      <c r="C27" s="31" t="s">
        <v>70</v>
      </c>
      <c r="D27" s="31" t="s">
        <v>71</v>
      </c>
      <c r="E27" s="31" t="s">
        <v>926</v>
      </c>
      <c r="F27" s="31">
        <v>1</v>
      </c>
      <c r="G27" s="31" t="s">
        <v>73</v>
      </c>
      <c r="H27" s="31" t="s">
        <v>74</v>
      </c>
      <c r="I27" s="31" t="s">
        <v>83</v>
      </c>
      <c r="J27" s="31">
        <v>190</v>
      </c>
      <c r="K27" s="126">
        <v>44937</v>
      </c>
      <c r="L27" s="125">
        <v>0.5838078703703703</v>
      </c>
      <c r="M27" s="31">
        <v>1</v>
      </c>
      <c r="N27" s="31" t="s">
        <v>84</v>
      </c>
      <c r="O27" s="31">
        <v>0.50800000000000001</v>
      </c>
      <c r="P27" s="31">
        <v>3.49E-2</v>
      </c>
      <c r="Q27" s="31">
        <v>5</v>
      </c>
      <c r="R27" s="31" t="s">
        <v>85</v>
      </c>
      <c r="S27" s="34">
        <f t="shared" si="0"/>
        <v>5</v>
      </c>
      <c r="T27" s="31" t="s">
        <v>1021</v>
      </c>
      <c r="U27" s="127">
        <v>44937</v>
      </c>
      <c r="V27" s="128">
        <f t="shared" si="10"/>
        <v>12.420607999999998</v>
      </c>
      <c r="W27" s="128" t="s">
        <v>1036</v>
      </c>
    </row>
    <row r="28" spans="1:23" x14ac:dyDescent="0.55000000000000004">
      <c r="A28" s="124">
        <v>44937</v>
      </c>
      <c r="B28" s="125">
        <v>0.375</v>
      </c>
      <c r="C28" s="31" t="s">
        <v>70</v>
      </c>
      <c r="D28" s="31" t="s">
        <v>71</v>
      </c>
      <c r="E28" s="31" t="s">
        <v>927</v>
      </c>
      <c r="F28" s="31">
        <v>1</v>
      </c>
      <c r="G28" s="31" t="s">
        <v>73</v>
      </c>
      <c r="H28" s="31" t="s">
        <v>74</v>
      </c>
      <c r="I28" s="31" t="s">
        <v>83</v>
      </c>
      <c r="J28" s="31">
        <v>191</v>
      </c>
      <c r="K28" s="126">
        <v>44937</v>
      </c>
      <c r="L28" s="125">
        <v>0.58451388888888889</v>
      </c>
      <c r="M28" s="31">
        <v>1</v>
      </c>
      <c r="N28" s="31" t="s">
        <v>84</v>
      </c>
      <c r="O28" s="31">
        <v>0.58899999999999997</v>
      </c>
      <c r="P28" s="31">
        <v>4.0800000000000003E-2</v>
      </c>
      <c r="Q28" s="31">
        <v>15</v>
      </c>
      <c r="R28" s="31" t="s">
        <v>85</v>
      </c>
      <c r="S28" s="34">
        <f t="shared" si="0"/>
        <v>15</v>
      </c>
      <c r="T28" s="31" t="s">
        <v>1021</v>
      </c>
      <c r="U28" s="127">
        <v>44937</v>
      </c>
      <c r="V28" s="128">
        <f t="shared" si="10"/>
        <v>17.853763999999995</v>
      </c>
      <c r="W28" s="128" t="s">
        <v>1036</v>
      </c>
    </row>
    <row r="29" spans="1:23" x14ac:dyDescent="0.55000000000000004">
      <c r="A29" s="124">
        <v>44937</v>
      </c>
      <c r="B29" s="125">
        <v>0.375</v>
      </c>
      <c r="C29" s="31" t="s">
        <v>70</v>
      </c>
      <c r="D29" s="31" t="s">
        <v>71</v>
      </c>
      <c r="E29" s="31" t="s">
        <v>928</v>
      </c>
      <c r="F29" s="31">
        <v>1</v>
      </c>
      <c r="G29" s="31" t="s">
        <v>73</v>
      </c>
      <c r="H29" s="31" t="s">
        <v>74</v>
      </c>
      <c r="I29" s="31" t="s">
        <v>83</v>
      </c>
      <c r="J29" s="31">
        <v>192</v>
      </c>
      <c r="K29" s="126">
        <v>44937</v>
      </c>
      <c r="L29" s="125">
        <v>0.58523148148148152</v>
      </c>
      <c r="M29" s="31">
        <v>1</v>
      </c>
      <c r="N29" s="31" t="s">
        <v>84</v>
      </c>
      <c r="O29" s="31">
        <v>0.65800000000000003</v>
      </c>
      <c r="P29" s="31">
        <v>4.5400000000000003E-2</v>
      </c>
      <c r="Q29" s="31">
        <v>20</v>
      </c>
      <c r="R29" s="31" t="s">
        <v>85</v>
      </c>
      <c r="S29" s="34">
        <f t="shared" si="0"/>
        <v>20</v>
      </c>
      <c r="T29" s="31" t="s">
        <v>1021</v>
      </c>
      <c r="U29" s="127">
        <v>44937</v>
      </c>
      <c r="V29" s="128">
        <f t="shared" si="10"/>
        <v>22.482007999999997</v>
      </c>
      <c r="W29" s="128" t="s">
        <v>1036</v>
      </c>
    </row>
    <row r="30" spans="1:23" x14ac:dyDescent="0.55000000000000004">
      <c r="A30" s="124">
        <v>44937</v>
      </c>
      <c r="B30" s="125">
        <v>0.375</v>
      </c>
      <c r="C30" s="31" t="s">
        <v>70</v>
      </c>
      <c r="D30" s="31" t="s">
        <v>71</v>
      </c>
      <c r="E30" s="31" t="s">
        <v>929</v>
      </c>
      <c r="F30" s="31">
        <v>1</v>
      </c>
      <c r="G30" s="31" t="s">
        <v>73</v>
      </c>
      <c r="H30" s="31" t="s">
        <v>74</v>
      </c>
      <c r="I30" s="31" t="s">
        <v>83</v>
      </c>
      <c r="J30" s="31">
        <v>193</v>
      </c>
      <c r="K30" s="126">
        <v>44937</v>
      </c>
      <c r="L30" s="125">
        <v>0.5859375</v>
      </c>
      <c r="M30" s="31">
        <v>1</v>
      </c>
      <c r="N30" s="31" t="s">
        <v>84</v>
      </c>
      <c r="O30" s="31">
        <v>1.39</v>
      </c>
      <c r="P30" s="31">
        <v>9.69E-2</v>
      </c>
      <c r="Q30" s="31">
        <v>75</v>
      </c>
      <c r="R30" s="31" t="s">
        <v>85</v>
      </c>
      <c r="S30" s="34">
        <f t="shared" si="0"/>
        <v>75</v>
      </c>
      <c r="T30" s="31" t="s">
        <v>1021</v>
      </c>
      <c r="U30" s="127">
        <v>44937</v>
      </c>
      <c r="V30" s="128">
        <f t="shared" si="10"/>
        <v>71.581639999999993</v>
      </c>
      <c r="W30" s="128" t="s">
        <v>1036</v>
      </c>
    </row>
    <row r="31" spans="1:23" x14ac:dyDescent="0.55000000000000004">
      <c r="A31" s="124">
        <v>44937</v>
      </c>
      <c r="B31" s="125">
        <v>0.375</v>
      </c>
      <c r="C31" s="31" t="s">
        <v>70</v>
      </c>
      <c r="D31" s="31" t="s">
        <v>71</v>
      </c>
      <c r="E31" s="31" t="s">
        <v>930</v>
      </c>
      <c r="F31" s="31">
        <v>1</v>
      </c>
      <c r="G31" s="31" t="s">
        <v>73</v>
      </c>
      <c r="H31" s="31" t="s">
        <v>74</v>
      </c>
      <c r="I31" s="31" t="s">
        <v>83</v>
      </c>
      <c r="J31" s="31">
        <v>194</v>
      </c>
      <c r="K31" s="126">
        <v>44937</v>
      </c>
      <c r="L31" s="125">
        <v>0.58664351851851848</v>
      </c>
      <c r="M31" s="31">
        <v>1</v>
      </c>
      <c r="N31" s="31" t="s">
        <v>84</v>
      </c>
      <c r="O31" s="31">
        <v>2.35</v>
      </c>
      <c r="P31" s="31">
        <v>0.16700000000000001</v>
      </c>
      <c r="Q31" s="31">
        <v>150</v>
      </c>
      <c r="R31" s="31" t="s">
        <v>85</v>
      </c>
      <c r="S31" s="34">
        <f t="shared" si="0"/>
        <v>150</v>
      </c>
      <c r="T31" s="31" t="s">
        <v>1021</v>
      </c>
      <c r="U31" s="127">
        <v>44937</v>
      </c>
      <c r="V31" s="128">
        <f t="shared" si="10"/>
        <v>135.97459999999998</v>
      </c>
      <c r="W31" s="128" t="s">
        <v>1036</v>
      </c>
    </row>
    <row r="32" spans="1:23" x14ac:dyDescent="0.55000000000000004">
      <c r="A32" s="124">
        <v>44937</v>
      </c>
      <c r="B32" s="125">
        <v>0.375</v>
      </c>
      <c r="C32" s="31" t="s">
        <v>70</v>
      </c>
      <c r="D32" s="31" t="s">
        <v>71</v>
      </c>
      <c r="E32" s="31" t="s">
        <v>931</v>
      </c>
      <c r="F32" s="31">
        <v>1</v>
      </c>
      <c r="G32" s="31" t="s">
        <v>73</v>
      </c>
      <c r="H32" s="31" t="s">
        <v>74</v>
      </c>
      <c r="I32" s="31" t="s">
        <v>83</v>
      </c>
      <c r="J32" s="31">
        <v>195</v>
      </c>
      <c r="K32" s="126">
        <v>44937</v>
      </c>
      <c r="L32" s="125">
        <v>0.58734953703703707</v>
      </c>
      <c r="M32" s="31">
        <v>1</v>
      </c>
      <c r="N32" s="31" t="s">
        <v>84</v>
      </c>
      <c r="O32" s="31">
        <v>4.63</v>
      </c>
      <c r="P32" s="31">
        <v>0.33700000000000002</v>
      </c>
      <c r="Q32" s="31">
        <v>300</v>
      </c>
      <c r="R32" s="31" t="s">
        <v>85</v>
      </c>
      <c r="S32" s="34">
        <f t="shared" si="0"/>
        <v>300</v>
      </c>
      <c r="T32" s="31" t="s">
        <v>1021</v>
      </c>
      <c r="U32" s="127">
        <v>44937</v>
      </c>
      <c r="V32" s="128">
        <f t="shared" si="10"/>
        <v>288.90787999999998</v>
      </c>
      <c r="W32" s="128" t="s">
        <v>1036</v>
      </c>
    </row>
    <row r="33" spans="1:23" x14ac:dyDescent="0.55000000000000004">
      <c r="A33" s="124">
        <v>44937</v>
      </c>
      <c r="B33" s="125">
        <v>0.375</v>
      </c>
      <c r="C33" s="31" t="s">
        <v>70</v>
      </c>
      <c r="D33" s="31" t="s">
        <v>71</v>
      </c>
      <c r="E33" s="31" t="s">
        <v>932</v>
      </c>
      <c r="F33" s="31">
        <v>1</v>
      </c>
      <c r="G33" s="31" t="s">
        <v>73</v>
      </c>
      <c r="H33" s="31" t="s">
        <v>74</v>
      </c>
      <c r="I33" s="31" t="s">
        <v>83</v>
      </c>
      <c r="J33" s="31">
        <v>196</v>
      </c>
      <c r="K33" s="126">
        <v>44937</v>
      </c>
      <c r="L33" s="125">
        <v>0.58805555555555555</v>
      </c>
      <c r="M33" s="31">
        <v>1</v>
      </c>
      <c r="N33" s="31" t="s">
        <v>84</v>
      </c>
      <c r="O33" s="31">
        <v>7.48</v>
      </c>
      <c r="P33" s="31">
        <v>0.54</v>
      </c>
      <c r="Q33" s="31">
        <v>500</v>
      </c>
      <c r="R33" s="31" t="s">
        <v>85</v>
      </c>
      <c r="S33" s="34">
        <f t="shared" si="0"/>
        <v>500</v>
      </c>
      <c r="T33" s="31" t="s">
        <v>1021</v>
      </c>
      <c r="U33" s="127">
        <v>44937</v>
      </c>
      <c r="V33" s="128">
        <f t="shared" si="10"/>
        <v>480.07447999999999</v>
      </c>
      <c r="W33" s="128" t="s">
        <v>1036</v>
      </c>
    </row>
    <row r="34" spans="1:23" x14ac:dyDescent="0.55000000000000004">
      <c r="A34" s="119">
        <v>44950</v>
      </c>
      <c r="B34" s="120">
        <v>0.375</v>
      </c>
      <c r="C34" s="121" t="s">
        <v>70</v>
      </c>
      <c r="D34" s="121" t="s">
        <v>71</v>
      </c>
      <c r="E34" s="121" t="s">
        <v>917</v>
      </c>
      <c r="F34" s="121">
        <v>1</v>
      </c>
      <c r="G34" s="121" t="s">
        <v>73</v>
      </c>
      <c r="H34" s="121" t="s">
        <v>74</v>
      </c>
      <c r="I34" s="121" t="s">
        <v>83</v>
      </c>
      <c r="J34" s="121">
        <v>181</v>
      </c>
      <c r="K34" s="122">
        <v>44950</v>
      </c>
      <c r="L34" s="120">
        <v>0.52407407407407403</v>
      </c>
      <c r="M34" s="121">
        <v>1</v>
      </c>
      <c r="N34" s="121" t="s">
        <v>84</v>
      </c>
      <c r="O34" s="121">
        <v>0.439</v>
      </c>
      <c r="P34" s="121">
        <v>2.92E-2</v>
      </c>
      <c r="Q34" s="121">
        <v>0</v>
      </c>
      <c r="R34" s="121" t="s">
        <v>85</v>
      </c>
      <c r="S34" s="123">
        <f t="shared" si="0"/>
        <v>0</v>
      </c>
      <c r="T34" s="10" t="s">
        <v>1071</v>
      </c>
      <c r="U34" s="45">
        <v>44950</v>
      </c>
      <c r="V34" s="129">
        <f>0.5642*O34^2+45.477*O34-20.207</f>
        <v>-0.13386381180000484</v>
      </c>
      <c r="W34" s="129" t="s">
        <v>1088</v>
      </c>
    </row>
    <row r="35" spans="1:23" x14ac:dyDescent="0.55000000000000004">
      <c r="A35" s="119">
        <v>44950</v>
      </c>
      <c r="B35" s="120">
        <v>0.375</v>
      </c>
      <c r="C35" s="121" t="s">
        <v>70</v>
      </c>
      <c r="D35" s="121" t="s">
        <v>71</v>
      </c>
      <c r="E35" s="121" t="s">
        <v>918</v>
      </c>
      <c r="F35" s="121">
        <v>1</v>
      </c>
      <c r="G35" s="121" t="s">
        <v>73</v>
      </c>
      <c r="H35" s="121" t="s">
        <v>74</v>
      </c>
      <c r="I35" s="121" t="s">
        <v>83</v>
      </c>
      <c r="J35" s="121">
        <v>182</v>
      </c>
      <c r="K35" s="122">
        <v>44950</v>
      </c>
      <c r="L35" s="120">
        <v>0.52478009259259262</v>
      </c>
      <c r="M35" s="121">
        <v>1</v>
      </c>
      <c r="N35" s="121" t="s">
        <v>84</v>
      </c>
      <c r="O35" s="121">
        <v>4.62</v>
      </c>
      <c r="P35" s="121">
        <v>0.33</v>
      </c>
      <c r="Q35" s="121">
        <v>12</v>
      </c>
      <c r="R35" s="121" t="s">
        <v>85</v>
      </c>
      <c r="S35" s="123">
        <f t="shared" si="0"/>
        <v>12</v>
      </c>
      <c r="T35" s="10" t="s">
        <v>1071</v>
      </c>
      <c r="U35" s="45">
        <v>44950</v>
      </c>
      <c r="V35" s="129">
        <f t="shared" ref="V35:V49" si="11">0.5642*O35^2+45.477*O35-20.207</f>
        <v>201.93925048</v>
      </c>
      <c r="W35" s="129" t="s">
        <v>1088</v>
      </c>
    </row>
    <row r="36" spans="1:23" x14ac:dyDescent="0.55000000000000004">
      <c r="A36" s="119">
        <v>44950</v>
      </c>
      <c r="B36" s="120">
        <v>0.375</v>
      </c>
      <c r="C36" s="121" t="s">
        <v>70</v>
      </c>
      <c r="D36" s="121" t="s">
        <v>71</v>
      </c>
      <c r="E36" s="121" t="s">
        <v>919</v>
      </c>
      <c r="F36" s="121">
        <v>1</v>
      </c>
      <c r="G36" s="121" t="s">
        <v>73</v>
      </c>
      <c r="H36" s="121" t="s">
        <v>74</v>
      </c>
      <c r="I36" s="121" t="s">
        <v>83</v>
      </c>
      <c r="J36" s="121">
        <v>183</v>
      </c>
      <c r="K36" s="122">
        <v>44950</v>
      </c>
      <c r="L36" s="120">
        <v>0.5254861111111111</v>
      </c>
      <c r="M36" s="121">
        <v>1</v>
      </c>
      <c r="N36" s="121" t="s">
        <v>84</v>
      </c>
      <c r="O36" s="121">
        <v>3.37</v>
      </c>
      <c r="P36" s="121">
        <v>0.24</v>
      </c>
      <c r="Q36" s="121">
        <v>50</v>
      </c>
      <c r="R36" s="121" t="s">
        <v>85</v>
      </c>
      <c r="S36" s="123">
        <f t="shared" si="0"/>
        <v>50</v>
      </c>
      <c r="T36" s="10" t="s">
        <v>1071</v>
      </c>
      <c r="U36" s="45">
        <v>44950</v>
      </c>
      <c r="V36" s="129">
        <f t="shared" si="11"/>
        <v>139.45805297999999</v>
      </c>
      <c r="W36" s="129" t="s">
        <v>1088</v>
      </c>
    </row>
    <row r="37" spans="1:23" x14ac:dyDescent="0.55000000000000004">
      <c r="A37" s="119">
        <v>44950</v>
      </c>
      <c r="B37" s="120">
        <v>0.375</v>
      </c>
      <c r="C37" s="121" t="s">
        <v>70</v>
      </c>
      <c r="D37" s="121" t="s">
        <v>71</v>
      </c>
      <c r="E37" s="121" t="s">
        <v>920</v>
      </c>
      <c r="F37" s="121">
        <v>1</v>
      </c>
      <c r="G37" s="121" t="s">
        <v>73</v>
      </c>
      <c r="H37" s="121" t="s">
        <v>74</v>
      </c>
      <c r="I37" s="121" t="s">
        <v>83</v>
      </c>
      <c r="J37" s="121">
        <v>184</v>
      </c>
      <c r="K37" s="122">
        <v>44950</v>
      </c>
      <c r="L37" s="120">
        <v>0.52619212962962958</v>
      </c>
      <c r="M37" s="121">
        <v>1</v>
      </c>
      <c r="N37" s="121" t="s">
        <v>84</v>
      </c>
      <c r="O37" s="121">
        <v>5.38</v>
      </c>
      <c r="P37" s="121">
        <v>0.39100000000000001</v>
      </c>
      <c r="Q37" s="121">
        <v>200</v>
      </c>
      <c r="R37" s="121" t="s">
        <v>85</v>
      </c>
      <c r="S37" s="123">
        <f t="shared" si="0"/>
        <v>200</v>
      </c>
      <c r="T37" s="10" t="s">
        <v>1071</v>
      </c>
      <c r="U37" s="45">
        <v>44950</v>
      </c>
      <c r="V37" s="129">
        <f t="shared" si="11"/>
        <v>240.78969047999999</v>
      </c>
      <c r="W37" s="129" t="s">
        <v>1088</v>
      </c>
    </row>
    <row r="38" spans="1:23" x14ac:dyDescent="0.55000000000000004">
      <c r="A38" s="119">
        <v>44950</v>
      </c>
      <c r="B38" s="120">
        <v>0.375</v>
      </c>
      <c r="C38" s="121" t="s">
        <v>70</v>
      </c>
      <c r="D38" s="121" t="s">
        <v>71</v>
      </c>
      <c r="E38" s="121" t="s">
        <v>921</v>
      </c>
      <c r="F38" s="121">
        <v>1</v>
      </c>
      <c r="G38" s="121" t="s">
        <v>73</v>
      </c>
      <c r="H38" s="121" t="s">
        <v>74</v>
      </c>
      <c r="I38" s="121" t="s">
        <v>83</v>
      </c>
      <c r="J38" s="121">
        <v>185</v>
      </c>
      <c r="K38" s="122">
        <v>44950</v>
      </c>
      <c r="L38" s="120">
        <v>0.52689814814814817</v>
      </c>
      <c r="M38" s="121">
        <v>1</v>
      </c>
      <c r="N38" s="121" t="s">
        <v>84</v>
      </c>
      <c r="O38" s="121">
        <v>10.1</v>
      </c>
      <c r="P38" s="121">
        <v>0.73099999999999998</v>
      </c>
      <c r="Q38" s="121">
        <v>500</v>
      </c>
      <c r="R38" s="121" t="s">
        <v>85</v>
      </c>
      <c r="S38" s="123">
        <f t="shared" si="0"/>
        <v>500</v>
      </c>
      <c r="T38" s="10" t="s">
        <v>1071</v>
      </c>
      <c r="U38" s="45">
        <v>44950</v>
      </c>
      <c r="V38" s="129">
        <f t="shared" si="11"/>
        <v>496.66474199999993</v>
      </c>
      <c r="W38" s="129" t="s">
        <v>1088</v>
      </c>
    </row>
    <row r="39" spans="1:23" x14ac:dyDescent="0.55000000000000004">
      <c r="A39" s="119">
        <v>44950</v>
      </c>
      <c r="B39" s="120">
        <v>0.375</v>
      </c>
      <c r="C39" s="121" t="s">
        <v>70</v>
      </c>
      <c r="D39" s="121" t="s">
        <v>71</v>
      </c>
      <c r="E39" s="121" t="s">
        <v>922</v>
      </c>
      <c r="F39" s="121">
        <v>1</v>
      </c>
      <c r="G39" s="121" t="s">
        <v>73</v>
      </c>
      <c r="H39" s="121" t="s">
        <v>74</v>
      </c>
      <c r="I39" s="121" t="s">
        <v>83</v>
      </c>
      <c r="J39" s="121">
        <v>186</v>
      </c>
      <c r="K39" s="122">
        <v>44950</v>
      </c>
      <c r="L39" s="120">
        <v>0.52760416666666665</v>
      </c>
      <c r="M39" s="121">
        <v>1</v>
      </c>
      <c r="N39" s="121" t="s">
        <v>84</v>
      </c>
      <c r="O39" s="121">
        <v>19.399999999999999</v>
      </c>
      <c r="P39" s="121">
        <v>1.39</v>
      </c>
      <c r="Q39" s="121">
        <v>1000</v>
      </c>
      <c r="R39" s="121" t="s">
        <v>85</v>
      </c>
      <c r="S39" s="123">
        <f t="shared" si="0"/>
        <v>1000</v>
      </c>
      <c r="T39" s="10" t="s">
        <v>1071</v>
      </c>
      <c r="U39" s="45">
        <v>44950</v>
      </c>
      <c r="V39" s="129">
        <f t="shared" si="11"/>
        <v>1074.3891119999996</v>
      </c>
      <c r="W39" s="129" t="s">
        <v>1088</v>
      </c>
    </row>
    <row r="40" spans="1:23" x14ac:dyDescent="0.55000000000000004">
      <c r="A40" s="119">
        <v>44950</v>
      </c>
      <c r="B40" s="120">
        <v>0.375</v>
      </c>
      <c r="C40" s="121" t="s">
        <v>70</v>
      </c>
      <c r="D40" s="121" t="s">
        <v>71</v>
      </c>
      <c r="E40" s="121" t="s">
        <v>923</v>
      </c>
      <c r="F40" s="121">
        <v>1</v>
      </c>
      <c r="G40" s="121" t="s">
        <v>73</v>
      </c>
      <c r="H40" s="121" t="s">
        <v>74</v>
      </c>
      <c r="I40" s="121" t="s">
        <v>83</v>
      </c>
      <c r="J40" s="121">
        <v>187</v>
      </c>
      <c r="K40" s="122">
        <v>44950</v>
      </c>
      <c r="L40" s="120">
        <v>0.52831018518518513</v>
      </c>
      <c r="M40" s="121">
        <v>1</v>
      </c>
      <c r="N40" s="121" t="s">
        <v>84</v>
      </c>
      <c r="O40" s="121">
        <v>24.6</v>
      </c>
      <c r="P40" s="121">
        <v>1.74</v>
      </c>
      <c r="Q40" s="121">
        <v>1500</v>
      </c>
      <c r="R40" s="121" t="s">
        <v>85</v>
      </c>
      <c r="S40" s="123">
        <f t="shared" si="0"/>
        <v>1500</v>
      </c>
      <c r="T40" s="10" t="s">
        <v>1071</v>
      </c>
      <c r="U40" s="45">
        <v>44950</v>
      </c>
      <c r="V40" s="129">
        <f t="shared" si="11"/>
        <v>1439.9584719999998</v>
      </c>
      <c r="W40" s="129" t="s">
        <v>1088</v>
      </c>
    </row>
    <row r="41" spans="1:23" x14ac:dyDescent="0.55000000000000004">
      <c r="A41" s="119">
        <v>44950</v>
      </c>
      <c r="B41" s="120">
        <v>0.375</v>
      </c>
      <c r="C41" s="121" t="s">
        <v>70</v>
      </c>
      <c r="D41" s="121" t="s">
        <v>71</v>
      </c>
      <c r="E41" s="121" t="s">
        <v>924</v>
      </c>
      <c r="F41" s="121">
        <v>1</v>
      </c>
      <c r="G41" s="121" t="s">
        <v>73</v>
      </c>
      <c r="H41" s="121" t="s">
        <v>74</v>
      </c>
      <c r="I41" s="121" t="s">
        <v>83</v>
      </c>
      <c r="J41" s="121">
        <v>188</v>
      </c>
      <c r="K41" s="122">
        <v>44950</v>
      </c>
      <c r="L41" s="120">
        <v>0.52901620370370372</v>
      </c>
      <c r="M41" s="121">
        <v>1</v>
      </c>
      <c r="N41" s="121" t="s">
        <v>84</v>
      </c>
      <c r="O41" s="121">
        <v>32</v>
      </c>
      <c r="P41" s="121">
        <v>2.2599999999999998</v>
      </c>
      <c r="Q41" s="121">
        <v>2000</v>
      </c>
      <c r="R41" s="121" t="s">
        <v>85</v>
      </c>
      <c r="S41" s="123">
        <f t="shared" si="0"/>
        <v>2000</v>
      </c>
      <c r="T41" s="10" t="s">
        <v>1071</v>
      </c>
      <c r="U41" s="45">
        <v>44950</v>
      </c>
      <c r="V41" s="129">
        <f t="shared" si="11"/>
        <v>2012.7977999999998</v>
      </c>
      <c r="W41" s="129" t="s">
        <v>1088</v>
      </c>
    </row>
    <row r="42" spans="1:23" x14ac:dyDescent="0.55000000000000004">
      <c r="A42" s="119">
        <v>44950</v>
      </c>
      <c r="B42" s="120">
        <v>0.375</v>
      </c>
      <c r="C42" s="121" t="s">
        <v>70</v>
      </c>
      <c r="D42" s="121" t="s">
        <v>71</v>
      </c>
      <c r="E42" s="121" t="s">
        <v>925</v>
      </c>
      <c r="F42" s="121">
        <v>1</v>
      </c>
      <c r="G42" s="121" t="s">
        <v>73</v>
      </c>
      <c r="H42" s="121" t="s">
        <v>74</v>
      </c>
      <c r="I42" s="121" t="s">
        <v>83</v>
      </c>
      <c r="J42" s="121">
        <v>189</v>
      </c>
      <c r="K42" s="122">
        <v>44950</v>
      </c>
      <c r="L42" s="120">
        <v>0.52972222222222221</v>
      </c>
      <c r="M42" s="121">
        <v>1</v>
      </c>
      <c r="N42" s="121" t="s">
        <v>84</v>
      </c>
      <c r="O42" s="121">
        <v>0.55200000000000005</v>
      </c>
      <c r="P42" s="121">
        <v>3.6799999999999999E-2</v>
      </c>
      <c r="Q42" s="121">
        <v>0</v>
      </c>
      <c r="R42" s="121" t="s">
        <v>85</v>
      </c>
      <c r="S42" s="123">
        <f t="shared" si="0"/>
        <v>0</v>
      </c>
      <c r="T42" s="10" t="s">
        <v>1071</v>
      </c>
      <c r="U42" s="45">
        <v>44950</v>
      </c>
      <c r="V42" s="129">
        <f t="shared" si="11"/>
        <v>5.0682179968000014</v>
      </c>
      <c r="W42" s="129" t="s">
        <v>1088</v>
      </c>
    </row>
    <row r="43" spans="1:23" x14ac:dyDescent="0.55000000000000004">
      <c r="A43" s="119">
        <v>44950</v>
      </c>
      <c r="B43" s="120">
        <v>0.375</v>
      </c>
      <c r="C43" s="121" t="s">
        <v>70</v>
      </c>
      <c r="D43" s="121" t="s">
        <v>71</v>
      </c>
      <c r="E43" s="121" t="s">
        <v>926</v>
      </c>
      <c r="F43" s="121">
        <v>1</v>
      </c>
      <c r="G43" s="121" t="s">
        <v>73</v>
      </c>
      <c r="H43" s="121" t="s">
        <v>74</v>
      </c>
      <c r="I43" s="121" t="s">
        <v>83</v>
      </c>
      <c r="J43" s="121">
        <v>190</v>
      </c>
      <c r="K43" s="122">
        <v>44950</v>
      </c>
      <c r="L43" s="120">
        <v>0.53043981481481484</v>
      </c>
      <c r="M43" s="121">
        <v>1</v>
      </c>
      <c r="N43" s="121" t="s">
        <v>84</v>
      </c>
      <c r="O43" s="121">
        <v>0.55400000000000005</v>
      </c>
      <c r="P43" s="121">
        <v>3.7199999999999997E-2</v>
      </c>
      <c r="Q43" s="121">
        <v>5</v>
      </c>
      <c r="R43" s="121" t="s">
        <v>85</v>
      </c>
      <c r="S43" s="123">
        <f t="shared" si="0"/>
        <v>5</v>
      </c>
      <c r="T43" s="10" t="s">
        <v>1071</v>
      </c>
      <c r="U43" s="45">
        <v>44950</v>
      </c>
      <c r="V43" s="129">
        <f t="shared" si="11"/>
        <v>5.160420007199999</v>
      </c>
      <c r="W43" s="129" t="s">
        <v>1088</v>
      </c>
    </row>
    <row r="44" spans="1:23" x14ac:dyDescent="0.55000000000000004">
      <c r="A44" s="119">
        <v>44950</v>
      </c>
      <c r="B44" s="120">
        <v>0.375</v>
      </c>
      <c r="C44" s="121" t="s">
        <v>70</v>
      </c>
      <c r="D44" s="121" t="s">
        <v>71</v>
      </c>
      <c r="E44" s="121" t="s">
        <v>927</v>
      </c>
      <c r="F44" s="121">
        <v>1</v>
      </c>
      <c r="G44" s="121" t="s">
        <v>73</v>
      </c>
      <c r="H44" s="121" t="s">
        <v>74</v>
      </c>
      <c r="I44" s="121" t="s">
        <v>83</v>
      </c>
      <c r="J44" s="121">
        <v>191</v>
      </c>
      <c r="K44" s="122">
        <v>44950</v>
      </c>
      <c r="L44" s="120">
        <v>0.53113425925925928</v>
      </c>
      <c r="M44" s="121">
        <v>1</v>
      </c>
      <c r="N44" s="121" t="s">
        <v>84</v>
      </c>
      <c r="O44" s="121">
        <v>0.64900000000000002</v>
      </c>
      <c r="P44" s="121">
        <v>4.3400000000000001E-2</v>
      </c>
      <c r="Q44" s="121">
        <v>15</v>
      </c>
      <c r="R44" s="121" t="s">
        <v>85</v>
      </c>
      <c r="S44" s="123">
        <f t="shared" si="0"/>
        <v>15</v>
      </c>
      <c r="T44" s="10" t="s">
        <v>1071</v>
      </c>
      <c r="U44" s="45">
        <v>44950</v>
      </c>
      <c r="V44" s="129">
        <f t="shared" si="11"/>
        <v>9.5452146041999981</v>
      </c>
      <c r="W44" s="129" t="s">
        <v>1088</v>
      </c>
    </row>
    <row r="45" spans="1:23" x14ac:dyDescent="0.55000000000000004">
      <c r="A45" s="119">
        <v>44950</v>
      </c>
      <c r="B45" s="120">
        <v>0.375</v>
      </c>
      <c r="C45" s="121" t="s">
        <v>70</v>
      </c>
      <c r="D45" s="121" t="s">
        <v>71</v>
      </c>
      <c r="E45" s="121" t="s">
        <v>928</v>
      </c>
      <c r="F45" s="121">
        <v>1</v>
      </c>
      <c r="G45" s="121" t="s">
        <v>73</v>
      </c>
      <c r="H45" s="121" t="s">
        <v>74</v>
      </c>
      <c r="I45" s="121" t="s">
        <v>83</v>
      </c>
      <c r="J45" s="121">
        <v>192</v>
      </c>
      <c r="K45" s="122">
        <v>44950</v>
      </c>
      <c r="L45" s="120">
        <v>0.53185185185185191</v>
      </c>
      <c r="M45" s="121">
        <v>1</v>
      </c>
      <c r="N45" s="121" t="s">
        <v>84</v>
      </c>
      <c r="O45" s="121">
        <v>0.71699999999999997</v>
      </c>
      <c r="P45" s="121">
        <v>4.8500000000000001E-2</v>
      </c>
      <c r="Q45" s="121">
        <v>20</v>
      </c>
      <c r="R45" s="121" t="s">
        <v>85</v>
      </c>
      <c r="S45" s="123">
        <f t="shared" si="0"/>
        <v>20</v>
      </c>
      <c r="T45" s="10" t="s">
        <v>1071</v>
      </c>
      <c r="U45" s="45">
        <v>44950</v>
      </c>
      <c r="V45" s="129">
        <f t="shared" si="11"/>
        <v>12.690058013799998</v>
      </c>
      <c r="W45" s="129" t="s">
        <v>1088</v>
      </c>
    </row>
    <row r="46" spans="1:23" x14ac:dyDescent="0.55000000000000004">
      <c r="A46" s="119">
        <v>44950</v>
      </c>
      <c r="B46" s="120">
        <v>0.375</v>
      </c>
      <c r="C46" s="121" t="s">
        <v>70</v>
      </c>
      <c r="D46" s="121" t="s">
        <v>71</v>
      </c>
      <c r="E46" s="121" t="s">
        <v>929</v>
      </c>
      <c r="F46" s="121">
        <v>1</v>
      </c>
      <c r="G46" s="121" t="s">
        <v>73</v>
      </c>
      <c r="H46" s="121" t="s">
        <v>74</v>
      </c>
      <c r="I46" s="121" t="s">
        <v>83</v>
      </c>
      <c r="J46" s="121">
        <v>193</v>
      </c>
      <c r="K46" s="122">
        <v>44950</v>
      </c>
      <c r="L46" s="120">
        <v>0.53254629629629624</v>
      </c>
      <c r="M46" s="121">
        <v>1</v>
      </c>
      <c r="N46" s="121" t="s">
        <v>84</v>
      </c>
      <c r="O46" s="121">
        <v>1.39</v>
      </c>
      <c r="P46" s="121">
        <v>9.6100000000000005E-2</v>
      </c>
      <c r="Q46" s="121">
        <v>75</v>
      </c>
      <c r="R46" s="121" t="s">
        <v>85</v>
      </c>
      <c r="S46" s="123">
        <f t="shared" si="0"/>
        <v>75</v>
      </c>
      <c r="T46" s="10" t="s">
        <v>1071</v>
      </c>
      <c r="U46" s="45">
        <v>44950</v>
      </c>
      <c r="V46" s="129">
        <f t="shared" si="11"/>
        <v>44.096120819999989</v>
      </c>
      <c r="W46" s="129" t="s">
        <v>1088</v>
      </c>
    </row>
    <row r="47" spans="1:23" x14ac:dyDescent="0.55000000000000004">
      <c r="A47" s="119">
        <v>44950</v>
      </c>
      <c r="B47" s="120">
        <v>0.375</v>
      </c>
      <c r="C47" s="121" t="s">
        <v>70</v>
      </c>
      <c r="D47" s="121" t="s">
        <v>71</v>
      </c>
      <c r="E47" s="121" t="s">
        <v>930</v>
      </c>
      <c r="F47" s="121">
        <v>1</v>
      </c>
      <c r="G47" s="121" t="s">
        <v>73</v>
      </c>
      <c r="H47" s="121" t="s">
        <v>74</v>
      </c>
      <c r="I47" s="121" t="s">
        <v>83</v>
      </c>
      <c r="J47" s="121">
        <v>194</v>
      </c>
      <c r="K47" s="122">
        <v>44950</v>
      </c>
      <c r="L47" s="120">
        <v>0.53326388888888887</v>
      </c>
      <c r="M47" s="121">
        <v>1</v>
      </c>
      <c r="N47" s="121" t="s">
        <v>84</v>
      </c>
      <c r="O47" s="121">
        <v>2.37</v>
      </c>
      <c r="P47" s="121">
        <v>0.16900000000000001</v>
      </c>
      <c r="Q47" s="121">
        <v>150</v>
      </c>
      <c r="R47" s="121" t="s">
        <v>85</v>
      </c>
      <c r="S47" s="123">
        <f t="shared" si="0"/>
        <v>150</v>
      </c>
      <c r="T47" s="10" t="s">
        <v>1071</v>
      </c>
      <c r="U47" s="45">
        <v>44950</v>
      </c>
      <c r="V47" s="129">
        <f t="shared" si="11"/>
        <v>90.742544979999991</v>
      </c>
      <c r="W47" s="129" t="s">
        <v>1088</v>
      </c>
    </row>
    <row r="48" spans="1:23" x14ac:dyDescent="0.55000000000000004">
      <c r="A48" s="119">
        <v>44950</v>
      </c>
      <c r="B48" s="120">
        <v>0.375</v>
      </c>
      <c r="C48" s="121" t="s">
        <v>70</v>
      </c>
      <c r="D48" s="121" t="s">
        <v>71</v>
      </c>
      <c r="E48" s="121" t="s">
        <v>931</v>
      </c>
      <c r="F48" s="121">
        <v>1</v>
      </c>
      <c r="G48" s="121" t="s">
        <v>73</v>
      </c>
      <c r="H48" s="121" t="s">
        <v>74</v>
      </c>
      <c r="I48" s="121" t="s">
        <v>83</v>
      </c>
      <c r="J48" s="121">
        <v>195</v>
      </c>
      <c r="K48" s="122">
        <v>44950</v>
      </c>
      <c r="L48" s="120">
        <v>0.53396990740740746</v>
      </c>
      <c r="M48" s="121">
        <v>1</v>
      </c>
      <c r="N48" s="121" t="s">
        <v>84</v>
      </c>
      <c r="O48" s="121">
        <v>4.54</v>
      </c>
      <c r="P48" s="121">
        <v>0.32700000000000001</v>
      </c>
      <c r="Q48" s="121">
        <v>300</v>
      </c>
      <c r="R48" s="121" t="s">
        <v>85</v>
      </c>
      <c r="S48" s="123">
        <f t="shared" si="0"/>
        <v>300</v>
      </c>
      <c r="T48" s="10" t="s">
        <v>1071</v>
      </c>
      <c r="U48" s="45">
        <v>44950</v>
      </c>
      <c r="V48" s="129">
        <f t="shared" si="11"/>
        <v>197.88764472</v>
      </c>
      <c r="W48" s="129" t="s">
        <v>1088</v>
      </c>
    </row>
    <row r="49" spans="1:23" x14ac:dyDescent="0.55000000000000004">
      <c r="A49" s="119">
        <v>44950</v>
      </c>
      <c r="B49" s="120">
        <v>0.375</v>
      </c>
      <c r="C49" s="121" t="s">
        <v>70</v>
      </c>
      <c r="D49" s="121" t="s">
        <v>71</v>
      </c>
      <c r="E49" s="121" t="s">
        <v>932</v>
      </c>
      <c r="F49" s="121">
        <v>1</v>
      </c>
      <c r="G49" s="121" t="s">
        <v>73</v>
      </c>
      <c r="H49" s="121" t="s">
        <v>74</v>
      </c>
      <c r="I49" s="121" t="s">
        <v>83</v>
      </c>
      <c r="J49" s="121">
        <v>196</v>
      </c>
      <c r="K49" s="122">
        <v>44950</v>
      </c>
      <c r="L49" s="120">
        <v>0.53467592592592594</v>
      </c>
      <c r="M49" s="121">
        <v>1</v>
      </c>
      <c r="N49" s="121" t="s">
        <v>84</v>
      </c>
      <c r="O49" s="121">
        <v>7.56</v>
      </c>
      <c r="P49" s="121">
        <v>0.55200000000000005</v>
      </c>
      <c r="Q49" s="121">
        <v>500</v>
      </c>
      <c r="R49" s="121" t="s">
        <v>85</v>
      </c>
      <c r="S49" s="123">
        <f t="shared" si="0"/>
        <v>500</v>
      </c>
      <c r="T49" s="10" t="s">
        <v>1071</v>
      </c>
      <c r="U49" s="45">
        <v>44950</v>
      </c>
      <c r="V49" s="129">
        <f t="shared" si="11"/>
        <v>355.84518111999995</v>
      </c>
      <c r="W49" s="129" t="s">
        <v>1088</v>
      </c>
    </row>
    <row r="50" spans="1:23" x14ac:dyDescent="0.55000000000000004">
      <c r="A50" s="124">
        <v>44958</v>
      </c>
      <c r="B50" s="125">
        <v>0.375</v>
      </c>
      <c r="C50" s="31" t="s">
        <v>70</v>
      </c>
      <c r="D50" s="31" t="s">
        <v>71</v>
      </c>
      <c r="E50" s="31" t="s">
        <v>917</v>
      </c>
      <c r="F50" s="31">
        <v>1</v>
      </c>
      <c r="G50" s="31" t="s">
        <v>73</v>
      </c>
      <c r="H50" s="31" t="s">
        <v>74</v>
      </c>
      <c r="I50" s="31" t="s">
        <v>83</v>
      </c>
      <c r="J50" s="31">
        <v>181</v>
      </c>
      <c r="K50" s="126">
        <v>44958</v>
      </c>
      <c r="L50" s="125">
        <v>0.57030092592592596</v>
      </c>
      <c r="M50" s="31">
        <v>1</v>
      </c>
      <c r="N50" s="31" t="s">
        <v>84</v>
      </c>
      <c r="O50" s="31">
        <v>0.439</v>
      </c>
      <c r="P50" s="31">
        <v>2.9000000000000001E-2</v>
      </c>
      <c r="Q50" s="31">
        <v>0</v>
      </c>
      <c r="R50" s="31" t="s">
        <v>85</v>
      </c>
      <c r="S50" s="34">
        <f t="shared" si="0"/>
        <v>0</v>
      </c>
      <c r="T50" s="31" t="s">
        <v>1126</v>
      </c>
      <c r="U50" s="127">
        <v>44958</v>
      </c>
      <c r="V50" s="128">
        <f>0.0239*O50^2+66.574*O50-31.913</f>
        <v>-2.6824079681000015</v>
      </c>
      <c r="W50" s="128" t="s">
        <v>1140</v>
      </c>
    </row>
    <row r="51" spans="1:23" x14ac:dyDescent="0.55000000000000004">
      <c r="A51" s="124">
        <v>44958</v>
      </c>
      <c r="B51" s="125">
        <v>0.375</v>
      </c>
      <c r="C51" s="31" t="s">
        <v>70</v>
      </c>
      <c r="D51" s="31" t="s">
        <v>71</v>
      </c>
      <c r="E51" s="31" t="s">
        <v>918</v>
      </c>
      <c r="F51" s="31">
        <v>1</v>
      </c>
      <c r="G51" s="31" t="s">
        <v>73</v>
      </c>
      <c r="H51" s="31" t="s">
        <v>74</v>
      </c>
      <c r="I51" s="31" t="s">
        <v>83</v>
      </c>
      <c r="J51" s="31">
        <v>182</v>
      </c>
      <c r="K51" s="126">
        <v>44958</v>
      </c>
      <c r="L51" s="125">
        <v>0.5709953703703704</v>
      </c>
      <c r="M51" s="31">
        <v>1</v>
      </c>
      <c r="N51" s="31" t="s">
        <v>84</v>
      </c>
      <c r="O51" s="31">
        <v>0.60899999999999999</v>
      </c>
      <c r="P51" s="31">
        <v>4.1000000000000002E-2</v>
      </c>
      <c r="Q51" s="31">
        <v>12</v>
      </c>
      <c r="R51" s="31" t="s">
        <v>85</v>
      </c>
      <c r="S51" s="34">
        <f t="shared" si="0"/>
        <v>12</v>
      </c>
      <c r="T51" s="31" t="s">
        <v>1126</v>
      </c>
      <c r="U51" s="127">
        <v>44958</v>
      </c>
      <c r="V51" s="128">
        <f t="shared" ref="V51:V65" si="12">0.0239*O51^2+66.574*O51-31.913</f>
        <v>8.6394300558999966</v>
      </c>
      <c r="W51" s="128" t="s">
        <v>1140</v>
      </c>
    </row>
    <row r="52" spans="1:23" x14ac:dyDescent="0.55000000000000004">
      <c r="A52" s="124">
        <v>44958</v>
      </c>
      <c r="B52" s="125">
        <v>0.375</v>
      </c>
      <c r="C52" s="31" t="s">
        <v>70</v>
      </c>
      <c r="D52" s="31" t="s">
        <v>71</v>
      </c>
      <c r="E52" s="31" t="s">
        <v>919</v>
      </c>
      <c r="F52" s="31">
        <v>1</v>
      </c>
      <c r="G52" s="31" t="s">
        <v>73</v>
      </c>
      <c r="H52" s="31" t="s">
        <v>74</v>
      </c>
      <c r="I52" s="31" t="s">
        <v>83</v>
      </c>
      <c r="J52" s="31">
        <v>183</v>
      </c>
      <c r="K52" s="126">
        <v>44958</v>
      </c>
      <c r="L52" s="125">
        <v>0.57170138888888888</v>
      </c>
      <c r="M52" s="31">
        <v>1</v>
      </c>
      <c r="N52" s="31" t="s">
        <v>84</v>
      </c>
      <c r="O52" s="31">
        <v>1.0900000000000001</v>
      </c>
      <c r="P52" s="31">
        <v>7.4200000000000002E-2</v>
      </c>
      <c r="Q52" s="31">
        <v>50</v>
      </c>
      <c r="R52" s="31" t="s">
        <v>85</v>
      </c>
      <c r="S52" s="34">
        <f t="shared" si="0"/>
        <v>50</v>
      </c>
      <c r="T52" s="31" t="s">
        <v>1126</v>
      </c>
      <c r="U52" s="127">
        <v>44958</v>
      </c>
      <c r="V52" s="128">
        <f t="shared" si="12"/>
        <v>40.681055590000014</v>
      </c>
      <c r="W52" s="128" t="s">
        <v>1140</v>
      </c>
    </row>
    <row r="53" spans="1:23" x14ac:dyDescent="0.55000000000000004">
      <c r="A53" s="124">
        <v>44958</v>
      </c>
      <c r="B53" s="125">
        <v>0.375</v>
      </c>
      <c r="C53" s="31" t="s">
        <v>70</v>
      </c>
      <c r="D53" s="31" t="s">
        <v>71</v>
      </c>
      <c r="E53" s="31" t="s">
        <v>920</v>
      </c>
      <c r="F53" s="31">
        <v>1</v>
      </c>
      <c r="G53" s="31" t="s">
        <v>73</v>
      </c>
      <c r="H53" s="31" t="s">
        <v>74</v>
      </c>
      <c r="I53" s="31" t="s">
        <v>83</v>
      </c>
      <c r="J53" s="31">
        <v>184</v>
      </c>
      <c r="K53" s="126">
        <v>44958</v>
      </c>
      <c r="L53" s="125">
        <v>0.57240740740740736</v>
      </c>
      <c r="M53" s="31">
        <v>1</v>
      </c>
      <c r="N53" s="31" t="s">
        <v>84</v>
      </c>
      <c r="O53" s="31">
        <v>3.36</v>
      </c>
      <c r="P53" s="31">
        <v>0.23200000000000001</v>
      </c>
      <c r="Q53" s="31">
        <v>200</v>
      </c>
      <c r="R53" s="31" t="s">
        <v>85</v>
      </c>
      <c r="S53" s="34">
        <f t="shared" si="0"/>
        <v>200</v>
      </c>
      <c r="T53" s="31" t="s">
        <v>1126</v>
      </c>
      <c r="U53" s="127">
        <v>44958</v>
      </c>
      <c r="V53" s="128">
        <f t="shared" si="12"/>
        <v>192.04546143999997</v>
      </c>
      <c r="W53" s="128" t="s">
        <v>1140</v>
      </c>
    </row>
    <row r="54" spans="1:23" x14ac:dyDescent="0.55000000000000004">
      <c r="A54" s="124">
        <v>44958</v>
      </c>
      <c r="B54" s="125">
        <v>0.375</v>
      </c>
      <c r="C54" s="31" t="s">
        <v>70</v>
      </c>
      <c r="D54" s="31" t="s">
        <v>71</v>
      </c>
      <c r="E54" s="31" t="s">
        <v>921</v>
      </c>
      <c r="F54" s="31">
        <v>1</v>
      </c>
      <c r="G54" s="31" t="s">
        <v>73</v>
      </c>
      <c r="H54" s="31" t="s">
        <v>74</v>
      </c>
      <c r="I54" s="31" t="s">
        <v>83</v>
      </c>
      <c r="J54" s="31">
        <v>185</v>
      </c>
      <c r="K54" s="126">
        <v>44958</v>
      </c>
      <c r="L54" s="125">
        <v>0.57311342592592596</v>
      </c>
      <c r="M54" s="31">
        <v>1</v>
      </c>
      <c r="N54" s="31" t="s">
        <v>84</v>
      </c>
      <c r="O54" s="31">
        <v>7.94</v>
      </c>
      <c r="P54" s="31">
        <v>0.56599999999999995</v>
      </c>
      <c r="Q54" s="31">
        <v>500</v>
      </c>
      <c r="R54" s="31" t="s">
        <v>85</v>
      </c>
      <c r="S54" s="34">
        <f t="shared" si="0"/>
        <v>500</v>
      </c>
      <c r="T54" s="31" t="s">
        <v>1126</v>
      </c>
      <c r="U54" s="127">
        <v>44958</v>
      </c>
      <c r="V54" s="128">
        <f t="shared" si="12"/>
        <v>498.19130203999998</v>
      </c>
      <c r="W54" s="128" t="s">
        <v>1140</v>
      </c>
    </row>
    <row r="55" spans="1:23" x14ac:dyDescent="0.55000000000000004">
      <c r="A55" s="124">
        <v>44958</v>
      </c>
      <c r="B55" s="125">
        <v>0.375</v>
      </c>
      <c r="C55" s="31" t="s">
        <v>70</v>
      </c>
      <c r="D55" s="31" t="s">
        <v>71</v>
      </c>
      <c r="E55" s="31" t="s">
        <v>922</v>
      </c>
      <c r="F55" s="31">
        <v>1</v>
      </c>
      <c r="G55" s="31" t="s">
        <v>73</v>
      </c>
      <c r="H55" s="31" t="s">
        <v>74</v>
      </c>
      <c r="I55" s="31" t="s">
        <v>83</v>
      </c>
      <c r="J55" s="31">
        <v>186</v>
      </c>
      <c r="K55" s="126">
        <v>44958</v>
      </c>
      <c r="L55" s="125">
        <v>0.57381944444444444</v>
      </c>
      <c r="M55" s="31">
        <v>1</v>
      </c>
      <c r="N55" s="31" t="s">
        <v>84</v>
      </c>
      <c r="O55" s="31">
        <v>15.4</v>
      </c>
      <c r="P55" s="31">
        <v>1.0900000000000001</v>
      </c>
      <c r="Q55" s="31">
        <v>1000</v>
      </c>
      <c r="R55" s="31" t="s">
        <v>85</v>
      </c>
      <c r="S55" s="34">
        <f t="shared" si="0"/>
        <v>1000</v>
      </c>
      <c r="T55" s="31" t="s">
        <v>1126</v>
      </c>
      <c r="U55" s="127">
        <v>44958</v>
      </c>
      <c r="V55" s="128">
        <f t="shared" si="12"/>
        <v>998.99472399999991</v>
      </c>
      <c r="W55" s="128" t="s">
        <v>1140</v>
      </c>
    </row>
    <row r="56" spans="1:23" x14ac:dyDescent="0.55000000000000004">
      <c r="A56" s="124">
        <v>44958</v>
      </c>
      <c r="B56" s="125">
        <v>0.375</v>
      </c>
      <c r="C56" s="31" t="s">
        <v>70</v>
      </c>
      <c r="D56" s="31" t="s">
        <v>71</v>
      </c>
      <c r="E56" s="31" t="s">
        <v>923</v>
      </c>
      <c r="F56" s="31">
        <v>1</v>
      </c>
      <c r="G56" s="31" t="s">
        <v>73</v>
      </c>
      <c r="H56" s="31" t="s">
        <v>74</v>
      </c>
      <c r="I56" s="31" t="s">
        <v>83</v>
      </c>
      <c r="J56" s="31">
        <v>187</v>
      </c>
      <c r="K56" s="126">
        <v>44958</v>
      </c>
      <c r="L56" s="125">
        <v>0.57452546296296292</v>
      </c>
      <c r="M56" s="31">
        <v>1</v>
      </c>
      <c r="N56" s="31" t="s">
        <v>84</v>
      </c>
      <c r="O56" s="31">
        <v>23.2</v>
      </c>
      <c r="P56" s="31">
        <v>1.62</v>
      </c>
      <c r="Q56" s="31">
        <v>1500</v>
      </c>
      <c r="R56" s="31" t="s">
        <v>85</v>
      </c>
      <c r="S56" s="34">
        <f t="shared" si="0"/>
        <v>1500</v>
      </c>
      <c r="T56" s="31" t="s">
        <v>1126</v>
      </c>
      <c r="U56" s="127">
        <v>44958</v>
      </c>
      <c r="V56" s="128">
        <f t="shared" si="12"/>
        <v>1525.4677359999998</v>
      </c>
      <c r="W56" s="128" t="s">
        <v>1140</v>
      </c>
    </row>
    <row r="57" spans="1:23" x14ac:dyDescent="0.55000000000000004">
      <c r="A57" s="124">
        <v>44958</v>
      </c>
      <c r="B57" s="125">
        <v>0.375</v>
      </c>
      <c r="C57" s="31" t="s">
        <v>70</v>
      </c>
      <c r="D57" s="31" t="s">
        <v>71</v>
      </c>
      <c r="E57" s="31" t="s">
        <v>924</v>
      </c>
      <c r="F57" s="31">
        <v>1</v>
      </c>
      <c r="G57" s="31" t="s">
        <v>73</v>
      </c>
      <c r="H57" s="31" t="s">
        <v>74</v>
      </c>
      <c r="I57" s="31" t="s">
        <v>83</v>
      </c>
      <c r="J57" s="31">
        <v>188</v>
      </c>
      <c r="K57" s="126">
        <v>44958</v>
      </c>
      <c r="L57" s="125">
        <v>0.57523148148148151</v>
      </c>
      <c r="M57" s="31">
        <v>1</v>
      </c>
      <c r="N57" s="31" t="s">
        <v>84</v>
      </c>
      <c r="O57" s="31">
        <v>30</v>
      </c>
      <c r="P57" s="31">
        <v>2.08</v>
      </c>
      <c r="Q57" s="31">
        <v>2000</v>
      </c>
      <c r="R57" s="31" t="s">
        <v>85</v>
      </c>
      <c r="S57" s="34">
        <f t="shared" si="0"/>
        <v>2000</v>
      </c>
      <c r="T57" s="31" t="s">
        <v>1126</v>
      </c>
      <c r="U57" s="127">
        <v>44958</v>
      </c>
      <c r="V57" s="128">
        <f t="shared" si="12"/>
        <v>1986.817</v>
      </c>
      <c r="W57" s="128" t="s">
        <v>1140</v>
      </c>
    </row>
    <row r="58" spans="1:23" x14ac:dyDescent="0.55000000000000004">
      <c r="A58" s="124">
        <v>44958</v>
      </c>
      <c r="B58" s="125">
        <v>0.375</v>
      </c>
      <c r="C58" s="31" t="s">
        <v>70</v>
      </c>
      <c r="D58" s="31" t="s">
        <v>71</v>
      </c>
      <c r="E58" s="31" t="s">
        <v>925</v>
      </c>
      <c r="F58" s="31">
        <v>1</v>
      </c>
      <c r="G58" s="31" t="s">
        <v>73</v>
      </c>
      <c r="H58" s="31" t="s">
        <v>74</v>
      </c>
      <c r="I58" s="31" t="s">
        <v>83</v>
      </c>
      <c r="J58" s="31">
        <v>189</v>
      </c>
      <c r="K58" s="126">
        <v>44958</v>
      </c>
      <c r="L58" s="125">
        <v>0.57594907407407414</v>
      </c>
      <c r="M58" s="31">
        <v>1</v>
      </c>
      <c r="N58" s="31" t="s">
        <v>84</v>
      </c>
      <c r="O58" s="31">
        <v>0.57399999999999995</v>
      </c>
      <c r="P58" s="31">
        <v>3.7699999999999997E-2</v>
      </c>
      <c r="Q58" s="31">
        <v>0</v>
      </c>
      <c r="R58" s="31" t="s">
        <v>85</v>
      </c>
      <c r="S58" s="34">
        <f t="shared" si="0"/>
        <v>0</v>
      </c>
      <c r="T58" s="31" t="s">
        <v>1126</v>
      </c>
      <c r="U58" s="127">
        <v>44958</v>
      </c>
      <c r="V58" s="128">
        <f t="shared" si="12"/>
        <v>6.3083504763999905</v>
      </c>
      <c r="W58" s="128" t="s">
        <v>1140</v>
      </c>
    </row>
    <row r="59" spans="1:23" x14ac:dyDescent="0.55000000000000004">
      <c r="A59" s="124">
        <v>44958</v>
      </c>
      <c r="B59" s="125">
        <v>0.375</v>
      </c>
      <c r="C59" s="31" t="s">
        <v>70</v>
      </c>
      <c r="D59" s="31" t="s">
        <v>71</v>
      </c>
      <c r="E59" s="31" t="s">
        <v>926</v>
      </c>
      <c r="F59" s="31">
        <v>1</v>
      </c>
      <c r="G59" s="31" t="s">
        <v>73</v>
      </c>
      <c r="H59" s="31" t="s">
        <v>74</v>
      </c>
      <c r="I59" s="31" t="s">
        <v>83</v>
      </c>
      <c r="J59" s="31">
        <v>190</v>
      </c>
      <c r="K59" s="126">
        <v>44958</v>
      </c>
      <c r="L59" s="125">
        <v>0.57665509259259262</v>
      </c>
      <c r="M59" s="31">
        <v>1</v>
      </c>
      <c r="N59" s="31" t="s">
        <v>84</v>
      </c>
      <c r="O59" s="31">
        <v>0.59699999999999998</v>
      </c>
      <c r="P59" s="31">
        <v>3.8899999999999997E-2</v>
      </c>
      <c r="Q59" s="31">
        <v>5</v>
      </c>
      <c r="R59" s="31" t="s">
        <v>85</v>
      </c>
      <c r="S59" s="34">
        <f t="shared" si="0"/>
        <v>5</v>
      </c>
      <c r="T59" s="31" t="s">
        <v>1126</v>
      </c>
      <c r="U59" s="127">
        <v>44958</v>
      </c>
      <c r="V59" s="128">
        <f t="shared" si="12"/>
        <v>7.8401961751000009</v>
      </c>
      <c r="W59" s="128" t="s">
        <v>1140</v>
      </c>
    </row>
    <row r="60" spans="1:23" x14ac:dyDescent="0.55000000000000004">
      <c r="A60" s="124">
        <v>44958</v>
      </c>
      <c r="B60" s="125">
        <v>0.375</v>
      </c>
      <c r="C60" s="31" t="s">
        <v>70</v>
      </c>
      <c r="D60" s="31" t="s">
        <v>71</v>
      </c>
      <c r="E60" s="31" t="s">
        <v>927</v>
      </c>
      <c r="F60" s="31">
        <v>1</v>
      </c>
      <c r="G60" s="31" t="s">
        <v>73</v>
      </c>
      <c r="H60" s="31" t="s">
        <v>74</v>
      </c>
      <c r="I60" s="31" t="s">
        <v>83</v>
      </c>
      <c r="J60" s="31">
        <v>191</v>
      </c>
      <c r="K60" s="126">
        <v>44958</v>
      </c>
      <c r="L60" s="125">
        <v>0.5773611111111111</v>
      </c>
      <c r="M60" s="31">
        <v>1</v>
      </c>
      <c r="N60" s="31" t="s">
        <v>84</v>
      </c>
      <c r="O60" s="31">
        <v>0.67900000000000005</v>
      </c>
      <c r="P60" s="31">
        <v>4.4499999999999998E-2</v>
      </c>
      <c r="Q60" s="31">
        <v>15</v>
      </c>
      <c r="R60" s="31" t="s">
        <v>85</v>
      </c>
      <c r="S60" s="34">
        <f t="shared" si="0"/>
        <v>15</v>
      </c>
      <c r="T60" s="31" t="s">
        <v>1126</v>
      </c>
      <c r="U60" s="127">
        <v>44958</v>
      </c>
      <c r="V60" s="128">
        <f t="shared" si="12"/>
        <v>13.301764879900002</v>
      </c>
      <c r="W60" s="128" t="s">
        <v>1140</v>
      </c>
    </row>
    <row r="61" spans="1:23" x14ac:dyDescent="0.55000000000000004">
      <c r="A61" s="124">
        <v>44958</v>
      </c>
      <c r="B61" s="125">
        <v>0.375</v>
      </c>
      <c r="C61" s="31" t="s">
        <v>70</v>
      </c>
      <c r="D61" s="31" t="s">
        <v>71</v>
      </c>
      <c r="E61" s="31" t="s">
        <v>928</v>
      </c>
      <c r="F61" s="31">
        <v>1</v>
      </c>
      <c r="G61" s="31" t="s">
        <v>73</v>
      </c>
      <c r="H61" s="31" t="s">
        <v>74</v>
      </c>
      <c r="I61" s="31" t="s">
        <v>83</v>
      </c>
      <c r="J61" s="31">
        <v>192</v>
      </c>
      <c r="K61" s="126">
        <v>44958</v>
      </c>
      <c r="L61" s="125">
        <v>0.57806712962962969</v>
      </c>
      <c r="M61" s="31">
        <v>1</v>
      </c>
      <c r="N61" s="31" t="s">
        <v>84</v>
      </c>
      <c r="O61" s="31">
        <v>0.747</v>
      </c>
      <c r="P61" s="31">
        <v>4.8899999999999999E-2</v>
      </c>
      <c r="Q61" s="31">
        <v>20</v>
      </c>
      <c r="R61" s="31" t="s">
        <v>85</v>
      </c>
      <c r="S61" s="34">
        <f t="shared" si="0"/>
        <v>20</v>
      </c>
      <c r="T61" s="31" t="s">
        <v>1126</v>
      </c>
      <c r="U61" s="127">
        <v>44958</v>
      </c>
      <c r="V61" s="128">
        <f t="shared" si="12"/>
        <v>17.8311144151</v>
      </c>
      <c r="W61" s="128" t="s">
        <v>1140</v>
      </c>
    </row>
    <row r="62" spans="1:23" x14ac:dyDescent="0.55000000000000004">
      <c r="A62" s="124">
        <v>44958</v>
      </c>
      <c r="B62" s="125">
        <v>0.375</v>
      </c>
      <c r="C62" s="31" t="s">
        <v>70</v>
      </c>
      <c r="D62" s="31" t="s">
        <v>71</v>
      </c>
      <c r="E62" s="31" t="s">
        <v>929</v>
      </c>
      <c r="F62" s="31">
        <v>1</v>
      </c>
      <c r="G62" s="31" t="s">
        <v>73</v>
      </c>
      <c r="H62" s="31" t="s">
        <v>74</v>
      </c>
      <c r="I62" s="31" t="s">
        <v>83</v>
      </c>
      <c r="J62" s="31">
        <v>193</v>
      </c>
      <c r="K62" s="126">
        <v>44958</v>
      </c>
      <c r="L62" s="125">
        <v>0.57877314814814818</v>
      </c>
      <c r="M62" s="31">
        <v>1</v>
      </c>
      <c r="N62" s="31" t="s">
        <v>84</v>
      </c>
      <c r="O62" s="31">
        <v>2.67</v>
      </c>
      <c r="P62" s="31">
        <v>0.186</v>
      </c>
      <c r="Q62" s="31">
        <v>75</v>
      </c>
      <c r="R62" s="31" t="s">
        <v>85</v>
      </c>
      <c r="S62" s="34">
        <f t="shared" si="0"/>
        <v>75</v>
      </c>
      <c r="T62" s="31" t="s">
        <v>1126</v>
      </c>
      <c r="U62" s="127">
        <v>44958</v>
      </c>
      <c r="V62" s="128">
        <f t="shared" si="12"/>
        <v>146.00996070999997</v>
      </c>
      <c r="W62" s="128" t="s">
        <v>1140</v>
      </c>
    </row>
    <row r="63" spans="1:23" x14ac:dyDescent="0.55000000000000004">
      <c r="A63" s="124">
        <v>44958</v>
      </c>
      <c r="B63" s="125">
        <v>0.375</v>
      </c>
      <c r="C63" s="31" t="s">
        <v>70</v>
      </c>
      <c r="D63" s="31" t="s">
        <v>71</v>
      </c>
      <c r="E63" s="31" t="s">
        <v>930</v>
      </c>
      <c r="F63" s="31">
        <v>1</v>
      </c>
      <c r="G63" s="31" t="s">
        <v>73</v>
      </c>
      <c r="H63" s="31" t="s">
        <v>74</v>
      </c>
      <c r="I63" s="31" t="s">
        <v>83</v>
      </c>
      <c r="J63" s="31">
        <v>194</v>
      </c>
      <c r="K63" s="126">
        <v>44958</v>
      </c>
      <c r="L63" s="125">
        <v>0.57947916666666666</v>
      </c>
      <c r="M63" s="31">
        <v>1</v>
      </c>
      <c r="N63" s="31" t="s">
        <v>84</v>
      </c>
      <c r="O63" s="31">
        <v>2.4900000000000002</v>
      </c>
      <c r="P63" s="31">
        <v>0.17299999999999999</v>
      </c>
      <c r="Q63" s="31">
        <v>150</v>
      </c>
      <c r="R63" s="31" t="s">
        <v>85</v>
      </c>
      <c r="S63" s="34">
        <f t="shared" si="0"/>
        <v>150</v>
      </c>
      <c r="T63" s="31" t="s">
        <v>1126</v>
      </c>
      <c r="U63" s="127">
        <v>44958</v>
      </c>
      <c r="V63" s="128">
        <f t="shared" si="12"/>
        <v>134.00444238999998</v>
      </c>
      <c r="W63" s="128" t="s">
        <v>1140</v>
      </c>
    </row>
    <row r="64" spans="1:23" x14ac:dyDescent="0.55000000000000004">
      <c r="A64" s="124">
        <v>44958</v>
      </c>
      <c r="B64" s="125">
        <v>0.375</v>
      </c>
      <c r="C64" s="31" t="s">
        <v>70</v>
      </c>
      <c r="D64" s="31" t="s">
        <v>71</v>
      </c>
      <c r="E64" s="31" t="s">
        <v>931</v>
      </c>
      <c r="F64" s="31">
        <v>1</v>
      </c>
      <c r="G64" s="31" t="s">
        <v>73</v>
      </c>
      <c r="H64" s="31" t="s">
        <v>74</v>
      </c>
      <c r="I64" s="31" t="s">
        <v>83</v>
      </c>
      <c r="J64" s="31">
        <v>195</v>
      </c>
      <c r="K64" s="126">
        <v>44958</v>
      </c>
      <c r="L64" s="125">
        <v>0.58019675925925929</v>
      </c>
      <c r="M64" s="31">
        <v>1</v>
      </c>
      <c r="N64" s="31" t="s">
        <v>84</v>
      </c>
      <c r="O64" s="31">
        <v>4.59</v>
      </c>
      <c r="P64" s="31">
        <v>0.32700000000000001</v>
      </c>
      <c r="Q64" s="31">
        <v>300</v>
      </c>
      <c r="R64" s="31" t="s">
        <v>85</v>
      </c>
      <c r="S64" s="34">
        <f t="shared" si="0"/>
        <v>300</v>
      </c>
      <c r="T64" s="31" t="s">
        <v>1126</v>
      </c>
      <c r="U64" s="127">
        <v>44958</v>
      </c>
      <c r="V64" s="128">
        <f t="shared" si="12"/>
        <v>274.16518758999996</v>
      </c>
      <c r="W64" s="128" t="s">
        <v>1140</v>
      </c>
    </row>
    <row r="65" spans="1:23" x14ac:dyDescent="0.55000000000000004">
      <c r="A65" s="124">
        <v>44958</v>
      </c>
      <c r="B65" s="125">
        <v>0.375</v>
      </c>
      <c r="C65" s="31" t="s">
        <v>70</v>
      </c>
      <c r="D65" s="31" t="s">
        <v>71</v>
      </c>
      <c r="E65" s="31" t="s">
        <v>932</v>
      </c>
      <c r="F65" s="31">
        <v>1</v>
      </c>
      <c r="G65" s="31" t="s">
        <v>73</v>
      </c>
      <c r="H65" s="31" t="s">
        <v>74</v>
      </c>
      <c r="I65" s="31" t="s">
        <v>83</v>
      </c>
      <c r="J65" s="31">
        <v>196</v>
      </c>
      <c r="K65" s="126">
        <v>44958</v>
      </c>
      <c r="L65" s="125">
        <v>0.58090277777777777</v>
      </c>
      <c r="M65" s="31">
        <v>1</v>
      </c>
      <c r="N65" s="31" t="s">
        <v>84</v>
      </c>
      <c r="O65" s="31">
        <v>7.66</v>
      </c>
      <c r="P65" s="31">
        <v>0.54500000000000004</v>
      </c>
      <c r="Q65" s="31">
        <v>500</v>
      </c>
      <c r="R65" s="31" t="s">
        <v>85</v>
      </c>
      <c r="S65" s="34">
        <f t="shared" si="0"/>
        <v>500</v>
      </c>
      <c r="T65" s="31" t="s">
        <v>1126</v>
      </c>
      <c r="U65" s="127">
        <v>44958</v>
      </c>
      <c r="V65" s="128">
        <f t="shared" si="12"/>
        <v>479.44618684</v>
      </c>
      <c r="W65" s="128" t="s">
        <v>1140</v>
      </c>
    </row>
    <row r="66" spans="1:23" x14ac:dyDescent="0.55000000000000004">
      <c r="A66" s="32">
        <v>44966</v>
      </c>
      <c r="B66" s="33">
        <v>0.375</v>
      </c>
      <c r="C66" s="10" t="s">
        <v>70</v>
      </c>
      <c r="D66" s="10" t="s">
        <v>71</v>
      </c>
      <c r="E66" s="10" t="s">
        <v>917</v>
      </c>
      <c r="F66" s="10">
        <v>1</v>
      </c>
      <c r="G66" s="10" t="s">
        <v>73</v>
      </c>
      <c r="H66" s="10" t="s">
        <v>74</v>
      </c>
      <c r="I66" s="10" t="s">
        <v>83</v>
      </c>
      <c r="J66" s="10">
        <v>181</v>
      </c>
      <c r="K66" s="12">
        <v>44966</v>
      </c>
      <c r="L66" s="33">
        <v>0.5482407407407407</v>
      </c>
      <c r="M66" s="10">
        <v>1</v>
      </c>
      <c r="N66" s="10" t="s">
        <v>84</v>
      </c>
      <c r="O66" s="10">
        <v>0.433</v>
      </c>
      <c r="P66" s="10">
        <v>2.92E-2</v>
      </c>
      <c r="Q66" s="10">
        <v>0</v>
      </c>
      <c r="R66" s="10" t="s">
        <v>85</v>
      </c>
      <c r="S66" s="123">
        <f t="shared" ref="S66:S112" si="13">IF(OR(AND(I66&lt;&gt;"TP", I66&lt;&gt;"TDP",I66&lt;&gt;"TN", I66&lt;&gt;"TDN"),H66="CAL"), Q66*M66, IF(OR(AND(I66="TN", Q66&gt;2500), AND(I66="TDN", Q66&gt;2500)),MAX(Q66, AK66)*M66, IF(OR(AND(I66="TN", Q66&lt;=2500), AND(I66="TDN", Q66&lt;=2500)),MAX(Q66, AJ66,AK66)*M66, IF(OR(AND(I66="TP",Q66&gt;500), AND(I66="TDP", Q66&gt;500)),MAX(Q66,AK66)*M66,IF(OR(AND(I66="TP",Q66&lt;=150), AND(I66="TDP", Q66&lt;=150)),MAX(Q66,AG66:AI66,AK66)*M66,IF(OR(AND(I66="TP",Q66&lt;=300), AND(I66="TDP", Q66&lt;=300)),MAX(Q66,AH66,AI66,AK66)*M66,IF(OR(AND(I66="TP",Q66&lt;=500), AND(I66="TDP", Q66&lt;=500)),MAX(Q66,AI66,AK66)*M66,"")))))))</f>
        <v>0</v>
      </c>
      <c r="T66" s="10" t="s">
        <v>1188</v>
      </c>
      <c r="U66" s="45">
        <v>44966</v>
      </c>
      <c r="V66" s="129">
        <f>0.1051*O66^2+65.423*O66-19.469</f>
        <v>8.878864093899999</v>
      </c>
      <c r="W66" s="129" t="s">
        <v>1205</v>
      </c>
    </row>
    <row r="67" spans="1:23" x14ac:dyDescent="0.55000000000000004">
      <c r="A67" s="32">
        <v>44966</v>
      </c>
      <c r="B67" s="33">
        <v>0.375</v>
      </c>
      <c r="C67" s="10" t="s">
        <v>70</v>
      </c>
      <c r="D67" s="10" t="s">
        <v>71</v>
      </c>
      <c r="E67" s="10" t="s">
        <v>918</v>
      </c>
      <c r="F67" s="10">
        <v>1</v>
      </c>
      <c r="G67" s="10" t="s">
        <v>73</v>
      </c>
      <c r="H67" s="10" t="s">
        <v>74</v>
      </c>
      <c r="I67" s="10" t="s">
        <v>83</v>
      </c>
      <c r="J67" s="10">
        <v>182</v>
      </c>
      <c r="K67" s="12">
        <v>44966</v>
      </c>
      <c r="L67" s="33">
        <v>0.54894675925925929</v>
      </c>
      <c r="M67" s="10">
        <v>1</v>
      </c>
      <c r="N67" s="10" t="s">
        <v>84</v>
      </c>
      <c r="O67" s="10">
        <v>0.55500000000000005</v>
      </c>
      <c r="P67" s="10">
        <v>3.78E-2</v>
      </c>
      <c r="Q67" s="10">
        <v>12</v>
      </c>
      <c r="R67" s="10" t="s">
        <v>85</v>
      </c>
      <c r="S67" s="123">
        <f t="shared" si="13"/>
        <v>12</v>
      </c>
      <c r="T67" s="10" t="s">
        <v>1188</v>
      </c>
      <c r="U67" s="45">
        <v>44966</v>
      </c>
      <c r="V67" s="129">
        <f t="shared" ref="V67:V80" si="14">0.1051*O67^2+65.423*O67-19.469</f>
        <v>16.873138427500002</v>
      </c>
      <c r="W67" s="129" t="s">
        <v>1205</v>
      </c>
    </row>
    <row r="68" spans="1:23" x14ac:dyDescent="0.55000000000000004">
      <c r="A68" s="32">
        <v>44966</v>
      </c>
      <c r="B68" s="33">
        <v>0.375</v>
      </c>
      <c r="C68" s="10" t="s">
        <v>70</v>
      </c>
      <c r="D68" s="10" t="s">
        <v>71</v>
      </c>
      <c r="E68" s="10" t="s">
        <v>919</v>
      </c>
      <c r="F68" s="10">
        <v>1</v>
      </c>
      <c r="G68" s="10" t="s">
        <v>73</v>
      </c>
      <c r="H68" s="10" t="s">
        <v>74</v>
      </c>
      <c r="I68" s="10" t="s">
        <v>83</v>
      </c>
      <c r="J68" s="10">
        <v>183</v>
      </c>
      <c r="K68" s="12">
        <v>44966</v>
      </c>
      <c r="L68" s="33">
        <v>0.54965277777777777</v>
      </c>
      <c r="M68" s="10">
        <v>1</v>
      </c>
      <c r="N68" s="10" t="s">
        <v>84</v>
      </c>
      <c r="O68" s="10">
        <v>1.03</v>
      </c>
      <c r="P68" s="10">
        <v>7.1199999999999999E-2</v>
      </c>
      <c r="Q68" s="10">
        <v>50</v>
      </c>
      <c r="R68" s="10" t="s">
        <v>85</v>
      </c>
      <c r="S68" s="123">
        <f t="shared" si="13"/>
        <v>50</v>
      </c>
      <c r="T68" s="10" t="s">
        <v>1188</v>
      </c>
      <c r="U68" s="45">
        <v>44966</v>
      </c>
      <c r="V68" s="129">
        <f t="shared" si="14"/>
        <v>48.028190590000001</v>
      </c>
      <c r="W68" s="129" t="s">
        <v>1205</v>
      </c>
    </row>
    <row r="69" spans="1:23" x14ac:dyDescent="0.55000000000000004">
      <c r="A69" s="32">
        <v>44966</v>
      </c>
      <c r="B69" s="33">
        <v>0.375</v>
      </c>
      <c r="C69" s="10" t="s">
        <v>70</v>
      </c>
      <c r="D69" s="10" t="s">
        <v>71</v>
      </c>
      <c r="E69" s="10" t="s">
        <v>920</v>
      </c>
      <c r="F69" s="10">
        <v>1</v>
      </c>
      <c r="G69" s="10" t="s">
        <v>73</v>
      </c>
      <c r="H69" s="10" t="s">
        <v>74</v>
      </c>
      <c r="I69" s="10" t="s">
        <v>83</v>
      </c>
      <c r="J69" s="10">
        <v>184</v>
      </c>
      <c r="K69" s="12">
        <v>44966</v>
      </c>
      <c r="L69" s="33">
        <v>0.5503703703703704</v>
      </c>
      <c r="M69" s="10">
        <v>1</v>
      </c>
      <c r="N69" s="10" t="s">
        <v>84</v>
      </c>
      <c r="O69" s="10">
        <v>3.04</v>
      </c>
      <c r="P69" s="10">
        <v>0.219</v>
      </c>
      <c r="Q69" s="10">
        <v>200</v>
      </c>
      <c r="R69" s="10" t="s">
        <v>85</v>
      </c>
      <c r="S69" s="123">
        <f t="shared" si="13"/>
        <v>200</v>
      </c>
      <c r="T69" s="10" t="s">
        <v>1188</v>
      </c>
      <c r="U69" s="45">
        <v>44966</v>
      </c>
      <c r="V69" s="129">
        <f t="shared" si="14"/>
        <v>180.38821215999999</v>
      </c>
      <c r="W69" s="129" t="s">
        <v>1205</v>
      </c>
    </row>
    <row r="70" spans="1:23" x14ac:dyDescent="0.55000000000000004">
      <c r="A70" s="32">
        <v>44966</v>
      </c>
      <c r="B70" s="33">
        <v>0.375</v>
      </c>
      <c r="C70" s="10" t="s">
        <v>70</v>
      </c>
      <c r="D70" s="10" t="s">
        <v>71</v>
      </c>
      <c r="E70" s="10" t="s">
        <v>921</v>
      </c>
      <c r="F70" s="10">
        <v>1</v>
      </c>
      <c r="G70" s="10" t="s">
        <v>73</v>
      </c>
      <c r="H70" s="10" t="s">
        <v>74</v>
      </c>
      <c r="I70" s="10" t="s">
        <v>83</v>
      </c>
      <c r="J70" s="10">
        <v>185</v>
      </c>
      <c r="K70" s="12">
        <v>44966</v>
      </c>
      <c r="L70" s="33">
        <v>0.55107638888888888</v>
      </c>
      <c r="M70" s="10">
        <v>1</v>
      </c>
      <c r="N70" s="10" t="s">
        <v>84</v>
      </c>
      <c r="O70" s="10">
        <v>7.78</v>
      </c>
      <c r="P70" s="10">
        <v>0.56699999999999995</v>
      </c>
      <c r="Q70" s="10">
        <v>500</v>
      </c>
      <c r="R70" s="10" t="s">
        <v>85</v>
      </c>
      <c r="S70" s="123">
        <f t="shared" si="13"/>
        <v>500</v>
      </c>
      <c r="T70" s="10" t="s">
        <v>1188</v>
      </c>
      <c r="U70" s="45">
        <v>44966</v>
      </c>
      <c r="V70" s="129">
        <f t="shared" si="14"/>
        <v>495.88347484000002</v>
      </c>
      <c r="W70" s="129" t="s">
        <v>1205</v>
      </c>
    </row>
    <row r="71" spans="1:23" x14ac:dyDescent="0.55000000000000004">
      <c r="A71" s="32">
        <v>44966</v>
      </c>
      <c r="B71" s="33">
        <v>0.375</v>
      </c>
      <c r="C71" s="10" t="s">
        <v>70</v>
      </c>
      <c r="D71" s="10" t="s">
        <v>71</v>
      </c>
      <c r="E71" s="10" t="s">
        <v>922</v>
      </c>
      <c r="F71" s="10">
        <v>1</v>
      </c>
      <c r="G71" s="10" t="s">
        <v>73</v>
      </c>
      <c r="H71" s="10" t="s">
        <v>74</v>
      </c>
      <c r="I71" s="10" t="s">
        <v>83</v>
      </c>
      <c r="J71" s="10">
        <v>186</v>
      </c>
      <c r="K71" s="12">
        <v>44966</v>
      </c>
      <c r="L71" s="33">
        <v>0.55178240740740747</v>
      </c>
      <c r="M71" s="10">
        <v>1</v>
      </c>
      <c r="N71" s="10" t="s">
        <v>84</v>
      </c>
      <c r="O71" s="10">
        <v>15.5</v>
      </c>
      <c r="P71" s="10">
        <v>1.1200000000000001</v>
      </c>
      <c r="Q71" s="10">
        <v>1000</v>
      </c>
      <c r="R71" s="10" t="s">
        <v>85</v>
      </c>
      <c r="S71" s="123">
        <f t="shared" si="13"/>
        <v>1000</v>
      </c>
      <c r="T71" s="10" t="s">
        <v>1188</v>
      </c>
      <c r="U71" s="45">
        <v>44966</v>
      </c>
      <c r="V71" s="129">
        <f t="shared" si="14"/>
        <v>1019.837775</v>
      </c>
      <c r="W71" s="129" t="s">
        <v>1205</v>
      </c>
    </row>
    <row r="72" spans="1:23" x14ac:dyDescent="0.55000000000000004">
      <c r="A72" s="32">
        <v>44966</v>
      </c>
      <c r="B72" s="33">
        <v>0.375</v>
      </c>
      <c r="C72" s="10" t="s">
        <v>70</v>
      </c>
      <c r="D72" s="10" t="s">
        <v>71</v>
      </c>
      <c r="E72" s="10" t="s">
        <v>923</v>
      </c>
      <c r="F72" s="10">
        <v>1</v>
      </c>
      <c r="G72" s="10" t="s">
        <v>73</v>
      </c>
      <c r="H72" s="10" t="s">
        <v>74</v>
      </c>
      <c r="I72" s="10" t="s">
        <v>83</v>
      </c>
      <c r="J72" s="10">
        <v>187</v>
      </c>
      <c r="K72" s="12">
        <v>44966</v>
      </c>
      <c r="L72" s="33">
        <v>0.55249999999999999</v>
      </c>
      <c r="M72" s="10">
        <v>1</v>
      </c>
      <c r="N72" s="10" t="s">
        <v>84</v>
      </c>
      <c r="O72" s="10">
        <v>22.8</v>
      </c>
      <c r="P72" s="10">
        <v>1.63</v>
      </c>
      <c r="Q72" s="10">
        <v>1500</v>
      </c>
      <c r="R72" s="10" t="s">
        <v>85</v>
      </c>
      <c r="S72" s="123">
        <f t="shared" si="13"/>
        <v>1500</v>
      </c>
      <c r="T72" s="10" t="s">
        <v>1188</v>
      </c>
      <c r="U72" s="45">
        <v>44966</v>
      </c>
      <c r="V72" s="129">
        <f t="shared" si="14"/>
        <v>1526.8105840000001</v>
      </c>
      <c r="W72" s="129" t="s">
        <v>1205</v>
      </c>
    </row>
    <row r="73" spans="1:23" x14ac:dyDescent="0.55000000000000004">
      <c r="A73" s="32">
        <v>44966</v>
      </c>
      <c r="B73" s="33">
        <v>0.375</v>
      </c>
      <c r="C73" s="10" t="s">
        <v>70</v>
      </c>
      <c r="D73" s="10" t="s">
        <v>71</v>
      </c>
      <c r="E73" s="10" t="s">
        <v>924</v>
      </c>
      <c r="F73" s="10">
        <v>1</v>
      </c>
      <c r="G73" s="10" t="s">
        <v>73</v>
      </c>
      <c r="H73" s="10" t="s">
        <v>74</v>
      </c>
      <c r="I73" s="10" t="s">
        <v>83</v>
      </c>
      <c r="J73" s="10">
        <v>188</v>
      </c>
      <c r="K73" s="12">
        <v>44966</v>
      </c>
      <c r="L73" s="33">
        <v>0.55320601851851847</v>
      </c>
      <c r="M73" s="10">
        <v>1</v>
      </c>
      <c r="N73" s="10" t="s">
        <v>84</v>
      </c>
      <c r="O73" s="10">
        <v>29.2</v>
      </c>
      <c r="P73" s="10">
        <v>2.08</v>
      </c>
      <c r="Q73" s="10">
        <v>2000</v>
      </c>
      <c r="R73" s="10" t="s">
        <v>85</v>
      </c>
      <c r="S73" s="123">
        <f t="shared" si="13"/>
        <v>2000</v>
      </c>
      <c r="T73" s="10" t="s">
        <v>1188</v>
      </c>
      <c r="U73" s="45">
        <v>44966</v>
      </c>
      <c r="V73" s="129">
        <f t="shared" si="14"/>
        <v>1980.495064</v>
      </c>
      <c r="W73" s="129" t="s">
        <v>1205</v>
      </c>
    </row>
    <row r="74" spans="1:23" x14ac:dyDescent="0.55000000000000004">
      <c r="A74" s="32">
        <v>44966</v>
      </c>
      <c r="B74" s="33">
        <v>0.375</v>
      </c>
      <c r="C74" s="10" t="s">
        <v>70</v>
      </c>
      <c r="D74" s="10" t="s">
        <v>71</v>
      </c>
      <c r="E74" s="10" t="s">
        <v>925</v>
      </c>
      <c r="F74" s="10">
        <v>1</v>
      </c>
      <c r="G74" s="10" t="s">
        <v>73</v>
      </c>
      <c r="H74" s="10" t="s">
        <v>74</v>
      </c>
      <c r="I74" s="10" t="s">
        <v>83</v>
      </c>
      <c r="J74" s="10">
        <v>189</v>
      </c>
      <c r="K74" s="12">
        <v>44966</v>
      </c>
      <c r="L74" s="33">
        <v>0.5539236111111111</v>
      </c>
      <c r="M74" s="10">
        <v>1</v>
      </c>
      <c r="N74" s="10" t="s">
        <v>84</v>
      </c>
      <c r="O74" s="10">
        <v>0.53300000000000003</v>
      </c>
      <c r="P74" s="10">
        <v>3.4799999999999998E-2</v>
      </c>
      <c r="Q74" s="10">
        <v>0</v>
      </c>
      <c r="R74" s="10" t="s">
        <v>85</v>
      </c>
      <c r="S74" s="123">
        <f t="shared" si="13"/>
        <v>0</v>
      </c>
      <c r="T74" s="10" t="s">
        <v>1188</v>
      </c>
      <c r="U74" s="45">
        <v>44966</v>
      </c>
      <c r="V74" s="129">
        <f t="shared" si="14"/>
        <v>15.431316753899999</v>
      </c>
      <c r="W74" s="129" t="s">
        <v>1205</v>
      </c>
    </row>
    <row r="75" spans="1:23" x14ac:dyDescent="0.55000000000000004">
      <c r="A75" s="32">
        <v>44966</v>
      </c>
      <c r="B75" s="33">
        <v>0.375</v>
      </c>
      <c r="C75" s="10" t="s">
        <v>70</v>
      </c>
      <c r="D75" s="10" t="s">
        <v>71</v>
      </c>
      <c r="E75" s="10" t="s">
        <v>926</v>
      </c>
      <c r="F75" s="10">
        <v>1</v>
      </c>
      <c r="G75" s="10" t="s">
        <v>73</v>
      </c>
      <c r="H75" s="10" t="s">
        <v>74</v>
      </c>
      <c r="I75" s="10" t="s">
        <v>83</v>
      </c>
      <c r="J75" s="10">
        <v>190</v>
      </c>
      <c r="K75" s="12">
        <v>44966</v>
      </c>
      <c r="L75" s="33">
        <v>0.55462962962962969</v>
      </c>
      <c r="M75" s="10">
        <v>1</v>
      </c>
      <c r="N75" s="10" t="s">
        <v>84</v>
      </c>
      <c r="O75" s="10">
        <v>0.56799999999999995</v>
      </c>
      <c r="P75" s="10">
        <v>3.7400000000000003E-2</v>
      </c>
      <c r="Q75" s="10">
        <v>5</v>
      </c>
      <c r="R75" s="10" t="s">
        <v>85</v>
      </c>
      <c r="S75" s="123">
        <f t="shared" si="13"/>
        <v>5</v>
      </c>
      <c r="T75" s="10" t="s">
        <v>1188</v>
      </c>
      <c r="U75" s="45">
        <v>44966</v>
      </c>
      <c r="V75" s="129">
        <f t="shared" si="14"/>
        <v>17.725171782399997</v>
      </c>
      <c r="W75" s="129" t="s">
        <v>1205</v>
      </c>
    </row>
    <row r="76" spans="1:23" x14ac:dyDescent="0.55000000000000004">
      <c r="A76" s="32">
        <v>44966</v>
      </c>
      <c r="B76" s="33">
        <v>0.375</v>
      </c>
      <c r="C76" s="10" t="s">
        <v>70</v>
      </c>
      <c r="D76" s="10" t="s">
        <v>71</v>
      </c>
      <c r="E76" s="10" t="s">
        <v>927</v>
      </c>
      <c r="F76" s="10">
        <v>1</v>
      </c>
      <c r="G76" s="10" t="s">
        <v>73</v>
      </c>
      <c r="H76" s="10" t="s">
        <v>74</v>
      </c>
      <c r="I76" s="10" t="s">
        <v>83</v>
      </c>
      <c r="J76" s="10">
        <v>191</v>
      </c>
      <c r="K76" s="12">
        <v>44966</v>
      </c>
      <c r="L76" s="33">
        <v>0.55532407407407403</v>
      </c>
      <c r="M76" s="10">
        <v>1</v>
      </c>
      <c r="N76" s="10" t="s">
        <v>84</v>
      </c>
      <c r="O76" s="10">
        <v>0.61399999999999999</v>
      </c>
      <c r="P76" s="10">
        <v>4.0500000000000001E-2</v>
      </c>
      <c r="Q76" s="10">
        <v>15</v>
      </c>
      <c r="R76" s="10" t="s">
        <v>85</v>
      </c>
      <c r="S76" s="123">
        <f t="shared" si="13"/>
        <v>15</v>
      </c>
      <c r="T76" s="10" t="s">
        <v>1188</v>
      </c>
      <c r="U76" s="45">
        <v>44966</v>
      </c>
      <c r="V76" s="129">
        <f t="shared" si="14"/>
        <v>20.740344279600002</v>
      </c>
      <c r="W76" s="129" t="s">
        <v>1205</v>
      </c>
    </row>
    <row r="77" spans="1:23" x14ac:dyDescent="0.55000000000000004">
      <c r="A77" s="32">
        <v>44966</v>
      </c>
      <c r="B77" s="33">
        <v>0.375</v>
      </c>
      <c r="C77" s="10" t="s">
        <v>70</v>
      </c>
      <c r="D77" s="10" t="s">
        <v>71</v>
      </c>
      <c r="E77" s="10" t="s">
        <v>928</v>
      </c>
      <c r="F77" s="10">
        <v>1</v>
      </c>
      <c r="G77" s="10" t="s">
        <v>73</v>
      </c>
      <c r="H77" s="10" t="s">
        <v>74</v>
      </c>
      <c r="I77" s="10" t="s">
        <v>83</v>
      </c>
      <c r="J77" s="10">
        <v>192</v>
      </c>
      <c r="K77" s="12">
        <v>44966</v>
      </c>
      <c r="L77" s="33">
        <v>0.55604166666666666</v>
      </c>
      <c r="M77" s="10">
        <v>1</v>
      </c>
      <c r="N77" s="10" t="s">
        <v>84</v>
      </c>
      <c r="O77" s="10">
        <v>0.73199999999999998</v>
      </c>
      <c r="P77" s="10">
        <v>4.87E-2</v>
      </c>
      <c r="Q77" s="10">
        <v>20</v>
      </c>
      <c r="R77" s="10" t="s">
        <v>85</v>
      </c>
      <c r="S77" s="123">
        <f t="shared" si="13"/>
        <v>20</v>
      </c>
      <c r="T77" s="10" t="s">
        <v>1188</v>
      </c>
      <c r="U77" s="45">
        <v>44966</v>
      </c>
      <c r="V77" s="129">
        <f t="shared" si="14"/>
        <v>28.476951102400001</v>
      </c>
      <c r="W77" s="129" t="s">
        <v>1205</v>
      </c>
    </row>
    <row r="78" spans="1:23" x14ac:dyDescent="0.55000000000000004">
      <c r="A78" s="32">
        <v>44966</v>
      </c>
      <c r="B78" s="33">
        <v>0.375</v>
      </c>
      <c r="C78" s="10" t="s">
        <v>70</v>
      </c>
      <c r="D78" s="10" t="s">
        <v>71</v>
      </c>
      <c r="E78" s="10" t="s">
        <v>930</v>
      </c>
      <c r="F78" s="10">
        <v>1</v>
      </c>
      <c r="G78" s="10" t="s">
        <v>73</v>
      </c>
      <c r="H78" s="10" t="s">
        <v>74</v>
      </c>
      <c r="I78" s="10" t="s">
        <v>83</v>
      </c>
      <c r="J78" s="10">
        <v>194</v>
      </c>
      <c r="K78" s="12">
        <v>44966</v>
      </c>
      <c r="L78" s="33">
        <v>0.55744212962962958</v>
      </c>
      <c r="M78" s="10">
        <v>1</v>
      </c>
      <c r="N78" s="10" t="s">
        <v>84</v>
      </c>
      <c r="O78" s="10">
        <v>2.35</v>
      </c>
      <c r="P78" s="10">
        <v>0.16600000000000001</v>
      </c>
      <c r="Q78" s="10">
        <v>150</v>
      </c>
      <c r="R78" s="10" t="s">
        <v>85</v>
      </c>
      <c r="S78" s="123">
        <f t="shared" si="13"/>
        <v>150</v>
      </c>
      <c r="T78" s="10" t="s">
        <v>1188</v>
      </c>
      <c r="U78" s="45">
        <v>44966</v>
      </c>
      <c r="V78" s="129">
        <f t="shared" si="14"/>
        <v>134.85546475000001</v>
      </c>
      <c r="W78" s="129" t="s">
        <v>1205</v>
      </c>
    </row>
    <row r="79" spans="1:23" x14ac:dyDescent="0.55000000000000004">
      <c r="A79" s="32">
        <v>44966</v>
      </c>
      <c r="B79" s="33">
        <v>0.375</v>
      </c>
      <c r="C79" s="10" t="s">
        <v>70</v>
      </c>
      <c r="D79" s="10" t="s">
        <v>71</v>
      </c>
      <c r="E79" s="10" t="s">
        <v>931</v>
      </c>
      <c r="F79" s="10">
        <v>1</v>
      </c>
      <c r="G79" s="10" t="s">
        <v>73</v>
      </c>
      <c r="H79" s="10" t="s">
        <v>74</v>
      </c>
      <c r="I79" s="10" t="s">
        <v>83</v>
      </c>
      <c r="J79" s="10">
        <v>195</v>
      </c>
      <c r="K79" s="12">
        <v>44966</v>
      </c>
      <c r="L79" s="33">
        <v>0.55815972222222221</v>
      </c>
      <c r="M79" s="10">
        <v>1</v>
      </c>
      <c r="N79" s="10" t="s">
        <v>84</v>
      </c>
      <c r="O79" s="10">
        <v>4.51</v>
      </c>
      <c r="P79" s="10">
        <v>0.32700000000000001</v>
      </c>
      <c r="Q79" s="10">
        <v>300</v>
      </c>
      <c r="R79" s="10" t="s">
        <v>85</v>
      </c>
      <c r="S79" s="123">
        <f t="shared" si="13"/>
        <v>300</v>
      </c>
      <c r="T79" s="10" t="s">
        <v>1188</v>
      </c>
      <c r="U79" s="45">
        <v>44966</v>
      </c>
      <c r="V79" s="129">
        <f t="shared" si="14"/>
        <v>277.72647451</v>
      </c>
      <c r="W79" s="129" t="s">
        <v>1205</v>
      </c>
    </row>
    <row r="80" spans="1:23" x14ac:dyDescent="0.55000000000000004">
      <c r="A80" s="32">
        <v>44966</v>
      </c>
      <c r="B80" s="33">
        <v>0.375</v>
      </c>
      <c r="C80" s="10" t="s">
        <v>70</v>
      </c>
      <c r="D80" s="10" t="s">
        <v>71</v>
      </c>
      <c r="E80" s="10" t="s">
        <v>932</v>
      </c>
      <c r="F80" s="10">
        <v>1</v>
      </c>
      <c r="G80" s="10" t="s">
        <v>73</v>
      </c>
      <c r="H80" s="10" t="s">
        <v>74</v>
      </c>
      <c r="I80" s="10" t="s">
        <v>83</v>
      </c>
      <c r="J80" s="10">
        <v>196</v>
      </c>
      <c r="K80" s="12">
        <v>44966</v>
      </c>
      <c r="L80" s="33">
        <v>0.5588657407407408</v>
      </c>
      <c r="M80" s="10">
        <v>1</v>
      </c>
      <c r="N80" s="10" t="s">
        <v>84</v>
      </c>
      <c r="O80" s="10">
        <v>7.54</v>
      </c>
      <c r="P80" s="10">
        <v>0.54800000000000004</v>
      </c>
      <c r="Q80" s="10">
        <v>500</v>
      </c>
      <c r="R80" s="10" t="s">
        <v>85</v>
      </c>
      <c r="S80" s="123">
        <f t="shared" si="13"/>
        <v>500</v>
      </c>
      <c r="T80" s="10" t="s">
        <v>1188</v>
      </c>
      <c r="U80" s="45">
        <v>44966</v>
      </c>
      <c r="V80" s="129">
        <f t="shared" si="14"/>
        <v>479.79552316000002</v>
      </c>
      <c r="W80" s="129" t="s">
        <v>1205</v>
      </c>
    </row>
    <row r="81" spans="1:23" x14ac:dyDescent="0.55000000000000004">
      <c r="A81" s="124">
        <v>44972</v>
      </c>
      <c r="B81" s="125">
        <v>0.375</v>
      </c>
      <c r="C81" s="31" t="s">
        <v>70</v>
      </c>
      <c r="D81" s="31" t="s">
        <v>71</v>
      </c>
      <c r="E81" s="31" t="s">
        <v>917</v>
      </c>
      <c r="F81" s="31">
        <v>1</v>
      </c>
      <c r="G81" s="31" t="s">
        <v>73</v>
      </c>
      <c r="H81" s="31" t="s">
        <v>74</v>
      </c>
      <c r="I81" s="31" t="s">
        <v>83</v>
      </c>
      <c r="J81" s="31">
        <v>181</v>
      </c>
      <c r="K81" s="126">
        <v>44972</v>
      </c>
      <c r="L81" s="125">
        <v>0.54408564814814808</v>
      </c>
      <c r="M81" s="31">
        <v>1</v>
      </c>
      <c r="N81" s="31" t="s">
        <v>84</v>
      </c>
      <c r="O81" s="31">
        <v>0.43</v>
      </c>
      <c r="P81" s="31">
        <v>3.0599999999999999E-2</v>
      </c>
      <c r="Q81" s="31">
        <v>0</v>
      </c>
      <c r="R81" s="31" t="s">
        <v>85</v>
      </c>
      <c r="S81" s="34">
        <f t="shared" si="13"/>
        <v>0</v>
      </c>
      <c r="T81" s="128" t="s">
        <v>1232</v>
      </c>
      <c r="U81" s="127">
        <v>44972</v>
      </c>
      <c r="V81" s="128">
        <f>-0.0466*O81^2+68.24*O81-22.954</f>
        <v>6.3805836599999957</v>
      </c>
      <c r="W81" s="128" t="s">
        <v>1247</v>
      </c>
    </row>
    <row r="82" spans="1:23" x14ac:dyDescent="0.55000000000000004">
      <c r="A82" s="124">
        <v>44972</v>
      </c>
      <c r="B82" s="125">
        <v>0.375</v>
      </c>
      <c r="C82" s="31" t="s">
        <v>70</v>
      </c>
      <c r="D82" s="31" t="s">
        <v>71</v>
      </c>
      <c r="E82" s="31" t="s">
        <v>918</v>
      </c>
      <c r="F82" s="31">
        <v>1</v>
      </c>
      <c r="G82" s="31" t="s">
        <v>73</v>
      </c>
      <c r="H82" s="31" t="s">
        <v>74</v>
      </c>
      <c r="I82" s="31" t="s">
        <v>83</v>
      </c>
      <c r="J82" s="31">
        <v>182</v>
      </c>
      <c r="K82" s="126">
        <v>44972</v>
      </c>
      <c r="L82" s="125">
        <v>0.54479166666666667</v>
      </c>
      <c r="M82" s="31">
        <v>1</v>
      </c>
      <c r="N82" s="31" t="s">
        <v>84</v>
      </c>
      <c r="O82" s="31">
        <v>0.56899999999999995</v>
      </c>
      <c r="P82" s="31">
        <v>4.0599999999999997E-2</v>
      </c>
      <c r="Q82" s="31">
        <v>12</v>
      </c>
      <c r="R82" s="31" t="s">
        <v>85</v>
      </c>
      <c r="S82" s="34">
        <f t="shared" si="13"/>
        <v>12</v>
      </c>
      <c r="T82" s="128" t="s">
        <v>1232</v>
      </c>
      <c r="U82" s="127">
        <v>44972</v>
      </c>
      <c r="V82" s="128">
        <f t="shared" ref="V82:V96" si="15">-0.0466*O82^2+68.24*O82-22.954</f>
        <v>15.859472737399997</v>
      </c>
      <c r="W82" s="128" t="s">
        <v>1247</v>
      </c>
    </row>
    <row r="83" spans="1:23" x14ac:dyDescent="0.55000000000000004">
      <c r="A83" s="124">
        <v>44972</v>
      </c>
      <c r="B83" s="125">
        <v>0.375</v>
      </c>
      <c r="C83" s="31" t="s">
        <v>70</v>
      </c>
      <c r="D83" s="31" t="s">
        <v>71</v>
      </c>
      <c r="E83" s="31" t="s">
        <v>919</v>
      </c>
      <c r="F83" s="31">
        <v>1</v>
      </c>
      <c r="G83" s="31" t="s">
        <v>73</v>
      </c>
      <c r="H83" s="31" t="s">
        <v>74</v>
      </c>
      <c r="I83" s="31" t="s">
        <v>83</v>
      </c>
      <c r="J83" s="31">
        <v>183</v>
      </c>
      <c r="K83" s="126">
        <v>44972</v>
      </c>
      <c r="L83" s="125">
        <v>0.54548611111111112</v>
      </c>
      <c r="M83" s="31">
        <v>1</v>
      </c>
      <c r="N83" s="31" t="s">
        <v>84</v>
      </c>
      <c r="O83" s="31">
        <v>1.05</v>
      </c>
      <c r="P83" s="31">
        <v>7.4300000000000005E-2</v>
      </c>
      <c r="Q83" s="31">
        <v>50</v>
      </c>
      <c r="R83" s="31" t="s">
        <v>85</v>
      </c>
      <c r="S83" s="34">
        <f t="shared" si="13"/>
        <v>50</v>
      </c>
      <c r="T83" s="128" t="s">
        <v>1232</v>
      </c>
      <c r="U83" s="127">
        <v>44972</v>
      </c>
      <c r="V83" s="128">
        <f t="shared" si="15"/>
        <v>48.646623499999997</v>
      </c>
      <c r="W83" s="128" t="s">
        <v>1247</v>
      </c>
    </row>
    <row r="84" spans="1:23" x14ac:dyDescent="0.55000000000000004">
      <c r="A84" s="124">
        <v>44972</v>
      </c>
      <c r="B84" s="125">
        <v>0.375</v>
      </c>
      <c r="C84" s="31" t="s">
        <v>70</v>
      </c>
      <c r="D84" s="31" t="s">
        <v>71</v>
      </c>
      <c r="E84" s="31" t="s">
        <v>920</v>
      </c>
      <c r="F84" s="31">
        <v>1</v>
      </c>
      <c r="G84" s="31" t="s">
        <v>73</v>
      </c>
      <c r="H84" s="31" t="s">
        <v>74</v>
      </c>
      <c r="I84" s="31" t="s">
        <v>83</v>
      </c>
      <c r="J84" s="31">
        <v>184</v>
      </c>
      <c r="K84" s="126">
        <v>44972</v>
      </c>
      <c r="L84" s="125">
        <v>0.5461921296296296</v>
      </c>
      <c r="M84" s="31">
        <v>1</v>
      </c>
      <c r="N84" s="31" t="s">
        <v>84</v>
      </c>
      <c r="O84" s="31">
        <v>3.13</v>
      </c>
      <c r="P84" s="31">
        <v>0.22800000000000001</v>
      </c>
      <c r="Q84" s="31">
        <v>200</v>
      </c>
      <c r="R84" s="31" t="s">
        <v>85</v>
      </c>
      <c r="S84" s="34">
        <f t="shared" si="13"/>
        <v>200</v>
      </c>
      <c r="T84" s="128" t="s">
        <v>1232</v>
      </c>
      <c r="U84" s="127">
        <v>44972</v>
      </c>
      <c r="V84" s="128">
        <f t="shared" si="15"/>
        <v>190.18066445999997</v>
      </c>
      <c r="W84" s="128" t="s">
        <v>1247</v>
      </c>
    </row>
    <row r="85" spans="1:23" x14ac:dyDescent="0.55000000000000004">
      <c r="A85" s="124">
        <v>44972</v>
      </c>
      <c r="B85" s="125">
        <v>0.375</v>
      </c>
      <c r="C85" s="31" t="s">
        <v>70</v>
      </c>
      <c r="D85" s="31" t="s">
        <v>71</v>
      </c>
      <c r="E85" s="31" t="s">
        <v>921</v>
      </c>
      <c r="F85" s="31">
        <v>1</v>
      </c>
      <c r="G85" s="31" t="s">
        <v>73</v>
      </c>
      <c r="H85" s="31" t="s">
        <v>74</v>
      </c>
      <c r="I85" s="31" t="s">
        <v>83</v>
      </c>
      <c r="J85" s="31">
        <v>185</v>
      </c>
      <c r="K85" s="126">
        <v>44972</v>
      </c>
      <c r="L85" s="125">
        <v>0.54689814814814819</v>
      </c>
      <c r="M85" s="31">
        <v>1</v>
      </c>
      <c r="N85" s="31" t="s">
        <v>84</v>
      </c>
      <c r="O85" s="31">
        <v>7.79</v>
      </c>
      <c r="P85" s="31">
        <v>0.56999999999999995</v>
      </c>
      <c r="Q85" s="31">
        <v>500</v>
      </c>
      <c r="R85" s="31" t="s">
        <v>85</v>
      </c>
      <c r="S85" s="34">
        <f t="shared" si="13"/>
        <v>500</v>
      </c>
      <c r="T85" s="128" t="s">
        <v>1232</v>
      </c>
      <c r="U85" s="127">
        <v>44972</v>
      </c>
      <c r="V85" s="128">
        <f t="shared" si="15"/>
        <v>505.80772094000002</v>
      </c>
      <c r="W85" s="128" t="s">
        <v>1247</v>
      </c>
    </row>
    <row r="86" spans="1:23" x14ac:dyDescent="0.55000000000000004">
      <c r="A86" s="124">
        <v>44972</v>
      </c>
      <c r="B86" s="125">
        <v>0.375</v>
      </c>
      <c r="C86" s="31" t="s">
        <v>70</v>
      </c>
      <c r="D86" s="31" t="s">
        <v>71</v>
      </c>
      <c r="E86" s="31" t="s">
        <v>922</v>
      </c>
      <c r="F86" s="31">
        <v>1</v>
      </c>
      <c r="G86" s="31" t="s">
        <v>73</v>
      </c>
      <c r="H86" s="31" t="s">
        <v>74</v>
      </c>
      <c r="I86" s="31" t="s">
        <v>83</v>
      </c>
      <c r="J86" s="31">
        <v>186</v>
      </c>
      <c r="K86" s="126">
        <v>44972</v>
      </c>
      <c r="L86" s="125">
        <v>0.54759259259259252</v>
      </c>
      <c r="M86" s="31">
        <v>1</v>
      </c>
      <c r="N86" s="31" t="s">
        <v>84</v>
      </c>
      <c r="O86" s="31">
        <v>15.4</v>
      </c>
      <c r="P86" s="31">
        <v>1.1100000000000001</v>
      </c>
      <c r="Q86" s="31">
        <v>1000</v>
      </c>
      <c r="R86" s="31" t="s">
        <v>85</v>
      </c>
      <c r="S86" s="34">
        <f t="shared" si="13"/>
        <v>1000</v>
      </c>
      <c r="T86" s="128" t="s">
        <v>1232</v>
      </c>
      <c r="U86" s="127">
        <v>44972</v>
      </c>
      <c r="V86" s="128">
        <f t="shared" si="15"/>
        <v>1016.8903439999999</v>
      </c>
      <c r="W86" s="128" t="s">
        <v>1247</v>
      </c>
    </row>
    <row r="87" spans="1:23" x14ac:dyDescent="0.55000000000000004">
      <c r="A87" s="124">
        <v>44972</v>
      </c>
      <c r="B87" s="125">
        <v>0.375</v>
      </c>
      <c r="C87" s="31" t="s">
        <v>70</v>
      </c>
      <c r="D87" s="31" t="s">
        <v>71</v>
      </c>
      <c r="E87" s="31" t="s">
        <v>923</v>
      </c>
      <c r="F87" s="31">
        <v>1</v>
      </c>
      <c r="G87" s="31" t="s">
        <v>73</v>
      </c>
      <c r="H87" s="31" t="s">
        <v>74</v>
      </c>
      <c r="I87" s="31" t="s">
        <v>83</v>
      </c>
      <c r="J87" s="31">
        <v>187</v>
      </c>
      <c r="K87" s="126">
        <v>44972</v>
      </c>
      <c r="L87" s="125">
        <v>0.54829861111111111</v>
      </c>
      <c r="M87" s="31">
        <v>1</v>
      </c>
      <c r="N87" s="31" t="s">
        <v>84</v>
      </c>
      <c r="O87" s="31">
        <v>22.7</v>
      </c>
      <c r="P87" s="31">
        <v>1.62</v>
      </c>
      <c r="Q87" s="31">
        <v>1500</v>
      </c>
      <c r="R87" s="31" t="s">
        <v>85</v>
      </c>
      <c r="S87" s="34">
        <f t="shared" si="13"/>
        <v>1500</v>
      </c>
      <c r="T87" s="128" t="s">
        <v>1232</v>
      </c>
      <c r="U87" s="127">
        <v>44972</v>
      </c>
      <c r="V87" s="128">
        <f t="shared" si="15"/>
        <v>1502.0814859999998</v>
      </c>
      <c r="W87" s="128" t="s">
        <v>1247</v>
      </c>
    </row>
    <row r="88" spans="1:23" x14ac:dyDescent="0.55000000000000004">
      <c r="A88" s="124">
        <v>44972</v>
      </c>
      <c r="B88" s="125">
        <v>0.375</v>
      </c>
      <c r="C88" s="31" t="s">
        <v>70</v>
      </c>
      <c r="D88" s="31" t="s">
        <v>71</v>
      </c>
      <c r="E88" s="31" t="s">
        <v>924</v>
      </c>
      <c r="F88" s="31">
        <v>1</v>
      </c>
      <c r="G88" s="31" t="s">
        <v>73</v>
      </c>
      <c r="H88" s="31" t="s">
        <v>74</v>
      </c>
      <c r="I88" s="31" t="s">
        <v>83</v>
      </c>
      <c r="J88" s="31">
        <v>188</v>
      </c>
      <c r="K88" s="126">
        <v>44972</v>
      </c>
      <c r="L88" s="125">
        <v>0.54901620370370374</v>
      </c>
      <c r="M88" s="31">
        <v>1</v>
      </c>
      <c r="N88" s="31" t="s">
        <v>84</v>
      </c>
      <c r="O88" s="31">
        <v>30.2</v>
      </c>
      <c r="P88" s="31">
        <v>2.13</v>
      </c>
      <c r="Q88" s="31">
        <v>2000</v>
      </c>
      <c r="R88" s="31" t="s">
        <v>85</v>
      </c>
      <c r="S88" s="34">
        <f t="shared" si="13"/>
        <v>2000</v>
      </c>
      <c r="T88" s="128" t="s">
        <v>1232</v>
      </c>
      <c r="U88" s="127">
        <v>44972</v>
      </c>
      <c r="V88" s="128">
        <f t="shared" si="15"/>
        <v>1995.392936</v>
      </c>
      <c r="W88" s="128" t="s">
        <v>1247</v>
      </c>
    </row>
    <row r="89" spans="1:23" x14ac:dyDescent="0.55000000000000004">
      <c r="A89" s="124">
        <v>44972</v>
      </c>
      <c r="B89" s="125">
        <v>0.375</v>
      </c>
      <c r="C89" s="31" t="s">
        <v>70</v>
      </c>
      <c r="D89" s="31" t="s">
        <v>71</v>
      </c>
      <c r="E89" s="31" t="s">
        <v>925</v>
      </c>
      <c r="F89" s="31">
        <v>1</v>
      </c>
      <c r="G89" s="31" t="s">
        <v>73</v>
      </c>
      <c r="H89" s="31" t="s">
        <v>74</v>
      </c>
      <c r="I89" s="31" t="s">
        <v>83</v>
      </c>
      <c r="J89" s="31">
        <v>189</v>
      </c>
      <c r="K89" s="126">
        <v>44972</v>
      </c>
      <c r="L89" s="125">
        <v>0.54971064814814818</v>
      </c>
      <c r="M89" s="31">
        <v>1</v>
      </c>
      <c r="N89" s="31" t="s">
        <v>84</v>
      </c>
      <c r="O89" s="31">
        <v>0.51700000000000002</v>
      </c>
      <c r="P89" s="31">
        <v>3.4700000000000002E-2</v>
      </c>
      <c r="Q89" s="31">
        <v>0</v>
      </c>
      <c r="R89" s="31" t="s">
        <v>85</v>
      </c>
      <c r="S89" s="34">
        <f t="shared" si="13"/>
        <v>0</v>
      </c>
      <c r="T89" s="128" t="s">
        <v>1232</v>
      </c>
      <c r="U89" s="127">
        <v>44972</v>
      </c>
      <c r="V89" s="128">
        <f t="shared" si="15"/>
        <v>12.3136243326</v>
      </c>
      <c r="W89" s="128" t="s">
        <v>1247</v>
      </c>
    </row>
    <row r="90" spans="1:23" x14ac:dyDescent="0.55000000000000004">
      <c r="A90" s="124">
        <v>44972</v>
      </c>
      <c r="B90" s="125">
        <v>0.375</v>
      </c>
      <c r="C90" s="31" t="s">
        <v>70</v>
      </c>
      <c r="D90" s="31" t="s">
        <v>71</v>
      </c>
      <c r="E90" s="31" t="s">
        <v>926</v>
      </c>
      <c r="F90" s="31">
        <v>1</v>
      </c>
      <c r="G90" s="31" t="s">
        <v>73</v>
      </c>
      <c r="H90" s="31" t="s">
        <v>74</v>
      </c>
      <c r="I90" s="31" t="s">
        <v>83</v>
      </c>
      <c r="J90" s="31">
        <v>190</v>
      </c>
      <c r="K90" s="126">
        <v>44972</v>
      </c>
      <c r="L90" s="125">
        <v>0.55041666666666667</v>
      </c>
      <c r="M90" s="31">
        <v>1</v>
      </c>
      <c r="N90" s="31" t="s">
        <v>84</v>
      </c>
      <c r="O90" s="31">
        <v>0.53400000000000003</v>
      </c>
      <c r="P90" s="31">
        <v>3.61E-2</v>
      </c>
      <c r="Q90" s="31">
        <v>5</v>
      </c>
      <c r="R90" s="31" t="s">
        <v>85</v>
      </c>
      <c r="S90" s="34">
        <f t="shared" si="13"/>
        <v>5</v>
      </c>
      <c r="T90" s="128" t="s">
        <v>1232</v>
      </c>
      <c r="U90" s="127">
        <v>44972</v>
      </c>
      <c r="V90" s="128">
        <f t="shared" si="15"/>
        <v>13.472871730400001</v>
      </c>
      <c r="W90" s="128" t="s">
        <v>1247</v>
      </c>
    </row>
    <row r="91" spans="1:23" x14ac:dyDescent="0.55000000000000004">
      <c r="A91" s="124">
        <v>44972</v>
      </c>
      <c r="B91" s="125">
        <v>0.375</v>
      </c>
      <c r="C91" s="31" t="s">
        <v>70</v>
      </c>
      <c r="D91" s="31" t="s">
        <v>71</v>
      </c>
      <c r="E91" s="31" t="s">
        <v>927</v>
      </c>
      <c r="F91" s="31">
        <v>1</v>
      </c>
      <c r="G91" s="31" t="s">
        <v>73</v>
      </c>
      <c r="H91" s="31" t="s">
        <v>74</v>
      </c>
      <c r="I91" s="31" t="s">
        <v>83</v>
      </c>
      <c r="J91" s="31">
        <v>191</v>
      </c>
      <c r="K91" s="126">
        <v>44972</v>
      </c>
      <c r="L91" s="125">
        <v>0.55112268518518526</v>
      </c>
      <c r="M91" s="31">
        <v>1</v>
      </c>
      <c r="N91" s="31" t="s">
        <v>84</v>
      </c>
      <c r="O91" s="31">
        <v>0.63200000000000001</v>
      </c>
      <c r="P91" s="31">
        <v>4.3099999999999999E-2</v>
      </c>
      <c r="Q91" s="31">
        <v>15</v>
      </c>
      <c r="R91" s="31" t="s">
        <v>85</v>
      </c>
      <c r="S91" s="34">
        <f t="shared" si="13"/>
        <v>15</v>
      </c>
      <c r="T91" s="128" t="s">
        <v>1232</v>
      </c>
      <c r="U91" s="127">
        <v>44972</v>
      </c>
      <c r="V91" s="128">
        <f t="shared" si="15"/>
        <v>20.155066841599997</v>
      </c>
      <c r="W91" s="128" t="s">
        <v>1247</v>
      </c>
    </row>
    <row r="92" spans="1:23" x14ac:dyDescent="0.55000000000000004">
      <c r="A92" s="124">
        <v>44972</v>
      </c>
      <c r="B92" s="125">
        <v>0.375</v>
      </c>
      <c r="C92" s="31" t="s">
        <v>70</v>
      </c>
      <c r="D92" s="31" t="s">
        <v>71</v>
      </c>
      <c r="E92" s="31" t="s">
        <v>928</v>
      </c>
      <c r="F92" s="31">
        <v>1</v>
      </c>
      <c r="G92" s="31" t="s">
        <v>73</v>
      </c>
      <c r="H92" s="31" t="s">
        <v>74</v>
      </c>
      <c r="I92" s="31" t="s">
        <v>83</v>
      </c>
      <c r="J92" s="31">
        <v>192</v>
      </c>
      <c r="K92" s="126">
        <v>44972</v>
      </c>
      <c r="L92" s="125">
        <v>0.55182870370370374</v>
      </c>
      <c r="M92" s="31">
        <v>1</v>
      </c>
      <c r="N92" s="31" t="s">
        <v>84</v>
      </c>
      <c r="O92" s="31">
        <v>0.65200000000000002</v>
      </c>
      <c r="P92" s="31">
        <v>4.5199999999999997E-2</v>
      </c>
      <c r="Q92" s="31">
        <v>20</v>
      </c>
      <c r="R92" s="31" t="s">
        <v>85</v>
      </c>
      <c r="S92" s="34">
        <f t="shared" si="13"/>
        <v>20</v>
      </c>
      <c r="T92" s="128" t="s">
        <v>1232</v>
      </c>
      <c r="U92" s="127">
        <v>44972</v>
      </c>
      <c r="V92" s="128">
        <f t="shared" si="15"/>
        <v>21.518670153599999</v>
      </c>
      <c r="W92" s="128" t="s">
        <v>1247</v>
      </c>
    </row>
    <row r="93" spans="1:23" x14ac:dyDescent="0.55000000000000004">
      <c r="A93" s="124">
        <v>44972</v>
      </c>
      <c r="B93" s="125">
        <v>0.375</v>
      </c>
      <c r="C93" s="31" t="s">
        <v>70</v>
      </c>
      <c r="D93" s="31" t="s">
        <v>71</v>
      </c>
      <c r="E93" s="31" t="s">
        <v>929</v>
      </c>
      <c r="F93" s="31">
        <v>1</v>
      </c>
      <c r="G93" s="31" t="s">
        <v>73</v>
      </c>
      <c r="H93" s="31" t="s">
        <v>74</v>
      </c>
      <c r="I93" s="31" t="s">
        <v>83</v>
      </c>
      <c r="J93" s="31">
        <v>193</v>
      </c>
      <c r="K93" s="126">
        <v>44972</v>
      </c>
      <c r="L93" s="125">
        <v>0.55252314814814818</v>
      </c>
      <c r="M93" s="31">
        <v>1</v>
      </c>
      <c r="N93" s="31" t="s">
        <v>84</v>
      </c>
      <c r="O93" s="31">
        <v>1.34</v>
      </c>
      <c r="P93" s="31">
        <v>9.4299999999999995E-2</v>
      </c>
      <c r="Q93" s="31">
        <v>75</v>
      </c>
      <c r="R93" s="31" t="s">
        <v>85</v>
      </c>
      <c r="S93" s="34">
        <f t="shared" si="13"/>
        <v>75</v>
      </c>
      <c r="T93" s="128" t="s">
        <v>1232</v>
      </c>
      <c r="U93" s="127">
        <v>44972</v>
      </c>
      <c r="V93" s="128">
        <f t="shared" si="15"/>
        <v>68.40392503999999</v>
      </c>
      <c r="W93" s="128" t="s">
        <v>1247</v>
      </c>
    </row>
    <row r="94" spans="1:23" x14ac:dyDescent="0.55000000000000004">
      <c r="A94" s="124">
        <v>44972</v>
      </c>
      <c r="B94" s="125">
        <v>0.375</v>
      </c>
      <c r="C94" s="31" t="s">
        <v>70</v>
      </c>
      <c r="D94" s="31" t="s">
        <v>71</v>
      </c>
      <c r="E94" s="31" t="s">
        <v>930</v>
      </c>
      <c r="F94" s="31">
        <v>1</v>
      </c>
      <c r="G94" s="31" t="s">
        <v>73</v>
      </c>
      <c r="H94" s="31" t="s">
        <v>74</v>
      </c>
      <c r="I94" s="31" t="s">
        <v>83</v>
      </c>
      <c r="J94" s="31">
        <v>194</v>
      </c>
      <c r="K94" s="126">
        <v>44972</v>
      </c>
      <c r="L94" s="125">
        <v>0.55324074074074081</v>
      </c>
      <c r="M94" s="31">
        <v>1</v>
      </c>
      <c r="N94" s="31" t="s">
        <v>84</v>
      </c>
      <c r="O94" s="31">
        <v>2.34</v>
      </c>
      <c r="P94" s="31">
        <v>0.16700000000000001</v>
      </c>
      <c r="Q94" s="31">
        <v>150</v>
      </c>
      <c r="R94" s="31" t="s">
        <v>85</v>
      </c>
      <c r="S94" s="34">
        <f t="shared" si="13"/>
        <v>150</v>
      </c>
      <c r="T94" s="128" t="s">
        <v>1232</v>
      </c>
      <c r="U94" s="127">
        <v>44972</v>
      </c>
      <c r="V94" s="128">
        <f t="shared" si="15"/>
        <v>136.47243703999996</v>
      </c>
      <c r="W94" s="128" t="s">
        <v>1247</v>
      </c>
    </row>
    <row r="95" spans="1:23" x14ac:dyDescent="0.55000000000000004">
      <c r="A95" s="124">
        <v>44972</v>
      </c>
      <c r="B95" s="125">
        <v>0.375</v>
      </c>
      <c r="C95" s="31" t="s">
        <v>70</v>
      </c>
      <c r="D95" s="31" t="s">
        <v>71</v>
      </c>
      <c r="E95" s="31" t="s">
        <v>931</v>
      </c>
      <c r="F95" s="31">
        <v>1</v>
      </c>
      <c r="G95" s="31" t="s">
        <v>73</v>
      </c>
      <c r="H95" s="31" t="s">
        <v>74</v>
      </c>
      <c r="I95" s="31" t="s">
        <v>83</v>
      </c>
      <c r="J95" s="31">
        <v>195</v>
      </c>
      <c r="K95" s="126">
        <v>44972</v>
      </c>
      <c r="L95" s="125">
        <v>0.55393518518518514</v>
      </c>
      <c r="M95" s="31">
        <v>1</v>
      </c>
      <c r="N95" s="31" t="s">
        <v>84</v>
      </c>
      <c r="O95" s="31">
        <v>4.55</v>
      </c>
      <c r="P95" s="31">
        <v>0.33100000000000002</v>
      </c>
      <c r="Q95" s="31">
        <v>300</v>
      </c>
      <c r="R95" s="31" t="s">
        <v>85</v>
      </c>
      <c r="S95" s="34">
        <f t="shared" si="13"/>
        <v>300</v>
      </c>
      <c r="T95" s="128" t="s">
        <v>1232</v>
      </c>
      <c r="U95" s="127">
        <v>44972</v>
      </c>
      <c r="V95" s="128">
        <f t="shared" si="15"/>
        <v>286.57326349999994</v>
      </c>
      <c r="W95" s="128" t="s">
        <v>1247</v>
      </c>
    </row>
    <row r="96" spans="1:23" x14ac:dyDescent="0.55000000000000004">
      <c r="A96" s="124">
        <v>44972</v>
      </c>
      <c r="B96" s="125">
        <v>0.375</v>
      </c>
      <c r="C96" s="31" t="s">
        <v>70</v>
      </c>
      <c r="D96" s="31" t="s">
        <v>71</v>
      </c>
      <c r="E96" s="31" t="s">
        <v>932</v>
      </c>
      <c r="F96" s="31">
        <v>1</v>
      </c>
      <c r="G96" s="31" t="s">
        <v>73</v>
      </c>
      <c r="H96" s="31" t="s">
        <v>74</v>
      </c>
      <c r="I96" s="31" t="s">
        <v>83</v>
      </c>
      <c r="J96" s="31">
        <v>196</v>
      </c>
      <c r="K96" s="126">
        <v>44972</v>
      </c>
      <c r="L96" s="125">
        <v>0.55464120370370373</v>
      </c>
      <c r="M96" s="31">
        <v>1</v>
      </c>
      <c r="N96" s="31" t="s">
        <v>84</v>
      </c>
      <c r="O96" s="31">
        <v>7.51</v>
      </c>
      <c r="P96" s="31">
        <v>0.54700000000000004</v>
      </c>
      <c r="Q96" s="31">
        <v>500</v>
      </c>
      <c r="R96" s="31" t="s">
        <v>85</v>
      </c>
      <c r="S96" s="34">
        <f t="shared" si="13"/>
        <v>500</v>
      </c>
      <c r="T96" s="128" t="s">
        <v>1232</v>
      </c>
      <c r="U96" s="127">
        <v>44972</v>
      </c>
      <c r="V96" s="128">
        <f t="shared" si="15"/>
        <v>486.90015533999997</v>
      </c>
      <c r="W96" s="128" t="s">
        <v>1247</v>
      </c>
    </row>
    <row r="97" spans="1:23" x14ac:dyDescent="0.55000000000000004">
      <c r="A97" s="32">
        <v>44979</v>
      </c>
      <c r="B97" s="33">
        <v>0.375</v>
      </c>
      <c r="C97" s="10" t="s">
        <v>70</v>
      </c>
      <c r="D97" s="10" t="s">
        <v>71</v>
      </c>
      <c r="E97" s="10" t="s">
        <v>917</v>
      </c>
      <c r="F97" s="10">
        <v>1</v>
      </c>
      <c r="G97" s="10" t="s">
        <v>73</v>
      </c>
      <c r="H97" s="10" t="s">
        <v>74</v>
      </c>
      <c r="I97" s="10" t="s">
        <v>83</v>
      </c>
      <c r="J97" s="10">
        <v>181</v>
      </c>
      <c r="K97" s="12">
        <v>44980</v>
      </c>
      <c r="L97" s="33">
        <v>0.41797453703703707</v>
      </c>
      <c r="M97" s="10">
        <v>1</v>
      </c>
      <c r="N97" s="10" t="s">
        <v>84</v>
      </c>
      <c r="O97" s="10">
        <v>0.33800000000000002</v>
      </c>
      <c r="P97" s="10">
        <v>2.3400000000000001E-2</v>
      </c>
      <c r="Q97" s="10">
        <v>0</v>
      </c>
      <c r="R97" s="10" t="s">
        <v>85</v>
      </c>
      <c r="S97" s="123">
        <f t="shared" si="13"/>
        <v>0</v>
      </c>
      <c r="T97" s="10" t="s">
        <v>1285</v>
      </c>
      <c r="U97" s="45">
        <v>44980</v>
      </c>
      <c r="V97" s="129">
        <f>-0.0059*O97^2+68.478*O97-14.154</f>
        <v>8.9908899604000005</v>
      </c>
      <c r="W97" s="129" t="s">
        <v>1300</v>
      </c>
    </row>
    <row r="98" spans="1:23" x14ac:dyDescent="0.55000000000000004">
      <c r="A98" s="32">
        <v>44979</v>
      </c>
      <c r="B98" s="33">
        <v>0.375</v>
      </c>
      <c r="C98" s="10" t="s">
        <v>70</v>
      </c>
      <c r="D98" s="10" t="s">
        <v>71</v>
      </c>
      <c r="E98" s="10" t="s">
        <v>918</v>
      </c>
      <c r="F98" s="10">
        <v>1</v>
      </c>
      <c r="G98" s="10" t="s">
        <v>73</v>
      </c>
      <c r="H98" s="10" t="s">
        <v>74</v>
      </c>
      <c r="I98" s="10" t="s">
        <v>83</v>
      </c>
      <c r="J98" s="10">
        <v>182</v>
      </c>
      <c r="K98" s="12">
        <v>44980</v>
      </c>
      <c r="L98" s="33">
        <v>0.41868055555555556</v>
      </c>
      <c r="M98" s="10">
        <v>1</v>
      </c>
      <c r="N98" s="10" t="s">
        <v>84</v>
      </c>
      <c r="O98" s="10">
        <v>0.47399999999999998</v>
      </c>
      <c r="P98" s="10">
        <v>3.3599999999999998E-2</v>
      </c>
      <c r="Q98" s="10">
        <v>12</v>
      </c>
      <c r="R98" s="10" t="s">
        <v>85</v>
      </c>
      <c r="S98" s="123">
        <f t="shared" si="13"/>
        <v>12</v>
      </c>
      <c r="T98" s="10" t="s">
        <v>1285</v>
      </c>
      <c r="U98" s="45">
        <v>44980</v>
      </c>
      <c r="V98" s="129">
        <f t="shared" ref="V98:V112" si="16">-0.0059*O98^2+68.478*O98-14.154</f>
        <v>18.303246411599996</v>
      </c>
      <c r="W98" s="129" t="s">
        <v>1300</v>
      </c>
    </row>
    <row r="99" spans="1:23" x14ac:dyDescent="0.55000000000000004">
      <c r="A99" s="32">
        <v>44979</v>
      </c>
      <c r="B99" s="33">
        <v>0.375</v>
      </c>
      <c r="C99" s="10" t="s">
        <v>70</v>
      </c>
      <c r="D99" s="10" t="s">
        <v>71</v>
      </c>
      <c r="E99" s="10" t="s">
        <v>919</v>
      </c>
      <c r="F99" s="10">
        <v>1</v>
      </c>
      <c r="G99" s="10" t="s">
        <v>73</v>
      </c>
      <c r="H99" s="10" t="s">
        <v>74</v>
      </c>
      <c r="I99" s="10" t="s">
        <v>83</v>
      </c>
      <c r="J99" s="10">
        <v>183</v>
      </c>
      <c r="K99" s="12">
        <v>44980</v>
      </c>
      <c r="L99" s="33">
        <v>0.41938657407407409</v>
      </c>
      <c r="M99" s="10">
        <v>1</v>
      </c>
      <c r="N99" s="10" t="s">
        <v>84</v>
      </c>
      <c r="O99" s="10">
        <v>0.93100000000000005</v>
      </c>
      <c r="P99" s="10">
        <v>6.6500000000000004E-2</v>
      </c>
      <c r="Q99" s="10">
        <v>50</v>
      </c>
      <c r="R99" s="10" t="s">
        <v>85</v>
      </c>
      <c r="S99" s="123">
        <f t="shared" si="13"/>
        <v>50</v>
      </c>
      <c r="T99" s="10" t="s">
        <v>1285</v>
      </c>
      <c r="U99" s="45">
        <v>44980</v>
      </c>
      <c r="V99" s="129">
        <f t="shared" si="16"/>
        <v>49.593904110099999</v>
      </c>
      <c r="W99" s="129" t="s">
        <v>1300</v>
      </c>
    </row>
    <row r="100" spans="1:23" x14ac:dyDescent="0.55000000000000004">
      <c r="A100" s="32">
        <v>44979</v>
      </c>
      <c r="B100" s="33">
        <v>0.375</v>
      </c>
      <c r="C100" s="10" t="s">
        <v>70</v>
      </c>
      <c r="D100" s="10" t="s">
        <v>71</v>
      </c>
      <c r="E100" s="10" t="s">
        <v>920</v>
      </c>
      <c r="F100" s="10">
        <v>1</v>
      </c>
      <c r="G100" s="10" t="s">
        <v>73</v>
      </c>
      <c r="H100" s="10" t="s">
        <v>74</v>
      </c>
      <c r="I100" s="10" t="s">
        <v>83</v>
      </c>
      <c r="J100" s="10">
        <v>184</v>
      </c>
      <c r="K100" s="12">
        <v>44980</v>
      </c>
      <c r="L100" s="33">
        <v>0.42009259259259263</v>
      </c>
      <c r="M100" s="10">
        <v>1</v>
      </c>
      <c r="N100" s="10" t="s">
        <v>84</v>
      </c>
      <c r="O100" s="10">
        <v>2.85</v>
      </c>
      <c r="P100" s="10">
        <v>0.20699999999999999</v>
      </c>
      <c r="Q100" s="10">
        <v>200</v>
      </c>
      <c r="R100" s="10" t="s">
        <v>85</v>
      </c>
      <c r="S100" s="123">
        <f t="shared" si="13"/>
        <v>200</v>
      </c>
      <c r="T100" s="10" t="s">
        <v>1285</v>
      </c>
      <c r="U100" s="45">
        <v>44980</v>
      </c>
      <c r="V100" s="129">
        <f t="shared" si="16"/>
        <v>180.96037724999999</v>
      </c>
      <c r="W100" s="129" t="s">
        <v>1300</v>
      </c>
    </row>
    <row r="101" spans="1:23" x14ac:dyDescent="0.55000000000000004">
      <c r="A101" s="32">
        <v>44979</v>
      </c>
      <c r="B101" s="33">
        <v>0.375</v>
      </c>
      <c r="C101" s="10" t="s">
        <v>70</v>
      </c>
      <c r="D101" s="10" t="s">
        <v>71</v>
      </c>
      <c r="E101" s="10" t="s">
        <v>921</v>
      </c>
      <c r="F101" s="10">
        <v>1</v>
      </c>
      <c r="G101" s="10" t="s">
        <v>73</v>
      </c>
      <c r="H101" s="10" t="s">
        <v>74</v>
      </c>
      <c r="I101" s="10" t="s">
        <v>83</v>
      </c>
      <c r="J101" s="10">
        <v>185</v>
      </c>
      <c r="K101" s="12">
        <v>44980</v>
      </c>
      <c r="L101" s="33">
        <v>0.42079861111111111</v>
      </c>
      <c r="M101" s="10">
        <v>1</v>
      </c>
      <c r="N101" s="10" t="s">
        <v>84</v>
      </c>
      <c r="O101" s="10">
        <v>7.39</v>
      </c>
      <c r="P101" s="10">
        <v>0.54500000000000004</v>
      </c>
      <c r="Q101" s="10">
        <v>500</v>
      </c>
      <c r="R101" s="10" t="s">
        <v>85</v>
      </c>
      <c r="S101" s="123">
        <f t="shared" si="13"/>
        <v>500</v>
      </c>
      <c r="T101" s="10" t="s">
        <v>1285</v>
      </c>
      <c r="U101" s="45">
        <v>44980</v>
      </c>
      <c r="V101" s="129">
        <f t="shared" si="16"/>
        <v>491.57620860999992</v>
      </c>
      <c r="W101" s="129" t="s">
        <v>1300</v>
      </c>
    </row>
    <row r="102" spans="1:23" x14ac:dyDescent="0.55000000000000004">
      <c r="A102" s="32">
        <v>44979</v>
      </c>
      <c r="B102" s="33">
        <v>0.375</v>
      </c>
      <c r="C102" s="10" t="s">
        <v>70</v>
      </c>
      <c r="D102" s="10" t="s">
        <v>71</v>
      </c>
      <c r="E102" s="10" t="s">
        <v>922</v>
      </c>
      <c r="F102" s="10">
        <v>1</v>
      </c>
      <c r="G102" s="10" t="s">
        <v>73</v>
      </c>
      <c r="H102" s="10" t="s">
        <v>74</v>
      </c>
      <c r="I102" s="10" t="s">
        <v>83</v>
      </c>
      <c r="J102" s="10">
        <v>186</v>
      </c>
      <c r="K102" s="12">
        <v>44980</v>
      </c>
      <c r="L102" s="33">
        <v>0.42151620370370368</v>
      </c>
      <c r="M102" s="10">
        <v>1</v>
      </c>
      <c r="N102" s="10" t="s">
        <v>84</v>
      </c>
      <c r="O102" s="10">
        <v>15.3</v>
      </c>
      <c r="P102" s="10">
        <v>1.1200000000000001</v>
      </c>
      <c r="Q102" s="10">
        <v>1000</v>
      </c>
      <c r="R102" s="10" t="s">
        <v>85</v>
      </c>
      <c r="S102" s="123">
        <f t="shared" si="13"/>
        <v>1000</v>
      </c>
      <c r="T102" s="10" t="s">
        <v>1285</v>
      </c>
      <c r="U102" s="45">
        <v>44980</v>
      </c>
      <c r="V102" s="129">
        <f t="shared" si="16"/>
        <v>1032.1782689999998</v>
      </c>
      <c r="W102" s="129" t="s">
        <v>1300</v>
      </c>
    </row>
    <row r="103" spans="1:23" x14ac:dyDescent="0.55000000000000004">
      <c r="A103" s="32">
        <v>44979</v>
      </c>
      <c r="B103" s="33">
        <v>0.375</v>
      </c>
      <c r="C103" s="10" t="s">
        <v>70</v>
      </c>
      <c r="D103" s="10" t="s">
        <v>71</v>
      </c>
      <c r="E103" s="10" t="s">
        <v>923</v>
      </c>
      <c r="F103" s="10">
        <v>1</v>
      </c>
      <c r="G103" s="10" t="s">
        <v>73</v>
      </c>
      <c r="H103" s="10" t="s">
        <v>74</v>
      </c>
      <c r="I103" s="10" t="s">
        <v>83</v>
      </c>
      <c r="J103" s="10">
        <v>187</v>
      </c>
      <c r="K103" s="12">
        <v>44980</v>
      </c>
      <c r="L103" s="33">
        <v>0.42222222222222222</v>
      </c>
      <c r="M103" s="10">
        <v>1</v>
      </c>
      <c r="N103" s="10" t="s">
        <v>84</v>
      </c>
      <c r="O103" s="10">
        <v>22.5</v>
      </c>
      <c r="P103" s="10">
        <v>1.62</v>
      </c>
      <c r="Q103" s="10">
        <v>1500</v>
      </c>
      <c r="R103" s="10" t="s">
        <v>85</v>
      </c>
      <c r="S103" s="123">
        <f t="shared" si="13"/>
        <v>1500</v>
      </c>
      <c r="T103" s="10" t="s">
        <v>1285</v>
      </c>
      <c r="U103" s="45">
        <v>44980</v>
      </c>
      <c r="V103" s="129">
        <f t="shared" si="16"/>
        <v>1523.6141249999998</v>
      </c>
      <c r="W103" s="129" t="s">
        <v>1300</v>
      </c>
    </row>
    <row r="104" spans="1:23" x14ac:dyDescent="0.55000000000000004">
      <c r="A104" s="32">
        <v>44979</v>
      </c>
      <c r="B104" s="33">
        <v>0.375</v>
      </c>
      <c r="C104" s="10" t="s">
        <v>70</v>
      </c>
      <c r="D104" s="10" t="s">
        <v>71</v>
      </c>
      <c r="E104" s="10" t="s">
        <v>924</v>
      </c>
      <c r="F104" s="10">
        <v>1</v>
      </c>
      <c r="G104" s="10" t="s">
        <v>73</v>
      </c>
      <c r="H104" s="10" t="s">
        <v>74</v>
      </c>
      <c r="I104" s="10" t="s">
        <v>83</v>
      </c>
      <c r="J104" s="10">
        <v>188</v>
      </c>
      <c r="K104" s="12">
        <v>44980</v>
      </c>
      <c r="L104" s="33">
        <v>0.4229282407407407</v>
      </c>
      <c r="M104" s="10">
        <v>1</v>
      </c>
      <c r="N104" s="10" t="s">
        <v>84</v>
      </c>
      <c r="O104" s="10">
        <v>29.2</v>
      </c>
      <c r="P104" s="10">
        <v>2.09</v>
      </c>
      <c r="Q104" s="10">
        <v>2000</v>
      </c>
      <c r="R104" s="10" t="s">
        <v>85</v>
      </c>
      <c r="S104" s="123">
        <f t="shared" si="13"/>
        <v>2000</v>
      </c>
      <c r="T104" s="10" t="s">
        <v>1285</v>
      </c>
      <c r="U104" s="45">
        <v>44980</v>
      </c>
      <c r="V104" s="129">
        <f t="shared" si="16"/>
        <v>1980.3730239999998</v>
      </c>
      <c r="W104" s="129" t="s">
        <v>1300</v>
      </c>
    </row>
    <row r="105" spans="1:23" x14ac:dyDescent="0.55000000000000004">
      <c r="A105" s="32">
        <v>44979</v>
      </c>
      <c r="B105" s="33">
        <v>0.375</v>
      </c>
      <c r="C105" s="10" t="s">
        <v>70</v>
      </c>
      <c r="D105" s="10" t="s">
        <v>71</v>
      </c>
      <c r="E105" s="10" t="s">
        <v>925</v>
      </c>
      <c r="F105" s="10">
        <v>1</v>
      </c>
      <c r="G105" s="10" t="s">
        <v>73</v>
      </c>
      <c r="H105" s="10" t="s">
        <v>74</v>
      </c>
      <c r="I105" s="10" t="s">
        <v>83</v>
      </c>
      <c r="J105" s="10">
        <v>189</v>
      </c>
      <c r="K105" s="12">
        <v>44980</v>
      </c>
      <c r="L105" s="33">
        <v>0.42363425925925924</v>
      </c>
      <c r="M105" s="10">
        <v>1</v>
      </c>
      <c r="N105" s="10" t="s">
        <v>84</v>
      </c>
      <c r="O105" s="10">
        <v>0.48699999999999999</v>
      </c>
      <c r="P105" s="10">
        <v>3.3399999999999999E-2</v>
      </c>
      <c r="Q105" s="10">
        <v>0</v>
      </c>
      <c r="R105" s="10" t="s">
        <v>85</v>
      </c>
      <c r="S105" s="123">
        <f t="shared" si="13"/>
        <v>0</v>
      </c>
      <c r="T105" s="10" t="s">
        <v>1285</v>
      </c>
      <c r="U105" s="45">
        <v>44980</v>
      </c>
      <c r="V105" s="129">
        <f t="shared" si="16"/>
        <v>19.193386702899996</v>
      </c>
      <c r="W105" s="129" t="s">
        <v>1300</v>
      </c>
    </row>
    <row r="106" spans="1:23" x14ac:dyDescent="0.55000000000000004">
      <c r="A106" s="32">
        <v>44979</v>
      </c>
      <c r="B106" s="33">
        <v>0.375</v>
      </c>
      <c r="C106" s="10" t="s">
        <v>70</v>
      </c>
      <c r="D106" s="10" t="s">
        <v>71</v>
      </c>
      <c r="E106" s="10" t="s">
        <v>926</v>
      </c>
      <c r="F106" s="10">
        <v>1</v>
      </c>
      <c r="G106" s="10" t="s">
        <v>73</v>
      </c>
      <c r="H106" s="10" t="s">
        <v>74</v>
      </c>
      <c r="I106" s="10" t="s">
        <v>83</v>
      </c>
      <c r="J106" s="10">
        <v>190</v>
      </c>
      <c r="K106" s="12">
        <v>44980</v>
      </c>
      <c r="L106" s="33">
        <v>0.42434027777777777</v>
      </c>
      <c r="M106" s="10">
        <v>1</v>
      </c>
      <c r="N106" s="10" t="s">
        <v>84</v>
      </c>
      <c r="O106" s="10">
        <v>0.504</v>
      </c>
      <c r="P106" s="10">
        <v>3.4599999999999999E-2</v>
      </c>
      <c r="Q106" s="10">
        <v>5</v>
      </c>
      <c r="R106" s="10" t="s">
        <v>85</v>
      </c>
      <c r="S106" s="123">
        <f t="shared" si="13"/>
        <v>5</v>
      </c>
      <c r="T106" s="10" t="s">
        <v>1285</v>
      </c>
      <c r="U106" s="45">
        <v>44980</v>
      </c>
      <c r="V106" s="129">
        <f t="shared" si="16"/>
        <v>20.357413305600002</v>
      </c>
      <c r="W106" s="129" t="s">
        <v>1300</v>
      </c>
    </row>
    <row r="107" spans="1:23" x14ac:dyDescent="0.55000000000000004">
      <c r="A107" s="32">
        <v>44979</v>
      </c>
      <c r="B107" s="33">
        <v>0.375</v>
      </c>
      <c r="C107" s="10" t="s">
        <v>70</v>
      </c>
      <c r="D107" s="10" t="s">
        <v>71</v>
      </c>
      <c r="E107" s="10" t="s">
        <v>927</v>
      </c>
      <c r="F107" s="10">
        <v>1</v>
      </c>
      <c r="G107" s="10" t="s">
        <v>73</v>
      </c>
      <c r="H107" s="10" t="s">
        <v>74</v>
      </c>
      <c r="I107" s="10" t="s">
        <v>83</v>
      </c>
      <c r="J107" s="10">
        <v>191</v>
      </c>
      <c r="K107" s="12">
        <v>44980</v>
      </c>
      <c r="L107" s="33">
        <v>0.42505787037037041</v>
      </c>
      <c r="M107" s="10">
        <v>1</v>
      </c>
      <c r="N107" s="10" t="s">
        <v>84</v>
      </c>
      <c r="O107" s="10">
        <v>0.57299999999999995</v>
      </c>
      <c r="P107" s="10">
        <v>3.9E-2</v>
      </c>
      <c r="Q107" s="10">
        <v>15</v>
      </c>
      <c r="R107" s="10" t="s">
        <v>85</v>
      </c>
      <c r="S107" s="123">
        <f t="shared" si="13"/>
        <v>15</v>
      </c>
      <c r="T107" s="10" t="s">
        <v>1285</v>
      </c>
      <c r="U107" s="45">
        <v>44980</v>
      </c>
      <c r="V107" s="129">
        <f t="shared" si="16"/>
        <v>25.081956858899996</v>
      </c>
      <c r="W107" s="129" t="s">
        <v>1300</v>
      </c>
    </row>
    <row r="108" spans="1:23" x14ac:dyDescent="0.55000000000000004">
      <c r="A108" s="32">
        <v>44979</v>
      </c>
      <c r="B108" s="33">
        <v>0.375</v>
      </c>
      <c r="C108" s="10" t="s">
        <v>70</v>
      </c>
      <c r="D108" s="10" t="s">
        <v>71</v>
      </c>
      <c r="E108" s="10" t="s">
        <v>928</v>
      </c>
      <c r="F108" s="10">
        <v>1</v>
      </c>
      <c r="G108" s="10" t="s">
        <v>73</v>
      </c>
      <c r="H108" s="10" t="s">
        <v>74</v>
      </c>
      <c r="I108" s="10" t="s">
        <v>83</v>
      </c>
      <c r="J108" s="10">
        <v>192</v>
      </c>
      <c r="K108" s="12">
        <v>44980</v>
      </c>
      <c r="L108" s="33">
        <v>0.42576388888888889</v>
      </c>
      <c r="M108" s="10">
        <v>1</v>
      </c>
      <c r="N108" s="10" t="s">
        <v>84</v>
      </c>
      <c r="O108" s="10">
        <v>0.60499999999999998</v>
      </c>
      <c r="P108" s="10">
        <v>4.1200000000000001E-2</v>
      </c>
      <c r="Q108" s="10">
        <v>20</v>
      </c>
      <c r="R108" s="10" t="s">
        <v>85</v>
      </c>
      <c r="S108" s="123">
        <f t="shared" si="13"/>
        <v>20</v>
      </c>
      <c r="T108" s="10" t="s">
        <v>1285</v>
      </c>
      <c r="U108" s="45">
        <v>44980</v>
      </c>
      <c r="V108" s="129">
        <f t="shared" si="16"/>
        <v>27.273030452499999</v>
      </c>
      <c r="W108" s="129" t="s">
        <v>1300</v>
      </c>
    </row>
    <row r="109" spans="1:23" x14ac:dyDescent="0.55000000000000004">
      <c r="A109" s="32">
        <v>44979</v>
      </c>
      <c r="B109" s="33">
        <v>0.375</v>
      </c>
      <c r="C109" s="10" t="s">
        <v>70</v>
      </c>
      <c r="D109" s="10" t="s">
        <v>71</v>
      </c>
      <c r="E109" s="10" t="s">
        <v>929</v>
      </c>
      <c r="F109" s="10">
        <v>1</v>
      </c>
      <c r="G109" s="10" t="s">
        <v>73</v>
      </c>
      <c r="H109" s="10" t="s">
        <v>74</v>
      </c>
      <c r="I109" s="10" t="s">
        <v>83</v>
      </c>
      <c r="J109" s="10">
        <v>193</v>
      </c>
      <c r="K109" s="12">
        <v>44980</v>
      </c>
      <c r="L109" s="33">
        <v>0.42646990740740742</v>
      </c>
      <c r="M109" s="10">
        <v>1</v>
      </c>
      <c r="N109" s="10" t="s">
        <v>84</v>
      </c>
      <c r="O109" s="10">
        <v>1.25</v>
      </c>
      <c r="P109" s="10">
        <v>8.8200000000000001E-2</v>
      </c>
      <c r="Q109" s="10">
        <v>75</v>
      </c>
      <c r="R109" s="10" t="s">
        <v>85</v>
      </c>
      <c r="S109" s="123">
        <f t="shared" si="13"/>
        <v>75</v>
      </c>
      <c r="T109" s="10" t="s">
        <v>1285</v>
      </c>
      <c r="U109" s="45">
        <v>44980</v>
      </c>
      <c r="V109" s="129">
        <f t="shared" si="16"/>
        <v>71.434281249999998</v>
      </c>
      <c r="W109" s="129" t="s">
        <v>1300</v>
      </c>
    </row>
    <row r="110" spans="1:23" x14ac:dyDescent="0.55000000000000004">
      <c r="A110" s="32">
        <v>44979</v>
      </c>
      <c r="B110" s="33">
        <v>0.375</v>
      </c>
      <c r="C110" s="10" t="s">
        <v>70</v>
      </c>
      <c r="D110" s="10" t="s">
        <v>71</v>
      </c>
      <c r="E110" s="10" t="s">
        <v>930</v>
      </c>
      <c r="F110" s="10">
        <v>1</v>
      </c>
      <c r="G110" s="10" t="s">
        <v>73</v>
      </c>
      <c r="H110" s="10" t="s">
        <v>74</v>
      </c>
      <c r="I110" s="10" t="s">
        <v>83</v>
      </c>
      <c r="J110" s="10">
        <v>194</v>
      </c>
      <c r="K110" s="12">
        <v>44980</v>
      </c>
      <c r="L110" s="33">
        <v>0.42717592592592596</v>
      </c>
      <c r="M110" s="10">
        <v>1</v>
      </c>
      <c r="N110" s="10" t="s">
        <v>84</v>
      </c>
      <c r="O110" s="10">
        <v>2.13</v>
      </c>
      <c r="P110" s="10">
        <v>0.152</v>
      </c>
      <c r="Q110" s="10">
        <v>150</v>
      </c>
      <c r="R110" s="10" t="s">
        <v>85</v>
      </c>
      <c r="S110" s="123">
        <f t="shared" si="13"/>
        <v>150</v>
      </c>
      <c r="T110" s="10" t="s">
        <v>1285</v>
      </c>
      <c r="U110" s="45">
        <v>44980</v>
      </c>
      <c r="V110" s="129">
        <f t="shared" si="16"/>
        <v>131.67737228999999</v>
      </c>
      <c r="W110" s="129" t="s">
        <v>1300</v>
      </c>
    </row>
    <row r="111" spans="1:23" x14ac:dyDescent="0.55000000000000004">
      <c r="A111" s="32">
        <v>44979</v>
      </c>
      <c r="B111" s="33">
        <v>0.375</v>
      </c>
      <c r="C111" s="10" t="s">
        <v>70</v>
      </c>
      <c r="D111" s="10" t="s">
        <v>71</v>
      </c>
      <c r="E111" s="10" t="s">
        <v>931</v>
      </c>
      <c r="F111" s="10">
        <v>1</v>
      </c>
      <c r="G111" s="10" t="s">
        <v>73</v>
      </c>
      <c r="H111" s="10" t="s">
        <v>74</v>
      </c>
      <c r="I111" s="10" t="s">
        <v>83</v>
      </c>
      <c r="J111" s="10">
        <v>195</v>
      </c>
      <c r="K111" s="12">
        <v>44980</v>
      </c>
      <c r="L111" s="33">
        <v>0.42788194444444444</v>
      </c>
      <c r="M111" s="10">
        <v>1</v>
      </c>
      <c r="N111" s="10" t="s">
        <v>84</v>
      </c>
      <c r="O111" s="10">
        <v>4.3</v>
      </c>
      <c r="P111" s="10">
        <v>0.314</v>
      </c>
      <c r="Q111" s="10">
        <v>300</v>
      </c>
      <c r="R111" s="10" t="s">
        <v>85</v>
      </c>
      <c r="S111" s="123">
        <f t="shared" si="13"/>
        <v>300</v>
      </c>
      <c r="T111" s="10" t="s">
        <v>1285</v>
      </c>
      <c r="U111" s="45">
        <v>44980</v>
      </c>
      <c r="V111" s="129">
        <f t="shared" si="16"/>
        <v>280.19230899999997</v>
      </c>
      <c r="W111" s="129" t="s">
        <v>1300</v>
      </c>
    </row>
    <row r="112" spans="1:23" x14ac:dyDescent="0.55000000000000004">
      <c r="A112" s="32">
        <v>44979</v>
      </c>
      <c r="B112" s="33">
        <v>0.375</v>
      </c>
      <c r="C112" s="10" t="s">
        <v>70</v>
      </c>
      <c r="D112" s="10" t="s">
        <v>71</v>
      </c>
      <c r="E112" s="10" t="s">
        <v>932</v>
      </c>
      <c r="F112" s="10">
        <v>1</v>
      </c>
      <c r="G112" s="10" t="s">
        <v>73</v>
      </c>
      <c r="H112" s="10" t="s">
        <v>74</v>
      </c>
      <c r="I112" s="10" t="s">
        <v>83</v>
      </c>
      <c r="J112" s="10">
        <v>196</v>
      </c>
      <c r="K112" s="12">
        <v>44980</v>
      </c>
      <c r="L112" s="33">
        <v>0.42859953703703701</v>
      </c>
      <c r="M112" s="10">
        <v>1</v>
      </c>
      <c r="N112" s="10" t="s">
        <v>84</v>
      </c>
      <c r="O112" s="10">
        <v>7.02</v>
      </c>
      <c r="P112" s="10">
        <v>0.51900000000000002</v>
      </c>
      <c r="Q112" s="10">
        <v>500</v>
      </c>
      <c r="R112" s="10" t="s">
        <v>85</v>
      </c>
      <c r="S112" s="123">
        <f t="shared" si="13"/>
        <v>500</v>
      </c>
      <c r="T112" s="10" t="s">
        <v>1285</v>
      </c>
      <c r="U112" s="45">
        <v>44980</v>
      </c>
      <c r="V112" s="129">
        <f t="shared" si="16"/>
        <v>466.27080563999994</v>
      </c>
      <c r="W112" s="129" t="s">
        <v>1300</v>
      </c>
    </row>
  </sheetData>
  <phoneticPr fontId="17" type="noConversion"/>
  <conditionalFormatting sqref="AZ1">
    <cfRule type="cellIs" dxfId="5" priority="1" operator="lessThan">
      <formula>0</formula>
    </cfRule>
  </conditionalFormatting>
  <conditionalFormatting sqref="U1">
    <cfRule type="cellIs" dxfId="4" priority="2" operator="lessThan">
      <formula>0</formula>
    </cfRule>
  </conditionalFormatting>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3C8B8-004A-413B-A541-0264C4503EC6}">
  <dimension ref="A1:BB43"/>
  <sheetViews>
    <sheetView topLeftCell="Q1" zoomScale="79" zoomScaleNormal="79" workbookViewId="0">
      <selection activeCell="AF8" sqref="AF8:BB8"/>
    </sheetView>
  </sheetViews>
  <sheetFormatPr defaultRowHeight="14.4" x14ac:dyDescent="0.55000000000000004"/>
  <cols>
    <col min="2" max="2" width="10.3125" bestFit="1" customWidth="1"/>
    <col min="11" max="11" width="9.41796875" bestFit="1" customWidth="1"/>
    <col min="12" max="12" width="11.3125" bestFit="1" customWidth="1"/>
    <col min="20" max="20" width="35.5234375" bestFit="1" customWidth="1"/>
    <col min="21" max="21" width="10.7890625" bestFit="1" customWidth="1"/>
    <col min="22" max="22" width="12.68359375" bestFit="1" customWidth="1"/>
    <col min="23" max="23" width="24.68359375" bestFit="1" customWidth="1"/>
    <col min="31" max="31" width="36.5234375" customWidth="1"/>
    <col min="33" max="33" width="10.3125" bestFit="1" customWidth="1"/>
    <col min="42" max="42" width="9.41796875" bestFit="1" customWidth="1"/>
    <col min="43" max="43" width="11.1015625" bestFit="1" customWidth="1"/>
    <col min="51" max="51" width="35.5234375" bestFit="1" customWidth="1"/>
    <col min="52" max="52" width="10.7890625" bestFit="1" customWidth="1"/>
    <col min="54" max="54" width="24.1015625" bestFit="1" customWidth="1"/>
  </cols>
  <sheetData>
    <row r="1" spans="1:54" ht="100.8" x14ac:dyDescent="0.55000000000000004">
      <c r="A1" s="17" t="s">
        <v>0</v>
      </c>
      <c r="B1" s="35" t="s">
        <v>23</v>
      </c>
      <c r="C1" s="19" t="s">
        <v>24</v>
      </c>
      <c r="D1" s="19" t="s">
        <v>25</v>
      </c>
      <c r="E1" s="19" t="s">
        <v>26</v>
      </c>
      <c r="F1" s="19" t="s">
        <v>27</v>
      </c>
      <c r="G1" s="19" t="s">
        <v>28</v>
      </c>
      <c r="H1" s="19" t="s">
        <v>29</v>
      </c>
      <c r="I1" s="19" t="s">
        <v>30</v>
      </c>
      <c r="J1" s="19" t="s">
        <v>31</v>
      </c>
      <c r="K1" s="20" t="s">
        <v>32</v>
      </c>
      <c r="L1" s="21" t="s">
        <v>33</v>
      </c>
      <c r="M1" s="22" t="s">
        <v>34</v>
      </c>
      <c r="N1" s="19" t="s">
        <v>35</v>
      </c>
      <c r="O1" s="23" t="s">
        <v>36</v>
      </c>
      <c r="P1" s="23" t="s">
        <v>37</v>
      </c>
      <c r="Q1" s="24" t="s">
        <v>38</v>
      </c>
      <c r="R1" s="19" t="s">
        <v>39</v>
      </c>
      <c r="S1" s="36" t="s">
        <v>40</v>
      </c>
      <c r="T1" s="19" t="s">
        <v>46</v>
      </c>
      <c r="U1" s="20" t="s">
        <v>79</v>
      </c>
      <c r="V1" s="9" t="s">
        <v>80</v>
      </c>
      <c r="W1" s="3" t="s">
        <v>81</v>
      </c>
      <c r="AF1" s="37" t="s">
        <v>0</v>
      </c>
      <c r="AG1" s="35" t="s">
        <v>23</v>
      </c>
      <c r="AH1" s="38" t="s">
        <v>24</v>
      </c>
      <c r="AI1" s="38" t="s">
        <v>25</v>
      </c>
      <c r="AJ1" s="38" t="s">
        <v>26</v>
      </c>
      <c r="AK1" s="38" t="s">
        <v>27</v>
      </c>
      <c r="AL1" s="38" t="s">
        <v>28</v>
      </c>
      <c r="AM1" s="38" t="s">
        <v>29</v>
      </c>
      <c r="AN1" s="38" t="s">
        <v>30</v>
      </c>
      <c r="AO1" s="38" t="s">
        <v>31</v>
      </c>
      <c r="AP1" s="39" t="s">
        <v>32</v>
      </c>
      <c r="AQ1" s="40" t="s">
        <v>33</v>
      </c>
      <c r="AR1" s="22" t="s">
        <v>34</v>
      </c>
      <c r="AS1" s="38" t="s">
        <v>35</v>
      </c>
      <c r="AT1" s="41" t="s">
        <v>36</v>
      </c>
      <c r="AU1" s="41" t="s">
        <v>37</v>
      </c>
      <c r="AV1" s="42" t="s">
        <v>38</v>
      </c>
      <c r="AW1" s="38" t="s">
        <v>39</v>
      </c>
      <c r="AX1" s="43" t="s">
        <v>40</v>
      </c>
      <c r="AY1" s="38" t="s">
        <v>46</v>
      </c>
      <c r="AZ1" s="39" t="s">
        <v>82</v>
      </c>
      <c r="BA1" s="44" t="s">
        <v>80</v>
      </c>
      <c r="BB1" s="44" t="s">
        <v>81</v>
      </c>
    </row>
    <row r="2" spans="1:54" x14ac:dyDescent="0.55000000000000004">
      <c r="A2" s="32">
        <v>44930</v>
      </c>
      <c r="B2" s="33">
        <v>0.375</v>
      </c>
      <c r="C2" s="10" t="s">
        <v>70</v>
      </c>
      <c r="D2" s="10" t="s">
        <v>71</v>
      </c>
      <c r="E2" s="10" t="s">
        <v>917</v>
      </c>
      <c r="F2" s="10">
        <v>1</v>
      </c>
      <c r="G2" s="10" t="s">
        <v>73</v>
      </c>
      <c r="H2" s="10" t="s">
        <v>74</v>
      </c>
      <c r="I2" s="10" t="s">
        <v>235</v>
      </c>
      <c r="J2" s="10">
        <v>181</v>
      </c>
      <c r="K2" s="12">
        <v>44930</v>
      </c>
      <c r="L2" s="33">
        <v>0.5556712962962963</v>
      </c>
      <c r="M2" s="10">
        <v>1</v>
      </c>
      <c r="N2" s="10" t="s">
        <v>196</v>
      </c>
      <c r="O2" s="10">
        <v>0.51500000000000001</v>
      </c>
      <c r="P2" s="10">
        <v>3.0099999999999998E-2</v>
      </c>
      <c r="Q2" s="10">
        <v>0</v>
      </c>
      <c r="R2" s="10" t="s">
        <v>170</v>
      </c>
      <c r="S2" s="123">
        <f t="shared" ref="S2:S43" si="0">IF(OR(AND(I2&lt;&gt;"TP", I2&lt;&gt;"TDP",I2&lt;&gt;"TN", I2&lt;&gt;"TDN"),H2="CAL"), Q2*M2, IF(OR(AND(I2="TN", Q2&gt;2500), AND(I2="TDN", Q2&gt;2500)),MAX(Q2, AK2)*M2, IF(OR(AND(I2="TN", Q2&lt;=2500), AND(I2="TDN", Q2&lt;=2500)),MAX(Q2, AJ2,AK2)*M2, IF(OR(AND(I2="TP",Q2&gt;500), AND(I2="TDP", Q2&gt;500)),MAX(Q2,AK2)*M2,IF(OR(AND(I2="TP",Q2&lt;=150), AND(I2="TDP", Q2&lt;=150)),MAX(Q2,AG2:AI2,AK2)*M2,IF(OR(AND(I2="TP",Q2&lt;=300), AND(I2="TDP", Q2&lt;=300)),MAX(Q2,AH2,AI2,AK2)*M2,IF(OR(AND(I2="TP",Q2&lt;=500), AND(I2="TDP", Q2&lt;=500)),MAX(Q2,AI2,AK2)*M2,"")))))))</f>
        <v>0</v>
      </c>
      <c r="T2" s="10" t="s">
        <v>959</v>
      </c>
      <c r="U2" s="45">
        <v>44930</v>
      </c>
      <c r="V2">
        <f>0.4739*O2^2+205.64*O2-100.4</f>
        <v>5.6302901274999897</v>
      </c>
      <c r="W2" t="s">
        <v>969</v>
      </c>
      <c r="AF2" s="32">
        <v>44930</v>
      </c>
      <c r="AG2" s="33">
        <v>0.375</v>
      </c>
      <c r="AH2" s="10" t="s">
        <v>70</v>
      </c>
      <c r="AI2" s="10" t="s">
        <v>71</v>
      </c>
      <c r="AJ2" s="10" t="s">
        <v>922</v>
      </c>
      <c r="AK2" s="10">
        <v>1</v>
      </c>
      <c r="AL2" s="10" t="s">
        <v>73</v>
      </c>
      <c r="AM2" s="10" t="s">
        <v>74</v>
      </c>
      <c r="AN2" s="10" t="s">
        <v>235</v>
      </c>
      <c r="AO2" s="10">
        <v>186</v>
      </c>
      <c r="AP2" s="12">
        <v>44930</v>
      </c>
      <c r="AQ2" s="33">
        <v>0.55905092592592587</v>
      </c>
      <c r="AR2" s="10">
        <v>1</v>
      </c>
      <c r="AS2" s="10" t="s">
        <v>196</v>
      </c>
      <c r="AT2" s="10">
        <v>12.3</v>
      </c>
      <c r="AU2" s="10">
        <v>0.71599999999999997</v>
      </c>
      <c r="AV2" s="10">
        <v>2500</v>
      </c>
      <c r="AW2" s="10" t="s">
        <v>170</v>
      </c>
      <c r="AX2" s="123">
        <f t="shared" ref="AX2:AX8" si="1">IF(OR(AND(AN2&lt;&gt;"TP", AN2&lt;&gt;"TDP",AN2&lt;&gt;"TN", AN2&lt;&gt;"TDN"),AM2="CAL"), AV2*AR2, IF(OR(AND(AN2="TN", AV2&gt;2500), AND(AN2="TDN", AV2&gt;2500)),MAX(AV2, BP2)*AR2, IF(OR(AND(AN2="TN", AV2&lt;=2500), AND(AN2="TDN", AV2&lt;=2500)),MAX(AV2, BO2,BP2)*AR2, IF(OR(AND(AN2="TP",AV2&gt;500), AND(AN2="TDP", AV2&gt;500)),MAX(AV2,BP2)*AR2,IF(OR(AND(AN2="TP",AV2&lt;=150), AND(AN2="TDP", AV2&lt;=150)),MAX(AV2,BL2:BN2,BP2)*AR2,IF(OR(AND(AN2="TP",AV2&lt;=300), AND(AN2="TDP", AV2&lt;=300)),MAX(AV2,BM2,BN2,BP2)*AR2,IF(OR(AND(AN2="TP",AV2&lt;=500), AND(AN2="TDP", AV2&lt;=500)),MAX(AV2,BN2,BP2)*AR2,"")))))))</f>
        <v>2500</v>
      </c>
      <c r="AY2" s="10" t="s">
        <v>959</v>
      </c>
      <c r="AZ2" s="45">
        <v>44930</v>
      </c>
      <c r="BA2">
        <f t="shared" ref="BA2" si="2">0.4739*AT2^2+205.64*AT2-100.4</f>
        <v>2500.6683309999999</v>
      </c>
      <c r="BB2" t="s">
        <v>969</v>
      </c>
    </row>
    <row r="3" spans="1:54" x14ac:dyDescent="0.55000000000000004">
      <c r="A3" s="32">
        <v>44930</v>
      </c>
      <c r="B3" s="33">
        <v>0.375</v>
      </c>
      <c r="C3" s="10" t="s">
        <v>70</v>
      </c>
      <c r="D3" s="10" t="s">
        <v>71</v>
      </c>
      <c r="E3" s="10" t="s">
        <v>918</v>
      </c>
      <c r="F3" s="10">
        <v>1</v>
      </c>
      <c r="G3" s="10" t="s">
        <v>73</v>
      </c>
      <c r="H3" s="10" t="s">
        <v>74</v>
      </c>
      <c r="I3" s="10" t="s">
        <v>235</v>
      </c>
      <c r="J3" s="10">
        <v>182</v>
      </c>
      <c r="K3" s="12">
        <v>44930</v>
      </c>
      <c r="L3" s="33">
        <v>0.55635416666666659</v>
      </c>
      <c r="M3" s="10">
        <v>1</v>
      </c>
      <c r="N3" s="10" t="s">
        <v>196</v>
      </c>
      <c r="O3" s="10">
        <v>0.59599999999999997</v>
      </c>
      <c r="P3" s="10">
        <v>3.5200000000000002E-2</v>
      </c>
      <c r="Q3" s="10">
        <v>30</v>
      </c>
      <c r="R3" s="10" t="s">
        <v>170</v>
      </c>
      <c r="S3" s="123">
        <f t="shared" si="0"/>
        <v>30</v>
      </c>
      <c r="T3" s="10" t="s">
        <v>959</v>
      </c>
      <c r="U3" s="45">
        <v>44930</v>
      </c>
      <c r="V3">
        <f t="shared" ref="V3:V7" si="3">0.4739*O3^2+205.64*O3-100.4</f>
        <v>22.329776862399981</v>
      </c>
      <c r="W3" t="s">
        <v>969</v>
      </c>
      <c r="AF3" s="124">
        <v>44937</v>
      </c>
      <c r="AG3" s="125">
        <v>0.375</v>
      </c>
      <c r="AH3" s="31" t="s">
        <v>70</v>
      </c>
      <c r="AI3" s="31" t="s">
        <v>71</v>
      </c>
      <c r="AJ3" s="31" t="s">
        <v>922</v>
      </c>
      <c r="AK3" s="31">
        <v>1</v>
      </c>
      <c r="AL3" s="31" t="s">
        <v>73</v>
      </c>
      <c r="AM3" s="31" t="s">
        <v>74</v>
      </c>
      <c r="AN3" s="31" t="s">
        <v>235</v>
      </c>
      <c r="AO3" s="31">
        <v>186</v>
      </c>
      <c r="AP3" s="126">
        <v>44937</v>
      </c>
      <c r="AQ3" s="125">
        <v>0.5745717592592593</v>
      </c>
      <c r="AR3" s="31">
        <v>1</v>
      </c>
      <c r="AS3" s="31" t="s">
        <v>196</v>
      </c>
      <c r="AT3" s="31">
        <v>11.9</v>
      </c>
      <c r="AU3" s="31">
        <v>0.71799999999999997</v>
      </c>
      <c r="AV3" s="31">
        <v>2500</v>
      </c>
      <c r="AW3" s="31" t="s">
        <v>170</v>
      </c>
      <c r="AX3" s="34">
        <f t="shared" si="1"/>
        <v>2500</v>
      </c>
      <c r="AY3" s="31" t="s">
        <v>1004</v>
      </c>
      <c r="AZ3" s="127">
        <v>44937</v>
      </c>
      <c r="BA3" s="128">
        <f t="shared" ref="BA3" si="4">2.4015*AT3^2+187.16*AT3-68.555</f>
        <v>2498.7254150000003</v>
      </c>
      <c r="BB3" s="128" t="s">
        <v>1013</v>
      </c>
    </row>
    <row r="4" spans="1:54" x14ac:dyDescent="0.55000000000000004">
      <c r="A4" s="32">
        <v>44930</v>
      </c>
      <c r="B4" s="33">
        <v>0.375</v>
      </c>
      <c r="C4" s="10" t="s">
        <v>70</v>
      </c>
      <c r="D4" s="10" t="s">
        <v>71</v>
      </c>
      <c r="E4" s="10" t="s">
        <v>919</v>
      </c>
      <c r="F4" s="10">
        <v>1</v>
      </c>
      <c r="G4" s="10" t="s">
        <v>73</v>
      </c>
      <c r="H4" s="10" t="s">
        <v>74</v>
      </c>
      <c r="I4" s="10" t="s">
        <v>235</v>
      </c>
      <c r="J4" s="10">
        <v>183</v>
      </c>
      <c r="K4" s="12">
        <v>44930</v>
      </c>
      <c r="L4" s="33">
        <v>0.55702546296296296</v>
      </c>
      <c r="M4" s="10">
        <v>1</v>
      </c>
      <c r="N4" s="10" t="s">
        <v>196</v>
      </c>
      <c r="O4" s="10">
        <v>1.07</v>
      </c>
      <c r="P4" s="10">
        <v>6.1899999999999997E-2</v>
      </c>
      <c r="Q4" s="10">
        <v>125</v>
      </c>
      <c r="R4" s="10" t="s">
        <v>170</v>
      </c>
      <c r="S4" s="123">
        <f t="shared" si="0"/>
        <v>125</v>
      </c>
      <c r="T4" s="10" t="s">
        <v>959</v>
      </c>
      <c r="U4" s="45">
        <v>44930</v>
      </c>
      <c r="V4">
        <f t="shared" si="3"/>
        <v>120.17736810999997</v>
      </c>
      <c r="W4" t="s">
        <v>969</v>
      </c>
      <c r="AF4" s="119">
        <v>44950</v>
      </c>
      <c r="AG4" s="120">
        <v>0.375</v>
      </c>
      <c r="AH4" s="121" t="s">
        <v>70</v>
      </c>
      <c r="AI4" s="121" t="s">
        <v>71</v>
      </c>
      <c r="AJ4" s="121" t="s">
        <v>922</v>
      </c>
      <c r="AK4" s="121">
        <v>1</v>
      </c>
      <c r="AL4" s="121" t="s">
        <v>73</v>
      </c>
      <c r="AM4" s="121" t="s">
        <v>74</v>
      </c>
      <c r="AN4" s="121" t="s">
        <v>235</v>
      </c>
      <c r="AO4" s="121">
        <v>186</v>
      </c>
      <c r="AP4" s="122">
        <v>44950</v>
      </c>
      <c r="AQ4" s="120">
        <v>0.58587962962962969</v>
      </c>
      <c r="AR4" s="121">
        <v>1</v>
      </c>
      <c r="AS4" s="121" t="s">
        <v>196</v>
      </c>
      <c r="AT4" s="121">
        <v>12.8</v>
      </c>
      <c r="AU4" s="121">
        <v>0.76800000000000002</v>
      </c>
      <c r="AV4" s="121">
        <v>2500</v>
      </c>
      <c r="AW4" s="121" t="s">
        <v>170</v>
      </c>
      <c r="AX4" s="123">
        <f t="shared" si="1"/>
        <v>2500</v>
      </c>
      <c r="AY4" s="10" t="s">
        <v>1061</v>
      </c>
      <c r="AZ4" s="45">
        <v>44950</v>
      </c>
      <c r="BA4" s="129">
        <f t="shared" ref="BA4" si="5">-1.2768*AT4^2+222.07*AT4-130.11</f>
        <v>2503.1950879999999</v>
      </c>
      <c r="BB4" s="129" t="s">
        <v>1070</v>
      </c>
    </row>
    <row r="5" spans="1:54" x14ac:dyDescent="0.55000000000000004">
      <c r="A5" s="32">
        <v>44930</v>
      </c>
      <c r="B5" s="33">
        <v>0.375</v>
      </c>
      <c r="C5" s="10" t="s">
        <v>70</v>
      </c>
      <c r="D5" s="10" t="s">
        <v>71</v>
      </c>
      <c r="E5" s="10" t="s">
        <v>920</v>
      </c>
      <c r="F5" s="10">
        <v>1</v>
      </c>
      <c r="G5" s="10" t="s">
        <v>73</v>
      </c>
      <c r="H5" s="10" t="s">
        <v>74</v>
      </c>
      <c r="I5" s="10" t="s">
        <v>235</v>
      </c>
      <c r="J5" s="10">
        <v>184</v>
      </c>
      <c r="K5" s="12">
        <v>44930</v>
      </c>
      <c r="L5" s="33">
        <v>0.55770833333333336</v>
      </c>
      <c r="M5" s="10">
        <v>1</v>
      </c>
      <c r="N5" s="10" t="s">
        <v>196</v>
      </c>
      <c r="O5" s="10">
        <v>2.95</v>
      </c>
      <c r="P5" s="10">
        <v>0.16800000000000001</v>
      </c>
      <c r="Q5" s="10">
        <v>500</v>
      </c>
      <c r="R5" s="10" t="s">
        <v>170</v>
      </c>
      <c r="S5" s="123">
        <f t="shared" si="0"/>
        <v>500</v>
      </c>
      <c r="T5" s="10" t="s">
        <v>959</v>
      </c>
      <c r="U5" s="45">
        <v>44930</v>
      </c>
      <c r="V5">
        <f t="shared" si="3"/>
        <v>510.36211475000005</v>
      </c>
      <c r="W5" t="s">
        <v>969</v>
      </c>
      <c r="AF5" s="124">
        <v>44958</v>
      </c>
      <c r="AG5" s="125">
        <v>0.375</v>
      </c>
      <c r="AH5" s="31" t="s">
        <v>70</v>
      </c>
      <c r="AI5" s="31" t="s">
        <v>71</v>
      </c>
      <c r="AJ5" s="31" t="s">
        <v>922</v>
      </c>
      <c r="AK5" s="31">
        <v>1</v>
      </c>
      <c r="AL5" s="31" t="s">
        <v>73</v>
      </c>
      <c r="AM5" s="31" t="s">
        <v>74</v>
      </c>
      <c r="AN5" s="31" t="s">
        <v>235</v>
      </c>
      <c r="AO5" s="31">
        <v>186</v>
      </c>
      <c r="AP5" s="126">
        <v>44958</v>
      </c>
      <c r="AQ5" s="125">
        <v>0.64568287037037042</v>
      </c>
      <c r="AR5" s="31">
        <v>1</v>
      </c>
      <c r="AS5" s="31" t="s">
        <v>196</v>
      </c>
      <c r="AT5" s="31">
        <v>13.8</v>
      </c>
      <c r="AU5" s="31">
        <v>0.67700000000000005</v>
      </c>
      <c r="AV5" s="31">
        <v>2500</v>
      </c>
      <c r="AW5" s="31" t="s">
        <v>170</v>
      </c>
      <c r="AX5" s="34">
        <f t="shared" si="1"/>
        <v>2500</v>
      </c>
      <c r="AY5" s="31" t="s">
        <v>1116</v>
      </c>
      <c r="AZ5" s="127">
        <v>44958</v>
      </c>
      <c r="BA5" s="128">
        <f t="shared" ref="BA5" si="6">0.9631*AT5^2+173.03*AT5-74.605</f>
        <v>2496.6217640000004</v>
      </c>
      <c r="BB5" s="128" t="s">
        <v>1125</v>
      </c>
    </row>
    <row r="6" spans="1:54" x14ac:dyDescent="0.55000000000000004">
      <c r="A6" s="32">
        <v>44930</v>
      </c>
      <c r="B6" s="33">
        <v>0.375</v>
      </c>
      <c r="C6" s="10" t="s">
        <v>70</v>
      </c>
      <c r="D6" s="10" t="s">
        <v>71</v>
      </c>
      <c r="E6" s="10" t="s">
        <v>921</v>
      </c>
      <c r="F6" s="10">
        <v>1</v>
      </c>
      <c r="G6" s="10" t="s">
        <v>73</v>
      </c>
      <c r="H6" s="10" t="s">
        <v>74</v>
      </c>
      <c r="I6" s="10" t="s">
        <v>235</v>
      </c>
      <c r="J6" s="10">
        <v>185</v>
      </c>
      <c r="K6" s="12">
        <v>44930</v>
      </c>
      <c r="L6" s="33">
        <v>0.55837962962962961</v>
      </c>
      <c r="M6" s="10">
        <v>1</v>
      </c>
      <c r="N6" s="10" t="s">
        <v>196</v>
      </c>
      <c r="O6" s="10">
        <v>6.44</v>
      </c>
      <c r="P6" s="10">
        <v>0.376</v>
      </c>
      <c r="Q6" s="10">
        <v>1250</v>
      </c>
      <c r="R6" s="10" t="s">
        <v>170</v>
      </c>
      <c r="S6" s="123">
        <f t="shared" si="0"/>
        <v>1250</v>
      </c>
      <c r="T6" s="10" t="s">
        <v>959</v>
      </c>
      <c r="U6" s="45">
        <v>44930</v>
      </c>
      <c r="V6">
        <f t="shared" si="3"/>
        <v>1243.5759390399999</v>
      </c>
      <c r="W6" t="s">
        <v>969</v>
      </c>
      <c r="AF6" s="32">
        <v>44966</v>
      </c>
      <c r="AG6" s="33">
        <v>0.375</v>
      </c>
      <c r="AH6" s="10" t="s">
        <v>70</v>
      </c>
      <c r="AI6" s="10" t="s">
        <v>71</v>
      </c>
      <c r="AJ6" s="10" t="s">
        <v>922</v>
      </c>
      <c r="AK6" s="10">
        <v>1</v>
      </c>
      <c r="AL6" s="10" t="s">
        <v>73</v>
      </c>
      <c r="AM6" s="10" t="s">
        <v>74</v>
      </c>
      <c r="AN6" s="10" t="s">
        <v>235</v>
      </c>
      <c r="AO6" s="10">
        <v>186</v>
      </c>
      <c r="AP6" s="12">
        <v>44967</v>
      </c>
      <c r="AQ6" s="33">
        <v>0.38958333333333334</v>
      </c>
      <c r="AR6" s="10">
        <v>1</v>
      </c>
      <c r="AS6" s="10" t="s">
        <v>196</v>
      </c>
      <c r="AT6" s="10">
        <v>15.2</v>
      </c>
      <c r="AU6" s="10">
        <v>0.749</v>
      </c>
      <c r="AV6" s="10">
        <v>2500</v>
      </c>
      <c r="AW6" s="10" t="s">
        <v>170</v>
      </c>
      <c r="AX6" s="123">
        <f t="shared" si="1"/>
        <v>2500</v>
      </c>
      <c r="AY6" s="10" t="s">
        <v>1178</v>
      </c>
      <c r="AZ6" s="45">
        <v>44967</v>
      </c>
      <c r="BA6" s="129">
        <f t="shared" ref="BA6" si="7">-1.3255*AT6^2+193.01*AT6-127.15</f>
        <v>2500.3584799999994</v>
      </c>
      <c r="BB6" s="129" t="s">
        <v>1187</v>
      </c>
    </row>
    <row r="7" spans="1:54" x14ac:dyDescent="0.55000000000000004">
      <c r="A7" s="32">
        <v>44930</v>
      </c>
      <c r="B7" s="33">
        <v>0.375</v>
      </c>
      <c r="C7" s="10" t="s">
        <v>70</v>
      </c>
      <c r="D7" s="10" t="s">
        <v>71</v>
      </c>
      <c r="E7" s="10" t="s">
        <v>922</v>
      </c>
      <c r="F7" s="10">
        <v>1</v>
      </c>
      <c r="G7" s="10" t="s">
        <v>73</v>
      </c>
      <c r="H7" s="10" t="s">
        <v>74</v>
      </c>
      <c r="I7" s="10" t="s">
        <v>235</v>
      </c>
      <c r="J7" s="10">
        <v>186</v>
      </c>
      <c r="K7" s="12">
        <v>44930</v>
      </c>
      <c r="L7" s="33">
        <v>0.55905092592592587</v>
      </c>
      <c r="M7" s="10">
        <v>1</v>
      </c>
      <c r="N7" s="10" t="s">
        <v>196</v>
      </c>
      <c r="O7" s="10">
        <v>12.3</v>
      </c>
      <c r="P7" s="10">
        <v>0.71599999999999997</v>
      </c>
      <c r="Q7" s="10">
        <v>2500</v>
      </c>
      <c r="R7" s="10" t="s">
        <v>170</v>
      </c>
      <c r="S7" s="123">
        <f t="shared" si="0"/>
        <v>2500</v>
      </c>
      <c r="T7" s="10" t="s">
        <v>959</v>
      </c>
      <c r="U7" s="45">
        <v>44930</v>
      </c>
      <c r="V7">
        <f t="shared" si="3"/>
        <v>2500.6683309999999</v>
      </c>
      <c r="W7" t="s">
        <v>969</v>
      </c>
      <c r="AF7" s="124">
        <v>44972</v>
      </c>
      <c r="AG7" s="125">
        <v>0.375</v>
      </c>
      <c r="AH7" s="31" t="s">
        <v>70</v>
      </c>
      <c r="AI7" s="31" t="s">
        <v>71</v>
      </c>
      <c r="AJ7" s="31" t="s">
        <v>922</v>
      </c>
      <c r="AK7" s="31">
        <v>1</v>
      </c>
      <c r="AL7" s="31" t="s">
        <v>73</v>
      </c>
      <c r="AM7" s="31" t="s">
        <v>74</v>
      </c>
      <c r="AN7" s="31" t="s">
        <v>235</v>
      </c>
      <c r="AO7" s="31">
        <v>186</v>
      </c>
      <c r="AP7" s="126">
        <v>44973</v>
      </c>
      <c r="AQ7" s="125">
        <v>0.44157407407407406</v>
      </c>
      <c r="AR7" s="31">
        <v>1</v>
      </c>
      <c r="AS7" s="31" t="s">
        <v>196</v>
      </c>
      <c r="AT7" s="31">
        <v>14.9</v>
      </c>
      <c r="AU7" s="31">
        <v>0.71799999999999997</v>
      </c>
      <c r="AV7" s="31">
        <v>2500</v>
      </c>
      <c r="AW7" s="31" t="s">
        <v>170</v>
      </c>
      <c r="AX7" s="34">
        <f t="shared" si="1"/>
        <v>2500</v>
      </c>
      <c r="AY7" s="31" t="s">
        <v>1222</v>
      </c>
      <c r="AZ7" s="127">
        <v>44973</v>
      </c>
      <c r="BA7" s="128">
        <f t="shared" ref="BA7" si="8">0.1303*AT7^2+171.81*AT7-89.924</f>
        <v>2498.9729029999999</v>
      </c>
      <c r="BB7" s="128" t="s">
        <v>1231</v>
      </c>
    </row>
    <row r="8" spans="1:54" x14ac:dyDescent="0.55000000000000004">
      <c r="A8" s="124">
        <v>44937</v>
      </c>
      <c r="B8" s="125">
        <v>0.375</v>
      </c>
      <c r="C8" s="31" t="s">
        <v>70</v>
      </c>
      <c r="D8" s="31" t="s">
        <v>71</v>
      </c>
      <c r="E8" s="31" t="s">
        <v>917</v>
      </c>
      <c r="F8" s="31">
        <v>1</v>
      </c>
      <c r="G8" s="31" t="s">
        <v>73</v>
      </c>
      <c r="H8" s="31" t="s">
        <v>74</v>
      </c>
      <c r="I8" s="31" t="s">
        <v>235</v>
      </c>
      <c r="J8" s="31">
        <v>181</v>
      </c>
      <c r="K8" s="126">
        <v>44937</v>
      </c>
      <c r="L8" s="125">
        <v>0.57119212962962962</v>
      </c>
      <c r="M8" s="31">
        <v>1</v>
      </c>
      <c r="N8" s="31" t="s">
        <v>196</v>
      </c>
      <c r="O8" s="31">
        <v>0.36399999999999999</v>
      </c>
      <c r="P8" s="31">
        <v>2.1299999999999999E-2</v>
      </c>
      <c r="Q8" s="31">
        <v>0</v>
      </c>
      <c r="R8" s="31" t="s">
        <v>170</v>
      </c>
      <c r="S8" s="34">
        <f t="shared" si="0"/>
        <v>0</v>
      </c>
      <c r="T8" s="31" t="s">
        <v>1004</v>
      </c>
      <c r="U8" s="127">
        <v>44937</v>
      </c>
      <c r="V8" s="128">
        <f>2.4015*O8^2+187.16*O8-68.555</f>
        <v>-0.1105708560000096</v>
      </c>
      <c r="W8" s="128" t="s">
        <v>1013</v>
      </c>
      <c r="AF8" s="119">
        <v>44979</v>
      </c>
      <c r="AG8" s="120">
        <v>0.375</v>
      </c>
      <c r="AH8" s="121" t="s">
        <v>70</v>
      </c>
      <c r="AI8" s="121" t="s">
        <v>71</v>
      </c>
      <c r="AJ8" s="121" t="s">
        <v>922</v>
      </c>
      <c r="AK8" s="121">
        <v>1</v>
      </c>
      <c r="AL8" s="121" t="s">
        <v>73</v>
      </c>
      <c r="AM8" s="121" t="s">
        <v>74</v>
      </c>
      <c r="AN8" s="121" t="s">
        <v>235</v>
      </c>
      <c r="AO8" s="121">
        <v>186</v>
      </c>
      <c r="AP8" s="122">
        <v>44981</v>
      </c>
      <c r="AQ8" s="120">
        <v>0.49079861111111112</v>
      </c>
      <c r="AR8" s="121">
        <v>1</v>
      </c>
      <c r="AS8" s="121" t="s">
        <v>196</v>
      </c>
      <c r="AT8" s="121">
        <v>13.8</v>
      </c>
      <c r="AU8" s="121">
        <v>0.66400000000000003</v>
      </c>
      <c r="AV8" s="121">
        <v>2500</v>
      </c>
      <c r="AW8" s="121" t="s">
        <v>170</v>
      </c>
      <c r="AX8" s="123">
        <f t="shared" si="1"/>
        <v>2500</v>
      </c>
      <c r="AY8" s="10" t="s">
        <v>1275</v>
      </c>
      <c r="AZ8" s="45">
        <v>44981</v>
      </c>
      <c r="BA8" s="129">
        <f t="shared" ref="BA8" si="9">2.8761*AT8^2+145.17*AT8-57.22</f>
        <v>2493.8504840000001</v>
      </c>
      <c r="BB8" s="129" t="s">
        <v>1284</v>
      </c>
    </row>
    <row r="9" spans="1:54" x14ac:dyDescent="0.55000000000000004">
      <c r="A9" s="124">
        <v>44937</v>
      </c>
      <c r="B9" s="125">
        <v>0.375</v>
      </c>
      <c r="C9" s="31" t="s">
        <v>70</v>
      </c>
      <c r="D9" s="31" t="s">
        <v>71</v>
      </c>
      <c r="E9" s="31" t="s">
        <v>918</v>
      </c>
      <c r="F9" s="31">
        <v>1</v>
      </c>
      <c r="G9" s="31" t="s">
        <v>73</v>
      </c>
      <c r="H9" s="31" t="s">
        <v>74</v>
      </c>
      <c r="I9" s="31" t="s">
        <v>235</v>
      </c>
      <c r="J9" s="31">
        <v>182</v>
      </c>
      <c r="K9" s="126">
        <v>44937</v>
      </c>
      <c r="L9" s="125">
        <v>0.57187500000000002</v>
      </c>
      <c r="M9" s="31">
        <v>1</v>
      </c>
      <c r="N9" s="31" t="s">
        <v>196</v>
      </c>
      <c r="O9" s="31">
        <v>0.54</v>
      </c>
      <c r="P9" s="31">
        <v>3.2199999999999999E-2</v>
      </c>
      <c r="Q9" s="31">
        <v>30</v>
      </c>
      <c r="R9" s="31" t="s">
        <v>170</v>
      </c>
      <c r="S9" s="34">
        <f t="shared" si="0"/>
        <v>30</v>
      </c>
      <c r="T9" s="31" t="s">
        <v>1004</v>
      </c>
      <c r="U9" s="127">
        <v>44937</v>
      </c>
      <c r="V9" s="128">
        <f t="shared" ref="V9:V13" si="10">2.4015*O9^2+187.16*O9-68.555</f>
        <v>33.211677399999999</v>
      </c>
      <c r="W9" s="128" t="s">
        <v>1013</v>
      </c>
    </row>
    <row r="10" spans="1:54" x14ac:dyDescent="0.55000000000000004">
      <c r="A10" s="124">
        <v>44937</v>
      </c>
      <c r="B10" s="125">
        <v>0.375</v>
      </c>
      <c r="C10" s="31" t="s">
        <v>70</v>
      </c>
      <c r="D10" s="31" t="s">
        <v>71</v>
      </c>
      <c r="E10" s="31" t="s">
        <v>919</v>
      </c>
      <c r="F10" s="31">
        <v>1</v>
      </c>
      <c r="G10" s="31" t="s">
        <v>73</v>
      </c>
      <c r="H10" s="31" t="s">
        <v>74</v>
      </c>
      <c r="I10" s="31" t="s">
        <v>235</v>
      </c>
      <c r="J10" s="31">
        <v>183</v>
      </c>
      <c r="K10" s="126">
        <v>44937</v>
      </c>
      <c r="L10" s="125">
        <v>0.57254629629629628</v>
      </c>
      <c r="M10" s="31">
        <v>1</v>
      </c>
      <c r="N10" s="31" t="s">
        <v>196</v>
      </c>
      <c r="O10" s="31">
        <v>1.03</v>
      </c>
      <c r="P10" s="31">
        <v>6.1199999999999997E-2</v>
      </c>
      <c r="Q10" s="31">
        <v>125</v>
      </c>
      <c r="R10" s="31" t="s">
        <v>170</v>
      </c>
      <c r="S10" s="34">
        <f t="shared" si="0"/>
        <v>125</v>
      </c>
      <c r="T10" s="31" t="s">
        <v>1004</v>
      </c>
      <c r="U10" s="127">
        <v>44937</v>
      </c>
      <c r="V10" s="128">
        <f t="shared" si="10"/>
        <v>126.76755134999999</v>
      </c>
      <c r="W10" s="128" t="s">
        <v>1013</v>
      </c>
    </row>
    <row r="11" spans="1:54" x14ac:dyDescent="0.55000000000000004">
      <c r="A11" s="124">
        <v>44937</v>
      </c>
      <c r="B11" s="125">
        <v>0.375</v>
      </c>
      <c r="C11" s="31" t="s">
        <v>70</v>
      </c>
      <c r="D11" s="31" t="s">
        <v>71</v>
      </c>
      <c r="E11" s="31" t="s">
        <v>920</v>
      </c>
      <c r="F11" s="31">
        <v>1</v>
      </c>
      <c r="G11" s="31" t="s">
        <v>73</v>
      </c>
      <c r="H11" s="31" t="s">
        <v>74</v>
      </c>
      <c r="I11" s="31" t="s">
        <v>235</v>
      </c>
      <c r="J11" s="31">
        <v>184</v>
      </c>
      <c r="K11" s="126">
        <v>44937</v>
      </c>
      <c r="L11" s="125">
        <v>0.57321759259259253</v>
      </c>
      <c r="M11" s="31">
        <v>1</v>
      </c>
      <c r="N11" s="31" t="s">
        <v>196</v>
      </c>
      <c r="O11" s="31">
        <v>2.88</v>
      </c>
      <c r="P11" s="31">
        <v>0.17199999999999999</v>
      </c>
      <c r="Q11" s="31">
        <v>500</v>
      </c>
      <c r="R11" s="31" t="s">
        <v>170</v>
      </c>
      <c r="S11" s="34">
        <f t="shared" si="0"/>
        <v>500</v>
      </c>
      <c r="T11" s="31" t="s">
        <v>1004</v>
      </c>
      <c r="U11" s="127">
        <v>44937</v>
      </c>
      <c r="V11" s="128">
        <f t="shared" si="10"/>
        <v>490.3848016</v>
      </c>
      <c r="W11" s="128" t="s">
        <v>1013</v>
      </c>
    </row>
    <row r="12" spans="1:54" x14ac:dyDescent="0.55000000000000004">
      <c r="A12" s="124">
        <v>44937</v>
      </c>
      <c r="B12" s="125">
        <v>0.375</v>
      </c>
      <c r="C12" s="31" t="s">
        <v>70</v>
      </c>
      <c r="D12" s="31" t="s">
        <v>71</v>
      </c>
      <c r="E12" s="31" t="s">
        <v>921</v>
      </c>
      <c r="F12" s="31">
        <v>1</v>
      </c>
      <c r="G12" s="31" t="s">
        <v>73</v>
      </c>
      <c r="H12" s="31" t="s">
        <v>74</v>
      </c>
      <c r="I12" s="31" t="s">
        <v>235</v>
      </c>
      <c r="J12" s="31">
        <v>185</v>
      </c>
      <c r="K12" s="126">
        <v>44937</v>
      </c>
      <c r="L12" s="125">
        <v>0.57390046296296293</v>
      </c>
      <c r="M12" s="31">
        <v>1</v>
      </c>
      <c r="N12" s="31" t="s">
        <v>196</v>
      </c>
      <c r="O12" s="31">
        <v>6.53</v>
      </c>
      <c r="P12" s="31">
        <v>0.39200000000000002</v>
      </c>
      <c r="Q12" s="31">
        <v>1250</v>
      </c>
      <c r="R12" s="31" t="s">
        <v>170</v>
      </c>
      <c r="S12" s="34">
        <f t="shared" si="0"/>
        <v>1250</v>
      </c>
      <c r="T12" s="31" t="s">
        <v>1004</v>
      </c>
      <c r="U12" s="127">
        <v>44937</v>
      </c>
      <c r="V12" s="128">
        <f t="shared" si="10"/>
        <v>1256.00192135</v>
      </c>
      <c r="W12" s="128" t="s">
        <v>1013</v>
      </c>
    </row>
    <row r="13" spans="1:54" x14ac:dyDescent="0.55000000000000004">
      <c r="A13" s="124">
        <v>44937</v>
      </c>
      <c r="B13" s="125">
        <v>0.375</v>
      </c>
      <c r="C13" s="31" t="s">
        <v>70</v>
      </c>
      <c r="D13" s="31" t="s">
        <v>71</v>
      </c>
      <c r="E13" s="31" t="s">
        <v>922</v>
      </c>
      <c r="F13" s="31">
        <v>1</v>
      </c>
      <c r="G13" s="31" t="s">
        <v>73</v>
      </c>
      <c r="H13" s="31" t="s">
        <v>74</v>
      </c>
      <c r="I13" s="31" t="s">
        <v>235</v>
      </c>
      <c r="J13" s="31">
        <v>186</v>
      </c>
      <c r="K13" s="126">
        <v>44937</v>
      </c>
      <c r="L13" s="125">
        <v>0.5745717592592593</v>
      </c>
      <c r="M13" s="31">
        <v>1</v>
      </c>
      <c r="N13" s="31" t="s">
        <v>196</v>
      </c>
      <c r="O13" s="31">
        <v>11.9</v>
      </c>
      <c r="P13" s="31">
        <v>0.71799999999999997</v>
      </c>
      <c r="Q13" s="31">
        <v>2500</v>
      </c>
      <c r="R13" s="31" t="s">
        <v>170</v>
      </c>
      <c r="S13" s="34">
        <f t="shared" si="0"/>
        <v>2500</v>
      </c>
      <c r="T13" s="31" t="s">
        <v>1004</v>
      </c>
      <c r="U13" s="127">
        <v>44937</v>
      </c>
      <c r="V13" s="128">
        <f t="shared" si="10"/>
        <v>2498.7254150000003</v>
      </c>
      <c r="W13" s="128" t="s">
        <v>1013</v>
      </c>
    </row>
    <row r="14" spans="1:54" x14ac:dyDescent="0.55000000000000004">
      <c r="A14" s="119">
        <v>44950</v>
      </c>
      <c r="B14" s="120">
        <v>0.375</v>
      </c>
      <c r="C14" s="121" t="s">
        <v>70</v>
      </c>
      <c r="D14" s="121" t="s">
        <v>71</v>
      </c>
      <c r="E14" s="121" t="s">
        <v>917</v>
      </c>
      <c r="F14" s="121">
        <v>1</v>
      </c>
      <c r="G14" s="121" t="s">
        <v>73</v>
      </c>
      <c r="H14" s="121" t="s">
        <v>74</v>
      </c>
      <c r="I14" s="121" t="s">
        <v>235</v>
      </c>
      <c r="J14" s="121">
        <v>181</v>
      </c>
      <c r="K14" s="122">
        <v>44950</v>
      </c>
      <c r="L14" s="120">
        <v>0.58248842592592587</v>
      </c>
      <c r="M14" s="121">
        <v>1</v>
      </c>
      <c r="N14" s="121" t="s">
        <v>196</v>
      </c>
      <c r="O14" s="121">
        <v>0.56200000000000006</v>
      </c>
      <c r="P14" s="121">
        <v>3.3099999999999997E-2</v>
      </c>
      <c r="Q14" s="121">
        <v>0</v>
      </c>
      <c r="R14" s="121" t="s">
        <v>170</v>
      </c>
      <c r="S14" s="123">
        <f t="shared" si="0"/>
        <v>0</v>
      </c>
      <c r="T14" s="10" t="s">
        <v>1061</v>
      </c>
      <c r="U14" s="45">
        <v>44950</v>
      </c>
      <c r="V14" s="129">
        <f>-1.2768*O14^2+222.07*O14-130.11</f>
        <v>-5.7099296192000111</v>
      </c>
      <c r="W14" s="129" t="s">
        <v>1070</v>
      </c>
    </row>
    <row r="15" spans="1:54" x14ac:dyDescent="0.55000000000000004">
      <c r="A15" s="119">
        <v>44950</v>
      </c>
      <c r="B15" s="120">
        <v>0.375</v>
      </c>
      <c r="C15" s="121" t="s">
        <v>70</v>
      </c>
      <c r="D15" s="121" t="s">
        <v>71</v>
      </c>
      <c r="E15" s="121" t="s">
        <v>918</v>
      </c>
      <c r="F15" s="121">
        <v>1</v>
      </c>
      <c r="G15" s="121" t="s">
        <v>73</v>
      </c>
      <c r="H15" s="121" t="s">
        <v>74</v>
      </c>
      <c r="I15" s="121" t="s">
        <v>235</v>
      </c>
      <c r="J15" s="121">
        <v>182</v>
      </c>
      <c r="K15" s="122">
        <v>44950</v>
      </c>
      <c r="L15" s="120">
        <v>0.58317129629629627</v>
      </c>
      <c r="M15" s="121">
        <v>1</v>
      </c>
      <c r="N15" s="121" t="s">
        <v>196</v>
      </c>
      <c r="O15" s="121">
        <v>0.77800000000000002</v>
      </c>
      <c r="P15" s="121">
        <v>4.6800000000000001E-2</v>
      </c>
      <c r="Q15" s="121">
        <v>30</v>
      </c>
      <c r="R15" s="121" t="s">
        <v>170</v>
      </c>
      <c r="S15" s="123">
        <f t="shared" si="0"/>
        <v>30</v>
      </c>
      <c r="T15" s="10" t="s">
        <v>1061</v>
      </c>
      <c r="U15" s="45">
        <v>44950</v>
      </c>
      <c r="V15" s="129">
        <f t="shared" ref="V15:V19" si="11">-1.2768*O15^2+222.07*O15-130.11</f>
        <v>41.887633388799998</v>
      </c>
      <c r="W15" s="129" t="s">
        <v>1070</v>
      </c>
    </row>
    <row r="16" spans="1:54" x14ac:dyDescent="0.55000000000000004">
      <c r="A16" s="119">
        <v>44950</v>
      </c>
      <c r="B16" s="120">
        <v>0.375</v>
      </c>
      <c r="C16" s="121" t="s">
        <v>70</v>
      </c>
      <c r="D16" s="121" t="s">
        <v>71</v>
      </c>
      <c r="E16" s="121" t="s">
        <v>919</v>
      </c>
      <c r="F16" s="121">
        <v>1</v>
      </c>
      <c r="G16" s="121" t="s">
        <v>73</v>
      </c>
      <c r="H16" s="121" t="s">
        <v>74</v>
      </c>
      <c r="I16" s="121" t="s">
        <v>235</v>
      </c>
      <c r="J16" s="121">
        <v>183</v>
      </c>
      <c r="K16" s="122">
        <v>44950</v>
      </c>
      <c r="L16" s="120">
        <v>0.58385416666666667</v>
      </c>
      <c r="M16" s="121">
        <v>1</v>
      </c>
      <c r="N16" s="121" t="s">
        <v>196</v>
      </c>
      <c r="O16" s="121">
        <v>1.04</v>
      </c>
      <c r="P16" s="121">
        <v>6.2600000000000003E-2</v>
      </c>
      <c r="Q16" s="121">
        <v>125</v>
      </c>
      <c r="R16" s="121" t="s">
        <v>170</v>
      </c>
      <c r="S16" s="123">
        <f t="shared" si="0"/>
        <v>125</v>
      </c>
      <c r="T16" s="10" t="s">
        <v>1061</v>
      </c>
      <c r="U16" s="45">
        <v>44950</v>
      </c>
      <c r="V16" s="129">
        <f t="shared" si="11"/>
        <v>99.461813119999988</v>
      </c>
      <c r="W16" s="129" t="s">
        <v>1070</v>
      </c>
    </row>
    <row r="17" spans="1:23" x14ac:dyDescent="0.55000000000000004">
      <c r="A17" s="119">
        <v>44950</v>
      </c>
      <c r="B17" s="120">
        <v>0.375</v>
      </c>
      <c r="C17" s="121" t="s">
        <v>70</v>
      </c>
      <c r="D17" s="121" t="s">
        <v>71</v>
      </c>
      <c r="E17" s="121" t="s">
        <v>920</v>
      </c>
      <c r="F17" s="121">
        <v>1</v>
      </c>
      <c r="G17" s="121" t="s">
        <v>73</v>
      </c>
      <c r="H17" s="121" t="s">
        <v>74</v>
      </c>
      <c r="I17" s="121" t="s">
        <v>235</v>
      </c>
      <c r="J17" s="121">
        <v>184</v>
      </c>
      <c r="K17" s="122">
        <v>44950</v>
      </c>
      <c r="L17" s="120">
        <v>0.58452546296296293</v>
      </c>
      <c r="M17" s="121">
        <v>1</v>
      </c>
      <c r="N17" s="121" t="s">
        <v>196</v>
      </c>
      <c r="O17" s="121">
        <v>3.06</v>
      </c>
      <c r="P17" s="121">
        <v>0.183</v>
      </c>
      <c r="Q17" s="121">
        <v>500</v>
      </c>
      <c r="R17" s="121" t="s">
        <v>170</v>
      </c>
      <c r="S17" s="123">
        <f t="shared" si="0"/>
        <v>500</v>
      </c>
      <c r="T17" s="10" t="s">
        <v>1061</v>
      </c>
      <c r="U17" s="45">
        <v>44950</v>
      </c>
      <c r="V17" s="129">
        <f t="shared" si="11"/>
        <v>537.46875551999995</v>
      </c>
      <c r="W17" s="129" t="s">
        <v>1070</v>
      </c>
    </row>
    <row r="18" spans="1:23" x14ac:dyDescent="0.55000000000000004">
      <c r="A18" s="119">
        <v>44950</v>
      </c>
      <c r="B18" s="120">
        <v>0.375</v>
      </c>
      <c r="C18" s="121" t="s">
        <v>70</v>
      </c>
      <c r="D18" s="121" t="s">
        <v>71</v>
      </c>
      <c r="E18" s="121" t="s">
        <v>921</v>
      </c>
      <c r="F18" s="121">
        <v>1</v>
      </c>
      <c r="G18" s="121" t="s">
        <v>73</v>
      </c>
      <c r="H18" s="121" t="s">
        <v>74</v>
      </c>
      <c r="I18" s="121" t="s">
        <v>235</v>
      </c>
      <c r="J18" s="121">
        <v>185</v>
      </c>
      <c r="K18" s="122">
        <v>44950</v>
      </c>
      <c r="L18" s="120">
        <v>0.58519675925925929</v>
      </c>
      <c r="M18" s="121">
        <v>1</v>
      </c>
      <c r="N18" s="121" t="s">
        <v>196</v>
      </c>
      <c r="O18" s="121">
        <v>6.35</v>
      </c>
      <c r="P18" s="121">
        <v>0.38200000000000001</v>
      </c>
      <c r="Q18" s="121">
        <v>1250</v>
      </c>
      <c r="R18" s="121" t="s">
        <v>170</v>
      </c>
      <c r="S18" s="123">
        <f t="shared" si="0"/>
        <v>1250</v>
      </c>
      <c r="T18" s="10" t="s">
        <v>1061</v>
      </c>
      <c r="U18" s="45">
        <v>44950</v>
      </c>
      <c r="V18" s="129">
        <f t="shared" si="11"/>
        <v>1228.5507319999997</v>
      </c>
      <c r="W18" s="129" t="s">
        <v>1070</v>
      </c>
    </row>
    <row r="19" spans="1:23" x14ac:dyDescent="0.55000000000000004">
      <c r="A19" s="119">
        <v>44950</v>
      </c>
      <c r="B19" s="120">
        <v>0.375</v>
      </c>
      <c r="C19" s="121" t="s">
        <v>70</v>
      </c>
      <c r="D19" s="121" t="s">
        <v>71</v>
      </c>
      <c r="E19" s="121" t="s">
        <v>922</v>
      </c>
      <c r="F19" s="121">
        <v>1</v>
      </c>
      <c r="G19" s="121" t="s">
        <v>73</v>
      </c>
      <c r="H19" s="121" t="s">
        <v>74</v>
      </c>
      <c r="I19" s="121" t="s">
        <v>235</v>
      </c>
      <c r="J19" s="121">
        <v>186</v>
      </c>
      <c r="K19" s="122">
        <v>44950</v>
      </c>
      <c r="L19" s="120">
        <v>0.58587962962962969</v>
      </c>
      <c r="M19" s="121">
        <v>1</v>
      </c>
      <c r="N19" s="121" t="s">
        <v>196</v>
      </c>
      <c r="O19" s="121">
        <v>12.8</v>
      </c>
      <c r="P19" s="121">
        <v>0.76800000000000002</v>
      </c>
      <c r="Q19" s="121">
        <v>2500</v>
      </c>
      <c r="R19" s="121" t="s">
        <v>170</v>
      </c>
      <c r="S19" s="123">
        <f t="shared" si="0"/>
        <v>2500</v>
      </c>
      <c r="T19" s="10" t="s">
        <v>1061</v>
      </c>
      <c r="U19" s="45">
        <v>44950</v>
      </c>
      <c r="V19" s="129">
        <f t="shared" si="11"/>
        <v>2503.1950879999999</v>
      </c>
      <c r="W19" s="129" t="s">
        <v>1070</v>
      </c>
    </row>
    <row r="20" spans="1:23" x14ac:dyDescent="0.55000000000000004">
      <c r="A20" s="124">
        <v>44958</v>
      </c>
      <c r="B20" s="125">
        <v>0.375</v>
      </c>
      <c r="C20" s="31" t="s">
        <v>70</v>
      </c>
      <c r="D20" s="31" t="s">
        <v>71</v>
      </c>
      <c r="E20" s="31" t="s">
        <v>917</v>
      </c>
      <c r="F20" s="31">
        <v>1</v>
      </c>
      <c r="G20" s="31" t="s">
        <v>73</v>
      </c>
      <c r="H20" s="31" t="s">
        <v>74</v>
      </c>
      <c r="I20" s="31" t="s">
        <v>235</v>
      </c>
      <c r="J20" s="31">
        <v>181</v>
      </c>
      <c r="K20" s="126">
        <v>44958</v>
      </c>
      <c r="L20" s="125">
        <v>0.64229166666666659</v>
      </c>
      <c r="M20" s="31">
        <v>1</v>
      </c>
      <c r="N20" s="31" t="s">
        <v>196</v>
      </c>
      <c r="O20" s="31">
        <v>0.44</v>
      </c>
      <c r="P20" s="31">
        <v>2.1600000000000001E-2</v>
      </c>
      <c r="Q20" s="31">
        <v>0</v>
      </c>
      <c r="R20" s="31" t="s">
        <v>170</v>
      </c>
      <c r="S20" s="34">
        <f t="shared" si="0"/>
        <v>0</v>
      </c>
      <c r="T20" s="31" t="s">
        <v>1116</v>
      </c>
      <c r="U20" s="127">
        <v>44958</v>
      </c>
      <c r="V20" s="128">
        <f>0.9631*O20^2+173.03*O20-74.605</f>
        <v>1.7146561600000041</v>
      </c>
      <c r="W20" s="128" t="s">
        <v>1125</v>
      </c>
    </row>
    <row r="21" spans="1:23" x14ac:dyDescent="0.55000000000000004">
      <c r="A21" s="124">
        <v>44958</v>
      </c>
      <c r="B21" s="125">
        <v>0.375</v>
      </c>
      <c r="C21" s="31" t="s">
        <v>70</v>
      </c>
      <c r="D21" s="31" t="s">
        <v>71</v>
      </c>
      <c r="E21" s="31" t="s">
        <v>918</v>
      </c>
      <c r="F21" s="31">
        <v>1</v>
      </c>
      <c r="G21" s="31" t="s">
        <v>73</v>
      </c>
      <c r="H21" s="31" t="s">
        <v>74</v>
      </c>
      <c r="I21" s="31" t="s">
        <v>235</v>
      </c>
      <c r="J21" s="31">
        <v>182</v>
      </c>
      <c r="K21" s="126">
        <v>44958</v>
      </c>
      <c r="L21" s="125">
        <v>0.64309027777777772</v>
      </c>
      <c r="M21" s="31">
        <v>1</v>
      </c>
      <c r="N21" s="31" t="s">
        <v>196</v>
      </c>
      <c r="O21" s="31">
        <v>0.69199999999999995</v>
      </c>
      <c r="P21" s="31">
        <v>3.32E-2</v>
      </c>
      <c r="Q21" s="31">
        <v>30</v>
      </c>
      <c r="R21" s="31" t="s">
        <v>170</v>
      </c>
      <c r="S21" s="34">
        <f t="shared" si="0"/>
        <v>30</v>
      </c>
      <c r="T21" s="31" t="s">
        <v>1116</v>
      </c>
      <c r="U21" s="127">
        <v>44958</v>
      </c>
      <c r="V21" s="128">
        <f t="shared" ref="V21:V25" si="12">0.9631*O21^2+173.03*O21-74.605</f>
        <v>45.592953918399985</v>
      </c>
      <c r="W21" s="128" t="s">
        <v>1125</v>
      </c>
    </row>
    <row r="22" spans="1:23" x14ac:dyDescent="0.55000000000000004">
      <c r="A22" s="124">
        <v>44958</v>
      </c>
      <c r="B22" s="125">
        <v>0.375</v>
      </c>
      <c r="C22" s="31" t="s">
        <v>70</v>
      </c>
      <c r="D22" s="31" t="s">
        <v>71</v>
      </c>
      <c r="E22" s="31" t="s">
        <v>919</v>
      </c>
      <c r="F22" s="31">
        <v>1</v>
      </c>
      <c r="G22" s="31" t="s">
        <v>73</v>
      </c>
      <c r="H22" s="31" t="s">
        <v>74</v>
      </c>
      <c r="I22" s="31" t="s">
        <v>235</v>
      </c>
      <c r="J22" s="31">
        <v>183</v>
      </c>
      <c r="K22" s="126">
        <v>44958</v>
      </c>
      <c r="L22" s="125">
        <v>0.64376157407407408</v>
      </c>
      <c r="M22" s="31">
        <v>1</v>
      </c>
      <c r="N22" s="31" t="s">
        <v>196</v>
      </c>
      <c r="O22" s="31">
        <v>1.1200000000000001</v>
      </c>
      <c r="P22" s="31">
        <v>5.5100000000000003E-2</v>
      </c>
      <c r="Q22" s="31">
        <v>125</v>
      </c>
      <c r="R22" s="31" t="s">
        <v>170</v>
      </c>
      <c r="S22" s="34">
        <f t="shared" si="0"/>
        <v>125</v>
      </c>
      <c r="T22" s="31" t="s">
        <v>1116</v>
      </c>
      <c r="U22" s="127">
        <v>44958</v>
      </c>
      <c r="V22" s="128">
        <f t="shared" si="12"/>
        <v>120.39671264000002</v>
      </c>
      <c r="W22" s="128" t="s">
        <v>1125</v>
      </c>
    </row>
    <row r="23" spans="1:23" x14ac:dyDescent="0.55000000000000004">
      <c r="A23" s="124">
        <v>44958</v>
      </c>
      <c r="B23" s="125">
        <v>0.375</v>
      </c>
      <c r="C23" s="31" t="s">
        <v>70</v>
      </c>
      <c r="D23" s="31" t="s">
        <v>71</v>
      </c>
      <c r="E23" s="31" t="s">
        <v>920</v>
      </c>
      <c r="F23" s="31">
        <v>1</v>
      </c>
      <c r="G23" s="31" t="s">
        <v>73</v>
      </c>
      <c r="H23" s="31" t="s">
        <v>74</v>
      </c>
      <c r="I23" s="31" t="s">
        <v>235</v>
      </c>
      <c r="J23" s="31">
        <v>184</v>
      </c>
      <c r="K23" s="126">
        <v>44958</v>
      </c>
      <c r="L23" s="125">
        <v>0.64443287037037034</v>
      </c>
      <c r="M23" s="31">
        <v>1</v>
      </c>
      <c r="N23" s="31" t="s">
        <v>196</v>
      </c>
      <c r="O23" s="31">
        <v>3.12</v>
      </c>
      <c r="P23" s="31">
        <v>0.153</v>
      </c>
      <c r="Q23" s="31">
        <v>500</v>
      </c>
      <c r="R23" s="31" t="s">
        <v>170</v>
      </c>
      <c r="S23" s="34">
        <f t="shared" si="0"/>
        <v>500</v>
      </c>
      <c r="T23" s="31" t="s">
        <v>1116</v>
      </c>
      <c r="U23" s="127">
        <v>44958</v>
      </c>
      <c r="V23" s="128">
        <f t="shared" si="12"/>
        <v>474.62380064000001</v>
      </c>
      <c r="W23" s="128" t="s">
        <v>1125</v>
      </c>
    </row>
    <row r="24" spans="1:23" x14ac:dyDescent="0.55000000000000004">
      <c r="A24" s="124">
        <v>44958</v>
      </c>
      <c r="B24" s="125">
        <v>0.375</v>
      </c>
      <c r="C24" s="31" t="s">
        <v>70</v>
      </c>
      <c r="D24" s="31" t="s">
        <v>71</v>
      </c>
      <c r="E24" s="31" t="s">
        <v>921</v>
      </c>
      <c r="F24" s="31">
        <v>1</v>
      </c>
      <c r="G24" s="31" t="s">
        <v>73</v>
      </c>
      <c r="H24" s="31" t="s">
        <v>74</v>
      </c>
      <c r="I24" s="31" t="s">
        <v>235</v>
      </c>
      <c r="J24" s="31">
        <v>185</v>
      </c>
      <c r="K24" s="126">
        <v>44958</v>
      </c>
      <c r="L24" s="125">
        <v>0.64511574074074074</v>
      </c>
      <c r="M24" s="31">
        <v>1</v>
      </c>
      <c r="N24" s="31" t="s">
        <v>196</v>
      </c>
      <c r="O24" s="31">
        <v>7.44</v>
      </c>
      <c r="P24" s="31">
        <v>0.36599999999999999</v>
      </c>
      <c r="Q24" s="31">
        <v>1250</v>
      </c>
      <c r="R24" s="31" t="s">
        <v>170</v>
      </c>
      <c r="S24" s="34">
        <f t="shared" si="0"/>
        <v>1250</v>
      </c>
      <c r="T24" s="31" t="s">
        <v>1116</v>
      </c>
      <c r="U24" s="127">
        <v>44958</v>
      </c>
      <c r="V24" s="128">
        <f t="shared" si="12"/>
        <v>1266.0492521599999</v>
      </c>
      <c r="W24" s="128" t="s">
        <v>1125</v>
      </c>
    </row>
    <row r="25" spans="1:23" x14ac:dyDescent="0.55000000000000004">
      <c r="A25" s="124">
        <v>44958</v>
      </c>
      <c r="B25" s="125">
        <v>0.375</v>
      </c>
      <c r="C25" s="31" t="s">
        <v>70</v>
      </c>
      <c r="D25" s="31" t="s">
        <v>71</v>
      </c>
      <c r="E25" s="31" t="s">
        <v>922</v>
      </c>
      <c r="F25" s="31">
        <v>1</v>
      </c>
      <c r="G25" s="31" t="s">
        <v>73</v>
      </c>
      <c r="H25" s="31" t="s">
        <v>74</v>
      </c>
      <c r="I25" s="31" t="s">
        <v>235</v>
      </c>
      <c r="J25" s="31">
        <v>186</v>
      </c>
      <c r="K25" s="126">
        <v>44958</v>
      </c>
      <c r="L25" s="125">
        <v>0.64568287037037042</v>
      </c>
      <c r="M25" s="31">
        <v>1</v>
      </c>
      <c r="N25" s="31" t="s">
        <v>196</v>
      </c>
      <c r="O25" s="31">
        <v>13.8</v>
      </c>
      <c r="P25" s="31">
        <v>0.67700000000000005</v>
      </c>
      <c r="Q25" s="31">
        <v>2500</v>
      </c>
      <c r="R25" s="31" t="s">
        <v>170</v>
      </c>
      <c r="S25" s="34">
        <f t="shared" si="0"/>
        <v>2500</v>
      </c>
      <c r="T25" s="31" t="s">
        <v>1116</v>
      </c>
      <c r="U25" s="127">
        <v>44958</v>
      </c>
      <c r="V25" s="128">
        <f t="shared" si="12"/>
        <v>2496.6217640000004</v>
      </c>
      <c r="W25" s="128" t="s">
        <v>1125</v>
      </c>
    </row>
    <row r="26" spans="1:23" x14ac:dyDescent="0.55000000000000004">
      <c r="A26" s="32">
        <v>44966</v>
      </c>
      <c r="B26" s="33">
        <v>0.375</v>
      </c>
      <c r="C26" s="10" t="s">
        <v>70</v>
      </c>
      <c r="D26" s="10" t="s">
        <v>71</v>
      </c>
      <c r="E26" s="10" t="s">
        <v>917</v>
      </c>
      <c r="F26" s="10">
        <v>1</v>
      </c>
      <c r="G26" s="10" t="s">
        <v>73</v>
      </c>
      <c r="H26" s="10" t="s">
        <v>74</v>
      </c>
      <c r="I26" s="10" t="s">
        <v>235</v>
      </c>
      <c r="J26" s="10">
        <v>181</v>
      </c>
      <c r="K26" s="12">
        <v>44967</v>
      </c>
      <c r="L26" s="33">
        <v>0.38619212962962962</v>
      </c>
      <c r="M26" s="10">
        <v>1</v>
      </c>
      <c r="N26" s="10" t="s">
        <v>196</v>
      </c>
      <c r="O26" s="10">
        <v>0.69099999999999995</v>
      </c>
      <c r="P26" s="10">
        <v>3.3500000000000002E-2</v>
      </c>
      <c r="Q26" s="10">
        <v>0</v>
      </c>
      <c r="R26" s="10" t="s">
        <v>170</v>
      </c>
      <c r="S26" s="123">
        <f t="shared" si="0"/>
        <v>0</v>
      </c>
      <c r="T26" s="10" t="s">
        <v>1178</v>
      </c>
      <c r="U26" s="45">
        <v>44967</v>
      </c>
      <c r="V26" s="129">
        <f>-1.3255*O26^2+193.01*O26-127.15</f>
        <v>5.5870089344999769</v>
      </c>
      <c r="W26" s="129" t="s">
        <v>1187</v>
      </c>
    </row>
    <row r="27" spans="1:23" x14ac:dyDescent="0.55000000000000004">
      <c r="A27" s="32">
        <v>44966</v>
      </c>
      <c r="B27" s="33">
        <v>0.375</v>
      </c>
      <c r="C27" s="10" t="s">
        <v>70</v>
      </c>
      <c r="D27" s="10" t="s">
        <v>71</v>
      </c>
      <c r="E27" s="10" t="s">
        <v>918</v>
      </c>
      <c r="F27" s="10">
        <v>1</v>
      </c>
      <c r="G27" s="10" t="s">
        <v>73</v>
      </c>
      <c r="H27" s="10" t="s">
        <v>74</v>
      </c>
      <c r="I27" s="10" t="s">
        <v>235</v>
      </c>
      <c r="J27" s="10">
        <v>182</v>
      </c>
      <c r="K27" s="12">
        <v>44967</v>
      </c>
      <c r="L27" s="33">
        <v>0.38686342592592587</v>
      </c>
      <c r="M27" s="10">
        <v>1</v>
      </c>
      <c r="N27" s="10" t="s">
        <v>196</v>
      </c>
      <c r="O27" s="10">
        <v>0.81499999999999995</v>
      </c>
      <c r="P27" s="10">
        <v>3.9699999999999999E-2</v>
      </c>
      <c r="Q27" s="10">
        <v>30</v>
      </c>
      <c r="R27" s="10" t="s">
        <v>170</v>
      </c>
      <c r="S27" s="123">
        <f t="shared" si="0"/>
        <v>30</v>
      </c>
      <c r="T27" s="10" t="s">
        <v>1178</v>
      </c>
      <c r="U27" s="45">
        <v>44967</v>
      </c>
      <c r="V27" s="129">
        <f t="shared" ref="V27:V31" si="13">-1.3255*O27^2+193.01*O27-127.15</f>
        <v>29.272719762499975</v>
      </c>
      <c r="W27" s="129" t="s">
        <v>1187</v>
      </c>
    </row>
    <row r="28" spans="1:23" x14ac:dyDescent="0.55000000000000004">
      <c r="A28" s="32">
        <v>44966</v>
      </c>
      <c r="B28" s="33">
        <v>0.375</v>
      </c>
      <c r="C28" s="10" t="s">
        <v>70</v>
      </c>
      <c r="D28" s="10" t="s">
        <v>71</v>
      </c>
      <c r="E28" s="10" t="s">
        <v>919</v>
      </c>
      <c r="F28" s="10">
        <v>1</v>
      </c>
      <c r="G28" s="10" t="s">
        <v>73</v>
      </c>
      <c r="H28" s="10" t="s">
        <v>74</v>
      </c>
      <c r="I28" s="10" t="s">
        <v>235</v>
      </c>
      <c r="J28" s="10">
        <v>183</v>
      </c>
      <c r="K28" s="12">
        <v>44967</v>
      </c>
      <c r="L28" s="33">
        <v>0.38754629629629633</v>
      </c>
      <c r="M28" s="10">
        <v>1</v>
      </c>
      <c r="N28" s="10" t="s">
        <v>196</v>
      </c>
      <c r="O28" s="10">
        <v>1.27</v>
      </c>
      <c r="P28" s="10">
        <v>6.2199999999999998E-2</v>
      </c>
      <c r="Q28" s="10">
        <v>125</v>
      </c>
      <c r="R28" s="10" t="s">
        <v>170</v>
      </c>
      <c r="S28" s="123">
        <f t="shared" si="0"/>
        <v>125</v>
      </c>
      <c r="T28" s="10" t="s">
        <v>1178</v>
      </c>
      <c r="U28" s="45">
        <v>44967</v>
      </c>
      <c r="V28" s="129">
        <f t="shared" si="13"/>
        <v>115.83480104999998</v>
      </c>
      <c r="W28" s="129" t="s">
        <v>1187</v>
      </c>
    </row>
    <row r="29" spans="1:23" x14ac:dyDescent="0.55000000000000004">
      <c r="A29" s="32">
        <v>44966</v>
      </c>
      <c r="B29" s="33">
        <v>0.375</v>
      </c>
      <c r="C29" s="10" t="s">
        <v>70</v>
      </c>
      <c r="D29" s="10" t="s">
        <v>71</v>
      </c>
      <c r="E29" s="10" t="s">
        <v>920</v>
      </c>
      <c r="F29" s="10">
        <v>1</v>
      </c>
      <c r="G29" s="10" t="s">
        <v>73</v>
      </c>
      <c r="H29" s="10" t="s">
        <v>74</v>
      </c>
      <c r="I29" s="10" t="s">
        <v>235</v>
      </c>
      <c r="J29" s="10">
        <v>184</v>
      </c>
      <c r="K29" s="12">
        <v>44967</v>
      </c>
      <c r="L29" s="33">
        <v>0.38822916666666668</v>
      </c>
      <c r="M29" s="10">
        <v>1</v>
      </c>
      <c r="N29" s="10" t="s">
        <v>196</v>
      </c>
      <c r="O29" s="10">
        <v>3.36</v>
      </c>
      <c r="P29" s="10">
        <v>0.16500000000000001</v>
      </c>
      <c r="Q29" s="10">
        <v>500</v>
      </c>
      <c r="R29" s="10" t="s">
        <v>170</v>
      </c>
      <c r="S29" s="123">
        <f t="shared" si="0"/>
        <v>500</v>
      </c>
      <c r="T29" s="10" t="s">
        <v>1178</v>
      </c>
      <c r="U29" s="45">
        <v>44967</v>
      </c>
      <c r="V29" s="129">
        <f t="shared" si="13"/>
        <v>506.39923520000002</v>
      </c>
      <c r="W29" s="129" t="s">
        <v>1187</v>
      </c>
    </row>
    <row r="30" spans="1:23" x14ac:dyDescent="0.55000000000000004">
      <c r="A30" s="32">
        <v>44966</v>
      </c>
      <c r="B30" s="33">
        <v>0.375</v>
      </c>
      <c r="C30" s="10" t="s">
        <v>70</v>
      </c>
      <c r="D30" s="10" t="s">
        <v>71</v>
      </c>
      <c r="E30" s="10" t="s">
        <v>921</v>
      </c>
      <c r="F30" s="10">
        <v>1</v>
      </c>
      <c r="G30" s="10" t="s">
        <v>73</v>
      </c>
      <c r="H30" s="10" t="s">
        <v>74</v>
      </c>
      <c r="I30" s="10" t="s">
        <v>235</v>
      </c>
      <c r="J30" s="10">
        <v>185</v>
      </c>
      <c r="K30" s="12">
        <v>44967</v>
      </c>
      <c r="L30" s="33">
        <v>0.38890046296296293</v>
      </c>
      <c r="M30" s="10">
        <v>1</v>
      </c>
      <c r="N30" s="10" t="s">
        <v>196</v>
      </c>
      <c r="O30" s="10">
        <v>7.51</v>
      </c>
      <c r="P30" s="10">
        <v>0.36799999999999999</v>
      </c>
      <c r="Q30" s="10">
        <v>1250</v>
      </c>
      <c r="R30" s="10" t="s">
        <v>170</v>
      </c>
      <c r="S30" s="123">
        <f t="shared" si="0"/>
        <v>1250</v>
      </c>
      <c r="T30" s="10" t="s">
        <v>1178</v>
      </c>
      <c r="U30" s="45">
        <v>44967</v>
      </c>
      <c r="V30" s="129">
        <f t="shared" si="13"/>
        <v>1247.5967674499998</v>
      </c>
      <c r="W30" s="129" t="s">
        <v>1187</v>
      </c>
    </row>
    <row r="31" spans="1:23" x14ac:dyDescent="0.55000000000000004">
      <c r="A31" s="32">
        <v>44966</v>
      </c>
      <c r="B31" s="33">
        <v>0.375</v>
      </c>
      <c r="C31" s="10" t="s">
        <v>70</v>
      </c>
      <c r="D31" s="10" t="s">
        <v>71</v>
      </c>
      <c r="E31" s="10" t="s">
        <v>922</v>
      </c>
      <c r="F31" s="10">
        <v>1</v>
      </c>
      <c r="G31" s="10" t="s">
        <v>73</v>
      </c>
      <c r="H31" s="10" t="s">
        <v>74</v>
      </c>
      <c r="I31" s="10" t="s">
        <v>235</v>
      </c>
      <c r="J31" s="10">
        <v>186</v>
      </c>
      <c r="K31" s="12">
        <v>44967</v>
      </c>
      <c r="L31" s="33">
        <v>0.38958333333333334</v>
      </c>
      <c r="M31" s="10">
        <v>1</v>
      </c>
      <c r="N31" s="10" t="s">
        <v>196</v>
      </c>
      <c r="O31" s="10">
        <v>15.2</v>
      </c>
      <c r="P31" s="10">
        <v>0.749</v>
      </c>
      <c r="Q31" s="10">
        <v>2500</v>
      </c>
      <c r="R31" s="10" t="s">
        <v>170</v>
      </c>
      <c r="S31" s="123">
        <f t="shared" si="0"/>
        <v>2500</v>
      </c>
      <c r="T31" s="10" t="s">
        <v>1178</v>
      </c>
      <c r="U31" s="45">
        <v>44967</v>
      </c>
      <c r="V31" s="129">
        <f t="shared" si="13"/>
        <v>2500.3584799999994</v>
      </c>
      <c r="W31" s="129" t="s">
        <v>1187</v>
      </c>
    </row>
    <row r="32" spans="1:23" x14ac:dyDescent="0.55000000000000004">
      <c r="A32" s="124">
        <v>44972</v>
      </c>
      <c r="B32" s="125">
        <v>0.375</v>
      </c>
      <c r="C32" s="31" t="s">
        <v>70</v>
      </c>
      <c r="D32" s="31" t="s">
        <v>71</v>
      </c>
      <c r="E32" s="31" t="s">
        <v>917</v>
      </c>
      <c r="F32" s="31">
        <v>1</v>
      </c>
      <c r="G32" s="31" t="s">
        <v>73</v>
      </c>
      <c r="H32" s="31" t="s">
        <v>74</v>
      </c>
      <c r="I32" s="31" t="s">
        <v>235</v>
      </c>
      <c r="J32" s="31">
        <v>181</v>
      </c>
      <c r="K32" s="126">
        <v>44973</v>
      </c>
      <c r="L32" s="125">
        <v>0.4381944444444445</v>
      </c>
      <c r="M32" s="31">
        <v>1</v>
      </c>
      <c r="N32" s="31" t="s">
        <v>196</v>
      </c>
      <c r="O32" s="31">
        <v>0.56000000000000005</v>
      </c>
      <c r="P32" s="31">
        <v>2.6599999999999999E-2</v>
      </c>
      <c r="Q32" s="31">
        <v>0</v>
      </c>
      <c r="R32" s="31" t="s">
        <v>170</v>
      </c>
      <c r="S32" s="34">
        <f t="shared" si="0"/>
        <v>0</v>
      </c>
      <c r="T32" s="31" t="s">
        <v>1222</v>
      </c>
      <c r="U32" s="127">
        <v>44973</v>
      </c>
      <c r="V32" s="128">
        <f>0.1303*O32^2+171.81*O32-89.924</f>
        <v>6.3304620800000038</v>
      </c>
      <c r="W32" s="128" t="s">
        <v>1231</v>
      </c>
    </row>
    <row r="33" spans="1:23" x14ac:dyDescent="0.55000000000000004">
      <c r="A33" s="124">
        <v>44972</v>
      </c>
      <c r="B33" s="125">
        <v>0.375</v>
      </c>
      <c r="C33" s="31" t="s">
        <v>70</v>
      </c>
      <c r="D33" s="31" t="s">
        <v>71</v>
      </c>
      <c r="E33" s="31" t="s">
        <v>918</v>
      </c>
      <c r="F33" s="31">
        <v>1</v>
      </c>
      <c r="G33" s="31" t="s">
        <v>73</v>
      </c>
      <c r="H33" s="31" t="s">
        <v>74</v>
      </c>
      <c r="I33" s="31" t="s">
        <v>235</v>
      </c>
      <c r="J33" s="31">
        <v>182</v>
      </c>
      <c r="K33" s="126">
        <v>44973</v>
      </c>
      <c r="L33" s="125">
        <v>0.43891203703703702</v>
      </c>
      <c r="M33" s="31">
        <v>1</v>
      </c>
      <c r="N33" s="31" t="s">
        <v>196</v>
      </c>
      <c r="O33" s="31">
        <v>0.754</v>
      </c>
      <c r="P33" s="31">
        <v>3.5700000000000003E-2</v>
      </c>
      <c r="Q33" s="31">
        <v>30</v>
      </c>
      <c r="R33" s="31" t="s">
        <v>170</v>
      </c>
      <c r="S33" s="34">
        <f t="shared" si="0"/>
        <v>30</v>
      </c>
      <c r="T33" s="31" t="s">
        <v>1222</v>
      </c>
      <c r="U33" s="127">
        <v>44973</v>
      </c>
      <c r="V33" s="128">
        <f t="shared" ref="V33:V37" si="14">0.1303*O33^2+171.81*O33-89.924</f>
        <v>39.694817634799989</v>
      </c>
      <c r="W33" s="128" t="s">
        <v>1231</v>
      </c>
    </row>
    <row r="34" spans="1:23" x14ac:dyDescent="0.55000000000000004">
      <c r="A34" s="124">
        <v>44972</v>
      </c>
      <c r="B34" s="125">
        <v>0.375</v>
      </c>
      <c r="C34" s="31" t="s">
        <v>70</v>
      </c>
      <c r="D34" s="31" t="s">
        <v>71</v>
      </c>
      <c r="E34" s="31" t="s">
        <v>919</v>
      </c>
      <c r="F34" s="31">
        <v>1</v>
      </c>
      <c r="G34" s="31" t="s">
        <v>73</v>
      </c>
      <c r="H34" s="31" t="s">
        <v>74</v>
      </c>
      <c r="I34" s="31" t="s">
        <v>235</v>
      </c>
      <c r="J34" s="31">
        <v>183</v>
      </c>
      <c r="K34" s="126">
        <v>44973</v>
      </c>
      <c r="L34" s="125">
        <v>0.43953703703703706</v>
      </c>
      <c r="M34" s="31">
        <v>1</v>
      </c>
      <c r="N34" s="31" t="s">
        <v>196</v>
      </c>
      <c r="O34" s="31">
        <v>1.1599999999999999</v>
      </c>
      <c r="P34" s="31">
        <v>5.5899999999999998E-2</v>
      </c>
      <c r="Q34" s="31">
        <v>125</v>
      </c>
      <c r="R34" s="31" t="s">
        <v>170</v>
      </c>
      <c r="S34" s="34">
        <f t="shared" si="0"/>
        <v>125</v>
      </c>
      <c r="T34" s="31" t="s">
        <v>1222</v>
      </c>
      <c r="U34" s="127">
        <v>44973</v>
      </c>
      <c r="V34" s="128">
        <f t="shared" si="14"/>
        <v>109.55093167999999</v>
      </c>
      <c r="W34" s="128" t="s">
        <v>1231</v>
      </c>
    </row>
    <row r="35" spans="1:23" x14ac:dyDescent="0.55000000000000004">
      <c r="A35" s="124">
        <v>44972</v>
      </c>
      <c r="B35" s="125">
        <v>0.375</v>
      </c>
      <c r="C35" s="31" t="s">
        <v>70</v>
      </c>
      <c r="D35" s="31" t="s">
        <v>71</v>
      </c>
      <c r="E35" s="31" t="s">
        <v>920</v>
      </c>
      <c r="F35" s="31">
        <v>1</v>
      </c>
      <c r="G35" s="31" t="s">
        <v>73</v>
      </c>
      <c r="H35" s="31" t="s">
        <v>74</v>
      </c>
      <c r="I35" s="31" t="s">
        <v>235</v>
      </c>
      <c r="J35" s="31">
        <v>184</v>
      </c>
      <c r="K35" s="126">
        <v>44973</v>
      </c>
      <c r="L35" s="125">
        <v>0.44021990740740741</v>
      </c>
      <c r="M35" s="31">
        <v>1</v>
      </c>
      <c r="N35" s="31" t="s">
        <v>196</v>
      </c>
      <c r="O35" s="31">
        <v>3.4</v>
      </c>
      <c r="P35" s="31">
        <v>0.16300000000000001</v>
      </c>
      <c r="Q35" s="31">
        <v>500</v>
      </c>
      <c r="R35" s="31" t="s">
        <v>170</v>
      </c>
      <c r="S35" s="34">
        <f t="shared" si="0"/>
        <v>500</v>
      </c>
      <c r="T35" s="31" t="s">
        <v>1222</v>
      </c>
      <c r="U35" s="127">
        <v>44973</v>
      </c>
      <c r="V35" s="128">
        <f t="shared" si="14"/>
        <v>495.736268</v>
      </c>
      <c r="W35" s="128" t="s">
        <v>1231</v>
      </c>
    </row>
    <row r="36" spans="1:23" x14ac:dyDescent="0.55000000000000004">
      <c r="A36" s="124">
        <v>44972</v>
      </c>
      <c r="B36" s="125">
        <v>0.375</v>
      </c>
      <c r="C36" s="31" t="s">
        <v>70</v>
      </c>
      <c r="D36" s="31" t="s">
        <v>71</v>
      </c>
      <c r="E36" s="31" t="s">
        <v>921</v>
      </c>
      <c r="F36" s="31">
        <v>1</v>
      </c>
      <c r="G36" s="31" t="s">
        <v>73</v>
      </c>
      <c r="H36" s="31" t="s">
        <v>74</v>
      </c>
      <c r="I36" s="31" t="s">
        <v>235</v>
      </c>
      <c r="J36" s="31">
        <v>185</v>
      </c>
      <c r="K36" s="126">
        <v>44973</v>
      </c>
      <c r="L36" s="125">
        <v>0.44090277777777781</v>
      </c>
      <c r="M36" s="31">
        <v>1</v>
      </c>
      <c r="N36" s="31" t="s">
        <v>196</v>
      </c>
      <c r="O36" s="31">
        <v>7.78</v>
      </c>
      <c r="P36" s="31">
        <v>0.376</v>
      </c>
      <c r="Q36" s="31">
        <v>1250</v>
      </c>
      <c r="R36" s="31" t="s">
        <v>170</v>
      </c>
      <c r="S36" s="34">
        <f t="shared" si="0"/>
        <v>1250</v>
      </c>
      <c r="T36" s="31" t="s">
        <v>1222</v>
      </c>
      <c r="U36" s="127">
        <v>44973</v>
      </c>
      <c r="V36" s="128">
        <f t="shared" si="14"/>
        <v>1254.6446505200001</v>
      </c>
      <c r="W36" s="128" t="s">
        <v>1231</v>
      </c>
    </row>
    <row r="37" spans="1:23" x14ac:dyDescent="0.55000000000000004">
      <c r="A37" s="124">
        <v>44972</v>
      </c>
      <c r="B37" s="125">
        <v>0.375</v>
      </c>
      <c r="C37" s="31" t="s">
        <v>70</v>
      </c>
      <c r="D37" s="31" t="s">
        <v>71</v>
      </c>
      <c r="E37" s="31" t="s">
        <v>922</v>
      </c>
      <c r="F37" s="31">
        <v>1</v>
      </c>
      <c r="G37" s="31" t="s">
        <v>73</v>
      </c>
      <c r="H37" s="31" t="s">
        <v>74</v>
      </c>
      <c r="I37" s="31" t="s">
        <v>235</v>
      </c>
      <c r="J37" s="31">
        <v>186</v>
      </c>
      <c r="K37" s="126">
        <v>44973</v>
      </c>
      <c r="L37" s="125">
        <v>0.44157407407407406</v>
      </c>
      <c r="M37" s="31">
        <v>1</v>
      </c>
      <c r="N37" s="31" t="s">
        <v>196</v>
      </c>
      <c r="O37" s="31">
        <v>14.9</v>
      </c>
      <c r="P37" s="31">
        <v>0.71799999999999997</v>
      </c>
      <c r="Q37" s="31">
        <v>2500</v>
      </c>
      <c r="R37" s="31" t="s">
        <v>170</v>
      </c>
      <c r="S37" s="34">
        <f t="shared" si="0"/>
        <v>2500</v>
      </c>
      <c r="T37" s="31" t="s">
        <v>1222</v>
      </c>
      <c r="U37" s="127">
        <v>44973</v>
      </c>
      <c r="V37" s="128">
        <f t="shared" si="14"/>
        <v>2498.9729029999999</v>
      </c>
      <c r="W37" s="128" t="s">
        <v>1231</v>
      </c>
    </row>
    <row r="38" spans="1:23" x14ac:dyDescent="0.55000000000000004">
      <c r="A38" s="119">
        <v>44979</v>
      </c>
      <c r="B38" s="120">
        <v>0.375</v>
      </c>
      <c r="C38" s="121" t="s">
        <v>70</v>
      </c>
      <c r="D38" s="121" t="s">
        <v>71</v>
      </c>
      <c r="E38" s="121" t="s">
        <v>917</v>
      </c>
      <c r="F38" s="121">
        <v>1</v>
      </c>
      <c r="G38" s="121" t="s">
        <v>73</v>
      </c>
      <c r="H38" s="121" t="s">
        <v>74</v>
      </c>
      <c r="I38" s="121" t="s">
        <v>235</v>
      </c>
      <c r="J38" s="121">
        <v>181</v>
      </c>
      <c r="K38" s="122">
        <v>44981</v>
      </c>
      <c r="L38" s="120">
        <v>0.48741898148148149</v>
      </c>
      <c r="M38" s="121">
        <v>1</v>
      </c>
      <c r="N38" s="121" t="s">
        <v>196</v>
      </c>
      <c r="O38" s="121">
        <v>0.46400000000000002</v>
      </c>
      <c r="P38" s="121">
        <v>2.2200000000000001E-2</v>
      </c>
      <c r="Q38" s="121">
        <v>0</v>
      </c>
      <c r="R38" s="121" t="s">
        <v>170</v>
      </c>
      <c r="S38" s="123">
        <f t="shared" si="0"/>
        <v>0</v>
      </c>
      <c r="T38" s="10" t="s">
        <v>1275</v>
      </c>
      <c r="U38" s="45">
        <v>44981</v>
      </c>
      <c r="V38" s="129">
        <f>2.8761*O38^2+145.17*O38-57.22</f>
        <v>10.758092825600002</v>
      </c>
      <c r="W38" s="129" t="s">
        <v>1284</v>
      </c>
    </row>
    <row r="39" spans="1:23" x14ac:dyDescent="0.55000000000000004">
      <c r="A39" s="119">
        <v>44979</v>
      </c>
      <c r="B39" s="120">
        <v>0.375</v>
      </c>
      <c r="C39" s="121" t="s">
        <v>70</v>
      </c>
      <c r="D39" s="121" t="s">
        <v>71</v>
      </c>
      <c r="E39" s="121" t="s">
        <v>918</v>
      </c>
      <c r="F39" s="121">
        <v>1</v>
      </c>
      <c r="G39" s="121" t="s">
        <v>73</v>
      </c>
      <c r="H39" s="121" t="s">
        <v>74</v>
      </c>
      <c r="I39" s="121" t="s">
        <v>235</v>
      </c>
      <c r="J39" s="121">
        <v>182</v>
      </c>
      <c r="K39" s="122">
        <v>44981</v>
      </c>
      <c r="L39" s="120">
        <v>0.48810185185185184</v>
      </c>
      <c r="M39" s="121">
        <v>1</v>
      </c>
      <c r="N39" s="121" t="s">
        <v>196</v>
      </c>
      <c r="O39" s="121">
        <v>0.66900000000000004</v>
      </c>
      <c r="P39" s="121">
        <v>3.1800000000000002E-2</v>
      </c>
      <c r="Q39" s="121">
        <v>30</v>
      </c>
      <c r="R39" s="121" t="s">
        <v>170</v>
      </c>
      <c r="S39" s="123">
        <f t="shared" si="0"/>
        <v>30</v>
      </c>
      <c r="T39" s="10" t="s">
        <v>1275</v>
      </c>
      <c r="U39" s="45">
        <v>44981</v>
      </c>
      <c r="V39" s="129">
        <f t="shared" ref="V39:V43" si="15">2.8761*O39^2+145.17*O39-57.22</f>
        <v>41.185960192099998</v>
      </c>
      <c r="W39" s="129" t="s">
        <v>1284</v>
      </c>
    </row>
    <row r="40" spans="1:23" x14ac:dyDescent="0.55000000000000004">
      <c r="A40" s="119">
        <v>44979</v>
      </c>
      <c r="B40" s="120">
        <v>0.375</v>
      </c>
      <c r="C40" s="121" t="s">
        <v>70</v>
      </c>
      <c r="D40" s="121" t="s">
        <v>71</v>
      </c>
      <c r="E40" s="121" t="s">
        <v>919</v>
      </c>
      <c r="F40" s="121">
        <v>1</v>
      </c>
      <c r="G40" s="121" t="s">
        <v>73</v>
      </c>
      <c r="H40" s="121" t="s">
        <v>74</v>
      </c>
      <c r="I40" s="121" t="s">
        <v>235</v>
      </c>
      <c r="J40" s="121">
        <v>183</v>
      </c>
      <c r="K40" s="122">
        <v>44981</v>
      </c>
      <c r="L40" s="120">
        <v>0.48878472222222219</v>
      </c>
      <c r="M40" s="121">
        <v>1</v>
      </c>
      <c r="N40" s="121" t="s">
        <v>196</v>
      </c>
      <c r="O40" s="121">
        <v>1.19</v>
      </c>
      <c r="P40" s="121">
        <v>5.7200000000000001E-2</v>
      </c>
      <c r="Q40" s="121">
        <v>125</v>
      </c>
      <c r="R40" s="121" t="s">
        <v>170</v>
      </c>
      <c r="S40" s="123">
        <f t="shared" si="0"/>
        <v>125</v>
      </c>
      <c r="T40" s="10" t="s">
        <v>1275</v>
      </c>
      <c r="U40" s="45">
        <v>44981</v>
      </c>
      <c r="V40" s="129">
        <f t="shared" si="15"/>
        <v>119.60514520999999</v>
      </c>
      <c r="W40" s="129" t="s">
        <v>1284</v>
      </c>
    </row>
    <row r="41" spans="1:23" x14ac:dyDescent="0.55000000000000004">
      <c r="A41" s="119">
        <v>44979</v>
      </c>
      <c r="B41" s="120">
        <v>0.375</v>
      </c>
      <c r="C41" s="121" t="s">
        <v>70</v>
      </c>
      <c r="D41" s="121" t="s">
        <v>71</v>
      </c>
      <c r="E41" s="121" t="s">
        <v>920</v>
      </c>
      <c r="F41" s="121">
        <v>1</v>
      </c>
      <c r="G41" s="121" t="s">
        <v>73</v>
      </c>
      <c r="H41" s="121" t="s">
        <v>74</v>
      </c>
      <c r="I41" s="121" t="s">
        <v>235</v>
      </c>
      <c r="J41" s="121">
        <v>184</v>
      </c>
      <c r="K41" s="122">
        <v>44981</v>
      </c>
      <c r="L41" s="120">
        <v>0.48945601851851855</v>
      </c>
      <c r="M41" s="121">
        <v>1</v>
      </c>
      <c r="N41" s="121" t="s">
        <v>196</v>
      </c>
      <c r="O41" s="121">
        <v>3.37</v>
      </c>
      <c r="P41" s="121">
        <v>0.16200000000000001</v>
      </c>
      <c r="Q41" s="121">
        <v>500</v>
      </c>
      <c r="R41" s="121" t="s">
        <v>170</v>
      </c>
      <c r="S41" s="123">
        <f t="shared" si="0"/>
        <v>500</v>
      </c>
      <c r="T41" s="10" t="s">
        <v>1275</v>
      </c>
      <c r="U41" s="45">
        <v>44981</v>
      </c>
      <c r="V41" s="129">
        <f t="shared" si="15"/>
        <v>464.66648008999994</v>
      </c>
      <c r="W41" s="129" t="s">
        <v>1284</v>
      </c>
    </row>
    <row r="42" spans="1:23" x14ac:dyDescent="0.55000000000000004">
      <c r="A42" s="119">
        <v>44979</v>
      </c>
      <c r="B42" s="120">
        <v>0.375</v>
      </c>
      <c r="C42" s="121" t="s">
        <v>70</v>
      </c>
      <c r="D42" s="121" t="s">
        <v>71</v>
      </c>
      <c r="E42" s="121" t="s">
        <v>921</v>
      </c>
      <c r="F42" s="121">
        <v>1</v>
      </c>
      <c r="G42" s="121" t="s">
        <v>73</v>
      </c>
      <c r="H42" s="121" t="s">
        <v>74</v>
      </c>
      <c r="I42" s="121" t="s">
        <v>235</v>
      </c>
      <c r="J42" s="121">
        <v>185</v>
      </c>
      <c r="K42" s="122">
        <v>44981</v>
      </c>
      <c r="L42" s="120">
        <v>0.49012731481481481</v>
      </c>
      <c r="M42" s="121">
        <v>1</v>
      </c>
      <c r="N42" s="121" t="s">
        <v>196</v>
      </c>
      <c r="O42" s="121">
        <v>7.93</v>
      </c>
      <c r="P42" s="121">
        <v>0.38200000000000001</v>
      </c>
      <c r="Q42" s="121">
        <v>1250</v>
      </c>
      <c r="R42" s="121" t="s">
        <v>170</v>
      </c>
      <c r="S42" s="123">
        <f t="shared" si="0"/>
        <v>1250</v>
      </c>
      <c r="T42" s="10" t="s">
        <v>1275</v>
      </c>
      <c r="U42" s="45">
        <v>44981</v>
      </c>
      <c r="V42" s="129">
        <f t="shared" si="15"/>
        <v>1274.8413608899998</v>
      </c>
      <c r="W42" s="129" t="s">
        <v>1284</v>
      </c>
    </row>
    <row r="43" spans="1:23" x14ac:dyDescent="0.55000000000000004">
      <c r="A43" s="119">
        <v>44979</v>
      </c>
      <c r="B43" s="120">
        <v>0.375</v>
      </c>
      <c r="C43" s="121" t="s">
        <v>70</v>
      </c>
      <c r="D43" s="121" t="s">
        <v>71</v>
      </c>
      <c r="E43" s="121" t="s">
        <v>922</v>
      </c>
      <c r="F43" s="121">
        <v>1</v>
      </c>
      <c r="G43" s="121" t="s">
        <v>73</v>
      </c>
      <c r="H43" s="121" t="s">
        <v>74</v>
      </c>
      <c r="I43" s="121" t="s">
        <v>235</v>
      </c>
      <c r="J43" s="121">
        <v>186</v>
      </c>
      <c r="K43" s="122">
        <v>44981</v>
      </c>
      <c r="L43" s="120">
        <v>0.49079861111111112</v>
      </c>
      <c r="M43" s="121">
        <v>1</v>
      </c>
      <c r="N43" s="121" t="s">
        <v>196</v>
      </c>
      <c r="O43" s="121">
        <v>13.8</v>
      </c>
      <c r="P43" s="121">
        <v>0.66400000000000003</v>
      </c>
      <c r="Q43" s="121">
        <v>2500</v>
      </c>
      <c r="R43" s="121" t="s">
        <v>170</v>
      </c>
      <c r="S43" s="123">
        <f t="shared" si="0"/>
        <v>2500</v>
      </c>
      <c r="T43" s="10" t="s">
        <v>1275</v>
      </c>
      <c r="U43" s="45">
        <v>44981</v>
      </c>
      <c r="V43" s="129">
        <f t="shared" si="15"/>
        <v>2493.8504840000001</v>
      </c>
      <c r="W43" s="129" t="s">
        <v>1284</v>
      </c>
    </row>
  </sheetData>
  <phoneticPr fontId="17" type="noConversion"/>
  <conditionalFormatting sqref="AZ1">
    <cfRule type="cellIs" dxfId="3" priority="1" operator="lessThan">
      <formula>0</formula>
    </cfRule>
  </conditionalFormatting>
  <conditionalFormatting sqref="U1">
    <cfRule type="cellIs" dxfId="2" priority="2" operator="lessThan">
      <formula>0</formula>
    </cfRule>
  </conditionalFormatting>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2C6A-4EAE-414F-A18E-C1CCEE6C768A}">
  <dimension ref="A1:BB57"/>
  <sheetViews>
    <sheetView topLeftCell="A24" zoomScale="75" zoomScaleNormal="75" workbookViewId="0">
      <selection activeCell="A50" sqref="A50:W55"/>
    </sheetView>
  </sheetViews>
  <sheetFormatPr defaultRowHeight="14.4" x14ac:dyDescent="0.55000000000000004"/>
  <cols>
    <col min="1" max="1" width="9.68359375" bestFit="1" customWidth="1"/>
    <col min="2" max="2" width="11.3125" bestFit="1" customWidth="1"/>
    <col min="11" max="11" width="10.3125" bestFit="1" customWidth="1"/>
    <col min="12" max="12" width="12.3125" bestFit="1" customWidth="1"/>
    <col min="20" max="20" width="39.89453125" bestFit="1" customWidth="1"/>
    <col min="21" max="21" width="11.68359375" bestFit="1" customWidth="1"/>
    <col min="22" max="22" width="12.68359375" bestFit="1" customWidth="1"/>
    <col min="23" max="23" width="26.3125" bestFit="1" customWidth="1"/>
    <col min="32" max="32" width="9.68359375" bestFit="1" customWidth="1"/>
    <col min="33" max="33" width="11.3125" bestFit="1" customWidth="1"/>
    <col min="42" max="42" width="10.3125" bestFit="1" customWidth="1"/>
    <col min="43" max="43" width="12.3125" bestFit="1" customWidth="1"/>
    <col min="44" max="44" width="6.5234375" bestFit="1" customWidth="1"/>
    <col min="51" max="51" width="40.68359375" bestFit="1" customWidth="1"/>
    <col min="52" max="52" width="11.41796875" bestFit="1" customWidth="1"/>
    <col min="54" max="54" width="26.3125" bestFit="1" customWidth="1"/>
  </cols>
  <sheetData>
    <row r="1" spans="1:54" ht="100.8" x14ac:dyDescent="0.55000000000000004">
      <c r="A1" s="17" t="s">
        <v>0</v>
      </c>
      <c r="B1" s="35" t="s">
        <v>23</v>
      </c>
      <c r="C1" s="19" t="s">
        <v>24</v>
      </c>
      <c r="D1" s="19" t="s">
        <v>25</v>
      </c>
      <c r="E1" s="19" t="s">
        <v>26</v>
      </c>
      <c r="F1" s="19" t="s">
        <v>27</v>
      </c>
      <c r="G1" s="19" t="s">
        <v>28</v>
      </c>
      <c r="H1" s="19" t="s">
        <v>29</v>
      </c>
      <c r="I1" s="19" t="s">
        <v>30</v>
      </c>
      <c r="J1" s="19" t="s">
        <v>31</v>
      </c>
      <c r="K1" s="20" t="s">
        <v>32</v>
      </c>
      <c r="L1" s="21" t="s">
        <v>33</v>
      </c>
      <c r="M1" s="22" t="s">
        <v>34</v>
      </c>
      <c r="N1" s="19" t="s">
        <v>35</v>
      </c>
      <c r="O1" s="23" t="s">
        <v>36</v>
      </c>
      <c r="P1" s="23" t="s">
        <v>37</v>
      </c>
      <c r="Q1" s="24" t="s">
        <v>38</v>
      </c>
      <c r="R1" s="19" t="s">
        <v>39</v>
      </c>
      <c r="S1" s="36" t="s">
        <v>40</v>
      </c>
      <c r="T1" s="19" t="s">
        <v>46</v>
      </c>
      <c r="U1" s="20" t="s">
        <v>79</v>
      </c>
      <c r="V1" s="9" t="s">
        <v>80</v>
      </c>
      <c r="W1" s="3" t="s">
        <v>81</v>
      </c>
      <c r="AF1" s="37" t="s">
        <v>0</v>
      </c>
      <c r="AG1" s="35" t="s">
        <v>23</v>
      </c>
      <c r="AH1" s="38" t="s">
        <v>24</v>
      </c>
      <c r="AI1" s="38" t="s">
        <v>25</v>
      </c>
      <c r="AJ1" s="38" t="s">
        <v>26</v>
      </c>
      <c r="AK1" s="38" t="s">
        <v>27</v>
      </c>
      <c r="AL1" s="38" t="s">
        <v>28</v>
      </c>
      <c r="AM1" s="38" t="s">
        <v>29</v>
      </c>
      <c r="AN1" s="38" t="s">
        <v>30</v>
      </c>
      <c r="AO1" s="38" t="s">
        <v>31</v>
      </c>
      <c r="AP1" s="39" t="s">
        <v>32</v>
      </c>
      <c r="AQ1" s="40" t="s">
        <v>33</v>
      </c>
      <c r="AR1" s="22" t="s">
        <v>34</v>
      </c>
      <c r="AS1" s="38" t="s">
        <v>35</v>
      </c>
      <c r="AT1" s="41" t="s">
        <v>36</v>
      </c>
      <c r="AU1" s="41" t="s">
        <v>37</v>
      </c>
      <c r="AV1" s="42" t="s">
        <v>38</v>
      </c>
      <c r="AW1" s="38" t="s">
        <v>39</v>
      </c>
      <c r="AX1" s="43" t="s">
        <v>40</v>
      </c>
      <c r="AY1" s="38" t="s">
        <v>46</v>
      </c>
      <c r="AZ1" s="39" t="s">
        <v>82</v>
      </c>
      <c r="BA1" s="44" t="s">
        <v>80</v>
      </c>
      <c r="BB1" s="44" t="s">
        <v>81</v>
      </c>
    </row>
    <row r="2" spans="1:54" x14ac:dyDescent="0.55000000000000004">
      <c r="A2" s="32">
        <v>44930</v>
      </c>
      <c r="B2" s="33">
        <v>0.375</v>
      </c>
      <c r="C2" s="10" t="s">
        <v>70</v>
      </c>
      <c r="D2" s="10" t="s">
        <v>71</v>
      </c>
      <c r="E2" s="10" t="s">
        <v>917</v>
      </c>
      <c r="F2" s="10">
        <v>1</v>
      </c>
      <c r="G2" s="10" t="s">
        <v>73</v>
      </c>
      <c r="H2" s="10" t="s">
        <v>74</v>
      </c>
      <c r="I2" s="10" t="s">
        <v>235</v>
      </c>
      <c r="J2" s="10">
        <v>181</v>
      </c>
      <c r="K2" s="12">
        <v>44930</v>
      </c>
      <c r="L2" s="33">
        <v>0.5556712962962963</v>
      </c>
      <c r="M2" s="10">
        <v>1</v>
      </c>
      <c r="N2" s="10" t="s">
        <v>196</v>
      </c>
      <c r="O2" s="10">
        <v>0.51500000000000001</v>
      </c>
      <c r="P2" s="10">
        <v>3.0099999999999998E-2</v>
      </c>
      <c r="Q2" s="10">
        <v>0</v>
      </c>
      <c r="R2" s="10" t="s">
        <v>170</v>
      </c>
      <c r="S2" s="123">
        <f t="shared" ref="S2:S57" si="0">IF(OR(AND(I2&lt;&gt;"TP", I2&lt;&gt;"TDP",I2&lt;&gt;"TN", I2&lt;&gt;"TDN"),H2="CAL"), Q2*M2, IF(OR(AND(I2="TN", Q2&gt;2500), AND(I2="TDN", Q2&gt;2500)),MAX(Q2, AK2)*M2, IF(OR(AND(I2="TN", Q2&lt;=2500), AND(I2="TDN", Q2&lt;=2500)),MAX(Q2, AJ2,AK2)*M2, IF(OR(AND(I2="TP",Q2&gt;500), AND(I2="TDP", Q2&gt;500)),MAX(Q2,AK2)*M2,IF(OR(AND(I2="TP",Q2&lt;=150), AND(I2="TDP", Q2&lt;=150)),MAX(Q2,AG2:AI2,AK2)*M2,IF(OR(AND(I2="TP",Q2&lt;=300), AND(I2="TDP", Q2&lt;=300)),MAX(Q2,AH2,AI2,AK2)*M2,IF(OR(AND(I2="TP",Q2&lt;=500), AND(I2="TDP", Q2&lt;=500)),MAX(Q2,AI2,AK2)*M2,"")))))))</f>
        <v>0</v>
      </c>
      <c r="T2" s="10" t="s">
        <v>959</v>
      </c>
      <c r="U2" s="45">
        <v>44930</v>
      </c>
      <c r="V2">
        <f>-0.5241*O2^2+227.02*O2-134.2</f>
        <v>-17.423704422499981</v>
      </c>
      <c r="W2" t="s">
        <v>968</v>
      </c>
      <c r="AF2" s="32">
        <v>44930</v>
      </c>
      <c r="AG2" s="33">
        <v>0.375</v>
      </c>
      <c r="AH2" s="10" t="s">
        <v>70</v>
      </c>
      <c r="AI2" s="10" t="s">
        <v>71</v>
      </c>
      <c r="AJ2" s="10" t="s">
        <v>924</v>
      </c>
      <c r="AK2" s="10">
        <v>1</v>
      </c>
      <c r="AL2" s="10" t="s">
        <v>73</v>
      </c>
      <c r="AM2" s="10" t="s">
        <v>74</v>
      </c>
      <c r="AN2" s="10" t="s">
        <v>235</v>
      </c>
      <c r="AO2" s="10">
        <v>188</v>
      </c>
      <c r="AP2" s="12">
        <v>44930</v>
      </c>
      <c r="AQ2" s="33">
        <v>0.56040509259259264</v>
      </c>
      <c r="AR2" s="10">
        <v>1</v>
      </c>
      <c r="AS2" s="10" t="s">
        <v>196</v>
      </c>
      <c r="AT2" s="10">
        <v>24.2</v>
      </c>
      <c r="AU2" s="10">
        <v>1.4</v>
      </c>
      <c r="AV2" s="10">
        <v>5000</v>
      </c>
      <c r="AW2" s="10" t="s">
        <v>170</v>
      </c>
      <c r="AX2" s="123">
        <f t="shared" ref="AX2:AX8" si="1">IF(OR(AND(AN2&lt;&gt;"TP", AN2&lt;&gt;"TDP",AN2&lt;&gt;"TN", AN2&lt;&gt;"TDN"),AM2="CAL"), AV2*AR2, IF(OR(AND(AN2="TN", AV2&gt;2500), AND(AN2="TDN", AV2&gt;2500)),MAX(AV2, BP2)*AR2, IF(OR(AND(AN2="TN", AV2&lt;=2500), AND(AN2="TDN", AV2&lt;=2500)),MAX(AV2, BO2,BP2)*AR2, IF(OR(AND(AN2="TP",AV2&gt;500), AND(AN2="TDP", AV2&gt;500)),MAX(AV2,BP2)*AR2,IF(OR(AND(AN2="TP",AV2&lt;=150), AND(AN2="TDP", AV2&lt;=150)),MAX(AV2,BL2:BN2,BP2)*AR2,IF(OR(AND(AN2="TP",AV2&lt;=300), AND(AN2="TDP", AV2&lt;=300)),MAX(AV2,BM2,BN2,BP2)*AR2,IF(OR(AND(AN2="TP",AV2&lt;=500), AND(AN2="TDP", AV2&lt;=500)),MAX(AV2,BN2,BP2)*AR2,"")))))))</f>
        <v>5000</v>
      </c>
      <c r="AY2" s="10" t="s">
        <v>959</v>
      </c>
      <c r="AZ2" s="45">
        <v>44930</v>
      </c>
      <c r="BA2">
        <f t="shared" ref="BA2" si="2">-0.5241*AT2^2+227.02*AT2-134.2</f>
        <v>5052.7500760000003</v>
      </c>
      <c r="BB2" t="s">
        <v>968</v>
      </c>
    </row>
    <row r="3" spans="1:54" x14ac:dyDescent="0.55000000000000004">
      <c r="A3" s="32">
        <v>44930</v>
      </c>
      <c r="B3" s="33">
        <v>0.375</v>
      </c>
      <c r="C3" s="10" t="s">
        <v>70</v>
      </c>
      <c r="D3" s="10" t="s">
        <v>71</v>
      </c>
      <c r="E3" s="10" t="s">
        <v>918</v>
      </c>
      <c r="F3" s="10">
        <v>1</v>
      </c>
      <c r="G3" s="10" t="s">
        <v>73</v>
      </c>
      <c r="H3" s="10" t="s">
        <v>74</v>
      </c>
      <c r="I3" s="10" t="s">
        <v>235</v>
      </c>
      <c r="J3" s="10">
        <v>182</v>
      </c>
      <c r="K3" s="12">
        <v>44930</v>
      </c>
      <c r="L3" s="33">
        <v>0.55635416666666659</v>
      </c>
      <c r="M3" s="10">
        <v>1</v>
      </c>
      <c r="N3" s="10" t="s">
        <v>196</v>
      </c>
      <c r="O3" s="10">
        <v>0.59599999999999997</v>
      </c>
      <c r="P3" s="10">
        <v>3.5200000000000002E-2</v>
      </c>
      <c r="Q3" s="10">
        <v>30</v>
      </c>
      <c r="R3" s="10" t="s">
        <v>170</v>
      </c>
      <c r="S3" s="123">
        <f t="shared" si="0"/>
        <v>30</v>
      </c>
      <c r="T3" s="10" t="s">
        <v>959</v>
      </c>
      <c r="U3" s="45">
        <v>44930</v>
      </c>
      <c r="V3">
        <f t="shared" ref="V3:V9" si="3">-0.5241*O3^2+227.02*O3-134.2</f>
        <v>0.91775129440000569</v>
      </c>
      <c r="W3" t="s">
        <v>968</v>
      </c>
      <c r="AF3" s="124">
        <v>44937</v>
      </c>
      <c r="AG3" s="125">
        <v>0.375</v>
      </c>
      <c r="AH3" s="31" t="s">
        <v>70</v>
      </c>
      <c r="AI3" s="31" t="s">
        <v>71</v>
      </c>
      <c r="AJ3" s="31" t="s">
        <v>924</v>
      </c>
      <c r="AK3" s="31">
        <v>1</v>
      </c>
      <c r="AL3" s="31" t="s">
        <v>73</v>
      </c>
      <c r="AM3" s="31" t="s">
        <v>74</v>
      </c>
      <c r="AN3" s="31" t="s">
        <v>235</v>
      </c>
      <c r="AO3" s="31">
        <v>188</v>
      </c>
      <c r="AP3" s="126">
        <v>44937</v>
      </c>
      <c r="AQ3" s="125">
        <v>0.57592592592592595</v>
      </c>
      <c r="AR3" s="31">
        <v>1</v>
      </c>
      <c r="AS3" s="31" t="s">
        <v>196</v>
      </c>
      <c r="AT3" s="31">
        <v>23.7</v>
      </c>
      <c r="AU3" s="31">
        <v>1.41</v>
      </c>
      <c r="AV3" s="31">
        <v>5000</v>
      </c>
      <c r="AW3" s="31" t="s">
        <v>170</v>
      </c>
      <c r="AX3" s="34">
        <f t="shared" si="1"/>
        <v>5000</v>
      </c>
      <c r="AY3" s="31" t="s">
        <v>1004</v>
      </c>
      <c r="AZ3" s="127">
        <v>44937</v>
      </c>
      <c r="BA3" s="128">
        <f t="shared" ref="BA3" si="4">0.155*AT3^2+210.99*AT3-92.045</f>
        <v>4995.4799499999999</v>
      </c>
      <c r="BB3" s="128" t="s">
        <v>1012</v>
      </c>
    </row>
    <row r="4" spans="1:54" x14ac:dyDescent="0.55000000000000004">
      <c r="A4" s="32">
        <v>44930</v>
      </c>
      <c r="B4" s="33">
        <v>0.375</v>
      </c>
      <c r="C4" s="10" t="s">
        <v>70</v>
      </c>
      <c r="D4" s="10" t="s">
        <v>71</v>
      </c>
      <c r="E4" s="10" t="s">
        <v>919</v>
      </c>
      <c r="F4" s="10">
        <v>1</v>
      </c>
      <c r="G4" s="10" t="s">
        <v>73</v>
      </c>
      <c r="H4" s="10" t="s">
        <v>74</v>
      </c>
      <c r="I4" s="10" t="s">
        <v>235</v>
      </c>
      <c r="J4" s="10">
        <v>183</v>
      </c>
      <c r="K4" s="12">
        <v>44930</v>
      </c>
      <c r="L4" s="33">
        <v>0.55702546296296296</v>
      </c>
      <c r="M4" s="10">
        <v>1</v>
      </c>
      <c r="N4" s="10" t="s">
        <v>196</v>
      </c>
      <c r="O4" s="10">
        <v>1.07</v>
      </c>
      <c r="P4" s="10">
        <v>6.1899999999999997E-2</v>
      </c>
      <c r="Q4" s="10">
        <v>125</v>
      </c>
      <c r="R4" s="10" t="s">
        <v>170</v>
      </c>
      <c r="S4" s="123">
        <f t="shared" si="0"/>
        <v>125</v>
      </c>
      <c r="T4" s="10" t="s">
        <v>959</v>
      </c>
      <c r="U4" s="45">
        <v>44930</v>
      </c>
      <c r="V4">
        <f t="shared" si="3"/>
        <v>108.11135791000004</v>
      </c>
      <c r="W4" t="s">
        <v>968</v>
      </c>
      <c r="AF4" s="119">
        <v>44950</v>
      </c>
      <c r="AG4" s="120">
        <v>0.375</v>
      </c>
      <c r="AH4" s="121" t="s">
        <v>70</v>
      </c>
      <c r="AI4" s="121" t="s">
        <v>71</v>
      </c>
      <c r="AJ4" s="121" t="s">
        <v>924</v>
      </c>
      <c r="AK4" s="121">
        <v>1</v>
      </c>
      <c r="AL4" s="121" t="s">
        <v>73</v>
      </c>
      <c r="AM4" s="121" t="s">
        <v>74</v>
      </c>
      <c r="AN4" s="121" t="s">
        <v>235</v>
      </c>
      <c r="AO4" s="121">
        <v>188</v>
      </c>
      <c r="AP4" s="122">
        <v>44950</v>
      </c>
      <c r="AQ4" s="120">
        <v>0.5872222222222222</v>
      </c>
      <c r="AR4" s="121">
        <v>1</v>
      </c>
      <c r="AS4" s="121" t="s">
        <v>196</v>
      </c>
      <c r="AT4" s="121">
        <v>24.2</v>
      </c>
      <c r="AU4" s="121">
        <v>1.44</v>
      </c>
      <c r="AV4" s="121">
        <v>5000</v>
      </c>
      <c r="AW4" s="121" t="s">
        <v>170</v>
      </c>
      <c r="AX4" s="123">
        <f t="shared" si="1"/>
        <v>5000</v>
      </c>
      <c r="AY4" s="10" t="s">
        <v>1061</v>
      </c>
      <c r="AZ4" s="45">
        <v>44950</v>
      </c>
      <c r="BA4" s="129">
        <f t="shared" ref="BA4" si="5">0.4667*AT4^2+198.27*AT4-98.12</f>
        <v>4973.3321880000003</v>
      </c>
      <c r="BB4" s="129" t="s">
        <v>1069</v>
      </c>
    </row>
    <row r="5" spans="1:54" x14ac:dyDescent="0.55000000000000004">
      <c r="A5" s="32">
        <v>44930</v>
      </c>
      <c r="B5" s="33">
        <v>0.375</v>
      </c>
      <c r="C5" s="10" t="s">
        <v>70</v>
      </c>
      <c r="D5" s="10" t="s">
        <v>71</v>
      </c>
      <c r="E5" s="10" t="s">
        <v>920</v>
      </c>
      <c r="F5" s="10">
        <v>1</v>
      </c>
      <c r="G5" s="10" t="s">
        <v>73</v>
      </c>
      <c r="H5" s="10" t="s">
        <v>74</v>
      </c>
      <c r="I5" s="10" t="s">
        <v>235</v>
      </c>
      <c r="J5" s="10">
        <v>184</v>
      </c>
      <c r="K5" s="12">
        <v>44930</v>
      </c>
      <c r="L5" s="33">
        <v>0.55770833333333336</v>
      </c>
      <c r="M5" s="10">
        <v>1</v>
      </c>
      <c r="N5" s="10" t="s">
        <v>196</v>
      </c>
      <c r="O5" s="10">
        <v>2.95</v>
      </c>
      <c r="P5" s="10">
        <v>0.16800000000000001</v>
      </c>
      <c r="Q5" s="10">
        <v>500</v>
      </c>
      <c r="R5" s="10" t="s">
        <v>170</v>
      </c>
      <c r="S5" s="123">
        <f t="shared" si="0"/>
        <v>500</v>
      </c>
      <c r="T5" s="10" t="s">
        <v>959</v>
      </c>
      <c r="U5" s="45">
        <v>44930</v>
      </c>
      <c r="V5">
        <f t="shared" si="3"/>
        <v>530.94801974999996</v>
      </c>
      <c r="W5" t="s">
        <v>968</v>
      </c>
      <c r="AF5" s="124">
        <v>44958</v>
      </c>
      <c r="AG5" s="125">
        <v>0.375</v>
      </c>
      <c r="AH5" s="31" t="s">
        <v>70</v>
      </c>
      <c r="AI5" s="31" t="s">
        <v>71</v>
      </c>
      <c r="AJ5" s="31" t="s">
        <v>924</v>
      </c>
      <c r="AK5" s="31">
        <v>1</v>
      </c>
      <c r="AL5" s="31" t="s">
        <v>73</v>
      </c>
      <c r="AM5" s="31" t="s">
        <v>74</v>
      </c>
      <c r="AN5" s="31" t="s">
        <v>235</v>
      </c>
      <c r="AO5" s="31">
        <v>188</v>
      </c>
      <c r="AP5" s="126">
        <v>44958</v>
      </c>
      <c r="AQ5" s="125">
        <v>0.64703703703703697</v>
      </c>
      <c r="AR5" s="31">
        <v>1</v>
      </c>
      <c r="AS5" s="31" t="s">
        <v>196</v>
      </c>
      <c r="AT5" s="31">
        <v>29.9</v>
      </c>
      <c r="AU5" s="31">
        <v>1.45</v>
      </c>
      <c r="AV5" s="31">
        <v>5000</v>
      </c>
      <c r="AW5" s="31" t="s">
        <v>170</v>
      </c>
      <c r="AX5" s="34">
        <f t="shared" si="1"/>
        <v>5000</v>
      </c>
      <c r="AY5" s="31" t="s">
        <v>1116</v>
      </c>
      <c r="AZ5" s="127">
        <v>44958</v>
      </c>
      <c r="BA5" s="128">
        <f t="shared" ref="BA5" si="6">-1.0839*AT5^2+204.73*AT5-119.55</f>
        <v>5032.8595609999993</v>
      </c>
      <c r="BB5" s="128" t="s">
        <v>1124</v>
      </c>
    </row>
    <row r="6" spans="1:54" x14ac:dyDescent="0.55000000000000004">
      <c r="A6" s="32">
        <v>44930</v>
      </c>
      <c r="B6" s="33">
        <v>0.375</v>
      </c>
      <c r="C6" s="10" t="s">
        <v>70</v>
      </c>
      <c r="D6" s="10" t="s">
        <v>71</v>
      </c>
      <c r="E6" s="10" t="s">
        <v>921</v>
      </c>
      <c r="F6" s="10">
        <v>1</v>
      </c>
      <c r="G6" s="10" t="s">
        <v>73</v>
      </c>
      <c r="H6" s="10" t="s">
        <v>74</v>
      </c>
      <c r="I6" s="10" t="s">
        <v>235</v>
      </c>
      <c r="J6" s="10">
        <v>185</v>
      </c>
      <c r="K6" s="12">
        <v>44930</v>
      </c>
      <c r="L6" s="33">
        <v>0.55837962962962961</v>
      </c>
      <c r="M6" s="10">
        <v>1</v>
      </c>
      <c r="N6" s="10" t="s">
        <v>196</v>
      </c>
      <c r="O6" s="10">
        <v>6.44</v>
      </c>
      <c r="P6" s="10">
        <v>0.376</v>
      </c>
      <c r="Q6" s="10">
        <v>1250</v>
      </c>
      <c r="R6" s="10" t="s">
        <v>170</v>
      </c>
      <c r="S6" s="123">
        <f t="shared" si="0"/>
        <v>1250</v>
      </c>
      <c r="T6" s="10" t="s">
        <v>959</v>
      </c>
      <c r="U6" s="45">
        <v>44930</v>
      </c>
      <c r="V6">
        <f t="shared" si="3"/>
        <v>1306.07248624</v>
      </c>
      <c r="W6" t="s">
        <v>968</v>
      </c>
      <c r="AF6" s="32">
        <v>44966</v>
      </c>
      <c r="AG6" s="33">
        <v>0.375</v>
      </c>
      <c r="AH6" s="10" t="s">
        <v>70</v>
      </c>
      <c r="AI6" s="10" t="s">
        <v>71</v>
      </c>
      <c r="AJ6" s="10" t="s">
        <v>924</v>
      </c>
      <c r="AK6" s="10">
        <v>1</v>
      </c>
      <c r="AL6" s="10" t="s">
        <v>73</v>
      </c>
      <c r="AM6" s="10" t="s">
        <v>74</v>
      </c>
      <c r="AN6" s="10" t="s">
        <v>235</v>
      </c>
      <c r="AO6" s="10">
        <v>188</v>
      </c>
      <c r="AP6" s="12">
        <v>44967</v>
      </c>
      <c r="AQ6" s="33">
        <v>0.39094907407407403</v>
      </c>
      <c r="AR6" s="10">
        <v>1</v>
      </c>
      <c r="AS6" s="10" t="s">
        <v>196</v>
      </c>
      <c r="AT6" s="10">
        <v>29.3</v>
      </c>
      <c r="AU6" s="10">
        <v>1.42</v>
      </c>
      <c r="AV6" s="10">
        <v>5000</v>
      </c>
      <c r="AW6" s="10" t="s">
        <v>170</v>
      </c>
      <c r="AX6" s="123">
        <f t="shared" si="1"/>
        <v>5000</v>
      </c>
      <c r="AY6" s="10" t="s">
        <v>1178</v>
      </c>
      <c r="AZ6" s="45">
        <v>44967</v>
      </c>
      <c r="BA6" s="129">
        <f t="shared" ref="BA6" si="7">-0.215*AT6^2+181.97*AT6-117.15</f>
        <v>5029.9956500000008</v>
      </c>
      <c r="BB6" s="129" t="s">
        <v>1186</v>
      </c>
    </row>
    <row r="7" spans="1:54" x14ac:dyDescent="0.55000000000000004">
      <c r="A7" s="32">
        <v>44930</v>
      </c>
      <c r="B7" s="33">
        <v>0.375</v>
      </c>
      <c r="C7" s="10" t="s">
        <v>70</v>
      </c>
      <c r="D7" s="10" t="s">
        <v>71</v>
      </c>
      <c r="E7" s="10" t="s">
        <v>922</v>
      </c>
      <c r="F7" s="10">
        <v>1</v>
      </c>
      <c r="G7" s="10" t="s">
        <v>73</v>
      </c>
      <c r="H7" s="10" t="s">
        <v>74</v>
      </c>
      <c r="I7" s="10" t="s">
        <v>235</v>
      </c>
      <c r="J7" s="10">
        <v>186</v>
      </c>
      <c r="K7" s="12">
        <v>44930</v>
      </c>
      <c r="L7" s="33">
        <v>0.55905092592592587</v>
      </c>
      <c r="M7" s="10">
        <v>1</v>
      </c>
      <c r="N7" s="10" t="s">
        <v>196</v>
      </c>
      <c r="O7" s="10">
        <v>12.3</v>
      </c>
      <c r="P7" s="10">
        <v>0.71599999999999997</v>
      </c>
      <c r="Q7" s="10">
        <v>2500</v>
      </c>
      <c r="R7" s="10" t="s">
        <v>170</v>
      </c>
      <c r="S7" s="123">
        <f t="shared" si="0"/>
        <v>2500</v>
      </c>
      <c r="T7" s="10" t="s">
        <v>959</v>
      </c>
      <c r="U7" s="45">
        <v>44930</v>
      </c>
      <c r="V7">
        <f t="shared" si="3"/>
        <v>2578.8549110000008</v>
      </c>
      <c r="W7" t="s">
        <v>968</v>
      </c>
      <c r="AF7" s="124">
        <v>44972</v>
      </c>
      <c r="AG7" s="125">
        <v>0.375</v>
      </c>
      <c r="AH7" s="31" t="s">
        <v>70</v>
      </c>
      <c r="AI7" s="31" t="s">
        <v>71</v>
      </c>
      <c r="AJ7" s="31" t="s">
        <v>924</v>
      </c>
      <c r="AK7" s="31">
        <v>1</v>
      </c>
      <c r="AL7" s="31" t="s">
        <v>73</v>
      </c>
      <c r="AM7" s="31" t="s">
        <v>74</v>
      </c>
      <c r="AN7" s="31" t="s">
        <v>235</v>
      </c>
      <c r="AO7" s="31">
        <v>188</v>
      </c>
      <c r="AP7" s="126">
        <v>44973</v>
      </c>
      <c r="AQ7" s="125">
        <v>0.44292824074074072</v>
      </c>
      <c r="AR7" s="31">
        <v>1</v>
      </c>
      <c r="AS7" s="31" t="s">
        <v>196</v>
      </c>
      <c r="AT7" s="31">
        <v>28.9</v>
      </c>
      <c r="AU7" s="31">
        <v>1.38</v>
      </c>
      <c r="AV7" s="31">
        <v>5000</v>
      </c>
      <c r="AW7" s="31" t="s">
        <v>170</v>
      </c>
      <c r="AX7" s="34">
        <f t="shared" si="1"/>
        <v>5000</v>
      </c>
      <c r="AY7" s="31" t="s">
        <v>1222</v>
      </c>
      <c r="AZ7" s="127">
        <v>44973</v>
      </c>
      <c r="BA7" s="128">
        <f t="shared" ref="BA7" si="8">-0.033*AT7^2+178.81*AT7-104.93</f>
        <v>5035.1170699999993</v>
      </c>
      <c r="BB7" s="128" t="s">
        <v>1230</v>
      </c>
    </row>
    <row r="8" spans="1:54" x14ac:dyDescent="0.55000000000000004">
      <c r="A8" s="32">
        <v>44930</v>
      </c>
      <c r="B8" s="33">
        <v>0.375</v>
      </c>
      <c r="C8" s="10" t="s">
        <v>70</v>
      </c>
      <c r="D8" s="10" t="s">
        <v>71</v>
      </c>
      <c r="E8" s="10" t="s">
        <v>923</v>
      </c>
      <c r="F8" s="10">
        <v>1</v>
      </c>
      <c r="G8" s="10" t="s">
        <v>73</v>
      </c>
      <c r="H8" s="10" t="s">
        <v>74</v>
      </c>
      <c r="I8" s="10" t="s">
        <v>235</v>
      </c>
      <c r="J8" s="10">
        <v>187</v>
      </c>
      <c r="K8" s="12">
        <v>44930</v>
      </c>
      <c r="L8" s="33">
        <v>0.55972222222222223</v>
      </c>
      <c r="M8" s="10">
        <v>1</v>
      </c>
      <c r="N8" s="10" t="s">
        <v>196</v>
      </c>
      <c r="O8" s="10">
        <v>17.100000000000001</v>
      </c>
      <c r="P8" s="10">
        <v>0.99399999999999999</v>
      </c>
      <c r="Q8" s="10">
        <v>3750</v>
      </c>
      <c r="R8" s="10" t="s">
        <v>170</v>
      </c>
      <c r="S8" s="123">
        <f t="shared" si="0"/>
        <v>3750</v>
      </c>
      <c r="T8" s="10" t="s">
        <v>959</v>
      </c>
      <c r="U8" s="45">
        <v>44930</v>
      </c>
      <c r="V8">
        <f t="shared" si="3"/>
        <v>3594.5899190000005</v>
      </c>
      <c r="W8" t="s">
        <v>968</v>
      </c>
      <c r="AF8" s="119">
        <v>44979</v>
      </c>
      <c r="AG8" s="120">
        <v>0.375</v>
      </c>
      <c r="AH8" s="121" t="s">
        <v>70</v>
      </c>
      <c r="AI8" s="121" t="s">
        <v>71</v>
      </c>
      <c r="AJ8" s="121" t="s">
        <v>924</v>
      </c>
      <c r="AK8" s="121">
        <v>1</v>
      </c>
      <c r="AL8" s="121" t="s">
        <v>73</v>
      </c>
      <c r="AM8" s="121" t="s">
        <v>74</v>
      </c>
      <c r="AN8" s="121" t="s">
        <v>235</v>
      </c>
      <c r="AO8" s="121">
        <v>188</v>
      </c>
      <c r="AP8" s="122">
        <v>44981</v>
      </c>
      <c r="AQ8" s="120">
        <v>0.49215277777777783</v>
      </c>
      <c r="AR8" s="121">
        <v>1</v>
      </c>
      <c r="AS8" s="121" t="s">
        <v>196</v>
      </c>
      <c r="AT8" s="121">
        <v>27.1</v>
      </c>
      <c r="AU8" s="121">
        <v>1.29</v>
      </c>
      <c r="AV8" s="121">
        <v>5000</v>
      </c>
      <c r="AW8" s="121" t="s">
        <v>170</v>
      </c>
      <c r="AX8" s="123">
        <f t="shared" si="1"/>
        <v>5000</v>
      </c>
      <c r="AY8" s="10" t="s">
        <v>1275</v>
      </c>
      <c r="AZ8" s="45">
        <v>44981</v>
      </c>
      <c r="BA8" s="129">
        <f t="shared" ref="BA8" si="9">0.3348*AT8^2+180.18*AT8-102.36</f>
        <v>5026.3984680000012</v>
      </c>
      <c r="BB8" s="129" t="s">
        <v>1283</v>
      </c>
    </row>
    <row r="9" spans="1:54" x14ac:dyDescent="0.55000000000000004">
      <c r="A9" s="32">
        <v>44930</v>
      </c>
      <c r="B9" s="33">
        <v>0.375</v>
      </c>
      <c r="C9" s="10" t="s">
        <v>70</v>
      </c>
      <c r="D9" s="10" t="s">
        <v>71</v>
      </c>
      <c r="E9" s="10" t="s">
        <v>924</v>
      </c>
      <c r="F9" s="10">
        <v>1</v>
      </c>
      <c r="G9" s="10" t="s">
        <v>73</v>
      </c>
      <c r="H9" s="10" t="s">
        <v>74</v>
      </c>
      <c r="I9" s="10" t="s">
        <v>235</v>
      </c>
      <c r="J9" s="10">
        <v>188</v>
      </c>
      <c r="K9" s="12">
        <v>44930</v>
      </c>
      <c r="L9" s="33">
        <v>0.56040509259259264</v>
      </c>
      <c r="M9" s="10">
        <v>1</v>
      </c>
      <c r="N9" s="10" t="s">
        <v>196</v>
      </c>
      <c r="O9" s="10">
        <v>24.2</v>
      </c>
      <c r="P9" s="10">
        <v>1.4</v>
      </c>
      <c r="Q9" s="10">
        <v>5000</v>
      </c>
      <c r="R9" s="10" t="s">
        <v>170</v>
      </c>
      <c r="S9" s="123">
        <f t="shared" si="0"/>
        <v>5000</v>
      </c>
      <c r="T9" s="10" t="s">
        <v>959</v>
      </c>
      <c r="U9" s="45">
        <v>44930</v>
      </c>
      <c r="V9">
        <f t="shared" si="3"/>
        <v>5052.7500760000003</v>
      </c>
      <c r="W9" t="s">
        <v>968</v>
      </c>
    </row>
    <row r="10" spans="1:54" x14ac:dyDescent="0.55000000000000004">
      <c r="A10" s="124">
        <v>44937</v>
      </c>
      <c r="B10" s="125">
        <v>0.375</v>
      </c>
      <c r="C10" s="31" t="s">
        <v>70</v>
      </c>
      <c r="D10" s="31" t="s">
        <v>71</v>
      </c>
      <c r="E10" s="31" t="s">
        <v>917</v>
      </c>
      <c r="F10" s="31">
        <v>1</v>
      </c>
      <c r="G10" s="31" t="s">
        <v>73</v>
      </c>
      <c r="H10" s="31" t="s">
        <v>74</v>
      </c>
      <c r="I10" s="31" t="s">
        <v>235</v>
      </c>
      <c r="J10" s="31">
        <v>181</v>
      </c>
      <c r="K10" s="126">
        <v>44937</v>
      </c>
      <c r="L10" s="125">
        <v>0.57119212962962962</v>
      </c>
      <c r="M10" s="31">
        <v>1</v>
      </c>
      <c r="N10" s="31" t="s">
        <v>196</v>
      </c>
      <c r="O10" s="31">
        <v>0.36399999999999999</v>
      </c>
      <c r="P10" s="31">
        <v>2.1299999999999999E-2</v>
      </c>
      <c r="Q10" s="31">
        <v>0</v>
      </c>
      <c r="R10" s="31" t="s">
        <v>170</v>
      </c>
      <c r="S10" s="34">
        <f t="shared" si="0"/>
        <v>0</v>
      </c>
      <c r="T10" s="31" t="s">
        <v>1004</v>
      </c>
      <c r="U10" s="127">
        <v>44937</v>
      </c>
      <c r="V10" s="128">
        <f>0.155*O10^2+210.99*O10-92.045</f>
        <v>-15.224103120000009</v>
      </c>
      <c r="W10" s="128" t="s">
        <v>1012</v>
      </c>
    </row>
    <row r="11" spans="1:54" x14ac:dyDescent="0.55000000000000004">
      <c r="A11" s="124">
        <v>44937</v>
      </c>
      <c r="B11" s="125">
        <v>0.375</v>
      </c>
      <c r="C11" s="31" t="s">
        <v>70</v>
      </c>
      <c r="D11" s="31" t="s">
        <v>71</v>
      </c>
      <c r="E11" s="31" t="s">
        <v>918</v>
      </c>
      <c r="F11" s="31">
        <v>1</v>
      </c>
      <c r="G11" s="31" t="s">
        <v>73</v>
      </c>
      <c r="H11" s="31" t="s">
        <v>74</v>
      </c>
      <c r="I11" s="31" t="s">
        <v>235</v>
      </c>
      <c r="J11" s="31">
        <v>182</v>
      </c>
      <c r="K11" s="126">
        <v>44937</v>
      </c>
      <c r="L11" s="125">
        <v>0.57187500000000002</v>
      </c>
      <c r="M11" s="31">
        <v>1</v>
      </c>
      <c r="N11" s="31" t="s">
        <v>196</v>
      </c>
      <c r="O11" s="31">
        <v>0.54</v>
      </c>
      <c r="P11" s="31">
        <v>3.2199999999999999E-2</v>
      </c>
      <c r="Q11" s="31">
        <v>30</v>
      </c>
      <c r="R11" s="31" t="s">
        <v>170</v>
      </c>
      <c r="S11" s="34">
        <f t="shared" si="0"/>
        <v>30</v>
      </c>
      <c r="T11" s="31" t="s">
        <v>1004</v>
      </c>
      <c r="U11" s="127">
        <v>44937</v>
      </c>
      <c r="V11" s="128">
        <f t="shared" ref="V11:V17" si="10">0.155*O11^2+210.99*O11-92.045</f>
        <v>21.934798000000015</v>
      </c>
      <c r="W11" s="128" t="s">
        <v>1012</v>
      </c>
    </row>
    <row r="12" spans="1:54" x14ac:dyDescent="0.55000000000000004">
      <c r="A12" s="124">
        <v>44937</v>
      </c>
      <c r="B12" s="125">
        <v>0.375</v>
      </c>
      <c r="C12" s="31" t="s">
        <v>70</v>
      </c>
      <c r="D12" s="31" t="s">
        <v>71</v>
      </c>
      <c r="E12" s="31" t="s">
        <v>919</v>
      </c>
      <c r="F12" s="31">
        <v>1</v>
      </c>
      <c r="G12" s="31" t="s">
        <v>73</v>
      </c>
      <c r="H12" s="31" t="s">
        <v>74</v>
      </c>
      <c r="I12" s="31" t="s">
        <v>235</v>
      </c>
      <c r="J12" s="31">
        <v>183</v>
      </c>
      <c r="K12" s="126">
        <v>44937</v>
      </c>
      <c r="L12" s="125">
        <v>0.57254629629629628</v>
      </c>
      <c r="M12" s="31">
        <v>1</v>
      </c>
      <c r="N12" s="31" t="s">
        <v>196</v>
      </c>
      <c r="O12" s="31">
        <v>1.03</v>
      </c>
      <c r="P12" s="31">
        <v>6.1199999999999997E-2</v>
      </c>
      <c r="Q12" s="31">
        <v>125</v>
      </c>
      <c r="R12" s="31" t="s">
        <v>170</v>
      </c>
      <c r="S12" s="34">
        <f t="shared" si="0"/>
        <v>125</v>
      </c>
      <c r="T12" s="31" t="s">
        <v>1004</v>
      </c>
      <c r="U12" s="127">
        <v>44937</v>
      </c>
      <c r="V12" s="128">
        <f t="shared" si="10"/>
        <v>125.4391395</v>
      </c>
      <c r="W12" s="128" t="s">
        <v>1012</v>
      </c>
    </row>
    <row r="13" spans="1:54" x14ac:dyDescent="0.55000000000000004">
      <c r="A13" s="124">
        <v>44937</v>
      </c>
      <c r="B13" s="125">
        <v>0.375</v>
      </c>
      <c r="C13" s="31" t="s">
        <v>70</v>
      </c>
      <c r="D13" s="31" t="s">
        <v>71</v>
      </c>
      <c r="E13" s="31" t="s">
        <v>920</v>
      </c>
      <c r="F13" s="31">
        <v>1</v>
      </c>
      <c r="G13" s="31" t="s">
        <v>73</v>
      </c>
      <c r="H13" s="31" t="s">
        <v>74</v>
      </c>
      <c r="I13" s="31" t="s">
        <v>235</v>
      </c>
      <c r="J13" s="31">
        <v>184</v>
      </c>
      <c r="K13" s="126">
        <v>44937</v>
      </c>
      <c r="L13" s="125">
        <v>0.57321759259259253</v>
      </c>
      <c r="M13" s="31">
        <v>1</v>
      </c>
      <c r="N13" s="31" t="s">
        <v>196</v>
      </c>
      <c r="O13" s="31">
        <v>2.88</v>
      </c>
      <c r="P13" s="31">
        <v>0.17199999999999999</v>
      </c>
      <c r="Q13" s="31">
        <v>500</v>
      </c>
      <c r="R13" s="31" t="s">
        <v>170</v>
      </c>
      <c r="S13" s="34">
        <f t="shared" si="0"/>
        <v>500</v>
      </c>
      <c r="T13" s="31" t="s">
        <v>1004</v>
      </c>
      <c r="U13" s="127">
        <v>44937</v>
      </c>
      <c r="V13" s="128">
        <f t="shared" si="10"/>
        <v>516.89183200000002</v>
      </c>
      <c r="W13" s="128" t="s">
        <v>1012</v>
      </c>
    </row>
    <row r="14" spans="1:54" x14ac:dyDescent="0.55000000000000004">
      <c r="A14" s="124">
        <v>44937</v>
      </c>
      <c r="B14" s="125">
        <v>0.375</v>
      </c>
      <c r="C14" s="31" t="s">
        <v>70</v>
      </c>
      <c r="D14" s="31" t="s">
        <v>71</v>
      </c>
      <c r="E14" s="31" t="s">
        <v>921</v>
      </c>
      <c r="F14" s="31">
        <v>1</v>
      </c>
      <c r="G14" s="31" t="s">
        <v>73</v>
      </c>
      <c r="H14" s="31" t="s">
        <v>74</v>
      </c>
      <c r="I14" s="31" t="s">
        <v>235</v>
      </c>
      <c r="J14" s="31">
        <v>185</v>
      </c>
      <c r="K14" s="126">
        <v>44937</v>
      </c>
      <c r="L14" s="125">
        <v>0.57390046296296293</v>
      </c>
      <c r="M14" s="31">
        <v>1</v>
      </c>
      <c r="N14" s="31" t="s">
        <v>196</v>
      </c>
      <c r="O14" s="31">
        <v>6.53</v>
      </c>
      <c r="P14" s="31">
        <v>0.39200000000000002</v>
      </c>
      <c r="Q14" s="31">
        <v>1250</v>
      </c>
      <c r="R14" s="31" t="s">
        <v>170</v>
      </c>
      <c r="S14" s="34">
        <f t="shared" si="0"/>
        <v>1250</v>
      </c>
      <c r="T14" s="31" t="s">
        <v>1004</v>
      </c>
      <c r="U14" s="127">
        <v>44937</v>
      </c>
      <c r="V14" s="128">
        <f t="shared" si="10"/>
        <v>1292.3290395000001</v>
      </c>
      <c r="W14" s="128" t="s">
        <v>1012</v>
      </c>
    </row>
    <row r="15" spans="1:54" x14ac:dyDescent="0.55000000000000004">
      <c r="A15" s="124">
        <v>44937</v>
      </c>
      <c r="B15" s="125">
        <v>0.375</v>
      </c>
      <c r="C15" s="31" t="s">
        <v>70</v>
      </c>
      <c r="D15" s="31" t="s">
        <v>71</v>
      </c>
      <c r="E15" s="31" t="s">
        <v>922</v>
      </c>
      <c r="F15" s="31">
        <v>1</v>
      </c>
      <c r="G15" s="31" t="s">
        <v>73</v>
      </c>
      <c r="H15" s="31" t="s">
        <v>74</v>
      </c>
      <c r="I15" s="31" t="s">
        <v>235</v>
      </c>
      <c r="J15" s="31">
        <v>186</v>
      </c>
      <c r="K15" s="126">
        <v>44937</v>
      </c>
      <c r="L15" s="125">
        <v>0.5745717592592593</v>
      </c>
      <c r="M15" s="31">
        <v>1</v>
      </c>
      <c r="N15" s="31" t="s">
        <v>196</v>
      </c>
      <c r="O15" s="31">
        <v>11.9</v>
      </c>
      <c r="P15" s="31">
        <v>0.71799999999999997</v>
      </c>
      <c r="Q15" s="31">
        <v>2500</v>
      </c>
      <c r="R15" s="31" t="s">
        <v>170</v>
      </c>
      <c r="S15" s="34">
        <f t="shared" si="0"/>
        <v>2500</v>
      </c>
      <c r="T15" s="31" t="s">
        <v>1004</v>
      </c>
      <c r="U15" s="127">
        <v>44937</v>
      </c>
      <c r="V15" s="128">
        <f t="shared" si="10"/>
        <v>2440.6855500000001</v>
      </c>
      <c r="W15" s="128" t="s">
        <v>1012</v>
      </c>
    </row>
    <row r="16" spans="1:54" x14ac:dyDescent="0.55000000000000004">
      <c r="A16" s="124">
        <v>44937</v>
      </c>
      <c r="B16" s="125">
        <v>0.375</v>
      </c>
      <c r="C16" s="31" t="s">
        <v>70</v>
      </c>
      <c r="D16" s="31" t="s">
        <v>71</v>
      </c>
      <c r="E16" s="31" t="s">
        <v>923</v>
      </c>
      <c r="F16" s="31">
        <v>1</v>
      </c>
      <c r="G16" s="31" t="s">
        <v>73</v>
      </c>
      <c r="H16" s="31" t="s">
        <v>74</v>
      </c>
      <c r="I16" s="31" t="s">
        <v>235</v>
      </c>
      <c r="J16" s="31">
        <v>187</v>
      </c>
      <c r="K16" s="126">
        <v>44937</v>
      </c>
      <c r="L16" s="125">
        <v>0.57524305555555555</v>
      </c>
      <c r="M16" s="31">
        <v>1</v>
      </c>
      <c r="N16" s="31" t="s">
        <v>196</v>
      </c>
      <c r="O16" s="31">
        <v>18.100000000000001</v>
      </c>
      <c r="P16" s="31">
        <v>1.08</v>
      </c>
      <c r="Q16" s="31">
        <v>3750</v>
      </c>
      <c r="R16" s="31" t="s">
        <v>170</v>
      </c>
      <c r="S16" s="34">
        <f t="shared" si="0"/>
        <v>3750</v>
      </c>
      <c r="T16" s="31" t="s">
        <v>1004</v>
      </c>
      <c r="U16" s="127">
        <v>44937</v>
      </c>
      <c r="V16" s="128">
        <f t="shared" si="10"/>
        <v>3777.6535500000005</v>
      </c>
      <c r="W16" s="128" t="s">
        <v>1012</v>
      </c>
    </row>
    <row r="17" spans="1:23" x14ac:dyDescent="0.55000000000000004">
      <c r="A17" s="124">
        <v>44937</v>
      </c>
      <c r="B17" s="125">
        <v>0.375</v>
      </c>
      <c r="C17" s="31" t="s">
        <v>70</v>
      </c>
      <c r="D17" s="31" t="s">
        <v>71</v>
      </c>
      <c r="E17" s="31" t="s">
        <v>924</v>
      </c>
      <c r="F17" s="31">
        <v>1</v>
      </c>
      <c r="G17" s="31" t="s">
        <v>73</v>
      </c>
      <c r="H17" s="31" t="s">
        <v>74</v>
      </c>
      <c r="I17" s="31" t="s">
        <v>235</v>
      </c>
      <c r="J17" s="31">
        <v>188</v>
      </c>
      <c r="K17" s="126">
        <v>44937</v>
      </c>
      <c r="L17" s="125">
        <v>0.57592592592592595</v>
      </c>
      <c r="M17" s="31">
        <v>1</v>
      </c>
      <c r="N17" s="31" t="s">
        <v>196</v>
      </c>
      <c r="O17" s="31">
        <v>23.7</v>
      </c>
      <c r="P17" s="31">
        <v>1.41</v>
      </c>
      <c r="Q17" s="31">
        <v>5000</v>
      </c>
      <c r="R17" s="31" t="s">
        <v>170</v>
      </c>
      <c r="S17" s="34">
        <f t="shared" si="0"/>
        <v>5000</v>
      </c>
      <c r="T17" s="31" t="s">
        <v>1004</v>
      </c>
      <c r="U17" s="127">
        <v>44937</v>
      </c>
      <c r="V17" s="128">
        <f t="shared" si="10"/>
        <v>4995.4799499999999</v>
      </c>
      <c r="W17" s="128" t="s">
        <v>1012</v>
      </c>
    </row>
    <row r="18" spans="1:23" x14ac:dyDescent="0.55000000000000004">
      <c r="A18" s="119">
        <v>44950</v>
      </c>
      <c r="B18" s="120">
        <v>0.375</v>
      </c>
      <c r="C18" s="121" t="s">
        <v>70</v>
      </c>
      <c r="D18" s="121" t="s">
        <v>71</v>
      </c>
      <c r="E18" s="121" t="s">
        <v>917</v>
      </c>
      <c r="F18" s="121">
        <v>1</v>
      </c>
      <c r="G18" s="121" t="s">
        <v>73</v>
      </c>
      <c r="H18" s="121" t="s">
        <v>74</v>
      </c>
      <c r="I18" s="121" t="s">
        <v>235</v>
      </c>
      <c r="J18" s="121">
        <v>181</v>
      </c>
      <c r="K18" s="122">
        <v>44950</v>
      </c>
      <c r="L18" s="120">
        <v>0.58248842592592587</v>
      </c>
      <c r="M18" s="121">
        <v>1</v>
      </c>
      <c r="N18" s="121" t="s">
        <v>196</v>
      </c>
      <c r="O18" s="121">
        <v>0.56200000000000006</v>
      </c>
      <c r="P18" s="121">
        <v>3.3099999999999997E-2</v>
      </c>
      <c r="Q18" s="121">
        <v>0</v>
      </c>
      <c r="R18" s="121" t="s">
        <v>170</v>
      </c>
      <c r="S18" s="123">
        <f t="shared" si="0"/>
        <v>0</v>
      </c>
      <c r="T18" s="10" t="s">
        <v>1061</v>
      </c>
      <c r="U18" s="45">
        <v>44950</v>
      </c>
      <c r="V18" s="129">
        <f>0.4667*O18^2+198.27*O18-98.12</f>
        <v>13.455144394800016</v>
      </c>
      <c r="W18" s="129" t="s">
        <v>1069</v>
      </c>
    </row>
    <row r="19" spans="1:23" x14ac:dyDescent="0.55000000000000004">
      <c r="A19" s="119">
        <v>44950</v>
      </c>
      <c r="B19" s="120">
        <v>0.375</v>
      </c>
      <c r="C19" s="121" t="s">
        <v>70</v>
      </c>
      <c r="D19" s="121" t="s">
        <v>71</v>
      </c>
      <c r="E19" s="121" t="s">
        <v>918</v>
      </c>
      <c r="F19" s="121">
        <v>1</v>
      </c>
      <c r="G19" s="121" t="s">
        <v>73</v>
      </c>
      <c r="H19" s="121" t="s">
        <v>74</v>
      </c>
      <c r="I19" s="121" t="s">
        <v>235</v>
      </c>
      <c r="J19" s="121">
        <v>182</v>
      </c>
      <c r="K19" s="122">
        <v>44950</v>
      </c>
      <c r="L19" s="120">
        <v>0.58317129629629627</v>
      </c>
      <c r="M19" s="121">
        <v>1</v>
      </c>
      <c r="N19" s="121" t="s">
        <v>196</v>
      </c>
      <c r="O19" s="121">
        <v>0.77800000000000002</v>
      </c>
      <c r="P19" s="121">
        <v>4.6800000000000001E-2</v>
      </c>
      <c r="Q19" s="121">
        <v>30</v>
      </c>
      <c r="R19" s="121" t="s">
        <v>170</v>
      </c>
      <c r="S19" s="123">
        <f t="shared" si="0"/>
        <v>30</v>
      </c>
      <c r="T19" s="10" t="s">
        <v>1061</v>
      </c>
      <c r="U19" s="45">
        <v>44950</v>
      </c>
      <c r="V19" s="129">
        <f t="shared" ref="V19:V25" si="11">0.4667*O19^2+198.27*O19-98.12</f>
        <v>56.416546042800007</v>
      </c>
      <c r="W19" s="129" t="s">
        <v>1069</v>
      </c>
    </row>
    <row r="20" spans="1:23" x14ac:dyDescent="0.55000000000000004">
      <c r="A20" s="119">
        <v>44950</v>
      </c>
      <c r="B20" s="120">
        <v>0.375</v>
      </c>
      <c r="C20" s="121" t="s">
        <v>70</v>
      </c>
      <c r="D20" s="121" t="s">
        <v>71</v>
      </c>
      <c r="E20" s="121" t="s">
        <v>919</v>
      </c>
      <c r="F20" s="121">
        <v>1</v>
      </c>
      <c r="G20" s="121" t="s">
        <v>73</v>
      </c>
      <c r="H20" s="121" t="s">
        <v>74</v>
      </c>
      <c r="I20" s="121" t="s">
        <v>235</v>
      </c>
      <c r="J20" s="121">
        <v>183</v>
      </c>
      <c r="K20" s="122">
        <v>44950</v>
      </c>
      <c r="L20" s="120">
        <v>0.58385416666666667</v>
      </c>
      <c r="M20" s="121">
        <v>1</v>
      </c>
      <c r="N20" s="121" t="s">
        <v>196</v>
      </c>
      <c r="O20" s="121">
        <v>1.04</v>
      </c>
      <c r="P20" s="121">
        <v>6.2600000000000003E-2</v>
      </c>
      <c r="Q20" s="121">
        <v>125</v>
      </c>
      <c r="R20" s="121" t="s">
        <v>170</v>
      </c>
      <c r="S20" s="123">
        <f t="shared" si="0"/>
        <v>125</v>
      </c>
      <c r="T20" s="10" t="s">
        <v>1061</v>
      </c>
      <c r="U20" s="45">
        <v>44950</v>
      </c>
      <c r="V20" s="129">
        <f t="shared" si="11"/>
        <v>108.58558272000002</v>
      </c>
      <c r="W20" s="129" t="s">
        <v>1069</v>
      </c>
    </row>
    <row r="21" spans="1:23" x14ac:dyDescent="0.55000000000000004">
      <c r="A21" s="119">
        <v>44950</v>
      </c>
      <c r="B21" s="120">
        <v>0.375</v>
      </c>
      <c r="C21" s="121" t="s">
        <v>70</v>
      </c>
      <c r="D21" s="121" t="s">
        <v>71</v>
      </c>
      <c r="E21" s="121" t="s">
        <v>920</v>
      </c>
      <c r="F21" s="121">
        <v>1</v>
      </c>
      <c r="G21" s="121" t="s">
        <v>73</v>
      </c>
      <c r="H21" s="121" t="s">
        <v>74</v>
      </c>
      <c r="I21" s="121" t="s">
        <v>235</v>
      </c>
      <c r="J21" s="121">
        <v>184</v>
      </c>
      <c r="K21" s="122">
        <v>44950</v>
      </c>
      <c r="L21" s="120">
        <v>0.58452546296296293</v>
      </c>
      <c r="M21" s="121">
        <v>1</v>
      </c>
      <c r="N21" s="121" t="s">
        <v>196</v>
      </c>
      <c r="O21" s="121">
        <v>3.06</v>
      </c>
      <c r="P21" s="121">
        <v>0.183</v>
      </c>
      <c r="Q21" s="121">
        <v>500</v>
      </c>
      <c r="R21" s="121" t="s">
        <v>170</v>
      </c>
      <c r="S21" s="123">
        <f t="shared" si="0"/>
        <v>500</v>
      </c>
      <c r="T21" s="10" t="s">
        <v>1061</v>
      </c>
      <c r="U21" s="45">
        <v>44950</v>
      </c>
      <c r="V21" s="129">
        <f t="shared" si="11"/>
        <v>512.95619212000008</v>
      </c>
      <c r="W21" s="129" t="s">
        <v>1069</v>
      </c>
    </row>
    <row r="22" spans="1:23" x14ac:dyDescent="0.55000000000000004">
      <c r="A22" s="119">
        <v>44950</v>
      </c>
      <c r="B22" s="120">
        <v>0.375</v>
      </c>
      <c r="C22" s="121" t="s">
        <v>70</v>
      </c>
      <c r="D22" s="121" t="s">
        <v>71</v>
      </c>
      <c r="E22" s="121" t="s">
        <v>921</v>
      </c>
      <c r="F22" s="121">
        <v>1</v>
      </c>
      <c r="G22" s="121" t="s">
        <v>73</v>
      </c>
      <c r="H22" s="121" t="s">
        <v>74</v>
      </c>
      <c r="I22" s="121" t="s">
        <v>235</v>
      </c>
      <c r="J22" s="121">
        <v>185</v>
      </c>
      <c r="K22" s="122">
        <v>44950</v>
      </c>
      <c r="L22" s="120">
        <v>0.58519675925925929</v>
      </c>
      <c r="M22" s="121">
        <v>1</v>
      </c>
      <c r="N22" s="121" t="s">
        <v>196</v>
      </c>
      <c r="O22" s="121">
        <v>6.35</v>
      </c>
      <c r="P22" s="121">
        <v>0.38200000000000001</v>
      </c>
      <c r="Q22" s="121">
        <v>1250</v>
      </c>
      <c r="R22" s="121" t="s">
        <v>170</v>
      </c>
      <c r="S22" s="123">
        <f t="shared" si="0"/>
        <v>1250</v>
      </c>
      <c r="T22" s="10" t="s">
        <v>1061</v>
      </c>
      <c r="U22" s="45">
        <v>44950</v>
      </c>
      <c r="V22" s="129">
        <f t="shared" si="11"/>
        <v>1179.7130107500002</v>
      </c>
      <c r="W22" s="129" t="s">
        <v>1069</v>
      </c>
    </row>
    <row r="23" spans="1:23" x14ac:dyDescent="0.55000000000000004">
      <c r="A23" s="119">
        <v>44950</v>
      </c>
      <c r="B23" s="120">
        <v>0.375</v>
      </c>
      <c r="C23" s="121" t="s">
        <v>70</v>
      </c>
      <c r="D23" s="121" t="s">
        <v>71</v>
      </c>
      <c r="E23" s="121" t="s">
        <v>922</v>
      </c>
      <c r="F23" s="121">
        <v>1</v>
      </c>
      <c r="G23" s="121" t="s">
        <v>73</v>
      </c>
      <c r="H23" s="121" t="s">
        <v>74</v>
      </c>
      <c r="I23" s="121" t="s">
        <v>235</v>
      </c>
      <c r="J23" s="121">
        <v>186</v>
      </c>
      <c r="K23" s="122">
        <v>44950</v>
      </c>
      <c r="L23" s="120">
        <v>0.58587962962962969</v>
      </c>
      <c r="M23" s="121">
        <v>1</v>
      </c>
      <c r="N23" s="121" t="s">
        <v>196</v>
      </c>
      <c r="O23" s="121">
        <v>12.8</v>
      </c>
      <c r="P23" s="121">
        <v>0.76800000000000002</v>
      </c>
      <c r="Q23" s="121">
        <v>2500</v>
      </c>
      <c r="R23" s="121" t="s">
        <v>170</v>
      </c>
      <c r="S23" s="123">
        <f t="shared" si="0"/>
        <v>2500</v>
      </c>
      <c r="T23" s="10" t="s">
        <v>1061</v>
      </c>
      <c r="U23" s="45">
        <v>44950</v>
      </c>
      <c r="V23" s="129">
        <f t="shared" si="11"/>
        <v>2516.2001280000004</v>
      </c>
      <c r="W23" s="129" t="s">
        <v>1069</v>
      </c>
    </row>
    <row r="24" spans="1:23" x14ac:dyDescent="0.55000000000000004">
      <c r="A24" s="119">
        <v>44950</v>
      </c>
      <c r="B24" s="120">
        <v>0.375</v>
      </c>
      <c r="C24" s="121" t="s">
        <v>70</v>
      </c>
      <c r="D24" s="121" t="s">
        <v>71</v>
      </c>
      <c r="E24" s="121" t="s">
        <v>923</v>
      </c>
      <c r="F24" s="121">
        <v>1</v>
      </c>
      <c r="G24" s="121" t="s">
        <v>73</v>
      </c>
      <c r="H24" s="121" t="s">
        <v>74</v>
      </c>
      <c r="I24" s="121" t="s">
        <v>235</v>
      </c>
      <c r="J24" s="121">
        <v>187</v>
      </c>
      <c r="K24" s="122">
        <v>44950</v>
      </c>
      <c r="L24" s="120">
        <v>0.58655092592592595</v>
      </c>
      <c r="M24" s="121">
        <v>1</v>
      </c>
      <c r="N24" s="121" t="s">
        <v>196</v>
      </c>
      <c r="O24" s="121">
        <v>18.8</v>
      </c>
      <c r="P24" s="121">
        <v>1.1200000000000001</v>
      </c>
      <c r="Q24" s="121">
        <v>3750</v>
      </c>
      <c r="R24" s="121" t="s">
        <v>170</v>
      </c>
      <c r="S24" s="123">
        <f t="shared" si="0"/>
        <v>3750</v>
      </c>
      <c r="T24" s="10" t="s">
        <v>1061</v>
      </c>
      <c r="U24" s="45">
        <v>44950</v>
      </c>
      <c r="V24" s="129">
        <f t="shared" si="11"/>
        <v>3794.3064480000003</v>
      </c>
      <c r="W24" s="129" t="s">
        <v>1069</v>
      </c>
    </row>
    <row r="25" spans="1:23" x14ac:dyDescent="0.55000000000000004">
      <c r="A25" s="119">
        <v>44950</v>
      </c>
      <c r="B25" s="120">
        <v>0.375</v>
      </c>
      <c r="C25" s="121" t="s">
        <v>70</v>
      </c>
      <c r="D25" s="121" t="s">
        <v>71</v>
      </c>
      <c r="E25" s="121" t="s">
        <v>924</v>
      </c>
      <c r="F25" s="121">
        <v>1</v>
      </c>
      <c r="G25" s="121" t="s">
        <v>73</v>
      </c>
      <c r="H25" s="121" t="s">
        <v>74</v>
      </c>
      <c r="I25" s="121" t="s">
        <v>235</v>
      </c>
      <c r="J25" s="121">
        <v>188</v>
      </c>
      <c r="K25" s="122">
        <v>44950</v>
      </c>
      <c r="L25" s="120">
        <v>0.5872222222222222</v>
      </c>
      <c r="M25" s="121">
        <v>1</v>
      </c>
      <c r="N25" s="121" t="s">
        <v>196</v>
      </c>
      <c r="O25" s="121">
        <v>24.2</v>
      </c>
      <c r="P25" s="121">
        <v>1.44</v>
      </c>
      <c r="Q25" s="121">
        <v>5000</v>
      </c>
      <c r="R25" s="121" t="s">
        <v>170</v>
      </c>
      <c r="S25" s="123">
        <f t="shared" si="0"/>
        <v>5000</v>
      </c>
      <c r="T25" s="10" t="s">
        <v>1061</v>
      </c>
      <c r="U25" s="45">
        <v>44950</v>
      </c>
      <c r="V25" s="129">
        <f t="shared" si="11"/>
        <v>4973.3321880000003</v>
      </c>
      <c r="W25" s="129" t="s">
        <v>1069</v>
      </c>
    </row>
    <row r="26" spans="1:23" x14ac:dyDescent="0.55000000000000004">
      <c r="A26" s="124">
        <v>44958</v>
      </c>
      <c r="B26" s="125">
        <v>0.375</v>
      </c>
      <c r="C26" s="31" t="s">
        <v>70</v>
      </c>
      <c r="D26" s="31" t="s">
        <v>71</v>
      </c>
      <c r="E26" s="31" t="s">
        <v>917</v>
      </c>
      <c r="F26" s="31">
        <v>1</v>
      </c>
      <c r="G26" s="31" t="s">
        <v>73</v>
      </c>
      <c r="H26" s="31" t="s">
        <v>74</v>
      </c>
      <c r="I26" s="31" t="s">
        <v>235</v>
      </c>
      <c r="J26" s="31">
        <v>181</v>
      </c>
      <c r="K26" s="126">
        <v>44958</v>
      </c>
      <c r="L26" s="125">
        <v>0.64229166666666659</v>
      </c>
      <c r="M26" s="31">
        <v>1</v>
      </c>
      <c r="N26" s="31" t="s">
        <v>196</v>
      </c>
      <c r="O26" s="31">
        <v>0.44</v>
      </c>
      <c r="P26" s="31">
        <v>2.1600000000000001E-2</v>
      </c>
      <c r="Q26" s="31">
        <v>0</v>
      </c>
      <c r="R26" s="31" t="s">
        <v>170</v>
      </c>
      <c r="S26" s="34">
        <f t="shared" si="0"/>
        <v>0</v>
      </c>
      <c r="T26" s="31" t="s">
        <v>1116</v>
      </c>
      <c r="U26" s="127">
        <v>44958</v>
      </c>
      <c r="V26" s="128">
        <f>-1.0839*O26^2+204.73*O26-119.55</f>
        <v>-29.678643039999997</v>
      </c>
      <c r="W26" s="128" t="s">
        <v>1124</v>
      </c>
    </row>
    <row r="27" spans="1:23" x14ac:dyDescent="0.55000000000000004">
      <c r="A27" s="124">
        <v>44958</v>
      </c>
      <c r="B27" s="125">
        <v>0.375</v>
      </c>
      <c r="C27" s="31" t="s">
        <v>70</v>
      </c>
      <c r="D27" s="31" t="s">
        <v>71</v>
      </c>
      <c r="E27" s="31" t="s">
        <v>918</v>
      </c>
      <c r="F27" s="31">
        <v>1</v>
      </c>
      <c r="G27" s="31" t="s">
        <v>73</v>
      </c>
      <c r="H27" s="31" t="s">
        <v>74</v>
      </c>
      <c r="I27" s="31" t="s">
        <v>235</v>
      </c>
      <c r="J27" s="31">
        <v>182</v>
      </c>
      <c r="K27" s="126">
        <v>44958</v>
      </c>
      <c r="L27" s="125">
        <v>0.64309027777777772</v>
      </c>
      <c r="M27" s="31">
        <v>1</v>
      </c>
      <c r="N27" s="31" t="s">
        <v>196</v>
      </c>
      <c r="O27" s="31">
        <v>0.69199999999999995</v>
      </c>
      <c r="P27" s="31">
        <v>3.32E-2</v>
      </c>
      <c r="Q27" s="31">
        <v>30</v>
      </c>
      <c r="R27" s="31" t="s">
        <v>170</v>
      </c>
      <c r="S27" s="34">
        <f t="shared" si="0"/>
        <v>30</v>
      </c>
      <c r="T27" s="31" t="s">
        <v>1116</v>
      </c>
      <c r="U27" s="127">
        <v>44958</v>
      </c>
      <c r="V27" s="128">
        <f t="shared" ref="V27:V33" si="12">-1.0839*O27^2+204.73*O27-119.55</f>
        <v>21.604119310400009</v>
      </c>
      <c r="W27" s="128" t="s">
        <v>1124</v>
      </c>
    </row>
    <row r="28" spans="1:23" x14ac:dyDescent="0.55000000000000004">
      <c r="A28" s="124">
        <v>44958</v>
      </c>
      <c r="B28" s="125">
        <v>0.375</v>
      </c>
      <c r="C28" s="31" t="s">
        <v>70</v>
      </c>
      <c r="D28" s="31" t="s">
        <v>71</v>
      </c>
      <c r="E28" s="31" t="s">
        <v>919</v>
      </c>
      <c r="F28" s="31">
        <v>1</v>
      </c>
      <c r="G28" s="31" t="s">
        <v>73</v>
      </c>
      <c r="H28" s="31" t="s">
        <v>74</v>
      </c>
      <c r="I28" s="31" t="s">
        <v>235</v>
      </c>
      <c r="J28" s="31">
        <v>183</v>
      </c>
      <c r="K28" s="126">
        <v>44958</v>
      </c>
      <c r="L28" s="125">
        <v>0.64376157407407408</v>
      </c>
      <c r="M28" s="31">
        <v>1</v>
      </c>
      <c r="N28" s="31" t="s">
        <v>196</v>
      </c>
      <c r="O28" s="31">
        <v>1.1200000000000001</v>
      </c>
      <c r="P28" s="31">
        <v>5.5100000000000003E-2</v>
      </c>
      <c r="Q28" s="31">
        <v>125</v>
      </c>
      <c r="R28" s="31" t="s">
        <v>170</v>
      </c>
      <c r="S28" s="34">
        <f t="shared" si="0"/>
        <v>125</v>
      </c>
      <c r="T28" s="31" t="s">
        <v>1116</v>
      </c>
      <c r="U28" s="127">
        <v>44958</v>
      </c>
      <c r="V28" s="128">
        <f t="shared" si="12"/>
        <v>108.38795584000003</v>
      </c>
      <c r="W28" s="128" t="s">
        <v>1124</v>
      </c>
    </row>
    <row r="29" spans="1:23" x14ac:dyDescent="0.55000000000000004">
      <c r="A29" s="124">
        <v>44958</v>
      </c>
      <c r="B29" s="125">
        <v>0.375</v>
      </c>
      <c r="C29" s="31" t="s">
        <v>70</v>
      </c>
      <c r="D29" s="31" t="s">
        <v>71</v>
      </c>
      <c r="E29" s="31" t="s">
        <v>920</v>
      </c>
      <c r="F29" s="31">
        <v>1</v>
      </c>
      <c r="G29" s="31" t="s">
        <v>73</v>
      </c>
      <c r="H29" s="31" t="s">
        <v>74</v>
      </c>
      <c r="I29" s="31" t="s">
        <v>235</v>
      </c>
      <c r="J29" s="31">
        <v>184</v>
      </c>
      <c r="K29" s="126">
        <v>44958</v>
      </c>
      <c r="L29" s="125">
        <v>0.64443287037037034</v>
      </c>
      <c r="M29" s="31">
        <v>1</v>
      </c>
      <c r="N29" s="31" t="s">
        <v>196</v>
      </c>
      <c r="O29" s="31">
        <v>3.12</v>
      </c>
      <c r="P29" s="31">
        <v>0.153</v>
      </c>
      <c r="Q29" s="31">
        <v>500</v>
      </c>
      <c r="R29" s="31" t="s">
        <v>170</v>
      </c>
      <c r="S29" s="34">
        <f t="shared" si="0"/>
        <v>500</v>
      </c>
      <c r="T29" s="31" t="s">
        <v>1116</v>
      </c>
      <c r="U29" s="127">
        <v>44958</v>
      </c>
      <c r="V29" s="128">
        <f t="shared" si="12"/>
        <v>508.65648384000002</v>
      </c>
      <c r="W29" s="128" t="s">
        <v>1124</v>
      </c>
    </row>
    <row r="30" spans="1:23" x14ac:dyDescent="0.55000000000000004">
      <c r="A30" s="124">
        <v>44958</v>
      </c>
      <c r="B30" s="125">
        <v>0.375</v>
      </c>
      <c r="C30" s="31" t="s">
        <v>70</v>
      </c>
      <c r="D30" s="31" t="s">
        <v>71</v>
      </c>
      <c r="E30" s="31" t="s">
        <v>921</v>
      </c>
      <c r="F30" s="31">
        <v>1</v>
      </c>
      <c r="G30" s="31" t="s">
        <v>73</v>
      </c>
      <c r="H30" s="31" t="s">
        <v>74</v>
      </c>
      <c r="I30" s="31" t="s">
        <v>235</v>
      </c>
      <c r="J30" s="31">
        <v>185</v>
      </c>
      <c r="K30" s="126">
        <v>44958</v>
      </c>
      <c r="L30" s="125">
        <v>0.64511574074074074</v>
      </c>
      <c r="M30" s="31">
        <v>1</v>
      </c>
      <c r="N30" s="31" t="s">
        <v>196</v>
      </c>
      <c r="O30" s="31">
        <v>7.44</v>
      </c>
      <c r="P30" s="31">
        <v>0.36599999999999999</v>
      </c>
      <c r="Q30" s="31">
        <v>1250</v>
      </c>
      <c r="R30" s="31" t="s">
        <v>170</v>
      </c>
      <c r="S30" s="34">
        <f t="shared" si="0"/>
        <v>1250</v>
      </c>
      <c r="T30" s="31" t="s">
        <v>1116</v>
      </c>
      <c r="U30" s="127">
        <v>44958</v>
      </c>
      <c r="V30" s="128">
        <f t="shared" si="12"/>
        <v>1343.6434329599999</v>
      </c>
      <c r="W30" s="128" t="s">
        <v>1124</v>
      </c>
    </row>
    <row r="31" spans="1:23" x14ac:dyDescent="0.55000000000000004">
      <c r="A31" s="124">
        <v>44958</v>
      </c>
      <c r="B31" s="125">
        <v>0.375</v>
      </c>
      <c r="C31" s="31" t="s">
        <v>70</v>
      </c>
      <c r="D31" s="31" t="s">
        <v>71</v>
      </c>
      <c r="E31" s="31" t="s">
        <v>922</v>
      </c>
      <c r="F31" s="31">
        <v>1</v>
      </c>
      <c r="G31" s="31" t="s">
        <v>73</v>
      </c>
      <c r="H31" s="31" t="s">
        <v>74</v>
      </c>
      <c r="I31" s="31" t="s">
        <v>235</v>
      </c>
      <c r="J31" s="31">
        <v>186</v>
      </c>
      <c r="K31" s="126">
        <v>44958</v>
      </c>
      <c r="L31" s="125">
        <v>0.64568287037037042</v>
      </c>
      <c r="M31" s="31">
        <v>1</v>
      </c>
      <c r="N31" s="31" t="s">
        <v>196</v>
      </c>
      <c r="O31" s="31">
        <v>13.8</v>
      </c>
      <c r="P31" s="31">
        <v>0.67700000000000005</v>
      </c>
      <c r="Q31" s="31">
        <v>2500</v>
      </c>
      <c r="R31" s="31" t="s">
        <v>170</v>
      </c>
      <c r="S31" s="34">
        <f t="shared" si="0"/>
        <v>2500</v>
      </c>
      <c r="T31" s="31" t="s">
        <v>1116</v>
      </c>
      <c r="U31" s="127">
        <v>44958</v>
      </c>
      <c r="V31" s="128">
        <f t="shared" si="12"/>
        <v>2499.3060839999998</v>
      </c>
      <c r="W31" s="128" t="s">
        <v>1124</v>
      </c>
    </row>
    <row r="32" spans="1:23" x14ac:dyDescent="0.55000000000000004">
      <c r="A32" s="124">
        <v>44958</v>
      </c>
      <c r="B32" s="125">
        <v>0.375</v>
      </c>
      <c r="C32" s="31" t="s">
        <v>70</v>
      </c>
      <c r="D32" s="31" t="s">
        <v>71</v>
      </c>
      <c r="E32" s="31" t="s">
        <v>923</v>
      </c>
      <c r="F32" s="31">
        <v>1</v>
      </c>
      <c r="G32" s="31" t="s">
        <v>73</v>
      </c>
      <c r="H32" s="31" t="s">
        <v>74</v>
      </c>
      <c r="I32" s="31" t="s">
        <v>235</v>
      </c>
      <c r="J32" s="31">
        <v>187</v>
      </c>
      <c r="K32" s="126">
        <v>44958</v>
      </c>
      <c r="L32" s="125">
        <v>0.64635416666666667</v>
      </c>
      <c r="M32" s="31">
        <v>1</v>
      </c>
      <c r="N32" s="31" t="s">
        <v>196</v>
      </c>
      <c r="O32" s="31">
        <v>20.8</v>
      </c>
      <c r="P32" s="31">
        <v>1.02</v>
      </c>
      <c r="Q32" s="31">
        <v>3750</v>
      </c>
      <c r="R32" s="31" t="s">
        <v>170</v>
      </c>
      <c r="S32" s="34">
        <f t="shared" si="0"/>
        <v>3750</v>
      </c>
      <c r="T32" s="31" t="s">
        <v>1116</v>
      </c>
      <c r="U32" s="127">
        <v>44958</v>
      </c>
      <c r="V32" s="128">
        <f t="shared" si="12"/>
        <v>3669.8955039999996</v>
      </c>
      <c r="W32" s="128" t="s">
        <v>1124</v>
      </c>
    </row>
    <row r="33" spans="1:23" x14ac:dyDescent="0.55000000000000004">
      <c r="A33" s="124">
        <v>44958</v>
      </c>
      <c r="B33" s="125">
        <v>0.375</v>
      </c>
      <c r="C33" s="31" t="s">
        <v>70</v>
      </c>
      <c r="D33" s="31" t="s">
        <v>71</v>
      </c>
      <c r="E33" s="31" t="s">
        <v>924</v>
      </c>
      <c r="F33" s="31">
        <v>1</v>
      </c>
      <c r="G33" s="31" t="s">
        <v>73</v>
      </c>
      <c r="H33" s="31" t="s">
        <v>74</v>
      </c>
      <c r="I33" s="31" t="s">
        <v>235</v>
      </c>
      <c r="J33" s="31">
        <v>188</v>
      </c>
      <c r="K33" s="126">
        <v>44958</v>
      </c>
      <c r="L33" s="125">
        <v>0.64703703703703697</v>
      </c>
      <c r="M33" s="31">
        <v>1</v>
      </c>
      <c r="N33" s="31" t="s">
        <v>196</v>
      </c>
      <c r="O33" s="31">
        <v>29.9</v>
      </c>
      <c r="P33" s="31">
        <v>1.45</v>
      </c>
      <c r="Q33" s="31">
        <v>5000</v>
      </c>
      <c r="R33" s="31" t="s">
        <v>170</v>
      </c>
      <c r="S33" s="34">
        <f t="shared" si="0"/>
        <v>5000</v>
      </c>
      <c r="T33" s="31" t="s">
        <v>1116</v>
      </c>
      <c r="U33" s="127">
        <v>44958</v>
      </c>
      <c r="V33" s="128">
        <f t="shared" si="12"/>
        <v>5032.8595609999993</v>
      </c>
      <c r="W33" s="128" t="s">
        <v>1124</v>
      </c>
    </row>
    <row r="34" spans="1:23" x14ac:dyDescent="0.55000000000000004">
      <c r="A34" s="32">
        <v>44966</v>
      </c>
      <c r="B34" s="33">
        <v>0.375</v>
      </c>
      <c r="C34" s="10" t="s">
        <v>70</v>
      </c>
      <c r="D34" s="10" t="s">
        <v>71</v>
      </c>
      <c r="E34" s="10" t="s">
        <v>917</v>
      </c>
      <c r="F34" s="10">
        <v>1</v>
      </c>
      <c r="G34" s="10" t="s">
        <v>73</v>
      </c>
      <c r="H34" s="10" t="s">
        <v>74</v>
      </c>
      <c r="I34" s="10" t="s">
        <v>235</v>
      </c>
      <c r="J34" s="10">
        <v>181</v>
      </c>
      <c r="K34" s="12">
        <v>44967</v>
      </c>
      <c r="L34" s="33">
        <v>0.38619212962962962</v>
      </c>
      <c r="M34" s="10">
        <v>1</v>
      </c>
      <c r="N34" s="10" t="s">
        <v>196</v>
      </c>
      <c r="O34" s="10">
        <v>0.69099999999999995</v>
      </c>
      <c r="P34" s="10">
        <v>3.3500000000000002E-2</v>
      </c>
      <c r="Q34" s="10">
        <v>0</v>
      </c>
      <c r="R34" s="10" t="s">
        <v>170</v>
      </c>
      <c r="S34" s="123">
        <f t="shared" si="0"/>
        <v>0</v>
      </c>
      <c r="T34" s="10" t="s">
        <v>1178</v>
      </c>
      <c r="U34" s="45">
        <v>44967</v>
      </c>
      <c r="V34" s="129">
        <f>-0.215*O34^2+181.97*O34-117.15</f>
        <v>8.4886115849999868</v>
      </c>
      <c r="W34" s="129" t="s">
        <v>1186</v>
      </c>
    </row>
    <row r="35" spans="1:23" x14ac:dyDescent="0.55000000000000004">
      <c r="A35" s="32">
        <v>44966</v>
      </c>
      <c r="B35" s="33">
        <v>0.375</v>
      </c>
      <c r="C35" s="10" t="s">
        <v>70</v>
      </c>
      <c r="D35" s="10" t="s">
        <v>71</v>
      </c>
      <c r="E35" s="10" t="s">
        <v>918</v>
      </c>
      <c r="F35" s="10">
        <v>1</v>
      </c>
      <c r="G35" s="10" t="s">
        <v>73</v>
      </c>
      <c r="H35" s="10" t="s">
        <v>74</v>
      </c>
      <c r="I35" s="10" t="s">
        <v>235</v>
      </c>
      <c r="J35" s="10">
        <v>182</v>
      </c>
      <c r="K35" s="12">
        <v>44967</v>
      </c>
      <c r="L35" s="33">
        <v>0.38686342592592587</v>
      </c>
      <c r="M35" s="10">
        <v>1</v>
      </c>
      <c r="N35" s="10" t="s">
        <v>196</v>
      </c>
      <c r="O35" s="10">
        <v>0.81499999999999995</v>
      </c>
      <c r="P35" s="10">
        <v>3.9699999999999999E-2</v>
      </c>
      <c r="Q35" s="10">
        <v>30</v>
      </c>
      <c r="R35" s="10" t="s">
        <v>170</v>
      </c>
      <c r="S35" s="123">
        <f t="shared" si="0"/>
        <v>30</v>
      </c>
      <c r="T35" s="10" t="s">
        <v>1178</v>
      </c>
      <c r="U35" s="45">
        <v>44967</v>
      </c>
      <c r="V35" s="129">
        <f t="shared" ref="V35:V41" si="13">-0.215*O35^2+181.97*O35-117.15</f>
        <v>31.01274162499999</v>
      </c>
      <c r="W35" s="129" t="s">
        <v>1186</v>
      </c>
    </row>
    <row r="36" spans="1:23" x14ac:dyDescent="0.55000000000000004">
      <c r="A36" s="32">
        <v>44966</v>
      </c>
      <c r="B36" s="33">
        <v>0.375</v>
      </c>
      <c r="C36" s="10" t="s">
        <v>70</v>
      </c>
      <c r="D36" s="10" t="s">
        <v>71</v>
      </c>
      <c r="E36" s="10" t="s">
        <v>919</v>
      </c>
      <c r="F36" s="10">
        <v>1</v>
      </c>
      <c r="G36" s="10" t="s">
        <v>73</v>
      </c>
      <c r="H36" s="10" t="s">
        <v>74</v>
      </c>
      <c r="I36" s="10" t="s">
        <v>235</v>
      </c>
      <c r="J36" s="10">
        <v>183</v>
      </c>
      <c r="K36" s="12">
        <v>44967</v>
      </c>
      <c r="L36" s="33">
        <v>0.38754629629629633</v>
      </c>
      <c r="M36" s="10">
        <v>1</v>
      </c>
      <c r="N36" s="10" t="s">
        <v>196</v>
      </c>
      <c r="O36" s="10">
        <v>1.27</v>
      </c>
      <c r="P36" s="10">
        <v>6.2199999999999998E-2</v>
      </c>
      <c r="Q36" s="10">
        <v>125</v>
      </c>
      <c r="R36" s="10" t="s">
        <v>170</v>
      </c>
      <c r="S36" s="123">
        <f t="shared" si="0"/>
        <v>125</v>
      </c>
      <c r="T36" s="10" t="s">
        <v>1178</v>
      </c>
      <c r="U36" s="45">
        <v>44967</v>
      </c>
      <c r="V36" s="129">
        <f t="shared" si="13"/>
        <v>113.60512649999998</v>
      </c>
      <c r="W36" s="129" t="s">
        <v>1186</v>
      </c>
    </row>
    <row r="37" spans="1:23" x14ac:dyDescent="0.55000000000000004">
      <c r="A37" s="32">
        <v>44966</v>
      </c>
      <c r="B37" s="33">
        <v>0.375</v>
      </c>
      <c r="C37" s="10" t="s">
        <v>70</v>
      </c>
      <c r="D37" s="10" t="s">
        <v>71</v>
      </c>
      <c r="E37" s="10" t="s">
        <v>920</v>
      </c>
      <c r="F37" s="10">
        <v>1</v>
      </c>
      <c r="G37" s="10" t="s">
        <v>73</v>
      </c>
      <c r="H37" s="10" t="s">
        <v>74</v>
      </c>
      <c r="I37" s="10" t="s">
        <v>235</v>
      </c>
      <c r="J37" s="10">
        <v>184</v>
      </c>
      <c r="K37" s="12">
        <v>44967</v>
      </c>
      <c r="L37" s="33">
        <v>0.38822916666666668</v>
      </c>
      <c r="M37" s="10">
        <v>1</v>
      </c>
      <c r="N37" s="10" t="s">
        <v>196</v>
      </c>
      <c r="O37" s="10">
        <v>3.36</v>
      </c>
      <c r="P37" s="10">
        <v>0.16500000000000001</v>
      </c>
      <c r="Q37" s="10">
        <v>500</v>
      </c>
      <c r="R37" s="10" t="s">
        <v>170</v>
      </c>
      <c r="S37" s="123">
        <f t="shared" si="0"/>
        <v>500</v>
      </c>
      <c r="T37" s="10" t="s">
        <v>1178</v>
      </c>
      <c r="U37" s="45">
        <v>44967</v>
      </c>
      <c r="V37" s="129">
        <f t="shared" si="13"/>
        <v>491.84193599999992</v>
      </c>
      <c r="W37" s="129" t="s">
        <v>1186</v>
      </c>
    </row>
    <row r="38" spans="1:23" x14ac:dyDescent="0.55000000000000004">
      <c r="A38" s="32">
        <v>44966</v>
      </c>
      <c r="B38" s="33">
        <v>0.375</v>
      </c>
      <c r="C38" s="10" t="s">
        <v>70</v>
      </c>
      <c r="D38" s="10" t="s">
        <v>71</v>
      </c>
      <c r="E38" s="10" t="s">
        <v>921</v>
      </c>
      <c r="F38" s="10">
        <v>1</v>
      </c>
      <c r="G38" s="10" t="s">
        <v>73</v>
      </c>
      <c r="H38" s="10" t="s">
        <v>74</v>
      </c>
      <c r="I38" s="10" t="s">
        <v>235</v>
      </c>
      <c r="J38" s="10">
        <v>185</v>
      </c>
      <c r="K38" s="12">
        <v>44967</v>
      </c>
      <c r="L38" s="33">
        <v>0.38890046296296293</v>
      </c>
      <c r="M38" s="10">
        <v>1</v>
      </c>
      <c r="N38" s="10" t="s">
        <v>196</v>
      </c>
      <c r="O38" s="10">
        <v>7.51</v>
      </c>
      <c r="P38" s="10">
        <v>0.36799999999999999</v>
      </c>
      <c r="Q38" s="10">
        <v>1250</v>
      </c>
      <c r="R38" s="10" t="s">
        <v>170</v>
      </c>
      <c r="S38" s="123">
        <f t="shared" si="0"/>
        <v>1250</v>
      </c>
      <c r="T38" s="10" t="s">
        <v>1178</v>
      </c>
      <c r="U38" s="45">
        <v>44967</v>
      </c>
      <c r="V38" s="129">
        <f t="shared" si="13"/>
        <v>1237.3186784999998</v>
      </c>
      <c r="W38" s="129" t="s">
        <v>1186</v>
      </c>
    </row>
    <row r="39" spans="1:23" x14ac:dyDescent="0.55000000000000004">
      <c r="A39" s="32">
        <v>44966</v>
      </c>
      <c r="B39" s="33">
        <v>0.375</v>
      </c>
      <c r="C39" s="10" t="s">
        <v>70</v>
      </c>
      <c r="D39" s="10" t="s">
        <v>71</v>
      </c>
      <c r="E39" s="10" t="s">
        <v>922</v>
      </c>
      <c r="F39" s="10">
        <v>1</v>
      </c>
      <c r="G39" s="10" t="s">
        <v>73</v>
      </c>
      <c r="H39" s="10" t="s">
        <v>74</v>
      </c>
      <c r="I39" s="10" t="s">
        <v>235</v>
      </c>
      <c r="J39" s="10">
        <v>186</v>
      </c>
      <c r="K39" s="12">
        <v>44967</v>
      </c>
      <c r="L39" s="33">
        <v>0.38958333333333334</v>
      </c>
      <c r="M39" s="10">
        <v>1</v>
      </c>
      <c r="N39" s="10" t="s">
        <v>196</v>
      </c>
      <c r="O39" s="10">
        <v>15.2</v>
      </c>
      <c r="P39" s="10">
        <v>0.749</v>
      </c>
      <c r="Q39" s="10">
        <v>2500</v>
      </c>
      <c r="R39" s="10" t="s">
        <v>170</v>
      </c>
      <c r="S39" s="123">
        <f t="shared" si="0"/>
        <v>2500</v>
      </c>
      <c r="T39" s="10" t="s">
        <v>1178</v>
      </c>
      <c r="U39" s="45">
        <v>44967</v>
      </c>
      <c r="V39" s="129">
        <f t="shared" si="13"/>
        <v>2599.1203999999998</v>
      </c>
      <c r="W39" s="129" t="s">
        <v>1186</v>
      </c>
    </row>
    <row r="40" spans="1:23" x14ac:dyDescent="0.55000000000000004">
      <c r="A40" s="32">
        <v>44966</v>
      </c>
      <c r="B40" s="33">
        <v>0.375</v>
      </c>
      <c r="C40" s="10" t="s">
        <v>70</v>
      </c>
      <c r="D40" s="10" t="s">
        <v>71</v>
      </c>
      <c r="E40" s="10" t="s">
        <v>923</v>
      </c>
      <c r="F40" s="10">
        <v>1</v>
      </c>
      <c r="G40" s="10" t="s">
        <v>73</v>
      </c>
      <c r="H40" s="10" t="s">
        <v>74</v>
      </c>
      <c r="I40" s="10" t="s">
        <v>235</v>
      </c>
      <c r="J40" s="10">
        <v>187</v>
      </c>
      <c r="K40" s="12">
        <v>44967</v>
      </c>
      <c r="L40" s="33">
        <v>0.39026620370370368</v>
      </c>
      <c r="M40" s="10">
        <v>1</v>
      </c>
      <c r="N40" s="10" t="s">
        <v>196</v>
      </c>
      <c r="O40" s="10">
        <v>21.2</v>
      </c>
      <c r="P40" s="10">
        <v>1.04</v>
      </c>
      <c r="Q40" s="10">
        <v>3750</v>
      </c>
      <c r="R40" s="10" t="s">
        <v>170</v>
      </c>
      <c r="S40" s="123">
        <f t="shared" si="0"/>
        <v>3750</v>
      </c>
      <c r="T40" s="10" t="s">
        <v>1178</v>
      </c>
      <c r="U40" s="45">
        <v>44967</v>
      </c>
      <c r="V40" s="129">
        <f t="shared" si="13"/>
        <v>3643.9843999999994</v>
      </c>
      <c r="W40" s="129" t="s">
        <v>1186</v>
      </c>
    </row>
    <row r="41" spans="1:23" x14ac:dyDescent="0.55000000000000004">
      <c r="A41" s="32">
        <v>44966</v>
      </c>
      <c r="B41" s="33">
        <v>0.375</v>
      </c>
      <c r="C41" s="10" t="s">
        <v>70</v>
      </c>
      <c r="D41" s="10" t="s">
        <v>71</v>
      </c>
      <c r="E41" s="10" t="s">
        <v>924</v>
      </c>
      <c r="F41" s="10">
        <v>1</v>
      </c>
      <c r="G41" s="10" t="s">
        <v>73</v>
      </c>
      <c r="H41" s="10" t="s">
        <v>74</v>
      </c>
      <c r="I41" s="10" t="s">
        <v>235</v>
      </c>
      <c r="J41" s="10">
        <v>188</v>
      </c>
      <c r="K41" s="12">
        <v>44967</v>
      </c>
      <c r="L41" s="33">
        <v>0.39094907407407403</v>
      </c>
      <c r="M41" s="10">
        <v>1</v>
      </c>
      <c r="N41" s="10" t="s">
        <v>196</v>
      </c>
      <c r="O41" s="10">
        <v>29.3</v>
      </c>
      <c r="P41" s="10">
        <v>1.42</v>
      </c>
      <c r="Q41" s="10">
        <v>5000</v>
      </c>
      <c r="R41" s="10" t="s">
        <v>170</v>
      </c>
      <c r="S41" s="123">
        <f t="shared" si="0"/>
        <v>5000</v>
      </c>
      <c r="T41" s="10" t="s">
        <v>1178</v>
      </c>
      <c r="U41" s="45">
        <v>44967</v>
      </c>
      <c r="V41" s="129">
        <f t="shared" si="13"/>
        <v>5029.9956500000008</v>
      </c>
      <c r="W41" s="129" t="s">
        <v>1186</v>
      </c>
    </row>
    <row r="42" spans="1:23" x14ac:dyDescent="0.55000000000000004">
      <c r="A42" s="124">
        <v>44972</v>
      </c>
      <c r="B42" s="125">
        <v>0.375</v>
      </c>
      <c r="C42" s="31" t="s">
        <v>70</v>
      </c>
      <c r="D42" s="31" t="s">
        <v>71</v>
      </c>
      <c r="E42" s="31" t="s">
        <v>917</v>
      </c>
      <c r="F42" s="31">
        <v>1</v>
      </c>
      <c r="G42" s="31" t="s">
        <v>73</v>
      </c>
      <c r="H42" s="31" t="s">
        <v>74</v>
      </c>
      <c r="I42" s="31" t="s">
        <v>235</v>
      </c>
      <c r="J42" s="31">
        <v>181</v>
      </c>
      <c r="K42" s="126">
        <v>44973</v>
      </c>
      <c r="L42" s="125">
        <v>0.4381944444444445</v>
      </c>
      <c r="M42" s="31">
        <v>1</v>
      </c>
      <c r="N42" s="31" t="s">
        <v>196</v>
      </c>
      <c r="O42" s="31">
        <v>0.56000000000000005</v>
      </c>
      <c r="P42" s="31">
        <v>2.6599999999999999E-2</v>
      </c>
      <c r="Q42" s="31">
        <v>0</v>
      </c>
      <c r="R42" s="31" t="s">
        <v>170</v>
      </c>
      <c r="S42" s="34">
        <f t="shared" si="0"/>
        <v>0</v>
      </c>
      <c r="T42" s="31" t="s">
        <v>1222</v>
      </c>
      <c r="U42" s="127">
        <v>44973</v>
      </c>
      <c r="V42" s="128">
        <f>-0.033*O42^2+178.81*O42-104.93</f>
        <v>-4.806748799999994</v>
      </c>
      <c r="W42" s="128" t="s">
        <v>1230</v>
      </c>
    </row>
    <row r="43" spans="1:23" x14ac:dyDescent="0.55000000000000004">
      <c r="A43" s="124">
        <v>44972</v>
      </c>
      <c r="B43" s="125">
        <v>0.375</v>
      </c>
      <c r="C43" s="31" t="s">
        <v>70</v>
      </c>
      <c r="D43" s="31" t="s">
        <v>71</v>
      </c>
      <c r="E43" s="31" t="s">
        <v>918</v>
      </c>
      <c r="F43" s="31">
        <v>1</v>
      </c>
      <c r="G43" s="31" t="s">
        <v>73</v>
      </c>
      <c r="H43" s="31" t="s">
        <v>74</v>
      </c>
      <c r="I43" s="31" t="s">
        <v>235</v>
      </c>
      <c r="J43" s="31">
        <v>182</v>
      </c>
      <c r="K43" s="126">
        <v>44973</v>
      </c>
      <c r="L43" s="125">
        <v>0.43891203703703702</v>
      </c>
      <c r="M43" s="31">
        <v>1</v>
      </c>
      <c r="N43" s="31" t="s">
        <v>196</v>
      </c>
      <c r="O43" s="31">
        <v>0.754</v>
      </c>
      <c r="P43" s="31">
        <v>3.5700000000000003E-2</v>
      </c>
      <c r="Q43" s="31">
        <v>30</v>
      </c>
      <c r="R43" s="31" t="s">
        <v>170</v>
      </c>
      <c r="S43" s="34">
        <f t="shared" si="0"/>
        <v>30</v>
      </c>
      <c r="T43" s="31" t="s">
        <v>1222</v>
      </c>
      <c r="U43" s="127">
        <v>44973</v>
      </c>
      <c r="V43" s="128">
        <f t="shared" ref="V43:V49" si="14">-0.033*O43^2+178.81*O43-104.93</f>
        <v>29.873978972000003</v>
      </c>
      <c r="W43" s="128" t="s">
        <v>1230</v>
      </c>
    </row>
    <row r="44" spans="1:23" x14ac:dyDescent="0.55000000000000004">
      <c r="A44" s="124">
        <v>44972</v>
      </c>
      <c r="B44" s="125">
        <v>0.375</v>
      </c>
      <c r="C44" s="31" t="s">
        <v>70</v>
      </c>
      <c r="D44" s="31" t="s">
        <v>71</v>
      </c>
      <c r="E44" s="31" t="s">
        <v>919</v>
      </c>
      <c r="F44" s="31">
        <v>1</v>
      </c>
      <c r="G44" s="31" t="s">
        <v>73</v>
      </c>
      <c r="H44" s="31" t="s">
        <v>74</v>
      </c>
      <c r="I44" s="31" t="s">
        <v>235</v>
      </c>
      <c r="J44" s="31">
        <v>183</v>
      </c>
      <c r="K44" s="126">
        <v>44973</v>
      </c>
      <c r="L44" s="125">
        <v>0.43953703703703706</v>
      </c>
      <c r="M44" s="31">
        <v>1</v>
      </c>
      <c r="N44" s="31" t="s">
        <v>196</v>
      </c>
      <c r="O44" s="31">
        <v>1.1599999999999999</v>
      </c>
      <c r="P44" s="31">
        <v>5.5899999999999998E-2</v>
      </c>
      <c r="Q44" s="31">
        <v>125</v>
      </c>
      <c r="R44" s="31" t="s">
        <v>170</v>
      </c>
      <c r="S44" s="34">
        <f t="shared" si="0"/>
        <v>125</v>
      </c>
      <c r="T44" s="31" t="s">
        <v>1222</v>
      </c>
      <c r="U44" s="127">
        <v>44973</v>
      </c>
      <c r="V44" s="128">
        <f t="shared" si="14"/>
        <v>102.44519519999997</v>
      </c>
      <c r="W44" s="128" t="s">
        <v>1230</v>
      </c>
    </row>
    <row r="45" spans="1:23" x14ac:dyDescent="0.55000000000000004">
      <c r="A45" s="124">
        <v>44972</v>
      </c>
      <c r="B45" s="125">
        <v>0.375</v>
      </c>
      <c r="C45" s="31" t="s">
        <v>70</v>
      </c>
      <c r="D45" s="31" t="s">
        <v>71</v>
      </c>
      <c r="E45" s="31" t="s">
        <v>920</v>
      </c>
      <c r="F45" s="31">
        <v>1</v>
      </c>
      <c r="G45" s="31" t="s">
        <v>73</v>
      </c>
      <c r="H45" s="31" t="s">
        <v>74</v>
      </c>
      <c r="I45" s="31" t="s">
        <v>235</v>
      </c>
      <c r="J45" s="31">
        <v>184</v>
      </c>
      <c r="K45" s="126">
        <v>44973</v>
      </c>
      <c r="L45" s="125">
        <v>0.44021990740740741</v>
      </c>
      <c r="M45" s="31">
        <v>1</v>
      </c>
      <c r="N45" s="31" t="s">
        <v>196</v>
      </c>
      <c r="O45" s="31">
        <v>3.4</v>
      </c>
      <c r="P45" s="31">
        <v>0.16300000000000001</v>
      </c>
      <c r="Q45" s="31">
        <v>500</v>
      </c>
      <c r="R45" s="31" t="s">
        <v>170</v>
      </c>
      <c r="S45" s="34">
        <f t="shared" si="0"/>
        <v>500</v>
      </c>
      <c r="T45" s="31" t="s">
        <v>1222</v>
      </c>
      <c r="U45" s="127">
        <v>44973</v>
      </c>
      <c r="V45" s="128">
        <f t="shared" si="14"/>
        <v>502.64251999999993</v>
      </c>
      <c r="W45" s="128" t="s">
        <v>1230</v>
      </c>
    </row>
    <row r="46" spans="1:23" x14ac:dyDescent="0.55000000000000004">
      <c r="A46" s="124">
        <v>44972</v>
      </c>
      <c r="B46" s="125">
        <v>0.375</v>
      </c>
      <c r="C46" s="31" t="s">
        <v>70</v>
      </c>
      <c r="D46" s="31" t="s">
        <v>71</v>
      </c>
      <c r="E46" s="31" t="s">
        <v>921</v>
      </c>
      <c r="F46" s="31">
        <v>1</v>
      </c>
      <c r="G46" s="31" t="s">
        <v>73</v>
      </c>
      <c r="H46" s="31" t="s">
        <v>74</v>
      </c>
      <c r="I46" s="31" t="s">
        <v>235</v>
      </c>
      <c r="J46" s="31">
        <v>185</v>
      </c>
      <c r="K46" s="126">
        <v>44973</v>
      </c>
      <c r="L46" s="125">
        <v>0.44090277777777781</v>
      </c>
      <c r="M46" s="31">
        <v>1</v>
      </c>
      <c r="N46" s="31" t="s">
        <v>196</v>
      </c>
      <c r="O46" s="31">
        <v>7.78</v>
      </c>
      <c r="P46" s="31">
        <v>0.376</v>
      </c>
      <c r="Q46" s="31">
        <v>1250</v>
      </c>
      <c r="R46" s="31" t="s">
        <v>170</v>
      </c>
      <c r="S46" s="34">
        <f t="shared" si="0"/>
        <v>1250</v>
      </c>
      <c r="T46" s="31" t="s">
        <v>1222</v>
      </c>
      <c r="U46" s="127">
        <v>44973</v>
      </c>
      <c r="V46" s="128">
        <f t="shared" si="14"/>
        <v>1284.2143628000001</v>
      </c>
      <c r="W46" s="128" t="s">
        <v>1230</v>
      </c>
    </row>
    <row r="47" spans="1:23" x14ac:dyDescent="0.55000000000000004">
      <c r="A47" s="124">
        <v>44972</v>
      </c>
      <c r="B47" s="125">
        <v>0.375</v>
      </c>
      <c r="C47" s="31" t="s">
        <v>70</v>
      </c>
      <c r="D47" s="31" t="s">
        <v>71</v>
      </c>
      <c r="E47" s="31" t="s">
        <v>922</v>
      </c>
      <c r="F47" s="31">
        <v>1</v>
      </c>
      <c r="G47" s="31" t="s">
        <v>73</v>
      </c>
      <c r="H47" s="31" t="s">
        <v>74</v>
      </c>
      <c r="I47" s="31" t="s">
        <v>235</v>
      </c>
      <c r="J47" s="31">
        <v>186</v>
      </c>
      <c r="K47" s="126">
        <v>44973</v>
      </c>
      <c r="L47" s="125">
        <v>0.44157407407407406</v>
      </c>
      <c r="M47" s="31">
        <v>1</v>
      </c>
      <c r="N47" s="31" t="s">
        <v>196</v>
      </c>
      <c r="O47" s="31">
        <v>14.9</v>
      </c>
      <c r="P47" s="31">
        <v>0.71799999999999997</v>
      </c>
      <c r="Q47" s="31">
        <v>2500</v>
      </c>
      <c r="R47" s="31" t="s">
        <v>170</v>
      </c>
      <c r="S47" s="34">
        <f t="shared" si="0"/>
        <v>2500</v>
      </c>
      <c r="T47" s="31" t="s">
        <v>1222</v>
      </c>
      <c r="U47" s="127">
        <v>44973</v>
      </c>
      <c r="V47" s="128">
        <f t="shared" si="14"/>
        <v>2552.0126700000005</v>
      </c>
      <c r="W47" s="128" t="s">
        <v>1230</v>
      </c>
    </row>
    <row r="48" spans="1:23" x14ac:dyDescent="0.55000000000000004">
      <c r="A48" s="124">
        <v>44972</v>
      </c>
      <c r="B48" s="125">
        <v>0.375</v>
      </c>
      <c r="C48" s="31" t="s">
        <v>70</v>
      </c>
      <c r="D48" s="31" t="s">
        <v>71</v>
      </c>
      <c r="E48" s="31" t="s">
        <v>923</v>
      </c>
      <c r="F48" s="31">
        <v>1</v>
      </c>
      <c r="G48" s="31" t="s">
        <v>73</v>
      </c>
      <c r="H48" s="31" t="s">
        <v>74</v>
      </c>
      <c r="I48" s="31" t="s">
        <v>235</v>
      </c>
      <c r="J48" s="31">
        <v>187</v>
      </c>
      <c r="K48" s="126">
        <v>44973</v>
      </c>
      <c r="L48" s="125">
        <v>0.44225694444444441</v>
      </c>
      <c r="M48" s="31">
        <v>1</v>
      </c>
      <c r="N48" s="31" t="s">
        <v>196</v>
      </c>
      <c r="O48" s="31">
        <v>21.1</v>
      </c>
      <c r="P48" s="31">
        <v>1.02</v>
      </c>
      <c r="Q48" s="31">
        <v>3750</v>
      </c>
      <c r="R48" s="31" t="s">
        <v>170</v>
      </c>
      <c r="S48" s="34">
        <f t="shared" si="0"/>
        <v>3750</v>
      </c>
      <c r="T48" s="31" t="s">
        <v>1222</v>
      </c>
      <c r="U48" s="127">
        <v>44973</v>
      </c>
      <c r="V48" s="128">
        <f t="shared" si="14"/>
        <v>3653.2690700000003</v>
      </c>
      <c r="W48" s="128" t="s">
        <v>1230</v>
      </c>
    </row>
    <row r="49" spans="1:23" x14ac:dyDescent="0.55000000000000004">
      <c r="A49" s="124">
        <v>44972</v>
      </c>
      <c r="B49" s="125">
        <v>0.375</v>
      </c>
      <c r="C49" s="31" t="s">
        <v>70</v>
      </c>
      <c r="D49" s="31" t="s">
        <v>71</v>
      </c>
      <c r="E49" s="31" t="s">
        <v>924</v>
      </c>
      <c r="F49" s="31">
        <v>1</v>
      </c>
      <c r="G49" s="31" t="s">
        <v>73</v>
      </c>
      <c r="H49" s="31" t="s">
        <v>74</v>
      </c>
      <c r="I49" s="31" t="s">
        <v>235</v>
      </c>
      <c r="J49" s="31">
        <v>188</v>
      </c>
      <c r="K49" s="126">
        <v>44973</v>
      </c>
      <c r="L49" s="125">
        <v>0.44292824074074072</v>
      </c>
      <c r="M49" s="31">
        <v>1</v>
      </c>
      <c r="N49" s="31" t="s">
        <v>196</v>
      </c>
      <c r="O49" s="31">
        <v>28.9</v>
      </c>
      <c r="P49" s="31">
        <v>1.38</v>
      </c>
      <c r="Q49" s="31">
        <v>5000</v>
      </c>
      <c r="R49" s="31" t="s">
        <v>170</v>
      </c>
      <c r="S49" s="34">
        <f t="shared" si="0"/>
        <v>5000</v>
      </c>
      <c r="T49" s="31" t="s">
        <v>1222</v>
      </c>
      <c r="U49" s="127">
        <v>44973</v>
      </c>
      <c r="V49" s="128">
        <f t="shared" si="14"/>
        <v>5035.1170699999993</v>
      </c>
      <c r="W49" s="128" t="s">
        <v>1230</v>
      </c>
    </row>
    <row r="50" spans="1:23" x14ac:dyDescent="0.55000000000000004">
      <c r="A50" s="119">
        <v>44979</v>
      </c>
      <c r="B50" s="120">
        <v>0.375</v>
      </c>
      <c r="C50" s="121" t="s">
        <v>70</v>
      </c>
      <c r="D50" s="121" t="s">
        <v>71</v>
      </c>
      <c r="E50" s="121" t="s">
        <v>917</v>
      </c>
      <c r="F50" s="121">
        <v>1</v>
      </c>
      <c r="G50" s="121" t="s">
        <v>73</v>
      </c>
      <c r="H50" s="121" t="s">
        <v>74</v>
      </c>
      <c r="I50" s="121" t="s">
        <v>235</v>
      </c>
      <c r="J50" s="121">
        <v>181</v>
      </c>
      <c r="K50" s="122">
        <v>44981</v>
      </c>
      <c r="L50" s="120">
        <v>0.48741898148148149</v>
      </c>
      <c r="M50" s="121">
        <v>1</v>
      </c>
      <c r="N50" s="121" t="s">
        <v>196</v>
      </c>
      <c r="O50" s="121">
        <v>0.46400000000000002</v>
      </c>
      <c r="P50" s="121">
        <v>2.2200000000000001E-2</v>
      </c>
      <c r="Q50" s="121">
        <v>0</v>
      </c>
      <c r="R50" s="121" t="s">
        <v>170</v>
      </c>
      <c r="S50" s="123">
        <f t="shared" si="0"/>
        <v>0</v>
      </c>
      <c r="T50" s="10" t="s">
        <v>1275</v>
      </c>
      <c r="U50" s="45">
        <v>44981</v>
      </c>
      <c r="V50" s="129">
        <f>0.3348*O50^2+180.18*O50-102.36</f>
        <v>-18.684398899199991</v>
      </c>
      <c r="W50" s="129" t="s">
        <v>1283</v>
      </c>
    </row>
    <row r="51" spans="1:23" x14ac:dyDescent="0.55000000000000004">
      <c r="A51" s="119">
        <v>44979</v>
      </c>
      <c r="B51" s="120">
        <v>0.375</v>
      </c>
      <c r="C51" s="121" t="s">
        <v>70</v>
      </c>
      <c r="D51" s="121" t="s">
        <v>71</v>
      </c>
      <c r="E51" s="121" t="s">
        <v>918</v>
      </c>
      <c r="F51" s="121">
        <v>1</v>
      </c>
      <c r="G51" s="121" t="s">
        <v>73</v>
      </c>
      <c r="H51" s="121" t="s">
        <v>74</v>
      </c>
      <c r="I51" s="121" t="s">
        <v>235</v>
      </c>
      <c r="J51" s="121">
        <v>182</v>
      </c>
      <c r="K51" s="122">
        <v>44981</v>
      </c>
      <c r="L51" s="120">
        <v>0.48810185185185184</v>
      </c>
      <c r="M51" s="121">
        <v>1</v>
      </c>
      <c r="N51" s="121" t="s">
        <v>196</v>
      </c>
      <c r="O51" s="121">
        <v>0.66900000000000004</v>
      </c>
      <c r="P51" s="121">
        <v>3.1800000000000002E-2</v>
      </c>
      <c r="Q51" s="121">
        <v>30</v>
      </c>
      <c r="R51" s="121" t="s">
        <v>170</v>
      </c>
      <c r="S51" s="123">
        <f t="shared" si="0"/>
        <v>30</v>
      </c>
      <c r="T51" s="10" t="s">
        <v>1275</v>
      </c>
      <c r="U51" s="45">
        <v>44981</v>
      </c>
      <c r="V51" s="129">
        <f t="shared" ref="V51:V57" si="15">0.3348*O51^2+180.18*O51-102.36</f>
        <v>18.330263422800016</v>
      </c>
      <c r="W51" s="129" t="s">
        <v>1283</v>
      </c>
    </row>
    <row r="52" spans="1:23" x14ac:dyDescent="0.55000000000000004">
      <c r="A52" s="119">
        <v>44979</v>
      </c>
      <c r="B52" s="120">
        <v>0.375</v>
      </c>
      <c r="C52" s="121" t="s">
        <v>70</v>
      </c>
      <c r="D52" s="121" t="s">
        <v>71</v>
      </c>
      <c r="E52" s="121" t="s">
        <v>919</v>
      </c>
      <c r="F52" s="121">
        <v>1</v>
      </c>
      <c r="G52" s="121" t="s">
        <v>73</v>
      </c>
      <c r="H52" s="121" t="s">
        <v>74</v>
      </c>
      <c r="I52" s="121" t="s">
        <v>235</v>
      </c>
      <c r="J52" s="121">
        <v>183</v>
      </c>
      <c r="K52" s="122">
        <v>44981</v>
      </c>
      <c r="L52" s="120">
        <v>0.48878472222222219</v>
      </c>
      <c r="M52" s="121">
        <v>1</v>
      </c>
      <c r="N52" s="121" t="s">
        <v>196</v>
      </c>
      <c r="O52" s="121">
        <v>1.19</v>
      </c>
      <c r="P52" s="121">
        <v>5.7200000000000001E-2</v>
      </c>
      <c r="Q52" s="121">
        <v>125</v>
      </c>
      <c r="R52" s="121" t="s">
        <v>170</v>
      </c>
      <c r="S52" s="123">
        <f t="shared" si="0"/>
        <v>125</v>
      </c>
      <c r="T52" s="10" t="s">
        <v>1275</v>
      </c>
      <c r="U52" s="45">
        <v>44981</v>
      </c>
      <c r="V52" s="129">
        <f t="shared" si="15"/>
        <v>112.52831027999999</v>
      </c>
      <c r="W52" s="129" t="s">
        <v>1283</v>
      </c>
    </row>
    <row r="53" spans="1:23" x14ac:dyDescent="0.55000000000000004">
      <c r="A53" s="119">
        <v>44979</v>
      </c>
      <c r="B53" s="120">
        <v>0.375</v>
      </c>
      <c r="C53" s="121" t="s">
        <v>70</v>
      </c>
      <c r="D53" s="121" t="s">
        <v>71</v>
      </c>
      <c r="E53" s="121" t="s">
        <v>920</v>
      </c>
      <c r="F53" s="121">
        <v>1</v>
      </c>
      <c r="G53" s="121" t="s">
        <v>73</v>
      </c>
      <c r="H53" s="121" t="s">
        <v>74</v>
      </c>
      <c r="I53" s="121" t="s">
        <v>235</v>
      </c>
      <c r="J53" s="121">
        <v>184</v>
      </c>
      <c r="K53" s="122">
        <v>44981</v>
      </c>
      <c r="L53" s="120">
        <v>0.48945601851851855</v>
      </c>
      <c r="M53" s="121">
        <v>1</v>
      </c>
      <c r="N53" s="121" t="s">
        <v>196</v>
      </c>
      <c r="O53" s="121">
        <v>3.37</v>
      </c>
      <c r="P53" s="121">
        <v>0.16200000000000001</v>
      </c>
      <c r="Q53" s="121">
        <v>500</v>
      </c>
      <c r="R53" s="121" t="s">
        <v>170</v>
      </c>
      <c r="S53" s="123">
        <f t="shared" si="0"/>
        <v>500</v>
      </c>
      <c r="T53" s="10" t="s">
        <v>1275</v>
      </c>
      <c r="U53" s="45">
        <v>44981</v>
      </c>
      <c r="V53" s="129">
        <f t="shared" si="15"/>
        <v>508.64889012000003</v>
      </c>
      <c r="W53" s="129" t="s">
        <v>1283</v>
      </c>
    </row>
    <row r="54" spans="1:23" x14ac:dyDescent="0.55000000000000004">
      <c r="A54" s="119">
        <v>44979</v>
      </c>
      <c r="B54" s="120">
        <v>0.375</v>
      </c>
      <c r="C54" s="121" t="s">
        <v>70</v>
      </c>
      <c r="D54" s="121" t="s">
        <v>71</v>
      </c>
      <c r="E54" s="121" t="s">
        <v>921</v>
      </c>
      <c r="F54" s="121">
        <v>1</v>
      </c>
      <c r="G54" s="121" t="s">
        <v>73</v>
      </c>
      <c r="H54" s="121" t="s">
        <v>74</v>
      </c>
      <c r="I54" s="121" t="s">
        <v>235</v>
      </c>
      <c r="J54" s="121">
        <v>185</v>
      </c>
      <c r="K54" s="122">
        <v>44981</v>
      </c>
      <c r="L54" s="120">
        <v>0.49012731481481481</v>
      </c>
      <c r="M54" s="121">
        <v>1</v>
      </c>
      <c r="N54" s="121" t="s">
        <v>196</v>
      </c>
      <c r="O54" s="121">
        <v>7.93</v>
      </c>
      <c r="P54" s="121">
        <v>0.38200000000000001</v>
      </c>
      <c r="Q54" s="121">
        <v>1250</v>
      </c>
      <c r="R54" s="121" t="s">
        <v>170</v>
      </c>
      <c r="S54" s="123">
        <f t="shared" si="0"/>
        <v>1250</v>
      </c>
      <c r="T54" s="10" t="s">
        <v>1275</v>
      </c>
      <c r="U54" s="45">
        <v>44981</v>
      </c>
      <c r="V54" s="129">
        <f t="shared" si="15"/>
        <v>1347.5212645199999</v>
      </c>
      <c r="W54" s="129" t="s">
        <v>1283</v>
      </c>
    </row>
    <row r="55" spans="1:23" x14ac:dyDescent="0.55000000000000004">
      <c r="A55" s="119">
        <v>44979</v>
      </c>
      <c r="B55" s="120">
        <v>0.375</v>
      </c>
      <c r="C55" s="121" t="s">
        <v>70</v>
      </c>
      <c r="D55" s="121" t="s">
        <v>71</v>
      </c>
      <c r="E55" s="121" t="s">
        <v>922</v>
      </c>
      <c r="F55" s="121">
        <v>1</v>
      </c>
      <c r="G55" s="121" t="s">
        <v>73</v>
      </c>
      <c r="H55" s="121" t="s">
        <v>74</v>
      </c>
      <c r="I55" s="121" t="s">
        <v>235</v>
      </c>
      <c r="J55" s="121">
        <v>186</v>
      </c>
      <c r="K55" s="122">
        <v>44981</v>
      </c>
      <c r="L55" s="120">
        <v>0.49079861111111112</v>
      </c>
      <c r="M55" s="121">
        <v>1</v>
      </c>
      <c r="N55" s="121" t="s">
        <v>196</v>
      </c>
      <c r="O55" s="121">
        <v>13.8</v>
      </c>
      <c r="P55" s="121">
        <v>0.66400000000000003</v>
      </c>
      <c r="Q55" s="121">
        <v>2500</v>
      </c>
      <c r="R55" s="121" t="s">
        <v>170</v>
      </c>
      <c r="S55" s="123">
        <f t="shared" si="0"/>
        <v>2500</v>
      </c>
      <c r="T55" s="10" t="s">
        <v>1275</v>
      </c>
      <c r="U55" s="45">
        <v>44981</v>
      </c>
      <c r="V55" s="129">
        <f t="shared" si="15"/>
        <v>2447.8833120000004</v>
      </c>
      <c r="W55" s="129" t="s">
        <v>1283</v>
      </c>
    </row>
    <row r="56" spans="1:23" x14ac:dyDescent="0.55000000000000004">
      <c r="A56" s="119">
        <v>44979</v>
      </c>
      <c r="B56" s="120">
        <v>0.375</v>
      </c>
      <c r="C56" s="121" t="s">
        <v>70</v>
      </c>
      <c r="D56" s="121" t="s">
        <v>71</v>
      </c>
      <c r="E56" s="121" t="s">
        <v>923</v>
      </c>
      <c r="F56" s="121">
        <v>1</v>
      </c>
      <c r="G56" s="121" t="s">
        <v>73</v>
      </c>
      <c r="H56" s="121" t="s">
        <v>74</v>
      </c>
      <c r="I56" s="121" t="s">
        <v>235</v>
      </c>
      <c r="J56" s="121">
        <v>187</v>
      </c>
      <c r="K56" s="122">
        <v>44981</v>
      </c>
      <c r="L56" s="120">
        <v>0.49148148148148146</v>
      </c>
      <c r="M56" s="121">
        <v>1</v>
      </c>
      <c r="N56" s="121" t="s">
        <v>196</v>
      </c>
      <c r="O56" s="121">
        <v>20.399999999999999</v>
      </c>
      <c r="P56" s="121">
        <v>0.98099999999999998</v>
      </c>
      <c r="Q56" s="121">
        <v>3750</v>
      </c>
      <c r="R56" s="121" t="s">
        <v>170</v>
      </c>
      <c r="S56" s="123">
        <f t="shared" si="0"/>
        <v>3750</v>
      </c>
      <c r="T56" s="10" t="s">
        <v>1275</v>
      </c>
      <c r="U56" s="45">
        <v>44981</v>
      </c>
      <c r="V56" s="129">
        <f t="shared" si="15"/>
        <v>3712.6423679999998</v>
      </c>
      <c r="W56" s="129" t="s">
        <v>1283</v>
      </c>
    </row>
    <row r="57" spans="1:23" x14ac:dyDescent="0.55000000000000004">
      <c r="A57" s="119">
        <v>44979</v>
      </c>
      <c r="B57" s="120">
        <v>0.375</v>
      </c>
      <c r="C57" s="121" t="s">
        <v>70</v>
      </c>
      <c r="D57" s="121" t="s">
        <v>71</v>
      </c>
      <c r="E57" s="121" t="s">
        <v>924</v>
      </c>
      <c r="F57" s="121">
        <v>1</v>
      </c>
      <c r="G57" s="121" t="s">
        <v>73</v>
      </c>
      <c r="H57" s="121" t="s">
        <v>74</v>
      </c>
      <c r="I57" s="121" t="s">
        <v>235</v>
      </c>
      <c r="J57" s="121">
        <v>188</v>
      </c>
      <c r="K57" s="122">
        <v>44981</v>
      </c>
      <c r="L57" s="120">
        <v>0.49215277777777783</v>
      </c>
      <c r="M57" s="121">
        <v>1</v>
      </c>
      <c r="N57" s="121" t="s">
        <v>196</v>
      </c>
      <c r="O57" s="121">
        <v>27.1</v>
      </c>
      <c r="P57" s="121">
        <v>1.29</v>
      </c>
      <c r="Q57" s="121">
        <v>5000</v>
      </c>
      <c r="R57" s="121" t="s">
        <v>170</v>
      </c>
      <c r="S57" s="123">
        <f t="shared" si="0"/>
        <v>5000</v>
      </c>
      <c r="T57" s="10" t="s">
        <v>1275</v>
      </c>
      <c r="U57" s="45">
        <v>44981</v>
      </c>
      <c r="V57" s="129">
        <f t="shared" si="15"/>
        <v>5026.3984680000012</v>
      </c>
      <c r="W57" s="129" t="s">
        <v>1283</v>
      </c>
    </row>
  </sheetData>
  <phoneticPr fontId="17" type="noConversion"/>
  <conditionalFormatting sqref="U1">
    <cfRule type="cellIs" dxfId="1" priority="2" operator="lessThan">
      <formula>0</formula>
    </cfRule>
  </conditionalFormatting>
  <conditionalFormatting sqref="AZ1">
    <cfRule type="cellIs" dxfId="0" priority="1" operator="lessThan">
      <formula>0</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A4A17-6AA1-403B-AF7D-6C94D301D19A}">
  <dimension ref="A2:AJ32440"/>
  <sheetViews>
    <sheetView workbookViewId="0">
      <selection activeCell="E13" sqref="E13"/>
    </sheetView>
  </sheetViews>
  <sheetFormatPr defaultColWidth="9.3125" defaultRowHeight="12.3" x14ac:dyDescent="0.4"/>
  <cols>
    <col min="1" max="1" width="27" style="55" customWidth="1"/>
    <col min="2" max="2" width="27.3125" style="55" customWidth="1"/>
    <col min="3" max="3" width="52.68359375" style="55" customWidth="1"/>
    <col min="4" max="4" width="12.68359375" style="55" bestFit="1" customWidth="1"/>
    <col min="5" max="5" width="48.68359375" style="55" customWidth="1"/>
    <col min="6" max="6" width="10.68359375" style="55" customWidth="1"/>
    <col min="7" max="7" width="34.68359375" style="55" bestFit="1" customWidth="1"/>
    <col min="8" max="8" width="9.3125" style="55"/>
    <col min="9" max="9" width="13.41796875" style="55" bestFit="1" customWidth="1"/>
    <col min="10" max="10" width="20.5234375" style="55" customWidth="1"/>
    <col min="11" max="11" width="9.3125" style="55"/>
    <col min="12" max="12" width="46.68359375" style="55" customWidth="1"/>
    <col min="13" max="13" width="9.3125" style="55"/>
    <col min="14" max="14" width="51" style="55" customWidth="1"/>
    <col min="15" max="15" width="14.68359375" style="55" customWidth="1"/>
    <col min="16" max="16" width="9.3125" style="55"/>
    <col min="17" max="17" width="13.41796875" style="55" customWidth="1"/>
    <col min="18" max="18" width="18.3125" style="55" customWidth="1"/>
    <col min="19" max="19" width="9.3125" style="55"/>
    <col min="20" max="20" width="69.3125" style="55" customWidth="1"/>
    <col min="21" max="25" width="9.3125" style="55"/>
    <col min="26" max="26" width="15.3125" style="55" customWidth="1"/>
    <col min="27" max="27" width="11" style="55" customWidth="1"/>
    <col min="28" max="29" width="9.3125" style="55"/>
    <col min="30" max="30" width="10.3125" style="55" customWidth="1"/>
    <col min="31" max="31" width="11" style="55" customWidth="1"/>
    <col min="32" max="32" width="9.3125" style="55"/>
    <col min="33" max="35" width="6.3125" style="55" customWidth="1"/>
    <col min="36" max="36" width="10.68359375" style="55" customWidth="1"/>
    <col min="37" max="16384" width="9.3125" style="55"/>
  </cols>
  <sheetData>
    <row r="2" spans="1:36" s="53" customFormat="1" ht="78" customHeight="1" x14ac:dyDescent="0.4">
      <c r="A2" s="46" t="s">
        <v>86</v>
      </c>
      <c r="B2" s="47" t="s">
        <v>87</v>
      </c>
      <c r="C2" s="130" t="s">
        <v>88</v>
      </c>
      <c r="D2" s="130"/>
      <c r="E2" s="130" t="s">
        <v>89</v>
      </c>
      <c r="F2" s="130"/>
      <c r="G2" s="130" t="s">
        <v>90</v>
      </c>
      <c r="H2" s="130"/>
      <c r="I2" s="46" t="s">
        <v>91</v>
      </c>
      <c r="J2" s="130" t="s">
        <v>92</v>
      </c>
      <c r="K2" s="130"/>
      <c r="L2" s="130" t="s">
        <v>93</v>
      </c>
      <c r="M2" s="130"/>
      <c r="N2" s="130" t="s">
        <v>94</v>
      </c>
      <c r="O2" s="130"/>
      <c r="P2" s="46" t="s">
        <v>95</v>
      </c>
      <c r="Q2" s="46" t="s">
        <v>96</v>
      </c>
      <c r="R2" s="46" t="s">
        <v>97</v>
      </c>
      <c r="S2" s="46" t="s">
        <v>34</v>
      </c>
      <c r="T2" s="130" t="s">
        <v>98</v>
      </c>
      <c r="U2" s="130"/>
      <c r="V2" s="48" t="s">
        <v>99</v>
      </c>
      <c r="W2" s="48" t="s">
        <v>100</v>
      </c>
      <c r="X2" s="48" t="s">
        <v>101</v>
      </c>
      <c r="Y2" s="46" t="s">
        <v>102</v>
      </c>
      <c r="Z2" s="49" t="s">
        <v>103</v>
      </c>
      <c r="AA2" s="46" t="s">
        <v>104</v>
      </c>
      <c r="AB2" s="50" t="s">
        <v>105</v>
      </c>
      <c r="AC2" s="48" t="s">
        <v>106</v>
      </c>
      <c r="AD2" s="48" t="s">
        <v>107</v>
      </c>
      <c r="AE2" s="51" t="s">
        <v>108</v>
      </c>
      <c r="AF2" s="46" t="s">
        <v>46</v>
      </c>
      <c r="AG2" s="52" t="s">
        <v>48</v>
      </c>
      <c r="AH2" s="52" t="s">
        <v>49</v>
      </c>
      <c r="AI2" s="52" t="s">
        <v>50</v>
      </c>
      <c r="AJ2" s="46" t="s">
        <v>51</v>
      </c>
    </row>
    <row r="3" spans="1:36" x14ac:dyDescent="0.4">
      <c r="A3" s="54" t="s">
        <v>109</v>
      </c>
      <c r="B3" s="54" t="s">
        <v>110</v>
      </c>
      <c r="C3" s="130" t="s">
        <v>111</v>
      </c>
      <c r="D3" s="130"/>
      <c r="E3" s="130" t="s">
        <v>112</v>
      </c>
      <c r="F3" s="130"/>
      <c r="G3" s="130" t="s">
        <v>113</v>
      </c>
      <c r="H3" s="130"/>
      <c r="I3" s="54" t="s">
        <v>114</v>
      </c>
      <c r="J3" s="130" t="s">
        <v>115</v>
      </c>
      <c r="K3" s="130"/>
      <c r="L3" s="130" t="s">
        <v>116</v>
      </c>
      <c r="M3" s="130"/>
      <c r="N3" s="130" t="s">
        <v>117</v>
      </c>
      <c r="O3" s="130"/>
      <c r="P3" s="54" t="s">
        <v>118</v>
      </c>
      <c r="Q3" s="54" t="s">
        <v>119</v>
      </c>
      <c r="R3" s="54" t="s">
        <v>120</v>
      </c>
      <c r="S3" s="54" t="s">
        <v>121</v>
      </c>
      <c r="T3" s="130" t="s">
        <v>122</v>
      </c>
      <c r="U3" s="130"/>
      <c r="V3" s="54" t="s">
        <v>123</v>
      </c>
      <c r="W3" s="54" t="s">
        <v>124</v>
      </c>
      <c r="X3" s="54" t="s">
        <v>125</v>
      </c>
      <c r="Y3" s="54" t="s">
        <v>126</v>
      </c>
      <c r="Z3" s="54" t="s">
        <v>127</v>
      </c>
      <c r="AA3" s="54" t="s">
        <v>128</v>
      </c>
      <c r="AB3" s="54" t="s">
        <v>129</v>
      </c>
      <c r="AC3" s="54" t="s">
        <v>130</v>
      </c>
      <c r="AD3" s="54" t="s">
        <v>131</v>
      </c>
      <c r="AE3" s="54" t="s">
        <v>132</v>
      </c>
      <c r="AF3" s="54"/>
      <c r="AG3" s="54"/>
      <c r="AH3" s="54"/>
      <c r="AI3" s="54"/>
      <c r="AJ3" s="54"/>
    </row>
    <row r="4" spans="1:36" ht="24.6" x14ac:dyDescent="0.4">
      <c r="A4" s="56" t="s">
        <v>0</v>
      </c>
      <c r="B4" s="57" t="s">
        <v>133</v>
      </c>
      <c r="C4" s="130" t="s">
        <v>134</v>
      </c>
      <c r="D4" s="130"/>
      <c r="E4" s="130" t="s">
        <v>135</v>
      </c>
      <c r="F4" s="130"/>
      <c r="G4" s="130" t="s">
        <v>136</v>
      </c>
      <c r="H4" s="130"/>
      <c r="I4" s="58" t="s">
        <v>137</v>
      </c>
      <c r="J4" s="130" t="s">
        <v>138</v>
      </c>
      <c r="K4" s="130"/>
      <c r="L4" s="130" t="s">
        <v>7</v>
      </c>
      <c r="M4" s="130"/>
      <c r="N4" s="130" t="s">
        <v>139</v>
      </c>
      <c r="O4" s="130"/>
      <c r="P4" s="58" t="s">
        <v>140</v>
      </c>
      <c r="Q4" s="56" t="s">
        <v>141</v>
      </c>
      <c r="R4" s="58" t="s">
        <v>142</v>
      </c>
      <c r="S4" s="58" t="s">
        <v>143</v>
      </c>
      <c r="T4" s="130" t="s">
        <v>144</v>
      </c>
      <c r="U4" s="130"/>
      <c r="V4" s="58" t="s">
        <v>145</v>
      </c>
      <c r="W4" s="59" t="s">
        <v>146</v>
      </c>
      <c r="X4" s="60" t="s">
        <v>147</v>
      </c>
      <c r="Y4" s="58" t="s">
        <v>148</v>
      </c>
      <c r="Z4" s="60" t="s">
        <v>149</v>
      </c>
      <c r="AA4" s="58" t="s">
        <v>150</v>
      </c>
      <c r="AB4" s="61" t="s">
        <v>151</v>
      </c>
      <c r="AC4" s="61" t="s">
        <v>152</v>
      </c>
      <c r="AD4" s="58" t="s">
        <v>153</v>
      </c>
    </row>
    <row r="5" spans="1:36" x14ac:dyDescent="0.4">
      <c r="A5" s="55" t="s">
        <v>154</v>
      </c>
      <c r="B5" s="55" t="s">
        <v>155</v>
      </c>
      <c r="C5" s="62" t="s">
        <v>156</v>
      </c>
      <c r="D5" s="63" t="s">
        <v>70</v>
      </c>
      <c r="E5" s="55" t="s">
        <v>157</v>
      </c>
      <c r="F5" s="64" t="s">
        <v>158</v>
      </c>
      <c r="G5" s="53" t="s">
        <v>159</v>
      </c>
      <c r="H5" s="55" t="s">
        <v>160</v>
      </c>
      <c r="I5" s="55" t="s">
        <v>161</v>
      </c>
      <c r="J5" s="55" t="s">
        <v>162</v>
      </c>
      <c r="K5" s="55" t="s">
        <v>163</v>
      </c>
      <c r="L5" s="55" t="s">
        <v>164</v>
      </c>
      <c r="M5" s="55" t="s">
        <v>165</v>
      </c>
      <c r="N5" s="55" t="s">
        <v>166</v>
      </c>
      <c r="O5" s="55" t="s">
        <v>167</v>
      </c>
      <c r="P5" s="55" t="s">
        <v>161</v>
      </c>
      <c r="Q5" s="55" t="s">
        <v>154</v>
      </c>
      <c r="R5" s="55" t="s">
        <v>155</v>
      </c>
      <c r="S5" s="55" t="s">
        <v>161</v>
      </c>
      <c r="T5" s="55" t="s">
        <v>168</v>
      </c>
      <c r="U5" s="55" t="s">
        <v>169</v>
      </c>
      <c r="Y5" s="55" t="s">
        <v>170</v>
      </c>
      <c r="AB5" s="65" t="str">
        <f>IF(OR(O5="CHK",O5="ATP",O5="GUP",O5="PER"),(Z5/AC5*100),IF(O5="DUP",((ABS(Z5-#REF!))/((#REF!+Z5)/2))*100,IF(O5="SPK",((Z5-#REF!)/AC5*100),IF(OR(O5="LAB",O5="FLD",O5="ESF"),Z5,""))))</f>
        <v/>
      </c>
      <c r="AC5" s="64" t="s">
        <v>171</v>
      </c>
      <c r="AD5" s="64" t="str">
        <f>IF(AND(OR(O5="PER",O5="ATP",O5="GUP",O5="CHK",O5="SPK"),OR(AB5&gt;125,AB5&lt;75)),"FALSE",IF(AND(O5="DUP",AB5&gt;25),"FALSE",IF(AND(OR(O5="LAB",O5="FLD",O5="ESF"),AB5&gt;15),"FALSE","TRUE")))</f>
        <v>TRUE</v>
      </c>
    </row>
    <row r="6" spans="1:36" x14ac:dyDescent="0.4">
      <c r="A6" s="55" t="s">
        <v>172</v>
      </c>
      <c r="B6" s="55" t="s">
        <v>173</v>
      </c>
      <c r="C6" s="46"/>
      <c r="D6" s="46"/>
      <c r="E6" s="55" t="s">
        <v>174</v>
      </c>
      <c r="F6" s="64" t="s">
        <v>175</v>
      </c>
      <c r="G6" s="53" t="s">
        <v>176</v>
      </c>
      <c r="H6" s="55" t="s">
        <v>177</v>
      </c>
      <c r="J6" s="55" t="s">
        <v>178</v>
      </c>
      <c r="K6" s="55" t="s">
        <v>179</v>
      </c>
      <c r="L6" s="55" t="s">
        <v>180</v>
      </c>
      <c r="M6" s="55" t="s">
        <v>181</v>
      </c>
      <c r="N6" s="55" t="s">
        <v>182</v>
      </c>
      <c r="O6" s="55" t="s">
        <v>183</v>
      </c>
      <c r="T6" s="55" t="s">
        <v>184</v>
      </c>
      <c r="U6" s="55" t="s">
        <v>76</v>
      </c>
      <c r="Y6" s="55" t="s">
        <v>85</v>
      </c>
      <c r="AD6" s="55" t="b">
        <v>0</v>
      </c>
    </row>
    <row r="7" spans="1:36" x14ac:dyDescent="0.4">
      <c r="C7" s="66" t="s">
        <v>185</v>
      </c>
      <c r="D7" s="67" t="s">
        <v>186</v>
      </c>
      <c r="E7" s="55" t="s">
        <v>187</v>
      </c>
      <c r="F7" s="64" t="s">
        <v>188</v>
      </c>
      <c r="G7" s="53" t="s">
        <v>189</v>
      </c>
      <c r="H7" s="55" t="s">
        <v>190</v>
      </c>
      <c r="J7" s="55" t="s">
        <v>191</v>
      </c>
      <c r="K7" s="55" t="s">
        <v>73</v>
      </c>
      <c r="L7" s="55" t="s">
        <v>192</v>
      </c>
      <c r="M7" s="55" t="s">
        <v>74</v>
      </c>
      <c r="N7" s="55" t="s">
        <v>193</v>
      </c>
      <c r="O7" s="55" t="s">
        <v>194</v>
      </c>
      <c r="T7" s="55" t="s">
        <v>195</v>
      </c>
      <c r="U7" s="55" t="s">
        <v>196</v>
      </c>
      <c r="Y7" s="55" t="s">
        <v>197</v>
      </c>
    </row>
    <row r="8" spans="1:36" x14ac:dyDescent="0.4">
      <c r="C8" s="66" t="s">
        <v>198</v>
      </c>
      <c r="D8" s="67" t="s">
        <v>199</v>
      </c>
      <c r="E8" s="55" t="s">
        <v>200</v>
      </c>
      <c r="F8" s="64" t="s">
        <v>201</v>
      </c>
      <c r="G8" s="53" t="s">
        <v>202</v>
      </c>
      <c r="H8" s="55" t="s">
        <v>203</v>
      </c>
      <c r="J8" s="55" t="s">
        <v>204</v>
      </c>
      <c r="K8" s="55" t="s">
        <v>205</v>
      </c>
      <c r="L8" s="55" t="s">
        <v>206</v>
      </c>
      <c r="M8" s="55" t="s">
        <v>207</v>
      </c>
      <c r="N8" s="55" t="s">
        <v>208</v>
      </c>
      <c r="O8" s="55" t="s">
        <v>209</v>
      </c>
      <c r="T8" s="55" t="s">
        <v>210</v>
      </c>
      <c r="U8" s="55" t="s">
        <v>211</v>
      </c>
      <c r="Y8" s="55" t="s">
        <v>212</v>
      </c>
    </row>
    <row r="9" spans="1:36" x14ac:dyDescent="0.4">
      <c r="C9" s="55" t="s">
        <v>213</v>
      </c>
      <c r="D9" s="64" t="s">
        <v>214</v>
      </c>
      <c r="E9" s="55" t="s">
        <v>215</v>
      </c>
      <c r="F9" s="64" t="s">
        <v>216</v>
      </c>
      <c r="G9" s="53" t="s">
        <v>217</v>
      </c>
      <c r="H9" s="55" t="s">
        <v>218</v>
      </c>
      <c r="J9" s="55" t="s">
        <v>219</v>
      </c>
      <c r="K9" s="55" t="s">
        <v>220</v>
      </c>
      <c r="L9" s="55" t="s">
        <v>221</v>
      </c>
      <c r="M9" s="55" t="s">
        <v>222</v>
      </c>
      <c r="N9" s="55" t="s">
        <v>223</v>
      </c>
      <c r="O9" s="55" t="s">
        <v>224</v>
      </c>
      <c r="T9" s="55" t="s">
        <v>225</v>
      </c>
      <c r="U9" s="55" t="s">
        <v>84</v>
      </c>
      <c r="Y9" s="55" t="s">
        <v>226</v>
      </c>
    </row>
    <row r="10" spans="1:36" x14ac:dyDescent="0.4">
      <c r="C10" s="55" t="s">
        <v>227</v>
      </c>
      <c r="D10" s="64" t="s">
        <v>228</v>
      </c>
      <c r="E10" s="55" t="s">
        <v>229</v>
      </c>
      <c r="F10" s="64" t="s">
        <v>222</v>
      </c>
      <c r="G10" s="53"/>
      <c r="J10" s="55" t="s">
        <v>230</v>
      </c>
      <c r="K10" s="55" t="s">
        <v>231</v>
      </c>
      <c r="L10" s="55" t="s">
        <v>232</v>
      </c>
      <c r="M10" s="55" t="s">
        <v>233</v>
      </c>
      <c r="N10" s="55" t="s">
        <v>234</v>
      </c>
      <c r="O10" s="55" t="s">
        <v>235</v>
      </c>
      <c r="T10" s="55" t="s">
        <v>236</v>
      </c>
      <c r="U10" s="55" t="s">
        <v>237</v>
      </c>
    </row>
    <row r="11" spans="1:36" x14ac:dyDescent="0.4">
      <c r="C11" s="55" t="s">
        <v>238</v>
      </c>
      <c r="D11" s="64" t="s">
        <v>239</v>
      </c>
      <c r="E11" s="55" t="s">
        <v>240</v>
      </c>
      <c r="F11" s="64" t="s">
        <v>241</v>
      </c>
      <c r="G11" s="53"/>
      <c r="J11" s="55" t="s">
        <v>242</v>
      </c>
      <c r="K11" s="55" t="s">
        <v>243</v>
      </c>
      <c r="L11" s="55" t="s">
        <v>244</v>
      </c>
      <c r="M11" s="55" t="s">
        <v>245</v>
      </c>
      <c r="N11" s="55" t="s">
        <v>246</v>
      </c>
      <c r="O11" s="55" t="s">
        <v>75</v>
      </c>
      <c r="T11" s="55" t="s">
        <v>247</v>
      </c>
      <c r="U11" s="55" t="s">
        <v>248</v>
      </c>
    </row>
    <row r="12" spans="1:36" x14ac:dyDescent="0.4">
      <c r="C12" s="55" t="s">
        <v>249</v>
      </c>
      <c r="D12" s="64" t="s">
        <v>250</v>
      </c>
      <c r="E12" s="55" t="s">
        <v>251</v>
      </c>
      <c r="F12" s="64" t="s">
        <v>252</v>
      </c>
      <c r="G12" s="53"/>
      <c r="L12" s="55" t="s">
        <v>253</v>
      </c>
      <c r="M12" s="55" t="s">
        <v>254</v>
      </c>
      <c r="N12" s="55" t="s">
        <v>255</v>
      </c>
      <c r="O12" s="55" t="s">
        <v>256</v>
      </c>
      <c r="T12" s="55" t="s">
        <v>257</v>
      </c>
      <c r="U12" s="55" t="s">
        <v>258</v>
      </c>
    </row>
    <row r="13" spans="1:36" x14ac:dyDescent="0.4">
      <c r="C13" s="55" t="s">
        <v>259</v>
      </c>
      <c r="D13" s="64" t="s">
        <v>260</v>
      </c>
      <c r="E13" s="55" t="s">
        <v>261</v>
      </c>
      <c r="F13" s="64" t="s">
        <v>262</v>
      </c>
      <c r="G13" s="53"/>
      <c r="L13" s="55" t="s">
        <v>263</v>
      </c>
      <c r="M13" s="55" t="s">
        <v>264</v>
      </c>
      <c r="N13" s="55" t="s">
        <v>265</v>
      </c>
      <c r="O13" s="55" t="s">
        <v>266</v>
      </c>
      <c r="T13" s="55" t="s">
        <v>267</v>
      </c>
      <c r="U13" s="55" t="s">
        <v>268</v>
      </c>
    </row>
    <row r="14" spans="1:36" x14ac:dyDescent="0.4">
      <c r="C14" s="66" t="s">
        <v>269</v>
      </c>
      <c r="D14" s="67" t="s">
        <v>270</v>
      </c>
      <c r="E14" s="55" t="s">
        <v>271</v>
      </c>
      <c r="F14" s="64" t="s">
        <v>272</v>
      </c>
      <c r="G14" s="53"/>
      <c r="L14" s="55" t="s">
        <v>273</v>
      </c>
      <c r="M14" s="55" t="s">
        <v>274</v>
      </c>
      <c r="N14" s="55" t="s">
        <v>275</v>
      </c>
      <c r="O14" s="55" t="s">
        <v>83</v>
      </c>
      <c r="T14" s="55" t="s">
        <v>276</v>
      </c>
      <c r="U14" s="55" t="s">
        <v>277</v>
      </c>
    </row>
    <row r="15" spans="1:36" x14ac:dyDescent="0.4">
      <c r="C15" s="55" t="s">
        <v>278</v>
      </c>
      <c r="D15" s="64" t="s">
        <v>279</v>
      </c>
      <c r="E15" s="55" t="s">
        <v>280</v>
      </c>
      <c r="F15" s="64" t="s">
        <v>281</v>
      </c>
      <c r="G15" s="53"/>
      <c r="L15" s="55" t="s">
        <v>282</v>
      </c>
      <c r="M15" s="55" t="s">
        <v>283</v>
      </c>
      <c r="N15" s="55" t="s">
        <v>284</v>
      </c>
      <c r="O15" s="55" t="s">
        <v>285</v>
      </c>
    </row>
    <row r="16" spans="1:36" x14ac:dyDescent="0.4">
      <c r="C16" s="55" t="s">
        <v>286</v>
      </c>
      <c r="D16" s="64" t="s">
        <v>287</v>
      </c>
      <c r="E16" s="55" t="s">
        <v>288</v>
      </c>
      <c r="F16" s="64" t="s">
        <v>289</v>
      </c>
      <c r="G16" s="53"/>
      <c r="L16" s="55" t="s">
        <v>290</v>
      </c>
      <c r="M16" s="55" t="s">
        <v>291</v>
      </c>
      <c r="N16" s="55" t="s">
        <v>292</v>
      </c>
      <c r="O16" s="55" t="s">
        <v>293</v>
      </c>
    </row>
    <row r="17" spans="3:15" x14ac:dyDescent="0.4">
      <c r="C17" s="55" t="s">
        <v>294</v>
      </c>
      <c r="D17" s="64" t="s">
        <v>295</v>
      </c>
      <c r="E17" s="55" t="s">
        <v>296</v>
      </c>
      <c r="F17" s="64" t="s">
        <v>297</v>
      </c>
      <c r="G17" s="53"/>
      <c r="L17" s="55" t="s">
        <v>298</v>
      </c>
      <c r="M17" s="55" t="s">
        <v>299</v>
      </c>
      <c r="N17" s="55" t="s">
        <v>300</v>
      </c>
      <c r="O17" s="55" t="s">
        <v>301</v>
      </c>
    </row>
    <row r="18" spans="3:15" x14ac:dyDescent="0.4">
      <c r="C18" s="55" t="s">
        <v>302</v>
      </c>
      <c r="D18" s="64" t="s">
        <v>303</v>
      </c>
      <c r="E18" s="55" t="s">
        <v>304</v>
      </c>
      <c r="F18" s="64" t="s">
        <v>305</v>
      </c>
      <c r="G18" s="53"/>
      <c r="L18" s="55" t="s">
        <v>91</v>
      </c>
      <c r="M18" s="55" t="s">
        <v>306</v>
      </c>
      <c r="N18" s="55" t="s">
        <v>307</v>
      </c>
      <c r="O18" s="55" t="s">
        <v>308</v>
      </c>
    </row>
    <row r="19" spans="3:15" x14ac:dyDescent="0.4">
      <c r="C19" s="55" t="s">
        <v>309</v>
      </c>
      <c r="D19" s="64" t="s">
        <v>310</v>
      </c>
      <c r="E19" s="55" t="s">
        <v>311</v>
      </c>
      <c r="F19" s="64" t="s">
        <v>312</v>
      </c>
      <c r="G19" s="53"/>
      <c r="L19" s="55" t="s">
        <v>313</v>
      </c>
      <c r="M19" s="55" t="s">
        <v>314</v>
      </c>
      <c r="N19" s="55" t="s">
        <v>315</v>
      </c>
      <c r="O19" s="55" t="s">
        <v>316</v>
      </c>
    </row>
    <row r="20" spans="3:15" x14ac:dyDescent="0.4">
      <c r="C20" s="55" t="s">
        <v>317</v>
      </c>
      <c r="D20" s="64" t="s">
        <v>318</v>
      </c>
      <c r="E20" s="55" t="s">
        <v>319</v>
      </c>
      <c r="F20" s="64" t="s">
        <v>320</v>
      </c>
      <c r="G20" s="53"/>
      <c r="L20" s="55" t="s">
        <v>321</v>
      </c>
      <c r="M20" s="55" t="s">
        <v>322</v>
      </c>
      <c r="N20" s="55" t="s">
        <v>323</v>
      </c>
      <c r="O20" s="55" t="s">
        <v>324</v>
      </c>
    </row>
    <row r="21" spans="3:15" x14ac:dyDescent="0.4">
      <c r="C21" s="55" t="s">
        <v>325</v>
      </c>
      <c r="D21" s="64" t="s">
        <v>326</v>
      </c>
      <c r="E21" s="55" t="s">
        <v>327</v>
      </c>
      <c r="F21" s="64" t="s">
        <v>328</v>
      </c>
      <c r="G21" s="53"/>
    </row>
    <row r="22" spans="3:15" x14ac:dyDescent="0.4">
      <c r="C22" s="55" t="s">
        <v>329</v>
      </c>
      <c r="D22" s="64" t="s">
        <v>330</v>
      </c>
      <c r="E22" s="55" t="s">
        <v>331</v>
      </c>
      <c r="F22" s="64">
        <v>10</v>
      </c>
      <c r="G22" s="53"/>
    </row>
    <row r="23" spans="3:15" x14ac:dyDescent="0.4">
      <c r="C23" s="55" t="s">
        <v>332</v>
      </c>
      <c r="D23" s="64" t="s">
        <v>333</v>
      </c>
      <c r="E23" s="55" t="s">
        <v>334</v>
      </c>
      <c r="F23" s="64">
        <v>20</v>
      </c>
      <c r="G23" s="53"/>
    </row>
    <row r="24" spans="3:15" x14ac:dyDescent="0.4">
      <c r="C24" s="55" t="s">
        <v>335</v>
      </c>
      <c r="D24" s="64" t="s">
        <v>336</v>
      </c>
      <c r="E24" s="55" t="s">
        <v>331</v>
      </c>
      <c r="F24" s="64">
        <v>38</v>
      </c>
      <c r="G24" s="53"/>
    </row>
    <row r="25" spans="3:15" x14ac:dyDescent="0.4">
      <c r="C25" s="55" t="s">
        <v>337</v>
      </c>
      <c r="D25" s="64" t="s">
        <v>338</v>
      </c>
      <c r="E25" s="55" t="s">
        <v>339</v>
      </c>
      <c r="F25" s="64" t="s">
        <v>71</v>
      </c>
      <c r="G25" s="53"/>
    </row>
    <row r="26" spans="3:15" x14ac:dyDescent="0.4">
      <c r="C26" s="55" t="s">
        <v>340</v>
      </c>
      <c r="D26" s="64" t="s">
        <v>341</v>
      </c>
      <c r="E26" s="55" t="s">
        <v>342</v>
      </c>
      <c r="F26" s="64" t="s">
        <v>343</v>
      </c>
      <c r="G26" s="53"/>
    </row>
    <row r="27" spans="3:15" x14ac:dyDescent="0.4">
      <c r="C27" s="55" t="s">
        <v>344</v>
      </c>
      <c r="D27" s="64" t="s">
        <v>345</v>
      </c>
      <c r="E27" s="55" t="s">
        <v>346</v>
      </c>
      <c r="F27" s="64" t="s">
        <v>347</v>
      </c>
      <c r="G27" s="53"/>
    </row>
    <row r="28" spans="3:15" x14ac:dyDescent="0.4">
      <c r="C28" s="55" t="s">
        <v>348</v>
      </c>
      <c r="D28" s="64" t="s">
        <v>349</v>
      </c>
      <c r="G28" s="53"/>
    </row>
    <row r="29" spans="3:15" x14ac:dyDescent="0.4">
      <c r="C29" s="55" t="s">
        <v>350</v>
      </c>
      <c r="D29" s="64" t="s">
        <v>351</v>
      </c>
      <c r="G29" s="53"/>
    </row>
    <row r="30" spans="3:15" x14ac:dyDescent="0.4">
      <c r="C30" s="55" t="s">
        <v>352</v>
      </c>
      <c r="D30" s="64" t="s">
        <v>353</v>
      </c>
      <c r="G30" s="53"/>
    </row>
    <row r="31" spans="3:15" x14ac:dyDescent="0.4">
      <c r="C31" s="55" t="s">
        <v>354</v>
      </c>
      <c r="D31" s="64" t="s">
        <v>355</v>
      </c>
      <c r="F31" s="53"/>
      <c r="G31" s="53"/>
    </row>
    <row r="32" spans="3:15" x14ac:dyDescent="0.4">
      <c r="C32" s="55" t="s">
        <v>356</v>
      </c>
      <c r="D32" s="64" t="s">
        <v>357</v>
      </c>
      <c r="F32" s="53"/>
      <c r="G32" s="53"/>
    </row>
    <row r="33" spans="3:7" x14ac:dyDescent="0.4">
      <c r="C33" s="55" t="s">
        <v>358</v>
      </c>
      <c r="D33" s="64" t="s">
        <v>359</v>
      </c>
      <c r="F33" s="53"/>
      <c r="G33" s="53"/>
    </row>
    <row r="34" spans="3:7" x14ac:dyDescent="0.4">
      <c r="C34" s="55" t="s">
        <v>360</v>
      </c>
      <c r="D34" s="64" t="s">
        <v>361</v>
      </c>
    </row>
    <row r="35" spans="3:7" x14ac:dyDescent="0.4">
      <c r="C35" s="55" t="s">
        <v>362</v>
      </c>
      <c r="D35" s="64" t="s">
        <v>245</v>
      </c>
    </row>
    <row r="36" spans="3:7" x14ac:dyDescent="0.4">
      <c r="C36" s="68" t="s">
        <v>363</v>
      </c>
      <c r="D36" s="69" t="s">
        <v>364</v>
      </c>
      <c r="E36" s="70"/>
      <c r="F36" s="70"/>
    </row>
    <row r="37" spans="3:7" x14ac:dyDescent="0.4">
      <c r="C37" s="66" t="s">
        <v>365</v>
      </c>
      <c r="D37" s="67" t="s">
        <v>312</v>
      </c>
      <c r="E37" s="66" t="s">
        <v>311</v>
      </c>
      <c r="F37" s="67" t="s">
        <v>366</v>
      </c>
    </row>
    <row r="38" spans="3:7" x14ac:dyDescent="0.4">
      <c r="C38" s="66" t="s">
        <v>367</v>
      </c>
      <c r="D38" s="67" t="s">
        <v>368</v>
      </c>
      <c r="E38" s="66" t="s">
        <v>369</v>
      </c>
      <c r="F38" s="67" t="s">
        <v>370</v>
      </c>
    </row>
    <row r="39" spans="3:7" x14ac:dyDescent="0.4">
      <c r="C39" s="66" t="s">
        <v>371</v>
      </c>
      <c r="D39" s="67" t="s">
        <v>372</v>
      </c>
      <c r="E39" s="66" t="s">
        <v>373</v>
      </c>
      <c r="F39" s="67" t="s">
        <v>374</v>
      </c>
    </row>
    <row r="40" spans="3:7" x14ac:dyDescent="0.4">
      <c r="C40" s="66" t="s">
        <v>375</v>
      </c>
      <c r="D40" s="67" t="s">
        <v>376</v>
      </c>
    </row>
    <row r="41" spans="3:7" x14ac:dyDescent="0.4">
      <c r="C41" s="66" t="s">
        <v>377</v>
      </c>
      <c r="D41" s="67" t="s">
        <v>378</v>
      </c>
    </row>
    <row r="42" spans="3:7" x14ac:dyDescent="0.4">
      <c r="C42" s="66" t="s">
        <v>379</v>
      </c>
      <c r="D42" s="67" t="s">
        <v>380</v>
      </c>
    </row>
    <row r="43" spans="3:7" x14ac:dyDescent="0.4">
      <c r="C43" s="66" t="s">
        <v>381</v>
      </c>
      <c r="D43" s="67" t="s">
        <v>382</v>
      </c>
    </row>
    <row r="44" spans="3:7" x14ac:dyDescent="0.4">
      <c r="C44" s="66" t="s">
        <v>383</v>
      </c>
      <c r="D44" s="67" t="s">
        <v>384</v>
      </c>
    </row>
    <row r="45" spans="3:7" x14ac:dyDescent="0.4">
      <c r="C45" s="66" t="s">
        <v>385</v>
      </c>
      <c r="D45" s="67" t="s">
        <v>386</v>
      </c>
    </row>
    <row r="46" spans="3:7" x14ac:dyDescent="0.4">
      <c r="C46" s="66" t="s">
        <v>387</v>
      </c>
      <c r="D46" s="67" t="s">
        <v>388</v>
      </c>
    </row>
    <row r="47" spans="3:7" x14ac:dyDescent="0.4">
      <c r="C47" s="66" t="s">
        <v>389</v>
      </c>
      <c r="D47" s="67" t="s">
        <v>390</v>
      </c>
    </row>
    <row r="48" spans="3:7" x14ac:dyDescent="0.4">
      <c r="C48" s="66" t="s">
        <v>391</v>
      </c>
      <c r="D48" s="67" t="s">
        <v>392</v>
      </c>
    </row>
    <row r="52" spans="3:6" x14ac:dyDescent="0.4">
      <c r="C52" s="130" t="s">
        <v>134</v>
      </c>
      <c r="D52" s="130"/>
      <c r="E52" s="130" t="s">
        <v>135</v>
      </c>
      <c r="F52" s="130"/>
    </row>
    <row r="53" spans="3:6" x14ac:dyDescent="0.4">
      <c r="C53" s="66" t="s">
        <v>185</v>
      </c>
      <c r="D53" s="67" t="s">
        <v>186</v>
      </c>
      <c r="E53" s="55" t="s">
        <v>157</v>
      </c>
      <c r="F53" s="64" t="s">
        <v>158</v>
      </c>
    </row>
    <row r="54" spans="3:6" x14ac:dyDescent="0.4">
      <c r="C54" s="66" t="s">
        <v>198</v>
      </c>
      <c r="D54" s="67" t="s">
        <v>199</v>
      </c>
      <c r="E54" s="55" t="s">
        <v>174</v>
      </c>
      <c r="F54" s="64" t="s">
        <v>175</v>
      </c>
    </row>
    <row r="55" spans="3:6" x14ac:dyDescent="0.4">
      <c r="C55" s="55" t="s">
        <v>213</v>
      </c>
      <c r="D55" s="64" t="s">
        <v>214</v>
      </c>
      <c r="E55" s="55" t="s">
        <v>187</v>
      </c>
      <c r="F55" s="64" t="s">
        <v>188</v>
      </c>
    </row>
    <row r="56" spans="3:6" x14ac:dyDescent="0.4">
      <c r="C56" s="55" t="s">
        <v>227</v>
      </c>
      <c r="D56" s="64" t="s">
        <v>228</v>
      </c>
      <c r="E56" s="55" t="s">
        <v>200</v>
      </c>
      <c r="F56" s="64" t="s">
        <v>201</v>
      </c>
    </row>
    <row r="57" spans="3:6" x14ac:dyDescent="0.4">
      <c r="C57" s="55" t="s">
        <v>238</v>
      </c>
      <c r="D57" s="64" t="s">
        <v>393</v>
      </c>
      <c r="E57" s="55" t="s">
        <v>215</v>
      </c>
      <c r="F57" s="64" t="s">
        <v>216</v>
      </c>
    </row>
    <row r="58" spans="3:6" x14ac:dyDescent="0.4">
      <c r="C58" s="55" t="s">
        <v>249</v>
      </c>
      <c r="D58" s="64" t="s">
        <v>250</v>
      </c>
      <c r="E58" s="55" t="s">
        <v>229</v>
      </c>
      <c r="F58" s="64" t="s">
        <v>222</v>
      </c>
    </row>
    <row r="59" spans="3:6" x14ac:dyDescent="0.4">
      <c r="C59" s="55" t="s">
        <v>259</v>
      </c>
      <c r="D59" s="64" t="s">
        <v>260</v>
      </c>
      <c r="E59" s="55" t="s">
        <v>240</v>
      </c>
      <c r="F59" s="64" t="s">
        <v>241</v>
      </c>
    </row>
    <row r="60" spans="3:6" x14ac:dyDescent="0.4">
      <c r="C60" s="66" t="s">
        <v>269</v>
      </c>
      <c r="D60" s="67" t="s">
        <v>270</v>
      </c>
      <c r="E60" s="55" t="s">
        <v>251</v>
      </c>
      <c r="F60" s="64" t="s">
        <v>252</v>
      </c>
    </row>
    <row r="61" spans="3:6" x14ac:dyDescent="0.4">
      <c r="C61" s="55" t="s">
        <v>278</v>
      </c>
      <c r="D61" s="64" t="s">
        <v>279</v>
      </c>
      <c r="E61" s="55" t="s">
        <v>261</v>
      </c>
      <c r="F61" s="64" t="s">
        <v>262</v>
      </c>
    </row>
    <row r="62" spans="3:6" x14ac:dyDescent="0.4">
      <c r="C62" s="55" t="s">
        <v>286</v>
      </c>
      <c r="D62" s="64" t="s">
        <v>287</v>
      </c>
      <c r="E62" s="55" t="s">
        <v>271</v>
      </c>
      <c r="F62" s="64" t="s">
        <v>272</v>
      </c>
    </row>
    <row r="63" spans="3:6" x14ac:dyDescent="0.4">
      <c r="C63" s="55" t="s">
        <v>294</v>
      </c>
      <c r="D63" s="64" t="s">
        <v>295</v>
      </c>
      <c r="E63" s="55" t="s">
        <v>280</v>
      </c>
      <c r="F63" s="64" t="s">
        <v>281</v>
      </c>
    </row>
    <row r="64" spans="3:6" x14ac:dyDescent="0.4">
      <c r="C64" s="55" t="s">
        <v>302</v>
      </c>
      <c r="D64" s="64" t="s">
        <v>303</v>
      </c>
      <c r="E64" s="55" t="s">
        <v>288</v>
      </c>
      <c r="F64" s="64" t="s">
        <v>289</v>
      </c>
    </row>
    <row r="65" spans="3:6" x14ac:dyDescent="0.4">
      <c r="C65" s="55" t="s">
        <v>309</v>
      </c>
      <c r="D65" s="64" t="s">
        <v>310</v>
      </c>
      <c r="E65" s="55" t="s">
        <v>296</v>
      </c>
      <c r="F65" s="64" t="s">
        <v>297</v>
      </c>
    </row>
    <row r="66" spans="3:6" x14ac:dyDescent="0.4">
      <c r="C66" s="55" t="s">
        <v>362</v>
      </c>
      <c r="D66" s="64" t="s">
        <v>245</v>
      </c>
      <c r="E66" s="55" t="s">
        <v>304</v>
      </c>
      <c r="F66" s="64" t="s">
        <v>305</v>
      </c>
    </row>
    <row r="67" spans="3:6" x14ac:dyDescent="0.4">
      <c r="C67" s="55" t="s">
        <v>317</v>
      </c>
      <c r="D67" s="64" t="s">
        <v>318</v>
      </c>
      <c r="E67" s="55" t="s">
        <v>311</v>
      </c>
      <c r="F67" s="64" t="s">
        <v>312</v>
      </c>
    </row>
    <row r="68" spans="3:6" x14ac:dyDescent="0.4">
      <c r="C68" s="55" t="s">
        <v>325</v>
      </c>
      <c r="D68" s="64" t="s">
        <v>326</v>
      </c>
      <c r="E68" s="55" t="s">
        <v>319</v>
      </c>
      <c r="F68" s="64" t="s">
        <v>320</v>
      </c>
    </row>
    <row r="69" spans="3:6" x14ac:dyDescent="0.4">
      <c r="C69" s="55" t="s">
        <v>363</v>
      </c>
      <c r="D69" s="64" t="s">
        <v>364</v>
      </c>
      <c r="E69" s="55" t="s">
        <v>327</v>
      </c>
      <c r="F69" s="64" t="s">
        <v>328</v>
      </c>
    </row>
    <row r="70" spans="3:6" x14ac:dyDescent="0.4">
      <c r="C70" s="55" t="s">
        <v>329</v>
      </c>
      <c r="D70" s="64" t="s">
        <v>330</v>
      </c>
      <c r="E70" s="55" t="s">
        <v>331</v>
      </c>
      <c r="F70" s="64">
        <v>10</v>
      </c>
    </row>
    <row r="71" spans="3:6" x14ac:dyDescent="0.4">
      <c r="C71" s="55" t="s">
        <v>332</v>
      </c>
      <c r="D71" s="64" t="s">
        <v>333</v>
      </c>
      <c r="E71" s="55" t="s">
        <v>334</v>
      </c>
      <c r="F71" s="64">
        <v>20</v>
      </c>
    </row>
    <row r="72" spans="3:6" x14ac:dyDescent="0.4">
      <c r="C72" s="55" t="s">
        <v>335</v>
      </c>
      <c r="D72" s="64" t="s">
        <v>336</v>
      </c>
      <c r="E72" s="55" t="s">
        <v>331</v>
      </c>
      <c r="F72" s="64">
        <v>38</v>
      </c>
    </row>
    <row r="73" spans="3:6" x14ac:dyDescent="0.4">
      <c r="C73" s="55" t="s">
        <v>337</v>
      </c>
      <c r="D73" s="64" t="s">
        <v>338</v>
      </c>
      <c r="E73" s="55" t="s">
        <v>339</v>
      </c>
      <c r="F73" s="64" t="s">
        <v>71</v>
      </c>
    </row>
    <row r="74" spans="3:6" x14ac:dyDescent="0.4">
      <c r="C74" s="55" t="s">
        <v>340</v>
      </c>
      <c r="D74" s="64" t="s">
        <v>341</v>
      </c>
      <c r="E74" s="55" t="s">
        <v>342</v>
      </c>
      <c r="F74" s="64" t="s">
        <v>343</v>
      </c>
    </row>
    <row r="75" spans="3:6" x14ac:dyDescent="0.4">
      <c r="C75" s="55" t="s">
        <v>344</v>
      </c>
      <c r="D75" s="64" t="s">
        <v>345</v>
      </c>
      <c r="E75" s="70" t="s">
        <v>346</v>
      </c>
      <c r="F75" s="71" t="s">
        <v>347</v>
      </c>
    </row>
    <row r="76" spans="3:6" x14ac:dyDescent="0.4">
      <c r="C76" s="55" t="s">
        <v>348</v>
      </c>
      <c r="D76" s="64" t="s">
        <v>349</v>
      </c>
      <c r="F76" s="64" t="s">
        <v>394</v>
      </c>
    </row>
    <row r="77" spans="3:6" x14ac:dyDescent="0.4">
      <c r="C77" s="55" t="s">
        <v>350</v>
      </c>
      <c r="D77" s="64" t="s">
        <v>351</v>
      </c>
      <c r="F77" s="64" t="s">
        <v>395</v>
      </c>
    </row>
    <row r="78" spans="3:6" x14ac:dyDescent="0.4">
      <c r="C78" s="55" t="s">
        <v>352</v>
      </c>
      <c r="D78" s="64" t="s">
        <v>353</v>
      </c>
      <c r="F78" s="64" t="s">
        <v>396</v>
      </c>
    </row>
    <row r="79" spans="3:6" x14ac:dyDescent="0.4">
      <c r="C79" s="55" t="s">
        <v>354</v>
      </c>
      <c r="D79" s="64" t="s">
        <v>355</v>
      </c>
      <c r="F79" s="64" t="s">
        <v>394</v>
      </c>
    </row>
    <row r="80" spans="3:6" x14ac:dyDescent="0.4">
      <c r="C80" s="55" t="s">
        <v>356</v>
      </c>
      <c r="D80" s="64" t="s">
        <v>357</v>
      </c>
      <c r="F80" s="64" t="s">
        <v>397</v>
      </c>
    </row>
    <row r="81" spans="3:6" x14ac:dyDescent="0.4">
      <c r="C81" s="55" t="s">
        <v>358</v>
      </c>
      <c r="D81" s="64" t="s">
        <v>359</v>
      </c>
      <c r="E81" s="70"/>
      <c r="F81" s="71" t="s">
        <v>398</v>
      </c>
    </row>
    <row r="82" spans="3:6" x14ac:dyDescent="0.4">
      <c r="C82" s="70" t="s">
        <v>360</v>
      </c>
      <c r="D82" s="71" t="s">
        <v>361</v>
      </c>
      <c r="E82" s="55" t="s">
        <v>399</v>
      </c>
      <c r="F82" s="64" t="s">
        <v>366</v>
      </c>
    </row>
    <row r="83" spans="3:6" x14ac:dyDescent="0.4">
      <c r="C83" s="66"/>
      <c r="D83" s="67" t="s">
        <v>400</v>
      </c>
      <c r="E83" s="55" t="s">
        <v>401</v>
      </c>
      <c r="F83" s="64" t="s">
        <v>370</v>
      </c>
    </row>
    <row r="84" spans="3:6" x14ac:dyDescent="0.4">
      <c r="C84" s="66"/>
      <c r="D84" s="67" t="s">
        <v>402</v>
      </c>
      <c r="E84" s="55" t="s">
        <v>403</v>
      </c>
      <c r="F84" s="64" t="s">
        <v>374</v>
      </c>
    </row>
    <row r="85" spans="3:6" x14ac:dyDescent="0.4">
      <c r="C85" s="66"/>
      <c r="D85" s="67" t="s">
        <v>404</v>
      </c>
      <c r="E85" s="55" t="s">
        <v>405</v>
      </c>
      <c r="F85" s="64" t="s">
        <v>406</v>
      </c>
    </row>
    <row r="86" spans="3:6" x14ac:dyDescent="0.4">
      <c r="C86" s="55" t="s">
        <v>407</v>
      </c>
      <c r="D86" s="64" t="s">
        <v>408</v>
      </c>
      <c r="E86" s="55" t="s">
        <v>409</v>
      </c>
      <c r="F86" s="64" t="s">
        <v>410</v>
      </c>
    </row>
    <row r="87" spans="3:6" x14ac:dyDescent="0.4">
      <c r="C87" s="66" t="s">
        <v>411</v>
      </c>
      <c r="D87" s="67" t="s">
        <v>412</v>
      </c>
      <c r="E87" s="55" t="s">
        <v>413</v>
      </c>
      <c r="F87" s="64" t="s">
        <v>414</v>
      </c>
    </row>
    <row r="88" spans="3:6" x14ac:dyDescent="0.4">
      <c r="C88" s="55" t="s">
        <v>415</v>
      </c>
      <c r="D88" s="64" t="s">
        <v>416</v>
      </c>
      <c r="E88" s="55" t="s">
        <v>417</v>
      </c>
      <c r="F88" s="64" t="s">
        <v>418</v>
      </c>
    </row>
    <row r="89" spans="3:6" x14ac:dyDescent="0.4">
      <c r="C89" s="66" t="s">
        <v>419</v>
      </c>
      <c r="D89" s="67" t="s">
        <v>420</v>
      </c>
    </row>
    <row r="90" spans="3:6" x14ac:dyDescent="0.4">
      <c r="C90" s="66" t="s">
        <v>421</v>
      </c>
      <c r="D90" s="67" t="s">
        <v>422</v>
      </c>
    </row>
    <row r="91" spans="3:6" x14ac:dyDescent="0.4">
      <c r="C91" s="66" t="s">
        <v>423</v>
      </c>
      <c r="D91" s="67" t="s">
        <v>424</v>
      </c>
    </row>
    <row r="92" spans="3:6" x14ac:dyDescent="0.4">
      <c r="C92" s="66" t="s">
        <v>425</v>
      </c>
      <c r="D92" s="67" t="s">
        <v>426</v>
      </c>
    </row>
    <row r="93" spans="3:6" x14ac:dyDescent="0.4">
      <c r="C93" s="66" t="s">
        <v>427</v>
      </c>
      <c r="D93" s="67" t="s">
        <v>428</v>
      </c>
    </row>
    <row r="94" spans="3:6" x14ac:dyDescent="0.4">
      <c r="C94" s="66"/>
      <c r="D94" s="67" t="s">
        <v>429</v>
      </c>
    </row>
    <row r="95" spans="3:6" x14ac:dyDescent="0.4">
      <c r="C95" s="55" t="s">
        <v>430</v>
      </c>
      <c r="D95" s="64" t="s">
        <v>431</v>
      </c>
    </row>
    <row r="96" spans="3:6" x14ac:dyDescent="0.4">
      <c r="C96" s="66" t="s">
        <v>432</v>
      </c>
      <c r="D96" s="67" t="s">
        <v>433</v>
      </c>
    </row>
    <row r="97" spans="3:4" x14ac:dyDescent="0.4">
      <c r="C97" s="66" t="s">
        <v>434</v>
      </c>
      <c r="D97" s="67" t="s">
        <v>435</v>
      </c>
    </row>
    <row r="98" spans="3:4" x14ac:dyDescent="0.4">
      <c r="C98" s="55" t="s">
        <v>317</v>
      </c>
      <c r="D98" s="64" t="s">
        <v>318</v>
      </c>
    </row>
    <row r="99" spans="3:4" x14ac:dyDescent="0.4">
      <c r="C99" s="55" t="s">
        <v>436</v>
      </c>
      <c r="D99" s="64" t="s">
        <v>437</v>
      </c>
    </row>
    <row r="100" spans="3:4" x14ac:dyDescent="0.4">
      <c r="C100" s="66" t="s">
        <v>438</v>
      </c>
      <c r="D100" s="67" t="s">
        <v>439</v>
      </c>
    </row>
    <row r="101" spans="3:4" x14ac:dyDescent="0.4">
      <c r="C101" s="66" t="s">
        <v>440</v>
      </c>
      <c r="D101" s="67" t="s">
        <v>441</v>
      </c>
    </row>
    <row r="102" spans="3:4" x14ac:dyDescent="0.4">
      <c r="C102" s="55" t="s">
        <v>442</v>
      </c>
      <c r="D102" s="64" t="s">
        <v>443</v>
      </c>
    </row>
    <row r="103" spans="3:4" x14ac:dyDescent="0.4">
      <c r="C103" s="66" t="s">
        <v>385</v>
      </c>
      <c r="D103" s="67" t="s">
        <v>386</v>
      </c>
    </row>
    <row r="104" spans="3:4" x14ac:dyDescent="0.4">
      <c r="C104" s="66" t="s">
        <v>383</v>
      </c>
      <c r="D104" s="67" t="s">
        <v>384</v>
      </c>
    </row>
    <row r="105" spans="3:4" x14ac:dyDescent="0.4">
      <c r="C105" s="55" t="s">
        <v>444</v>
      </c>
      <c r="D105" s="64" t="s">
        <v>445</v>
      </c>
    </row>
    <row r="106" spans="3:4" x14ac:dyDescent="0.4">
      <c r="C106" s="66"/>
      <c r="D106" s="67" t="s">
        <v>446</v>
      </c>
    </row>
    <row r="107" spans="3:4" x14ac:dyDescent="0.4">
      <c r="C107" s="55" t="s">
        <v>447</v>
      </c>
      <c r="D107" s="64" t="s">
        <v>448</v>
      </c>
    </row>
    <row r="108" spans="3:4" x14ac:dyDescent="0.4">
      <c r="C108" s="55" t="s">
        <v>449</v>
      </c>
      <c r="D108" s="64" t="s">
        <v>450</v>
      </c>
    </row>
    <row r="109" spans="3:4" x14ac:dyDescent="0.4">
      <c r="C109" s="55" t="s">
        <v>451</v>
      </c>
      <c r="D109" s="64" t="s">
        <v>452</v>
      </c>
    </row>
    <row r="110" spans="3:4" x14ac:dyDescent="0.4">
      <c r="C110" s="55" t="s">
        <v>356</v>
      </c>
      <c r="D110" s="64" t="s">
        <v>357</v>
      </c>
    </row>
    <row r="111" spans="3:4" x14ac:dyDescent="0.4">
      <c r="C111" s="66" t="s">
        <v>453</v>
      </c>
      <c r="D111" s="67" t="s">
        <v>454</v>
      </c>
    </row>
    <row r="112" spans="3:4" x14ac:dyDescent="0.4">
      <c r="C112" s="66" t="s">
        <v>453</v>
      </c>
      <c r="D112" s="67" t="s">
        <v>455</v>
      </c>
    </row>
    <row r="113" spans="3:4" x14ac:dyDescent="0.4">
      <c r="C113" s="68"/>
      <c r="D113" s="69" t="s">
        <v>456</v>
      </c>
    </row>
    <row r="114" spans="3:4" x14ac:dyDescent="0.4">
      <c r="C114" s="66" t="s">
        <v>375</v>
      </c>
      <c r="D114" s="67" t="s">
        <v>376</v>
      </c>
    </row>
    <row r="115" spans="3:4" x14ac:dyDescent="0.4">
      <c r="C115" s="66" t="s">
        <v>457</v>
      </c>
      <c r="D115" s="67" t="s">
        <v>458</v>
      </c>
    </row>
    <row r="116" spans="3:4" x14ac:dyDescent="0.4">
      <c r="C116" s="66" t="s">
        <v>459</v>
      </c>
      <c r="D116" s="67" t="s">
        <v>460</v>
      </c>
    </row>
    <row r="117" spans="3:4" x14ac:dyDescent="0.4">
      <c r="C117" s="66" t="s">
        <v>377</v>
      </c>
      <c r="D117" s="67" t="s">
        <v>378</v>
      </c>
    </row>
    <row r="118" spans="3:4" x14ac:dyDescent="0.4">
      <c r="C118" s="72" t="s">
        <v>457</v>
      </c>
      <c r="D118" s="67" t="s">
        <v>461</v>
      </c>
    </row>
    <row r="119" spans="3:4" x14ac:dyDescent="0.4">
      <c r="C119" s="72" t="s">
        <v>457</v>
      </c>
      <c r="D119" s="67" t="s">
        <v>462</v>
      </c>
    </row>
    <row r="120" spans="3:4" x14ac:dyDescent="0.4">
      <c r="C120" s="72" t="s">
        <v>457</v>
      </c>
      <c r="D120" s="67" t="s">
        <v>463</v>
      </c>
    </row>
    <row r="121" spans="3:4" x14ac:dyDescent="0.4">
      <c r="C121" s="72" t="s">
        <v>457</v>
      </c>
      <c r="D121" s="67" t="s">
        <v>464</v>
      </c>
    </row>
    <row r="122" spans="3:4" x14ac:dyDescent="0.4">
      <c r="C122" s="72" t="s">
        <v>457</v>
      </c>
      <c r="D122" s="67" t="s">
        <v>465</v>
      </c>
    </row>
    <row r="123" spans="3:4" x14ac:dyDescent="0.4">
      <c r="C123" s="66" t="s">
        <v>367</v>
      </c>
      <c r="D123" s="67" t="s">
        <v>368</v>
      </c>
    </row>
    <row r="124" spans="3:4" x14ac:dyDescent="0.4">
      <c r="C124" s="72" t="s">
        <v>457</v>
      </c>
      <c r="D124" s="67" t="s">
        <v>466</v>
      </c>
    </row>
    <row r="125" spans="3:4" x14ac:dyDescent="0.4">
      <c r="C125" s="66" t="s">
        <v>379</v>
      </c>
      <c r="D125" s="67" t="s">
        <v>380</v>
      </c>
    </row>
    <row r="126" spans="3:4" x14ac:dyDescent="0.4">
      <c r="C126" s="66" t="s">
        <v>381</v>
      </c>
      <c r="D126" s="67" t="s">
        <v>382</v>
      </c>
    </row>
    <row r="127" spans="3:4" x14ac:dyDescent="0.4">
      <c r="C127" s="72" t="s">
        <v>457</v>
      </c>
      <c r="D127" s="67" t="s">
        <v>467</v>
      </c>
    </row>
    <row r="128" spans="3:4" x14ac:dyDescent="0.4">
      <c r="C128" s="66" t="s">
        <v>385</v>
      </c>
      <c r="D128" s="67" t="s">
        <v>386</v>
      </c>
    </row>
    <row r="129" spans="3:4" x14ac:dyDescent="0.4">
      <c r="C129" s="66" t="s">
        <v>383</v>
      </c>
      <c r="D129" s="67" t="s">
        <v>384</v>
      </c>
    </row>
    <row r="130" spans="3:4" x14ac:dyDescent="0.4">
      <c r="C130" s="72" t="s">
        <v>457</v>
      </c>
      <c r="D130" s="67" t="s">
        <v>468</v>
      </c>
    </row>
    <row r="131" spans="3:4" x14ac:dyDescent="0.4">
      <c r="C131" s="72" t="s">
        <v>457</v>
      </c>
      <c r="D131" s="67" t="s">
        <v>469</v>
      </c>
    </row>
    <row r="132" spans="3:4" x14ac:dyDescent="0.4">
      <c r="C132" s="66" t="s">
        <v>387</v>
      </c>
      <c r="D132" s="67" t="s">
        <v>388</v>
      </c>
    </row>
    <row r="133" spans="3:4" x14ac:dyDescent="0.4">
      <c r="C133" s="66" t="s">
        <v>470</v>
      </c>
      <c r="D133" s="67" t="s">
        <v>471</v>
      </c>
    </row>
    <row r="134" spans="3:4" x14ac:dyDescent="0.4">
      <c r="C134" s="72" t="s">
        <v>457</v>
      </c>
      <c r="D134" s="67" t="s">
        <v>472</v>
      </c>
    </row>
    <row r="135" spans="3:4" x14ac:dyDescent="0.4">
      <c r="C135" s="66" t="s">
        <v>371</v>
      </c>
      <c r="D135" s="67" t="s">
        <v>372</v>
      </c>
    </row>
    <row r="136" spans="3:4" x14ac:dyDescent="0.4">
      <c r="C136" s="72" t="s">
        <v>457</v>
      </c>
      <c r="D136" s="67" t="s">
        <v>473</v>
      </c>
    </row>
    <row r="137" spans="3:4" x14ac:dyDescent="0.4">
      <c r="C137" s="72" t="s">
        <v>457</v>
      </c>
      <c r="D137" s="67" t="s">
        <v>474</v>
      </c>
    </row>
    <row r="138" spans="3:4" x14ac:dyDescent="0.4">
      <c r="C138" s="72" t="s">
        <v>457</v>
      </c>
      <c r="D138" s="67" t="s">
        <v>475</v>
      </c>
    </row>
    <row r="139" spans="3:4" x14ac:dyDescent="0.4">
      <c r="C139" s="72" t="s">
        <v>457</v>
      </c>
      <c r="D139" s="67" t="s">
        <v>476</v>
      </c>
    </row>
    <row r="140" spans="3:4" x14ac:dyDescent="0.4">
      <c r="C140" s="72" t="s">
        <v>457</v>
      </c>
      <c r="D140" s="67" t="s">
        <v>477</v>
      </c>
    </row>
    <row r="141" spans="3:4" x14ac:dyDescent="0.4">
      <c r="C141" s="66" t="s">
        <v>365</v>
      </c>
      <c r="D141" s="67" t="s">
        <v>312</v>
      </c>
    </row>
    <row r="142" spans="3:4" x14ac:dyDescent="0.4">
      <c r="C142" s="66" t="s">
        <v>391</v>
      </c>
      <c r="D142" s="67" t="s">
        <v>392</v>
      </c>
    </row>
    <row r="143" spans="3:4" x14ac:dyDescent="0.4">
      <c r="C143" s="72" t="s">
        <v>457</v>
      </c>
      <c r="D143" s="67" t="s">
        <v>478</v>
      </c>
    </row>
    <row r="144" spans="3:4" x14ac:dyDescent="0.4">
      <c r="C144" s="66" t="s">
        <v>479</v>
      </c>
      <c r="D144" s="67" t="s">
        <v>480</v>
      </c>
    </row>
    <row r="145" spans="3:6" x14ac:dyDescent="0.4">
      <c r="C145" s="66" t="s">
        <v>389</v>
      </c>
      <c r="D145" s="67" t="s">
        <v>390</v>
      </c>
    </row>
    <row r="146" spans="3:6" x14ac:dyDescent="0.4">
      <c r="C146" s="66" t="s">
        <v>481</v>
      </c>
      <c r="D146" s="67" t="s">
        <v>482</v>
      </c>
    </row>
    <row r="147" spans="3:6" x14ac:dyDescent="0.4">
      <c r="C147" s="66" t="s">
        <v>481</v>
      </c>
      <c r="D147" s="67" t="s">
        <v>483</v>
      </c>
    </row>
    <row r="148" spans="3:6" x14ac:dyDescent="0.4">
      <c r="C148" s="66" t="s">
        <v>481</v>
      </c>
      <c r="D148" s="67" t="s">
        <v>484</v>
      </c>
    </row>
    <row r="149" spans="3:6" x14ac:dyDescent="0.4">
      <c r="D149" s="64"/>
    </row>
    <row r="150" spans="3:6" x14ac:dyDescent="0.4">
      <c r="D150" s="64"/>
    </row>
    <row r="151" spans="3:6" ht="14.4" x14ac:dyDescent="0.55000000000000004">
      <c r="D151" s="10"/>
    </row>
    <row r="152" spans="3:6" ht="14.4" x14ac:dyDescent="0.55000000000000004">
      <c r="C152" s="73" t="s">
        <v>485</v>
      </c>
      <c r="D152" s="10">
        <v>143</v>
      </c>
    </row>
    <row r="153" spans="3:6" ht="14.4" x14ac:dyDescent="0.55000000000000004">
      <c r="C153" s="74" t="s">
        <v>486</v>
      </c>
      <c r="D153" s="10">
        <v>506</v>
      </c>
      <c r="E153" s="74" t="s">
        <v>487</v>
      </c>
    </row>
    <row r="154" spans="3:6" ht="14.4" x14ac:dyDescent="0.55000000000000004">
      <c r="C154" s="74" t="s">
        <v>488</v>
      </c>
      <c r="D154" s="10">
        <v>890</v>
      </c>
      <c r="E154" s="74" t="s">
        <v>489</v>
      </c>
    </row>
    <row r="155" spans="3:6" ht="14.4" x14ac:dyDescent="0.55000000000000004">
      <c r="C155" s="66" t="s">
        <v>490</v>
      </c>
      <c r="D155" s="75" t="s">
        <v>491</v>
      </c>
      <c r="F155" s="55">
        <v>1</v>
      </c>
    </row>
    <row r="156" spans="3:6" ht="14.4" x14ac:dyDescent="0.55000000000000004">
      <c r="C156" s="66" t="s">
        <v>490</v>
      </c>
      <c r="D156" s="75" t="s">
        <v>492</v>
      </c>
      <c r="F156" s="55">
        <v>2</v>
      </c>
    </row>
    <row r="157" spans="3:6" ht="14.4" x14ac:dyDescent="0.55000000000000004">
      <c r="C157" s="66" t="s">
        <v>490</v>
      </c>
      <c r="D157" s="76" t="s">
        <v>493</v>
      </c>
      <c r="F157" s="55">
        <v>3</v>
      </c>
    </row>
    <row r="158" spans="3:6" ht="14.4" x14ac:dyDescent="0.55000000000000004">
      <c r="C158" s="66" t="s">
        <v>490</v>
      </c>
      <c r="D158" s="76" t="s">
        <v>494</v>
      </c>
      <c r="F158" s="55">
        <v>4</v>
      </c>
    </row>
    <row r="159" spans="3:6" ht="14.4" x14ac:dyDescent="0.55000000000000004">
      <c r="C159" s="66" t="s">
        <v>490</v>
      </c>
      <c r="D159" s="76" t="s">
        <v>495</v>
      </c>
      <c r="F159" s="55">
        <v>5</v>
      </c>
    </row>
    <row r="160" spans="3:6" ht="14.4" x14ac:dyDescent="0.55000000000000004">
      <c r="C160" s="66" t="s">
        <v>490</v>
      </c>
      <c r="D160" s="76" t="s">
        <v>496</v>
      </c>
      <c r="F160" s="55">
        <v>6</v>
      </c>
    </row>
    <row r="161" spans="3:9" ht="14.4" x14ac:dyDescent="0.55000000000000004">
      <c r="C161" s="66" t="s">
        <v>490</v>
      </c>
      <c r="D161" s="76" t="s">
        <v>497</v>
      </c>
      <c r="F161" s="55">
        <v>7</v>
      </c>
    </row>
    <row r="162" spans="3:9" ht="14.4" x14ac:dyDescent="0.55000000000000004">
      <c r="C162" s="66" t="s">
        <v>490</v>
      </c>
      <c r="D162" s="76" t="s">
        <v>498</v>
      </c>
      <c r="F162" s="55">
        <v>8</v>
      </c>
    </row>
    <row r="163" spans="3:9" ht="14.4" x14ac:dyDescent="0.55000000000000004">
      <c r="C163" s="66" t="s">
        <v>490</v>
      </c>
      <c r="D163" s="76" t="s">
        <v>499</v>
      </c>
      <c r="F163" s="55">
        <v>9</v>
      </c>
    </row>
    <row r="164" spans="3:9" ht="14.4" x14ac:dyDescent="0.55000000000000004">
      <c r="C164" s="66" t="s">
        <v>490</v>
      </c>
      <c r="D164" s="76" t="s">
        <v>500</v>
      </c>
      <c r="F164" s="55">
        <v>10</v>
      </c>
    </row>
    <row r="165" spans="3:9" ht="14.4" x14ac:dyDescent="0.55000000000000004">
      <c r="C165" s="66" t="s">
        <v>490</v>
      </c>
      <c r="D165" s="76" t="s">
        <v>501</v>
      </c>
      <c r="F165" s="55">
        <v>11</v>
      </c>
    </row>
    <row r="166" spans="3:9" ht="14.4" x14ac:dyDescent="0.55000000000000004">
      <c r="C166" s="66" t="s">
        <v>490</v>
      </c>
      <c r="D166" s="76" t="s">
        <v>502</v>
      </c>
      <c r="F166" s="55">
        <v>12</v>
      </c>
    </row>
    <row r="167" spans="3:9" ht="14.4" x14ac:dyDescent="0.55000000000000004">
      <c r="C167" s="66" t="s">
        <v>490</v>
      </c>
      <c r="D167" s="76" t="s">
        <v>503</v>
      </c>
      <c r="F167" s="55">
        <v>13</v>
      </c>
    </row>
    <row r="168" spans="3:9" ht="14.4" x14ac:dyDescent="0.55000000000000004">
      <c r="C168" s="66" t="s">
        <v>490</v>
      </c>
      <c r="D168" s="76" t="s">
        <v>504</v>
      </c>
      <c r="F168" s="55">
        <v>14</v>
      </c>
    </row>
    <row r="169" spans="3:9" ht="14.4" x14ac:dyDescent="0.55000000000000004">
      <c r="C169" s="66" t="s">
        <v>490</v>
      </c>
      <c r="D169" s="76" t="s">
        <v>505</v>
      </c>
      <c r="F169" s="55">
        <v>15</v>
      </c>
    </row>
    <row r="170" spans="3:9" ht="14.4" x14ac:dyDescent="0.55000000000000004">
      <c r="C170" s="66" t="s">
        <v>490</v>
      </c>
      <c r="D170" s="76" t="s">
        <v>506</v>
      </c>
      <c r="F170" s="55">
        <v>16</v>
      </c>
    </row>
    <row r="171" spans="3:9" ht="14.4" x14ac:dyDescent="0.55000000000000004">
      <c r="C171" s="66" t="s">
        <v>490</v>
      </c>
      <c r="D171" s="76" t="s">
        <v>507</v>
      </c>
      <c r="F171" s="55">
        <v>17</v>
      </c>
    </row>
    <row r="172" spans="3:9" ht="14.4" x14ac:dyDescent="0.55000000000000004">
      <c r="C172" s="66" t="s">
        <v>490</v>
      </c>
      <c r="D172" s="76" t="s">
        <v>508</v>
      </c>
      <c r="F172" s="55">
        <v>18</v>
      </c>
    </row>
    <row r="173" spans="3:9" ht="14.4" x14ac:dyDescent="0.55000000000000004">
      <c r="C173" s="68" t="s">
        <v>490</v>
      </c>
      <c r="D173" s="77" t="s">
        <v>509</v>
      </c>
      <c r="E173" s="70"/>
      <c r="F173" s="70">
        <v>19</v>
      </c>
      <c r="G173" s="70"/>
      <c r="H173" s="70"/>
      <c r="I173" s="70"/>
    </row>
    <row r="174" spans="3:9" ht="14.4" x14ac:dyDescent="0.55000000000000004">
      <c r="C174" s="66" t="s">
        <v>510</v>
      </c>
      <c r="D174" s="75" t="s">
        <v>511</v>
      </c>
      <c r="F174" s="55">
        <v>8</v>
      </c>
      <c r="H174" s="55">
        <v>10</v>
      </c>
      <c r="I174" s="64" t="s">
        <v>512</v>
      </c>
    </row>
    <row r="175" spans="3:9" ht="14.4" x14ac:dyDescent="0.55000000000000004">
      <c r="C175" s="66" t="s">
        <v>510</v>
      </c>
      <c r="D175" s="75" t="s">
        <v>513</v>
      </c>
      <c r="F175" s="55">
        <v>9</v>
      </c>
      <c r="H175" s="55">
        <v>11</v>
      </c>
    </row>
    <row r="176" spans="3:9" ht="14.4" x14ac:dyDescent="0.55000000000000004">
      <c r="C176" s="66" t="s">
        <v>510</v>
      </c>
      <c r="D176" s="75" t="s">
        <v>514</v>
      </c>
      <c r="F176" s="55">
        <v>10</v>
      </c>
    </row>
    <row r="177" spans="3:8" ht="14.4" x14ac:dyDescent="0.55000000000000004">
      <c r="C177" s="66" t="s">
        <v>510</v>
      </c>
      <c r="D177" s="75" t="s">
        <v>515</v>
      </c>
      <c r="F177" s="55">
        <v>20</v>
      </c>
    </row>
    <row r="178" spans="3:8" ht="14.4" x14ac:dyDescent="0.55000000000000004">
      <c r="C178" s="66" t="s">
        <v>510</v>
      </c>
      <c r="D178" s="75" t="s">
        <v>516</v>
      </c>
      <c r="F178" s="55">
        <v>29</v>
      </c>
    </row>
    <row r="179" spans="3:8" ht="14.4" x14ac:dyDescent="0.55000000000000004">
      <c r="C179" s="66" t="s">
        <v>510</v>
      </c>
      <c r="D179" s="75" t="s">
        <v>517</v>
      </c>
    </row>
    <row r="180" spans="3:8" ht="14.4" x14ac:dyDescent="0.55000000000000004">
      <c r="C180" s="66" t="s">
        <v>510</v>
      </c>
      <c r="D180" s="75" t="s">
        <v>518</v>
      </c>
    </row>
    <row r="181" spans="3:8" ht="14.4" x14ac:dyDescent="0.55000000000000004">
      <c r="C181" s="66" t="s">
        <v>510</v>
      </c>
      <c r="D181" s="75" t="s">
        <v>519</v>
      </c>
    </row>
    <row r="182" spans="3:8" ht="14.4" x14ac:dyDescent="0.55000000000000004">
      <c r="C182" s="66" t="s">
        <v>510</v>
      </c>
      <c r="D182" s="75" t="s">
        <v>520</v>
      </c>
    </row>
    <row r="183" spans="3:8" ht="14.4" x14ac:dyDescent="0.55000000000000004">
      <c r="C183" s="66" t="s">
        <v>510</v>
      </c>
      <c r="D183" s="75" t="s">
        <v>521</v>
      </c>
    </row>
    <row r="184" spans="3:8" ht="14.4" x14ac:dyDescent="0.55000000000000004">
      <c r="C184" s="68" t="s">
        <v>510</v>
      </c>
      <c r="D184" s="78" t="s">
        <v>515</v>
      </c>
      <c r="E184" s="70"/>
      <c r="F184" s="70"/>
      <c r="G184" s="70"/>
      <c r="H184" s="70"/>
    </row>
    <row r="185" spans="3:8" x14ac:dyDescent="0.4">
      <c r="C185" s="66" t="s">
        <v>522</v>
      </c>
      <c r="D185" s="67" t="s">
        <v>186</v>
      </c>
    </row>
    <row r="186" spans="3:8" x14ac:dyDescent="0.4">
      <c r="C186" s="66" t="s">
        <v>522</v>
      </c>
      <c r="D186" s="67" t="s">
        <v>523</v>
      </c>
    </row>
    <row r="187" spans="3:8" x14ac:dyDescent="0.4">
      <c r="C187" s="66"/>
      <c r="D187" s="67" t="s">
        <v>524</v>
      </c>
    </row>
    <row r="188" spans="3:8" x14ac:dyDescent="0.4">
      <c r="C188" s="66" t="s">
        <v>525</v>
      </c>
      <c r="D188" s="67" t="s">
        <v>526</v>
      </c>
    </row>
    <row r="189" spans="3:8" x14ac:dyDescent="0.4">
      <c r="D189" s="64"/>
    </row>
    <row r="190" spans="3:8" ht="14.4" x14ac:dyDescent="0.55000000000000004">
      <c r="C190" s="74" t="s">
        <v>527</v>
      </c>
      <c r="D190" s="10" t="s">
        <v>528</v>
      </c>
      <c r="E190" s="74" t="s">
        <v>529</v>
      </c>
    </row>
    <row r="191" spans="3:8" ht="14.4" x14ac:dyDescent="0.55000000000000004">
      <c r="C191" s="74" t="s">
        <v>530</v>
      </c>
      <c r="D191" s="10" t="s">
        <v>531</v>
      </c>
      <c r="E191" s="74" t="s">
        <v>532</v>
      </c>
    </row>
    <row r="192" spans="3:8" ht="14.4" x14ac:dyDescent="0.55000000000000004">
      <c r="C192" s="74" t="s">
        <v>533</v>
      </c>
      <c r="D192" s="10" t="s">
        <v>534</v>
      </c>
      <c r="E192" s="74" t="s">
        <v>535</v>
      </c>
    </row>
    <row r="193" spans="3:11" ht="14.4" x14ac:dyDescent="0.55000000000000004">
      <c r="C193" s="74" t="s">
        <v>536</v>
      </c>
      <c r="D193" s="10" t="s">
        <v>537</v>
      </c>
      <c r="E193" s="79" t="s">
        <v>538</v>
      </c>
    </row>
    <row r="194" spans="3:11" ht="14.4" x14ac:dyDescent="0.55000000000000004">
      <c r="C194" s="74" t="s">
        <v>539</v>
      </c>
      <c r="D194" s="10" t="s">
        <v>540</v>
      </c>
      <c r="E194" s="74" t="s">
        <v>541</v>
      </c>
    </row>
    <row r="195" spans="3:11" ht="14.4" x14ac:dyDescent="0.55000000000000004">
      <c r="C195" s="74" t="s">
        <v>542</v>
      </c>
      <c r="D195" s="10" t="s">
        <v>543</v>
      </c>
      <c r="E195" s="74" t="s">
        <v>544</v>
      </c>
    </row>
    <row r="196" spans="3:11" x14ac:dyDescent="0.4">
      <c r="C196" s="70"/>
      <c r="D196" s="71"/>
      <c r="E196" s="70"/>
      <c r="F196" s="70"/>
      <c r="G196" s="70"/>
      <c r="H196" s="70"/>
      <c r="I196" s="70"/>
      <c r="J196" s="70"/>
      <c r="K196" s="70"/>
    </row>
    <row r="197" spans="3:11" x14ac:dyDescent="0.4">
      <c r="C197" s="66" t="s">
        <v>545</v>
      </c>
      <c r="D197" s="67" t="s">
        <v>546</v>
      </c>
      <c r="E197" s="66" t="s">
        <v>547</v>
      </c>
      <c r="F197" s="67" t="s">
        <v>548</v>
      </c>
      <c r="G197" s="66" t="s">
        <v>549</v>
      </c>
      <c r="H197" s="67" t="s">
        <v>550</v>
      </c>
      <c r="I197" s="66" t="s">
        <v>551</v>
      </c>
      <c r="J197" s="66" t="s">
        <v>552</v>
      </c>
      <c r="K197" s="66" t="s">
        <v>553</v>
      </c>
    </row>
    <row r="198" spans="3:11" x14ac:dyDescent="0.4">
      <c r="C198" s="66"/>
      <c r="D198" s="67"/>
      <c r="E198" s="66" t="s">
        <v>554</v>
      </c>
      <c r="F198" s="67" t="s">
        <v>555</v>
      </c>
      <c r="G198" s="66" t="s">
        <v>556</v>
      </c>
      <c r="H198" s="67" t="s">
        <v>190</v>
      </c>
      <c r="I198" s="66" t="s">
        <v>557</v>
      </c>
      <c r="J198" s="66"/>
      <c r="K198" s="66"/>
    </row>
    <row r="199" spans="3:11" x14ac:dyDescent="0.4">
      <c r="C199" s="66"/>
      <c r="D199" s="67"/>
      <c r="E199" s="66"/>
      <c r="F199" s="67"/>
      <c r="G199" s="66" t="s">
        <v>558</v>
      </c>
      <c r="H199" s="67" t="s">
        <v>559</v>
      </c>
      <c r="I199" s="66"/>
      <c r="J199" s="66"/>
      <c r="K199" s="66"/>
    </row>
    <row r="200" spans="3:11" x14ac:dyDescent="0.4">
      <c r="C200" s="66"/>
      <c r="D200" s="67"/>
      <c r="E200" s="66"/>
      <c r="F200" s="67"/>
      <c r="G200" s="66" t="s">
        <v>560</v>
      </c>
      <c r="H200" s="67" t="s">
        <v>561</v>
      </c>
      <c r="I200" s="66"/>
      <c r="J200" s="66"/>
      <c r="K200" s="66"/>
    </row>
    <row r="201" spans="3:11" x14ac:dyDescent="0.4">
      <c r="C201" s="70"/>
      <c r="D201" s="71"/>
      <c r="E201" s="70"/>
      <c r="F201" s="71"/>
      <c r="G201" s="70"/>
      <c r="H201" s="71"/>
    </row>
    <row r="202" spans="3:11" x14ac:dyDescent="0.4">
      <c r="C202" s="55" t="s">
        <v>562</v>
      </c>
      <c r="D202" s="64" t="s">
        <v>480</v>
      </c>
      <c r="E202" s="55" t="s">
        <v>563</v>
      </c>
      <c r="F202" s="64" t="s">
        <v>564</v>
      </c>
      <c r="H202" s="64"/>
    </row>
    <row r="203" spans="3:11" x14ac:dyDescent="0.4">
      <c r="D203" s="64"/>
      <c r="E203" s="55" t="s">
        <v>565</v>
      </c>
      <c r="F203" s="64" t="s">
        <v>566</v>
      </c>
      <c r="H203" s="64"/>
    </row>
    <row r="204" spans="3:11" x14ac:dyDescent="0.4">
      <c r="D204" s="64"/>
      <c r="E204" s="55" t="s">
        <v>567</v>
      </c>
      <c r="F204" s="64" t="s">
        <v>568</v>
      </c>
      <c r="H204" s="64"/>
    </row>
    <row r="205" spans="3:11" x14ac:dyDescent="0.4">
      <c r="D205" s="64"/>
      <c r="E205" s="55" t="s">
        <v>569</v>
      </c>
      <c r="F205" s="64" t="s">
        <v>570</v>
      </c>
      <c r="H205" s="64"/>
    </row>
    <row r="206" spans="3:11" x14ac:dyDescent="0.4">
      <c r="C206" s="70"/>
      <c r="D206" s="71"/>
      <c r="E206" s="70"/>
      <c r="F206" s="71"/>
      <c r="G206" s="70"/>
      <c r="H206" s="71"/>
    </row>
    <row r="207" spans="3:11" x14ac:dyDescent="0.4">
      <c r="C207" s="66" t="s">
        <v>571</v>
      </c>
      <c r="D207" s="67" t="s">
        <v>572</v>
      </c>
      <c r="E207" s="66" t="s">
        <v>573</v>
      </c>
      <c r="F207" s="67" t="s">
        <v>574</v>
      </c>
      <c r="G207" s="66" t="s">
        <v>575</v>
      </c>
      <c r="H207" s="67"/>
    </row>
    <row r="208" spans="3:11" x14ac:dyDescent="0.4">
      <c r="C208" s="66"/>
      <c r="D208" s="67"/>
      <c r="E208" s="66" t="s">
        <v>576</v>
      </c>
      <c r="F208" s="67">
        <v>82</v>
      </c>
      <c r="G208" s="66" t="s">
        <v>575</v>
      </c>
      <c r="H208" s="67"/>
    </row>
    <row r="209" spans="3:8" x14ac:dyDescent="0.4">
      <c r="C209" s="66"/>
      <c r="D209" s="67"/>
      <c r="E209" s="66" t="s">
        <v>577</v>
      </c>
      <c r="F209" s="67">
        <v>90</v>
      </c>
      <c r="G209" s="66" t="s">
        <v>575</v>
      </c>
      <c r="H209" s="67"/>
    </row>
    <row r="210" spans="3:8" x14ac:dyDescent="0.4">
      <c r="C210" s="70"/>
      <c r="D210" s="71"/>
      <c r="E210" s="70"/>
      <c r="F210" s="71"/>
      <c r="G210" s="70"/>
      <c r="H210" s="71"/>
    </row>
    <row r="211" spans="3:8" x14ac:dyDescent="0.4">
      <c r="C211" s="55" t="s">
        <v>578</v>
      </c>
      <c r="D211" s="64" t="s">
        <v>579</v>
      </c>
      <c r="E211" s="66" t="s">
        <v>580</v>
      </c>
      <c r="F211" s="67" t="s">
        <v>581</v>
      </c>
      <c r="G211" s="66" t="s">
        <v>582</v>
      </c>
      <c r="H211" s="67" t="s">
        <v>583</v>
      </c>
    </row>
    <row r="212" spans="3:8" x14ac:dyDescent="0.4">
      <c r="C212" s="55" t="s">
        <v>584</v>
      </c>
      <c r="D212" s="64" t="s">
        <v>585</v>
      </c>
      <c r="E212" s="66" t="s">
        <v>586</v>
      </c>
      <c r="F212" s="67" t="s">
        <v>587</v>
      </c>
      <c r="G212" s="66" t="s">
        <v>588</v>
      </c>
      <c r="H212" s="67" t="s">
        <v>177</v>
      </c>
    </row>
    <row r="213" spans="3:8" x14ac:dyDescent="0.4">
      <c r="D213" s="64"/>
      <c r="E213" s="66" t="s">
        <v>589</v>
      </c>
      <c r="F213" s="67" t="s">
        <v>590</v>
      </c>
      <c r="G213" s="66" t="s">
        <v>591</v>
      </c>
      <c r="H213" s="67" t="s">
        <v>592</v>
      </c>
    </row>
    <row r="214" spans="3:8" x14ac:dyDescent="0.4">
      <c r="D214" s="64"/>
      <c r="E214" s="66" t="s">
        <v>593</v>
      </c>
      <c r="F214" s="67" t="s">
        <v>594</v>
      </c>
      <c r="G214" s="66" t="s">
        <v>595</v>
      </c>
      <c r="H214" s="67" t="s">
        <v>596</v>
      </c>
    </row>
    <row r="215" spans="3:8" x14ac:dyDescent="0.4">
      <c r="D215" s="64"/>
      <c r="E215" s="66" t="s">
        <v>597</v>
      </c>
      <c r="F215" s="67" t="s">
        <v>598</v>
      </c>
      <c r="G215" s="66"/>
      <c r="H215" s="67"/>
    </row>
    <row r="216" spans="3:8" x14ac:dyDescent="0.4">
      <c r="D216" s="64"/>
      <c r="F216" s="64" t="s">
        <v>585</v>
      </c>
      <c r="H216" s="64"/>
    </row>
    <row r="217" spans="3:8" x14ac:dyDescent="0.4">
      <c r="D217" s="64"/>
      <c r="F217" s="64" t="s">
        <v>599</v>
      </c>
      <c r="H217" s="64"/>
    </row>
    <row r="218" spans="3:8" x14ac:dyDescent="0.4">
      <c r="D218" s="64"/>
      <c r="F218" s="64" t="s">
        <v>190</v>
      </c>
      <c r="H218" s="64"/>
    </row>
    <row r="219" spans="3:8" x14ac:dyDescent="0.4">
      <c r="D219" s="64"/>
      <c r="F219" s="64" t="s">
        <v>600</v>
      </c>
      <c r="H219" s="64"/>
    </row>
    <row r="220" spans="3:8" x14ac:dyDescent="0.4">
      <c r="D220" s="64"/>
      <c r="F220" s="64" t="s">
        <v>550</v>
      </c>
      <c r="H220" s="64"/>
    </row>
    <row r="221" spans="3:8" x14ac:dyDescent="0.4">
      <c r="D221" s="64"/>
      <c r="F221" s="64" t="s">
        <v>467</v>
      </c>
      <c r="H221" s="64"/>
    </row>
    <row r="222" spans="3:8" x14ac:dyDescent="0.4">
      <c r="D222" s="64"/>
      <c r="F222" s="64" t="s">
        <v>585</v>
      </c>
      <c r="H222" s="64"/>
    </row>
    <row r="223" spans="3:8" x14ac:dyDescent="0.4">
      <c r="D223" s="64"/>
      <c r="F223" s="64" t="s">
        <v>601</v>
      </c>
      <c r="H223" s="64"/>
    </row>
    <row r="224" spans="3:8" x14ac:dyDescent="0.4">
      <c r="D224" s="64"/>
      <c r="F224" s="64" t="s">
        <v>602</v>
      </c>
      <c r="H224" s="64"/>
    </row>
    <row r="225" spans="3:8" x14ac:dyDescent="0.4">
      <c r="D225" s="64"/>
      <c r="F225" s="64" t="s">
        <v>603</v>
      </c>
      <c r="H225" s="64"/>
    </row>
    <row r="226" spans="3:8" x14ac:dyDescent="0.4">
      <c r="D226" s="64"/>
      <c r="F226" s="64" t="s">
        <v>579</v>
      </c>
      <c r="H226" s="64"/>
    </row>
    <row r="227" spans="3:8" x14ac:dyDescent="0.4">
      <c r="D227" s="64"/>
      <c r="F227" s="64" t="s">
        <v>604</v>
      </c>
      <c r="H227" s="64"/>
    </row>
    <row r="228" spans="3:8" x14ac:dyDescent="0.4">
      <c r="C228" s="70"/>
      <c r="D228" s="71"/>
      <c r="E228" s="70"/>
      <c r="F228" s="71"/>
      <c r="G228" s="70"/>
      <c r="H228" s="71"/>
    </row>
    <row r="229" spans="3:8" x14ac:dyDescent="0.4">
      <c r="C229" s="55" t="s">
        <v>605</v>
      </c>
      <c r="D229" s="64" t="s">
        <v>606</v>
      </c>
      <c r="F229" s="64">
        <v>2</v>
      </c>
      <c r="H229" s="64">
        <v>0</v>
      </c>
    </row>
    <row r="230" spans="3:8" x14ac:dyDescent="0.4">
      <c r="F230" s="64" t="s">
        <v>587</v>
      </c>
      <c r="H230" s="64">
        <v>1</v>
      </c>
    </row>
    <row r="231" spans="3:8" x14ac:dyDescent="0.4">
      <c r="F231" s="64" t="s">
        <v>607</v>
      </c>
      <c r="H231" s="64">
        <v>2</v>
      </c>
    </row>
    <row r="232" spans="3:8" x14ac:dyDescent="0.4">
      <c r="F232" s="64" t="s">
        <v>608</v>
      </c>
      <c r="H232" s="64" t="s">
        <v>609</v>
      </c>
    </row>
    <row r="233" spans="3:8" x14ac:dyDescent="0.4">
      <c r="C233" s="70"/>
      <c r="D233" s="71"/>
    </row>
    <row r="234" spans="3:8" x14ac:dyDescent="0.4">
      <c r="C234" s="80" t="s">
        <v>610</v>
      </c>
      <c r="D234" s="81" t="s">
        <v>611</v>
      </c>
    </row>
    <row r="235" spans="3:8" x14ac:dyDescent="0.4">
      <c r="C235" s="80"/>
      <c r="D235" s="81" t="s">
        <v>428</v>
      </c>
    </row>
    <row r="236" spans="3:8" x14ac:dyDescent="0.4">
      <c r="C236" s="80"/>
      <c r="D236" s="81" t="s">
        <v>612</v>
      </c>
    </row>
    <row r="237" spans="3:8" x14ac:dyDescent="0.4">
      <c r="C237" s="80"/>
      <c r="D237" s="81" t="s">
        <v>613</v>
      </c>
    </row>
    <row r="238" spans="3:8" x14ac:dyDescent="0.4">
      <c r="C238" s="80"/>
      <c r="D238" s="81" t="s">
        <v>614</v>
      </c>
    </row>
    <row r="239" spans="3:8" x14ac:dyDescent="0.4">
      <c r="C239" s="80"/>
      <c r="D239" s="81" t="s">
        <v>615</v>
      </c>
    </row>
    <row r="240" spans="3:8" x14ac:dyDescent="0.4">
      <c r="C240" s="80"/>
      <c r="D240" s="81" t="s">
        <v>616</v>
      </c>
    </row>
    <row r="241" spans="3:4" x14ac:dyDescent="0.4">
      <c r="C241" s="80"/>
      <c r="D241" s="81" t="s">
        <v>617</v>
      </c>
    </row>
    <row r="242" spans="3:4" x14ac:dyDescent="0.4">
      <c r="C242" s="80"/>
      <c r="D242" s="81" t="s">
        <v>618</v>
      </c>
    </row>
    <row r="243" spans="3:4" x14ac:dyDescent="0.4">
      <c r="C243" s="80"/>
      <c r="D243" s="81" t="s">
        <v>619</v>
      </c>
    </row>
    <row r="244" spans="3:4" x14ac:dyDescent="0.4">
      <c r="C244" s="80"/>
      <c r="D244" s="81" t="s">
        <v>620</v>
      </c>
    </row>
    <row r="245" spans="3:4" x14ac:dyDescent="0.4">
      <c r="C245" s="80"/>
      <c r="D245" s="81" t="s">
        <v>621</v>
      </c>
    </row>
    <row r="246" spans="3:4" x14ac:dyDescent="0.4">
      <c r="C246" s="80"/>
      <c r="D246" s="81" t="s">
        <v>622</v>
      </c>
    </row>
    <row r="247" spans="3:4" x14ac:dyDescent="0.4">
      <c r="C247" s="80"/>
      <c r="D247" s="81" t="s">
        <v>623</v>
      </c>
    </row>
    <row r="248" spans="3:4" x14ac:dyDescent="0.4">
      <c r="C248" s="80"/>
      <c r="D248" s="81" t="s">
        <v>624</v>
      </c>
    </row>
    <row r="249" spans="3:4" x14ac:dyDescent="0.4">
      <c r="C249" s="80"/>
      <c r="D249" s="81" t="s">
        <v>625</v>
      </c>
    </row>
    <row r="250" spans="3:4" x14ac:dyDescent="0.4">
      <c r="C250" s="70"/>
      <c r="D250" s="71"/>
    </row>
    <row r="251" spans="3:4" x14ac:dyDescent="0.4">
      <c r="C251" s="55" t="s">
        <v>626</v>
      </c>
      <c r="D251" s="64" t="s">
        <v>627</v>
      </c>
    </row>
    <row r="252" spans="3:4" x14ac:dyDescent="0.4">
      <c r="C252" s="55" t="s">
        <v>626</v>
      </c>
      <c r="D252" s="64" t="s">
        <v>628</v>
      </c>
    </row>
    <row r="253" spans="3:4" x14ac:dyDescent="0.4">
      <c r="C253" s="55" t="s">
        <v>626</v>
      </c>
      <c r="D253" s="64" t="s">
        <v>629</v>
      </c>
    </row>
    <row r="254" spans="3:4" x14ac:dyDescent="0.4">
      <c r="C254" s="55" t="s">
        <v>626</v>
      </c>
      <c r="D254" s="64" t="s">
        <v>630</v>
      </c>
    </row>
    <row r="255" spans="3:4" x14ac:dyDescent="0.4">
      <c r="C255" s="55" t="s">
        <v>626</v>
      </c>
      <c r="D255" s="64" t="s">
        <v>631</v>
      </c>
    </row>
    <row r="256" spans="3:4" x14ac:dyDescent="0.4">
      <c r="C256" s="55" t="s">
        <v>626</v>
      </c>
      <c r="D256" s="64" t="s">
        <v>632</v>
      </c>
    </row>
    <row r="257" spans="3:4" x14ac:dyDescent="0.4">
      <c r="C257" s="55" t="s">
        <v>626</v>
      </c>
      <c r="D257" s="64" t="s">
        <v>633</v>
      </c>
    </row>
    <row r="258" spans="3:4" x14ac:dyDescent="0.4">
      <c r="C258" s="55" t="s">
        <v>626</v>
      </c>
      <c r="D258" s="64" t="s">
        <v>634</v>
      </c>
    </row>
    <row r="259" spans="3:4" x14ac:dyDescent="0.4">
      <c r="C259" s="55" t="s">
        <v>626</v>
      </c>
      <c r="D259" s="64" t="s">
        <v>635</v>
      </c>
    </row>
    <row r="260" spans="3:4" x14ac:dyDescent="0.4">
      <c r="C260" s="55" t="s">
        <v>626</v>
      </c>
      <c r="D260" s="64" t="s">
        <v>636</v>
      </c>
    </row>
    <row r="261" spans="3:4" x14ac:dyDescent="0.4">
      <c r="C261" s="55" t="s">
        <v>626</v>
      </c>
      <c r="D261" s="64" t="s">
        <v>637</v>
      </c>
    </row>
    <row r="262" spans="3:4" x14ac:dyDescent="0.4">
      <c r="C262" s="55" t="s">
        <v>626</v>
      </c>
      <c r="D262" s="64" t="s">
        <v>638</v>
      </c>
    </row>
    <row r="263" spans="3:4" x14ac:dyDescent="0.4">
      <c r="C263" s="55" t="s">
        <v>626</v>
      </c>
      <c r="D263" s="64" t="s">
        <v>639</v>
      </c>
    </row>
    <row r="264" spans="3:4" x14ac:dyDescent="0.4">
      <c r="C264" s="55" t="s">
        <v>626</v>
      </c>
      <c r="D264" s="64" t="s">
        <v>640</v>
      </c>
    </row>
    <row r="265" spans="3:4" x14ac:dyDescent="0.4">
      <c r="C265" s="55" t="s">
        <v>626</v>
      </c>
      <c r="D265" s="64" t="s">
        <v>641</v>
      </c>
    </row>
    <row r="266" spans="3:4" x14ac:dyDescent="0.4">
      <c r="C266" s="55" t="s">
        <v>626</v>
      </c>
      <c r="D266" s="64" t="s">
        <v>642</v>
      </c>
    </row>
    <row r="267" spans="3:4" x14ac:dyDescent="0.4">
      <c r="C267" s="70"/>
      <c r="D267" s="71"/>
    </row>
    <row r="268" spans="3:4" x14ac:dyDescent="0.4">
      <c r="C268" s="55" t="s">
        <v>643</v>
      </c>
      <c r="D268" s="64" t="s">
        <v>644</v>
      </c>
    </row>
    <row r="269" spans="3:4" x14ac:dyDescent="0.4">
      <c r="C269" s="55" t="s">
        <v>643</v>
      </c>
      <c r="D269" s="64" t="s">
        <v>645</v>
      </c>
    </row>
    <row r="270" spans="3:4" x14ac:dyDescent="0.4">
      <c r="C270" s="55" t="s">
        <v>643</v>
      </c>
      <c r="D270" s="64" t="s">
        <v>646</v>
      </c>
    </row>
    <row r="271" spans="3:4" x14ac:dyDescent="0.4">
      <c r="C271" s="55" t="s">
        <v>643</v>
      </c>
      <c r="D271" s="64" t="s">
        <v>647</v>
      </c>
    </row>
    <row r="272" spans="3:4" x14ac:dyDescent="0.4">
      <c r="C272" s="55" t="s">
        <v>643</v>
      </c>
      <c r="D272" s="64" t="s">
        <v>648</v>
      </c>
    </row>
    <row r="273" spans="3:4" x14ac:dyDescent="0.4">
      <c r="C273" s="55" t="s">
        <v>643</v>
      </c>
      <c r="D273" s="64" t="s">
        <v>649</v>
      </c>
    </row>
    <row r="274" spans="3:4" x14ac:dyDescent="0.4">
      <c r="C274" s="55" t="s">
        <v>643</v>
      </c>
      <c r="D274" s="64" t="s">
        <v>650</v>
      </c>
    </row>
    <row r="275" spans="3:4" x14ac:dyDescent="0.4">
      <c r="C275" s="70"/>
      <c r="D275" s="71"/>
    </row>
    <row r="276" spans="3:4" x14ac:dyDescent="0.4">
      <c r="C276" s="55" t="s">
        <v>651</v>
      </c>
      <c r="D276" s="64" t="s">
        <v>652</v>
      </c>
    </row>
    <row r="277" spans="3:4" x14ac:dyDescent="0.4">
      <c r="C277" s="70"/>
      <c r="D277" s="71"/>
    </row>
    <row r="278" spans="3:4" x14ac:dyDescent="0.4">
      <c r="C278" s="55" t="s">
        <v>653</v>
      </c>
      <c r="D278" s="64" t="s">
        <v>654</v>
      </c>
    </row>
    <row r="279" spans="3:4" x14ac:dyDescent="0.4">
      <c r="C279" s="70"/>
      <c r="D279" s="71"/>
    </row>
    <row r="280" spans="3:4" x14ac:dyDescent="0.4">
      <c r="C280" s="80" t="s">
        <v>655</v>
      </c>
      <c r="D280" s="81" t="s">
        <v>656</v>
      </c>
    </row>
    <row r="281" spans="3:4" x14ac:dyDescent="0.4">
      <c r="C281" s="80"/>
      <c r="D281" s="81" t="s">
        <v>657</v>
      </c>
    </row>
    <row r="282" spans="3:4" x14ac:dyDescent="0.4">
      <c r="C282" s="80"/>
      <c r="D282" s="81" t="s">
        <v>658</v>
      </c>
    </row>
    <row r="283" spans="3:4" x14ac:dyDescent="0.4">
      <c r="C283" s="80"/>
      <c r="D283" s="81" t="s">
        <v>659</v>
      </c>
    </row>
    <row r="284" spans="3:4" x14ac:dyDescent="0.4">
      <c r="C284" s="80"/>
      <c r="D284" s="81" t="s">
        <v>660</v>
      </c>
    </row>
    <row r="285" spans="3:4" x14ac:dyDescent="0.4">
      <c r="C285" s="80"/>
      <c r="D285" s="81" t="s">
        <v>661</v>
      </c>
    </row>
    <row r="286" spans="3:4" x14ac:dyDescent="0.4">
      <c r="C286" s="80"/>
      <c r="D286" s="81" t="s">
        <v>662</v>
      </c>
    </row>
    <row r="287" spans="3:4" x14ac:dyDescent="0.4">
      <c r="C287" s="70"/>
      <c r="D287" s="71"/>
    </row>
    <row r="288" spans="3:4" x14ac:dyDescent="0.4">
      <c r="C288" s="55" t="s">
        <v>663</v>
      </c>
      <c r="D288" s="64" t="s">
        <v>664</v>
      </c>
    </row>
    <row r="29259" spans="27:28" x14ac:dyDescent="0.4">
      <c r="AA29259" s="82">
        <v>41162</v>
      </c>
      <c r="AB29259" s="82"/>
    </row>
    <row r="29260" spans="27:28" x14ac:dyDescent="0.4">
      <c r="AA29260" s="82"/>
      <c r="AB29260" s="82"/>
    </row>
    <row r="29261" spans="27:28" x14ac:dyDescent="0.4">
      <c r="AA29261" s="82"/>
      <c r="AB29261" s="82"/>
    </row>
    <row r="29262" spans="27:28" x14ac:dyDescent="0.4">
      <c r="AA29262" s="82"/>
      <c r="AB29262" s="82"/>
    </row>
    <row r="29263" spans="27:28" x14ac:dyDescent="0.4">
      <c r="AA29263" s="82"/>
      <c r="AB29263" s="82"/>
    </row>
    <row r="29264" spans="27:28" x14ac:dyDescent="0.4">
      <c r="AA29264" s="82"/>
      <c r="AB29264" s="82"/>
    </row>
    <row r="29265" spans="27:28" x14ac:dyDescent="0.4">
      <c r="AA29265" s="82"/>
      <c r="AB29265" s="82"/>
    </row>
    <row r="29266" spans="27:28" x14ac:dyDescent="0.4">
      <c r="AA29266" s="82"/>
      <c r="AB29266" s="82"/>
    </row>
    <row r="29267" spans="27:28" x14ac:dyDescent="0.4">
      <c r="AA29267" s="82"/>
      <c r="AB29267" s="82"/>
    </row>
    <row r="29268" spans="27:28" x14ac:dyDescent="0.4">
      <c r="AA29268" s="82"/>
      <c r="AB29268" s="82"/>
    </row>
    <row r="29269" spans="27:28" x14ac:dyDescent="0.4">
      <c r="AA29269" s="82"/>
      <c r="AB29269" s="82"/>
    </row>
    <row r="29270" spans="27:28" x14ac:dyDescent="0.4">
      <c r="AA29270" s="82"/>
      <c r="AB29270" s="82"/>
    </row>
    <row r="29271" spans="27:28" x14ac:dyDescent="0.4">
      <c r="AA29271" s="82"/>
      <c r="AB29271" s="82"/>
    </row>
    <row r="29272" spans="27:28" x14ac:dyDescent="0.4">
      <c r="AA29272" s="82"/>
      <c r="AB29272" s="82"/>
    </row>
    <row r="29273" spans="27:28" x14ac:dyDescent="0.4">
      <c r="AA29273" s="82"/>
      <c r="AB29273" s="82"/>
    </row>
    <row r="29274" spans="27:28" x14ac:dyDescent="0.4">
      <c r="AA29274" s="82"/>
      <c r="AB29274" s="82"/>
    </row>
    <row r="29275" spans="27:28" x14ac:dyDescent="0.4">
      <c r="AA29275" s="82"/>
      <c r="AB29275" s="82"/>
    </row>
    <row r="29276" spans="27:28" x14ac:dyDescent="0.4">
      <c r="AA29276" s="82"/>
      <c r="AB29276" s="82"/>
    </row>
    <row r="29277" spans="27:28" x14ac:dyDescent="0.4">
      <c r="AA29277" s="82"/>
      <c r="AB29277" s="82"/>
    </row>
    <row r="29278" spans="27:28" x14ac:dyDescent="0.4">
      <c r="AA29278" s="82"/>
      <c r="AB29278" s="82"/>
    </row>
    <row r="29279" spans="27:28" x14ac:dyDescent="0.4">
      <c r="AA29279" s="82"/>
      <c r="AB29279" s="82"/>
    </row>
    <row r="29280" spans="27:28" x14ac:dyDescent="0.4">
      <c r="AA29280" s="82"/>
      <c r="AB29280" s="82"/>
    </row>
    <row r="29281" spans="27:28" x14ac:dyDescent="0.4">
      <c r="AA29281" s="82"/>
      <c r="AB29281" s="82"/>
    </row>
    <row r="29282" spans="27:28" x14ac:dyDescent="0.4">
      <c r="AA29282" s="82"/>
      <c r="AB29282" s="82"/>
    </row>
    <row r="29283" spans="27:28" x14ac:dyDescent="0.4">
      <c r="AA29283" s="82"/>
      <c r="AB29283" s="82"/>
    </row>
    <row r="29284" spans="27:28" x14ac:dyDescent="0.4">
      <c r="AA29284" s="82"/>
      <c r="AB29284" s="82"/>
    </row>
    <row r="29285" spans="27:28" x14ac:dyDescent="0.4">
      <c r="AA29285" s="82"/>
      <c r="AB29285" s="82"/>
    </row>
    <row r="29286" spans="27:28" x14ac:dyDescent="0.4">
      <c r="AA29286" s="82"/>
      <c r="AB29286" s="82"/>
    </row>
    <row r="29287" spans="27:28" x14ac:dyDescent="0.4">
      <c r="AA29287" s="82"/>
      <c r="AB29287" s="82"/>
    </row>
    <row r="29288" spans="27:28" x14ac:dyDescent="0.4">
      <c r="AA29288" s="82"/>
      <c r="AB29288" s="82"/>
    </row>
    <row r="29289" spans="27:28" x14ac:dyDescent="0.4">
      <c r="AA29289" s="82"/>
      <c r="AB29289" s="82"/>
    </row>
    <row r="29290" spans="27:28" x14ac:dyDescent="0.4">
      <c r="AA29290" s="82"/>
      <c r="AB29290" s="82"/>
    </row>
    <row r="29291" spans="27:28" x14ac:dyDescent="0.4">
      <c r="AA29291" s="82"/>
      <c r="AB29291" s="82"/>
    </row>
    <row r="29292" spans="27:28" x14ac:dyDescent="0.4">
      <c r="AA29292" s="82"/>
      <c r="AB29292" s="82"/>
    </row>
    <row r="29293" spans="27:28" x14ac:dyDescent="0.4">
      <c r="AA29293" s="82"/>
      <c r="AB29293" s="82"/>
    </row>
    <row r="29294" spans="27:28" x14ac:dyDescent="0.4">
      <c r="AA29294" s="82"/>
      <c r="AB29294" s="82"/>
    </row>
    <row r="29295" spans="27:28" x14ac:dyDescent="0.4">
      <c r="AA29295" s="82"/>
      <c r="AB29295" s="82"/>
    </row>
    <row r="29296" spans="27:28" x14ac:dyDescent="0.4">
      <c r="AA29296" s="82"/>
      <c r="AB29296" s="82"/>
    </row>
    <row r="29297" spans="27:28" x14ac:dyDescent="0.4">
      <c r="AA29297" s="82"/>
      <c r="AB29297" s="82"/>
    </row>
    <row r="29298" spans="27:28" x14ac:dyDescent="0.4">
      <c r="AA29298" s="82"/>
      <c r="AB29298" s="82"/>
    </row>
    <row r="29299" spans="27:28" x14ac:dyDescent="0.4">
      <c r="AA29299" s="82"/>
      <c r="AB29299" s="82"/>
    </row>
    <row r="29300" spans="27:28" x14ac:dyDescent="0.4">
      <c r="AA29300" s="82"/>
      <c r="AB29300" s="82"/>
    </row>
    <row r="29301" spans="27:28" x14ac:dyDescent="0.4">
      <c r="AA29301" s="82"/>
      <c r="AB29301" s="82"/>
    </row>
    <row r="29302" spans="27:28" x14ac:dyDescent="0.4">
      <c r="AA29302" s="82"/>
      <c r="AB29302" s="82"/>
    </row>
    <row r="30065" spans="27:28" x14ac:dyDescent="0.4">
      <c r="AA30065" s="82"/>
      <c r="AB30065" s="82"/>
    </row>
    <row r="30066" spans="27:28" x14ac:dyDescent="0.4">
      <c r="AA30066" s="82"/>
      <c r="AB30066" s="82"/>
    </row>
    <row r="30067" spans="27:28" x14ac:dyDescent="0.4">
      <c r="AA30067" s="82"/>
      <c r="AB30067" s="82"/>
    </row>
    <row r="30068" spans="27:28" x14ac:dyDescent="0.4">
      <c r="AA30068" s="82"/>
      <c r="AB30068" s="82"/>
    </row>
    <row r="30069" spans="27:28" x14ac:dyDescent="0.4">
      <c r="AA30069" s="82"/>
      <c r="AB30069" s="82"/>
    </row>
    <row r="30070" spans="27:28" x14ac:dyDescent="0.4">
      <c r="AA30070" s="82"/>
      <c r="AB30070" s="82"/>
    </row>
    <row r="30071" spans="27:28" x14ac:dyDescent="0.4">
      <c r="AA30071" s="82"/>
      <c r="AB30071" s="82"/>
    </row>
    <row r="30072" spans="27:28" x14ac:dyDescent="0.4">
      <c r="AA30072" s="82"/>
      <c r="AB30072" s="82"/>
    </row>
    <row r="30073" spans="27:28" x14ac:dyDescent="0.4">
      <c r="AA30073" s="82"/>
      <c r="AB30073" s="82"/>
    </row>
    <row r="30074" spans="27:28" x14ac:dyDescent="0.4">
      <c r="AA30074" s="82"/>
      <c r="AB30074" s="82"/>
    </row>
    <row r="30075" spans="27:28" x14ac:dyDescent="0.4">
      <c r="AA30075" s="82"/>
      <c r="AB30075" s="82"/>
    </row>
    <row r="30076" spans="27:28" x14ac:dyDescent="0.4">
      <c r="AA30076" s="82"/>
      <c r="AB30076" s="82"/>
    </row>
    <row r="30077" spans="27:28" x14ac:dyDescent="0.4">
      <c r="AA30077" s="82"/>
      <c r="AB30077" s="82"/>
    </row>
    <row r="30078" spans="27:28" x14ac:dyDescent="0.4">
      <c r="AA30078" s="82"/>
      <c r="AB30078" s="82"/>
    </row>
    <row r="30079" spans="27:28" x14ac:dyDescent="0.4">
      <c r="AA30079" s="82"/>
      <c r="AB30079" s="82"/>
    </row>
    <row r="30080" spans="27:28" x14ac:dyDescent="0.4">
      <c r="AA30080" s="82"/>
      <c r="AB30080" s="82"/>
    </row>
    <row r="30081" spans="27:28" x14ac:dyDescent="0.4">
      <c r="AA30081" s="82"/>
      <c r="AB30081" s="82"/>
    </row>
    <row r="30082" spans="27:28" x14ac:dyDescent="0.4">
      <c r="AA30082" s="82"/>
      <c r="AB30082" s="82"/>
    </row>
    <row r="30083" spans="27:28" x14ac:dyDescent="0.4">
      <c r="AA30083" s="82"/>
      <c r="AB30083" s="82"/>
    </row>
    <row r="30084" spans="27:28" x14ac:dyDescent="0.4">
      <c r="AA30084" s="82"/>
      <c r="AB30084" s="82"/>
    </row>
    <row r="30085" spans="27:28" x14ac:dyDescent="0.4">
      <c r="AA30085" s="82"/>
      <c r="AB30085" s="82"/>
    </row>
    <row r="30086" spans="27:28" x14ac:dyDescent="0.4">
      <c r="AA30086" s="82"/>
      <c r="AB30086" s="82"/>
    </row>
    <row r="30087" spans="27:28" x14ac:dyDescent="0.4">
      <c r="AA30087" s="82"/>
      <c r="AB30087" s="82"/>
    </row>
    <row r="30088" spans="27:28" x14ac:dyDescent="0.4">
      <c r="AA30088" s="82"/>
      <c r="AB30088" s="82"/>
    </row>
    <row r="31015" spans="27:28" x14ac:dyDescent="0.4">
      <c r="AA31015" s="82"/>
      <c r="AB31015" s="82"/>
    </row>
    <row r="31016" spans="27:28" x14ac:dyDescent="0.4">
      <c r="AA31016" s="82"/>
      <c r="AB31016" s="82"/>
    </row>
    <row r="31017" spans="27:28" x14ac:dyDescent="0.4">
      <c r="AA31017" s="82"/>
      <c r="AB31017" s="82"/>
    </row>
    <row r="31018" spans="27:28" x14ac:dyDescent="0.4">
      <c r="AA31018" s="82"/>
      <c r="AB31018" s="82"/>
    </row>
    <row r="31019" spans="27:28" x14ac:dyDescent="0.4">
      <c r="AA31019" s="82"/>
      <c r="AB31019" s="82"/>
    </row>
    <row r="31020" spans="27:28" x14ac:dyDescent="0.4">
      <c r="AA31020" s="82"/>
      <c r="AB31020" s="82"/>
    </row>
    <row r="31021" spans="27:28" x14ac:dyDescent="0.4">
      <c r="AA31021" s="82"/>
      <c r="AB31021" s="82"/>
    </row>
    <row r="31022" spans="27:28" x14ac:dyDescent="0.4">
      <c r="AA31022" s="82"/>
      <c r="AB31022" s="82"/>
    </row>
    <row r="31023" spans="27:28" x14ac:dyDescent="0.4">
      <c r="AA31023" s="82"/>
      <c r="AB31023" s="82"/>
    </row>
    <row r="31024" spans="27:28" x14ac:dyDescent="0.4">
      <c r="AA31024" s="82"/>
      <c r="AB31024" s="82"/>
    </row>
    <row r="31025" spans="27:28" x14ac:dyDescent="0.4">
      <c r="AA31025" s="82"/>
      <c r="AB31025" s="82"/>
    </row>
    <row r="31026" spans="27:28" x14ac:dyDescent="0.4">
      <c r="AA31026" s="82"/>
      <c r="AB31026" s="82"/>
    </row>
    <row r="31027" spans="27:28" x14ac:dyDescent="0.4">
      <c r="AA31027" s="82"/>
      <c r="AB31027" s="82"/>
    </row>
    <row r="31028" spans="27:28" x14ac:dyDescent="0.4">
      <c r="AA31028" s="82"/>
      <c r="AB31028" s="82"/>
    </row>
    <row r="31029" spans="27:28" x14ac:dyDescent="0.4">
      <c r="AA31029" s="82"/>
      <c r="AB31029" s="82"/>
    </row>
    <row r="31030" spans="27:28" x14ac:dyDescent="0.4">
      <c r="AA31030" s="82"/>
      <c r="AB31030" s="82"/>
    </row>
    <row r="31031" spans="27:28" x14ac:dyDescent="0.4">
      <c r="AA31031" s="82"/>
      <c r="AB31031" s="82"/>
    </row>
    <row r="31032" spans="27:28" x14ac:dyDescent="0.4">
      <c r="AA31032" s="82"/>
      <c r="AB31032" s="82"/>
    </row>
    <row r="31033" spans="27:28" x14ac:dyDescent="0.4">
      <c r="AA31033" s="82"/>
      <c r="AB31033" s="82"/>
    </row>
    <row r="31034" spans="27:28" x14ac:dyDescent="0.4">
      <c r="AA31034" s="82"/>
      <c r="AB31034" s="82"/>
    </row>
    <row r="31035" spans="27:28" x14ac:dyDescent="0.4">
      <c r="AA31035" s="82"/>
      <c r="AB31035" s="82"/>
    </row>
    <row r="31036" spans="27:28" x14ac:dyDescent="0.4">
      <c r="AA31036" s="82"/>
      <c r="AB31036" s="82"/>
    </row>
    <row r="31037" spans="27:28" x14ac:dyDescent="0.4">
      <c r="AA31037" s="82"/>
      <c r="AB31037" s="82"/>
    </row>
    <row r="31038" spans="27:28" x14ac:dyDescent="0.4">
      <c r="AA31038" s="82"/>
      <c r="AB31038" s="82"/>
    </row>
    <row r="31039" spans="27:28" x14ac:dyDescent="0.4">
      <c r="AA31039" s="82"/>
      <c r="AB31039" s="82"/>
    </row>
    <row r="31040" spans="27:28" x14ac:dyDescent="0.4">
      <c r="AA31040" s="82"/>
      <c r="AB31040" s="82"/>
    </row>
    <row r="31041" spans="27:28" x14ac:dyDescent="0.4">
      <c r="AA31041" s="82"/>
      <c r="AB31041" s="82"/>
    </row>
    <row r="31042" spans="27:28" x14ac:dyDescent="0.4">
      <c r="AA31042" s="82"/>
      <c r="AB31042" s="82"/>
    </row>
    <row r="31043" spans="27:28" x14ac:dyDescent="0.4">
      <c r="AA31043" s="82"/>
      <c r="AB31043" s="82"/>
    </row>
    <row r="31044" spans="27:28" x14ac:dyDescent="0.4">
      <c r="AA31044" s="82"/>
      <c r="AB31044" s="82"/>
    </row>
    <row r="31045" spans="27:28" x14ac:dyDescent="0.4">
      <c r="AA31045" s="82"/>
      <c r="AB31045" s="82"/>
    </row>
    <row r="31046" spans="27:28" x14ac:dyDescent="0.4">
      <c r="AA31046" s="82"/>
      <c r="AB31046" s="82"/>
    </row>
    <row r="31047" spans="27:28" x14ac:dyDescent="0.4">
      <c r="AA31047" s="82"/>
      <c r="AB31047" s="82"/>
    </row>
    <row r="31048" spans="27:28" x14ac:dyDescent="0.4">
      <c r="AA31048" s="82"/>
      <c r="AB31048" s="82"/>
    </row>
    <row r="31049" spans="27:28" x14ac:dyDescent="0.4">
      <c r="AA31049" s="82"/>
      <c r="AB31049" s="82"/>
    </row>
    <row r="31050" spans="27:28" x14ac:dyDescent="0.4">
      <c r="AA31050" s="82"/>
      <c r="AB31050" s="82"/>
    </row>
    <row r="31051" spans="27:28" x14ac:dyDescent="0.4">
      <c r="AA31051" s="82"/>
      <c r="AB31051" s="82"/>
    </row>
    <row r="31052" spans="27:28" x14ac:dyDescent="0.4">
      <c r="AA31052" s="82"/>
      <c r="AB31052" s="82"/>
    </row>
    <row r="31053" spans="27:28" x14ac:dyDescent="0.4">
      <c r="AA31053" s="82"/>
      <c r="AB31053" s="82"/>
    </row>
    <row r="31054" spans="27:28" x14ac:dyDescent="0.4">
      <c r="AA31054" s="82"/>
      <c r="AB31054" s="82"/>
    </row>
    <row r="31055" spans="27:28" x14ac:dyDescent="0.4">
      <c r="AA31055" s="82"/>
      <c r="AB31055" s="82"/>
    </row>
    <row r="31056" spans="27:28" x14ac:dyDescent="0.4">
      <c r="AA31056" s="82"/>
      <c r="AB31056" s="82"/>
    </row>
    <row r="31057" spans="27:28" x14ac:dyDescent="0.4">
      <c r="AA31057" s="82"/>
      <c r="AB31057" s="82"/>
    </row>
    <row r="31058" spans="27:28" x14ac:dyDescent="0.4">
      <c r="AA31058" s="82"/>
      <c r="AB31058" s="82"/>
    </row>
    <row r="31059" spans="27:28" x14ac:dyDescent="0.4">
      <c r="AA31059" s="82"/>
      <c r="AB31059" s="82"/>
    </row>
    <row r="31060" spans="27:28" x14ac:dyDescent="0.4">
      <c r="AA31060" s="82"/>
      <c r="AB31060" s="82"/>
    </row>
    <row r="31061" spans="27:28" x14ac:dyDescent="0.4">
      <c r="AA31061" s="82"/>
      <c r="AB31061" s="82"/>
    </row>
    <row r="31062" spans="27:28" x14ac:dyDescent="0.4">
      <c r="AA31062" s="82"/>
      <c r="AB31062" s="82"/>
    </row>
    <row r="31063" spans="27:28" x14ac:dyDescent="0.4">
      <c r="AA31063" s="82"/>
      <c r="AB31063" s="82"/>
    </row>
    <row r="31064" spans="27:28" x14ac:dyDescent="0.4">
      <c r="AA31064" s="82"/>
      <c r="AB31064" s="82"/>
    </row>
    <row r="31065" spans="27:28" x14ac:dyDescent="0.4">
      <c r="AA31065" s="82"/>
      <c r="AB31065" s="82"/>
    </row>
    <row r="31066" spans="27:28" x14ac:dyDescent="0.4">
      <c r="AA31066" s="82"/>
      <c r="AB31066" s="82"/>
    </row>
    <row r="31067" spans="27:28" x14ac:dyDescent="0.4">
      <c r="AA31067" s="82"/>
      <c r="AB31067" s="82"/>
    </row>
    <row r="31068" spans="27:28" x14ac:dyDescent="0.4">
      <c r="AA31068" s="82"/>
      <c r="AB31068" s="82"/>
    </row>
    <row r="31069" spans="27:28" x14ac:dyDescent="0.4">
      <c r="AA31069" s="82"/>
      <c r="AB31069" s="82"/>
    </row>
    <row r="31070" spans="27:28" x14ac:dyDescent="0.4">
      <c r="AA31070" s="82"/>
      <c r="AB31070" s="82"/>
    </row>
    <row r="31803" spans="27:28" x14ac:dyDescent="0.4">
      <c r="AA31803" s="82"/>
      <c r="AB31803" s="82"/>
    </row>
    <row r="31804" spans="27:28" x14ac:dyDescent="0.4">
      <c r="AA31804" s="82"/>
      <c r="AB31804" s="82"/>
    </row>
    <row r="31805" spans="27:28" x14ac:dyDescent="0.4">
      <c r="AA31805" s="82"/>
      <c r="AB31805" s="82"/>
    </row>
    <row r="31806" spans="27:28" x14ac:dyDescent="0.4">
      <c r="AA31806" s="82"/>
      <c r="AB31806" s="82"/>
    </row>
    <row r="31807" spans="27:28" x14ac:dyDescent="0.4">
      <c r="AA31807" s="82"/>
      <c r="AB31807" s="82"/>
    </row>
    <row r="31808" spans="27:28" x14ac:dyDescent="0.4">
      <c r="AA31808" s="82"/>
      <c r="AB31808" s="82"/>
    </row>
    <row r="31809" spans="27:28" x14ac:dyDescent="0.4">
      <c r="AA31809" s="82"/>
      <c r="AB31809" s="82"/>
    </row>
    <row r="31810" spans="27:28" x14ac:dyDescent="0.4">
      <c r="AA31810" s="82"/>
      <c r="AB31810" s="82"/>
    </row>
    <row r="31811" spans="27:28" x14ac:dyDescent="0.4">
      <c r="AA31811" s="82"/>
      <c r="AB31811" s="82"/>
    </row>
    <row r="31812" spans="27:28" x14ac:dyDescent="0.4">
      <c r="AA31812" s="82"/>
      <c r="AB31812" s="82"/>
    </row>
    <row r="31813" spans="27:28" x14ac:dyDescent="0.4">
      <c r="AA31813" s="82"/>
      <c r="AB31813" s="82"/>
    </row>
    <row r="31814" spans="27:28" x14ac:dyDescent="0.4">
      <c r="AA31814" s="82"/>
      <c r="AB31814" s="82"/>
    </row>
    <row r="31815" spans="27:28" x14ac:dyDescent="0.4">
      <c r="AA31815" s="82"/>
      <c r="AB31815" s="82"/>
    </row>
    <row r="31816" spans="27:28" x14ac:dyDescent="0.4">
      <c r="AA31816" s="82"/>
      <c r="AB31816" s="82"/>
    </row>
    <row r="31817" spans="27:28" x14ac:dyDescent="0.4">
      <c r="AA31817" s="82"/>
      <c r="AB31817" s="82"/>
    </row>
    <row r="31818" spans="27:28" x14ac:dyDescent="0.4">
      <c r="AA31818" s="82"/>
      <c r="AB31818" s="82"/>
    </row>
    <row r="31819" spans="27:28" x14ac:dyDescent="0.4">
      <c r="AA31819" s="82"/>
      <c r="AB31819" s="82"/>
    </row>
    <row r="31820" spans="27:28" x14ac:dyDescent="0.4">
      <c r="AA31820" s="82"/>
      <c r="AB31820" s="82"/>
    </row>
    <row r="31821" spans="27:28" x14ac:dyDescent="0.4">
      <c r="AA31821" s="82"/>
      <c r="AB31821" s="82"/>
    </row>
    <row r="31822" spans="27:28" x14ac:dyDescent="0.4">
      <c r="AA31822" s="82"/>
      <c r="AB31822" s="82"/>
    </row>
    <row r="31823" spans="27:28" x14ac:dyDescent="0.4">
      <c r="AA31823" s="82"/>
      <c r="AB31823" s="82"/>
    </row>
    <row r="31824" spans="27:28" x14ac:dyDescent="0.4">
      <c r="AA31824" s="82"/>
      <c r="AB31824" s="82"/>
    </row>
    <row r="31825" spans="27:28" x14ac:dyDescent="0.4">
      <c r="AA31825" s="82"/>
      <c r="AB31825" s="82"/>
    </row>
    <row r="31826" spans="27:28" x14ac:dyDescent="0.4">
      <c r="AA31826" s="82"/>
      <c r="AB31826" s="82"/>
    </row>
    <row r="31827" spans="27:28" x14ac:dyDescent="0.4">
      <c r="AA31827" s="82"/>
      <c r="AB31827" s="82"/>
    </row>
    <row r="31828" spans="27:28" x14ac:dyDescent="0.4">
      <c r="AA31828" s="82"/>
      <c r="AB31828" s="82"/>
    </row>
    <row r="31829" spans="27:28" x14ac:dyDescent="0.4">
      <c r="AA31829" s="82"/>
      <c r="AB31829" s="82"/>
    </row>
    <row r="31830" spans="27:28" x14ac:dyDescent="0.4">
      <c r="AA31830" s="82"/>
      <c r="AB31830" s="82"/>
    </row>
    <row r="31831" spans="27:28" x14ac:dyDescent="0.4">
      <c r="AA31831" s="82"/>
      <c r="AB31831" s="82"/>
    </row>
    <row r="31832" spans="27:28" x14ac:dyDescent="0.4">
      <c r="AA31832" s="82"/>
      <c r="AB31832" s="82"/>
    </row>
    <row r="31833" spans="27:28" x14ac:dyDescent="0.4">
      <c r="AA31833" s="82"/>
      <c r="AB31833" s="82"/>
    </row>
    <row r="31834" spans="27:28" x14ac:dyDescent="0.4">
      <c r="AA31834" s="82"/>
      <c r="AB31834" s="82"/>
    </row>
    <row r="31835" spans="27:28" x14ac:dyDescent="0.4">
      <c r="AA31835" s="82"/>
      <c r="AB31835" s="82"/>
    </row>
    <row r="31836" spans="27:28" x14ac:dyDescent="0.4">
      <c r="AA31836" s="82"/>
      <c r="AB31836" s="82"/>
    </row>
    <row r="31837" spans="27:28" x14ac:dyDescent="0.4">
      <c r="AA31837" s="82"/>
      <c r="AB31837" s="82"/>
    </row>
    <row r="31838" spans="27:28" x14ac:dyDescent="0.4">
      <c r="AA31838" s="82"/>
      <c r="AB31838" s="82"/>
    </row>
    <row r="31839" spans="27:28" x14ac:dyDescent="0.4">
      <c r="AA31839" s="82"/>
      <c r="AB31839" s="82"/>
    </row>
    <row r="31840" spans="27:28" x14ac:dyDescent="0.4">
      <c r="AA31840" s="82"/>
      <c r="AB31840" s="82"/>
    </row>
    <row r="31841" spans="27:28" x14ac:dyDescent="0.4">
      <c r="AA31841" s="82"/>
      <c r="AB31841" s="82"/>
    </row>
    <row r="31842" spans="27:28" x14ac:dyDescent="0.4">
      <c r="AA31842" s="82"/>
      <c r="AB31842" s="82"/>
    </row>
    <row r="31843" spans="27:28" x14ac:dyDescent="0.4">
      <c r="AA31843" s="82"/>
      <c r="AB31843" s="82"/>
    </row>
    <row r="31844" spans="27:28" x14ac:dyDescent="0.4">
      <c r="AA31844" s="82"/>
      <c r="AB31844" s="82"/>
    </row>
    <row r="31845" spans="27:28" x14ac:dyDescent="0.4">
      <c r="AA31845" s="82"/>
      <c r="AB31845" s="82"/>
    </row>
    <row r="31846" spans="27:28" x14ac:dyDescent="0.4">
      <c r="AA31846" s="82"/>
      <c r="AB31846" s="82"/>
    </row>
    <row r="31847" spans="27:28" x14ac:dyDescent="0.4">
      <c r="AA31847" s="82"/>
      <c r="AB31847" s="82"/>
    </row>
    <row r="31848" spans="27:28" x14ac:dyDescent="0.4">
      <c r="AA31848" s="82"/>
      <c r="AB31848" s="82"/>
    </row>
    <row r="31849" spans="27:28" x14ac:dyDescent="0.4">
      <c r="AA31849" s="82"/>
      <c r="AB31849" s="82"/>
    </row>
    <row r="31850" spans="27:28" x14ac:dyDescent="0.4">
      <c r="AA31850" s="82"/>
      <c r="AB31850" s="82"/>
    </row>
    <row r="31851" spans="27:28" x14ac:dyDescent="0.4">
      <c r="AA31851" s="82"/>
      <c r="AB31851" s="82"/>
    </row>
    <row r="31852" spans="27:28" x14ac:dyDescent="0.4">
      <c r="AA31852" s="82"/>
      <c r="AB31852" s="82"/>
    </row>
    <row r="31853" spans="27:28" x14ac:dyDescent="0.4">
      <c r="AA31853" s="82"/>
      <c r="AB31853" s="82"/>
    </row>
    <row r="31854" spans="27:28" x14ac:dyDescent="0.4">
      <c r="AA31854" s="82"/>
      <c r="AB31854" s="82"/>
    </row>
    <row r="31855" spans="27:28" x14ac:dyDescent="0.4">
      <c r="AA31855" s="82"/>
      <c r="AB31855" s="82"/>
    </row>
    <row r="31856" spans="27:28" x14ac:dyDescent="0.4">
      <c r="AA31856" s="82"/>
      <c r="AB31856" s="82"/>
    </row>
    <row r="32350" spans="27:28" x14ac:dyDescent="0.4">
      <c r="AA32350" s="82"/>
      <c r="AB32350" s="82"/>
    </row>
    <row r="32351" spans="27:28" x14ac:dyDescent="0.4">
      <c r="AA32351" s="82"/>
      <c r="AB32351" s="82"/>
    </row>
    <row r="32352" spans="27:28" x14ac:dyDescent="0.4">
      <c r="AA32352" s="82"/>
      <c r="AB32352" s="82"/>
    </row>
    <row r="32353" spans="27:28" x14ac:dyDescent="0.4">
      <c r="AA32353" s="82"/>
      <c r="AB32353" s="82"/>
    </row>
    <row r="32354" spans="27:28" x14ac:dyDescent="0.4">
      <c r="AA32354" s="82"/>
      <c r="AB32354" s="82"/>
    </row>
    <row r="32355" spans="27:28" x14ac:dyDescent="0.4">
      <c r="AA32355" s="82"/>
      <c r="AB32355" s="82"/>
    </row>
    <row r="32356" spans="27:28" x14ac:dyDescent="0.4">
      <c r="AA32356" s="82"/>
      <c r="AB32356" s="82"/>
    </row>
    <row r="32357" spans="27:28" x14ac:dyDescent="0.4">
      <c r="AA32357" s="82"/>
      <c r="AB32357" s="82"/>
    </row>
    <row r="32358" spans="27:28" x14ac:dyDescent="0.4">
      <c r="AA32358" s="82"/>
      <c r="AB32358" s="82"/>
    </row>
    <row r="32359" spans="27:28" x14ac:dyDescent="0.4">
      <c r="AA32359" s="82"/>
      <c r="AB32359" s="82"/>
    </row>
    <row r="32360" spans="27:28" x14ac:dyDescent="0.4">
      <c r="AA32360" s="82"/>
      <c r="AB32360" s="82"/>
    </row>
    <row r="32361" spans="27:28" x14ac:dyDescent="0.4">
      <c r="AA32361" s="82"/>
      <c r="AB32361" s="82"/>
    </row>
    <row r="32362" spans="27:28" x14ac:dyDescent="0.4">
      <c r="AA32362" s="82"/>
      <c r="AB32362" s="82"/>
    </row>
    <row r="32363" spans="27:28" x14ac:dyDescent="0.4">
      <c r="AA32363" s="82"/>
      <c r="AB32363" s="82"/>
    </row>
    <row r="32364" spans="27:28" x14ac:dyDescent="0.4">
      <c r="AA32364" s="82"/>
      <c r="AB32364" s="82"/>
    </row>
    <row r="32365" spans="27:28" x14ac:dyDescent="0.4">
      <c r="AA32365" s="82"/>
      <c r="AB32365" s="82"/>
    </row>
    <row r="32366" spans="27:28" x14ac:dyDescent="0.4">
      <c r="AA32366" s="82"/>
      <c r="AB32366" s="82"/>
    </row>
    <row r="32367" spans="27:28" x14ac:dyDescent="0.4">
      <c r="AA32367" s="82"/>
      <c r="AB32367" s="82"/>
    </row>
    <row r="32368" spans="27:28" x14ac:dyDescent="0.4">
      <c r="AA32368" s="82"/>
      <c r="AB32368" s="82"/>
    </row>
    <row r="32369" spans="27:28" x14ac:dyDescent="0.4">
      <c r="AA32369" s="82"/>
      <c r="AB32369" s="82"/>
    </row>
    <row r="32370" spans="27:28" x14ac:dyDescent="0.4">
      <c r="AA32370" s="82"/>
      <c r="AB32370" s="82"/>
    </row>
    <row r="32371" spans="27:28" x14ac:dyDescent="0.4">
      <c r="AA32371" s="82"/>
      <c r="AB32371" s="82"/>
    </row>
    <row r="32372" spans="27:28" x14ac:dyDescent="0.4">
      <c r="AA32372" s="82"/>
      <c r="AB32372" s="82"/>
    </row>
    <row r="32373" spans="27:28" x14ac:dyDescent="0.4">
      <c r="AA32373" s="82"/>
      <c r="AB32373" s="82"/>
    </row>
    <row r="32374" spans="27:28" x14ac:dyDescent="0.4">
      <c r="AA32374" s="82"/>
      <c r="AB32374" s="82"/>
    </row>
    <row r="32375" spans="27:28" x14ac:dyDescent="0.4">
      <c r="AA32375" s="82"/>
      <c r="AB32375" s="82"/>
    </row>
    <row r="32376" spans="27:28" x14ac:dyDescent="0.4">
      <c r="AA32376" s="82"/>
      <c r="AB32376" s="82"/>
    </row>
    <row r="32377" spans="27:28" x14ac:dyDescent="0.4">
      <c r="AA32377" s="82"/>
      <c r="AB32377" s="82"/>
    </row>
    <row r="32378" spans="27:28" x14ac:dyDescent="0.4">
      <c r="AA32378" s="82"/>
      <c r="AB32378" s="82"/>
    </row>
    <row r="32379" spans="27:28" x14ac:dyDescent="0.4">
      <c r="AA32379" s="82"/>
      <c r="AB32379" s="82"/>
    </row>
    <row r="32380" spans="27:28" x14ac:dyDescent="0.4">
      <c r="AA32380" s="82"/>
      <c r="AB32380" s="82"/>
    </row>
    <row r="32381" spans="27:28" x14ac:dyDescent="0.4">
      <c r="AA32381" s="82"/>
      <c r="AB32381" s="82"/>
    </row>
    <row r="32382" spans="27:28" x14ac:dyDescent="0.4">
      <c r="AA32382" s="82"/>
      <c r="AB32382" s="82"/>
    </row>
    <row r="32383" spans="27:28" x14ac:dyDescent="0.4">
      <c r="AA32383" s="82"/>
      <c r="AB32383" s="82"/>
    </row>
    <row r="32384" spans="27:28" x14ac:dyDescent="0.4">
      <c r="AA32384" s="82"/>
      <c r="AB32384" s="82"/>
    </row>
    <row r="32385" spans="27:28" x14ac:dyDescent="0.4">
      <c r="AA32385" s="82"/>
      <c r="AB32385" s="82"/>
    </row>
    <row r="32386" spans="27:28" x14ac:dyDescent="0.4">
      <c r="AA32386" s="82"/>
      <c r="AB32386" s="82"/>
    </row>
    <row r="32387" spans="27:28" x14ac:dyDescent="0.4">
      <c r="AA32387" s="82"/>
      <c r="AB32387" s="82"/>
    </row>
    <row r="32388" spans="27:28" x14ac:dyDescent="0.4">
      <c r="AA32388" s="82"/>
      <c r="AB32388" s="82"/>
    </row>
    <row r="32389" spans="27:28" x14ac:dyDescent="0.4">
      <c r="AA32389" s="82"/>
      <c r="AB32389" s="82"/>
    </row>
    <row r="32390" spans="27:28" x14ac:dyDescent="0.4">
      <c r="AA32390" s="82"/>
      <c r="AB32390" s="82"/>
    </row>
    <row r="32391" spans="27:28" x14ac:dyDescent="0.4">
      <c r="AA32391" s="82"/>
      <c r="AB32391" s="82"/>
    </row>
    <row r="32392" spans="27:28" x14ac:dyDescent="0.4">
      <c r="AA32392" s="82"/>
      <c r="AB32392" s="82"/>
    </row>
    <row r="32393" spans="27:28" x14ac:dyDescent="0.4">
      <c r="AA32393" s="82"/>
      <c r="AB32393" s="82"/>
    </row>
    <row r="32394" spans="27:28" x14ac:dyDescent="0.4">
      <c r="AA32394" s="82"/>
      <c r="AB32394" s="82"/>
    </row>
    <row r="32395" spans="27:28" x14ac:dyDescent="0.4">
      <c r="AA32395" s="82"/>
      <c r="AB32395" s="82"/>
    </row>
    <row r="32396" spans="27:28" x14ac:dyDescent="0.4">
      <c r="AA32396" s="82"/>
      <c r="AB32396" s="82"/>
    </row>
    <row r="32397" spans="27:28" x14ac:dyDescent="0.4">
      <c r="AA32397" s="82"/>
      <c r="AB32397" s="82"/>
    </row>
    <row r="32398" spans="27:28" x14ac:dyDescent="0.4">
      <c r="AA32398" s="82"/>
      <c r="AB32398" s="82"/>
    </row>
    <row r="32399" spans="27:28" x14ac:dyDescent="0.4">
      <c r="AA32399" s="82"/>
      <c r="AB32399" s="82"/>
    </row>
    <row r="32400" spans="27:28" x14ac:dyDescent="0.4">
      <c r="AA32400" s="82"/>
      <c r="AB32400" s="82"/>
    </row>
    <row r="32401" spans="27:28" x14ac:dyDescent="0.4">
      <c r="AA32401" s="82"/>
      <c r="AB32401" s="82"/>
    </row>
    <row r="32402" spans="27:28" x14ac:dyDescent="0.4">
      <c r="AA32402" s="82"/>
      <c r="AB32402" s="82"/>
    </row>
    <row r="32403" spans="27:28" x14ac:dyDescent="0.4">
      <c r="AA32403" s="82"/>
      <c r="AB32403" s="82"/>
    </row>
    <row r="32404" spans="27:28" x14ac:dyDescent="0.4">
      <c r="AA32404" s="82"/>
      <c r="AB32404" s="82"/>
    </row>
    <row r="32405" spans="27:28" x14ac:dyDescent="0.4">
      <c r="AA32405" s="82"/>
      <c r="AB32405" s="82"/>
    </row>
    <row r="32406" spans="27:28" x14ac:dyDescent="0.4">
      <c r="AA32406" s="82"/>
      <c r="AB32406" s="82"/>
    </row>
    <row r="32407" spans="27:28" x14ac:dyDescent="0.4">
      <c r="AA32407" s="82"/>
      <c r="AB32407" s="82"/>
    </row>
    <row r="32408" spans="27:28" x14ac:dyDescent="0.4">
      <c r="AA32408" s="82"/>
      <c r="AB32408" s="82"/>
    </row>
    <row r="32409" spans="27:28" x14ac:dyDescent="0.4">
      <c r="AA32409" s="82"/>
      <c r="AB32409" s="82"/>
    </row>
    <row r="32410" spans="27:28" x14ac:dyDescent="0.4">
      <c r="AA32410" s="82"/>
      <c r="AB32410" s="82"/>
    </row>
    <row r="32411" spans="27:28" x14ac:dyDescent="0.4">
      <c r="AA32411" s="82"/>
      <c r="AB32411" s="82"/>
    </row>
    <row r="32412" spans="27:28" x14ac:dyDescent="0.4">
      <c r="AA32412" s="82"/>
      <c r="AB32412" s="82"/>
    </row>
    <row r="32413" spans="27:28" x14ac:dyDescent="0.4">
      <c r="AA32413" s="82"/>
      <c r="AB32413" s="82"/>
    </row>
    <row r="32414" spans="27:28" x14ac:dyDescent="0.4">
      <c r="AA32414" s="82"/>
      <c r="AB32414" s="82"/>
    </row>
    <row r="32415" spans="27:28" x14ac:dyDescent="0.4">
      <c r="AA32415" s="82"/>
      <c r="AB32415" s="82"/>
    </row>
    <row r="32416" spans="27:28" x14ac:dyDescent="0.4">
      <c r="AA32416" s="82"/>
      <c r="AB32416" s="82"/>
    </row>
    <row r="32417" spans="27:28" x14ac:dyDescent="0.4">
      <c r="AA32417" s="82"/>
      <c r="AB32417" s="82"/>
    </row>
    <row r="32418" spans="27:28" x14ac:dyDescent="0.4">
      <c r="AA32418" s="82"/>
      <c r="AB32418" s="82"/>
    </row>
    <row r="32419" spans="27:28" x14ac:dyDescent="0.4">
      <c r="AA32419" s="82"/>
      <c r="AB32419" s="82"/>
    </row>
    <row r="32420" spans="27:28" x14ac:dyDescent="0.4">
      <c r="AA32420" s="82"/>
      <c r="AB32420" s="82"/>
    </row>
    <row r="32421" spans="27:28" x14ac:dyDescent="0.4">
      <c r="AA32421" s="82"/>
      <c r="AB32421" s="82"/>
    </row>
    <row r="32422" spans="27:28" x14ac:dyDescent="0.4">
      <c r="AA32422" s="82"/>
      <c r="AB32422" s="82"/>
    </row>
    <row r="32423" spans="27:28" x14ac:dyDescent="0.4">
      <c r="AA32423" s="82"/>
      <c r="AB32423" s="82"/>
    </row>
    <row r="32424" spans="27:28" x14ac:dyDescent="0.4">
      <c r="AA32424" s="82"/>
      <c r="AB32424" s="82"/>
    </row>
    <row r="32425" spans="27:28" x14ac:dyDescent="0.4">
      <c r="AA32425" s="82"/>
      <c r="AB32425" s="82"/>
    </row>
    <row r="32426" spans="27:28" x14ac:dyDescent="0.4">
      <c r="AA32426" s="82"/>
      <c r="AB32426" s="82"/>
    </row>
    <row r="32427" spans="27:28" x14ac:dyDescent="0.4">
      <c r="AA32427" s="82"/>
      <c r="AB32427" s="82"/>
    </row>
    <row r="32428" spans="27:28" x14ac:dyDescent="0.4">
      <c r="AA32428" s="82"/>
      <c r="AB32428" s="82"/>
    </row>
    <row r="32429" spans="27:28" x14ac:dyDescent="0.4">
      <c r="AA32429" s="82"/>
      <c r="AB32429" s="82"/>
    </row>
    <row r="32430" spans="27:28" x14ac:dyDescent="0.4">
      <c r="AA32430" s="82"/>
      <c r="AB32430" s="82"/>
    </row>
    <row r="32431" spans="27:28" x14ac:dyDescent="0.4">
      <c r="AA32431" s="82"/>
      <c r="AB32431" s="82"/>
    </row>
    <row r="32432" spans="27:28" x14ac:dyDescent="0.4">
      <c r="AA32432" s="82"/>
      <c r="AB32432" s="82"/>
    </row>
    <row r="32433" spans="27:28" x14ac:dyDescent="0.4">
      <c r="AA32433" s="82"/>
      <c r="AB32433" s="82"/>
    </row>
    <row r="32434" spans="27:28" x14ac:dyDescent="0.4">
      <c r="AA32434" s="82"/>
      <c r="AB32434" s="82"/>
    </row>
    <row r="32435" spans="27:28" x14ac:dyDescent="0.4">
      <c r="AA32435" s="82"/>
      <c r="AB32435" s="82"/>
    </row>
    <row r="32436" spans="27:28" x14ac:dyDescent="0.4">
      <c r="AA32436" s="82"/>
      <c r="AB32436" s="82"/>
    </row>
    <row r="32437" spans="27:28" x14ac:dyDescent="0.4">
      <c r="AA32437" s="82"/>
      <c r="AB32437" s="82"/>
    </row>
    <row r="32438" spans="27:28" x14ac:dyDescent="0.4">
      <c r="AA32438" s="82"/>
      <c r="AB32438" s="82"/>
    </row>
    <row r="32439" spans="27:28" x14ac:dyDescent="0.4">
      <c r="AA32439" s="82"/>
      <c r="AB32439" s="82"/>
    </row>
    <row r="32440" spans="27:28" x14ac:dyDescent="0.4">
      <c r="AA32440" s="82"/>
      <c r="AB32440" s="82"/>
    </row>
  </sheetData>
  <mergeCells count="23">
    <mergeCell ref="T4:U4"/>
    <mergeCell ref="C52:D52"/>
    <mergeCell ref="E52:F52"/>
    <mergeCell ref="C4:D4"/>
    <mergeCell ref="E4:F4"/>
    <mergeCell ref="G4:H4"/>
    <mergeCell ref="J4:K4"/>
    <mergeCell ref="L4:M4"/>
    <mergeCell ref="N4:O4"/>
    <mergeCell ref="T2:U2"/>
    <mergeCell ref="C3:D3"/>
    <mergeCell ref="E3:F3"/>
    <mergeCell ref="G3:H3"/>
    <mergeCell ref="J3:K3"/>
    <mergeCell ref="L3:M3"/>
    <mergeCell ref="N3:O3"/>
    <mergeCell ref="T3:U3"/>
    <mergeCell ref="C2:D2"/>
    <mergeCell ref="E2:F2"/>
    <mergeCell ref="G2:H2"/>
    <mergeCell ref="J2:K2"/>
    <mergeCell ref="L2:M2"/>
    <mergeCell ref="N2:O2"/>
  </mergeCells>
  <pageMargins left="0.75" right="0.75" top="1" bottom="1" header="0.5" footer="0.5"/>
  <pageSetup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6A64-011F-48F5-8785-27005896E3AF}">
  <dimension ref="A1:V127"/>
  <sheetViews>
    <sheetView workbookViewId="0">
      <selection activeCell="B1" sqref="B1"/>
    </sheetView>
  </sheetViews>
  <sheetFormatPr defaultRowHeight="14.4" x14ac:dyDescent="0.55000000000000004"/>
  <cols>
    <col min="1" max="2" width="13.68359375" customWidth="1"/>
    <col min="3" max="3" width="6.41796875" customWidth="1"/>
    <col min="4" max="4" width="14.68359375" customWidth="1"/>
    <col min="5" max="5" width="11.5234375" customWidth="1"/>
    <col min="6" max="6" width="74.3125" customWidth="1"/>
    <col min="13" max="13" width="13" customWidth="1"/>
    <col min="14" max="14" width="12.68359375" customWidth="1"/>
    <col min="15" max="15" width="30.3125" customWidth="1"/>
  </cols>
  <sheetData>
    <row r="1" spans="1:22" ht="28.8" x14ac:dyDescent="0.55000000000000004">
      <c r="A1" s="10" t="s">
        <v>665</v>
      </c>
      <c r="B1" s="10" t="s">
        <v>666</v>
      </c>
      <c r="D1" s="83" t="s">
        <v>667</v>
      </c>
      <c r="E1" s="83" t="s">
        <v>668</v>
      </c>
      <c r="F1" s="83" t="s">
        <v>669</v>
      </c>
      <c r="G1" s="83" t="s">
        <v>670</v>
      </c>
      <c r="H1" s="83" t="s">
        <v>671</v>
      </c>
      <c r="I1" s="83" t="s">
        <v>672</v>
      </c>
      <c r="J1" s="83" t="s">
        <v>673</v>
      </c>
      <c r="L1" s="83" t="s">
        <v>674</v>
      </c>
    </row>
    <row r="2" spans="1:22" x14ac:dyDescent="0.55000000000000004">
      <c r="A2" s="10">
        <v>143</v>
      </c>
      <c r="B2" s="10" t="s">
        <v>675</v>
      </c>
      <c r="C2" s="10"/>
      <c r="D2" s="73">
        <v>143</v>
      </c>
      <c r="E2" s="73" t="s">
        <v>676</v>
      </c>
      <c r="F2" s="73" t="s">
        <v>485</v>
      </c>
      <c r="G2" s="73"/>
      <c r="H2" s="84">
        <v>1.478995284</v>
      </c>
      <c r="I2" s="85">
        <v>39.155999999999999</v>
      </c>
      <c r="J2" s="86">
        <v>-84.287000000000006</v>
      </c>
      <c r="L2" t="s">
        <v>677</v>
      </c>
      <c r="M2" s="10" t="s">
        <v>678</v>
      </c>
      <c r="N2" t="s">
        <v>679</v>
      </c>
      <c r="O2" t="str">
        <f>L2&amp;M2&amp;N2</f>
        <v>if id = "E01" then delete;</v>
      </c>
      <c r="R2" s="87"/>
      <c r="U2" s="88"/>
      <c r="V2" s="88"/>
    </row>
    <row r="3" spans="1:22" x14ac:dyDescent="0.55000000000000004">
      <c r="A3" s="10">
        <v>506</v>
      </c>
      <c r="B3" s="10" t="s">
        <v>675</v>
      </c>
      <c r="C3" s="10"/>
      <c r="D3" s="73">
        <v>506</v>
      </c>
      <c r="E3" s="74" t="s">
        <v>487</v>
      </c>
      <c r="F3" s="74" t="s">
        <v>486</v>
      </c>
      <c r="G3" s="89">
        <v>72.8</v>
      </c>
      <c r="H3" s="90">
        <v>48</v>
      </c>
      <c r="I3" s="85">
        <v>39.240729000000002</v>
      </c>
      <c r="J3" s="85">
        <v>-83.796137000000002</v>
      </c>
      <c r="L3" t="s">
        <v>677</v>
      </c>
      <c r="M3" s="10" t="s">
        <v>680</v>
      </c>
      <c r="N3" t="s">
        <v>679</v>
      </c>
      <c r="O3" t="str">
        <f t="shared" ref="O3:O67" si="0">L3&amp;M3&amp;N3</f>
        <v>if id = "E01.1" then delete;</v>
      </c>
      <c r="P3" s="87"/>
      <c r="Q3" s="87"/>
      <c r="R3" s="87"/>
      <c r="S3" s="91"/>
      <c r="T3" s="92"/>
      <c r="U3" s="88"/>
      <c r="V3" s="88"/>
    </row>
    <row r="4" spans="1:22" x14ac:dyDescent="0.55000000000000004">
      <c r="A4" s="10">
        <v>890</v>
      </c>
      <c r="B4" s="10" t="s">
        <v>675</v>
      </c>
      <c r="C4" s="10"/>
      <c r="D4" s="73">
        <v>890</v>
      </c>
      <c r="E4" s="74" t="s">
        <v>489</v>
      </c>
      <c r="F4" s="74" t="s">
        <v>488</v>
      </c>
      <c r="G4" s="89">
        <v>0.6</v>
      </c>
      <c r="H4" s="90">
        <v>4.9000000000000004</v>
      </c>
      <c r="I4" s="85">
        <v>39.204338999999997</v>
      </c>
      <c r="J4" s="85">
        <v>-83.764177000000004</v>
      </c>
      <c r="L4" t="s">
        <v>677</v>
      </c>
      <c r="M4" s="10" t="s">
        <v>681</v>
      </c>
      <c r="N4" t="s">
        <v>679</v>
      </c>
      <c r="O4" t="str">
        <f t="shared" si="0"/>
        <v>if id = "E01.2" then delete;</v>
      </c>
      <c r="P4" s="87"/>
      <c r="Q4" s="87"/>
      <c r="R4" s="87"/>
      <c r="S4" s="91"/>
      <c r="T4" s="92"/>
      <c r="U4" s="88"/>
      <c r="V4" s="88"/>
    </row>
    <row r="5" spans="1:22" x14ac:dyDescent="0.55000000000000004">
      <c r="A5" s="10" t="s">
        <v>186</v>
      </c>
      <c r="B5" s="10" t="s">
        <v>675</v>
      </c>
      <c r="C5" s="10"/>
      <c r="D5" s="73" t="s">
        <v>186</v>
      </c>
      <c r="E5" s="74"/>
      <c r="F5" s="93" t="s">
        <v>682</v>
      </c>
      <c r="H5" s="94">
        <v>1.1392</v>
      </c>
      <c r="I5" s="93">
        <v>39.123204999999999</v>
      </c>
      <c r="J5" s="93">
        <v>-84.246298999999993</v>
      </c>
      <c r="L5" t="s">
        <v>677</v>
      </c>
      <c r="M5" s="10" t="s">
        <v>683</v>
      </c>
      <c r="N5" t="s">
        <v>679</v>
      </c>
      <c r="O5" t="str">
        <f t="shared" si="0"/>
        <v>if id = "E02" then delete;</v>
      </c>
      <c r="P5" s="87"/>
      <c r="Q5" s="87"/>
      <c r="R5" s="87"/>
      <c r="S5" s="91"/>
      <c r="T5" s="92"/>
      <c r="U5" s="95"/>
      <c r="V5" s="95"/>
    </row>
    <row r="6" spans="1:22" x14ac:dyDescent="0.55000000000000004">
      <c r="A6" s="10" t="s">
        <v>408</v>
      </c>
      <c r="B6" s="10" t="s">
        <v>675</v>
      </c>
      <c r="C6" s="96"/>
      <c r="D6" s="73" t="s">
        <v>408</v>
      </c>
      <c r="E6" s="74" t="s">
        <v>684</v>
      </c>
      <c r="F6" s="74" t="s">
        <v>685</v>
      </c>
      <c r="G6" s="89">
        <v>5.2</v>
      </c>
      <c r="H6" s="84">
        <v>23</v>
      </c>
      <c r="I6" s="85">
        <v>38.985300000000002</v>
      </c>
      <c r="J6" s="85">
        <v>-84.053100000000001</v>
      </c>
      <c r="L6" t="s">
        <v>677</v>
      </c>
      <c r="M6" s="10" t="s">
        <v>686</v>
      </c>
      <c r="N6" t="s">
        <v>679</v>
      </c>
      <c r="O6" t="str">
        <f t="shared" si="0"/>
        <v>if id = "E02.1" then delete;</v>
      </c>
    </row>
    <row r="7" spans="1:22" x14ac:dyDescent="0.55000000000000004">
      <c r="A7" s="10" t="s">
        <v>416</v>
      </c>
      <c r="B7" s="10" t="s">
        <v>675</v>
      </c>
      <c r="C7" s="96"/>
      <c r="D7" s="73" t="s">
        <v>416</v>
      </c>
      <c r="E7" s="73" t="s">
        <v>676</v>
      </c>
      <c r="F7" s="97" t="s">
        <v>687</v>
      </c>
      <c r="G7" s="73"/>
      <c r="H7" s="84">
        <v>0.15440000000000001</v>
      </c>
      <c r="I7" s="85">
        <v>39.183908000000002</v>
      </c>
      <c r="J7" s="85">
        <v>-84.013350000000003</v>
      </c>
      <c r="L7" t="s">
        <v>677</v>
      </c>
      <c r="M7" s="10" t="s">
        <v>688</v>
      </c>
      <c r="N7" t="s">
        <v>679</v>
      </c>
      <c r="O7" t="str">
        <f t="shared" si="0"/>
        <v>if id = "E02.2" then delete;</v>
      </c>
    </row>
    <row r="8" spans="1:22" x14ac:dyDescent="0.55000000000000004">
      <c r="A8" s="10" t="s">
        <v>214</v>
      </c>
      <c r="B8" s="10" t="s">
        <v>675</v>
      </c>
      <c r="C8" s="96"/>
      <c r="D8" s="73" t="s">
        <v>214</v>
      </c>
      <c r="E8" s="98" t="s">
        <v>689</v>
      </c>
      <c r="F8" s="73" t="s">
        <v>690</v>
      </c>
      <c r="G8" s="73">
        <v>19.649999999999999</v>
      </c>
      <c r="H8" s="90">
        <v>343</v>
      </c>
      <c r="I8" s="85">
        <v>39.026361000000001</v>
      </c>
      <c r="J8" s="85">
        <v>-84.147586000000004</v>
      </c>
      <c r="L8" t="s">
        <v>677</v>
      </c>
      <c r="M8" s="10" t="s">
        <v>691</v>
      </c>
      <c r="N8" t="s">
        <v>679</v>
      </c>
      <c r="O8" t="str">
        <f t="shared" si="0"/>
        <v>if id = "E03" then delete;</v>
      </c>
    </row>
    <row r="9" spans="1:22" x14ac:dyDescent="0.55000000000000004">
      <c r="A9" s="10" t="s">
        <v>228</v>
      </c>
      <c r="B9" s="10" t="s">
        <v>675</v>
      </c>
      <c r="C9" s="96"/>
      <c r="D9" s="73" t="s">
        <v>228</v>
      </c>
      <c r="E9" s="73" t="s">
        <v>676</v>
      </c>
      <c r="F9" s="73" t="s">
        <v>692</v>
      </c>
      <c r="G9" s="73" t="s">
        <v>676</v>
      </c>
      <c r="H9" s="84" t="s">
        <v>676</v>
      </c>
      <c r="I9" s="85">
        <v>39.054096000000001</v>
      </c>
      <c r="J9" s="85">
        <v>-84.142765999999995</v>
      </c>
      <c r="L9" t="s">
        <v>677</v>
      </c>
      <c r="M9" s="10" t="s">
        <v>693</v>
      </c>
      <c r="N9" t="s">
        <v>679</v>
      </c>
      <c r="O9" t="str">
        <f t="shared" si="0"/>
        <v>if id = "E03.1" then delete;</v>
      </c>
    </row>
    <row r="10" spans="1:22" x14ac:dyDescent="0.55000000000000004">
      <c r="A10" s="10" t="s">
        <v>250</v>
      </c>
      <c r="B10" s="10" t="s">
        <v>675</v>
      </c>
      <c r="C10" s="10"/>
      <c r="D10" s="73" t="s">
        <v>250</v>
      </c>
      <c r="E10" s="73" t="s">
        <v>694</v>
      </c>
      <c r="F10" s="73" t="s">
        <v>695</v>
      </c>
      <c r="G10" s="73">
        <v>44.150002000000001</v>
      </c>
      <c r="H10" s="90">
        <v>195</v>
      </c>
      <c r="I10" s="85">
        <v>39.1158</v>
      </c>
      <c r="J10" s="85">
        <v>-84.025000000000006</v>
      </c>
      <c r="L10" t="s">
        <v>677</v>
      </c>
      <c r="M10" s="10" t="s">
        <v>696</v>
      </c>
      <c r="N10" t="s">
        <v>679</v>
      </c>
      <c r="O10" t="str">
        <f t="shared" si="0"/>
        <v>if id = "E03.2" then delete;</v>
      </c>
    </row>
    <row r="11" spans="1:22" x14ac:dyDescent="0.55000000000000004">
      <c r="A11" s="10" t="s">
        <v>260</v>
      </c>
      <c r="B11" s="10" t="s">
        <v>675</v>
      </c>
      <c r="C11" s="96"/>
      <c r="D11" s="73" t="s">
        <v>260</v>
      </c>
      <c r="E11" s="74" t="s">
        <v>697</v>
      </c>
      <c r="F11" s="74" t="s">
        <v>698</v>
      </c>
      <c r="G11" s="89">
        <v>0.77</v>
      </c>
      <c r="H11" s="90">
        <v>498</v>
      </c>
      <c r="I11" s="85">
        <v>39.155200000000001</v>
      </c>
      <c r="J11" s="85">
        <v>-84.288700000000006</v>
      </c>
      <c r="L11" t="s">
        <v>677</v>
      </c>
      <c r="M11" s="10" t="s">
        <v>699</v>
      </c>
      <c r="N11" t="s">
        <v>679</v>
      </c>
      <c r="O11" t="str">
        <f t="shared" si="0"/>
        <v>if id = "E04" then delete;</v>
      </c>
    </row>
    <row r="12" spans="1:22" x14ac:dyDescent="0.55000000000000004">
      <c r="A12" s="10" t="s">
        <v>270</v>
      </c>
      <c r="B12" s="10" t="s">
        <v>675</v>
      </c>
      <c r="C12" s="96"/>
      <c r="D12" s="73" t="s">
        <v>270</v>
      </c>
      <c r="F12" s="93" t="s">
        <v>700</v>
      </c>
      <c r="H12" s="94">
        <v>129.22799999999998</v>
      </c>
      <c r="I12" s="93">
        <v>39.216819999999998</v>
      </c>
      <c r="J12" s="93">
        <v>-83.914850000000001</v>
      </c>
      <c r="L12" t="s">
        <v>677</v>
      </c>
      <c r="M12" s="10" t="s">
        <v>701</v>
      </c>
      <c r="N12" t="s">
        <v>679</v>
      </c>
      <c r="O12" t="str">
        <f t="shared" si="0"/>
        <v>if id = "E04.1" then delete;</v>
      </c>
      <c r="P12" s="88"/>
      <c r="Q12" s="88"/>
    </row>
    <row r="13" spans="1:22" x14ac:dyDescent="0.55000000000000004">
      <c r="A13" s="10" t="s">
        <v>279</v>
      </c>
      <c r="B13" s="10" t="s">
        <v>675</v>
      </c>
      <c r="C13" s="96"/>
      <c r="D13" s="73" t="s">
        <v>279</v>
      </c>
      <c r="E13" s="74" t="s">
        <v>702</v>
      </c>
      <c r="F13" s="74" t="s">
        <v>703</v>
      </c>
      <c r="G13" s="89">
        <v>4.3</v>
      </c>
      <c r="H13" s="90">
        <v>491</v>
      </c>
      <c r="I13" s="85">
        <v>39.154800000000002</v>
      </c>
      <c r="J13" s="85">
        <v>-84.258899999999997</v>
      </c>
      <c r="L13" t="s">
        <v>677</v>
      </c>
      <c r="M13" s="10" t="s">
        <v>704</v>
      </c>
      <c r="N13" t="s">
        <v>679</v>
      </c>
      <c r="O13" t="str">
        <f t="shared" si="0"/>
        <v>if id = "E04.2" then delete;</v>
      </c>
    </row>
    <row r="14" spans="1:22" x14ac:dyDescent="0.55000000000000004">
      <c r="A14" s="10" t="s">
        <v>295</v>
      </c>
      <c r="B14" s="10" t="s">
        <v>675</v>
      </c>
      <c r="C14" s="96"/>
      <c r="D14" s="73" t="s">
        <v>295</v>
      </c>
      <c r="E14" s="74" t="s">
        <v>705</v>
      </c>
      <c r="F14" s="74" t="s">
        <v>706</v>
      </c>
      <c r="G14" s="89">
        <v>46.92</v>
      </c>
      <c r="H14" s="90">
        <v>178</v>
      </c>
      <c r="I14" s="85">
        <v>39.137974</v>
      </c>
      <c r="J14" s="85">
        <v>-84.002842999999999</v>
      </c>
      <c r="L14" t="s">
        <v>677</v>
      </c>
      <c r="M14" s="10" t="s">
        <v>707</v>
      </c>
      <c r="N14" t="s">
        <v>679</v>
      </c>
      <c r="O14" t="str">
        <f t="shared" si="0"/>
        <v>if id = "E05" then delete;</v>
      </c>
    </row>
    <row r="15" spans="1:22" x14ac:dyDescent="0.55000000000000004">
      <c r="A15" s="10" t="s">
        <v>303</v>
      </c>
      <c r="B15" s="10" t="s">
        <v>675</v>
      </c>
      <c r="C15" s="96"/>
      <c r="D15" s="73" t="s">
        <v>303</v>
      </c>
      <c r="E15" s="74" t="s">
        <v>708</v>
      </c>
      <c r="F15" s="74" t="s">
        <v>709</v>
      </c>
      <c r="G15" s="89">
        <v>56.25</v>
      </c>
      <c r="H15" s="90">
        <v>151</v>
      </c>
      <c r="I15" s="85">
        <v>39.1858</v>
      </c>
      <c r="J15" s="85">
        <v>-83.937200000000004</v>
      </c>
      <c r="L15" t="s">
        <v>677</v>
      </c>
      <c r="M15" s="10" t="s">
        <v>710</v>
      </c>
      <c r="N15" t="s">
        <v>679</v>
      </c>
      <c r="O15" t="str">
        <f t="shared" si="0"/>
        <v>if id = "E05.1" then delete;</v>
      </c>
    </row>
    <row r="16" spans="1:22" x14ac:dyDescent="0.55000000000000004">
      <c r="A16" s="10" t="s">
        <v>310</v>
      </c>
      <c r="B16" s="10" t="s">
        <v>675</v>
      </c>
      <c r="C16" s="96"/>
      <c r="D16" s="73" t="s">
        <v>310</v>
      </c>
      <c r="E16" s="74" t="s">
        <v>711</v>
      </c>
      <c r="F16" s="74" t="s">
        <v>712</v>
      </c>
      <c r="G16" s="89">
        <v>34.909999999999997</v>
      </c>
      <c r="H16" s="90">
        <v>237</v>
      </c>
      <c r="I16" s="85">
        <v>39.052500000000002</v>
      </c>
      <c r="J16" s="85">
        <v>-84.05</v>
      </c>
      <c r="L16" t="s">
        <v>677</v>
      </c>
      <c r="M16" s="10" t="s">
        <v>713</v>
      </c>
      <c r="N16" t="s">
        <v>679</v>
      </c>
      <c r="O16" t="str">
        <f t="shared" si="0"/>
        <v>if id = "E05.2" then delete;</v>
      </c>
    </row>
    <row r="17" spans="1:19" x14ac:dyDescent="0.55000000000000004">
      <c r="A17" s="10" t="s">
        <v>433</v>
      </c>
      <c r="B17" s="10" t="s">
        <v>675</v>
      </c>
      <c r="C17" s="96"/>
      <c r="D17" s="73" t="s">
        <v>433</v>
      </c>
      <c r="E17" s="87" t="s">
        <v>714</v>
      </c>
      <c r="F17" s="93" t="s">
        <v>715</v>
      </c>
      <c r="G17" s="99">
        <v>35.869999999999997</v>
      </c>
      <c r="H17" s="100">
        <v>235</v>
      </c>
      <c r="I17" s="101">
        <v>39.058900000000001</v>
      </c>
      <c r="J17" s="101">
        <v>-84.051699999999997</v>
      </c>
      <c r="L17" t="s">
        <v>677</v>
      </c>
      <c r="M17" s="10" t="s">
        <v>716</v>
      </c>
      <c r="N17" t="s">
        <v>679</v>
      </c>
      <c r="O17" t="str">
        <f t="shared" si="0"/>
        <v>if id = "E06" then delete;</v>
      </c>
      <c r="P17" s="99"/>
      <c r="Q17" s="100"/>
      <c r="R17" s="101"/>
      <c r="S17" s="101"/>
    </row>
    <row r="18" spans="1:19" x14ac:dyDescent="0.55000000000000004">
      <c r="A18" s="10" t="s">
        <v>526</v>
      </c>
      <c r="B18" s="10" t="s">
        <v>675</v>
      </c>
      <c r="C18" s="96"/>
      <c r="D18" s="73" t="s">
        <v>526</v>
      </c>
      <c r="E18" s="73" t="s">
        <v>717</v>
      </c>
      <c r="F18" s="102" t="s">
        <v>718</v>
      </c>
      <c r="G18" s="73">
        <v>0.3</v>
      </c>
      <c r="H18" s="90">
        <v>5.5</v>
      </c>
      <c r="I18" s="85">
        <v>39.097321999999998</v>
      </c>
      <c r="J18" s="85">
        <v>-84.026186999999993</v>
      </c>
      <c r="L18" t="s">
        <v>677</v>
      </c>
      <c r="M18" s="10" t="s">
        <v>719</v>
      </c>
      <c r="N18" t="s">
        <v>679</v>
      </c>
      <c r="O18" t="str">
        <f t="shared" si="0"/>
        <v>if id = "E06.1" then delete;</v>
      </c>
    </row>
    <row r="19" spans="1:19" x14ac:dyDescent="0.55000000000000004">
      <c r="A19" s="10" t="s">
        <v>318</v>
      </c>
      <c r="B19" s="10" t="s">
        <v>675</v>
      </c>
      <c r="C19" s="96"/>
      <c r="D19" s="73" t="s">
        <v>318</v>
      </c>
      <c r="E19" s="74" t="s">
        <v>720</v>
      </c>
      <c r="F19" s="74" t="s">
        <v>721</v>
      </c>
      <c r="G19" s="89">
        <v>0.2</v>
      </c>
      <c r="H19" s="84">
        <v>3.5</v>
      </c>
      <c r="I19" s="85">
        <v>39.054699999999997</v>
      </c>
      <c r="J19" s="85">
        <v>-84.1678</v>
      </c>
      <c r="L19" t="s">
        <v>677</v>
      </c>
      <c r="M19" s="10" t="s">
        <v>722</v>
      </c>
      <c r="N19" t="s">
        <v>679</v>
      </c>
      <c r="O19" t="str">
        <f t="shared" si="0"/>
        <v>if id = "E06.2" then delete;</v>
      </c>
    </row>
    <row r="20" spans="1:19" x14ac:dyDescent="0.55000000000000004">
      <c r="A20" s="10" t="s">
        <v>613</v>
      </c>
      <c r="B20" s="10" t="s">
        <v>675</v>
      </c>
      <c r="C20" s="96"/>
      <c r="D20" s="73" t="s">
        <v>613</v>
      </c>
      <c r="E20" s="74" t="s">
        <v>723</v>
      </c>
      <c r="F20" s="74" t="s">
        <v>724</v>
      </c>
      <c r="G20" s="89">
        <v>0.5</v>
      </c>
      <c r="H20" s="84">
        <v>10.6</v>
      </c>
      <c r="I20" s="85">
        <v>39.113599999999998</v>
      </c>
      <c r="J20" s="85">
        <v>-84.020300000000006</v>
      </c>
      <c r="L20" t="s">
        <v>677</v>
      </c>
      <c r="M20" s="10" t="s">
        <v>725</v>
      </c>
      <c r="N20" t="s">
        <v>679</v>
      </c>
      <c r="O20" t="str">
        <f t="shared" si="0"/>
        <v>if id = "E07" then delete;</v>
      </c>
    </row>
    <row r="21" spans="1:19" x14ac:dyDescent="0.55000000000000004">
      <c r="A21" s="10" t="s">
        <v>437</v>
      </c>
      <c r="B21" s="10" t="s">
        <v>675</v>
      </c>
      <c r="C21" s="10"/>
      <c r="D21" s="73" t="s">
        <v>437</v>
      </c>
      <c r="E21" s="73" t="s">
        <v>676</v>
      </c>
      <c r="F21" s="73" t="s">
        <v>726</v>
      </c>
      <c r="G21" s="73"/>
      <c r="H21" s="84">
        <v>3.2810000000000001</v>
      </c>
      <c r="I21" s="85">
        <v>39.107275000000001</v>
      </c>
      <c r="J21" s="85">
        <v>-83.932536999999996</v>
      </c>
      <c r="L21" t="s">
        <v>677</v>
      </c>
      <c r="M21" s="10" t="s">
        <v>727</v>
      </c>
      <c r="N21" t="s">
        <v>679</v>
      </c>
      <c r="O21" t="str">
        <f t="shared" si="0"/>
        <v>if id = "E07.1" then delete;</v>
      </c>
    </row>
    <row r="22" spans="1:19" x14ac:dyDescent="0.55000000000000004">
      <c r="A22" s="10" t="s">
        <v>326</v>
      </c>
      <c r="B22" s="10" t="s">
        <v>675</v>
      </c>
      <c r="C22" s="10"/>
      <c r="D22" s="73" t="s">
        <v>326</v>
      </c>
      <c r="E22" s="74" t="s">
        <v>728</v>
      </c>
      <c r="F22" s="74" t="s">
        <v>729</v>
      </c>
      <c r="G22" s="89">
        <v>0.18</v>
      </c>
      <c r="H22" s="84">
        <v>6.3</v>
      </c>
      <c r="I22" s="85">
        <v>39.132927799999997</v>
      </c>
      <c r="J22" s="85">
        <v>-84.015222199999997</v>
      </c>
      <c r="L22" t="s">
        <v>677</v>
      </c>
      <c r="M22" s="10" t="s">
        <v>730</v>
      </c>
      <c r="N22" t="s">
        <v>679</v>
      </c>
      <c r="O22" t="str">
        <f t="shared" si="0"/>
        <v>if id = "E07.2" then delete;</v>
      </c>
    </row>
    <row r="23" spans="1:19" x14ac:dyDescent="0.55000000000000004">
      <c r="A23" s="10" t="s">
        <v>443</v>
      </c>
      <c r="B23" s="10" t="s">
        <v>675</v>
      </c>
      <c r="C23" s="10"/>
      <c r="D23" s="73" t="s">
        <v>443</v>
      </c>
      <c r="E23" s="73" t="s">
        <v>676</v>
      </c>
      <c r="F23" s="73" t="s">
        <v>731</v>
      </c>
      <c r="G23" s="73"/>
      <c r="H23" s="84">
        <v>0.9264</v>
      </c>
      <c r="I23" s="85">
        <v>39.168635999999999</v>
      </c>
      <c r="J23" s="85">
        <v>-84.008300000000006</v>
      </c>
      <c r="L23" t="s">
        <v>677</v>
      </c>
      <c r="M23" s="10" t="s">
        <v>732</v>
      </c>
      <c r="N23" t="s">
        <v>679</v>
      </c>
      <c r="O23" t="str">
        <f t="shared" si="0"/>
        <v>if id = "E08" then delete;</v>
      </c>
    </row>
    <row r="24" spans="1:19" x14ac:dyDescent="0.55000000000000004">
      <c r="A24" s="10" t="s">
        <v>330</v>
      </c>
      <c r="B24" s="10" t="s">
        <v>675</v>
      </c>
      <c r="C24" s="10"/>
      <c r="D24" s="73" t="s">
        <v>330</v>
      </c>
      <c r="E24" s="74" t="s">
        <v>733</v>
      </c>
      <c r="F24" s="74" t="s">
        <v>734</v>
      </c>
      <c r="G24" s="89">
        <v>0.23</v>
      </c>
      <c r="H24" s="84">
        <v>5.5</v>
      </c>
      <c r="I24" s="85">
        <v>39.140300000000003</v>
      </c>
      <c r="J24" s="85">
        <v>-84.259200000000007</v>
      </c>
      <c r="L24" t="s">
        <v>677</v>
      </c>
      <c r="M24" s="10" t="s">
        <v>735</v>
      </c>
      <c r="N24" t="s">
        <v>679</v>
      </c>
      <c r="O24" t="str">
        <f t="shared" si="0"/>
        <v>if id = "E08.1" then delete;</v>
      </c>
    </row>
    <row r="25" spans="1:19" x14ac:dyDescent="0.55000000000000004">
      <c r="A25" s="10" t="s">
        <v>333</v>
      </c>
      <c r="B25" s="10" t="s">
        <v>675</v>
      </c>
      <c r="C25" s="10"/>
      <c r="D25" s="73" t="s">
        <v>333</v>
      </c>
      <c r="E25" s="73" t="s">
        <v>676</v>
      </c>
      <c r="F25" s="73" t="s">
        <v>736</v>
      </c>
      <c r="G25" s="73"/>
      <c r="H25" s="84">
        <v>0.57899999999999996</v>
      </c>
      <c r="I25" s="85">
        <v>39.147613999999997</v>
      </c>
      <c r="J25" s="85">
        <v>-84.255656000000002</v>
      </c>
      <c r="L25" t="s">
        <v>677</v>
      </c>
      <c r="M25" s="10" t="s">
        <v>737</v>
      </c>
      <c r="N25" t="s">
        <v>679</v>
      </c>
      <c r="O25" t="str">
        <f t="shared" si="0"/>
        <v>if id = "E08.2" then delete;</v>
      </c>
    </row>
    <row r="26" spans="1:19" x14ac:dyDescent="0.55000000000000004">
      <c r="A26" s="10" t="s">
        <v>336</v>
      </c>
      <c r="B26" s="10" t="s">
        <v>675</v>
      </c>
      <c r="C26" s="10"/>
      <c r="D26" s="73" t="s">
        <v>336</v>
      </c>
      <c r="E26" s="74" t="s">
        <v>738</v>
      </c>
      <c r="F26" s="74" t="s">
        <v>739</v>
      </c>
      <c r="G26" s="89">
        <v>0.35</v>
      </c>
      <c r="H26" s="84">
        <v>5.6</v>
      </c>
      <c r="I26" s="85">
        <v>39.124001</v>
      </c>
      <c r="J26" s="85">
        <v>-84.007332000000005</v>
      </c>
      <c r="L26" t="s">
        <v>677</v>
      </c>
      <c r="M26" s="10" t="s">
        <v>612</v>
      </c>
      <c r="N26" t="s">
        <v>679</v>
      </c>
      <c r="O26" t="str">
        <f t="shared" si="0"/>
        <v>if id = "ERS" then delete;</v>
      </c>
    </row>
    <row r="27" spans="1:19" x14ac:dyDescent="0.55000000000000004">
      <c r="A27" s="10" t="s">
        <v>338</v>
      </c>
      <c r="B27" s="10" t="s">
        <v>675</v>
      </c>
      <c r="C27" s="10"/>
      <c r="D27" s="73" t="s">
        <v>338</v>
      </c>
      <c r="E27" s="73" t="s">
        <v>676</v>
      </c>
      <c r="F27" s="73" t="s">
        <v>740</v>
      </c>
      <c r="G27" s="73"/>
      <c r="H27" s="84">
        <v>0.8106000000000001</v>
      </c>
      <c r="I27" s="85">
        <v>39.066153</v>
      </c>
      <c r="J27" s="85">
        <v>-84.073953000000003</v>
      </c>
      <c r="L27" t="s">
        <v>677</v>
      </c>
      <c r="M27" s="10" t="s">
        <v>245</v>
      </c>
      <c r="N27" t="s">
        <v>679</v>
      </c>
      <c r="O27" t="str">
        <f t="shared" si="0"/>
        <v>if id = "ESF" then delete;</v>
      </c>
    </row>
    <row r="28" spans="1:19" x14ac:dyDescent="0.55000000000000004">
      <c r="A28" s="10" t="s">
        <v>341</v>
      </c>
      <c r="B28" s="10" t="s">
        <v>675</v>
      </c>
      <c r="C28" s="10"/>
      <c r="D28" s="73" t="s">
        <v>341</v>
      </c>
      <c r="E28" s="74" t="s">
        <v>741</v>
      </c>
      <c r="F28" s="74" t="s">
        <v>742</v>
      </c>
      <c r="G28" s="89">
        <v>0.1</v>
      </c>
      <c r="H28" s="84">
        <v>6.8322000000000003</v>
      </c>
      <c r="I28" s="85">
        <v>39.057014000000002</v>
      </c>
      <c r="J28" s="85">
        <v>-84.179483000000005</v>
      </c>
      <c r="L28" t="s">
        <v>677</v>
      </c>
      <c r="M28" s="10" t="s">
        <v>448</v>
      </c>
      <c r="N28" t="s">
        <v>679</v>
      </c>
      <c r="O28" t="str">
        <f t="shared" si="0"/>
        <v>if id = "RO" then delete;</v>
      </c>
    </row>
    <row r="29" spans="1:19" x14ac:dyDescent="0.55000000000000004">
      <c r="A29" s="10" t="s">
        <v>620</v>
      </c>
      <c r="B29" s="10" t="s">
        <v>675</v>
      </c>
      <c r="C29" s="10"/>
      <c r="D29" s="73" t="s">
        <v>620</v>
      </c>
      <c r="E29" s="73" t="s">
        <v>676</v>
      </c>
      <c r="F29" s="73" t="s">
        <v>743</v>
      </c>
      <c r="G29" s="73"/>
      <c r="H29" s="84">
        <v>4.7864000000000004</v>
      </c>
      <c r="I29" s="85">
        <v>38.993000000000002</v>
      </c>
      <c r="J29" s="86">
        <v>-84.058999999999997</v>
      </c>
      <c r="L29" t="s">
        <v>677</v>
      </c>
      <c r="M29" s="10" t="s">
        <v>364</v>
      </c>
      <c r="N29" t="s">
        <v>679</v>
      </c>
      <c r="O29" t="str">
        <f t="shared" si="0"/>
        <v>if id = "GWT" then delete;</v>
      </c>
    </row>
    <row r="30" spans="1:19" x14ac:dyDescent="0.55000000000000004">
      <c r="A30" s="10" t="s">
        <v>445</v>
      </c>
      <c r="B30" s="10" t="s">
        <v>675</v>
      </c>
      <c r="C30" s="10"/>
      <c r="D30" s="73" t="s">
        <v>445</v>
      </c>
      <c r="E30" s="74" t="s">
        <v>744</v>
      </c>
      <c r="F30" s="74" t="s">
        <v>745</v>
      </c>
      <c r="G30" s="89">
        <v>0.89</v>
      </c>
      <c r="H30" s="84">
        <v>2</v>
      </c>
      <c r="I30" s="85">
        <v>39.185355600000001</v>
      </c>
      <c r="J30" s="85">
        <v>-84.095013899999998</v>
      </c>
      <c r="L30" t="s">
        <v>677</v>
      </c>
      <c r="M30" s="10" t="s">
        <v>524</v>
      </c>
      <c r="N30" t="s">
        <v>679</v>
      </c>
      <c r="O30" t="str">
        <f t="shared" si="0"/>
        <v>if id = "CGC" then delete;</v>
      </c>
    </row>
    <row r="31" spans="1:19" x14ac:dyDescent="0.55000000000000004">
      <c r="A31" s="10" t="s">
        <v>345</v>
      </c>
      <c r="B31" s="10" t="s">
        <v>675</v>
      </c>
      <c r="C31" s="10"/>
      <c r="D31" s="73" t="s">
        <v>345</v>
      </c>
      <c r="E31" s="73" t="s">
        <v>676</v>
      </c>
      <c r="F31" s="73" t="s">
        <v>746</v>
      </c>
      <c r="G31" s="73"/>
      <c r="H31" s="84">
        <v>2.3159999999999998</v>
      </c>
      <c r="I31" s="85">
        <v>39.127749999999999</v>
      </c>
      <c r="J31" s="85">
        <v>-84.136442000000002</v>
      </c>
      <c r="L31" t="s">
        <v>677</v>
      </c>
      <c r="M31" s="10" t="s">
        <v>480</v>
      </c>
      <c r="N31" t="s">
        <v>679</v>
      </c>
      <c r="O31" t="str">
        <f t="shared" si="0"/>
        <v>if id = "STF" then delete;</v>
      </c>
    </row>
    <row r="32" spans="1:19" x14ac:dyDescent="0.55000000000000004">
      <c r="A32" s="10" t="s">
        <v>528</v>
      </c>
      <c r="B32" s="10" t="s">
        <v>675</v>
      </c>
      <c r="C32" s="10"/>
      <c r="D32" s="73" t="s">
        <v>528</v>
      </c>
      <c r="E32" s="74" t="s">
        <v>529</v>
      </c>
      <c r="F32" s="74" t="s">
        <v>527</v>
      </c>
      <c r="G32" s="89">
        <v>0.46</v>
      </c>
      <c r="H32" s="90">
        <v>4</v>
      </c>
      <c r="I32" s="85">
        <v>39.313299999999998</v>
      </c>
      <c r="J32" s="85">
        <v>-83.761399999999995</v>
      </c>
      <c r="L32" t="s">
        <v>677</v>
      </c>
      <c r="M32" s="10" t="s">
        <v>450</v>
      </c>
      <c r="N32" t="s">
        <v>679</v>
      </c>
      <c r="O32" t="str">
        <f t="shared" si="0"/>
        <v>if id = "SRE" then delete;</v>
      </c>
    </row>
    <row r="33" spans="1:15" x14ac:dyDescent="0.55000000000000004">
      <c r="A33" s="10" t="s">
        <v>747</v>
      </c>
      <c r="B33" s="10" t="s">
        <v>675</v>
      </c>
      <c r="C33" s="10"/>
      <c r="D33" s="73" t="s">
        <v>747</v>
      </c>
      <c r="E33" s="73" t="s">
        <v>748</v>
      </c>
      <c r="F33" s="102" t="s">
        <v>749</v>
      </c>
      <c r="G33" s="99">
        <v>0.42</v>
      </c>
      <c r="H33" s="100">
        <v>7.8</v>
      </c>
      <c r="I33" s="85">
        <v>39.112499999999997</v>
      </c>
      <c r="J33" s="85">
        <v>-84.042199999999994</v>
      </c>
      <c r="L33" t="s">
        <v>677</v>
      </c>
      <c r="M33" s="10" t="s">
        <v>452</v>
      </c>
      <c r="N33" t="s">
        <v>679</v>
      </c>
      <c r="O33" t="str">
        <f t="shared" si="0"/>
        <v>if id = "SRW" then delete;</v>
      </c>
    </row>
    <row r="34" spans="1:15" x14ac:dyDescent="0.55000000000000004">
      <c r="A34" s="10" t="s">
        <v>534</v>
      </c>
      <c r="B34" s="10" t="s">
        <v>675</v>
      </c>
      <c r="C34" s="10"/>
      <c r="D34" s="73" t="s">
        <v>534</v>
      </c>
      <c r="E34" s="74" t="s">
        <v>535</v>
      </c>
      <c r="F34" s="74" t="s">
        <v>533</v>
      </c>
      <c r="G34" s="89">
        <v>70.12</v>
      </c>
      <c r="H34" s="90">
        <v>88</v>
      </c>
      <c r="I34" s="85">
        <v>39.225000000000001</v>
      </c>
      <c r="J34" s="85">
        <v>-83.825800000000001</v>
      </c>
      <c r="L34" t="s">
        <v>677</v>
      </c>
      <c r="M34" s="96" t="s">
        <v>499</v>
      </c>
      <c r="N34" t="s">
        <v>679</v>
      </c>
      <c r="O34" t="str">
        <f t="shared" si="0"/>
        <v>if id = "2EFR20001" then delete;</v>
      </c>
    </row>
    <row r="35" spans="1:15" x14ac:dyDescent="0.55000000000000004">
      <c r="A35" s="10" t="s">
        <v>531</v>
      </c>
      <c r="B35" s="10" t="s">
        <v>675</v>
      </c>
      <c r="C35" s="10"/>
      <c r="D35" s="73" t="s">
        <v>531</v>
      </c>
      <c r="E35" s="74" t="s">
        <v>532</v>
      </c>
      <c r="F35" s="74" t="s">
        <v>530</v>
      </c>
      <c r="G35" s="89">
        <v>75.33</v>
      </c>
      <c r="H35" s="90">
        <v>26.2</v>
      </c>
      <c r="I35" s="85">
        <v>39.273299999999999</v>
      </c>
      <c r="J35" s="85">
        <v>-83.781400000000005</v>
      </c>
      <c r="L35" t="s">
        <v>677</v>
      </c>
      <c r="M35" s="10" t="s">
        <v>491</v>
      </c>
      <c r="N35" t="s">
        <v>679</v>
      </c>
      <c r="O35" t="str">
        <f t="shared" si="0"/>
        <v>if id = "2BHR20001" then delete;</v>
      </c>
    </row>
    <row r="36" spans="1:15" x14ac:dyDescent="0.55000000000000004">
      <c r="A36" s="10" t="s">
        <v>540</v>
      </c>
      <c r="B36" s="10" t="s">
        <v>675</v>
      </c>
      <c r="C36" s="10"/>
      <c r="D36" s="73" t="s">
        <v>540</v>
      </c>
      <c r="E36" s="74" t="s">
        <v>541</v>
      </c>
      <c r="F36" s="74" t="s">
        <v>539</v>
      </c>
      <c r="G36" s="89">
        <v>0.12</v>
      </c>
      <c r="H36" s="90">
        <v>28.3</v>
      </c>
      <c r="I36" s="85">
        <v>39.230600000000003</v>
      </c>
      <c r="J36" s="85">
        <v>-83.914500000000004</v>
      </c>
      <c r="L36" t="s">
        <v>677</v>
      </c>
      <c r="M36" s="10" t="s">
        <v>492</v>
      </c>
      <c r="N36" t="s">
        <v>679</v>
      </c>
      <c r="O36" t="str">
        <f t="shared" si="0"/>
        <v>if id = "2BRR20001" then delete;</v>
      </c>
    </row>
    <row r="37" spans="1:15" x14ac:dyDescent="0.55000000000000004">
      <c r="A37" s="10" t="s">
        <v>537</v>
      </c>
      <c r="B37" s="10" t="s">
        <v>675</v>
      </c>
      <c r="C37" s="10"/>
      <c r="D37" s="73" t="s">
        <v>537</v>
      </c>
      <c r="E37" s="79" t="s">
        <v>538</v>
      </c>
      <c r="F37" s="74" t="s">
        <v>536</v>
      </c>
      <c r="G37" s="89">
        <v>0.05</v>
      </c>
      <c r="H37" s="90">
        <v>32.5</v>
      </c>
      <c r="I37" s="85">
        <v>39.207000000000001</v>
      </c>
      <c r="J37" s="85">
        <v>-83.81</v>
      </c>
      <c r="L37" t="s">
        <v>677</v>
      </c>
      <c r="M37" s="96" t="s">
        <v>493</v>
      </c>
      <c r="N37" t="s">
        <v>679</v>
      </c>
      <c r="O37" t="str">
        <f t="shared" si="0"/>
        <v>if id = "2BVR20001" then delete;</v>
      </c>
    </row>
    <row r="38" spans="1:15" x14ac:dyDescent="0.55000000000000004">
      <c r="A38" s="10" t="s">
        <v>543</v>
      </c>
      <c r="B38" s="10" t="s">
        <v>675</v>
      </c>
      <c r="C38" s="10"/>
      <c r="D38" s="73" t="s">
        <v>543</v>
      </c>
      <c r="E38" s="74" t="s">
        <v>544</v>
      </c>
      <c r="F38" s="74" t="s">
        <v>542</v>
      </c>
      <c r="G38" s="89">
        <v>0.4</v>
      </c>
      <c r="H38" s="84">
        <v>6.4</v>
      </c>
      <c r="I38" s="85">
        <v>39.1372</v>
      </c>
      <c r="J38" s="85">
        <v>-84.245800000000003</v>
      </c>
      <c r="L38" t="s">
        <v>677</v>
      </c>
      <c r="M38" s="96" t="s">
        <v>494</v>
      </c>
      <c r="N38" t="s">
        <v>679</v>
      </c>
      <c r="O38" t="str">
        <f t="shared" si="0"/>
        <v>if id = "2CBR20001" then delete;</v>
      </c>
    </row>
    <row r="39" spans="1:15" x14ac:dyDescent="0.55000000000000004">
      <c r="A39" s="10" t="s">
        <v>750</v>
      </c>
      <c r="B39" s="10" t="s">
        <v>675</v>
      </c>
      <c r="C39" s="10"/>
      <c r="D39" s="73" t="s">
        <v>750</v>
      </c>
      <c r="E39" s="87" t="s">
        <v>751</v>
      </c>
      <c r="F39" s="87" t="s">
        <v>752</v>
      </c>
      <c r="G39" s="99">
        <v>0.17</v>
      </c>
      <c r="H39" s="100">
        <v>3.6</v>
      </c>
      <c r="I39" s="101">
        <v>39.134700000000002</v>
      </c>
      <c r="J39" s="101">
        <v>-84.232500000000002</v>
      </c>
      <c r="L39" t="s">
        <v>677</v>
      </c>
      <c r="M39" s="96" t="s">
        <v>495</v>
      </c>
      <c r="N39" t="s">
        <v>679</v>
      </c>
      <c r="O39" t="str">
        <f t="shared" si="0"/>
        <v>if id = "2CCK20001" then delete;</v>
      </c>
    </row>
    <row r="40" spans="1:15" x14ac:dyDescent="0.55000000000000004">
      <c r="A40" s="10" t="s">
        <v>349</v>
      </c>
      <c r="B40" s="10" t="s">
        <v>675</v>
      </c>
      <c r="C40" s="10"/>
      <c r="D40" s="73" t="s">
        <v>349</v>
      </c>
      <c r="E40" s="73" t="s">
        <v>676</v>
      </c>
      <c r="F40" s="73" t="s">
        <v>753</v>
      </c>
      <c r="G40" s="73"/>
      <c r="H40" s="84">
        <v>0.88779999999999992</v>
      </c>
      <c r="I40" s="85">
        <v>39.007199999999997</v>
      </c>
      <c r="J40" s="85">
        <v>-84.136827999999994</v>
      </c>
      <c r="L40" t="s">
        <v>677</v>
      </c>
      <c r="M40" s="96" t="s">
        <v>496</v>
      </c>
      <c r="N40" t="s">
        <v>679</v>
      </c>
      <c r="O40" t="str">
        <f t="shared" si="0"/>
        <v>if id = "2CFK20001" then delete;</v>
      </c>
    </row>
    <row r="41" spans="1:15" x14ac:dyDescent="0.55000000000000004">
      <c r="A41" s="10" t="s">
        <v>351</v>
      </c>
      <c r="B41" s="10" t="s">
        <v>675</v>
      </c>
      <c r="C41" s="10"/>
      <c r="D41" s="73" t="s">
        <v>351</v>
      </c>
      <c r="E41" s="74" t="s">
        <v>676</v>
      </c>
      <c r="F41" s="73" t="s">
        <v>754</v>
      </c>
      <c r="G41" s="89"/>
      <c r="H41" s="84">
        <v>0.38213999999999998</v>
      </c>
      <c r="I41" s="85">
        <v>39.081139999999998</v>
      </c>
      <c r="J41" s="85">
        <v>-84.231881999999999</v>
      </c>
      <c r="L41" t="s">
        <v>677</v>
      </c>
      <c r="M41" s="96" t="s">
        <v>497</v>
      </c>
      <c r="N41" t="s">
        <v>679</v>
      </c>
      <c r="O41" t="str">
        <f t="shared" si="0"/>
        <v>if id = "2CHL20001" then delete;</v>
      </c>
    </row>
    <row r="42" spans="1:15" x14ac:dyDescent="0.55000000000000004">
      <c r="A42" s="10" t="s">
        <v>353</v>
      </c>
      <c r="B42" s="10" t="s">
        <v>675</v>
      </c>
      <c r="C42" s="10"/>
      <c r="D42" s="73" t="s">
        <v>353</v>
      </c>
      <c r="E42" s="74" t="s">
        <v>755</v>
      </c>
      <c r="F42" s="74" t="s">
        <v>756</v>
      </c>
      <c r="G42" s="89">
        <v>1.71</v>
      </c>
      <c r="H42" s="84">
        <v>12.1</v>
      </c>
      <c r="I42" s="85">
        <v>39.117800000000003</v>
      </c>
      <c r="J42" s="85">
        <v>-84.216399999999993</v>
      </c>
      <c r="L42" t="s">
        <v>677</v>
      </c>
      <c r="M42" s="96" t="s">
        <v>757</v>
      </c>
      <c r="N42" t="s">
        <v>679</v>
      </c>
      <c r="O42" t="str">
        <f>L42&amp;M42&amp;N42</f>
        <v>if id = "2CMR20001" then delete;</v>
      </c>
    </row>
    <row r="43" spans="1:15" x14ac:dyDescent="0.55000000000000004">
      <c r="A43" s="10" t="s">
        <v>355</v>
      </c>
      <c r="B43" s="10" t="s">
        <v>675</v>
      </c>
      <c r="C43" s="10"/>
      <c r="D43" s="73" t="s">
        <v>355</v>
      </c>
      <c r="E43" s="73" t="s">
        <v>676</v>
      </c>
      <c r="F43" s="73" t="s">
        <v>758</v>
      </c>
      <c r="G43" s="73"/>
      <c r="H43" s="84">
        <v>0.37828000000000001</v>
      </c>
      <c r="I43" s="85">
        <v>39.041193999999997</v>
      </c>
      <c r="J43" s="85">
        <v>-84.212897999999996</v>
      </c>
      <c r="L43" t="s">
        <v>677</v>
      </c>
      <c r="M43" s="96" t="s">
        <v>498</v>
      </c>
      <c r="N43" t="s">
        <v>679</v>
      </c>
      <c r="O43" t="str">
        <f t="shared" si="0"/>
        <v>if id = "2CRR20001" then delete;</v>
      </c>
    </row>
    <row r="44" spans="1:15" x14ac:dyDescent="0.55000000000000004">
      <c r="A44" s="10" t="s">
        <v>357</v>
      </c>
      <c r="B44" s="10" t="s">
        <v>675</v>
      </c>
      <c r="C44" s="10"/>
      <c r="D44" s="73" t="s">
        <v>357</v>
      </c>
      <c r="E44" s="74" t="s">
        <v>759</v>
      </c>
      <c r="F44" s="74" t="s">
        <v>760</v>
      </c>
      <c r="G44" s="89">
        <v>1</v>
      </c>
      <c r="H44" s="84">
        <v>75</v>
      </c>
      <c r="I44" s="85">
        <v>39.122500000000002</v>
      </c>
      <c r="J44" s="85">
        <v>-84.199200000000005</v>
      </c>
      <c r="L44" t="s">
        <v>677</v>
      </c>
      <c r="M44" s="96" t="s">
        <v>500</v>
      </c>
      <c r="N44" t="s">
        <v>679</v>
      </c>
      <c r="O44" t="str">
        <f t="shared" si="0"/>
        <v>if id = "2GRR20001" then delete;</v>
      </c>
    </row>
    <row r="45" spans="1:15" x14ac:dyDescent="0.55000000000000004">
      <c r="A45" s="10" t="s">
        <v>761</v>
      </c>
      <c r="B45" s="10" t="s">
        <v>675</v>
      </c>
      <c r="C45" s="10"/>
      <c r="D45" s="73" t="s">
        <v>761</v>
      </c>
      <c r="E45" s="73" t="s">
        <v>762</v>
      </c>
      <c r="F45" s="102" t="s">
        <v>763</v>
      </c>
      <c r="G45" s="73">
        <v>5.15</v>
      </c>
      <c r="H45" s="90">
        <v>4.9000000000000004</v>
      </c>
      <c r="I45" s="85">
        <v>39.088299999999997</v>
      </c>
      <c r="J45" s="85">
        <v>-84.221699999999998</v>
      </c>
      <c r="L45" t="s">
        <v>677</v>
      </c>
      <c r="M45" s="96" t="s">
        <v>501</v>
      </c>
      <c r="N45" t="s">
        <v>679</v>
      </c>
      <c r="O45" t="str">
        <f t="shared" si="0"/>
        <v>if id = "2HTR20001" then delete;</v>
      </c>
    </row>
    <row r="46" spans="1:15" x14ac:dyDescent="0.55000000000000004">
      <c r="A46" s="10" t="s">
        <v>625</v>
      </c>
      <c r="B46" s="10" t="s">
        <v>675</v>
      </c>
      <c r="C46" s="10"/>
      <c r="D46" s="73" t="s">
        <v>625</v>
      </c>
      <c r="E46" s="73" t="s">
        <v>676</v>
      </c>
      <c r="F46" s="73" t="s">
        <v>764</v>
      </c>
      <c r="G46" s="73"/>
      <c r="H46" s="84">
        <v>0.30880000000000002</v>
      </c>
      <c r="I46" s="85">
        <v>39.037989000000003</v>
      </c>
      <c r="J46" s="85">
        <v>-84.120238999999998</v>
      </c>
      <c r="L46" t="s">
        <v>677</v>
      </c>
      <c r="M46" s="96" t="s">
        <v>502</v>
      </c>
      <c r="N46" t="s">
        <v>679</v>
      </c>
      <c r="O46" t="str">
        <f t="shared" si="0"/>
        <v>if id = "2MNR20001" then delete;</v>
      </c>
    </row>
    <row r="47" spans="1:15" x14ac:dyDescent="0.55000000000000004">
      <c r="A47" s="10" t="s">
        <v>359</v>
      </c>
      <c r="B47" s="10" t="s">
        <v>675</v>
      </c>
      <c r="C47" s="10"/>
      <c r="D47" s="73" t="s">
        <v>359</v>
      </c>
      <c r="E47" s="73" t="s">
        <v>676</v>
      </c>
      <c r="F47" s="73" t="s">
        <v>765</v>
      </c>
      <c r="G47" s="73"/>
      <c r="H47" s="84">
        <v>0.34354000000000001</v>
      </c>
      <c r="I47" s="85">
        <v>39.085258000000003</v>
      </c>
      <c r="J47" s="85">
        <v>-84.295029999999997</v>
      </c>
      <c r="L47" t="s">
        <v>677</v>
      </c>
      <c r="M47" s="96" t="s">
        <v>503</v>
      </c>
      <c r="N47" t="s">
        <v>679</v>
      </c>
      <c r="O47" t="str">
        <f t="shared" si="0"/>
        <v>if id = "2MSR20001" then delete;</v>
      </c>
    </row>
    <row r="48" spans="1:15" x14ac:dyDescent="0.55000000000000004">
      <c r="A48" s="10" t="s">
        <v>361</v>
      </c>
      <c r="B48" s="10" t="s">
        <v>675</v>
      </c>
      <c r="C48" s="10"/>
      <c r="D48" s="73" t="s">
        <v>361</v>
      </c>
      <c r="E48" s="73" t="s">
        <v>676</v>
      </c>
      <c r="F48" s="73" t="s">
        <v>360</v>
      </c>
      <c r="G48" s="73"/>
      <c r="H48" s="84">
        <v>2.3546</v>
      </c>
      <c r="I48" s="85">
        <v>39.118006999999999</v>
      </c>
      <c r="J48" s="85">
        <v>-84.259630000000001</v>
      </c>
      <c r="L48" t="s">
        <v>677</v>
      </c>
      <c r="M48" s="96" t="s">
        <v>504</v>
      </c>
      <c r="N48" t="s">
        <v>679</v>
      </c>
      <c r="O48" t="str">
        <f t="shared" si="0"/>
        <v>if id = "2NRR20001" then delete;</v>
      </c>
    </row>
    <row r="49" spans="1:15" x14ac:dyDescent="0.55000000000000004">
      <c r="A49" s="10" t="s">
        <v>618</v>
      </c>
      <c r="B49" s="10" t="s">
        <v>766</v>
      </c>
      <c r="C49" s="10"/>
      <c r="D49" s="73" t="s">
        <v>618</v>
      </c>
      <c r="E49" s="73" t="s">
        <v>676</v>
      </c>
      <c r="F49" s="73" t="s">
        <v>767</v>
      </c>
      <c r="G49" s="73"/>
      <c r="H49" s="73"/>
      <c r="I49" s="85">
        <v>39.012296999999997</v>
      </c>
      <c r="J49" s="86">
        <v>-84.098676999999995</v>
      </c>
      <c r="L49" t="s">
        <v>677</v>
      </c>
      <c r="M49" s="96" t="s">
        <v>505</v>
      </c>
      <c r="N49" t="s">
        <v>679</v>
      </c>
      <c r="O49" t="str">
        <f t="shared" si="0"/>
        <v>if id = "2PRR20001" then delete;</v>
      </c>
    </row>
    <row r="50" spans="1:15" x14ac:dyDescent="0.55000000000000004">
      <c r="A50" s="10" t="s">
        <v>287</v>
      </c>
      <c r="B50" s="10" t="s">
        <v>766</v>
      </c>
      <c r="C50" s="10"/>
      <c r="D50" s="73" t="s">
        <v>287</v>
      </c>
      <c r="E50" s="73" t="s">
        <v>676</v>
      </c>
      <c r="F50" s="73" t="s">
        <v>768</v>
      </c>
      <c r="G50" s="73"/>
      <c r="H50" s="73"/>
      <c r="I50" s="85">
        <v>39.036672000000003</v>
      </c>
      <c r="J50" s="86">
        <v>-84.138136000000003</v>
      </c>
      <c r="L50" t="s">
        <v>677</v>
      </c>
      <c r="M50" s="96" t="s">
        <v>506</v>
      </c>
      <c r="N50" t="s">
        <v>679</v>
      </c>
      <c r="O50" t="str">
        <f t="shared" si="0"/>
        <v>if id = "2RRR20001" then delete;</v>
      </c>
    </row>
    <row r="51" spans="1:15" x14ac:dyDescent="0.55000000000000004">
      <c r="A51" s="10" t="s">
        <v>646</v>
      </c>
      <c r="B51" s="10" t="s">
        <v>766</v>
      </c>
      <c r="C51" s="10"/>
      <c r="D51" s="73" t="s">
        <v>646</v>
      </c>
      <c r="E51" s="73" t="s">
        <v>676</v>
      </c>
      <c r="F51" s="73" t="s">
        <v>769</v>
      </c>
      <c r="G51" s="73"/>
      <c r="H51" s="73"/>
      <c r="I51" s="85">
        <v>39.020015000000001</v>
      </c>
      <c r="J51" s="86">
        <v>-84.131118999999998</v>
      </c>
      <c r="L51" t="s">
        <v>677</v>
      </c>
      <c r="M51" s="96" t="s">
        <v>507</v>
      </c>
      <c r="N51" t="s">
        <v>679</v>
      </c>
      <c r="O51" t="str">
        <f t="shared" si="0"/>
        <v>if id = "2SRR20001" then delete;</v>
      </c>
    </row>
    <row r="52" spans="1:15" x14ac:dyDescent="0.55000000000000004">
      <c r="A52" s="10" t="s">
        <v>661</v>
      </c>
      <c r="B52" s="10" t="s">
        <v>766</v>
      </c>
      <c r="C52" s="10"/>
      <c r="D52" s="73" t="s">
        <v>661</v>
      </c>
      <c r="E52" s="73" t="s">
        <v>676</v>
      </c>
      <c r="F52" s="73" t="s">
        <v>770</v>
      </c>
      <c r="G52" s="73"/>
      <c r="H52" s="73"/>
      <c r="I52" s="85">
        <v>39.021000000000001</v>
      </c>
      <c r="J52" s="86">
        <v>-84.097999999999999</v>
      </c>
      <c r="L52" t="s">
        <v>677</v>
      </c>
      <c r="M52" s="96" t="s">
        <v>508</v>
      </c>
      <c r="N52" t="s">
        <v>679</v>
      </c>
      <c r="O52" t="str">
        <f t="shared" si="0"/>
        <v>if id = "2TAR20001" then delete;</v>
      </c>
    </row>
    <row r="53" spans="1:15" x14ac:dyDescent="0.55000000000000004">
      <c r="A53" s="10" t="s">
        <v>428</v>
      </c>
      <c r="B53" s="10" t="s">
        <v>766</v>
      </c>
      <c r="C53" s="10"/>
      <c r="D53" s="73" t="s">
        <v>428</v>
      </c>
      <c r="E53" s="73" t="s">
        <v>676</v>
      </c>
      <c r="F53" s="73" t="s">
        <v>771</v>
      </c>
      <c r="G53" s="73"/>
      <c r="H53" s="73"/>
      <c r="I53" s="85">
        <v>39.020015000000001</v>
      </c>
      <c r="J53" s="86">
        <v>-84.153604000000001</v>
      </c>
      <c r="L53" t="s">
        <v>677</v>
      </c>
      <c r="M53" s="96" t="s">
        <v>509</v>
      </c>
      <c r="N53" t="s">
        <v>679</v>
      </c>
      <c r="O53" t="str">
        <f t="shared" si="0"/>
        <v>if id = "2WFR20001" then delete;</v>
      </c>
    </row>
    <row r="54" spans="1:15" x14ac:dyDescent="0.55000000000000004">
      <c r="A54" s="10" t="s">
        <v>431</v>
      </c>
      <c r="B54" s="10" t="s">
        <v>766</v>
      </c>
      <c r="C54" s="10"/>
      <c r="D54" s="73" t="s">
        <v>431</v>
      </c>
      <c r="E54" s="73" t="s">
        <v>676</v>
      </c>
      <c r="F54" s="73" t="s">
        <v>772</v>
      </c>
      <c r="G54" s="73"/>
      <c r="H54" s="73"/>
      <c r="I54" s="85">
        <v>39.025981999999999</v>
      </c>
      <c r="J54" s="86">
        <v>-84.090733999999998</v>
      </c>
      <c r="L54" t="s">
        <v>677</v>
      </c>
      <c r="M54" s="10" t="s">
        <v>511</v>
      </c>
      <c r="N54" t="s">
        <v>679</v>
      </c>
      <c r="O54" t="str">
        <f t="shared" si="0"/>
        <v>if id = "622_AA" then delete;</v>
      </c>
    </row>
    <row r="55" spans="1:15" x14ac:dyDescent="0.55000000000000004">
      <c r="A55" s="10" t="s">
        <v>678</v>
      </c>
      <c r="B55" s="10" t="s">
        <v>245</v>
      </c>
      <c r="C55" s="10"/>
      <c r="D55" s="97" t="s">
        <v>773</v>
      </c>
      <c r="E55" s="97"/>
      <c r="F55" s="97" t="s">
        <v>774</v>
      </c>
      <c r="G55" s="103">
        <v>2.1</v>
      </c>
      <c r="H55" s="103"/>
      <c r="I55" s="104">
        <v>38.981971999999999</v>
      </c>
      <c r="J55" s="104">
        <v>-84.101034999999996</v>
      </c>
      <c r="L55" t="s">
        <v>677</v>
      </c>
      <c r="M55" s="10" t="s">
        <v>513</v>
      </c>
      <c r="N55" t="s">
        <v>679</v>
      </c>
      <c r="O55" t="str">
        <f t="shared" si="0"/>
        <v>if id = "622_BB" then delete;</v>
      </c>
    </row>
    <row r="56" spans="1:15" x14ac:dyDescent="0.55000000000000004">
      <c r="A56" s="10" t="s">
        <v>680</v>
      </c>
      <c r="B56" s="10" t="s">
        <v>245</v>
      </c>
      <c r="C56" s="10"/>
      <c r="D56" s="97" t="s">
        <v>775</v>
      </c>
      <c r="E56" s="74" t="s">
        <v>728</v>
      </c>
      <c r="F56" s="97" t="s">
        <v>776</v>
      </c>
      <c r="G56" s="103">
        <v>0.2</v>
      </c>
      <c r="H56" s="103"/>
      <c r="I56" s="104">
        <v>39.132878468500003</v>
      </c>
      <c r="J56" s="104">
        <v>-84.015335726299995</v>
      </c>
      <c r="L56" t="s">
        <v>677</v>
      </c>
      <c r="M56" s="10" t="s">
        <v>514</v>
      </c>
      <c r="N56" t="s">
        <v>679</v>
      </c>
      <c r="O56" t="str">
        <f t="shared" si="0"/>
        <v>if id = "622_BR" then delete;</v>
      </c>
    </row>
    <row r="57" spans="1:15" x14ac:dyDescent="0.55000000000000004">
      <c r="A57" s="10" t="s">
        <v>681</v>
      </c>
      <c r="B57" s="10" t="s">
        <v>245</v>
      </c>
      <c r="C57" s="10"/>
      <c r="D57" s="97" t="s">
        <v>777</v>
      </c>
      <c r="E57" s="97"/>
      <c r="F57" s="97" t="s">
        <v>778</v>
      </c>
      <c r="G57" s="103">
        <v>1.3</v>
      </c>
      <c r="H57" s="103"/>
      <c r="I57" s="104">
        <v>39.1203</v>
      </c>
      <c r="J57" s="104">
        <v>-84.053100000000001</v>
      </c>
      <c r="L57" t="s">
        <v>677</v>
      </c>
      <c r="M57" s="10" t="s">
        <v>515</v>
      </c>
      <c r="N57" t="s">
        <v>679</v>
      </c>
      <c r="O57" t="str">
        <f t="shared" si="0"/>
        <v>if id = "622_DZ" then delete;</v>
      </c>
    </row>
    <row r="58" spans="1:15" x14ac:dyDescent="0.55000000000000004">
      <c r="A58" s="10" t="s">
        <v>683</v>
      </c>
      <c r="B58" s="10" t="s">
        <v>245</v>
      </c>
      <c r="C58" s="10"/>
      <c r="D58" s="97" t="s">
        <v>779</v>
      </c>
      <c r="E58" s="97"/>
      <c r="F58" s="97" t="s">
        <v>780</v>
      </c>
      <c r="G58" s="103">
        <v>2.5</v>
      </c>
      <c r="H58" s="103"/>
      <c r="I58" s="104">
        <v>39.135899999999999</v>
      </c>
      <c r="J58" s="104">
        <v>-84.051000000000002</v>
      </c>
      <c r="L58" t="s">
        <v>677</v>
      </c>
      <c r="M58" s="10" t="s">
        <v>515</v>
      </c>
      <c r="N58" t="s">
        <v>679</v>
      </c>
      <c r="O58" t="str">
        <f t="shared" si="0"/>
        <v>if id = "622_DZ" then delete;</v>
      </c>
    </row>
    <row r="59" spans="1:15" x14ac:dyDescent="0.55000000000000004">
      <c r="A59" s="10" t="s">
        <v>686</v>
      </c>
      <c r="B59" s="10" t="s">
        <v>245</v>
      </c>
      <c r="C59" s="10"/>
      <c r="D59" s="97" t="s">
        <v>781</v>
      </c>
      <c r="E59" s="74" t="s">
        <v>535</v>
      </c>
      <c r="F59" s="97" t="s">
        <v>782</v>
      </c>
      <c r="G59" s="103">
        <v>70.099999999999994</v>
      </c>
      <c r="H59" s="103"/>
      <c r="I59" s="104">
        <v>39.225127999999998</v>
      </c>
      <c r="J59" s="104">
        <v>-83.825536999999997</v>
      </c>
      <c r="L59" t="s">
        <v>677</v>
      </c>
      <c r="M59" s="10" t="s">
        <v>516</v>
      </c>
      <c r="N59" t="s">
        <v>679</v>
      </c>
      <c r="O59" t="str">
        <f t="shared" si="0"/>
        <v>if id = "622_HT" then delete;</v>
      </c>
    </row>
    <row r="60" spans="1:15" x14ac:dyDescent="0.55000000000000004">
      <c r="A60" s="10" t="s">
        <v>688</v>
      </c>
      <c r="B60" s="10" t="s">
        <v>245</v>
      </c>
      <c r="C60" s="10"/>
      <c r="D60" s="97" t="s">
        <v>783</v>
      </c>
      <c r="E60" s="97"/>
      <c r="F60" s="97" t="s">
        <v>784</v>
      </c>
      <c r="G60" s="103">
        <v>1.83</v>
      </c>
      <c r="H60" s="103"/>
      <c r="I60" s="104">
        <v>39.264800000000001</v>
      </c>
      <c r="J60" s="104">
        <v>-84.232399999999998</v>
      </c>
      <c r="L60" t="s">
        <v>677</v>
      </c>
      <c r="M60" s="10" t="s">
        <v>517</v>
      </c>
      <c r="N60" t="s">
        <v>679</v>
      </c>
      <c r="O60" t="str">
        <f t="shared" si="0"/>
        <v>if id = "622_MN" then delete;</v>
      </c>
    </row>
    <row r="61" spans="1:15" x14ac:dyDescent="0.55000000000000004">
      <c r="A61" s="10" t="s">
        <v>691</v>
      </c>
      <c r="B61" s="10" t="s">
        <v>245</v>
      </c>
      <c r="C61" s="10"/>
      <c r="D61" s="97" t="s">
        <v>785</v>
      </c>
      <c r="E61" s="74" t="s">
        <v>532</v>
      </c>
      <c r="F61" s="97" t="s">
        <v>786</v>
      </c>
      <c r="G61" s="103">
        <v>75.3</v>
      </c>
      <c r="H61" s="103"/>
      <c r="I61" s="104">
        <v>39.273102999999999</v>
      </c>
      <c r="J61" s="104">
        <v>-83.781191000000007</v>
      </c>
      <c r="L61" t="s">
        <v>677</v>
      </c>
      <c r="M61" s="10" t="s">
        <v>518</v>
      </c>
      <c r="N61" t="s">
        <v>679</v>
      </c>
      <c r="O61" t="str">
        <f t="shared" si="0"/>
        <v>if id = "622_PT" then delete;</v>
      </c>
    </row>
    <row r="62" spans="1:15" x14ac:dyDescent="0.55000000000000004">
      <c r="A62" s="10" t="s">
        <v>693</v>
      </c>
      <c r="B62" s="10" t="s">
        <v>245</v>
      </c>
      <c r="C62" s="10"/>
      <c r="D62" s="97" t="s">
        <v>787</v>
      </c>
      <c r="E62" s="97"/>
      <c r="F62" s="97" t="s">
        <v>788</v>
      </c>
      <c r="G62" s="103"/>
      <c r="H62" s="103"/>
      <c r="I62" s="104">
        <v>39.187600000000003</v>
      </c>
      <c r="J62" s="104">
        <v>-84.013800000000003</v>
      </c>
      <c r="L62" t="s">
        <v>677</v>
      </c>
      <c r="M62" s="10" t="s">
        <v>519</v>
      </c>
      <c r="N62" t="s">
        <v>679</v>
      </c>
      <c r="O62" t="str">
        <f t="shared" si="0"/>
        <v>if id = "622_TR" then delete;</v>
      </c>
    </row>
    <row r="63" spans="1:15" x14ac:dyDescent="0.55000000000000004">
      <c r="A63" s="10" t="s">
        <v>696</v>
      </c>
      <c r="B63" s="10" t="s">
        <v>245</v>
      </c>
      <c r="C63" s="10"/>
      <c r="D63" s="97" t="s">
        <v>789</v>
      </c>
      <c r="E63" s="97"/>
      <c r="F63" s="97" t="s">
        <v>790</v>
      </c>
      <c r="G63" s="103">
        <v>3</v>
      </c>
      <c r="H63" s="103"/>
      <c r="I63" s="104">
        <v>39.166400000000003</v>
      </c>
      <c r="J63" s="104">
        <v>-84.009200000000007</v>
      </c>
      <c r="L63" t="s">
        <v>677</v>
      </c>
      <c r="M63" s="10" t="s">
        <v>520</v>
      </c>
      <c r="N63" t="s">
        <v>679</v>
      </c>
      <c r="O63" t="str">
        <f t="shared" si="0"/>
        <v>if id = "622_WR" then delete;</v>
      </c>
    </row>
    <row r="64" spans="1:15" x14ac:dyDescent="0.55000000000000004">
      <c r="A64" s="10" t="s">
        <v>699</v>
      </c>
      <c r="B64" s="10" t="s">
        <v>245</v>
      </c>
      <c r="C64" s="10"/>
      <c r="D64" s="97" t="s">
        <v>441</v>
      </c>
      <c r="E64" s="97"/>
      <c r="F64" s="97" t="s">
        <v>791</v>
      </c>
      <c r="G64" s="103">
        <v>3.2</v>
      </c>
      <c r="H64" s="103"/>
      <c r="I64" s="104">
        <v>39.174100000000003</v>
      </c>
      <c r="J64" s="104">
        <v>-83.998199999999997</v>
      </c>
      <c r="L64" t="s">
        <v>677</v>
      </c>
      <c r="M64" s="10" t="s">
        <v>521</v>
      </c>
      <c r="N64" t="s">
        <v>679</v>
      </c>
      <c r="O64" t="str">
        <f t="shared" si="0"/>
        <v>if id = "622_XX" then delete;</v>
      </c>
    </row>
    <row r="65" spans="1:15" x14ac:dyDescent="0.55000000000000004">
      <c r="A65" s="10" t="s">
        <v>701</v>
      </c>
      <c r="B65" s="10" t="s">
        <v>245</v>
      </c>
      <c r="C65" s="10"/>
      <c r="D65" s="97" t="s">
        <v>792</v>
      </c>
      <c r="E65" s="97"/>
      <c r="F65" s="97" t="s">
        <v>793</v>
      </c>
      <c r="G65" s="103">
        <v>1.4</v>
      </c>
      <c r="H65" s="103"/>
      <c r="I65" s="104">
        <v>39.207000000000001</v>
      </c>
      <c r="J65" s="104">
        <v>-83.810900000000004</v>
      </c>
      <c r="L65" t="s">
        <v>677</v>
      </c>
      <c r="M65" s="10" t="s">
        <v>649</v>
      </c>
      <c r="N65" t="s">
        <v>679</v>
      </c>
      <c r="O65" t="str">
        <f t="shared" si="0"/>
        <v>if id = "FB" then delete;</v>
      </c>
    </row>
    <row r="66" spans="1:15" x14ac:dyDescent="0.55000000000000004">
      <c r="A66" s="10" t="s">
        <v>704</v>
      </c>
      <c r="B66" s="10" t="s">
        <v>245</v>
      </c>
      <c r="C66" s="10"/>
      <c r="D66" s="97" t="s">
        <v>794</v>
      </c>
      <c r="E66" s="97"/>
      <c r="F66" s="97" t="s">
        <v>795</v>
      </c>
      <c r="G66" s="103"/>
      <c r="H66" s="103"/>
      <c r="I66" s="104">
        <v>39.095742999999999</v>
      </c>
      <c r="J66" s="104">
        <v>-84.131600000000006</v>
      </c>
      <c r="L66" t="s">
        <v>677</v>
      </c>
      <c r="M66" s="10" t="s">
        <v>796</v>
      </c>
      <c r="N66" t="s">
        <v>679</v>
      </c>
      <c r="O66" t="str">
        <f t="shared" si="0"/>
        <v>if id = "PE" then delete;</v>
      </c>
    </row>
    <row r="67" spans="1:15" x14ac:dyDescent="0.55000000000000004">
      <c r="A67" s="10" t="s">
        <v>707</v>
      </c>
      <c r="B67" s="10" t="s">
        <v>245</v>
      </c>
      <c r="C67" s="10"/>
      <c r="D67" s="97" t="s">
        <v>797</v>
      </c>
      <c r="E67" s="97"/>
      <c r="F67" s="97" t="s">
        <v>798</v>
      </c>
      <c r="G67" s="103"/>
      <c r="H67" s="103"/>
      <c r="I67" s="104">
        <v>39.095799999999997</v>
      </c>
      <c r="J67" s="104">
        <v>-84.132400000000004</v>
      </c>
      <c r="L67" t="s">
        <v>677</v>
      </c>
      <c r="M67" s="10" t="s">
        <v>572</v>
      </c>
      <c r="N67" t="s">
        <v>679</v>
      </c>
      <c r="O67" t="str">
        <f t="shared" si="0"/>
        <v>if id = "PP" then delete;</v>
      </c>
    </row>
    <row r="68" spans="1:15" x14ac:dyDescent="0.55000000000000004">
      <c r="A68" s="10" t="s">
        <v>710</v>
      </c>
      <c r="B68" s="10" t="s">
        <v>245</v>
      </c>
      <c r="C68" s="10"/>
      <c r="D68" s="97" t="s">
        <v>799</v>
      </c>
      <c r="E68" s="97"/>
      <c r="F68" s="97" t="s">
        <v>800</v>
      </c>
      <c r="G68" s="103"/>
      <c r="H68" s="103"/>
      <c r="I68" s="104">
        <v>39.189700000000002</v>
      </c>
      <c r="J68" s="104">
        <v>-84.157499999999999</v>
      </c>
      <c r="L68" t="s">
        <v>677</v>
      </c>
      <c r="M68" s="10" t="s">
        <v>70</v>
      </c>
      <c r="N68" t="s">
        <v>679</v>
      </c>
      <c r="O68" t="str">
        <f t="shared" ref="O68:O81" si="1">L68&amp;M68&amp;N68</f>
        <v>if id = "QAC" then delete;</v>
      </c>
    </row>
    <row r="69" spans="1:15" x14ac:dyDescent="0.55000000000000004">
      <c r="A69" s="10" t="s">
        <v>713</v>
      </c>
      <c r="B69" s="10" t="s">
        <v>245</v>
      </c>
      <c r="C69" s="10"/>
      <c r="D69" s="97" t="s">
        <v>801</v>
      </c>
      <c r="E69" s="97"/>
      <c r="F69" s="97" t="s">
        <v>802</v>
      </c>
      <c r="G69" s="103"/>
      <c r="H69" s="103"/>
      <c r="I69" s="104">
        <v>39.189100000000003</v>
      </c>
      <c r="J69" s="104">
        <v>-84.156800000000004</v>
      </c>
      <c r="L69" t="s">
        <v>677</v>
      </c>
      <c r="M69" s="10" t="s">
        <v>803</v>
      </c>
      <c r="N69" t="s">
        <v>679</v>
      </c>
      <c r="O69" t="str">
        <f t="shared" si="1"/>
        <v>if id = "XL" then delete;</v>
      </c>
    </row>
    <row r="70" spans="1:15" x14ac:dyDescent="0.55000000000000004">
      <c r="A70" s="10" t="s">
        <v>716</v>
      </c>
      <c r="B70" s="10" t="s">
        <v>245</v>
      </c>
      <c r="C70" s="10"/>
      <c r="D70" s="97" t="s">
        <v>804</v>
      </c>
      <c r="E70" s="97"/>
      <c r="F70" s="97" t="s">
        <v>805</v>
      </c>
      <c r="G70" s="103"/>
      <c r="H70" s="103"/>
      <c r="I70" s="104">
        <v>39.054000000000002</v>
      </c>
      <c r="J70" s="104">
        <v>-84.113699999999994</v>
      </c>
      <c r="L70" t="s">
        <v>677</v>
      </c>
      <c r="M70" s="10" t="s">
        <v>806</v>
      </c>
      <c r="N70" t="s">
        <v>679</v>
      </c>
      <c r="O70" t="str">
        <f t="shared" si="1"/>
        <v>if id = "GRSSY" then delete;</v>
      </c>
    </row>
    <row r="71" spans="1:15" x14ac:dyDescent="0.55000000000000004">
      <c r="A71" s="10" t="s">
        <v>719</v>
      </c>
      <c r="B71" s="10" t="s">
        <v>245</v>
      </c>
      <c r="C71" s="10"/>
      <c r="D71" s="97" t="s">
        <v>807</v>
      </c>
      <c r="E71" s="97"/>
      <c r="F71" s="97" t="s">
        <v>808</v>
      </c>
      <c r="G71" s="103"/>
      <c r="H71" s="103"/>
      <c r="I71" s="104">
        <v>39.053800000000003</v>
      </c>
      <c r="J71" s="104">
        <v>-84.114199999999997</v>
      </c>
      <c r="L71" t="s">
        <v>677</v>
      </c>
      <c r="M71" s="10" t="s">
        <v>523</v>
      </c>
      <c r="N71" t="s">
        <v>679</v>
      </c>
      <c r="O71" t="str">
        <f t="shared" si="1"/>
        <v>if id = "BRR" then delete;</v>
      </c>
    </row>
    <row r="72" spans="1:15" x14ac:dyDescent="0.55000000000000004">
      <c r="A72" s="10" t="s">
        <v>722</v>
      </c>
      <c r="B72" s="10" t="s">
        <v>245</v>
      </c>
      <c r="C72" s="10"/>
      <c r="D72" s="97" t="s">
        <v>809</v>
      </c>
      <c r="E72" s="97"/>
      <c r="F72" s="97" t="s">
        <v>810</v>
      </c>
      <c r="G72" s="103"/>
      <c r="H72" s="103"/>
      <c r="I72" s="104">
        <v>38.9253</v>
      </c>
      <c r="J72" s="104">
        <v>-84.191599999999994</v>
      </c>
      <c r="L72" t="s">
        <v>677</v>
      </c>
      <c r="M72" s="10" t="s">
        <v>811</v>
      </c>
      <c r="N72" t="s">
        <v>679</v>
      </c>
      <c r="O72" t="str">
        <f t="shared" si="1"/>
        <v>if id = "HNR" then delete;</v>
      </c>
    </row>
    <row r="73" spans="1:15" x14ac:dyDescent="0.55000000000000004">
      <c r="A73" s="10" t="s">
        <v>725</v>
      </c>
      <c r="B73" s="10" t="s">
        <v>245</v>
      </c>
      <c r="C73" s="10"/>
      <c r="D73" s="97" t="s">
        <v>812</v>
      </c>
      <c r="E73" s="97"/>
      <c r="F73" s="97" t="s">
        <v>813</v>
      </c>
      <c r="G73" s="103"/>
      <c r="H73" s="103"/>
      <c r="I73" s="104">
        <v>38.924700000000001</v>
      </c>
      <c r="J73" s="104">
        <v>-84.191599999999994</v>
      </c>
      <c r="L73" t="s">
        <v>677</v>
      </c>
      <c r="M73" s="10" t="s">
        <v>814</v>
      </c>
      <c r="N73" t="s">
        <v>679</v>
      </c>
      <c r="O73" t="str">
        <f t="shared" si="1"/>
        <v>if id = "LKF" then delete;</v>
      </c>
    </row>
    <row r="74" spans="1:15" x14ac:dyDescent="0.55000000000000004">
      <c r="A74" s="10" t="s">
        <v>727</v>
      </c>
      <c r="B74" s="10" t="s">
        <v>245</v>
      </c>
      <c r="C74" s="10"/>
      <c r="D74" s="73" t="s">
        <v>524</v>
      </c>
      <c r="E74" s="73"/>
      <c r="F74" s="102" t="s">
        <v>815</v>
      </c>
      <c r="G74" s="73"/>
      <c r="H74" s="73"/>
      <c r="I74" s="85">
        <v>39.105732996</v>
      </c>
      <c r="J74" s="85">
        <v>-84.399938926000004</v>
      </c>
      <c r="L74" t="s">
        <v>677</v>
      </c>
      <c r="M74" s="10" t="s">
        <v>816</v>
      </c>
      <c r="N74" t="s">
        <v>679</v>
      </c>
      <c r="O74" t="str">
        <f t="shared" si="1"/>
        <v>if id = "NBS" then delete;</v>
      </c>
    </row>
    <row r="75" spans="1:15" x14ac:dyDescent="0.55000000000000004">
      <c r="A75" s="10" t="s">
        <v>730</v>
      </c>
      <c r="B75" s="10" t="s">
        <v>245</v>
      </c>
      <c r="C75" s="10"/>
      <c r="L75" t="s">
        <v>677</v>
      </c>
      <c r="M75" s="10" t="s">
        <v>817</v>
      </c>
      <c r="N75" t="s">
        <v>679</v>
      </c>
      <c r="O75" t="str">
        <f t="shared" si="1"/>
        <v>if id = "TNB" then delete;</v>
      </c>
    </row>
    <row r="76" spans="1:15" x14ac:dyDescent="0.55000000000000004">
      <c r="A76" s="10" t="s">
        <v>732</v>
      </c>
      <c r="B76" s="10" t="s">
        <v>245</v>
      </c>
      <c r="C76" s="10"/>
      <c r="D76" s="93" t="s">
        <v>452</v>
      </c>
      <c r="E76" s="93"/>
      <c r="F76" s="93" t="s">
        <v>818</v>
      </c>
      <c r="G76" s="73"/>
      <c r="H76" s="93">
        <v>2.3495999999999997</v>
      </c>
      <c r="I76" s="93">
        <v>39.075609999999998</v>
      </c>
      <c r="J76" s="93">
        <v>-83.925610000000006</v>
      </c>
      <c r="L76" t="s">
        <v>677</v>
      </c>
      <c r="M76" s="10" t="s">
        <v>618</v>
      </c>
      <c r="N76" t="s">
        <v>679</v>
      </c>
      <c r="O76" t="str">
        <f t="shared" si="1"/>
        <v>if id = "ECP" then delete;</v>
      </c>
    </row>
    <row r="77" spans="1:15" x14ac:dyDescent="0.55000000000000004">
      <c r="A77" s="10" t="s">
        <v>735</v>
      </c>
      <c r="B77" s="10" t="s">
        <v>245</v>
      </c>
      <c r="C77" s="10"/>
      <c r="D77" s="93" t="s">
        <v>450</v>
      </c>
      <c r="E77" s="93"/>
      <c r="F77" s="93" t="s">
        <v>819</v>
      </c>
      <c r="G77" s="73"/>
      <c r="H77" s="93">
        <v>2.1715999999999998</v>
      </c>
      <c r="I77" s="93">
        <v>39.104439999999997</v>
      </c>
      <c r="J77" s="93">
        <v>-83.887110000000007</v>
      </c>
      <c r="L77" t="s">
        <v>677</v>
      </c>
      <c r="M77" s="10" t="s">
        <v>287</v>
      </c>
      <c r="N77" t="s">
        <v>679</v>
      </c>
      <c r="O77" t="str">
        <f t="shared" si="1"/>
        <v>if id = "EFL" then delete;</v>
      </c>
    </row>
    <row r="78" spans="1:15" x14ac:dyDescent="0.55000000000000004">
      <c r="A78" s="10" t="s">
        <v>737</v>
      </c>
      <c r="B78" s="10" t="s">
        <v>245</v>
      </c>
      <c r="C78" s="10"/>
      <c r="D78" s="73" t="s">
        <v>820</v>
      </c>
      <c r="E78" s="73"/>
      <c r="F78" s="73" t="s">
        <v>821</v>
      </c>
      <c r="G78" s="73"/>
      <c r="H78" s="73"/>
      <c r="I78" s="85">
        <v>39.137222221999998</v>
      </c>
      <c r="J78" s="85">
        <v>-84.238055560000006</v>
      </c>
      <c r="L78" t="s">
        <v>677</v>
      </c>
      <c r="M78" s="10" t="s">
        <v>646</v>
      </c>
      <c r="N78" t="s">
        <v>679</v>
      </c>
      <c r="O78" t="str">
        <f t="shared" si="1"/>
        <v>if id = "EMB" then delete;</v>
      </c>
    </row>
    <row r="79" spans="1:15" x14ac:dyDescent="0.55000000000000004">
      <c r="A79" s="10" t="s">
        <v>612</v>
      </c>
      <c r="B79" s="10" t="s">
        <v>245</v>
      </c>
      <c r="C79" s="10"/>
      <c r="L79" t="s">
        <v>677</v>
      </c>
      <c r="M79" s="10" t="s">
        <v>661</v>
      </c>
      <c r="N79" t="s">
        <v>679</v>
      </c>
      <c r="O79" t="str">
        <f t="shared" si="1"/>
        <v>if id = "ENN" then delete;</v>
      </c>
    </row>
    <row r="80" spans="1:15" x14ac:dyDescent="0.55000000000000004">
      <c r="A80" s="10" t="s">
        <v>245</v>
      </c>
      <c r="B80" s="10" t="s">
        <v>245</v>
      </c>
      <c r="C80" s="10"/>
      <c r="D80" s="93" t="s">
        <v>822</v>
      </c>
      <c r="E80" s="74" t="s">
        <v>711</v>
      </c>
      <c r="F80" s="93" t="s">
        <v>823</v>
      </c>
      <c r="G80" s="73"/>
      <c r="H80" s="73"/>
      <c r="I80" s="105">
        <v>39.052390000000003</v>
      </c>
      <c r="J80" s="105">
        <v>-84.050380000000004</v>
      </c>
      <c r="L80" t="s">
        <v>677</v>
      </c>
      <c r="M80" s="10" t="s">
        <v>428</v>
      </c>
      <c r="N80" t="s">
        <v>679</v>
      </c>
      <c r="O80" t="str">
        <f t="shared" si="1"/>
        <v>if id = "EOF" then delete;</v>
      </c>
    </row>
    <row r="81" spans="1:15" x14ac:dyDescent="0.55000000000000004">
      <c r="A81" s="10" t="s">
        <v>448</v>
      </c>
      <c r="B81" s="10" t="s">
        <v>245</v>
      </c>
      <c r="C81" s="10"/>
      <c r="D81" s="93" t="s">
        <v>824</v>
      </c>
      <c r="E81" s="73"/>
      <c r="F81" s="93" t="s">
        <v>825</v>
      </c>
      <c r="G81" s="73"/>
      <c r="H81" s="73"/>
      <c r="I81" s="105">
        <v>39.029170000000001</v>
      </c>
      <c r="J81" s="105">
        <v>-84.086669999999998</v>
      </c>
      <c r="L81" t="s">
        <v>677</v>
      </c>
      <c r="M81" s="10" t="s">
        <v>431</v>
      </c>
      <c r="N81" t="s">
        <v>679</v>
      </c>
      <c r="O81" t="str">
        <f t="shared" si="1"/>
        <v>if id = "EUS" then delete;</v>
      </c>
    </row>
    <row r="82" spans="1:15" x14ac:dyDescent="0.55000000000000004">
      <c r="A82" s="10" t="s">
        <v>364</v>
      </c>
      <c r="B82" s="10" t="s">
        <v>364</v>
      </c>
      <c r="C82" s="10"/>
      <c r="D82" s="93" t="s">
        <v>826</v>
      </c>
      <c r="E82" s="73"/>
      <c r="F82" s="93" t="s">
        <v>827</v>
      </c>
      <c r="G82" s="73"/>
      <c r="H82" s="73"/>
      <c r="I82" s="105">
        <v>38.999169999999999</v>
      </c>
      <c r="J82" s="105">
        <v>-84.085830000000001</v>
      </c>
    </row>
    <row r="83" spans="1:15" x14ac:dyDescent="0.55000000000000004">
      <c r="A83" s="10" t="s">
        <v>524</v>
      </c>
      <c r="B83" s="10" t="s">
        <v>828</v>
      </c>
      <c r="C83" s="10"/>
      <c r="D83" s="93" t="s">
        <v>829</v>
      </c>
      <c r="E83" s="73"/>
      <c r="F83" s="93" t="s">
        <v>830</v>
      </c>
      <c r="G83" s="73"/>
      <c r="H83" s="73"/>
      <c r="I83" s="105">
        <v>38.961390000000002</v>
      </c>
      <c r="J83" s="105">
        <v>-84.106669999999994</v>
      </c>
    </row>
    <row r="84" spans="1:15" x14ac:dyDescent="0.55000000000000004">
      <c r="A84" s="10" t="s">
        <v>480</v>
      </c>
      <c r="B84" s="10" t="s">
        <v>831</v>
      </c>
      <c r="C84" s="10"/>
      <c r="D84" s="93" t="s">
        <v>832</v>
      </c>
      <c r="E84" s="73"/>
      <c r="F84" s="93" t="s">
        <v>833</v>
      </c>
      <c r="G84" s="73"/>
      <c r="H84" s="73"/>
      <c r="I84" s="105">
        <v>38.973790000000001</v>
      </c>
      <c r="J84" s="105">
        <v>-84.105760000000004</v>
      </c>
    </row>
    <row r="85" spans="1:15" x14ac:dyDescent="0.55000000000000004">
      <c r="A85" s="10" t="s">
        <v>450</v>
      </c>
      <c r="B85" s="10" t="s">
        <v>834</v>
      </c>
      <c r="C85" s="10"/>
      <c r="D85" s="93" t="s">
        <v>835</v>
      </c>
      <c r="E85" s="73"/>
      <c r="F85" s="93" t="s">
        <v>836</v>
      </c>
      <c r="G85" s="73"/>
      <c r="H85" s="73"/>
      <c r="I85" s="105">
        <v>39.023359999999997</v>
      </c>
      <c r="J85" s="105">
        <v>-84.101290000000006</v>
      </c>
    </row>
    <row r="86" spans="1:15" x14ac:dyDescent="0.55000000000000004">
      <c r="A86" s="10" t="s">
        <v>452</v>
      </c>
      <c r="B86" s="10" t="s">
        <v>834</v>
      </c>
      <c r="C86" s="10"/>
    </row>
    <row r="87" spans="1:15" x14ac:dyDescent="0.55000000000000004">
      <c r="A87" s="96" t="s">
        <v>499</v>
      </c>
      <c r="B87" s="10" t="s">
        <v>675</v>
      </c>
      <c r="C87" s="10"/>
      <c r="D87" s="73"/>
      <c r="E87" s="74"/>
      <c r="F87" s="74"/>
      <c r="G87" s="89"/>
      <c r="H87" s="90"/>
      <c r="I87" s="85"/>
      <c r="J87" s="85"/>
    </row>
    <row r="88" spans="1:15" x14ac:dyDescent="0.55000000000000004">
      <c r="A88" s="10" t="s">
        <v>491</v>
      </c>
      <c r="B88" s="10"/>
      <c r="C88" s="10"/>
      <c r="D88" s="93" t="s">
        <v>837</v>
      </c>
      <c r="E88" s="73"/>
      <c r="F88" s="93" t="s">
        <v>838</v>
      </c>
      <c r="G88" s="73"/>
      <c r="H88" s="73"/>
      <c r="I88" s="105">
        <v>39.015270000000001</v>
      </c>
      <c r="J88" s="105">
        <v>-84.09836</v>
      </c>
    </row>
    <row r="89" spans="1:15" x14ac:dyDescent="0.55000000000000004">
      <c r="A89" s="10" t="s">
        <v>492</v>
      </c>
      <c r="B89" s="10"/>
      <c r="C89" s="10"/>
      <c r="D89" s="93" t="s">
        <v>839</v>
      </c>
      <c r="E89" s="73"/>
      <c r="F89" s="93" t="s">
        <v>840</v>
      </c>
      <c r="G89" s="73"/>
      <c r="H89" s="73"/>
      <c r="I89" s="105">
        <v>39.020000000000003</v>
      </c>
      <c r="J89" s="105">
        <v>-84.131110000000007</v>
      </c>
    </row>
    <row r="90" spans="1:15" x14ac:dyDescent="0.55000000000000004">
      <c r="A90" s="96" t="s">
        <v>493</v>
      </c>
      <c r="B90" s="96"/>
      <c r="C90" s="10"/>
      <c r="D90" s="93" t="s">
        <v>841</v>
      </c>
      <c r="E90" s="73"/>
      <c r="F90" s="93" t="s">
        <v>842</v>
      </c>
      <c r="G90" s="73"/>
      <c r="H90" s="73"/>
      <c r="I90" s="105">
        <v>39.039189999999998</v>
      </c>
      <c r="J90" s="105">
        <v>-84.136380000000003</v>
      </c>
    </row>
    <row r="91" spans="1:15" x14ac:dyDescent="0.55000000000000004">
      <c r="A91" s="96" t="s">
        <v>494</v>
      </c>
      <c r="B91" s="96"/>
      <c r="C91" s="10"/>
      <c r="D91" s="93" t="s">
        <v>499</v>
      </c>
      <c r="E91" s="73"/>
      <c r="F91" s="93" t="s">
        <v>843</v>
      </c>
      <c r="G91" s="73"/>
      <c r="H91" s="73"/>
      <c r="I91" s="105">
        <v>39.020000000000003</v>
      </c>
      <c r="J91" s="105">
        <v>-84.15361</v>
      </c>
    </row>
    <row r="92" spans="1:15" x14ac:dyDescent="0.55000000000000004">
      <c r="A92" s="96" t="s">
        <v>495</v>
      </c>
      <c r="B92" s="96"/>
      <c r="C92" s="10"/>
      <c r="D92" s="93" t="s">
        <v>844</v>
      </c>
      <c r="E92" s="73"/>
      <c r="F92" s="93" t="s">
        <v>845</v>
      </c>
      <c r="G92" s="73"/>
      <c r="H92" s="73"/>
      <c r="I92" s="105">
        <v>39.026110000000003</v>
      </c>
      <c r="J92" s="105">
        <v>-84.147779999999997</v>
      </c>
    </row>
    <row r="93" spans="1:15" x14ac:dyDescent="0.55000000000000004">
      <c r="A93" s="96" t="s">
        <v>496</v>
      </c>
      <c r="B93" s="96"/>
      <c r="C93" s="10"/>
    </row>
    <row r="94" spans="1:15" x14ac:dyDescent="0.55000000000000004">
      <c r="A94" s="96" t="s">
        <v>497</v>
      </c>
      <c r="B94" s="96"/>
      <c r="C94" s="10"/>
    </row>
    <row r="95" spans="1:15" x14ac:dyDescent="0.55000000000000004">
      <c r="A95" s="96" t="s">
        <v>498</v>
      </c>
      <c r="B95" s="96"/>
      <c r="C95" s="10"/>
    </row>
    <row r="96" spans="1:15" x14ac:dyDescent="0.55000000000000004">
      <c r="A96" s="96" t="s">
        <v>500</v>
      </c>
      <c r="B96" s="96"/>
      <c r="C96" s="10"/>
    </row>
    <row r="97" spans="1:10" x14ac:dyDescent="0.55000000000000004">
      <c r="A97" s="96" t="s">
        <v>501</v>
      </c>
      <c r="B97" s="96"/>
      <c r="C97" s="10"/>
    </row>
    <row r="98" spans="1:10" x14ac:dyDescent="0.55000000000000004">
      <c r="A98" s="96" t="s">
        <v>502</v>
      </c>
      <c r="B98" s="96"/>
      <c r="C98" s="10"/>
    </row>
    <row r="99" spans="1:10" x14ac:dyDescent="0.55000000000000004">
      <c r="A99" s="96" t="s">
        <v>503</v>
      </c>
      <c r="B99" s="96"/>
      <c r="C99" s="10"/>
    </row>
    <row r="100" spans="1:10" x14ac:dyDescent="0.55000000000000004">
      <c r="A100" s="96" t="s">
        <v>504</v>
      </c>
      <c r="B100" s="96"/>
      <c r="C100" s="10"/>
    </row>
    <row r="101" spans="1:10" x14ac:dyDescent="0.55000000000000004">
      <c r="A101" s="96" t="s">
        <v>505</v>
      </c>
      <c r="B101" s="96"/>
      <c r="C101" s="10"/>
    </row>
    <row r="102" spans="1:10" x14ac:dyDescent="0.55000000000000004">
      <c r="A102" s="96" t="s">
        <v>506</v>
      </c>
      <c r="B102" s="96"/>
      <c r="C102" s="10"/>
    </row>
    <row r="103" spans="1:10" x14ac:dyDescent="0.55000000000000004">
      <c r="A103" s="96" t="s">
        <v>507</v>
      </c>
      <c r="B103" s="96"/>
      <c r="C103" s="10"/>
    </row>
    <row r="104" spans="1:10" x14ac:dyDescent="0.55000000000000004">
      <c r="A104" s="96" t="s">
        <v>508</v>
      </c>
      <c r="B104" s="96"/>
      <c r="C104" s="10"/>
    </row>
    <row r="105" spans="1:10" x14ac:dyDescent="0.55000000000000004">
      <c r="A105" s="96" t="s">
        <v>509</v>
      </c>
      <c r="B105" s="96"/>
      <c r="C105" s="10"/>
    </row>
    <row r="106" spans="1:10" x14ac:dyDescent="0.55000000000000004">
      <c r="A106" s="10" t="s">
        <v>511</v>
      </c>
      <c r="B106" s="10"/>
      <c r="C106" s="10"/>
    </row>
    <row r="107" spans="1:10" x14ac:dyDescent="0.55000000000000004">
      <c r="A107" s="10" t="s">
        <v>513</v>
      </c>
      <c r="B107" s="10"/>
      <c r="C107" s="10"/>
    </row>
    <row r="108" spans="1:10" x14ac:dyDescent="0.55000000000000004">
      <c r="A108" s="10" t="s">
        <v>514</v>
      </c>
      <c r="B108" s="10"/>
      <c r="C108" s="10"/>
    </row>
    <row r="109" spans="1:10" x14ac:dyDescent="0.55000000000000004">
      <c r="A109" s="10" t="s">
        <v>515</v>
      </c>
      <c r="B109" s="10"/>
      <c r="C109" s="10"/>
      <c r="D109" s="73" t="s">
        <v>326</v>
      </c>
      <c r="E109" s="74" t="s">
        <v>728</v>
      </c>
      <c r="F109" s="74" t="s">
        <v>729</v>
      </c>
      <c r="G109" s="89">
        <v>0.18</v>
      </c>
      <c r="H109" s="106">
        <v>6.3</v>
      </c>
      <c r="I109" s="85">
        <v>39.132928</v>
      </c>
      <c r="J109" s="85">
        <v>-84.015221999999994</v>
      </c>
    </row>
    <row r="110" spans="1:10" x14ac:dyDescent="0.55000000000000004">
      <c r="A110" s="10" t="s">
        <v>515</v>
      </c>
      <c r="B110" s="10"/>
      <c r="C110" s="10"/>
    </row>
    <row r="111" spans="1:10" x14ac:dyDescent="0.55000000000000004">
      <c r="A111" s="10" t="s">
        <v>516</v>
      </c>
      <c r="B111" s="10"/>
      <c r="C111" s="10"/>
    </row>
    <row r="112" spans="1:10" x14ac:dyDescent="0.55000000000000004">
      <c r="A112" s="10" t="s">
        <v>517</v>
      </c>
      <c r="B112" s="10"/>
      <c r="C112" s="10"/>
    </row>
    <row r="113" spans="1:10" x14ac:dyDescent="0.55000000000000004">
      <c r="A113" s="10" t="s">
        <v>518</v>
      </c>
      <c r="B113" s="10"/>
      <c r="C113" s="10"/>
    </row>
    <row r="114" spans="1:10" x14ac:dyDescent="0.55000000000000004">
      <c r="A114" s="10" t="s">
        <v>519</v>
      </c>
      <c r="B114" s="10"/>
      <c r="C114" s="10"/>
    </row>
    <row r="115" spans="1:10" x14ac:dyDescent="0.55000000000000004">
      <c r="A115" s="10" t="s">
        <v>846</v>
      </c>
      <c r="B115" s="10"/>
      <c r="C115" s="10"/>
    </row>
    <row r="116" spans="1:10" x14ac:dyDescent="0.55000000000000004">
      <c r="A116" s="10" t="s">
        <v>521</v>
      </c>
      <c r="B116" s="10"/>
      <c r="C116" s="10"/>
    </row>
    <row r="117" spans="1:10" x14ac:dyDescent="0.55000000000000004">
      <c r="A117" s="10" t="s">
        <v>649</v>
      </c>
      <c r="B117" s="10"/>
      <c r="C117" s="10"/>
    </row>
    <row r="118" spans="1:10" x14ac:dyDescent="0.55000000000000004">
      <c r="A118" s="10" t="s">
        <v>796</v>
      </c>
      <c r="B118" s="10"/>
      <c r="C118" s="10"/>
    </row>
    <row r="119" spans="1:10" x14ac:dyDescent="0.55000000000000004">
      <c r="A119" s="10" t="s">
        <v>572</v>
      </c>
      <c r="B119" s="10"/>
      <c r="C119" s="10"/>
    </row>
    <row r="120" spans="1:10" x14ac:dyDescent="0.55000000000000004">
      <c r="A120" s="10" t="s">
        <v>70</v>
      </c>
      <c r="B120" s="10"/>
      <c r="C120" s="10"/>
    </row>
    <row r="121" spans="1:10" x14ac:dyDescent="0.55000000000000004">
      <c r="A121" s="10" t="s">
        <v>803</v>
      </c>
      <c r="B121" s="10"/>
    </row>
    <row r="122" spans="1:10" x14ac:dyDescent="0.55000000000000004">
      <c r="A122" s="10" t="s">
        <v>806</v>
      </c>
      <c r="B122" s="10" t="s">
        <v>675</v>
      </c>
      <c r="C122" s="10"/>
    </row>
    <row r="123" spans="1:10" x14ac:dyDescent="0.55000000000000004">
      <c r="A123" s="10" t="s">
        <v>523</v>
      </c>
      <c r="B123" s="10" t="s">
        <v>675</v>
      </c>
      <c r="C123" s="96"/>
      <c r="D123" s="73" t="s">
        <v>523</v>
      </c>
      <c r="E123" s="73"/>
      <c r="F123" s="102" t="s">
        <v>847</v>
      </c>
      <c r="G123" s="73"/>
      <c r="H123" s="73"/>
      <c r="I123" s="85">
        <v>39.321910209000002</v>
      </c>
      <c r="J123" s="85">
        <v>-84.251108603000006</v>
      </c>
    </row>
    <row r="124" spans="1:10" x14ac:dyDescent="0.55000000000000004">
      <c r="A124" s="10" t="s">
        <v>811</v>
      </c>
      <c r="B124" s="10" t="s">
        <v>675</v>
      </c>
      <c r="C124" s="10"/>
      <c r="D124" s="73" t="s">
        <v>848</v>
      </c>
      <c r="E124" s="73"/>
      <c r="F124" s="102" t="s">
        <v>849</v>
      </c>
      <c r="G124" s="73"/>
      <c r="H124" s="73"/>
      <c r="I124" s="85">
        <v>39.198892659999999</v>
      </c>
      <c r="J124" s="85">
        <v>-84.274152588999996</v>
      </c>
    </row>
    <row r="125" spans="1:10" x14ac:dyDescent="0.55000000000000004">
      <c r="A125" s="10" t="s">
        <v>814</v>
      </c>
      <c r="B125" s="10" t="s">
        <v>675</v>
      </c>
      <c r="C125" s="10"/>
      <c r="D125" s="73" t="s">
        <v>814</v>
      </c>
      <c r="E125" s="73"/>
      <c r="F125" s="102" t="s">
        <v>850</v>
      </c>
      <c r="G125" s="73"/>
      <c r="H125" s="73"/>
      <c r="I125" s="85">
        <v>39.146700000000003</v>
      </c>
      <c r="J125" s="85">
        <v>-84.178899999999999</v>
      </c>
    </row>
    <row r="126" spans="1:10" x14ac:dyDescent="0.55000000000000004">
      <c r="A126" s="10" t="s">
        <v>816</v>
      </c>
      <c r="B126" s="10" t="s">
        <v>675</v>
      </c>
      <c r="C126" s="10"/>
      <c r="D126" s="73" t="s">
        <v>816</v>
      </c>
      <c r="E126" s="73"/>
      <c r="F126" s="102" t="s">
        <v>851</v>
      </c>
      <c r="G126" s="73"/>
      <c r="H126" s="73"/>
      <c r="I126" s="85">
        <v>39.245464806000001</v>
      </c>
      <c r="J126" s="85">
        <v>-84.322927179999994</v>
      </c>
    </row>
    <row r="127" spans="1:10" x14ac:dyDescent="0.55000000000000004">
      <c r="A127" s="10" t="s">
        <v>817</v>
      </c>
      <c r="B127" s="10" t="s">
        <v>675</v>
      </c>
      <c r="C127" s="10"/>
      <c r="D127" s="73" t="s">
        <v>817</v>
      </c>
      <c r="E127" s="73"/>
      <c r="F127" s="102" t="s">
        <v>852</v>
      </c>
      <c r="G127" s="73"/>
      <c r="H127" s="73"/>
      <c r="I127" s="85">
        <v>39.216504815</v>
      </c>
      <c r="J127" s="85">
        <v>-84.333766845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0B4BB-0F5A-47D0-98CB-40F0213528DD}">
  <dimension ref="A1:B14"/>
  <sheetViews>
    <sheetView topLeftCell="A2" workbookViewId="0">
      <selection activeCell="D20" sqref="D20"/>
    </sheetView>
  </sheetViews>
  <sheetFormatPr defaultColWidth="9.3125" defaultRowHeight="12.3" x14ac:dyDescent="0.4"/>
  <cols>
    <col min="1" max="1" width="13.68359375" style="55" customWidth="1"/>
    <col min="2" max="2" width="34.5234375" style="55" customWidth="1"/>
    <col min="3" max="16384" width="9.3125" style="55"/>
  </cols>
  <sheetData>
    <row r="1" spans="1:2" x14ac:dyDescent="0.4">
      <c r="A1" s="107" t="s">
        <v>29</v>
      </c>
      <c r="B1" s="107" t="s">
        <v>853</v>
      </c>
    </row>
    <row r="2" spans="1:2" x14ac:dyDescent="0.4">
      <c r="A2" s="64" t="s">
        <v>207</v>
      </c>
      <c r="B2" s="64" t="s">
        <v>854</v>
      </c>
    </row>
    <row r="3" spans="1:2" x14ac:dyDescent="0.4">
      <c r="A3" s="64" t="s">
        <v>181</v>
      </c>
      <c r="B3" s="64" t="s">
        <v>855</v>
      </c>
    </row>
    <row r="4" spans="1:2" x14ac:dyDescent="0.4">
      <c r="A4" s="64" t="s">
        <v>274</v>
      </c>
      <c r="B4" s="64" t="s">
        <v>855</v>
      </c>
    </row>
    <row r="5" spans="1:2" x14ac:dyDescent="0.4">
      <c r="A5" s="64" t="s">
        <v>856</v>
      </c>
      <c r="B5" s="64" t="s">
        <v>855</v>
      </c>
    </row>
    <row r="6" spans="1:2" x14ac:dyDescent="0.4">
      <c r="A6" s="64" t="s">
        <v>299</v>
      </c>
      <c r="B6" s="64" t="s">
        <v>857</v>
      </c>
    </row>
    <row r="7" spans="1:2" x14ac:dyDescent="0.4">
      <c r="A7" s="64" t="s">
        <v>233</v>
      </c>
      <c r="B7" s="64" t="s">
        <v>858</v>
      </c>
    </row>
    <row r="8" spans="1:2" x14ac:dyDescent="0.4">
      <c r="A8" s="64" t="s">
        <v>314</v>
      </c>
      <c r="B8" s="64" t="s">
        <v>859</v>
      </c>
    </row>
    <row r="9" spans="1:2" x14ac:dyDescent="0.4">
      <c r="A9" s="64" t="s">
        <v>283</v>
      </c>
      <c r="B9" s="64" t="s">
        <v>860</v>
      </c>
    </row>
    <row r="10" spans="1:2" x14ac:dyDescent="0.4">
      <c r="A10" s="64" t="s">
        <v>264</v>
      </c>
      <c r="B10" s="64" t="s">
        <v>860</v>
      </c>
    </row>
    <row r="11" spans="1:2" x14ac:dyDescent="0.4">
      <c r="A11" s="64" t="s">
        <v>245</v>
      </c>
      <c r="B11" s="64" t="s">
        <v>860</v>
      </c>
    </row>
    <row r="12" spans="1:2" x14ac:dyDescent="0.4">
      <c r="A12" s="64" t="s">
        <v>856</v>
      </c>
      <c r="B12" s="64" t="s">
        <v>855</v>
      </c>
    </row>
    <row r="14" spans="1:2" x14ac:dyDescent="0.4">
      <c r="A14" s="53" t="s">
        <v>861</v>
      </c>
    </row>
  </sheetData>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C5626-9104-406E-BBC0-68F6EBB9D442}">
  <dimension ref="A1:AD47"/>
  <sheetViews>
    <sheetView topLeftCell="N22" workbookViewId="0">
      <selection activeCell="AA24" sqref="AA24:AD38"/>
    </sheetView>
  </sheetViews>
  <sheetFormatPr defaultColWidth="9.3125" defaultRowHeight="12.3" x14ac:dyDescent="0.4"/>
  <cols>
    <col min="1" max="1" width="9.3125" style="55"/>
    <col min="2" max="2" width="15.68359375" style="55" bestFit="1" customWidth="1"/>
    <col min="3" max="8" width="9.3125" style="55"/>
    <col min="9" max="9" width="5.68359375" style="55" bestFit="1" customWidth="1"/>
    <col min="10" max="10" width="7.3125" style="55" bestFit="1" customWidth="1"/>
    <col min="11" max="11" width="10.3125" style="55" bestFit="1" customWidth="1"/>
    <col min="12" max="12" width="14.68359375" style="55" bestFit="1" customWidth="1"/>
    <col min="13" max="14" width="9.68359375" style="55" bestFit="1" customWidth="1"/>
    <col min="15" max="15" width="15.3125" style="55" bestFit="1" customWidth="1"/>
    <col min="16" max="17" width="9.68359375" style="55" bestFit="1" customWidth="1"/>
    <col min="18" max="18" width="15.3125" style="55" bestFit="1" customWidth="1"/>
    <col min="19" max="19" width="9.5234375" style="55" bestFit="1" customWidth="1"/>
    <col min="20" max="20" width="9.3125" style="55" bestFit="1" customWidth="1"/>
    <col min="21" max="21" width="12.3125" style="55" bestFit="1" customWidth="1"/>
    <col min="22" max="23" width="9.3125" style="55"/>
    <col min="24" max="24" width="10.1015625" style="55" bestFit="1" customWidth="1"/>
    <col min="25" max="25" width="9.3125" style="55"/>
    <col min="26" max="26" width="10.1015625" style="55" bestFit="1" customWidth="1"/>
    <col min="27" max="27" width="9.3125" style="55"/>
    <col min="28" max="28" width="10.1015625" style="55" bestFit="1" customWidth="1"/>
    <col min="29" max="29" width="9.3125" style="55"/>
    <col min="30" max="30" width="10.1015625" style="55" bestFit="1" customWidth="1"/>
    <col min="31" max="16384" width="9.3125" style="55"/>
  </cols>
  <sheetData>
    <row r="1" spans="1:7" x14ac:dyDescent="0.4">
      <c r="A1" s="64" t="s">
        <v>29</v>
      </c>
      <c r="B1" s="64" t="s">
        <v>862</v>
      </c>
      <c r="C1" s="64" t="s">
        <v>863</v>
      </c>
      <c r="D1" s="64" t="s">
        <v>864</v>
      </c>
      <c r="E1" s="64"/>
    </row>
    <row r="2" spans="1:7" x14ac:dyDescent="0.4">
      <c r="A2" s="64" t="s">
        <v>181</v>
      </c>
      <c r="B2" s="64" t="s">
        <v>865</v>
      </c>
      <c r="C2" s="64" t="s">
        <v>866</v>
      </c>
      <c r="D2" s="64">
        <v>1333</v>
      </c>
      <c r="E2" s="64"/>
      <c r="G2" s="131" t="s">
        <v>867</v>
      </c>
    </row>
    <row r="3" spans="1:7" x14ac:dyDescent="0.4">
      <c r="A3" s="64" t="s">
        <v>181</v>
      </c>
      <c r="B3" s="64" t="s">
        <v>865</v>
      </c>
      <c r="C3" s="64" t="s">
        <v>583</v>
      </c>
      <c r="D3" s="64">
        <v>266</v>
      </c>
      <c r="E3" s="64"/>
      <c r="G3" s="131"/>
    </row>
    <row r="4" spans="1:7" x14ac:dyDescent="0.4">
      <c r="A4" s="64" t="s">
        <v>181</v>
      </c>
      <c r="B4" s="64" t="s">
        <v>865</v>
      </c>
      <c r="C4" s="64" t="s">
        <v>190</v>
      </c>
      <c r="D4" s="64">
        <v>133</v>
      </c>
      <c r="E4" s="64"/>
      <c r="G4" s="108" t="s">
        <v>868</v>
      </c>
    </row>
    <row r="5" spans="1:7" x14ac:dyDescent="0.4">
      <c r="A5" s="64" t="s">
        <v>301</v>
      </c>
      <c r="B5" s="64" t="s">
        <v>869</v>
      </c>
      <c r="C5" s="64" t="s">
        <v>866</v>
      </c>
      <c r="D5" s="64">
        <v>400</v>
      </c>
      <c r="E5" s="64"/>
    </row>
    <row r="6" spans="1:7" x14ac:dyDescent="0.4">
      <c r="A6" s="64" t="s">
        <v>301</v>
      </c>
      <c r="B6" s="64" t="s">
        <v>869</v>
      </c>
      <c r="C6" s="64" t="s">
        <v>583</v>
      </c>
      <c r="D6" s="64">
        <v>240</v>
      </c>
      <c r="E6" s="64"/>
      <c r="G6" s="108" t="s">
        <v>870</v>
      </c>
    </row>
    <row r="7" spans="1:7" x14ac:dyDescent="0.4">
      <c r="A7" s="64" t="s">
        <v>301</v>
      </c>
      <c r="B7" s="64" t="s">
        <v>869</v>
      </c>
      <c r="C7" s="64" t="s">
        <v>190</v>
      </c>
      <c r="D7" s="64">
        <v>120</v>
      </c>
      <c r="E7" s="64"/>
    </row>
    <row r="8" spans="1:7" x14ac:dyDescent="0.4">
      <c r="A8" s="64" t="s">
        <v>207</v>
      </c>
      <c r="B8" s="64" t="s">
        <v>285</v>
      </c>
      <c r="C8" s="64"/>
      <c r="D8" s="64">
        <v>75</v>
      </c>
      <c r="E8" s="64"/>
      <c r="G8" s="108" t="s">
        <v>871</v>
      </c>
    </row>
    <row r="9" spans="1:7" x14ac:dyDescent="0.4">
      <c r="A9" s="64" t="s">
        <v>207</v>
      </c>
      <c r="B9" s="64" t="s">
        <v>167</v>
      </c>
      <c r="D9" s="64">
        <v>75</v>
      </c>
      <c r="E9" s="64"/>
    </row>
    <row r="10" spans="1:7" x14ac:dyDescent="0.4">
      <c r="A10" s="64" t="s">
        <v>207</v>
      </c>
      <c r="B10" s="64" t="s">
        <v>75</v>
      </c>
      <c r="C10" s="64"/>
      <c r="D10" s="64">
        <v>300</v>
      </c>
      <c r="E10" s="64"/>
      <c r="G10" s="109" t="e">
        <f>IF(ISNA(VLOOKUP(C2,Customers,2,FALSE)),"",(VLOOKUP(C2,Customers,2,FALSE)))</f>
        <v>#NAME?</v>
      </c>
    </row>
    <row r="11" spans="1:7" x14ac:dyDescent="0.4">
      <c r="A11" s="64" t="s">
        <v>207</v>
      </c>
      <c r="B11" s="64" t="s">
        <v>183</v>
      </c>
      <c r="D11" s="64">
        <v>300</v>
      </c>
      <c r="E11" s="64"/>
    </row>
    <row r="12" spans="1:7" x14ac:dyDescent="0.4">
      <c r="A12" s="64" t="s">
        <v>207</v>
      </c>
      <c r="B12" s="64" t="s">
        <v>256</v>
      </c>
      <c r="C12" s="64"/>
      <c r="D12" s="64">
        <v>300</v>
      </c>
      <c r="E12" s="64"/>
      <c r="G12" s="109" t="s">
        <v>872</v>
      </c>
    </row>
    <row r="13" spans="1:7" x14ac:dyDescent="0.4">
      <c r="A13" s="64" t="s">
        <v>207</v>
      </c>
      <c r="B13" s="64" t="s">
        <v>209</v>
      </c>
      <c r="D13" s="64">
        <v>300</v>
      </c>
      <c r="E13" s="64"/>
    </row>
    <row r="14" spans="1:7" x14ac:dyDescent="0.4">
      <c r="A14" s="64" t="s">
        <v>207</v>
      </c>
      <c r="B14" s="64" t="s">
        <v>316</v>
      </c>
      <c r="D14" s="64">
        <v>300</v>
      </c>
      <c r="E14" s="64"/>
      <c r="G14" s="108" t="s">
        <v>873</v>
      </c>
    </row>
    <row r="15" spans="1:7" x14ac:dyDescent="0.4">
      <c r="A15" s="64" t="s">
        <v>207</v>
      </c>
      <c r="B15" s="64" t="s">
        <v>324</v>
      </c>
      <c r="D15" s="64">
        <v>300</v>
      </c>
      <c r="E15" s="64"/>
      <c r="G15" s="110"/>
    </row>
    <row r="16" spans="1:7" ht="12.6" x14ac:dyDescent="0.45">
      <c r="A16" s="64" t="s">
        <v>207</v>
      </c>
      <c r="B16" s="64" t="s">
        <v>293</v>
      </c>
      <c r="C16" s="64"/>
      <c r="D16" s="64">
        <v>60</v>
      </c>
      <c r="E16" s="64"/>
      <c r="G16" s="111" t="s">
        <v>874</v>
      </c>
    </row>
    <row r="17" spans="1:30" x14ac:dyDescent="0.4">
      <c r="A17" s="64" t="s">
        <v>207</v>
      </c>
      <c r="B17" s="64" t="s">
        <v>301</v>
      </c>
      <c r="D17" s="64">
        <v>60</v>
      </c>
      <c r="E17" s="64"/>
      <c r="G17" s="110"/>
    </row>
    <row r="18" spans="1:30" ht="12.6" x14ac:dyDescent="0.45">
      <c r="A18" s="64" t="s">
        <v>207</v>
      </c>
      <c r="B18" s="64" t="s">
        <v>83</v>
      </c>
      <c r="C18" s="64"/>
      <c r="D18" s="64">
        <v>500</v>
      </c>
      <c r="E18" s="64"/>
      <c r="G18" s="111" t="s">
        <v>875</v>
      </c>
    </row>
    <row r="19" spans="1:30" x14ac:dyDescent="0.4">
      <c r="A19" s="64" t="s">
        <v>207</v>
      </c>
      <c r="B19" s="64" t="s">
        <v>266</v>
      </c>
      <c r="D19" s="64">
        <v>500</v>
      </c>
      <c r="E19" s="64"/>
      <c r="G19" s="110"/>
    </row>
    <row r="20" spans="1:30" x14ac:dyDescent="0.4">
      <c r="A20" s="64" t="s">
        <v>207</v>
      </c>
      <c r="B20" s="64" t="s">
        <v>235</v>
      </c>
      <c r="C20" s="64"/>
      <c r="D20" s="64">
        <v>1250</v>
      </c>
      <c r="E20" s="64"/>
      <c r="G20" s="110"/>
    </row>
    <row r="21" spans="1:30" ht="12.6" x14ac:dyDescent="0.45">
      <c r="A21" s="64" t="s">
        <v>207</v>
      </c>
      <c r="B21" s="64" t="s">
        <v>224</v>
      </c>
      <c r="D21" s="64">
        <v>1250</v>
      </c>
      <c r="E21" s="64"/>
      <c r="G21" s="111" t="s">
        <v>876</v>
      </c>
    </row>
    <row r="22" spans="1:30" x14ac:dyDescent="0.4">
      <c r="A22" s="64" t="s">
        <v>207</v>
      </c>
      <c r="B22" s="64" t="s">
        <v>877</v>
      </c>
      <c r="D22" s="64">
        <v>500</v>
      </c>
      <c r="E22" s="64"/>
    </row>
    <row r="23" spans="1:30" x14ac:dyDescent="0.4">
      <c r="A23" s="64" t="s">
        <v>274</v>
      </c>
      <c r="B23" s="64" t="s">
        <v>878</v>
      </c>
      <c r="C23" s="64" t="s">
        <v>866</v>
      </c>
      <c r="D23" s="64">
        <v>1000</v>
      </c>
      <c r="E23" s="64"/>
      <c r="F23" s="112"/>
      <c r="H23" s="113"/>
      <c r="I23" s="64"/>
      <c r="J23" s="114" t="s">
        <v>879</v>
      </c>
      <c r="K23" s="64" t="s">
        <v>880</v>
      </c>
      <c r="L23" s="64" t="s">
        <v>881</v>
      </c>
      <c r="M23" s="64" t="s">
        <v>882</v>
      </c>
      <c r="N23" s="64" t="s">
        <v>883</v>
      </c>
      <c r="O23" s="64" t="s">
        <v>884</v>
      </c>
      <c r="P23" s="55" t="s">
        <v>882</v>
      </c>
      <c r="Q23" s="55" t="s">
        <v>883</v>
      </c>
      <c r="R23" s="55" t="s">
        <v>884</v>
      </c>
      <c r="S23" s="55" t="s">
        <v>882</v>
      </c>
      <c r="T23" s="55" t="s">
        <v>883</v>
      </c>
      <c r="U23" s="55" t="s">
        <v>885</v>
      </c>
    </row>
    <row r="24" spans="1:30" x14ac:dyDescent="0.4">
      <c r="A24" s="64" t="s">
        <v>274</v>
      </c>
      <c r="B24" s="64" t="s">
        <v>878</v>
      </c>
      <c r="C24" s="64" t="s">
        <v>583</v>
      </c>
      <c r="D24" s="64">
        <v>200</v>
      </c>
      <c r="E24" s="113"/>
      <c r="H24" s="64"/>
      <c r="I24" s="64"/>
      <c r="J24" s="114" t="s">
        <v>886</v>
      </c>
      <c r="K24" s="113">
        <v>42522</v>
      </c>
      <c r="L24" s="113">
        <v>42500</v>
      </c>
      <c r="M24" s="113">
        <v>42934</v>
      </c>
      <c r="N24" s="113">
        <v>42810</v>
      </c>
      <c r="O24" s="113">
        <v>42823</v>
      </c>
      <c r="P24" s="112">
        <v>43166</v>
      </c>
      <c r="Q24" s="112">
        <v>43299</v>
      </c>
      <c r="R24" s="112">
        <v>43292</v>
      </c>
      <c r="S24" s="112">
        <v>43552</v>
      </c>
      <c r="T24" s="112">
        <v>43564</v>
      </c>
      <c r="U24" s="112">
        <v>43564</v>
      </c>
      <c r="V24" s="112">
        <v>44426</v>
      </c>
      <c r="W24" s="112">
        <v>44442</v>
      </c>
      <c r="X24" s="112">
        <v>44853</v>
      </c>
      <c r="Y24" s="112">
        <v>44687</v>
      </c>
      <c r="Z24" s="112">
        <v>44855</v>
      </c>
      <c r="AA24" s="112"/>
      <c r="AB24" s="112"/>
      <c r="AC24" s="112"/>
      <c r="AD24" s="112"/>
    </row>
    <row r="25" spans="1:30" x14ac:dyDescent="0.4">
      <c r="A25" s="64" t="s">
        <v>274</v>
      </c>
      <c r="B25" s="64" t="s">
        <v>878</v>
      </c>
      <c r="C25" s="64" t="s">
        <v>190</v>
      </c>
      <c r="D25" s="64">
        <v>100</v>
      </c>
      <c r="H25" s="64"/>
      <c r="I25" s="71" t="s">
        <v>29</v>
      </c>
      <c r="J25" s="115" t="s">
        <v>887</v>
      </c>
      <c r="K25" s="71" t="s">
        <v>888</v>
      </c>
      <c r="L25" s="71" t="s">
        <v>889</v>
      </c>
      <c r="M25" s="71" t="s">
        <v>890</v>
      </c>
      <c r="N25" s="71" t="s">
        <v>891</v>
      </c>
      <c r="O25" s="71" t="s">
        <v>892</v>
      </c>
      <c r="P25" s="70" t="s">
        <v>893</v>
      </c>
      <c r="Q25" s="70" t="s">
        <v>894</v>
      </c>
      <c r="R25" s="70" t="s">
        <v>895</v>
      </c>
      <c r="S25" s="70" t="s">
        <v>896</v>
      </c>
      <c r="T25" s="70" t="s">
        <v>897</v>
      </c>
      <c r="U25" s="70" t="s">
        <v>898</v>
      </c>
      <c r="V25" s="55" t="s">
        <v>899</v>
      </c>
      <c r="W25" s="55" t="s">
        <v>1251</v>
      </c>
      <c r="X25" s="55" t="s">
        <v>948</v>
      </c>
      <c r="Y25" s="55" t="s">
        <v>1060</v>
      </c>
      <c r="Z25" s="55" t="s">
        <v>1252</v>
      </c>
    </row>
    <row r="26" spans="1:30" x14ac:dyDescent="0.4">
      <c r="A26" s="64" t="s">
        <v>314</v>
      </c>
      <c r="B26" s="64" t="s">
        <v>285</v>
      </c>
      <c r="C26" s="64"/>
      <c r="D26" s="64">
        <v>156.25</v>
      </c>
      <c r="E26" s="64"/>
      <c r="H26" s="64"/>
      <c r="I26" s="64" t="s">
        <v>299</v>
      </c>
      <c r="J26" s="116" t="s">
        <v>75</v>
      </c>
      <c r="K26" s="64">
        <v>524</v>
      </c>
      <c r="L26" s="64"/>
      <c r="M26" s="64">
        <v>262</v>
      </c>
      <c r="N26" s="64"/>
      <c r="O26" s="64"/>
      <c r="P26" s="55">
        <v>393</v>
      </c>
      <c r="S26" s="55">
        <v>393</v>
      </c>
      <c r="V26" s="55">
        <v>131</v>
      </c>
      <c r="X26" s="55">
        <v>1050</v>
      </c>
    </row>
    <row r="27" spans="1:30" x14ac:dyDescent="0.4">
      <c r="A27" s="64" t="s">
        <v>314</v>
      </c>
      <c r="B27" s="64" t="s">
        <v>167</v>
      </c>
      <c r="C27" s="64"/>
      <c r="D27" s="64">
        <v>156.25</v>
      </c>
      <c r="E27" s="64"/>
      <c r="H27" s="64"/>
      <c r="I27" s="64" t="s">
        <v>299</v>
      </c>
      <c r="J27" s="116" t="s">
        <v>183</v>
      </c>
      <c r="K27" s="64">
        <v>524</v>
      </c>
      <c r="L27" s="64"/>
      <c r="M27" s="64">
        <v>262</v>
      </c>
      <c r="N27" s="64"/>
      <c r="O27" s="64"/>
      <c r="P27" s="55">
        <v>393</v>
      </c>
      <c r="S27" s="55">
        <v>393</v>
      </c>
      <c r="V27" s="55">
        <v>131</v>
      </c>
      <c r="X27" s="55">
        <v>1050</v>
      </c>
    </row>
    <row r="28" spans="1:30" x14ac:dyDescent="0.4">
      <c r="A28" s="64" t="s">
        <v>314</v>
      </c>
      <c r="B28" s="64" t="s">
        <v>75</v>
      </c>
      <c r="C28" s="64"/>
      <c r="D28" s="64">
        <v>625</v>
      </c>
      <c r="E28" s="64"/>
      <c r="H28" s="64"/>
      <c r="I28" s="64" t="s">
        <v>299</v>
      </c>
      <c r="J28" s="116" t="s">
        <v>285</v>
      </c>
      <c r="K28" s="64">
        <v>380</v>
      </c>
      <c r="L28" s="64">
        <v>326.2</v>
      </c>
      <c r="M28" s="64">
        <v>413</v>
      </c>
      <c r="N28" s="64">
        <v>326.2</v>
      </c>
      <c r="O28" s="64"/>
      <c r="P28" s="55">
        <v>118</v>
      </c>
      <c r="Q28" s="64">
        <v>200</v>
      </c>
      <c r="S28" s="55">
        <v>118</v>
      </c>
      <c r="T28" s="64">
        <v>200</v>
      </c>
      <c r="V28" s="55">
        <v>118</v>
      </c>
      <c r="W28" s="55">
        <v>200</v>
      </c>
      <c r="X28" s="55">
        <v>354</v>
      </c>
      <c r="Y28" s="55">
        <v>200</v>
      </c>
    </row>
    <row r="29" spans="1:30" x14ac:dyDescent="0.4">
      <c r="A29" s="64" t="s">
        <v>314</v>
      </c>
      <c r="B29" s="64" t="s">
        <v>183</v>
      </c>
      <c r="C29" s="64"/>
      <c r="D29" s="64">
        <v>625</v>
      </c>
      <c r="H29" s="64"/>
      <c r="I29" s="64" t="s">
        <v>299</v>
      </c>
      <c r="J29" s="116" t="s">
        <v>167</v>
      </c>
      <c r="K29" s="64">
        <v>380</v>
      </c>
      <c r="L29" s="64">
        <v>326.2</v>
      </c>
      <c r="M29" s="64">
        <v>413</v>
      </c>
      <c r="N29" s="64">
        <v>326.2</v>
      </c>
      <c r="O29" s="64"/>
      <c r="P29" s="55">
        <v>118</v>
      </c>
      <c r="Q29" s="64">
        <v>200</v>
      </c>
      <c r="S29" s="55">
        <v>118</v>
      </c>
      <c r="T29" s="64">
        <v>200</v>
      </c>
      <c r="V29" s="55">
        <v>118</v>
      </c>
      <c r="W29" s="55">
        <v>200</v>
      </c>
      <c r="X29" s="55">
        <v>354</v>
      </c>
      <c r="Y29" s="55">
        <v>200</v>
      </c>
    </row>
    <row r="30" spans="1:30" x14ac:dyDescent="0.4">
      <c r="A30" s="64" t="s">
        <v>314</v>
      </c>
      <c r="B30" s="64" t="s">
        <v>256</v>
      </c>
      <c r="C30" s="64"/>
      <c r="D30" s="64">
        <v>625</v>
      </c>
      <c r="H30" s="64"/>
      <c r="I30" s="64" t="s">
        <v>299</v>
      </c>
      <c r="J30" s="116" t="s">
        <v>256</v>
      </c>
      <c r="K30" s="64">
        <v>1390</v>
      </c>
      <c r="L30" s="64"/>
      <c r="M30" s="64">
        <v>416</v>
      </c>
      <c r="N30" s="64"/>
      <c r="O30" s="64"/>
      <c r="P30" s="55">
        <v>555</v>
      </c>
      <c r="Q30" s="64"/>
      <c r="S30" s="55">
        <v>555</v>
      </c>
      <c r="T30" s="64"/>
      <c r="V30" s="55">
        <v>902</v>
      </c>
      <c r="X30" s="55">
        <v>833</v>
      </c>
    </row>
    <row r="31" spans="1:30" x14ac:dyDescent="0.4">
      <c r="A31" s="64" t="s">
        <v>314</v>
      </c>
      <c r="B31" s="64" t="s">
        <v>209</v>
      </c>
      <c r="C31" s="64"/>
      <c r="D31" s="64">
        <v>625</v>
      </c>
      <c r="H31" s="64"/>
      <c r="I31" s="64" t="s">
        <v>299</v>
      </c>
      <c r="J31" s="116" t="s">
        <v>209</v>
      </c>
      <c r="K31" s="64">
        <v>1390</v>
      </c>
      <c r="L31" s="64"/>
      <c r="M31" s="64">
        <v>416</v>
      </c>
      <c r="N31" s="64"/>
      <c r="O31" s="64"/>
      <c r="P31" s="55">
        <v>555</v>
      </c>
      <c r="Q31" s="64"/>
      <c r="S31" s="55">
        <v>555</v>
      </c>
      <c r="T31" s="64"/>
      <c r="V31" s="55">
        <v>902</v>
      </c>
      <c r="X31" s="55">
        <v>833</v>
      </c>
    </row>
    <row r="32" spans="1:30" x14ac:dyDescent="0.4">
      <c r="A32" s="64" t="s">
        <v>314</v>
      </c>
      <c r="B32" s="64" t="s">
        <v>324</v>
      </c>
      <c r="C32" s="64"/>
      <c r="D32" s="64">
        <v>625</v>
      </c>
      <c r="H32" s="64"/>
      <c r="I32" s="64" t="s">
        <v>299</v>
      </c>
      <c r="J32" s="116" t="s">
        <v>83</v>
      </c>
      <c r="K32" s="64">
        <v>224</v>
      </c>
      <c r="L32" s="64">
        <v>326.2</v>
      </c>
      <c r="M32" s="64">
        <v>406</v>
      </c>
      <c r="N32" s="64">
        <v>326.2</v>
      </c>
      <c r="O32" s="64"/>
      <c r="P32" s="55">
        <v>812</v>
      </c>
      <c r="Q32" s="64">
        <v>200</v>
      </c>
      <c r="S32" s="55">
        <v>812</v>
      </c>
      <c r="T32" s="64">
        <v>200</v>
      </c>
      <c r="V32" s="55">
        <v>406</v>
      </c>
      <c r="W32" s="55">
        <v>200</v>
      </c>
      <c r="X32" s="55">
        <v>330</v>
      </c>
      <c r="Y32" s="55">
        <v>200</v>
      </c>
    </row>
    <row r="33" spans="1:26" x14ac:dyDescent="0.4">
      <c r="A33" s="64" t="s">
        <v>314</v>
      </c>
      <c r="B33" s="64" t="s">
        <v>316</v>
      </c>
      <c r="C33" s="64"/>
      <c r="D33" s="64">
        <v>625</v>
      </c>
      <c r="H33" s="64"/>
      <c r="I33" s="64" t="s">
        <v>299</v>
      </c>
      <c r="J33" s="116" t="s">
        <v>266</v>
      </c>
      <c r="K33" s="64">
        <v>224</v>
      </c>
      <c r="L33" s="64">
        <v>326.2</v>
      </c>
      <c r="M33" s="64">
        <v>406</v>
      </c>
      <c r="N33" s="64">
        <v>326.2</v>
      </c>
      <c r="O33" s="64"/>
      <c r="P33" s="55">
        <v>812</v>
      </c>
      <c r="Q33" s="64">
        <v>200</v>
      </c>
      <c r="S33" s="55">
        <v>812</v>
      </c>
      <c r="T33" s="64">
        <v>200</v>
      </c>
      <c r="V33" s="55">
        <v>406</v>
      </c>
      <c r="W33" s="55">
        <v>200</v>
      </c>
      <c r="X33" s="55">
        <v>330</v>
      </c>
      <c r="Y33" s="55">
        <v>200</v>
      </c>
    </row>
    <row r="34" spans="1:26" x14ac:dyDescent="0.4">
      <c r="A34" s="64" t="s">
        <v>314</v>
      </c>
      <c r="B34" s="64" t="s">
        <v>293</v>
      </c>
      <c r="C34" s="64"/>
      <c r="D34" s="64">
        <v>125</v>
      </c>
      <c r="I34" s="64" t="s">
        <v>299</v>
      </c>
      <c r="J34" s="116" t="s">
        <v>235</v>
      </c>
      <c r="K34" s="64">
        <v>1310</v>
      </c>
      <c r="L34" s="64"/>
      <c r="M34" s="64">
        <v>747</v>
      </c>
      <c r="N34" s="64"/>
      <c r="O34" s="64"/>
      <c r="P34" s="55">
        <v>1490</v>
      </c>
      <c r="S34" s="55">
        <v>1490</v>
      </c>
      <c r="V34" s="55">
        <v>747</v>
      </c>
      <c r="X34" s="55">
        <v>1870</v>
      </c>
    </row>
    <row r="35" spans="1:26" x14ac:dyDescent="0.4">
      <c r="A35" s="64" t="s">
        <v>314</v>
      </c>
      <c r="B35" s="64" t="s">
        <v>301</v>
      </c>
      <c r="C35" s="64"/>
      <c r="D35" s="64">
        <v>125</v>
      </c>
      <c r="I35" s="64" t="s">
        <v>299</v>
      </c>
      <c r="J35" s="116" t="s">
        <v>224</v>
      </c>
      <c r="K35" s="64">
        <v>1310</v>
      </c>
      <c r="L35" s="64"/>
      <c r="M35" s="64">
        <v>747</v>
      </c>
      <c r="N35" s="64"/>
      <c r="O35" s="64"/>
      <c r="P35" s="55">
        <v>1490</v>
      </c>
      <c r="S35" s="55">
        <v>1490</v>
      </c>
      <c r="V35" s="55">
        <v>747</v>
      </c>
      <c r="X35" s="55">
        <v>1870</v>
      </c>
    </row>
    <row r="36" spans="1:26" x14ac:dyDescent="0.4">
      <c r="A36" s="64" t="s">
        <v>314</v>
      </c>
      <c r="B36" s="64" t="s">
        <v>83</v>
      </c>
      <c r="C36" s="64"/>
      <c r="D36" s="64">
        <v>1000</v>
      </c>
      <c r="I36" s="64" t="s">
        <v>299</v>
      </c>
      <c r="J36" s="116" t="s">
        <v>324</v>
      </c>
      <c r="K36" s="64"/>
      <c r="L36" s="64"/>
      <c r="M36" s="64"/>
      <c r="N36" s="64"/>
      <c r="O36" s="64">
        <v>1000</v>
      </c>
      <c r="R36" s="64">
        <v>1000</v>
      </c>
      <c r="U36" s="64">
        <v>1000</v>
      </c>
      <c r="Z36" s="55">
        <v>1000</v>
      </c>
    </row>
    <row r="37" spans="1:26" x14ac:dyDescent="0.4">
      <c r="A37" s="64" t="s">
        <v>314</v>
      </c>
      <c r="B37" s="64" t="s">
        <v>266</v>
      </c>
      <c r="C37" s="64"/>
      <c r="D37" s="64">
        <v>1000</v>
      </c>
      <c r="I37" s="64" t="s">
        <v>299</v>
      </c>
      <c r="J37" s="116" t="s">
        <v>316</v>
      </c>
      <c r="K37" s="64"/>
      <c r="L37" s="64"/>
      <c r="M37" s="64"/>
      <c r="N37" s="64"/>
      <c r="O37" s="64">
        <v>1000</v>
      </c>
      <c r="R37" s="64">
        <v>1000</v>
      </c>
      <c r="U37" s="64">
        <v>1000</v>
      </c>
      <c r="Z37" s="55">
        <v>1000</v>
      </c>
    </row>
    <row r="38" spans="1:26" x14ac:dyDescent="0.4">
      <c r="A38" s="64" t="s">
        <v>314</v>
      </c>
      <c r="B38" s="64" t="s">
        <v>235</v>
      </c>
      <c r="C38" s="64"/>
      <c r="D38" s="64">
        <v>2500</v>
      </c>
    </row>
    <row r="39" spans="1:26" x14ac:dyDescent="0.4">
      <c r="A39" s="64" t="s">
        <v>314</v>
      </c>
      <c r="B39" s="64" t="s">
        <v>224</v>
      </c>
      <c r="D39" s="64">
        <v>2500</v>
      </c>
    </row>
    <row r="40" spans="1:26" x14ac:dyDescent="0.4">
      <c r="A40" s="64" t="s">
        <v>305</v>
      </c>
      <c r="B40" s="64" t="s">
        <v>900</v>
      </c>
      <c r="C40" s="64" t="s">
        <v>316</v>
      </c>
      <c r="D40" s="64">
        <v>1250</v>
      </c>
    </row>
    <row r="41" spans="1:26" x14ac:dyDescent="0.4">
      <c r="A41" s="64" t="s">
        <v>305</v>
      </c>
      <c r="B41" s="64" t="s">
        <v>869</v>
      </c>
      <c r="C41" s="64" t="s">
        <v>866</v>
      </c>
      <c r="D41" s="64">
        <v>1000</v>
      </c>
    </row>
    <row r="42" spans="1:26" x14ac:dyDescent="0.4">
      <c r="A42" s="64" t="s">
        <v>305</v>
      </c>
      <c r="B42" s="64" t="s">
        <v>869</v>
      </c>
      <c r="C42" s="64" t="s">
        <v>583</v>
      </c>
      <c r="D42" s="64">
        <v>200</v>
      </c>
    </row>
    <row r="43" spans="1:26" x14ac:dyDescent="0.4">
      <c r="A43" s="64" t="s">
        <v>305</v>
      </c>
      <c r="B43" s="64" t="s">
        <v>869</v>
      </c>
      <c r="C43" s="64" t="s">
        <v>190</v>
      </c>
      <c r="D43" s="64">
        <v>100</v>
      </c>
    </row>
    <row r="44" spans="1:26" x14ac:dyDescent="0.4">
      <c r="A44" s="64" t="s">
        <v>856</v>
      </c>
      <c r="B44" s="64" t="s">
        <v>869</v>
      </c>
      <c r="C44" s="64" t="s">
        <v>866</v>
      </c>
      <c r="D44" s="64">
        <v>1000</v>
      </c>
    </row>
    <row r="45" spans="1:26" x14ac:dyDescent="0.4">
      <c r="A45" s="64" t="s">
        <v>856</v>
      </c>
      <c r="B45" s="64" t="s">
        <v>869</v>
      </c>
      <c r="C45" s="64" t="s">
        <v>583</v>
      </c>
      <c r="D45" s="64">
        <v>200</v>
      </c>
    </row>
    <row r="46" spans="1:26" x14ac:dyDescent="0.4">
      <c r="A46" s="64" t="s">
        <v>856</v>
      </c>
      <c r="B46" s="64" t="s">
        <v>869</v>
      </c>
      <c r="C46" s="64" t="s">
        <v>190</v>
      </c>
      <c r="D46" s="64">
        <v>100</v>
      </c>
    </row>
    <row r="47" spans="1:26" x14ac:dyDescent="0.4">
      <c r="A47" s="64" t="s">
        <v>856</v>
      </c>
      <c r="B47" s="64" t="s">
        <v>869</v>
      </c>
      <c r="C47" s="64" t="s">
        <v>901</v>
      </c>
      <c r="D47" s="64">
        <v>5000</v>
      </c>
    </row>
  </sheetData>
  <mergeCells count="1">
    <mergeCell ref="G2:G3"/>
  </mergeCells>
  <pageMargins left="0.75" right="0.75" top="1" bottom="1" header="0.5" footer="0.5"/>
  <pageSetup orientation="portrait" horizontalDpi="1200" verticalDpi="1200"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22FA-7080-4A0E-A535-62505D29AE71}">
  <dimension ref="A1"/>
  <sheetViews>
    <sheetView workbookViewId="0">
      <selection activeCell="E15" sqref="E15"/>
    </sheetView>
  </sheetViews>
  <sheetFormatPr defaultRowHeight="14.4" x14ac:dyDescent="0.55000000000000004"/>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CC3C8-CC0E-4CF6-AEC3-096BED202C5F}">
  <dimension ref="A1:G4"/>
  <sheetViews>
    <sheetView workbookViewId="0">
      <selection activeCell="D1" sqref="D1:D1048576"/>
    </sheetView>
  </sheetViews>
  <sheetFormatPr defaultRowHeight="14.4" x14ac:dyDescent="0.55000000000000004"/>
  <cols>
    <col min="1" max="1" width="9.41796875" bestFit="1" customWidth="1"/>
    <col min="3" max="3" width="10.89453125" bestFit="1" customWidth="1"/>
  </cols>
  <sheetData>
    <row r="1" spans="1:7" x14ac:dyDescent="0.55000000000000004">
      <c r="A1" s="117" t="s">
        <v>902</v>
      </c>
    </row>
    <row r="3" spans="1:7" x14ac:dyDescent="0.55000000000000004">
      <c r="A3" s="118" t="s">
        <v>903</v>
      </c>
      <c r="B3" s="118" t="s">
        <v>904</v>
      </c>
      <c r="C3" s="118" t="s">
        <v>905</v>
      </c>
      <c r="E3" s="117"/>
      <c r="F3" s="117"/>
      <c r="G3" s="117"/>
    </row>
    <row r="4" spans="1:7" x14ac:dyDescent="0.55000000000000004">
      <c r="A4" s="45">
        <v>44668</v>
      </c>
      <c r="B4" t="s">
        <v>906</v>
      </c>
      <c r="C4" t="s">
        <v>907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2023-04-23T01:42:36+00:00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xsi:nil="true"/>
    <lcf76f155ced4ddcb4097134ff3c332f xmlns="ed970698-2d60-4bab-a048-d9be527522d9">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1AF5FC5DD832BE4DBA6B24560DD3ADC0" ma:contentTypeVersion="19" ma:contentTypeDescription="Create a new document." ma:contentTypeScope="" ma:versionID="d40b3e6283001fb57e5088f84fb23d5e">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8b03727f-4454-4722-b3e6-018d8dcaf2fd" xmlns:ns6="ed970698-2d60-4bab-a048-d9be527522d9" targetNamespace="http://schemas.microsoft.com/office/2006/metadata/properties" ma:root="true" ma:fieldsID="aadbb8160917885bdc8cfb32badaafe9" ns1:_="" ns2:_="" ns3:_="" ns4:_="" ns5:_="" ns6:_="">
    <xsd:import namespace="http://schemas.microsoft.com/sharepoint/v3"/>
    <xsd:import namespace="4ffa91fb-a0ff-4ac5-b2db-65c790d184a4"/>
    <xsd:import namespace="http://schemas.microsoft.com/sharepoint.v3"/>
    <xsd:import namespace="http://schemas.microsoft.com/sharepoint/v3/fields"/>
    <xsd:import namespace="8b03727f-4454-4722-b3e6-018d8dcaf2fd"/>
    <xsd:import namespace="ed970698-2d60-4bab-a048-d9be527522d9"/>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SharedWithUsers" minOccurs="0"/>
                <xsd:element ref="ns5:SharedWithDetails" minOccurs="0"/>
                <xsd:element ref="ns6:MediaServiceMetadata" minOccurs="0"/>
                <xsd:element ref="ns6:MediaServiceFastMetadata" minOccurs="0"/>
                <xsd:element ref="ns6:MediaServiceDateTaken" minOccurs="0"/>
                <xsd:element ref="ns6:MediaServiceAutoTags" minOccurs="0"/>
                <xsd:element ref="ns6:MediaServiceGenerationTime" minOccurs="0"/>
                <xsd:element ref="ns6:MediaServiceEventHashCode" minOccurs="0"/>
                <xsd:element ref="ns6:MediaServiceOCR" minOccurs="0"/>
                <xsd:element ref="ns6:MediaServiceAutoKeyPoints" minOccurs="0"/>
                <xsd:element ref="ns6:MediaServiceKeyPoints" minOccurs="0"/>
                <xsd:element ref="ns6:MediaServiceLocation" minOccurs="0"/>
                <xsd:element ref="ns6:MediaLengthInSeconds"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dcd2e99d-092c-46b8-9db1-86473808dbc7}" ma:internalName="TaxCatchAllLabel" ma:readOnly="true" ma:showField="CatchAllDataLabel" ma:web="8b03727f-4454-4722-b3e6-018d8dcaf2fd">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dcd2e99d-092c-46b8-9db1-86473808dbc7}" ma:internalName="TaxCatchAll" ma:showField="CatchAllData" ma:web="8b03727f-4454-4722-b3e6-018d8dcaf2f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b03727f-4454-4722-b3e6-018d8dcaf2fd" elementFormDefault="qualified">
    <xsd:import namespace="http://schemas.microsoft.com/office/2006/documentManagement/types"/>
    <xsd:import namespace="http://schemas.microsoft.com/office/infopath/2007/PartnerControls"/>
    <xsd:element name="SharedWithUsers" ma:index="2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d970698-2d60-4bab-a048-d9be527522d9" elementFormDefault="qualified">
    <xsd:import namespace="http://schemas.microsoft.com/office/2006/documentManagement/types"/>
    <xsd:import namespace="http://schemas.microsoft.com/office/infopath/2007/PartnerControls"/>
    <xsd:element name="MediaServiceMetadata" ma:index="30" nillable="true" ma:displayName="MediaServiceMetadata" ma:hidden="true" ma:internalName="MediaServiceMetadata" ma:readOnly="true">
      <xsd:simpleType>
        <xsd:restriction base="dms:Note"/>
      </xsd:simpleType>
    </xsd:element>
    <xsd:element name="MediaServiceFastMetadata" ma:index="31" nillable="true" ma:displayName="MediaServiceFastMetadata" ma:hidden="true" ma:internalName="MediaServiceFastMetadata" ma:readOnly="true">
      <xsd:simpleType>
        <xsd:restriction base="dms:Note"/>
      </xsd:simpleType>
    </xsd:element>
    <xsd:element name="MediaServiceDateTaken" ma:index="32" nillable="true" ma:displayName="MediaServiceDateTaken" ma:hidden="true" ma:internalName="MediaServiceDateTaken" ma:readOnly="true">
      <xsd:simpleType>
        <xsd:restriction base="dms:Text"/>
      </xsd:simpleType>
    </xsd:element>
    <xsd:element name="MediaServiceAutoTags" ma:index="33" nillable="true" ma:displayName="Tags" ma:internalName="MediaServiceAutoTags"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EventHashCode" ma:index="35" nillable="true" ma:displayName="MediaServiceEventHashCode" ma:hidden="true" ma:internalName="MediaServiceEventHashCode"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Location" ma:index="39" nillable="true" ma:displayName="Location" ma:internalName="MediaServiceLocation" ma:readOnly="true">
      <xsd:simpleType>
        <xsd:restriction base="dms:Text"/>
      </xsd:simpleType>
    </xsd:element>
    <xsd:element name="MediaLengthInSeconds" ma:index="40" nillable="true" ma:displayName="Length (seconds)" ma:internalName="MediaLengthInSeconds" ma:readOnly="true">
      <xsd:simpleType>
        <xsd:restriction base="dms:Unknown"/>
      </xsd:simpleType>
    </xsd:element>
    <xsd:element name="lcf76f155ced4ddcb4097134ff3c332f" ma:index="42"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B0DDDD-3F7A-42F8-BF57-FFB57EB6A99C}">
  <ds:schemaRefs>
    <ds:schemaRef ds:uri="Microsoft.SharePoint.Taxonomy.ContentTypeSync"/>
  </ds:schemaRefs>
</ds:datastoreItem>
</file>

<file path=customXml/itemProps2.xml><?xml version="1.0" encoding="utf-8"?>
<ds:datastoreItem xmlns:ds="http://schemas.openxmlformats.org/officeDocument/2006/customXml" ds:itemID="{A2F39442-D6E3-47C8-AF0F-56242881E7E3}">
  <ds:schemaRefs>
    <ds:schemaRef ds:uri="http://schemas.microsoft.com/sharepoint/v3/contenttype/forms"/>
  </ds:schemaRefs>
</ds:datastoreItem>
</file>

<file path=customXml/itemProps3.xml><?xml version="1.0" encoding="utf-8"?>
<ds:datastoreItem xmlns:ds="http://schemas.openxmlformats.org/officeDocument/2006/customXml" ds:itemID="{EA98F134-278E-4F32-B6C3-5A5FBBDBFBD7}">
  <ds:schemaRefs>
    <ds:schemaRef ds:uri="http://schemas.microsoft.com/office/infopath/2007/PartnerControls"/>
    <ds:schemaRef ds:uri="http://www.w3.org/XML/1998/namespace"/>
    <ds:schemaRef ds:uri="http://schemas.microsoft.com/office/2006/metadata/properties"/>
    <ds:schemaRef ds:uri="4ffa91fb-a0ff-4ac5-b2db-65c790d184a4"/>
    <ds:schemaRef ds:uri="http://schemas.microsoft.com/office/2006/documentManagement/types"/>
    <ds:schemaRef ds:uri="http://purl.org/dc/terms/"/>
    <ds:schemaRef ds:uri="http://schemas.openxmlformats.org/package/2006/metadata/core-properties"/>
    <ds:schemaRef ds:uri="1aa17580-553e-44ce-b2b9-99ab98bddff2"/>
    <ds:schemaRef ds:uri="806c5882-756c-496f-bc0c-c6ab5cf0f533"/>
    <ds:schemaRef ds:uri="http://purl.org/dc/elements/1.1/"/>
    <ds:schemaRef ds:uri="http://schemas.microsoft.com/sharepoint/v3/fields"/>
    <ds:schemaRef ds:uri="http://schemas.microsoft.com/sharepoint.v3"/>
    <ds:schemaRef ds:uri="http://schemas.microsoft.com/sharepoint/v3"/>
    <ds:schemaRef ds:uri="http://purl.org/dc/dcmitype/"/>
    <ds:schemaRef ds:uri="ed970698-2d60-4bab-a048-d9be527522d9"/>
  </ds:schemaRefs>
</ds:datastoreItem>
</file>

<file path=customXml/itemProps4.xml><?xml version="1.0" encoding="utf-8"?>
<ds:datastoreItem xmlns:ds="http://schemas.openxmlformats.org/officeDocument/2006/customXml" ds:itemID="{02DE48EA-DB5F-4258-8716-422CD2480A7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18</vt:i4>
      </vt:variant>
    </vt:vector>
  </HeadingPairs>
  <TitlesOfParts>
    <vt:vector size="31" baseType="lpstr">
      <vt:lpstr>2023 Data</vt:lpstr>
      <vt:lpstr>TPCalibEq150</vt:lpstr>
      <vt:lpstr>TPCalibEq300</vt:lpstr>
      <vt:lpstr>TPCalibEq500</vt:lpstr>
      <vt:lpstr>TPCalibEqFull</vt:lpstr>
      <vt:lpstr>TNCalibEq2500</vt:lpstr>
      <vt:lpstr>TNCalibEqFull</vt:lpstr>
      <vt:lpstr>METADATA</vt:lpstr>
      <vt:lpstr>IDs</vt:lpstr>
      <vt:lpstr>QCEQUATIONS</vt:lpstr>
      <vt:lpstr>QCACTUAL</vt:lpstr>
      <vt:lpstr>QC Pivot</vt:lpstr>
      <vt:lpstr>ChangeLog</vt:lpstr>
      <vt:lpstr>QCACTUAL!QCATP_P</vt:lpstr>
      <vt:lpstr>QCATP_P</vt:lpstr>
      <vt:lpstr>QCACTUAL!QCCHK</vt:lpstr>
      <vt:lpstr>QCCHK</vt:lpstr>
      <vt:lpstr>QCEQUATIONS!QCEQUATIONS</vt:lpstr>
      <vt:lpstr>QCEQUATIONS</vt:lpstr>
      <vt:lpstr>QCACTUAL!QCGUP</vt:lpstr>
      <vt:lpstr>QCGUP</vt:lpstr>
      <vt:lpstr>QCACTUAL!QCNIC_N</vt:lpstr>
      <vt:lpstr>QCNIC_N</vt:lpstr>
      <vt:lpstr>QCACTUAL!QCPER</vt:lpstr>
      <vt:lpstr>QCPER</vt:lpstr>
      <vt:lpstr>QCACTUAL!QCREC_N</vt:lpstr>
      <vt:lpstr>QCREC_N</vt:lpstr>
      <vt:lpstr>QCACTUAL!QCSPK</vt:lpstr>
      <vt:lpstr>QCSPK</vt:lpstr>
      <vt:lpstr>QCACTUAL!QCUREA_N</vt:lpstr>
      <vt:lpstr>QCUREA_N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 Andrea</dc:creator>
  <cp:lastModifiedBy>Beaulieu, Jake</cp:lastModifiedBy>
  <dcterms:created xsi:type="dcterms:W3CDTF">2022-04-18T00:29:03Z</dcterms:created>
  <dcterms:modified xsi:type="dcterms:W3CDTF">2023-09-08T18:00:34Z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0x0101001AF5FC5DD832BE4DBA6B24560DD3ADC0</vt:lpwstr>
  </property>
  <property fmtid="{D5CDD505-2E9C-101B-9397-08002B2CF9AE}" pid="3" name="TaxKeyword">
    <vt:lpwstr/>
  </property>
  <property fmtid="{D5CDD505-2E9C-101B-9397-08002B2CF9AE}" pid="4" name="MediaServiceImageTags">
    <vt:lpwstr/>
  </property>
  <property fmtid="{D5CDD505-2E9C-101B-9397-08002B2CF9AE}" pid="5" name="e3f09c3df709400db2417a7161762d62">
    <vt:lpwstr/>
  </property>
  <property fmtid="{D5CDD505-2E9C-101B-9397-08002B2CF9AE}" pid="6" name="EPA_x0020_Subject">
    <vt:lpwstr/>
  </property>
  <property fmtid="{D5CDD505-2E9C-101B-9397-08002B2CF9AE}" pid="7" name="Document Type">
    <vt:lpwstr/>
  </property>
  <property fmtid="{D5CDD505-2E9C-101B-9397-08002B2CF9AE}" pid="8" name="Document_x0020_Type">
    <vt:lpwstr/>
  </property>
  <property fmtid="{D5CDD505-2E9C-101B-9397-08002B2CF9AE}" pid="9" name="EPA Subject">
    <vt:lpwstr/>
  </property>
</Properties>
</file>